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6.xml" ContentType="application/vnd.openxmlformats-officedocument.drawingml.chartshape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7.xml" ContentType="application/vnd.openxmlformats-officedocument.drawingml.chartshap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ml.chartshape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ml.chartshapes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10.xml" ContentType="application/vnd.openxmlformats-officedocument.drawingml.chartshapes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11.xml" ContentType="application/vnd.openxmlformats-officedocument.drawingml.chartshapes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12.xml" ContentType="application/vnd.openxmlformats-officedocument.drawingml.chartshape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3.xml" ContentType="application/vnd.openxmlformats-officedocument.drawingml.chartshapes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4.xml" ContentType="application/vnd.openxmlformats-officedocument.drawingml.chartshape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15.xml" ContentType="application/vnd.openxmlformats-officedocument.drawingml.chartshapes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6.xml" ContentType="application/vnd.openxmlformats-officedocument.drawingml.chartshapes+xml"/>
  <Override PartName="/xl/charts/chart80.xml" ContentType="application/vnd.openxmlformats-officedocument.drawingml.chart+xml"/>
  <Override PartName="/xl/drawings/drawing17.xml" ContentType="application/vnd.openxmlformats-officedocument.drawingml.chartshapes+xml"/>
  <Override PartName="/xl/charts/chart81.xml" ContentType="application/vnd.openxmlformats-officedocument.drawingml.chart+xml"/>
  <Override PartName="/xl/drawings/drawing18.xml" ContentType="application/vnd.openxmlformats-officedocument.drawingml.chartshapes+xml"/>
  <Override PartName="/xl/charts/chart82.xml" ContentType="application/vnd.openxmlformats-officedocument.drawingml.chart+xml"/>
  <Override PartName="/xl/drawings/drawing19.xml" ContentType="application/vnd.openxmlformats-officedocument.drawingml.chartshapes+xml"/>
  <Override PartName="/xl/charts/chart83.xml" ContentType="application/vnd.openxmlformats-officedocument.drawingml.chart+xml"/>
  <Override PartName="/xl/drawings/drawing20.xml" ContentType="application/vnd.openxmlformats-officedocument.drawingml.chartshapes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21.xml" ContentType="application/vnd.openxmlformats-officedocument.drawingml.chartshapes+xml"/>
  <Override PartName="/xl/charts/chart87.xml" ContentType="application/vnd.openxmlformats-officedocument.drawingml.chart+xml"/>
  <Override PartName="/xl/drawings/drawing22.xml" ContentType="application/vnd.openxmlformats-officedocument.drawingml.chartshapes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drawings/drawing23.xml" ContentType="application/vnd.openxmlformats-officedocument.drawingml.chartshapes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24.xml" ContentType="application/vnd.openxmlformats-officedocument.drawingml.chartshapes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drawings/drawing25.xml" ContentType="application/vnd.openxmlformats-officedocument.drawingml.chartshapes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26.xml" ContentType="application/vnd.openxmlformats-officedocument.drawingml.chartshapes+xml"/>
  <Override PartName="/xl/charts/chart113.xml" ContentType="application/vnd.openxmlformats-officedocument.drawingml.chart+xml"/>
  <Override PartName="/xl/drawings/drawing27.xml" ContentType="application/vnd.openxmlformats-officedocument.drawingml.chartshapes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drawings/drawing28.xml" ContentType="application/vnd.openxmlformats-officedocument.drawingml.chartshapes+xml"/>
  <Override PartName="/xl/charts/chart118.xml" ContentType="application/vnd.openxmlformats-officedocument.drawingml.chart+xml"/>
  <Override PartName="/xl/drawings/drawing29.xml" ContentType="application/vnd.openxmlformats-officedocument.drawingml.chartshapes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30.xml" ContentType="application/vnd.openxmlformats-officedocument.drawingml.chartshapes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drawings/drawing31.xml" ContentType="application/vnd.openxmlformats-officedocument.drawingml.chartshapes+xml"/>
  <Override PartName="/xl/charts/chart129.xml" ContentType="application/vnd.openxmlformats-officedocument.drawingml.chart+xml"/>
  <Override PartName="/xl/drawings/drawing32.xml" ContentType="application/vnd.openxmlformats-officedocument.drawingml.chartshapes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drawings/drawing33.xml" ContentType="application/vnd.openxmlformats-officedocument.drawingml.chartshapes+xml"/>
  <Override PartName="/xl/charts/chart132.xml" ContentType="application/vnd.openxmlformats-officedocument.drawingml.chart+xml"/>
  <Override PartName="/xl/drawings/drawing34.xml" ContentType="application/vnd.openxmlformats-officedocument.drawingml.chartshapes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35.xml" ContentType="application/vnd.openxmlformats-officedocument.drawingml.chartshapes+xml"/>
  <Override PartName="/xl/charts/chart144.xml" ContentType="application/vnd.openxmlformats-officedocument.drawingml.chart+xml"/>
  <Override PartName="/xl/drawings/drawing36.xml" ContentType="application/vnd.openxmlformats-officedocument.drawingml.chartshapes+xml"/>
  <Override PartName="/xl/charts/chart145.xml" ContentType="application/vnd.openxmlformats-officedocument.drawingml.chart+xml"/>
  <Override PartName="/xl/drawings/drawing37.xml" ContentType="application/vnd.openxmlformats-officedocument.drawingml.chartshapes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drawings/drawing38.xml" ContentType="application/vnd.openxmlformats-officedocument.drawingml.chartshapes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drawings/drawing39.xml" ContentType="application/vnd.openxmlformats-officedocument.drawingml.chartshapes+xml"/>
  <Override PartName="/xl/charts/chart160.xml" ContentType="application/vnd.openxmlformats-officedocument.drawingml.chart+xml"/>
  <Override PartName="/xl/drawings/drawing40.xml" ContentType="application/vnd.openxmlformats-officedocument.drawingml.chartshapes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drawings/drawing41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drawings/drawing42.xml" ContentType="application/vnd.openxmlformats-officedocument.drawingml.chartshapes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drawings/drawing43.xml" ContentType="application/vnd.openxmlformats-officedocument.drawingml.chartshapes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drawings/drawing44.xml" ContentType="application/vnd.openxmlformats-officedocument.drawingml.chartshapes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drawings/drawing45.xml" ContentType="application/vnd.openxmlformats-officedocument.drawingml.chartshapes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drawings/drawing46.xml" ContentType="application/vnd.openxmlformats-officedocument.drawingml.chartshapes+xml"/>
  <Override PartName="/xl/charts/chart204.xml" ContentType="application/vnd.openxmlformats-officedocument.drawingml.chart+xml"/>
  <Override PartName="/xl/drawings/drawing47.xml" ContentType="application/vnd.openxmlformats-officedocument.drawingml.chartshapes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drawings/drawing48.xml" ContentType="application/vnd.openxmlformats-officedocument.drawingml.chartshapes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drawings/drawing49.xml" ContentType="application/vnd.openxmlformats-officedocument.drawingml.chartshapes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drawings/drawing50.xml" ContentType="application/vnd.openxmlformats-officedocument.drawingml.chartshapes+xml"/>
  <Override PartName="/xl/charts/chart223.xml" ContentType="application/vnd.openxmlformats-officedocument.drawingml.chart+xml"/>
  <Override PartName="/xl/drawings/drawing51.xml" ContentType="application/vnd.openxmlformats-officedocument.drawingml.chartshapes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charts/chart229.xml" ContentType="application/vnd.openxmlformats-officedocument.drawingml.chart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inamex-my.sharepoint.com/personal/fvfentanes_finamex_com_mx/Documents/"/>
    </mc:Choice>
  </mc:AlternateContent>
  <xr:revisionPtr revIDLastSave="0" documentId="8_{C7D94133-9180-4FB1-BA42-19699698BAB7}" xr6:coauthVersionLast="47" xr6:coauthVersionMax="47" xr10:uidLastSave="{00000000-0000-0000-0000-000000000000}"/>
  <bookViews>
    <workbookView xWindow="-120" yWindow="-120" windowWidth="24240" windowHeight="13020" tabRatio="854" firstSheet="5" activeTab="17" xr2:uid="{F9D7C7FD-BF91-4A1E-9328-11D9E411BD16}"/>
  </bookViews>
  <sheets>
    <sheet name="ImportantDisclosures" sheetId="127" r:id="rId1"/>
    <sheet name="Circular Reference" sheetId="91" r:id="rId2"/>
    <sheet name="Index" sheetId="47" r:id="rId3"/>
    <sheet name="Overview--&gt;" sheetId="15" r:id="rId4"/>
    <sheet name="Summary" sheetId="46" r:id="rId5"/>
    <sheet name="MSvsConsensus" sheetId="71" r:id="rId6"/>
    <sheet name="Charts" sheetId="36" r:id="rId7"/>
    <sheet name="Financials" sheetId="11" r:id="rId8"/>
    <sheet name="Valuation--&gt;" sheetId="16" r:id="rId9"/>
    <sheet name="DCF" sheetId="76" r:id="rId10"/>
    <sheet name="SOP" sheetId="92" r:id="rId11"/>
    <sheet name="QuarterlyModel--&gt;" sheetId="17" r:id="rId12"/>
    <sheet name="Inputs" sheetId="8" r:id="rId13"/>
    <sheet name="Q_Financials" sheetId="4" r:id="rId14"/>
    <sheet name="Q_IS" sheetId="112" r:id="rId15"/>
    <sheet name="Q_BS" sheetId="2" r:id="rId16"/>
    <sheet name="CompanyData--&gt;" sheetId="18" r:id="rId17"/>
    <sheet name="IS" sheetId="58" r:id="rId18"/>
    <sheet name="Segment" sheetId="94" r:id="rId19"/>
    <sheet name="BS" sheetId="59" r:id="rId20"/>
    <sheet name="CF" sheetId="60" r:id="rId21"/>
    <sheet name="Scenarios--&gt;" sheetId="22" r:id="rId22"/>
    <sheet name="Base" sheetId="23" r:id="rId23"/>
    <sheet name="Bull" sheetId="24" r:id="rId24"/>
    <sheet name="Bear" sheetId="25" r:id="rId25"/>
    <sheet name="Other--&gt;" sheetId="44" r:id="rId26"/>
    <sheet name="Charts_Support" sheetId="111" r:id="rId27"/>
    <sheet name="Ownership" sheetId="55" r:id="rId28"/>
    <sheet name="M&amp;A" sheetId="86" r:id="rId29"/>
    <sheet name="ModelWare" sheetId="27" r:id="rId30"/>
    <sheet name="IndexInformation" sheetId="128" r:id="rId31"/>
    <sheet name="ModPubIndex" sheetId="129" r:id="rId32"/>
  </sheets>
  <definedNames>
    <definedName name="africaCountries">#REF!</definedName>
    <definedName name="_xlnm.Print_Area" localSheetId="22">Base!$A$1:$T$141</definedName>
    <definedName name="_xlnm.Print_Area" localSheetId="24">Bear!$A$1:$T$141</definedName>
    <definedName name="_xlnm.Print_Area" localSheetId="19">BS!$A$1:$AK$46</definedName>
    <definedName name="_xlnm.Print_Area" localSheetId="23">Bull!$A$1:$T$141</definedName>
    <definedName name="_xlnm.Print_Area" localSheetId="20">CF!$A$1:$AS$44</definedName>
    <definedName name="_xlnm.Print_Area" localSheetId="6">Charts!$A$1:$AH$132,Charts!$C$268:$AH$343</definedName>
    <definedName name="_xlnm.Print_Area" localSheetId="1">'Circular Reference'!$B$1:$B$13</definedName>
    <definedName name="_xlnm.Print_Area" localSheetId="9">DCF!$A$1:$AI$94</definedName>
    <definedName name="_xlnm.Print_Area" localSheetId="7">Financials!$A$1:$Z$216</definedName>
    <definedName name="_xlnm.Print_Area" localSheetId="2">Index!$A$1:$R$54</definedName>
    <definedName name="_xlnm.Print_Area" localSheetId="12">Inputs!$A$1:$AG$377</definedName>
    <definedName name="_xlnm.Print_Area" localSheetId="17">IS!$A$1:$AL$26</definedName>
    <definedName name="_xlnm.Print_Area" localSheetId="28">'M&amp;A'!$A$1:$K$22</definedName>
    <definedName name="_xlnm.Print_Area" localSheetId="29">ModelWare!$A$1:$L$58,ModelWare!$A$60:$L$114</definedName>
    <definedName name="_xlnm.Print_Area" localSheetId="5">MSvsConsensus!$A$1:$AU$67</definedName>
    <definedName name="_xlnm.Print_Area" localSheetId="27">Ownership!$A$1:$X$42</definedName>
    <definedName name="_xlnm.Print_Area" localSheetId="15">Q_BS!$A$1:$AK$39,Q_BS!$A$60:$AK$172</definedName>
    <definedName name="_xlnm.Print_Area" localSheetId="13">Q_Financials!$A$1:$AK$63,Q_Financials!$A$66:$AK$142</definedName>
    <definedName name="_xlnm.Print_Area" localSheetId="18">"Formula removed, name can be deleted."</definedName>
    <definedName name="_xlnm.Print_Area" localSheetId="10">SOP!$A$1:$N$18</definedName>
    <definedName name="_xlnm.Print_Area" localSheetId="4">Summary!$A$1:$AI$50</definedName>
    <definedName name="_xlnm.Print_Area">"Formula removed, name can be deleted."</definedName>
    <definedName name="asiaPacificExJapanCountries">#REF!</definedName>
    <definedName name="asiaPacificStates">#REF!</definedName>
    <definedName name="centralEasternEuropeCountries">#REF!</definedName>
    <definedName name="consumerDemandExposure">#REF!</definedName>
    <definedName name="consumersExposure">1</definedName>
    <definedName name="developedEuropeExUKCountries">#REF!</definedName>
    <definedName name="domesticAndForeignExposure">#REF!</definedName>
    <definedName name="domesticCostExposure">#REF!</definedName>
    <definedName name="endDemandExposure">#REF!</definedName>
    <definedName name="latinAmericaCountries">#REF!</definedName>
    <definedName name="Linking_1">SOP!$B$5:$J$17</definedName>
    <definedName name="Linking_10">MSvsConsensus!$AF$53:$AQ$65</definedName>
    <definedName name="Linking_11">Financials!$A$121:$X$184</definedName>
    <definedName name="Linking_12">Financials!$A$4:$X$118</definedName>
    <definedName name="Linking_13">Financials!$A$4:$Z$116</definedName>
    <definedName name="Linking_14">Financials!$A$121:$Z$179</definedName>
    <definedName name="Linking_15">Financials!$A$121:$Z$184</definedName>
    <definedName name="Linking_16">Financials!$A$4:$Z$118</definedName>
    <definedName name="Linking_17">#REF!</definedName>
    <definedName name="Linking_2">SOP!$B$4:$J$17</definedName>
    <definedName name="Linking_21">Financials!$A$35:$Z$118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Charts!$CU$96:$DB$113</definedName>
    <definedName name="Linking_30">#REF!</definedName>
    <definedName name="Linking_31">#REF!</definedName>
    <definedName name="Linking_32">#REF!</definedName>
    <definedName name="Linking_33">#REF!</definedName>
    <definedName name="Linking_34">#REF!</definedName>
    <definedName name="Linking_35">#REF!</definedName>
    <definedName name="Linking_36">#REF!</definedName>
    <definedName name="Linking_4">SOP!$M$14</definedName>
    <definedName name="Linking_5">SOP!$O$21:$V$36</definedName>
    <definedName name="Linking_6">SOP!$B$4:$K$17</definedName>
    <definedName name="Linking_7">SOP!$B$4:$K$17</definedName>
    <definedName name="Linking_8">SOP!$P$19</definedName>
    <definedName name="Linking_9">SOP!$B$21:$H$36</definedName>
    <definedName name="Linking_Range_10">Charts!$C$133:$J$151</definedName>
    <definedName name="Linking_Range_11">Charts!$AI$133:$AP$151</definedName>
    <definedName name="Linking_Range_12">Charts!$K$152:$R$170</definedName>
    <definedName name="Linking_Range_13">Charts!$K$190:$R$208</definedName>
    <definedName name="Linking_Range_16">Charts!$K$95:$R$113</definedName>
    <definedName name="Linking_Range_17">Charts!$S$344:$Z$362</definedName>
    <definedName name="Linking_Range_18">Charts!$AA$344:$AH$362</definedName>
    <definedName name="Linking_Range_19">Charts!$S$363:$Z$381</definedName>
    <definedName name="Linking_Range_2">Charts!$S$287:$Z$305</definedName>
    <definedName name="Linking_Range_20">Charts!$K$363:$R$381</definedName>
    <definedName name="Linking_Range_21">Charts!$C$363:$J$381</definedName>
    <definedName name="Linking_Range_25">Charts!$AI$269:$AP$286</definedName>
    <definedName name="Linking_Range_28">Charts!$S$326:$Z$343</definedName>
    <definedName name="Linking_Range_29">Charts!$AA$345:$AH$362</definedName>
    <definedName name="Linking_Range_3">Charts!$C$76:$J$94</definedName>
    <definedName name="Linking_Range_30">Charts!$S$364:$Z$381</definedName>
    <definedName name="Linking_Range_32">Charts!$S$268:$Z$286</definedName>
    <definedName name="Linking_Range_33">Charts!$C$344:$J$362</definedName>
    <definedName name="Linking_Range_35">Charts!$AI$269:$AP$285</definedName>
    <definedName name="Linking_Range_36">Charts!$C$326:$J$343</definedName>
    <definedName name="Linking_Range_39">Charts!$AA$346:$AH$362</definedName>
    <definedName name="Linking_Range_4">Charts!$K$76:$R$94</definedName>
    <definedName name="Linking_Range_40">Charts!$AI$345:$AP$362</definedName>
    <definedName name="Linking_Range_43">Charts!$AQ$95:$AX$113</definedName>
    <definedName name="Linking_Range_44">Charts!$C$133:$J$150</definedName>
    <definedName name="Linking_Range_45">Charts!$AI$133:$AP$150</definedName>
    <definedName name="Linking_Range_46">Charts!$AA$344:$AH$362</definedName>
    <definedName name="Linking_Range_47">Charts!$AI$344:$AP$361</definedName>
    <definedName name="Linking_Range_48">Charts!$S$363:$Z$380</definedName>
    <definedName name="Linking_Range_49">Financials!$A$4:$P$118</definedName>
    <definedName name="Linking_Range_50">Financials!$A$121:$P$182</definedName>
    <definedName name="Linking_Range_54">Charts!$S$190:$Z$208</definedName>
    <definedName name="Linking_Range_58">Charts!$AI$345:$AP$362</definedName>
    <definedName name="Linking_Range_59">Charts!$S$364:$Z$381</definedName>
    <definedName name="Linking_Range_6">Charts!$K$95:$R$113</definedName>
    <definedName name="Linking_Range_62">Summary!$AB$6:$AI$27</definedName>
    <definedName name="Linking_Range_65">Charts!$AI$344:$AP$362</definedName>
    <definedName name="Linking_Range_66">Charts!$S$363:$Z$381</definedName>
    <definedName name="Linking_Range_67">Summary!$AB$6:$AI$27</definedName>
    <definedName name="Linking_Range_70">Financials!$A$4:$Q$119</definedName>
    <definedName name="Linking_Range_71">Financials!$A$121:$Q$182</definedName>
    <definedName name="Linking_Range_72">Charts!$S$325:$Z$343</definedName>
    <definedName name="Linking_Range_73">Charts!$AA$363:$AH$381</definedName>
    <definedName name="Linking_Range_74">Financials!$A$4:$Q$116</definedName>
    <definedName name="Linking_Range_75">Financials!$A$121:$Q$185</definedName>
    <definedName name="Linking_Range_77">Financials!$A$4:$Q$118</definedName>
    <definedName name="Linking_Range_78">Charts!$S$287:$Z$344</definedName>
    <definedName name="Linking_Range_8">Charts!$AQ$95:$AX$113</definedName>
    <definedName name="Linking_Range_85">Charts!$AY$95:$BF$113</definedName>
    <definedName name="Linking_Range_87">Charts!$AQ$133:$AX$150</definedName>
    <definedName name="Linking_Range_88">Charts!$AA$190:$AH$207</definedName>
    <definedName name="Linking_Range_89" localSheetId="28">'M&amp;A'!$A$4:$K$4</definedName>
    <definedName name="Linking_Range_89">DCF!$A$4:$AI$42</definedName>
    <definedName name="Linking_Range_9">Charts!$AY$95:$BF$113</definedName>
    <definedName name="Linking_Text_3">MSvsConsensus!$L$24</definedName>
    <definedName name="MASTERSWITCH">Inputs!$A$6</definedName>
    <definedName name="middleEastAfricaStates">#REF!</definedName>
    <definedName name="no">#REF!</definedName>
    <definedName name="northAmericaCountries">#REF!</definedName>
    <definedName name="Purchase">1</definedName>
    <definedName name="regionalCostExposure">#REF!</definedName>
    <definedName name="rio">0.3375</definedName>
    <definedName name="rngTotalRegionExposure">1</definedName>
    <definedName name="Scenario_Input">Index!$H$37</definedName>
    <definedName name="socioEconomicRegions">#REF!</definedName>
    <definedName name="SOP">SOP!$B$5:$J$17</definedName>
    <definedName name="SOP_SUMMARY">SOP!$B$4:$K$17</definedName>
    <definedName name="table55">#REF!</definedName>
    <definedName name="_xlnm.Print_Titles" localSheetId="22">Base!$A:$A,Base!$1:$2</definedName>
    <definedName name="_xlnm.Print_Titles" localSheetId="24">Bear!$A:$A,Bear!$1:$2</definedName>
    <definedName name="_xlnm.Print_Titles" localSheetId="19">BS!$A:$A,BS!$1:$2</definedName>
    <definedName name="_xlnm.Print_Titles" localSheetId="23">Bull!$A:$A,Bull!$1:$2</definedName>
    <definedName name="_xlnm.Print_Titles" localSheetId="20">CF!$A:$A,CF!$1:$2</definedName>
    <definedName name="_xlnm.Print_Titles" localSheetId="12">Inputs!$A:$A,Inputs!$1:$2</definedName>
    <definedName name="_xlnm.Print_Titles" localSheetId="17">IS!$A:$A,IS!$1:$2</definedName>
    <definedName name="_xlnm.Print_Titles" localSheetId="29">ModelWare!$A:$A,ModelWare!$1:$4</definedName>
    <definedName name="_xlnm.Print_Titles" localSheetId="15">Q_BS!$A:$A,Q_BS!$1:$2</definedName>
    <definedName name="_xlnm.Print_Titles" localSheetId="13">Q_Financials!$A:$A,Q_Financials!$1:$2</definedName>
    <definedName name="_xlnm.Print_Titles" localSheetId="18">"Formula removed, name can be deleted."</definedName>
    <definedName name="_xlnm.Print_Titles" localSheetId="4">Summary!$A:$A,Summary!$1:$2</definedName>
    <definedName name="_xlnm.Print_Titles">"Formula removed, name can be deleted."</definedName>
    <definedName name="uk">0</definedName>
    <definedName name="ValidDate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8" l="1"/>
  <c r="C12" i="58"/>
  <c r="C8" i="58"/>
  <c r="C63" i="58"/>
  <c r="C83" i="58"/>
  <c r="C73" i="58"/>
  <c r="AD73" i="58"/>
  <c r="AD72" i="58"/>
  <c r="AE63" i="58"/>
  <c r="AE72" i="58"/>
  <c r="AD25" i="4"/>
  <c r="AD24" i="4"/>
  <c r="AD23" i="4"/>
  <c r="AD20" i="4"/>
  <c r="AD18" i="4"/>
  <c r="AD19" i="4"/>
  <c r="AE15" i="4"/>
  <c r="AD15" i="4"/>
  <c r="AD13" i="4"/>
  <c r="AD12" i="4"/>
  <c r="AD11" i="4"/>
  <c r="AD6" i="4"/>
  <c r="BL110" i="8"/>
  <c r="BL112" i="8"/>
  <c r="BL111" i="8"/>
  <c r="A6" i="8"/>
  <c r="BK9" i="112"/>
  <c r="AQ108" i="8"/>
  <c r="A321" i="112"/>
  <c r="L792" i="111" l="1"/>
  <c r="L791" i="111" s="1"/>
  <c r="M793" i="111"/>
  <c r="M792" i="111" s="1"/>
  <c r="M791" i="111" s="1"/>
  <c r="N793" i="111"/>
  <c r="O793" i="111" s="1"/>
  <c r="O792" i="111" s="1"/>
  <c r="O791" i="111" s="1"/>
  <c r="R793" i="111"/>
  <c r="R792" i="111" s="1"/>
  <c r="R791" i="111" s="1"/>
  <c r="R922" i="111"/>
  <c r="Q922" i="111"/>
  <c r="P922" i="111"/>
  <c r="O922" i="111"/>
  <c r="N922" i="111"/>
  <c r="M922" i="111"/>
  <c r="L922" i="111"/>
  <c r="K922" i="111"/>
  <c r="J922" i="111"/>
  <c r="I922" i="111"/>
  <c r="H922" i="111"/>
  <c r="G922" i="111"/>
  <c r="F922" i="111"/>
  <c r="E922" i="111"/>
  <c r="D922" i="111"/>
  <c r="C922" i="111"/>
  <c r="B922" i="111"/>
  <c r="R917" i="111"/>
  <c r="Q917" i="111"/>
  <c r="P917" i="111"/>
  <c r="O917" i="111"/>
  <c r="N917" i="111"/>
  <c r="M917" i="111"/>
  <c r="L917" i="111"/>
  <c r="K917" i="111"/>
  <c r="J917" i="111"/>
  <c r="I917" i="111"/>
  <c r="H917" i="111"/>
  <c r="G917" i="111"/>
  <c r="F917" i="111"/>
  <c r="E917" i="111"/>
  <c r="D917" i="111"/>
  <c r="C917" i="111"/>
  <c r="B917" i="111"/>
  <c r="R921" i="111"/>
  <c r="Q921" i="111"/>
  <c r="P921" i="111"/>
  <c r="O921" i="111"/>
  <c r="N921" i="111"/>
  <c r="M921" i="111"/>
  <c r="L921" i="111"/>
  <c r="K921" i="111"/>
  <c r="J921" i="111"/>
  <c r="I921" i="111"/>
  <c r="H921" i="111"/>
  <c r="G921" i="111"/>
  <c r="F921" i="111"/>
  <c r="E921" i="111"/>
  <c r="D921" i="111"/>
  <c r="C921" i="111"/>
  <c r="B921" i="111"/>
  <c r="R920" i="111"/>
  <c r="Q920" i="111"/>
  <c r="P920" i="111"/>
  <c r="O920" i="111"/>
  <c r="N920" i="111"/>
  <c r="M920" i="111"/>
  <c r="L920" i="111"/>
  <c r="K920" i="111"/>
  <c r="J920" i="111"/>
  <c r="I920" i="111"/>
  <c r="H920" i="111"/>
  <c r="G920" i="111"/>
  <c r="F920" i="111"/>
  <c r="E920" i="111"/>
  <c r="D920" i="111"/>
  <c r="C920" i="111"/>
  <c r="B920" i="111"/>
  <c r="R919" i="111"/>
  <c r="Q919" i="111"/>
  <c r="P919" i="111"/>
  <c r="O919" i="111"/>
  <c r="N919" i="111"/>
  <c r="M919" i="111"/>
  <c r="L919" i="111"/>
  <c r="K919" i="111"/>
  <c r="J919" i="111"/>
  <c r="I919" i="111"/>
  <c r="H919" i="111"/>
  <c r="G919" i="111"/>
  <c r="F919" i="111"/>
  <c r="E919" i="111"/>
  <c r="D919" i="111"/>
  <c r="C919" i="111"/>
  <c r="B919" i="111"/>
  <c r="AE921" i="111"/>
  <c r="AD921" i="111"/>
  <c r="AC921" i="111"/>
  <c r="AB921" i="111"/>
  <c r="AA921" i="111"/>
  <c r="Z921" i="111"/>
  <c r="Y921" i="111"/>
  <c r="X921" i="111"/>
  <c r="W921" i="111"/>
  <c r="V921" i="111"/>
  <c r="U921" i="111"/>
  <c r="T921" i="111"/>
  <c r="AE920" i="111"/>
  <c r="AD920" i="111"/>
  <c r="AC920" i="111"/>
  <c r="AB920" i="111"/>
  <c r="AA920" i="111"/>
  <c r="Z920" i="111"/>
  <c r="Y920" i="111"/>
  <c r="X920" i="111"/>
  <c r="W920" i="111"/>
  <c r="V920" i="111"/>
  <c r="U920" i="111"/>
  <c r="T920" i="111"/>
  <c r="AE919" i="111"/>
  <c r="AD919" i="111"/>
  <c r="AC919" i="111"/>
  <c r="AB919" i="111"/>
  <c r="AA919" i="111"/>
  <c r="Z919" i="111"/>
  <c r="Y919" i="111"/>
  <c r="X919" i="111"/>
  <c r="W919" i="111"/>
  <c r="V919" i="111"/>
  <c r="U919" i="111"/>
  <c r="T919" i="111"/>
  <c r="S921" i="111"/>
  <c r="S920" i="111"/>
  <c r="S919" i="111"/>
  <c r="R916" i="111"/>
  <c r="Q916" i="111"/>
  <c r="P916" i="111"/>
  <c r="O916" i="111"/>
  <c r="N916" i="111"/>
  <c r="M916" i="111"/>
  <c r="L916" i="111"/>
  <c r="K916" i="111"/>
  <c r="J916" i="111"/>
  <c r="I916" i="111"/>
  <c r="H916" i="111"/>
  <c r="G916" i="111"/>
  <c r="F916" i="111"/>
  <c r="E916" i="111"/>
  <c r="D916" i="111"/>
  <c r="C916" i="111"/>
  <c r="B916" i="111"/>
  <c r="R915" i="111"/>
  <c r="Q915" i="111"/>
  <c r="P915" i="111"/>
  <c r="O915" i="111"/>
  <c r="N915" i="111"/>
  <c r="M915" i="111"/>
  <c r="L915" i="111"/>
  <c r="K915" i="111"/>
  <c r="J915" i="111"/>
  <c r="I915" i="111"/>
  <c r="H915" i="111"/>
  <c r="G915" i="111"/>
  <c r="F915" i="111"/>
  <c r="E915" i="111"/>
  <c r="D915" i="111"/>
  <c r="C915" i="111"/>
  <c r="B915" i="111"/>
  <c r="R914" i="111"/>
  <c r="Q914" i="111"/>
  <c r="P914" i="111"/>
  <c r="O914" i="111"/>
  <c r="N914" i="111"/>
  <c r="M914" i="111"/>
  <c r="L914" i="111"/>
  <c r="K914" i="111"/>
  <c r="J914" i="111"/>
  <c r="I914" i="111"/>
  <c r="H914" i="111"/>
  <c r="G914" i="111"/>
  <c r="F914" i="111"/>
  <c r="E914" i="111"/>
  <c r="D914" i="111"/>
  <c r="C914" i="111"/>
  <c r="B914" i="111"/>
  <c r="AE916" i="111"/>
  <c r="AD916" i="111"/>
  <c r="AC916" i="111"/>
  <c r="AB916" i="111"/>
  <c r="AA916" i="111"/>
  <c r="Z916" i="111"/>
  <c r="Y916" i="111"/>
  <c r="X916" i="111"/>
  <c r="W916" i="111"/>
  <c r="V916" i="111"/>
  <c r="U916" i="111"/>
  <c r="T916" i="111"/>
  <c r="AE915" i="111"/>
  <c r="AD915" i="111"/>
  <c r="AC915" i="111"/>
  <c r="AB915" i="111"/>
  <c r="AA915" i="111"/>
  <c r="Z915" i="111"/>
  <c r="Y915" i="111"/>
  <c r="X915" i="111"/>
  <c r="W915" i="111"/>
  <c r="V915" i="111"/>
  <c r="U915" i="111"/>
  <c r="T915" i="111"/>
  <c r="AE914" i="111"/>
  <c r="AD914" i="111"/>
  <c r="AC914" i="111"/>
  <c r="AB914" i="111"/>
  <c r="AA914" i="111"/>
  <c r="Z914" i="111"/>
  <c r="Y914" i="111"/>
  <c r="X914" i="111"/>
  <c r="W914" i="111"/>
  <c r="V914" i="111"/>
  <c r="U914" i="111"/>
  <c r="T914" i="111"/>
  <c r="S916" i="111"/>
  <c r="S915" i="111"/>
  <c r="S914" i="111"/>
  <c r="S793" i="111" l="1"/>
  <c r="S792" i="111" s="1"/>
  <c r="S791" i="111" s="1"/>
  <c r="N792" i="111"/>
  <c r="N791" i="111" s="1"/>
  <c r="T793" i="111"/>
  <c r="P793" i="111"/>
  <c r="P792" i="111" s="1"/>
  <c r="P791" i="111" s="1"/>
  <c r="BQ216" i="8"/>
  <c r="BP216" i="8"/>
  <c r="BK66" i="59"/>
  <c r="U793" i="111" l="1"/>
  <c r="U792" i="111" s="1"/>
  <c r="U791" i="111" s="1"/>
  <c r="T792" i="111"/>
  <c r="T791" i="111" s="1"/>
  <c r="V793" i="111"/>
  <c r="V792" i="111" s="1"/>
  <c r="V791" i="111" s="1"/>
  <c r="Q793" i="111"/>
  <c r="Q792" i="111" s="1"/>
  <c r="Q791" i="111" s="1"/>
  <c r="W793" i="111" l="1"/>
  <c r="W792" i="111" s="1"/>
  <c r="W791" i="111" s="1"/>
  <c r="BL616" i="94"/>
  <c r="BK121" i="112"/>
  <c r="AE278" i="111"/>
  <c r="AD278" i="111"/>
  <c r="AC278" i="111"/>
  <c r="AB278" i="111"/>
  <c r="AA278" i="111"/>
  <c r="Z278" i="111"/>
  <c r="Y278" i="111"/>
  <c r="X278" i="111"/>
  <c r="W278" i="111"/>
  <c r="V278" i="111"/>
  <c r="U278" i="111"/>
  <c r="T278" i="111"/>
  <c r="BL31" i="58"/>
  <c r="BK33" i="4" s="1"/>
  <c r="BL93" i="58"/>
  <c r="BK55" i="112" s="1"/>
  <c r="BL89" i="58"/>
  <c r="BK52" i="112" s="1"/>
  <c r="BL84" i="58"/>
  <c r="BL476" i="94"/>
  <c r="BK225" i="112" s="1"/>
  <c r="BL468" i="94"/>
  <c r="BK158" i="112" s="1"/>
  <c r="BL404" i="94"/>
  <c r="BL406" i="94" s="1"/>
  <c r="BK404" i="94"/>
  <c r="BL113" i="94"/>
  <c r="BL87" i="94"/>
  <c r="BL463" i="94"/>
  <c r="BL462" i="94"/>
  <c r="BL250" i="94"/>
  <c r="BL248" i="94"/>
  <c r="BL247" i="94"/>
  <c r="BL239" i="94"/>
  <c r="BL238" i="94"/>
  <c r="BL237" i="94"/>
  <c r="BL236" i="94"/>
  <c r="BL235" i="94"/>
  <c r="BL234" i="94"/>
  <c r="BL233" i="94"/>
  <c r="BL232" i="94"/>
  <c r="BL231" i="94"/>
  <c r="BL230" i="94"/>
  <c r="BL229" i="94"/>
  <c r="BL228" i="94"/>
  <c r="BL227" i="94"/>
  <c r="BL140" i="94"/>
  <c r="BL255" i="94"/>
  <c r="BL254" i="94"/>
  <c r="BL253" i="94"/>
  <c r="BL249" i="94"/>
  <c r="BL245" i="94"/>
  <c r="BL244" i="94"/>
  <c r="BL103" i="94"/>
  <c r="BL122" i="94" s="1"/>
  <c r="BL90" i="94"/>
  <c r="BL77" i="94"/>
  <c r="BL39" i="94"/>
  <c r="BL47" i="94" s="1"/>
  <c r="BL14" i="94"/>
  <c r="BL27" i="94"/>
  <c r="BL15" i="94"/>
  <c r="BK3" i="112"/>
  <c r="BK14" i="112"/>
  <c r="BK18" i="112"/>
  <c r="BK38" i="112"/>
  <c r="BK66" i="112"/>
  <c r="BK76" i="112"/>
  <c r="BK81" i="112"/>
  <c r="BK85" i="112"/>
  <c r="BK105" i="112"/>
  <c r="BK112" i="112"/>
  <c r="BK131" i="112"/>
  <c r="BK141" i="112"/>
  <c r="BK146" i="112"/>
  <c r="BK150" i="112"/>
  <c r="BK154" i="112"/>
  <c r="BK155" i="112"/>
  <c r="BK156" i="112"/>
  <c r="BK157" i="112"/>
  <c r="BK196" i="112"/>
  <c r="BK192" i="8" s="1"/>
  <c r="BK215" i="112"/>
  <c r="BK228" i="112"/>
  <c r="BK232" i="112"/>
  <c r="BK282" i="112"/>
  <c r="BK283" i="112"/>
  <c r="BK286" i="112"/>
  <c r="BK287" i="112"/>
  <c r="BK299" i="112"/>
  <c r="BK308" i="112"/>
  <c r="BK70" i="8"/>
  <c r="BK63" i="8"/>
  <c r="BK185" i="112"/>
  <c r="BK55" i="8"/>
  <c r="BK49" i="8"/>
  <c r="BK45" i="8"/>
  <c r="BK39" i="8"/>
  <c r="BK32" i="8"/>
  <c r="BK29" i="8"/>
  <c r="BK23" i="8"/>
  <c r="BK16" i="8"/>
  <c r="BK47" i="112"/>
  <c r="BK8" i="8"/>
  <c r="BK321" i="8" s="1"/>
  <c r="BK129" i="4"/>
  <c r="BK126" i="4"/>
  <c r="BK122" i="4"/>
  <c r="BK121" i="4"/>
  <c r="BK104" i="4"/>
  <c r="BK98" i="4"/>
  <c r="BK97" i="4"/>
  <c r="BK96" i="4"/>
  <c r="BK95" i="4"/>
  <c r="BK93" i="4"/>
  <c r="BK90" i="4"/>
  <c r="BK89" i="4"/>
  <c r="BK88" i="4"/>
  <c r="BK87" i="4"/>
  <c r="BK84" i="4"/>
  <c r="BK83" i="4"/>
  <c r="BK77" i="4"/>
  <c r="BK76" i="4"/>
  <c r="BK75" i="4"/>
  <c r="BK74" i="4"/>
  <c r="BK73" i="4"/>
  <c r="BK71" i="4"/>
  <c r="BK70" i="4"/>
  <c r="BK69" i="4"/>
  <c r="BK68" i="4"/>
  <c r="BK66" i="4"/>
  <c r="BK64" i="4"/>
  <c r="BK189" i="112" s="1"/>
  <c r="BK48" i="4"/>
  <c r="BK47" i="4"/>
  <c r="BK45" i="4"/>
  <c r="BK311" i="112" s="1"/>
  <c r="BK43" i="4"/>
  <c r="BK42" i="4"/>
  <c r="BK41" i="4"/>
  <c r="BK40" i="4"/>
  <c r="BK39" i="4"/>
  <c r="BK38" i="4"/>
  <c r="BK32" i="4"/>
  <c r="BK27" i="4"/>
  <c r="BK123" i="112" s="1"/>
  <c r="BK26" i="4"/>
  <c r="BK207" i="112" s="1"/>
  <c r="BK25" i="4"/>
  <c r="BK58" i="112" s="1"/>
  <c r="BK17" i="4"/>
  <c r="BK14" i="4"/>
  <c r="BK5" i="4"/>
  <c r="BK4" i="4"/>
  <c r="BK156" i="2"/>
  <c r="BK152" i="2"/>
  <c r="BK150" i="2"/>
  <c r="BK57" i="2" s="1"/>
  <c r="BK144" i="2"/>
  <c r="BK143" i="2"/>
  <c r="BK141" i="2"/>
  <c r="BK134" i="2"/>
  <c r="Q56" i="76" s="1"/>
  <c r="BK131" i="2"/>
  <c r="BK127" i="2"/>
  <c r="BK100" i="2"/>
  <c r="BK95" i="2"/>
  <c r="BK60" i="4" s="1"/>
  <c r="BK87" i="2"/>
  <c r="BK80" i="2"/>
  <c r="BK60" i="2"/>
  <c r="BK30" i="2"/>
  <c r="BK4" i="2"/>
  <c r="BK3" i="2" s="1"/>
  <c r="BS43" i="60"/>
  <c r="BS41" i="60"/>
  <c r="BS39" i="60"/>
  <c r="BS32" i="60"/>
  <c r="BS28" i="60"/>
  <c r="BS34" i="60"/>
  <c r="BK130" i="4" s="1"/>
  <c r="BS33" i="60"/>
  <c r="BK127" i="4" s="1"/>
  <c r="BS22" i="60"/>
  <c r="BS21" i="60"/>
  <c r="BK119" i="4" s="1"/>
  <c r="BS17" i="60"/>
  <c r="BK115" i="4" s="1"/>
  <c r="BS16" i="60"/>
  <c r="BS15" i="60"/>
  <c r="BK113" i="4" s="1"/>
  <c r="BS14" i="60"/>
  <c r="BK112" i="4" s="1"/>
  <c r="BS13" i="60"/>
  <c r="BK111" i="4" s="1"/>
  <c r="BS9" i="60"/>
  <c r="BS10" i="60"/>
  <c r="BS8" i="60"/>
  <c r="BK107" i="4" s="1"/>
  <c r="BS5" i="60"/>
  <c r="BK55" i="59"/>
  <c r="BK50" i="59"/>
  <c r="BK43" i="59"/>
  <c r="BK37" i="59"/>
  <c r="BK13" i="59"/>
  <c r="BK18" i="59" s="1"/>
  <c r="BK10" i="59"/>
  <c r="BL78" i="58"/>
  <c r="BL115" i="58"/>
  <c r="BL104" i="58"/>
  <c r="BL83" i="58"/>
  <c r="BL82" i="58"/>
  <c r="BK45" i="112" s="1"/>
  <c r="BK147" i="8" s="1"/>
  <c r="BL67" i="58"/>
  <c r="BL35" i="58"/>
  <c r="BL13" i="58"/>
  <c r="BL6" i="58"/>
  <c r="BL8" i="58"/>
  <c r="AW277" i="112"/>
  <c r="AV277" i="112"/>
  <c r="AU277" i="112"/>
  <c r="AT277" i="112"/>
  <c r="AS277" i="112"/>
  <c r="AR277" i="112"/>
  <c r="AQ277" i="112"/>
  <c r="AP277" i="112"/>
  <c r="AO277" i="112"/>
  <c r="AN277" i="112"/>
  <c r="AM277" i="112"/>
  <c r="AL277" i="112"/>
  <c r="AK277" i="112"/>
  <c r="AJ277" i="112"/>
  <c r="AI277" i="112"/>
  <c r="AH277" i="112"/>
  <c r="AG277" i="112"/>
  <c r="AF277" i="112"/>
  <c r="AE277" i="112"/>
  <c r="AD277" i="112"/>
  <c r="AC277" i="112"/>
  <c r="AB277" i="112"/>
  <c r="AA277" i="112"/>
  <c r="Z277" i="112"/>
  <c r="Y277" i="112"/>
  <c r="X277" i="112"/>
  <c r="W277" i="112"/>
  <c r="V277" i="112"/>
  <c r="U277" i="112"/>
  <c r="CW270" i="112"/>
  <c r="CV270" i="112"/>
  <c r="CU270" i="112"/>
  <c r="CT270" i="112"/>
  <c r="CS270" i="112"/>
  <c r="CR270" i="112"/>
  <c r="CQ270" i="112"/>
  <c r="CP270" i="112"/>
  <c r="CO270" i="112"/>
  <c r="CN270" i="112"/>
  <c r="CM270" i="112"/>
  <c r="CL270" i="112"/>
  <c r="CK270" i="112"/>
  <c r="CJ270" i="112"/>
  <c r="CI270" i="112"/>
  <c r="CH270" i="112"/>
  <c r="CG270" i="112"/>
  <c r="CF270" i="112"/>
  <c r="CE270" i="112"/>
  <c r="CD270" i="112"/>
  <c r="CC270" i="112"/>
  <c r="CB270" i="112"/>
  <c r="CA270" i="112"/>
  <c r="BZ270" i="112"/>
  <c r="BY270" i="112"/>
  <c r="BX270" i="112"/>
  <c r="BW270" i="112"/>
  <c r="BV270" i="112"/>
  <c r="BU270" i="112"/>
  <c r="BT270" i="112"/>
  <c r="BS270" i="112"/>
  <c r="BR270" i="112"/>
  <c r="BQ270" i="112"/>
  <c r="BP270" i="112"/>
  <c r="BO270" i="112"/>
  <c r="BN270" i="112"/>
  <c r="BM270" i="112"/>
  <c r="BL270" i="112"/>
  <c r="BI215" i="112"/>
  <c r="BH215" i="112"/>
  <c r="BG215" i="112"/>
  <c r="BF215" i="112"/>
  <c r="BE215" i="112"/>
  <c r="BD215" i="112"/>
  <c r="BC215" i="112"/>
  <c r="BB215" i="112"/>
  <c r="BA215" i="112"/>
  <c r="AZ215" i="112"/>
  <c r="AY215" i="112"/>
  <c r="AX215" i="112"/>
  <c r="BJ215" i="112"/>
  <c r="AW215" i="112"/>
  <c r="AV215" i="112"/>
  <c r="AU215" i="112"/>
  <c r="AT215" i="112"/>
  <c r="AS215" i="112"/>
  <c r="AR215" i="112"/>
  <c r="AQ215" i="112"/>
  <c r="AP215" i="112"/>
  <c r="AO215" i="112"/>
  <c r="AN215" i="112"/>
  <c r="AM215" i="112"/>
  <c r="AL215" i="112"/>
  <c r="AK215" i="112"/>
  <c r="AJ215" i="112"/>
  <c r="AI215" i="112"/>
  <c r="AH215" i="112"/>
  <c r="AG215" i="112"/>
  <c r="AF215" i="112"/>
  <c r="AE215" i="112"/>
  <c r="AD215" i="112"/>
  <c r="AC215" i="112"/>
  <c r="AB215" i="112"/>
  <c r="AA215" i="112"/>
  <c r="Z215" i="112"/>
  <c r="Y215" i="112"/>
  <c r="X215" i="112"/>
  <c r="W215" i="112"/>
  <c r="V215" i="112"/>
  <c r="U215" i="112"/>
  <c r="BI131" i="112"/>
  <c r="BH131" i="112"/>
  <c r="BG131" i="112"/>
  <c r="BF131" i="112"/>
  <c r="BE131" i="112"/>
  <c r="BD131" i="112"/>
  <c r="BC131" i="112"/>
  <c r="BB131" i="112"/>
  <c r="BA131" i="112"/>
  <c r="AZ131" i="112"/>
  <c r="AY131" i="112"/>
  <c r="AX131" i="112"/>
  <c r="BJ131" i="112"/>
  <c r="AW131" i="112"/>
  <c r="AV131" i="112"/>
  <c r="AU131" i="112"/>
  <c r="AT131" i="112"/>
  <c r="AS131" i="112"/>
  <c r="AR131" i="112"/>
  <c r="AQ131" i="112"/>
  <c r="AP131" i="112"/>
  <c r="AO131" i="112"/>
  <c r="AN131" i="112"/>
  <c r="AM131" i="112"/>
  <c r="AL131" i="112"/>
  <c r="AK131" i="112"/>
  <c r="AJ131" i="112"/>
  <c r="AI131" i="112"/>
  <c r="AH131" i="112"/>
  <c r="AG131" i="112"/>
  <c r="AF131" i="112"/>
  <c r="AE131" i="112"/>
  <c r="AD131" i="112"/>
  <c r="AC131" i="112"/>
  <c r="AB131" i="112"/>
  <c r="AA131" i="112"/>
  <c r="Z131" i="112"/>
  <c r="Y131" i="112"/>
  <c r="X131" i="112"/>
  <c r="W131" i="112"/>
  <c r="V131" i="112"/>
  <c r="U131" i="112"/>
  <c r="BI66" i="112"/>
  <c r="BI277" i="112" s="1"/>
  <c r="BI134" i="112" s="1"/>
  <c r="BH66" i="112"/>
  <c r="BH277" i="112" s="1"/>
  <c r="BG66" i="112"/>
  <c r="BF66" i="112"/>
  <c r="BF277" i="112" s="1"/>
  <c r="BE66" i="112"/>
  <c r="BE277" i="112" s="1"/>
  <c r="BE134" i="112" s="1"/>
  <c r="BD66" i="112"/>
  <c r="BC66" i="112"/>
  <c r="BB66" i="112"/>
  <c r="BB277" i="112" s="1"/>
  <c r="BA66" i="112"/>
  <c r="AZ66" i="112"/>
  <c r="AZ277" i="112" s="1"/>
  <c r="AY66" i="112"/>
  <c r="AX66" i="112"/>
  <c r="BJ66" i="112"/>
  <c r="BJ277" i="112" s="1"/>
  <c r="AX277" i="112" l="1"/>
  <c r="Y792" i="111"/>
  <c r="Y791" i="111" s="1"/>
  <c r="X792" i="111"/>
  <c r="X791" i="111" s="1"/>
  <c r="BS25" i="60"/>
  <c r="BK114" i="4"/>
  <c r="BK60" i="112"/>
  <c r="BL216" i="94"/>
  <c r="BK159" i="2"/>
  <c r="BK160" i="2" s="1"/>
  <c r="BK163" i="2"/>
  <c r="BK125" i="2"/>
  <c r="BK164" i="2"/>
  <c r="BK126" i="2"/>
  <c r="BK132" i="112"/>
  <c r="BK138" i="4"/>
  <c r="BS36" i="60"/>
  <c r="BL43" i="94"/>
  <c r="BL49" i="94"/>
  <c r="BK18" i="8"/>
  <c r="BL48" i="94"/>
  <c r="BL213" i="94"/>
  <c r="BK131" i="4"/>
  <c r="BK142" i="2"/>
  <c r="BL12" i="58"/>
  <c r="BK99" i="4"/>
  <c r="BK17" i="8"/>
  <c r="BL214" i="94"/>
  <c r="BD277" i="112"/>
  <c r="BH280" i="112" s="1"/>
  <c r="BK27" i="8"/>
  <c r="BK43" i="8"/>
  <c r="BK58" i="8"/>
  <c r="BK374" i="8"/>
  <c r="BK50" i="8"/>
  <c r="BK65" i="8"/>
  <c r="BK34" i="8"/>
  <c r="BK11" i="8"/>
  <c r="BK269" i="112"/>
  <c r="BK209" i="112"/>
  <c r="BK125" i="112"/>
  <c r="BK128" i="112"/>
  <c r="BK129" i="112" s="1"/>
  <c r="BK216" i="112"/>
  <c r="BK37" i="4"/>
  <c r="BK91" i="4"/>
  <c r="BK12" i="8"/>
  <c r="BK28" i="8"/>
  <c r="BK59" i="8"/>
  <c r="BL44" i="94"/>
  <c r="BL50" i="94"/>
  <c r="BS6" i="60"/>
  <c r="BS12" i="60" s="1"/>
  <c r="BS18" i="60" s="1"/>
  <c r="BK13" i="8"/>
  <c r="BK21" i="8"/>
  <c r="BK37" i="8"/>
  <c r="BK53" i="8"/>
  <c r="BK60" i="8"/>
  <c r="BK68" i="8"/>
  <c r="BK245" i="112"/>
  <c r="BK267" i="112" s="1"/>
  <c r="BK212" i="112"/>
  <c r="BK213" i="112" s="1"/>
  <c r="BK186" i="112"/>
  <c r="BL45" i="94"/>
  <c r="BL118" i="94"/>
  <c r="BK78" i="4"/>
  <c r="BK38" i="8"/>
  <c r="BK69" i="8"/>
  <c r="BK135" i="112"/>
  <c r="BL46" i="94"/>
  <c r="BL121" i="94"/>
  <c r="BL125" i="94"/>
  <c r="BK72" i="4"/>
  <c r="BK108" i="4"/>
  <c r="BK128" i="4"/>
  <c r="BK48" i="8"/>
  <c r="BK184" i="112"/>
  <c r="BK63" i="112"/>
  <c r="BK64" i="112" s="1"/>
  <c r="BL256" i="94"/>
  <c r="BL222" i="94" s="1"/>
  <c r="BL469" i="94"/>
  <c r="BK120" i="4"/>
  <c r="BK123" i="4" s="1"/>
  <c r="BL240" i="94"/>
  <c r="BL124" i="94"/>
  <c r="BL252" i="94"/>
  <c r="BL218" i="94" s="1"/>
  <c r="BL414" i="94"/>
  <c r="BL413" i="94"/>
  <c r="BL411" i="94"/>
  <c r="BL410" i="94"/>
  <c r="BL412" i="94"/>
  <c r="BL219" i="94"/>
  <c r="BL210" i="94"/>
  <c r="BL220" i="94"/>
  <c r="BL211" i="94"/>
  <c r="BL221" i="94"/>
  <c r="BL246" i="94"/>
  <c r="BL119" i="94"/>
  <c r="BL215" i="94"/>
  <c r="BL117" i="94"/>
  <c r="BL123" i="94"/>
  <c r="BL251" i="94"/>
  <c r="BK163" i="112"/>
  <c r="BL120" i="94"/>
  <c r="BL126" i="94"/>
  <c r="BK164" i="112"/>
  <c r="BK161" i="112"/>
  <c r="BK165" i="112"/>
  <c r="BK162" i="112"/>
  <c r="BK260" i="112"/>
  <c r="BK67" i="112"/>
  <c r="BK41" i="112"/>
  <c r="BK277" i="112"/>
  <c r="BK218" i="112" s="1"/>
  <c r="BK219" i="112"/>
  <c r="BK70" i="112"/>
  <c r="BK141" i="8"/>
  <c r="BK231" i="8"/>
  <c r="BK78" i="8"/>
  <c r="BK208" i="8"/>
  <c r="BK253" i="8" s="1"/>
  <c r="BK269" i="8" s="1"/>
  <c r="BK45" i="59"/>
  <c r="BK19" i="59"/>
  <c r="BJ135" i="112"/>
  <c r="BJ280" i="112"/>
  <c r="BJ219" i="112"/>
  <c r="BA135" i="112"/>
  <c r="BB219" i="112"/>
  <c r="BU271" i="112"/>
  <c r="AZ135" i="112"/>
  <c r="AZ280" i="112"/>
  <c r="BF280" i="112"/>
  <c r="BF135" i="112"/>
  <c r="BD219" i="112"/>
  <c r="BF219" i="112"/>
  <c r="BR271" i="112"/>
  <c r="BX271" i="112"/>
  <c r="CD271" i="112"/>
  <c r="CJ271" i="112"/>
  <c r="CP271" i="112"/>
  <c r="CV271" i="112"/>
  <c r="BA219" i="112"/>
  <c r="BB280" i="112"/>
  <c r="BH219" i="112"/>
  <c r="BH135" i="112"/>
  <c r="BC70" i="112"/>
  <c r="BC135" i="112"/>
  <c r="BI135" i="112"/>
  <c r="BC219" i="112"/>
  <c r="BI219" i="112"/>
  <c r="AX135" i="112"/>
  <c r="BG70" i="112"/>
  <c r="BG135" i="112"/>
  <c r="BG219" i="112"/>
  <c r="BH70" i="112"/>
  <c r="AX280" i="112"/>
  <c r="BD135" i="112"/>
  <c r="BB135" i="112"/>
  <c r="AY135" i="112"/>
  <c r="BE135" i="112"/>
  <c r="AX219" i="112"/>
  <c r="AY219" i="112"/>
  <c r="BE219" i="112"/>
  <c r="BB70" i="112"/>
  <c r="CM271" i="112"/>
  <c r="AZ219" i="112"/>
  <c r="BI280" i="112"/>
  <c r="AY277" i="112"/>
  <c r="AY280" i="112" s="1"/>
  <c r="BF70" i="112"/>
  <c r="BC277" i="112"/>
  <c r="BJ70" i="112"/>
  <c r="BI70" i="112"/>
  <c r="BD70" i="112"/>
  <c r="BE69" i="112"/>
  <c r="BE70" i="112"/>
  <c r="BI69" i="112"/>
  <c r="BI218" i="112"/>
  <c r="AX134" i="112"/>
  <c r="AX218" i="112"/>
  <c r="AZ134" i="112"/>
  <c r="BF134" i="112"/>
  <c r="AZ218" i="112"/>
  <c r="BF218" i="112"/>
  <c r="BH69" i="112"/>
  <c r="BH134" i="112"/>
  <c r="BH218" i="112"/>
  <c r="BB69" i="112"/>
  <c r="BB134" i="112"/>
  <c r="BB218" i="112"/>
  <c r="BJ134" i="112"/>
  <c r="BJ69" i="112"/>
  <c r="BJ218" i="112"/>
  <c r="BP271" i="112"/>
  <c r="BV271" i="112"/>
  <c r="CB271" i="112"/>
  <c r="CH271" i="112"/>
  <c r="CN271" i="112"/>
  <c r="CT271" i="112"/>
  <c r="BA277" i="112"/>
  <c r="BG277" i="112"/>
  <c r="BE218" i="112"/>
  <c r="AX69" i="112"/>
  <c r="CA271" i="112"/>
  <c r="CG271" i="112"/>
  <c r="CS271" i="112"/>
  <c r="AZ69" i="112"/>
  <c r="BF69" i="112"/>
  <c r="BS271" i="112"/>
  <c r="BY271" i="112"/>
  <c r="CE271" i="112"/>
  <c r="CK271" i="112"/>
  <c r="CQ271" i="112"/>
  <c r="CW271" i="112"/>
  <c r="BT271" i="112"/>
  <c r="BZ271" i="112"/>
  <c r="CF271" i="112"/>
  <c r="CL271" i="112"/>
  <c r="CR271" i="112"/>
  <c r="BQ271" i="112"/>
  <c r="BW271" i="112"/>
  <c r="CC271" i="112"/>
  <c r="CI271" i="112"/>
  <c r="CO271" i="112"/>
  <c r="CU271" i="112"/>
  <c r="BK238" i="112" l="1"/>
  <c r="BK309" i="112"/>
  <c r="BK284" i="112"/>
  <c r="BK285" i="112" s="1"/>
  <c r="BK270" i="112"/>
  <c r="BO271" i="112" s="1"/>
  <c r="BL19" i="58"/>
  <c r="BL22" i="58" s="1"/>
  <c r="BK79" i="4"/>
  <c r="BD69" i="112"/>
  <c r="BD218" i="112"/>
  <c r="BD280" i="112"/>
  <c r="BD134" i="112"/>
  <c r="BK132" i="4"/>
  <c r="BK69" i="112"/>
  <c r="BK300" i="112"/>
  <c r="BK288" i="112"/>
  <c r="BK247" i="112"/>
  <c r="BK296" i="112"/>
  <c r="BL51" i="94"/>
  <c r="BK183" i="112"/>
  <c r="BL257" i="94"/>
  <c r="BL270" i="94" s="1"/>
  <c r="BL212" i="94"/>
  <c r="BL217" i="94"/>
  <c r="BL127" i="94"/>
  <c r="BK274" i="112"/>
  <c r="BK275" i="112" s="1"/>
  <c r="BK134" i="112"/>
  <c r="BK280" i="112"/>
  <c r="BK278" i="112"/>
  <c r="BS38" i="60"/>
  <c r="AY134" i="112"/>
  <c r="AY218" i="112"/>
  <c r="BC280" i="112"/>
  <c r="AY69" i="112"/>
  <c r="BC218" i="112"/>
  <c r="BG280" i="112"/>
  <c r="BA69" i="112"/>
  <c r="BA280" i="112"/>
  <c r="BE280" i="112"/>
  <c r="BC69" i="112"/>
  <c r="BC134" i="112"/>
  <c r="BA134" i="112"/>
  <c r="BG218" i="112"/>
  <c r="BG134" i="112"/>
  <c r="BA218" i="112"/>
  <c r="BG69" i="112"/>
  <c r="BL38" i="58" l="1"/>
  <c r="BL40" i="58" s="1"/>
  <c r="BL267" i="94"/>
  <c r="BL269" i="94"/>
  <c r="BL268" i="94"/>
  <c r="BL262" i="94"/>
  <c r="BL272" i="94"/>
  <c r="BK302" i="112"/>
  <c r="BK303" i="112" s="1"/>
  <c r="BK297" i="112"/>
  <c r="BL273" i="94"/>
  <c r="BL271" i="94"/>
  <c r="BL266" i="94"/>
  <c r="BL223" i="94"/>
  <c r="BL263" i="94"/>
  <c r="BL261" i="94"/>
  <c r="BL264" i="94"/>
  <c r="BL265" i="94"/>
  <c r="BL274" i="94" l="1"/>
  <c r="BK431" i="94" l="1"/>
  <c r="BK428" i="94"/>
  <c r="BK427" i="94"/>
  <c r="BK463" i="94"/>
  <c r="BK462" i="94"/>
  <c r="BK418" i="94" l="1"/>
  <c r="BL427" i="94"/>
  <c r="BL418" i="94" s="1"/>
  <c r="BK419" i="94"/>
  <c r="BL428" i="94"/>
  <c r="BK422" i="94"/>
  <c r="BL431" i="94"/>
  <c r="BL422" i="94" s="1"/>
  <c r="BL419" i="94" l="1"/>
  <c r="A1" i="76"/>
  <c r="Q6" i="76"/>
  <c r="R6" i="76"/>
  <c r="S6" i="76"/>
  <c r="S11" i="76"/>
  <c r="S45" i="76" s="1"/>
  <c r="T11" i="76"/>
  <c r="Z34" i="76"/>
  <c r="AA34" i="76" s="1"/>
  <c r="AB34" i="76" s="1"/>
  <c r="AC34" i="76" s="1"/>
  <c r="AD34" i="76" s="1"/>
  <c r="AE34" i="76" s="1"/>
  <c r="AF34" i="76" s="1"/>
  <c r="AG34" i="76" s="1"/>
  <c r="AH34" i="76" s="1"/>
  <c r="A37" i="76"/>
  <c r="S44" i="76"/>
  <c r="R44" i="76" s="1"/>
  <c r="Q44" i="76" s="1"/>
  <c r="P44" i="76" s="1"/>
  <c r="O44" i="76" s="1"/>
  <c r="U44" i="76"/>
  <c r="V44" i="76" s="1"/>
  <c r="W44" i="76" s="1"/>
  <c r="J45" i="76"/>
  <c r="K45" i="76"/>
  <c r="L45" i="76"/>
  <c r="M45" i="76"/>
  <c r="N45" i="76"/>
  <c r="O45" i="76"/>
  <c r="P45" i="76"/>
  <c r="Q45" i="76"/>
  <c r="R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X49" i="76"/>
  <c r="Y49" i="76"/>
  <c r="Z49" i="76"/>
  <c r="AA49" i="76"/>
  <c r="AB49" i="76"/>
  <c r="AC49" i="76"/>
  <c r="AD49" i="76"/>
  <c r="AE49" i="76"/>
  <c r="AF49" i="76"/>
  <c r="AG49" i="76"/>
  <c r="AH49" i="76"/>
  <c r="AI49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X52" i="76"/>
  <c r="Y52" i="76"/>
  <c r="Z52" i="76"/>
  <c r="AA52" i="76"/>
  <c r="AB52" i="76"/>
  <c r="AC52" i="76"/>
  <c r="AD52" i="76"/>
  <c r="AE52" i="76"/>
  <c r="AF52" i="76"/>
  <c r="AG52" i="76"/>
  <c r="AH52" i="76"/>
  <c r="AI52" i="76"/>
  <c r="R67" i="76"/>
  <c r="S67" i="76"/>
  <c r="T67" i="76"/>
  <c r="U67" i="76"/>
  <c r="V67" i="76"/>
  <c r="W67" i="76"/>
  <c r="X67" i="76"/>
  <c r="Y67" i="76"/>
  <c r="Z67" i="76"/>
  <c r="AA67" i="76"/>
  <c r="AB67" i="76"/>
  <c r="AC67" i="76"/>
  <c r="AD67" i="76"/>
  <c r="AE67" i="76"/>
  <c r="AF67" i="76"/>
  <c r="AG67" i="76"/>
  <c r="AH67" i="76"/>
  <c r="AI67" i="76"/>
  <c r="R68" i="76"/>
  <c r="S68" i="76"/>
  <c r="T68" i="76"/>
  <c r="U68" i="76"/>
  <c r="V68" i="76"/>
  <c r="W68" i="76"/>
  <c r="X68" i="76"/>
  <c r="Y68" i="76"/>
  <c r="Z68" i="76"/>
  <c r="AA68" i="76"/>
  <c r="AB68" i="76"/>
  <c r="AC68" i="76"/>
  <c r="AD68" i="76"/>
  <c r="AE68" i="76"/>
  <c r="AF68" i="76"/>
  <c r="AG68" i="76"/>
  <c r="AH68" i="76"/>
  <c r="AI68" i="76"/>
  <c r="P69" i="76"/>
  <c r="AC69" i="76" s="1"/>
  <c r="X54" i="76"/>
  <c r="Z54" i="76"/>
  <c r="A72" i="11"/>
  <c r="A69" i="11"/>
  <c r="Y54" i="76" l="1"/>
  <c r="W6" i="76"/>
  <c r="AA6" i="76" s="1"/>
  <c r="AE6" i="76"/>
  <c r="AI6" i="76"/>
  <c r="V6" i="76"/>
  <c r="Z6" i="76" s="1"/>
  <c r="AH6" i="76"/>
  <c r="AD6" i="76"/>
  <c r="U6" i="76"/>
  <c r="Y6" i="76" s="1"/>
  <c r="AG6" i="76"/>
  <c r="AC6" i="76"/>
  <c r="T45" i="76"/>
  <c r="AI69" i="76"/>
  <c r="AE69" i="76"/>
  <c r="W69" i="76"/>
  <c r="Y69" i="76"/>
  <c r="AA74" i="76"/>
  <c r="AB74" i="76" s="1"/>
  <c r="AC74" i="76" s="1"/>
  <c r="AD74" i="76" s="1"/>
  <c r="AE74" i="76" s="1"/>
  <c r="AF74" i="76" s="1"/>
  <c r="AG74" i="76" s="1"/>
  <c r="AH74" i="76" s="1"/>
  <c r="AI74" i="76" s="1"/>
  <c r="S69" i="76"/>
  <c r="T69" i="76"/>
  <c r="Z69" i="76"/>
  <c r="AF69" i="76"/>
  <c r="U69" i="76"/>
  <c r="AA69" i="76"/>
  <c r="AG69" i="76"/>
  <c r="V69" i="76"/>
  <c r="AB69" i="76"/>
  <c r="AH69" i="76"/>
  <c r="R69" i="76"/>
  <c r="X69" i="76"/>
  <c r="AD69" i="76"/>
  <c r="X44" i="76"/>
  <c r="AA72" i="76"/>
  <c r="AA54" i="76" s="1"/>
  <c r="AP139" i="2"/>
  <c r="Y44" i="76" l="1"/>
  <c r="AB72" i="76"/>
  <c r="AB54" i="76" s="1"/>
  <c r="AC72" i="76" l="1"/>
  <c r="AC54" i="76" s="1"/>
  <c r="Z44" i="76"/>
  <c r="BO329" i="8"/>
  <c r="BP329" i="8" s="1"/>
  <c r="BQ329" i="8" s="1"/>
  <c r="BR329" i="8" s="1"/>
  <c r="BS329" i="8" s="1"/>
  <c r="BT329" i="8" s="1"/>
  <c r="BU329" i="8" s="1"/>
  <c r="BV329" i="8" s="1"/>
  <c r="BW329" i="8" s="1"/>
  <c r="BX329" i="8" s="1"/>
  <c r="BY329" i="8" s="1"/>
  <c r="CW121" i="4"/>
  <c r="CV121" i="4"/>
  <c r="CU121" i="4"/>
  <c r="CT121" i="4"/>
  <c r="CS121" i="4"/>
  <c r="CR121" i="4"/>
  <c r="CQ121" i="4"/>
  <c r="CP121" i="4"/>
  <c r="CO121" i="4"/>
  <c r="CN121" i="4"/>
  <c r="CM121" i="4"/>
  <c r="CL121" i="4"/>
  <c r="CK121" i="4"/>
  <c r="CJ121" i="4"/>
  <c r="CI121" i="4"/>
  <c r="CH121" i="4"/>
  <c r="CG121" i="4"/>
  <c r="CF121" i="4"/>
  <c r="CE121" i="4"/>
  <c r="CD121" i="4"/>
  <c r="CC121" i="4"/>
  <c r="CB121" i="4"/>
  <c r="CA121" i="4"/>
  <c r="BZ121" i="4"/>
  <c r="BY121" i="4"/>
  <c r="BX121" i="4"/>
  <c r="BW121" i="4"/>
  <c r="BV121" i="4"/>
  <c r="BU121" i="4"/>
  <c r="BT121" i="4"/>
  <c r="BS121" i="4"/>
  <c r="BR121" i="4"/>
  <c r="BQ121" i="4"/>
  <c r="BP121" i="4"/>
  <c r="BO121" i="4"/>
  <c r="BN121" i="4"/>
  <c r="BM121" i="4"/>
  <c r="BL121" i="4"/>
  <c r="CW104" i="4"/>
  <c r="CV104" i="4"/>
  <c r="CU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CF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CW66" i="4"/>
  <c r="CV66" i="4"/>
  <c r="CU66" i="4"/>
  <c r="CT66" i="4"/>
  <c r="CS66" i="4"/>
  <c r="CR66" i="4"/>
  <c r="CQ66" i="4"/>
  <c r="CP66" i="4"/>
  <c r="CO66" i="4"/>
  <c r="CN66" i="4"/>
  <c r="CM66" i="4"/>
  <c r="CL66" i="4"/>
  <c r="CK66" i="4"/>
  <c r="CJ66" i="4"/>
  <c r="CI66" i="4"/>
  <c r="CH66" i="4"/>
  <c r="CG66" i="4"/>
  <c r="CF66" i="4"/>
  <c r="CE66" i="4"/>
  <c r="CD66" i="4"/>
  <c r="CC66" i="4"/>
  <c r="CB66" i="4"/>
  <c r="CA66" i="4"/>
  <c r="BZ66" i="4"/>
  <c r="BY66" i="4"/>
  <c r="BX66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AA44" i="76" l="1"/>
  <c r="AD72" i="76"/>
  <c r="AD54" i="76" s="1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E72" i="76" l="1"/>
  <c r="AE54" i="76" s="1"/>
  <c r="AB44" i="76"/>
  <c r="AF72" i="76" l="1"/>
  <c r="AF54" i="76" s="1"/>
  <c r="AC44" i="76"/>
  <c r="AD44" i="76" l="1"/>
  <c r="AG72" i="76"/>
  <c r="AG54" i="76" s="1"/>
  <c r="AH72" i="76" l="1"/>
  <c r="AH54" i="76" s="1"/>
  <c r="AE44" i="76"/>
  <c r="AF44" i="76" l="1"/>
  <c r="AI72" i="76"/>
  <c r="AI54" i="76" s="1"/>
  <c r="AG44" i="76" l="1"/>
  <c r="AH44" i="76" l="1"/>
  <c r="AF68" i="46" l="1"/>
  <c r="AE68" i="46"/>
  <c r="AD68" i="46"/>
  <c r="AF67" i="46"/>
  <c r="AE67" i="46"/>
  <c r="AD67" i="46"/>
  <c r="AF66" i="46"/>
  <c r="AE66" i="46"/>
  <c r="AD66" i="46"/>
  <c r="AF65" i="46"/>
  <c r="AE65" i="46"/>
  <c r="AD65" i="46"/>
  <c r="AF64" i="46"/>
  <c r="AE64" i="46"/>
  <c r="AD64" i="46"/>
  <c r="AF63" i="46"/>
  <c r="AE63" i="46"/>
  <c r="AD63" i="46"/>
  <c r="AF61" i="46"/>
  <c r="AE61" i="46"/>
  <c r="AD61" i="46"/>
  <c r="AF60" i="46"/>
  <c r="AE60" i="46"/>
  <c r="AD60" i="46"/>
  <c r="AF59" i="46"/>
  <c r="AE59" i="46"/>
  <c r="AD59" i="46"/>
  <c r="AF58" i="46"/>
  <c r="AE58" i="46"/>
  <c r="AD58" i="46"/>
  <c r="AF57" i="46"/>
  <c r="AE57" i="46"/>
  <c r="AD57" i="46"/>
  <c r="AF55" i="46"/>
  <c r="AE55" i="46"/>
  <c r="AD55" i="46"/>
  <c r="AF54" i="46"/>
  <c r="AE54" i="46"/>
  <c r="AD54" i="46"/>
  <c r="AF69" i="46"/>
  <c r="AE69" i="46"/>
  <c r="AD69" i="46"/>
  <c r="AF71" i="46" l="1"/>
  <c r="AD71" i="46"/>
  <c r="AE71" i="46"/>
  <c r="BQ227" i="8" l="1"/>
  <c r="BP227" i="8"/>
  <c r="BO227" i="8"/>
  <c r="BN227" i="8"/>
  <c r="BM227" i="8"/>
  <c r="BJ150" i="2"/>
  <c r="A1" i="71"/>
  <c r="B4" i="71"/>
  <c r="C4" i="71"/>
  <c r="D4" i="71"/>
  <c r="E4" i="71"/>
  <c r="F4" i="71"/>
  <c r="G4" i="71"/>
  <c r="H4" i="71"/>
  <c r="I4" i="71"/>
  <c r="J4" i="71"/>
  <c r="K4" i="71"/>
  <c r="L4" i="71"/>
  <c r="M4" i="71"/>
  <c r="N4" i="71"/>
  <c r="Q4" i="71"/>
  <c r="R4" i="71"/>
  <c r="S4" i="71"/>
  <c r="T4" i="71"/>
  <c r="U4" i="71"/>
  <c r="V4" i="71"/>
  <c r="W4" i="71"/>
  <c r="X4" i="71"/>
  <c r="Y4" i="71"/>
  <c r="Z4" i="71"/>
  <c r="AA4" i="71"/>
  <c r="AB4" i="71"/>
  <c r="AC4" i="71"/>
  <c r="AH4" i="71"/>
  <c r="AI4" i="71"/>
  <c r="AJ4" i="71"/>
  <c r="AK4" i="71"/>
  <c r="AL4" i="71"/>
  <c r="AM4" i="71"/>
  <c r="AN4" i="71"/>
  <c r="AO4" i="71"/>
  <c r="AP4" i="71"/>
  <c r="AQ4" i="71"/>
  <c r="AR4" i="71"/>
  <c r="AS4" i="71"/>
  <c r="AT4" i="71"/>
  <c r="A5" i="71"/>
  <c r="AH5" i="71"/>
  <c r="AI5" i="71"/>
  <c r="AJ5" i="71"/>
  <c r="H36" i="47" l="1"/>
  <c r="AQ64" i="71"/>
  <c r="AP64" i="71"/>
  <c r="AO64" i="71"/>
  <c r="AN64" i="71"/>
  <c r="AM64" i="71"/>
  <c r="Z43" i="71"/>
  <c r="AA43" i="71"/>
  <c r="V44" i="71"/>
  <c r="V46" i="71"/>
  <c r="AA51" i="71"/>
  <c r="AA50" i="71" s="1"/>
  <c r="Z50" i="71"/>
  <c r="Z53" i="71"/>
  <c r="AF53" i="71"/>
  <c r="AH53" i="71"/>
  <c r="AI53" i="71"/>
  <c r="AJ53" i="71"/>
  <c r="AK53" i="71"/>
  <c r="AL53" i="71"/>
  <c r="AM53" i="71"/>
  <c r="AN53" i="71"/>
  <c r="AO53" i="71"/>
  <c r="AP53" i="71"/>
  <c r="AQ53" i="71"/>
  <c r="AO55" i="71"/>
  <c r="AG57" i="71"/>
  <c r="AG58" i="71"/>
  <c r="AH58" i="71"/>
  <c r="AI58" i="71"/>
  <c r="AJ58" i="71"/>
  <c r="AK58" i="71"/>
  <c r="AL58" i="71"/>
  <c r="AM58" i="71"/>
  <c r="AN58" i="71"/>
  <c r="AO58" i="71"/>
  <c r="AP58" i="71"/>
  <c r="AQ58" i="71"/>
  <c r="B7" i="76" l="1"/>
  <c r="BK81" i="2"/>
  <c r="AT35" i="71"/>
  <c r="AS35" i="71"/>
  <c r="AM35" i="71"/>
  <c r="AR35" i="71"/>
  <c r="AL35" i="71"/>
  <c r="AQ35" i="71"/>
  <c r="AK35" i="71"/>
  <c r="AO35" i="71"/>
  <c r="AP35" i="71"/>
  <c r="AN35" i="71"/>
  <c r="AG59" i="71"/>
  <c r="AG60" i="71"/>
  <c r="AG61" i="71"/>
  <c r="AH61" i="71"/>
  <c r="AI61" i="71"/>
  <c r="AJ61" i="71"/>
  <c r="AK61" i="71"/>
  <c r="AL61" i="71"/>
  <c r="AG63" i="71"/>
  <c r="AG64" i="71"/>
  <c r="AH64" i="71"/>
  <c r="AI64" i="71"/>
  <c r="AJ64" i="71"/>
  <c r="AK64" i="71"/>
  <c r="AL64" i="71"/>
  <c r="AG65" i="71"/>
  <c r="E73" i="71"/>
  <c r="BJ121" i="4"/>
  <c r="BS229" i="8"/>
  <c r="BT229" i="8" s="1"/>
  <c r="BO272" i="8"/>
  <c r="BP272" i="8" s="1"/>
  <c r="BQ272" i="8" s="1"/>
  <c r="AG62" i="71" l="1"/>
  <c r="BI90" i="4"/>
  <c r="X139" i="11" s="1"/>
  <c r="BH90" i="4"/>
  <c r="BG90" i="4"/>
  <c r="BF90" i="4"/>
  <c r="BC90" i="4"/>
  <c r="BB90" i="4"/>
  <c r="BA90" i="4"/>
  <c r="V139" i="11" s="1"/>
  <c r="AZ90" i="4"/>
  <c r="AY90" i="4"/>
  <c r="AX90" i="4"/>
  <c r="AU90" i="4"/>
  <c r="AT90" i="4"/>
  <c r="AS90" i="4"/>
  <c r="T139" i="11" s="1"/>
  <c r="AR90" i="4"/>
  <c r="AQ90" i="4"/>
  <c r="AP90" i="4"/>
  <c r="AO90" i="4"/>
  <c r="S139" i="11" s="1"/>
  <c r="AN90" i="4"/>
  <c r="AM90" i="4"/>
  <c r="AL90" i="4"/>
  <c r="AK90" i="4"/>
  <c r="R139" i="11" s="1"/>
  <c r="AJ90" i="4"/>
  <c r="AI90" i="4"/>
  <c r="AH90" i="4"/>
  <c r="AG90" i="4"/>
  <c r="Q139" i="11" s="1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I90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V269" i="112" s="1"/>
  <c r="AU87" i="4"/>
  <c r="AU269" i="112" s="1"/>
  <c r="AT87" i="4"/>
  <c r="AT269" i="112" s="1"/>
  <c r="AS87" i="4"/>
  <c r="AS269" i="112" s="1"/>
  <c r="AR87" i="4"/>
  <c r="AR269" i="112" s="1"/>
  <c r="AQ87" i="4"/>
  <c r="AQ269" i="112" s="1"/>
  <c r="AP87" i="4"/>
  <c r="AP269" i="112" s="1"/>
  <c r="AO87" i="4"/>
  <c r="AO269" i="112" s="1"/>
  <c r="AN87" i="4"/>
  <c r="AN269" i="112" s="1"/>
  <c r="AM87" i="4"/>
  <c r="AM269" i="112" s="1"/>
  <c r="AL87" i="4"/>
  <c r="AL269" i="112" s="1"/>
  <c r="AK87" i="4"/>
  <c r="AK269" i="112" s="1"/>
  <c r="AJ87" i="4"/>
  <c r="AJ269" i="112" s="1"/>
  <c r="AI87" i="4"/>
  <c r="AI269" i="112" s="1"/>
  <c r="AH87" i="4"/>
  <c r="AH269" i="112" s="1"/>
  <c r="AG87" i="4"/>
  <c r="AG269" i="112" s="1"/>
  <c r="AF87" i="4"/>
  <c r="AF269" i="112" s="1"/>
  <c r="AE87" i="4"/>
  <c r="AE269" i="112" s="1"/>
  <c r="AD87" i="4"/>
  <c r="AD269" i="112" s="1"/>
  <c r="AC87" i="4"/>
  <c r="AC269" i="112" s="1"/>
  <c r="AB87" i="4"/>
  <c r="AB269" i="112" s="1"/>
  <c r="AA87" i="4"/>
  <c r="AA269" i="112" s="1"/>
  <c r="Z87" i="4"/>
  <c r="Z269" i="112" s="1"/>
  <c r="Y87" i="4"/>
  <c r="Y269" i="112" s="1"/>
  <c r="X87" i="4"/>
  <c r="X269" i="112" s="1"/>
  <c r="W87" i="4"/>
  <c r="W269" i="112" s="1"/>
  <c r="V87" i="4"/>
  <c r="V269" i="112" s="1"/>
  <c r="U87" i="4"/>
  <c r="U269" i="112" s="1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BE82" i="4"/>
  <c r="BA82" i="4"/>
  <c r="AU82" i="4"/>
  <c r="AT82" i="4"/>
  <c r="AS82" i="4"/>
  <c r="AR82" i="4"/>
  <c r="AQ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BJ90" i="4"/>
  <c r="BL90" i="4" s="1"/>
  <c r="BM90" i="4" s="1"/>
  <c r="BN90" i="4" s="1"/>
  <c r="BO90" i="4" s="1"/>
  <c r="BP90" i="4" s="1"/>
  <c r="BQ90" i="4" s="1"/>
  <c r="BR90" i="4" s="1"/>
  <c r="BS90" i="4" s="1"/>
  <c r="BT90" i="4" s="1"/>
  <c r="BU90" i="4" s="1"/>
  <c r="BV90" i="4" s="1"/>
  <c r="BW90" i="4" s="1"/>
  <c r="BX90" i="4" s="1"/>
  <c r="BY90" i="4" s="1"/>
  <c r="BZ90" i="4" s="1"/>
  <c r="CA90" i="4" s="1"/>
  <c r="CB90" i="4" s="1"/>
  <c r="CC90" i="4" s="1"/>
  <c r="CD90" i="4" s="1"/>
  <c r="CE90" i="4" s="1"/>
  <c r="BJ84" i="4"/>
  <c r="S138" i="11" l="1"/>
  <c r="CF90" i="4"/>
  <c r="R138" i="11"/>
  <c r="AR86" i="4"/>
  <c r="Q138" i="11"/>
  <c r="T138" i="11"/>
  <c r="B86" i="4"/>
  <c r="N86" i="4"/>
  <c r="Z86" i="4"/>
  <c r="AS86" i="4"/>
  <c r="R91" i="4"/>
  <c r="BC91" i="4"/>
  <c r="H86" i="4"/>
  <c r="T86" i="4"/>
  <c r="AF86" i="4"/>
  <c r="AL86" i="4"/>
  <c r="L91" i="4"/>
  <c r="X91" i="4"/>
  <c r="AD91" i="4"/>
  <c r="AJ91" i="4"/>
  <c r="AP91" i="4"/>
  <c r="BI91" i="4"/>
  <c r="D86" i="4"/>
  <c r="J86" i="4"/>
  <c r="P86" i="4"/>
  <c r="V86" i="4"/>
  <c r="AB86" i="4"/>
  <c r="AH86" i="4"/>
  <c r="AN86" i="4"/>
  <c r="AU86" i="4"/>
  <c r="T91" i="4"/>
  <c r="AL91" i="4"/>
  <c r="AY91" i="4"/>
  <c r="G86" i="4"/>
  <c r="M86" i="4"/>
  <c r="S86" i="4"/>
  <c r="Y86" i="4"/>
  <c r="AE86" i="4"/>
  <c r="AK86" i="4"/>
  <c r="K91" i="4"/>
  <c r="Q91" i="4"/>
  <c r="W91" i="4"/>
  <c r="AC91" i="4"/>
  <c r="AI91" i="4"/>
  <c r="AO91" i="4"/>
  <c r="AU91" i="4"/>
  <c r="BB91" i="4"/>
  <c r="BH91" i="4"/>
  <c r="C86" i="4"/>
  <c r="I86" i="4"/>
  <c r="O86" i="4"/>
  <c r="U86" i="4"/>
  <c r="AA86" i="4"/>
  <c r="AG86" i="4"/>
  <c r="AM86" i="4"/>
  <c r="AT86" i="4"/>
  <c r="E86" i="4"/>
  <c r="K86" i="4"/>
  <c r="Q86" i="4"/>
  <c r="W86" i="4"/>
  <c r="AC86" i="4"/>
  <c r="AI86" i="4"/>
  <c r="AO86" i="4"/>
  <c r="I91" i="4"/>
  <c r="O91" i="4"/>
  <c r="U91" i="4"/>
  <c r="AA91" i="4"/>
  <c r="AG91" i="4"/>
  <c r="AM91" i="4"/>
  <c r="AS91" i="4"/>
  <c r="AZ91" i="4"/>
  <c r="BF91" i="4"/>
  <c r="F86" i="4"/>
  <c r="L86" i="4"/>
  <c r="R86" i="4"/>
  <c r="X86" i="4"/>
  <c r="AD86" i="4"/>
  <c r="AJ86" i="4"/>
  <c r="P91" i="4"/>
  <c r="V91" i="4"/>
  <c r="AB91" i="4"/>
  <c r="AH91" i="4"/>
  <c r="AN91" i="4"/>
  <c r="AT91" i="4"/>
  <c r="BA91" i="4"/>
  <c r="BG91" i="4"/>
  <c r="M91" i="4"/>
  <c r="S91" i="4"/>
  <c r="Y91" i="4"/>
  <c r="AE91" i="4"/>
  <c r="AK91" i="4"/>
  <c r="AQ91" i="4"/>
  <c r="N91" i="4"/>
  <c r="Z91" i="4"/>
  <c r="AF91" i="4"/>
  <c r="AR91" i="4"/>
  <c r="AX91" i="4"/>
  <c r="AQ86" i="4"/>
  <c r="CG90" i="4" l="1"/>
  <c r="AW12" i="59"/>
  <c r="AW5" i="59"/>
  <c r="AZ29" i="59"/>
  <c r="AY29" i="59"/>
  <c r="AW42" i="59"/>
  <c r="AW33" i="59"/>
  <c r="AW87" i="4" s="1"/>
  <c r="AW269" i="112" s="1"/>
  <c r="AW36" i="59"/>
  <c r="AW90" i="4" s="1"/>
  <c r="U139" i="11" s="1"/>
  <c r="AW28" i="59"/>
  <c r="BB28" i="59"/>
  <c r="BA27" i="59"/>
  <c r="BE27" i="59"/>
  <c r="BF28" i="59"/>
  <c r="BI28" i="59"/>
  <c r="BE85" i="4" l="1"/>
  <c r="W138" i="11" s="1"/>
  <c r="BA85" i="4"/>
  <c r="BA86" i="4" s="1"/>
  <c r="CH90" i="4"/>
  <c r="AW91" i="4"/>
  <c r="BC28" i="59"/>
  <c r="BC27" i="59" s="1"/>
  <c r="BB82" i="4"/>
  <c r="AX28" i="59"/>
  <c r="AW82" i="4"/>
  <c r="BI27" i="59"/>
  <c r="BI82" i="4"/>
  <c r="BG28" i="59"/>
  <c r="BG82" i="4" s="1"/>
  <c r="BF82" i="4"/>
  <c r="AW27" i="59"/>
  <c r="BB27" i="59"/>
  <c r="BF27" i="59"/>
  <c r="BJ28" i="59"/>
  <c r="BE86" i="4" l="1"/>
  <c r="V138" i="11"/>
  <c r="BB85" i="4"/>
  <c r="BI85" i="4"/>
  <c r="X138" i="11" s="1"/>
  <c r="BC85" i="4"/>
  <c r="BF85" i="4"/>
  <c r="BF86" i="4" s="1"/>
  <c r="AW85" i="4"/>
  <c r="AW86" i="4" s="1"/>
  <c r="BK28" i="59"/>
  <c r="CI90" i="4"/>
  <c r="BG27" i="59"/>
  <c r="BH28" i="59"/>
  <c r="BH82" i="4" s="1"/>
  <c r="AX27" i="59"/>
  <c r="AX82" i="4"/>
  <c r="BD28" i="59"/>
  <c r="BC82" i="4"/>
  <c r="AY28" i="59"/>
  <c r="AY82" i="4" s="1"/>
  <c r="BJ27" i="59"/>
  <c r="BJ82" i="4"/>
  <c r="X11" i="36"/>
  <c r="W11" i="36"/>
  <c r="U11" i="36"/>
  <c r="BB86" i="4" l="1"/>
  <c r="U138" i="11"/>
  <c r="BI86" i="4"/>
  <c r="AX85" i="4"/>
  <c r="AX86" i="4" s="1"/>
  <c r="BG85" i="4"/>
  <c r="BG86" i="4" s="1"/>
  <c r="BK27" i="59"/>
  <c r="BK82" i="4"/>
  <c r="BC86" i="4"/>
  <c r="CJ90" i="4"/>
  <c r="BH27" i="59"/>
  <c r="AY27" i="59"/>
  <c r="BD27" i="59"/>
  <c r="BD82" i="4"/>
  <c r="AZ28" i="59"/>
  <c r="AZ82" i="4" s="1"/>
  <c r="BQ48" i="60"/>
  <c r="BR48" i="60"/>
  <c r="BD85" i="4" l="1"/>
  <c r="BD86" i="4" s="1"/>
  <c r="AY85" i="4"/>
  <c r="AY86" i="4" s="1"/>
  <c r="BH85" i="4"/>
  <c r="BH86" i="4" s="1"/>
  <c r="BK85" i="4"/>
  <c r="BK86" i="4" s="1"/>
  <c r="BK100" i="4" s="1"/>
  <c r="BK71" i="59"/>
  <c r="BK32" i="59"/>
  <c r="CK90" i="4"/>
  <c r="AZ27" i="59"/>
  <c r="AZ85" i="4" l="1"/>
  <c r="AZ86" i="4" s="1"/>
  <c r="BK46" i="59"/>
  <c r="A94" i="76"/>
  <c r="CL90" i="4"/>
  <c r="A67" i="71"/>
  <c r="A172" i="2"/>
  <c r="A18" i="92"/>
  <c r="A78" i="59"/>
  <c r="A83" i="46"/>
  <c r="C382" i="36"/>
  <c r="A377" i="8"/>
  <c r="A50" i="60"/>
  <c r="A142" i="4"/>
  <c r="A376" i="58"/>
  <c r="A119" i="11"/>
  <c r="A185" i="11"/>
  <c r="B53" i="47"/>
  <c r="A216" i="11"/>
  <c r="BJ113" i="4"/>
  <c r="BJ131" i="4"/>
  <c r="CM90" i="4" l="1"/>
  <c r="CN90" i="4" l="1"/>
  <c r="CO90" i="4" l="1"/>
  <c r="CP90" i="4" l="1"/>
  <c r="CQ90" i="4" l="1"/>
  <c r="CR90" i="4" l="1"/>
  <c r="CS90" i="4" l="1"/>
  <c r="CT90" i="4" l="1"/>
  <c r="CU90" i="4" l="1"/>
  <c r="CV90" i="4" l="1"/>
  <c r="CW90" i="4" l="1"/>
  <c r="BR468" i="111" l="1"/>
  <c r="BR476" i="111"/>
  <c r="BR480" i="111"/>
  <c r="BR483" i="111"/>
  <c r="BR486" i="111"/>
  <c r="BR492" i="111"/>
  <c r="BR497" i="111"/>
  <c r="BR502" i="111"/>
  <c r="BU229" i="8" l="1"/>
  <c r="BV229" i="8" s="1"/>
  <c r="BW229" i="8" s="1"/>
  <c r="BX229" i="8" s="1"/>
  <c r="BY229" i="8" s="1"/>
  <c r="BZ229" i="8" s="1"/>
  <c r="CA229" i="8" s="1"/>
  <c r="CB229" i="8" s="1"/>
  <c r="CC229" i="8" s="1"/>
  <c r="CD229" i="8" s="1"/>
  <c r="CE229" i="8" s="1"/>
  <c r="CF229" i="8" s="1"/>
  <c r="CG229" i="8" s="1"/>
  <c r="CH229" i="8" s="1"/>
  <c r="CI229" i="8" s="1"/>
  <c r="CJ229" i="8" s="1"/>
  <c r="CK229" i="8" s="1"/>
  <c r="CL229" i="8" s="1"/>
  <c r="CM229" i="8" s="1"/>
  <c r="CN229" i="8" s="1"/>
  <c r="CO229" i="8" s="1"/>
  <c r="CP229" i="8" s="1"/>
  <c r="CQ229" i="8" s="1"/>
  <c r="CR229" i="8" s="1"/>
  <c r="CS229" i="8" s="1"/>
  <c r="CT229" i="8" s="1"/>
  <c r="CU229" i="8" s="1"/>
  <c r="CV229" i="8" s="1"/>
  <c r="CW229" i="8" s="1"/>
  <c r="CW313" i="112" s="1"/>
  <c r="CW324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BY324" i="8"/>
  <c r="BX324" i="8"/>
  <c r="BW324" i="8"/>
  <c r="BV324" i="8"/>
  <c r="BU324" i="8"/>
  <c r="BT324" i="8"/>
  <c r="BS324" i="8"/>
  <c r="BR324" i="8"/>
  <c r="BQ324" i="8"/>
  <c r="BP324" i="8"/>
  <c r="BO324" i="8"/>
  <c r="BN324" i="8"/>
  <c r="BQ313" i="112"/>
  <c r="BP313" i="112"/>
  <c r="BO313" i="112"/>
  <c r="BN313" i="112"/>
  <c r="BX313" i="112" l="1"/>
  <c r="BV313" i="112"/>
  <c r="CA313" i="112"/>
  <c r="CB313" i="112"/>
  <c r="CM313" i="112"/>
  <c r="CN313" i="112"/>
  <c r="CJ313" i="112"/>
  <c r="CT313" i="112"/>
  <c r="CV313" i="112"/>
  <c r="CH313" i="112"/>
  <c r="BR313" i="112"/>
  <c r="CD313" i="112"/>
  <c r="CP313" i="112"/>
  <c r="BU313" i="112"/>
  <c r="CG313" i="112"/>
  <c r="CS313" i="112"/>
  <c r="BW313" i="112"/>
  <c r="CC313" i="112"/>
  <c r="CI313" i="112"/>
  <c r="CO313" i="112"/>
  <c r="CU313" i="112"/>
  <c r="BS313" i="112"/>
  <c r="BY313" i="112"/>
  <c r="CE313" i="112"/>
  <c r="CK313" i="112"/>
  <c r="CQ313" i="112"/>
  <c r="BT313" i="112"/>
  <c r="BZ313" i="112"/>
  <c r="CF313" i="112"/>
  <c r="CL313" i="112"/>
  <c r="CR313" i="112"/>
  <c r="BW287" i="8"/>
  <c r="BX287" i="8" s="1"/>
  <c r="BY287" i="8" s="1"/>
  <c r="BJ55" i="59" l="1"/>
  <c r="BJ50" i="59"/>
  <c r="BM113" i="2" l="1"/>
  <c r="BL84" i="4" l="1"/>
  <c r="BJ85" i="4"/>
  <c r="BJ19" i="2" l="1"/>
  <c r="BL114" i="4"/>
  <c r="BM84" i="4"/>
  <c r="BM114" i="4" l="1"/>
  <c r="BN84" i="4"/>
  <c r="BO84" i="4" l="1"/>
  <c r="BN114" i="4"/>
  <c r="BO114" i="4" l="1"/>
  <c r="BP84" i="4"/>
  <c r="BQ84" i="4" l="1"/>
  <c r="BP114" i="4"/>
  <c r="BR84" i="4" l="1"/>
  <c r="BQ114" i="4"/>
  <c r="BR114" i="4" l="1"/>
  <c r="BS84" i="4"/>
  <c r="BS114" i="4" l="1"/>
  <c r="BT84" i="4"/>
  <c r="BT114" i="4" l="1"/>
  <c r="BU84" i="4"/>
  <c r="BI71" i="59"/>
  <c r="BJ71" i="59"/>
  <c r="BH71" i="59"/>
  <c r="BG71" i="59"/>
  <c r="BF71" i="59"/>
  <c r="BE71" i="59"/>
  <c r="BD71" i="59"/>
  <c r="BC71" i="59"/>
  <c r="BB71" i="59"/>
  <c r="BA71" i="59"/>
  <c r="AZ71" i="59"/>
  <c r="AY71" i="59"/>
  <c r="AX71" i="59"/>
  <c r="AW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I71" i="59"/>
  <c r="AH71" i="59"/>
  <c r="AG71" i="59"/>
  <c r="AF71" i="59"/>
  <c r="AE71" i="59"/>
  <c r="AD71" i="59"/>
  <c r="AC71" i="59"/>
  <c r="AB71" i="59"/>
  <c r="AA71" i="59"/>
  <c r="Z71" i="59"/>
  <c r="Y71" i="59"/>
  <c r="X71" i="59"/>
  <c r="W71" i="59"/>
  <c r="V71" i="59"/>
  <c r="U71" i="59"/>
  <c r="T71" i="59"/>
  <c r="S71" i="59"/>
  <c r="R71" i="59"/>
  <c r="Q71" i="59"/>
  <c r="P71" i="59"/>
  <c r="O71" i="59"/>
  <c r="N71" i="59"/>
  <c r="M71" i="59"/>
  <c r="L71" i="59"/>
  <c r="K71" i="59"/>
  <c r="J71" i="59"/>
  <c r="I71" i="59"/>
  <c r="H71" i="59"/>
  <c r="G71" i="59"/>
  <c r="F71" i="59"/>
  <c r="E71" i="59"/>
  <c r="D71" i="59"/>
  <c r="C71" i="59"/>
  <c r="B71" i="59"/>
  <c r="A71" i="59"/>
  <c r="BV84" i="4" l="1"/>
  <c r="BU114" i="4"/>
  <c r="BV114" i="4" l="1"/>
  <c r="BW84" i="4"/>
  <c r="BW114" i="4" l="1"/>
  <c r="BX84" i="4"/>
  <c r="BY84" i="4" l="1"/>
  <c r="BX114" i="4"/>
  <c r="BY114" i="4" l="1"/>
  <c r="BZ84" i="4"/>
  <c r="BB138" i="4"/>
  <c r="AX138" i="4"/>
  <c r="AT138" i="4"/>
  <c r="AP138" i="4"/>
  <c r="AL138" i="4"/>
  <c r="AH138" i="4"/>
  <c r="AD138" i="4"/>
  <c r="BF131" i="4"/>
  <c r="BB131" i="4"/>
  <c r="AX131" i="4"/>
  <c r="AT131" i="4"/>
  <c r="AR131" i="4"/>
  <c r="AQ131" i="4"/>
  <c r="AP131" i="4"/>
  <c r="AN131" i="4"/>
  <c r="AM131" i="4"/>
  <c r="AL131" i="4"/>
  <c r="AK131" i="4"/>
  <c r="AJ131" i="4"/>
  <c r="AI131" i="4"/>
  <c r="AH131" i="4"/>
  <c r="AG131" i="4"/>
  <c r="AF131" i="4"/>
  <c r="AE131" i="4"/>
  <c r="AD131" i="4"/>
  <c r="BF130" i="4"/>
  <c r="BB130" i="4"/>
  <c r="AX130" i="4"/>
  <c r="AT130" i="4"/>
  <c r="AP130" i="4"/>
  <c r="AO130" i="4"/>
  <c r="AN130" i="4"/>
  <c r="AM130" i="4"/>
  <c r="AL130" i="4"/>
  <c r="AK130" i="4"/>
  <c r="AJ130" i="4"/>
  <c r="AI130" i="4"/>
  <c r="AH130" i="4"/>
  <c r="AG130" i="4"/>
  <c r="AF130" i="4"/>
  <c r="AE130" i="4"/>
  <c r="AD130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U129" i="4"/>
  <c r="AT129" i="4"/>
  <c r="AR129" i="4"/>
  <c r="AQ129" i="4"/>
  <c r="AP129" i="4"/>
  <c r="AL129" i="4"/>
  <c r="AH129" i="4"/>
  <c r="AD129" i="4"/>
  <c r="BF128" i="4"/>
  <c r="BB128" i="4"/>
  <c r="AX128" i="4"/>
  <c r="AT128" i="4"/>
  <c r="AP128" i="4"/>
  <c r="AL128" i="4"/>
  <c r="AH128" i="4"/>
  <c r="AD128" i="4"/>
  <c r="BF127" i="4"/>
  <c r="BB127" i="4"/>
  <c r="BA127" i="4"/>
  <c r="AZ127" i="4"/>
  <c r="AY127" i="4"/>
  <c r="AX127" i="4"/>
  <c r="AT127" i="4"/>
  <c r="AP127" i="4"/>
  <c r="AL127" i="4"/>
  <c r="AH127" i="4"/>
  <c r="AD127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U126" i="4"/>
  <c r="AT126" i="4"/>
  <c r="AR126" i="4"/>
  <c r="AQ126" i="4"/>
  <c r="AP126" i="4"/>
  <c r="AO126" i="4"/>
  <c r="AN126" i="4"/>
  <c r="AM126" i="4"/>
  <c r="AL126" i="4"/>
  <c r="AK126" i="4"/>
  <c r="AJ126" i="4"/>
  <c r="AI126" i="4"/>
  <c r="AH126" i="4"/>
  <c r="AG126" i="4"/>
  <c r="AF126" i="4"/>
  <c r="AE126" i="4"/>
  <c r="AD126" i="4"/>
  <c r="BH122" i="4"/>
  <c r="BG122" i="4"/>
  <c r="BF122" i="4"/>
  <c r="BD122" i="4"/>
  <c r="BC122" i="4"/>
  <c r="BB122" i="4"/>
  <c r="BA122" i="4"/>
  <c r="AZ122" i="4"/>
  <c r="AY122" i="4"/>
  <c r="AX122" i="4"/>
  <c r="AV122" i="4"/>
  <c r="AU122" i="4"/>
  <c r="AT122" i="4"/>
  <c r="AR122" i="4"/>
  <c r="AQ122" i="4"/>
  <c r="AP122" i="4"/>
  <c r="AN122" i="4"/>
  <c r="AM122" i="4"/>
  <c r="AL122" i="4"/>
  <c r="AJ122" i="4"/>
  <c r="AI122" i="4"/>
  <c r="AH122" i="4"/>
  <c r="AG122" i="4"/>
  <c r="AF122" i="4"/>
  <c r="AE122" i="4"/>
  <c r="AD122" i="4"/>
  <c r="BH121" i="4"/>
  <c r="BG121" i="4"/>
  <c r="BF121" i="4"/>
  <c r="BE121" i="4"/>
  <c r="BD121" i="4"/>
  <c r="BC121" i="4"/>
  <c r="BB121" i="4"/>
  <c r="AZ121" i="4"/>
  <c r="AY121" i="4"/>
  <c r="AX121" i="4"/>
  <c r="AV121" i="4"/>
  <c r="AU121" i="4"/>
  <c r="AT121" i="4"/>
  <c r="AP121" i="4"/>
  <c r="AN121" i="4"/>
  <c r="AM121" i="4"/>
  <c r="AL121" i="4"/>
  <c r="AK121" i="4"/>
  <c r="AJ121" i="4"/>
  <c r="AI121" i="4"/>
  <c r="AH121" i="4"/>
  <c r="AD121" i="4"/>
  <c r="BF120" i="4"/>
  <c r="BB120" i="4"/>
  <c r="AX120" i="4"/>
  <c r="AT120" i="4"/>
  <c r="AP120" i="4"/>
  <c r="AL120" i="4"/>
  <c r="AH120" i="4"/>
  <c r="AD120" i="4"/>
  <c r="BF119" i="4"/>
  <c r="BB119" i="4"/>
  <c r="AX119" i="4"/>
  <c r="AT119" i="4"/>
  <c r="AP119" i="4"/>
  <c r="AL119" i="4"/>
  <c r="AH119" i="4"/>
  <c r="AD119" i="4"/>
  <c r="BF115" i="4"/>
  <c r="BB115" i="4"/>
  <c r="AX115" i="4"/>
  <c r="AT115" i="4"/>
  <c r="AP115" i="4"/>
  <c r="AL115" i="4"/>
  <c r="AH115" i="4"/>
  <c r="AD115" i="4"/>
  <c r="BF114" i="4"/>
  <c r="BD114" i="4"/>
  <c r="BC114" i="4"/>
  <c r="BB114" i="4"/>
  <c r="AX114" i="4"/>
  <c r="AT114" i="4"/>
  <c r="AL114" i="4"/>
  <c r="AH114" i="4"/>
  <c r="AD114" i="4"/>
  <c r="BF113" i="4"/>
  <c r="BB113" i="4"/>
  <c r="AX113" i="4"/>
  <c r="AT113" i="4"/>
  <c r="AP113" i="4"/>
  <c r="AL113" i="4"/>
  <c r="AH113" i="4"/>
  <c r="AD113" i="4"/>
  <c r="BF112" i="4"/>
  <c r="BB112" i="4"/>
  <c r="AX112" i="4"/>
  <c r="AT112" i="4"/>
  <c r="AP112" i="4"/>
  <c r="AL112" i="4"/>
  <c r="AH112" i="4"/>
  <c r="AD112" i="4"/>
  <c r="BF111" i="4"/>
  <c r="BB111" i="4"/>
  <c r="AX111" i="4"/>
  <c r="AT111" i="4"/>
  <c r="AP111" i="4"/>
  <c r="AL111" i="4"/>
  <c r="AH111" i="4"/>
  <c r="AD111" i="4"/>
  <c r="BF108" i="4"/>
  <c r="BB108" i="4"/>
  <c r="AX108" i="4"/>
  <c r="AT108" i="4"/>
  <c r="AS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BF107" i="4"/>
  <c r="BB107" i="4"/>
  <c r="AX107" i="4"/>
  <c r="AT107" i="4"/>
  <c r="AP107" i="4"/>
  <c r="AL107" i="4"/>
  <c r="AH107" i="4"/>
  <c r="AD107" i="4"/>
  <c r="BJ108" i="4"/>
  <c r="BJ107" i="4"/>
  <c r="BJ138" i="4"/>
  <c r="Q86" i="27" s="1"/>
  <c r="BJ130" i="4"/>
  <c r="BJ129" i="4"/>
  <c r="BI129" i="4"/>
  <c r="BJ128" i="4"/>
  <c r="BJ127" i="4"/>
  <c r="BJ126" i="4"/>
  <c r="BI126" i="4"/>
  <c r="BJ122" i="4"/>
  <c r="Q76" i="27" s="1"/>
  <c r="BI122" i="4"/>
  <c r="BI121" i="4"/>
  <c r="BJ120" i="4"/>
  <c r="BJ119" i="4"/>
  <c r="BJ115" i="4"/>
  <c r="BJ112" i="4"/>
  <c r="BJ111" i="4"/>
  <c r="BJ3" i="59"/>
  <c r="BR3" i="60"/>
  <c r="BR47" i="60" s="1"/>
  <c r="BJ48" i="4"/>
  <c r="BJ47" i="4"/>
  <c r="BJ45" i="4"/>
  <c r="BJ43" i="4"/>
  <c r="BJ42" i="4"/>
  <c r="BJ41" i="4"/>
  <c r="BJ40" i="4"/>
  <c r="BJ39" i="4"/>
  <c r="BJ38" i="4"/>
  <c r="BJ33" i="4"/>
  <c r="BJ32" i="4"/>
  <c r="BJ27" i="4"/>
  <c r="BJ26" i="4"/>
  <c r="BJ25" i="4"/>
  <c r="BJ17" i="4"/>
  <c r="BJ14" i="4"/>
  <c r="BJ5" i="4"/>
  <c r="BK250" i="94"/>
  <c r="BK248" i="94"/>
  <c r="BK247" i="94"/>
  <c r="BK103" i="94"/>
  <c r="BK39" i="94"/>
  <c r="BK49" i="94" s="1"/>
  <c r="BK476" i="94"/>
  <c r="BK406" i="94"/>
  <c r="BK239" i="94"/>
  <c r="BK238" i="94"/>
  <c r="BK237" i="94"/>
  <c r="BK236" i="94"/>
  <c r="BK235" i="94"/>
  <c r="BK234" i="94"/>
  <c r="BK233" i="94"/>
  <c r="BK232" i="94"/>
  <c r="BK231" i="94"/>
  <c r="BK230" i="94"/>
  <c r="BK229" i="94"/>
  <c r="BK228" i="94"/>
  <c r="BK204" i="94"/>
  <c r="BK323" i="94" s="1"/>
  <c r="BK203" i="94"/>
  <c r="BK322" i="94" s="1"/>
  <c r="BK202" i="94"/>
  <c r="BK321" i="94" s="1"/>
  <c r="BK201" i="94"/>
  <c r="BK320" i="94" s="1"/>
  <c r="BK200" i="94"/>
  <c r="BK319" i="94" s="1"/>
  <c r="BK199" i="94"/>
  <c r="BK198" i="94"/>
  <c r="BK197" i="94"/>
  <c r="BK196" i="94"/>
  <c r="BK192" i="94"/>
  <c r="BK191" i="94"/>
  <c r="BK190" i="94"/>
  <c r="BK189" i="94"/>
  <c r="BK188" i="94"/>
  <c r="BK187" i="94"/>
  <c r="BK186" i="94"/>
  <c r="BK185" i="94"/>
  <c r="BK184" i="94"/>
  <c r="BK183" i="94"/>
  <c r="BK179" i="94"/>
  <c r="BK178" i="94"/>
  <c r="BK177" i="94"/>
  <c r="BK176" i="94"/>
  <c r="BK175" i="94"/>
  <c r="BK174" i="94"/>
  <c r="BK173" i="94"/>
  <c r="BK172" i="94"/>
  <c r="BK171" i="94"/>
  <c r="BK170" i="94"/>
  <c r="BK140" i="94"/>
  <c r="BK113" i="94"/>
  <c r="BK112" i="94"/>
  <c r="BK255" i="94" s="1"/>
  <c r="BK111" i="94"/>
  <c r="BK254" i="94" s="1"/>
  <c r="BK110" i="94"/>
  <c r="BK253" i="94" s="1"/>
  <c r="BK109" i="94"/>
  <c r="BK252" i="94" s="1"/>
  <c r="BK108" i="94"/>
  <c r="BK251" i="94" s="1"/>
  <c r="BK217" i="94" s="1"/>
  <c r="BK107" i="94"/>
  <c r="BK249" i="94" s="1"/>
  <c r="BK91" i="94"/>
  <c r="BK227" i="94" s="1"/>
  <c r="BK80" i="94"/>
  <c r="BK106" i="94" s="1"/>
  <c r="BK246" i="94" s="1"/>
  <c r="BK79" i="94"/>
  <c r="BK105" i="94" s="1"/>
  <c r="BK245" i="94" s="1"/>
  <c r="BK78" i="94"/>
  <c r="BK38" i="94"/>
  <c r="BK14" i="94"/>
  <c r="BK115" i="58"/>
  <c r="BK112" i="58"/>
  <c r="BK111" i="58"/>
  <c r="BK104" i="58"/>
  <c r="BK101" i="58"/>
  <c r="BK100" i="58"/>
  <c r="BK83" i="58"/>
  <c r="BK82" i="58"/>
  <c r="BK75" i="58"/>
  <c r="BK27" i="94" s="1"/>
  <c r="BK74" i="58"/>
  <c r="BK15" i="94" s="1"/>
  <c r="BK67" i="58"/>
  <c r="BK60" i="58"/>
  <c r="BK43" i="58"/>
  <c r="BK35" i="58"/>
  <c r="BK29" i="58"/>
  <c r="BK13" i="58"/>
  <c r="BK8" i="58"/>
  <c r="BK6" i="58"/>
  <c r="BJ43" i="59"/>
  <c r="BJ44" i="59" s="1"/>
  <c r="BJ45" i="59" s="1"/>
  <c r="BJ37" i="59"/>
  <c r="BJ32" i="59"/>
  <c r="BJ13" i="59"/>
  <c r="BJ18" i="59" s="1"/>
  <c r="BJ8" i="59"/>
  <c r="BJ10" i="59" s="1"/>
  <c r="BR36" i="60"/>
  <c r="BR25" i="60"/>
  <c r="BR6" i="60"/>
  <c r="BR12" i="60" s="1"/>
  <c r="BR18" i="60" s="1"/>
  <c r="BR494" i="111" l="1"/>
  <c r="BR495" i="111"/>
  <c r="BJ114" i="4"/>
  <c r="BR493" i="111"/>
  <c r="BZ114" i="4"/>
  <c r="CA84" i="4"/>
  <c r="AD123" i="4"/>
  <c r="BK45" i="94"/>
  <c r="BK213" i="94"/>
  <c r="BK12" i="58"/>
  <c r="BB132" i="4"/>
  <c r="BK180" i="94"/>
  <c r="BJ123" i="4"/>
  <c r="BJ37" i="4"/>
  <c r="BK221" i="94"/>
  <c r="BK50" i="94"/>
  <c r="BK90" i="94"/>
  <c r="BK240" i="94"/>
  <c r="AP123" i="4"/>
  <c r="BB123" i="4"/>
  <c r="AL132" i="4"/>
  <c r="BJ19" i="59"/>
  <c r="BK77" i="94"/>
  <c r="BK256" i="94"/>
  <c r="BK222" i="94" s="1"/>
  <c r="BK412" i="94"/>
  <c r="BK411" i="94"/>
  <c r="BK410" i="94"/>
  <c r="BK414" i="94"/>
  <c r="BK413" i="94"/>
  <c r="BK193" i="94"/>
  <c r="BR38" i="60"/>
  <c r="BK469" i="94"/>
  <c r="AL123" i="4"/>
  <c r="AX123" i="4"/>
  <c r="AD132" i="4"/>
  <c r="AP132" i="4"/>
  <c r="BJ46" i="59"/>
  <c r="AX132" i="4"/>
  <c r="AH132" i="4"/>
  <c r="AT132" i="4"/>
  <c r="BF132" i="4"/>
  <c r="BJ132" i="4"/>
  <c r="AH123" i="4"/>
  <c r="AT123" i="4"/>
  <c r="BF123" i="4"/>
  <c r="BK216" i="94"/>
  <c r="BK214" i="94"/>
  <c r="BK122" i="94"/>
  <c r="BK125" i="94"/>
  <c r="BK44" i="94"/>
  <c r="BK43" i="94"/>
  <c r="BK118" i="94"/>
  <c r="BK119" i="94"/>
  <c r="BK215" i="94"/>
  <c r="BK219" i="94"/>
  <c r="BK220" i="94"/>
  <c r="BK46" i="94"/>
  <c r="BK104" i="94"/>
  <c r="BK244" i="94" s="1"/>
  <c r="BK124" i="94"/>
  <c r="BK47" i="94"/>
  <c r="BK123" i="94"/>
  <c r="BK48" i="94"/>
  <c r="BK120" i="94"/>
  <c r="BK126" i="94"/>
  <c r="BK121" i="94"/>
  <c r="CA114" i="4" l="1"/>
  <c r="CB84" i="4"/>
  <c r="BK19" i="58"/>
  <c r="BK22" i="58" s="1"/>
  <c r="BK257" i="94"/>
  <c r="BK51" i="94"/>
  <c r="BK117" i="94"/>
  <c r="BK127" i="94" s="1"/>
  <c r="BK211" i="94"/>
  <c r="BK218" i="94"/>
  <c r="BK212" i="94"/>
  <c r="BK263" i="94" l="1"/>
  <c r="BK262" i="94"/>
  <c r="CB114" i="4"/>
  <c r="CC84" i="4"/>
  <c r="BK24" i="58"/>
  <c r="BK38" i="58"/>
  <c r="BK40" i="58" s="1"/>
  <c r="BK267" i="94"/>
  <c r="BK266" i="94"/>
  <c r="BK264" i="94"/>
  <c r="BK269" i="94"/>
  <c r="BK265" i="94"/>
  <c r="BK270" i="94"/>
  <c r="BK272" i="94"/>
  <c r="BK261" i="94"/>
  <c r="BK268" i="94"/>
  <c r="BK271" i="94"/>
  <c r="BK273" i="94"/>
  <c r="BK210" i="94"/>
  <c r="CD84" i="4" l="1"/>
  <c r="CC114" i="4"/>
  <c r="BK274" i="94"/>
  <c r="BK223" i="94"/>
  <c r="CD114" i="4" l="1"/>
  <c r="CE84" i="4"/>
  <c r="CE114" i="4" l="1"/>
  <c r="CF84" i="4"/>
  <c r="CG84" i="4" l="1"/>
  <c r="CF114" i="4"/>
  <c r="CG114" i="4" l="1"/>
  <c r="CH84" i="4"/>
  <c r="BJ70" i="8"/>
  <c r="BJ60" i="8"/>
  <c r="BJ50" i="8"/>
  <c r="BJ39" i="8"/>
  <c r="BJ29" i="8"/>
  <c r="BJ18" i="8"/>
  <c r="BJ13" i="8"/>
  <c r="BJ104" i="4"/>
  <c r="BJ98" i="4"/>
  <c r="BJ97" i="4"/>
  <c r="BJ96" i="4"/>
  <c r="BJ95" i="4"/>
  <c r="BJ93" i="4"/>
  <c r="BJ89" i="4"/>
  <c r="BJ88" i="4"/>
  <c r="BJ87" i="4"/>
  <c r="BJ83" i="4"/>
  <c r="BJ77" i="4"/>
  <c r="BJ76" i="4"/>
  <c r="BJ75" i="4"/>
  <c r="BJ74" i="4"/>
  <c r="BJ73" i="4"/>
  <c r="BJ71" i="4"/>
  <c r="BJ70" i="4"/>
  <c r="BJ69" i="4"/>
  <c r="BJ68" i="4"/>
  <c r="BK137" i="4" s="1"/>
  <c r="BJ66" i="4"/>
  <c r="BJ64" i="4"/>
  <c r="BJ189" i="112" s="1"/>
  <c r="BJ216" i="112" s="1"/>
  <c r="BJ308" i="112"/>
  <c r="BJ299" i="112"/>
  <c r="BJ16" i="4" s="1"/>
  <c r="BJ287" i="112"/>
  <c r="BJ286" i="112"/>
  <c r="BJ283" i="112"/>
  <c r="BJ10" i="4" s="1"/>
  <c r="BJ282" i="112"/>
  <c r="BJ232" i="112"/>
  <c r="BJ228" i="112"/>
  <c r="BJ196" i="112"/>
  <c r="BJ192" i="8" s="1"/>
  <c r="BJ158" i="112"/>
  <c r="BJ157" i="112"/>
  <c r="BJ156" i="112"/>
  <c r="BJ155" i="112"/>
  <c r="BJ154" i="112"/>
  <c r="BJ141" i="112"/>
  <c r="BJ112" i="112"/>
  <c r="BJ105" i="112"/>
  <c r="BJ76" i="112"/>
  <c r="BJ55" i="112"/>
  <c r="BJ52" i="112"/>
  <c r="BJ260" i="112" s="1"/>
  <c r="BJ38" i="112"/>
  <c r="BJ67" i="112" s="1"/>
  <c r="BJ9" i="112"/>
  <c r="BJ156" i="2"/>
  <c r="BJ152" i="2"/>
  <c r="BK149" i="2" s="1"/>
  <c r="BK148" i="2" s="1"/>
  <c r="BK151" i="2" s="1"/>
  <c r="BL151" i="2" s="1"/>
  <c r="BM151" i="2" s="1"/>
  <c r="BN151" i="2" s="1"/>
  <c r="BO151" i="2" s="1"/>
  <c r="BP151" i="2" s="1"/>
  <c r="BQ151" i="2" s="1"/>
  <c r="BR151" i="2" s="1"/>
  <c r="BS151" i="2" s="1"/>
  <c r="BT151" i="2" s="1"/>
  <c r="BU151" i="2" s="1"/>
  <c r="BV151" i="2" s="1"/>
  <c r="BW151" i="2" s="1"/>
  <c r="BX151" i="2" s="1"/>
  <c r="BY151" i="2" s="1"/>
  <c r="BZ151" i="2" s="1"/>
  <c r="CA151" i="2" s="1"/>
  <c r="CB151" i="2" s="1"/>
  <c r="CC151" i="2" s="1"/>
  <c r="CD151" i="2" s="1"/>
  <c r="CE151" i="2" s="1"/>
  <c r="CF151" i="2" s="1"/>
  <c r="CG151" i="2" s="1"/>
  <c r="CH151" i="2" s="1"/>
  <c r="CI151" i="2" s="1"/>
  <c r="CJ151" i="2" s="1"/>
  <c r="CK151" i="2" s="1"/>
  <c r="CL151" i="2" s="1"/>
  <c r="CM151" i="2" s="1"/>
  <c r="CN151" i="2" s="1"/>
  <c r="CO151" i="2" s="1"/>
  <c r="CP151" i="2" s="1"/>
  <c r="CQ151" i="2" s="1"/>
  <c r="CR151" i="2" s="1"/>
  <c r="CS151" i="2" s="1"/>
  <c r="CT151" i="2" s="1"/>
  <c r="CU151" i="2" s="1"/>
  <c r="CV151" i="2" s="1"/>
  <c r="CW151" i="2" s="1"/>
  <c r="BJ144" i="2"/>
  <c r="BJ143" i="2"/>
  <c r="BJ141" i="2"/>
  <c r="BJ134" i="2"/>
  <c r="BJ131" i="2"/>
  <c r="BJ127" i="2"/>
  <c r="BJ100" i="2"/>
  <c r="BJ95" i="2"/>
  <c r="BJ87" i="2"/>
  <c r="BJ80" i="2"/>
  <c r="BJ60" i="2"/>
  <c r="BJ30" i="2"/>
  <c r="BJ225" i="112"/>
  <c r="BK226" i="112" s="1"/>
  <c r="BJ146" i="112"/>
  <c r="BJ150" i="112"/>
  <c r="BJ45" i="112"/>
  <c r="BJ147" i="8" s="1"/>
  <c r="BJ60" i="4" l="1"/>
  <c r="BK92" i="2"/>
  <c r="BK93" i="2" s="1"/>
  <c r="BK101" i="112"/>
  <c r="BK11" i="112"/>
  <c r="BK10" i="112"/>
  <c r="BK151" i="112"/>
  <c r="BK152" i="112"/>
  <c r="BK143" i="112"/>
  <c r="BK142" i="112"/>
  <c r="BJ55" i="8"/>
  <c r="BK147" i="112"/>
  <c r="BK148" i="112"/>
  <c r="BK77" i="112"/>
  <c r="BK78" i="112"/>
  <c r="BJ65" i="8"/>
  <c r="BK229" i="112"/>
  <c r="BK230" i="112"/>
  <c r="BK233" i="112"/>
  <c r="BK234" i="112"/>
  <c r="BR463" i="111"/>
  <c r="BR500" i="111" s="1"/>
  <c r="BJ132" i="112"/>
  <c r="BJ45" i="8"/>
  <c r="BJ130" i="8"/>
  <c r="BR450" i="111"/>
  <c r="BJ34" i="8"/>
  <c r="BR449" i="111"/>
  <c r="BJ108" i="8"/>
  <c r="BJ11" i="4"/>
  <c r="BJ15" i="4"/>
  <c r="CH114" i="4"/>
  <c r="CI84" i="4"/>
  <c r="BJ159" i="2"/>
  <c r="BJ160" i="2" s="1"/>
  <c r="BJ374" i="8"/>
  <c r="BJ8" i="4"/>
  <c r="BR461" i="111"/>
  <c r="BJ172" i="8"/>
  <c r="BJ173" i="8" s="1"/>
  <c r="BR451" i="111"/>
  <c r="BJ7" i="4"/>
  <c r="BR459" i="111"/>
  <c r="BJ23" i="8"/>
  <c r="BK479" i="94"/>
  <c r="BJ169" i="8"/>
  <c r="BJ9" i="4"/>
  <c r="BJ86" i="4"/>
  <c r="BJ14" i="112"/>
  <c r="BJ142" i="2"/>
  <c r="BJ161" i="112"/>
  <c r="BJ85" i="112"/>
  <c r="BJ143" i="8"/>
  <c r="BJ81" i="112"/>
  <c r="BJ119" i="8"/>
  <c r="BJ189" i="8"/>
  <c r="BJ162" i="112"/>
  <c r="BJ78" i="4"/>
  <c r="BJ18" i="112"/>
  <c r="BJ99" i="4"/>
  <c r="BJ43" i="8"/>
  <c r="BJ164" i="112"/>
  <c r="BJ91" i="4"/>
  <c r="BJ165" i="112"/>
  <c r="BJ16" i="8"/>
  <c r="BJ32" i="8"/>
  <c r="BJ58" i="8"/>
  <c r="BJ48" i="8"/>
  <c r="BJ21" i="8"/>
  <c r="BJ37" i="8"/>
  <c r="BJ53" i="8"/>
  <c r="BJ11" i="8"/>
  <c r="BJ27" i="8"/>
  <c r="BJ63" i="8"/>
  <c r="BJ68" i="8"/>
  <c r="BJ12" i="8"/>
  <c r="BJ17" i="8"/>
  <c r="BJ28" i="8"/>
  <c r="BJ38" i="8"/>
  <c r="BJ44" i="8"/>
  <c r="BJ49" i="8"/>
  <c r="BJ59" i="8"/>
  <c r="BJ69" i="8"/>
  <c r="BJ72" i="4"/>
  <c r="BJ41" i="112"/>
  <c r="BJ163" i="112"/>
  <c r="BJ57" i="2"/>
  <c r="BK15" i="112" l="1"/>
  <c r="BK16" i="112"/>
  <c r="BK25" i="112" s="1"/>
  <c r="BK83" i="112"/>
  <c r="BK92" i="112" s="1"/>
  <c r="BK82" i="112"/>
  <c r="BK20" i="112"/>
  <c r="BK19" i="112"/>
  <c r="BK87" i="112"/>
  <c r="BK203" i="112" s="1"/>
  <c r="BK86" i="112"/>
  <c r="BK94" i="2"/>
  <c r="BK76" i="2"/>
  <c r="BK241" i="112"/>
  <c r="BK157" i="2"/>
  <c r="BK139" i="2"/>
  <c r="BK140" i="2" s="1"/>
  <c r="BJ12" i="4"/>
  <c r="BJ18" i="4"/>
  <c r="BJ20" i="4"/>
  <c r="BJ30" i="4"/>
  <c r="BJ29" i="4"/>
  <c r="BJ31" i="4"/>
  <c r="CJ84" i="4"/>
  <c r="CI114" i="4"/>
  <c r="BJ174" i="8"/>
  <c r="BR499" i="111"/>
  <c r="BR498" i="111"/>
  <c r="BJ79" i="4"/>
  <c r="BJ100" i="4"/>
  <c r="BK94" i="112" l="1"/>
  <c r="BK192" i="112"/>
  <c r="BK174" i="112"/>
  <c r="BK33" i="112"/>
  <c r="BK29" i="112"/>
  <c r="BK119" i="112"/>
  <c r="BJ19" i="4"/>
  <c r="BR477" i="111"/>
  <c r="BJ34" i="4"/>
  <c r="BJ44" i="4" s="1"/>
  <c r="BJ49" i="4"/>
  <c r="BK33" i="58"/>
  <c r="BK34" i="58" s="1"/>
  <c r="BJ22" i="4" s="1"/>
  <c r="BJ21" i="4"/>
  <c r="BJ51" i="4"/>
  <c r="BR491" i="111"/>
  <c r="CJ114" i="4"/>
  <c r="CK84" i="4"/>
  <c r="BK108" i="112" l="1"/>
  <c r="BK250" i="112" s="1"/>
  <c r="BK98" i="112"/>
  <c r="BK170" i="112"/>
  <c r="BK263" i="112"/>
  <c r="BJ62" i="2"/>
  <c r="BJ36" i="4"/>
  <c r="BJ23" i="4"/>
  <c r="BJ28" i="4" s="1"/>
  <c r="BJ53" i="4"/>
  <c r="BJ105" i="4"/>
  <c r="BJ109" i="4" s="1"/>
  <c r="BJ116" i="4" s="1"/>
  <c r="BJ62" i="4"/>
  <c r="CK114" i="4"/>
  <c r="CL84" i="4"/>
  <c r="BJ46" i="4"/>
  <c r="BJ314" i="112"/>
  <c r="BK265" i="112" l="1"/>
  <c r="BK266" i="112"/>
  <c r="BR487" i="111"/>
  <c r="BJ54" i="4"/>
  <c r="BJ134" i="4"/>
  <c r="CM84" i="4"/>
  <c r="CL114" i="4"/>
  <c r="BH93" i="4"/>
  <c r="BG93" i="4"/>
  <c r="BF93" i="4"/>
  <c r="BE93" i="4"/>
  <c r="BD93" i="4"/>
  <c r="BC93" i="4"/>
  <c r="BB93" i="4"/>
  <c r="BA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BE23" i="2"/>
  <c r="BD23" i="2"/>
  <c r="BA23" i="2"/>
  <c r="AZ23" i="2"/>
  <c r="AY23" i="2"/>
  <c r="AX23" i="2"/>
  <c r="AV23" i="2"/>
  <c r="AU23" i="2"/>
  <c r="AT23" i="2"/>
  <c r="AS23" i="2"/>
  <c r="AR23" i="2"/>
  <c r="AO23" i="2"/>
  <c r="AM23" i="2"/>
  <c r="AI23" i="2"/>
  <c r="BG19" i="2"/>
  <c r="BF19" i="2"/>
  <c r="BE19" i="2"/>
  <c r="BD19" i="2"/>
  <c r="BC19" i="2"/>
  <c r="BB19" i="2"/>
  <c r="BA19" i="2"/>
  <c r="AY19" i="2"/>
  <c r="AX19" i="2"/>
  <c r="AW19" i="2"/>
  <c r="AU19" i="2"/>
  <c r="AT19" i="2"/>
  <c r="AS19" i="2"/>
  <c r="AR19" i="2"/>
  <c r="AQ19" i="2"/>
  <c r="AO19" i="2"/>
  <c r="AN19" i="2"/>
  <c r="AM19" i="2"/>
  <c r="AL19" i="2"/>
  <c r="AK19" i="2"/>
  <c r="AJ19" i="2"/>
  <c r="AI19" i="2"/>
  <c r="AH19" i="2"/>
  <c r="BH19" i="2"/>
  <c r="AG23" i="2"/>
  <c r="AF23" i="2"/>
  <c r="AD23" i="2"/>
  <c r="AG19" i="2"/>
  <c r="AF19" i="2"/>
  <c r="AE19" i="2"/>
  <c r="AD19" i="2"/>
  <c r="A19" i="2"/>
  <c r="A23" i="2"/>
  <c r="BR49" i="8"/>
  <c r="BS49" i="8" s="1"/>
  <c r="A31" i="27"/>
  <c r="A30" i="27"/>
  <c r="A29" i="27"/>
  <c r="BJ178" i="94"/>
  <c r="BI178" i="94"/>
  <c r="BH178" i="94"/>
  <c r="BL178" i="94" s="1"/>
  <c r="BJ177" i="94"/>
  <c r="BI177" i="94"/>
  <c r="BH177" i="94"/>
  <c r="BL177" i="94" s="1"/>
  <c r="BJ176" i="94"/>
  <c r="BI176" i="94"/>
  <c r="BH176" i="94"/>
  <c r="BL176" i="94" s="1"/>
  <c r="BJ175" i="94"/>
  <c r="BI175" i="94"/>
  <c r="BH175" i="94"/>
  <c r="BL175" i="94" s="1"/>
  <c r="BJ174" i="94"/>
  <c r="BI174" i="94"/>
  <c r="BH174" i="94"/>
  <c r="BL174" i="94" s="1"/>
  <c r="BJ173" i="94"/>
  <c r="BI173" i="94"/>
  <c r="BH173" i="94"/>
  <c r="BL173" i="94" s="1"/>
  <c r="BJ172" i="94"/>
  <c r="BI172" i="94"/>
  <c r="BH172" i="94"/>
  <c r="BL172" i="94" s="1"/>
  <c r="BJ171" i="94"/>
  <c r="BI171" i="94"/>
  <c r="BH171" i="94"/>
  <c r="BL171" i="94" s="1"/>
  <c r="BJ170" i="94"/>
  <c r="BI170" i="94"/>
  <c r="BH170" i="94"/>
  <c r="BL170" i="94" s="1"/>
  <c r="BJ192" i="94"/>
  <c r="BI192" i="94"/>
  <c r="BH192" i="94"/>
  <c r="BL192" i="94" s="1"/>
  <c r="BJ191" i="94"/>
  <c r="BI191" i="94"/>
  <c r="BH191" i="94"/>
  <c r="BL191" i="94" s="1"/>
  <c r="BJ190" i="94"/>
  <c r="BI190" i="94"/>
  <c r="BH190" i="94"/>
  <c r="BL190" i="94" s="1"/>
  <c r="BJ189" i="94"/>
  <c r="BI189" i="94"/>
  <c r="BH189" i="94"/>
  <c r="BL189" i="94" s="1"/>
  <c r="BJ188" i="94"/>
  <c r="BI188" i="94"/>
  <c r="BH188" i="94"/>
  <c r="BL188" i="94" s="1"/>
  <c r="BJ187" i="94"/>
  <c r="BI187" i="94"/>
  <c r="BH187" i="94"/>
  <c r="BL187" i="94" s="1"/>
  <c r="BJ186" i="94"/>
  <c r="BI186" i="94"/>
  <c r="BH186" i="94"/>
  <c r="BL186" i="94" s="1"/>
  <c r="BJ185" i="94"/>
  <c r="BI185" i="94"/>
  <c r="BH185" i="94"/>
  <c r="BL185" i="94" s="1"/>
  <c r="BJ184" i="94"/>
  <c r="BI184" i="94"/>
  <c r="BH184" i="94"/>
  <c r="BL184" i="94" s="1"/>
  <c r="BJ183" i="94"/>
  <c r="BI183" i="94"/>
  <c r="BH183" i="94"/>
  <c r="BL183" i="94" s="1"/>
  <c r="BJ204" i="94"/>
  <c r="BI204" i="94"/>
  <c r="BH204" i="94"/>
  <c r="BL204" i="94" s="1"/>
  <c r="BL323" i="94" s="1"/>
  <c r="BJ203" i="94"/>
  <c r="BI203" i="94"/>
  <c r="BH203" i="94"/>
  <c r="BL203" i="94" s="1"/>
  <c r="BL322" i="94" s="1"/>
  <c r="BJ202" i="94"/>
  <c r="BI202" i="94"/>
  <c r="BH202" i="94"/>
  <c r="BL202" i="94" s="1"/>
  <c r="BL321" i="94" s="1"/>
  <c r="BJ201" i="94"/>
  <c r="BI201" i="94"/>
  <c r="BH201" i="94"/>
  <c r="BL201" i="94" s="1"/>
  <c r="BL320" i="94" s="1"/>
  <c r="BJ200" i="94"/>
  <c r="BI200" i="94"/>
  <c r="BH200" i="94"/>
  <c r="BL200" i="94" s="1"/>
  <c r="BL319" i="94" s="1"/>
  <c r="BJ199" i="94"/>
  <c r="BI199" i="94"/>
  <c r="BH199" i="94"/>
  <c r="BL199" i="94" s="1"/>
  <c r="BJ198" i="94"/>
  <c r="BI198" i="94"/>
  <c r="BH198" i="94"/>
  <c r="BL198" i="94" s="1"/>
  <c r="BJ197" i="94"/>
  <c r="BI197" i="94"/>
  <c r="BH197" i="94"/>
  <c r="BL197" i="94" s="1"/>
  <c r="BJ196" i="94"/>
  <c r="BI196" i="94"/>
  <c r="BH196" i="94"/>
  <c r="BL196" i="94" s="1"/>
  <c r="BL193" i="94" l="1"/>
  <c r="CM114" i="4"/>
  <c r="CN84" i="4"/>
  <c r="AL23" i="2"/>
  <c r="BI19" i="2"/>
  <c r="BG23" i="2"/>
  <c r="AE23" i="2"/>
  <c r="BF23" i="2"/>
  <c r="AK23" i="2"/>
  <c r="BH23" i="2"/>
  <c r="AN23" i="2"/>
  <c r="BB23" i="2"/>
  <c r="AH23" i="2"/>
  <c r="BC23" i="2"/>
  <c r="AP23" i="2"/>
  <c r="AW23" i="2"/>
  <c r="AJ23" i="2"/>
  <c r="AQ23" i="2"/>
  <c r="BQ33" i="8"/>
  <c r="BP33" i="8"/>
  <c r="BO33" i="8"/>
  <c r="BN33" i="8"/>
  <c r="BM33" i="8"/>
  <c r="BL33" i="8"/>
  <c r="BQ22" i="8"/>
  <c r="BP22" i="8"/>
  <c r="BO22" i="8"/>
  <c r="BN22" i="8"/>
  <c r="BM22" i="8"/>
  <c r="BL22" i="8"/>
  <c r="BQ64" i="8"/>
  <c r="BP64" i="8"/>
  <c r="BO64" i="8"/>
  <c r="BN64" i="8"/>
  <c r="BM64" i="8"/>
  <c r="BL64" i="8"/>
  <c r="BQ54" i="8"/>
  <c r="BP54" i="8"/>
  <c r="BO54" i="8"/>
  <c r="BN54" i="8"/>
  <c r="BM54" i="8"/>
  <c r="BL54" i="8"/>
  <c r="BQ44" i="8"/>
  <c r="BP44" i="8"/>
  <c r="BO44" i="8"/>
  <c r="BN44" i="8"/>
  <c r="BM44" i="8"/>
  <c r="BL44" i="8"/>
  <c r="BQ357" i="8" l="1"/>
  <c r="BP357" i="8"/>
  <c r="BL357" i="8"/>
  <c r="BN357" i="8"/>
  <c r="BO357" i="8"/>
  <c r="BM357" i="8"/>
  <c r="CN114" i="4"/>
  <c r="CO84" i="4"/>
  <c r="AM374" i="8"/>
  <c r="AS374" i="8"/>
  <c r="AY374" i="8"/>
  <c r="BE374" i="8"/>
  <c r="BP374" i="8"/>
  <c r="AN374" i="8"/>
  <c r="AT374" i="8"/>
  <c r="AZ374" i="8"/>
  <c r="BF374" i="8"/>
  <c r="BQ374" i="8"/>
  <c r="AO374" i="8"/>
  <c r="AU374" i="8"/>
  <c r="BA374" i="8"/>
  <c r="BG374" i="8"/>
  <c r="BK375" i="8" s="1"/>
  <c r="BL374" i="8"/>
  <c r="BR374" i="8"/>
  <c r="AP374" i="8"/>
  <c r="AV374" i="8"/>
  <c r="BB374" i="8"/>
  <c r="BH374" i="8"/>
  <c r="BM374" i="8"/>
  <c r="BS374" i="8"/>
  <c r="AQ374" i="8"/>
  <c r="AW374" i="8"/>
  <c r="BC374" i="8"/>
  <c r="BN374" i="8"/>
  <c r="BT374" i="8"/>
  <c r="BI374" i="8"/>
  <c r="AL374" i="8"/>
  <c r="AR374" i="8"/>
  <c r="AX374" i="8"/>
  <c r="BD374" i="8"/>
  <c r="BO374" i="8"/>
  <c r="BU374" i="8"/>
  <c r="CO114" i="4" l="1"/>
  <c r="CP84" i="4"/>
  <c r="CP114" i="4" l="1"/>
  <c r="CQ84" i="4"/>
  <c r="I12" i="92"/>
  <c r="CR84" i="4" l="1"/>
  <c r="CQ114" i="4"/>
  <c r="AE922" i="111"/>
  <c r="AD922" i="111"/>
  <c r="AC922" i="111"/>
  <c r="AB922" i="111"/>
  <c r="AA922" i="111"/>
  <c r="Z922" i="111"/>
  <c r="Y922" i="111"/>
  <c r="X922" i="111"/>
  <c r="W922" i="111"/>
  <c r="V922" i="111"/>
  <c r="U922" i="111"/>
  <c r="T922" i="111"/>
  <c r="S922" i="111"/>
  <c r="X918" i="111"/>
  <c r="W918" i="111"/>
  <c r="V918" i="111"/>
  <c r="U918" i="111"/>
  <c r="T918" i="111"/>
  <c r="S918" i="111"/>
  <c r="AE917" i="111"/>
  <c r="AD917" i="111"/>
  <c r="AC917" i="111"/>
  <c r="AB917" i="111"/>
  <c r="AA917" i="111"/>
  <c r="Z917" i="111"/>
  <c r="Y917" i="111"/>
  <c r="X917" i="111"/>
  <c r="W917" i="111"/>
  <c r="V917" i="111"/>
  <c r="U917" i="111"/>
  <c r="T917" i="111"/>
  <c r="S917" i="111"/>
  <c r="X913" i="111"/>
  <c r="W913" i="111"/>
  <c r="V913" i="111"/>
  <c r="U913" i="111"/>
  <c r="T913" i="111"/>
  <c r="S913" i="111"/>
  <c r="AE909" i="111"/>
  <c r="AD909" i="111"/>
  <c r="AC909" i="111"/>
  <c r="AB909" i="111"/>
  <c r="AA909" i="111"/>
  <c r="Z909" i="111"/>
  <c r="Y909" i="111"/>
  <c r="X909" i="111"/>
  <c r="W909" i="111"/>
  <c r="V909" i="111"/>
  <c r="U909" i="111"/>
  <c r="T909" i="111"/>
  <c r="S909" i="111"/>
  <c r="R909" i="111"/>
  <c r="Q909" i="111"/>
  <c r="P909" i="111"/>
  <c r="O909" i="111"/>
  <c r="N909" i="111"/>
  <c r="M909" i="111"/>
  <c r="L909" i="111"/>
  <c r="K909" i="111"/>
  <c r="J909" i="111"/>
  <c r="I909" i="111"/>
  <c r="H909" i="111"/>
  <c r="G909" i="111"/>
  <c r="F909" i="111"/>
  <c r="E909" i="111"/>
  <c r="AE908" i="111"/>
  <c r="AD908" i="111"/>
  <c r="AC908" i="111"/>
  <c r="AB908" i="111"/>
  <c r="AA908" i="111"/>
  <c r="Z908" i="111"/>
  <c r="Y908" i="111"/>
  <c r="X908" i="111"/>
  <c r="W908" i="111"/>
  <c r="V908" i="111"/>
  <c r="U908" i="111"/>
  <c r="T908" i="111"/>
  <c r="S908" i="111"/>
  <c r="R908" i="111"/>
  <c r="Q908" i="111"/>
  <c r="P908" i="111"/>
  <c r="O908" i="111"/>
  <c r="N908" i="111"/>
  <c r="M908" i="111"/>
  <c r="L908" i="111"/>
  <c r="K908" i="111"/>
  <c r="J908" i="111"/>
  <c r="I908" i="111"/>
  <c r="H908" i="111"/>
  <c r="G908" i="111"/>
  <c r="F908" i="111"/>
  <c r="E908" i="111"/>
  <c r="AE907" i="111"/>
  <c r="AD907" i="111"/>
  <c r="AC907" i="111"/>
  <c r="AB907" i="111"/>
  <c r="AA907" i="111"/>
  <c r="Z907" i="111"/>
  <c r="Y907" i="111"/>
  <c r="X907" i="111"/>
  <c r="W907" i="111"/>
  <c r="V907" i="111"/>
  <c r="U907" i="111"/>
  <c r="T907" i="111"/>
  <c r="S907" i="111"/>
  <c r="R907" i="111"/>
  <c r="Q907" i="111"/>
  <c r="P907" i="111"/>
  <c r="O907" i="111"/>
  <c r="N907" i="111"/>
  <c r="M907" i="111"/>
  <c r="L907" i="111"/>
  <c r="K907" i="111"/>
  <c r="J907" i="111"/>
  <c r="I907" i="111"/>
  <c r="H907" i="111"/>
  <c r="G907" i="111"/>
  <c r="F907" i="111"/>
  <c r="E907" i="111"/>
  <c r="D909" i="111"/>
  <c r="D908" i="111"/>
  <c r="D907" i="111"/>
  <c r="AE904" i="111"/>
  <c r="AD904" i="111"/>
  <c r="AC904" i="111"/>
  <c r="AB904" i="111"/>
  <c r="AA904" i="111"/>
  <c r="Z904" i="111"/>
  <c r="Y904" i="111"/>
  <c r="X904" i="111"/>
  <c r="W904" i="111"/>
  <c r="V904" i="111"/>
  <c r="U904" i="111"/>
  <c r="T904" i="111"/>
  <c r="S904" i="111"/>
  <c r="R904" i="111"/>
  <c r="Q904" i="111"/>
  <c r="P904" i="111"/>
  <c r="O904" i="111"/>
  <c r="N904" i="111"/>
  <c r="M904" i="111"/>
  <c r="L904" i="111"/>
  <c r="K904" i="111"/>
  <c r="J904" i="111"/>
  <c r="I904" i="111"/>
  <c r="H904" i="111"/>
  <c r="G904" i="111"/>
  <c r="F904" i="111"/>
  <c r="E904" i="111"/>
  <c r="D904" i="111"/>
  <c r="C904" i="111"/>
  <c r="AE903" i="111"/>
  <c r="AD903" i="111"/>
  <c r="AC903" i="111"/>
  <c r="AB903" i="111"/>
  <c r="AA903" i="111"/>
  <c r="Z903" i="111"/>
  <c r="Y903" i="111"/>
  <c r="X903" i="111"/>
  <c r="W903" i="111"/>
  <c r="V903" i="111"/>
  <c r="U903" i="111"/>
  <c r="T903" i="111"/>
  <c r="S903" i="111"/>
  <c r="R903" i="111"/>
  <c r="Q903" i="111"/>
  <c r="P903" i="111"/>
  <c r="O903" i="111"/>
  <c r="N903" i="111"/>
  <c r="M903" i="111"/>
  <c r="L903" i="111"/>
  <c r="K903" i="111"/>
  <c r="J903" i="111"/>
  <c r="I903" i="111"/>
  <c r="H903" i="111"/>
  <c r="G903" i="111"/>
  <c r="F903" i="111"/>
  <c r="E903" i="111"/>
  <c r="D903" i="111"/>
  <c r="C903" i="111"/>
  <c r="AE902" i="111"/>
  <c r="AD902" i="111"/>
  <c r="AC902" i="111"/>
  <c r="AB902" i="111"/>
  <c r="AA902" i="111"/>
  <c r="Z902" i="111"/>
  <c r="Y902" i="111"/>
  <c r="X902" i="111"/>
  <c r="W902" i="111"/>
  <c r="V902" i="111"/>
  <c r="U902" i="111"/>
  <c r="T902" i="111"/>
  <c r="S902" i="111"/>
  <c r="R902" i="111"/>
  <c r="Q902" i="111"/>
  <c r="P902" i="111"/>
  <c r="O902" i="111"/>
  <c r="N902" i="111"/>
  <c r="M902" i="111"/>
  <c r="L902" i="111"/>
  <c r="K902" i="111"/>
  <c r="J902" i="111"/>
  <c r="I902" i="111"/>
  <c r="H902" i="111"/>
  <c r="G902" i="111"/>
  <c r="F902" i="111"/>
  <c r="E902" i="111"/>
  <c r="D902" i="111"/>
  <c r="C902" i="111"/>
  <c r="B904" i="111"/>
  <c r="B903" i="111"/>
  <c r="B902" i="111"/>
  <c r="AE910" i="111"/>
  <c r="AD910" i="111"/>
  <c r="AC910" i="111"/>
  <c r="AB910" i="111"/>
  <c r="AA910" i="111"/>
  <c r="Z910" i="111"/>
  <c r="Y910" i="111"/>
  <c r="X910" i="111"/>
  <c r="W910" i="111"/>
  <c r="V910" i="111"/>
  <c r="U910" i="111"/>
  <c r="T910" i="111"/>
  <c r="S910" i="111"/>
  <c r="C909" i="111"/>
  <c r="B909" i="111"/>
  <c r="C908" i="111"/>
  <c r="B908" i="111"/>
  <c r="C907" i="111"/>
  <c r="B907" i="111"/>
  <c r="X906" i="111"/>
  <c r="W906" i="111"/>
  <c r="V906" i="111"/>
  <c r="U906" i="111"/>
  <c r="T906" i="111"/>
  <c r="S906" i="111"/>
  <c r="AE905" i="111"/>
  <c r="AD905" i="111"/>
  <c r="AC905" i="111"/>
  <c r="AB905" i="111"/>
  <c r="AA905" i="111"/>
  <c r="Z905" i="111"/>
  <c r="Y905" i="111"/>
  <c r="X905" i="111"/>
  <c r="W905" i="111"/>
  <c r="V905" i="111"/>
  <c r="U905" i="111"/>
  <c r="T905" i="111"/>
  <c r="S905" i="111"/>
  <c r="X901" i="111"/>
  <c r="W901" i="111"/>
  <c r="V901" i="111"/>
  <c r="U901" i="111"/>
  <c r="T901" i="111"/>
  <c r="S901" i="111"/>
  <c r="CR114" i="4" l="1"/>
  <c r="CS84" i="4"/>
  <c r="BJ418" i="94"/>
  <c r="BJ419" i="94"/>
  <c r="BJ430" i="94"/>
  <c r="BJ429" i="94" l="1"/>
  <c r="BK429" i="94" s="1"/>
  <c r="BL429" i="94" s="1"/>
  <c r="BK430" i="94"/>
  <c r="CS114" i="4"/>
  <c r="CT84" i="4"/>
  <c r="BK421" i="94" l="1"/>
  <c r="BL430" i="94"/>
  <c r="BL421" i="94" s="1"/>
  <c r="BL420" i="94"/>
  <c r="BK420" i="94"/>
  <c r="BK432" i="94"/>
  <c r="CT114" i="4"/>
  <c r="CU84" i="4"/>
  <c r="BH397" i="94"/>
  <c r="BI397" i="94" s="1"/>
  <c r="BJ397" i="94" s="1"/>
  <c r="BK397" i="94" s="1"/>
  <c r="BL397" i="94" s="1"/>
  <c r="BH380" i="94"/>
  <c r="BI380" i="94" s="1"/>
  <c r="BJ380" i="94" s="1"/>
  <c r="BK380" i="94" s="1"/>
  <c r="BL380" i="94" s="1"/>
  <c r="BH72" i="94"/>
  <c r="BH71" i="94"/>
  <c r="BH70" i="94"/>
  <c r="BH69" i="94"/>
  <c r="BH68" i="94"/>
  <c r="BH67" i="94"/>
  <c r="BI67" i="94" s="1"/>
  <c r="BJ67" i="94" s="1"/>
  <c r="BK67" i="94" s="1"/>
  <c r="BH66" i="94"/>
  <c r="BI66" i="94" s="1"/>
  <c r="BJ66" i="94" s="1"/>
  <c r="BK66" i="94" s="1"/>
  <c r="BH65" i="94"/>
  <c r="BI65" i="94" s="1"/>
  <c r="BJ65" i="94" s="1"/>
  <c r="BK65" i="94" s="1"/>
  <c r="BL65" i="94" s="1"/>
  <c r="BJ153" i="94"/>
  <c r="BK153" i="94" s="1"/>
  <c r="BJ152" i="94"/>
  <c r="BK152" i="94" s="1"/>
  <c r="BL152" i="94" s="1"/>
  <c r="BJ151" i="94"/>
  <c r="BK151" i="94" s="1"/>
  <c r="BL151" i="94" s="1"/>
  <c r="BJ150" i="94"/>
  <c r="BK150" i="94" s="1"/>
  <c r="BL150" i="94" s="1"/>
  <c r="BJ149" i="94"/>
  <c r="BK149" i="94" s="1"/>
  <c r="BL149" i="94" s="1"/>
  <c r="BJ148" i="94"/>
  <c r="BK148" i="94" s="1"/>
  <c r="BL148" i="94" s="1"/>
  <c r="BJ147" i="94"/>
  <c r="BK147" i="94" s="1"/>
  <c r="BL147" i="94" s="1"/>
  <c r="BJ146" i="94"/>
  <c r="BK146" i="94" s="1"/>
  <c r="BL146" i="94" s="1"/>
  <c r="BJ145" i="94"/>
  <c r="BK145" i="94" s="1"/>
  <c r="BL145" i="94" s="1"/>
  <c r="BJ144" i="94"/>
  <c r="BK144" i="94" s="1"/>
  <c r="BL144" i="94" s="1"/>
  <c r="BJ139" i="94"/>
  <c r="BK139" i="94" s="1"/>
  <c r="BL139" i="94" s="1"/>
  <c r="BL165" i="94" s="1"/>
  <c r="BL288" i="94" s="1"/>
  <c r="BJ138" i="94"/>
  <c r="BK138" i="94" s="1"/>
  <c r="BL138" i="94" s="1"/>
  <c r="BJ137" i="94"/>
  <c r="BK137" i="94" s="1"/>
  <c r="BL137" i="94" s="1"/>
  <c r="BJ136" i="94"/>
  <c r="BK136" i="94" s="1"/>
  <c r="BL136" i="94" s="1"/>
  <c r="BJ135" i="94"/>
  <c r="BK135" i="94" s="1"/>
  <c r="BL135" i="94" s="1"/>
  <c r="BJ134" i="94"/>
  <c r="BK134" i="94" s="1"/>
  <c r="BL134" i="94" s="1"/>
  <c r="BJ133" i="94"/>
  <c r="BK133" i="94" s="1"/>
  <c r="BL133" i="94" s="1"/>
  <c r="BL159" i="94" s="1"/>
  <c r="BL279" i="94" s="1"/>
  <c r="BJ132" i="94"/>
  <c r="BK132" i="94" s="1"/>
  <c r="BL132" i="94" s="1"/>
  <c r="BJ131" i="94"/>
  <c r="BK131" i="94" s="1"/>
  <c r="BL131" i="94" s="1"/>
  <c r="BJ61" i="94"/>
  <c r="BK61" i="94" s="1"/>
  <c r="BJ60" i="94"/>
  <c r="BK60" i="94" s="1"/>
  <c r="BJ59" i="94"/>
  <c r="BK59" i="94" s="1"/>
  <c r="BL59" i="94" s="1"/>
  <c r="BJ58" i="94"/>
  <c r="BK58" i="94" s="1"/>
  <c r="BJ57" i="94"/>
  <c r="BK57" i="94" s="1"/>
  <c r="BL57" i="94" s="1"/>
  <c r="BL280" i="94" s="1"/>
  <c r="BJ56" i="94"/>
  <c r="BK56" i="94" s="1"/>
  <c r="BL56" i="94" s="1"/>
  <c r="BJ55" i="94"/>
  <c r="BK55" i="94" s="1"/>
  <c r="BL55" i="94" s="1"/>
  <c r="BJ54" i="94"/>
  <c r="BK54" i="94" s="1"/>
  <c r="BL54" i="94" s="1"/>
  <c r="AN169" i="25"/>
  <c r="AM169" i="25"/>
  <c r="AL169" i="25"/>
  <c r="AK169" i="25"/>
  <c r="AN166" i="25"/>
  <c r="AM166" i="25"/>
  <c r="AL166" i="25"/>
  <c r="AK166" i="25"/>
  <c r="AN142" i="25"/>
  <c r="AM142" i="25"/>
  <c r="AL142" i="25"/>
  <c r="AK142" i="25"/>
  <c r="AN117" i="25"/>
  <c r="AM117" i="25"/>
  <c r="AL117" i="25"/>
  <c r="AK117" i="25"/>
  <c r="AN116" i="25"/>
  <c r="AM116" i="25"/>
  <c r="AL116" i="25"/>
  <c r="AK116" i="25"/>
  <c r="AM115" i="25"/>
  <c r="AL115" i="25"/>
  <c r="AK115" i="25"/>
  <c r="AL114" i="25"/>
  <c r="AL113" i="25"/>
  <c r="AL112" i="25"/>
  <c r="AL111" i="25"/>
  <c r="AL110" i="25"/>
  <c r="AL109" i="25"/>
  <c r="AN108" i="25"/>
  <c r="AM108" i="25"/>
  <c r="AL108" i="25"/>
  <c r="AK108" i="25"/>
  <c r="AL107" i="25"/>
  <c r="AN106" i="25"/>
  <c r="AM106" i="25"/>
  <c r="AL106" i="25"/>
  <c r="AK106" i="25"/>
  <c r="AL105" i="25"/>
  <c r="AN104" i="25"/>
  <c r="AM104" i="25"/>
  <c r="AL104" i="25"/>
  <c r="AK104" i="25"/>
  <c r="AL103" i="25"/>
  <c r="AL102" i="25"/>
  <c r="AL101" i="25"/>
  <c r="AL100" i="25"/>
  <c r="AL99" i="25"/>
  <c r="AL98" i="25"/>
  <c r="AL97" i="25"/>
  <c r="AL96" i="25"/>
  <c r="AL95" i="25"/>
  <c r="AL93" i="25"/>
  <c r="AL92" i="25"/>
  <c r="AL91" i="25"/>
  <c r="AL90" i="25"/>
  <c r="AL89" i="25"/>
  <c r="AL88" i="25"/>
  <c r="AN75" i="25"/>
  <c r="AM75" i="25"/>
  <c r="AL75" i="25"/>
  <c r="AK75" i="25"/>
  <c r="AN74" i="25"/>
  <c r="AM74" i="25"/>
  <c r="AL74" i="25"/>
  <c r="AK74" i="25"/>
  <c r="AN73" i="25"/>
  <c r="AM73" i="25"/>
  <c r="AL73" i="25"/>
  <c r="AK73" i="25"/>
  <c r="AN72" i="25"/>
  <c r="AM72" i="25"/>
  <c r="AL72" i="25"/>
  <c r="AK72" i="25"/>
  <c r="AN69" i="25"/>
  <c r="AM69" i="25"/>
  <c r="AL69" i="25"/>
  <c r="AK69" i="25"/>
  <c r="AN67" i="25"/>
  <c r="AM67" i="25"/>
  <c r="AL67" i="25"/>
  <c r="AK67" i="25"/>
  <c r="AN47" i="25"/>
  <c r="AM47" i="25"/>
  <c r="AL47" i="25"/>
  <c r="AK47" i="25"/>
  <c r="AN40" i="25"/>
  <c r="AM40" i="25"/>
  <c r="AL40" i="25"/>
  <c r="AK40" i="25"/>
  <c r="AN39" i="25"/>
  <c r="AM39" i="25"/>
  <c r="AL39" i="25"/>
  <c r="AK39" i="25"/>
  <c r="AN38" i="25"/>
  <c r="AM38" i="25"/>
  <c r="AL38" i="25"/>
  <c r="AK38" i="25"/>
  <c r="AN36" i="25"/>
  <c r="AM36" i="25"/>
  <c r="AL36" i="25"/>
  <c r="AK36" i="25"/>
  <c r="AN30" i="25"/>
  <c r="AM30" i="25"/>
  <c r="AL30" i="25"/>
  <c r="AK30" i="25"/>
  <c r="AN29" i="25"/>
  <c r="AM29" i="25"/>
  <c r="AL29" i="25"/>
  <c r="AK29" i="25"/>
  <c r="AN24" i="25"/>
  <c r="AM24" i="25"/>
  <c r="AL24" i="25"/>
  <c r="AK24" i="25"/>
  <c r="AN23" i="25"/>
  <c r="AM23" i="25"/>
  <c r="AL23" i="25"/>
  <c r="AK23" i="25"/>
  <c r="AN22" i="25"/>
  <c r="AM22" i="25"/>
  <c r="AL22" i="25"/>
  <c r="AK22" i="25"/>
  <c r="AN21" i="25"/>
  <c r="AM21" i="25"/>
  <c r="AL21" i="25"/>
  <c r="AK21" i="25"/>
  <c r="AN20" i="25"/>
  <c r="AM20" i="25"/>
  <c r="AL20" i="25"/>
  <c r="AK20" i="25"/>
  <c r="AN19" i="25"/>
  <c r="AM19" i="25"/>
  <c r="AL19" i="25"/>
  <c r="AK19" i="25"/>
  <c r="AN18" i="25"/>
  <c r="AM18" i="25"/>
  <c r="AL18" i="25"/>
  <c r="AK18" i="25"/>
  <c r="AN17" i="25"/>
  <c r="AM17" i="25"/>
  <c r="AL17" i="25"/>
  <c r="AK17" i="25"/>
  <c r="AN16" i="25"/>
  <c r="AM16" i="25"/>
  <c r="AL16" i="25"/>
  <c r="AK16" i="25"/>
  <c r="AN15" i="25"/>
  <c r="AM15" i="25"/>
  <c r="AL15" i="25"/>
  <c r="AK15" i="25"/>
  <c r="AN14" i="25"/>
  <c r="AM14" i="25"/>
  <c r="AL14" i="25"/>
  <c r="AK14" i="25"/>
  <c r="AN13" i="25"/>
  <c r="AM13" i="25"/>
  <c r="AL13" i="25"/>
  <c r="AK13" i="25"/>
  <c r="AN12" i="25"/>
  <c r="AM12" i="25"/>
  <c r="AL12" i="25"/>
  <c r="AK12" i="25"/>
  <c r="AN11" i="25"/>
  <c r="AM11" i="25"/>
  <c r="AL11" i="25"/>
  <c r="AK11" i="25"/>
  <c r="AN10" i="25"/>
  <c r="AM10" i="25"/>
  <c r="AL10" i="25"/>
  <c r="AK10" i="25"/>
  <c r="AN9" i="25"/>
  <c r="AM9" i="25"/>
  <c r="AL9" i="25"/>
  <c r="AK9" i="25"/>
  <c r="AN8" i="25"/>
  <c r="AM8" i="25"/>
  <c r="AL8" i="25"/>
  <c r="AK8" i="25"/>
  <c r="AN7" i="25"/>
  <c r="AM7" i="25"/>
  <c r="AL7" i="25"/>
  <c r="AK7" i="25"/>
  <c r="AN6" i="25"/>
  <c r="AM6" i="25"/>
  <c r="AL6" i="25"/>
  <c r="AK6" i="25"/>
  <c r="AN5" i="25"/>
  <c r="AM5" i="25"/>
  <c r="AL5" i="25"/>
  <c r="AK5" i="25"/>
  <c r="AN169" i="24"/>
  <c r="AM169" i="24"/>
  <c r="AL169" i="24"/>
  <c r="AK169" i="24"/>
  <c r="AN166" i="24"/>
  <c r="AM166" i="24"/>
  <c r="AL166" i="24"/>
  <c r="AK166" i="24"/>
  <c r="AN142" i="24"/>
  <c r="AM142" i="24"/>
  <c r="AL142" i="24"/>
  <c r="AK142" i="24"/>
  <c r="AN117" i="24"/>
  <c r="AM117" i="24"/>
  <c r="AL117" i="24"/>
  <c r="AK117" i="24"/>
  <c r="AN116" i="24"/>
  <c r="AM116" i="24"/>
  <c r="AL116" i="24"/>
  <c r="AK116" i="24"/>
  <c r="AM115" i="24"/>
  <c r="AL115" i="24"/>
  <c r="AK115" i="24"/>
  <c r="AL114" i="24"/>
  <c r="AL113" i="24"/>
  <c r="AL112" i="24"/>
  <c r="AL111" i="24"/>
  <c r="AL110" i="24"/>
  <c r="AL109" i="24"/>
  <c r="AN108" i="24"/>
  <c r="AM108" i="24"/>
  <c r="AL108" i="24"/>
  <c r="AK108" i="24"/>
  <c r="AL107" i="24"/>
  <c r="AN106" i="24"/>
  <c r="AM106" i="24"/>
  <c r="AL106" i="24"/>
  <c r="AK106" i="24"/>
  <c r="AL105" i="24"/>
  <c r="AN104" i="24"/>
  <c r="AM104" i="24"/>
  <c r="AL104" i="24"/>
  <c r="AK104" i="24"/>
  <c r="AL103" i="24"/>
  <c r="AL102" i="24"/>
  <c r="AL101" i="24"/>
  <c r="AL100" i="24"/>
  <c r="AL99" i="24"/>
  <c r="AL98" i="24"/>
  <c r="AL97" i="24"/>
  <c r="AL96" i="24"/>
  <c r="AL95" i="24"/>
  <c r="AL93" i="24"/>
  <c r="AL92" i="24"/>
  <c r="AL91" i="24"/>
  <c r="AL90" i="24"/>
  <c r="AL89" i="24"/>
  <c r="AL88" i="24"/>
  <c r="AN75" i="24"/>
  <c r="AM75" i="24"/>
  <c r="AL75" i="24"/>
  <c r="AK75" i="24"/>
  <c r="AN74" i="24"/>
  <c r="AM74" i="24"/>
  <c r="AL74" i="24"/>
  <c r="AK74" i="24"/>
  <c r="AN73" i="24"/>
  <c r="AM73" i="24"/>
  <c r="AL73" i="24"/>
  <c r="AK73" i="24"/>
  <c r="AN72" i="24"/>
  <c r="AM72" i="24"/>
  <c r="AL72" i="24"/>
  <c r="AK72" i="24"/>
  <c r="AN69" i="24"/>
  <c r="AM69" i="24"/>
  <c r="AL69" i="24"/>
  <c r="AK69" i="24"/>
  <c r="AN67" i="24"/>
  <c r="AM67" i="24"/>
  <c r="AL67" i="24"/>
  <c r="AK67" i="24"/>
  <c r="AN47" i="24"/>
  <c r="AM47" i="24"/>
  <c r="AL47" i="24"/>
  <c r="AK47" i="24"/>
  <c r="AN40" i="24"/>
  <c r="AM40" i="24"/>
  <c r="AL40" i="24"/>
  <c r="AK40" i="24"/>
  <c r="AN39" i="24"/>
  <c r="AM39" i="24"/>
  <c r="AL39" i="24"/>
  <c r="AK39" i="24"/>
  <c r="AN38" i="24"/>
  <c r="AM38" i="24"/>
  <c r="AL38" i="24"/>
  <c r="AK38" i="24"/>
  <c r="AN36" i="24"/>
  <c r="AM36" i="24"/>
  <c r="AL36" i="24"/>
  <c r="AK36" i="24"/>
  <c r="AN30" i="24"/>
  <c r="AM30" i="24"/>
  <c r="AL30" i="24"/>
  <c r="AK30" i="24"/>
  <c r="AN29" i="24"/>
  <c r="AM29" i="24"/>
  <c r="AL29" i="24"/>
  <c r="AK29" i="24"/>
  <c r="AN24" i="24"/>
  <c r="AM24" i="24"/>
  <c r="AL24" i="24"/>
  <c r="AK24" i="24"/>
  <c r="AN23" i="24"/>
  <c r="AM23" i="24"/>
  <c r="AL23" i="24"/>
  <c r="AK23" i="24"/>
  <c r="AN22" i="24"/>
  <c r="AM22" i="24"/>
  <c r="AL22" i="24"/>
  <c r="AK22" i="24"/>
  <c r="AN21" i="24"/>
  <c r="AM21" i="24"/>
  <c r="AL21" i="24"/>
  <c r="AK21" i="24"/>
  <c r="AN20" i="24"/>
  <c r="AM20" i="24"/>
  <c r="AL20" i="24"/>
  <c r="AK20" i="24"/>
  <c r="AN19" i="24"/>
  <c r="AM19" i="24"/>
  <c r="AL19" i="24"/>
  <c r="AK19" i="24"/>
  <c r="AN18" i="24"/>
  <c r="AM18" i="24"/>
  <c r="AL18" i="24"/>
  <c r="AK18" i="24"/>
  <c r="AN17" i="24"/>
  <c r="AM17" i="24"/>
  <c r="AL17" i="24"/>
  <c r="AK17" i="24"/>
  <c r="AN16" i="24"/>
  <c r="AM16" i="24"/>
  <c r="AL16" i="24"/>
  <c r="AK16" i="24"/>
  <c r="AN15" i="24"/>
  <c r="AM15" i="24"/>
  <c r="AL15" i="24"/>
  <c r="AK15" i="24"/>
  <c r="AN14" i="24"/>
  <c r="AM14" i="24"/>
  <c r="AL14" i="24"/>
  <c r="AK14" i="24"/>
  <c r="AN13" i="24"/>
  <c r="AM13" i="24"/>
  <c r="AL13" i="24"/>
  <c r="AK13" i="24"/>
  <c r="AN12" i="24"/>
  <c r="AM12" i="24"/>
  <c r="AL12" i="24"/>
  <c r="AK12" i="24"/>
  <c r="AN11" i="24"/>
  <c r="AM11" i="24"/>
  <c r="AL11" i="24"/>
  <c r="AK11" i="24"/>
  <c r="AN10" i="24"/>
  <c r="AM10" i="24"/>
  <c r="AL10" i="24"/>
  <c r="AK10" i="24"/>
  <c r="AN9" i="24"/>
  <c r="AM9" i="24"/>
  <c r="AL9" i="24"/>
  <c r="AK9" i="24"/>
  <c r="AN8" i="24"/>
  <c r="AM8" i="24"/>
  <c r="AL8" i="24"/>
  <c r="AK8" i="24"/>
  <c r="AN7" i="24"/>
  <c r="AM7" i="24"/>
  <c r="AL7" i="24"/>
  <c r="AK7" i="24"/>
  <c r="AN6" i="24"/>
  <c r="AM6" i="24"/>
  <c r="AL6" i="24"/>
  <c r="AK6" i="24"/>
  <c r="AN5" i="24"/>
  <c r="AM5" i="24"/>
  <c r="AL5" i="24"/>
  <c r="AK5" i="24"/>
  <c r="AN169" i="23"/>
  <c r="AM169" i="23"/>
  <c r="AL169" i="23"/>
  <c r="AK169" i="23"/>
  <c r="AN166" i="23"/>
  <c r="AM166" i="23"/>
  <c r="AL166" i="23"/>
  <c r="AK166" i="23"/>
  <c r="AN142" i="23"/>
  <c r="AM142" i="23"/>
  <c r="AL142" i="23"/>
  <c r="AK142" i="23"/>
  <c r="AN117" i="23"/>
  <c r="AM117" i="23"/>
  <c r="AL117" i="23"/>
  <c r="AK117" i="23"/>
  <c r="AN116" i="23"/>
  <c r="AM116" i="23"/>
  <c r="AL116" i="23"/>
  <c r="AK116" i="23"/>
  <c r="AM115" i="23"/>
  <c r="AL115" i="23"/>
  <c r="AK115" i="23"/>
  <c r="AL114" i="23"/>
  <c r="AL113" i="23"/>
  <c r="AL112" i="23"/>
  <c r="AL111" i="23"/>
  <c r="AL110" i="23"/>
  <c r="AL109" i="23"/>
  <c r="AN108" i="23"/>
  <c r="AM108" i="23"/>
  <c r="AL108" i="23"/>
  <c r="AK108" i="23"/>
  <c r="AL107" i="23"/>
  <c r="AN106" i="23"/>
  <c r="AM106" i="23"/>
  <c r="AL106" i="23"/>
  <c r="AK106" i="23"/>
  <c r="AL105" i="23"/>
  <c r="AN104" i="23"/>
  <c r="AM104" i="23"/>
  <c r="AL104" i="23"/>
  <c r="AK104" i="23"/>
  <c r="AL103" i="23"/>
  <c r="AL102" i="23"/>
  <c r="AL101" i="23"/>
  <c r="AL100" i="23"/>
  <c r="AL99" i="23"/>
  <c r="AL98" i="23"/>
  <c r="AL97" i="23"/>
  <c r="AL96" i="23"/>
  <c r="AL95" i="23"/>
  <c r="AL93" i="23"/>
  <c r="AL92" i="23"/>
  <c r="AL91" i="23"/>
  <c r="AL90" i="23"/>
  <c r="AL89" i="23"/>
  <c r="AL88" i="23"/>
  <c r="AN75" i="23"/>
  <c r="AM75" i="23"/>
  <c r="AL75" i="23"/>
  <c r="AK75" i="23"/>
  <c r="AN74" i="23"/>
  <c r="AM74" i="23"/>
  <c r="AL74" i="23"/>
  <c r="AK74" i="23"/>
  <c r="AN73" i="23"/>
  <c r="AM73" i="23"/>
  <c r="AL73" i="23"/>
  <c r="AK73" i="23"/>
  <c r="AN72" i="23"/>
  <c r="AM72" i="23"/>
  <c r="AL72" i="23"/>
  <c r="AK72" i="23"/>
  <c r="AN69" i="23"/>
  <c r="AM69" i="23"/>
  <c r="AL69" i="23"/>
  <c r="AK69" i="23"/>
  <c r="AN67" i="23"/>
  <c r="AM67" i="23"/>
  <c r="AL67" i="23"/>
  <c r="AK67" i="23"/>
  <c r="AN47" i="23"/>
  <c r="AM47" i="23"/>
  <c r="AL47" i="23"/>
  <c r="AK47" i="23"/>
  <c r="AN40" i="23"/>
  <c r="AM40" i="23"/>
  <c r="AL40" i="23"/>
  <c r="AK40" i="23"/>
  <c r="AN39" i="23"/>
  <c r="AM39" i="23"/>
  <c r="AL39" i="23"/>
  <c r="AK39" i="23"/>
  <c r="AN38" i="23"/>
  <c r="AM38" i="23"/>
  <c r="AL38" i="23"/>
  <c r="AK38" i="23"/>
  <c r="AN36" i="23"/>
  <c r="AM36" i="23"/>
  <c r="AL36" i="23"/>
  <c r="AK36" i="23"/>
  <c r="AN29" i="23"/>
  <c r="AM29" i="23"/>
  <c r="AL29" i="23"/>
  <c r="AK29" i="23"/>
  <c r="AN24" i="23"/>
  <c r="AM24" i="23"/>
  <c r="AL24" i="23"/>
  <c r="AK24" i="23"/>
  <c r="AN23" i="23"/>
  <c r="AM23" i="23"/>
  <c r="AL23" i="23"/>
  <c r="AK23" i="23"/>
  <c r="AN22" i="23"/>
  <c r="AM22" i="23"/>
  <c r="AL22" i="23"/>
  <c r="AK22" i="23"/>
  <c r="AN21" i="23"/>
  <c r="AM21" i="23"/>
  <c r="AL21" i="23"/>
  <c r="AK21" i="23"/>
  <c r="AN20" i="23"/>
  <c r="AM20" i="23"/>
  <c r="AL20" i="23"/>
  <c r="AK20" i="23"/>
  <c r="AN19" i="23"/>
  <c r="AM19" i="23"/>
  <c r="AL19" i="23"/>
  <c r="AK19" i="23"/>
  <c r="AN18" i="23"/>
  <c r="AM18" i="23"/>
  <c r="AL18" i="23"/>
  <c r="AK18" i="23"/>
  <c r="AN17" i="23"/>
  <c r="AM17" i="23"/>
  <c r="AL17" i="23"/>
  <c r="AK17" i="23"/>
  <c r="AN16" i="23"/>
  <c r="AM16" i="23"/>
  <c r="AL16" i="23"/>
  <c r="AK16" i="23"/>
  <c r="AN15" i="23"/>
  <c r="AM15" i="23"/>
  <c r="AL15" i="23"/>
  <c r="AK15" i="23"/>
  <c r="AN14" i="23"/>
  <c r="AM14" i="23"/>
  <c r="AL14" i="23"/>
  <c r="AK14" i="23"/>
  <c r="AN13" i="23"/>
  <c r="AM13" i="23"/>
  <c r="AL13" i="23"/>
  <c r="AK13" i="23"/>
  <c r="AN12" i="23"/>
  <c r="AM12" i="23"/>
  <c r="AL12" i="23"/>
  <c r="AK12" i="23"/>
  <c r="AN11" i="23"/>
  <c r="AM11" i="23"/>
  <c r="AL11" i="23"/>
  <c r="AK11" i="23"/>
  <c r="AN10" i="23"/>
  <c r="AM10" i="23"/>
  <c r="AL10" i="23"/>
  <c r="AK10" i="23"/>
  <c r="AN9" i="23"/>
  <c r="AM9" i="23"/>
  <c r="AL9" i="23"/>
  <c r="AK9" i="23"/>
  <c r="AN8" i="23"/>
  <c r="AM8" i="23"/>
  <c r="AL8" i="23"/>
  <c r="AK8" i="23"/>
  <c r="AN7" i="23"/>
  <c r="AM7" i="23"/>
  <c r="AL7" i="23"/>
  <c r="AK7" i="23"/>
  <c r="AN6" i="23"/>
  <c r="AM6" i="23"/>
  <c r="AL6" i="23"/>
  <c r="AK6" i="23"/>
  <c r="AN5" i="23"/>
  <c r="AM5" i="23"/>
  <c r="AL5" i="23"/>
  <c r="AK5" i="23"/>
  <c r="BL163" i="94" l="1"/>
  <c r="BL286" i="94" s="1"/>
  <c r="BL375" i="94" s="1"/>
  <c r="BL161" i="94"/>
  <c r="BL284" i="94" s="1"/>
  <c r="BL373" i="94" s="1"/>
  <c r="BL160" i="94"/>
  <c r="BL282" i="94" s="1"/>
  <c r="BL432" i="94"/>
  <c r="BK281" i="94"/>
  <c r="BL58" i="94"/>
  <c r="BL281" i="94" s="1"/>
  <c r="BL368" i="94"/>
  <c r="BL377" i="94"/>
  <c r="BL358" i="94"/>
  <c r="BK314" i="94"/>
  <c r="BK437" i="94" s="1"/>
  <c r="BL66" i="94"/>
  <c r="BL314" i="94" s="1"/>
  <c r="BK313" i="94"/>
  <c r="BL67" i="94"/>
  <c r="BL313" i="94" s="1"/>
  <c r="BK290" i="94"/>
  <c r="BL60" i="94"/>
  <c r="BL290" i="94" s="1"/>
  <c r="BK283" i="94"/>
  <c r="BK372" i="94" s="1"/>
  <c r="BL61" i="94"/>
  <c r="BL283" i="94" s="1"/>
  <c r="BL162" i="94"/>
  <c r="BL285" i="94" s="1"/>
  <c r="BL423" i="94"/>
  <c r="BL157" i="94"/>
  <c r="BL141" i="94"/>
  <c r="BK166" i="94"/>
  <c r="BL153" i="94"/>
  <c r="BL166" i="94" s="1"/>
  <c r="BL369" i="94"/>
  <c r="BL158" i="94"/>
  <c r="BL278" i="94" s="1"/>
  <c r="BL164" i="94"/>
  <c r="BL287" i="94" s="1"/>
  <c r="BL312" i="94"/>
  <c r="BK157" i="94"/>
  <c r="BK163" i="94"/>
  <c r="BK286" i="94" s="1"/>
  <c r="BK158" i="94"/>
  <c r="BK278" i="94" s="1"/>
  <c r="BK367" i="94" s="1"/>
  <c r="BK164" i="94"/>
  <c r="BK287" i="94" s="1"/>
  <c r="BK376" i="94" s="1"/>
  <c r="BK162" i="94"/>
  <c r="BK285" i="94" s="1"/>
  <c r="BK159" i="94"/>
  <c r="BK279" i="94" s="1"/>
  <c r="BK368" i="94" s="1"/>
  <c r="BK165" i="94"/>
  <c r="BK288" i="94" s="1"/>
  <c r="BK377" i="94" s="1"/>
  <c r="BK161" i="94"/>
  <c r="BK284" i="94" s="1"/>
  <c r="BK160" i="94"/>
  <c r="BK282" i="94" s="1"/>
  <c r="BK423" i="94"/>
  <c r="CU114" i="4"/>
  <c r="CV84" i="4"/>
  <c r="BK280" i="94"/>
  <c r="BK370" i="94"/>
  <c r="BK154" i="94"/>
  <c r="BK312" i="94"/>
  <c r="BK141" i="94"/>
  <c r="BH312" i="94"/>
  <c r="BI71" i="94"/>
  <c r="BH325" i="94"/>
  <c r="BH314" i="94"/>
  <c r="BH323" i="94"/>
  <c r="BI72" i="94"/>
  <c r="BH318" i="94"/>
  <c r="BH319" i="94"/>
  <c r="BI68" i="94"/>
  <c r="BH315" i="94"/>
  <c r="BH320" i="94"/>
  <c r="BI69" i="94"/>
  <c r="BH316" i="94"/>
  <c r="BH321" i="94"/>
  <c r="BI70" i="94"/>
  <c r="BH317" i="94"/>
  <c r="BH313" i="94"/>
  <c r="BH322" i="94"/>
  <c r="BH193" i="94"/>
  <c r="BI312" i="94"/>
  <c r="BI313" i="94"/>
  <c r="X896" i="111"/>
  <c r="X884" i="111"/>
  <c r="X879" i="111"/>
  <c r="X874" i="111"/>
  <c r="X869" i="111"/>
  <c r="X844" i="111"/>
  <c r="X839" i="111"/>
  <c r="X834" i="111"/>
  <c r="X829" i="111"/>
  <c r="X824" i="111"/>
  <c r="X819" i="111"/>
  <c r="X814" i="111"/>
  <c r="X808" i="111"/>
  <c r="X796" i="111"/>
  <c r="BN562" i="111"/>
  <c r="BO562" i="111"/>
  <c r="BP562" i="111"/>
  <c r="BQ562" i="111"/>
  <c r="BN559" i="111"/>
  <c r="BO559" i="111"/>
  <c r="BP559" i="111"/>
  <c r="BQ559" i="111"/>
  <c r="BN556" i="111"/>
  <c r="BO556" i="111"/>
  <c r="BP556" i="111"/>
  <c r="BQ556" i="111"/>
  <c r="BN553" i="111"/>
  <c r="BO553" i="111"/>
  <c r="BP553" i="111"/>
  <c r="BQ553" i="111"/>
  <c r="BN550" i="111"/>
  <c r="BO550" i="111"/>
  <c r="BP550" i="111"/>
  <c r="BQ550" i="111"/>
  <c r="BN547" i="111"/>
  <c r="BO547" i="111"/>
  <c r="BP547" i="111"/>
  <c r="BQ547" i="111"/>
  <c r="BN544" i="111"/>
  <c r="BO544" i="111"/>
  <c r="BP544" i="111"/>
  <c r="BQ544" i="111"/>
  <c r="BN541" i="111"/>
  <c r="BO541" i="111"/>
  <c r="BP541" i="111"/>
  <c r="BQ541" i="111"/>
  <c r="BN536" i="111"/>
  <c r="BO536" i="111"/>
  <c r="BP536" i="111"/>
  <c r="BQ536" i="111"/>
  <c r="BQ502" i="111"/>
  <c r="BQ497" i="111"/>
  <c r="BQ492" i="111"/>
  <c r="BQ486" i="111"/>
  <c r="BQ483" i="111"/>
  <c r="BQ480" i="111"/>
  <c r="BQ476" i="111"/>
  <c r="BQ468" i="111"/>
  <c r="BQ437" i="111"/>
  <c r="BQ427" i="111"/>
  <c r="X421" i="111"/>
  <c r="X416" i="111"/>
  <c r="X411" i="111"/>
  <c r="X406" i="111"/>
  <c r="X401" i="111"/>
  <c r="X396" i="111"/>
  <c r="X391" i="111"/>
  <c r="X386" i="111"/>
  <c r="X380" i="111"/>
  <c r="X375" i="111"/>
  <c r="X370" i="111"/>
  <c r="X365" i="111"/>
  <c r="X360" i="111"/>
  <c r="X355" i="111"/>
  <c r="X350" i="111"/>
  <c r="X345" i="111"/>
  <c r="X340" i="111"/>
  <c r="X335" i="111"/>
  <c r="X331" i="111"/>
  <c r="X326" i="111"/>
  <c r="X321" i="111"/>
  <c r="X316" i="111"/>
  <c r="X311" i="111"/>
  <c r="X306" i="111"/>
  <c r="X301" i="111"/>
  <c r="X296" i="111"/>
  <c r="X291" i="111"/>
  <c r="X287" i="111"/>
  <c r="X273" i="111"/>
  <c r="X268" i="111"/>
  <c r="X262" i="111"/>
  <c r="X259" i="111"/>
  <c r="X254" i="111"/>
  <c r="X248" i="111"/>
  <c r="X243" i="111"/>
  <c r="X238" i="111"/>
  <c r="X233" i="111"/>
  <c r="X228" i="111"/>
  <c r="X223" i="111"/>
  <c r="X218" i="111"/>
  <c r="X213" i="111"/>
  <c r="X208" i="111"/>
  <c r="X203" i="111"/>
  <c r="BQ531" i="111"/>
  <c r="BP531" i="111"/>
  <c r="BO531" i="111"/>
  <c r="BN531" i="111"/>
  <c r="X198" i="111"/>
  <c r="X193" i="111"/>
  <c r="X187" i="111"/>
  <c r="X181" i="111"/>
  <c r="X175" i="111"/>
  <c r="X170" i="111"/>
  <c r="X165" i="111"/>
  <c r="X160" i="111"/>
  <c r="X154" i="111"/>
  <c r="X149" i="111"/>
  <c r="X144" i="111"/>
  <c r="X139" i="111"/>
  <c r="X134" i="111"/>
  <c r="X126" i="111"/>
  <c r="X121" i="111"/>
  <c r="X114" i="111"/>
  <c r="X109" i="111"/>
  <c r="W110" i="111"/>
  <c r="W111" i="111"/>
  <c r="W112" i="111"/>
  <c r="W114" i="111"/>
  <c r="W115" i="111"/>
  <c r="W116" i="111"/>
  <c r="W117" i="111"/>
  <c r="W121" i="111"/>
  <c r="W122" i="111"/>
  <c r="W123" i="111"/>
  <c r="W124" i="111"/>
  <c r="W126" i="111"/>
  <c r="X99" i="111"/>
  <c r="X94" i="111"/>
  <c r="X66" i="111"/>
  <c r="X60" i="111"/>
  <c r="X55" i="111"/>
  <c r="X50" i="111"/>
  <c r="X45" i="111"/>
  <c r="X35" i="111"/>
  <c r="X30" i="111"/>
  <c r="X20" i="111"/>
  <c r="X15" i="111"/>
  <c r="X11" i="111"/>
  <c r="X4" i="46"/>
  <c r="X64" i="46" s="1"/>
  <c r="X203" i="11"/>
  <c r="X202" i="11"/>
  <c r="X187" i="11"/>
  <c r="X165" i="11"/>
  <c r="X150" i="11"/>
  <c r="X121" i="11"/>
  <c r="X35" i="11"/>
  <c r="BH43" i="2"/>
  <c r="BH104" i="4"/>
  <c r="BH98" i="4"/>
  <c r="BH97" i="4"/>
  <c r="BH96" i="4"/>
  <c r="BH95" i="4"/>
  <c r="BH15" i="2"/>
  <c r="BH108" i="2"/>
  <c r="BH77" i="4"/>
  <c r="BH76" i="4"/>
  <c r="BH75" i="4"/>
  <c r="BH48" i="2" s="1"/>
  <c r="BH74" i="4"/>
  <c r="BH73" i="4"/>
  <c r="BH71" i="4"/>
  <c r="BH70" i="4"/>
  <c r="BH69" i="4"/>
  <c r="BH68" i="4"/>
  <c r="BH66" i="4"/>
  <c r="BH64" i="4"/>
  <c r="BH48" i="4"/>
  <c r="BH47" i="4"/>
  <c r="BH45" i="4"/>
  <c r="BH43" i="4"/>
  <c r="BH42" i="4"/>
  <c r="BH41" i="4"/>
  <c r="BH40" i="4"/>
  <c r="BH39" i="4"/>
  <c r="BH38" i="4"/>
  <c r="BH32" i="4"/>
  <c r="BH27" i="4"/>
  <c r="BH26" i="4"/>
  <c r="BH25" i="4"/>
  <c r="BH17" i="4"/>
  <c r="BH14" i="4"/>
  <c r="BH5" i="4"/>
  <c r="BH4" i="4"/>
  <c r="BH3" i="4" s="1"/>
  <c r="BI104" i="4"/>
  <c r="BI98" i="4"/>
  <c r="BI97" i="4"/>
  <c r="BI96" i="4"/>
  <c r="BI95" i="4"/>
  <c r="BI93" i="4"/>
  <c r="X137" i="11"/>
  <c r="X136" i="11"/>
  <c r="BI77" i="4"/>
  <c r="X127" i="11" s="1"/>
  <c r="BI76" i="4"/>
  <c r="BI75" i="4"/>
  <c r="X123" i="11" s="1"/>
  <c r="BI74" i="4"/>
  <c r="X124" i="11" s="1"/>
  <c r="BI73" i="4"/>
  <c r="X125" i="11" s="1"/>
  <c r="BI71" i="4"/>
  <c r="BI70" i="4"/>
  <c r="BI69" i="4"/>
  <c r="BI68" i="4"/>
  <c r="BI66" i="4"/>
  <c r="BI64" i="4"/>
  <c r="BI189" i="112" s="1"/>
  <c r="BI47" i="4"/>
  <c r="BI43" i="4"/>
  <c r="BI42" i="4"/>
  <c r="BI40" i="4"/>
  <c r="BI32" i="4"/>
  <c r="BI27" i="4"/>
  <c r="BI26" i="4"/>
  <c r="BI25" i="4"/>
  <c r="BI17" i="4"/>
  <c r="BI14" i="4"/>
  <c r="BI5" i="4"/>
  <c r="BI4" i="4"/>
  <c r="BI3" i="4" s="1"/>
  <c r="BH308" i="112"/>
  <c r="BH299" i="112"/>
  <c r="BH16" i="4" s="1"/>
  <c r="BH287" i="112"/>
  <c r="BH286" i="112"/>
  <c r="BH283" i="112"/>
  <c r="BH282" i="112"/>
  <c r="BH232" i="112"/>
  <c r="BH228" i="112"/>
  <c r="BH196" i="112"/>
  <c r="BH192" i="8" s="1"/>
  <c r="BH157" i="112"/>
  <c r="BH156" i="112"/>
  <c r="BH155" i="112"/>
  <c r="BH154" i="112"/>
  <c r="BH150" i="112"/>
  <c r="BH146" i="112"/>
  <c r="BH141" i="112"/>
  <c r="BH112" i="112"/>
  <c r="BH105" i="112"/>
  <c r="BH132" i="112" s="1"/>
  <c r="BH85" i="112"/>
  <c r="BH81" i="112"/>
  <c r="BH76" i="112"/>
  <c r="BH38" i="112"/>
  <c r="BH67" i="112" s="1"/>
  <c r="BH18" i="112"/>
  <c r="BH14" i="112"/>
  <c r="BH9" i="112"/>
  <c r="BH3" i="112"/>
  <c r="BI308" i="112"/>
  <c r="BI299" i="112"/>
  <c r="BI287" i="112"/>
  <c r="BI286" i="112"/>
  <c r="BI283" i="112"/>
  <c r="BI10" i="4" s="1"/>
  <c r="BI282" i="112"/>
  <c r="BI232" i="112"/>
  <c r="BI228" i="112"/>
  <c r="BI196" i="112"/>
  <c r="BI192" i="8" s="1"/>
  <c r="BI157" i="112"/>
  <c r="BI156" i="112"/>
  <c r="BI155" i="112"/>
  <c r="BI154" i="112"/>
  <c r="BI150" i="112"/>
  <c r="BI146" i="112"/>
  <c r="BI141" i="112"/>
  <c r="BI112" i="112"/>
  <c r="BI105" i="112"/>
  <c r="BI85" i="112"/>
  <c r="BI81" i="112"/>
  <c r="BI76" i="112"/>
  <c r="BI38" i="112"/>
  <c r="BI18" i="112"/>
  <c r="BI14" i="112"/>
  <c r="BI9" i="112"/>
  <c r="BI3" i="112"/>
  <c r="BH156" i="2"/>
  <c r="BH152" i="2"/>
  <c r="BH144" i="2"/>
  <c r="BH143" i="2"/>
  <c r="BH131" i="2"/>
  <c r="BH127" i="2"/>
  <c r="BH100" i="2"/>
  <c r="BH95" i="2"/>
  <c r="BH60" i="4" s="1"/>
  <c r="BH87" i="2"/>
  <c r="BH80" i="2"/>
  <c r="BH60" i="2"/>
  <c r="BH30" i="2"/>
  <c r="BH4" i="2"/>
  <c r="BH3" i="2" s="1"/>
  <c r="BI156" i="2"/>
  <c r="BI152" i="2"/>
  <c r="BJ149" i="2" s="1"/>
  <c r="BJ148" i="2" s="1"/>
  <c r="BJ151" i="2" s="1"/>
  <c r="BI150" i="2"/>
  <c r="BI57" i="2" s="1"/>
  <c r="BI144" i="2"/>
  <c r="BI143" i="2"/>
  <c r="BI134" i="2"/>
  <c r="BI131" i="2"/>
  <c r="BI127" i="2"/>
  <c r="BI100" i="2"/>
  <c r="BI95" i="2"/>
  <c r="BI87" i="2"/>
  <c r="BI80" i="2"/>
  <c r="BI60" i="2"/>
  <c r="BI30" i="2"/>
  <c r="BI4" i="2"/>
  <c r="BQ43" i="60"/>
  <c r="BL354" i="94" l="1"/>
  <c r="BL390" i="94" s="1"/>
  <c r="P51" i="27"/>
  <c r="BL356" i="94"/>
  <c r="BL392" i="94" s="1"/>
  <c r="BL394" i="94"/>
  <c r="BL154" i="94"/>
  <c r="BL277" i="94"/>
  <c r="BL347" i="94" s="1"/>
  <c r="BL167" i="94"/>
  <c r="BL371" i="94"/>
  <c r="BL376" i="94"/>
  <c r="BL357" i="94"/>
  <c r="BL367" i="94"/>
  <c r="BL374" i="94"/>
  <c r="BL355" i="94"/>
  <c r="BL349" i="94"/>
  <c r="BL385" i="94" s="1"/>
  <c r="BL437" i="94"/>
  <c r="BL372" i="94"/>
  <c r="BL348" i="94"/>
  <c r="BL370" i="94"/>
  <c r="BL436" i="94"/>
  <c r="BI8" i="4"/>
  <c r="BI216" i="112"/>
  <c r="BI9" i="4"/>
  <c r="BI31" i="4" s="1"/>
  <c r="BI132" i="112"/>
  <c r="BI143" i="8"/>
  <c r="BI67" i="112"/>
  <c r="BJ137" i="4"/>
  <c r="BJ139" i="4" s="1"/>
  <c r="BJ140" i="4" s="1"/>
  <c r="BI137" i="4"/>
  <c r="BH6" i="2"/>
  <c r="BH8" i="2"/>
  <c r="BH9" i="2" s="1"/>
  <c r="BI172" i="8"/>
  <c r="BI174" i="8" s="1"/>
  <c r="X132" i="11"/>
  <c r="BH11" i="2"/>
  <c r="BH311" i="112"/>
  <c r="BH58" i="112"/>
  <c r="BI123" i="112"/>
  <c r="BH207" i="112"/>
  <c r="BH212" i="112" s="1"/>
  <c r="BK167" i="94"/>
  <c r="CW84" i="4"/>
  <c r="CW114" i="4" s="1"/>
  <c r="CV114" i="4"/>
  <c r="X130" i="11"/>
  <c r="BK349" i="94"/>
  <c r="BK385" i="94" s="1"/>
  <c r="BI3" i="2"/>
  <c r="BK357" i="94"/>
  <c r="BK393" i="94" s="1"/>
  <c r="BK358" i="94"/>
  <c r="BK394" i="94" s="1"/>
  <c r="BK348" i="94"/>
  <c r="BK384" i="94" s="1"/>
  <c r="BK277" i="94"/>
  <c r="BK436" i="94"/>
  <c r="BK454" i="94"/>
  <c r="BK355" i="94"/>
  <c r="BK374" i="94"/>
  <c r="BK371" i="94"/>
  <c r="BK356" i="94"/>
  <c r="BK375" i="94"/>
  <c r="BK354" i="94"/>
  <c r="BK373" i="94"/>
  <c r="BK369" i="94"/>
  <c r="BJ143" i="112"/>
  <c r="BJ142" i="112"/>
  <c r="BI60" i="4"/>
  <c r="X111" i="11" s="1"/>
  <c r="BJ92" i="2"/>
  <c r="BJ93" i="2" s="1"/>
  <c r="X7" i="11"/>
  <c r="BJ78" i="112"/>
  <c r="BJ77" i="112"/>
  <c r="BJ148" i="112"/>
  <c r="BJ147" i="112"/>
  <c r="BJ132" i="8" s="1"/>
  <c r="BJ83" i="112"/>
  <c r="BJ92" i="112" s="1"/>
  <c r="BR473" i="111" s="1"/>
  <c r="BJ82" i="112"/>
  <c r="BJ121" i="8" s="1"/>
  <c r="X16" i="11"/>
  <c r="BJ152" i="112"/>
  <c r="BJ151" i="112"/>
  <c r="BJ137" i="8" s="1"/>
  <c r="BJ230" i="112"/>
  <c r="BJ229" i="112"/>
  <c r="BJ11" i="112"/>
  <c r="BJ10" i="112"/>
  <c r="BJ86" i="112"/>
  <c r="BJ126" i="8" s="1"/>
  <c r="BJ87" i="112"/>
  <c r="X13" i="11"/>
  <c r="BJ234" i="112"/>
  <c r="BJ233" i="112"/>
  <c r="X10" i="11"/>
  <c r="BJ16" i="112"/>
  <c r="BJ25" i="112" s="1"/>
  <c r="BR469" i="111" s="1"/>
  <c r="BJ15" i="112"/>
  <c r="BJ110" i="8" s="1"/>
  <c r="X14" i="11"/>
  <c r="BJ20" i="112"/>
  <c r="BJ19" i="112"/>
  <c r="BJ115" i="8" s="1"/>
  <c r="X129" i="11"/>
  <c r="X141" i="11"/>
  <c r="X172" i="11" s="1"/>
  <c r="BI23" i="2"/>
  <c r="X135" i="11"/>
  <c r="BH63" i="2"/>
  <c r="BH78" i="2" s="1"/>
  <c r="BH65" i="2"/>
  <c r="BH70" i="2" s="1"/>
  <c r="BH318" i="112" s="1"/>
  <c r="BH7" i="4"/>
  <c r="BH10" i="4"/>
  <c r="BH24" i="2"/>
  <c r="X11" i="11"/>
  <c r="BJ322" i="94"/>
  <c r="BI322" i="94"/>
  <c r="BJ68" i="94"/>
  <c r="BK68" i="94" s="1"/>
  <c r="BL68" i="94" s="1"/>
  <c r="BI315" i="94"/>
  <c r="BJ323" i="94"/>
  <c r="BI323" i="94"/>
  <c r="BJ70" i="94"/>
  <c r="BK70" i="94" s="1"/>
  <c r="BI317" i="94"/>
  <c r="BJ69" i="94"/>
  <c r="BK69" i="94" s="1"/>
  <c r="BI316" i="94"/>
  <c r="BJ319" i="94"/>
  <c r="BI319" i="94"/>
  <c r="BJ314" i="94"/>
  <c r="BI314" i="94"/>
  <c r="BJ321" i="94"/>
  <c r="BI321" i="94"/>
  <c r="BJ320" i="94"/>
  <c r="BI320" i="94"/>
  <c r="BJ72" i="94"/>
  <c r="BK72" i="94" s="1"/>
  <c r="BI318" i="94"/>
  <c r="BJ71" i="94"/>
  <c r="BK71" i="94" s="1"/>
  <c r="BI325" i="94"/>
  <c r="BJ312" i="94"/>
  <c r="BI193" i="94"/>
  <c r="BJ313" i="94"/>
  <c r="BI10" i="112"/>
  <c r="BI86" i="112"/>
  <c r="BI126" i="8" s="1"/>
  <c r="BI128" i="8" s="1"/>
  <c r="BI230" i="112"/>
  <c r="BH245" i="112"/>
  <c r="BH278" i="112" s="1"/>
  <c r="BI152" i="112"/>
  <c r="BH37" i="4"/>
  <c r="BI245" i="112"/>
  <c r="BI169" i="8"/>
  <c r="BH72" i="4"/>
  <c r="BI147" i="112"/>
  <c r="BI132" i="8" s="1"/>
  <c r="BI134" i="8" s="1"/>
  <c r="BI19" i="112"/>
  <c r="BI115" i="8" s="1"/>
  <c r="BI116" i="8" s="1"/>
  <c r="BH116" i="2"/>
  <c r="BI111" i="2" s="1"/>
  <c r="BI92" i="2"/>
  <c r="BI93" i="2" s="1"/>
  <c r="BI142" i="2"/>
  <c r="BJ139" i="2" s="1"/>
  <c r="BJ140" i="2" s="1"/>
  <c r="BI78" i="4"/>
  <c r="X126" i="11"/>
  <c r="X131" i="11"/>
  <c r="BI72" i="4"/>
  <c r="BI15" i="112"/>
  <c r="BI110" i="8" s="1"/>
  <c r="BI111" i="8" s="1"/>
  <c r="BI16" i="112"/>
  <c r="BI153" i="2" s="1"/>
  <c r="BI83" i="112"/>
  <c r="BI92" i="112" s="1"/>
  <c r="BI167" i="8" s="1"/>
  <c r="BH15" i="4"/>
  <c r="BI149" i="2"/>
  <c r="BI148" i="2" s="1"/>
  <c r="BI151" i="2" s="1"/>
  <c r="BH142" i="2"/>
  <c r="BI139" i="2" s="1"/>
  <c r="BI99" i="4"/>
  <c r="BH9" i="4"/>
  <c r="BH78" i="4"/>
  <c r="BI82" i="112"/>
  <c r="BI121" i="8" s="1"/>
  <c r="BI123" i="8" s="1"/>
  <c r="BI11" i="4"/>
  <c r="BI119" i="8"/>
  <c r="X6" i="11"/>
  <c r="X12" i="11"/>
  <c r="BH99" i="4"/>
  <c r="BI7" i="4"/>
  <c r="BI30" i="4"/>
  <c r="BI189" i="8"/>
  <c r="X8" i="11"/>
  <c r="BI20" i="112"/>
  <c r="BI108" i="8"/>
  <c r="BI130" i="8"/>
  <c r="X9" i="11"/>
  <c r="X15" i="11"/>
  <c r="BI105" i="2"/>
  <c r="BH41" i="2"/>
  <c r="BH101" i="2"/>
  <c r="BH123" i="112"/>
  <c r="BI16" i="4"/>
  <c r="BI58" i="112"/>
  <c r="BI207" i="112"/>
  <c r="BI212" i="112" s="1"/>
  <c r="BI213" i="112" s="1"/>
  <c r="BI234" i="112"/>
  <c r="BH20" i="2"/>
  <c r="BI78" i="112"/>
  <c r="BI151" i="112"/>
  <c r="BI137" i="8" s="1"/>
  <c r="BI138" i="8" s="1"/>
  <c r="BI77" i="112"/>
  <c r="BI87" i="112"/>
  <c r="BI142" i="112"/>
  <c r="BI233" i="112"/>
  <c r="BI11" i="112"/>
  <c r="BI148" i="112"/>
  <c r="BI143" i="112"/>
  <c r="BI229" i="112"/>
  <c r="BI33" i="2" s="1"/>
  <c r="BH16" i="2"/>
  <c r="BI50" i="59"/>
  <c r="BJ468" i="94"/>
  <c r="BI158" i="112" s="1"/>
  <c r="BI161" i="112" s="1"/>
  <c r="BJ111" i="94"/>
  <c r="BJ254" i="94" s="1"/>
  <c r="BJ110" i="94"/>
  <c r="BJ253" i="94" s="1"/>
  <c r="BJ108" i="94"/>
  <c r="BJ107" i="94"/>
  <c r="BJ249" i="94" s="1"/>
  <c r="BJ106" i="94"/>
  <c r="BJ246" i="94" s="1"/>
  <c r="BJ105" i="94"/>
  <c r="BJ245" i="94" s="1"/>
  <c r="BJ104" i="94"/>
  <c r="BJ38" i="94"/>
  <c r="BJ39" i="94"/>
  <c r="BJ46" i="94" s="1"/>
  <c r="BJ77" i="94"/>
  <c r="BJ83" i="94"/>
  <c r="BJ109" i="94" s="1"/>
  <c r="BJ252" i="94" s="1"/>
  <c r="BJ86" i="94"/>
  <c r="BJ87" i="94"/>
  <c r="BJ113" i="94" s="1"/>
  <c r="BJ90" i="94"/>
  <c r="BJ103" i="94"/>
  <c r="BJ140" i="94"/>
  <c r="BJ141" i="94" s="1"/>
  <c r="BJ154" i="94"/>
  <c r="BJ157" i="94"/>
  <c r="BJ277" i="94" s="1"/>
  <c r="BJ158" i="94"/>
  <c r="BJ278" i="94" s="1"/>
  <c r="BJ159" i="94"/>
  <c r="BJ279" i="94" s="1"/>
  <c r="BJ160" i="94"/>
  <c r="BJ282" i="94" s="1"/>
  <c r="BJ161" i="94"/>
  <c r="BJ284" i="94" s="1"/>
  <c r="BJ162" i="94"/>
  <c r="BJ285" i="94" s="1"/>
  <c r="BJ163" i="94"/>
  <c r="BJ286" i="94" s="1"/>
  <c r="BJ164" i="94"/>
  <c r="BJ287" i="94" s="1"/>
  <c r="BJ165" i="94"/>
  <c r="BJ288" i="94" s="1"/>
  <c r="BJ227" i="94"/>
  <c r="BJ228" i="94"/>
  <c r="BJ229" i="94"/>
  <c r="BJ230" i="94"/>
  <c r="BJ231" i="94"/>
  <c r="BJ232" i="94"/>
  <c r="BJ233" i="94"/>
  <c r="BJ234" i="94"/>
  <c r="BJ235" i="94"/>
  <c r="BJ236" i="94"/>
  <c r="BJ237" i="94"/>
  <c r="BJ238" i="94"/>
  <c r="BJ239" i="94"/>
  <c r="BJ247" i="94"/>
  <c r="BJ248" i="94"/>
  <c r="BJ250" i="94"/>
  <c r="BJ280" i="94"/>
  <c r="BJ281" i="94"/>
  <c r="BJ283" i="94"/>
  <c r="BJ290" i="94"/>
  <c r="BJ406" i="94"/>
  <c r="BJ413" i="94" s="1"/>
  <c r="BJ420" i="94"/>
  <c r="BJ421" i="94"/>
  <c r="BJ422" i="94"/>
  <c r="BJ432" i="94"/>
  <c r="BJ462" i="94"/>
  <c r="BJ463" i="94"/>
  <c r="BJ476" i="94"/>
  <c r="BI225" i="112" s="1"/>
  <c r="BJ27" i="94"/>
  <c r="BJ14" i="94"/>
  <c r="BJ15" i="94"/>
  <c r="BI43" i="59"/>
  <c r="BI45" i="59" s="1"/>
  <c r="BI37" i="59"/>
  <c r="BI32" i="59"/>
  <c r="BI3" i="59"/>
  <c r="BI10" i="59"/>
  <c r="BI13" i="59"/>
  <c r="BI18" i="59" s="1"/>
  <c r="BJ67" i="58"/>
  <c r="BJ115" i="58"/>
  <c r="BJ104" i="58"/>
  <c r="BJ82" i="58"/>
  <c r="BI45" i="112" s="1"/>
  <c r="BI147" i="8" s="1"/>
  <c r="BJ83" i="58"/>
  <c r="BJ35" i="58"/>
  <c r="BJ31" i="58"/>
  <c r="BJ23" i="58"/>
  <c r="BJ20" i="58"/>
  <c r="BJ16" i="58"/>
  <c r="BI41" i="4" s="1"/>
  <c r="BJ14" i="58"/>
  <c r="BJ8" i="58"/>
  <c r="BJ6" i="58"/>
  <c r="BL393" i="94" l="1"/>
  <c r="X128" i="11"/>
  <c r="BL391" i="94"/>
  <c r="BK318" i="94"/>
  <c r="BK353" i="94" s="1"/>
  <c r="BK389" i="94" s="1"/>
  <c r="BL72" i="94"/>
  <c r="BL318" i="94" s="1"/>
  <c r="BK317" i="94"/>
  <c r="BK352" i="94" s="1"/>
  <c r="BK388" i="94" s="1"/>
  <c r="BL70" i="94"/>
  <c r="BL317" i="94" s="1"/>
  <c r="BL453" i="94"/>
  <c r="BL454" i="94"/>
  <c r="BL384" i="94"/>
  <c r="BK325" i="94"/>
  <c r="BK360" i="94" s="1"/>
  <c r="BL71" i="94"/>
  <c r="BL325" i="94" s="1"/>
  <c r="BK316" i="94"/>
  <c r="BL69" i="94"/>
  <c r="BL316" i="94" s="1"/>
  <c r="BL315" i="94"/>
  <c r="BL366" i="94"/>
  <c r="BL383" i="94" s="1"/>
  <c r="BI63" i="112"/>
  <c r="BI64" i="112" s="1"/>
  <c r="BI269" i="112"/>
  <c r="BI296" i="112"/>
  <c r="BI278" i="112"/>
  <c r="BH63" i="112"/>
  <c r="BH64" i="112" s="1"/>
  <c r="BH269" i="112"/>
  <c r="BI173" i="8"/>
  <c r="BI238" i="8"/>
  <c r="BI128" i="112"/>
  <c r="BI129" i="112" s="1"/>
  <c r="BH125" i="112"/>
  <c r="BH128" i="112"/>
  <c r="BH129" i="112" s="1"/>
  <c r="BH60" i="112"/>
  <c r="BH26" i="2"/>
  <c r="BH28" i="2" s="1"/>
  <c r="BJ226" i="112"/>
  <c r="BI125" i="112"/>
  <c r="BI239" i="8" s="1"/>
  <c r="BI241" i="8" s="1"/>
  <c r="BM241" i="8" s="1"/>
  <c r="X140" i="11"/>
  <c r="X142" i="11" s="1"/>
  <c r="BH67" i="2"/>
  <c r="BI61" i="2" s="1"/>
  <c r="BH11" i="4"/>
  <c r="BH20" i="4" s="1"/>
  <c r="BH29" i="4"/>
  <c r="BH31" i="4"/>
  <c r="BI29" i="4"/>
  <c r="BI18" i="4"/>
  <c r="BI15" i="4"/>
  <c r="BK347" i="94"/>
  <c r="X58" i="76"/>
  <c r="Z13" i="71"/>
  <c r="Z14" i="71"/>
  <c r="X10" i="46"/>
  <c r="BI24" i="2"/>
  <c r="BI288" i="112"/>
  <c r="BK390" i="94"/>
  <c r="BK392" i="94"/>
  <c r="BK391" i="94"/>
  <c r="BK439" i="94"/>
  <c r="BK453" i="94"/>
  <c r="BK440" i="94"/>
  <c r="BK351" i="94"/>
  <c r="BK387" i="94" s="1"/>
  <c r="BK315" i="94"/>
  <c r="BK366" i="94"/>
  <c r="BJ119" i="112"/>
  <c r="BJ98" i="112" s="1"/>
  <c r="BJ203" i="112"/>
  <c r="BJ192" i="112" s="1"/>
  <c r="BJ157" i="2"/>
  <c r="BJ116" i="8"/>
  <c r="BJ117" i="8"/>
  <c r="BJ29" i="112"/>
  <c r="BJ33" i="112"/>
  <c r="BJ112" i="8"/>
  <c r="BJ111" i="8"/>
  <c r="BJ134" i="8"/>
  <c r="BJ133" i="8"/>
  <c r="BJ128" i="8"/>
  <c r="BJ127" i="8"/>
  <c r="BJ123" i="8"/>
  <c r="BJ122" i="8"/>
  <c r="BJ94" i="2"/>
  <c r="BJ76" i="2"/>
  <c r="X9" i="111"/>
  <c r="BJ325" i="94"/>
  <c r="BJ360" i="94" s="1"/>
  <c r="BJ316" i="94"/>
  <c r="BJ351" i="94" s="1"/>
  <c r="BJ167" i="8"/>
  <c r="BJ318" i="94"/>
  <c r="BJ353" i="94" s="1"/>
  <c r="BJ139" i="8"/>
  <c r="BJ138" i="8"/>
  <c r="X169" i="11"/>
  <c r="X166" i="11"/>
  <c r="BH284" i="112"/>
  <c r="BH285" i="112" s="1"/>
  <c r="BH21" i="2"/>
  <c r="BJ436" i="94"/>
  <c r="BI157" i="2"/>
  <c r="BJ215" i="94"/>
  <c r="BI238" i="112"/>
  <c r="BJ112" i="94"/>
  <c r="BJ255" i="94" s="1"/>
  <c r="BJ221" i="94" s="1"/>
  <c r="BJ317" i="94"/>
  <c r="BJ352" i="94" s="1"/>
  <c r="BJ193" i="94"/>
  <c r="BJ315" i="94"/>
  <c r="BJ350" i="94" s="1"/>
  <c r="BJ349" i="94"/>
  <c r="BJ348" i="94"/>
  <c r="BJ347" i="94"/>
  <c r="BJ355" i="94"/>
  <c r="BJ354" i="94"/>
  <c r="BJ357" i="94"/>
  <c r="BJ356" i="94"/>
  <c r="BJ358" i="94"/>
  <c r="BI145" i="2"/>
  <c r="BI133" i="8"/>
  <c r="BH17" i="2"/>
  <c r="BH12" i="2"/>
  <c r="BH309" i="112"/>
  <c r="BI12" i="4"/>
  <c r="BH296" i="112"/>
  <c r="BH302" i="112" s="1"/>
  <c r="BH288" i="112"/>
  <c r="BI300" i="112"/>
  <c r="BI224" i="8" s="1"/>
  <c r="BI79" i="4"/>
  <c r="BI247" i="112"/>
  <c r="BI284" i="112"/>
  <c r="BI285" i="112" s="1"/>
  <c r="BI209" i="8" s="1"/>
  <c r="BH300" i="112"/>
  <c r="BI241" i="112"/>
  <c r="BH7" i="2"/>
  <c r="BI309" i="112"/>
  <c r="BH100" i="4"/>
  <c r="BH10" i="2"/>
  <c r="BH79" i="4"/>
  <c r="BI127" i="8"/>
  <c r="BI267" i="112"/>
  <c r="X9" i="46"/>
  <c r="X8" i="111"/>
  <c r="BI302" i="112"/>
  <c r="BI303" i="112" s="1"/>
  <c r="X8" i="46"/>
  <c r="X7" i="111"/>
  <c r="BI117" i="8"/>
  <c r="BI20" i="4"/>
  <c r="BJ166" i="94"/>
  <c r="BH119" i="2"/>
  <c r="BH120" i="2" s="1"/>
  <c r="BH117" i="2"/>
  <c r="BH109" i="2"/>
  <c r="BI76" i="2"/>
  <c r="BI94" i="2"/>
  <c r="BI122" i="8"/>
  <c r="BJ118" i="94"/>
  <c r="BI112" i="8"/>
  <c r="BI139" i="8"/>
  <c r="BI240" i="8"/>
  <c r="BI46" i="59"/>
  <c r="X5" i="11"/>
  <c r="BI164" i="112"/>
  <c r="BI60" i="112"/>
  <c r="BI232" i="8"/>
  <c r="BI163" i="112"/>
  <c r="BI209" i="112"/>
  <c r="BI245" i="8" s="1"/>
  <c r="BI244" i="8"/>
  <c r="BI39" i="4"/>
  <c r="BI38" i="4"/>
  <c r="BI45" i="4"/>
  <c r="BI19" i="59"/>
  <c r="BI203" i="112"/>
  <c r="BI192" i="112" s="1"/>
  <c r="BI165" i="112"/>
  <c r="BI162" i="112"/>
  <c r="BI119" i="112"/>
  <c r="BI98" i="112" s="1"/>
  <c r="BI48" i="4"/>
  <c r="BJ124" i="94"/>
  <c r="BI33" i="4"/>
  <c r="BJ220" i="94"/>
  <c r="BI100" i="4"/>
  <c r="X133" i="11"/>
  <c r="BI19" i="4"/>
  <c r="BI34" i="4"/>
  <c r="BJ218" i="94"/>
  <c r="BJ414" i="94"/>
  <c r="BJ126" i="94"/>
  <c r="BJ256" i="94"/>
  <c r="BJ222" i="94" s="1"/>
  <c r="BJ119" i="94"/>
  <c r="BJ13" i="58"/>
  <c r="BJ213" i="94"/>
  <c r="BJ123" i="94"/>
  <c r="BJ50" i="94"/>
  <c r="BJ120" i="94"/>
  <c r="BJ48" i="94"/>
  <c r="BJ117" i="94"/>
  <c r="BJ121" i="94"/>
  <c r="BJ219" i="94"/>
  <c r="BJ47" i="94"/>
  <c r="BJ45" i="94"/>
  <c r="BJ214" i="94"/>
  <c r="BJ211" i="94"/>
  <c r="BJ469" i="94"/>
  <c r="BJ412" i="94"/>
  <c r="BJ251" i="94"/>
  <c r="BJ244" i="94"/>
  <c r="BJ240" i="94"/>
  <c r="BJ212" i="94"/>
  <c r="BJ411" i="94"/>
  <c r="BJ44" i="94"/>
  <c r="BJ216" i="94"/>
  <c r="BJ410" i="94"/>
  <c r="BJ122" i="94"/>
  <c r="BJ49" i="94"/>
  <c r="BJ43" i="94"/>
  <c r="BJ423" i="94"/>
  <c r="BJ12" i="58"/>
  <c r="BL350" i="94" l="1"/>
  <c r="BL386" i="94" s="1"/>
  <c r="BL351" i="94"/>
  <c r="BL387" i="94" s="1"/>
  <c r="BL352" i="94"/>
  <c r="BL388" i="94" s="1"/>
  <c r="BL439" i="94"/>
  <c r="BL440" i="94"/>
  <c r="BL360" i="94"/>
  <c r="BL353" i="94"/>
  <c r="BL389" i="94" s="1"/>
  <c r="X170" i="11"/>
  <c r="BI270" i="112"/>
  <c r="BI274" i="112"/>
  <c r="BI275" i="112" s="1"/>
  <c r="BH270" i="112"/>
  <c r="BH274" i="112"/>
  <c r="BH275" i="112" s="1"/>
  <c r="BI242" i="8"/>
  <c r="X167" i="11"/>
  <c r="BH12" i="4"/>
  <c r="BH18" i="4"/>
  <c r="BH19" i="4" s="1"/>
  <c r="BI311" i="112"/>
  <c r="BJ372" i="94"/>
  <c r="BJ375" i="94"/>
  <c r="BJ392" i="94" s="1"/>
  <c r="BJ376" i="94"/>
  <c r="BJ370" i="94"/>
  <c r="BJ387" i="94" s="1"/>
  <c r="BJ374" i="94"/>
  <c r="BK383" i="94"/>
  <c r="BI37" i="4"/>
  <c r="BI130" i="2"/>
  <c r="BI132" i="2" s="1"/>
  <c r="Z37" i="71"/>
  <c r="K18" i="71"/>
  <c r="K45" i="71" s="1"/>
  <c r="AQ18" i="71"/>
  <c r="AQ48" i="71" s="1"/>
  <c r="AA49" i="71"/>
  <c r="Z12" i="71"/>
  <c r="AA48" i="71"/>
  <c r="BK457" i="94"/>
  <c r="BK350" i="94"/>
  <c r="BK386" i="94" s="1"/>
  <c r="BK456" i="94"/>
  <c r="BJ174" i="112"/>
  <c r="BJ263" i="112"/>
  <c r="BJ108" i="112"/>
  <c r="BJ170" i="112"/>
  <c r="BR471" i="111" s="1"/>
  <c r="P31" i="27"/>
  <c r="X32" i="46"/>
  <c r="BJ125" i="94"/>
  <c r="BJ127" i="94" s="1"/>
  <c r="BJ368" i="94"/>
  <c r="BJ385" i="94" s="1"/>
  <c r="BJ367" i="94"/>
  <c r="BJ384" i="94" s="1"/>
  <c r="BJ371" i="94"/>
  <c r="BJ388" i="94" s="1"/>
  <c r="BJ369" i="94"/>
  <c r="BJ386" i="94" s="1"/>
  <c r="BJ377" i="94"/>
  <c r="BH297" i="112"/>
  <c r="BI251" i="8"/>
  <c r="BI297" i="112"/>
  <c r="BI170" i="112"/>
  <c r="BI21" i="4"/>
  <c r="BI108" i="112"/>
  <c r="BJ167" i="94"/>
  <c r="BI174" i="112"/>
  <c r="BJ19" i="58"/>
  <c r="BJ22" i="58" s="1"/>
  <c r="BI51" i="4"/>
  <c r="BI248" i="8"/>
  <c r="BI247" i="8"/>
  <c r="BI246" i="8"/>
  <c r="BI165" i="2"/>
  <c r="X7" i="46"/>
  <c r="BI212" i="8"/>
  <c r="BI210" i="8"/>
  <c r="BI211" i="8"/>
  <c r="BI233" i="8"/>
  <c r="BH34" i="4"/>
  <c r="BH21" i="4"/>
  <c r="BI36" i="4"/>
  <c r="BH303" i="112"/>
  <c r="BJ210" i="94"/>
  <c r="BJ217" i="94"/>
  <c r="BJ257" i="94"/>
  <c r="BJ266" i="94" s="1"/>
  <c r="BJ51" i="94"/>
  <c r="BL457" i="94" l="1"/>
  <c r="BL456" i="94"/>
  <c r="BH49" i="4"/>
  <c r="BI62" i="4"/>
  <c r="BI49" i="4"/>
  <c r="BI53" i="4" s="1"/>
  <c r="BJ366" i="94"/>
  <c r="BJ383" i="94" s="1"/>
  <c r="BJ373" i="94"/>
  <c r="BI44" i="4"/>
  <c r="AA47" i="71"/>
  <c r="BJ250" i="112"/>
  <c r="BJ266" i="112" s="1"/>
  <c r="BJ38" i="58"/>
  <c r="BJ40" i="58" s="1"/>
  <c r="BI234" i="8"/>
  <c r="BI236" i="8"/>
  <c r="BI235" i="8"/>
  <c r="BH44" i="4"/>
  <c r="BH36" i="4"/>
  <c r="BJ223" i="94"/>
  <c r="BJ272" i="94"/>
  <c r="BJ271" i="94"/>
  <c r="BJ261" i="94"/>
  <c r="BJ265" i="94"/>
  <c r="BJ264" i="94"/>
  <c r="BJ267" i="94"/>
  <c r="BJ268" i="94"/>
  <c r="BJ273" i="94"/>
  <c r="BJ263" i="94"/>
  <c r="BJ270" i="94"/>
  <c r="BJ262" i="94"/>
  <c r="BJ269" i="94"/>
  <c r="BI105" i="4" l="1"/>
  <c r="BH105" i="4"/>
  <c r="BH53" i="4"/>
  <c r="BH317" i="112" s="1"/>
  <c r="BI62" i="2"/>
  <c r="BH62" i="2"/>
  <c r="BI46" i="4"/>
  <c r="BI312" i="112"/>
  <c r="BI313" i="112" s="1"/>
  <c r="BI229" i="8" s="1"/>
  <c r="BM313" i="112" s="1"/>
  <c r="BI314" i="112"/>
  <c r="BI315" i="112" s="1"/>
  <c r="BJ265" i="112"/>
  <c r="BH46" i="4"/>
  <c r="BH314" i="112"/>
  <c r="BH315" i="112" s="1"/>
  <c r="BI54" i="4"/>
  <c r="BI317" i="112"/>
  <c r="BJ274" i="94"/>
  <c r="BH54" i="4" l="1"/>
  <c r="AC33" i="46" l="1"/>
  <c r="BY200" i="8" l="1"/>
  <c r="BX200" i="8"/>
  <c r="BW200" i="8"/>
  <c r="BV200" i="8"/>
  <c r="BU200" i="8"/>
  <c r="BT200" i="8"/>
  <c r="BS200" i="8"/>
  <c r="BR200" i="8"/>
  <c r="BQ200" i="8"/>
  <c r="BY198" i="8"/>
  <c r="BX198" i="8"/>
  <c r="BW198" i="8"/>
  <c r="BV198" i="8"/>
  <c r="BU198" i="8"/>
  <c r="BT198" i="8"/>
  <c r="BS198" i="8"/>
  <c r="BR198" i="8"/>
  <c r="BQ198" i="8"/>
  <c r="BY180" i="8"/>
  <c r="BX180" i="8"/>
  <c r="BW180" i="8"/>
  <c r="BV180" i="8"/>
  <c r="BU180" i="8"/>
  <c r="BT180" i="8"/>
  <c r="BS180" i="8"/>
  <c r="BR180" i="8"/>
  <c r="BQ180" i="8"/>
  <c r="BY178" i="8"/>
  <c r="BX178" i="8"/>
  <c r="BW178" i="8"/>
  <c r="BV178" i="8"/>
  <c r="BU178" i="8"/>
  <c r="BT178" i="8"/>
  <c r="BS178" i="8"/>
  <c r="BR178" i="8"/>
  <c r="BQ178" i="8"/>
  <c r="BY155" i="8"/>
  <c r="BX155" i="8"/>
  <c r="BW155" i="8"/>
  <c r="BV155" i="8"/>
  <c r="BU155" i="8"/>
  <c r="BT155" i="8"/>
  <c r="BS155" i="8"/>
  <c r="BR155" i="8"/>
  <c r="BQ155" i="8"/>
  <c r="BY153" i="8"/>
  <c r="BX153" i="8"/>
  <c r="BW153" i="8"/>
  <c r="BV153" i="8"/>
  <c r="BU153" i="8"/>
  <c r="BT153" i="8"/>
  <c r="BS153" i="8"/>
  <c r="BR153" i="8"/>
  <c r="BQ153" i="8"/>
  <c r="BH57" i="59" l="1"/>
  <c r="BL23" i="8"/>
  <c r="BM23" i="8"/>
  <c r="BI185" i="112" l="1"/>
  <c r="BR59" i="8"/>
  <c r="BS59" i="8" s="1"/>
  <c r="BT59" i="8" s="1"/>
  <c r="BU59" i="8" s="1"/>
  <c r="BH185" i="112"/>
  <c r="BI186" i="112"/>
  <c r="BR69" i="8"/>
  <c r="BH184" i="112"/>
  <c r="BI184" i="112"/>
  <c r="BH186" i="112"/>
  <c r="BR28" i="8"/>
  <c r="BI47" i="112"/>
  <c r="BH47" i="112"/>
  <c r="BI55" i="8"/>
  <c r="BR38" i="8"/>
  <c r="BR17" i="8"/>
  <c r="BR12" i="8"/>
  <c r="BI8" i="8"/>
  <c r="BI7" i="8" s="1"/>
  <c r="BK181" i="112" l="1"/>
  <c r="BK179" i="112"/>
  <c r="BK178" i="112"/>
  <c r="BK180" i="112"/>
  <c r="BI45" i="8"/>
  <c r="BI34" i="8"/>
  <c r="BI29" i="8"/>
  <c r="BR39" i="8"/>
  <c r="BR37" i="8"/>
  <c r="BR29" i="8"/>
  <c r="BR27" i="8"/>
  <c r="BR22" i="8"/>
  <c r="BR13" i="8"/>
  <c r="BR11" i="8"/>
  <c r="BR16" i="8"/>
  <c r="BR18" i="8"/>
  <c r="BI183" i="112"/>
  <c r="BH181" i="112"/>
  <c r="BI231" i="8"/>
  <c r="BI78" i="8"/>
  <c r="BI141" i="8"/>
  <c r="BI321" i="8"/>
  <c r="BI208" i="8"/>
  <c r="BI253" i="8" s="1"/>
  <c r="BI269" i="8" s="1"/>
  <c r="BH101" i="112"/>
  <c r="BH178" i="112"/>
  <c r="BH164" i="2"/>
  <c r="BH126" i="2"/>
  <c r="BH179" i="112"/>
  <c r="BI179" i="112"/>
  <c r="BI101" i="112"/>
  <c r="BI178" i="112"/>
  <c r="BI181" i="112"/>
  <c r="BH163" i="2"/>
  <c r="BH125" i="2"/>
  <c r="BI39" i="8"/>
  <c r="BI164" i="2"/>
  <c r="BI126" i="2"/>
  <c r="BH180" i="112"/>
  <c r="BI163" i="2"/>
  <c r="BI125" i="2"/>
  <c r="BI180" i="112"/>
  <c r="BI32" i="8"/>
  <c r="BI23" i="8"/>
  <c r="BI63" i="8"/>
  <c r="BI65" i="8"/>
  <c r="BI38" i="8"/>
  <c r="BI27" i="8"/>
  <c r="BI43" i="8"/>
  <c r="BI28" i="8"/>
  <c r="BI44" i="8"/>
  <c r="BI21" i="8"/>
  <c r="BI37" i="8"/>
  <c r="BI53" i="8"/>
  <c r="BK177" i="112" l="1"/>
  <c r="BR23" i="8"/>
  <c r="BR21" i="8"/>
  <c r="BI162" i="2"/>
  <c r="BI94" i="112"/>
  <c r="BI177" i="112"/>
  <c r="BI60" i="8"/>
  <c r="BI59" i="8"/>
  <c r="BI58" i="8"/>
  <c r="BI17" i="8" l="1"/>
  <c r="BI16" i="8"/>
  <c r="BI18" i="8"/>
  <c r="BI50" i="8"/>
  <c r="BI49" i="8"/>
  <c r="BI48" i="8"/>
  <c r="BI11" i="8"/>
  <c r="BI13" i="8"/>
  <c r="BI12" i="8"/>
  <c r="BI69" i="8" l="1"/>
  <c r="BI68" i="8"/>
  <c r="BI70" i="8"/>
  <c r="AR10" i="71" l="1"/>
  <c r="AR40" i="71" s="1"/>
  <c r="AR9" i="71"/>
  <c r="AR39" i="71" s="1"/>
  <c r="AF53" i="46"/>
  <c r="AE53" i="46"/>
  <c r="AD53" i="46"/>
  <c r="AF52" i="46"/>
  <c r="AE52" i="46"/>
  <c r="AD52" i="46"/>
  <c r="AF49" i="46"/>
  <c r="AE49" i="46"/>
  <c r="AD49" i="46"/>
  <c r="AF46" i="46"/>
  <c r="AE46" i="46"/>
  <c r="AD46" i="46"/>
  <c r="AF43" i="46"/>
  <c r="AE43" i="46"/>
  <c r="AD43" i="46"/>
  <c r="AF40" i="46"/>
  <c r="AE40" i="46"/>
  <c r="AD40" i="46"/>
  <c r="AF37" i="46"/>
  <c r="AE37" i="46"/>
  <c r="AD37" i="46"/>
  <c r="AF34" i="46"/>
  <c r="AE34" i="46"/>
  <c r="AD34" i="46"/>
  <c r="AF51" i="46"/>
  <c r="AF45" i="46"/>
  <c r="AF39" i="46"/>
  <c r="AF33" i="46"/>
  <c r="AF50" i="46"/>
  <c r="AF47" i="46"/>
  <c r="AF41" i="46"/>
  <c r="AF35" i="46"/>
  <c r="AF48" i="46"/>
  <c r="AF42" i="46"/>
  <c r="AF36" i="46"/>
  <c r="AD51" i="46"/>
  <c r="AD45" i="46"/>
  <c r="AD39" i="46"/>
  <c r="AD33" i="46"/>
  <c r="AD50" i="46"/>
  <c r="AD47" i="46"/>
  <c r="AD41" i="46"/>
  <c r="AD35" i="46"/>
  <c r="AD48" i="46"/>
  <c r="AD42" i="46"/>
  <c r="AD36" i="46"/>
  <c r="AE51" i="46"/>
  <c r="AE45" i="46"/>
  <c r="AE39" i="46"/>
  <c r="AE33" i="46"/>
  <c r="AE50" i="46"/>
  <c r="AE47" i="46"/>
  <c r="AE41" i="46"/>
  <c r="AE35" i="46"/>
  <c r="AE48" i="46"/>
  <c r="AE42" i="46"/>
  <c r="AE36" i="46"/>
  <c r="AC52" i="46"/>
  <c r="BO338" i="8" l="1"/>
  <c r="AR8" i="71" s="1"/>
  <c r="BL162" i="112"/>
  <c r="BM162" i="112" s="1"/>
  <c r="BN162" i="112" s="1"/>
  <c r="BL161" i="112"/>
  <c r="BM161" i="112" s="1"/>
  <c r="BN161" i="112" s="1"/>
  <c r="AR38" i="71" l="1"/>
  <c r="AO54" i="71"/>
  <c r="BO161" i="112"/>
  <c r="BP161" i="112" s="1"/>
  <c r="BQ161" i="112" s="1"/>
  <c r="BR161" i="112" s="1"/>
  <c r="BL163" i="112"/>
  <c r="BM163" i="112" s="1"/>
  <c r="BN163" i="112" s="1"/>
  <c r="BO162" i="112"/>
  <c r="BP162" i="112" s="1"/>
  <c r="BQ162" i="112" s="1"/>
  <c r="BR162" i="112" s="1"/>
  <c r="BU323" i="8"/>
  <c r="BS323" i="8"/>
  <c r="BT323" i="8"/>
  <c r="AO56" i="71" l="1"/>
  <c r="BJ81" i="2"/>
  <c r="AD70" i="46"/>
  <c r="AE70" i="46"/>
  <c r="BS162" i="112"/>
  <c r="BO163" i="112"/>
  <c r="BP163" i="112" s="1"/>
  <c r="BQ163" i="112" s="1"/>
  <c r="BR163" i="112" s="1"/>
  <c r="BS161" i="112"/>
  <c r="BI81" i="2"/>
  <c r="BH81" i="2"/>
  <c r="BX323" i="8"/>
  <c r="BW323" i="8"/>
  <c r="BY323" i="8"/>
  <c r="BT162" i="112" l="1"/>
  <c r="BU162" i="112" s="1"/>
  <c r="BV162" i="112" s="1"/>
  <c r="BW162" i="112" s="1"/>
  <c r="BX162" i="112" s="1"/>
  <c r="BY162" i="112" s="1"/>
  <c r="BZ162" i="112" s="1"/>
  <c r="CA162" i="112" s="1"/>
  <c r="CB162" i="112" s="1"/>
  <c r="CC162" i="112" s="1"/>
  <c r="CD162" i="112" s="1"/>
  <c r="CE162" i="112" s="1"/>
  <c r="CF162" i="112" s="1"/>
  <c r="CG162" i="112" s="1"/>
  <c r="CH162" i="112" s="1"/>
  <c r="CI162" i="112" s="1"/>
  <c r="CJ162" i="112" s="1"/>
  <c r="CK162" i="112" s="1"/>
  <c r="CL162" i="112" s="1"/>
  <c r="CM162" i="112" s="1"/>
  <c r="CN162" i="112" s="1"/>
  <c r="CO162" i="112" s="1"/>
  <c r="CP162" i="112" s="1"/>
  <c r="CQ162" i="112" s="1"/>
  <c r="CR162" i="112" s="1"/>
  <c r="CS162" i="112" s="1"/>
  <c r="CT162" i="112" s="1"/>
  <c r="CU162" i="112" s="1"/>
  <c r="CV162" i="112" s="1"/>
  <c r="CW162" i="112" s="1"/>
  <c r="BT161" i="112"/>
  <c r="BU161" i="112" s="1"/>
  <c r="BV161" i="112" s="1"/>
  <c r="BW161" i="112" s="1"/>
  <c r="BX161" i="112" s="1"/>
  <c r="BY161" i="112" s="1"/>
  <c r="BZ161" i="112" s="1"/>
  <c r="CA161" i="112" s="1"/>
  <c r="CB161" i="112" s="1"/>
  <c r="CC161" i="112" s="1"/>
  <c r="CD161" i="112" s="1"/>
  <c r="CE161" i="112" s="1"/>
  <c r="CF161" i="112" s="1"/>
  <c r="CG161" i="112" s="1"/>
  <c r="CH161" i="112" s="1"/>
  <c r="CI161" i="112" s="1"/>
  <c r="CJ161" i="112" s="1"/>
  <c r="CK161" i="112" s="1"/>
  <c r="CL161" i="112" s="1"/>
  <c r="CM161" i="112" s="1"/>
  <c r="CN161" i="112" s="1"/>
  <c r="CO161" i="112" s="1"/>
  <c r="CP161" i="112" s="1"/>
  <c r="CQ161" i="112" s="1"/>
  <c r="CR161" i="112" s="1"/>
  <c r="CS161" i="112" s="1"/>
  <c r="CT161" i="112" s="1"/>
  <c r="CU161" i="112" s="1"/>
  <c r="CV161" i="112" s="1"/>
  <c r="CW161" i="112" s="1"/>
  <c r="BS163" i="112"/>
  <c r="BT163" i="112" l="1"/>
  <c r="BU163" i="112" s="1"/>
  <c r="BV163" i="112" s="1"/>
  <c r="BW163" i="112" s="1"/>
  <c r="BX163" i="112" s="1"/>
  <c r="BY163" i="112" s="1"/>
  <c r="BZ163" i="112" s="1"/>
  <c r="CA163" i="112" s="1"/>
  <c r="CB163" i="112" s="1"/>
  <c r="CC163" i="112" s="1"/>
  <c r="CD163" i="112" s="1"/>
  <c r="CE163" i="112" s="1"/>
  <c r="CF163" i="112" s="1"/>
  <c r="CG163" i="112" s="1"/>
  <c r="CH163" i="112" s="1"/>
  <c r="CI163" i="112" s="1"/>
  <c r="CJ163" i="112" s="1"/>
  <c r="CK163" i="112" s="1"/>
  <c r="CL163" i="112" s="1"/>
  <c r="CM163" i="112" s="1"/>
  <c r="CN163" i="112" s="1"/>
  <c r="CO163" i="112" s="1"/>
  <c r="CP163" i="112" s="1"/>
  <c r="CQ163" i="112" s="1"/>
  <c r="CR163" i="112" s="1"/>
  <c r="CS163" i="112" s="1"/>
  <c r="CT163" i="112" s="1"/>
  <c r="CU163" i="112" s="1"/>
  <c r="CV163" i="112" s="1"/>
  <c r="CW163" i="112" s="1"/>
  <c r="BG73" i="94"/>
  <c r="BH73" i="94" s="1"/>
  <c r="BI73" i="94" l="1"/>
  <c r="BH74" i="94"/>
  <c r="AH101" i="11"/>
  <c r="Z19" i="27" s="1"/>
  <c r="AG101" i="11"/>
  <c r="Y19" i="27" s="1"/>
  <c r="Z97" i="27"/>
  <c r="Y97" i="27"/>
  <c r="Z86" i="27"/>
  <c r="Y86" i="27"/>
  <c r="X86" i="27"/>
  <c r="Z76" i="27"/>
  <c r="Y76" i="27"/>
  <c r="X76" i="27"/>
  <c r="Z4" i="27"/>
  <c r="Z36" i="27" s="1"/>
  <c r="Y4" i="27"/>
  <c r="Y36" i="27" s="1"/>
  <c r="X4" i="27"/>
  <c r="X36" i="27" s="1"/>
  <c r="AF101" i="11"/>
  <c r="X19" i="27" s="1"/>
  <c r="AH41" i="11"/>
  <c r="AG41" i="11"/>
  <c r="AF41" i="11"/>
  <c r="AH202" i="11"/>
  <c r="AG202" i="11"/>
  <c r="AF202" i="11"/>
  <c r="AH187" i="11"/>
  <c r="AG187" i="11"/>
  <c r="AF187" i="11"/>
  <c r="AH165" i="11"/>
  <c r="AG165" i="11"/>
  <c r="AF165" i="11"/>
  <c r="AH150" i="11"/>
  <c r="AG150" i="11"/>
  <c r="AF150" i="11"/>
  <c r="AH121" i="11"/>
  <c r="AG121" i="11"/>
  <c r="AF121" i="11"/>
  <c r="AH35" i="11"/>
  <c r="AG35" i="11"/>
  <c r="AF35" i="11"/>
  <c r="CW113" i="2"/>
  <c r="CV113" i="2"/>
  <c r="CU113" i="2"/>
  <c r="CT113" i="2"/>
  <c r="CW103" i="2"/>
  <c r="CV103" i="2"/>
  <c r="CU103" i="2"/>
  <c r="CT103" i="2"/>
  <c r="CW100" i="2"/>
  <c r="CV100" i="2"/>
  <c r="CU100" i="2"/>
  <c r="CT100" i="2"/>
  <c r="CW94" i="2"/>
  <c r="CV94" i="2"/>
  <c r="CU94" i="2"/>
  <c r="CT94" i="2"/>
  <c r="CW93" i="2"/>
  <c r="CV93" i="2"/>
  <c r="CU93" i="2"/>
  <c r="CT93" i="2"/>
  <c r="CW60" i="2"/>
  <c r="CV60" i="2"/>
  <c r="CU60" i="2"/>
  <c r="CT60" i="2"/>
  <c r="CW30" i="2"/>
  <c r="CV30" i="2"/>
  <c r="CU30" i="2"/>
  <c r="CT30" i="2"/>
  <c r="CW4" i="2"/>
  <c r="CV4" i="2"/>
  <c r="CU4" i="2"/>
  <c r="CU3" i="2" s="1"/>
  <c r="CT4" i="2"/>
  <c r="CS113" i="2"/>
  <c r="CR113" i="2"/>
  <c r="CQ113" i="2"/>
  <c r="CS103" i="2"/>
  <c r="CR103" i="2"/>
  <c r="CQ103" i="2"/>
  <c r="CS100" i="2"/>
  <c r="CR100" i="2"/>
  <c r="CQ100" i="2"/>
  <c r="CS94" i="2"/>
  <c r="CR94" i="2"/>
  <c r="CQ94" i="2"/>
  <c r="CS93" i="2"/>
  <c r="CR93" i="2"/>
  <c r="CQ93" i="2"/>
  <c r="CS60" i="2"/>
  <c r="CR60" i="2"/>
  <c r="CQ60" i="2"/>
  <c r="CS30" i="2"/>
  <c r="CR30" i="2"/>
  <c r="CQ30" i="2"/>
  <c r="CS4" i="2"/>
  <c r="CR4" i="2"/>
  <c r="CQ4" i="2"/>
  <c r="CP113" i="2"/>
  <c r="CO113" i="2"/>
  <c r="CN113" i="2"/>
  <c r="CM113" i="2"/>
  <c r="CL113" i="2"/>
  <c r="CP103" i="2"/>
  <c r="CO103" i="2"/>
  <c r="CN103" i="2"/>
  <c r="CM103" i="2"/>
  <c r="CL103" i="2"/>
  <c r="CP100" i="2"/>
  <c r="CO100" i="2"/>
  <c r="CN100" i="2"/>
  <c r="CM100" i="2"/>
  <c r="CL100" i="2"/>
  <c r="CP94" i="2"/>
  <c r="CO94" i="2"/>
  <c r="CN94" i="2"/>
  <c r="CM94" i="2"/>
  <c r="CL94" i="2"/>
  <c r="CP93" i="2"/>
  <c r="CO93" i="2"/>
  <c r="CN93" i="2"/>
  <c r="CM93" i="2"/>
  <c r="CL93" i="2"/>
  <c r="CP60" i="2"/>
  <c r="CO60" i="2"/>
  <c r="CN60" i="2"/>
  <c r="CM60" i="2"/>
  <c r="CL60" i="2"/>
  <c r="CP30" i="2"/>
  <c r="CO30" i="2"/>
  <c r="CN30" i="2"/>
  <c r="CM30" i="2"/>
  <c r="CL30" i="2"/>
  <c r="CP4" i="2"/>
  <c r="CO4" i="2"/>
  <c r="CO3" i="2" s="1"/>
  <c r="CN4" i="2"/>
  <c r="CM4" i="2"/>
  <c r="CL4" i="2"/>
  <c r="CW3" i="4"/>
  <c r="CV3" i="4"/>
  <c r="CU3" i="4"/>
  <c r="CT3" i="4"/>
  <c r="CS3" i="4"/>
  <c r="CR3" i="4"/>
  <c r="CQ3" i="4"/>
  <c r="CP3" i="4"/>
  <c r="CO3" i="4"/>
  <c r="CN3" i="4"/>
  <c r="CM3" i="4"/>
  <c r="CL3" i="4"/>
  <c r="CW286" i="112"/>
  <c r="CV286" i="112"/>
  <c r="CU286" i="112"/>
  <c r="CT286" i="112"/>
  <c r="CS286" i="112"/>
  <c r="CR286" i="112"/>
  <c r="CQ286" i="112"/>
  <c r="CP286" i="112"/>
  <c r="CO286" i="112"/>
  <c r="CN286" i="112"/>
  <c r="CM286" i="112"/>
  <c r="CL286" i="112"/>
  <c r="CW282" i="112"/>
  <c r="CV282" i="112"/>
  <c r="CU282" i="112"/>
  <c r="CT282" i="112"/>
  <c r="CS282" i="112"/>
  <c r="CR282" i="112"/>
  <c r="CQ282" i="112"/>
  <c r="CP282" i="112"/>
  <c r="CO282" i="112"/>
  <c r="CN282" i="112"/>
  <c r="CM282" i="112"/>
  <c r="CL282" i="112"/>
  <c r="CL3" i="112"/>
  <c r="CM3" i="112"/>
  <c r="CN3" i="112"/>
  <c r="CO3" i="112"/>
  <c r="CP3" i="112"/>
  <c r="CQ3" i="112"/>
  <c r="CR3" i="112"/>
  <c r="CS3" i="112"/>
  <c r="CT3" i="112"/>
  <c r="CU3" i="112"/>
  <c r="CV3" i="112"/>
  <c r="CW200" i="8"/>
  <c r="CV200" i="8"/>
  <c r="CW198" i="8"/>
  <c r="CV198" i="8"/>
  <c r="CW180" i="8"/>
  <c r="CV180" i="8"/>
  <c r="CW178" i="8"/>
  <c r="CV178" i="8"/>
  <c r="CW155" i="8"/>
  <c r="CV155" i="8"/>
  <c r="CW153" i="8"/>
  <c r="CV153" i="8"/>
  <c r="CW8" i="8"/>
  <c r="CV8" i="8"/>
  <c r="CU200" i="8"/>
  <c r="CT200" i="8"/>
  <c r="CS200" i="8"/>
  <c r="CR200" i="8"/>
  <c r="CQ200" i="8"/>
  <c r="CU198" i="8"/>
  <c r="CT198" i="8"/>
  <c r="CS198" i="8"/>
  <c r="CR198" i="8"/>
  <c r="CQ198" i="8"/>
  <c r="CU180" i="8"/>
  <c r="CT180" i="8"/>
  <c r="CS180" i="8"/>
  <c r="CR180" i="8"/>
  <c r="CQ180" i="8"/>
  <c r="CU178" i="8"/>
  <c r="CT178" i="8"/>
  <c r="CS178" i="8"/>
  <c r="CR178" i="8"/>
  <c r="CQ178" i="8"/>
  <c r="CU155" i="8"/>
  <c r="CT155" i="8"/>
  <c r="CS155" i="8"/>
  <c r="CR155" i="8"/>
  <c r="CQ155" i="8"/>
  <c r="CU153" i="8"/>
  <c r="CT153" i="8"/>
  <c r="CS153" i="8"/>
  <c r="CR153" i="8"/>
  <c r="CQ153" i="8"/>
  <c r="CU8" i="8"/>
  <c r="CT8" i="8"/>
  <c r="CT7" i="8" s="1"/>
  <c r="CS8" i="8"/>
  <c r="CS7" i="8" s="1"/>
  <c r="CR8" i="8"/>
  <c r="CR7" i="8" s="1"/>
  <c r="CQ8" i="8"/>
  <c r="CP200" i="8"/>
  <c r="CO200" i="8"/>
  <c r="CN200" i="8"/>
  <c r="CM200" i="8"/>
  <c r="CP198" i="8"/>
  <c r="CO198" i="8"/>
  <c r="CN198" i="8"/>
  <c r="CM198" i="8"/>
  <c r="CP180" i="8"/>
  <c r="CO180" i="8"/>
  <c r="CN180" i="8"/>
  <c r="CM180" i="8"/>
  <c r="CP178" i="8"/>
  <c r="CO178" i="8"/>
  <c r="CN178" i="8"/>
  <c r="CM178" i="8"/>
  <c r="CP155" i="8"/>
  <c r="CO155" i="8"/>
  <c r="CN155" i="8"/>
  <c r="CM155" i="8"/>
  <c r="CP153" i="8"/>
  <c r="CO153" i="8"/>
  <c r="CN153" i="8"/>
  <c r="CM153" i="8"/>
  <c r="CP8" i="8"/>
  <c r="CO8" i="8"/>
  <c r="CN8" i="8"/>
  <c r="CM8" i="8"/>
  <c r="CM7" i="8" s="1"/>
  <c r="CL200" i="8"/>
  <c r="CL198" i="8"/>
  <c r="CL180" i="8"/>
  <c r="CL178" i="8"/>
  <c r="CL155" i="8"/>
  <c r="CL153" i="8"/>
  <c r="CL8" i="8"/>
  <c r="CW3" i="112"/>
  <c r="CU78" i="8" l="1"/>
  <c r="CU7" i="8"/>
  <c r="CQ321" i="8"/>
  <c r="CQ7" i="8"/>
  <c r="CN208" i="8"/>
  <c r="CN253" i="8" s="1"/>
  <c r="CN269" i="8" s="1"/>
  <c r="CN7" i="8"/>
  <c r="CO321" i="8"/>
  <c r="CO7" i="8"/>
  <c r="CL141" i="8"/>
  <c r="CL7" i="8"/>
  <c r="CP78" i="8"/>
  <c r="CP7" i="8"/>
  <c r="CV321" i="8"/>
  <c r="CV7" i="8"/>
  <c r="CW321" i="8"/>
  <c r="CW7" i="8"/>
  <c r="CL84" i="2"/>
  <c r="CL3" i="2"/>
  <c r="CS86" i="2"/>
  <c r="CS3" i="2"/>
  <c r="CV86" i="2"/>
  <c r="CV3" i="2"/>
  <c r="CM84" i="2"/>
  <c r="CM3" i="2"/>
  <c r="CW86" i="2"/>
  <c r="CW3" i="2"/>
  <c r="CN84" i="2"/>
  <c r="CN3" i="2"/>
  <c r="CP86" i="2"/>
  <c r="CP3" i="2"/>
  <c r="CQ84" i="2"/>
  <c r="CQ3" i="2"/>
  <c r="CT84" i="2"/>
  <c r="CT3" i="2"/>
  <c r="CR84" i="2"/>
  <c r="CR3" i="2"/>
  <c r="BJ73" i="94"/>
  <c r="BK73" i="94" s="1"/>
  <c r="BI74" i="94"/>
  <c r="CQ86" i="2"/>
  <c r="CV84" i="2"/>
  <c r="CR86" i="2"/>
  <c r="X60" i="27"/>
  <c r="Y60" i="27"/>
  <c r="Z60" i="27"/>
  <c r="CP84" i="2"/>
  <c r="CW84" i="2"/>
  <c r="CT86" i="2"/>
  <c r="CL86" i="2"/>
  <c r="CM86" i="2"/>
  <c r="CU84" i="2"/>
  <c r="CU86" i="2"/>
  <c r="CS84" i="2"/>
  <c r="CO84" i="2"/>
  <c r="CO86" i="2"/>
  <c r="CN86" i="2"/>
  <c r="CV231" i="8"/>
  <c r="CV78" i="8"/>
  <c r="CV208" i="8"/>
  <c r="CV253" i="8" s="1"/>
  <c r="CV269" i="8" s="1"/>
  <c r="CW78" i="8"/>
  <c r="CW208" i="8"/>
  <c r="CW253" i="8" s="1"/>
  <c r="CW269" i="8" s="1"/>
  <c r="CV141" i="8"/>
  <c r="CW231" i="8"/>
  <c r="CW141" i="8"/>
  <c r="CU321" i="8"/>
  <c r="CU231" i="8"/>
  <c r="CU208" i="8"/>
  <c r="CU253" i="8" s="1"/>
  <c r="CU269" i="8" s="1"/>
  <c r="CU141" i="8"/>
  <c r="CQ78" i="8"/>
  <c r="CQ141" i="8"/>
  <c r="CR321" i="8"/>
  <c r="CR231" i="8"/>
  <c r="CR208" i="8"/>
  <c r="CR253" i="8" s="1"/>
  <c r="CR269" i="8" s="1"/>
  <c r="CR78" i="8"/>
  <c r="CR141" i="8"/>
  <c r="CS321" i="8"/>
  <c r="CS231" i="8"/>
  <c r="CS208" i="8"/>
  <c r="CS253" i="8" s="1"/>
  <c r="CS269" i="8" s="1"/>
  <c r="CS78" i="8"/>
  <c r="CS141" i="8"/>
  <c r="CQ231" i="8"/>
  <c r="CT321" i="8"/>
  <c r="CT231" i="8"/>
  <c r="CT208" i="8"/>
  <c r="CT253" i="8" s="1"/>
  <c r="CT269" i="8" s="1"/>
  <c r="CT78" i="8"/>
  <c r="CT141" i="8"/>
  <c r="CQ208" i="8"/>
  <c r="CQ253" i="8" s="1"/>
  <c r="CQ269" i="8" s="1"/>
  <c r="CL208" i="8"/>
  <c r="CL253" i="8" s="1"/>
  <c r="CL269" i="8" s="1"/>
  <c r="CN78" i="8"/>
  <c r="CP321" i="8"/>
  <c r="CO141" i="8"/>
  <c r="CM208" i="8"/>
  <c r="CM253" i="8" s="1"/>
  <c r="CM269" i="8" s="1"/>
  <c r="CM321" i="8"/>
  <c r="CM141" i="8"/>
  <c r="CO231" i="8"/>
  <c r="CO208" i="8"/>
  <c r="CO253" i="8" s="1"/>
  <c r="CO269" i="8" s="1"/>
  <c r="CO78" i="8"/>
  <c r="CM78" i="8"/>
  <c r="CM231" i="8"/>
  <c r="CN321" i="8"/>
  <c r="CN231" i="8"/>
  <c r="CN141" i="8"/>
  <c r="CP141" i="8"/>
  <c r="CP208" i="8"/>
  <c r="CP253" i="8" s="1"/>
  <c r="CP269" i="8" s="1"/>
  <c r="CP231" i="8"/>
  <c r="CL321" i="8"/>
  <c r="CL231" i="8"/>
  <c r="CL78" i="8"/>
  <c r="BK74" i="94" l="1"/>
  <c r="BL73" i="94"/>
  <c r="BL74" i="94" s="1"/>
  <c r="BJ74" i="94"/>
  <c r="BI533" i="94"/>
  <c r="BI508" i="94"/>
  <c r="BI516" i="94" s="1"/>
  <c r="AW3" i="36"/>
  <c r="BI140" i="94" l="1"/>
  <c r="BI62" i="94"/>
  <c r="BJ62" i="94" s="1"/>
  <c r="BK62" i="94" s="1"/>
  <c r="BL62" i="94" s="1"/>
  <c r="BL289" i="94" l="1"/>
  <c r="BL63" i="94"/>
  <c r="BK63" i="94"/>
  <c r="BK289" i="94"/>
  <c r="BJ63" i="94"/>
  <c r="BJ289" i="94"/>
  <c r="BL378" i="94" l="1"/>
  <c r="BL291" i="94"/>
  <c r="BK378" i="94"/>
  <c r="BK291" i="94"/>
  <c r="BJ291" i="94"/>
  <c r="BJ307" i="94" s="1"/>
  <c r="BJ378" i="94"/>
  <c r="BP4" i="111"/>
  <c r="BP786" i="111"/>
  <c r="BP502" i="111"/>
  <c r="BP497" i="111"/>
  <c r="BP492" i="111"/>
  <c r="BP486" i="111"/>
  <c r="BP483" i="111"/>
  <c r="BP480" i="111"/>
  <c r="BP476" i="111"/>
  <c r="BP468" i="111"/>
  <c r="BP437" i="111"/>
  <c r="BP427" i="111"/>
  <c r="BH189" i="112"/>
  <c r="BH69" i="8"/>
  <c r="BH64" i="8"/>
  <c r="BH54" i="8"/>
  <c r="BH49" i="8"/>
  <c r="BH43" i="8"/>
  <c r="BH38" i="8"/>
  <c r="BH33" i="8"/>
  <c r="BH27" i="8"/>
  <c r="BH22" i="8"/>
  <c r="BH17" i="8"/>
  <c r="BH8" i="8"/>
  <c r="BH7" i="8" s="1"/>
  <c r="BH73" i="2"/>
  <c r="BH13" i="59"/>
  <c r="BH18" i="59" s="1"/>
  <c r="BI468" i="94"/>
  <c r="BH158" i="112" s="1"/>
  <c r="BI113" i="94"/>
  <c r="BI106" i="94"/>
  <c r="BI246" i="94" s="1"/>
  <c r="BI105" i="94"/>
  <c r="BI245" i="94" s="1"/>
  <c r="BI104" i="94"/>
  <c r="BI244" i="94" s="1"/>
  <c r="BI100" i="94"/>
  <c r="BI239" i="94" s="1"/>
  <c r="BI91" i="94"/>
  <c r="BI227" i="94" s="1"/>
  <c r="BI87" i="94"/>
  <c r="BI86" i="94"/>
  <c r="BI83" i="94"/>
  <c r="BI82" i="94"/>
  <c r="BI81" i="94"/>
  <c r="BI80" i="94"/>
  <c r="BI79" i="94"/>
  <c r="BI78" i="94"/>
  <c r="BI38" i="94"/>
  <c r="BI14" i="94"/>
  <c r="BI31" i="58"/>
  <c r="BI67" i="58"/>
  <c r="BH59" i="59"/>
  <c r="BH134" i="2" s="1"/>
  <c r="BH55" i="59"/>
  <c r="BH50" i="59"/>
  <c r="BH43" i="59"/>
  <c r="BH37" i="59"/>
  <c r="BH32" i="59"/>
  <c r="BH10" i="59"/>
  <c r="BI476" i="94"/>
  <c r="BI463" i="94"/>
  <c r="BI462" i="94"/>
  <c r="BI432" i="94"/>
  <c r="BI422" i="94"/>
  <c r="BI421" i="94"/>
  <c r="BI420" i="94"/>
  <c r="BI419" i="94"/>
  <c r="BI418" i="94"/>
  <c r="BI406" i="94"/>
  <c r="BI228" i="94"/>
  <c r="BI229" i="94"/>
  <c r="BI230" i="94"/>
  <c r="BI231" i="94"/>
  <c r="BI232" i="94"/>
  <c r="BI233" i="94"/>
  <c r="BI234" i="94"/>
  <c r="BI235" i="94"/>
  <c r="BI236" i="94"/>
  <c r="BI237" i="94"/>
  <c r="BI238" i="94"/>
  <c r="BI247" i="94"/>
  <c r="BI248" i="94"/>
  <c r="BI249" i="94"/>
  <c r="BI250" i="94"/>
  <c r="BI251" i="94"/>
  <c r="BI252" i="94"/>
  <c r="BI253" i="94"/>
  <c r="BI254" i="94"/>
  <c r="BI255" i="94"/>
  <c r="BI280" i="94"/>
  <c r="BI350" i="94" s="1"/>
  <c r="BI281" i="94"/>
  <c r="BI351" i="94" s="1"/>
  <c r="BI283" i="94"/>
  <c r="BI353" i="94" s="1"/>
  <c r="BI290" i="94"/>
  <c r="BI360" i="94" s="1"/>
  <c r="BI166" i="94"/>
  <c r="BI289" i="94" s="1"/>
  <c r="BI165" i="94"/>
  <c r="BI288" i="94" s="1"/>
  <c r="BI358" i="94" s="1"/>
  <c r="BI164" i="94"/>
  <c r="BI287" i="94" s="1"/>
  <c r="BI357" i="94" s="1"/>
  <c r="BI163" i="94"/>
  <c r="BI286" i="94" s="1"/>
  <c r="BI356" i="94" s="1"/>
  <c r="BI162" i="94"/>
  <c r="BI285" i="94" s="1"/>
  <c r="BI355" i="94" s="1"/>
  <c r="BI161" i="94"/>
  <c r="BI284" i="94" s="1"/>
  <c r="BI354" i="94" s="1"/>
  <c r="BI160" i="94"/>
  <c r="BI282" i="94" s="1"/>
  <c r="BI352" i="94" s="1"/>
  <c r="BI159" i="94"/>
  <c r="BI279" i="94" s="1"/>
  <c r="BI349" i="94" s="1"/>
  <c r="BI158" i="94"/>
  <c r="BI157" i="94"/>
  <c r="BI277" i="94" s="1"/>
  <c r="BI347" i="94" s="1"/>
  <c r="BI154" i="94"/>
  <c r="BI141" i="94"/>
  <c r="BI103" i="94"/>
  <c r="BI121" i="94" s="1"/>
  <c r="BI90" i="94"/>
  <c r="BI77" i="94"/>
  <c r="BI63" i="94"/>
  <c r="BI39" i="94"/>
  <c r="BI46" i="94" s="1"/>
  <c r="BI27" i="94"/>
  <c r="BI15" i="94"/>
  <c r="BI115" i="58"/>
  <c r="BI104" i="58"/>
  <c r="BI83" i="58"/>
  <c r="BI82" i="58"/>
  <c r="BH45" i="112" s="1"/>
  <c r="BH147" i="8" s="1"/>
  <c r="BI35" i="58"/>
  <c r="BI13" i="58"/>
  <c r="BI8" i="58"/>
  <c r="BI6" i="58"/>
  <c r="BL379" i="94" l="1"/>
  <c r="BL304" i="94"/>
  <c r="BL298" i="94"/>
  <c r="BL297" i="94"/>
  <c r="BL302" i="94"/>
  <c r="BL306" i="94"/>
  <c r="BL303" i="94"/>
  <c r="BL308" i="94"/>
  <c r="BL299" i="94"/>
  <c r="BL300" i="94"/>
  <c r="BL296" i="94"/>
  <c r="BL301" i="94"/>
  <c r="BL305" i="94"/>
  <c r="BL295" i="94"/>
  <c r="BL307" i="94"/>
  <c r="BH216" i="112"/>
  <c r="BH213" i="112"/>
  <c r="BK298" i="94"/>
  <c r="BK379" i="94"/>
  <c r="BK305" i="94"/>
  <c r="BK301" i="94"/>
  <c r="BK308" i="94"/>
  <c r="BK299" i="94"/>
  <c r="BK306" i="94"/>
  <c r="BK297" i="94"/>
  <c r="BK296" i="94"/>
  <c r="BK304" i="94"/>
  <c r="BK300" i="94"/>
  <c r="BK303" i="94"/>
  <c r="BK302" i="94"/>
  <c r="BK295" i="94"/>
  <c r="BK307" i="94"/>
  <c r="BH8" i="4"/>
  <c r="BJ297" i="94"/>
  <c r="BJ296" i="94"/>
  <c r="BJ302" i="94"/>
  <c r="BJ301" i="94"/>
  <c r="BJ304" i="94"/>
  <c r="BJ303" i="94"/>
  <c r="BJ300" i="94"/>
  <c r="BJ306" i="94"/>
  <c r="BJ298" i="94"/>
  <c r="BJ299" i="94"/>
  <c r="BJ305" i="94"/>
  <c r="BJ295" i="94"/>
  <c r="BJ308" i="94"/>
  <c r="BJ379" i="94"/>
  <c r="BH165" i="112"/>
  <c r="BH163" i="112"/>
  <c r="BH164" i="112"/>
  <c r="BH162" i="112"/>
  <c r="BH161" i="112"/>
  <c r="BH33" i="4"/>
  <c r="BI412" i="94"/>
  <c r="BH225" i="112"/>
  <c r="BH130" i="2"/>
  <c r="BH132" i="2" s="1"/>
  <c r="BH209" i="112"/>
  <c r="BH247" i="112"/>
  <c r="BH267" i="112"/>
  <c r="BP494" i="111"/>
  <c r="BH108" i="8"/>
  <c r="BP495" i="111"/>
  <c r="BH141" i="8"/>
  <c r="BH321" i="8"/>
  <c r="BP451" i="111"/>
  <c r="BP463" i="111"/>
  <c r="BP432" i="111"/>
  <c r="BP449" i="111"/>
  <c r="BP434" i="111"/>
  <c r="BP450" i="111"/>
  <c r="BH45" i="59"/>
  <c r="BP461" i="111"/>
  <c r="BI216" i="94"/>
  <c r="BI372" i="94" s="1"/>
  <c r="BH32" i="8"/>
  <c r="BH65" i="8"/>
  <c r="BI211" i="94"/>
  <c r="BH13" i="8"/>
  <c r="BH34" i="8"/>
  <c r="BP493" i="111"/>
  <c r="BH16" i="8"/>
  <c r="BH55" i="8"/>
  <c r="BP454" i="111"/>
  <c r="BH11" i="8"/>
  <c r="BH44" i="8"/>
  <c r="BP430" i="111"/>
  <c r="BP459" i="111"/>
  <c r="BI221" i="94"/>
  <c r="BH12" i="8"/>
  <c r="BH45" i="8"/>
  <c r="BH63" i="8"/>
  <c r="BH28" i="8"/>
  <c r="BH39" i="8"/>
  <c r="BH48" i="8"/>
  <c r="BH59" i="8"/>
  <c r="BH70" i="8"/>
  <c r="BH29" i="8"/>
  <c r="BH50" i="8"/>
  <c r="BH60" i="8"/>
  <c r="BH58" i="8"/>
  <c r="BH18" i="8"/>
  <c r="BH130" i="8"/>
  <c r="BH23" i="8"/>
  <c r="BH231" i="8"/>
  <c r="BH78" i="8"/>
  <c r="BH208" i="8"/>
  <c r="BH253" i="8" s="1"/>
  <c r="BH269" i="8" s="1"/>
  <c r="BH21" i="8"/>
  <c r="BH37" i="8"/>
  <c r="BH53" i="8"/>
  <c r="BH68" i="8"/>
  <c r="BH19" i="59"/>
  <c r="BI217" i="94"/>
  <c r="BI373" i="94" s="1"/>
  <c r="BI256" i="94"/>
  <c r="BI222" i="94" s="1"/>
  <c r="BI378" i="94" s="1"/>
  <c r="BI213" i="94"/>
  <c r="BI469" i="94"/>
  <c r="BI411" i="94"/>
  <c r="BI413" i="94"/>
  <c r="BI414" i="94"/>
  <c r="BI410" i="94"/>
  <c r="BI219" i="94"/>
  <c r="BI375" i="94" s="1"/>
  <c r="BI218" i="94"/>
  <c r="BI374" i="94" s="1"/>
  <c r="BI210" i="94"/>
  <c r="BI240" i="94"/>
  <c r="BI167" i="94"/>
  <c r="BI278" i="94"/>
  <c r="BI123" i="94"/>
  <c r="BI122" i="94"/>
  <c r="BI117" i="94"/>
  <c r="BI118" i="94"/>
  <c r="BI124" i="94"/>
  <c r="BI119" i="94"/>
  <c r="BI125" i="94"/>
  <c r="BI120" i="94"/>
  <c r="BI126" i="94"/>
  <c r="BI47" i="94"/>
  <c r="BI48" i="94"/>
  <c r="BI43" i="94"/>
  <c r="BI49" i="94"/>
  <c r="BI44" i="94"/>
  <c r="BI50" i="94"/>
  <c r="BI45" i="94"/>
  <c r="BI12" i="58"/>
  <c r="BI423" i="94"/>
  <c r="BI214" i="94"/>
  <c r="BI370" i="94" s="1"/>
  <c r="BI215" i="94"/>
  <c r="BI212" i="94"/>
  <c r="BI220" i="94"/>
  <c r="BI376" i="94" s="1"/>
  <c r="BG3" i="112"/>
  <c r="BL309" i="94" l="1"/>
  <c r="BP428" i="111"/>
  <c r="BH30" i="4"/>
  <c r="BH51" i="4"/>
  <c r="BI19" i="58"/>
  <c r="BI22" i="58" s="1"/>
  <c r="BH46" i="59"/>
  <c r="BK309" i="94"/>
  <c r="BI366" i="94"/>
  <c r="BI369" i="94"/>
  <c r="BI371" i="94"/>
  <c r="BI377" i="94"/>
  <c r="BI348" i="94"/>
  <c r="BP499" i="111"/>
  <c r="BJ309" i="94"/>
  <c r="BH238" i="112"/>
  <c r="BI226" i="112"/>
  <c r="BH165" i="2"/>
  <c r="BH162" i="2" s="1"/>
  <c r="BH183" i="112"/>
  <c r="BH177" i="112"/>
  <c r="BP500" i="111"/>
  <c r="BP545" i="111"/>
  <c r="BI257" i="94"/>
  <c r="BI265" i="94" s="1"/>
  <c r="BI367" i="94"/>
  <c r="BP498" i="111"/>
  <c r="BP448" i="111"/>
  <c r="BI223" i="94"/>
  <c r="BI51" i="94"/>
  <c r="BI368" i="94"/>
  <c r="BI291" i="94"/>
  <c r="BI127" i="94"/>
  <c r="BH62" i="4" l="1"/>
  <c r="BI38" i="58"/>
  <c r="BI40" i="58" s="1"/>
  <c r="BI261" i="94"/>
  <c r="BI267" i="94"/>
  <c r="BI270" i="94"/>
  <c r="BI269" i="94"/>
  <c r="BI263" i="94"/>
  <c r="BI273" i="94"/>
  <c r="BI268" i="94"/>
  <c r="BI266" i="94"/>
  <c r="BI271" i="94"/>
  <c r="BI272" i="94"/>
  <c r="BI262" i="94"/>
  <c r="BI264" i="94"/>
  <c r="BP465" i="111"/>
  <c r="BP438" i="111"/>
  <c r="BP481" i="111"/>
  <c r="BP563" i="111"/>
  <c r="BI379" i="94"/>
  <c r="BI307" i="94"/>
  <c r="BI305" i="94"/>
  <c r="BI298" i="94"/>
  <c r="BI296" i="94"/>
  <c r="BI295" i="94"/>
  <c r="BI306" i="94"/>
  <c r="BI304" i="94"/>
  <c r="BI308" i="94"/>
  <c r="BI302" i="94"/>
  <c r="BI300" i="94"/>
  <c r="BI299" i="94"/>
  <c r="BI301" i="94"/>
  <c r="BI297" i="94"/>
  <c r="BI303" i="94"/>
  <c r="BG68" i="8"/>
  <c r="BG60" i="8"/>
  <c r="BG50" i="8"/>
  <c r="BG37" i="8"/>
  <c r="BG34" i="8"/>
  <c r="BG29" i="8"/>
  <c r="BG18" i="8"/>
  <c r="BG13" i="8"/>
  <c r="BG8" i="8"/>
  <c r="BG7" i="8" s="1"/>
  <c r="BG4" i="2"/>
  <c r="BG3" i="2" s="1"/>
  <c r="BG30" i="2"/>
  <c r="BG60" i="2"/>
  <c r="BG80" i="2"/>
  <c r="BG87" i="2"/>
  <c r="BG95" i="2"/>
  <c r="BH92" i="2" s="1"/>
  <c r="BH93" i="2" s="1"/>
  <c r="BG100" i="2"/>
  <c r="BG127" i="2"/>
  <c r="BG131" i="2"/>
  <c r="BG143" i="2"/>
  <c r="BG144" i="2"/>
  <c r="BG152" i="2"/>
  <c r="BG156" i="2"/>
  <c r="BG9" i="112"/>
  <c r="BG14" i="112"/>
  <c r="BG18" i="112"/>
  <c r="BG38" i="112"/>
  <c r="BK39" i="112" s="1"/>
  <c r="BG76" i="112"/>
  <c r="BG81" i="112"/>
  <c r="BG85" i="112"/>
  <c r="BG105" i="112"/>
  <c r="BG112" i="112"/>
  <c r="BG141" i="112"/>
  <c r="BG146" i="112"/>
  <c r="BG150" i="112"/>
  <c r="BG154" i="112"/>
  <c r="BG155" i="112"/>
  <c r="BG156" i="112"/>
  <c r="BG157" i="112"/>
  <c r="BG196" i="112"/>
  <c r="BG192" i="8" s="1"/>
  <c r="BG228" i="112"/>
  <c r="BG232" i="112"/>
  <c r="BG282" i="112"/>
  <c r="BG283" i="112"/>
  <c r="BG24" i="2" s="1"/>
  <c r="BG286" i="112"/>
  <c r="BG287" i="112"/>
  <c r="BG299" i="112"/>
  <c r="BG308" i="112"/>
  <c r="BG4" i="4"/>
  <c r="BG3" i="4" s="1"/>
  <c r="BG5" i="4"/>
  <c r="BK6" i="4" s="1"/>
  <c r="BG14" i="4"/>
  <c r="BG17" i="4"/>
  <c r="BG25" i="4"/>
  <c r="BG26" i="4"/>
  <c r="BG27" i="4"/>
  <c r="BG32" i="4"/>
  <c r="BG38" i="4"/>
  <c r="BG39" i="4"/>
  <c r="BG40" i="4"/>
  <c r="BG41" i="4"/>
  <c r="BG42" i="4"/>
  <c r="BG43" i="4"/>
  <c r="BG45" i="4"/>
  <c r="BG47" i="4"/>
  <c r="BG48" i="4"/>
  <c r="BG64" i="4"/>
  <c r="BG189" i="112" s="1"/>
  <c r="BG66" i="4"/>
  <c r="BG68" i="4"/>
  <c r="BG69" i="4"/>
  <c r="BG70" i="4"/>
  <c r="BG73" i="4"/>
  <c r="BG74" i="4"/>
  <c r="BG41" i="2" s="1"/>
  <c r="BG75" i="4"/>
  <c r="BG48" i="2" s="1"/>
  <c r="BG76" i="4"/>
  <c r="BG77" i="4"/>
  <c r="BG15" i="2"/>
  <c r="BG95" i="4"/>
  <c r="BG96" i="4"/>
  <c r="BG97" i="4"/>
  <c r="BG98" i="4"/>
  <c r="BG104" i="4"/>
  <c r="BG43" i="2"/>
  <c r="BH427" i="94"/>
  <c r="BH432" i="94" s="1"/>
  <c r="BH419" i="94"/>
  <c r="BH420" i="94"/>
  <c r="BH421" i="94"/>
  <c r="BH422" i="94"/>
  <c r="BH468" i="94"/>
  <c r="BG158" i="112" s="1"/>
  <c r="BH462" i="94"/>
  <c r="BH463" i="94"/>
  <c r="BH35" i="58"/>
  <c r="BG180" i="94"/>
  <c r="BH154" i="94"/>
  <c r="BH140" i="94"/>
  <c r="BH141" i="94" s="1"/>
  <c r="BH62" i="94"/>
  <c r="BH63" i="94" s="1"/>
  <c r="BH404" i="94"/>
  <c r="BH103" i="94"/>
  <c r="BH80" i="94"/>
  <c r="BH405" i="94"/>
  <c r="BH402" i="94"/>
  <c r="BG132" i="112" l="1"/>
  <c r="BK133" i="112" s="1"/>
  <c r="BK106" i="112"/>
  <c r="BG216" i="112"/>
  <c r="BK217" i="112" s="1"/>
  <c r="BK190" i="112"/>
  <c r="BG7" i="4"/>
  <c r="BG29" i="4" s="1"/>
  <c r="BG67" i="112"/>
  <c r="BK68" i="112" s="1"/>
  <c r="BH137" i="4"/>
  <c r="BG6" i="2"/>
  <c r="BG8" i="2"/>
  <c r="BG9" i="2" s="1"/>
  <c r="BG259" i="8" s="1"/>
  <c r="BG262" i="8" s="1"/>
  <c r="BG207" i="112"/>
  <c r="BG58" i="112"/>
  <c r="BG311" i="112"/>
  <c r="BG130" i="2"/>
  <c r="BG132" i="2" s="1"/>
  <c r="BG65" i="2"/>
  <c r="BG70" i="2" s="1"/>
  <c r="BG63" i="2"/>
  <c r="BG78" i="2" s="1"/>
  <c r="BH16" i="112"/>
  <c r="BH15" i="112"/>
  <c r="BH110" i="8" s="1"/>
  <c r="BH11" i="112"/>
  <c r="BH10" i="112"/>
  <c r="BH229" i="112"/>
  <c r="BH33" i="2" s="1"/>
  <c r="BH230" i="112"/>
  <c r="BH241" i="112" s="1"/>
  <c r="BH151" i="112"/>
  <c r="BH137" i="8" s="1"/>
  <c r="BH152" i="112"/>
  <c r="BH82" i="112"/>
  <c r="BH83" i="112"/>
  <c r="BH92" i="112" s="1"/>
  <c r="BH148" i="112"/>
  <c r="BH147" i="112"/>
  <c r="BH132" i="8" s="1"/>
  <c r="BH77" i="112"/>
  <c r="BH78" i="112"/>
  <c r="BH76" i="2"/>
  <c r="BH77" i="2" s="1"/>
  <c r="BH94" i="2"/>
  <c r="BH20" i="112"/>
  <c r="BH19" i="112"/>
  <c r="BH115" i="8" s="1"/>
  <c r="BH233" i="112"/>
  <c r="BH234" i="112"/>
  <c r="BH143" i="112"/>
  <c r="BH142" i="112"/>
  <c r="BH87" i="112"/>
  <c r="BH86" i="112"/>
  <c r="BH126" i="8" s="1"/>
  <c r="BG116" i="2"/>
  <c r="BH111" i="2" s="1"/>
  <c r="BG78" i="8"/>
  <c r="BG321" i="8"/>
  <c r="BG143" i="8"/>
  <c r="BG172" i="8"/>
  <c r="BG174" i="8" s="1"/>
  <c r="BG169" i="8"/>
  <c r="BG189" i="8"/>
  <c r="BI274" i="94"/>
  <c r="BG60" i="4"/>
  <c r="BG101" i="2"/>
  <c r="BG108" i="8"/>
  <c r="BG119" i="8"/>
  <c r="BG130" i="8"/>
  <c r="BG65" i="8"/>
  <c r="BG45" i="8"/>
  <c r="BG21" i="8"/>
  <c r="BG53" i="8"/>
  <c r="BI309" i="94"/>
  <c r="BG16" i="2"/>
  <c r="BG264" i="8" s="1"/>
  <c r="BG265" i="8" s="1"/>
  <c r="BH418" i="94"/>
  <c r="AG26" i="46"/>
  <c r="BG9" i="4"/>
  <c r="BG231" i="8"/>
  <c r="BG23" i="8"/>
  <c r="BG39" i="8"/>
  <c r="BG55" i="8"/>
  <c r="BG70" i="8"/>
  <c r="BG16" i="8"/>
  <c r="BG32" i="8"/>
  <c r="BG48" i="8"/>
  <c r="BG63" i="8"/>
  <c r="BG208" i="8"/>
  <c r="BG253" i="8" s="1"/>
  <c r="BG269" i="8" s="1"/>
  <c r="BG20" i="2"/>
  <c r="BG17" i="8"/>
  <c r="BG33" i="8"/>
  <c r="BG49" i="8"/>
  <c r="BG64" i="8"/>
  <c r="BG141" i="8"/>
  <c r="BG22" i="8"/>
  <c r="BG38" i="8"/>
  <c r="BG54" i="8"/>
  <c r="BG69" i="8"/>
  <c r="BG11" i="8"/>
  <c r="BG27" i="8"/>
  <c r="BG43" i="8"/>
  <c r="BG58" i="8"/>
  <c r="BG12" i="8"/>
  <c r="BG28" i="8"/>
  <c r="BG44" i="8"/>
  <c r="BG59" i="8"/>
  <c r="BG142" i="2"/>
  <c r="BH139" i="2" s="1"/>
  <c r="BG165" i="112"/>
  <c r="BG99" i="4"/>
  <c r="BG123" i="112"/>
  <c r="BG108" i="2"/>
  <c r="BH105" i="2" s="1"/>
  <c r="BG245" i="112"/>
  <c r="BG37" i="4"/>
  <c r="BG161" i="112"/>
  <c r="BG78" i="4"/>
  <c r="BG164" i="112"/>
  <c r="BH469" i="94"/>
  <c r="BG162" i="112"/>
  <c r="BG163" i="112"/>
  <c r="BH476" i="94"/>
  <c r="BH93" i="58"/>
  <c r="BH89" i="58"/>
  <c r="BH84" i="58"/>
  <c r="BG278" i="112" l="1"/>
  <c r="BK279" i="112" s="1"/>
  <c r="BK246" i="112"/>
  <c r="BG269" i="112"/>
  <c r="BK272" i="112" s="1"/>
  <c r="BG212" i="112"/>
  <c r="BG213" i="112" s="1"/>
  <c r="BG128" i="112"/>
  <c r="BG129" i="112" s="1"/>
  <c r="BG63" i="112"/>
  <c r="BG64" i="112" s="1"/>
  <c r="BG26" i="2"/>
  <c r="BH27" i="2" s="1"/>
  <c r="BG67" i="2"/>
  <c r="BH61" i="2" s="1"/>
  <c r="BG209" i="112"/>
  <c r="BG244" i="8"/>
  <c r="BG232" i="8"/>
  <c r="BG60" i="112"/>
  <c r="BG31" i="4"/>
  <c r="BL93" i="4"/>
  <c r="BG73" i="2"/>
  <c r="BG288" i="112"/>
  <c r="BG21" i="2"/>
  <c r="BH107" i="2"/>
  <c r="BH106" i="2"/>
  <c r="BH94" i="112"/>
  <c r="BH153" i="2"/>
  <c r="BH145" i="2"/>
  <c r="BH157" i="2"/>
  <c r="BH119" i="112"/>
  <c r="BH203" i="112"/>
  <c r="BH115" i="2"/>
  <c r="BH112" i="2"/>
  <c r="BI84" i="58"/>
  <c r="BJ84" i="58" s="1"/>
  <c r="BG173" i="8"/>
  <c r="BH423" i="94"/>
  <c r="BG52" i="112"/>
  <c r="BK53" i="112" s="1"/>
  <c r="BI89" i="58"/>
  <c r="BG55" i="112"/>
  <c r="BI93" i="58"/>
  <c r="BH55" i="112" s="1"/>
  <c r="BH33" i="112" s="1"/>
  <c r="BP444" i="111"/>
  <c r="BP473" i="111"/>
  <c r="BH128" i="8"/>
  <c r="BH127" i="8"/>
  <c r="BH111" i="8"/>
  <c r="BH112" i="8"/>
  <c r="BH138" i="8"/>
  <c r="BH139" i="8"/>
  <c r="BH133" i="8"/>
  <c r="BH134" i="8"/>
  <c r="BH117" i="8"/>
  <c r="BH116" i="8"/>
  <c r="BG266" i="8"/>
  <c r="BG267" i="8"/>
  <c r="BG119" i="2"/>
  <c r="BG120" i="2" s="1"/>
  <c r="BG309" i="112"/>
  <c r="BG261" i="8"/>
  <c r="BG260" i="8"/>
  <c r="BG125" i="112"/>
  <c r="BG238" i="8"/>
  <c r="BG100" i="4"/>
  <c r="BG7" i="2"/>
  <c r="BG254" i="8" s="1"/>
  <c r="BG165" i="2"/>
  <c r="BG267" i="112"/>
  <c r="BG296" i="112"/>
  <c r="BG302" i="112" s="1"/>
  <c r="BG303" i="112" s="1"/>
  <c r="BG284" i="112"/>
  <c r="BG17" i="2"/>
  <c r="BG117" i="2"/>
  <c r="BG300" i="112"/>
  <c r="BG224" i="8" s="1"/>
  <c r="BG10" i="2"/>
  <c r="BG109" i="2"/>
  <c r="BG225" i="112"/>
  <c r="BH406" i="94"/>
  <c r="BH228" i="94"/>
  <c r="BH230" i="94"/>
  <c r="BH231" i="94"/>
  <c r="BH232" i="94"/>
  <c r="BH233" i="94"/>
  <c r="BH234" i="94"/>
  <c r="BH235" i="94"/>
  <c r="BH236" i="94"/>
  <c r="BH237" i="94"/>
  <c r="BH238" i="94"/>
  <c r="BH247" i="94"/>
  <c r="BH248" i="94"/>
  <c r="BH249" i="94"/>
  <c r="BH250" i="94"/>
  <c r="BH251" i="94"/>
  <c r="BH252" i="94"/>
  <c r="BH253" i="94"/>
  <c r="BH254" i="94"/>
  <c r="BH255" i="94"/>
  <c r="BH280" i="94"/>
  <c r="BH350" i="94" s="1"/>
  <c r="BH281" i="94"/>
  <c r="BH351" i="94" s="1"/>
  <c r="BH283" i="94"/>
  <c r="BH353" i="94" s="1"/>
  <c r="BH290" i="94"/>
  <c r="BH360" i="94" s="1"/>
  <c r="BH157" i="94"/>
  <c r="BH277" i="94" s="1"/>
  <c r="BH347" i="94" s="1"/>
  <c r="BH158" i="94"/>
  <c r="BH278" i="94" s="1"/>
  <c r="BH348" i="94" s="1"/>
  <c r="BH159" i="94"/>
  <c r="BH279" i="94" s="1"/>
  <c r="BH160" i="94"/>
  <c r="BH282" i="94" s="1"/>
  <c r="BH161" i="94"/>
  <c r="BH284" i="94" s="1"/>
  <c r="BH354" i="94" s="1"/>
  <c r="BH162" i="94"/>
  <c r="BH285" i="94" s="1"/>
  <c r="BH355" i="94" s="1"/>
  <c r="BH163" i="94"/>
  <c r="BH286" i="94" s="1"/>
  <c r="BH356" i="94" s="1"/>
  <c r="BH164" i="94"/>
  <c r="BH287" i="94" s="1"/>
  <c r="BH357" i="94" s="1"/>
  <c r="BH165" i="94"/>
  <c r="BH288" i="94" s="1"/>
  <c r="BH358" i="94" s="1"/>
  <c r="BH166" i="94"/>
  <c r="BH289" i="94" s="1"/>
  <c r="BH113" i="94"/>
  <c r="BH106" i="94"/>
  <c r="BH246" i="94" s="1"/>
  <c r="BH105" i="94"/>
  <c r="BH245" i="94" s="1"/>
  <c r="BH104" i="94"/>
  <c r="BH120" i="94"/>
  <c r="BH100" i="94"/>
  <c r="BH239" i="94" s="1"/>
  <c r="BH93" i="94"/>
  <c r="BH229" i="94" s="1"/>
  <c r="BH91" i="94"/>
  <c r="BH90" i="94"/>
  <c r="BG239" i="8" l="1"/>
  <c r="BK126" i="112"/>
  <c r="BK56" i="112"/>
  <c r="BG245" i="8"/>
  <c r="BG246" i="8" s="1"/>
  <c r="BK210" i="112"/>
  <c r="BG233" i="8"/>
  <c r="BG235" i="8" s="1"/>
  <c r="BK61" i="112"/>
  <c r="BG270" i="112"/>
  <c r="BK271" i="112" s="1"/>
  <c r="BG274" i="112"/>
  <c r="BG275" i="112" s="1"/>
  <c r="BG28" i="2"/>
  <c r="BH226" i="112"/>
  <c r="BG234" i="8"/>
  <c r="BG236" i="8"/>
  <c r="BL109" i="4"/>
  <c r="BM93" i="4"/>
  <c r="BH352" i="94"/>
  <c r="BH349" i="94"/>
  <c r="BH108" i="112"/>
  <c r="BH98" i="112"/>
  <c r="BH52" i="112"/>
  <c r="BH192" i="112"/>
  <c r="BH263" i="112"/>
  <c r="BH174" i="112"/>
  <c r="BH123" i="2"/>
  <c r="BH124" i="2" s="1"/>
  <c r="BJ89" i="58"/>
  <c r="BI52" i="112" s="1"/>
  <c r="BJ93" i="58"/>
  <c r="BI55" i="112" s="1"/>
  <c r="BG260" i="112"/>
  <c r="BK261" i="112" s="1"/>
  <c r="BG41" i="112"/>
  <c r="BG297" i="112"/>
  <c r="BG256" i="8"/>
  <c r="BG257" i="8"/>
  <c r="BG255" i="8"/>
  <c r="BG285" i="112"/>
  <c r="BG209" i="8" s="1"/>
  <c r="BG251" i="8"/>
  <c r="BG240" i="8"/>
  <c r="BG242" i="8"/>
  <c r="BG241" i="8"/>
  <c r="BH217" i="94"/>
  <c r="BH373" i="94" s="1"/>
  <c r="BG238" i="112"/>
  <c r="BK239" i="112" s="1"/>
  <c r="BH219" i="94"/>
  <c r="BH375" i="94" s="1"/>
  <c r="BH244" i="94"/>
  <c r="BH218" i="94"/>
  <c r="BH374" i="94" s="1"/>
  <c r="BH211" i="94"/>
  <c r="BH367" i="94" s="1"/>
  <c r="BH414" i="94"/>
  <c r="BH410" i="94"/>
  <c r="BH411" i="94"/>
  <c r="BH412" i="94"/>
  <c r="BH413" i="94"/>
  <c r="BH220" i="94"/>
  <c r="BH376" i="94" s="1"/>
  <c r="BH221" i="94"/>
  <c r="BH215" i="94"/>
  <c r="BH371" i="94" s="1"/>
  <c r="BH214" i="94"/>
  <c r="BH370" i="94" s="1"/>
  <c r="BH213" i="94"/>
  <c r="BH369" i="94" s="1"/>
  <c r="BH227" i="94"/>
  <c r="BH126" i="94"/>
  <c r="BH125" i="94"/>
  <c r="BH119" i="94"/>
  <c r="BH124" i="94"/>
  <c r="BH118" i="94"/>
  <c r="BH123" i="94"/>
  <c r="BH117" i="94"/>
  <c r="BH122" i="94"/>
  <c r="BH121" i="94"/>
  <c r="BH216" i="94"/>
  <c r="BH372" i="94" s="1"/>
  <c r="BH167" i="94"/>
  <c r="BH291" i="94"/>
  <c r="BH212" i="94"/>
  <c r="BH368" i="94" s="1"/>
  <c r="BH87" i="94"/>
  <c r="BH38" i="94"/>
  <c r="BH256" i="94" s="1"/>
  <c r="BH14" i="94"/>
  <c r="BH79" i="94"/>
  <c r="BH78" i="94"/>
  <c r="BG78" i="94"/>
  <c r="BH77" i="94"/>
  <c r="BH39" i="94"/>
  <c r="BH43" i="94" s="1"/>
  <c r="BH27" i="94"/>
  <c r="BH15" i="94"/>
  <c r="BN41" i="60"/>
  <c r="BO39" i="60"/>
  <c r="BO35" i="60"/>
  <c r="BO34" i="60"/>
  <c r="BO33" i="60"/>
  <c r="BG127" i="4" s="1"/>
  <c r="BO28" i="60"/>
  <c r="BG128" i="4" s="1"/>
  <c r="BO22" i="60"/>
  <c r="BG120" i="4" s="1"/>
  <c r="BO21" i="60"/>
  <c r="BG119" i="4" s="1"/>
  <c r="BO17" i="60"/>
  <c r="BG115" i="4" s="1"/>
  <c r="BO16" i="60"/>
  <c r="BG114" i="4" s="1"/>
  <c r="BO15" i="60"/>
  <c r="BG113" i="4" s="1"/>
  <c r="BO14" i="60"/>
  <c r="BG112" i="4" s="1"/>
  <c r="BO13" i="60"/>
  <c r="BG111" i="4" s="1"/>
  <c r="BO10" i="60"/>
  <c r="BO9" i="60"/>
  <c r="BG108" i="4" s="1"/>
  <c r="BO8" i="60"/>
  <c r="BG107" i="4" s="1"/>
  <c r="BO5" i="60"/>
  <c r="BG66" i="59"/>
  <c r="BG64" i="59"/>
  <c r="BG59" i="59"/>
  <c r="BG134" i="2" s="1"/>
  <c r="BG55" i="59"/>
  <c r="BG50" i="59"/>
  <c r="BG32" i="59"/>
  <c r="BG43" i="59"/>
  <c r="BG37" i="59"/>
  <c r="BG13" i="59"/>
  <c r="BG18" i="59" s="1"/>
  <c r="BG9" i="59"/>
  <c r="BH31" i="58"/>
  <c r="BG33" i="4" s="1"/>
  <c r="BE104" i="58"/>
  <c r="BF104" i="58"/>
  <c r="BG104" i="58"/>
  <c r="BH104" i="58"/>
  <c r="BE115" i="58"/>
  <c r="BF115" i="58"/>
  <c r="BG115" i="58"/>
  <c r="BH115" i="58"/>
  <c r="BH83" i="58"/>
  <c r="BH82" i="58"/>
  <c r="BG45" i="112" s="1"/>
  <c r="BG147" i="8" s="1"/>
  <c r="BE82" i="58"/>
  <c r="BF82" i="58"/>
  <c r="BG82" i="58"/>
  <c r="BE83" i="58"/>
  <c r="BF83" i="58"/>
  <c r="BG83" i="58"/>
  <c r="BD84" i="58"/>
  <c r="BH67" i="58"/>
  <c r="BE35" i="58"/>
  <c r="BF35" i="58"/>
  <c r="BG35" i="58"/>
  <c r="BH13" i="58"/>
  <c r="BE8" i="58"/>
  <c r="BF8" i="58"/>
  <c r="BG8" i="58"/>
  <c r="BH8" i="58"/>
  <c r="BH6" i="58"/>
  <c r="BE6" i="58"/>
  <c r="BF6" i="58"/>
  <c r="BG6" i="58"/>
  <c r="BF138" i="4" l="1"/>
  <c r="BG247" i="8"/>
  <c r="BG248" i="8"/>
  <c r="BK42" i="112"/>
  <c r="BG130" i="4"/>
  <c r="BG131" i="4"/>
  <c r="BM109" i="4"/>
  <c r="BN93" i="4"/>
  <c r="BG123" i="4"/>
  <c r="BH377" i="94"/>
  <c r="BH170" i="112"/>
  <c r="BI260" i="112"/>
  <c r="BI41" i="112"/>
  <c r="BI29" i="112"/>
  <c r="BH260" i="112"/>
  <c r="BH29" i="112"/>
  <c r="BH41" i="112"/>
  <c r="BH250" i="112" s="1"/>
  <c r="BI33" i="112"/>
  <c r="BI263" i="112"/>
  <c r="BH129" i="2"/>
  <c r="BH128" i="2"/>
  <c r="BP39" i="60"/>
  <c r="BQ39" i="60" s="1"/>
  <c r="BP21" i="60"/>
  <c r="BH119" i="4" s="1"/>
  <c r="BP5" i="60"/>
  <c r="BQ5" i="60" s="1"/>
  <c r="BP10" i="60"/>
  <c r="BG45" i="59"/>
  <c r="BH12" i="58"/>
  <c r="BP16" i="60"/>
  <c r="BH114" i="4" s="1"/>
  <c r="BP35" i="60"/>
  <c r="BH131" i="4" s="1"/>
  <c r="BG141" i="2"/>
  <c r="BG159" i="2" s="1"/>
  <c r="BG160" i="2" s="1"/>
  <c r="BH66" i="59"/>
  <c r="BH141" i="2" s="1"/>
  <c r="BP28" i="60"/>
  <c r="BH128" i="4" s="1"/>
  <c r="BP15" i="60"/>
  <c r="BH113" i="4" s="1"/>
  <c r="BP33" i="60"/>
  <c r="BH127" i="4" s="1"/>
  <c r="BP8" i="60"/>
  <c r="BH107" i="4" s="1"/>
  <c r="BP34" i="60"/>
  <c r="BH130" i="4" s="1"/>
  <c r="BP9" i="60"/>
  <c r="BH108" i="4" s="1"/>
  <c r="BP17" i="60"/>
  <c r="BH115" i="4" s="1"/>
  <c r="BG150" i="2"/>
  <c r="BG57" i="2" s="1"/>
  <c r="BH64" i="59"/>
  <c r="BH150" i="2" s="1"/>
  <c r="BP13" i="60"/>
  <c r="BH111" i="4" s="1"/>
  <c r="BG49" i="2"/>
  <c r="BG50" i="2" s="1"/>
  <c r="BP22" i="60"/>
  <c r="BH120" i="4" s="1"/>
  <c r="BO41" i="60"/>
  <c r="BP14" i="60"/>
  <c r="BH112" i="4" s="1"/>
  <c r="BG212" i="8"/>
  <c r="BG211" i="8"/>
  <c r="BG210" i="8"/>
  <c r="BO25" i="60"/>
  <c r="BG10" i="59"/>
  <c r="BG71" i="4"/>
  <c r="BG247" i="112"/>
  <c r="BH210" i="94"/>
  <c r="BH366" i="94" s="1"/>
  <c r="BH257" i="94"/>
  <c r="BH46" i="94"/>
  <c r="BF12" i="58"/>
  <c r="BH305" i="94"/>
  <c r="BH303" i="94"/>
  <c r="BG12" i="58"/>
  <c r="BH304" i="94"/>
  <c r="BH240" i="94"/>
  <c r="BH127" i="94"/>
  <c r="BE12" i="58"/>
  <c r="BO36" i="60"/>
  <c r="BH302" i="94"/>
  <c r="BH299" i="94"/>
  <c r="BH308" i="94"/>
  <c r="BH49" i="94"/>
  <c r="BH48" i="94"/>
  <c r="BH222" i="94"/>
  <c r="BH378" i="94" s="1"/>
  <c r="BH47" i="94"/>
  <c r="BH295" i="94"/>
  <c r="BH45" i="94"/>
  <c r="BH307" i="94"/>
  <c r="BH300" i="94"/>
  <c r="BH50" i="94"/>
  <c r="BH44" i="94"/>
  <c r="BH296" i="94"/>
  <c r="BH297" i="94"/>
  <c r="BH298" i="94"/>
  <c r="BH301" i="94"/>
  <c r="BH306" i="94"/>
  <c r="BO6" i="60"/>
  <c r="BO12" i="60" s="1"/>
  <c r="BO18" i="60" s="1"/>
  <c r="BG138" i="4" l="1"/>
  <c r="BG132" i="4"/>
  <c r="BQ35" i="60"/>
  <c r="BQ34" i="60"/>
  <c r="BN109" i="4"/>
  <c r="BO93" i="4"/>
  <c r="BH159" i="2"/>
  <c r="BH160" i="2" s="1"/>
  <c r="BI66" i="59"/>
  <c r="BI141" i="2" s="1"/>
  <c r="BH19" i="58"/>
  <c r="BH22" i="58" s="1"/>
  <c r="BG46" i="59"/>
  <c r="BG19" i="59"/>
  <c r="BH123" i="4"/>
  <c r="BH109" i="4"/>
  <c r="BH116" i="4" s="1"/>
  <c r="BH132" i="4"/>
  <c r="BH42" i="2"/>
  <c r="BH31" i="2" s="1"/>
  <c r="BG38" i="2"/>
  <c r="BG39" i="2" s="1"/>
  <c r="BQ10" i="60"/>
  <c r="BI109" i="4" s="1"/>
  <c r="BH57" i="2"/>
  <c r="BH149" i="2"/>
  <c r="BH148" i="2" s="1"/>
  <c r="BH151" i="2" s="1"/>
  <c r="BH49" i="2"/>
  <c r="BQ8" i="60"/>
  <c r="BI107" i="4" s="1"/>
  <c r="BQ28" i="60"/>
  <c r="BQ33" i="60"/>
  <c r="BH64" i="2"/>
  <c r="BH82" i="2" s="1"/>
  <c r="BH265" i="112"/>
  <c r="BH25" i="112"/>
  <c r="BP440" i="111" s="1"/>
  <c r="BI25" i="112"/>
  <c r="BI250" i="112"/>
  <c r="BI265" i="112" s="1"/>
  <c r="BH266" i="112"/>
  <c r="BQ21" i="60"/>
  <c r="BI119" i="4" s="1"/>
  <c r="BQ16" i="60"/>
  <c r="BQ17" i="60"/>
  <c r="BQ9" i="60"/>
  <c r="BQ22" i="60"/>
  <c r="BI120" i="4" s="1"/>
  <c r="BQ15" i="60"/>
  <c r="BQ14" i="60"/>
  <c r="BQ13" i="60"/>
  <c r="BP41" i="60"/>
  <c r="BG64" i="2"/>
  <c r="BG82" i="2" s="1"/>
  <c r="BP6" i="60"/>
  <c r="BP12" i="60" s="1"/>
  <c r="BP18" i="60" s="1"/>
  <c r="BP36" i="60"/>
  <c r="BP25" i="60"/>
  <c r="BP471" i="111"/>
  <c r="BP442" i="111"/>
  <c r="BH273" i="94"/>
  <c r="BG42" i="2"/>
  <c r="BG31" i="2" s="1"/>
  <c r="BG11" i="2"/>
  <c r="BG12" i="2" s="1"/>
  <c r="BG72" i="4"/>
  <c r="BG79" i="4" s="1"/>
  <c r="BH309" i="94"/>
  <c r="BO38" i="60"/>
  <c r="BH51" i="94"/>
  <c r="BH264" i="94"/>
  <c r="BH265" i="94"/>
  <c r="BH271" i="94"/>
  <c r="BH262" i="94"/>
  <c r="BH261" i="94"/>
  <c r="BH269" i="94"/>
  <c r="BH268" i="94"/>
  <c r="BH267" i="94"/>
  <c r="BH270" i="94"/>
  <c r="BH272" i="94"/>
  <c r="BH263" i="94"/>
  <c r="BH266" i="94"/>
  <c r="BH223" i="94"/>
  <c r="BH379" i="94" s="1"/>
  <c r="BH138" i="4" l="1"/>
  <c r="BO109" i="4"/>
  <c r="BP93" i="4"/>
  <c r="BI159" i="2"/>
  <c r="BI160" i="2" s="1"/>
  <c r="BI123" i="4"/>
  <c r="BH38" i="58"/>
  <c r="BH40" i="58" s="1"/>
  <c r="BI108" i="4"/>
  <c r="BI111" i="4"/>
  <c r="BI115" i="4"/>
  <c r="BI112" i="4"/>
  <c r="BI127" i="4"/>
  <c r="BI113" i="4"/>
  <c r="BI131" i="4"/>
  <c r="BI114" i="4"/>
  <c r="BI130" i="4"/>
  <c r="BI128" i="4"/>
  <c r="BH134" i="4"/>
  <c r="BP469" i="111"/>
  <c r="BQ41" i="60"/>
  <c r="BI266" i="112"/>
  <c r="BH38" i="2"/>
  <c r="BH50" i="2"/>
  <c r="BH51" i="2"/>
  <c r="BQ6" i="60"/>
  <c r="BQ12" i="60" s="1"/>
  <c r="BQ18" i="60" s="1"/>
  <c r="BQ36" i="60"/>
  <c r="BQ25" i="60"/>
  <c r="BP38" i="60"/>
  <c r="BH274" i="94"/>
  <c r="AK190" i="8"/>
  <c r="AJ190" i="8"/>
  <c r="AI190" i="8"/>
  <c r="AH190" i="8"/>
  <c r="AG190" i="8"/>
  <c r="AF190" i="8"/>
  <c r="AE190" i="8"/>
  <c r="AD190" i="8"/>
  <c r="AC190" i="8"/>
  <c r="AB190" i="8"/>
  <c r="AA190" i="8"/>
  <c r="Z190" i="8"/>
  <c r="Y190" i="8"/>
  <c r="X190" i="8"/>
  <c r="W190" i="8"/>
  <c r="V190" i="8"/>
  <c r="U190" i="8"/>
  <c r="BH139" i="4" l="1"/>
  <c r="BH140" i="4" s="1"/>
  <c r="BP109" i="4"/>
  <c r="BQ93" i="4"/>
  <c r="BI132" i="4"/>
  <c r="BI138" i="4"/>
  <c r="BI116" i="4"/>
  <c r="BQ38" i="60"/>
  <c r="BH39" i="2"/>
  <c r="B1" i="47"/>
  <c r="H35" i="47"/>
  <c r="H38" i="47"/>
  <c r="BF59" i="59"/>
  <c r="BG432" i="94"/>
  <c r="BG312" i="94"/>
  <c r="BG205" i="94"/>
  <c r="BK205" i="94" s="1"/>
  <c r="BG193" i="94"/>
  <c r="BG140" i="94"/>
  <c r="BG141" i="94" s="1"/>
  <c r="BG154" i="94"/>
  <c r="BG64" i="94"/>
  <c r="BH64" i="94" s="1"/>
  <c r="BI64" i="94" s="1"/>
  <c r="BJ64" i="94" s="1"/>
  <c r="BK64" i="94" s="1"/>
  <c r="BL64" i="94" s="1"/>
  <c r="BG62" i="94"/>
  <c r="BG63" i="94" s="1"/>
  <c r="BQ109" i="4" l="1"/>
  <c r="BR93" i="4"/>
  <c r="BK324" i="94"/>
  <c r="BK206" i="94"/>
  <c r="BI134" i="4"/>
  <c r="BI139" i="4" s="1"/>
  <c r="BI140" i="4" s="1"/>
  <c r="BG206" i="94"/>
  <c r="BG74" i="94"/>
  <c r="BF8" i="8"/>
  <c r="BF13" i="8"/>
  <c r="BF18" i="8"/>
  <c r="BF29" i="8"/>
  <c r="BF34" i="8"/>
  <c r="BF50" i="8"/>
  <c r="BF60" i="8"/>
  <c r="BF70" i="8"/>
  <c r="BF104" i="4"/>
  <c r="BF98" i="4"/>
  <c r="BF97" i="4"/>
  <c r="BF96" i="4"/>
  <c r="BF95" i="4"/>
  <c r="BF77" i="4"/>
  <c r="BF76" i="4"/>
  <c r="BF75" i="4"/>
  <c r="BF74" i="4"/>
  <c r="BF73" i="4"/>
  <c r="BF70" i="4"/>
  <c r="BF69" i="4"/>
  <c r="BF68" i="4"/>
  <c r="BF66" i="4"/>
  <c r="BF64" i="4"/>
  <c r="BF48" i="4"/>
  <c r="BF47" i="4"/>
  <c r="BF45" i="4"/>
  <c r="BF43" i="4"/>
  <c r="BF42" i="4"/>
  <c r="BF41" i="4"/>
  <c r="BF40" i="4"/>
  <c r="BF39" i="4"/>
  <c r="BF38" i="4"/>
  <c r="BF32" i="4"/>
  <c r="BF27" i="4"/>
  <c r="BF26" i="4"/>
  <c r="BF25" i="4"/>
  <c r="BF17" i="4"/>
  <c r="BF14" i="4"/>
  <c r="BF5" i="4"/>
  <c r="BF4" i="4"/>
  <c r="BF3" i="4" s="1"/>
  <c r="BF308" i="112"/>
  <c r="BF299" i="112"/>
  <c r="BF287" i="112"/>
  <c r="BF286" i="112"/>
  <c r="BF283" i="112"/>
  <c r="BF282" i="112"/>
  <c r="BF232" i="112"/>
  <c r="BF228" i="112"/>
  <c r="BF196" i="112"/>
  <c r="BF192" i="8" s="1"/>
  <c r="BF157" i="112"/>
  <c r="BF150" i="112"/>
  <c r="BF146" i="112"/>
  <c r="BF141" i="112"/>
  <c r="BF112" i="112"/>
  <c r="BF105" i="112"/>
  <c r="BF85" i="112"/>
  <c r="BF81" i="112"/>
  <c r="BF76" i="112"/>
  <c r="BF55" i="112"/>
  <c r="BJ56" i="112" s="1"/>
  <c r="BF52" i="112"/>
  <c r="BF38" i="112"/>
  <c r="BF18" i="112"/>
  <c r="BF14" i="112"/>
  <c r="BF9" i="112"/>
  <c r="BF3" i="112"/>
  <c r="BF156" i="2"/>
  <c r="BF152" i="2"/>
  <c r="BG149" i="2" s="1"/>
  <c r="BG148" i="2" s="1"/>
  <c r="BG151" i="2" s="1"/>
  <c r="BF150" i="2"/>
  <c r="BF144" i="2"/>
  <c r="BF143" i="2"/>
  <c r="BF141" i="2"/>
  <c r="BF134" i="2"/>
  <c r="BF131" i="2"/>
  <c r="BF127" i="2"/>
  <c r="BF100" i="2"/>
  <c r="BF95" i="2"/>
  <c r="BG92" i="2" s="1"/>
  <c r="BG93" i="2" s="1"/>
  <c r="BF87" i="2"/>
  <c r="BF80" i="2"/>
  <c r="BF60" i="2"/>
  <c r="BF30" i="2"/>
  <c r="BF4" i="2"/>
  <c r="BF3" i="2" s="1"/>
  <c r="BN36" i="60"/>
  <c r="BN25" i="60"/>
  <c r="BN6" i="60"/>
  <c r="BF55" i="59"/>
  <c r="BF50" i="59"/>
  <c r="BF43" i="59"/>
  <c r="BF37" i="59"/>
  <c r="BF32" i="59"/>
  <c r="BF13" i="59"/>
  <c r="BF18" i="59" s="1"/>
  <c r="BF9" i="59"/>
  <c r="BG466" i="94"/>
  <c r="BF156" i="112" s="1"/>
  <c r="BG468" i="94"/>
  <c r="BF158" i="112" s="1"/>
  <c r="BG465" i="94"/>
  <c r="BF155" i="112" s="1"/>
  <c r="BG464" i="94"/>
  <c r="BF154" i="112" s="1"/>
  <c r="BG462" i="94"/>
  <c r="BG463" i="94"/>
  <c r="BG418" i="94"/>
  <c r="BG419" i="94"/>
  <c r="BG420" i="94"/>
  <c r="BG421" i="94"/>
  <c r="BG422" i="94"/>
  <c r="BG404" i="94"/>
  <c r="BG402" i="94"/>
  <c r="BG476" i="94"/>
  <c r="BG313" i="94"/>
  <c r="BG314" i="94"/>
  <c r="BG315" i="94"/>
  <c r="BG316" i="94"/>
  <c r="BG317" i="94"/>
  <c r="BG318" i="94"/>
  <c r="BG319" i="94"/>
  <c r="BG320" i="94"/>
  <c r="BG321" i="94"/>
  <c r="BG322" i="94"/>
  <c r="BG323" i="94"/>
  <c r="BG324" i="94"/>
  <c r="BG325" i="94"/>
  <c r="BG280" i="94"/>
  <c r="BG281" i="94"/>
  <c r="BG283" i="94"/>
  <c r="BG290" i="94"/>
  <c r="BG247" i="94"/>
  <c r="BG248" i="94"/>
  <c r="BG249" i="94"/>
  <c r="BG250" i="94"/>
  <c r="BG251" i="94"/>
  <c r="BG252" i="94"/>
  <c r="BG253" i="94"/>
  <c r="BG254" i="94"/>
  <c r="BG255" i="94"/>
  <c r="BG228" i="94"/>
  <c r="BG230" i="94"/>
  <c r="BG231" i="94"/>
  <c r="BG233" i="94"/>
  <c r="BG235" i="94"/>
  <c r="BG236" i="94"/>
  <c r="BG237" i="94"/>
  <c r="BG157" i="94"/>
  <c r="BG277" i="94" s="1"/>
  <c r="BG158" i="94"/>
  <c r="BG278" i="94" s="1"/>
  <c r="BG159" i="94"/>
  <c r="BG279" i="94" s="1"/>
  <c r="BG160" i="94"/>
  <c r="BG161" i="94"/>
  <c r="BG284" i="94" s="1"/>
  <c r="BG162" i="94"/>
  <c r="BG285" i="94" s="1"/>
  <c r="BG163" i="94"/>
  <c r="BG286" i="94" s="1"/>
  <c r="BG164" i="94"/>
  <c r="BG287" i="94" s="1"/>
  <c r="BG165" i="94"/>
  <c r="BG288" i="94" s="1"/>
  <c r="BG166" i="94"/>
  <c r="BG289" i="94" s="1"/>
  <c r="BG113" i="94"/>
  <c r="BG106" i="94"/>
  <c r="BG246" i="94" s="1"/>
  <c r="BG105" i="94"/>
  <c r="BG245" i="94" s="1"/>
  <c r="BG104" i="94"/>
  <c r="BG103" i="94"/>
  <c r="BG120" i="94" s="1"/>
  <c r="BG100" i="94"/>
  <c r="BG239" i="94" s="1"/>
  <c r="BG99" i="94"/>
  <c r="BG238" i="94" s="1"/>
  <c r="BG95" i="94"/>
  <c r="BG234" i="94" s="1"/>
  <c r="BG94" i="94"/>
  <c r="BG232" i="94" s="1"/>
  <c r="BG93" i="94"/>
  <c r="BG229" i="94" s="1"/>
  <c r="BG91" i="94"/>
  <c r="BG87" i="94"/>
  <c r="BG90" i="94"/>
  <c r="BG82" i="94"/>
  <c r="BG81" i="94"/>
  <c r="BG80" i="94"/>
  <c r="BG79" i="94"/>
  <c r="BG77" i="94"/>
  <c r="BG39" i="94"/>
  <c r="BG43" i="94" s="1"/>
  <c r="BG38" i="94"/>
  <c r="BG27" i="94"/>
  <c r="BG15" i="94"/>
  <c r="BG14" i="94"/>
  <c r="BF45" i="112"/>
  <c r="BF147" i="8" s="1"/>
  <c r="BG67" i="58"/>
  <c r="BG31" i="58"/>
  <c r="BF33" i="4" s="1"/>
  <c r="BG13" i="58"/>
  <c r="BJ106" i="112" l="1"/>
  <c r="BF132" i="112"/>
  <c r="BJ39" i="112"/>
  <c r="BF67" i="112"/>
  <c r="BG137" i="4"/>
  <c r="X75" i="11"/>
  <c r="X24" i="46" s="1"/>
  <c r="X74" i="11"/>
  <c r="Z25" i="71" s="1"/>
  <c r="BJ6" i="4"/>
  <c r="X88" i="11"/>
  <c r="X97" i="11"/>
  <c r="X89" i="11"/>
  <c r="X101" i="11"/>
  <c r="X73" i="11"/>
  <c r="Z24" i="71" s="1"/>
  <c r="BR109" i="4"/>
  <c r="BS93" i="4"/>
  <c r="BF159" i="2"/>
  <c r="BF160" i="2" s="1"/>
  <c r="BK359" i="94"/>
  <c r="BK395" i="94" s="1"/>
  <c r="BK326" i="94"/>
  <c r="BK438" i="94"/>
  <c r="BK396" i="94"/>
  <c r="BF260" i="112"/>
  <c r="BJ53" i="112"/>
  <c r="BF189" i="112"/>
  <c r="BF24" i="2"/>
  <c r="BF321" i="8"/>
  <c r="BF7" i="8"/>
  <c r="X100" i="11"/>
  <c r="BF16" i="4"/>
  <c r="BH437" i="94"/>
  <c r="BG440" i="94"/>
  <c r="BG457" i="94" s="1"/>
  <c r="BG436" i="94"/>
  <c r="BG453" i="94" s="1"/>
  <c r="BH439" i="94"/>
  <c r="X63" i="11"/>
  <c r="X38" i="11"/>
  <c r="X39" i="11"/>
  <c r="BF225" i="112"/>
  <c r="X94" i="11"/>
  <c r="BF10" i="4"/>
  <c r="X60" i="11"/>
  <c r="BN12" i="60"/>
  <c r="BF116" i="2"/>
  <c r="BF45" i="59"/>
  <c r="BF71" i="4"/>
  <c r="BF172" i="8"/>
  <c r="BF174" i="8" s="1"/>
  <c r="BG76" i="2"/>
  <c r="BG77" i="2" s="1"/>
  <c r="BG94" i="2"/>
  <c r="BG20" i="112"/>
  <c r="BG19" i="112"/>
  <c r="BG115" i="8" s="1"/>
  <c r="BG87" i="112"/>
  <c r="BG86" i="112"/>
  <c r="BG126" i="8" s="1"/>
  <c r="BG128" i="8" s="1"/>
  <c r="BF55" i="8"/>
  <c r="BF23" i="8"/>
  <c r="BG230" i="112"/>
  <c r="BG241" i="112" s="1"/>
  <c r="BK242" i="112" s="1"/>
  <c r="BG229" i="112"/>
  <c r="BG33" i="2" s="1"/>
  <c r="BF45" i="8"/>
  <c r="BG143" i="112"/>
  <c r="BK144" i="112" s="1"/>
  <c r="BG142" i="112"/>
  <c r="BG234" i="112"/>
  <c r="BG233" i="112"/>
  <c r="BF108" i="8"/>
  <c r="BG11" i="112"/>
  <c r="BK12" i="112" s="1"/>
  <c r="BG10" i="112"/>
  <c r="BG78" i="112"/>
  <c r="BK79" i="112" s="1"/>
  <c r="BG77" i="112"/>
  <c r="BG148" i="112"/>
  <c r="BG147" i="112"/>
  <c r="BG132" i="8" s="1"/>
  <c r="BF65" i="8"/>
  <c r="BG15" i="112"/>
  <c r="BG110" i="8" s="1"/>
  <c r="BG16" i="112"/>
  <c r="BG83" i="112"/>
  <c r="BG82" i="112"/>
  <c r="BG121" i="8" s="1"/>
  <c r="BG152" i="112"/>
  <c r="BG151" i="112"/>
  <c r="BG137" i="8" s="1"/>
  <c r="BF7" i="4"/>
  <c r="BF143" i="8"/>
  <c r="BJ144" i="8" s="1"/>
  <c r="BF9" i="4"/>
  <c r="BF169" i="8"/>
  <c r="BJ170" i="8" s="1"/>
  <c r="BG220" i="94"/>
  <c r="BG50" i="94"/>
  <c r="BG406" i="94"/>
  <c r="BG46" i="94"/>
  <c r="BG358" i="94"/>
  <c r="BG215" i="94"/>
  <c r="BG219" i="94"/>
  <c r="BG218" i="94"/>
  <c r="BG216" i="94"/>
  <c r="BF125" i="2"/>
  <c r="BG123" i="94"/>
  <c r="BG214" i="94"/>
  <c r="BF37" i="4"/>
  <c r="BG354" i="94"/>
  <c r="BG351" i="94"/>
  <c r="BF10" i="59"/>
  <c r="BG212" i="94"/>
  <c r="BG19" i="58"/>
  <c r="BG22" i="58" s="1"/>
  <c r="BG49" i="94"/>
  <c r="BG119" i="94"/>
  <c r="BG438" i="94"/>
  <c r="BG423" i="94"/>
  <c r="BF78" i="4"/>
  <c r="BF17" i="8"/>
  <c r="BF78" i="8"/>
  <c r="BG45" i="94"/>
  <c r="BG360" i="94"/>
  <c r="BG348" i="94"/>
  <c r="BG350" i="94"/>
  <c r="BF142" i="2"/>
  <c r="BG139" i="2" s="1"/>
  <c r="BF231" i="8"/>
  <c r="BG469" i="94"/>
  <c r="BG359" i="94"/>
  <c r="BG355" i="94"/>
  <c r="BG357" i="94"/>
  <c r="BG353" i="94"/>
  <c r="BG437" i="94"/>
  <c r="BG349" i="94"/>
  <c r="BF162" i="112"/>
  <c r="BF119" i="8"/>
  <c r="BF185" i="112"/>
  <c r="BG347" i="94"/>
  <c r="BF39" i="8"/>
  <c r="BF164" i="2"/>
  <c r="BF130" i="8"/>
  <c r="BG227" i="94"/>
  <c r="BG240" i="94" s="1"/>
  <c r="BG256" i="94"/>
  <c r="BG126" i="94"/>
  <c r="BG356" i="94"/>
  <c r="BG244" i="94"/>
  <c r="BG117" i="94"/>
  <c r="BF165" i="112"/>
  <c r="BG48" i="94"/>
  <c r="BG44" i="94"/>
  <c r="BG122" i="94"/>
  <c r="BG118" i="94"/>
  <c r="BG167" i="94"/>
  <c r="BG282" i="94"/>
  <c r="BG439" i="94"/>
  <c r="BF60" i="4"/>
  <c r="BG47" i="94"/>
  <c r="BG125" i="94"/>
  <c r="BG121" i="94"/>
  <c r="BG326" i="94"/>
  <c r="BG336" i="94" s="1"/>
  <c r="BF164" i="112"/>
  <c r="BG124" i="94"/>
  <c r="BF99" i="4"/>
  <c r="BF141" i="8"/>
  <c r="BF208" i="8"/>
  <c r="BF253" i="8" s="1"/>
  <c r="BF269" i="8" s="1"/>
  <c r="BF126" i="2"/>
  <c r="BF163" i="2"/>
  <c r="BF184" i="112"/>
  <c r="BF59" i="8"/>
  <c r="BF38" i="8"/>
  <c r="BF49" i="8"/>
  <c r="BF69" i="8"/>
  <c r="BF28" i="8"/>
  <c r="BF47" i="112"/>
  <c r="BF64" i="8"/>
  <c r="BF54" i="8"/>
  <c r="BF44" i="8"/>
  <c r="BF33" i="8"/>
  <c r="BF22" i="8"/>
  <c r="BF12" i="8"/>
  <c r="BF186" i="112"/>
  <c r="BF68" i="8"/>
  <c r="BF63" i="8"/>
  <c r="BF58" i="8"/>
  <c r="BF53" i="8"/>
  <c r="BF48" i="8"/>
  <c r="BF43" i="8"/>
  <c r="BF37" i="8"/>
  <c r="BF32" i="8"/>
  <c r="BF27" i="8"/>
  <c r="BF21" i="8"/>
  <c r="BF16" i="8"/>
  <c r="BF11" i="8"/>
  <c r="BF163" i="112"/>
  <c r="BF41" i="112"/>
  <c r="BF161" i="112"/>
  <c r="BF57" i="2"/>
  <c r="BG221" i="94"/>
  <c r="BG217" i="94"/>
  <c r="BG211" i="94"/>
  <c r="BG213" i="94"/>
  <c r="Z21" i="71" l="1"/>
  <c r="Z20" i="71"/>
  <c r="BG92" i="112"/>
  <c r="X23" i="46"/>
  <c r="BF8" i="4"/>
  <c r="BF216" i="112"/>
  <c r="BJ133" i="112"/>
  <c r="BJ68" i="112"/>
  <c r="Z26" i="71"/>
  <c r="BG226" i="112"/>
  <c r="BF72" i="4"/>
  <c r="BF79" i="4" s="1"/>
  <c r="BF11" i="4"/>
  <c r="BF20" i="4" s="1"/>
  <c r="BF15" i="4"/>
  <c r="X22" i="76"/>
  <c r="BF31" i="4"/>
  <c r="X19" i="76"/>
  <c r="BG375" i="94"/>
  <c r="BG392" i="94" s="1"/>
  <c r="BG376" i="94"/>
  <c r="BG393" i="94" s="1"/>
  <c r="BG368" i="94"/>
  <c r="BG385" i="94" s="1"/>
  <c r="BG370" i="94"/>
  <c r="BG387" i="94" s="1"/>
  <c r="BG373" i="94"/>
  <c r="BG390" i="94" s="1"/>
  <c r="BG369" i="94"/>
  <c r="BG386" i="94" s="1"/>
  <c r="BG372" i="94"/>
  <c r="BG389" i="94" s="1"/>
  <c r="BG367" i="94"/>
  <c r="BG384" i="94" s="1"/>
  <c r="BG374" i="94"/>
  <c r="BG391" i="94" s="1"/>
  <c r="BS109" i="4"/>
  <c r="BT93" i="4"/>
  <c r="BG38" i="58"/>
  <c r="BG40" i="58" s="1"/>
  <c r="BF46" i="59"/>
  <c r="BF19" i="59"/>
  <c r="BK455" i="94"/>
  <c r="BK441" i="94"/>
  <c r="BK333" i="94"/>
  <c r="BK339" i="94"/>
  <c r="BK340" i="94"/>
  <c r="BK338" i="94"/>
  <c r="BK361" i="94"/>
  <c r="BK341" i="94"/>
  <c r="BK337" i="94"/>
  <c r="BK332" i="94"/>
  <c r="BK331" i="94"/>
  <c r="BK330" i="94"/>
  <c r="BK334" i="94"/>
  <c r="BK335" i="94"/>
  <c r="BK336" i="94"/>
  <c r="BK343" i="94"/>
  <c r="BK342" i="94"/>
  <c r="BJ42" i="112"/>
  <c r="BJ261" i="112"/>
  <c r="BF189" i="8"/>
  <c r="BJ190" i="8" s="1"/>
  <c r="BJ190" i="112"/>
  <c r="X40" i="11"/>
  <c r="X26" i="11"/>
  <c r="X27" i="11"/>
  <c r="BG377" i="94"/>
  <c r="BI386" i="94"/>
  <c r="BH386" i="94"/>
  <c r="BH390" i="94"/>
  <c r="BH440" i="94"/>
  <c r="BH389" i="94"/>
  <c r="BI384" i="94"/>
  <c r="BH384" i="94"/>
  <c r="BH393" i="94"/>
  <c r="BH456" i="94"/>
  <c r="BH454" i="94"/>
  <c r="BI392" i="94"/>
  <c r="BH392" i="94"/>
  <c r="BH391" i="94"/>
  <c r="BJ439" i="94"/>
  <c r="BI439" i="94"/>
  <c r="BJ437" i="94"/>
  <c r="BI437" i="94"/>
  <c r="BH394" i="94"/>
  <c r="BH436" i="94"/>
  <c r="BI383" i="94"/>
  <c r="BH383" i="94"/>
  <c r="BI385" i="94"/>
  <c r="BH385" i="94"/>
  <c r="BI387" i="94"/>
  <c r="BH387" i="94"/>
  <c r="X82" i="11"/>
  <c r="Z29" i="71" s="1"/>
  <c r="X22" i="46"/>
  <c r="X81" i="11"/>
  <c r="Z28" i="71" s="1"/>
  <c r="BG410" i="94"/>
  <c r="X16" i="46"/>
  <c r="X92" i="11"/>
  <c r="BG291" i="94"/>
  <c r="BG361" i="94" s="1"/>
  <c r="X17" i="46"/>
  <c r="BG455" i="94"/>
  <c r="BN18" i="60"/>
  <c r="BF29" i="4"/>
  <c r="BF173" i="8"/>
  <c r="BG119" i="112"/>
  <c r="BK120" i="112" s="1"/>
  <c r="BG127" i="8"/>
  <c r="BG139" i="8"/>
  <c r="BG138" i="8"/>
  <c r="BG111" i="8"/>
  <c r="BG112" i="8"/>
  <c r="BG133" i="8"/>
  <c r="BG134" i="8"/>
  <c r="BG116" i="8"/>
  <c r="BG117" i="8"/>
  <c r="BG123" i="8"/>
  <c r="BG122" i="8"/>
  <c r="BG203" i="112"/>
  <c r="BK204" i="112" s="1"/>
  <c r="BG25" i="112"/>
  <c r="BK44" i="112" s="1"/>
  <c r="BG145" i="2"/>
  <c r="BG153" i="2"/>
  <c r="BG33" i="112"/>
  <c r="BK34" i="112" s="1"/>
  <c r="BG29" i="112"/>
  <c r="BK30" i="112" s="1"/>
  <c r="BG157" i="2"/>
  <c r="BG411" i="94"/>
  <c r="BG414" i="94"/>
  <c r="BG413" i="94"/>
  <c r="BG412" i="94"/>
  <c r="BG257" i="94"/>
  <c r="BG271" i="94" s="1"/>
  <c r="BG441" i="94"/>
  <c r="BG449" i="94" s="1"/>
  <c r="BF100" i="4"/>
  <c r="BG333" i="94"/>
  <c r="BG127" i="94"/>
  <c r="BF18" i="4"/>
  <c r="BG331" i="94"/>
  <c r="BG335" i="94"/>
  <c r="BG339" i="94"/>
  <c r="BG343" i="94"/>
  <c r="BG330" i="94"/>
  <c r="BG334" i="94"/>
  <c r="BG338" i="94"/>
  <c r="BG342" i="94"/>
  <c r="BG210" i="94"/>
  <c r="BG332" i="94"/>
  <c r="BG371" i="94"/>
  <c r="BG51" i="94"/>
  <c r="BG352" i="94"/>
  <c r="BG454" i="94"/>
  <c r="BG340" i="94"/>
  <c r="BG337" i="94"/>
  <c r="BG456" i="94"/>
  <c r="BG222" i="94"/>
  <c r="BG341" i="94"/>
  <c r="BF183" i="112"/>
  <c r="BF165" i="2"/>
  <c r="BF162" i="2" s="1"/>
  <c r="X27" i="46" l="1"/>
  <c r="Z11" i="71"/>
  <c r="Z9" i="71"/>
  <c r="Z22" i="71"/>
  <c r="BF12" i="4"/>
  <c r="X14" i="76"/>
  <c r="BF30" i="4"/>
  <c r="BK49" i="112"/>
  <c r="BK50" i="112" s="1"/>
  <c r="BK27" i="112"/>
  <c r="BK26" i="112"/>
  <c r="BG167" i="8"/>
  <c r="BK93" i="112"/>
  <c r="BJ217" i="112"/>
  <c r="X26" i="76"/>
  <c r="BJ13" i="4"/>
  <c r="BG366" i="94"/>
  <c r="BG383" i="94" s="1"/>
  <c r="BG378" i="94"/>
  <c r="BG395" i="94" s="1"/>
  <c r="BT109" i="4"/>
  <c r="BU93" i="4"/>
  <c r="BK458" i="94"/>
  <c r="BK446" i="94"/>
  <c r="BK445" i="94"/>
  <c r="BK448" i="94"/>
  <c r="BK449" i="94"/>
  <c r="BK344" i="94"/>
  <c r="BK447" i="94"/>
  <c r="BF51" i="4"/>
  <c r="X18" i="46"/>
  <c r="X28" i="46" s="1"/>
  <c r="X83" i="11"/>
  <c r="Z30" i="71" s="1"/>
  <c r="X28" i="11"/>
  <c r="BG33" i="58"/>
  <c r="BG34" i="58" s="1"/>
  <c r="BG394" i="94"/>
  <c r="BF21" i="4"/>
  <c r="BG298" i="94"/>
  <c r="BH453" i="94"/>
  <c r="BI456" i="94"/>
  <c r="BJ440" i="94"/>
  <c r="BI440" i="94"/>
  <c r="BI436" i="94"/>
  <c r="BI454" i="94"/>
  <c r="BJ456" i="94"/>
  <c r="BI388" i="94"/>
  <c r="BH388" i="94"/>
  <c r="BJ454" i="94"/>
  <c r="BJ390" i="94"/>
  <c r="BI390" i="94"/>
  <c r="BJ394" i="94"/>
  <c r="BI394" i="94"/>
  <c r="BJ391" i="94"/>
  <c r="BI391" i="94"/>
  <c r="BJ389" i="94"/>
  <c r="BI389" i="94"/>
  <c r="BJ393" i="94"/>
  <c r="BI393" i="94"/>
  <c r="BH457" i="94"/>
  <c r="BG300" i="94"/>
  <c r="BG296" i="94"/>
  <c r="BG301" i="94"/>
  <c r="BG266" i="94"/>
  <c r="X26" i="46"/>
  <c r="BG302" i="94"/>
  <c r="BG299" i="94"/>
  <c r="BG295" i="94"/>
  <c r="BG306" i="94"/>
  <c r="BG307" i="94"/>
  <c r="BG304" i="94"/>
  <c r="BG303" i="94"/>
  <c r="BG305" i="94"/>
  <c r="BG308" i="94"/>
  <c r="BG297" i="94"/>
  <c r="BF19" i="4"/>
  <c r="BN38" i="60"/>
  <c r="AG188" i="11"/>
  <c r="CT81" i="2"/>
  <c r="CT82" i="2" s="1"/>
  <c r="CT64" i="2" s="1"/>
  <c r="CT127" i="4" s="1"/>
  <c r="CT77" i="2"/>
  <c r="CT78" i="2" s="1"/>
  <c r="CT63" i="2" s="1"/>
  <c r="CT126" i="4" s="1"/>
  <c r="AF188" i="11"/>
  <c r="CS77" i="2"/>
  <c r="CS78" i="2" s="1"/>
  <c r="CS63" i="2" s="1"/>
  <c r="CS126" i="4" s="1"/>
  <c r="CV81" i="2"/>
  <c r="CV82" i="2" s="1"/>
  <c r="CV64" i="2" s="1"/>
  <c r="CV127" i="4" s="1"/>
  <c r="CR77" i="2"/>
  <c r="CR78" i="2" s="1"/>
  <c r="CR63" i="2" s="1"/>
  <c r="CR126" i="4" s="1"/>
  <c r="CL77" i="2"/>
  <c r="CL78" i="2" s="1"/>
  <c r="CL63" i="2" s="1"/>
  <c r="CL126" i="4" s="1"/>
  <c r="CP81" i="2"/>
  <c r="CP82" i="2" s="1"/>
  <c r="CP64" i="2" s="1"/>
  <c r="CP127" i="4" s="1"/>
  <c r="CW77" i="2"/>
  <c r="CW78" i="2" s="1"/>
  <c r="CW63" i="2" s="1"/>
  <c r="CW126" i="4" s="1"/>
  <c r="CS81" i="2"/>
  <c r="CS82" i="2" s="1"/>
  <c r="CS64" i="2" s="1"/>
  <c r="CS127" i="4" s="1"/>
  <c r="CO81" i="2"/>
  <c r="CO82" i="2" s="1"/>
  <c r="CO64" i="2" s="1"/>
  <c r="CO127" i="4" s="1"/>
  <c r="CP77" i="2"/>
  <c r="CP78" i="2" s="1"/>
  <c r="CP63" i="2" s="1"/>
  <c r="CP126" i="4" s="1"/>
  <c r="CQ77" i="2"/>
  <c r="CQ78" i="2" s="1"/>
  <c r="CQ63" i="2" s="1"/>
  <c r="CQ126" i="4" s="1"/>
  <c r="CV77" i="2"/>
  <c r="CV78" i="2" s="1"/>
  <c r="CV63" i="2" s="1"/>
  <c r="CV126" i="4" s="1"/>
  <c r="CR81" i="2"/>
  <c r="CR82" i="2" s="1"/>
  <c r="CR64" i="2" s="1"/>
  <c r="CR127" i="4" s="1"/>
  <c r="CN81" i="2"/>
  <c r="CN82" i="2" s="1"/>
  <c r="CN64" i="2" s="1"/>
  <c r="CN127" i="4" s="1"/>
  <c r="CO77" i="2"/>
  <c r="CO78" i="2" s="1"/>
  <c r="CO63" i="2" s="1"/>
  <c r="CO126" i="4" s="1"/>
  <c r="AH188" i="11"/>
  <c r="CU77" i="2"/>
  <c r="CU78" i="2" s="1"/>
  <c r="CU63" i="2" s="1"/>
  <c r="CU126" i="4" s="1"/>
  <c r="CQ81" i="2"/>
  <c r="CQ82" i="2" s="1"/>
  <c r="CQ64" i="2" s="1"/>
  <c r="CQ127" i="4" s="1"/>
  <c r="CM81" i="2"/>
  <c r="CM82" i="2" s="1"/>
  <c r="CM64" i="2" s="1"/>
  <c r="CM127" i="4" s="1"/>
  <c r="CN77" i="2"/>
  <c r="CN78" i="2" s="1"/>
  <c r="CN63" i="2" s="1"/>
  <c r="CN126" i="4" s="1"/>
  <c r="CW81" i="2"/>
  <c r="CW82" i="2" s="1"/>
  <c r="CW64" i="2" s="1"/>
  <c r="CW127" i="4" s="1"/>
  <c r="CL81" i="2"/>
  <c r="CL82" i="2" s="1"/>
  <c r="CL64" i="2" s="1"/>
  <c r="CL127" i="4" s="1"/>
  <c r="CM77" i="2"/>
  <c r="CM78" i="2" s="1"/>
  <c r="CM63" i="2" s="1"/>
  <c r="CM126" i="4" s="1"/>
  <c r="CU81" i="2"/>
  <c r="CU82" i="2" s="1"/>
  <c r="CU64" i="2" s="1"/>
  <c r="CU127" i="4" s="1"/>
  <c r="CQ85" i="2"/>
  <c r="CV85" i="2"/>
  <c r="CM85" i="2"/>
  <c r="CW85" i="2"/>
  <c r="CL85" i="2"/>
  <c r="CS85" i="2"/>
  <c r="CT85" i="2"/>
  <c r="CR85" i="2"/>
  <c r="CU85" i="2"/>
  <c r="CO85" i="2"/>
  <c r="CP85" i="2"/>
  <c r="CN85" i="2"/>
  <c r="BG98" i="112"/>
  <c r="BK99" i="112" s="1"/>
  <c r="BG174" i="112"/>
  <c r="BK175" i="112" s="1"/>
  <c r="BG81" i="2"/>
  <c r="BG108" i="112"/>
  <c r="BG192" i="112"/>
  <c r="BK193" i="112" s="1"/>
  <c r="BK197" i="112" s="1"/>
  <c r="BG263" i="112"/>
  <c r="BK264" i="112" s="1"/>
  <c r="BG264" i="94"/>
  <c r="BG273" i="94"/>
  <c r="BG265" i="94"/>
  <c r="BG270" i="94"/>
  <c r="BG261" i="94"/>
  <c r="BG272" i="94"/>
  <c r="BG268" i="94"/>
  <c r="BG262" i="94"/>
  <c r="BG267" i="94"/>
  <c r="BG263" i="94"/>
  <c r="BG269" i="94"/>
  <c r="BG458" i="94"/>
  <c r="BG448" i="94"/>
  <c r="BG445" i="94"/>
  <c r="BG447" i="94"/>
  <c r="BG446" i="94"/>
  <c r="BF49" i="4"/>
  <c r="BF34" i="4"/>
  <c r="BG344" i="94"/>
  <c r="BG223" i="94"/>
  <c r="BG388" i="94"/>
  <c r="Z10" i="71" l="1"/>
  <c r="BK109" i="112"/>
  <c r="BF62" i="4"/>
  <c r="BF62" i="2"/>
  <c r="BJ35" i="4"/>
  <c r="BG379" i="94"/>
  <c r="BG396" i="94" s="1"/>
  <c r="BU109" i="4"/>
  <c r="BV93" i="4"/>
  <c r="BK450" i="94"/>
  <c r="BF105" i="4"/>
  <c r="BF44" i="4"/>
  <c r="BG309" i="94"/>
  <c r="BJ457" i="94"/>
  <c r="BI453" i="94"/>
  <c r="BI457" i="94"/>
  <c r="CS90" i="2"/>
  <c r="CS66" i="2" s="1"/>
  <c r="CS88" i="2"/>
  <c r="CP88" i="2"/>
  <c r="CP90" i="2"/>
  <c r="CP66" i="2" s="1"/>
  <c r="CO88" i="2"/>
  <c r="CO90" i="2"/>
  <c r="CO66" i="2" s="1"/>
  <c r="CW88" i="2"/>
  <c r="CW90" i="2"/>
  <c r="CW66" i="2" s="1"/>
  <c r="CU90" i="2"/>
  <c r="CU66" i="2" s="1"/>
  <c r="CU88" i="2"/>
  <c r="CM88" i="2"/>
  <c r="CM90" i="2"/>
  <c r="CM66" i="2" s="1"/>
  <c r="CR90" i="2"/>
  <c r="CR66" i="2" s="1"/>
  <c r="CR88" i="2"/>
  <c r="CV88" i="2"/>
  <c r="CV90" i="2"/>
  <c r="CV66" i="2" s="1"/>
  <c r="CT90" i="2"/>
  <c r="CT66" i="2" s="1"/>
  <c r="CT88" i="2"/>
  <c r="CQ90" i="2"/>
  <c r="CQ66" i="2" s="1"/>
  <c r="CQ88" i="2"/>
  <c r="CN90" i="2"/>
  <c r="CN66" i="2" s="1"/>
  <c r="CN88" i="2"/>
  <c r="CL90" i="2"/>
  <c r="CL66" i="2" s="1"/>
  <c r="CL88" i="2"/>
  <c r="BG170" i="112"/>
  <c r="BK171" i="112" s="1"/>
  <c r="BG250" i="112"/>
  <c r="BG274" i="94"/>
  <c r="BF36" i="4"/>
  <c r="BG450" i="94"/>
  <c r="BF53" i="4"/>
  <c r="BL76" i="8"/>
  <c r="BM76" i="8"/>
  <c r="BN74" i="8"/>
  <c r="BO76" i="8"/>
  <c r="BP76" i="8"/>
  <c r="BR75" i="8"/>
  <c r="BR33" i="8" s="1"/>
  <c r="BG265" i="112" l="1"/>
  <c r="BK251" i="112"/>
  <c r="BK195" i="112"/>
  <c r="BV109" i="4"/>
  <c r="BW93" i="4"/>
  <c r="BF46" i="4"/>
  <c r="BF314" i="112"/>
  <c r="BR32" i="8"/>
  <c r="BR34" i="8"/>
  <c r="BF109" i="4"/>
  <c r="BF116" i="4" s="1"/>
  <c r="BF54" i="4"/>
  <c r="BF317" i="112"/>
  <c r="BJ453" i="94"/>
  <c r="BG266" i="112"/>
  <c r="BQ76" i="8"/>
  <c r="BR76" i="8"/>
  <c r="BR74" i="8"/>
  <c r="BN76" i="8"/>
  <c r="BS75" i="8"/>
  <c r="BL74" i="8"/>
  <c r="BQ74" i="8"/>
  <c r="BP74" i="8"/>
  <c r="BM74" i="8"/>
  <c r="BO74" i="8"/>
  <c r="BK198" i="112" l="1"/>
  <c r="BK200" i="112"/>
  <c r="BK201" i="112" s="1"/>
  <c r="BF134" i="4"/>
  <c r="BW109" i="4"/>
  <c r="BX93" i="4"/>
  <c r="BT75" i="8"/>
  <c r="BS76" i="8"/>
  <c r="BS74" i="8"/>
  <c r="BX109" i="4" l="1"/>
  <c r="BY93" i="4"/>
  <c r="BT74" i="8"/>
  <c r="BT76" i="8"/>
  <c r="BU75" i="8"/>
  <c r="BY109" i="4" l="1"/>
  <c r="BZ93" i="4"/>
  <c r="BU76" i="8"/>
  <c r="BV75" i="8"/>
  <c r="BU74" i="8"/>
  <c r="CA93" i="4" l="1"/>
  <c r="BZ109" i="4"/>
  <c r="BW75" i="8"/>
  <c r="BV76" i="8"/>
  <c r="BV74" i="8"/>
  <c r="CA109" i="4" l="1"/>
  <c r="CB93" i="4"/>
  <c r="BW76" i="8"/>
  <c r="BW74" i="8"/>
  <c r="BX75" i="8"/>
  <c r="CB109" i="4" l="1"/>
  <c r="CC93" i="4"/>
  <c r="BX76" i="8"/>
  <c r="BY75" i="8"/>
  <c r="BX74" i="8"/>
  <c r="CC109" i="4" l="1"/>
  <c r="CD93" i="4"/>
  <c r="BY74" i="8"/>
  <c r="BY76" i="8"/>
  <c r="BZ75" i="8"/>
  <c r="CD109" i="4" l="1"/>
  <c r="CE93" i="4"/>
  <c r="BZ74" i="8"/>
  <c r="BZ76" i="8"/>
  <c r="CA75" i="8"/>
  <c r="CE109" i="4" l="1"/>
  <c r="CF93" i="4"/>
  <c r="CA76" i="8"/>
  <c r="CB75" i="8"/>
  <c r="CA74" i="8"/>
  <c r="CF109" i="4" l="1"/>
  <c r="CG93" i="4"/>
  <c r="CB74" i="8"/>
  <c r="CB76" i="8"/>
  <c r="CC75" i="8"/>
  <c r="CG109" i="4" l="1"/>
  <c r="CH93" i="4"/>
  <c r="CC74" i="8"/>
  <c r="CC76" i="8"/>
  <c r="CD75" i="8"/>
  <c r="CH109" i="4" l="1"/>
  <c r="CI93" i="4"/>
  <c r="CD76" i="8"/>
  <c r="CE75" i="8"/>
  <c r="CD74" i="8"/>
  <c r="CI109" i="4" l="1"/>
  <c r="CJ93" i="4"/>
  <c r="CE76" i="8"/>
  <c r="CF75" i="8"/>
  <c r="CE74" i="8"/>
  <c r="CJ109" i="4" l="1"/>
  <c r="CK93" i="4"/>
  <c r="CF74" i="8"/>
  <c r="CF76" i="8"/>
  <c r="CG75" i="8"/>
  <c r="CK109" i="4" l="1"/>
  <c r="CL93" i="4"/>
  <c r="CG76" i="8"/>
  <c r="CH75" i="8"/>
  <c r="CG74" i="8"/>
  <c r="CL109" i="4" l="1"/>
  <c r="CM93" i="4"/>
  <c r="CH76" i="8"/>
  <c r="CI75" i="8"/>
  <c r="CH74" i="8"/>
  <c r="CM109" i="4" l="1"/>
  <c r="CN93" i="4"/>
  <c r="CI74" i="8"/>
  <c r="CI76" i="8"/>
  <c r="CJ75" i="8"/>
  <c r="CK75" i="8" s="1"/>
  <c r="CN109" i="4" l="1"/>
  <c r="CO93" i="4"/>
  <c r="CK76" i="8"/>
  <c r="CK74" i="8"/>
  <c r="CL75" i="8"/>
  <c r="CJ76" i="8"/>
  <c r="CJ74" i="8"/>
  <c r="CO109" i="4" l="1"/>
  <c r="CP93" i="4"/>
  <c r="CL74" i="8"/>
  <c r="CM75" i="8"/>
  <c r="CL76" i="8"/>
  <c r="BA59" i="59"/>
  <c r="BB59" i="59"/>
  <c r="BC59" i="59"/>
  <c r="BD59" i="59"/>
  <c r="BE53" i="59"/>
  <c r="BE59" i="59" s="1"/>
  <c r="BE55" i="59"/>
  <c r="CP109" i="4" l="1"/>
  <c r="CQ93" i="4"/>
  <c r="CN75" i="8"/>
  <c r="CM74" i="8"/>
  <c r="CM76" i="8"/>
  <c r="CQ109" i="4" l="1"/>
  <c r="CR93" i="4"/>
  <c r="CN76" i="8"/>
  <c r="CO75" i="8"/>
  <c r="CN74" i="8"/>
  <c r="CS93" i="4" l="1"/>
  <c r="CR109" i="4"/>
  <c r="CO76" i="8"/>
  <c r="CO74" i="8"/>
  <c r="CP75" i="8"/>
  <c r="AU114" i="58"/>
  <c r="AU103" i="58"/>
  <c r="AU77" i="58"/>
  <c r="CS109" i="4" l="1"/>
  <c r="CT93" i="4"/>
  <c r="CP76" i="8"/>
  <c r="CQ75" i="8"/>
  <c r="CP74" i="8"/>
  <c r="BF81" i="2"/>
  <c r="CT109" i="4" l="1"/>
  <c r="CU93" i="4"/>
  <c r="CQ76" i="8"/>
  <c r="CR75" i="8"/>
  <c r="CQ74" i="8"/>
  <c r="CU109" i="4" l="1"/>
  <c r="CV93" i="4"/>
  <c r="CS75" i="8"/>
  <c r="CR74" i="8"/>
  <c r="CR76" i="8"/>
  <c r="CV109" i="4" l="1"/>
  <c r="CW93" i="4"/>
  <c r="CW109" i="4" s="1"/>
  <c r="CT75" i="8"/>
  <c r="CS76" i="8"/>
  <c r="CS74" i="8"/>
  <c r="W893" i="111"/>
  <c r="AE899" i="111"/>
  <c r="AD899" i="111"/>
  <c r="AC899" i="111"/>
  <c r="AB899" i="111"/>
  <c r="AA899" i="111"/>
  <c r="Z899" i="111"/>
  <c r="Y899" i="111"/>
  <c r="X899" i="111"/>
  <c r="AE898" i="111"/>
  <c r="AD898" i="111"/>
  <c r="AC898" i="111"/>
  <c r="AB898" i="111"/>
  <c r="AA898" i="111"/>
  <c r="Z898" i="111"/>
  <c r="Y898" i="111"/>
  <c r="X898" i="111"/>
  <c r="B897" i="111"/>
  <c r="C897" i="111"/>
  <c r="D897" i="111"/>
  <c r="E897" i="111"/>
  <c r="F897" i="111"/>
  <c r="G897" i="111"/>
  <c r="H897" i="111"/>
  <c r="I897" i="111"/>
  <c r="J897" i="111"/>
  <c r="K897" i="111"/>
  <c r="L897" i="111"/>
  <c r="M897" i="111"/>
  <c r="N897" i="111"/>
  <c r="O897" i="111"/>
  <c r="P897" i="111"/>
  <c r="Q897" i="111"/>
  <c r="R897" i="111"/>
  <c r="B898" i="111"/>
  <c r="C898" i="111"/>
  <c r="D898" i="111"/>
  <c r="E898" i="111"/>
  <c r="F898" i="111"/>
  <c r="G898" i="111"/>
  <c r="H898" i="111"/>
  <c r="I898" i="111"/>
  <c r="J898" i="111"/>
  <c r="K898" i="111"/>
  <c r="L898" i="111"/>
  <c r="M898" i="111"/>
  <c r="N898" i="111"/>
  <c r="O898" i="111"/>
  <c r="P898" i="111"/>
  <c r="Q898" i="111"/>
  <c r="R898" i="111"/>
  <c r="B899" i="111"/>
  <c r="C899" i="111"/>
  <c r="D899" i="111"/>
  <c r="E899" i="111"/>
  <c r="F899" i="111"/>
  <c r="G899" i="111"/>
  <c r="H899" i="111"/>
  <c r="I899" i="111"/>
  <c r="J899" i="111"/>
  <c r="K899" i="111"/>
  <c r="L899" i="111"/>
  <c r="M899" i="111"/>
  <c r="N899" i="111"/>
  <c r="O899" i="111"/>
  <c r="P899" i="111"/>
  <c r="Q899" i="111"/>
  <c r="R899" i="111"/>
  <c r="S899" i="111"/>
  <c r="S898" i="111"/>
  <c r="S897" i="111"/>
  <c r="W896" i="111"/>
  <c r="V896" i="111"/>
  <c r="U896" i="111"/>
  <c r="T896" i="111"/>
  <c r="S896" i="111"/>
  <c r="CT74" i="8" l="1"/>
  <c r="CU75" i="8"/>
  <c r="CT76" i="8"/>
  <c r="B150" i="111"/>
  <c r="C150" i="111"/>
  <c r="D150" i="111"/>
  <c r="E150" i="111"/>
  <c r="F150" i="111"/>
  <c r="G150" i="111"/>
  <c r="H150" i="111"/>
  <c r="I150" i="111"/>
  <c r="J150" i="111"/>
  <c r="K150" i="111"/>
  <c r="L150" i="111"/>
  <c r="M150" i="111"/>
  <c r="N150" i="111"/>
  <c r="O150" i="111"/>
  <c r="P150" i="111"/>
  <c r="Q150" i="111"/>
  <c r="R150" i="111"/>
  <c r="S150" i="111"/>
  <c r="B151" i="111"/>
  <c r="C151" i="111"/>
  <c r="D151" i="111"/>
  <c r="E151" i="111"/>
  <c r="F151" i="111"/>
  <c r="G151" i="111"/>
  <c r="H151" i="111"/>
  <c r="I151" i="111"/>
  <c r="J151" i="111"/>
  <c r="K151" i="111"/>
  <c r="L151" i="111"/>
  <c r="M151" i="111"/>
  <c r="N151" i="111"/>
  <c r="O151" i="111"/>
  <c r="P151" i="111"/>
  <c r="Q151" i="111"/>
  <c r="R151" i="111"/>
  <c r="S151" i="111"/>
  <c r="B152" i="111"/>
  <c r="C152" i="111"/>
  <c r="D152" i="111"/>
  <c r="E152" i="111"/>
  <c r="F152" i="111"/>
  <c r="G152" i="111"/>
  <c r="H152" i="111"/>
  <c r="I152" i="111"/>
  <c r="J152" i="111"/>
  <c r="K152" i="111"/>
  <c r="L152" i="111"/>
  <c r="M152" i="111"/>
  <c r="N152" i="111"/>
  <c r="O152" i="111"/>
  <c r="P152" i="111"/>
  <c r="Q152" i="111"/>
  <c r="R152" i="111"/>
  <c r="S152" i="111"/>
  <c r="T150" i="111"/>
  <c r="U150" i="111"/>
  <c r="V150" i="111"/>
  <c r="W150" i="111"/>
  <c r="X150" i="111"/>
  <c r="Y150" i="111"/>
  <c r="Z150" i="111"/>
  <c r="T151" i="111"/>
  <c r="U151" i="111"/>
  <c r="V151" i="111"/>
  <c r="W151" i="111"/>
  <c r="X151" i="111"/>
  <c r="Y151" i="111"/>
  <c r="Z151" i="111"/>
  <c r="T152" i="111"/>
  <c r="U152" i="111"/>
  <c r="V152" i="111"/>
  <c r="W152" i="111"/>
  <c r="X152" i="111"/>
  <c r="Y152" i="111"/>
  <c r="Z152" i="111"/>
  <c r="AA151" i="111"/>
  <c r="AA152" i="111"/>
  <c r="W416" i="111"/>
  <c r="V416" i="111"/>
  <c r="U416" i="111"/>
  <c r="W421" i="111"/>
  <c r="V421" i="111"/>
  <c r="U421" i="111"/>
  <c r="W796" i="111"/>
  <c r="V796" i="111"/>
  <c r="U796" i="111"/>
  <c r="W808" i="111"/>
  <c r="V808" i="111"/>
  <c r="U808" i="111"/>
  <c r="W814" i="111"/>
  <c r="V814" i="111"/>
  <c r="U814" i="111"/>
  <c r="W819" i="111"/>
  <c r="V819" i="111"/>
  <c r="U819" i="111"/>
  <c r="W824" i="111"/>
  <c r="V824" i="111"/>
  <c r="U824" i="111"/>
  <c r="W829" i="111"/>
  <c r="V829" i="111"/>
  <c r="U829" i="111"/>
  <c r="W834" i="111"/>
  <c r="V834" i="111"/>
  <c r="U834" i="111"/>
  <c r="W839" i="111"/>
  <c r="V839" i="111"/>
  <c r="U839" i="111"/>
  <c r="W844" i="111"/>
  <c r="V844" i="111"/>
  <c r="U844" i="111"/>
  <c r="W869" i="111"/>
  <c r="V869" i="111"/>
  <c r="U869" i="111"/>
  <c r="W874" i="111"/>
  <c r="V874" i="111"/>
  <c r="U874" i="111"/>
  <c r="W879" i="111"/>
  <c r="V879" i="111"/>
  <c r="U879" i="111"/>
  <c r="U884" i="111"/>
  <c r="V884" i="111"/>
  <c r="W884" i="111"/>
  <c r="CV75" i="8" l="1"/>
  <c r="CU76" i="8"/>
  <c r="CU74" i="8"/>
  <c r="CV76" i="8" l="1"/>
  <c r="CW75" i="8"/>
  <c r="CV74" i="8"/>
  <c r="BO4" i="111"/>
  <c r="BQ4" i="111"/>
  <c r="BR4" i="111"/>
  <c r="BS4" i="111"/>
  <c r="BT4" i="111"/>
  <c r="BU4" i="111"/>
  <c r="BV4" i="111"/>
  <c r="BW4" i="111"/>
  <c r="BX4" i="111"/>
  <c r="BY4" i="111"/>
  <c r="BZ4" i="111"/>
  <c r="CA4" i="111"/>
  <c r="CB4" i="111"/>
  <c r="CC4" i="111"/>
  <c r="CD4" i="111"/>
  <c r="CE4" i="111"/>
  <c r="CF4" i="111"/>
  <c r="CG4" i="111"/>
  <c r="CH4" i="111"/>
  <c r="CI4" i="111"/>
  <c r="CJ4" i="111"/>
  <c r="CK4" i="111"/>
  <c r="CL4" i="111"/>
  <c r="CM4" i="111"/>
  <c r="CN4" i="111"/>
  <c r="CO4" i="111"/>
  <c r="CP4" i="111"/>
  <c r="CQ4" i="111"/>
  <c r="CR4" i="111"/>
  <c r="CS4" i="111"/>
  <c r="CW76" i="8" l="1"/>
  <c r="CW74" i="8"/>
  <c r="BF205" i="94" l="1"/>
  <c r="BF193" i="94"/>
  <c r="BF179" i="94"/>
  <c r="BF157" i="94"/>
  <c r="BF277" i="94" s="1"/>
  <c r="BF158" i="94"/>
  <c r="BF278" i="94" s="1"/>
  <c r="BF159" i="94"/>
  <c r="BF279" i="94" s="1"/>
  <c r="BF160" i="94"/>
  <c r="BF161" i="94"/>
  <c r="BF284" i="94" s="1"/>
  <c r="BF162" i="94"/>
  <c r="BF285" i="94" s="1"/>
  <c r="BF163" i="94"/>
  <c r="BF286" i="94" s="1"/>
  <c r="BF164" i="94"/>
  <c r="BF287" i="94" s="1"/>
  <c r="BF165" i="94"/>
  <c r="BF288" i="94" s="1"/>
  <c r="BF154" i="94"/>
  <c r="BF140" i="94"/>
  <c r="BF166" i="94" s="1"/>
  <c r="BF73" i="94"/>
  <c r="BF74" i="94" s="1"/>
  <c r="BF64" i="94"/>
  <c r="BF62" i="94"/>
  <c r="BF63" i="94" s="1"/>
  <c r="U411" i="111"/>
  <c r="V411" i="111"/>
  <c r="W411" i="111"/>
  <c r="U406" i="111"/>
  <c r="V406" i="111"/>
  <c r="W406" i="111"/>
  <c r="U401" i="111"/>
  <c r="V401" i="111"/>
  <c r="W401" i="111"/>
  <c r="U396" i="111"/>
  <c r="V396" i="111"/>
  <c r="W396" i="111"/>
  <c r="U391" i="111"/>
  <c r="V391" i="111"/>
  <c r="W391" i="111"/>
  <c r="U386" i="111"/>
  <c r="V386" i="111"/>
  <c r="W386" i="111"/>
  <c r="U380" i="111"/>
  <c r="V380" i="111"/>
  <c r="W380" i="111"/>
  <c r="U375" i="111"/>
  <c r="V375" i="111"/>
  <c r="W375" i="111"/>
  <c r="U370" i="111"/>
  <c r="V370" i="111"/>
  <c r="W370" i="111"/>
  <c r="U365" i="111"/>
  <c r="V365" i="111"/>
  <c r="W365" i="111"/>
  <c r="U360" i="111"/>
  <c r="V360" i="111"/>
  <c r="W360" i="111"/>
  <c r="U355" i="111"/>
  <c r="V355" i="111"/>
  <c r="W355" i="111"/>
  <c r="U350" i="111"/>
  <c r="V350" i="111"/>
  <c r="W350" i="111"/>
  <c r="U345" i="111"/>
  <c r="V345" i="111"/>
  <c r="W345" i="111"/>
  <c r="U340" i="111"/>
  <c r="V340" i="111"/>
  <c r="W340" i="111"/>
  <c r="U335" i="111"/>
  <c r="V335" i="111"/>
  <c r="W335" i="111"/>
  <c r="U331" i="111"/>
  <c r="V331" i="111"/>
  <c r="W331" i="111"/>
  <c r="U326" i="111"/>
  <c r="V326" i="111"/>
  <c r="W326" i="111"/>
  <c r="U321" i="111"/>
  <c r="V321" i="111"/>
  <c r="W321" i="111"/>
  <c r="U316" i="111"/>
  <c r="V316" i="111"/>
  <c r="W316" i="111"/>
  <c r="U311" i="111"/>
  <c r="V311" i="111"/>
  <c r="W311" i="111"/>
  <c r="U306" i="111"/>
  <c r="V306" i="111"/>
  <c r="W306" i="111"/>
  <c r="U301" i="111"/>
  <c r="V301" i="111"/>
  <c r="W301" i="111"/>
  <c r="U296" i="111"/>
  <c r="V296" i="111"/>
  <c r="W296" i="111"/>
  <c r="U291" i="111"/>
  <c r="V291" i="111"/>
  <c r="W291" i="111"/>
  <c r="U287" i="111"/>
  <c r="V287" i="111"/>
  <c r="W287" i="111"/>
  <c r="U273" i="111"/>
  <c r="V273" i="111"/>
  <c r="W273" i="111"/>
  <c r="U268" i="111"/>
  <c r="V268" i="111"/>
  <c r="W268" i="111"/>
  <c r="U262" i="111"/>
  <c r="V262" i="111"/>
  <c r="W262" i="111"/>
  <c r="U259" i="111"/>
  <c r="V259" i="111"/>
  <c r="W259" i="111"/>
  <c r="U254" i="111"/>
  <c r="V254" i="111"/>
  <c r="W254" i="111"/>
  <c r="U248" i="111"/>
  <c r="V248" i="111"/>
  <c r="W248" i="111"/>
  <c r="U243" i="111"/>
  <c r="V243" i="111"/>
  <c r="W243" i="111"/>
  <c r="U238" i="111"/>
  <c r="V238" i="111"/>
  <c r="W238" i="111"/>
  <c r="U233" i="111"/>
  <c r="V233" i="111"/>
  <c r="W233" i="111"/>
  <c r="U228" i="111"/>
  <c r="V228" i="111"/>
  <c r="W228" i="111"/>
  <c r="U223" i="111"/>
  <c r="V223" i="111"/>
  <c r="W223" i="111"/>
  <c r="U218" i="111"/>
  <c r="V218" i="111"/>
  <c r="W218" i="111"/>
  <c r="U213" i="111"/>
  <c r="V213" i="111"/>
  <c r="W213" i="111"/>
  <c r="U208" i="111"/>
  <c r="V208" i="111"/>
  <c r="W208" i="111"/>
  <c r="U203" i="111"/>
  <c r="V203" i="111"/>
  <c r="W203" i="111"/>
  <c r="U198" i="111"/>
  <c r="V198" i="111"/>
  <c r="W198" i="111"/>
  <c r="U193" i="111"/>
  <c r="V193" i="111"/>
  <c r="W193" i="111"/>
  <c r="U187" i="111"/>
  <c r="V187" i="111"/>
  <c r="W187" i="111"/>
  <c r="U181" i="111"/>
  <c r="V181" i="111"/>
  <c r="W181" i="111"/>
  <c r="U175" i="111"/>
  <c r="V175" i="111"/>
  <c r="W175" i="111"/>
  <c r="U170" i="111"/>
  <c r="V170" i="111"/>
  <c r="W170" i="111"/>
  <c r="U165" i="111"/>
  <c r="V165" i="111"/>
  <c r="W165" i="111"/>
  <c r="U160" i="111"/>
  <c r="V160" i="111"/>
  <c r="W160" i="111"/>
  <c r="U154" i="111"/>
  <c r="V154" i="111"/>
  <c r="W154" i="111"/>
  <c r="T154" i="111"/>
  <c r="U149" i="111"/>
  <c r="V149" i="111"/>
  <c r="W149" i="111"/>
  <c r="U144" i="111"/>
  <c r="V144" i="111"/>
  <c r="W144" i="111"/>
  <c r="U139" i="111"/>
  <c r="V139" i="111"/>
  <c r="W139" i="111"/>
  <c r="U134" i="111"/>
  <c r="V134" i="111"/>
  <c r="W134" i="111"/>
  <c r="U126" i="111"/>
  <c r="V126" i="111"/>
  <c r="U121" i="111"/>
  <c r="V121" i="111"/>
  <c r="U114" i="111"/>
  <c r="V114" i="111"/>
  <c r="U109" i="111"/>
  <c r="V109" i="111"/>
  <c r="W109" i="111"/>
  <c r="U99" i="111"/>
  <c r="V99" i="111"/>
  <c r="W99" i="111"/>
  <c r="U94" i="111"/>
  <c r="V94" i="111"/>
  <c r="W94" i="111"/>
  <c r="U66" i="111"/>
  <c r="V66" i="111"/>
  <c r="W66" i="111"/>
  <c r="U60" i="111"/>
  <c r="V60" i="111"/>
  <c r="W60" i="111"/>
  <c r="U55" i="111"/>
  <c r="V55" i="111"/>
  <c r="W55" i="111"/>
  <c r="U50" i="111"/>
  <c r="V50" i="111"/>
  <c r="W50" i="111"/>
  <c r="W45" i="111"/>
  <c r="W35" i="111"/>
  <c r="W30" i="111"/>
  <c r="W20" i="111"/>
  <c r="W15" i="111"/>
  <c r="W11" i="111"/>
  <c r="BE8" i="8"/>
  <c r="BE11" i="8"/>
  <c r="BE16" i="8"/>
  <c r="BE27" i="8"/>
  <c r="BE39" i="8"/>
  <c r="BE58" i="8"/>
  <c r="BE70" i="8"/>
  <c r="BE156" i="2"/>
  <c r="BE143" i="2"/>
  <c r="BE144" i="2"/>
  <c r="BE150" i="2"/>
  <c r="BE152" i="2"/>
  <c r="BF149" i="2" s="1"/>
  <c r="BF148" i="2" s="1"/>
  <c r="BF151" i="2" s="1"/>
  <c r="BE100" i="2"/>
  <c r="BE127" i="2"/>
  <c r="BE131" i="2"/>
  <c r="BE95" i="2"/>
  <c r="BF92" i="2" s="1"/>
  <c r="BF93" i="2" s="1"/>
  <c r="BE60" i="2"/>
  <c r="BE80" i="2"/>
  <c r="BE30" i="2"/>
  <c r="BE43" i="2"/>
  <c r="BE104" i="4"/>
  <c r="BE15" i="2"/>
  <c r="BE95" i="4"/>
  <c r="BE96" i="4"/>
  <c r="BE97" i="4"/>
  <c r="BE98" i="4"/>
  <c r="BE68" i="4"/>
  <c r="BE69" i="4"/>
  <c r="BE70" i="4"/>
  <c r="BE73" i="4"/>
  <c r="BE74" i="4"/>
  <c r="BE41" i="2" s="1"/>
  <c r="BE75" i="4"/>
  <c r="BE48" i="2" s="1"/>
  <c r="BE76" i="4"/>
  <c r="BE77" i="4"/>
  <c r="BE66" i="4"/>
  <c r="BE64" i="4"/>
  <c r="BE189" i="112" s="1"/>
  <c r="BE5" i="4"/>
  <c r="BE14" i="4"/>
  <c r="BE17" i="4"/>
  <c r="BE25" i="4"/>
  <c r="BE26" i="4"/>
  <c r="BE27" i="4"/>
  <c r="BE32" i="4"/>
  <c r="BE38" i="4"/>
  <c r="BE39" i="4"/>
  <c r="BE40" i="4"/>
  <c r="BE41" i="4"/>
  <c r="BE42" i="4"/>
  <c r="BE43" i="4"/>
  <c r="BE45" i="4"/>
  <c r="BE47" i="4"/>
  <c r="BE48" i="4"/>
  <c r="BE4" i="4"/>
  <c r="BE3" i="4" s="1"/>
  <c r="BE287" i="112"/>
  <c r="BE299" i="112"/>
  <c r="BE16" i="4" s="1"/>
  <c r="BE308" i="112"/>
  <c r="BE286" i="112"/>
  <c r="BE283" i="112"/>
  <c r="BE282" i="112"/>
  <c r="BE228" i="112"/>
  <c r="BE232" i="112"/>
  <c r="BE196" i="112"/>
  <c r="BE192" i="8" s="1"/>
  <c r="BE141" i="112"/>
  <c r="BE146" i="112"/>
  <c r="BE150" i="112"/>
  <c r="BE154" i="112"/>
  <c r="BE155" i="112"/>
  <c r="BE156" i="112"/>
  <c r="BE157" i="112"/>
  <c r="BE158" i="112"/>
  <c r="BE105" i="112"/>
  <c r="BE112" i="112"/>
  <c r="BE76" i="112"/>
  <c r="BE81" i="112"/>
  <c r="BE85" i="112"/>
  <c r="BE38" i="112"/>
  <c r="BE9" i="112"/>
  <c r="BE14" i="112"/>
  <c r="BE18" i="112"/>
  <c r="BE4" i="2"/>
  <c r="BM24" i="60"/>
  <c r="BE122" i="4" s="1"/>
  <c r="BM16" i="60"/>
  <c r="BE114" i="4" s="1"/>
  <c r="BE50" i="59"/>
  <c r="BE43" i="59"/>
  <c r="BE36" i="59"/>
  <c r="BE90" i="4" s="1"/>
  <c r="W139" i="11" s="1"/>
  <c r="BE32" i="59"/>
  <c r="BE13" i="59"/>
  <c r="BE18" i="59" s="1"/>
  <c r="BE9" i="59"/>
  <c r="BF476" i="94"/>
  <c r="BF462" i="94"/>
  <c r="BF463" i="94"/>
  <c r="BF432" i="94"/>
  <c r="BF418" i="94"/>
  <c r="BF419" i="94"/>
  <c r="BF420" i="94"/>
  <c r="BF421" i="94"/>
  <c r="BF422" i="94"/>
  <c r="BF404" i="94"/>
  <c r="BF228" i="94"/>
  <c r="BF229" i="94"/>
  <c r="BF230" i="94"/>
  <c r="BF231" i="94"/>
  <c r="BF232" i="94"/>
  <c r="BF233" i="94"/>
  <c r="BF234" i="94"/>
  <c r="BF235" i="94"/>
  <c r="BF236" i="94"/>
  <c r="BF237" i="94"/>
  <c r="BF238" i="94"/>
  <c r="BF247" i="94"/>
  <c r="BF248" i="94"/>
  <c r="BF249" i="94"/>
  <c r="BF250" i="94"/>
  <c r="BF251" i="94"/>
  <c r="BF252" i="94"/>
  <c r="BF253" i="94"/>
  <c r="BF254" i="94"/>
  <c r="BF255" i="94"/>
  <c r="BF280" i="94"/>
  <c r="BF281" i="94"/>
  <c r="BF283" i="94"/>
  <c r="BF290" i="94"/>
  <c r="BF312" i="94"/>
  <c r="BF313" i="94"/>
  <c r="BF314" i="94"/>
  <c r="BF315" i="94"/>
  <c r="BF316" i="94"/>
  <c r="BF317" i="94"/>
  <c r="BF439" i="94" s="1"/>
  <c r="BF318" i="94"/>
  <c r="BF319" i="94"/>
  <c r="BF320" i="94"/>
  <c r="BF321" i="94"/>
  <c r="BF322" i="94"/>
  <c r="BF323" i="94"/>
  <c r="BF325" i="94"/>
  <c r="BI190" i="112" l="1"/>
  <c r="BE216" i="112"/>
  <c r="BI106" i="112"/>
  <c r="BE132" i="112"/>
  <c r="BI39" i="112"/>
  <c r="BE67" i="112"/>
  <c r="BE6" i="2"/>
  <c r="BF137" i="4"/>
  <c r="BF139" i="4" s="1"/>
  <c r="BF140" i="4" s="1"/>
  <c r="BE8" i="2"/>
  <c r="BE9" i="2" s="1"/>
  <c r="BI6" i="4"/>
  <c r="BE91" i="4"/>
  <c r="BE3" i="2"/>
  <c r="BE65" i="2"/>
  <c r="BE70" i="2" s="1"/>
  <c r="BE63" i="2"/>
  <c r="BE78" i="2" s="1"/>
  <c r="BE10" i="4"/>
  <c r="BE24" i="2"/>
  <c r="BE208" i="8"/>
  <c r="BE253" i="8" s="1"/>
  <c r="BE269" i="8" s="1"/>
  <c r="BE7" i="8"/>
  <c r="BF180" i="94"/>
  <c r="BJ179" i="94"/>
  <c r="BJ180" i="94" s="1"/>
  <c r="BF206" i="94"/>
  <c r="BJ205" i="94"/>
  <c r="BE225" i="112"/>
  <c r="BE130" i="2"/>
  <c r="BE132" i="2" s="1"/>
  <c r="BF406" i="94"/>
  <c r="BE45" i="59"/>
  <c r="BE172" i="8"/>
  <c r="BE173" i="8" s="1"/>
  <c r="BE71" i="4"/>
  <c r="BE189" i="8"/>
  <c r="BI190" i="8" s="1"/>
  <c r="BE9" i="4"/>
  <c r="BE169" i="8"/>
  <c r="BI170" i="8" s="1"/>
  <c r="BE7" i="4"/>
  <c r="BE143" i="8"/>
  <c r="BI144" i="8" s="1"/>
  <c r="BF20" i="112"/>
  <c r="BF19" i="112"/>
  <c r="BF115" i="8" s="1"/>
  <c r="BF15" i="112"/>
  <c r="BF110" i="8" s="1"/>
  <c r="BF16" i="112"/>
  <c r="BF10" i="112"/>
  <c r="BF11" i="112"/>
  <c r="BJ12" i="112" s="1"/>
  <c r="BF87" i="112"/>
  <c r="BF86" i="112"/>
  <c r="BF126" i="8" s="1"/>
  <c r="BF83" i="112"/>
  <c r="BF92" i="112" s="1"/>
  <c r="BJ93" i="112" s="1"/>
  <c r="BF82" i="112"/>
  <c r="BF121" i="8" s="1"/>
  <c r="BF78" i="112"/>
  <c r="BJ79" i="112" s="1"/>
  <c r="BF77" i="112"/>
  <c r="BF152" i="112"/>
  <c r="BF151" i="112"/>
  <c r="BF137" i="8" s="1"/>
  <c r="BF147" i="112"/>
  <c r="BF132" i="8" s="1"/>
  <c r="BF148" i="112"/>
  <c r="BF142" i="112"/>
  <c r="BF143" i="112"/>
  <c r="BJ144" i="112" s="1"/>
  <c r="BF234" i="112"/>
  <c r="BF233" i="112"/>
  <c r="BF230" i="112"/>
  <c r="BF229" i="112"/>
  <c r="BF33" i="2" s="1"/>
  <c r="BF76" i="2"/>
  <c r="BF94" i="2"/>
  <c r="BE55" i="8"/>
  <c r="BE63" i="8"/>
  <c r="BE43" i="8"/>
  <c r="BE23" i="8"/>
  <c r="BF101" i="112"/>
  <c r="BE130" i="8"/>
  <c r="BE119" i="8"/>
  <c r="BE108" i="8"/>
  <c r="BE15" i="4"/>
  <c r="BF289" i="94"/>
  <c r="BF141" i="94"/>
  <c r="BF217" i="94"/>
  <c r="BF167" i="94"/>
  <c r="BF324" i="94"/>
  <c r="BF282" i="94"/>
  <c r="BF356" i="94"/>
  <c r="BF216" i="94"/>
  <c r="BF436" i="94"/>
  <c r="BF453" i="94" s="1"/>
  <c r="BE185" i="112"/>
  <c r="BE126" i="2"/>
  <c r="BF355" i="94"/>
  <c r="BF469" i="94"/>
  <c r="BE321" i="8"/>
  <c r="BF347" i="94"/>
  <c r="BF221" i="94"/>
  <c r="BE37" i="4"/>
  <c r="BE69" i="8"/>
  <c r="BE186" i="112"/>
  <c r="BF220" i="94"/>
  <c r="BE47" i="112"/>
  <c r="BE20" i="2"/>
  <c r="BF360" i="94"/>
  <c r="BF213" i="94"/>
  <c r="BE165" i="112"/>
  <c r="BE141" i="8"/>
  <c r="BF358" i="94"/>
  <c r="BF353" i="94"/>
  <c r="BF218" i="94"/>
  <c r="BE10" i="59"/>
  <c r="BE37" i="59"/>
  <c r="BE231" i="8"/>
  <c r="BE32" i="8"/>
  <c r="BE33" i="8"/>
  <c r="BF214" i="94"/>
  <c r="BF349" i="94"/>
  <c r="BF437" i="94"/>
  <c r="BE16" i="2"/>
  <c r="BE125" i="2"/>
  <c r="BE142" i="2"/>
  <c r="BF139" i="2" s="1"/>
  <c r="BE48" i="8"/>
  <c r="BE49" i="8"/>
  <c r="BE184" i="112"/>
  <c r="BF456" i="94"/>
  <c r="BF357" i="94"/>
  <c r="BE164" i="112"/>
  <c r="BE78" i="4"/>
  <c r="BE99" i="4"/>
  <c r="BF440" i="94"/>
  <c r="BE161" i="112"/>
  <c r="BE108" i="2"/>
  <c r="BF105" i="2" s="1"/>
  <c r="BE101" i="2"/>
  <c r="BE22" i="8"/>
  <c r="BF354" i="94"/>
  <c r="BF350" i="94"/>
  <c r="BF351" i="94"/>
  <c r="BF219" i="94"/>
  <c r="BF215" i="94"/>
  <c r="BE78" i="8"/>
  <c r="BE164" i="2"/>
  <c r="BE54" i="8"/>
  <c r="BE64" i="8"/>
  <c r="BE38" i="8"/>
  <c r="BE68" i="8"/>
  <c r="BE60" i="8"/>
  <c r="BE53" i="8"/>
  <c r="BE45" i="8"/>
  <c r="BE37" i="8"/>
  <c r="BE29" i="8"/>
  <c r="BE21" i="8"/>
  <c r="BE13" i="8"/>
  <c r="BE59" i="8"/>
  <c r="BE44" i="8"/>
  <c r="BE28" i="8"/>
  <c r="BE12" i="8"/>
  <c r="BE65" i="8"/>
  <c r="BE50" i="8"/>
  <c r="BE34" i="8"/>
  <c r="BE18" i="8"/>
  <c r="BE17" i="8"/>
  <c r="BE163" i="2"/>
  <c r="BE57" i="2"/>
  <c r="BE8" i="4"/>
  <c r="BE163" i="112"/>
  <c r="BE162" i="112"/>
  <c r="BF423" i="94"/>
  <c r="BF348" i="94"/>
  <c r="BF106" i="94"/>
  <c r="BF113" i="94"/>
  <c r="BF105" i="94"/>
  <c r="BF245" i="94" s="1"/>
  <c r="BF211" i="94" s="1"/>
  <c r="BF104" i="94"/>
  <c r="BF244" i="94" s="1"/>
  <c r="BF103" i="94"/>
  <c r="BF121" i="94" s="1"/>
  <c r="BF100" i="94"/>
  <c r="BF239" i="94" s="1"/>
  <c r="BF91" i="94"/>
  <c r="BF227" i="94" s="1"/>
  <c r="BF90" i="94"/>
  <c r="BF87" i="94"/>
  <c r="BF80" i="94"/>
  <c r="BF79" i="94"/>
  <c r="BF78" i="94"/>
  <c r="BF77" i="94"/>
  <c r="BF38" i="94"/>
  <c r="BF39" i="94"/>
  <c r="BF44" i="94" s="1"/>
  <c r="BF14" i="94"/>
  <c r="BF27" i="94"/>
  <c r="BF15" i="94"/>
  <c r="BI217" i="112" l="1"/>
  <c r="BI133" i="112"/>
  <c r="BI68" i="112"/>
  <c r="BE26" i="2"/>
  <c r="BE67" i="2"/>
  <c r="BF61" i="2" s="1"/>
  <c r="BF226" i="112"/>
  <c r="BE11" i="2"/>
  <c r="BF375" i="94"/>
  <c r="BF392" i="94" s="1"/>
  <c r="BF367" i="94"/>
  <c r="BF384" i="94" s="1"/>
  <c r="BF376" i="94"/>
  <c r="BF393" i="94" s="1"/>
  <c r="BF373" i="94"/>
  <c r="BF390" i="94" s="1"/>
  <c r="BF372" i="94"/>
  <c r="BF389" i="94" s="1"/>
  <c r="BF369" i="94"/>
  <c r="BF386" i="94" s="1"/>
  <c r="BF370" i="94"/>
  <c r="BF387" i="94" s="1"/>
  <c r="BF374" i="94"/>
  <c r="BF391" i="94" s="1"/>
  <c r="BF377" i="94"/>
  <c r="BF394" i="94" s="1"/>
  <c r="BE259" i="8"/>
  <c r="BE260" i="8" s="1"/>
  <c r="BE264" i="8"/>
  <c r="BE267" i="8" s="1"/>
  <c r="BE19" i="59"/>
  <c r="BF25" i="112"/>
  <c r="BJ44" i="112" s="1"/>
  <c r="BE11" i="4"/>
  <c r="BJ206" i="94"/>
  <c r="BJ324" i="94"/>
  <c r="BF413" i="94"/>
  <c r="BF352" i="94"/>
  <c r="BE31" i="4"/>
  <c r="BE29" i="4"/>
  <c r="BE30" i="4"/>
  <c r="BE116" i="2"/>
  <c r="BF111" i="2" s="1"/>
  <c r="BE72" i="4"/>
  <c r="BE79" i="4" s="1"/>
  <c r="BF410" i="94"/>
  <c r="BF411" i="94"/>
  <c r="BF414" i="94"/>
  <c r="BF412" i="94"/>
  <c r="BE46" i="59"/>
  <c r="BE174" i="8"/>
  <c r="BF119" i="112"/>
  <c r="BJ120" i="112" s="1"/>
  <c r="BF203" i="112"/>
  <c r="BF133" i="8"/>
  <c r="BF134" i="8"/>
  <c r="BF138" i="8"/>
  <c r="BF139" i="8"/>
  <c r="BF123" i="8"/>
  <c r="BF122" i="8"/>
  <c r="BF167" i="8"/>
  <c r="BF127" i="8"/>
  <c r="BF128" i="8"/>
  <c r="BF153" i="2"/>
  <c r="BF145" i="2"/>
  <c r="BF111" i="8"/>
  <c r="BF112" i="8"/>
  <c r="BF116" i="8"/>
  <c r="BF117" i="8"/>
  <c r="BF29" i="112"/>
  <c r="BJ30" i="112" s="1"/>
  <c r="BJ164" i="8" s="1"/>
  <c r="BF33" i="112"/>
  <c r="BJ34" i="112" s="1"/>
  <c r="BF94" i="112"/>
  <c r="BF157" i="2"/>
  <c r="BF371" i="94"/>
  <c r="BF291" i="94"/>
  <c r="BF302" i="94" s="1"/>
  <c r="BF359" i="94"/>
  <c r="BF438" i="94"/>
  <c r="BF455" i="94" s="1"/>
  <c r="BF326" i="94"/>
  <c r="BF338" i="94" s="1"/>
  <c r="BF49" i="94"/>
  <c r="BE165" i="2"/>
  <c r="BE162" i="2" s="1"/>
  <c r="BF240" i="94"/>
  <c r="BF256" i="94"/>
  <c r="BF124" i="94"/>
  <c r="BF120" i="94"/>
  <c r="BF47" i="94"/>
  <c r="BF43" i="94"/>
  <c r="BF210" i="94"/>
  <c r="BF126" i="94"/>
  <c r="BF122" i="94"/>
  <c r="BF118" i="94"/>
  <c r="BE183" i="112"/>
  <c r="W120" i="111" s="1"/>
  <c r="BF50" i="94"/>
  <c r="BF46" i="94"/>
  <c r="BF125" i="94"/>
  <c r="BF117" i="94"/>
  <c r="BE100" i="4"/>
  <c r="BF45" i="94"/>
  <c r="BF48" i="94"/>
  <c r="BF246" i="94"/>
  <c r="BF123" i="94"/>
  <c r="BF119" i="94"/>
  <c r="BF457" i="94"/>
  <c r="BF454" i="94"/>
  <c r="BE45" i="112"/>
  <c r="BE147" i="8" s="1"/>
  <c r="BF67" i="58"/>
  <c r="BF31" i="58"/>
  <c r="BE33" i="4" s="1"/>
  <c r="BF13" i="58"/>
  <c r="BI13" i="4" l="1"/>
  <c r="BE265" i="8"/>
  <c r="BE262" i="8"/>
  <c r="BE261" i="8"/>
  <c r="BE266" i="8"/>
  <c r="BE12" i="4"/>
  <c r="BE20" i="4"/>
  <c r="BJ166" i="8"/>
  <c r="BJ165" i="8"/>
  <c r="BJ49" i="112"/>
  <c r="BJ50" i="112" s="1"/>
  <c r="BJ153" i="8" s="1"/>
  <c r="BJ26" i="112"/>
  <c r="BJ27" i="112"/>
  <c r="BJ204" i="112"/>
  <c r="BE18" i="4"/>
  <c r="BJ438" i="94"/>
  <c r="BJ326" i="94"/>
  <c r="BJ396" i="94"/>
  <c r="BJ359" i="94"/>
  <c r="BJ395" i="94" s="1"/>
  <c r="BF388" i="94"/>
  <c r="BF222" i="94"/>
  <c r="BE117" i="2"/>
  <c r="BE109" i="2"/>
  <c r="BE119" i="2"/>
  <c r="BE120" i="2" s="1"/>
  <c r="BF98" i="112"/>
  <c r="BJ99" i="112" s="1"/>
  <c r="BJ184" i="8" s="1"/>
  <c r="BF108" i="112"/>
  <c r="BJ109" i="112" s="1"/>
  <c r="BF174" i="112"/>
  <c r="BJ175" i="112" s="1"/>
  <c r="BJ204" i="8" s="1"/>
  <c r="BF192" i="112"/>
  <c r="BF263" i="112"/>
  <c r="BF303" i="94"/>
  <c r="BF304" i="94"/>
  <c r="BF305" i="94"/>
  <c r="BF299" i="94"/>
  <c r="BF295" i="94"/>
  <c r="BF301" i="94"/>
  <c r="BF307" i="94"/>
  <c r="BF300" i="94"/>
  <c r="BF296" i="94"/>
  <c r="BF297" i="94"/>
  <c r="BF298" i="94"/>
  <c r="BF308" i="94"/>
  <c r="BF306" i="94"/>
  <c r="BF333" i="94"/>
  <c r="BF441" i="94"/>
  <c r="BF332" i="94"/>
  <c r="BF341" i="94"/>
  <c r="BF335" i="94"/>
  <c r="BF361" i="94"/>
  <c r="BF257" i="94"/>
  <c r="BF261" i="94" s="1"/>
  <c r="BF336" i="94"/>
  <c r="BF330" i="94"/>
  <c r="BF339" i="94"/>
  <c r="BF340" i="94"/>
  <c r="BF343" i="94"/>
  <c r="BF337" i="94"/>
  <c r="BF334" i="94"/>
  <c r="BF342" i="94"/>
  <c r="BF331" i="94"/>
  <c r="BF19" i="58"/>
  <c r="BF22" i="58" s="1"/>
  <c r="BF38" i="58" s="1"/>
  <c r="BF40" i="58" s="1"/>
  <c r="BF127" i="94"/>
  <c r="BF51" i="94"/>
  <c r="BF212" i="94"/>
  <c r="BF366" i="94"/>
  <c r="BF383" i="94" s="1"/>
  <c r="BF378" i="94" l="1"/>
  <c r="BF395" i="94" s="1"/>
  <c r="BF368" i="94"/>
  <c r="BF385" i="94" s="1"/>
  <c r="BE19" i="4"/>
  <c r="BF33" i="58"/>
  <c r="BF34" i="58" s="1"/>
  <c r="BE51" i="4"/>
  <c r="BE21" i="4"/>
  <c r="BE34" i="4"/>
  <c r="BJ206" i="8"/>
  <c r="BJ205" i="8"/>
  <c r="BJ155" i="8"/>
  <c r="BJ154" i="8"/>
  <c r="BJ149" i="8"/>
  <c r="BJ148" i="8"/>
  <c r="BJ186" i="8"/>
  <c r="BJ185" i="8"/>
  <c r="BE49" i="4"/>
  <c r="BJ264" i="112"/>
  <c r="BJ193" i="112"/>
  <c r="BJ197" i="112" s="1"/>
  <c r="BJ342" i="94"/>
  <c r="BJ340" i="94"/>
  <c r="BJ332" i="94"/>
  <c r="BJ337" i="94"/>
  <c r="BJ333" i="94"/>
  <c r="BJ343" i="94"/>
  <c r="BJ334" i="94"/>
  <c r="BJ339" i="94"/>
  <c r="BJ331" i="94"/>
  <c r="BJ341" i="94"/>
  <c r="BJ336" i="94"/>
  <c r="BJ338" i="94"/>
  <c r="BJ361" i="94"/>
  <c r="BJ335" i="94"/>
  <c r="BJ330" i="94"/>
  <c r="BJ455" i="94"/>
  <c r="BJ441" i="94"/>
  <c r="BF170" i="112"/>
  <c r="BF250" i="112"/>
  <c r="BJ251" i="112" s="1"/>
  <c r="BF309" i="94"/>
  <c r="BF263" i="94"/>
  <c r="BF445" i="94"/>
  <c r="BF448" i="94"/>
  <c r="BF266" i="94"/>
  <c r="BF446" i="94"/>
  <c r="BF447" i="94"/>
  <c r="BF264" i="94"/>
  <c r="BF458" i="94"/>
  <c r="BF449" i="94"/>
  <c r="BF273" i="94"/>
  <c r="BF265" i="94"/>
  <c r="BF269" i="94"/>
  <c r="BF272" i="94"/>
  <c r="BF262" i="94"/>
  <c r="BF268" i="94"/>
  <c r="BF271" i="94"/>
  <c r="BF267" i="94"/>
  <c r="BF270" i="94"/>
  <c r="BF344" i="94"/>
  <c r="BF223" i="94"/>
  <c r="F791" i="111" a="1"/>
  <c r="F791" i="111" s="1"/>
  <c r="C791" i="111"/>
  <c r="BI35" i="4" l="1"/>
  <c r="BF379" i="94"/>
  <c r="BF396" i="94" s="1"/>
  <c r="BE105" i="4"/>
  <c r="BE62" i="2"/>
  <c r="BE53" i="4"/>
  <c r="BE36" i="4"/>
  <c r="BE44" i="4"/>
  <c r="BJ195" i="112"/>
  <c r="BJ171" i="112"/>
  <c r="BJ449" i="94"/>
  <c r="BJ445" i="94"/>
  <c r="BJ458" i="94"/>
  <c r="BJ446" i="94"/>
  <c r="BJ448" i="94"/>
  <c r="BJ344" i="94"/>
  <c r="BJ447" i="94"/>
  <c r="BF266" i="112"/>
  <c r="BF265" i="112"/>
  <c r="BF450" i="94"/>
  <c r="BF274" i="94"/>
  <c r="BE314" i="112" l="1"/>
  <c r="BE317" i="112"/>
  <c r="BE54" i="4"/>
  <c r="BE46" i="4"/>
  <c r="BJ193" i="8"/>
  <c r="BJ194" i="8"/>
  <c r="BJ450" i="94"/>
  <c r="W203" i="11"/>
  <c r="AC34" i="46" l="1"/>
  <c r="C5" i="55"/>
  <c r="U45" i="111" l="1"/>
  <c r="V45" i="111"/>
  <c r="U35" i="111"/>
  <c r="V35" i="111"/>
  <c r="U30" i="111"/>
  <c r="V30" i="111"/>
  <c r="U20" i="111"/>
  <c r="V20" i="111"/>
  <c r="U15" i="111"/>
  <c r="V15" i="111"/>
  <c r="U11" i="111"/>
  <c r="V11" i="111"/>
  <c r="BD68" i="8" l="1"/>
  <c r="BC70" i="8"/>
  <c r="BD58" i="8"/>
  <c r="BC60" i="8"/>
  <c r="BD50" i="8"/>
  <c r="BC50" i="8"/>
  <c r="BD37" i="8"/>
  <c r="BC39" i="8"/>
  <c r="BD32" i="8"/>
  <c r="BD27" i="8"/>
  <c r="BD16" i="8"/>
  <c r="BC18" i="8"/>
  <c r="BD8" i="8"/>
  <c r="BD11" i="8"/>
  <c r="BC12" i="8"/>
  <c r="BC29" i="8"/>
  <c r="BD104" i="4"/>
  <c r="BD66" i="4"/>
  <c r="BD68" i="4"/>
  <c r="BD69" i="4"/>
  <c r="BD70" i="4"/>
  <c r="BD73" i="4"/>
  <c r="BD74" i="4"/>
  <c r="BD75" i="4"/>
  <c r="BD76" i="4"/>
  <c r="BD77" i="4"/>
  <c r="BD95" i="4"/>
  <c r="BD96" i="4"/>
  <c r="BD97" i="4"/>
  <c r="BD98" i="4"/>
  <c r="BD64" i="4"/>
  <c r="BD189" i="112" s="1"/>
  <c r="BD216" i="112" s="1"/>
  <c r="BC52" i="4"/>
  <c r="BD4" i="4"/>
  <c r="BD3" i="4" s="1"/>
  <c r="BD5" i="4"/>
  <c r="BD14" i="4"/>
  <c r="BD17" i="4"/>
  <c r="BD25" i="4"/>
  <c r="BD26" i="4"/>
  <c r="BD27" i="4"/>
  <c r="BD32" i="4"/>
  <c r="BD38" i="4"/>
  <c r="BD39" i="4"/>
  <c r="BD40" i="4"/>
  <c r="BD41" i="4"/>
  <c r="BD42" i="4"/>
  <c r="BD43" i="4"/>
  <c r="BD45" i="4"/>
  <c r="BD47" i="4"/>
  <c r="BD48" i="4"/>
  <c r="BD143" i="2"/>
  <c r="BD144" i="2"/>
  <c r="BD150" i="2"/>
  <c r="BD152" i="2"/>
  <c r="BE149" i="2" s="1"/>
  <c r="BD156" i="2"/>
  <c r="BD127" i="2"/>
  <c r="BD131" i="2"/>
  <c r="BD100" i="2"/>
  <c r="BD95" i="2"/>
  <c r="BD60" i="2"/>
  <c r="BD80" i="2"/>
  <c r="BD30" i="2"/>
  <c r="BD4" i="2"/>
  <c r="BD3" i="2" s="1"/>
  <c r="BD308" i="112"/>
  <c r="BD287" i="112"/>
  <c r="BD299" i="112"/>
  <c r="BD16" i="4" s="1"/>
  <c r="BD283" i="112"/>
  <c r="BD228" i="112"/>
  <c r="BD232" i="112"/>
  <c r="BD196" i="112"/>
  <c r="BD192" i="8" s="1"/>
  <c r="BD141" i="112"/>
  <c r="BD146" i="112"/>
  <c r="BD150" i="112"/>
  <c r="BD154" i="112"/>
  <c r="BD155" i="112"/>
  <c r="BD156" i="112"/>
  <c r="BD157" i="112"/>
  <c r="BD158" i="112"/>
  <c r="BD105" i="112"/>
  <c r="BD132" i="112" s="1"/>
  <c r="BD112" i="112"/>
  <c r="BD76" i="112"/>
  <c r="BD81" i="112"/>
  <c r="BD85" i="112"/>
  <c r="BD38" i="112"/>
  <c r="BD67" i="112" s="1"/>
  <c r="BD9" i="112"/>
  <c r="BD14" i="112"/>
  <c r="BD18" i="112"/>
  <c r="BE418" i="94"/>
  <c r="BE205" i="94"/>
  <c r="BI205" i="94" s="1"/>
  <c r="BE179" i="94"/>
  <c r="BI179" i="94" s="1"/>
  <c r="BI180" i="94" s="1"/>
  <c r="BE157" i="94"/>
  <c r="BE153" i="94"/>
  <c r="BE154" i="94" s="1"/>
  <c r="BE140" i="94"/>
  <c r="BE141" i="94" s="1"/>
  <c r="BE73" i="94"/>
  <c r="BE62" i="94"/>
  <c r="BH217" i="112" l="1"/>
  <c r="BH133" i="112"/>
  <c r="BH68" i="112"/>
  <c r="BE137" i="4"/>
  <c r="BE78" i="112"/>
  <c r="BH6" i="4"/>
  <c r="BD10" i="4"/>
  <c r="BD24" i="2"/>
  <c r="BD208" i="8"/>
  <c r="BD253" i="8" s="1"/>
  <c r="BD269" i="8" s="1"/>
  <c r="BD7" i="8"/>
  <c r="BI206" i="94"/>
  <c r="BI324" i="94"/>
  <c r="BH190" i="112"/>
  <c r="BH106" i="112"/>
  <c r="BH39" i="112"/>
  <c r="BD169" i="8"/>
  <c r="BD143" i="8"/>
  <c r="BD189" i="8"/>
  <c r="BC55" i="8"/>
  <c r="BD479" i="94"/>
  <c r="BC45" i="8"/>
  <c r="BC65" i="8"/>
  <c r="BE142" i="112"/>
  <c r="BE143" i="112"/>
  <c r="BE10" i="112"/>
  <c r="BE11" i="112"/>
  <c r="BI12" i="112" s="1"/>
  <c r="BD15" i="4"/>
  <c r="BE148" i="2"/>
  <c r="BE151" i="2" s="1"/>
  <c r="BE77" i="112"/>
  <c r="BE151" i="112"/>
  <c r="BE137" i="8" s="1"/>
  <c r="BE152" i="112"/>
  <c r="BE234" i="112"/>
  <c r="BE233" i="112"/>
  <c r="BE148" i="112"/>
  <c r="BE147" i="112"/>
  <c r="BE132" i="8" s="1"/>
  <c r="BE229" i="112"/>
  <c r="BE33" i="2" s="1"/>
  <c r="BE230" i="112"/>
  <c r="BE20" i="112"/>
  <c r="BE19" i="112"/>
  <c r="BE115" i="8" s="1"/>
  <c r="BE86" i="112"/>
  <c r="BE126" i="8" s="1"/>
  <c r="BE87" i="112"/>
  <c r="BD97" i="2"/>
  <c r="BE92" i="2"/>
  <c r="BE93" i="2" s="1"/>
  <c r="BE94" i="2" s="1"/>
  <c r="BE15" i="112"/>
  <c r="BE110" i="8" s="1"/>
  <c r="BE16" i="112"/>
  <c r="BE82" i="112"/>
  <c r="BE121" i="8" s="1"/>
  <c r="BE83" i="112"/>
  <c r="BD22" i="8"/>
  <c r="BE101" i="112"/>
  <c r="BI113" i="112" s="1"/>
  <c r="BD43" i="8"/>
  <c r="BD54" i="8"/>
  <c r="BD64" i="8"/>
  <c r="BD172" i="8"/>
  <c r="BD57" i="2"/>
  <c r="BD130" i="8"/>
  <c r="BD8" i="4"/>
  <c r="BD126" i="2"/>
  <c r="BD163" i="2"/>
  <c r="BD9" i="4"/>
  <c r="BD7" i="4"/>
  <c r="BD49" i="8"/>
  <c r="BD184" i="112"/>
  <c r="BD78" i="4"/>
  <c r="BD141" i="8"/>
  <c r="BD231" i="8"/>
  <c r="BD164" i="112"/>
  <c r="BD161" i="112"/>
  <c r="BD60" i="4"/>
  <c r="BD78" i="8"/>
  <c r="BD321" i="8"/>
  <c r="BD163" i="112"/>
  <c r="BD186" i="112"/>
  <c r="BD164" i="2"/>
  <c r="BD142" i="2"/>
  <c r="BD119" i="8"/>
  <c r="BD18" i="8"/>
  <c r="BD99" i="4"/>
  <c r="BD108" i="8"/>
  <c r="BD125" i="2"/>
  <c r="BD37" i="4"/>
  <c r="BD38" i="8"/>
  <c r="BD63" i="8"/>
  <c r="BC37" i="8"/>
  <c r="BD53" i="8"/>
  <c r="BC11" i="8"/>
  <c r="BD21" i="8"/>
  <c r="BC38" i="8"/>
  <c r="BD48" i="8"/>
  <c r="BC13" i="8"/>
  <c r="BD17" i="8"/>
  <c r="BD34" i="8"/>
  <c r="BD70" i="8"/>
  <c r="BD23" i="8"/>
  <c r="BD65" i="8"/>
  <c r="BD47" i="112"/>
  <c r="BD33" i="8"/>
  <c r="BC44" i="8"/>
  <c r="BC48" i="8"/>
  <c r="BD185" i="112"/>
  <c r="BC43" i="8"/>
  <c r="BD13" i="8"/>
  <c r="BD29" i="8"/>
  <c r="BD39" i="8"/>
  <c r="BC49" i="8"/>
  <c r="BD60" i="8"/>
  <c r="BD12" i="8"/>
  <c r="BD55" i="8"/>
  <c r="BD28" i="8"/>
  <c r="BD45" i="8"/>
  <c r="BD59" i="8"/>
  <c r="BD44" i="8"/>
  <c r="BD69" i="8"/>
  <c r="BC68" i="8"/>
  <c r="BC69" i="8"/>
  <c r="BC63" i="8"/>
  <c r="BC64" i="8"/>
  <c r="BC58" i="8"/>
  <c r="BC59" i="8"/>
  <c r="BC53" i="8"/>
  <c r="BC54" i="8"/>
  <c r="BC16" i="8"/>
  <c r="BC17" i="8"/>
  <c r="BC27" i="8"/>
  <c r="BC28" i="8"/>
  <c r="BD98" i="2"/>
  <c r="BD162" i="112"/>
  <c r="BD165" i="112"/>
  <c r="BB9" i="112"/>
  <c r="BC3" i="112"/>
  <c r="BE476" i="94"/>
  <c r="BE463" i="94"/>
  <c r="BE462" i="94"/>
  <c r="BE432" i="94"/>
  <c r="BE419" i="94"/>
  <c r="BE420" i="94"/>
  <c r="BE421" i="94"/>
  <c r="BE422" i="94"/>
  <c r="BE404" i="94"/>
  <c r="BE280" i="94"/>
  <c r="BE281" i="94"/>
  <c r="BE283" i="94"/>
  <c r="BE290" i="94"/>
  <c r="BE312" i="94"/>
  <c r="BE313" i="94"/>
  <c r="BE314" i="94"/>
  <c r="BE437" i="94" s="1"/>
  <c r="BE315" i="94"/>
  <c r="BE316" i="94"/>
  <c r="BE317" i="94"/>
  <c r="BE318" i="94"/>
  <c r="BE319" i="94"/>
  <c r="BE320" i="94"/>
  <c r="BE321" i="94"/>
  <c r="BE322" i="94"/>
  <c r="BE323" i="94"/>
  <c r="BE324" i="94"/>
  <c r="BE325" i="94"/>
  <c r="BE440" i="94" s="1"/>
  <c r="BE228" i="94"/>
  <c r="BE230" i="94"/>
  <c r="BE231" i="94"/>
  <c r="BE233" i="94"/>
  <c r="BE235" i="94"/>
  <c r="BE236" i="94"/>
  <c r="BE237" i="94"/>
  <c r="BE238" i="94"/>
  <c r="BE247" i="94"/>
  <c r="BE248" i="94"/>
  <c r="BE249" i="94"/>
  <c r="BE250" i="94"/>
  <c r="BE251" i="94"/>
  <c r="BE252" i="94"/>
  <c r="BE253" i="94"/>
  <c r="BE254" i="94"/>
  <c r="BE255" i="94"/>
  <c r="BE206" i="94"/>
  <c r="BE193" i="94"/>
  <c r="BE180" i="94"/>
  <c r="BE277" i="94"/>
  <c r="BE162" i="94"/>
  <c r="BE285" i="94" s="1"/>
  <c r="BE158" i="94"/>
  <c r="BE278" i="94" s="1"/>
  <c r="BE159" i="94"/>
  <c r="BE279" i="94" s="1"/>
  <c r="BE160" i="94"/>
  <c r="BE282" i="94" s="1"/>
  <c r="BE161" i="94"/>
  <c r="BE284" i="94" s="1"/>
  <c r="BE163" i="94"/>
  <c r="BE286" i="94" s="1"/>
  <c r="BE164" i="94"/>
  <c r="BE287" i="94" s="1"/>
  <c r="BE165" i="94"/>
  <c r="BE288" i="94" s="1"/>
  <c r="BE166" i="94"/>
  <c r="BE289" i="94" s="1"/>
  <c r="BE113" i="94"/>
  <c r="BE106" i="94"/>
  <c r="BE246" i="94" s="1"/>
  <c r="BE105" i="94"/>
  <c r="BE245" i="94" s="1"/>
  <c r="BE104" i="94"/>
  <c r="BE244" i="94" s="1"/>
  <c r="BE103" i="94"/>
  <c r="BE124" i="94" s="1"/>
  <c r="BE100" i="94"/>
  <c r="BE239" i="94" s="1"/>
  <c r="BE95" i="94"/>
  <c r="BE234" i="94" s="1"/>
  <c r="BE94" i="94"/>
  <c r="BE232" i="94" s="1"/>
  <c r="BE93" i="94"/>
  <c r="BE229" i="94" s="1"/>
  <c r="BE91" i="94"/>
  <c r="BE227" i="94" s="1"/>
  <c r="BE90" i="94"/>
  <c r="BE87" i="94"/>
  <c r="BE81" i="94"/>
  <c r="BE80" i="94"/>
  <c r="BE79" i="94"/>
  <c r="BE78" i="94"/>
  <c r="BE77" i="94"/>
  <c r="BE74" i="94"/>
  <c r="BD64" i="94"/>
  <c r="BE64" i="94"/>
  <c r="BE63" i="94"/>
  <c r="BE39" i="94"/>
  <c r="BE43" i="94" s="1"/>
  <c r="BE38" i="94"/>
  <c r="BE27" i="94"/>
  <c r="BE15" i="94"/>
  <c r="BE14" i="94"/>
  <c r="BC55" i="59"/>
  <c r="BD55" i="59" s="1"/>
  <c r="BD50" i="59"/>
  <c r="BD43" i="59"/>
  <c r="BD36" i="59"/>
  <c r="BD90" i="4" s="1"/>
  <c r="BD32" i="59"/>
  <c r="BD13" i="59"/>
  <c r="BD18" i="59" s="1"/>
  <c r="BD9" i="59"/>
  <c r="BD83" i="58"/>
  <c r="BD45" i="112"/>
  <c r="BD147" i="8" s="1"/>
  <c r="BE67" i="58"/>
  <c r="BE31" i="58"/>
  <c r="BD33" i="4" s="1"/>
  <c r="BE13" i="58"/>
  <c r="BI79" i="112" l="1"/>
  <c r="BD31" i="4"/>
  <c r="BD11" i="4"/>
  <c r="BD29" i="4"/>
  <c r="BD30" i="4"/>
  <c r="BE157" i="2"/>
  <c r="BE139" i="2"/>
  <c r="BD91" i="4"/>
  <c r="BI144" i="112"/>
  <c r="BI438" i="94"/>
  <c r="BI359" i="94"/>
  <c r="BI395" i="94" s="1"/>
  <c r="BI396" i="94"/>
  <c r="BI326" i="94"/>
  <c r="X14" i="46"/>
  <c r="X13" i="46"/>
  <c r="BE111" i="8"/>
  <c r="BE112" i="8"/>
  <c r="BE127" i="8"/>
  <c r="BE128" i="8"/>
  <c r="BE138" i="8"/>
  <c r="BE139" i="8"/>
  <c r="BE122" i="8"/>
  <c r="BE123" i="8"/>
  <c r="BE116" i="8"/>
  <c r="BE117" i="8"/>
  <c r="BE133" i="8"/>
  <c r="BE134" i="8"/>
  <c r="BE153" i="2"/>
  <c r="BE145" i="2"/>
  <c r="BE119" i="112"/>
  <c r="BI120" i="112" s="1"/>
  <c r="BE203" i="112"/>
  <c r="BI204" i="112" s="1"/>
  <c r="BD45" i="59"/>
  <c r="BD71" i="4"/>
  <c r="BB108" i="8"/>
  <c r="BE214" i="94"/>
  <c r="BE370" i="94" s="1"/>
  <c r="BE220" i="94"/>
  <c r="BE376" i="94" s="1"/>
  <c r="BE213" i="94"/>
  <c r="BE369" i="94" s="1"/>
  <c r="BE360" i="94"/>
  <c r="BE469" i="94"/>
  <c r="BE219" i="94"/>
  <c r="BE375" i="94" s="1"/>
  <c r="BE19" i="58"/>
  <c r="BE22" i="58" s="1"/>
  <c r="BE218" i="94"/>
  <c r="BE374" i="94" s="1"/>
  <c r="BE117" i="94"/>
  <c r="BE210" i="94"/>
  <c r="BE366" i="94" s="1"/>
  <c r="BE122" i="94"/>
  <c r="BE121" i="94"/>
  <c r="BD37" i="59"/>
  <c r="BE120" i="94"/>
  <c r="BE217" i="94"/>
  <c r="BE373" i="94" s="1"/>
  <c r="BE256" i="94"/>
  <c r="BE222" i="94" s="1"/>
  <c r="BE378" i="94" s="1"/>
  <c r="BD165" i="2"/>
  <c r="BD162" i="2" s="1"/>
  <c r="BE123" i="94"/>
  <c r="BE211" i="94"/>
  <c r="BE367" i="94" s="1"/>
  <c r="BE212" i="94"/>
  <c r="BE368" i="94" s="1"/>
  <c r="BE45" i="94"/>
  <c r="BE44" i="94"/>
  <c r="BE126" i="94"/>
  <c r="BD225" i="112"/>
  <c r="BE48" i="94"/>
  <c r="BE125" i="94"/>
  <c r="BE119" i="94"/>
  <c r="BE47" i="94"/>
  <c r="BE118" i="94"/>
  <c r="BE216" i="94"/>
  <c r="BE372" i="94" s="1"/>
  <c r="BE46" i="94"/>
  <c r="BE240" i="94"/>
  <c r="BE50" i="94"/>
  <c r="BE221" i="94"/>
  <c r="BE377" i="94" s="1"/>
  <c r="BE49" i="94"/>
  <c r="BD10" i="59"/>
  <c r="BE406" i="94"/>
  <c r="BD183" i="112"/>
  <c r="BE357" i="94"/>
  <c r="BE356" i="94"/>
  <c r="BE354" i="94"/>
  <c r="BE358" i="94"/>
  <c r="BE355" i="94"/>
  <c r="BE352" i="94"/>
  <c r="BE438" i="94"/>
  <c r="BE455" i="94" s="1"/>
  <c r="BE454" i="94"/>
  <c r="BE326" i="94"/>
  <c r="BE343" i="94" s="1"/>
  <c r="BE349" i="94"/>
  <c r="BE439" i="94"/>
  <c r="BE456" i="94" s="1"/>
  <c r="BE457" i="94"/>
  <c r="BE350" i="94"/>
  <c r="BE436" i="94"/>
  <c r="BE453" i="94" s="1"/>
  <c r="BE359" i="94"/>
  <c r="BE353" i="94"/>
  <c r="BE351" i="94"/>
  <c r="BE348" i="94"/>
  <c r="BE423" i="94"/>
  <c r="BE347" i="94"/>
  <c r="BE291" i="94"/>
  <c r="BE215" i="94"/>
  <c r="BE167" i="94"/>
  <c r="BH13" i="4" l="1"/>
  <c r="BD18" i="4"/>
  <c r="BD20" i="4"/>
  <c r="BD51" i="4" s="1"/>
  <c r="BD72" i="4"/>
  <c r="BD79" i="4" s="1"/>
  <c r="BE226" i="112"/>
  <c r="BD12" i="4"/>
  <c r="BE38" i="58"/>
  <c r="BE40" i="58" s="1"/>
  <c r="BD19" i="59"/>
  <c r="BI342" i="94"/>
  <c r="BI333" i="94"/>
  <c r="BI341" i="94"/>
  <c r="BI336" i="94"/>
  <c r="BI335" i="94"/>
  <c r="BI338" i="94"/>
  <c r="BI340" i="94"/>
  <c r="BI361" i="94"/>
  <c r="BI343" i="94"/>
  <c r="BI339" i="94"/>
  <c r="BI330" i="94"/>
  <c r="BI332" i="94"/>
  <c r="BI334" i="94"/>
  <c r="BI331" i="94"/>
  <c r="BI337" i="94"/>
  <c r="BI455" i="94"/>
  <c r="BI441" i="94"/>
  <c r="X12" i="46"/>
  <c r="BE412" i="94"/>
  <c r="BD116" i="2"/>
  <c r="BD100" i="4"/>
  <c r="BG101" i="112"/>
  <c r="BK113" i="112" s="1"/>
  <c r="BK111" i="112" s="1"/>
  <c r="BE174" i="112"/>
  <c r="BI175" i="112" s="1"/>
  <c r="BI204" i="8" s="1"/>
  <c r="BE192" i="112"/>
  <c r="BI193" i="112" s="1"/>
  <c r="BI197" i="112" s="1"/>
  <c r="BE108" i="112"/>
  <c r="BI109" i="112" s="1"/>
  <c r="BD46" i="59"/>
  <c r="BE391" i="94"/>
  <c r="BE383" i="94"/>
  <c r="BE386" i="94"/>
  <c r="BE395" i="94"/>
  <c r="BE257" i="94"/>
  <c r="BE127" i="94"/>
  <c r="BE223" i="94"/>
  <c r="BE379" i="94" s="1"/>
  <c r="BE396" i="94" s="1"/>
  <c r="BE387" i="94"/>
  <c r="BE393" i="94"/>
  <c r="BE410" i="94"/>
  <c r="BE414" i="94"/>
  <c r="BE411" i="94"/>
  <c r="BE413" i="94"/>
  <c r="BE51" i="94"/>
  <c r="BE384" i="94"/>
  <c r="BE390" i="94"/>
  <c r="BE389" i="94"/>
  <c r="BE371" i="94"/>
  <c r="BE388" i="94" s="1"/>
  <c r="BC32" i="8"/>
  <c r="BD101" i="112"/>
  <c r="BE331" i="94"/>
  <c r="BE339" i="94"/>
  <c r="BE337" i="94"/>
  <c r="BE392" i="94"/>
  <c r="BE394" i="94"/>
  <c r="BE334" i="94"/>
  <c r="BE336" i="94"/>
  <c r="BE341" i="94"/>
  <c r="BE340" i="94"/>
  <c r="BE335" i="94"/>
  <c r="BE342" i="94"/>
  <c r="BE338" i="94"/>
  <c r="BE332" i="94"/>
  <c r="BE385" i="94"/>
  <c r="BE333" i="94"/>
  <c r="BE330" i="94"/>
  <c r="BE441" i="94"/>
  <c r="BE458" i="94" s="1"/>
  <c r="BE361" i="94"/>
  <c r="BC21" i="8"/>
  <c r="BE295" i="94"/>
  <c r="BE299" i="94"/>
  <c r="BE303" i="94"/>
  <c r="BE307" i="94"/>
  <c r="BE296" i="94"/>
  <c r="BE300" i="94"/>
  <c r="BE304" i="94"/>
  <c r="BE308" i="94"/>
  <c r="BE298" i="94"/>
  <c r="BE306" i="94"/>
  <c r="BE297" i="94"/>
  <c r="BE301" i="94"/>
  <c r="BE305" i="94"/>
  <c r="BE302" i="94"/>
  <c r="BC34" i="8"/>
  <c r="BC33" i="8"/>
  <c r="BC23" i="8"/>
  <c r="BC22" i="8"/>
  <c r="BK116" i="112" l="1"/>
  <c r="BK117" i="112" s="1"/>
  <c r="BK253" i="112"/>
  <c r="BD21" i="4"/>
  <c r="BD49" i="4"/>
  <c r="BD62" i="2" s="1"/>
  <c r="BE33" i="58"/>
  <c r="BE34" i="58" s="1"/>
  <c r="BD22" i="4" s="1"/>
  <c r="BD19" i="4"/>
  <c r="BD34" i="4"/>
  <c r="BD36" i="4" s="1"/>
  <c r="BD62" i="4"/>
  <c r="BI449" i="94"/>
  <c r="BI448" i="94"/>
  <c r="BI445" i="94"/>
  <c r="BI458" i="94"/>
  <c r="BI446" i="94"/>
  <c r="BI344" i="94"/>
  <c r="BI447" i="94"/>
  <c r="BH113" i="112"/>
  <c r="BI206" i="8"/>
  <c r="BI205" i="8"/>
  <c r="BG94" i="112"/>
  <c r="BK95" i="112" s="1"/>
  <c r="BE170" i="112"/>
  <c r="BE268" i="94"/>
  <c r="BE270" i="94"/>
  <c r="BE263" i="94"/>
  <c r="BE264" i="94"/>
  <c r="BE272" i="94"/>
  <c r="BE262" i="94"/>
  <c r="BE266" i="94"/>
  <c r="BE265" i="94"/>
  <c r="BE269" i="94"/>
  <c r="BE261" i="94"/>
  <c r="BE267" i="94"/>
  <c r="BE273" i="94"/>
  <c r="BE271" i="94"/>
  <c r="AG21" i="46"/>
  <c r="BE344" i="94"/>
  <c r="BE449" i="94"/>
  <c r="BE447" i="94"/>
  <c r="BE446" i="94"/>
  <c r="BE445" i="94"/>
  <c r="BE448" i="94"/>
  <c r="BE309" i="94"/>
  <c r="BC156" i="2"/>
  <c r="BC152" i="2"/>
  <c r="BD149" i="2" s="1"/>
  <c r="BC143" i="2"/>
  <c r="BC144" i="2"/>
  <c r="BC127" i="2"/>
  <c r="BC131" i="2"/>
  <c r="BC95" i="2"/>
  <c r="BD92" i="2" s="1"/>
  <c r="BD93" i="2" s="1"/>
  <c r="BD94" i="2" s="1"/>
  <c r="BC80" i="2"/>
  <c r="BC299" i="112"/>
  <c r="BC308" i="112"/>
  <c r="BC287" i="112"/>
  <c r="BC283" i="112"/>
  <c r="BC24" i="2" s="1"/>
  <c r="BC228" i="112"/>
  <c r="BC232" i="112"/>
  <c r="BC196" i="112"/>
  <c r="BC192" i="8" s="1"/>
  <c r="BC141" i="112"/>
  <c r="BC146" i="112"/>
  <c r="BC150" i="112"/>
  <c r="BC154" i="112"/>
  <c r="BC155" i="112"/>
  <c r="BC156" i="112"/>
  <c r="BC157" i="112"/>
  <c r="BC158" i="112"/>
  <c r="BC105" i="112"/>
  <c r="BC112" i="112"/>
  <c r="BC76" i="112"/>
  <c r="BC81" i="112"/>
  <c r="BC85" i="112"/>
  <c r="BC38" i="112"/>
  <c r="BC9" i="112"/>
  <c r="BC14" i="112"/>
  <c r="BC18" i="112"/>
  <c r="BC43" i="2"/>
  <c r="BC68" i="4"/>
  <c r="BC69" i="4"/>
  <c r="BC70" i="4"/>
  <c r="BC71" i="4"/>
  <c r="BC73" i="4"/>
  <c r="BC74" i="4"/>
  <c r="BC75" i="4"/>
  <c r="BC76" i="4"/>
  <c r="BC77" i="4"/>
  <c r="BC95" i="4"/>
  <c r="BC96" i="4"/>
  <c r="BC97" i="4"/>
  <c r="BC98" i="4"/>
  <c r="BC64" i="4"/>
  <c r="BC189" i="112" s="1"/>
  <c r="BC38" i="4"/>
  <c r="BC39" i="4"/>
  <c r="BC40" i="4"/>
  <c r="BC41" i="4"/>
  <c r="BC42" i="4"/>
  <c r="BC43" i="4"/>
  <c r="BC45" i="4"/>
  <c r="BC47" i="4"/>
  <c r="BC48" i="4"/>
  <c r="BC5" i="4"/>
  <c r="BC14" i="4"/>
  <c r="BC17" i="4"/>
  <c r="BC25" i="4"/>
  <c r="BC26" i="4"/>
  <c r="BC27" i="4"/>
  <c r="BC32" i="4"/>
  <c r="BG178" i="112"/>
  <c r="BK41" i="60"/>
  <c r="BK39" i="60"/>
  <c r="BK35" i="60"/>
  <c r="BC131" i="4" s="1"/>
  <c r="BK33" i="60"/>
  <c r="BC127" i="4" s="1"/>
  <c r="BK34" i="60"/>
  <c r="BC130" i="4" s="1"/>
  <c r="BK29" i="60"/>
  <c r="BK28" i="60"/>
  <c r="BK22" i="60"/>
  <c r="BC120" i="4" s="1"/>
  <c r="BK21" i="60"/>
  <c r="BC119" i="4" s="1"/>
  <c r="BK17" i="60"/>
  <c r="BC115" i="4" s="1"/>
  <c r="BK15" i="60"/>
  <c r="BC113" i="4" s="1"/>
  <c r="BK14" i="60"/>
  <c r="BC112" i="4" s="1"/>
  <c r="BK13" i="60"/>
  <c r="BC111" i="4" s="1"/>
  <c r="BK9" i="60"/>
  <c r="BC108" i="4" s="1"/>
  <c r="BK10" i="60"/>
  <c r="BK11" i="60"/>
  <c r="BK8" i="60"/>
  <c r="BC107" i="4" s="1"/>
  <c r="BK5" i="60"/>
  <c r="BK255" i="112" l="1"/>
  <c r="BK257" i="112"/>
  <c r="BK258" i="112" s="1"/>
  <c r="BG190" i="112"/>
  <c r="BC216" i="112"/>
  <c r="BG106" i="112"/>
  <c r="BC132" i="112"/>
  <c r="BG39" i="112"/>
  <c r="BC67" i="112"/>
  <c r="BD53" i="4"/>
  <c r="BD54" i="4" s="1"/>
  <c r="BD23" i="4"/>
  <c r="BD28" i="4" s="1"/>
  <c r="BD44" i="4"/>
  <c r="BD105" i="4"/>
  <c r="BH35" i="4"/>
  <c r="BD137" i="4"/>
  <c r="BC207" i="112"/>
  <c r="BC130" i="2"/>
  <c r="BC132" i="2" s="1"/>
  <c r="BC123" i="112"/>
  <c r="BC58" i="112"/>
  <c r="BC311" i="112"/>
  <c r="BC123" i="4"/>
  <c r="BC128" i="4"/>
  <c r="BC132" i="4" s="1"/>
  <c r="BC138" i="4"/>
  <c r="BC63" i="2"/>
  <c r="BC78" i="2" s="1"/>
  <c r="BI450" i="94"/>
  <c r="BI195" i="112"/>
  <c r="BI171" i="112"/>
  <c r="BC116" i="2"/>
  <c r="BD111" i="2" s="1"/>
  <c r="BC245" i="112"/>
  <c r="BG6" i="4"/>
  <c r="BC189" i="8"/>
  <c r="BG190" i="8" s="1"/>
  <c r="BC169" i="8"/>
  <c r="BG170" i="8" s="1"/>
  <c r="BC143" i="8"/>
  <c r="BG144" i="8" s="1"/>
  <c r="BF181" i="112"/>
  <c r="BF178" i="112"/>
  <c r="BF179" i="112"/>
  <c r="BF180" i="112"/>
  <c r="BS54" i="8"/>
  <c r="BT54" i="8"/>
  <c r="BU54" i="8"/>
  <c r="BD143" i="112"/>
  <c r="BH144" i="112" s="1"/>
  <c r="BD78" i="112"/>
  <c r="BH79" i="112" s="1"/>
  <c r="BD11" i="112"/>
  <c r="BH12" i="112" s="1"/>
  <c r="BC11" i="112"/>
  <c r="BG12" i="112" s="1"/>
  <c r="BD148" i="2"/>
  <c r="BD151" i="2" s="1"/>
  <c r="BL8" i="60"/>
  <c r="BL13" i="60"/>
  <c r="BD111" i="4" s="1"/>
  <c r="BL21" i="60"/>
  <c r="BL34" i="60"/>
  <c r="BD130" i="4" s="1"/>
  <c r="BE178" i="112"/>
  <c r="BE180" i="112"/>
  <c r="BL11" i="60"/>
  <c r="BM11" i="60" s="1"/>
  <c r="BL14" i="60"/>
  <c r="BD112" i="4" s="1"/>
  <c r="BL22" i="60"/>
  <c r="BD120" i="4" s="1"/>
  <c r="BL10" i="60"/>
  <c r="BL15" i="60"/>
  <c r="BD113" i="4" s="1"/>
  <c r="BL28" i="60"/>
  <c r="BL35" i="60"/>
  <c r="BD131" i="4" s="1"/>
  <c r="BL5" i="60"/>
  <c r="BM5" i="60" s="1"/>
  <c r="BL9" i="60"/>
  <c r="BD108" i="4" s="1"/>
  <c r="BL17" i="60"/>
  <c r="BD115" i="4" s="1"/>
  <c r="BL29" i="60"/>
  <c r="BM29" i="60" s="1"/>
  <c r="BL39" i="60"/>
  <c r="BM39" i="60" s="1"/>
  <c r="BE181" i="112"/>
  <c r="BE179" i="112"/>
  <c r="BC101" i="112"/>
  <c r="BG113" i="112" s="1"/>
  <c r="BC172" i="8"/>
  <c r="BL41" i="60"/>
  <c r="BL33" i="60"/>
  <c r="BD127" i="4" s="1"/>
  <c r="BC6" i="2"/>
  <c r="BC48" i="2"/>
  <c r="BC41" i="2"/>
  <c r="BC15" i="2"/>
  <c r="BC16" i="2" s="1"/>
  <c r="BC264" i="8" s="1"/>
  <c r="BC265" i="8" s="1"/>
  <c r="BC11" i="2"/>
  <c r="BC8" i="2"/>
  <c r="BC65" i="2"/>
  <c r="BC70" i="2" s="1"/>
  <c r="BC142" i="2"/>
  <c r="BD139" i="2" s="1"/>
  <c r="BE274" i="94"/>
  <c r="BC99" i="4"/>
  <c r="BE450" i="94"/>
  <c r="BK25" i="60"/>
  <c r="BK36" i="60"/>
  <c r="BD83" i="112"/>
  <c r="BD82" i="112"/>
  <c r="BD121" i="8" s="1"/>
  <c r="BC165" i="112"/>
  <c r="BD147" i="112"/>
  <c r="BD132" i="8" s="1"/>
  <c r="BD148" i="112"/>
  <c r="BD229" i="112"/>
  <c r="BD33" i="2" s="1"/>
  <c r="BD230" i="112"/>
  <c r="BC98" i="2"/>
  <c r="BC72" i="4"/>
  <c r="BC64" i="2"/>
  <c r="BC82" i="2" s="1"/>
  <c r="BC119" i="8"/>
  <c r="BD77" i="112"/>
  <c r="BC130" i="8"/>
  <c r="BD142" i="112"/>
  <c r="BC163" i="112"/>
  <c r="BC78" i="4"/>
  <c r="BD20" i="112"/>
  <c r="BD19" i="112"/>
  <c r="BD115" i="8" s="1"/>
  <c r="BC101" i="2"/>
  <c r="BC37" i="4"/>
  <c r="BC49" i="2"/>
  <c r="BC50" i="2" s="1"/>
  <c r="BD16" i="112"/>
  <c r="BD15" i="112"/>
  <c r="BD110" i="8" s="1"/>
  <c r="BC108" i="8"/>
  <c r="BD10" i="112"/>
  <c r="BD87" i="112"/>
  <c r="BD86" i="112"/>
  <c r="BD126" i="8" s="1"/>
  <c r="BD152" i="112"/>
  <c r="BD151" i="112"/>
  <c r="BD137" i="8" s="1"/>
  <c r="BD234" i="112"/>
  <c r="BD233" i="112"/>
  <c r="BC108" i="2"/>
  <c r="BD105" i="2" s="1"/>
  <c r="BD180" i="112"/>
  <c r="BD178" i="112"/>
  <c r="BD179" i="112"/>
  <c r="BD181" i="112"/>
  <c r="BC161" i="112"/>
  <c r="BC97" i="2"/>
  <c r="BC164" i="112"/>
  <c r="BC162" i="112"/>
  <c r="BK6" i="60"/>
  <c r="BK12" i="60" s="1"/>
  <c r="BK18" i="60" s="1"/>
  <c r="BC66" i="59"/>
  <c r="BC64" i="59"/>
  <c r="BC150" i="2" s="1"/>
  <c r="BC148" i="2" s="1"/>
  <c r="BC50" i="59"/>
  <c r="BC43" i="59"/>
  <c r="BC37" i="59"/>
  <c r="BC32" i="59"/>
  <c r="BC13" i="59"/>
  <c r="BC18" i="59" s="1"/>
  <c r="BC10" i="59"/>
  <c r="BD476" i="94"/>
  <c r="BD462" i="94"/>
  <c r="BD463" i="94"/>
  <c r="BD432" i="94"/>
  <c r="BD418" i="94"/>
  <c r="BD419" i="94"/>
  <c r="BD420" i="94"/>
  <c r="BD421" i="94"/>
  <c r="BD422" i="94"/>
  <c r="BD404" i="94"/>
  <c r="BD247" i="94"/>
  <c r="BD248" i="94"/>
  <c r="BD249" i="94"/>
  <c r="BD250" i="94"/>
  <c r="BD251" i="94"/>
  <c r="BD252" i="94"/>
  <c r="BD253" i="94"/>
  <c r="BD254" i="94"/>
  <c r="BD255" i="94"/>
  <c r="BD280" i="94"/>
  <c r="BD281" i="94"/>
  <c r="BD283" i="94"/>
  <c r="BD290" i="94"/>
  <c r="BD312" i="94"/>
  <c r="BD313" i="94"/>
  <c r="BD314" i="94"/>
  <c r="BD437" i="94" s="1"/>
  <c r="BD315" i="94"/>
  <c r="BD316" i="94"/>
  <c r="BD317" i="94"/>
  <c r="BD318" i="94"/>
  <c r="BD319" i="94"/>
  <c r="BD320" i="94"/>
  <c r="BD321" i="94"/>
  <c r="BD322" i="94"/>
  <c r="BD323" i="94"/>
  <c r="BD325" i="94"/>
  <c r="BD440" i="94" s="1"/>
  <c r="BD228" i="94"/>
  <c r="BD229" i="94"/>
  <c r="BD230" i="94"/>
  <c r="BD231" i="94"/>
  <c r="BD232" i="94"/>
  <c r="BD233" i="94"/>
  <c r="BD234" i="94"/>
  <c r="BD235" i="94"/>
  <c r="BD236" i="94"/>
  <c r="BD237" i="94"/>
  <c r="BD238" i="94"/>
  <c r="BD205" i="94"/>
  <c r="BD193" i="94"/>
  <c r="BD179" i="94"/>
  <c r="BD157" i="94"/>
  <c r="BD158" i="94"/>
  <c r="BD278" i="94" s="1"/>
  <c r="BD159" i="94"/>
  <c r="BD279" i="94" s="1"/>
  <c r="BD160" i="94"/>
  <c r="BD282" i="94" s="1"/>
  <c r="BD161" i="94"/>
  <c r="BD284" i="94" s="1"/>
  <c r="BD162" i="94"/>
  <c r="BD285" i="94" s="1"/>
  <c r="BD163" i="94"/>
  <c r="BD286" i="94" s="1"/>
  <c r="BD164" i="94"/>
  <c r="BD287" i="94" s="1"/>
  <c r="BD165" i="94"/>
  <c r="BD288" i="94" s="1"/>
  <c r="BD154" i="94"/>
  <c r="BD140" i="94"/>
  <c r="BD141" i="94" s="1"/>
  <c r="BD113" i="94"/>
  <c r="BD106" i="94"/>
  <c r="BD105" i="94"/>
  <c r="BD245" i="94" s="1"/>
  <c r="BD104" i="94"/>
  <c r="BD244" i="94" s="1"/>
  <c r="BD103" i="94"/>
  <c r="BD125" i="94" s="1"/>
  <c r="BD100" i="94"/>
  <c r="BD239" i="94" s="1"/>
  <c r="BD91" i="94"/>
  <c r="BD227" i="94" s="1"/>
  <c r="BD90" i="94"/>
  <c r="BD87" i="94"/>
  <c r="BD80" i="94"/>
  <c r="BD79" i="94"/>
  <c r="BD78" i="94"/>
  <c r="BD77" i="94"/>
  <c r="BD73" i="94"/>
  <c r="BD74" i="94" s="1"/>
  <c r="BC64" i="94"/>
  <c r="BD62" i="94"/>
  <c r="BD63" i="94" s="1"/>
  <c r="BD38" i="94"/>
  <c r="BD39" i="94"/>
  <c r="BD46" i="94" s="1"/>
  <c r="BD27" i="94"/>
  <c r="BD14" i="94"/>
  <c r="BD15" i="94"/>
  <c r="BD115" i="58"/>
  <c r="BD104" i="58"/>
  <c r="BD82" i="58"/>
  <c r="BC45" i="112" s="1"/>
  <c r="BC147" i="8" s="1"/>
  <c r="BD67" i="58"/>
  <c r="BD35" i="58"/>
  <c r="BD31" i="58"/>
  <c r="BC33" i="4" s="1"/>
  <c r="BD13" i="58"/>
  <c r="BD8" i="58"/>
  <c r="BD6" i="58"/>
  <c r="N4" i="27"/>
  <c r="N36" i="27" s="1"/>
  <c r="BD138" i="4" l="1"/>
  <c r="BC269" i="112"/>
  <c r="BG246" i="112"/>
  <c r="BC278" i="112"/>
  <c r="BC209" i="112"/>
  <c r="BG210" i="112" s="1"/>
  <c r="BC212" i="112"/>
  <c r="BC213" i="112" s="1"/>
  <c r="BG217" i="112"/>
  <c r="BD314" i="112"/>
  <c r="BG133" i="112"/>
  <c r="BC238" i="8"/>
  <c r="BC128" i="112"/>
  <c r="BC129" i="112" s="1"/>
  <c r="BD46" i="4"/>
  <c r="BC232" i="8"/>
  <c r="BC63" i="112"/>
  <c r="BC64" i="112" s="1"/>
  <c r="BC244" i="8"/>
  <c r="BD317" i="112"/>
  <c r="BG68" i="112"/>
  <c r="BC60" i="112"/>
  <c r="BG61" i="112" s="1"/>
  <c r="BC125" i="112"/>
  <c r="BC239" i="8" s="1"/>
  <c r="BC240" i="8" s="1"/>
  <c r="BC67" i="2"/>
  <c r="BD61" i="2" s="1"/>
  <c r="BD109" i="4"/>
  <c r="BM28" i="60"/>
  <c r="BE128" i="4" s="1"/>
  <c r="BD128" i="4"/>
  <c r="BD132" i="4" s="1"/>
  <c r="BM21" i="60"/>
  <c r="BE119" i="4" s="1"/>
  <c r="BD119" i="4"/>
  <c r="BM8" i="60"/>
  <c r="BE107" i="4" s="1"/>
  <c r="BD107" i="4"/>
  <c r="BM41" i="60"/>
  <c r="BM10" i="60"/>
  <c r="BE109" i="4" s="1"/>
  <c r="BC38" i="2"/>
  <c r="BC39" i="2" s="1"/>
  <c r="BC20" i="2"/>
  <c r="BC21" i="2"/>
  <c r="BC7" i="2"/>
  <c r="BC254" i="8" s="1"/>
  <c r="BC257" i="8" s="1"/>
  <c r="BD206" i="94"/>
  <c r="BH205" i="94"/>
  <c r="BL205" i="94" s="1"/>
  <c r="BD180" i="94"/>
  <c r="BH179" i="94"/>
  <c r="BI193" i="8"/>
  <c r="BI194" i="8"/>
  <c r="BI200" i="112"/>
  <c r="BI201" i="112" s="1"/>
  <c r="BI198" i="8" s="1"/>
  <c r="BI198" i="112"/>
  <c r="BC288" i="112"/>
  <c r="BC309" i="112"/>
  <c r="BC267" i="112"/>
  <c r="BC300" i="112"/>
  <c r="BC224" i="8" s="1"/>
  <c r="BC12" i="2"/>
  <c r="BC284" i="112"/>
  <c r="BC285" i="112" s="1"/>
  <c r="BC209" i="8" s="1"/>
  <c r="BC296" i="112"/>
  <c r="BC302" i="112" s="1"/>
  <c r="BC303" i="112" s="1"/>
  <c r="BF177" i="112"/>
  <c r="BC17" i="2"/>
  <c r="BC266" i="8"/>
  <c r="BE177" i="112"/>
  <c r="BM14" i="60"/>
  <c r="BE112" i="4" s="1"/>
  <c r="BL25" i="60"/>
  <c r="BL6" i="60"/>
  <c r="BL12" i="60" s="1"/>
  <c r="BL18" i="60" s="1"/>
  <c r="BM35" i="60"/>
  <c r="BE131" i="4" s="1"/>
  <c r="BM9" i="60"/>
  <c r="BE108" i="4" s="1"/>
  <c r="BM15" i="60"/>
  <c r="BE113" i="4" s="1"/>
  <c r="BL36" i="60"/>
  <c r="BM17" i="60"/>
  <c r="BE115" i="4" s="1"/>
  <c r="BM34" i="60"/>
  <c r="BE130" i="4" s="1"/>
  <c r="BM13" i="60"/>
  <c r="BE111" i="4" s="1"/>
  <c r="BE84" i="58"/>
  <c r="BF84" i="58" s="1"/>
  <c r="BM33" i="60"/>
  <c r="BE127" i="4" s="1"/>
  <c r="BM22" i="60"/>
  <c r="BE120" i="4" s="1"/>
  <c r="BC267" i="8"/>
  <c r="BC26" i="2"/>
  <c r="BC28" i="2" s="1"/>
  <c r="BD354" i="94"/>
  <c r="BC45" i="59"/>
  <c r="BD157" i="2"/>
  <c r="BC9" i="2"/>
  <c r="BC259" i="8" s="1"/>
  <c r="BC260" i="8" s="1"/>
  <c r="BC10" i="2"/>
  <c r="BK38" i="60"/>
  <c r="BD221" i="94"/>
  <c r="BD377" i="94" s="1"/>
  <c r="BD215" i="94"/>
  <c r="BD371" i="94" s="1"/>
  <c r="BC100" i="4"/>
  <c r="BD348" i="94"/>
  <c r="BD220" i="94"/>
  <c r="BD376" i="94" s="1"/>
  <c r="BD351" i="94"/>
  <c r="BD353" i="94"/>
  <c r="BD216" i="94"/>
  <c r="BD372" i="94" s="1"/>
  <c r="BC79" i="4"/>
  <c r="BD219" i="94"/>
  <c r="BD375" i="94" s="1"/>
  <c r="BD119" i="94"/>
  <c r="BD360" i="94"/>
  <c r="BD213" i="94"/>
  <c r="BD369" i="94" s="1"/>
  <c r="BD210" i="94"/>
  <c r="BD256" i="94"/>
  <c r="BD222" i="94" s="1"/>
  <c r="BD469" i="94"/>
  <c r="N60" i="27"/>
  <c r="BD12" i="58"/>
  <c r="BD45" i="94"/>
  <c r="BD50" i="94"/>
  <c r="BD43" i="94"/>
  <c r="BD48" i="94"/>
  <c r="BD166" i="94"/>
  <c r="BD289" i="94" s="1"/>
  <c r="BD436" i="94"/>
  <c r="BD453" i="94" s="1"/>
  <c r="BD214" i="94"/>
  <c r="BD370" i="94" s="1"/>
  <c r="BD44" i="94"/>
  <c r="BD49" i="94"/>
  <c r="BD47" i="94"/>
  <c r="BC165" i="2"/>
  <c r="BC19" i="59"/>
  <c r="BD119" i="112"/>
  <c r="BH120" i="112" s="1"/>
  <c r="BC119" i="2"/>
  <c r="BC120" i="2" s="1"/>
  <c r="BD124" i="94"/>
  <c r="BD118" i="94"/>
  <c r="BD324" i="94"/>
  <c r="BD326" i="94" s="1"/>
  <c r="BD333" i="94" s="1"/>
  <c r="BD153" i="2"/>
  <c r="BD145" i="2"/>
  <c r="BD122" i="8"/>
  <c r="BD123" i="8"/>
  <c r="BD123" i="94"/>
  <c r="BD117" i="94"/>
  <c r="BD139" i="8"/>
  <c r="BD138" i="8"/>
  <c r="BD126" i="94"/>
  <c r="BD122" i="94"/>
  <c r="BC225" i="112"/>
  <c r="BC247" i="112"/>
  <c r="BD203" i="112"/>
  <c r="BH204" i="112" s="1"/>
  <c r="BC42" i="2"/>
  <c r="BD121" i="94"/>
  <c r="BD246" i="94"/>
  <c r="BD406" i="94"/>
  <c r="BD128" i="8"/>
  <c r="BD127" i="8"/>
  <c r="BD133" i="8"/>
  <c r="BD134" i="8"/>
  <c r="BD120" i="94"/>
  <c r="BC151" i="2"/>
  <c r="BC57" i="2"/>
  <c r="BD66" i="59"/>
  <c r="BD141" i="2" s="1"/>
  <c r="BD159" i="2" s="1"/>
  <c r="BD160" i="2" s="1"/>
  <c r="BC141" i="2"/>
  <c r="BC109" i="2"/>
  <c r="BC117" i="2"/>
  <c r="BD111" i="8"/>
  <c r="BD112" i="8"/>
  <c r="BD116" i="8"/>
  <c r="BD117" i="8"/>
  <c r="BD177" i="112"/>
  <c r="BD357" i="94"/>
  <c r="BD277" i="94"/>
  <c r="BD352" i="94"/>
  <c r="BD358" i="94"/>
  <c r="BD454" i="94"/>
  <c r="BD457" i="94"/>
  <c r="BD439" i="94"/>
  <c r="BD456" i="94" s="1"/>
  <c r="BD423" i="94"/>
  <c r="BD218" i="94"/>
  <c r="BD374" i="94" s="1"/>
  <c r="BD356" i="94"/>
  <c r="BD350" i="94"/>
  <c r="BD217" i="94"/>
  <c r="BD373" i="94" s="1"/>
  <c r="BD211" i="94"/>
  <c r="BD367" i="94" s="1"/>
  <c r="BD355" i="94"/>
  <c r="BD349" i="94"/>
  <c r="BD240" i="94"/>
  <c r="BB283" i="112"/>
  <c r="BL324" i="94" l="1"/>
  <c r="BL206" i="94"/>
  <c r="BH180" i="94"/>
  <c r="BL179" i="94"/>
  <c r="BL180" i="94" s="1"/>
  <c r="BG272" i="112"/>
  <c r="BC245" i="8"/>
  <c r="BC246" i="8" s="1"/>
  <c r="BG279" i="112"/>
  <c r="BC270" i="112"/>
  <c r="BC274" i="112"/>
  <c r="BC275" i="112" s="1"/>
  <c r="BG126" i="112"/>
  <c r="BC233" i="8"/>
  <c r="BC234" i="8" s="1"/>
  <c r="BD123" i="4"/>
  <c r="BC159" i="2"/>
  <c r="BC160" i="2" s="1"/>
  <c r="BD19" i="58"/>
  <c r="BD22" i="58" s="1"/>
  <c r="BC46" i="59"/>
  <c r="BE132" i="4"/>
  <c r="BE123" i="4"/>
  <c r="BD116" i="4"/>
  <c r="BE116" i="4"/>
  <c r="BE138" i="4"/>
  <c r="W29" i="76" s="1"/>
  <c r="BE42" i="2"/>
  <c r="BE31" i="2" s="1"/>
  <c r="BC255" i="8"/>
  <c r="BC256" i="8"/>
  <c r="BB24" i="2"/>
  <c r="BH206" i="94"/>
  <c r="BH324" i="94"/>
  <c r="BD212" i="94"/>
  <c r="BD368" i="94" s="1"/>
  <c r="BD385" i="94" s="1"/>
  <c r="BI200" i="8"/>
  <c r="BI199" i="8"/>
  <c r="BC241" i="8"/>
  <c r="BC251" i="8"/>
  <c r="BC242" i="8"/>
  <c r="BC297" i="112"/>
  <c r="BL38" i="60"/>
  <c r="BM36" i="60"/>
  <c r="BM6" i="60"/>
  <c r="BM12" i="60" s="1"/>
  <c r="BM18" i="60" s="1"/>
  <c r="BE38" i="2"/>
  <c r="BE39" i="2" s="1"/>
  <c r="BE49" i="2"/>
  <c r="BM25" i="60"/>
  <c r="BE66" i="59"/>
  <c r="BE141" i="2" s="1"/>
  <c r="BD390" i="94"/>
  <c r="BC262" i="8"/>
  <c r="BC261" i="8"/>
  <c r="BD108" i="112"/>
  <c r="BH109" i="112" s="1"/>
  <c r="BD338" i="94"/>
  <c r="BD340" i="94"/>
  <c r="BD337" i="94"/>
  <c r="BD341" i="94"/>
  <c r="BD336" i="94"/>
  <c r="BD343" i="94"/>
  <c r="BD332" i="94"/>
  <c r="BD389" i="94"/>
  <c r="BD342" i="94"/>
  <c r="BD334" i="94"/>
  <c r="BD359" i="94"/>
  <c r="BD167" i="94"/>
  <c r="BD335" i="94"/>
  <c r="BD331" i="94"/>
  <c r="BD257" i="94"/>
  <c r="BD267" i="94" s="1"/>
  <c r="BD387" i="94"/>
  <c r="BD378" i="94"/>
  <c r="BD384" i="94"/>
  <c r="BD339" i="94"/>
  <c r="BD330" i="94"/>
  <c r="BD438" i="94"/>
  <c r="BD455" i="94" s="1"/>
  <c r="BD51" i="94"/>
  <c r="BD411" i="94"/>
  <c r="BD413" i="94"/>
  <c r="BD410" i="94"/>
  <c r="BD414" i="94"/>
  <c r="BD412" i="94"/>
  <c r="BD192" i="112"/>
  <c r="BH193" i="112" s="1"/>
  <c r="BH197" i="112" s="1"/>
  <c r="BD226" i="112"/>
  <c r="BC238" i="112"/>
  <c r="BG239" i="112" s="1"/>
  <c r="BD127" i="94"/>
  <c r="BD394" i="94"/>
  <c r="BD388" i="94"/>
  <c r="BD391" i="94"/>
  <c r="BD291" i="94"/>
  <c r="BD366" i="94"/>
  <c r="BD347" i="94"/>
  <c r="BD393" i="94"/>
  <c r="BC210" i="8"/>
  <c r="BC211" i="8"/>
  <c r="BC212" i="8"/>
  <c r="BD386" i="94"/>
  <c r="BD392" i="94"/>
  <c r="BL359" i="94" l="1"/>
  <c r="BL395" i="94" s="1"/>
  <c r="BL438" i="94"/>
  <c r="BL326" i="94"/>
  <c r="BL396" i="94"/>
  <c r="BC247" i="8"/>
  <c r="BC248" i="8"/>
  <c r="BG271" i="112"/>
  <c r="BC235" i="8"/>
  <c r="BC236" i="8"/>
  <c r="BD134" i="4"/>
  <c r="BD139" i="4" s="1"/>
  <c r="BD140" i="4" s="1"/>
  <c r="BE159" i="2"/>
  <c r="BE160" i="2" s="1"/>
  <c r="BD38" i="58"/>
  <c r="BD40" i="58" s="1"/>
  <c r="BE134" i="4"/>
  <c r="BE139" i="4" s="1"/>
  <c r="BE64" i="2"/>
  <c r="BE82" i="2" s="1"/>
  <c r="BH438" i="94"/>
  <c r="BH359" i="94"/>
  <c r="BH395" i="94" s="1"/>
  <c r="BH326" i="94"/>
  <c r="BH342" i="94" s="1"/>
  <c r="BH396" i="94"/>
  <c r="BD223" i="94"/>
  <c r="BD379" i="94" s="1"/>
  <c r="BD396" i="94" s="1"/>
  <c r="BM38" i="60"/>
  <c r="BE102" i="2"/>
  <c r="BE50" i="2"/>
  <c r="BD395" i="94"/>
  <c r="BD265" i="94"/>
  <c r="BD271" i="94"/>
  <c r="BD272" i="94"/>
  <c r="BD262" i="94"/>
  <c r="BD264" i="94"/>
  <c r="BD344" i="94"/>
  <c r="BD266" i="94"/>
  <c r="BD268" i="94"/>
  <c r="BD263" i="94"/>
  <c r="BD261" i="94"/>
  <c r="BD269" i="94"/>
  <c r="BD273" i="94"/>
  <c r="BD270" i="94"/>
  <c r="BD441" i="94"/>
  <c r="BD458" i="94" s="1"/>
  <c r="BD383" i="94"/>
  <c r="BD298" i="94"/>
  <c r="BD306" i="94"/>
  <c r="BD296" i="94"/>
  <c r="BD361" i="94"/>
  <c r="BD305" i="94"/>
  <c r="BD299" i="94"/>
  <c r="BD302" i="94"/>
  <c r="BD304" i="94"/>
  <c r="BD301" i="94"/>
  <c r="BD297" i="94"/>
  <c r="BD308" i="94"/>
  <c r="BD295" i="94"/>
  <c r="BD307" i="94"/>
  <c r="BD300" i="94"/>
  <c r="BD303" i="94"/>
  <c r="V203" i="11"/>
  <c r="BC312" i="94"/>
  <c r="BC313" i="94"/>
  <c r="BC314" i="94"/>
  <c r="BC315" i="94"/>
  <c r="BC316" i="94"/>
  <c r="BC317" i="94"/>
  <c r="BC439" i="94" s="1"/>
  <c r="BC318" i="94"/>
  <c r="BC319" i="94"/>
  <c r="BC320" i="94"/>
  <c r="BC321" i="94"/>
  <c r="BC322" i="94"/>
  <c r="BC323" i="94"/>
  <c r="BC324" i="94"/>
  <c r="BC325" i="94"/>
  <c r="BC440" i="94" s="1"/>
  <c r="BC280" i="94"/>
  <c r="BC281" i="94"/>
  <c r="BC283" i="94"/>
  <c r="BC290" i="94"/>
  <c r="BC206" i="94"/>
  <c r="BC193" i="94"/>
  <c r="BC180" i="94"/>
  <c r="BC157" i="94"/>
  <c r="BC277" i="94" s="1"/>
  <c r="BC158" i="94"/>
  <c r="BC278" i="94" s="1"/>
  <c r="BC159" i="94"/>
  <c r="BC279" i="94" s="1"/>
  <c r="BC160" i="94"/>
  <c r="BC282" i="94" s="1"/>
  <c r="BC161" i="94"/>
  <c r="BC284" i="94" s="1"/>
  <c r="BC162" i="94"/>
  <c r="BC285" i="94" s="1"/>
  <c r="BC163" i="94"/>
  <c r="BC286" i="94" s="1"/>
  <c r="BC164" i="94"/>
  <c r="BC287" i="94" s="1"/>
  <c r="BC165" i="94"/>
  <c r="BC288" i="94" s="1"/>
  <c r="BC166" i="94"/>
  <c r="BC289" i="94" s="1"/>
  <c r="BC154" i="94"/>
  <c r="BB312" i="94"/>
  <c r="BB313" i="94"/>
  <c r="BB314" i="94"/>
  <c r="BB437" i="94" s="1"/>
  <c r="BB315" i="94"/>
  <c r="BB316" i="94"/>
  <c r="BB317" i="94"/>
  <c r="BB318" i="94"/>
  <c r="BB319" i="94"/>
  <c r="BB320" i="94"/>
  <c r="BB321" i="94"/>
  <c r="BB322" i="94"/>
  <c r="BB323" i="94"/>
  <c r="BB324" i="94"/>
  <c r="BB325" i="94"/>
  <c r="BB440" i="94" s="1"/>
  <c r="BB280" i="94"/>
  <c r="BB281" i="94"/>
  <c r="BB283" i="94"/>
  <c r="BB290" i="94"/>
  <c r="BB206" i="94"/>
  <c r="BB193" i="94"/>
  <c r="BB180" i="94"/>
  <c r="BB157" i="94"/>
  <c r="BB277" i="94" s="1"/>
  <c r="BB158" i="94"/>
  <c r="BB278" i="94" s="1"/>
  <c r="BB159" i="94"/>
  <c r="BB279" i="94" s="1"/>
  <c r="BB160" i="94"/>
  <c r="BB282" i="94" s="1"/>
  <c r="BB161" i="94"/>
  <c r="BB284" i="94" s="1"/>
  <c r="BB162" i="94"/>
  <c r="BB285" i="94" s="1"/>
  <c r="BB163" i="94"/>
  <c r="BB286" i="94" s="1"/>
  <c r="BB164" i="94"/>
  <c r="BB287" i="94" s="1"/>
  <c r="BB165" i="94"/>
  <c r="BB288" i="94" s="1"/>
  <c r="BB154" i="94"/>
  <c r="BC141" i="94"/>
  <c r="BB140" i="94"/>
  <c r="BB166" i="94" s="1"/>
  <c r="BB289" i="94" s="1"/>
  <c r="BB74" i="94"/>
  <c r="BC74" i="94"/>
  <c r="BA35" i="58"/>
  <c r="V165" i="11"/>
  <c r="V150" i="11"/>
  <c r="V121" i="11"/>
  <c r="V35" i="11"/>
  <c r="U28" i="11"/>
  <c r="W10" i="71" s="1"/>
  <c r="V28" i="11"/>
  <c r="X10" i="71" s="1"/>
  <c r="U27" i="11"/>
  <c r="W11" i="71" s="1"/>
  <c r="V27" i="11"/>
  <c r="X11" i="71" s="1"/>
  <c r="U26" i="11"/>
  <c r="W9" i="71" s="1"/>
  <c r="V26" i="11"/>
  <c r="X9" i="71" s="1"/>
  <c r="U25" i="11"/>
  <c r="W8" i="71" s="1"/>
  <c r="V25" i="11"/>
  <c r="X8" i="71" s="1"/>
  <c r="BA68" i="4"/>
  <c r="BB68" i="4"/>
  <c r="BA69" i="4"/>
  <c r="BB69" i="4"/>
  <c r="BA70" i="4"/>
  <c r="BB70" i="4"/>
  <c r="BA71" i="4"/>
  <c r="BB71" i="4"/>
  <c r="BA73" i="4"/>
  <c r="BB73" i="4"/>
  <c r="BA74" i="4"/>
  <c r="BB74" i="4"/>
  <c r="BA75" i="4"/>
  <c r="BB75" i="4"/>
  <c r="BA76" i="4"/>
  <c r="BB76" i="4"/>
  <c r="BA77" i="4"/>
  <c r="BB77" i="4"/>
  <c r="BA95" i="4"/>
  <c r="BB95" i="4"/>
  <c r="BA96" i="4"/>
  <c r="BB96" i="4"/>
  <c r="BA97" i="4"/>
  <c r="BB97" i="4"/>
  <c r="BA98" i="4"/>
  <c r="BB98" i="4"/>
  <c r="BA52" i="4"/>
  <c r="BB52" i="4"/>
  <c r="BA64" i="4"/>
  <c r="BA189" i="112" s="1"/>
  <c r="BA216" i="112" s="1"/>
  <c r="BB64" i="4"/>
  <c r="BB189" i="112" s="1"/>
  <c r="BB216" i="112" s="1"/>
  <c r="BA5" i="4"/>
  <c r="BB5" i="4"/>
  <c r="BA14" i="4"/>
  <c r="BB14" i="4"/>
  <c r="BA17" i="4"/>
  <c r="BB17" i="4"/>
  <c r="BA25" i="4"/>
  <c r="BB25" i="4"/>
  <c r="BA26" i="4"/>
  <c r="BB26" i="4"/>
  <c r="BA27" i="4"/>
  <c r="BB27" i="4"/>
  <c r="BA32" i="4"/>
  <c r="BB32" i="4"/>
  <c r="BA38" i="4"/>
  <c r="BB38" i="4"/>
  <c r="BA39" i="4"/>
  <c r="BB39" i="4"/>
  <c r="BA40" i="4"/>
  <c r="BB40" i="4"/>
  <c r="BA41" i="4"/>
  <c r="BB41" i="4"/>
  <c r="BA42" i="4"/>
  <c r="BB42" i="4"/>
  <c r="BA43" i="4"/>
  <c r="BB43" i="4"/>
  <c r="BA45" i="4"/>
  <c r="BB45" i="4"/>
  <c r="BA47" i="4"/>
  <c r="BB47" i="4"/>
  <c r="BA48" i="4"/>
  <c r="BB48" i="4"/>
  <c r="BA11" i="8"/>
  <c r="BB11" i="8"/>
  <c r="BB13" i="8"/>
  <c r="BA16" i="8"/>
  <c r="BB16" i="8"/>
  <c r="BA17" i="8"/>
  <c r="BB18" i="8"/>
  <c r="BA21" i="8"/>
  <c r="BB21" i="8"/>
  <c r="BA27" i="8"/>
  <c r="BB27" i="8"/>
  <c r="BA28" i="8"/>
  <c r="BB29" i="8"/>
  <c r="BA32" i="8"/>
  <c r="BB32" i="8"/>
  <c r="BB34" i="8"/>
  <c r="BA37" i="8"/>
  <c r="BB37" i="8"/>
  <c r="BA38" i="8"/>
  <c r="BA43" i="8"/>
  <c r="BB43" i="8"/>
  <c r="BA44" i="8"/>
  <c r="BB45" i="8"/>
  <c r="BA48" i="8"/>
  <c r="BB48" i="8"/>
  <c r="BB50" i="8"/>
  <c r="BA53" i="8"/>
  <c r="BB53" i="8"/>
  <c r="BA54" i="8"/>
  <c r="BA58" i="8"/>
  <c r="BB58" i="8"/>
  <c r="BA59" i="8"/>
  <c r="BB60" i="8"/>
  <c r="BA63" i="8"/>
  <c r="BB63" i="8"/>
  <c r="BA64" i="8"/>
  <c r="BB65" i="8"/>
  <c r="BA68" i="8"/>
  <c r="BB68" i="8"/>
  <c r="BA69" i="8"/>
  <c r="BA47" i="112"/>
  <c r="BB47" i="112"/>
  <c r="BA185" i="112"/>
  <c r="BA186" i="112"/>
  <c r="BA4" i="2"/>
  <c r="BB4" i="2"/>
  <c r="BB3" i="2" s="1"/>
  <c r="BA30" i="2"/>
  <c r="BB30" i="2"/>
  <c r="BA60" i="2"/>
  <c r="BB60" i="2"/>
  <c r="BA80" i="2"/>
  <c r="BB80" i="2"/>
  <c r="BA95" i="2"/>
  <c r="BA97" i="2" s="1"/>
  <c r="BB95" i="2"/>
  <c r="BA100" i="2"/>
  <c r="BB100" i="2"/>
  <c r="BA127" i="2"/>
  <c r="BB127" i="2"/>
  <c r="BA131" i="2"/>
  <c r="BB131" i="2"/>
  <c r="BB141" i="2"/>
  <c r="BA143" i="2"/>
  <c r="BB143" i="2"/>
  <c r="BA144" i="2"/>
  <c r="BB144" i="2"/>
  <c r="BA150" i="2"/>
  <c r="BB150" i="2"/>
  <c r="BA152" i="2"/>
  <c r="BB152" i="2"/>
  <c r="BC149" i="2" s="1"/>
  <c r="BA156" i="2"/>
  <c r="BB156" i="2"/>
  <c r="BB3" i="112"/>
  <c r="BA3" i="112"/>
  <c r="BA9" i="112"/>
  <c r="BC10" i="112"/>
  <c r="BB14" i="112"/>
  <c r="BA18" i="112"/>
  <c r="BB18" i="112"/>
  <c r="BA38" i="112"/>
  <c r="BA67" i="112" s="1"/>
  <c r="BB38" i="112"/>
  <c r="BA76" i="112"/>
  <c r="BB76" i="112"/>
  <c r="BA81" i="112"/>
  <c r="BB81" i="112"/>
  <c r="BA85" i="112"/>
  <c r="BB85" i="112"/>
  <c r="BA105" i="112"/>
  <c r="BA132" i="112" s="1"/>
  <c r="BB105" i="112"/>
  <c r="BB132" i="112" s="1"/>
  <c r="BA112" i="112"/>
  <c r="BB112" i="112"/>
  <c r="BA141" i="112"/>
  <c r="BB141" i="112"/>
  <c r="BA146" i="112"/>
  <c r="BB146" i="112"/>
  <c r="BA150" i="112"/>
  <c r="BB150" i="112"/>
  <c r="BA154" i="112"/>
  <c r="BB154" i="112"/>
  <c r="BA155" i="112"/>
  <c r="BB155" i="112"/>
  <c r="BA156" i="112"/>
  <c r="BB156" i="112"/>
  <c r="BA157" i="112"/>
  <c r="BB157" i="112"/>
  <c r="BA158" i="112"/>
  <c r="BB158" i="112"/>
  <c r="BA196" i="112"/>
  <c r="BA192" i="8" s="1"/>
  <c r="BB196" i="112"/>
  <c r="BB192" i="8" s="1"/>
  <c r="BA228" i="112"/>
  <c r="BB228" i="112"/>
  <c r="BA232" i="112"/>
  <c r="BB232" i="112"/>
  <c r="BA282" i="112"/>
  <c r="BB282" i="112"/>
  <c r="BA283" i="112"/>
  <c r="BA286" i="112"/>
  <c r="BB286" i="112"/>
  <c r="BA287" i="112"/>
  <c r="BB287" i="112"/>
  <c r="BA299" i="112"/>
  <c r="BA16" i="4" s="1"/>
  <c r="BB299" i="112"/>
  <c r="BA308" i="112"/>
  <c r="BB308" i="112"/>
  <c r="AZ9" i="112"/>
  <c r="BL339" i="94" l="1"/>
  <c r="BL338" i="94"/>
  <c r="BL341" i="94"/>
  <c r="BL337" i="94"/>
  <c r="BL340" i="94"/>
  <c r="BL331" i="94"/>
  <c r="BL332" i="94"/>
  <c r="BL330" i="94"/>
  <c r="BL334" i="94"/>
  <c r="BL343" i="94"/>
  <c r="BL336" i="94"/>
  <c r="BL333" i="94"/>
  <c r="BL335" i="94"/>
  <c r="BL361" i="94"/>
  <c r="BL455" i="94"/>
  <c r="BL441" i="94"/>
  <c r="BL447" i="94" s="1"/>
  <c r="BL342" i="94"/>
  <c r="BA217" i="112"/>
  <c r="BE217" i="112"/>
  <c r="BF217" i="112"/>
  <c r="BF133" i="112"/>
  <c r="BA133" i="112"/>
  <c r="BE133" i="112"/>
  <c r="BB143" i="8"/>
  <c r="BF144" i="8" s="1"/>
  <c r="BB67" i="112"/>
  <c r="BA68" i="112"/>
  <c r="BE68" i="112"/>
  <c r="BB11" i="112"/>
  <c r="BF12" i="112" s="1"/>
  <c r="BC137" i="4"/>
  <c r="BB137" i="4"/>
  <c r="BB159" i="2"/>
  <c r="BB160" i="2" s="1"/>
  <c r="BA3" i="2"/>
  <c r="BE140" i="4"/>
  <c r="BA10" i="4"/>
  <c r="BA24" i="2"/>
  <c r="BH343" i="94"/>
  <c r="BH334" i="94"/>
  <c r="BH361" i="94"/>
  <c r="BH331" i="94"/>
  <c r="BH336" i="94"/>
  <c r="BH330" i="94"/>
  <c r="BH335" i="94"/>
  <c r="BH340" i="94"/>
  <c r="BH341" i="94"/>
  <c r="BH332" i="94"/>
  <c r="BH337" i="94"/>
  <c r="BH338" i="94"/>
  <c r="BH339" i="94"/>
  <c r="BH333" i="94"/>
  <c r="BH455" i="94"/>
  <c r="BH441" i="94"/>
  <c r="BB16" i="4"/>
  <c r="BB116" i="2"/>
  <c r="BA116" i="2"/>
  <c r="BF190" i="112"/>
  <c r="BB189" i="8"/>
  <c r="BF106" i="112"/>
  <c r="BB169" i="8"/>
  <c r="BE190" i="112"/>
  <c r="BA189" i="8"/>
  <c r="BE106" i="112"/>
  <c r="BA169" i="8"/>
  <c r="BE39" i="112"/>
  <c r="BA143" i="8"/>
  <c r="BF39" i="112"/>
  <c r="BF6" i="4"/>
  <c r="BR44" i="8"/>
  <c r="BB143" i="112"/>
  <c r="BF144" i="112" s="1"/>
  <c r="BB78" i="112"/>
  <c r="BF79" i="112" s="1"/>
  <c r="BC143" i="112"/>
  <c r="BG144" i="112" s="1"/>
  <c r="BC78" i="112"/>
  <c r="BG79" i="112" s="1"/>
  <c r="BA11" i="112"/>
  <c r="BE12" i="112" s="1"/>
  <c r="BB37" i="4"/>
  <c r="BA15" i="4"/>
  <c r="BB148" i="2"/>
  <c r="BB151" i="2" s="1"/>
  <c r="BA148" i="2"/>
  <c r="BA151" i="2" s="1"/>
  <c r="BE6" i="4"/>
  <c r="BA172" i="8"/>
  <c r="BB172" i="8"/>
  <c r="BB57" i="2"/>
  <c r="BA57" i="2"/>
  <c r="BB41" i="2"/>
  <c r="BB8" i="4"/>
  <c r="BA130" i="8"/>
  <c r="BA8" i="4"/>
  <c r="BB9" i="4"/>
  <c r="BA9" i="4"/>
  <c r="BA119" i="8"/>
  <c r="BC87" i="112"/>
  <c r="BA7" i="4"/>
  <c r="BC20" i="112"/>
  <c r="AZ108" i="8"/>
  <c r="BC16" i="112"/>
  <c r="BA108" i="8"/>
  <c r="BD445" i="94"/>
  <c r="BD447" i="94"/>
  <c r="BD274" i="94"/>
  <c r="BB436" i="94"/>
  <c r="BD448" i="94"/>
  <c r="BC360" i="94"/>
  <c r="BD449" i="94"/>
  <c r="BC351" i="94"/>
  <c r="BD446" i="94"/>
  <c r="BA37" i="4"/>
  <c r="BB352" i="94"/>
  <c r="BB354" i="94"/>
  <c r="BB359" i="94"/>
  <c r="BB353" i="94"/>
  <c r="BC356" i="94"/>
  <c r="BB358" i="94"/>
  <c r="BC355" i="94"/>
  <c r="BA99" i="4"/>
  <c r="BA78" i="4"/>
  <c r="BB99" i="4"/>
  <c r="BB350" i="94"/>
  <c r="BC436" i="94"/>
  <c r="BC359" i="94"/>
  <c r="BB347" i="94"/>
  <c r="BC348" i="94"/>
  <c r="BB349" i="94"/>
  <c r="BC352" i="94"/>
  <c r="BB348" i="94"/>
  <c r="BB355" i="94"/>
  <c r="BC347" i="94"/>
  <c r="BC77" i="112"/>
  <c r="BB119" i="8"/>
  <c r="BA72" i="4"/>
  <c r="BB357" i="94"/>
  <c r="BB351" i="94"/>
  <c r="BC357" i="94"/>
  <c r="BB97" i="2"/>
  <c r="BC92" i="2"/>
  <c r="BC93" i="2" s="1"/>
  <c r="BC94" i="2" s="1"/>
  <c r="BB356" i="94"/>
  <c r="BC291" i="94"/>
  <c r="BC296" i="94" s="1"/>
  <c r="BC326" i="94"/>
  <c r="BC342" i="94" s="1"/>
  <c r="BB326" i="94"/>
  <c r="BB339" i="94" s="1"/>
  <c r="BC349" i="94"/>
  <c r="BB141" i="94"/>
  <c r="BB360" i="94"/>
  <c r="BC354" i="94"/>
  <c r="BC438" i="94"/>
  <c r="BB291" i="94"/>
  <c r="BB295" i="94" s="1"/>
  <c r="BB439" i="94"/>
  <c r="BC167" i="94"/>
  <c r="BC353" i="94"/>
  <c r="BC437" i="94"/>
  <c r="BC142" i="112"/>
  <c r="BB130" i="8"/>
  <c r="BB87" i="112"/>
  <c r="BB78" i="4"/>
  <c r="BB72" i="4"/>
  <c r="BB167" i="94"/>
  <c r="BB438" i="94"/>
  <c r="BC358" i="94"/>
  <c r="BD309" i="94"/>
  <c r="BC234" i="112"/>
  <c r="BC233" i="112"/>
  <c r="BC151" i="112"/>
  <c r="BC137" i="8" s="1"/>
  <c r="BC152" i="112"/>
  <c r="BC82" i="112"/>
  <c r="BC121" i="8" s="1"/>
  <c r="BC83" i="112"/>
  <c r="BC19" i="112"/>
  <c r="BC115" i="8" s="1"/>
  <c r="BC147" i="112"/>
  <c r="BC132" i="8" s="1"/>
  <c r="BC148" i="112"/>
  <c r="BC86" i="112"/>
  <c r="BC126" i="8" s="1"/>
  <c r="BC15" i="112"/>
  <c r="BC110" i="8" s="1"/>
  <c r="BB229" i="112"/>
  <c r="BB33" i="2" s="1"/>
  <c r="BC230" i="112"/>
  <c r="BC241" i="112" s="1"/>
  <c r="BG242" i="112" s="1"/>
  <c r="BC229" i="112"/>
  <c r="BC33" i="2" s="1"/>
  <c r="BA142" i="2"/>
  <c r="BB234" i="112"/>
  <c r="BB142" i="112"/>
  <c r="BB86" i="112"/>
  <c r="BB126" i="8" s="1"/>
  <c r="BB127" i="8" s="1"/>
  <c r="BB19" i="112"/>
  <c r="BB115" i="8" s="1"/>
  <c r="BB116" i="8" s="1"/>
  <c r="BB165" i="112"/>
  <c r="BB148" i="112"/>
  <c r="BB77" i="112"/>
  <c r="BB142" i="2"/>
  <c r="BC139" i="2" s="1"/>
  <c r="BB98" i="2"/>
  <c r="BA98" i="2"/>
  <c r="BA162" i="112"/>
  <c r="BB147" i="112"/>
  <c r="BB132" i="8" s="1"/>
  <c r="BB133" i="8" s="1"/>
  <c r="BB233" i="112"/>
  <c r="BB7" i="4"/>
  <c r="BB82" i="112"/>
  <c r="BB121" i="8" s="1"/>
  <c r="BB122" i="8" s="1"/>
  <c r="BB151" i="112"/>
  <c r="BB137" i="8" s="1"/>
  <c r="BB138" i="8" s="1"/>
  <c r="BB60" i="4"/>
  <c r="BA60" i="4"/>
  <c r="BB92" i="2"/>
  <c r="BB93" i="2" s="1"/>
  <c r="BB76" i="2" s="1"/>
  <c r="BB70" i="8"/>
  <c r="BB55" i="8"/>
  <c r="BB39" i="8"/>
  <c r="BB23" i="8"/>
  <c r="BA22" i="8"/>
  <c r="BA12" i="8"/>
  <c r="BA49" i="8"/>
  <c r="BA33" i="8"/>
  <c r="BB69" i="8"/>
  <c r="BB59" i="8"/>
  <c r="BB44" i="8"/>
  <c r="BB28" i="8"/>
  <c r="BB12" i="8"/>
  <c r="BB64" i="8"/>
  <c r="BR64" i="8" s="1"/>
  <c r="BB54" i="8"/>
  <c r="BR54" i="8" s="1"/>
  <c r="BB49" i="8"/>
  <c r="BB38" i="8"/>
  <c r="BB33" i="8"/>
  <c r="BB22" i="8"/>
  <c r="BB17" i="8"/>
  <c r="BC350" i="94"/>
  <c r="BA164" i="112"/>
  <c r="BB230" i="112"/>
  <c r="BB164" i="112"/>
  <c r="BB163" i="112"/>
  <c r="BB161" i="112"/>
  <c r="BA165" i="112"/>
  <c r="BA163" i="112"/>
  <c r="BA161" i="112"/>
  <c r="BB162" i="112"/>
  <c r="BA184" i="112"/>
  <c r="BA70" i="8"/>
  <c r="BA65" i="8"/>
  <c r="BA60" i="8"/>
  <c r="BA55" i="8"/>
  <c r="BA50" i="8"/>
  <c r="BA45" i="8"/>
  <c r="BA39" i="8"/>
  <c r="BA34" i="8"/>
  <c r="BA29" i="8"/>
  <c r="BA23" i="8"/>
  <c r="BA18" i="8"/>
  <c r="BA13" i="8"/>
  <c r="BA181" i="112"/>
  <c r="BB179" i="112"/>
  <c r="BA179" i="112"/>
  <c r="BB126" i="2"/>
  <c r="BB164" i="2"/>
  <c r="BB125" i="2"/>
  <c r="BB163" i="2"/>
  <c r="BB181" i="112"/>
  <c r="BA126" i="2"/>
  <c r="BA164" i="2"/>
  <c r="BA163" i="2"/>
  <c r="BA125" i="2"/>
  <c r="BB186" i="112"/>
  <c r="BB185" i="112"/>
  <c r="BB184" i="112"/>
  <c r="BB10" i="112"/>
  <c r="BA10" i="112"/>
  <c r="BB152" i="112"/>
  <c r="BB83" i="112"/>
  <c r="BB20" i="112"/>
  <c r="BL458" i="94" l="1"/>
  <c r="BL446" i="94"/>
  <c r="BL445" i="94"/>
  <c r="BL449" i="94"/>
  <c r="BL448" i="94"/>
  <c r="BL344" i="94"/>
  <c r="BF68" i="112"/>
  <c r="BB30" i="4"/>
  <c r="BA11" i="4"/>
  <c r="BA30" i="4"/>
  <c r="BB31" i="4"/>
  <c r="BA29" i="4"/>
  <c r="BA31" i="4"/>
  <c r="BB15" i="4"/>
  <c r="BB157" i="2"/>
  <c r="BB139" i="2"/>
  <c r="BH445" i="94"/>
  <c r="BH458" i="94"/>
  <c r="BH448" i="94"/>
  <c r="BH449" i="94"/>
  <c r="BH446" i="94"/>
  <c r="BH447" i="94"/>
  <c r="BH344" i="94"/>
  <c r="BB29" i="4"/>
  <c r="BE144" i="8"/>
  <c r="BE190" i="8"/>
  <c r="BF170" i="8"/>
  <c r="BE170" i="8"/>
  <c r="BF190" i="8"/>
  <c r="BT49" i="8"/>
  <c r="BS44" i="8"/>
  <c r="BA79" i="4"/>
  <c r="BD450" i="94"/>
  <c r="BC340" i="94"/>
  <c r="BB333" i="94"/>
  <c r="BC334" i="94"/>
  <c r="BB441" i="94"/>
  <c r="BB446" i="94" s="1"/>
  <c r="BB307" i="94"/>
  <c r="BB79" i="4"/>
  <c r="BC308" i="94"/>
  <c r="BC295" i="94"/>
  <c r="BC307" i="94"/>
  <c r="BC337" i="94"/>
  <c r="BC297" i="94"/>
  <c r="BC298" i="94"/>
  <c r="BC339" i="94"/>
  <c r="BC335" i="94"/>
  <c r="BC338" i="94"/>
  <c r="BB100" i="4"/>
  <c r="BC303" i="94"/>
  <c r="BA100" i="4"/>
  <c r="BC332" i="94"/>
  <c r="BB302" i="94"/>
  <c r="BB298" i="94"/>
  <c r="BB308" i="94"/>
  <c r="BB300" i="94"/>
  <c r="BB301" i="94"/>
  <c r="BB296" i="94"/>
  <c r="BB332" i="94"/>
  <c r="BB304" i="94"/>
  <c r="BB119" i="112"/>
  <c r="BF120" i="112" s="1"/>
  <c r="BC336" i="94"/>
  <c r="BC331" i="94"/>
  <c r="BC330" i="94"/>
  <c r="BC299" i="94"/>
  <c r="BC305" i="94"/>
  <c r="BC301" i="94"/>
  <c r="BB303" i="94"/>
  <c r="BC306" i="94"/>
  <c r="BB338" i="94"/>
  <c r="BB306" i="94"/>
  <c r="BB361" i="94"/>
  <c r="BB335" i="94"/>
  <c r="BB341" i="94"/>
  <c r="BB330" i="94"/>
  <c r="BB336" i="94"/>
  <c r="BB342" i="94"/>
  <c r="BB331" i="94"/>
  <c r="BB337" i="94"/>
  <c r="BB343" i="94"/>
  <c r="BB340" i="94"/>
  <c r="BC361" i="94"/>
  <c r="BC333" i="94"/>
  <c r="BC304" i="94"/>
  <c r="BC300" i="94"/>
  <c r="BB297" i="94"/>
  <c r="BB299" i="94"/>
  <c r="BC302" i="94"/>
  <c r="BC441" i="94"/>
  <c r="BC341" i="94"/>
  <c r="BC343" i="94"/>
  <c r="BB334" i="94"/>
  <c r="BB305" i="94"/>
  <c r="BC112" i="8"/>
  <c r="BC111" i="8"/>
  <c r="BC128" i="8"/>
  <c r="BC127" i="8"/>
  <c r="BC138" i="8"/>
  <c r="BC139" i="8"/>
  <c r="BC145" i="2"/>
  <c r="BC153" i="2"/>
  <c r="BC133" i="8"/>
  <c r="BC134" i="8"/>
  <c r="BC122" i="8"/>
  <c r="BC123" i="8"/>
  <c r="BC119" i="112"/>
  <c r="BC116" i="8"/>
  <c r="BC117" i="8"/>
  <c r="BC203" i="112"/>
  <c r="BC157" i="2"/>
  <c r="BB139" i="8"/>
  <c r="BB165" i="2"/>
  <c r="BB162" i="2" s="1"/>
  <c r="BB123" i="8"/>
  <c r="BB128" i="8"/>
  <c r="BA165" i="2"/>
  <c r="BA162" i="2" s="1"/>
  <c r="BB117" i="8"/>
  <c r="BB203" i="112"/>
  <c r="BB134" i="8"/>
  <c r="BB94" i="2"/>
  <c r="BB92" i="112"/>
  <c r="BB183" i="112"/>
  <c r="BA183" i="112"/>
  <c r="BL450" i="94" l="1"/>
  <c r="BA12" i="4"/>
  <c r="BE13" i="4"/>
  <c r="BA20" i="4"/>
  <c r="BA18" i="4"/>
  <c r="BH450" i="94"/>
  <c r="BG120" i="112"/>
  <c r="BG204" i="112"/>
  <c r="BF204" i="112"/>
  <c r="BB167" i="8"/>
  <c r="BF93" i="112"/>
  <c r="BU49" i="8"/>
  <c r="BT44" i="8"/>
  <c r="BB447" i="94"/>
  <c r="BB108" i="112"/>
  <c r="BB445" i="94"/>
  <c r="BB448" i="94"/>
  <c r="BB98" i="112"/>
  <c r="BF99" i="112" s="1"/>
  <c r="BF184" i="8" s="1"/>
  <c r="BB449" i="94"/>
  <c r="BC344" i="94"/>
  <c r="BB344" i="94"/>
  <c r="BC309" i="94"/>
  <c r="BC445" i="94"/>
  <c r="BC448" i="94"/>
  <c r="BC449" i="94"/>
  <c r="BC446" i="94"/>
  <c r="BB309" i="94"/>
  <c r="BC447" i="94"/>
  <c r="BC108" i="112"/>
  <c r="BC192" i="112"/>
  <c r="BB192" i="112"/>
  <c r="BF193" i="112" s="1"/>
  <c r="BF197" i="112" s="1"/>
  <c r="BB174" i="112"/>
  <c r="BF175" i="112" s="1"/>
  <c r="BF204" i="8" s="1"/>
  <c r="BA19" i="4" l="1"/>
  <c r="BA34" i="4"/>
  <c r="BA36" i="4" s="1"/>
  <c r="BA49" i="4"/>
  <c r="BA105" i="4" s="1"/>
  <c r="BA21" i="4"/>
  <c r="BG109" i="112"/>
  <c r="BG193" i="112"/>
  <c r="BG197" i="112" s="1"/>
  <c r="BF206" i="8"/>
  <c r="BF205" i="8"/>
  <c r="BF186" i="8"/>
  <c r="BF185" i="8"/>
  <c r="BF109" i="112"/>
  <c r="BV49" i="8"/>
  <c r="BU44" i="8"/>
  <c r="BB170" i="112"/>
  <c r="BB450" i="94"/>
  <c r="BC450" i="94"/>
  <c r="BA44" i="4" l="1"/>
  <c r="BA314" i="112" s="1"/>
  <c r="BA53" i="4"/>
  <c r="BA317" i="112" s="1"/>
  <c r="BA62" i="2"/>
  <c r="BE35" i="4"/>
  <c r="BF171" i="112"/>
  <c r="BF195" i="112"/>
  <c r="BW49" i="8"/>
  <c r="BV44" i="8"/>
  <c r="BJ36" i="60"/>
  <c r="BJ25" i="60"/>
  <c r="BJ6" i="60"/>
  <c r="BJ12" i="60" s="1"/>
  <c r="BJ18" i="60" s="1"/>
  <c r="AY50" i="59"/>
  <c r="AZ50" i="59"/>
  <c r="BA50" i="59"/>
  <c r="BB50" i="59"/>
  <c r="AY43" i="59"/>
  <c r="AZ43" i="59"/>
  <c r="BA43" i="59"/>
  <c r="BB43" i="59"/>
  <c r="AY37" i="59"/>
  <c r="AZ37" i="59"/>
  <c r="BA37" i="59"/>
  <c r="BB37" i="59"/>
  <c r="BA32" i="59"/>
  <c r="BB32" i="59"/>
  <c r="AY13" i="59"/>
  <c r="AY18" i="59" s="1"/>
  <c r="AZ13" i="59"/>
  <c r="AZ18" i="59" s="1"/>
  <c r="BA13" i="59"/>
  <c r="BA18" i="59" s="1"/>
  <c r="BB13" i="59"/>
  <c r="BB18" i="59" s="1"/>
  <c r="AY10" i="59"/>
  <c r="AZ10" i="59"/>
  <c r="BA10" i="59"/>
  <c r="BB10" i="59"/>
  <c r="BC463" i="94"/>
  <c r="BC462" i="94"/>
  <c r="BC422" i="94"/>
  <c r="BC421" i="94"/>
  <c r="BC420" i="94"/>
  <c r="BC419" i="94"/>
  <c r="BC418" i="94"/>
  <c r="BC103" i="94"/>
  <c r="BC120" i="94" s="1"/>
  <c r="BC90" i="94"/>
  <c r="BC77" i="94"/>
  <c r="BC39" i="94"/>
  <c r="BC48" i="94" s="1"/>
  <c r="BC27" i="94"/>
  <c r="BC15" i="94"/>
  <c r="BC476" i="94"/>
  <c r="BC432" i="94"/>
  <c r="BC404" i="94"/>
  <c r="BC255" i="94"/>
  <c r="BC254" i="94"/>
  <c r="BC253" i="94"/>
  <c r="BC252" i="94"/>
  <c r="BC251" i="94"/>
  <c r="BC250" i="94"/>
  <c r="BC249" i="94"/>
  <c r="BC248" i="94"/>
  <c r="BC247" i="94"/>
  <c r="BC238" i="94"/>
  <c r="BC237" i="94"/>
  <c r="BC236" i="94"/>
  <c r="BC235" i="94"/>
  <c r="BC234" i="94"/>
  <c r="BC233" i="94"/>
  <c r="BC232" i="94"/>
  <c r="BC231" i="94"/>
  <c r="BC230" i="94"/>
  <c r="BC229" i="94"/>
  <c r="BC228" i="94"/>
  <c r="BC113" i="94"/>
  <c r="BC106" i="94"/>
  <c r="BC246" i="94" s="1"/>
  <c r="BC105" i="94"/>
  <c r="BC245" i="94" s="1"/>
  <c r="BC104" i="94"/>
  <c r="BC100" i="94"/>
  <c r="BC239" i="94" s="1"/>
  <c r="BC91" i="94"/>
  <c r="BC227" i="94" s="1"/>
  <c r="BC87" i="94"/>
  <c r="BC81" i="94"/>
  <c r="BC80" i="94"/>
  <c r="BC79" i="94"/>
  <c r="BC78" i="94"/>
  <c r="BC63" i="94"/>
  <c r="BC38" i="94"/>
  <c r="BC14" i="94"/>
  <c r="BC115" i="58"/>
  <c r="BC104" i="58"/>
  <c r="BC93" i="58"/>
  <c r="BC89" i="58"/>
  <c r="BC83" i="58"/>
  <c r="BC82" i="58"/>
  <c r="BB45" i="112" s="1"/>
  <c r="BB147" i="8" s="1"/>
  <c r="BC67" i="58"/>
  <c r="BC60" i="58"/>
  <c r="BC43" i="58"/>
  <c r="BC35" i="58"/>
  <c r="BC31" i="58"/>
  <c r="BB33" i="4" s="1"/>
  <c r="BC29" i="58"/>
  <c r="BC13" i="58"/>
  <c r="BC8" i="58"/>
  <c r="BC6" i="58"/>
  <c r="BA54" i="4" l="1"/>
  <c r="BA46" i="4"/>
  <c r="BB225" i="112"/>
  <c r="BC454" i="94"/>
  <c r="BC455" i="94"/>
  <c r="BC457" i="94"/>
  <c r="BC453" i="94"/>
  <c r="BC456" i="94"/>
  <c r="BF200" i="112"/>
  <c r="BF201" i="112" s="1"/>
  <c r="BF198" i="8" s="1"/>
  <c r="BF198" i="112"/>
  <c r="BF194" i="8"/>
  <c r="BF193" i="8"/>
  <c r="BX49" i="8"/>
  <c r="BW44" i="8"/>
  <c r="BB45" i="59"/>
  <c r="BA45" i="59"/>
  <c r="AY45" i="59"/>
  <c r="BC12" i="58"/>
  <c r="BC125" i="94"/>
  <c r="BC469" i="94"/>
  <c r="BB19" i="59"/>
  <c r="BC221" i="94"/>
  <c r="BC377" i="94" s="1"/>
  <c r="BC394" i="94" s="1"/>
  <c r="BC124" i="94"/>
  <c r="BC122" i="94"/>
  <c r="AZ19" i="59"/>
  <c r="BJ38" i="60"/>
  <c r="BC213" i="94"/>
  <c r="BC369" i="94" s="1"/>
  <c r="BC386" i="94" s="1"/>
  <c r="BA19" i="59"/>
  <c r="AY19" i="59"/>
  <c r="BC406" i="94"/>
  <c r="BC216" i="94"/>
  <c r="BC372" i="94" s="1"/>
  <c r="BC389" i="94" s="1"/>
  <c r="BD93" i="58"/>
  <c r="BE93" i="58" s="1"/>
  <c r="BB55" i="112"/>
  <c r="BC217" i="94"/>
  <c r="BC373" i="94" s="1"/>
  <c r="BC390" i="94" s="1"/>
  <c r="BC220" i="94"/>
  <c r="BC376" i="94" s="1"/>
  <c r="BC393" i="94" s="1"/>
  <c r="BD89" i="58"/>
  <c r="BB52" i="112"/>
  <c r="BC256" i="94"/>
  <c r="BC222" i="94" s="1"/>
  <c r="BC378" i="94" s="1"/>
  <c r="BC395" i="94" s="1"/>
  <c r="BC117" i="94"/>
  <c r="BC118" i="94"/>
  <c r="BC126" i="94"/>
  <c r="BC244" i="94"/>
  <c r="BC215" i="94"/>
  <c r="BC371" i="94" s="1"/>
  <c r="BC388" i="94" s="1"/>
  <c r="BC219" i="94"/>
  <c r="BC375" i="94" s="1"/>
  <c r="BC392" i="94" s="1"/>
  <c r="BC423" i="94"/>
  <c r="BC458" i="94" s="1"/>
  <c r="BC240" i="94"/>
  <c r="BC211" i="94"/>
  <c r="BC367" i="94" s="1"/>
  <c r="BC384" i="94" s="1"/>
  <c r="BC212" i="94"/>
  <c r="BC368" i="94" s="1"/>
  <c r="BC385" i="94" s="1"/>
  <c r="BC45" i="94"/>
  <c r="BC49" i="94"/>
  <c r="BC46" i="94"/>
  <c r="BC50" i="94"/>
  <c r="BC119" i="94"/>
  <c r="BC123" i="94"/>
  <c r="BC43" i="94"/>
  <c r="BC214" i="94"/>
  <c r="BC370" i="94" s="1"/>
  <c r="BC387" i="94" s="1"/>
  <c r="BC47" i="94"/>
  <c r="BC218" i="94"/>
  <c r="BC374" i="94" s="1"/>
  <c r="BC391" i="94" s="1"/>
  <c r="BC44" i="94"/>
  <c r="BC121" i="94"/>
  <c r="BC226" i="112" l="1"/>
  <c r="BC19" i="58"/>
  <c r="BC22" i="58" s="1"/>
  <c r="BA46" i="59"/>
  <c r="BB46" i="59"/>
  <c r="BC412" i="94"/>
  <c r="BC210" i="94"/>
  <c r="BC366" i="94" s="1"/>
  <c r="BC383" i="94" s="1"/>
  <c r="BF93" i="58"/>
  <c r="BF199" i="8"/>
  <c r="BF200" i="8"/>
  <c r="BF53" i="112"/>
  <c r="BF56" i="112"/>
  <c r="BY49" i="8"/>
  <c r="BX44" i="8"/>
  <c r="BB260" i="112"/>
  <c r="BB41" i="112"/>
  <c r="BB29" i="112"/>
  <c r="BF30" i="112" s="1"/>
  <c r="BF164" i="8" s="1"/>
  <c r="BD55" i="112"/>
  <c r="BH56" i="112" s="1"/>
  <c r="BC55" i="112"/>
  <c r="BE89" i="58"/>
  <c r="BD52" i="112" s="1"/>
  <c r="BH53" i="112" s="1"/>
  <c r="BC52" i="112"/>
  <c r="BG53" i="112" s="1"/>
  <c r="BC257" i="94"/>
  <c r="BC263" i="94" s="1"/>
  <c r="BB33" i="112"/>
  <c r="BF34" i="112" s="1"/>
  <c r="BB263" i="112"/>
  <c r="BC410" i="94"/>
  <c r="BC414" i="94"/>
  <c r="BC411" i="94"/>
  <c r="BC413" i="94"/>
  <c r="BC127" i="94"/>
  <c r="BC51" i="94"/>
  <c r="BC38" i="58" l="1"/>
  <c r="BC40" i="58" s="1"/>
  <c r="BC223" i="94"/>
  <c r="BC379" i="94" s="1"/>
  <c r="BC396" i="94" s="1"/>
  <c r="BF261" i="112"/>
  <c r="BF264" i="112"/>
  <c r="BG56" i="112"/>
  <c r="BF166" i="8"/>
  <c r="BF165" i="8"/>
  <c r="BF42" i="112"/>
  <c r="BZ49" i="8"/>
  <c r="BY44" i="8"/>
  <c r="BE55" i="112"/>
  <c r="BI56" i="112" s="1"/>
  <c r="BF89" i="58"/>
  <c r="BE52" i="112" s="1"/>
  <c r="BI53" i="112" s="1"/>
  <c r="BC260" i="112"/>
  <c r="BG261" i="112" s="1"/>
  <c r="BC273" i="94"/>
  <c r="BC267" i="94"/>
  <c r="BC271" i="94"/>
  <c r="BC265" i="94"/>
  <c r="BC269" i="94"/>
  <c r="BC261" i="94"/>
  <c r="BC266" i="94"/>
  <c r="BC262" i="94"/>
  <c r="BC270" i="94"/>
  <c r="BC272" i="94"/>
  <c r="BC264" i="94"/>
  <c r="BD263" i="112"/>
  <c r="BH264" i="112" s="1"/>
  <c r="BD260" i="112"/>
  <c r="BH261" i="112" s="1"/>
  <c r="BD41" i="112"/>
  <c r="BH42" i="112" s="1"/>
  <c r="BC33" i="112"/>
  <c r="BG34" i="112" s="1"/>
  <c r="BC263" i="112"/>
  <c r="BG264" i="112" s="1"/>
  <c r="BB250" i="112"/>
  <c r="BC268" i="94"/>
  <c r="BI29" i="60"/>
  <c r="BI23" i="60"/>
  <c r="BA121" i="4" s="1"/>
  <c r="BB63" i="58"/>
  <c r="BB65" i="58"/>
  <c r="BB64" i="58"/>
  <c r="BB266" i="112" l="1"/>
  <c r="BF251" i="112"/>
  <c r="CA49" i="8"/>
  <c r="BZ44" i="8"/>
  <c r="BE41" i="112"/>
  <c r="BI42" i="112" s="1"/>
  <c r="BE260" i="112"/>
  <c r="BI261" i="112" s="1"/>
  <c r="BE263" i="112"/>
  <c r="BI264" i="112" s="1"/>
  <c r="BC274" i="94"/>
  <c r="BB67" i="58"/>
  <c r="BD25" i="112"/>
  <c r="BD250" i="112"/>
  <c r="BH251" i="112" s="1"/>
  <c r="BB265" i="112"/>
  <c r="BB476" i="94"/>
  <c r="BB462" i="94"/>
  <c r="BB463" i="94"/>
  <c r="BB432" i="94"/>
  <c r="BB418" i="94"/>
  <c r="BB419" i="94"/>
  <c r="BB420" i="94"/>
  <c r="BB421" i="94"/>
  <c r="BB422" i="94"/>
  <c r="BB457" i="94" s="1"/>
  <c r="BB406" i="94"/>
  <c r="BB228" i="94"/>
  <c r="BB229" i="94"/>
  <c r="BB230" i="94"/>
  <c r="BB231" i="94"/>
  <c r="BB232" i="94"/>
  <c r="BB233" i="94"/>
  <c r="BB234" i="94"/>
  <c r="BB235" i="94"/>
  <c r="BB236" i="94"/>
  <c r="BB237" i="94"/>
  <c r="BB238" i="94"/>
  <c r="BB239" i="94"/>
  <c r="BB247" i="94"/>
  <c r="BB248" i="94"/>
  <c r="BB249" i="94"/>
  <c r="BB250" i="94"/>
  <c r="BB251" i="94"/>
  <c r="BB252" i="94"/>
  <c r="BB253" i="94"/>
  <c r="BB254" i="94"/>
  <c r="BB255" i="94"/>
  <c r="BB106" i="94"/>
  <c r="BB105" i="94"/>
  <c r="BB104" i="94"/>
  <c r="BB103" i="94"/>
  <c r="BB125" i="94" s="1"/>
  <c r="BB91" i="94"/>
  <c r="BB227" i="94" s="1"/>
  <c r="BB90" i="94"/>
  <c r="BB80" i="94"/>
  <c r="BB79" i="94"/>
  <c r="BB78" i="94"/>
  <c r="BB77" i="94"/>
  <c r="BB64" i="94"/>
  <c r="BB63" i="94"/>
  <c r="BB38" i="94"/>
  <c r="BB256" i="94" s="1"/>
  <c r="BB39" i="94"/>
  <c r="BB46" i="94" s="1"/>
  <c r="BB27" i="94"/>
  <c r="BB14" i="94"/>
  <c r="BB115" i="58"/>
  <c r="BB104" i="58"/>
  <c r="BB83" i="58"/>
  <c r="BB82" i="58"/>
  <c r="BA45" i="112" s="1"/>
  <c r="BA147" i="8" s="1"/>
  <c r="BB74" i="58"/>
  <c r="BB35" i="58"/>
  <c r="BB31" i="58"/>
  <c r="BA33" i="4" s="1"/>
  <c r="BB13" i="58"/>
  <c r="BB8" i="58"/>
  <c r="BB6" i="58"/>
  <c r="BB453" i="94" l="1"/>
  <c r="BH26" i="112"/>
  <c r="BH27" i="112"/>
  <c r="BH44" i="112"/>
  <c r="BB456" i="94"/>
  <c r="BB455" i="94"/>
  <c r="BA225" i="112"/>
  <c r="BB454" i="94"/>
  <c r="BD266" i="112"/>
  <c r="CB49" i="8"/>
  <c r="CA44" i="8"/>
  <c r="BE25" i="112"/>
  <c r="BE250" i="112"/>
  <c r="BI251" i="112" s="1"/>
  <c r="BD265" i="112"/>
  <c r="BA51" i="4"/>
  <c r="BB43" i="94"/>
  <c r="BB411" i="94"/>
  <c r="BB413" i="94"/>
  <c r="BB410" i="94"/>
  <c r="BB412" i="94"/>
  <c r="BB414" i="94"/>
  <c r="BB15" i="94"/>
  <c r="BA14" i="112"/>
  <c r="BB44" i="94"/>
  <c r="BB47" i="94"/>
  <c r="BB469" i="94"/>
  <c r="BB119" i="94"/>
  <c r="BB48" i="94"/>
  <c r="BB118" i="94"/>
  <c r="BB126" i="94"/>
  <c r="BB122" i="94"/>
  <c r="BB221" i="94"/>
  <c r="BB377" i="94" s="1"/>
  <c r="BB394" i="94" s="1"/>
  <c r="BB217" i="94"/>
  <c r="BB373" i="94" s="1"/>
  <c r="BB390" i="94" s="1"/>
  <c r="BB213" i="94"/>
  <c r="BB369" i="94" s="1"/>
  <c r="BB386" i="94" s="1"/>
  <c r="BB117" i="94"/>
  <c r="BB123" i="94"/>
  <c r="BB244" i="94"/>
  <c r="BB45" i="94"/>
  <c r="BB49" i="94"/>
  <c r="BB120" i="94"/>
  <c r="BB124" i="94"/>
  <c r="BB246" i="94"/>
  <c r="BB12" i="58"/>
  <c r="BB19" i="58" s="1"/>
  <c r="BB22" i="58" s="1"/>
  <c r="BB38" i="58" s="1"/>
  <c r="BB40" i="58" s="1"/>
  <c r="BB50" i="94"/>
  <c r="BB121" i="94"/>
  <c r="BB219" i="94"/>
  <c r="BB375" i="94" s="1"/>
  <c r="BB392" i="94" s="1"/>
  <c r="BB245" i="94"/>
  <c r="BB211" i="94" s="1"/>
  <c r="BB367" i="94" s="1"/>
  <c r="BB384" i="94" s="1"/>
  <c r="BB240" i="94"/>
  <c r="BB218" i="94"/>
  <c r="BB374" i="94" s="1"/>
  <c r="BB391" i="94" s="1"/>
  <c r="BB423" i="94"/>
  <c r="BB458" i="94" s="1"/>
  <c r="BB222" i="94"/>
  <c r="BB378" i="94" s="1"/>
  <c r="BB395" i="94" s="1"/>
  <c r="BB216" i="94"/>
  <c r="BB372" i="94" s="1"/>
  <c r="BB389" i="94" s="1"/>
  <c r="BB215" i="94"/>
  <c r="BB371" i="94" s="1"/>
  <c r="BB388" i="94" s="1"/>
  <c r="BB220" i="94"/>
  <c r="BB376" i="94" s="1"/>
  <c r="BB393" i="94" s="1"/>
  <c r="BB214" i="94"/>
  <c r="BB370" i="94" s="1"/>
  <c r="BB387" i="94" s="1"/>
  <c r="BL271" i="112" l="1"/>
  <c r="BB226" i="112"/>
  <c r="BH49" i="112"/>
  <c r="BH50" i="112" s="1"/>
  <c r="BB212" i="94"/>
  <c r="BB368" i="94" s="1"/>
  <c r="BB385" i="94" s="1"/>
  <c r="BB210" i="94"/>
  <c r="BB366" i="94" s="1"/>
  <c r="BB383" i="94" s="1"/>
  <c r="BI27" i="112"/>
  <c r="BI26" i="112"/>
  <c r="BI44" i="112"/>
  <c r="BE266" i="112"/>
  <c r="CC49" i="8"/>
  <c r="CB44" i="8"/>
  <c r="BE265" i="112"/>
  <c r="BA62" i="4"/>
  <c r="BA55" i="4"/>
  <c r="BB15" i="112"/>
  <c r="BB110" i="8" s="1"/>
  <c r="BB16" i="112"/>
  <c r="BB257" i="94"/>
  <c r="BB272" i="94" s="1"/>
  <c r="BB127" i="94"/>
  <c r="BB51" i="94"/>
  <c r="BM271" i="112" l="1"/>
  <c r="BI49" i="112"/>
  <c r="BI50" i="112" s="1"/>
  <c r="BI153" i="8" s="1"/>
  <c r="BB223" i="94"/>
  <c r="BB379" i="94" s="1"/>
  <c r="BB396" i="94" s="1"/>
  <c r="BI149" i="8"/>
  <c r="BI148" i="8"/>
  <c r="CD49" i="8"/>
  <c r="CC44" i="8"/>
  <c r="BB270" i="94"/>
  <c r="BB265" i="94"/>
  <c r="BB267" i="94"/>
  <c r="BB269" i="94"/>
  <c r="BB273" i="94"/>
  <c r="BB263" i="94"/>
  <c r="BB268" i="94"/>
  <c r="BB271" i="94"/>
  <c r="BB264" i="94"/>
  <c r="BB266" i="94"/>
  <c r="BB261" i="94"/>
  <c r="BA61" i="4"/>
  <c r="BA57" i="4"/>
  <c r="BB153" i="2"/>
  <c r="BB145" i="2"/>
  <c r="BB25" i="112"/>
  <c r="BB111" i="8"/>
  <c r="BB112" i="8"/>
  <c r="BB262" i="94"/>
  <c r="V797" i="111"/>
  <c r="BI154" i="8" l="1"/>
  <c r="BI155" i="8"/>
  <c r="BF26" i="112"/>
  <c r="BF27" i="112"/>
  <c r="BF44" i="112"/>
  <c r="CE49" i="8"/>
  <c r="CD44" i="8"/>
  <c r="BB274" i="94"/>
  <c r="BF49" i="112" l="1"/>
  <c r="BF50" i="112" s="1"/>
  <c r="BF153" i="8" s="1"/>
  <c r="BF155" i="8" s="1"/>
  <c r="BJ46" i="112"/>
  <c r="AZ19" i="2"/>
  <c r="BF148" i="8"/>
  <c r="BF149" i="8"/>
  <c r="CF49" i="8"/>
  <c r="CE44" i="8"/>
  <c r="AZ32" i="59"/>
  <c r="AZ68" i="8"/>
  <c r="AZ37" i="8"/>
  <c r="AZ45" i="8"/>
  <c r="AZ49" i="8"/>
  <c r="AZ53" i="8"/>
  <c r="AZ60" i="8"/>
  <c r="AZ63" i="8"/>
  <c r="AZ27" i="8"/>
  <c r="AZ34" i="8"/>
  <c r="AZ11" i="8"/>
  <c r="AZ17" i="8"/>
  <c r="AZ22" i="8"/>
  <c r="BF154" i="8" l="1"/>
  <c r="CG49" i="8"/>
  <c r="CF44" i="8"/>
  <c r="AZ44" i="8"/>
  <c r="AZ21" i="8"/>
  <c r="AZ13" i="8"/>
  <c r="AZ12" i="8"/>
  <c r="AZ48" i="8"/>
  <c r="AZ70" i="8"/>
  <c r="AZ69" i="8"/>
  <c r="AZ23" i="8"/>
  <c r="AZ59" i="8"/>
  <c r="AZ43" i="8"/>
  <c r="AZ65" i="8"/>
  <c r="AZ64" i="8"/>
  <c r="AZ50" i="8"/>
  <c r="AZ16" i="8"/>
  <c r="AZ58" i="8"/>
  <c r="AZ39" i="8"/>
  <c r="AZ38" i="8"/>
  <c r="AZ55" i="8"/>
  <c r="AZ54" i="8"/>
  <c r="AZ29" i="8"/>
  <c r="AZ33" i="8"/>
  <c r="AZ28" i="8"/>
  <c r="AZ32" i="8"/>
  <c r="AZ18" i="8"/>
  <c r="CH49" i="8" l="1"/>
  <c r="CG44" i="8"/>
  <c r="AZ156" i="2"/>
  <c r="AZ150" i="2"/>
  <c r="AZ152" i="2"/>
  <c r="AZ143" i="2"/>
  <c r="AZ144" i="2"/>
  <c r="AZ127" i="2"/>
  <c r="AZ131" i="2"/>
  <c r="AZ95" i="2"/>
  <c r="AZ80" i="2"/>
  <c r="AZ308" i="112"/>
  <c r="AZ299" i="112"/>
  <c r="AZ287" i="112"/>
  <c r="AZ283" i="112"/>
  <c r="AZ24" i="2" s="1"/>
  <c r="AZ228" i="112"/>
  <c r="AZ232" i="112"/>
  <c r="AZ196" i="112"/>
  <c r="AZ192" i="8" s="1"/>
  <c r="AZ141" i="112"/>
  <c r="AZ146" i="112"/>
  <c r="AZ150" i="112"/>
  <c r="AZ156" i="112"/>
  <c r="AZ157" i="112"/>
  <c r="AZ158" i="112"/>
  <c r="AZ105" i="112"/>
  <c r="AZ112" i="112"/>
  <c r="AZ76" i="112"/>
  <c r="AZ81" i="112"/>
  <c r="AZ85" i="112"/>
  <c r="AZ38" i="112"/>
  <c r="AZ14" i="112"/>
  <c r="AZ18" i="112"/>
  <c r="AZ64" i="2"/>
  <c r="AZ82" i="2" s="1"/>
  <c r="AZ104" i="4"/>
  <c r="AZ43" i="2"/>
  <c r="AZ66" i="4"/>
  <c r="AZ68" i="4"/>
  <c r="AZ69" i="4"/>
  <c r="AZ70" i="4"/>
  <c r="AZ71" i="4"/>
  <c r="AZ73" i="4"/>
  <c r="AZ74" i="4"/>
  <c r="AZ75" i="4"/>
  <c r="AZ76" i="4"/>
  <c r="AZ77" i="4"/>
  <c r="AZ95" i="4"/>
  <c r="AZ96" i="4"/>
  <c r="AZ97" i="4"/>
  <c r="AZ98" i="4"/>
  <c r="AZ64" i="4"/>
  <c r="AZ189" i="112" s="1"/>
  <c r="AZ52" i="4"/>
  <c r="AZ47" i="4"/>
  <c r="AZ48" i="4"/>
  <c r="AZ38" i="4"/>
  <c r="AZ39" i="4"/>
  <c r="AZ40" i="4"/>
  <c r="AZ41" i="4"/>
  <c r="AZ42" i="4"/>
  <c r="AZ43" i="4"/>
  <c r="AZ45" i="4"/>
  <c r="AZ17" i="4"/>
  <c r="AZ25" i="4"/>
  <c r="AZ26" i="4"/>
  <c r="AZ27" i="4"/>
  <c r="AZ32" i="4"/>
  <c r="AZ5" i="4"/>
  <c r="AZ14" i="4"/>
  <c r="AZ44" i="59"/>
  <c r="BA476" i="94"/>
  <c r="BA465" i="94"/>
  <c r="AZ155" i="112" s="1"/>
  <c r="BA464" i="94"/>
  <c r="AZ154" i="112" s="1"/>
  <c r="BA462" i="94"/>
  <c r="BA463" i="94"/>
  <c r="BA206" i="94"/>
  <c r="BA193" i="94"/>
  <c r="BA180" i="94"/>
  <c r="BA141" i="94"/>
  <c r="BA312" i="94"/>
  <c r="BA313" i="94"/>
  <c r="BA314" i="94"/>
  <c r="BA437" i="94" s="1"/>
  <c r="BA315" i="94"/>
  <c r="BA316" i="94"/>
  <c r="BA317" i="94"/>
  <c r="BA439" i="94" s="1"/>
  <c r="BA318" i="94"/>
  <c r="BA319" i="94"/>
  <c r="BA320" i="94"/>
  <c r="BA321" i="94"/>
  <c r="BA322" i="94"/>
  <c r="BA323" i="94"/>
  <c r="BA324" i="94"/>
  <c r="BA325" i="94"/>
  <c r="BA440" i="94" s="1"/>
  <c r="BA406" i="94"/>
  <c r="BA418" i="94"/>
  <c r="BA419" i="94"/>
  <c r="BA420" i="94"/>
  <c r="BA421" i="94"/>
  <c r="BA422" i="94"/>
  <c r="BA432" i="94"/>
  <c r="BA290" i="94"/>
  <c r="BA283" i="94"/>
  <c r="BA281" i="94"/>
  <c r="BA280" i="94"/>
  <c r="BA256" i="94"/>
  <c r="BA255" i="94"/>
  <c r="BA254" i="94"/>
  <c r="BA253" i="94"/>
  <c r="BA252" i="94"/>
  <c r="BA251" i="94"/>
  <c r="BA250" i="94"/>
  <c r="BA249" i="94"/>
  <c r="BA248" i="94"/>
  <c r="BA247" i="94"/>
  <c r="BA239" i="94"/>
  <c r="BA238" i="94"/>
  <c r="BA237" i="94"/>
  <c r="BA236" i="94"/>
  <c r="BA235" i="94"/>
  <c r="BA234" i="94"/>
  <c r="BA233" i="94"/>
  <c r="BA232" i="94"/>
  <c r="BA231" i="94"/>
  <c r="BA230" i="94"/>
  <c r="BA229" i="94"/>
  <c r="BA228" i="94"/>
  <c r="BA166" i="94"/>
  <c r="BA289" i="94" s="1"/>
  <c r="BA165" i="94"/>
  <c r="BA288" i="94" s="1"/>
  <c r="BA164" i="94"/>
  <c r="BA287" i="94" s="1"/>
  <c r="BA163" i="94"/>
  <c r="BA286" i="94" s="1"/>
  <c r="BA162" i="94"/>
  <c r="BA285" i="94" s="1"/>
  <c r="BA161" i="94"/>
  <c r="BA284" i="94" s="1"/>
  <c r="BA160" i="94"/>
  <c r="BA282" i="94" s="1"/>
  <c r="BA159" i="94"/>
  <c r="BA279" i="94" s="1"/>
  <c r="BA158" i="94"/>
  <c r="BA278" i="94" s="1"/>
  <c r="BA157" i="94"/>
  <c r="BA277" i="94" s="1"/>
  <c r="BA154" i="94"/>
  <c r="BA106" i="94"/>
  <c r="BA246" i="94" s="1"/>
  <c r="BA105" i="94"/>
  <c r="BA104" i="94"/>
  <c r="BA103" i="94"/>
  <c r="BA126" i="94" s="1"/>
  <c r="BA91" i="94"/>
  <c r="BA227" i="94" s="1"/>
  <c r="BA90" i="94"/>
  <c r="BA80" i="94"/>
  <c r="BA79" i="94"/>
  <c r="BA78" i="94"/>
  <c r="BA77" i="94"/>
  <c r="BA74" i="94"/>
  <c r="BA63" i="94"/>
  <c r="BA64" i="94"/>
  <c r="BA39" i="94"/>
  <c r="BA47" i="94" s="1"/>
  <c r="BA27" i="94"/>
  <c r="BA14" i="94"/>
  <c r="BA15" i="94"/>
  <c r="BA115" i="58"/>
  <c r="BA104" i="58"/>
  <c r="BA82" i="58"/>
  <c r="AZ45" i="112" s="1"/>
  <c r="AZ147" i="8" s="1"/>
  <c r="BA83" i="58"/>
  <c r="BA63" i="58"/>
  <c r="BA65" i="58"/>
  <c r="BA64" i="58"/>
  <c r="BA31" i="58"/>
  <c r="AZ33" i="4" s="1"/>
  <c r="AZ189" i="8" l="1"/>
  <c r="BD190" i="8" s="1"/>
  <c r="AZ216" i="112"/>
  <c r="AZ169" i="8"/>
  <c r="BD170" i="8" s="1"/>
  <c r="AZ132" i="112"/>
  <c r="AZ143" i="8"/>
  <c r="BD144" i="8" s="1"/>
  <c r="AZ67" i="112"/>
  <c r="BA137" i="4"/>
  <c r="AZ123" i="112"/>
  <c r="AZ207" i="112"/>
  <c r="AZ58" i="112"/>
  <c r="AZ60" i="112" s="1"/>
  <c r="AZ233" i="8" s="1"/>
  <c r="AZ130" i="2"/>
  <c r="AZ132" i="2" s="1"/>
  <c r="AZ311" i="112"/>
  <c r="AZ93" i="4"/>
  <c r="AZ63" i="2"/>
  <c r="AZ78" i="2" s="1"/>
  <c r="AZ116" i="2"/>
  <c r="AZ225" i="112"/>
  <c r="CI49" i="8"/>
  <c r="CH44" i="8"/>
  <c r="BA143" i="112"/>
  <c r="BA78" i="112"/>
  <c r="AZ148" i="2"/>
  <c r="AZ151" i="2" s="1"/>
  <c r="AZ172" i="8"/>
  <c r="AZ57" i="2"/>
  <c r="AZ108" i="2"/>
  <c r="BA105" i="2" s="1"/>
  <c r="AZ11" i="2"/>
  <c r="AZ8" i="2"/>
  <c r="AZ6" i="2"/>
  <c r="AZ65" i="2"/>
  <c r="AZ70" i="2" s="1"/>
  <c r="AZ48" i="2"/>
  <c r="AZ41" i="2"/>
  <c r="AZ15" i="2"/>
  <c r="AZ16" i="2" s="1"/>
  <c r="AZ264" i="8" s="1"/>
  <c r="AZ267" i="8" s="1"/>
  <c r="BD190" i="112"/>
  <c r="BD106" i="112"/>
  <c r="BA16" i="112"/>
  <c r="BD39" i="112"/>
  <c r="AZ72" i="4"/>
  <c r="AZ37" i="4"/>
  <c r="BA221" i="94"/>
  <c r="BA377" i="94" s="1"/>
  <c r="BA216" i="94"/>
  <c r="BA372" i="94" s="1"/>
  <c r="AZ45" i="59"/>
  <c r="BA220" i="94"/>
  <c r="BA376" i="94" s="1"/>
  <c r="BA222" i="94"/>
  <c r="BA378" i="94" s="1"/>
  <c r="BA436" i="94"/>
  <c r="BA453" i="94" s="1"/>
  <c r="BA410" i="94"/>
  <c r="BA412" i="94"/>
  <c r="BA414" i="94"/>
  <c r="BA411" i="94"/>
  <c r="BA413" i="94"/>
  <c r="BA77" i="112"/>
  <c r="AZ119" i="8"/>
  <c r="BD6" i="4"/>
  <c r="BA142" i="112"/>
  <c r="AZ130" i="8"/>
  <c r="BA218" i="94"/>
  <c r="BA374" i="94" s="1"/>
  <c r="AZ101" i="2"/>
  <c r="AZ142" i="2"/>
  <c r="BA151" i="112"/>
  <c r="BA137" i="8" s="1"/>
  <c r="BA152" i="112"/>
  <c r="BA20" i="112"/>
  <c r="BA19" i="112"/>
  <c r="BA115" i="8" s="1"/>
  <c r="BA148" i="112"/>
  <c r="BA147" i="112"/>
  <c r="BA132" i="8" s="1"/>
  <c r="BA15" i="112"/>
  <c r="BA110" i="8" s="1"/>
  <c r="BA83" i="112"/>
  <c r="BA92" i="112" s="1"/>
  <c r="BA82" i="112"/>
  <c r="BA121" i="8" s="1"/>
  <c r="BA87" i="112"/>
  <c r="BA86" i="112"/>
  <c r="BA126" i="8" s="1"/>
  <c r="AZ97" i="2"/>
  <c r="BA92" i="2"/>
  <c r="BA93" i="2" s="1"/>
  <c r="BA119" i="94"/>
  <c r="BA123" i="94"/>
  <c r="BA48" i="94"/>
  <c r="BA118" i="94"/>
  <c r="BA124" i="94"/>
  <c r="BA350" i="94"/>
  <c r="BA230" i="112"/>
  <c r="BA229" i="112"/>
  <c r="BA33" i="2" s="1"/>
  <c r="BA213" i="94"/>
  <c r="BA369" i="94" s="1"/>
  <c r="BA217" i="94"/>
  <c r="BA373" i="94" s="1"/>
  <c r="BA44" i="94"/>
  <c r="BA117" i="94"/>
  <c r="BA120" i="94"/>
  <c r="BA215" i="94"/>
  <c r="BA371" i="94" s="1"/>
  <c r="BA219" i="94"/>
  <c r="BA375" i="94" s="1"/>
  <c r="BA244" i="94"/>
  <c r="BA351" i="94"/>
  <c r="BA353" i="94"/>
  <c r="BA469" i="94"/>
  <c r="BA234" i="112"/>
  <c r="BA233" i="112"/>
  <c r="BA360" i="94"/>
  <c r="AZ162" i="112"/>
  <c r="AZ163" i="112"/>
  <c r="BA240" i="94"/>
  <c r="AZ164" i="112"/>
  <c r="BA212" i="94"/>
  <c r="BA368" i="94" s="1"/>
  <c r="AZ161" i="112"/>
  <c r="AZ165" i="112"/>
  <c r="BA245" i="94"/>
  <c r="AZ245" i="112"/>
  <c r="AZ278" i="112" s="1"/>
  <c r="AZ279" i="112" s="1"/>
  <c r="BA49" i="94"/>
  <c r="BA46" i="94"/>
  <c r="BA50" i="94"/>
  <c r="BA121" i="94"/>
  <c r="BA125" i="94"/>
  <c r="BA45" i="94"/>
  <c r="BA43" i="94"/>
  <c r="BA122" i="94"/>
  <c r="BA214" i="94"/>
  <c r="BA370" i="94" s="1"/>
  <c r="AZ78" i="4"/>
  <c r="AZ99" i="4"/>
  <c r="BA456" i="94"/>
  <c r="AZ98" i="2"/>
  <c r="BA423" i="94"/>
  <c r="BA354" i="94"/>
  <c r="BA359" i="94"/>
  <c r="BA358" i="94"/>
  <c r="BA357" i="94"/>
  <c r="BA356" i="94"/>
  <c r="BA167" i="94"/>
  <c r="BA355" i="94"/>
  <c r="BA352" i="94"/>
  <c r="BA349" i="94"/>
  <c r="BA348" i="94"/>
  <c r="BA347" i="94"/>
  <c r="BA291" i="94"/>
  <c r="BA457" i="94"/>
  <c r="BA326" i="94"/>
  <c r="BA454" i="94"/>
  <c r="BA438" i="94"/>
  <c r="BA67" i="58"/>
  <c r="BA13" i="58"/>
  <c r="BA8" i="58"/>
  <c r="BA6" i="58"/>
  <c r="AZ269" i="112" l="1"/>
  <c r="AZ272" i="112" s="1"/>
  <c r="AZ212" i="112"/>
  <c r="AZ213" i="112" s="1"/>
  <c r="AZ217" i="112"/>
  <c r="BD217" i="112"/>
  <c r="AZ128" i="112"/>
  <c r="AZ129" i="112" s="1"/>
  <c r="AZ133" i="112"/>
  <c r="BD133" i="112"/>
  <c r="AZ232" i="8"/>
  <c r="AZ63" i="112"/>
  <c r="AZ64" i="112" s="1"/>
  <c r="AZ68" i="112"/>
  <c r="BD68" i="112"/>
  <c r="AZ209" i="112"/>
  <c r="AZ245" i="8" s="1"/>
  <c r="AZ247" i="8" s="1"/>
  <c r="AZ244" i="8"/>
  <c r="AZ125" i="112"/>
  <c r="AZ239" i="8" s="1"/>
  <c r="AZ241" i="8" s="1"/>
  <c r="AZ238" i="8"/>
  <c r="BA226" i="112"/>
  <c r="AZ67" i="2"/>
  <c r="BA61" i="2" s="1"/>
  <c r="BA157" i="2"/>
  <c r="BA139" i="2"/>
  <c r="AZ46" i="59"/>
  <c r="AZ20" i="2"/>
  <c r="AZ21" i="2"/>
  <c r="CJ49" i="8"/>
  <c r="CI44" i="8"/>
  <c r="BE144" i="112"/>
  <c r="BE79" i="112"/>
  <c r="AZ109" i="2"/>
  <c r="AZ26" i="2"/>
  <c r="AZ28" i="2" s="1"/>
  <c r="AZ9" i="2"/>
  <c r="AZ259" i="8" s="1"/>
  <c r="AZ261" i="8" s="1"/>
  <c r="BA441" i="94"/>
  <c r="BA119" i="112"/>
  <c r="BE120" i="112" s="1"/>
  <c r="AZ79" i="4"/>
  <c r="BA386" i="94"/>
  <c r="BA391" i="94"/>
  <c r="BA390" i="94"/>
  <c r="BA389" i="94"/>
  <c r="AZ266" i="8"/>
  <c r="BA257" i="94"/>
  <c r="BA270" i="94" s="1"/>
  <c r="AZ296" i="112"/>
  <c r="AZ297" i="112" s="1"/>
  <c r="AZ247" i="112"/>
  <c r="AZ288" i="112"/>
  <c r="AZ7" i="2"/>
  <c r="AZ254" i="8" s="1"/>
  <c r="AZ255" i="8" s="1"/>
  <c r="AZ12" i="2"/>
  <c r="AZ165" i="2"/>
  <c r="BA203" i="112"/>
  <c r="BA133" i="8"/>
  <c r="BA134" i="8"/>
  <c r="BA122" i="8"/>
  <c r="BA123" i="8"/>
  <c r="BA116" i="8"/>
  <c r="BA117" i="8"/>
  <c r="AZ284" i="112"/>
  <c r="AZ285" i="112" s="1"/>
  <c r="AZ209" i="8" s="1"/>
  <c r="BA167" i="8"/>
  <c r="BA127" i="8"/>
  <c r="BA128" i="8"/>
  <c r="AZ10" i="2"/>
  <c r="AZ300" i="112"/>
  <c r="AZ224" i="8" s="1"/>
  <c r="AZ309" i="112"/>
  <c r="BA111" i="8"/>
  <c r="BA112" i="8"/>
  <c r="AZ267" i="112"/>
  <c r="BA153" i="2"/>
  <c r="BA145" i="2"/>
  <c r="BA138" i="8"/>
  <c r="BA139" i="8"/>
  <c r="BA76" i="2"/>
  <c r="BA94" i="2"/>
  <c r="BA387" i="94"/>
  <c r="BA51" i="94"/>
  <c r="BA127" i="94"/>
  <c r="BA210" i="94"/>
  <c r="BA366" i="94" s="1"/>
  <c r="BA383" i="94" s="1"/>
  <c r="BA388" i="94"/>
  <c r="AZ119" i="2"/>
  <c r="AZ120" i="2" s="1"/>
  <c r="BA111" i="2"/>
  <c r="BA385" i="94"/>
  <c r="AZ235" i="8"/>
  <c r="AZ236" i="8"/>
  <c r="AZ234" i="8"/>
  <c r="BA393" i="94"/>
  <c r="AZ117" i="2"/>
  <c r="AZ265" i="8"/>
  <c r="AZ238" i="112"/>
  <c r="BA211" i="94"/>
  <c r="AZ17" i="2"/>
  <c r="AZ100" i="4"/>
  <c r="BA394" i="94"/>
  <c r="BA395" i="94"/>
  <c r="BA392" i="94"/>
  <c r="BA298" i="94"/>
  <c r="BA304" i="94"/>
  <c r="BA299" i="94"/>
  <c r="BA305" i="94"/>
  <c r="BA300" i="94"/>
  <c r="BA306" i="94"/>
  <c r="BA301" i="94"/>
  <c r="BA307" i="94"/>
  <c r="BA296" i="94"/>
  <c r="BA302" i="94"/>
  <c r="BA308" i="94"/>
  <c r="BA297" i="94"/>
  <c r="BA303" i="94"/>
  <c r="BA295" i="94"/>
  <c r="BA361" i="94"/>
  <c r="BA330" i="94"/>
  <c r="BA336" i="94"/>
  <c r="BA342" i="94"/>
  <c r="BA331" i="94"/>
  <c r="BA337" i="94"/>
  <c r="BA343" i="94"/>
  <c r="BA340" i="94"/>
  <c r="BA334" i="94"/>
  <c r="BA333" i="94"/>
  <c r="BA339" i="94"/>
  <c r="BA332" i="94"/>
  <c r="BA335" i="94"/>
  <c r="BA338" i="94"/>
  <c r="BA341" i="94"/>
  <c r="BA455" i="94"/>
  <c r="BA12" i="58"/>
  <c r="AZ274" i="112" l="1"/>
  <c r="AZ275" i="112" s="1"/>
  <c r="AZ270" i="112"/>
  <c r="AZ240" i="8"/>
  <c r="AZ242" i="8"/>
  <c r="BA19" i="58"/>
  <c r="BA22" i="58" s="1"/>
  <c r="AZ260" i="8"/>
  <c r="CK49" i="8"/>
  <c r="CJ44" i="8"/>
  <c r="BE204" i="112"/>
  <c r="AZ262" i="8"/>
  <c r="BA268" i="94"/>
  <c r="BA271" i="94"/>
  <c r="BA448" i="94"/>
  <c r="BA273" i="94"/>
  <c r="BA269" i="94"/>
  <c r="BA261" i="94"/>
  <c r="BA445" i="94"/>
  <c r="BA449" i="94"/>
  <c r="BA447" i="94"/>
  <c r="BA446" i="94"/>
  <c r="BA458" i="94"/>
  <c r="BA98" i="112"/>
  <c r="BA108" i="112"/>
  <c r="AZ248" i="8"/>
  <c r="AZ246" i="8"/>
  <c r="BA267" i="94"/>
  <c r="BA272" i="94"/>
  <c r="BA262" i="94"/>
  <c r="BA265" i="94"/>
  <c r="BA264" i="94"/>
  <c r="BA263" i="94"/>
  <c r="BA266" i="94"/>
  <c r="AZ302" i="112"/>
  <c r="AZ303" i="112" s="1"/>
  <c r="AZ256" i="8"/>
  <c r="AZ257" i="8"/>
  <c r="BA192" i="112"/>
  <c r="BA174" i="112"/>
  <c r="BE175" i="112" s="1"/>
  <c r="BE204" i="8" s="1"/>
  <c r="AZ210" i="8"/>
  <c r="AZ212" i="8"/>
  <c r="AZ211" i="8"/>
  <c r="BA367" i="94"/>
  <c r="BA384" i="94" s="1"/>
  <c r="BA223" i="94"/>
  <c r="BA379" i="94" s="1"/>
  <c r="BA396" i="94" s="1"/>
  <c r="BA309" i="94"/>
  <c r="BA344" i="94"/>
  <c r="BA38" i="58" l="1"/>
  <c r="BA40" i="58" s="1"/>
  <c r="CK44" i="8"/>
  <c r="CL49" i="8"/>
  <c r="BE193" i="112"/>
  <c r="BE197" i="112" s="1"/>
  <c r="BE109" i="112"/>
  <c r="BE205" i="8"/>
  <c r="BE206" i="8"/>
  <c r="BA450" i="94"/>
  <c r="BA274" i="94"/>
  <c r="BA170" i="112"/>
  <c r="CL50" i="8" l="1"/>
  <c r="CM49" i="8"/>
  <c r="CL48" i="8"/>
  <c r="CL44" i="8"/>
  <c r="BE171" i="112"/>
  <c r="CM48" i="8" l="1"/>
  <c r="CN49" i="8"/>
  <c r="CM50" i="8"/>
  <c r="CM44" i="8"/>
  <c r="CL43" i="8"/>
  <c r="CL45" i="8"/>
  <c r="BE193" i="8"/>
  <c r="BE194" i="8"/>
  <c r="CM43" i="8" l="1"/>
  <c r="CM45" i="8"/>
  <c r="CN50" i="8"/>
  <c r="CO49" i="8"/>
  <c r="CN48" i="8"/>
  <c r="CN44" i="8"/>
  <c r="CO48" i="8" l="1"/>
  <c r="CO50" i="8"/>
  <c r="CP49" i="8"/>
  <c r="CQ49" i="8" s="1"/>
  <c r="CO44" i="8"/>
  <c r="CN45" i="8"/>
  <c r="CN43" i="8"/>
  <c r="CQ50" i="8" l="1"/>
  <c r="CR49" i="8"/>
  <c r="CQ48" i="8"/>
  <c r="CQ44" i="8"/>
  <c r="CO45" i="8"/>
  <c r="CO43" i="8"/>
  <c r="CP48" i="8"/>
  <c r="CP50" i="8"/>
  <c r="CP44" i="8"/>
  <c r="AT205" i="94"/>
  <c r="CQ45" i="8" l="1"/>
  <c r="CQ43" i="8"/>
  <c r="CR50" i="8"/>
  <c r="CS49" i="8"/>
  <c r="CR48" i="8"/>
  <c r="CR44" i="8"/>
  <c r="CP43" i="8"/>
  <c r="CP45" i="8"/>
  <c r="CT49" i="8" l="1"/>
  <c r="CS48" i="8"/>
  <c r="CS50" i="8"/>
  <c r="CS44" i="8"/>
  <c r="CR45" i="8"/>
  <c r="CR43" i="8"/>
  <c r="AV73" i="94"/>
  <c r="AV72" i="94"/>
  <c r="AV71" i="94"/>
  <c r="AV70" i="94"/>
  <c r="AV69" i="94"/>
  <c r="AV68" i="94"/>
  <c r="AV67" i="94"/>
  <c r="AV66" i="94"/>
  <c r="AV65" i="94"/>
  <c r="AV179" i="94"/>
  <c r="AV178" i="94"/>
  <c r="AV174" i="94"/>
  <c r="AV173" i="94"/>
  <c r="AV172" i="94"/>
  <c r="AV171" i="94"/>
  <c r="AV170" i="94"/>
  <c r="AU173" i="94"/>
  <c r="AV192" i="94"/>
  <c r="AV189" i="94"/>
  <c r="AV188" i="94"/>
  <c r="AV185" i="94"/>
  <c r="AV184" i="94"/>
  <c r="AV183" i="94"/>
  <c r="AV205" i="94"/>
  <c r="AV204" i="94"/>
  <c r="AV202" i="94"/>
  <c r="AV200" i="94"/>
  <c r="AV199" i="94"/>
  <c r="AV198" i="94"/>
  <c r="AV197" i="94"/>
  <c r="AV196" i="94"/>
  <c r="CS45" i="8" l="1"/>
  <c r="CS43" i="8"/>
  <c r="CU49" i="8"/>
  <c r="CV49" i="8" s="1"/>
  <c r="CT50" i="8"/>
  <c r="CT48" i="8"/>
  <c r="CT44" i="8"/>
  <c r="AU314" i="94"/>
  <c r="AV316" i="94"/>
  <c r="AU325" i="94"/>
  <c r="AY70" i="8"/>
  <c r="AY58" i="8"/>
  <c r="AY50" i="8"/>
  <c r="AY39" i="8"/>
  <c r="AY34" i="8"/>
  <c r="AY27" i="8"/>
  <c r="AY18" i="8"/>
  <c r="AY11" i="8"/>
  <c r="AY8" i="8"/>
  <c r="AY104" i="4"/>
  <c r="AY98" i="4"/>
  <c r="AY97" i="4"/>
  <c r="AY96" i="4"/>
  <c r="AY95" i="4"/>
  <c r="AY77" i="4"/>
  <c r="AY76" i="4"/>
  <c r="AY75" i="4"/>
  <c r="AY74" i="4"/>
  <c r="AY73" i="4"/>
  <c r="AY71" i="4"/>
  <c r="AY70" i="4"/>
  <c r="AY69" i="4"/>
  <c r="AY68" i="4"/>
  <c r="AY66" i="4"/>
  <c r="AY64" i="4"/>
  <c r="AY189" i="112" s="1"/>
  <c r="AY216" i="112" s="1"/>
  <c r="AY52" i="4"/>
  <c r="AY48" i="4"/>
  <c r="AY47" i="4"/>
  <c r="AY45" i="4"/>
  <c r="AY43" i="4"/>
  <c r="AY42" i="4"/>
  <c r="AY41" i="4"/>
  <c r="AY40" i="4"/>
  <c r="AY39" i="4"/>
  <c r="AY38" i="4"/>
  <c r="AY32" i="4"/>
  <c r="AY27" i="4"/>
  <c r="AY26" i="4"/>
  <c r="AY25" i="4"/>
  <c r="AY17" i="4"/>
  <c r="AY14" i="4"/>
  <c r="AY5" i="4"/>
  <c r="AY4" i="4"/>
  <c r="AY3" i="4" s="1"/>
  <c r="AY308" i="112"/>
  <c r="AY299" i="112"/>
  <c r="AY16" i="4" s="1"/>
  <c r="AY287" i="112"/>
  <c r="AY286" i="112"/>
  <c r="AY283" i="112"/>
  <c r="AY282" i="112"/>
  <c r="AY232" i="112"/>
  <c r="AY228" i="112"/>
  <c r="AY196" i="112"/>
  <c r="AY192" i="8" s="1"/>
  <c r="AY158" i="112"/>
  <c r="AY157" i="112"/>
  <c r="AY156" i="112"/>
  <c r="AY155" i="112"/>
  <c r="AY154" i="112"/>
  <c r="AY150" i="112"/>
  <c r="AY146" i="112"/>
  <c r="AY141" i="112"/>
  <c r="AY112" i="112"/>
  <c r="AY105" i="112"/>
  <c r="AY85" i="112"/>
  <c r="AY81" i="112"/>
  <c r="AY76" i="112"/>
  <c r="AY38" i="112"/>
  <c r="AY67" i="112" s="1"/>
  <c r="AY18" i="112"/>
  <c r="AY14" i="112"/>
  <c r="AY9" i="112"/>
  <c r="AY3" i="112"/>
  <c r="AY156" i="2"/>
  <c r="AY152" i="2"/>
  <c r="AY150" i="2"/>
  <c r="AY144" i="2"/>
  <c r="AY143" i="2"/>
  <c r="AY131" i="2"/>
  <c r="AY127" i="2"/>
  <c r="AY100" i="2"/>
  <c r="AY95" i="2"/>
  <c r="AZ92" i="2" s="1"/>
  <c r="AZ93" i="2" s="1"/>
  <c r="AZ94" i="2" s="1"/>
  <c r="AY80" i="2"/>
  <c r="AY60" i="2"/>
  <c r="AY30" i="2"/>
  <c r="AY4" i="2"/>
  <c r="AY3" i="2" s="1"/>
  <c r="AZ476" i="94"/>
  <c r="AZ463" i="94"/>
  <c r="AZ462" i="94"/>
  <c r="AZ432" i="94"/>
  <c r="AZ422" i="94"/>
  <c r="AZ421" i="94"/>
  <c r="AZ420" i="94"/>
  <c r="AZ419" i="94"/>
  <c r="AZ418" i="94"/>
  <c r="AZ404" i="94"/>
  <c r="AZ406" i="94" s="1"/>
  <c r="AZ322" i="94"/>
  <c r="AZ320" i="94"/>
  <c r="AZ255" i="94"/>
  <c r="AZ254" i="94"/>
  <c r="AZ252" i="94"/>
  <c r="AZ251" i="94"/>
  <c r="AZ250" i="94"/>
  <c r="AZ249" i="94"/>
  <c r="AZ248" i="94"/>
  <c r="AZ247" i="94"/>
  <c r="AZ238" i="94"/>
  <c r="AZ237" i="94"/>
  <c r="AZ236" i="94"/>
  <c r="AZ235" i="94"/>
  <c r="AZ234" i="94"/>
  <c r="AZ233" i="94"/>
  <c r="AZ232" i="94"/>
  <c r="AZ231" i="94"/>
  <c r="AZ230" i="94"/>
  <c r="AZ229" i="94"/>
  <c r="AZ228" i="94"/>
  <c r="AZ324" i="94"/>
  <c r="AZ323" i="94"/>
  <c r="AZ321" i="94"/>
  <c r="AZ319" i="94"/>
  <c r="AZ314" i="94"/>
  <c r="AZ313" i="94"/>
  <c r="AZ312" i="94"/>
  <c r="AZ193" i="94"/>
  <c r="AZ180" i="94"/>
  <c r="AZ165" i="94"/>
  <c r="AZ288" i="94" s="1"/>
  <c r="AZ159" i="94"/>
  <c r="AZ279" i="94" s="1"/>
  <c r="AZ154" i="94"/>
  <c r="AZ140" i="94"/>
  <c r="AZ166" i="94" s="1"/>
  <c r="AZ289" i="94" s="1"/>
  <c r="AZ164" i="94"/>
  <c r="AZ287" i="94" s="1"/>
  <c r="AZ163" i="94"/>
  <c r="AZ286" i="94" s="1"/>
  <c r="AZ162" i="94"/>
  <c r="AZ285" i="94" s="1"/>
  <c r="AZ160" i="94"/>
  <c r="AZ282" i="94" s="1"/>
  <c r="AZ161" i="94"/>
  <c r="AZ284" i="94" s="1"/>
  <c r="AZ158" i="94"/>
  <c r="AZ278" i="94" s="1"/>
  <c r="AZ157" i="94"/>
  <c r="AZ113" i="94"/>
  <c r="AZ110" i="94"/>
  <c r="AZ253" i="94" s="1"/>
  <c r="AZ106" i="94"/>
  <c r="AZ105" i="94"/>
  <c r="AZ104" i="94"/>
  <c r="AZ244" i="94" s="1"/>
  <c r="AZ103" i="94"/>
  <c r="AZ120" i="94" s="1"/>
  <c r="AZ100" i="94"/>
  <c r="AZ239" i="94" s="1"/>
  <c r="AZ91" i="94"/>
  <c r="AZ227" i="94" s="1"/>
  <c r="AZ90" i="94"/>
  <c r="AZ87" i="94"/>
  <c r="AZ84" i="94"/>
  <c r="AZ80" i="94"/>
  <c r="AZ79" i="94"/>
  <c r="AZ78" i="94"/>
  <c r="AZ77" i="94"/>
  <c r="AZ318" i="94"/>
  <c r="AZ325" i="94"/>
  <c r="AZ317" i="94"/>
  <c r="AZ316" i="94"/>
  <c r="AZ64" i="94"/>
  <c r="AZ74" i="94"/>
  <c r="AZ283" i="94"/>
  <c r="AZ290" i="94"/>
  <c r="AZ281" i="94"/>
  <c r="AZ280" i="94"/>
  <c r="AZ63" i="94"/>
  <c r="AZ39" i="94"/>
  <c r="AZ45" i="94" s="1"/>
  <c r="AZ38" i="94"/>
  <c r="AZ27" i="94"/>
  <c r="AZ15" i="94"/>
  <c r="AZ14" i="94"/>
  <c r="BG41" i="60"/>
  <c r="BG39" i="60"/>
  <c r="BG35" i="60"/>
  <c r="BG32" i="60"/>
  <c r="BH32" i="60" s="1"/>
  <c r="BI32" i="60" s="1"/>
  <c r="BG34" i="60"/>
  <c r="AY130" i="4" s="1"/>
  <c r="BG28" i="60"/>
  <c r="AY128" i="4" s="1"/>
  <c r="BG22" i="60"/>
  <c r="AY120" i="4" s="1"/>
  <c r="BG21" i="60"/>
  <c r="AY119" i="4" s="1"/>
  <c r="BG17" i="60"/>
  <c r="AY115" i="4" s="1"/>
  <c r="BG16" i="60"/>
  <c r="AY114" i="4" s="1"/>
  <c r="BG15" i="60"/>
  <c r="AY113" i="4" s="1"/>
  <c r="BG14" i="60"/>
  <c r="AY112" i="4" s="1"/>
  <c r="BG13" i="60"/>
  <c r="AY111" i="4" s="1"/>
  <c r="BG11" i="60"/>
  <c r="BH11" i="60" s="1"/>
  <c r="BI11" i="60" s="1"/>
  <c r="BG10" i="60"/>
  <c r="BG8" i="60"/>
  <c r="AY107" i="4" s="1"/>
  <c r="BG9" i="60"/>
  <c r="AY108" i="4" s="1"/>
  <c r="BG5" i="60"/>
  <c r="AY66" i="59"/>
  <c r="AZ66" i="59" s="1"/>
  <c r="AZ115" i="58"/>
  <c r="AZ93" i="58"/>
  <c r="AZ84" i="58"/>
  <c r="BA84" i="58" s="1"/>
  <c r="BB84" i="58" s="1"/>
  <c r="AZ104" i="58"/>
  <c r="AY138" i="4" l="1"/>
  <c r="AY217" i="112"/>
  <c r="BC217" i="112"/>
  <c r="AY169" i="8"/>
  <c r="BC170" i="8" s="1"/>
  <c r="AY132" i="112"/>
  <c r="AY68" i="112"/>
  <c r="BC68" i="112"/>
  <c r="AZ11" i="112"/>
  <c r="BD12" i="112" s="1"/>
  <c r="AY172" i="8"/>
  <c r="AZ143" i="112"/>
  <c r="BD144" i="112" s="1"/>
  <c r="AZ78" i="112"/>
  <c r="BD79" i="112" s="1"/>
  <c r="BC6" i="4"/>
  <c r="AZ137" i="4"/>
  <c r="AY123" i="4"/>
  <c r="AY131" i="4"/>
  <c r="AY132" i="4" s="1"/>
  <c r="BH10" i="60"/>
  <c r="AY10" i="4"/>
  <c r="AY24" i="2"/>
  <c r="AY208" i="8"/>
  <c r="AY253" i="8" s="1"/>
  <c r="AY269" i="8" s="1"/>
  <c r="AY7" i="8"/>
  <c r="AY225" i="112"/>
  <c r="AY116" i="2"/>
  <c r="CV50" i="8"/>
  <c r="CV48" i="8"/>
  <c r="CW49" i="8"/>
  <c r="CV44" i="8"/>
  <c r="CU50" i="8"/>
  <c r="CU48" i="8"/>
  <c r="CU44" i="8"/>
  <c r="CT43" i="8"/>
  <c r="CT45" i="8"/>
  <c r="AY143" i="8"/>
  <c r="AY189" i="8"/>
  <c r="AY15" i="4"/>
  <c r="AY148" i="2"/>
  <c r="AY151" i="2" s="1"/>
  <c r="AY130" i="8"/>
  <c r="AY119" i="8"/>
  <c r="BC106" i="112"/>
  <c r="AY108" i="8"/>
  <c r="AZ220" i="94"/>
  <c r="AZ376" i="94" s="1"/>
  <c r="BG25" i="60"/>
  <c r="BG36" i="60"/>
  <c r="AZ214" i="94"/>
  <c r="AZ370" i="94" s="1"/>
  <c r="AZ410" i="94"/>
  <c r="AZ411" i="94"/>
  <c r="AZ413" i="94"/>
  <c r="AZ414" i="94"/>
  <c r="AY32" i="59"/>
  <c r="BH39" i="60"/>
  <c r="BI39" i="60" s="1"/>
  <c r="BH5" i="60"/>
  <c r="AZ412" i="94"/>
  <c r="BC39" i="112"/>
  <c r="BC190" i="112"/>
  <c r="AY142" i="2"/>
  <c r="AZ213" i="94"/>
  <c r="AZ369" i="94" s="1"/>
  <c r="AZ50" i="94"/>
  <c r="AZ256" i="94"/>
  <c r="AZ222" i="94" s="1"/>
  <c r="AZ378" i="94" s="1"/>
  <c r="AZ118" i="94"/>
  <c r="AZ121" i="94"/>
  <c r="AZ46" i="94"/>
  <c r="AZ119" i="94"/>
  <c r="BG6" i="60"/>
  <c r="BG12" i="60" s="1"/>
  <c r="BG18" i="60" s="1"/>
  <c r="AY55" i="112"/>
  <c r="BA93" i="58"/>
  <c r="AZ10" i="112"/>
  <c r="AY141" i="2"/>
  <c r="AY159" i="2" s="1"/>
  <c r="AY160" i="2" s="1"/>
  <c r="BH15" i="60"/>
  <c r="AZ113" i="4" s="1"/>
  <c r="BH22" i="60"/>
  <c r="AZ120" i="4" s="1"/>
  <c r="BH35" i="60"/>
  <c r="AZ131" i="4" s="1"/>
  <c r="AZ240" i="94"/>
  <c r="AZ216" i="94"/>
  <c r="AZ372" i="94" s="1"/>
  <c r="AZ469" i="94"/>
  <c r="AY9" i="4"/>
  <c r="AZ152" i="112"/>
  <c r="AZ151" i="112"/>
  <c r="AZ137" i="8" s="1"/>
  <c r="AZ234" i="112"/>
  <c r="AZ233" i="112"/>
  <c r="AY99" i="4"/>
  <c r="BH16" i="60"/>
  <c r="AZ114" i="4" s="1"/>
  <c r="BH28" i="60"/>
  <c r="AZ128" i="4" s="1"/>
  <c r="AZ77" i="112"/>
  <c r="BH9" i="60"/>
  <c r="AZ108" i="4" s="1"/>
  <c r="BH17" i="60"/>
  <c r="AZ115" i="4" s="1"/>
  <c r="BH41" i="60"/>
  <c r="AZ15" i="112"/>
  <c r="AZ110" i="8" s="1"/>
  <c r="AZ16" i="112"/>
  <c r="AZ82" i="112"/>
  <c r="AZ121" i="8" s="1"/>
  <c r="AZ83" i="112"/>
  <c r="AZ142" i="112"/>
  <c r="AY37" i="4"/>
  <c r="BH13" i="60"/>
  <c r="AZ111" i="4" s="1"/>
  <c r="BH34" i="60"/>
  <c r="AZ130" i="4" s="1"/>
  <c r="BH8" i="60"/>
  <c r="AZ107" i="4" s="1"/>
  <c r="BH14" i="60"/>
  <c r="AZ112" i="4" s="1"/>
  <c r="BH21" i="60"/>
  <c r="AZ119" i="4" s="1"/>
  <c r="AZ20" i="112"/>
  <c r="AZ19" i="112"/>
  <c r="AZ115" i="8" s="1"/>
  <c r="AZ87" i="112"/>
  <c r="AZ86" i="112"/>
  <c r="AZ126" i="8" s="1"/>
  <c r="AZ148" i="112"/>
  <c r="AZ147" i="112"/>
  <c r="AZ132" i="8" s="1"/>
  <c r="AZ230" i="112"/>
  <c r="AZ241" i="112" s="1"/>
  <c r="AZ229" i="112"/>
  <c r="AZ33" i="2" s="1"/>
  <c r="AY65" i="8"/>
  <c r="AY43" i="8"/>
  <c r="AY55" i="8"/>
  <c r="AZ217" i="94"/>
  <c r="AZ373" i="94" s="1"/>
  <c r="AZ358" i="94"/>
  <c r="AZ359" i="94"/>
  <c r="AZ348" i="94"/>
  <c r="AZ167" i="94"/>
  <c r="AZ277" i="94"/>
  <c r="AZ351" i="94"/>
  <c r="AZ353" i="94"/>
  <c r="AZ356" i="94"/>
  <c r="AZ436" i="94"/>
  <c r="AZ437" i="94"/>
  <c r="AZ349" i="94"/>
  <c r="AZ439" i="94"/>
  <c r="AZ352" i="94"/>
  <c r="AZ355" i="94"/>
  <c r="AZ360" i="94"/>
  <c r="AZ440" i="94"/>
  <c r="AZ354" i="94"/>
  <c r="AZ245" i="94"/>
  <c r="AY231" i="8"/>
  <c r="AZ47" i="94"/>
  <c r="AZ122" i="94"/>
  <c r="AZ206" i="94"/>
  <c r="AZ219" i="94"/>
  <c r="AZ375" i="94" s="1"/>
  <c r="AZ246" i="94"/>
  <c r="AZ218" i="94"/>
  <c r="AZ374" i="94" s="1"/>
  <c r="AY78" i="4"/>
  <c r="AY321" i="8"/>
  <c r="AZ48" i="94"/>
  <c r="AZ117" i="94"/>
  <c r="AZ123" i="94"/>
  <c r="AZ315" i="94"/>
  <c r="AZ326" i="94" s="1"/>
  <c r="AY72" i="4"/>
  <c r="AZ43" i="94"/>
  <c r="AZ49" i="94"/>
  <c r="AZ124" i="94"/>
  <c r="AY161" i="112"/>
  <c r="AY60" i="4"/>
  <c r="AY78" i="8"/>
  <c r="AZ44" i="94"/>
  <c r="AZ125" i="94"/>
  <c r="AZ141" i="94"/>
  <c r="AZ215" i="94"/>
  <c r="AZ371" i="94" s="1"/>
  <c r="AZ221" i="94"/>
  <c r="AZ377" i="94" s="1"/>
  <c r="AY141" i="8"/>
  <c r="AZ126" i="94"/>
  <c r="AZ357" i="94"/>
  <c r="AY7" i="4"/>
  <c r="AY185" i="112"/>
  <c r="AY28" i="8"/>
  <c r="AY29" i="8"/>
  <c r="AY45" i="8"/>
  <c r="AY59" i="8"/>
  <c r="AY12" i="8"/>
  <c r="AY13" i="8"/>
  <c r="AY44" i="8"/>
  <c r="AY60" i="8"/>
  <c r="AY186" i="112"/>
  <c r="AY21" i="8"/>
  <c r="AY37" i="8"/>
  <c r="AY53" i="8"/>
  <c r="AY68" i="8"/>
  <c r="AY125" i="2"/>
  <c r="AY163" i="2"/>
  <c r="AY22" i="8"/>
  <c r="AY38" i="8"/>
  <c r="AY54" i="8"/>
  <c r="AY69" i="8"/>
  <c r="AY126" i="2"/>
  <c r="AY164" i="2"/>
  <c r="AY16" i="8"/>
  <c r="AY23" i="8"/>
  <c r="AY32" i="8"/>
  <c r="AY48" i="8"/>
  <c r="AY63" i="8"/>
  <c r="AY17" i="8"/>
  <c r="AY33" i="8"/>
  <c r="AY49" i="8"/>
  <c r="AY64" i="8"/>
  <c r="AY47" i="112"/>
  <c r="AY184" i="112"/>
  <c r="AY8" i="4"/>
  <c r="AY162" i="112"/>
  <c r="AY163" i="112"/>
  <c r="AY164" i="112"/>
  <c r="AY165" i="112"/>
  <c r="AY97" i="2"/>
  <c r="AY98" i="2"/>
  <c r="AZ423" i="94"/>
  <c r="AZ210" i="94"/>
  <c r="AZ83" i="58"/>
  <c r="AZ82" i="58"/>
  <c r="AY45" i="112" s="1"/>
  <c r="AY147" i="8" s="1"/>
  <c r="AZ67" i="58"/>
  <c r="AV67" i="58"/>
  <c r="AZ35" i="58"/>
  <c r="AZ31" i="58"/>
  <c r="AY33" i="4" s="1"/>
  <c r="AZ138" i="4" l="1"/>
  <c r="AY133" i="112"/>
  <c r="BC133" i="112"/>
  <c r="AZ226" i="112"/>
  <c r="AY29" i="4"/>
  <c r="AY11" i="4"/>
  <c r="AY12" i="4" s="1"/>
  <c r="AY31" i="4"/>
  <c r="AY30" i="4"/>
  <c r="AZ157" i="2"/>
  <c r="AZ139" i="2"/>
  <c r="AY46" i="59"/>
  <c r="AZ123" i="4"/>
  <c r="AZ132" i="4"/>
  <c r="BI10" i="60"/>
  <c r="CV43" i="8"/>
  <c r="CV45" i="8"/>
  <c r="CW48" i="8"/>
  <c r="CW50" i="8"/>
  <c r="CW44" i="8"/>
  <c r="CU43" i="8"/>
  <c r="CU45" i="8"/>
  <c r="BC190" i="8"/>
  <c r="BC144" i="8"/>
  <c r="AY100" i="4"/>
  <c r="BC56" i="112"/>
  <c r="BG38" i="60"/>
  <c r="BH25" i="60"/>
  <c r="AZ387" i="94"/>
  <c r="BH36" i="60"/>
  <c r="AZ394" i="94"/>
  <c r="AY79" i="4"/>
  <c r="AZ51" i="94"/>
  <c r="BI5" i="60"/>
  <c r="AZ119" i="112"/>
  <c r="AZ108" i="112" s="1"/>
  <c r="AZ389" i="94"/>
  <c r="BH6" i="60"/>
  <c r="BH12" i="60" s="1"/>
  <c r="BH18" i="60" s="1"/>
  <c r="BI21" i="60"/>
  <c r="BA119" i="4" s="1"/>
  <c r="BI13" i="60"/>
  <c r="BA111" i="4" s="1"/>
  <c r="BI9" i="60"/>
  <c r="BA108" i="4" s="1"/>
  <c r="BI22" i="60"/>
  <c r="BA120" i="4" s="1"/>
  <c r="AZ49" i="2"/>
  <c r="AZ145" i="2"/>
  <c r="AZ153" i="2"/>
  <c r="AZ127" i="8"/>
  <c r="AZ128" i="8"/>
  <c r="BI8" i="60"/>
  <c r="BA107" i="4" s="1"/>
  <c r="BI41" i="60"/>
  <c r="BI28" i="60"/>
  <c r="BA128" i="4" s="1"/>
  <c r="AZ203" i="112"/>
  <c r="BA66" i="59"/>
  <c r="BA141" i="2" s="1"/>
  <c r="AZ141" i="2"/>
  <c r="AZ159" i="2" s="1"/>
  <c r="AZ160" i="2" s="1"/>
  <c r="BB93" i="58"/>
  <c r="BA55" i="112" s="1"/>
  <c r="AZ55" i="112"/>
  <c r="AZ111" i="8"/>
  <c r="AZ112" i="8"/>
  <c r="AZ138" i="8"/>
  <c r="AZ139" i="8"/>
  <c r="AZ133" i="8"/>
  <c r="AZ134" i="8"/>
  <c r="AZ116" i="8"/>
  <c r="AZ117" i="8"/>
  <c r="BI14" i="60"/>
  <c r="BA112" i="4" s="1"/>
  <c r="BI34" i="60"/>
  <c r="BA130" i="4" s="1"/>
  <c r="AZ123" i="8"/>
  <c r="AZ122" i="8"/>
  <c r="BI17" i="60"/>
  <c r="BA115" i="4" s="1"/>
  <c r="BI16" i="60"/>
  <c r="BA114" i="4" s="1"/>
  <c r="BI35" i="60"/>
  <c r="BA131" i="4" s="1"/>
  <c r="BI15" i="60"/>
  <c r="BA113" i="4" s="1"/>
  <c r="AZ392" i="94"/>
  <c r="AZ395" i="94"/>
  <c r="AZ391" i="94"/>
  <c r="AZ127" i="94"/>
  <c r="AZ388" i="94"/>
  <c r="AZ332" i="94"/>
  <c r="AZ330" i="94"/>
  <c r="AZ334" i="94"/>
  <c r="AZ340" i="94"/>
  <c r="AZ337" i="94"/>
  <c r="AZ343" i="94"/>
  <c r="AZ331" i="94"/>
  <c r="AZ333" i="94"/>
  <c r="AZ336" i="94"/>
  <c r="AZ335" i="94"/>
  <c r="AZ342" i="94"/>
  <c r="AZ339" i="94"/>
  <c r="AZ341" i="94"/>
  <c r="AZ338" i="94"/>
  <c r="AZ453" i="94"/>
  <c r="AZ390" i="94"/>
  <c r="AZ457" i="94"/>
  <c r="AZ212" i="94"/>
  <c r="AZ368" i="94" s="1"/>
  <c r="AZ385" i="94" s="1"/>
  <c r="AZ454" i="94"/>
  <c r="AZ456" i="94"/>
  <c r="AZ291" i="94"/>
  <c r="AZ361" i="94" s="1"/>
  <c r="AZ366" i="94"/>
  <c r="AZ438" i="94"/>
  <c r="AZ350" i="94"/>
  <c r="AZ386" i="94" s="1"/>
  <c r="AZ211" i="94"/>
  <c r="AZ367" i="94" s="1"/>
  <c r="AZ384" i="94" s="1"/>
  <c r="AZ393" i="94"/>
  <c r="AZ347" i="94"/>
  <c r="AZ257" i="94"/>
  <c r="AZ262" i="94" s="1"/>
  <c r="AY183" i="112"/>
  <c r="AZ13" i="58"/>
  <c r="AZ8" i="58"/>
  <c r="AZ6" i="58"/>
  <c r="AY20" i="4" l="1"/>
  <c r="AY18" i="4"/>
  <c r="BA159" i="2"/>
  <c r="BA160" i="2" s="1"/>
  <c r="BA123" i="4"/>
  <c r="BA132" i="4"/>
  <c r="BA109" i="4"/>
  <c r="BA116" i="4" s="1"/>
  <c r="BA138" i="4"/>
  <c r="V29" i="76" s="1"/>
  <c r="AZ38" i="2"/>
  <c r="CW43" i="8"/>
  <c r="CW45" i="8"/>
  <c r="BE56" i="112"/>
  <c r="BD204" i="112"/>
  <c r="BD109" i="112"/>
  <c r="BD120" i="112"/>
  <c r="BD56" i="112"/>
  <c r="BH38" i="60"/>
  <c r="BI25" i="60"/>
  <c r="BI6" i="60"/>
  <c r="BI12" i="60" s="1"/>
  <c r="BI18" i="60" s="1"/>
  <c r="BA33" i="112"/>
  <c r="BA263" i="112"/>
  <c r="BE264" i="112" s="1"/>
  <c r="BI36" i="60"/>
  <c r="AZ263" i="94"/>
  <c r="AZ12" i="58"/>
  <c r="AZ42" i="2"/>
  <c r="AZ31" i="2" s="1"/>
  <c r="AZ263" i="112"/>
  <c r="BD264" i="112" s="1"/>
  <c r="AZ192" i="112"/>
  <c r="AZ50" i="2"/>
  <c r="AZ223" i="94"/>
  <c r="AZ379" i="94" s="1"/>
  <c r="AZ396" i="94" s="1"/>
  <c r="AZ344" i="94"/>
  <c r="AZ295" i="94"/>
  <c r="AZ455" i="94"/>
  <c r="AZ441" i="94"/>
  <c r="AZ383" i="94"/>
  <c r="AZ299" i="94"/>
  <c r="AZ308" i="94"/>
  <c r="AZ305" i="94"/>
  <c r="AZ298" i="94"/>
  <c r="AZ307" i="94"/>
  <c r="AZ303" i="94"/>
  <c r="AZ304" i="94"/>
  <c r="AZ306" i="94"/>
  <c r="AZ300" i="94"/>
  <c r="AZ296" i="94"/>
  <c r="AZ297" i="94"/>
  <c r="AZ301" i="94"/>
  <c r="AZ302" i="94"/>
  <c r="AZ267" i="94"/>
  <c r="AZ261" i="94"/>
  <c r="AZ273" i="94"/>
  <c r="AZ266" i="94"/>
  <c r="AZ264" i="94"/>
  <c r="AZ265" i="94"/>
  <c r="AZ270" i="94"/>
  <c r="AZ268" i="94"/>
  <c r="AZ272" i="94"/>
  <c r="AZ271" i="94"/>
  <c r="AZ269" i="94"/>
  <c r="AY19" i="4"/>
  <c r="AY34" i="4"/>
  <c r="AY21" i="4"/>
  <c r="AY51" i="4"/>
  <c r="AY49" i="4" l="1"/>
  <c r="AZ19" i="58"/>
  <c r="AZ22" i="58" s="1"/>
  <c r="BA134" i="4"/>
  <c r="BA139" i="4" s="1"/>
  <c r="BA140" i="4" s="1"/>
  <c r="AZ39" i="2"/>
  <c r="BD193" i="112"/>
  <c r="BD197" i="112" s="1"/>
  <c r="BI38" i="60"/>
  <c r="AZ309" i="94"/>
  <c r="AZ274" i="94"/>
  <c r="AZ458" i="94"/>
  <c r="AZ445" i="94"/>
  <c r="AZ446" i="94"/>
  <c r="AZ449" i="94"/>
  <c r="AZ448" i="94"/>
  <c r="AZ447" i="94"/>
  <c r="AY55" i="4"/>
  <c r="AY62" i="4"/>
  <c r="AY36" i="4"/>
  <c r="AY44" i="4"/>
  <c r="BV786" i="111"/>
  <c r="BV562" i="111"/>
  <c r="BV559" i="111"/>
  <c r="BV556" i="111"/>
  <c r="BV553" i="111"/>
  <c r="BV550" i="111"/>
  <c r="BV547" i="111"/>
  <c r="BV544" i="111"/>
  <c r="BV541" i="111"/>
  <c r="BV536" i="111"/>
  <c r="BV531" i="111"/>
  <c r="BV502" i="111"/>
  <c r="BV497" i="111"/>
  <c r="BV492" i="111"/>
  <c r="BV486" i="111"/>
  <c r="BV483" i="111"/>
  <c r="BV480" i="111"/>
  <c r="BV476" i="111"/>
  <c r="BV468" i="111"/>
  <c r="CD465" i="111"/>
  <c r="BV458" i="111"/>
  <c r="BV447" i="111"/>
  <c r="BV437" i="111"/>
  <c r="BV427" i="111"/>
  <c r="BX465" i="111"/>
  <c r="AY105" i="4" l="1"/>
  <c r="AY109" i="4" s="1"/>
  <c r="AY116" i="4" s="1"/>
  <c r="AY53" i="4"/>
  <c r="AY317" i="112" s="1"/>
  <c r="AY62" i="2"/>
  <c r="AY46" i="4"/>
  <c r="AY314" i="112"/>
  <c r="AZ38" i="58"/>
  <c r="AZ40" i="58" s="1"/>
  <c r="AY61" i="4"/>
  <c r="AZ450" i="94"/>
  <c r="AY57" i="4"/>
  <c r="AY54" i="4" l="1"/>
  <c r="AY134" i="4"/>
  <c r="AE884" i="111"/>
  <c r="AD884" i="111"/>
  <c r="AC884" i="111"/>
  <c r="AB884" i="111"/>
  <c r="AA884" i="111"/>
  <c r="AE879" i="111"/>
  <c r="AD879" i="111"/>
  <c r="AC879" i="111"/>
  <c r="AB879" i="111"/>
  <c r="AA879" i="111"/>
  <c r="AE874" i="111"/>
  <c r="AD874" i="111"/>
  <c r="AC874" i="111"/>
  <c r="AB874" i="111"/>
  <c r="AA874" i="111"/>
  <c r="AE869" i="111"/>
  <c r="AD869" i="111"/>
  <c r="AC869" i="111"/>
  <c r="AB869" i="111"/>
  <c r="AA869" i="111"/>
  <c r="AE844" i="111"/>
  <c r="AD844" i="111"/>
  <c r="AC844" i="111"/>
  <c r="AB844" i="111"/>
  <c r="AA844" i="111"/>
  <c r="AE842" i="111"/>
  <c r="AD842" i="111"/>
  <c r="AC842" i="111"/>
  <c r="AB842" i="111"/>
  <c r="AA842" i="111"/>
  <c r="AE841" i="111"/>
  <c r="AD841" i="111"/>
  <c r="AC841" i="111"/>
  <c r="AB841" i="111"/>
  <c r="AA841" i="111"/>
  <c r="AE840" i="111"/>
  <c r="AD840" i="111"/>
  <c r="AC840" i="111"/>
  <c r="AB840" i="111"/>
  <c r="AA840" i="111"/>
  <c r="AE837" i="111"/>
  <c r="AD837" i="111"/>
  <c r="AC837" i="111"/>
  <c r="AB837" i="111"/>
  <c r="AA837" i="111"/>
  <c r="AE836" i="111"/>
  <c r="AD836" i="111"/>
  <c r="AC836" i="111"/>
  <c r="AB836" i="111"/>
  <c r="AA836" i="111"/>
  <c r="AE835" i="111"/>
  <c r="AD835" i="111"/>
  <c r="AC835" i="111"/>
  <c r="AB835" i="111"/>
  <c r="AA835" i="111"/>
  <c r="AE832" i="111"/>
  <c r="AD832" i="111"/>
  <c r="AC832" i="111"/>
  <c r="AB832" i="111"/>
  <c r="AA832" i="111"/>
  <c r="AE831" i="111"/>
  <c r="AD831" i="111"/>
  <c r="AC831" i="111"/>
  <c r="AB831" i="111"/>
  <c r="AA831" i="111"/>
  <c r="AE830" i="111"/>
  <c r="AD830" i="111"/>
  <c r="AC830" i="111"/>
  <c r="AB830" i="111"/>
  <c r="AA830" i="111"/>
  <c r="AE827" i="111"/>
  <c r="AD827" i="111"/>
  <c r="AC827" i="111"/>
  <c r="AB827" i="111"/>
  <c r="AA827" i="111"/>
  <c r="AE826" i="111"/>
  <c r="AD826" i="111"/>
  <c r="AC826" i="111"/>
  <c r="AB826" i="111"/>
  <c r="AA826" i="111"/>
  <c r="AE825" i="111"/>
  <c r="AD825" i="111"/>
  <c r="AC825" i="111"/>
  <c r="AB825" i="111"/>
  <c r="AA825" i="111"/>
  <c r="AE822" i="111"/>
  <c r="AD822" i="111"/>
  <c r="AC822" i="111"/>
  <c r="AB822" i="111"/>
  <c r="AA822" i="111"/>
  <c r="AE821" i="111"/>
  <c r="AD821" i="111"/>
  <c r="AC821" i="111"/>
  <c r="AB821" i="111"/>
  <c r="AA821" i="111"/>
  <c r="AE820" i="111"/>
  <c r="AD820" i="111"/>
  <c r="AC820" i="111"/>
  <c r="AB820" i="111"/>
  <c r="AA820" i="111"/>
  <c r="AE817" i="111"/>
  <c r="AD817" i="111"/>
  <c r="AC817" i="111"/>
  <c r="AB817" i="111"/>
  <c r="AA817" i="111"/>
  <c r="AE816" i="111"/>
  <c r="AD816" i="111"/>
  <c r="AC816" i="111"/>
  <c r="AB816" i="111"/>
  <c r="AA816" i="111"/>
  <c r="AE815" i="111"/>
  <c r="AD815" i="111"/>
  <c r="AC815" i="111"/>
  <c r="AB815" i="111"/>
  <c r="AA815" i="111"/>
  <c r="AB812" i="111"/>
  <c r="AC812" i="111" s="1"/>
  <c r="AD812" i="111" s="1"/>
  <c r="AE812" i="111" s="1"/>
  <c r="AB810" i="111"/>
  <c r="AC810" i="111" s="1"/>
  <c r="AD810" i="111" s="1"/>
  <c r="AE810" i="111" s="1"/>
  <c r="AB809" i="111"/>
  <c r="AC809" i="111" s="1"/>
  <c r="AD809" i="111" s="1"/>
  <c r="AE809" i="111" s="1"/>
  <c r="AE799" i="111"/>
  <c r="AD799" i="111"/>
  <c r="AC799" i="111"/>
  <c r="AB799" i="111"/>
  <c r="AA799" i="111"/>
  <c r="AE798" i="111"/>
  <c r="AD798" i="111"/>
  <c r="AC798" i="111"/>
  <c r="AB798" i="111"/>
  <c r="AA798" i="111"/>
  <c r="AE797" i="111"/>
  <c r="AD797" i="111"/>
  <c r="AC797" i="111"/>
  <c r="AB797" i="111"/>
  <c r="AA797" i="111"/>
  <c r="AE796" i="111"/>
  <c r="AD796" i="111"/>
  <c r="AC796" i="111"/>
  <c r="AB796" i="111"/>
  <c r="AA796" i="111"/>
  <c r="CS786" i="111"/>
  <c r="CR786" i="111"/>
  <c r="CQ786" i="111"/>
  <c r="CP786" i="111"/>
  <c r="CO786" i="111"/>
  <c r="CN786" i="111"/>
  <c r="CM786" i="111"/>
  <c r="CL786" i="111"/>
  <c r="CK786" i="111"/>
  <c r="CJ786" i="111"/>
  <c r="CI786" i="111"/>
  <c r="CH786" i="111"/>
  <c r="CG786" i="111"/>
  <c r="CF786" i="111"/>
  <c r="CE786" i="111"/>
  <c r="CD786" i="111"/>
  <c r="CC786" i="111"/>
  <c r="CB786" i="111"/>
  <c r="CA786" i="111"/>
  <c r="BZ786" i="111"/>
  <c r="CS562" i="111"/>
  <c r="CR562" i="111"/>
  <c r="CQ562" i="111"/>
  <c r="CP562" i="111"/>
  <c r="CO562" i="111"/>
  <c r="CN562" i="111"/>
  <c r="CM562" i="111"/>
  <c r="CL562" i="111"/>
  <c r="CK562" i="111"/>
  <c r="CJ562" i="111"/>
  <c r="CI562" i="111"/>
  <c r="CH562" i="111"/>
  <c r="CG562" i="111"/>
  <c r="CF562" i="111"/>
  <c r="CE562" i="111"/>
  <c r="CD562" i="111"/>
  <c r="CC562" i="111"/>
  <c r="CB562" i="111"/>
  <c r="CA562" i="111"/>
  <c r="BZ562" i="111"/>
  <c r="CS559" i="111"/>
  <c r="CR559" i="111"/>
  <c r="CQ559" i="111"/>
  <c r="CP559" i="111"/>
  <c r="CO559" i="111"/>
  <c r="CN559" i="111"/>
  <c r="CM559" i="111"/>
  <c r="CL559" i="111"/>
  <c r="CK559" i="111"/>
  <c r="CJ559" i="111"/>
  <c r="CI559" i="111"/>
  <c r="CH559" i="111"/>
  <c r="CG559" i="111"/>
  <c r="CF559" i="111"/>
  <c r="CE559" i="111"/>
  <c r="CD559" i="111"/>
  <c r="CC559" i="111"/>
  <c r="CB559" i="111"/>
  <c r="CA559" i="111"/>
  <c r="BZ559" i="111"/>
  <c r="CS556" i="111"/>
  <c r="CR556" i="111"/>
  <c r="CQ556" i="111"/>
  <c r="CP556" i="111"/>
  <c r="CO556" i="111"/>
  <c r="CN556" i="111"/>
  <c r="CM556" i="111"/>
  <c r="CL556" i="111"/>
  <c r="CK556" i="111"/>
  <c r="CJ556" i="111"/>
  <c r="CI556" i="111"/>
  <c r="CH556" i="111"/>
  <c r="CG556" i="111"/>
  <c r="CF556" i="111"/>
  <c r="CE556" i="111"/>
  <c r="CD556" i="111"/>
  <c r="CC556" i="111"/>
  <c r="CB556" i="111"/>
  <c r="CA556" i="111"/>
  <c r="BZ556" i="111"/>
  <c r="CS553" i="111"/>
  <c r="CR553" i="111"/>
  <c r="CQ553" i="111"/>
  <c r="CP553" i="111"/>
  <c r="CO553" i="111"/>
  <c r="CN553" i="111"/>
  <c r="CM553" i="111"/>
  <c r="CL553" i="111"/>
  <c r="CK553" i="111"/>
  <c r="CJ553" i="111"/>
  <c r="CI553" i="111"/>
  <c r="CH553" i="111"/>
  <c r="CG553" i="111"/>
  <c r="CF553" i="111"/>
  <c r="CE553" i="111"/>
  <c r="CD553" i="111"/>
  <c r="CC553" i="111"/>
  <c r="CB553" i="111"/>
  <c r="CA553" i="111"/>
  <c r="BZ553" i="111"/>
  <c r="CS550" i="111"/>
  <c r="CR550" i="111"/>
  <c r="CQ550" i="111"/>
  <c r="CP550" i="111"/>
  <c r="CO550" i="111"/>
  <c r="CN550" i="111"/>
  <c r="CM550" i="111"/>
  <c r="CL550" i="111"/>
  <c r="CK550" i="111"/>
  <c r="CJ550" i="111"/>
  <c r="CI550" i="111"/>
  <c r="CH550" i="111"/>
  <c r="CG550" i="111"/>
  <c r="CF550" i="111"/>
  <c r="CE550" i="111"/>
  <c r="CD550" i="111"/>
  <c r="CC550" i="111"/>
  <c r="CB550" i="111"/>
  <c r="CA550" i="111"/>
  <c r="BZ550" i="111"/>
  <c r="CS547" i="111"/>
  <c r="CR547" i="111"/>
  <c r="CQ547" i="111"/>
  <c r="CP547" i="111"/>
  <c r="CO547" i="111"/>
  <c r="CN547" i="111"/>
  <c r="CM547" i="111"/>
  <c r="CL547" i="111"/>
  <c r="CK547" i="111"/>
  <c r="CJ547" i="111"/>
  <c r="CI547" i="111"/>
  <c r="CH547" i="111"/>
  <c r="CG547" i="111"/>
  <c r="CF547" i="111"/>
  <c r="CE547" i="111"/>
  <c r="CD547" i="111"/>
  <c r="CC547" i="111"/>
  <c r="CB547" i="111"/>
  <c r="CA547" i="111"/>
  <c r="BZ547" i="111"/>
  <c r="CS544" i="111"/>
  <c r="CR544" i="111"/>
  <c r="CQ544" i="111"/>
  <c r="CP544" i="111"/>
  <c r="CO544" i="111"/>
  <c r="CN544" i="111"/>
  <c r="CM544" i="111"/>
  <c r="CL544" i="111"/>
  <c r="CK544" i="111"/>
  <c r="CJ544" i="111"/>
  <c r="CI544" i="111"/>
  <c r="CH544" i="111"/>
  <c r="CG544" i="111"/>
  <c r="CF544" i="111"/>
  <c r="CE544" i="111"/>
  <c r="CD544" i="111"/>
  <c r="CC544" i="111"/>
  <c r="CB544" i="111"/>
  <c r="CA544" i="111"/>
  <c r="BZ544" i="111"/>
  <c r="CS541" i="111"/>
  <c r="CR541" i="111"/>
  <c r="CQ541" i="111"/>
  <c r="CP541" i="111"/>
  <c r="CO541" i="111"/>
  <c r="CN541" i="111"/>
  <c r="CM541" i="111"/>
  <c r="CL541" i="111"/>
  <c r="CK541" i="111"/>
  <c r="CJ541" i="111"/>
  <c r="CI541" i="111"/>
  <c r="CH541" i="111"/>
  <c r="CG541" i="111"/>
  <c r="CF541" i="111"/>
  <c r="CE541" i="111"/>
  <c r="CD541" i="111"/>
  <c r="CC541" i="111"/>
  <c r="CB541" i="111"/>
  <c r="CA541" i="111"/>
  <c r="BZ541" i="111"/>
  <c r="CS536" i="111"/>
  <c r="CR536" i="111"/>
  <c r="CQ536" i="111"/>
  <c r="CP536" i="111"/>
  <c r="CO536" i="111"/>
  <c r="CN536" i="111"/>
  <c r="CM536" i="111"/>
  <c r="CL536" i="111"/>
  <c r="CK536" i="111"/>
  <c r="CJ536" i="111"/>
  <c r="CI536" i="111"/>
  <c r="CH536" i="111"/>
  <c r="CG536" i="111"/>
  <c r="CF536" i="111"/>
  <c r="CE536" i="111"/>
  <c r="CD536" i="111"/>
  <c r="CC536" i="111"/>
  <c r="CB536" i="111"/>
  <c r="CA536" i="111"/>
  <c r="BZ536" i="111"/>
  <c r="CS531" i="111"/>
  <c r="CR531" i="111"/>
  <c r="CQ531" i="111"/>
  <c r="CP531" i="111"/>
  <c r="CO531" i="111"/>
  <c r="CN531" i="111"/>
  <c r="CM531" i="111"/>
  <c r="CL531" i="111"/>
  <c r="CK531" i="111"/>
  <c r="CJ531" i="111"/>
  <c r="CI531" i="111"/>
  <c r="CH531" i="111"/>
  <c r="CG531" i="111"/>
  <c r="CF531" i="111"/>
  <c r="CE531" i="111"/>
  <c r="CD531" i="111"/>
  <c r="CC531" i="111"/>
  <c r="CB531" i="111"/>
  <c r="CA531" i="111"/>
  <c r="BZ531" i="111"/>
  <c r="CS502" i="111"/>
  <c r="CR502" i="111"/>
  <c r="CQ502" i="111"/>
  <c r="CP502" i="111"/>
  <c r="CO502" i="111"/>
  <c r="CN502" i="111"/>
  <c r="CM502" i="111"/>
  <c r="CL502" i="111"/>
  <c r="CK502" i="111"/>
  <c r="CJ502" i="111"/>
  <c r="CI502" i="111"/>
  <c r="CH502" i="111"/>
  <c r="CG502" i="111"/>
  <c r="CF502" i="111"/>
  <c r="CE502" i="111"/>
  <c r="CD502" i="111"/>
  <c r="CC502" i="111"/>
  <c r="CB502" i="111"/>
  <c r="CA502" i="111"/>
  <c r="BZ502" i="111"/>
  <c r="CS497" i="111"/>
  <c r="CR497" i="111"/>
  <c r="CQ497" i="111"/>
  <c r="CP497" i="111"/>
  <c r="CO497" i="111"/>
  <c r="CN497" i="111"/>
  <c r="CM497" i="111"/>
  <c r="CL497" i="111"/>
  <c r="CK497" i="111"/>
  <c r="CJ497" i="111"/>
  <c r="CI497" i="111"/>
  <c r="CH497" i="111"/>
  <c r="CG497" i="111"/>
  <c r="CF497" i="111"/>
  <c r="CE497" i="111"/>
  <c r="CD497" i="111"/>
  <c r="CC497" i="111"/>
  <c r="CB497" i="111"/>
  <c r="CA497" i="111"/>
  <c r="BZ497" i="111"/>
  <c r="CS492" i="111"/>
  <c r="CR492" i="111"/>
  <c r="CQ492" i="111"/>
  <c r="CP492" i="111"/>
  <c r="CO492" i="111"/>
  <c r="CN492" i="111"/>
  <c r="CM492" i="111"/>
  <c r="CL492" i="111"/>
  <c r="CK492" i="111"/>
  <c r="CJ492" i="111"/>
  <c r="CI492" i="111"/>
  <c r="CH492" i="111"/>
  <c r="CG492" i="111"/>
  <c r="CF492" i="111"/>
  <c r="CE492" i="111"/>
  <c r="CD492" i="111"/>
  <c r="CC492" i="111"/>
  <c r="CB492" i="111"/>
  <c r="CA492" i="111"/>
  <c r="BZ492" i="111"/>
  <c r="CS486" i="111"/>
  <c r="CR486" i="111"/>
  <c r="CQ486" i="111"/>
  <c r="CP486" i="111"/>
  <c r="CO486" i="111"/>
  <c r="CN486" i="111"/>
  <c r="CM486" i="111"/>
  <c r="CL486" i="111"/>
  <c r="CK486" i="111"/>
  <c r="CJ486" i="111"/>
  <c r="CI486" i="111"/>
  <c r="CH486" i="111"/>
  <c r="CG486" i="111"/>
  <c r="CF486" i="111"/>
  <c r="CE486" i="111"/>
  <c r="CD486" i="111"/>
  <c r="CC486" i="111"/>
  <c r="CB486" i="111"/>
  <c r="CA486" i="111"/>
  <c r="BZ486" i="111"/>
  <c r="CS483" i="111"/>
  <c r="CR483" i="111"/>
  <c r="CQ483" i="111"/>
  <c r="CP483" i="111"/>
  <c r="CO483" i="111"/>
  <c r="CN483" i="111"/>
  <c r="CM483" i="111"/>
  <c r="CL483" i="111"/>
  <c r="CK483" i="111"/>
  <c r="CJ483" i="111"/>
  <c r="CI483" i="111"/>
  <c r="CH483" i="111"/>
  <c r="CG483" i="111"/>
  <c r="CF483" i="111"/>
  <c r="CE483" i="111"/>
  <c r="CD483" i="111"/>
  <c r="CC483" i="111"/>
  <c r="CB483" i="111"/>
  <c r="CA483" i="111"/>
  <c r="BZ483" i="111"/>
  <c r="CS480" i="111"/>
  <c r="CR480" i="111"/>
  <c r="CQ480" i="111"/>
  <c r="CP480" i="111"/>
  <c r="CO480" i="111"/>
  <c r="CN480" i="111"/>
  <c r="CM480" i="111"/>
  <c r="CL480" i="111"/>
  <c r="CK480" i="111"/>
  <c r="CJ480" i="111"/>
  <c r="CI480" i="111"/>
  <c r="CH480" i="111"/>
  <c r="CG480" i="111"/>
  <c r="CF480" i="111"/>
  <c r="CE480" i="111"/>
  <c r="CD480" i="111"/>
  <c r="CC480" i="111"/>
  <c r="CB480" i="111"/>
  <c r="CA480" i="111"/>
  <c r="BZ480" i="111"/>
  <c r="CS476" i="111"/>
  <c r="CR476" i="111"/>
  <c r="CQ476" i="111"/>
  <c r="CP476" i="111"/>
  <c r="CO476" i="111"/>
  <c r="CN476" i="111"/>
  <c r="CM476" i="111"/>
  <c r="CL476" i="111"/>
  <c r="CK476" i="111"/>
  <c r="CJ476" i="111"/>
  <c r="CI476" i="111"/>
  <c r="CH476" i="111"/>
  <c r="CG476" i="111"/>
  <c r="CF476" i="111"/>
  <c r="CE476" i="111"/>
  <c r="CD476" i="111"/>
  <c r="CC476" i="111"/>
  <c r="CB476" i="111"/>
  <c r="CA476" i="111"/>
  <c r="BZ476" i="111"/>
  <c r="CS468" i="111"/>
  <c r="CR468" i="111"/>
  <c r="CQ468" i="111"/>
  <c r="CP468" i="111"/>
  <c r="CO468" i="111"/>
  <c r="CN468" i="111"/>
  <c r="CM468" i="111"/>
  <c r="CL468" i="111"/>
  <c r="CK468" i="111"/>
  <c r="CJ468" i="111"/>
  <c r="CI468" i="111"/>
  <c r="CH468" i="111"/>
  <c r="CG468" i="111"/>
  <c r="CF468" i="111"/>
  <c r="CE468" i="111"/>
  <c r="CD468" i="111"/>
  <c r="CC468" i="111"/>
  <c r="CB468" i="111"/>
  <c r="CA468" i="111"/>
  <c r="BZ468" i="111"/>
  <c r="CS465" i="111"/>
  <c r="CR465" i="111"/>
  <c r="CQ465" i="111"/>
  <c r="CP465" i="111"/>
  <c r="CO465" i="111"/>
  <c r="CN465" i="111"/>
  <c r="CM465" i="111"/>
  <c r="CL465" i="111"/>
  <c r="CK465" i="111"/>
  <c r="CJ465" i="111"/>
  <c r="CI465" i="111"/>
  <c r="CH465" i="111"/>
  <c r="CG465" i="111"/>
  <c r="CF465" i="111"/>
  <c r="CE465" i="111"/>
  <c r="CC465" i="111"/>
  <c r="CB465" i="111"/>
  <c r="CA465" i="111"/>
  <c r="BZ465" i="111"/>
  <c r="CS458" i="111"/>
  <c r="CR458" i="111"/>
  <c r="CQ458" i="111"/>
  <c r="CP458" i="111"/>
  <c r="CO458" i="111"/>
  <c r="CN458" i="111"/>
  <c r="CM458" i="111"/>
  <c r="CL458" i="111"/>
  <c r="CK458" i="111"/>
  <c r="CJ458" i="111"/>
  <c r="CI458" i="111"/>
  <c r="CH458" i="111"/>
  <c r="CG458" i="111"/>
  <c r="CF458" i="111"/>
  <c r="CE458" i="111"/>
  <c r="CD458" i="111"/>
  <c r="CC458" i="111"/>
  <c r="CB458" i="111"/>
  <c r="CA458" i="111"/>
  <c r="BZ458" i="111"/>
  <c r="CS447" i="111"/>
  <c r="CR447" i="111"/>
  <c r="CQ447" i="111"/>
  <c r="CP447" i="111"/>
  <c r="CO447" i="111"/>
  <c r="CN447" i="111"/>
  <c r="CM447" i="111"/>
  <c r="CL447" i="111"/>
  <c r="CK447" i="111"/>
  <c r="CJ447" i="111"/>
  <c r="CI447" i="111"/>
  <c r="CH447" i="111"/>
  <c r="CG447" i="111"/>
  <c r="CF447" i="111"/>
  <c r="CE447" i="111"/>
  <c r="CD447" i="111"/>
  <c r="CC447" i="111"/>
  <c r="CB447" i="111"/>
  <c r="CA447" i="111"/>
  <c r="BZ447" i="111"/>
  <c r="CS437" i="111"/>
  <c r="CR437" i="111"/>
  <c r="CQ437" i="111"/>
  <c r="CP437" i="111"/>
  <c r="CO437" i="111"/>
  <c r="CN437" i="111"/>
  <c r="CM437" i="111"/>
  <c r="CL437" i="111"/>
  <c r="CK437" i="111"/>
  <c r="CJ437" i="111"/>
  <c r="CI437" i="111"/>
  <c r="CH437" i="111"/>
  <c r="CG437" i="111"/>
  <c r="CF437" i="111"/>
  <c r="CE437" i="111"/>
  <c r="CD437" i="111"/>
  <c r="CC437" i="111"/>
  <c r="CB437" i="111"/>
  <c r="CA437" i="111"/>
  <c r="BZ437" i="111"/>
  <c r="CS427" i="111"/>
  <c r="CR427" i="111"/>
  <c r="CQ427" i="111"/>
  <c r="CP427" i="111"/>
  <c r="CO427" i="111"/>
  <c r="CN427" i="111"/>
  <c r="CM427" i="111"/>
  <c r="CL427" i="111"/>
  <c r="CK427" i="111"/>
  <c r="CJ427" i="111"/>
  <c r="CI427" i="111"/>
  <c r="CH427" i="111"/>
  <c r="CG427" i="111"/>
  <c r="CF427" i="111"/>
  <c r="CE427" i="111"/>
  <c r="CD427" i="111"/>
  <c r="CC427" i="111"/>
  <c r="CB427" i="111"/>
  <c r="CA427" i="111"/>
  <c r="BZ427" i="111"/>
  <c r="AE424" i="111"/>
  <c r="AE423" i="111"/>
  <c r="AE422" i="111"/>
  <c r="AE419" i="111"/>
  <c r="AE418" i="111"/>
  <c r="AE417" i="111"/>
  <c r="AE414" i="111"/>
  <c r="AE413" i="111"/>
  <c r="AE412" i="111"/>
  <c r="AE409" i="111"/>
  <c r="AE408" i="111"/>
  <c r="AE407" i="111"/>
  <c r="AE404" i="111"/>
  <c r="AE403" i="111"/>
  <c r="AE402" i="111"/>
  <c r="AD424" i="111"/>
  <c r="AD423" i="111"/>
  <c r="AD422" i="111"/>
  <c r="AD419" i="111"/>
  <c r="AD418" i="111"/>
  <c r="AD417" i="111"/>
  <c r="AD414" i="111"/>
  <c r="AD413" i="111"/>
  <c r="AD412" i="111"/>
  <c r="AD409" i="111"/>
  <c r="AD408" i="111"/>
  <c r="AD407" i="111"/>
  <c r="AD404" i="111"/>
  <c r="AD403" i="111"/>
  <c r="AD402" i="111"/>
  <c r="AC424" i="111"/>
  <c r="AC423" i="111"/>
  <c r="AC422" i="111"/>
  <c r="AC419" i="111"/>
  <c r="AC418" i="111"/>
  <c r="AC417" i="111"/>
  <c r="AC414" i="111"/>
  <c r="AC413" i="111"/>
  <c r="AC412" i="111"/>
  <c r="AC409" i="111"/>
  <c r="AC408" i="111"/>
  <c r="AC407" i="111"/>
  <c r="AC404" i="111"/>
  <c r="AC403" i="111"/>
  <c r="AC402" i="111"/>
  <c r="AB424" i="111"/>
  <c r="AB423" i="111"/>
  <c r="AB422" i="111"/>
  <c r="AB419" i="111"/>
  <c r="AB418" i="111"/>
  <c r="AB417" i="111"/>
  <c r="AB414" i="111"/>
  <c r="AB413" i="111"/>
  <c r="AB412" i="111"/>
  <c r="AB409" i="111"/>
  <c r="AB408" i="111"/>
  <c r="AB407" i="111"/>
  <c r="AB404" i="111"/>
  <c r="AB403" i="111"/>
  <c r="AB402" i="111"/>
  <c r="AA424" i="111"/>
  <c r="AA423" i="111"/>
  <c r="AA422" i="111"/>
  <c r="AA419" i="111"/>
  <c r="AA418" i="111"/>
  <c r="AA417" i="111"/>
  <c r="AA414" i="111"/>
  <c r="AA413" i="111"/>
  <c r="AA412" i="111"/>
  <c r="AA409" i="111"/>
  <c r="AA408" i="111"/>
  <c r="AA407" i="111"/>
  <c r="AA404" i="111"/>
  <c r="AA403" i="111"/>
  <c r="AA402" i="111"/>
  <c r="AE399" i="111"/>
  <c r="AD399" i="111"/>
  <c r="AC399" i="111"/>
  <c r="AB399" i="111"/>
  <c r="AA399" i="111"/>
  <c r="AE398" i="111"/>
  <c r="AD398" i="111"/>
  <c r="AC398" i="111"/>
  <c r="AB398" i="111"/>
  <c r="AA398" i="111"/>
  <c r="AE397" i="111"/>
  <c r="AD397" i="111"/>
  <c r="AC397" i="111"/>
  <c r="AB397" i="111"/>
  <c r="AA397" i="111"/>
  <c r="AE368" i="111"/>
  <c r="AE367" i="111"/>
  <c r="AE366" i="111"/>
  <c r="AE363" i="111"/>
  <c r="AE373" i="111" s="1"/>
  <c r="AE362" i="111"/>
  <c r="AE372" i="111" s="1"/>
  <c r="AE361" i="111"/>
  <c r="AE371" i="111" s="1"/>
  <c r="AE358" i="111"/>
  <c r="AE357" i="111"/>
  <c r="AE356" i="111"/>
  <c r="AE353" i="111"/>
  <c r="AE352" i="111"/>
  <c r="AE351" i="111"/>
  <c r="AD368" i="111"/>
  <c r="AD367" i="111"/>
  <c r="AD366" i="111"/>
  <c r="AD363" i="111"/>
  <c r="AD373" i="111" s="1"/>
  <c r="AD362" i="111"/>
  <c r="AD372" i="111" s="1"/>
  <c r="AD361" i="111"/>
  <c r="AD371" i="111" s="1"/>
  <c r="AD358" i="111"/>
  <c r="AD357" i="111"/>
  <c r="AD356" i="111"/>
  <c r="AD353" i="111"/>
  <c r="AD352" i="111"/>
  <c r="AD351" i="111"/>
  <c r="AC368" i="111"/>
  <c r="AC367" i="111"/>
  <c r="AC366" i="111"/>
  <c r="AC363" i="111"/>
  <c r="AC373" i="111" s="1"/>
  <c r="AC362" i="111"/>
  <c r="AC361" i="111"/>
  <c r="AC358" i="111"/>
  <c r="AC357" i="111"/>
  <c r="AC356" i="111"/>
  <c r="AC353" i="111"/>
  <c r="AC352" i="111"/>
  <c r="AC351" i="111"/>
  <c r="AB368" i="111"/>
  <c r="AB367" i="111"/>
  <c r="AB366" i="111"/>
  <c r="AB363" i="111"/>
  <c r="AB373" i="111" s="1"/>
  <c r="AB362" i="111"/>
  <c r="AB361" i="111"/>
  <c r="AB371" i="111" s="1"/>
  <c r="AB358" i="111"/>
  <c r="AB357" i="111"/>
  <c r="AB356" i="111"/>
  <c r="AB353" i="111"/>
  <c r="AB352" i="111"/>
  <c r="AB351" i="111"/>
  <c r="AA368" i="111"/>
  <c r="AA367" i="111"/>
  <c r="AA366" i="111"/>
  <c r="AA363" i="111"/>
  <c r="AA373" i="111" s="1"/>
  <c r="AA362" i="111"/>
  <c r="AA361" i="111"/>
  <c r="AA371" i="111" s="1"/>
  <c r="AA358" i="111"/>
  <c r="AA357" i="111"/>
  <c r="AA356" i="111"/>
  <c r="AA353" i="111"/>
  <c r="AA352" i="111"/>
  <c r="AA351" i="111"/>
  <c r="AE319" i="111"/>
  <c r="AE318" i="111"/>
  <c r="AE317" i="111"/>
  <c r="AE314" i="111"/>
  <c r="AE313" i="111"/>
  <c r="AE312" i="111"/>
  <c r="AD319" i="111"/>
  <c r="AD318" i="111"/>
  <c r="AD317" i="111"/>
  <c r="AD314" i="111"/>
  <c r="AD313" i="111"/>
  <c r="AD312" i="111"/>
  <c r="AC319" i="111"/>
  <c r="AC318" i="111"/>
  <c r="AC317" i="111"/>
  <c r="AC314" i="111"/>
  <c r="AC313" i="111"/>
  <c r="AC312" i="111"/>
  <c r="AB319" i="111"/>
  <c r="AB318" i="111"/>
  <c r="AB317" i="111"/>
  <c r="AB314" i="111"/>
  <c r="AB313" i="111"/>
  <c r="AB312" i="111"/>
  <c r="AA319" i="111"/>
  <c r="AA318" i="111"/>
  <c r="AA317" i="111"/>
  <c r="AA314" i="111"/>
  <c r="AA313" i="111"/>
  <c r="AA312" i="111"/>
  <c r="AE309" i="111"/>
  <c r="AE308" i="111"/>
  <c r="AE307" i="111"/>
  <c r="AD309" i="111"/>
  <c r="AD308" i="111"/>
  <c r="AD307" i="111"/>
  <c r="AC309" i="111"/>
  <c r="AC308" i="111"/>
  <c r="AC307" i="111"/>
  <c r="AB309" i="111"/>
  <c r="AB308" i="111"/>
  <c r="AB307" i="111"/>
  <c r="AA309" i="111"/>
  <c r="AA308" i="111"/>
  <c r="AA307" i="111"/>
  <c r="AE294" i="111"/>
  <c r="AD294" i="111"/>
  <c r="AC294" i="111"/>
  <c r="AB294" i="111"/>
  <c r="AA294" i="111"/>
  <c r="AE293" i="111"/>
  <c r="AD293" i="111"/>
  <c r="AC293" i="111"/>
  <c r="AB293" i="111"/>
  <c r="AA293" i="111"/>
  <c r="AE292" i="111"/>
  <c r="AD292" i="111"/>
  <c r="AC292" i="111"/>
  <c r="AB292" i="111"/>
  <c r="AA292" i="111"/>
  <c r="AE271" i="111"/>
  <c r="AD271" i="111"/>
  <c r="AC271" i="111"/>
  <c r="AB271" i="111"/>
  <c r="AA271" i="111"/>
  <c r="AE270" i="111"/>
  <c r="AD270" i="111"/>
  <c r="AC270" i="111"/>
  <c r="AB270" i="111"/>
  <c r="AA270" i="111"/>
  <c r="AE269" i="111"/>
  <c r="AD269" i="111"/>
  <c r="AC269" i="111"/>
  <c r="AB269" i="111"/>
  <c r="AA269" i="111"/>
  <c r="AE266" i="111"/>
  <c r="AD266" i="111"/>
  <c r="AC266" i="111"/>
  <c r="AB266" i="111"/>
  <c r="AA266" i="111"/>
  <c r="AE265" i="111"/>
  <c r="AD265" i="111"/>
  <c r="AC265" i="111"/>
  <c r="AB265" i="111"/>
  <c r="AA265" i="111"/>
  <c r="AE264" i="111"/>
  <c r="AD264" i="111"/>
  <c r="AC264" i="111"/>
  <c r="AB264" i="111"/>
  <c r="AA264" i="111"/>
  <c r="AE263" i="111"/>
  <c r="AD263" i="111"/>
  <c r="AC263" i="111"/>
  <c r="AB263" i="111"/>
  <c r="AA263" i="111"/>
  <c r="AE260" i="111"/>
  <c r="AD260" i="111"/>
  <c r="AC260" i="111"/>
  <c r="AB260" i="111"/>
  <c r="AA260" i="111"/>
  <c r="AE257" i="111"/>
  <c r="AD257" i="111"/>
  <c r="AC257" i="111"/>
  <c r="AB257" i="111"/>
  <c r="AA257" i="111"/>
  <c r="AE256" i="111"/>
  <c r="AD256" i="111"/>
  <c r="AC256" i="111"/>
  <c r="AB256" i="111"/>
  <c r="AA256" i="111"/>
  <c r="AE255" i="111"/>
  <c r="AD255" i="111"/>
  <c r="AC255" i="111"/>
  <c r="AB255" i="111"/>
  <c r="AA255" i="111"/>
  <c r="AE246" i="111"/>
  <c r="AD246" i="111"/>
  <c r="AC246" i="111"/>
  <c r="AB246" i="111"/>
  <c r="AA246" i="111"/>
  <c r="AE245" i="111"/>
  <c r="AD245" i="111"/>
  <c r="AC245" i="111"/>
  <c r="AB245" i="111"/>
  <c r="AA245" i="111"/>
  <c r="AE244" i="111"/>
  <c r="AD244" i="111"/>
  <c r="AC244" i="111"/>
  <c r="AB244" i="111"/>
  <c r="AA244" i="111"/>
  <c r="AE241" i="111"/>
  <c r="AD241" i="111"/>
  <c r="AC241" i="111"/>
  <c r="AB241" i="111"/>
  <c r="AA241" i="111"/>
  <c r="AE240" i="111"/>
  <c r="AD240" i="111"/>
  <c r="AC240" i="111"/>
  <c r="AB240" i="111"/>
  <c r="AA240" i="111"/>
  <c r="AE239" i="111"/>
  <c r="AD239" i="111"/>
  <c r="AC239" i="111"/>
  <c r="AB239" i="111"/>
  <c r="AA239" i="111"/>
  <c r="AE236" i="111"/>
  <c r="AD236" i="111"/>
  <c r="AC236" i="111"/>
  <c r="AB236" i="111"/>
  <c r="AA236" i="111"/>
  <c r="AE235" i="111"/>
  <c r="AD235" i="111"/>
  <c r="AC235" i="111"/>
  <c r="AB235" i="111"/>
  <c r="AA235" i="111"/>
  <c r="AE234" i="111"/>
  <c r="AD234" i="111"/>
  <c r="AC234" i="111"/>
  <c r="AB234" i="111"/>
  <c r="AA234" i="111"/>
  <c r="AE231" i="111"/>
  <c r="AD231" i="111"/>
  <c r="AC231" i="111"/>
  <c r="AB231" i="111"/>
  <c r="AA231" i="111"/>
  <c r="AE230" i="111"/>
  <c r="AD230" i="111"/>
  <c r="AC230" i="111"/>
  <c r="AB230" i="111"/>
  <c r="AA230" i="111"/>
  <c r="AE229" i="111"/>
  <c r="AD229" i="111"/>
  <c r="AC229" i="111"/>
  <c r="AB229" i="111"/>
  <c r="AA229" i="111"/>
  <c r="AE226" i="111"/>
  <c r="AD226" i="111"/>
  <c r="AC226" i="111"/>
  <c r="AB226" i="111"/>
  <c r="AA226" i="111"/>
  <c r="AE225" i="111"/>
  <c r="AD225" i="111"/>
  <c r="AC225" i="111"/>
  <c r="AB225" i="111"/>
  <c r="AA225" i="111"/>
  <c r="AE224" i="111"/>
  <c r="AD224" i="111"/>
  <c r="AC224" i="111"/>
  <c r="AB224" i="111"/>
  <c r="AA224" i="111"/>
  <c r="AE221" i="111"/>
  <c r="AD221" i="111"/>
  <c r="AC221" i="111"/>
  <c r="AB221" i="111"/>
  <c r="AA221" i="111"/>
  <c r="AE220" i="111"/>
  <c r="AD220" i="111"/>
  <c r="AC220" i="111"/>
  <c r="AB220" i="111"/>
  <c r="AA220" i="111"/>
  <c r="AE219" i="111"/>
  <c r="AD219" i="111"/>
  <c r="AC219" i="111"/>
  <c r="AB219" i="111"/>
  <c r="AA219" i="111"/>
  <c r="AE179" i="111"/>
  <c r="AD179" i="111"/>
  <c r="AC179" i="111"/>
  <c r="AB179" i="111"/>
  <c r="AA179" i="111"/>
  <c r="AE178" i="111"/>
  <c r="AD178" i="111"/>
  <c r="AC178" i="111"/>
  <c r="AB178" i="111"/>
  <c r="AA178" i="111"/>
  <c r="AE177" i="111"/>
  <c r="AD177" i="111"/>
  <c r="AC177" i="111"/>
  <c r="AB177" i="111"/>
  <c r="AA177" i="111"/>
  <c r="AE176" i="111"/>
  <c r="AD176" i="111"/>
  <c r="AC176" i="111"/>
  <c r="AB176" i="111"/>
  <c r="AA176" i="111"/>
  <c r="AE173" i="111"/>
  <c r="AD173" i="111"/>
  <c r="AC173" i="111"/>
  <c r="AB173" i="111"/>
  <c r="AA173" i="111"/>
  <c r="AE172" i="111"/>
  <c r="AD172" i="111"/>
  <c r="AC172" i="111"/>
  <c r="AB172" i="111"/>
  <c r="AA172" i="111"/>
  <c r="AE171" i="111"/>
  <c r="AD171" i="111"/>
  <c r="AC171" i="111"/>
  <c r="AB171" i="111"/>
  <c r="AA171" i="111"/>
  <c r="AE168" i="111"/>
  <c r="AD168" i="111"/>
  <c r="AC168" i="111"/>
  <c r="AB168" i="111"/>
  <c r="AA168" i="111"/>
  <c r="AE167" i="111"/>
  <c r="AD167" i="111"/>
  <c r="AC167" i="111"/>
  <c r="AB167" i="111"/>
  <c r="AA167" i="111"/>
  <c r="AE166" i="111"/>
  <c r="AD166" i="111"/>
  <c r="AC166" i="111"/>
  <c r="AB166" i="111"/>
  <c r="AA166" i="111"/>
  <c r="AE163" i="111"/>
  <c r="AD163" i="111"/>
  <c r="AC163" i="111"/>
  <c r="AB163" i="111"/>
  <c r="AA163" i="111"/>
  <c r="AE162" i="111"/>
  <c r="AD162" i="111"/>
  <c r="AC162" i="111"/>
  <c r="AB162" i="111"/>
  <c r="AA162" i="111"/>
  <c r="AE161" i="111"/>
  <c r="AD161" i="111"/>
  <c r="AC161" i="111"/>
  <c r="AB161" i="111"/>
  <c r="AA161" i="111"/>
  <c r="AE158" i="111"/>
  <c r="AE157" i="111"/>
  <c r="AE156" i="111"/>
  <c r="AE155" i="111"/>
  <c r="AD158" i="111"/>
  <c r="AD157" i="111"/>
  <c r="AD156" i="111"/>
  <c r="AD155" i="111"/>
  <c r="AC158" i="111"/>
  <c r="AC157" i="111"/>
  <c r="AC156" i="111"/>
  <c r="AC155" i="111"/>
  <c r="AB158" i="111"/>
  <c r="AB157" i="111"/>
  <c r="AB156" i="111"/>
  <c r="AB155" i="111"/>
  <c r="AA158" i="111"/>
  <c r="AA157" i="111"/>
  <c r="AA156" i="111"/>
  <c r="AA155" i="111"/>
  <c r="AE152" i="111"/>
  <c r="AD152" i="111"/>
  <c r="AC152" i="111"/>
  <c r="AB152" i="111"/>
  <c r="AE151" i="111"/>
  <c r="AD151" i="111"/>
  <c r="AC151" i="111"/>
  <c r="AB151" i="111"/>
  <c r="AE150" i="111"/>
  <c r="AD150" i="111"/>
  <c r="AC150" i="111"/>
  <c r="AB150" i="111"/>
  <c r="AA150" i="111"/>
  <c r="AE147" i="111"/>
  <c r="AD147" i="111"/>
  <c r="AC147" i="111"/>
  <c r="AB147" i="111"/>
  <c r="AA147" i="111"/>
  <c r="AE146" i="111"/>
  <c r="AD146" i="111"/>
  <c r="AC146" i="111"/>
  <c r="AB146" i="111"/>
  <c r="AA146" i="111"/>
  <c r="AE145" i="111"/>
  <c r="AD145" i="111"/>
  <c r="AC145" i="111"/>
  <c r="AB145" i="111"/>
  <c r="AA145" i="111"/>
  <c r="AE137" i="111"/>
  <c r="AD137" i="111"/>
  <c r="AC137" i="111"/>
  <c r="AB137" i="111"/>
  <c r="AA137" i="111"/>
  <c r="AE136" i="111"/>
  <c r="AD136" i="111"/>
  <c r="AC136" i="111"/>
  <c r="AB136" i="111"/>
  <c r="AA136" i="111"/>
  <c r="AE135" i="111"/>
  <c r="AD135" i="111"/>
  <c r="AC135" i="111"/>
  <c r="AB135" i="111"/>
  <c r="AA135" i="111"/>
  <c r="AE134" i="111"/>
  <c r="AD134" i="111"/>
  <c r="AC134" i="111"/>
  <c r="AB134" i="111"/>
  <c r="AA134" i="111"/>
  <c r="AB132" i="111"/>
  <c r="AC132" i="111" s="1"/>
  <c r="AD132" i="111" s="1"/>
  <c r="AE132" i="111" s="1"/>
  <c r="AB125" i="111"/>
  <c r="AC125" i="111" s="1"/>
  <c r="AD125" i="111" s="1"/>
  <c r="AE125" i="111" s="1"/>
  <c r="AE124" i="111"/>
  <c r="AD124" i="111"/>
  <c r="AC124" i="111"/>
  <c r="AB124" i="111"/>
  <c r="AA124" i="111"/>
  <c r="AE123" i="111"/>
  <c r="AD123" i="111"/>
  <c r="AC123" i="111"/>
  <c r="AB123" i="111"/>
  <c r="AA123" i="111"/>
  <c r="AE122" i="111"/>
  <c r="AD122" i="111"/>
  <c r="AC122" i="111"/>
  <c r="AB122" i="111"/>
  <c r="AA122" i="111"/>
  <c r="AE121" i="111"/>
  <c r="AD121" i="111"/>
  <c r="AC121" i="111"/>
  <c r="AB121" i="111"/>
  <c r="AA121" i="111"/>
  <c r="AB118" i="111"/>
  <c r="AC118" i="111" s="1"/>
  <c r="AD118" i="111" s="1"/>
  <c r="AE118" i="111" s="1"/>
  <c r="AE117" i="111"/>
  <c r="AD117" i="111"/>
  <c r="AC117" i="111"/>
  <c r="AB117" i="111"/>
  <c r="AA117" i="111"/>
  <c r="AE116" i="111"/>
  <c r="AD116" i="111"/>
  <c r="AC116" i="111"/>
  <c r="AB116" i="111"/>
  <c r="AA116" i="111"/>
  <c r="AE115" i="111"/>
  <c r="AD115" i="111"/>
  <c r="AC115" i="111"/>
  <c r="AB115" i="111"/>
  <c r="AA115" i="111"/>
  <c r="AE114" i="111"/>
  <c r="AD114" i="111"/>
  <c r="AC114" i="111"/>
  <c r="AB114" i="111"/>
  <c r="AA114" i="111"/>
  <c r="AB113" i="111"/>
  <c r="AC113" i="111" s="1"/>
  <c r="AD113" i="111" s="1"/>
  <c r="AE113" i="111" s="1"/>
  <c r="AE112" i="111"/>
  <c r="AD112" i="111"/>
  <c r="AC112" i="111"/>
  <c r="AB112" i="111"/>
  <c r="AA112" i="111"/>
  <c r="AE111" i="111"/>
  <c r="AD111" i="111"/>
  <c r="AC111" i="111"/>
  <c r="AB111" i="111"/>
  <c r="AA111" i="111"/>
  <c r="AE110" i="111"/>
  <c r="AD110" i="111"/>
  <c r="AC110" i="111"/>
  <c r="AB110" i="111"/>
  <c r="AA110" i="111"/>
  <c r="AE109" i="111"/>
  <c r="AD109" i="111"/>
  <c r="AC109" i="111"/>
  <c r="AB109" i="111"/>
  <c r="AA109" i="111"/>
  <c r="AE99" i="111"/>
  <c r="AD99" i="111"/>
  <c r="AC99" i="111"/>
  <c r="AB99" i="111"/>
  <c r="AA99" i="111"/>
  <c r="AE97" i="111"/>
  <c r="AD97" i="111"/>
  <c r="AC97" i="111"/>
  <c r="AB97" i="111"/>
  <c r="AA97" i="111"/>
  <c r="AE96" i="111"/>
  <c r="AD96" i="111"/>
  <c r="AC96" i="111"/>
  <c r="AB96" i="111"/>
  <c r="AA96" i="111"/>
  <c r="AE95" i="111"/>
  <c r="AD95" i="111"/>
  <c r="AC95" i="111"/>
  <c r="AB95" i="111"/>
  <c r="AA95" i="111"/>
  <c r="AE94" i="111"/>
  <c r="AD94" i="111"/>
  <c r="AC94" i="111"/>
  <c r="AB94" i="111"/>
  <c r="AA94" i="111"/>
  <c r="AE70" i="111"/>
  <c r="AD70" i="111"/>
  <c r="AC70" i="111"/>
  <c r="AB70" i="111"/>
  <c r="AA70" i="111"/>
  <c r="AE66" i="111"/>
  <c r="AD66" i="111"/>
  <c r="AC66" i="111"/>
  <c r="AB66" i="111"/>
  <c r="AA66" i="111"/>
  <c r="AE60" i="111"/>
  <c r="AD60" i="111"/>
  <c r="AC60" i="111"/>
  <c r="AB60" i="111"/>
  <c r="AA60" i="111"/>
  <c r="AE55" i="111"/>
  <c r="AD55" i="111"/>
  <c r="AC55" i="111"/>
  <c r="AB55" i="111"/>
  <c r="AA55" i="111"/>
  <c r="AE53" i="111"/>
  <c r="AD53" i="111"/>
  <c r="AC53" i="111"/>
  <c r="AB53" i="111"/>
  <c r="AA53" i="111"/>
  <c r="AE52" i="111"/>
  <c r="AD52" i="111"/>
  <c r="AC52" i="111"/>
  <c r="AB52" i="111"/>
  <c r="AA52" i="111"/>
  <c r="AE51" i="111"/>
  <c r="AD51" i="111"/>
  <c r="AC51" i="111"/>
  <c r="AB51" i="111"/>
  <c r="AA51" i="111"/>
  <c r="AE50" i="111"/>
  <c r="AD50" i="111"/>
  <c r="AC50" i="111"/>
  <c r="AB50" i="111"/>
  <c r="AA50" i="111"/>
  <c r="AE45" i="111"/>
  <c r="AD45" i="111"/>
  <c r="AC45" i="111"/>
  <c r="AB45" i="111"/>
  <c r="AA45" i="111"/>
  <c r="AE35" i="111"/>
  <c r="AD35" i="111"/>
  <c r="AC35" i="111"/>
  <c r="AB35" i="111"/>
  <c r="AA35" i="111"/>
  <c r="AE33" i="111"/>
  <c r="AD33" i="111"/>
  <c r="AC33" i="111"/>
  <c r="AB33" i="111"/>
  <c r="AA33" i="111"/>
  <c r="AE32" i="111"/>
  <c r="AD32" i="111"/>
  <c r="AC32" i="111"/>
  <c r="AB32" i="111"/>
  <c r="AA32" i="111"/>
  <c r="AE31" i="111"/>
  <c r="AD31" i="111"/>
  <c r="AC31" i="111"/>
  <c r="AB31" i="111"/>
  <c r="AA31" i="111"/>
  <c r="AE30" i="111"/>
  <c r="AD30" i="111"/>
  <c r="AC30" i="111"/>
  <c r="AB30" i="111"/>
  <c r="AA30" i="111"/>
  <c r="AA913" i="111" l="1"/>
  <c r="AA918" i="111"/>
  <c r="AB913" i="111"/>
  <c r="AB918" i="111"/>
  <c r="AC918" i="111"/>
  <c r="AC913" i="111"/>
  <c r="AD913" i="111"/>
  <c r="AD918" i="111"/>
  <c r="AE913" i="111"/>
  <c r="AE918" i="111"/>
  <c r="AD896" i="111"/>
  <c r="AD901" i="111"/>
  <c r="AD906" i="111"/>
  <c r="AA896" i="111"/>
  <c r="AA901" i="111"/>
  <c r="AA906" i="111"/>
  <c r="AE896" i="111"/>
  <c r="AE901" i="111"/>
  <c r="AE906" i="111"/>
  <c r="AB896" i="111"/>
  <c r="AB906" i="111"/>
  <c r="AB901" i="111"/>
  <c r="AC896" i="111"/>
  <c r="AC906" i="111"/>
  <c r="AC901" i="111"/>
  <c r="AB380" i="111"/>
  <c r="AC834" i="111"/>
  <c r="AD391" i="111"/>
  <c r="AA839" i="111"/>
  <c r="AE829" i="111"/>
  <c r="AE299" i="111"/>
  <c r="AA299" i="111"/>
  <c r="AB299" i="111"/>
  <c r="AC299" i="111"/>
  <c r="AD299" i="111"/>
  <c r="AA298" i="111"/>
  <c r="AB298" i="111"/>
  <c r="AC298" i="111"/>
  <c r="AD298" i="111"/>
  <c r="AE298" i="111"/>
  <c r="AD297" i="111"/>
  <c r="AC297" i="111"/>
  <c r="AE297" i="111"/>
  <c r="AA297" i="111"/>
  <c r="AB297" i="111"/>
  <c r="AC184" i="111"/>
  <c r="AE37" i="111"/>
  <c r="AB191" i="111"/>
  <c r="AE191" i="111"/>
  <c r="AD185" i="111"/>
  <c r="AE182" i="111"/>
  <c r="AB185" i="111"/>
  <c r="AD37" i="111"/>
  <c r="AE183" i="111"/>
  <c r="AE188" i="111"/>
  <c r="AC190" i="111"/>
  <c r="AD183" i="111"/>
  <c r="AB126" i="111"/>
  <c r="AA139" i="111"/>
  <c r="AB144" i="111"/>
  <c r="AD154" i="111"/>
  <c r="AC160" i="111"/>
  <c r="AA165" i="111"/>
  <c r="AE170" i="111"/>
  <c r="AC175" i="111"/>
  <c r="AB181" i="111"/>
  <c r="AC187" i="111"/>
  <c r="AD193" i="111"/>
  <c r="AD198" i="111" s="1"/>
  <c r="AC203" i="111"/>
  <c r="AD208" i="111"/>
  <c r="AE213" i="111"/>
  <c r="AD223" i="111"/>
  <c r="AB228" i="111"/>
  <c r="AD238" i="111"/>
  <c r="AB243" i="111"/>
  <c r="AA254" i="111"/>
  <c r="AE259" i="111"/>
  <c r="AA262" i="111"/>
  <c r="AD273" i="111"/>
  <c r="AA291" i="111"/>
  <c r="AE296" i="111"/>
  <c r="AC311" i="111"/>
  <c r="AE306" i="111"/>
  <c r="AA321" i="111"/>
  <c r="AB316" i="111"/>
  <c r="AB331" i="111"/>
  <c r="AD321" i="111"/>
  <c r="AE316" i="111"/>
  <c r="AE331" i="111"/>
  <c r="AA340" i="111"/>
  <c r="AB345" i="111"/>
  <c r="AA360" i="111"/>
  <c r="AC355" i="111"/>
  <c r="AC370" i="111"/>
  <c r="AE350" i="111"/>
  <c r="AE365" i="111"/>
  <c r="AB375" i="111"/>
  <c r="AC380" i="111"/>
  <c r="AD386" i="111"/>
  <c r="AE391" i="111"/>
  <c r="AD401" i="111"/>
  <c r="AB406" i="111"/>
  <c r="AB421" i="111"/>
  <c r="AD411" i="111"/>
  <c r="AD834" i="111"/>
  <c r="AB839" i="111"/>
  <c r="AC126" i="111"/>
  <c r="AB139" i="111"/>
  <c r="AC144" i="111"/>
  <c r="AA149" i="111"/>
  <c r="AE154" i="111"/>
  <c r="AD160" i="111"/>
  <c r="AB165" i="111"/>
  <c r="AD175" i="111"/>
  <c r="AC181" i="111"/>
  <c r="AD187" i="111"/>
  <c r="AE193" i="111"/>
  <c r="AE198" i="111" s="1"/>
  <c r="AD203" i="111"/>
  <c r="AE208" i="111"/>
  <c r="AA218" i="111"/>
  <c r="AE223" i="111"/>
  <c r="AC228" i="111"/>
  <c r="AA233" i="111"/>
  <c r="AE238" i="111"/>
  <c r="AC243" i="111"/>
  <c r="AA248" i="111"/>
  <c r="AB254" i="111"/>
  <c r="AB262" i="111"/>
  <c r="AA268" i="111"/>
  <c r="AE273" i="111"/>
  <c r="AA287" i="111"/>
  <c r="AB291" i="111"/>
  <c r="AB311" i="111"/>
  <c r="AD306" i="111"/>
  <c r="AA326" i="111"/>
  <c r="AD326" i="111"/>
  <c r="AA335" i="111"/>
  <c r="AB340" i="111"/>
  <c r="AC345" i="111"/>
  <c r="AB355" i="111"/>
  <c r="AB370" i="111"/>
  <c r="AD350" i="111"/>
  <c r="AD365" i="111"/>
  <c r="AC375" i="111"/>
  <c r="AD380" i="111"/>
  <c r="AE386" i="111"/>
  <c r="AA396" i="111"/>
  <c r="AE401" i="111"/>
  <c r="AA416" i="111"/>
  <c r="AC406" i="111"/>
  <c r="AC421" i="111"/>
  <c r="AE411" i="111"/>
  <c r="AA829" i="111"/>
  <c r="AE834" i="111"/>
  <c r="AC839" i="111"/>
  <c r="AD126" i="111"/>
  <c r="AC139" i="111"/>
  <c r="AD144" i="111"/>
  <c r="AB149" i="111"/>
  <c r="AE160" i="111"/>
  <c r="AC165" i="111"/>
  <c r="AA170" i="111"/>
  <c r="AE175" i="111"/>
  <c r="AD181" i="111"/>
  <c r="AE187" i="111"/>
  <c r="AE203" i="111"/>
  <c r="AA213" i="111"/>
  <c r="AB218" i="111"/>
  <c r="AD228" i="111"/>
  <c r="AB233" i="111"/>
  <c r="AD243" i="111"/>
  <c r="AB248" i="111"/>
  <c r="AC254" i="111"/>
  <c r="AA259" i="111"/>
  <c r="AC262" i="111"/>
  <c r="AB268" i="111"/>
  <c r="AB287" i="111"/>
  <c r="AC291" i="111"/>
  <c r="AA296" i="111"/>
  <c r="AA311" i="111"/>
  <c r="AC306" i="111"/>
  <c r="AA316" i="111"/>
  <c r="AA331" i="111"/>
  <c r="AC321" i="111"/>
  <c r="AD316" i="111"/>
  <c r="AD331" i="111"/>
  <c r="AB335" i="111"/>
  <c r="AC340" i="111"/>
  <c r="AD345" i="111"/>
  <c r="AA355" i="111"/>
  <c r="AA370" i="111"/>
  <c r="AC350" i="111"/>
  <c r="AC365" i="111"/>
  <c r="AE360" i="111"/>
  <c r="AD375" i="111"/>
  <c r="AE380" i="111"/>
  <c r="AA391" i="111"/>
  <c r="AB396" i="111"/>
  <c r="AB416" i="111"/>
  <c r="AD406" i="111"/>
  <c r="AD421" i="111"/>
  <c r="AB829" i="111"/>
  <c r="AD839" i="111"/>
  <c r="AB37" i="111"/>
  <c r="AC38" i="111"/>
  <c r="AD58" i="111"/>
  <c r="AE126" i="111"/>
  <c r="AD139" i="111"/>
  <c r="AE144" i="111"/>
  <c r="AC149" i="111"/>
  <c r="AA154" i="111"/>
  <c r="AD165" i="111"/>
  <c r="AB170" i="111"/>
  <c r="AE181" i="111"/>
  <c r="AA193" i="111"/>
  <c r="AA198" i="111" s="1"/>
  <c r="AA208" i="111"/>
  <c r="AB213" i="111"/>
  <c r="AC218" i="111"/>
  <c r="AA223" i="111"/>
  <c r="AE228" i="111"/>
  <c r="AC233" i="111"/>
  <c r="AA238" i="111"/>
  <c r="AE243" i="111"/>
  <c r="AC248" i="111"/>
  <c r="AD254" i="111"/>
  <c r="AB259" i="111"/>
  <c r="AD262" i="111"/>
  <c r="AC268" i="111"/>
  <c r="AA273" i="111"/>
  <c r="AC287" i="111"/>
  <c r="AD291" i="111"/>
  <c r="AB296" i="111"/>
  <c r="AB306" i="111"/>
  <c r="AC326" i="111"/>
  <c r="AC335" i="111"/>
  <c r="AD340" i="111"/>
  <c r="AE345" i="111"/>
  <c r="AB350" i="111"/>
  <c r="AB365" i="111"/>
  <c r="AD360" i="111"/>
  <c r="AE375" i="111"/>
  <c r="AA386" i="111"/>
  <c r="AB391" i="111"/>
  <c r="AC396" i="111"/>
  <c r="AA401" i="111"/>
  <c r="AA411" i="111"/>
  <c r="AC416" i="111"/>
  <c r="AE406" i="111"/>
  <c r="AE421" i="111"/>
  <c r="AC829" i="111"/>
  <c r="AA834" i="111"/>
  <c r="AE839" i="111"/>
  <c r="AC37" i="111"/>
  <c r="AD57" i="111"/>
  <c r="AE139" i="111"/>
  <c r="AD149" i="111"/>
  <c r="AB154" i="111"/>
  <c r="AA160" i="111"/>
  <c r="AE165" i="111"/>
  <c r="AC170" i="111"/>
  <c r="AA175" i="111"/>
  <c r="AA187" i="111"/>
  <c r="AB193" i="111"/>
  <c r="AB198" i="111" s="1"/>
  <c r="AA203" i="111"/>
  <c r="AB208" i="111"/>
  <c r="AC213" i="111"/>
  <c r="AD218" i="111"/>
  <c r="AB223" i="111"/>
  <c r="AD233" i="111"/>
  <c r="AB238" i="111"/>
  <c r="AD248" i="111"/>
  <c r="AE254" i="111"/>
  <c r="AC259" i="111"/>
  <c r="AE262" i="111"/>
  <c r="AD268" i="111"/>
  <c r="AB273" i="111"/>
  <c r="AD287" i="111"/>
  <c r="AE291" i="111"/>
  <c r="AC296" i="111"/>
  <c r="AA306" i="111"/>
  <c r="AE311" i="111"/>
  <c r="AB321" i="111"/>
  <c r="AC316" i="111"/>
  <c r="AC331" i="111"/>
  <c r="AE321" i="111"/>
  <c r="AD335" i="111"/>
  <c r="AE340" i="111"/>
  <c r="AA350" i="111"/>
  <c r="AA365" i="111"/>
  <c r="AC360" i="111"/>
  <c r="AE355" i="111"/>
  <c r="AE370" i="111"/>
  <c r="AA380" i="111"/>
  <c r="AB386" i="111"/>
  <c r="AC391" i="111"/>
  <c r="AD396" i="111"/>
  <c r="AB401" i="111"/>
  <c r="AB411" i="111"/>
  <c r="AD416" i="111"/>
  <c r="AD829" i="111"/>
  <c r="AB834" i="111"/>
  <c r="AE57" i="111"/>
  <c r="AA126" i="111"/>
  <c r="AA144" i="111"/>
  <c r="AE149" i="111"/>
  <c r="AC154" i="111"/>
  <c r="AB160" i="111"/>
  <c r="AD170" i="111"/>
  <c r="AB175" i="111"/>
  <c r="AA181" i="111"/>
  <c r="AB187" i="111"/>
  <c r="AC193" i="111"/>
  <c r="AC198" i="111" s="1"/>
  <c r="AB203" i="111"/>
  <c r="AC208" i="111"/>
  <c r="AD213" i="111"/>
  <c r="AE218" i="111"/>
  <c r="AC223" i="111"/>
  <c r="AA228" i="111"/>
  <c r="AE233" i="111"/>
  <c r="AC238" i="111"/>
  <c r="AA243" i="111"/>
  <c r="AE248" i="111"/>
  <c r="AD259" i="111"/>
  <c r="AE268" i="111"/>
  <c r="AC273" i="111"/>
  <c r="AE287" i="111"/>
  <c r="AD296" i="111"/>
  <c r="AD311" i="111"/>
  <c r="AB326" i="111"/>
  <c r="AE326" i="111"/>
  <c r="AE335" i="111"/>
  <c r="AA345" i="111"/>
  <c r="AB360" i="111"/>
  <c r="AD355" i="111"/>
  <c r="AD370" i="111"/>
  <c r="AA375" i="111"/>
  <c r="AC386" i="111"/>
  <c r="AE396" i="111"/>
  <c r="AC401" i="111"/>
  <c r="AA406" i="111"/>
  <c r="AA421" i="111"/>
  <c r="AC411" i="111"/>
  <c r="AE416" i="111"/>
  <c r="AC57" i="111"/>
  <c r="AD189" i="111"/>
  <c r="AB183" i="111"/>
  <c r="AE189" i="111"/>
  <c r="AC183" i="111"/>
  <c r="AE185" i="111"/>
  <c r="AB56" i="111"/>
  <c r="AB36" i="111"/>
  <c r="AC56" i="111"/>
  <c r="AB182" i="111"/>
  <c r="AC36" i="111"/>
  <c r="AD56" i="111"/>
  <c r="AB38" i="111"/>
  <c r="AC58" i="111"/>
  <c r="AB184" i="111"/>
  <c r="AD188" i="111"/>
  <c r="AD36" i="111"/>
  <c r="AE56" i="111"/>
  <c r="AC377" i="111"/>
  <c r="AE36" i="111"/>
  <c r="AC185" i="111"/>
  <c r="AD191" i="111"/>
  <c r="AC182" i="111"/>
  <c r="AB329" i="111"/>
  <c r="AB189" i="111"/>
  <c r="AB58" i="111"/>
  <c r="AA329" i="111"/>
  <c r="AB190" i="111"/>
  <c r="AE190" i="111"/>
  <c r="AE329" i="111"/>
  <c r="AD329" i="111"/>
  <c r="AD38" i="111"/>
  <c r="AE58" i="111"/>
  <c r="AD190" i="111"/>
  <c r="AD184" i="111"/>
  <c r="AE38" i="111"/>
  <c r="AE184" i="111"/>
  <c r="AC329" i="111"/>
  <c r="AB57" i="111"/>
  <c r="AE328" i="111"/>
  <c r="AA377" i="111"/>
  <c r="AB377" i="111"/>
  <c r="AD328" i="111"/>
  <c r="AA372" i="111"/>
  <c r="AC328" i="111"/>
  <c r="AC189" i="111"/>
  <c r="AB328" i="111"/>
  <c r="AA328" i="111"/>
  <c r="AD327" i="111"/>
  <c r="AD274" i="111"/>
  <c r="AC327" i="111"/>
  <c r="AC188" i="111"/>
  <c r="AB327" i="111"/>
  <c r="AA327" i="111"/>
  <c r="AB188" i="111"/>
  <c r="AC191" i="111"/>
  <c r="AE327" i="111"/>
  <c r="AB376" i="111"/>
  <c r="AC376" i="111"/>
  <c r="AB378" i="111"/>
  <c r="AC378" i="111"/>
  <c r="AD378" i="111"/>
  <c r="AE378" i="111"/>
  <c r="AA378" i="111"/>
  <c r="AB372" i="111"/>
  <c r="AC372" i="111"/>
  <c r="AD377" i="111"/>
  <c r="AE377" i="111"/>
  <c r="AC371" i="111"/>
  <c r="AB274" i="111"/>
  <c r="AA376" i="111"/>
  <c r="AC274" i="111"/>
  <c r="AB272" i="111"/>
  <c r="AE274" i="111"/>
  <c r="AC272" i="111"/>
  <c r="AD376" i="111"/>
  <c r="AD272" i="111"/>
  <c r="AE376" i="111"/>
  <c r="AE272" i="111"/>
  <c r="AA274" i="111"/>
  <c r="AA272" i="111"/>
  <c r="AD182" i="111"/>
  <c r="W86" i="27"/>
  <c r="W76" i="27"/>
  <c r="V86" i="27"/>
  <c r="V76" i="27"/>
  <c r="U86" i="27"/>
  <c r="U76" i="27"/>
  <c r="T86" i="27"/>
  <c r="T76" i="27"/>
  <c r="S86" i="27"/>
  <c r="S76" i="27"/>
  <c r="R86" i="27"/>
  <c r="R76" i="27"/>
  <c r="P86" i="27"/>
  <c r="P76" i="27"/>
  <c r="O86" i="27"/>
  <c r="O76" i="27"/>
  <c r="W4" i="27"/>
  <c r="W36" i="27" s="1"/>
  <c r="V4" i="27"/>
  <c r="V60" i="27" s="1"/>
  <c r="U4" i="27"/>
  <c r="U60" i="27" s="1"/>
  <c r="T4" i="27"/>
  <c r="T60" i="27" s="1"/>
  <c r="S4" i="27"/>
  <c r="AE202" i="11"/>
  <c r="AD202" i="11"/>
  <c r="AC202" i="11"/>
  <c r="AB202" i="11"/>
  <c r="AA202" i="11"/>
  <c r="AE187" i="11"/>
  <c r="AD187" i="11"/>
  <c r="AC187" i="11"/>
  <c r="AB187" i="11"/>
  <c r="AA187" i="11"/>
  <c r="AE165" i="11"/>
  <c r="AD165" i="11"/>
  <c r="AC165" i="11"/>
  <c r="AB165" i="11"/>
  <c r="AA165" i="11"/>
  <c r="AE150" i="11"/>
  <c r="AD150" i="11"/>
  <c r="AC150" i="11"/>
  <c r="AB150" i="11"/>
  <c r="AA150" i="11"/>
  <c r="AE121" i="11"/>
  <c r="AD121" i="11"/>
  <c r="AC121" i="11"/>
  <c r="AB121" i="11"/>
  <c r="AA121" i="11"/>
  <c r="AE101" i="11"/>
  <c r="AD101" i="11"/>
  <c r="AC101" i="11"/>
  <c r="AB101" i="11"/>
  <c r="AA101" i="11"/>
  <c r="AE41" i="11"/>
  <c r="AD41" i="11"/>
  <c r="AC41" i="11"/>
  <c r="AB41" i="11"/>
  <c r="AA41" i="11"/>
  <c r="AE35" i="11"/>
  <c r="AD35" i="11"/>
  <c r="AC35" i="11"/>
  <c r="AB35" i="11"/>
  <c r="AA35" i="11"/>
  <c r="CK113" i="2"/>
  <c r="CJ113" i="2"/>
  <c r="CI113" i="2"/>
  <c r="CH113" i="2"/>
  <c r="CG113" i="2"/>
  <c r="CF113" i="2"/>
  <c r="CE113" i="2"/>
  <c r="CD113" i="2"/>
  <c r="CC113" i="2"/>
  <c r="CB113" i="2"/>
  <c r="CA113" i="2"/>
  <c r="BZ113" i="2"/>
  <c r="BY113" i="2"/>
  <c r="BX113" i="2"/>
  <c r="BW113" i="2"/>
  <c r="BV113" i="2"/>
  <c r="BU113" i="2"/>
  <c r="BT113" i="2"/>
  <c r="BS113" i="2"/>
  <c r="BR11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S28" i="8"/>
  <c r="CK200" i="8"/>
  <c r="CJ200" i="8"/>
  <c r="CI200" i="8"/>
  <c r="CH200" i="8"/>
  <c r="CG200" i="8"/>
  <c r="CF200" i="8"/>
  <c r="CE200" i="8"/>
  <c r="CD200" i="8"/>
  <c r="CC200" i="8"/>
  <c r="CB200" i="8"/>
  <c r="CA200" i="8"/>
  <c r="BZ200" i="8"/>
  <c r="CK198" i="8"/>
  <c r="CJ198" i="8"/>
  <c r="CI198" i="8"/>
  <c r="CH198" i="8"/>
  <c r="CG198" i="8"/>
  <c r="CF198" i="8"/>
  <c r="CE198" i="8"/>
  <c r="CD198" i="8"/>
  <c r="CC198" i="8"/>
  <c r="CB198" i="8"/>
  <c r="CA198" i="8"/>
  <c r="BZ198" i="8"/>
  <c r="CK180" i="8"/>
  <c r="CJ180" i="8"/>
  <c r="CI180" i="8"/>
  <c r="CH180" i="8"/>
  <c r="CG180" i="8"/>
  <c r="CF180" i="8"/>
  <c r="CE180" i="8"/>
  <c r="CD180" i="8"/>
  <c r="CC180" i="8"/>
  <c r="CB180" i="8"/>
  <c r="CA180" i="8"/>
  <c r="BZ180" i="8"/>
  <c r="CK178" i="8"/>
  <c r="CJ178" i="8"/>
  <c r="CI178" i="8"/>
  <c r="CH178" i="8"/>
  <c r="CG178" i="8"/>
  <c r="CF178" i="8"/>
  <c r="CE178" i="8"/>
  <c r="CD178" i="8"/>
  <c r="CC178" i="8"/>
  <c r="CB178" i="8"/>
  <c r="CA178" i="8"/>
  <c r="BZ178" i="8"/>
  <c r="CK155" i="8"/>
  <c r="CJ155" i="8"/>
  <c r="CI155" i="8"/>
  <c r="CH155" i="8"/>
  <c r="CG155" i="8"/>
  <c r="CF155" i="8"/>
  <c r="CE155" i="8"/>
  <c r="CD155" i="8"/>
  <c r="CC155" i="8"/>
  <c r="CB155" i="8"/>
  <c r="CA155" i="8"/>
  <c r="BZ155" i="8"/>
  <c r="CK153" i="8"/>
  <c r="CJ153" i="8"/>
  <c r="CI153" i="8"/>
  <c r="CH153" i="8"/>
  <c r="CG153" i="8"/>
  <c r="CF153" i="8"/>
  <c r="CE153" i="8"/>
  <c r="CD153" i="8"/>
  <c r="CC153" i="8"/>
  <c r="CB153" i="8"/>
  <c r="CA153" i="8"/>
  <c r="BZ153" i="8"/>
  <c r="CK8" i="8"/>
  <c r="CJ8" i="8"/>
  <c r="CI8" i="8"/>
  <c r="CH8" i="8"/>
  <c r="CG8" i="8"/>
  <c r="CF8" i="8"/>
  <c r="CE8" i="8"/>
  <c r="CD8" i="8"/>
  <c r="CC8" i="8"/>
  <c r="CB8" i="8"/>
  <c r="CA8" i="8"/>
  <c r="BZ8" i="8"/>
  <c r="BY8" i="8"/>
  <c r="BX8" i="8"/>
  <c r="BW8" i="8"/>
  <c r="BV8" i="8"/>
  <c r="BU8" i="8"/>
  <c r="BT8" i="8"/>
  <c r="BS8" i="8"/>
  <c r="BR8" i="8"/>
  <c r="Z75" i="27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CK286" i="112"/>
  <c r="CJ286" i="112"/>
  <c r="CI286" i="112"/>
  <c r="CH286" i="112"/>
  <c r="CG286" i="112"/>
  <c r="CF286" i="112"/>
  <c r="CE286" i="112"/>
  <c r="CD286" i="112"/>
  <c r="CC286" i="112"/>
  <c r="CB286" i="112"/>
  <c r="CA286" i="112"/>
  <c r="BZ286" i="112"/>
  <c r="BY286" i="112"/>
  <c r="BX286" i="112"/>
  <c r="BW286" i="112"/>
  <c r="BV286" i="112"/>
  <c r="BU286" i="112"/>
  <c r="BT286" i="112"/>
  <c r="BS286" i="112"/>
  <c r="BR286" i="112"/>
  <c r="CK282" i="112"/>
  <c r="CJ282" i="112"/>
  <c r="CI282" i="112"/>
  <c r="CH282" i="112"/>
  <c r="CG282" i="112"/>
  <c r="CF282" i="112"/>
  <c r="CE282" i="112"/>
  <c r="CD282" i="112"/>
  <c r="CC282" i="112"/>
  <c r="CB282" i="112"/>
  <c r="CA282" i="112"/>
  <c r="BZ282" i="112"/>
  <c r="BY282" i="112"/>
  <c r="BX282" i="112"/>
  <c r="BW282" i="112"/>
  <c r="BV282" i="112"/>
  <c r="BU282" i="112"/>
  <c r="BT282" i="112"/>
  <c r="BS282" i="112"/>
  <c r="BR282" i="112"/>
  <c r="AB47" i="76" l="1"/>
  <c r="AE47" i="76"/>
  <c r="AH47" i="76"/>
  <c r="AI47" i="76" s="1"/>
  <c r="AC24" i="76"/>
  <c r="AF24" i="76"/>
  <c r="AC47" i="76"/>
  <c r="AF47" i="76"/>
  <c r="AD24" i="76"/>
  <c r="AG24" i="76"/>
  <c r="AD47" i="76"/>
  <c r="AG47" i="76"/>
  <c r="AB24" i="76"/>
  <c r="AE24" i="76"/>
  <c r="AH24" i="76"/>
  <c r="S36" i="27"/>
  <c r="BR78" i="8"/>
  <c r="BR7" i="8"/>
  <c r="BS141" i="8"/>
  <c r="BS7" i="8"/>
  <c r="BT208" i="8"/>
  <c r="BT253" i="8" s="1"/>
  <c r="BT269" i="8" s="1"/>
  <c r="BT7" i="8"/>
  <c r="BU208" i="8"/>
  <c r="BU253" i="8" s="1"/>
  <c r="BU269" i="8" s="1"/>
  <c r="BU7" i="8"/>
  <c r="BV78" i="8"/>
  <c r="BV7" i="8"/>
  <c r="BW231" i="8"/>
  <c r="BW7" i="8"/>
  <c r="BX141" i="8"/>
  <c r="BX7" i="8"/>
  <c r="BY141" i="8"/>
  <c r="BY7" i="8"/>
  <c r="BZ208" i="8"/>
  <c r="BZ253" i="8" s="1"/>
  <c r="BZ269" i="8" s="1"/>
  <c r="BZ7" i="8"/>
  <c r="CA208" i="8"/>
  <c r="CA253" i="8" s="1"/>
  <c r="CA269" i="8" s="1"/>
  <c r="CA7" i="8"/>
  <c r="CB78" i="8"/>
  <c r="CB7" i="8"/>
  <c r="CC231" i="8"/>
  <c r="CC7" i="8"/>
  <c r="CD141" i="8"/>
  <c r="CD7" i="8"/>
  <c r="CE141" i="8"/>
  <c r="CE7" i="8"/>
  <c r="CF208" i="8"/>
  <c r="CF253" i="8" s="1"/>
  <c r="CF269" i="8" s="1"/>
  <c r="CF7" i="8"/>
  <c r="CG208" i="8"/>
  <c r="CG253" i="8" s="1"/>
  <c r="CG269" i="8" s="1"/>
  <c r="CG7" i="8"/>
  <c r="CH78" i="8"/>
  <c r="CH7" i="8"/>
  <c r="CI231" i="8"/>
  <c r="CI7" i="8"/>
  <c r="CJ141" i="8"/>
  <c r="CJ7" i="8"/>
  <c r="CK141" i="8"/>
  <c r="CK7" i="8"/>
  <c r="Y75" i="27"/>
  <c r="X75" i="27"/>
  <c r="T19" i="27"/>
  <c r="U19" i="27"/>
  <c r="AB301" i="111"/>
  <c r="V19" i="27"/>
  <c r="AD301" i="111"/>
  <c r="AC301" i="111"/>
  <c r="AA301" i="111"/>
  <c r="AE301" i="111"/>
  <c r="S19" i="27"/>
  <c r="W19" i="27"/>
  <c r="CK231" i="8"/>
  <c r="CC208" i="8"/>
  <c r="CC253" i="8" s="1"/>
  <c r="CC269" i="8" s="1"/>
  <c r="BU141" i="8"/>
  <c r="CG141" i="8"/>
  <c r="CI321" i="8"/>
  <c r="BY231" i="8"/>
  <c r="U36" i="27"/>
  <c r="W60" i="27"/>
  <c r="V36" i="27"/>
  <c r="BS231" i="8"/>
  <c r="BW208" i="8"/>
  <c r="BW253" i="8" s="1"/>
  <c r="BW269" i="8" s="1"/>
  <c r="CA141" i="8"/>
  <c r="BW321" i="8"/>
  <c r="CC321" i="8"/>
  <c r="CE231" i="8"/>
  <c r="CI208" i="8"/>
  <c r="CI253" i="8" s="1"/>
  <c r="CI269" i="8" s="1"/>
  <c r="CD78" i="8"/>
  <c r="BV321" i="8"/>
  <c r="CB321" i="8"/>
  <c r="CH321" i="8"/>
  <c r="BR231" i="8"/>
  <c r="BX231" i="8"/>
  <c r="CD231" i="8"/>
  <c r="CJ231" i="8"/>
  <c r="BV208" i="8"/>
  <c r="BV253" i="8" s="1"/>
  <c r="BV269" i="8" s="1"/>
  <c r="CB208" i="8"/>
  <c r="CB253" i="8" s="1"/>
  <c r="CB269" i="8" s="1"/>
  <c r="CH208" i="8"/>
  <c r="CH253" i="8" s="1"/>
  <c r="CH269" i="8" s="1"/>
  <c r="BT141" i="8"/>
  <c r="BZ141" i="8"/>
  <c r="CF141" i="8"/>
  <c r="BW78" i="8"/>
  <c r="CC78" i="8"/>
  <c r="CI78" i="8"/>
  <c r="AE130" i="111"/>
  <c r="AE64" i="111"/>
  <c r="T36" i="27"/>
  <c r="BR321" i="8"/>
  <c r="BX321" i="8"/>
  <c r="CD321" i="8"/>
  <c r="CJ321" i="8"/>
  <c r="BT231" i="8"/>
  <c r="BZ231" i="8"/>
  <c r="CF231" i="8"/>
  <c r="BR208" i="8"/>
  <c r="BR253" i="8" s="1"/>
  <c r="BR269" i="8" s="1"/>
  <c r="BX208" i="8"/>
  <c r="BX253" i="8" s="1"/>
  <c r="BX269" i="8" s="1"/>
  <c r="CD208" i="8"/>
  <c r="CD253" i="8" s="1"/>
  <c r="CD269" i="8" s="1"/>
  <c r="CJ208" i="8"/>
  <c r="CJ253" i="8" s="1"/>
  <c r="CJ269" i="8" s="1"/>
  <c r="BV141" i="8"/>
  <c r="CB141" i="8"/>
  <c r="CH141" i="8"/>
  <c r="BS78" i="8"/>
  <c r="BY78" i="8"/>
  <c r="CE78" i="8"/>
  <c r="CK78" i="8"/>
  <c r="AA130" i="111"/>
  <c r="AA64" i="111"/>
  <c r="CJ78" i="8"/>
  <c r="BS321" i="8"/>
  <c r="BY321" i="8"/>
  <c r="CE321" i="8"/>
  <c r="CK321" i="8"/>
  <c r="BU231" i="8"/>
  <c r="CA231" i="8"/>
  <c r="CG231" i="8"/>
  <c r="BS208" i="8"/>
  <c r="BS253" i="8" s="1"/>
  <c r="BS269" i="8" s="1"/>
  <c r="BY208" i="8"/>
  <c r="BY253" i="8" s="1"/>
  <c r="BY269" i="8" s="1"/>
  <c r="CE208" i="8"/>
  <c r="CE253" i="8" s="1"/>
  <c r="CE269" i="8" s="1"/>
  <c r="CK208" i="8"/>
  <c r="CK253" i="8" s="1"/>
  <c r="CK269" i="8" s="1"/>
  <c r="BW141" i="8"/>
  <c r="CC141" i="8"/>
  <c r="CI141" i="8"/>
  <c r="BT78" i="8"/>
  <c r="BZ78" i="8"/>
  <c r="CF78" i="8"/>
  <c r="AB130" i="111"/>
  <c r="AB64" i="111"/>
  <c r="BX78" i="8"/>
  <c r="BT321" i="8"/>
  <c r="BZ321" i="8"/>
  <c r="CF321" i="8"/>
  <c r="BV231" i="8"/>
  <c r="CB231" i="8"/>
  <c r="CH231" i="8"/>
  <c r="BR141" i="8"/>
  <c r="BU78" i="8"/>
  <c r="CA78" i="8"/>
  <c r="CG78" i="8"/>
  <c r="AC64" i="111"/>
  <c r="AC130" i="111"/>
  <c r="S60" i="27"/>
  <c r="BU321" i="8"/>
  <c r="CA321" i="8"/>
  <c r="CG321" i="8"/>
  <c r="AD130" i="111"/>
  <c r="AD64" i="111"/>
  <c r="S75" i="27"/>
  <c r="T75" i="27"/>
  <c r="V75" i="27"/>
  <c r="W75" i="27"/>
  <c r="U75" i="27"/>
  <c r="BS38" i="8"/>
  <c r="BT28" i="8"/>
  <c r="BT29" i="8" s="1"/>
  <c r="BS27" i="8"/>
  <c r="BS29" i="8"/>
  <c r="BS37" i="8" l="1"/>
  <c r="BS33" i="8"/>
  <c r="BT38" i="8"/>
  <c r="BS39" i="8"/>
  <c r="BU28" i="8"/>
  <c r="BT27" i="8"/>
  <c r="BT39" i="8" l="1"/>
  <c r="BT33" i="8"/>
  <c r="BU38" i="8"/>
  <c r="BT37" i="8"/>
  <c r="BU27" i="8"/>
  <c r="BU29" i="8"/>
  <c r="BV28" i="8"/>
  <c r="BU37" i="8" l="1"/>
  <c r="BU33" i="8"/>
  <c r="BU39" i="8"/>
  <c r="BV38" i="8"/>
  <c r="BV33" i="8" s="1"/>
  <c r="BV27" i="8"/>
  <c r="BW28" i="8"/>
  <c r="BV29" i="8"/>
  <c r="BV39" i="8" l="1"/>
  <c r="BW38" i="8"/>
  <c r="BW33" i="8" s="1"/>
  <c r="BV37" i="8"/>
  <c r="BW27" i="8"/>
  <c r="BW29" i="8"/>
  <c r="BX28" i="8"/>
  <c r="BW37" i="8" l="1"/>
  <c r="BW39" i="8"/>
  <c r="BX38" i="8"/>
  <c r="BX33" i="8" s="1"/>
  <c r="BX27" i="8"/>
  <c r="BY28" i="8"/>
  <c r="BX29" i="8"/>
  <c r="BX39" i="8" l="1"/>
  <c r="BX37" i="8"/>
  <c r="BY38" i="8"/>
  <c r="BY33" i="8" s="1"/>
  <c r="BY29" i="8"/>
  <c r="BY27" i="8"/>
  <c r="BZ28" i="8"/>
  <c r="BZ38" i="8" l="1"/>
  <c r="BZ33" i="8" s="1"/>
  <c r="BY39" i="8"/>
  <c r="BY37" i="8"/>
  <c r="BZ29" i="8"/>
  <c r="CA28" i="8"/>
  <c r="BZ27" i="8"/>
  <c r="BZ37" i="8" l="1"/>
  <c r="CA38" i="8"/>
  <c r="CA33" i="8" s="1"/>
  <c r="BZ39" i="8"/>
  <c r="CA29" i="8"/>
  <c r="CA27" i="8"/>
  <c r="CB28" i="8"/>
  <c r="CA39" i="8" l="1"/>
  <c r="CB38" i="8"/>
  <c r="CB33" i="8" s="1"/>
  <c r="CA37" i="8"/>
  <c r="CB29" i="8"/>
  <c r="CB27" i="8"/>
  <c r="CC28" i="8"/>
  <c r="CB39" i="8" l="1"/>
  <c r="CC38" i="8"/>
  <c r="CC33" i="8" s="1"/>
  <c r="CB37" i="8"/>
  <c r="CD28" i="8"/>
  <c r="CC27" i="8"/>
  <c r="CC29" i="8"/>
  <c r="CC39" i="8" l="1"/>
  <c r="CD38" i="8"/>
  <c r="CD33" i="8" s="1"/>
  <c r="CC37" i="8"/>
  <c r="CE28" i="8"/>
  <c r="CD27" i="8"/>
  <c r="CD29" i="8"/>
  <c r="CE38" i="8" l="1"/>
  <c r="CE33" i="8" s="1"/>
  <c r="CD37" i="8"/>
  <c r="CD39" i="8"/>
  <c r="CE27" i="8"/>
  <c r="CE29" i="8"/>
  <c r="CF28" i="8"/>
  <c r="CF38" i="8" l="1"/>
  <c r="CF33" i="8" s="1"/>
  <c r="CE37" i="8"/>
  <c r="CE39" i="8"/>
  <c r="CF27" i="8"/>
  <c r="CF29" i="8"/>
  <c r="CG28" i="8"/>
  <c r="CF37" i="8" l="1"/>
  <c r="CG38" i="8"/>
  <c r="CG33" i="8" s="1"/>
  <c r="CF39" i="8"/>
  <c r="CH28" i="8"/>
  <c r="CG27" i="8"/>
  <c r="CG29" i="8"/>
  <c r="CH38" i="8" l="1"/>
  <c r="CH33" i="8" s="1"/>
  <c r="CG37" i="8"/>
  <c r="CG39" i="8"/>
  <c r="CI28" i="8"/>
  <c r="CH27" i="8"/>
  <c r="CH29" i="8"/>
  <c r="CI38" i="8" l="1"/>
  <c r="CI33" i="8" s="1"/>
  <c r="CH39" i="8"/>
  <c r="CH37" i="8"/>
  <c r="CJ28" i="8"/>
  <c r="CI29" i="8"/>
  <c r="CI27" i="8"/>
  <c r="CJ38" i="8" l="1"/>
  <c r="CJ33" i="8" s="1"/>
  <c r="CI39" i="8"/>
  <c r="CI37" i="8"/>
  <c r="CJ27" i="8"/>
  <c r="CJ29" i="8"/>
  <c r="CK28" i="8"/>
  <c r="CL28" i="8" s="1"/>
  <c r="CL27" i="8" l="1"/>
  <c r="CM28" i="8"/>
  <c r="CL29" i="8"/>
  <c r="CK38" i="8"/>
  <c r="CJ39" i="8"/>
  <c r="CJ37" i="8"/>
  <c r="CK27" i="8"/>
  <c r="CK29" i="8"/>
  <c r="CK33" i="8" l="1"/>
  <c r="CL38" i="8"/>
  <c r="CN28" i="8"/>
  <c r="CM27" i="8"/>
  <c r="CM29" i="8"/>
  <c r="CK37" i="8"/>
  <c r="CK39" i="8"/>
  <c r="CN29" i="8" l="1"/>
  <c r="CN27" i="8"/>
  <c r="CO28" i="8"/>
  <c r="CL37" i="8"/>
  <c r="CM38" i="8"/>
  <c r="CL39" i="8"/>
  <c r="CL33" i="8"/>
  <c r="BV59" i="8"/>
  <c r="CO27" i="8" l="1"/>
  <c r="CP28" i="8"/>
  <c r="CQ28" i="8" s="1"/>
  <c r="CO29" i="8"/>
  <c r="CM39" i="8"/>
  <c r="CN38" i="8"/>
  <c r="CM37" i="8"/>
  <c r="CM33" i="8"/>
  <c r="CL34" i="8"/>
  <c r="CL32" i="8"/>
  <c r="BW59" i="8"/>
  <c r="BW54" i="8" s="1"/>
  <c r="BV54" i="8"/>
  <c r="BV60" i="8"/>
  <c r="BV58" i="8"/>
  <c r="BR58" i="8"/>
  <c r="BR60" i="8"/>
  <c r="BS60" i="8"/>
  <c r="BS58" i="8"/>
  <c r="BU58" i="8"/>
  <c r="BU60" i="8"/>
  <c r="BT60" i="8"/>
  <c r="BT58" i="8"/>
  <c r="CR28" i="8" l="1"/>
  <c r="CQ27" i="8"/>
  <c r="CQ29" i="8"/>
  <c r="CO38" i="8"/>
  <c r="CN37" i="8"/>
  <c r="CN39" i="8"/>
  <c r="CN33" i="8"/>
  <c r="CP29" i="8"/>
  <c r="CP27" i="8"/>
  <c r="CM32" i="8"/>
  <c r="CM34" i="8"/>
  <c r="BW58" i="8"/>
  <c r="BW60" i="8"/>
  <c r="BX59" i="8"/>
  <c r="BX54" i="8" s="1"/>
  <c r="CR29" i="8" l="1"/>
  <c r="CR27" i="8"/>
  <c r="CS28" i="8"/>
  <c r="CP38" i="8"/>
  <c r="CQ38" i="8" s="1"/>
  <c r="CO37" i="8"/>
  <c r="CO39" i="8"/>
  <c r="CO33" i="8"/>
  <c r="CN32" i="8"/>
  <c r="CN34" i="8"/>
  <c r="BY59" i="8"/>
  <c r="BY54" i="8" s="1"/>
  <c r="BX58" i="8"/>
  <c r="BX60" i="8"/>
  <c r="CR38" i="8" l="1"/>
  <c r="CQ37" i="8"/>
  <c r="CQ39" i="8"/>
  <c r="CQ33" i="8"/>
  <c r="CS29" i="8"/>
  <c r="CS27" i="8"/>
  <c r="CT28" i="8"/>
  <c r="CO34" i="8"/>
  <c r="CO32" i="8"/>
  <c r="CP39" i="8"/>
  <c r="CP37" i="8"/>
  <c r="CP33" i="8"/>
  <c r="BZ59" i="8"/>
  <c r="BZ54" i="8" s="1"/>
  <c r="BY58" i="8"/>
  <c r="BY60" i="8"/>
  <c r="CQ34" i="8" l="1"/>
  <c r="CQ32" i="8"/>
  <c r="CU28" i="8"/>
  <c r="CV28" i="8" s="1"/>
  <c r="CT29" i="8"/>
  <c r="CT27" i="8"/>
  <c r="CS38" i="8"/>
  <c r="CR39" i="8"/>
  <c r="CR37" i="8"/>
  <c r="CR33" i="8"/>
  <c r="CP32" i="8"/>
  <c r="CP34" i="8"/>
  <c r="CA59" i="8"/>
  <c r="CA54" i="8" s="1"/>
  <c r="BZ60" i="8"/>
  <c r="BZ58" i="8"/>
  <c r="CW28" i="8" l="1"/>
  <c r="CV29" i="8"/>
  <c r="CV27" i="8"/>
  <c r="CR34" i="8"/>
  <c r="CR32" i="8"/>
  <c r="CU27" i="8"/>
  <c r="CU29" i="8"/>
  <c r="CT38" i="8"/>
  <c r="CS39" i="8"/>
  <c r="CS37" i="8"/>
  <c r="CS33" i="8"/>
  <c r="CA58" i="8"/>
  <c r="CB59" i="8"/>
  <c r="CB54" i="8" s="1"/>
  <c r="CA60" i="8"/>
  <c r="CW29" i="8" l="1"/>
  <c r="CW27" i="8"/>
  <c r="CS32" i="8"/>
  <c r="CS34" i="8"/>
  <c r="CU38" i="8"/>
  <c r="CV38" i="8" s="1"/>
  <c r="CT39" i="8"/>
  <c r="CT37" i="8"/>
  <c r="CT33" i="8"/>
  <c r="CB58" i="8"/>
  <c r="CC59" i="8"/>
  <c r="CC54" i="8" s="1"/>
  <c r="CB60" i="8"/>
  <c r="CW38" i="8" l="1"/>
  <c r="CV39" i="8"/>
  <c r="CV37" i="8"/>
  <c r="CV33" i="8"/>
  <c r="CU37" i="8"/>
  <c r="CU39" i="8"/>
  <c r="CU33" i="8"/>
  <c r="CT32" i="8"/>
  <c r="CT34" i="8"/>
  <c r="CC58" i="8"/>
  <c r="CC60" i="8"/>
  <c r="CD59" i="8"/>
  <c r="CD54" i="8" s="1"/>
  <c r="CD60" i="8" l="1"/>
  <c r="CD58" i="8"/>
  <c r="CE59" i="8"/>
  <c r="CE54" i="8" s="1"/>
  <c r="CV34" i="8"/>
  <c r="CV32" i="8"/>
  <c r="CW37" i="8"/>
  <c r="CW39" i="8"/>
  <c r="CW33" i="8"/>
  <c r="CU34" i="8"/>
  <c r="CU32" i="8"/>
  <c r="CF59" i="8" l="1"/>
  <c r="CF54" i="8" s="1"/>
  <c r="CE60" i="8"/>
  <c r="CE58" i="8"/>
  <c r="CW34" i="8"/>
  <c r="CW32" i="8"/>
  <c r="CF60" i="8" l="1"/>
  <c r="CG59" i="8"/>
  <c r="CG54" i="8" s="1"/>
  <c r="CF58" i="8"/>
  <c r="CG60" i="8" l="1"/>
  <c r="CH59" i="8"/>
  <c r="CH54" i="8" s="1"/>
  <c r="CG58" i="8"/>
  <c r="CH60" i="8" l="1"/>
  <c r="CI59" i="8"/>
  <c r="CI54" i="8" s="1"/>
  <c r="CH58" i="8"/>
  <c r="CI58" i="8" l="1"/>
  <c r="CJ59" i="8"/>
  <c r="CJ54" i="8" s="1"/>
  <c r="CI60" i="8"/>
  <c r="CJ60" i="8" l="1"/>
  <c r="CK59" i="8"/>
  <c r="CK58" i="8" s="1"/>
  <c r="CJ58" i="8"/>
  <c r="CK60" i="8" l="1"/>
  <c r="CL59" i="8"/>
  <c r="CM59" i="8" s="1"/>
  <c r="CK54" i="8"/>
  <c r="BV169" i="2"/>
  <c r="BW169" i="2" s="1"/>
  <c r="BX169" i="2" s="1"/>
  <c r="BY169" i="2" s="1"/>
  <c r="BZ169" i="2" s="1"/>
  <c r="CA169" i="2" s="1"/>
  <c r="CB169" i="2" s="1"/>
  <c r="CC169" i="2" s="1"/>
  <c r="CD169" i="2" s="1"/>
  <c r="CE169" i="2" s="1"/>
  <c r="CF169" i="2" s="1"/>
  <c r="CG169" i="2" s="1"/>
  <c r="CH169" i="2" s="1"/>
  <c r="CI169" i="2" s="1"/>
  <c r="CJ169" i="2" s="1"/>
  <c r="CK169" i="2" s="1"/>
  <c r="CL169" i="2" s="1"/>
  <c r="CM169" i="2" s="1"/>
  <c r="CN169" i="2" s="1"/>
  <c r="CO169" i="2" s="1"/>
  <c r="CP169" i="2" s="1"/>
  <c r="CQ169" i="2" s="1"/>
  <c r="CR169" i="2" s="1"/>
  <c r="CS169" i="2" s="1"/>
  <c r="CT169" i="2" s="1"/>
  <c r="CU169" i="2" s="1"/>
  <c r="CV169" i="2" s="1"/>
  <c r="CW169" i="2" s="1"/>
  <c r="CL60" i="8" l="1"/>
  <c r="CL58" i="8"/>
  <c r="CL54" i="8"/>
  <c r="CL53" i="8" s="1"/>
  <c r="CN59" i="8"/>
  <c r="CM60" i="8"/>
  <c r="CM58" i="8"/>
  <c r="CM54" i="8"/>
  <c r="BV166" i="2"/>
  <c r="BW166" i="2" s="1"/>
  <c r="BX166" i="2" s="1"/>
  <c r="BY166" i="2" s="1"/>
  <c r="BZ166" i="2" s="1"/>
  <c r="CA166" i="2" s="1"/>
  <c r="CB166" i="2" s="1"/>
  <c r="CC166" i="2" s="1"/>
  <c r="CD166" i="2" s="1"/>
  <c r="CE166" i="2" s="1"/>
  <c r="CF166" i="2" s="1"/>
  <c r="CG166" i="2" s="1"/>
  <c r="CH166" i="2" s="1"/>
  <c r="CI166" i="2" s="1"/>
  <c r="CJ166" i="2" s="1"/>
  <c r="CK166" i="2" s="1"/>
  <c r="CL166" i="2" s="1"/>
  <c r="CM166" i="2" s="1"/>
  <c r="CN166" i="2" s="1"/>
  <c r="CO166" i="2" s="1"/>
  <c r="CP166" i="2" s="1"/>
  <c r="CQ166" i="2" s="1"/>
  <c r="CR166" i="2" s="1"/>
  <c r="CS166" i="2" s="1"/>
  <c r="CT166" i="2" s="1"/>
  <c r="CU166" i="2" s="1"/>
  <c r="CV166" i="2" s="1"/>
  <c r="CW166" i="2" s="1"/>
  <c r="CL55" i="8" l="1"/>
  <c r="CN60" i="8"/>
  <c r="CO59" i="8"/>
  <c r="CN58" i="8"/>
  <c r="CN54" i="8"/>
  <c r="CM55" i="8"/>
  <c r="CM53" i="8"/>
  <c r="CN55" i="8" l="1"/>
  <c r="CN53" i="8"/>
  <c r="CP59" i="8"/>
  <c r="CQ59" i="8" s="1"/>
  <c r="CO58" i="8"/>
  <c r="CO60" i="8"/>
  <c r="CO54" i="8"/>
  <c r="BV168" i="2"/>
  <c r="BW168" i="2" s="1"/>
  <c r="BX168" i="2" s="1"/>
  <c r="BY168" i="2" s="1"/>
  <c r="BZ168" i="2" s="1"/>
  <c r="CA168" i="2" s="1"/>
  <c r="CB168" i="2" s="1"/>
  <c r="CC168" i="2" s="1"/>
  <c r="CD168" i="2" s="1"/>
  <c r="CE168" i="2" s="1"/>
  <c r="CF168" i="2" s="1"/>
  <c r="CG168" i="2" s="1"/>
  <c r="CH168" i="2" s="1"/>
  <c r="CI168" i="2" s="1"/>
  <c r="CJ168" i="2" s="1"/>
  <c r="CK168" i="2" s="1"/>
  <c r="CL168" i="2" s="1"/>
  <c r="CM168" i="2" s="1"/>
  <c r="CN168" i="2" s="1"/>
  <c r="CO168" i="2" s="1"/>
  <c r="CP168" i="2" s="1"/>
  <c r="CQ168" i="2" s="1"/>
  <c r="CR168" i="2" s="1"/>
  <c r="CS168" i="2" s="1"/>
  <c r="CT168" i="2" s="1"/>
  <c r="CU168" i="2" s="1"/>
  <c r="CV168" i="2" s="1"/>
  <c r="CW168" i="2" s="1"/>
  <c r="BS17" i="8"/>
  <c r="BS12" i="8"/>
  <c r="BT12" i="8" s="1"/>
  <c r="CQ60" i="8" l="1"/>
  <c r="CQ58" i="8"/>
  <c r="CR59" i="8"/>
  <c r="CQ54" i="8"/>
  <c r="CO53" i="8"/>
  <c r="CO55" i="8"/>
  <c r="CP58" i="8"/>
  <c r="CP60" i="8"/>
  <c r="CP54" i="8"/>
  <c r="BT17" i="8"/>
  <c r="BS16" i="8"/>
  <c r="BS18" i="8"/>
  <c r="BT13" i="8"/>
  <c r="BT11" i="8"/>
  <c r="BU12" i="8"/>
  <c r="BS11" i="8"/>
  <c r="BS13" i="8"/>
  <c r="CQ55" i="8" l="1"/>
  <c r="CQ53" i="8"/>
  <c r="CR60" i="8"/>
  <c r="CS59" i="8"/>
  <c r="CR58" i="8"/>
  <c r="CR54" i="8"/>
  <c r="CP55" i="8"/>
  <c r="CP53" i="8"/>
  <c r="BT18" i="8"/>
  <c r="BT16" i="8"/>
  <c r="BU17" i="8"/>
  <c r="BU11" i="8"/>
  <c r="BV12" i="8"/>
  <c r="BU13" i="8"/>
  <c r="CT59" i="8" l="1"/>
  <c r="CS58" i="8"/>
  <c r="CS60" i="8"/>
  <c r="CS54" i="8"/>
  <c r="CR55" i="8"/>
  <c r="CR53" i="8"/>
  <c r="BU18" i="8"/>
  <c r="BU16" i="8"/>
  <c r="BV17" i="8"/>
  <c r="BV11" i="8"/>
  <c r="BV13" i="8"/>
  <c r="BW12" i="8"/>
  <c r="CS55" i="8" l="1"/>
  <c r="CS53" i="8"/>
  <c r="CT60" i="8"/>
  <c r="CT58" i="8"/>
  <c r="CU59" i="8"/>
  <c r="CV59" i="8" s="1"/>
  <c r="CT54" i="8"/>
  <c r="BV18" i="8"/>
  <c r="BV16" i="8"/>
  <c r="BW17" i="8"/>
  <c r="BW13" i="8"/>
  <c r="BX12" i="8"/>
  <c r="BW11" i="8"/>
  <c r="CW59" i="8" l="1"/>
  <c r="CV58" i="8"/>
  <c r="CV60" i="8"/>
  <c r="CV54" i="8"/>
  <c r="CT53" i="8"/>
  <c r="CT55" i="8"/>
  <c r="CU60" i="8"/>
  <c r="CU58" i="8"/>
  <c r="CU54" i="8"/>
  <c r="BX17" i="8"/>
  <c r="BW18" i="8"/>
  <c r="BW16" i="8"/>
  <c r="BY12" i="8"/>
  <c r="BX11" i="8"/>
  <c r="BX13" i="8"/>
  <c r="CV55" i="8" l="1"/>
  <c r="CV53" i="8"/>
  <c r="CW60" i="8"/>
  <c r="CW58" i="8"/>
  <c r="CW54" i="8"/>
  <c r="CU55" i="8"/>
  <c r="CU53" i="8"/>
  <c r="BY17" i="8"/>
  <c r="BX18" i="8"/>
  <c r="BX16" i="8"/>
  <c r="BY13" i="8"/>
  <c r="BY11" i="8"/>
  <c r="BZ12" i="8"/>
  <c r="CW53" i="8" l="1"/>
  <c r="CW55" i="8"/>
  <c r="BY16" i="8"/>
  <c r="BZ17" i="8"/>
  <c r="BY18" i="8"/>
  <c r="BZ11" i="8"/>
  <c r="CA12" i="8"/>
  <c r="BZ13" i="8"/>
  <c r="CA17" i="8" l="1"/>
  <c r="BZ18" i="8"/>
  <c r="BZ16" i="8"/>
  <c r="CA13" i="8"/>
  <c r="CA11" i="8"/>
  <c r="CB12" i="8"/>
  <c r="CB17" i="8" l="1"/>
  <c r="CA18" i="8"/>
  <c r="CA16" i="8"/>
  <c r="CB11" i="8"/>
  <c r="CC12" i="8"/>
  <c r="CB13" i="8"/>
  <c r="CC17" i="8" l="1"/>
  <c r="CB18" i="8"/>
  <c r="CB16" i="8"/>
  <c r="CD12" i="8"/>
  <c r="CC13" i="8"/>
  <c r="CC11" i="8"/>
  <c r="CD17" i="8" l="1"/>
  <c r="CC18" i="8"/>
  <c r="CC16" i="8"/>
  <c r="CE12" i="8"/>
  <c r="CD13" i="8"/>
  <c r="CD11" i="8"/>
  <c r="CE17" i="8" l="1"/>
  <c r="CD18" i="8"/>
  <c r="CD16" i="8"/>
  <c r="CE13" i="8"/>
  <c r="CE11" i="8"/>
  <c r="CF12" i="8"/>
  <c r="CE16" i="8" l="1"/>
  <c r="CF17" i="8"/>
  <c r="CE18" i="8"/>
  <c r="CF13" i="8"/>
  <c r="CF11" i="8"/>
  <c r="CG12" i="8"/>
  <c r="CF18" i="8" l="1"/>
  <c r="CF16" i="8"/>
  <c r="CG17" i="8"/>
  <c r="CG11" i="8"/>
  <c r="CH12" i="8"/>
  <c r="CG13" i="8"/>
  <c r="CG18" i="8" l="1"/>
  <c r="CG16" i="8"/>
  <c r="CH17" i="8"/>
  <c r="CH11" i="8"/>
  <c r="CI12" i="8"/>
  <c r="CH13" i="8"/>
  <c r="BS69" i="8"/>
  <c r="BS64" i="8" s="1"/>
  <c r="BS70" i="8" l="1"/>
  <c r="BT69" i="8"/>
  <c r="BT64" i="8" s="1"/>
  <c r="BS68" i="8"/>
  <c r="CI17" i="8"/>
  <c r="CH18" i="8"/>
  <c r="CH16" i="8"/>
  <c r="CJ12" i="8"/>
  <c r="CI13" i="8"/>
  <c r="CI11" i="8"/>
  <c r="BR70" i="8"/>
  <c r="BR68" i="8"/>
  <c r="BT70" i="8" l="1"/>
  <c r="BT68" i="8"/>
  <c r="BU69" i="8"/>
  <c r="BU64" i="8" s="1"/>
  <c r="CJ17" i="8"/>
  <c r="CI18" i="8"/>
  <c r="CI16" i="8"/>
  <c r="CK12" i="8"/>
  <c r="CL12" i="8" s="1"/>
  <c r="CJ13" i="8"/>
  <c r="CJ11" i="8"/>
  <c r="CL11" i="8" l="1"/>
  <c r="CM12" i="8"/>
  <c r="CL13" i="8"/>
  <c r="BV69" i="8"/>
  <c r="BV64" i="8" s="1"/>
  <c r="BU70" i="8"/>
  <c r="BU68" i="8"/>
  <c r="CK17" i="8"/>
  <c r="CL17" i="8" s="1"/>
  <c r="CJ18" i="8"/>
  <c r="CJ16" i="8"/>
  <c r="CK11" i="8"/>
  <c r="CK13" i="8"/>
  <c r="CN12" i="8" l="1"/>
  <c r="CM13" i="8"/>
  <c r="CM11" i="8"/>
  <c r="CL18" i="8"/>
  <c r="CM17" i="8"/>
  <c r="CL16" i="8"/>
  <c r="BV68" i="8"/>
  <c r="BW69" i="8"/>
  <c r="BW64" i="8" s="1"/>
  <c r="BV70" i="8"/>
  <c r="CK16" i="8"/>
  <c r="CK18" i="8"/>
  <c r="CN17" i="8" l="1"/>
  <c r="CM16" i="8"/>
  <c r="CM18" i="8"/>
  <c r="CN13" i="8"/>
  <c r="CO12" i="8"/>
  <c r="CN11" i="8"/>
  <c r="BX69" i="8"/>
  <c r="BX64" i="8" s="1"/>
  <c r="BW70" i="8"/>
  <c r="BW68" i="8"/>
  <c r="CO11" i="8" l="1"/>
  <c r="CO13" i="8"/>
  <c r="CP12" i="8"/>
  <c r="CQ12" i="8" s="1"/>
  <c r="CN16" i="8"/>
  <c r="CO17" i="8"/>
  <c r="CN18" i="8"/>
  <c r="BY69" i="8"/>
  <c r="BY64" i="8" s="1"/>
  <c r="BX70" i="8"/>
  <c r="BX68" i="8"/>
  <c r="CR12" i="8" l="1"/>
  <c r="CQ11" i="8"/>
  <c r="CQ13" i="8"/>
  <c r="CO16" i="8"/>
  <c r="CO18" i="8"/>
  <c r="CP17" i="8"/>
  <c r="CQ17" i="8" s="1"/>
  <c r="CP13" i="8"/>
  <c r="CP11" i="8"/>
  <c r="BY70" i="8"/>
  <c r="BZ69" i="8"/>
  <c r="BZ64" i="8" s="1"/>
  <c r="BY68" i="8"/>
  <c r="CR17" i="8" l="1"/>
  <c r="CQ16" i="8"/>
  <c r="CQ18" i="8"/>
  <c r="CS12" i="8"/>
  <c r="CR11" i="8"/>
  <c r="CR13" i="8"/>
  <c r="CP18" i="8"/>
  <c r="CP16" i="8"/>
  <c r="BZ70" i="8"/>
  <c r="BZ68" i="8"/>
  <c r="CA69" i="8"/>
  <c r="CA64" i="8" s="1"/>
  <c r="CS13" i="8" l="1"/>
  <c r="CS11" i="8"/>
  <c r="CT12" i="8"/>
  <c r="CR18" i="8"/>
  <c r="CR16" i="8"/>
  <c r="CS17" i="8"/>
  <c r="CA70" i="8"/>
  <c r="CB69" i="8"/>
  <c r="CB64" i="8" s="1"/>
  <c r="CA68" i="8"/>
  <c r="CT17" i="8" l="1"/>
  <c r="CS18" i="8"/>
  <c r="CS16" i="8"/>
  <c r="CT13" i="8"/>
  <c r="CT11" i="8"/>
  <c r="CU12" i="8"/>
  <c r="CV12" i="8" s="1"/>
  <c r="CB70" i="8"/>
  <c r="CC69" i="8"/>
  <c r="CC64" i="8" s="1"/>
  <c r="CB68" i="8"/>
  <c r="CW12" i="8" l="1"/>
  <c r="CV13" i="8"/>
  <c r="CV11" i="8"/>
  <c r="CU13" i="8"/>
  <c r="CU11" i="8"/>
  <c r="CT16" i="8"/>
  <c r="CU17" i="8"/>
  <c r="CV17" i="8" s="1"/>
  <c r="CT18" i="8"/>
  <c r="CD69" i="8"/>
  <c r="CD64" i="8" s="1"/>
  <c r="CC70" i="8"/>
  <c r="CC68" i="8"/>
  <c r="CV18" i="8" l="1"/>
  <c r="CV16" i="8"/>
  <c r="CW17" i="8"/>
  <c r="CW13" i="8"/>
  <c r="CW11" i="8"/>
  <c r="CU18" i="8"/>
  <c r="CU16" i="8"/>
  <c r="CE69" i="8"/>
  <c r="CE64" i="8" s="1"/>
  <c r="CD70" i="8"/>
  <c r="CD68" i="8"/>
  <c r="CW16" i="8" l="1"/>
  <c r="CW18" i="8"/>
  <c r="CE68" i="8"/>
  <c r="CF69" i="8"/>
  <c r="CF64" i="8" s="1"/>
  <c r="CE70" i="8"/>
  <c r="CG69" i="8" l="1"/>
  <c r="CG64" i="8" s="1"/>
  <c r="CF70" i="8"/>
  <c r="CF68" i="8"/>
  <c r="CG70" i="8" l="1"/>
  <c r="CH69" i="8"/>
  <c r="CH64" i="8" s="1"/>
  <c r="CG68" i="8"/>
  <c r="CI69" i="8" l="1"/>
  <c r="CI64" i="8" s="1"/>
  <c r="CH70" i="8"/>
  <c r="CH68" i="8"/>
  <c r="CI70" i="8" l="1"/>
  <c r="CJ69" i="8"/>
  <c r="CJ64" i="8" s="1"/>
  <c r="CI68" i="8"/>
  <c r="CK69" i="8" l="1"/>
  <c r="CJ70" i="8"/>
  <c r="CJ68" i="8"/>
  <c r="CK64" i="8" l="1"/>
  <c r="CL69" i="8"/>
  <c r="CK70" i="8"/>
  <c r="CK68" i="8"/>
  <c r="CL70" i="8" l="1"/>
  <c r="CM69" i="8"/>
  <c r="CL68" i="8"/>
  <c r="CL64" i="8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CK94" i="2"/>
  <c r="CJ94" i="2"/>
  <c r="CI94" i="2"/>
  <c r="CH94" i="2"/>
  <c r="CG94" i="2"/>
  <c r="CF94" i="2"/>
  <c r="CE94" i="2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CK93" i="2"/>
  <c r="CJ93" i="2"/>
  <c r="CI93" i="2"/>
  <c r="CH93" i="2"/>
  <c r="CG93" i="2"/>
  <c r="CF93" i="2"/>
  <c r="CE93" i="2"/>
  <c r="CD93" i="2"/>
  <c r="CC93" i="2"/>
  <c r="CB93" i="2"/>
  <c r="CA93" i="2"/>
  <c r="BZ93" i="2"/>
  <c r="BY93" i="2"/>
  <c r="BX93" i="2"/>
  <c r="BW93" i="2"/>
  <c r="BV93" i="2"/>
  <c r="BU93" i="2"/>
  <c r="BT93" i="2"/>
  <c r="BS93" i="2"/>
  <c r="BR93" i="2"/>
  <c r="CL65" i="8" l="1"/>
  <c r="CL63" i="8"/>
  <c r="CM70" i="8"/>
  <c r="CN69" i="8"/>
  <c r="CM68" i="8"/>
  <c r="CM64" i="8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CK4" i="2"/>
  <c r="CK3" i="2" s="1"/>
  <c r="CJ4" i="2"/>
  <c r="CJ3" i="2" s="1"/>
  <c r="CI4" i="2"/>
  <c r="CI3" i="2" s="1"/>
  <c r="CH4" i="2"/>
  <c r="CH3" i="2" s="1"/>
  <c r="CG4" i="2"/>
  <c r="CG3" i="2" s="1"/>
  <c r="CF4" i="2"/>
  <c r="CF3" i="2" s="1"/>
  <c r="CE4" i="2"/>
  <c r="CE3" i="2" s="1"/>
  <c r="CD4" i="2"/>
  <c r="CD3" i="2" s="1"/>
  <c r="CC4" i="2"/>
  <c r="CB4" i="2"/>
  <c r="CB3" i="2" s="1"/>
  <c r="CA4" i="2"/>
  <c r="CA3" i="2" s="1"/>
  <c r="BZ4" i="2"/>
  <c r="BZ3" i="2" s="1"/>
  <c r="BY4" i="2"/>
  <c r="BX4" i="2"/>
  <c r="BX3" i="2" s="1"/>
  <c r="BW4" i="2"/>
  <c r="BW3" i="2" s="1"/>
  <c r="BV4" i="2"/>
  <c r="BV3" i="2" s="1"/>
  <c r="BU4" i="2"/>
  <c r="BT4" i="2"/>
  <c r="BT3" i="2" s="1"/>
  <c r="BS4" i="2"/>
  <c r="BS3" i="2" s="1"/>
  <c r="BR4" i="2"/>
  <c r="BR3" i="2" s="1"/>
  <c r="CJ3" i="112"/>
  <c r="CH3" i="112"/>
  <c r="CK3" i="112"/>
  <c r="CI3" i="112"/>
  <c r="CE3" i="112"/>
  <c r="CD3" i="112"/>
  <c r="CG3" i="112"/>
  <c r="CF3" i="112"/>
  <c r="BZ3" i="112"/>
  <c r="CC3" i="112"/>
  <c r="CB3" i="112"/>
  <c r="CA3" i="112"/>
  <c r="BV3" i="112"/>
  <c r="BY3" i="112"/>
  <c r="BX3" i="112"/>
  <c r="BW3" i="112"/>
  <c r="BR3" i="112"/>
  <c r="BU3" i="112"/>
  <c r="BT3" i="112"/>
  <c r="BS3" i="112"/>
  <c r="BY3" i="2" l="1"/>
  <c r="BU3" i="2"/>
  <c r="CC3" i="2"/>
  <c r="CN64" i="8"/>
  <c r="CN68" i="8"/>
  <c r="CO69" i="8"/>
  <c r="CN70" i="8"/>
  <c r="CM65" i="8"/>
  <c r="CM63" i="8"/>
  <c r="BR86" i="2"/>
  <c r="BR84" i="2"/>
  <c r="BX86" i="2"/>
  <c r="BX84" i="2"/>
  <c r="CD86" i="2"/>
  <c r="CD84" i="2"/>
  <c r="CJ86" i="2"/>
  <c r="CJ84" i="2"/>
  <c r="CE86" i="2"/>
  <c r="CE84" i="2"/>
  <c r="BT84" i="2"/>
  <c r="BT86" i="2"/>
  <c r="BZ84" i="2"/>
  <c r="BZ86" i="2"/>
  <c r="CF84" i="2"/>
  <c r="CF86" i="2"/>
  <c r="BS86" i="2"/>
  <c r="BS84" i="2"/>
  <c r="BU84" i="2"/>
  <c r="BU86" i="2"/>
  <c r="CA84" i="2"/>
  <c r="CA86" i="2"/>
  <c r="CG84" i="2"/>
  <c r="CG86" i="2"/>
  <c r="CK86" i="2"/>
  <c r="CK84" i="2"/>
  <c r="BV86" i="2"/>
  <c r="BV84" i="2"/>
  <c r="CB86" i="2"/>
  <c r="CB84" i="2"/>
  <c r="CH86" i="2"/>
  <c r="CH84" i="2"/>
  <c r="BY86" i="2"/>
  <c r="BY84" i="2"/>
  <c r="BW86" i="2"/>
  <c r="BW84" i="2"/>
  <c r="CC86" i="2"/>
  <c r="CC84" i="2"/>
  <c r="CI84" i="2"/>
  <c r="CI86" i="2"/>
  <c r="CP69" i="8" l="1"/>
  <c r="CQ69" i="8" s="1"/>
  <c r="CO68" i="8"/>
  <c r="CO70" i="8"/>
  <c r="CO64" i="8"/>
  <c r="CN65" i="8"/>
  <c r="CN63" i="8"/>
  <c r="AY31" i="58"/>
  <c r="CQ70" i="8" l="1"/>
  <c r="CR69" i="8"/>
  <c r="CQ68" i="8"/>
  <c r="CQ64" i="8"/>
  <c r="CO63" i="8"/>
  <c r="CO65" i="8"/>
  <c r="CP70" i="8"/>
  <c r="CP68" i="8"/>
  <c r="CP64" i="8"/>
  <c r="AX70" i="8"/>
  <c r="AX60" i="8"/>
  <c r="AX50" i="8"/>
  <c r="AX39" i="8"/>
  <c r="AX34" i="8"/>
  <c r="AX29" i="8"/>
  <c r="AX18" i="8"/>
  <c r="AX13" i="8"/>
  <c r="N86" i="27"/>
  <c r="N76" i="27"/>
  <c r="AX104" i="4"/>
  <c r="AX98" i="4"/>
  <c r="AX97" i="4"/>
  <c r="AX96" i="4"/>
  <c r="AX95" i="4"/>
  <c r="AX77" i="4"/>
  <c r="AX76" i="4"/>
  <c r="AX75" i="4"/>
  <c r="AX74" i="4"/>
  <c r="AX73" i="4"/>
  <c r="AX71" i="4"/>
  <c r="AX70" i="4"/>
  <c r="AX69" i="4"/>
  <c r="AX68" i="4"/>
  <c r="AX66" i="4"/>
  <c r="AX52" i="4"/>
  <c r="AX48" i="4"/>
  <c r="AX47" i="4"/>
  <c r="AX45" i="4"/>
  <c r="AX43" i="4"/>
  <c r="AX42" i="4"/>
  <c r="AX41" i="4"/>
  <c r="AX40" i="4"/>
  <c r="AX38" i="4"/>
  <c r="AX33" i="4"/>
  <c r="AX32" i="4"/>
  <c r="AX27" i="4"/>
  <c r="AX26" i="4"/>
  <c r="AX25" i="4"/>
  <c r="AX17" i="4"/>
  <c r="AX14" i="4"/>
  <c r="AX5" i="4"/>
  <c r="AX152" i="2"/>
  <c r="AX150" i="2"/>
  <c r="AX144" i="2"/>
  <c r="AX143" i="2"/>
  <c r="AX141" i="2"/>
  <c r="AX127" i="2"/>
  <c r="AX100" i="2"/>
  <c r="AX95" i="2"/>
  <c r="AY92" i="2" s="1"/>
  <c r="AY93" i="2" s="1"/>
  <c r="AX80" i="2"/>
  <c r="AX60" i="2"/>
  <c r="AX30" i="2"/>
  <c r="AX308" i="112"/>
  <c r="AX287" i="112"/>
  <c r="AX286" i="112"/>
  <c r="AX283" i="112"/>
  <c r="AX282" i="112"/>
  <c r="AX232" i="112"/>
  <c r="AX228" i="112"/>
  <c r="AX196" i="112"/>
  <c r="AX192" i="8" s="1"/>
  <c r="AX158" i="112"/>
  <c r="AX157" i="112"/>
  <c r="AX150" i="112"/>
  <c r="AX146" i="112"/>
  <c r="AX141" i="112"/>
  <c r="AX112" i="112"/>
  <c r="AX105" i="112"/>
  <c r="AX132" i="112" s="1"/>
  <c r="AX85" i="112"/>
  <c r="AX81" i="112"/>
  <c r="AX76" i="112"/>
  <c r="AX55" i="112"/>
  <c r="AX38" i="112"/>
  <c r="AX18" i="112"/>
  <c r="AX14" i="112"/>
  <c r="AX9" i="112"/>
  <c r="AX64" i="4"/>
  <c r="AX189" i="112" s="1"/>
  <c r="AX156" i="2"/>
  <c r="AX299" i="112"/>
  <c r="AX16" i="4" s="1"/>
  <c r="AY113" i="94"/>
  <c r="AY87" i="94"/>
  <c r="AY466" i="94"/>
  <c r="AX156" i="112" s="1"/>
  <c r="AY465" i="94"/>
  <c r="AX155" i="112" s="1"/>
  <c r="AY464" i="94"/>
  <c r="AX154" i="112" s="1"/>
  <c r="AY432" i="94"/>
  <c r="AY405" i="94"/>
  <c r="AY206" i="94"/>
  <c r="AY193" i="94"/>
  <c r="AY154" i="94"/>
  <c r="AY165" i="94"/>
  <c r="AY164" i="94"/>
  <c r="AY163" i="94"/>
  <c r="AY162" i="94"/>
  <c r="AY161" i="94"/>
  <c r="AY160" i="94"/>
  <c r="AY159" i="94"/>
  <c r="AY158" i="94"/>
  <c r="AY157" i="94"/>
  <c r="AY180" i="94"/>
  <c r="AY140" i="94"/>
  <c r="AY166" i="94" s="1"/>
  <c r="AX189" i="8" l="1"/>
  <c r="BB190" i="8" s="1"/>
  <c r="AX216" i="112"/>
  <c r="AX133" i="112"/>
  <c r="BB133" i="112"/>
  <c r="AX143" i="8"/>
  <c r="BB144" i="8" s="1"/>
  <c r="AX67" i="112"/>
  <c r="AX172" i="8"/>
  <c r="AY137" i="4"/>
  <c r="AY139" i="4" s="1"/>
  <c r="AY140" i="4" s="1"/>
  <c r="BB6" i="4"/>
  <c r="AX159" i="2"/>
  <c r="AX160" i="2" s="1"/>
  <c r="AX10" i="4"/>
  <c r="AX24" i="2"/>
  <c r="AX116" i="2"/>
  <c r="CQ65" i="8"/>
  <c r="CQ63" i="8"/>
  <c r="CR70" i="8"/>
  <c r="CS69" i="8"/>
  <c r="CR68" i="8"/>
  <c r="CR64" i="8"/>
  <c r="CP63" i="8"/>
  <c r="CP65" i="8"/>
  <c r="AX169" i="8"/>
  <c r="AY143" i="112"/>
  <c r="AY78" i="112"/>
  <c r="AY11" i="112"/>
  <c r="AX15" i="4"/>
  <c r="AX148" i="2"/>
  <c r="AX151" i="2" s="1"/>
  <c r="BB190" i="112"/>
  <c r="BB39" i="112"/>
  <c r="BB56" i="112"/>
  <c r="AX119" i="8"/>
  <c r="AX108" i="8"/>
  <c r="AX130" i="8"/>
  <c r="BB106" i="112"/>
  <c r="AX97" i="2"/>
  <c r="AY141" i="94"/>
  <c r="AX7" i="4"/>
  <c r="AX142" i="2"/>
  <c r="AX162" i="112"/>
  <c r="AX8" i="4"/>
  <c r="AX163" i="112"/>
  <c r="AY83" i="112"/>
  <c r="AY82" i="112"/>
  <c r="AY121" i="8" s="1"/>
  <c r="AY142" i="112"/>
  <c r="AY233" i="112"/>
  <c r="AY234" i="112"/>
  <c r="AY10" i="112"/>
  <c r="AX164" i="112"/>
  <c r="AX37" i="4"/>
  <c r="AY86" i="112"/>
  <c r="AY126" i="8" s="1"/>
  <c r="AY87" i="112"/>
  <c r="AY148" i="112"/>
  <c r="AY147" i="112"/>
  <c r="AY132" i="8" s="1"/>
  <c r="AY76" i="2"/>
  <c r="AY94" i="2"/>
  <c r="AY16" i="112"/>
  <c r="AY15" i="112"/>
  <c r="AY110" i="8" s="1"/>
  <c r="AY152" i="112"/>
  <c r="AY151" i="112"/>
  <c r="AY137" i="8" s="1"/>
  <c r="AX9" i="4"/>
  <c r="AX60" i="4"/>
  <c r="AX78" i="4"/>
  <c r="AY19" i="112"/>
  <c r="AY115" i="8" s="1"/>
  <c r="AY20" i="112"/>
  <c r="AY33" i="112" s="1"/>
  <c r="BC34" i="112" s="1"/>
  <c r="AX98" i="2"/>
  <c r="AY77" i="112"/>
  <c r="AY230" i="112"/>
  <c r="AY229" i="112"/>
  <c r="AX72" i="4"/>
  <c r="AX101" i="2"/>
  <c r="AX99" i="4"/>
  <c r="AX23" i="8"/>
  <c r="AY101" i="112"/>
  <c r="AX55" i="8"/>
  <c r="AX65" i="8"/>
  <c r="AX45" i="8"/>
  <c r="AX47" i="112"/>
  <c r="AX126" i="2"/>
  <c r="AX184" i="112"/>
  <c r="AX16" i="8"/>
  <c r="AX27" i="8"/>
  <c r="AX37" i="8"/>
  <c r="AX68" i="8"/>
  <c r="AX185" i="112"/>
  <c r="AX164" i="2"/>
  <c r="AX12" i="8"/>
  <c r="AX17" i="8"/>
  <c r="AX22" i="8"/>
  <c r="AX28" i="8"/>
  <c r="AX33" i="8"/>
  <c r="AX38" i="8"/>
  <c r="AX44" i="8"/>
  <c r="AX49" i="8"/>
  <c r="AX54" i="8"/>
  <c r="AX59" i="8"/>
  <c r="AX64" i="8"/>
  <c r="AX69" i="8"/>
  <c r="AX163" i="2"/>
  <c r="AX11" i="8"/>
  <c r="AX21" i="8"/>
  <c r="AX32" i="8"/>
  <c r="AX43" i="8"/>
  <c r="AX48" i="8"/>
  <c r="AX53" i="8"/>
  <c r="AX58" i="8"/>
  <c r="AX63" i="8"/>
  <c r="AX186" i="112"/>
  <c r="AX125" i="2"/>
  <c r="AX39" i="4"/>
  <c r="AX131" i="2"/>
  <c r="AX57" i="2"/>
  <c r="AX161" i="112"/>
  <c r="AX165" i="112"/>
  <c r="AY167" i="94"/>
  <c r="AY74" i="94"/>
  <c r="AY64" i="94"/>
  <c r="AY63" i="94"/>
  <c r="AY476" i="94"/>
  <c r="AY463" i="94"/>
  <c r="AY462" i="94"/>
  <c r="AY422" i="94"/>
  <c r="AY421" i="94"/>
  <c r="AY420" i="94"/>
  <c r="AY419" i="94"/>
  <c r="AY418" i="94"/>
  <c r="AY406" i="94"/>
  <c r="AY325" i="94"/>
  <c r="AY440" i="94" s="1"/>
  <c r="AY324" i="94"/>
  <c r="AY323" i="94"/>
  <c r="AY322" i="94"/>
  <c r="AY321" i="94"/>
  <c r="AY320" i="94"/>
  <c r="AY319" i="94"/>
  <c r="AY318" i="94"/>
  <c r="AY317" i="94"/>
  <c r="AY439" i="94" s="1"/>
  <c r="AY316" i="94"/>
  <c r="AY315" i="94"/>
  <c r="AY314" i="94"/>
  <c r="AY437" i="94" s="1"/>
  <c r="AY313" i="94"/>
  <c r="AY312" i="94"/>
  <c r="AY290" i="94"/>
  <c r="AY289" i="94"/>
  <c r="AY288" i="94"/>
  <c r="AY287" i="94"/>
  <c r="AY286" i="94"/>
  <c r="AY285" i="94"/>
  <c r="AY284" i="94"/>
  <c r="AY283" i="94"/>
  <c r="AY282" i="94"/>
  <c r="AY281" i="94"/>
  <c r="AY280" i="94"/>
  <c r="AY279" i="94"/>
  <c r="AY278" i="94"/>
  <c r="AY277" i="94"/>
  <c r="AY255" i="94"/>
  <c r="AY254" i="94"/>
  <c r="AY252" i="94"/>
  <c r="AY251" i="94"/>
  <c r="AY250" i="94"/>
  <c r="AY249" i="94"/>
  <c r="AY248" i="94"/>
  <c r="AY247" i="94"/>
  <c r="AY238" i="94"/>
  <c r="AY237" i="94"/>
  <c r="AY236" i="94"/>
  <c r="AY235" i="94"/>
  <c r="AY234" i="94"/>
  <c r="AY233" i="94"/>
  <c r="AY232" i="94"/>
  <c r="AY231" i="94"/>
  <c r="AY230" i="94"/>
  <c r="AY228" i="94"/>
  <c r="AY110" i="94"/>
  <c r="AY253" i="94" s="1"/>
  <c r="AY106" i="94"/>
  <c r="AY246" i="94" s="1"/>
  <c r="AY105" i="94"/>
  <c r="AY104" i="94"/>
  <c r="AY103" i="94"/>
  <c r="AY124" i="94" s="1"/>
  <c r="AY100" i="94"/>
  <c r="AY239" i="94" s="1"/>
  <c r="AY93" i="94"/>
  <c r="AY229" i="94" s="1"/>
  <c r="AY91" i="94"/>
  <c r="AY90" i="94"/>
  <c r="AY84" i="94"/>
  <c r="AY80" i="94"/>
  <c r="AY79" i="94"/>
  <c r="AY78" i="94"/>
  <c r="AY77" i="94"/>
  <c r="AY39" i="94"/>
  <c r="AY45" i="94" s="1"/>
  <c r="AY38" i="94"/>
  <c r="AY27" i="94"/>
  <c r="AY14" i="94"/>
  <c r="AY15" i="94"/>
  <c r="AY89" i="58"/>
  <c r="AX50" i="59"/>
  <c r="BF36" i="60"/>
  <c r="BF25" i="60"/>
  <c r="BF6" i="60"/>
  <c r="BF12" i="60" s="1"/>
  <c r="BF18" i="60" s="1"/>
  <c r="AX217" i="112" l="1"/>
  <c r="BB217" i="112"/>
  <c r="AX68" i="112"/>
  <c r="BB68" i="112"/>
  <c r="AX29" i="4"/>
  <c r="AX31" i="4"/>
  <c r="AX30" i="4"/>
  <c r="AX11" i="4"/>
  <c r="AX12" i="4" s="1"/>
  <c r="AY157" i="2"/>
  <c r="AY139" i="2"/>
  <c r="AY413" i="94"/>
  <c r="AX225" i="112"/>
  <c r="CT69" i="8"/>
  <c r="CS68" i="8"/>
  <c r="CS70" i="8"/>
  <c r="CS64" i="8"/>
  <c r="CR65" i="8"/>
  <c r="CR63" i="8"/>
  <c r="BB170" i="8"/>
  <c r="BC144" i="112"/>
  <c r="BC79" i="112"/>
  <c r="BC12" i="112"/>
  <c r="AX100" i="4"/>
  <c r="AY410" i="94"/>
  <c r="AY412" i="94"/>
  <c r="AY414" i="94"/>
  <c r="AY411" i="94"/>
  <c r="AY219" i="94"/>
  <c r="AY375" i="94" s="1"/>
  <c r="AY92" i="112"/>
  <c r="AY94" i="112" s="1"/>
  <c r="AY215" i="94"/>
  <c r="AY371" i="94" s="1"/>
  <c r="AY436" i="94"/>
  <c r="AY469" i="94"/>
  <c r="AY457" i="94"/>
  <c r="AY117" i="94"/>
  <c r="AY121" i="94"/>
  <c r="AY214" i="94"/>
  <c r="AY370" i="94" s="1"/>
  <c r="AY218" i="94"/>
  <c r="AY374" i="94" s="1"/>
  <c r="AY118" i="94"/>
  <c r="AY125" i="94"/>
  <c r="AY50" i="94"/>
  <c r="AY46" i="94"/>
  <c r="AY119" i="94"/>
  <c r="AY216" i="94"/>
  <c r="AY372" i="94" s="1"/>
  <c r="AY220" i="94"/>
  <c r="AY376" i="94" s="1"/>
  <c r="AY48" i="94"/>
  <c r="AY43" i="94"/>
  <c r="AY44" i="94"/>
  <c r="AY123" i="94"/>
  <c r="AX165" i="2"/>
  <c r="AX162" i="2" s="1"/>
  <c r="AY212" i="94"/>
  <c r="AY368" i="94" s="1"/>
  <c r="AZ89" i="58"/>
  <c r="AX52" i="112"/>
  <c r="AY47" i="94"/>
  <c r="AY120" i="94"/>
  <c r="AY126" i="94"/>
  <c r="AY134" i="8"/>
  <c r="AY133" i="8"/>
  <c r="AY227" i="94"/>
  <c r="AY240" i="94" s="1"/>
  <c r="AY111" i="8"/>
  <c r="AY112" i="8"/>
  <c r="AY122" i="8"/>
  <c r="AY123" i="8"/>
  <c r="BF38" i="60"/>
  <c r="AY49" i="94"/>
  <c r="AY122" i="94"/>
  <c r="AY244" i="94"/>
  <c r="AY256" i="94"/>
  <c r="AY145" i="2"/>
  <c r="AY153" i="2"/>
  <c r="AY245" i="94"/>
  <c r="AY211" i="94" s="1"/>
  <c r="AY367" i="94" s="1"/>
  <c r="AY357" i="94"/>
  <c r="AY117" i="8"/>
  <c r="AY116" i="8"/>
  <c r="AY119" i="112"/>
  <c r="AX79" i="4"/>
  <c r="AY139" i="8"/>
  <c r="AY138" i="8"/>
  <c r="AY127" i="8"/>
  <c r="AY128" i="8"/>
  <c r="AY203" i="112"/>
  <c r="AX183" i="112"/>
  <c r="AY454" i="94"/>
  <c r="AY423" i="94"/>
  <c r="AY356" i="94"/>
  <c r="AY354" i="94"/>
  <c r="AY358" i="94"/>
  <c r="AY355" i="94"/>
  <c r="AY351" i="94"/>
  <c r="AY359" i="94"/>
  <c r="AY438" i="94"/>
  <c r="AY360" i="94"/>
  <c r="AY326" i="94"/>
  <c r="AY334" i="94" s="1"/>
  <c r="AY348" i="94"/>
  <c r="AY352" i="94"/>
  <c r="AY349" i="94"/>
  <c r="AY353" i="94"/>
  <c r="AY291" i="94"/>
  <c r="AY350" i="94"/>
  <c r="AY347" i="94"/>
  <c r="AY456" i="94"/>
  <c r="AY213" i="94"/>
  <c r="AY369" i="94" s="1"/>
  <c r="AY217" i="94"/>
  <c r="AY373" i="94" s="1"/>
  <c r="AY221" i="94"/>
  <c r="AY377" i="94" s="1"/>
  <c r="AX43" i="59"/>
  <c r="AX37" i="59"/>
  <c r="AX32" i="59"/>
  <c r="AX13" i="59"/>
  <c r="AX18" i="59" s="1"/>
  <c r="AX10" i="59"/>
  <c r="AX20" i="4" l="1"/>
  <c r="AX18" i="4"/>
  <c r="AY226" i="112"/>
  <c r="CS65" i="8"/>
  <c r="CS63" i="8"/>
  <c r="CT70" i="8"/>
  <c r="CU69" i="8"/>
  <c r="CV69" i="8" s="1"/>
  <c r="CT68" i="8"/>
  <c r="CT64" i="8"/>
  <c r="AX45" i="59"/>
  <c r="BC204" i="112"/>
  <c r="AY167" i="8"/>
  <c r="BC120" i="112"/>
  <c r="BB53" i="112"/>
  <c r="AY453" i="94"/>
  <c r="AY392" i="94"/>
  <c r="AY388" i="94"/>
  <c r="AY393" i="94"/>
  <c r="AY455" i="94"/>
  <c r="AY51" i="94"/>
  <c r="AX19" i="59"/>
  <c r="AY391" i="94"/>
  <c r="AY127" i="94"/>
  <c r="AY52" i="112"/>
  <c r="BA89" i="58"/>
  <c r="AY385" i="94"/>
  <c r="AY390" i="94"/>
  <c r="AY98" i="112"/>
  <c r="AY108" i="112"/>
  <c r="AY257" i="94"/>
  <c r="AY273" i="94" s="1"/>
  <c r="AY222" i="94"/>
  <c r="AY378" i="94" s="1"/>
  <c r="AY395" i="94" s="1"/>
  <c r="AY210" i="94"/>
  <c r="AY386" i="94"/>
  <c r="AX260" i="112"/>
  <c r="BB261" i="112" s="1"/>
  <c r="AX41" i="112"/>
  <c r="AY192" i="112"/>
  <c r="AY174" i="112"/>
  <c r="AY263" i="112"/>
  <c r="BC264" i="112" s="1"/>
  <c r="AY384" i="94"/>
  <c r="AY389" i="94"/>
  <c r="AY394" i="94"/>
  <c r="AX51" i="4"/>
  <c r="AY387" i="94"/>
  <c r="AY441" i="94"/>
  <c r="AY447" i="94" s="1"/>
  <c r="AY337" i="94"/>
  <c r="AY340" i="94"/>
  <c r="AY336" i="94"/>
  <c r="AY341" i="94"/>
  <c r="AY338" i="94"/>
  <c r="AY333" i="94"/>
  <c r="AY330" i="94"/>
  <c r="AY343" i="94"/>
  <c r="AY332" i="94"/>
  <c r="AY339" i="94"/>
  <c r="AY335" i="94"/>
  <c r="AY342" i="94"/>
  <c r="AY331" i="94"/>
  <c r="AY299" i="94"/>
  <c r="AY304" i="94"/>
  <c r="AY306" i="94"/>
  <c r="AY305" i="94"/>
  <c r="AY303" i="94"/>
  <c r="AY300" i="94"/>
  <c r="AY361" i="94"/>
  <c r="AY295" i="94"/>
  <c r="AY302" i="94"/>
  <c r="AY296" i="94"/>
  <c r="AY301" i="94"/>
  <c r="AY307" i="94"/>
  <c r="AY308" i="94"/>
  <c r="AY298" i="94"/>
  <c r="AY297" i="94"/>
  <c r="AY115" i="58"/>
  <c r="AY104" i="58"/>
  <c r="AY83" i="58"/>
  <c r="AY82" i="58"/>
  <c r="AX45" i="112" s="1"/>
  <c r="AX147" i="8" s="1"/>
  <c r="AY66" i="58"/>
  <c r="AY67" i="58" s="1"/>
  <c r="AY35" i="58"/>
  <c r="AY13" i="58"/>
  <c r="AY8" i="58"/>
  <c r="AY6" i="58"/>
  <c r="AX6" i="58"/>
  <c r="AW6" i="58"/>
  <c r="AX49" i="4" l="1"/>
  <c r="AX62" i="2" s="1"/>
  <c r="AX19" i="4"/>
  <c r="AX34" i="4"/>
  <c r="AX36" i="4" s="1"/>
  <c r="AX21" i="4"/>
  <c r="AX62" i="4"/>
  <c r="AX46" i="59"/>
  <c r="CW69" i="8"/>
  <c r="CV70" i="8"/>
  <c r="CV68" i="8"/>
  <c r="CV64" i="8"/>
  <c r="CU70" i="8"/>
  <c r="CU68" i="8"/>
  <c r="CU64" i="8"/>
  <c r="CT63" i="8"/>
  <c r="CT65" i="8"/>
  <c r="AX53" i="4"/>
  <c r="BC193" i="112"/>
  <c r="BC197" i="112" s="1"/>
  <c r="BC109" i="112"/>
  <c r="AY29" i="112"/>
  <c r="BB42" i="112"/>
  <c r="AY458" i="94"/>
  <c r="AY12" i="58"/>
  <c r="AY260" i="112"/>
  <c r="BC261" i="112" s="1"/>
  <c r="BC53" i="112"/>
  <c r="AY41" i="112"/>
  <c r="BB89" i="58"/>
  <c r="BA52" i="112" s="1"/>
  <c r="AZ52" i="112"/>
  <c r="AY271" i="94"/>
  <c r="AY261" i="94"/>
  <c r="AY268" i="94"/>
  <c r="AY265" i="94"/>
  <c r="AY269" i="94"/>
  <c r="AY267" i="94"/>
  <c r="AY262" i="94"/>
  <c r="AY266" i="94"/>
  <c r="AY272" i="94"/>
  <c r="AY264" i="94"/>
  <c r="AY270" i="94"/>
  <c r="AY263" i="94"/>
  <c r="AY170" i="112"/>
  <c r="AY366" i="94"/>
  <c r="AY383" i="94" s="1"/>
  <c r="AY223" i="94"/>
  <c r="AY379" i="94" s="1"/>
  <c r="AY396" i="94" s="1"/>
  <c r="AX55" i="4"/>
  <c r="AY446" i="94"/>
  <c r="AY445" i="94"/>
  <c r="AY449" i="94"/>
  <c r="AY448" i="94"/>
  <c r="AY344" i="94"/>
  <c r="AY309" i="94"/>
  <c r="AX44" i="4" l="1"/>
  <c r="AX46" i="4" s="1"/>
  <c r="AX105" i="4"/>
  <c r="AX109" i="4" s="1"/>
  <c r="AX116" i="4" s="1"/>
  <c r="AX314" i="112"/>
  <c r="AY19" i="58"/>
  <c r="AY22" i="58" s="1"/>
  <c r="AX54" i="4"/>
  <c r="AX317" i="112"/>
  <c r="CV65" i="8"/>
  <c r="CV63" i="8"/>
  <c r="CW68" i="8"/>
  <c r="CW70" i="8"/>
  <c r="CW64" i="8"/>
  <c r="CU63" i="8"/>
  <c r="CU65" i="8"/>
  <c r="BE53" i="112"/>
  <c r="BD53" i="112"/>
  <c r="AY25" i="112"/>
  <c r="BC44" i="112" s="1"/>
  <c r="BA260" i="112"/>
  <c r="BE261" i="112" s="1"/>
  <c r="BA41" i="112"/>
  <c r="BA29" i="112"/>
  <c r="AX57" i="4"/>
  <c r="AY250" i="112"/>
  <c r="AY265" i="112" s="1"/>
  <c r="AZ260" i="112"/>
  <c r="BD261" i="112" s="1"/>
  <c r="AY274" i="94"/>
  <c r="AX61" i="4"/>
  <c r="AY450" i="94"/>
  <c r="AX134" i="4" l="1"/>
  <c r="AY38" i="58"/>
  <c r="AY40" i="58" s="1"/>
  <c r="CW65" i="8"/>
  <c r="CW63" i="8"/>
  <c r="BE42" i="112"/>
  <c r="BA25" i="112"/>
  <c r="BA250" i="112"/>
  <c r="BE251" i="112" s="1"/>
  <c r="AY266" i="112"/>
  <c r="U150" i="11"/>
  <c r="U121" i="11"/>
  <c r="U4" i="46"/>
  <c r="BE27" i="112" l="1"/>
  <c r="BE26" i="112"/>
  <c r="BE44" i="112"/>
  <c r="BI46" i="112" s="1"/>
  <c r="BA265" i="112"/>
  <c r="BA266" i="112"/>
  <c r="BE49" i="112" l="1"/>
  <c r="BE50" i="112" s="1"/>
  <c r="BE153" i="8" s="1"/>
  <c r="BE154" i="8" s="1"/>
  <c r="BE148" i="8"/>
  <c r="BE149" i="8"/>
  <c r="BE155" i="8" l="1"/>
  <c r="AX64" i="94"/>
  <c r="AW64" i="94"/>
  <c r="AV64" i="94"/>
  <c r="AU64" i="94"/>
  <c r="AT64" i="94"/>
  <c r="AS64" i="94"/>
  <c r="AR64" i="94"/>
  <c r="AU317" i="94"/>
  <c r="AV317" i="94"/>
  <c r="AW317" i="94"/>
  <c r="AX317" i="94"/>
  <c r="AQ64" i="94"/>
  <c r="D6" i="92" l="1"/>
  <c r="AV315" i="94" l="1"/>
  <c r="AU205" i="94"/>
  <c r="AV206" i="94"/>
  <c r="AV153" i="94"/>
  <c r="AU153" i="94"/>
  <c r="AU192" i="94"/>
  <c r="AU179" i="94"/>
  <c r="AU140" i="94"/>
  <c r="AU135" i="94"/>
  <c r="AU73" i="94"/>
  <c r="AU62" i="94"/>
  <c r="Y95" i="112" l="1"/>
  <c r="X95" i="112"/>
  <c r="W95" i="112"/>
  <c r="V95" i="112"/>
  <c r="U95" i="112"/>
  <c r="T95" i="112"/>
  <c r="S95" i="112"/>
  <c r="R95" i="112"/>
  <c r="Q95" i="112"/>
  <c r="P95" i="112"/>
  <c r="O95" i="112"/>
  <c r="N95" i="112"/>
  <c r="M95" i="112"/>
  <c r="L95" i="112"/>
  <c r="K95" i="112"/>
  <c r="J95" i="112"/>
  <c r="I95" i="112"/>
  <c r="H95" i="112"/>
  <c r="G95" i="112"/>
  <c r="U203" i="11" l="1"/>
  <c r="U187" i="11"/>
  <c r="U165" i="11"/>
  <c r="AW69" i="8"/>
  <c r="AW59" i="8"/>
  <c r="AW50" i="8"/>
  <c r="AW39" i="8"/>
  <c r="AW32" i="8"/>
  <c r="AW16" i="8"/>
  <c r="AW47" i="112"/>
  <c r="AW8" i="8"/>
  <c r="AV52" i="4"/>
  <c r="AV48" i="4"/>
  <c r="AW104" i="4"/>
  <c r="AW98" i="4"/>
  <c r="AW97" i="4"/>
  <c r="AW96" i="4"/>
  <c r="AW95" i="4"/>
  <c r="AW77" i="4"/>
  <c r="AW76" i="4"/>
  <c r="AW75" i="4"/>
  <c r="AW74" i="4"/>
  <c r="AW73" i="4"/>
  <c r="AW71" i="4"/>
  <c r="AW70" i="4"/>
  <c r="AW69" i="4"/>
  <c r="AW68" i="4"/>
  <c r="AW66" i="4"/>
  <c r="AW64" i="4"/>
  <c r="AW189" i="112" s="1"/>
  <c r="AW189" i="8" s="1"/>
  <c r="AW52" i="4"/>
  <c r="AW48" i="4"/>
  <c r="AW47" i="4"/>
  <c r="AW45" i="4"/>
  <c r="AW43" i="4"/>
  <c r="AW42" i="4"/>
  <c r="AW41" i="4"/>
  <c r="AW40" i="4"/>
  <c r="AW39" i="4"/>
  <c r="AW38" i="4"/>
  <c r="AW32" i="4"/>
  <c r="AW27" i="4"/>
  <c r="AW26" i="4"/>
  <c r="AW25" i="4"/>
  <c r="AW17" i="4"/>
  <c r="AW14" i="4"/>
  <c r="AW5" i="4"/>
  <c r="AW4" i="4"/>
  <c r="AW3" i="4" s="1"/>
  <c r="AW308" i="112"/>
  <c r="AW299" i="112"/>
  <c r="AW16" i="4" s="1"/>
  <c r="AW287" i="112"/>
  <c r="AW286" i="112"/>
  <c r="AW283" i="112"/>
  <c r="AW282" i="112"/>
  <c r="AW232" i="112"/>
  <c r="AW228" i="112"/>
  <c r="AW196" i="112"/>
  <c r="AW192" i="8" s="1"/>
  <c r="AW158" i="112"/>
  <c r="AW157" i="112"/>
  <c r="AW150" i="112"/>
  <c r="AW146" i="112"/>
  <c r="AW141" i="112"/>
  <c r="AW112" i="112"/>
  <c r="AW105" i="112"/>
  <c r="AW85" i="112"/>
  <c r="AW81" i="112"/>
  <c r="AW76" i="112"/>
  <c r="AW38" i="112"/>
  <c r="AW143" i="8" s="1"/>
  <c r="BA144" i="8" s="1"/>
  <c r="AW18" i="112"/>
  <c r="AW14" i="112"/>
  <c r="AW9" i="112"/>
  <c r="AW3" i="112"/>
  <c r="AW156" i="2"/>
  <c r="AW152" i="2"/>
  <c r="AW150" i="2"/>
  <c r="AW144" i="2"/>
  <c r="AW143" i="2"/>
  <c r="AW141" i="2"/>
  <c r="AW131" i="2"/>
  <c r="AW127" i="2"/>
  <c r="AW100" i="2"/>
  <c r="AW95" i="2"/>
  <c r="AW60" i="4" s="1"/>
  <c r="AW80" i="2"/>
  <c r="AW60" i="2"/>
  <c r="AW30" i="2"/>
  <c r="AW4" i="2"/>
  <c r="BE43" i="60"/>
  <c r="AX466" i="94"/>
  <c r="AW156" i="112" s="1"/>
  <c r="BE29" i="60"/>
  <c r="BE30" i="60"/>
  <c r="AW129" i="4" s="1"/>
  <c r="BE31" i="60"/>
  <c r="AW126" i="4" s="1"/>
  <c r="BE24" i="60"/>
  <c r="AW122" i="4" s="1"/>
  <c r="BE23" i="60"/>
  <c r="AW121" i="4" s="1"/>
  <c r="AW50" i="59"/>
  <c r="AW37" i="59"/>
  <c r="AW43" i="59"/>
  <c r="AW45" i="59" s="1"/>
  <c r="AW32" i="59"/>
  <c r="AW13" i="59"/>
  <c r="AW18" i="59" s="1"/>
  <c r="AW10" i="59"/>
  <c r="AX476" i="94"/>
  <c r="AX465" i="94"/>
  <c r="AW155" i="112" s="1"/>
  <c r="AX464" i="94"/>
  <c r="AW154" i="112" s="1"/>
  <c r="AX463" i="94"/>
  <c r="AX462" i="94"/>
  <c r="AX432" i="94"/>
  <c r="AW432" i="94"/>
  <c r="AV432" i="94"/>
  <c r="AX404" i="94"/>
  <c r="AX422" i="94"/>
  <c r="AX421" i="94"/>
  <c r="AX420" i="94"/>
  <c r="AX419" i="94"/>
  <c r="AX418" i="94"/>
  <c r="AX325" i="94"/>
  <c r="AX323" i="94"/>
  <c r="AX322" i="94"/>
  <c r="AX321" i="94"/>
  <c r="AX320" i="94"/>
  <c r="AX319" i="94"/>
  <c r="AX318" i="94"/>
  <c r="AX439" i="94"/>
  <c r="AX316" i="94"/>
  <c r="AX315" i="94"/>
  <c r="AX314" i="94"/>
  <c r="AX437" i="94" s="1"/>
  <c r="AX313" i="94"/>
  <c r="AX312" i="94"/>
  <c r="AX290" i="94"/>
  <c r="AX283" i="94"/>
  <c r="AX281" i="94"/>
  <c r="AX280" i="94"/>
  <c r="AX255" i="94"/>
  <c r="AX254" i="94"/>
  <c r="AX252" i="94"/>
  <c r="AX251" i="94"/>
  <c r="AX250" i="94"/>
  <c r="AX249" i="94"/>
  <c r="AX248" i="94"/>
  <c r="AX247" i="94"/>
  <c r="AX238" i="94"/>
  <c r="AX237" i="94"/>
  <c r="AX236" i="94"/>
  <c r="AX235" i="94"/>
  <c r="AX234" i="94"/>
  <c r="AX233" i="94"/>
  <c r="AX232" i="94"/>
  <c r="AX231" i="94"/>
  <c r="AX230" i="94"/>
  <c r="AX228" i="94"/>
  <c r="AX205" i="94"/>
  <c r="AX206" i="94" s="1"/>
  <c r="AX192" i="94"/>
  <c r="AX193" i="94" s="1"/>
  <c r="AX173" i="94"/>
  <c r="AX180" i="94" s="1"/>
  <c r="AW205" i="94"/>
  <c r="AW206" i="94" s="1"/>
  <c r="AW192" i="94"/>
  <c r="AW179" i="94"/>
  <c r="BA6" i="4" l="1"/>
  <c r="AX137" i="4"/>
  <c r="AX139" i="4" s="1"/>
  <c r="AX140" i="4" s="1"/>
  <c r="AW159" i="2"/>
  <c r="AW160" i="2" s="1"/>
  <c r="AW3" i="2"/>
  <c r="AW10" i="4"/>
  <c r="AW24" i="2"/>
  <c r="AW78" i="8"/>
  <c r="AW7" i="8"/>
  <c r="AW225" i="112"/>
  <c r="AW116" i="2"/>
  <c r="BA190" i="8"/>
  <c r="BA106" i="112"/>
  <c r="AW169" i="8"/>
  <c r="AW130" i="8"/>
  <c r="AX143" i="112"/>
  <c r="AW119" i="8"/>
  <c r="AX78" i="112"/>
  <c r="AW108" i="8"/>
  <c r="AX11" i="112"/>
  <c r="AW15" i="4"/>
  <c r="AW57" i="2"/>
  <c r="AW148" i="2"/>
  <c r="AW151" i="2" s="1"/>
  <c r="AW172" i="8"/>
  <c r="AX217" i="94"/>
  <c r="AX216" i="94"/>
  <c r="AX372" i="94" s="1"/>
  <c r="AX353" i="94"/>
  <c r="AW19" i="59"/>
  <c r="AX221" i="94"/>
  <c r="AW37" i="4"/>
  <c r="BA190" i="112"/>
  <c r="BA39" i="112"/>
  <c r="AX215" i="94"/>
  <c r="AX213" i="94"/>
  <c r="AX369" i="94" s="1"/>
  <c r="AX360" i="94"/>
  <c r="AW161" i="112"/>
  <c r="AW142" i="2"/>
  <c r="AX139" i="2" s="1"/>
  <c r="AX142" i="112"/>
  <c r="AW9" i="4"/>
  <c r="AW78" i="4"/>
  <c r="AX218" i="94"/>
  <c r="AX469" i="94"/>
  <c r="AX10" i="112"/>
  <c r="AX77" i="112"/>
  <c r="AX214" i="94"/>
  <c r="AX370" i="94" s="1"/>
  <c r="AX220" i="94"/>
  <c r="AX15" i="112"/>
  <c r="AX110" i="8" s="1"/>
  <c r="AX16" i="112"/>
  <c r="AX153" i="2" s="1"/>
  <c r="AX148" i="112"/>
  <c r="AX147" i="112"/>
  <c r="AX132" i="8" s="1"/>
  <c r="AW99" i="4"/>
  <c r="AX83" i="112"/>
  <c r="AX92" i="112" s="1"/>
  <c r="BB93" i="112" s="1"/>
  <c r="AX82" i="112"/>
  <c r="AX121" i="8" s="1"/>
  <c r="AX92" i="2"/>
  <c r="AX93" i="2" s="1"/>
  <c r="AX87" i="112"/>
  <c r="AX86" i="112"/>
  <c r="AX126" i="8" s="1"/>
  <c r="AX20" i="112"/>
  <c r="AX19" i="112"/>
  <c r="AX115" i="8" s="1"/>
  <c r="AX152" i="112"/>
  <c r="AX151" i="112"/>
  <c r="AX137" i="8" s="1"/>
  <c r="AX436" i="94"/>
  <c r="AX453" i="94" s="1"/>
  <c r="AX229" i="112"/>
  <c r="AX33" i="2" s="1"/>
  <c r="AX230" i="112"/>
  <c r="AX234" i="112"/>
  <c r="AX233" i="112"/>
  <c r="AX406" i="94"/>
  <c r="AW72" i="4"/>
  <c r="AW28" i="8"/>
  <c r="AW54" i="8"/>
  <c r="AW23" i="8"/>
  <c r="AX101" i="112"/>
  <c r="AW44" i="8"/>
  <c r="AW65" i="8"/>
  <c r="AX456" i="94"/>
  <c r="AX350" i="94"/>
  <c r="AX351" i="94"/>
  <c r="AX440" i="94"/>
  <c r="AX457" i="94" s="1"/>
  <c r="AX454" i="94"/>
  <c r="AW11" i="8"/>
  <c r="AW126" i="2"/>
  <c r="AW13" i="8"/>
  <c r="AW37" i="8"/>
  <c r="AW164" i="2"/>
  <c r="AW38" i="8"/>
  <c r="AW185" i="112"/>
  <c r="AW164" i="112"/>
  <c r="AW165" i="112"/>
  <c r="AW162" i="112"/>
  <c r="AW163" i="112"/>
  <c r="AW231" i="8"/>
  <c r="AW7" i="4"/>
  <c r="AW321" i="8"/>
  <c r="AW141" i="8"/>
  <c r="AW208" i="8"/>
  <c r="AW253" i="8" s="1"/>
  <c r="AW269" i="8" s="1"/>
  <c r="AW184" i="112"/>
  <c r="AW21" i="8"/>
  <c r="AW34" i="8"/>
  <c r="AW48" i="8"/>
  <c r="AW63" i="8"/>
  <c r="AW22" i="8"/>
  <c r="AW49" i="8"/>
  <c r="AW64" i="8"/>
  <c r="AW27" i="8"/>
  <c r="AW55" i="8"/>
  <c r="AW70" i="8"/>
  <c r="AW163" i="2"/>
  <c r="AW18" i="8"/>
  <c r="AW29" i="8"/>
  <c r="AW186" i="112"/>
  <c r="AW43" i="8"/>
  <c r="AW58" i="8"/>
  <c r="AW45" i="8"/>
  <c r="AW53" i="8"/>
  <c r="AW60" i="8"/>
  <c r="AW68" i="8"/>
  <c r="AW17" i="8"/>
  <c r="AW33" i="8"/>
  <c r="AW12" i="8"/>
  <c r="AW125" i="2"/>
  <c r="AW8" i="4"/>
  <c r="AW97" i="2"/>
  <c r="AW98" i="2"/>
  <c r="AW46" i="59"/>
  <c r="AX423" i="94"/>
  <c r="AW153" i="94"/>
  <c r="AX153" i="94"/>
  <c r="AX154" i="94" s="1"/>
  <c r="AX165" i="94"/>
  <c r="AX288" i="94" s="1"/>
  <c r="AX164" i="94"/>
  <c r="AX287" i="94" s="1"/>
  <c r="AX163" i="94"/>
  <c r="AX286" i="94" s="1"/>
  <c r="AX162" i="94"/>
  <c r="AX285" i="94" s="1"/>
  <c r="AX355" i="94" s="1"/>
  <c r="AX161" i="94"/>
  <c r="AX284" i="94" s="1"/>
  <c r="AX160" i="94"/>
  <c r="AX282" i="94" s="1"/>
  <c r="AX159" i="94"/>
  <c r="AX279" i="94" s="1"/>
  <c r="AX158" i="94"/>
  <c r="AX278" i="94" s="1"/>
  <c r="AX157" i="94"/>
  <c r="AX277" i="94" s="1"/>
  <c r="AW140" i="94"/>
  <c r="AX140" i="94"/>
  <c r="AX113" i="94"/>
  <c r="AX110" i="94"/>
  <c r="AX253" i="94" s="1"/>
  <c r="AX106" i="94"/>
  <c r="AX246" i="94" s="1"/>
  <c r="AX105" i="94"/>
  <c r="AX245" i="94" s="1"/>
  <c r="AX104" i="94"/>
  <c r="AX244" i="94" s="1"/>
  <c r="AX103" i="94"/>
  <c r="AX122" i="94" s="1"/>
  <c r="AX100" i="94"/>
  <c r="AX239" i="94" s="1"/>
  <c r="AX93" i="94"/>
  <c r="AX229" i="94" s="1"/>
  <c r="AX91" i="94"/>
  <c r="AX227" i="94" s="1"/>
  <c r="AX90" i="94"/>
  <c r="AX87" i="94"/>
  <c r="AX86" i="94"/>
  <c r="AX84" i="94"/>
  <c r="AX80" i="94"/>
  <c r="AX79" i="94"/>
  <c r="AX78" i="94"/>
  <c r="AX77" i="94"/>
  <c r="AX38" i="94"/>
  <c r="AX73" i="94"/>
  <c r="AX324" i="94" s="1"/>
  <c r="AW73" i="94"/>
  <c r="AX62" i="94"/>
  <c r="AX63" i="94" s="1"/>
  <c r="AW62" i="94"/>
  <c r="AX14" i="94"/>
  <c r="AV93" i="58"/>
  <c r="AW93" i="58" s="1"/>
  <c r="AX93" i="58" s="1"/>
  <c r="AW55" i="112" s="1"/>
  <c r="BA56" i="112" s="1"/>
  <c r="AW11" i="4" l="1"/>
  <c r="AW30" i="4"/>
  <c r="AW66" i="112" s="1"/>
  <c r="BA70" i="112" s="1"/>
  <c r="AW29" i="4"/>
  <c r="AX226" i="112"/>
  <c r="AW31" i="4"/>
  <c r="AX349" i="94"/>
  <c r="BA170" i="8"/>
  <c r="BB144" i="112"/>
  <c r="BB79" i="112"/>
  <c r="BB12" i="112"/>
  <c r="AX387" i="94"/>
  <c r="AX389" i="94"/>
  <c r="AX74" i="94"/>
  <c r="AW79" i="4"/>
  <c r="AX166" i="94"/>
  <c r="AX289" i="94" s="1"/>
  <c r="AX359" i="94" s="1"/>
  <c r="AX157" i="2"/>
  <c r="AW100" i="4"/>
  <c r="AX411" i="94"/>
  <c r="AX413" i="94"/>
  <c r="AX410" i="94"/>
  <c r="AX414" i="94"/>
  <c r="AX412" i="94"/>
  <c r="BB173" i="8"/>
  <c r="BB174" i="8"/>
  <c r="AX240" i="94"/>
  <c r="AX119" i="112"/>
  <c r="AX386" i="94"/>
  <c r="AX438" i="94"/>
  <c r="AX455" i="94" s="1"/>
  <c r="AX326" i="94"/>
  <c r="AX334" i="94" s="1"/>
  <c r="AX117" i="94"/>
  <c r="AX123" i="94"/>
  <c r="AX139" i="8"/>
  <c r="AX138" i="8"/>
  <c r="AX210" i="94"/>
  <c r="AX366" i="94" s="1"/>
  <c r="AX118" i="94"/>
  <c r="AX124" i="94"/>
  <c r="AX374" i="94"/>
  <c r="AX391" i="94" s="1"/>
  <c r="AX203" i="112"/>
  <c r="AX211" i="94"/>
  <c r="AX367" i="94" s="1"/>
  <c r="AX119" i="94"/>
  <c r="AX125" i="94"/>
  <c r="AX356" i="94"/>
  <c r="AX117" i="8"/>
  <c r="AX116" i="8"/>
  <c r="AX94" i="2"/>
  <c r="AX76" i="2"/>
  <c r="AX134" i="8"/>
  <c r="AX133" i="8"/>
  <c r="AX373" i="94"/>
  <c r="AX212" i="94"/>
  <c r="AX368" i="94" s="1"/>
  <c r="AX120" i="94"/>
  <c r="AX126" i="94"/>
  <c r="AX376" i="94"/>
  <c r="AX33" i="112"/>
  <c r="BB34" i="112" s="1"/>
  <c r="AX29" i="112"/>
  <c r="BB30" i="112" s="1"/>
  <c r="BB164" i="8" s="1"/>
  <c r="AX354" i="94"/>
  <c r="AX219" i="94"/>
  <c r="AX375" i="94" s="1"/>
  <c r="AX121" i="94"/>
  <c r="AX256" i="94"/>
  <c r="AX257" i="94" s="1"/>
  <c r="AX377" i="94"/>
  <c r="AX358" i="94"/>
  <c r="AX347" i="94"/>
  <c r="AX123" i="8"/>
  <c r="AX122" i="8"/>
  <c r="AX145" i="2"/>
  <c r="AX25" i="112"/>
  <c r="AX357" i="94"/>
  <c r="AX141" i="94"/>
  <c r="AX371" i="94"/>
  <c r="AX352" i="94"/>
  <c r="AX348" i="94"/>
  <c r="AX128" i="8"/>
  <c r="AX127" i="8"/>
  <c r="AX167" i="8"/>
  <c r="AX112" i="8"/>
  <c r="AX111" i="8"/>
  <c r="AX94" i="112"/>
  <c r="AW183" i="112"/>
  <c r="AX39" i="94"/>
  <c r="AX48" i="94" s="1"/>
  <c r="AX27" i="94"/>
  <c r="AX15" i="94"/>
  <c r="AW20" i="4" l="1"/>
  <c r="AW18" i="4"/>
  <c r="AW12" i="4"/>
  <c r="BA13" i="4"/>
  <c r="AX385" i="94"/>
  <c r="AX167" i="94"/>
  <c r="BB204" i="112"/>
  <c r="AX336" i="94"/>
  <c r="AX343" i="94"/>
  <c r="AX331" i="94"/>
  <c r="AX342" i="94"/>
  <c r="AX335" i="94"/>
  <c r="AX341" i="94"/>
  <c r="AX338" i="94"/>
  <c r="AX441" i="94"/>
  <c r="AX449" i="94" s="1"/>
  <c r="AX340" i="94"/>
  <c r="AX337" i="94"/>
  <c r="AX332" i="94"/>
  <c r="AX333" i="94"/>
  <c r="AX339" i="94"/>
  <c r="AX330" i="94"/>
  <c r="AX291" i="94"/>
  <c r="AX305" i="94" s="1"/>
  <c r="AX392" i="94"/>
  <c r="BB166" i="8"/>
  <c r="BB165" i="8"/>
  <c r="BB27" i="112"/>
  <c r="BB26" i="112"/>
  <c r="AX98" i="112"/>
  <c r="BB99" i="112" s="1"/>
  <c r="BB184" i="8" s="1"/>
  <c r="BB120" i="112"/>
  <c r="BB44" i="112"/>
  <c r="BF46" i="112" s="1"/>
  <c r="AX270" i="94"/>
  <c r="AX263" i="94"/>
  <c r="AX262" i="94"/>
  <c r="AX108" i="112"/>
  <c r="AX383" i="94"/>
  <c r="AX384" i="94"/>
  <c r="AX261" i="94"/>
  <c r="AX127" i="94"/>
  <c r="AX222" i="94"/>
  <c r="AX378" i="94" s="1"/>
  <c r="AX395" i="94" s="1"/>
  <c r="AX273" i="94"/>
  <c r="AX390" i="94"/>
  <c r="AX174" i="112"/>
  <c r="BB175" i="112" s="1"/>
  <c r="BB204" i="8" s="1"/>
  <c r="AX192" i="112"/>
  <c r="AX263" i="112"/>
  <c r="BB264" i="112" s="1"/>
  <c r="AX394" i="94"/>
  <c r="AX264" i="94"/>
  <c r="AX269" i="94"/>
  <c r="AX267" i="94"/>
  <c r="AX265" i="94"/>
  <c r="AX268" i="94"/>
  <c r="AX266" i="94"/>
  <c r="AX272" i="94"/>
  <c r="AX271" i="94"/>
  <c r="AX388" i="94"/>
  <c r="AX393" i="94"/>
  <c r="AW34" i="4"/>
  <c r="AW49" i="4"/>
  <c r="AW19" i="4"/>
  <c r="AW21" i="4"/>
  <c r="AX43" i="94"/>
  <c r="AX50" i="94"/>
  <c r="AX44" i="94"/>
  <c r="AX45" i="94"/>
  <c r="AX49" i="94"/>
  <c r="AX46" i="94"/>
  <c r="AX47" i="94"/>
  <c r="BA35" i="4" l="1"/>
  <c r="AW62" i="2"/>
  <c r="BB193" i="112"/>
  <c r="BB197" i="112" s="1"/>
  <c r="BB109" i="112"/>
  <c r="AX445" i="94"/>
  <c r="AX448" i="94"/>
  <c r="AX447" i="94"/>
  <c r="AX446" i="94"/>
  <c r="AX458" i="94"/>
  <c r="AX303" i="94"/>
  <c r="AX301" i="94"/>
  <c r="AX298" i="94"/>
  <c r="AX300" i="94"/>
  <c r="AX295" i="94"/>
  <c r="AX361" i="94"/>
  <c r="AX306" i="94"/>
  <c r="AX297" i="94"/>
  <c r="AX304" i="94"/>
  <c r="AX302" i="94"/>
  <c r="AX308" i="94"/>
  <c r="AX223" i="94"/>
  <c r="AX379" i="94" s="1"/>
  <c r="AX396" i="94" s="1"/>
  <c r="AX307" i="94"/>
  <c r="AX299" i="94"/>
  <c r="AX296" i="94"/>
  <c r="AX344" i="94"/>
  <c r="BB186" i="8"/>
  <c r="BB185" i="8"/>
  <c r="BB149" i="8"/>
  <c r="BB148" i="8"/>
  <c r="BB206" i="8"/>
  <c r="BB205" i="8"/>
  <c r="BB49" i="112"/>
  <c r="AX274" i="94"/>
  <c r="AX170" i="112"/>
  <c r="BB171" i="112" s="1"/>
  <c r="AX250" i="112"/>
  <c r="AW53" i="4"/>
  <c r="AW105" i="4"/>
  <c r="AW36" i="4"/>
  <c r="AW44" i="4"/>
  <c r="AX51" i="94"/>
  <c r="AX104" i="58"/>
  <c r="AW104" i="58"/>
  <c r="AV104" i="58"/>
  <c r="AU104" i="58"/>
  <c r="AX115" i="58"/>
  <c r="AW115" i="58"/>
  <c r="AV115" i="58"/>
  <c r="AX83" i="58"/>
  <c r="AX82" i="58"/>
  <c r="AW45" i="112" s="1"/>
  <c r="AW147" i="8" s="1"/>
  <c r="AX66" i="58"/>
  <c r="AX67" i="58" s="1"/>
  <c r="AW46" i="4" l="1"/>
  <c r="AW317" i="112"/>
  <c r="BB50" i="112"/>
  <c r="BB153" i="8" s="1"/>
  <c r="BB155" i="8" s="1"/>
  <c r="AX450" i="94"/>
  <c r="AX309" i="94"/>
  <c r="AX265" i="112"/>
  <c r="BB251" i="112"/>
  <c r="BB194" i="8"/>
  <c r="BB193" i="8"/>
  <c r="AW54" i="4"/>
  <c r="AX266" i="112"/>
  <c r="AX35" i="58"/>
  <c r="AX31" i="58"/>
  <c r="AW33" i="4" s="1"/>
  <c r="AX13" i="58"/>
  <c r="AX8" i="58"/>
  <c r="AX12" i="58" s="1"/>
  <c r="BB154" i="8" l="1"/>
  <c r="AX19" i="58"/>
  <c r="AX22" i="58" s="1"/>
  <c r="AX38" i="58" s="1"/>
  <c r="AX40" i="58" s="1"/>
  <c r="AW51" i="4"/>
  <c r="U797" i="111"/>
  <c r="AW62" i="4" l="1"/>
  <c r="AW55" i="4"/>
  <c r="BA56" i="4" l="1"/>
  <c r="AW61" i="4"/>
  <c r="AW57" i="4"/>
  <c r="AY180" i="112" l="1"/>
  <c r="AY179" i="112"/>
  <c r="AX180" i="112"/>
  <c r="AY181" i="112"/>
  <c r="AY178" i="112"/>
  <c r="AX178" i="112"/>
  <c r="AX179" i="112"/>
  <c r="AX181" i="112"/>
  <c r="AW179" i="112"/>
  <c r="AW181" i="112"/>
  <c r="AW180" i="112"/>
  <c r="AY177" i="112" l="1"/>
  <c r="AX177" i="112"/>
  <c r="AW178" i="112"/>
  <c r="AW177" i="112" s="1"/>
  <c r="AW197" i="112" s="1"/>
  <c r="AW101" i="112"/>
  <c r="AV68" i="8" l="1"/>
  <c r="AV70" i="8"/>
  <c r="AV64" i="8"/>
  <c r="AV60" i="8"/>
  <c r="AV59" i="8"/>
  <c r="AV58" i="8"/>
  <c r="AV53" i="8"/>
  <c r="AV55" i="8"/>
  <c r="AV49" i="8"/>
  <c r="AV45" i="8"/>
  <c r="AV44" i="8"/>
  <c r="AV43" i="8"/>
  <c r="AV37" i="8"/>
  <c r="AV39" i="8"/>
  <c r="AV33" i="8"/>
  <c r="AV29" i="8"/>
  <c r="AV28" i="8"/>
  <c r="AV27" i="8"/>
  <c r="AV21" i="8"/>
  <c r="AV23" i="8"/>
  <c r="AV17" i="8"/>
  <c r="AV16" i="8"/>
  <c r="AV13" i="8"/>
  <c r="AV12" i="8"/>
  <c r="AV11" i="8"/>
  <c r="AV8" i="8"/>
  <c r="AU48" i="4"/>
  <c r="AU52" i="4"/>
  <c r="AV104" i="4"/>
  <c r="AV95" i="4"/>
  <c r="AV77" i="4"/>
  <c r="AV76" i="4"/>
  <c r="AV75" i="4"/>
  <c r="AV74" i="4"/>
  <c r="AV73" i="4"/>
  <c r="AV68" i="4"/>
  <c r="AV66" i="4"/>
  <c r="AV64" i="4"/>
  <c r="AV189" i="112" s="1"/>
  <c r="AV189" i="8" s="1"/>
  <c r="AV47" i="4"/>
  <c r="AV45" i="4"/>
  <c r="AV43" i="4"/>
  <c r="AV42" i="4"/>
  <c r="AV41" i="4"/>
  <c r="AV40" i="4"/>
  <c r="AV39" i="4"/>
  <c r="AV38" i="4"/>
  <c r="AV32" i="4"/>
  <c r="AV27" i="4"/>
  <c r="AV26" i="4"/>
  <c r="AV25" i="4"/>
  <c r="AV17" i="4"/>
  <c r="AV14" i="4"/>
  <c r="AV5" i="4"/>
  <c r="AV4" i="4"/>
  <c r="AV3" i="4" s="1"/>
  <c r="AV308" i="112"/>
  <c r="AV299" i="112"/>
  <c r="AV16" i="4" s="1"/>
  <c r="AV287" i="112"/>
  <c r="AV286" i="112"/>
  <c r="AV283" i="112"/>
  <c r="AV282" i="112"/>
  <c r="AV232" i="112"/>
  <c r="AV228" i="112"/>
  <c r="AV196" i="112"/>
  <c r="AV192" i="8" s="1"/>
  <c r="AV186" i="112"/>
  <c r="AV185" i="112"/>
  <c r="AV184" i="112"/>
  <c r="AV181" i="112"/>
  <c r="AV180" i="112"/>
  <c r="AV179" i="112"/>
  <c r="AV178" i="112"/>
  <c r="AV158" i="112"/>
  <c r="AV157" i="112"/>
  <c r="AV150" i="112"/>
  <c r="AV146" i="112"/>
  <c r="AV141" i="112"/>
  <c r="AV112" i="112"/>
  <c r="AV105" i="112"/>
  <c r="AV169" i="8" s="1"/>
  <c r="AV101" i="112"/>
  <c r="AV85" i="112"/>
  <c r="AV81" i="112"/>
  <c r="AV76" i="112"/>
  <c r="AV47" i="112"/>
  <c r="AV38" i="112"/>
  <c r="AV143" i="8" s="1"/>
  <c r="AV18" i="112"/>
  <c r="AV14" i="112"/>
  <c r="AV9" i="112"/>
  <c r="AV3" i="112"/>
  <c r="AV164" i="2"/>
  <c r="AV163" i="2"/>
  <c r="AV156" i="2"/>
  <c r="AV152" i="2"/>
  <c r="AV150" i="2"/>
  <c r="AV131" i="2"/>
  <c r="AV127" i="2"/>
  <c r="AV126" i="2"/>
  <c r="AV125" i="2"/>
  <c r="AV100" i="2"/>
  <c r="AV95" i="2"/>
  <c r="AV80" i="2"/>
  <c r="AV60" i="2"/>
  <c r="AV30" i="2"/>
  <c r="AV4" i="2"/>
  <c r="AV3" i="2" s="1"/>
  <c r="AV135" i="94"/>
  <c r="AV63" i="94"/>
  <c r="AV55" i="112"/>
  <c r="AZ56" i="112" s="1"/>
  <c r="AW78" i="112" l="1"/>
  <c r="BA79" i="112" s="1"/>
  <c r="AW11" i="112"/>
  <c r="BA12" i="112" s="1"/>
  <c r="AW137" i="4"/>
  <c r="AZ6" i="4"/>
  <c r="AV10" i="4"/>
  <c r="AV24" i="2"/>
  <c r="AV78" i="8"/>
  <c r="AV7" i="8"/>
  <c r="AZ190" i="8"/>
  <c r="AZ144" i="8"/>
  <c r="AZ170" i="8"/>
  <c r="AV130" i="8"/>
  <c r="AW143" i="112"/>
  <c r="AV15" i="4"/>
  <c r="AV148" i="2"/>
  <c r="AV151" i="2" s="1"/>
  <c r="AV172" i="8"/>
  <c r="AV108" i="8"/>
  <c r="AV119" i="8"/>
  <c r="AV9" i="4"/>
  <c r="AZ106" i="112"/>
  <c r="AV7" i="4"/>
  <c r="AZ39" i="112"/>
  <c r="AW142" i="112"/>
  <c r="AV37" i="4"/>
  <c r="AZ190" i="112"/>
  <c r="AV98" i="2"/>
  <c r="AW92" i="2"/>
  <c r="AW93" i="2" s="1"/>
  <c r="AW94" i="2" s="1"/>
  <c r="AV60" i="4"/>
  <c r="AW83" i="112"/>
  <c r="AW92" i="112" s="1"/>
  <c r="AW82" i="112"/>
  <c r="AW121" i="8" s="1"/>
  <c r="AW230" i="112"/>
  <c r="AW229" i="112"/>
  <c r="AW234" i="112"/>
  <c r="AW233" i="112"/>
  <c r="AW86" i="112"/>
  <c r="AW126" i="8" s="1"/>
  <c r="AW87" i="112"/>
  <c r="AW152" i="112"/>
  <c r="AW151" i="112"/>
  <c r="AW137" i="8" s="1"/>
  <c r="AV321" i="8"/>
  <c r="AV141" i="8"/>
  <c r="AV231" i="8"/>
  <c r="AV208" i="8"/>
  <c r="AV253" i="8" s="1"/>
  <c r="AV269" i="8" s="1"/>
  <c r="AW16" i="112"/>
  <c r="AW15" i="112"/>
  <c r="AW110" i="8" s="1"/>
  <c r="AW148" i="112"/>
  <c r="AW147" i="112"/>
  <c r="AW132" i="8" s="1"/>
  <c r="AW20" i="112"/>
  <c r="AW19" i="112"/>
  <c r="AW115" i="8" s="1"/>
  <c r="AW10" i="112"/>
  <c r="AW77" i="112"/>
  <c r="AV78" i="4"/>
  <c r="AV18" i="8"/>
  <c r="AV34" i="8"/>
  <c r="AV50" i="8"/>
  <c r="AV65" i="8"/>
  <c r="AV22" i="8"/>
  <c r="AV38" i="8"/>
  <c r="AV54" i="8"/>
  <c r="AV69" i="8"/>
  <c r="AV32" i="8"/>
  <c r="AV48" i="8"/>
  <c r="AV63" i="8"/>
  <c r="AV8" i="4"/>
  <c r="AV57" i="2"/>
  <c r="AV97" i="2"/>
  <c r="AV50" i="59"/>
  <c r="AV31" i="4" l="1"/>
  <c r="AV11" i="4"/>
  <c r="AV29" i="4"/>
  <c r="AV30" i="4"/>
  <c r="AV66" i="112" s="1"/>
  <c r="AZ70" i="112" s="1"/>
  <c r="BA144" i="112"/>
  <c r="AV20" i="4"/>
  <c r="AW167" i="8"/>
  <c r="BA93" i="112"/>
  <c r="AV12" i="4"/>
  <c r="AW119" i="112"/>
  <c r="AW111" i="8"/>
  <c r="AW112" i="8"/>
  <c r="AW123" i="8"/>
  <c r="AW122" i="8"/>
  <c r="AW153" i="2"/>
  <c r="AW145" i="2"/>
  <c r="AW127" i="8"/>
  <c r="AW128" i="8"/>
  <c r="AW94" i="112"/>
  <c r="AW33" i="112"/>
  <c r="BA34" i="112" s="1"/>
  <c r="AW133" i="8"/>
  <c r="AW134" i="8"/>
  <c r="AW139" i="8"/>
  <c r="AW138" i="8"/>
  <c r="AW203" i="112"/>
  <c r="BA204" i="112" s="1"/>
  <c r="AW116" i="8"/>
  <c r="AW117" i="8"/>
  <c r="AV42" i="59"/>
  <c r="AV98" i="4" s="1"/>
  <c r="AV41" i="59"/>
  <c r="AV40" i="59"/>
  <c r="AV39" i="59"/>
  <c r="AV96" i="4" s="1"/>
  <c r="AV36" i="59"/>
  <c r="AV35" i="59"/>
  <c r="AV88" i="4" s="1"/>
  <c r="AV34" i="59"/>
  <c r="AV31" i="59"/>
  <c r="AV30" i="59"/>
  <c r="AV143" i="2" s="1"/>
  <c r="AV29" i="59"/>
  <c r="AV27" i="59"/>
  <c r="AV26" i="59"/>
  <c r="AV25" i="59"/>
  <c r="AV84" i="4" s="1"/>
  <c r="AV13" i="59"/>
  <c r="AV18" i="59" s="1"/>
  <c r="AV9" i="59"/>
  <c r="AV8" i="59"/>
  <c r="AV7" i="59"/>
  <c r="AV70" i="4" s="1"/>
  <c r="AV6" i="59"/>
  <c r="AV5" i="59"/>
  <c r="AW476" i="94"/>
  <c r="AW466" i="94"/>
  <c r="AV156" i="112" s="1"/>
  <c r="AW465" i="94"/>
  <c r="AV155" i="112" s="1"/>
  <c r="AW464" i="94"/>
  <c r="AV154" i="112" s="1"/>
  <c r="AW462" i="94"/>
  <c r="AW463" i="94"/>
  <c r="AW404" i="94"/>
  <c r="AW418" i="94"/>
  <c r="AW419" i="94"/>
  <c r="AW420" i="94"/>
  <c r="AW421" i="94"/>
  <c r="AW422" i="94"/>
  <c r="AW228" i="94"/>
  <c r="AW230" i="94"/>
  <c r="AW231" i="94"/>
  <c r="AW233" i="94"/>
  <c r="AW234" i="94"/>
  <c r="AW235" i="94"/>
  <c r="AW236" i="94"/>
  <c r="AW237" i="94"/>
  <c r="AW238" i="94"/>
  <c r="AW247" i="94"/>
  <c r="AW248" i="94"/>
  <c r="AW249" i="94"/>
  <c r="AW250" i="94"/>
  <c r="AW251" i="94"/>
  <c r="AW252" i="94"/>
  <c r="AW253" i="94"/>
  <c r="AW254" i="94"/>
  <c r="AW255" i="94"/>
  <c r="AW320" i="94"/>
  <c r="AW322" i="94"/>
  <c r="AW113" i="94"/>
  <c r="AW256" i="94" s="1"/>
  <c r="AW106" i="94"/>
  <c r="AW246" i="94" s="1"/>
  <c r="AW105" i="94"/>
  <c r="AW245" i="94" s="1"/>
  <c r="AW104" i="94"/>
  <c r="AW244" i="94" s="1"/>
  <c r="AW103" i="94"/>
  <c r="AW120" i="94" s="1"/>
  <c r="AW319" i="94"/>
  <c r="AW321" i="94"/>
  <c r="AW323" i="94"/>
  <c r="AW161" i="94"/>
  <c r="AW284" i="94" s="1"/>
  <c r="AW160" i="94"/>
  <c r="AW164" i="94"/>
  <c r="AW287" i="94" s="1"/>
  <c r="AW165" i="94"/>
  <c r="AW288" i="94" s="1"/>
  <c r="AW100" i="94"/>
  <c r="AW239" i="94" s="1"/>
  <c r="AW90" i="94"/>
  <c r="AW94" i="94"/>
  <c r="AW232" i="94" s="1"/>
  <c r="AW93" i="94"/>
  <c r="AW229" i="94" s="1"/>
  <c r="AW91" i="94"/>
  <c r="AW227" i="94" s="1"/>
  <c r="AW87" i="94"/>
  <c r="AT87" i="94"/>
  <c r="AW77" i="94"/>
  <c r="AW80" i="94"/>
  <c r="AW79" i="94"/>
  <c r="AW78" i="94"/>
  <c r="AW280" i="94"/>
  <c r="AW281" i="94"/>
  <c r="AW290" i="94"/>
  <c r="AW283" i="94"/>
  <c r="AW315" i="94"/>
  <c r="AW316" i="94"/>
  <c r="AW325" i="94"/>
  <c r="AW440" i="94" s="1"/>
  <c r="AW318" i="94"/>
  <c r="AW39" i="94"/>
  <c r="AW46" i="94" s="1"/>
  <c r="AW27" i="94"/>
  <c r="AW14" i="94"/>
  <c r="AW15" i="94"/>
  <c r="AW83" i="58"/>
  <c r="AW82" i="58"/>
  <c r="AV45" i="112" s="1"/>
  <c r="AV147" i="8" s="1"/>
  <c r="AW66" i="58"/>
  <c r="AW67" i="58" s="1"/>
  <c r="AV85" i="4" l="1"/>
  <c r="AV18" i="4"/>
  <c r="AV89" i="4"/>
  <c r="AV82" i="4"/>
  <c r="AV90" i="4"/>
  <c r="AV71" i="59"/>
  <c r="AV225" i="112"/>
  <c r="AV21" i="4"/>
  <c r="AV97" i="4"/>
  <c r="AV99" i="4" s="1"/>
  <c r="AW108" i="112"/>
  <c r="BA109" i="112" s="1"/>
  <c r="BA120" i="112"/>
  <c r="BA173" i="8"/>
  <c r="BA174" i="8"/>
  <c r="AV71" i="4"/>
  <c r="AV162" i="112"/>
  <c r="AV163" i="112"/>
  <c r="AV161" i="112"/>
  <c r="AV164" i="112"/>
  <c r="AV165" i="112"/>
  <c r="AV144" i="2"/>
  <c r="AV142" i="2" s="1"/>
  <c r="AV69" i="4"/>
  <c r="AW98" i="112"/>
  <c r="BA99" i="112" s="1"/>
  <c r="BA184" i="8" s="1"/>
  <c r="AW263" i="112"/>
  <c r="BA264" i="112" s="1"/>
  <c r="AW192" i="112"/>
  <c r="BA193" i="112" s="1"/>
  <c r="BA197" i="112" s="1"/>
  <c r="AW166" i="94"/>
  <c r="AW289" i="94" s="1"/>
  <c r="AV37" i="59"/>
  <c r="AV43" i="59"/>
  <c r="AV45" i="59" s="1"/>
  <c r="AV32" i="59"/>
  <c r="AV10" i="59"/>
  <c r="AW282" i="94"/>
  <c r="AW469" i="94"/>
  <c r="AW439" i="94"/>
  <c r="AW456" i="94" s="1"/>
  <c r="AW217" i="94"/>
  <c r="AW373" i="94" s="1"/>
  <c r="AW314" i="94"/>
  <c r="AW437" i="94" s="1"/>
  <c r="AW454" i="94" s="1"/>
  <c r="AW218" i="94"/>
  <c r="AW216" i="94"/>
  <c r="AW372" i="94" s="1"/>
  <c r="AW423" i="94"/>
  <c r="AW457" i="94"/>
  <c r="AW324" i="94"/>
  <c r="AW438" i="94" s="1"/>
  <c r="AW312" i="94"/>
  <c r="AW406" i="94"/>
  <c r="AW313" i="94"/>
  <c r="AW358" i="94"/>
  <c r="AW351" i="94"/>
  <c r="AW350" i="94"/>
  <c r="AW222" i="94"/>
  <c r="AW240" i="94"/>
  <c r="AW354" i="94"/>
  <c r="AW353" i="94"/>
  <c r="AW210" i="94"/>
  <c r="AW257" i="94"/>
  <c r="AW264" i="94" s="1"/>
  <c r="AW360" i="94"/>
  <c r="AW211" i="94"/>
  <c r="AW357" i="94"/>
  <c r="AW212" i="94"/>
  <c r="AW221" i="94"/>
  <c r="AW377" i="94" s="1"/>
  <c r="AW220" i="94"/>
  <c r="AW376" i="94" s="1"/>
  <c r="AW214" i="94"/>
  <c r="AW370" i="94" s="1"/>
  <c r="AW215" i="94"/>
  <c r="AW219" i="94"/>
  <c r="AW213" i="94"/>
  <c r="AW369" i="94" s="1"/>
  <c r="AW158" i="94"/>
  <c r="AW278" i="94" s="1"/>
  <c r="AW119" i="94"/>
  <c r="AW159" i="94"/>
  <c r="AW279" i="94" s="1"/>
  <c r="AW163" i="94"/>
  <c r="AW286" i="94" s="1"/>
  <c r="AW125" i="94"/>
  <c r="AW124" i="94"/>
  <c r="AW118" i="94"/>
  <c r="AW123" i="94"/>
  <c r="AW117" i="94"/>
  <c r="AW122" i="94"/>
  <c r="AW193" i="94"/>
  <c r="AW180" i="94"/>
  <c r="AW121" i="94"/>
  <c r="AW162" i="94"/>
  <c r="AW285" i="94" s="1"/>
  <c r="AW126" i="94"/>
  <c r="AW141" i="94"/>
  <c r="AW154" i="94"/>
  <c r="AW157" i="94"/>
  <c r="AW277" i="94" s="1"/>
  <c r="AW74" i="94"/>
  <c r="AW63" i="94"/>
  <c r="AW44" i="94"/>
  <c r="AW45" i="94"/>
  <c r="AW43" i="94"/>
  <c r="AW50" i="94"/>
  <c r="AW48" i="94"/>
  <c r="AW49" i="94"/>
  <c r="AW47" i="94"/>
  <c r="AW35" i="58"/>
  <c r="AW31" i="58"/>
  <c r="AV33" i="4" s="1"/>
  <c r="AW13" i="58"/>
  <c r="AW8" i="58"/>
  <c r="AW12" i="58" s="1"/>
  <c r="AV49" i="4" l="1"/>
  <c r="AV19" i="4"/>
  <c r="AV34" i="4"/>
  <c r="AW226" i="112"/>
  <c r="AV91" i="4"/>
  <c r="AV116" i="2"/>
  <c r="AW157" i="2"/>
  <c r="AW139" i="2"/>
  <c r="AV86" i="4"/>
  <c r="AV19" i="59"/>
  <c r="AV19" i="2"/>
  <c r="AW366" i="94"/>
  <c r="AW410" i="94"/>
  <c r="AW414" i="94"/>
  <c r="AW411" i="94"/>
  <c r="AW413" i="94"/>
  <c r="AW19" i="58"/>
  <c r="AW22" i="58" s="1"/>
  <c r="AW412" i="94"/>
  <c r="BA185" i="8"/>
  <c r="BA186" i="8"/>
  <c r="AV72" i="4"/>
  <c r="AV79" i="4" s="1"/>
  <c r="AV183" i="112"/>
  <c r="AV177" i="112"/>
  <c r="AV197" i="112" s="1"/>
  <c r="AV51" i="4"/>
  <c r="AW371" i="94"/>
  <c r="AV46" i="59"/>
  <c r="AW394" i="94"/>
  <c r="AW378" i="94"/>
  <c r="AW374" i="94"/>
  <c r="AW367" i="94"/>
  <c r="AW389" i="94"/>
  <c r="AW352" i="94"/>
  <c r="AW390" i="94"/>
  <c r="AW368" i="94"/>
  <c r="AW387" i="94"/>
  <c r="AW393" i="94"/>
  <c r="AW386" i="94"/>
  <c r="AW265" i="94"/>
  <c r="AW263" i="94"/>
  <c r="AW261" i="94"/>
  <c r="AW326" i="94"/>
  <c r="AW335" i="94" s="1"/>
  <c r="AW455" i="94"/>
  <c r="AW359" i="94"/>
  <c r="AW356" i="94"/>
  <c r="AW375" i="94"/>
  <c r="AW436" i="94"/>
  <c r="AW349" i="94"/>
  <c r="AW348" i="94"/>
  <c r="AW269" i="94"/>
  <c r="AW267" i="94"/>
  <c r="AW268" i="94"/>
  <c r="AW270" i="94"/>
  <c r="AW223" i="94"/>
  <c r="AW273" i="94"/>
  <c r="AW271" i="94"/>
  <c r="AW266" i="94"/>
  <c r="AW291" i="94"/>
  <c r="AW304" i="94" s="1"/>
  <c r="AW272" i="94"/>
  <c r="AW347" i="94"/>
  <c r="AW355" i="94"/>
  <c r="AW262" i="94"/>
  <c r="AW167" i="94"/>
  <c r="AW127" i="94"/>
  <c r="AW51" i="94"/>
  <c r="AV53" i="4" l="1"/>
  <c r="AV62" i="2"/>
  <c r="AV105" i="4"/>
  <c r="AV36" i="4"/>
  <c r="AV44" i="4"/>
  <c r="AV100" i="4"/>
  <c r="AW38" i="58"/>
  <c r="AW40" i="58" s="1"/>
  <c r="AW383" i="94"/>
  <c r="AV55" i="4"/>
  <c r="AV62" i="4"/>
  <c r="AW388" i="94"/>
  <c r="AW343" i="94"/>
  <c r="AW391" i="94"/>
  <c r="AW395" i="94"/>
  <c r="AW331" i="94"/>
  <c r="AW392" i="94"/>
  <c r="AW385" i="94"/>
  <c r="AW384" i="94"/>
  <c r="AW340" i="94"/>
  <c r="AW337" i="94"/>
  <c r="AW334" i="94"/>
  <c r="AW338" i="94"/>
  <c r="AW333" i="94"/>
  <c r="AW295" i="94"/>
  <c r="AW336" i="94"/>
  <c r="AW342" i="94"/>
  <c r="AW303" i="94"/>
  <c r="AW341" i="94"/>
  <c r="AW332" i="94"/>
  <c r="AW330" i="94"/>
  <c r="AW339" i="94"/>
  <c r="AW361" i="94"/>
  <c r="AW441" i="94"/>
  <c r="AW453" i="94"/>
  <c r="AW379" i="94"/>
  <c r="AW396" i="94" s="1"/>
  <c r="AW274" i="94"/>
  <c r="AW308" i="94"/>
  <c r="AW300" i="94"/>
  <c r="AW299" i="94"/>
  <c r="AW301" i="94"/>
  <c r="AW306" i="94"/>
  <c r="AW307" i="94"/>
  <c r="AW305" i="94"/>
  <c r="AW302" i="94"/>
  <c r="AW298" i="94"/>
  <c r="AW297" i="94"/>
  <c r="AW296" i="94"/>
  <c r="AV317" i="112" l="1"/>
  <c r="AV54" i="4"/>
  <c r="AV46" i="4"/>
  <c r="BD81" i="2"/>
  <c r="BE81" i="2"/>
  <c r="AZ81" i="2"/>
  <c r="BC81" i="2"/>
  <c r="BA81" i="2"/>
  <c r="BB81" i="2"/>
  <c r="AV57" i="4"/>
  <c r="AV61" i="4"/>
  <c r="AY81" i="2"/>
  <c r="AA188" i="11"/>
  <c r="AE188" i="11"/>
  <c r="AD188" i="11"/>
  <c r="AC188" i="11"/>
  <c r="AB188" i="11"/>
  <c r="CJ85" i="2"/>
  <c r="CF77" i="2"/>
  <c r="CF78" i="2" s="1"/>
  <c r="CF63" i="2" s="1"/>
  <c r="CF126" i="4" s="1"/>
  <c r="CC81" i="2"/>
  <c r="CC82" i="2" s="1"/>
  <c r="CC64" i="2" s="1"/>
  <c r="CC127" i="4" s="1"/>
  <c r="CH77" i="2"/>
  <c r="CH78" i="2" s="1"/>
  <c r="CH63" i="2" s="1"/>
  <c r="CH126" i="4" s="1"/>
  <c r="CD77" i="2"/>
  <c r="CD78" i="2" s="1"/>
  <c r="CD63" i="2" s="1"/>
  <c r="CD126" i="4" s="1"/>
  <c r="CA81" i="2"/>
  <c r="CA82" i="2" s="1"/>
  <c r="CA64" i="2" s="1"/>
  <c r="CA127" i="4" s="1"/>
  <c r="CF81" i="2"/>
  <c r="CF82" i="2" s="1"/>
  <c r="CF64" i="2" s="1"/>
  <c r="CF127" i="4" s="1"/>
  <c r="CE81" i="2"/>
  <c r="CE82" i="2" s="1"/>
  <c r="CE64" i="2" s="1"/>
  <c r="CE127" i="4" s="1"/>
  <c r="BU85" i="2"/>
  <c r="BW85" i="2"/>
  <c r="AX81" i="2"/>
  <c r="BY81" i="2"/>
  <c r="BY82" i="2" s="1"/>
  <c r="BY64" i="2" s="1"/>
  <c r="BY127" i="4" s="1"/>
  <c r="BV85" i="2"/>
  <c r="BV77" i="2"/>
  <c r="BV78" i="2" s="1"/>
  <c r="BV63" i="2" s="1"/>
  <c r="BV126" i="4" s="1"/>
  <c r="CC77" i="2"/>
  <c r="CC78" i="2" s="1"/>
  <c r="CC63" i="2" s="1"/>
  <c r="CC126" i="4" s="1"/>
  <c r="BZ85" i="2"/>
  <c r="BV81" i="2"/>
  <c r="BV82" i="2" s="1"/>
  <c r="BV64" i="2" s="1"/>
  <c r="BV127" i="4" s="1"/>
  <c r="BS85" i="2"/>
  <c r="CI85" i="2"/>
  <c r="CG81" i="2"/>
  <c r="CG82" i="2" s="1"/>
  <c r="CG64" i="2" s="1"/>
  <c r="CG127" i="4" s="1"/>
  <c r="CF85" i="2"/>
  <c r="BR85" i="2"/>
  <c r="BZ77" i="2"/>
  <c r="BZ78" i="2" s="1"/>
  <c r="BZ63" i="2" s="1"/>
  <c r="BZ126" i="4" s="1"/>
  <c r="BW81" i="2"/>
  <c r="BW82" i="2" s="1"/>
  <c r="BW64" i="2" s="1"/>
  <c r="BW127" i="4" s="1"/>
  <c r="CD85" i="2"/>
  <c r="BX77" i="2"/>
  <c r="BX78" i="2" s="1"/>
  <c r="BX63" i="2" s="1"/>
  <c r="BX126" i="4" s="1"/>
  <c r="BU81" i="2"/>
  <c r="BU82" i="2" s="1"/>
  <c r="BU64" i="2" s="1"/>
  <c r="BU127" i="4" s="1"/>
  <c r="BZ81" i="2"/>
  <c r="BZ82" i="2" s="1"/>
  <c r="BZ64" i="2" s="1"/>
  <c r="BZ127" i="4" s="1"/>
  <c r="BT85" i="2"/>
  <c r="CB81" i="2"/>
  <c r="CB82" i="2" s="1"/>
  <c r="CB64" i="2" s="1"/>
  <c r="CB127" i="4" s="1"/>
  <c r="CG77" i="2"/>
  <c r="CG78" i="2" s="1"/>
  <c r="CG63" i="2" s="1"/>
  <c r="CG126" i="4" s="1"/>
  <c r="CB85" i="2"/>
  <c r="CE85" i="2"/>
  <c r="CA77" i="2"/>
  <c r="CA78" i="2" s="1"/>
  <c r="CA63" i="2" s="1"/>
  <c r="CA126" i="4" s="1"/>
  <c r="CJ77" i="2"/>
  <c r="CJ78" i="2" s="1"/>
  <c r="CJ63" i="2" s="1"/>
  <c r="CJ126" i="4" s="1"/>
  <c r="BU77" i="2"/>
  <c r="BU78" i="2" s="1"/>
  <c r="BU63" i="2" s="1"/>
  <c r="BU126" i="4" s="1"/>
  <c r="CJ81" i="2"/>
  <c r="CJ82" i="2" s="1"/>
  <c r="CJ64" i="2" s="1"/>
  <c r="CJ127" i="4" s="1"/>
  <c r="BT77" i="2"/>
  <c r="BT78" i="2" s="1"/>
  <c r="BT63" i="2" s="1"/>
  <c r="BT126" i="4" s="1"/>
  <c r="CK77" i="2"/>
  <c r="CK78" i="2" s="1"/>
  <c r="CK63" i="2" s="1"/>
  <c r="CK126" i="4" s="1"/>
  <c r="CH81" i="2"/>
  <c r="CH82" i="2" s="1"/>
  <c r="CH64" i="2" s="1"/>
  <c r="CH127" i="4" s="1"/>
  <c r="BR77" i="2"/>
  <c r="BR78" i="2" s="1"/>
  <c r="BR63" i="2" s="1"/>
  <c r="BR126" i="4" s="1"/>
  <c r="CI77" i="2"/>
  <c r="CI78" i="2" s="1"/>
  <c r="CI63" i="2" s="1"/>
  <c r="CI126" i="4" s="1"/>
  <c r="BT81" i="2"/>
  <c r="BT82" i="2" s="1"/>
  <c r="BT64" i="2" s="1"/>
  <c r="BT127" i="4" s="1"/>
  <c r="BS81" i="2"/>
  <c r="BS82" i="2" s="1"/>
  <c r="BS64" i="2" s="1"/>
  <c r="BS127" i="4" s="1"/>
  <c r="CA85" i="2"/>
  <c r="CC85" i="2"/>
  <c r="CE77" i="2"/>
  <c r="CE78" i="2" s="1"/>
  <c r="CE63" i="2" s="1"/>
  <c r="CE126" i="4" s="1"/>
  <c r="CB77" i="2"/>
  <c r="CB78" i="2" s="1"/>
  <c r="CB63" i="2" s="1"/>
  <c r="CB126" i="4" s="1"/>
  <c r="CK85" i="2"/>
  <c r="BX81" i="2"/>
  <c r="BX82" i="2" s="1"/>
  <c r="BX64" i="2" s="1"/>
  <c r="BX127" i="4" s="1"/>
  <c r="BY85" i="2"/>
  <c r="BW77" i="2"/>
  <c r="BW78" i="2" s="1"/>
  <c r="BW63" i="2" s="1"/>
  <c r="BW126" i="4" s="1"/>
  <c r="CG85" i="2"/>
  <c r="BS77" i="2"/>
  <c r="BS78" i="2" s="1"/>
  <c r="BS63" i="2" s="1"/>
  <c r="BS126" i="4" s="1"/>
  <c r="CK81" i="2"/>
  <c r="CK82" i="2" s="1"/>
  <c r="CK64" i="2" s="1"/>
  <c r="CK127" i="4" s="1"/>
  <c r="CH85" i="2"/>
  <c r="CD81" i="2"/>
  <c r="CD82" i="2" s="1"/>
  <c r="CD64" i="2" s="1"/>
  <c r="CD127" i="4" s="1"/>
  <c r="BR81" i="2"/>
  <c r="BR82" i="2" s="1"/>
  <c r="BR64" i="2" s="1"/>
  <c r="BR127" i="4" s="1"/>
  <c r="BX85" i="2"/>
  <c r="BY77" i="2"/>
  <c r="BY78" i="2" s="1"/>
  <c r="BY63" i="2" s="1"/>
  <c r="BY126" i="4" s="1"/>
  <c r="CI81" i="2"/>
  <c r="CI82" i="2" s="1"/>
  <c r="CI64" i="2" s="1"/>
  <c r="CI127" i="4" s="1"/>
  <c r="AV81" i="2"/>
  <c r="AW81" i="2"/>
  <c r="AW344" i="94"/>
  <c r="AW309" i="94"/>
  <c r="AW458" i="94"/>
  <c r="AW446" i="94"/>
  <c r="AW449" i="94"/>
  <c r="AW448" i="94"/>
  <c r="AW447" i="94"/>
  <c r="AW445" i="94"/>
  <c r="Z79" i="27" l="1"/>
  <c r="Z80" i="27"/>
  <c r="X80" i="27"/>
  <c r="Y80" i="27"/>
  <c r="X79" i="27"/>
  <c r="Y79" i="27"/>
  <c r="V80" i="27"/>
  <c r="W80" i="27"/>
  <c r="S80" i="27"/>
  <c r="T80" i="27"/>
  <c r="BS88" i="2"/>
  <c r="BS90" i="2"/>
  <c r="BS66" i="2" s="1"/>
  <c r="U80" i="27"/>
  <c r="BR88" i="2"/>
  <c r="BR90" i="2"/>
  <c r="BR66" i="2" s="1"/>
  <c r="BZ90" i="2"/>
  <c r="BZ66" i="2" s="1"/>
  <c r="BZ88" i="2"/>
  <c r="BW90" i="2"/>
  <c r="BW66" i="2" s="1"/>
  <c r="BW88" i="2"/>
  <c r="W79" i="27"/>
  <c r="CG88" i="2"/>
  <c r="CG90" i="2"/>
  <c r="CG66" i="2" s="1"/>
  <c r="BY90" i="2"/>
  <c r="BY66" i="2" s="1"/>
  <c r="BY88" i="2"/>
  <c r="CA88" i="2"/>
  <c r="CA90" i="2"/>
  <c r="CA66" i="2" s="1"/>
  <c r="CE88" i="2"/>
  <c r="CE90" i="2"/>
  <c r="CE66" i="2" s="1"/>
  <c r="CF90" i="2"/>
  <c r="CF66" i="2" s="1"/>
  <c r="CF88" i="2"/>
  <c r="BU88" i="2"/>
  <c r="BU90" i="2"/>
  <c r="BU66" i="2" s="1"/>
  <c r="S79" i="27"/>
  <c r="U79" i="27"/>
  <c r="CH90" i="2"/>
  <c r="CH66" i="2" s="1"/>
  <c r="CH88" i="2"/>
  <c r="CB90" i="2"/>
  <c r="CB66" i="2" s="1"/>
  <c r="CB88" i="2"/>
  <c r="T79" i="27"/>
  <c r="BX90" i="2"/>
  <c r="BX66" i="2" s="1"/>
  <c r="BX88" i="2"/>
  <c r="BT88" i="2"/>
  <c r="BT90" i="2"/>
  <c r="BT66" i="2" s="1"/>
  <c r="V79" i="27"/>
  <c r="CC90" i="2"/>
  <c r="CC66" i="2" s="1"/>
  <c r="CC88" i="2"/>
  <c r="CK90" i="2"/>
  <c r="CK66" i="2" s="1"/>
  <c r="CK88" i="2"/>
  <c r="CD90" i="2"/>
  <c r="CD66" i="2" s="1"/>
  <c r="CD88" i="2"/>
  <c r="CI90" i="2"/>
  <c r="CI66" i="2" s="1"/>
  <c r="CI88" i="2"/>
  <c r="BV90" i="2"/>
  <c r="BV66" i="2" s="1"/>
  <c r="BV88" i="2"/>
  <c r="CJ90" i="2"/>
  <c r="CJ66" i="2" s="1"/>
  <c r="CJ88" i="2"/>
  <c r="AW450" i="94"/>
  <c r="Z168" i="111" l="1"/>
  <c r="Y168" i="111"/>
  <c r="X168" i="111"/>
  <c r="W168" i="111"/>
  <c r="V168" i="111"/>
  <c r="Z167" i="111"/>
  <c r="Y167" i="111"/>
  <c r="X167" i="111"/>
  <c r="W167" i="111"/>
  <c r="V167" i="111"/>
  <c r="Z166" i="111"/>
  <c r="Y166" i="111"/>
  <c r="X166" i="111"/>
  <c r="W166" i="111"/>
  <c r="V166" i="111"/>
  <c r="AV84" i="58" l="1"/>
  <c r="AW84" i="58" s="1"/>
  <c r="AX84" i="58" s="1"/>
  <c r="AU70" i="8"/>
  <c r="AU65" i="8"/>
  <c r="AU60" i="8"/>
  <c r="AU55" i="8"/>
  <c r="AU50" i="8"/>
  <c r="AU45" i="8"/>
  <c r="AU39" i="8"/>
  <c r="AU34" i="8"/>
  <c r="AU29" i="8"/>
  <c r="AU163" i="2"/>
  <c r="AU23" i="8"/>
  <c r="AU21" i="8"/>
  <c r="AU16" i="8"/>
  <c r="AU13" i="8"/>
  <c r="AU12" i="8"/>
  <c r="AU11" i="8"/>
  <c r="AU8" i="8"/>
  <c r="AT48" i="4"/>
  <c r="AT52" i="4"/>
  <c r="AU104" i="4"/>
  <c r="AU98" i="4"/>
  <c r="AU97" i="4"/>
  <c r="AU96" i="4"/>
  <c r="AU95" i="4"/>
  <c r="AU77" i="4"/>
  <c r="AU76" i="4"/>
  <c r="AU75" i="4"/>
  <c r="AU74" i="4"/>
  <c r="AU73" i="4"/>
  <c r="AU71" i="4"/>
  <c r="AU70" i="4"/>
  <c r="AU69" i="4"/>
  <c r="AU68" i="4"/>
  <c r="AU66" i="4"/>
  <c r="AU64" i="4"/>
  <c r="AU189" i="112" s="1"/>
  <c r="AU189" i="8" s="1"/>
  <c r="AU47" i="4"/>
  <c r="AU45" i="4"/>
  <c r="AU43" i="4"/>
  <c r="AU42" i="4"/>
  <c r="AU41" i="4"/>
  <c r="AU40" i="4"/>
  <c r="AU39" i="4"/>
  <c r="AU38" i="4"/>
  <c r="AU32" i="4"/>
  <c r="AU27" i="4"/>
  <c r="AU26" i="4"/>
  <c r="AU25" i="4"/>
  <c r="AU17" i="4"/>
  <c r="AU14" i="4"/>
  <c r="AU5" i="4"/>
  <c r="AU4" i="4"/>
  <c r="AU3" i="4" s="1"/>
  <c r="AU308" i="112"/>
  <c r="AU299" i="112"/>
  <c r="AU16" i="4" s="1"/>
  <c r="AU287" i="112"/>
  <c r="AU286" i="112"/>
  <c r="AU283" i="112"/>
  <c r="AU282" i="112"/>
  <c r="AU232" i="112"/>
  <c r="AU228" i="112"/>
  <c r="AU196" i="112"/>
  <c r="AU192" i="8" s="1"/>
  <c r="AU158" i="112"/>
  <c r="AU157" i="112"/>
  <c r="AU156" i="112"/>
  <c r="AU155" i="112"/>
  <c r="AU154" i="112"/>
  <c r="AU150" i="112"/>
  <c r="AU146" i="112"/>
  <c r="AU141" i="112"/>
  <c r="AU112" i="112"/>
  <c r="AU105" i="112"/>
  <c r="AU85" i="112"/>
  <c r="AU81" i="112"/>
  <c r="AU76" i="112"/>
  <c r="AU55" i="112"/>
  <c r="AY56" i="112" s="1"/>
  <c r="AU47" i="112"/>
  <c r="AU38" i="112"/>
  <c r="AU143" i="8" s="1"/>
  <c r="AU18" i="112"/>
  <c r="AU14" i="112"/>
  <c r="AV16" i="112" s="1"/>
  <c r="AU9" i="112"/>
  <c r="AU156" i="2"/>
  <c r="AU152" i="2"/>
  <c r="AU150" i="2"/>
  <c r="AU144" i="2"/>
  <c r="AU143" i="2"/>
  <c r="AU131" i="2"/>
  <c r="AU127" i="2"/>
  <c r="AU100" i="2"/>
  <c r="AU95" i="2"/>
  <c r="AU80" i="2"/>
  <c r="AU60" i="2"/>
  <c r="AU30" i="2"/>
  <c r="AU4" i="2"/>
  <c r="AU3" i="2" s="1"/>
  <c r="BC32" i="60"/>
  <c r="BE32" i="60" s="1"/>
  <c r="BC39" i="60"/>
  <c r="BD39" i="60" s="1"/>
  <c r="BE39" i="60" s="1"/>
  <c r="BC41" i="60"/>
  <c r="BC35" i="60"/>
  <c r="BC34" i="60"/>
  <c r="AU130" i="4" s="1"/>
  <c r="BC33" i="60"/>
  <c r="AU127" i="4" s="1"/>
  <c r="BC28" i="60"/>
  <c r="AU128" i="4" s="1"/>
  <c r="BC22" i="60"/>
  <c r="AU120" i="4" s="1"/>
  <c r="BC21" i="60"/>
  <c r="AU119" i="4" s="1"/>
  <c r="BC17" i="60"/>
  <c r="AU115" i="4" s="1"/>
  <c r="BC16" i="60"/>
  <c r="AU114" i="4" s="1"/>
  <c r="BC15" i="60"/>
  <c r="AU113" i="4" s="1"/>
  <c r="BC14" i="60"/>
  <c r="AU112" i="4" s="1"/>
  <c r="BC13" i="60"/>
  <c r="AU111" i="4" s="1"/>
  <c r="BC11" i="60"/>
  <c r="BD11" i="60" s="1"/>
  <c r="BE11" i="60" s="1"/>
  <c r="BC10" i="60"/>
  <c r="BC9" i="60"/>
  <c r="BC8" i="60"/>
  <c r="AU107" i="4" s="1"/>
  <c r="BC5" i="60"/>
  <c r="AU66" i="59"/>
  <c r="AU50" i="59"/>
  <c r="AV476" i="94"/>
  <c r="AV463" i="94"/>
  <c r="AV462" i="94"/>
  <c r="AV422" i="94"/>
  <c r="AV421" i="94"/>
  <c r="AV420" i="94"/>
  <c r="AV419" i="94"/>
  <c r="AV418" i="94"/>
  <c r="AV404" i="94"/>
  <c r="AV239" i="94"/>
  <c r="AV238" i="94"/>
  <c r="AV237" i="94"/>
  <c r="AV236" i="94"/>
  <c r="AV235" i="94"/>
  <c r="AV234" i="94"/>
  <c r="AV233" i="94"/>
  <c r="AV232" i="94"/>
  <c r="AV231" i="94"/>
  <c r="AV230" i="94"/>
  <c r="AV228" i="94"/>
  <c r="AV113" i="94"/>
  <c r="AV112" i="94"/>
  <c r="AV110" i="94"/>
  <c r="AV106" i="94"/>
  <c r="AV105" i="94"/>
  <c r="AV104" i="94"/>
  <c r="AV103" i="94"/>
  <c r="AV120" i="94" s="1"/>
  <c r="AV93" i="94"/>
  <c r="AV229" i="94" s="1"/>
  <c r="AV91" i="94"/>
  <c r="AV227" i="94" s="1"/>
  <c r="AV90" i="94"/>
  <c r="AV87" i="94"/>
  <c r="AV84" i="94"/>
  <c r="AV80" i="94"/>
  <c r="AV79" i="94"/>
  <c r="AV78" i="94"/>
  <c r="AV77" i="94"/>
  <c r="AV39" i="94"/>
  <c r="AV38" i="94"/>
  <c r="AV27" i="94"/>
  <c r="AV14" i="94"/>
  <c r="AV15" i="94"/>
  <c r="AV31" i="58"/>
  <c r="AU33" i="4" s="1"/>
  <c r="AV137" i="4" l="1"/>
  <c r="AU123" i="4"/>
  <c r="BD9" i="60"/>
  <c r="AV108" i="4" s="1"/>
  <c r="AU108" i="4"/>
  <c r="BD35" i="60"/>
  <c r="AV131" i="4" s="1"/>
  <c r="AU131" i="4"/>
  <c r="AU132" i="4" s="1"/>
  <c r="AU138" i="4"/>
  <c r="BD10" i="60"/>
  <c r="AU10" i="4"/>
  <c r="AU24" i="2"/>
  <c r="AU231" i="8"/>
  <c r="AU7" i="8"/>
  <c r="AU116" i="2"/>
  <c r="AU169" i="8"/>
  <c r="AY144" i="8"/>
  <c r="AY190" i="8"/>
  <c r="AU130" i="8"/>
  <c r="AV143" i="112"/>
  <c r="AU119" i="8"/>
  <c r="AV78" i="112"/>
  <c r="AU108" i="8"/>
  <c r="AV11" i="112"/>
  <c r="AU15" i="4"/>
  <c r="AU148" i="2"/>
  <c r="AU151" i="2" s="1"/>
  <c r="AU172" i="8"/>
  <c r="AV469" i="94"/>
  <c r="AV77" i="112"/>
  <c r="AY39" i="112"/>
  <c r="AV142" i="112"/>
  <c r="AV118" i="94"/>
  <c r="AV10" i="112"/>
  <c r="AV124" i="94"/>
  <c r="AY190" i="112"/>
  <c r="BD15" i="60"/>
  <c r="AV113" i="4" s="1"/>
  <c r="AV119" i="94"/>
  <c r="BD16" i="60"/>
  <c r="AV114" i="4" s="1"/>
  <c r="BD34" i="60"/>
  <c r="AV130" i="4" s="1"/>
  <c r="AU37" i="4"/>
  <c r="BD17" i="60"/>
  <c r="AV115" i="4" s="1"/>
  <c r="AY6" i="4"/>
  <c r="BD21" i="60"/>
  <c r="AV119" i="4" s="1"/>
  <c r="BD41" i="60"/>
  <c r="BD33" i="60"/>
  <c r="AV127" i="4" s="1"/>
  <c r="AU141" i="2"/>
  <c r="AU159" i="2" s="1"/>
  <c r="AU160" i="2" s="1"/>
  <c r="AV66" i="59"/>
  <c r="AV141" i="2" s="1"/>
  <c r="BD13" i="60"/>
  <c r="AV111" i="4" s="1"/>
  <c r="BD22" i="60"/>
  <c r="AV120" i="4" s="1"/>
  <c r="AU97" i="2"/>
  <c r="AV92" i="2"/>
  <c r="AV93" i="2" s="1"/>
  <c r="AV94" i="2" s="1"/>
  <c r="AU9" i="4"/>
  <c r="AY106" i="112"/>
  <c r="AU78" i="4"/>
  <c r="BD8" i="60"/>
  <c r="AV107" i="4" s="1"/>
  <c r="AV117" i="94"/>
  <c r="BD5" i="60"/>
  <c r="BD14" i="60"/>
  <c r="AV112" i="4" s="1"/>
  <c r="BD28" i="60"/>
  <c r="AV128" i="4" s="1"/>
  <c r="AV148" i="112"/>
  <c r="AV147" i="112"/>
  <c r="AV132" i="8" s="1"/>
  <c r="AV15" i="112"/>
  <c r="AV110" i="8" s="1"/>
  <c r="AV83" i="112"/>
  <c r="AV82" i="112"/>
  <c r="AV121" i="8" s="1"/>
  <c r="AV152" i="112"/>
  <c r="AV151" i="112"/>
  <c r="AV137" i="8" s="1"/>
  <c r="AV19" i="112"/>
  <c r="AV115" i="8" s="1"/>
  <c r="AV20" i="112"/>
  <c r="AV86" i="112"/>
  <c r="AV126" i="8" s="1"/>
  <c r="AV87" i="112"/>
  <c r="AV229" i="112"/>
  <c r="AV230" i="112"/>
  <c r="AV234" i="112"/>
  <c r="AV233" i="112"/>
  <c r="AV126" i="94"/>
  <c r="AU57" i="2"/>
  <c r="AU72" i="4"/>
  <c r="AU17" i="8"/>
  <c r="AV423" i="94"/>
  <c r="AU162" i="112"/>
  <c r="AU125" i="2"/>
  <c r="AU141" i="8"/>
  <c r="AU208" i="8"/>
  <c r="AU253" i="8" s="1"/>
  <c r="AU269" i="8" s="1"/>
  <c r="AU321" i="8"/>
  <c r="AU142" i="2"/>
  <c r="AV139" i="2" s="1"/>
  <c r="AV123" i="94"/>
  <c r="AV125" i="94"/>
  <c r="AU64" i="8"/>
  <c r="AU58" i="8"/>
  <c r="AV121" i="94"/>
  <c r="AU163" i="112"/>
  <c r="AU99" i="4"/>
  <c r="AU59" i="8"/>
  <c r="AU7" i="4"/>
  <c r="AV122" i="94"/>
  <c r="AU98" i="2"/>
  <c r="AU78" i="8"/>
  <c r="AU225" i="112"/>
  <c r="AU60" i="4"/>
  <c r="AU68" i="8"/>
  <c r="AU69" i="8"/>
  <c r="AU63" i="8"/>
  <c r="AU53" i="8"/>
  <c r="AU54" i="8"/>
  <c r="AU48" i="8"/>
  <c r="AU49" i="8"/>
  <c r="AU43" i="8"/>
  <c r="AU44" i="8"/>
  <c r="AU37" i="8"/>
  <c r="AU38" i="8"/>
  <c r="AU32" i="8"/>
  <c r="AU33" i="8"/>
  <c r="AU27" i="8"/>
  <c r="AU28" i="8"/>
  <c r="AU22" i="8"/>
  <c r="AU18" i="8"/>
  <c r="AU178" i="112"/>
  <c r="AU8" i="4"/>
  <c r="AU164" i="112"/>
  <c r="AU165" i="112"/>
  <c r="AU161" i="112"/>
  <c r="AV44" i="94"/>
  <c r="AV45" i="94"/>
  <c r="AV46" i="94"/>
  <c r="AV47" i="94"/>
  <c r="AV48" i="94"/>
  <c r="AV49" i="94"/>
  <c r="AV50" i="94"/>
  <c r="AV43" i="94"/>
  <c r="AU43" i="59"/>
  <c r="AU45" i="59" s="1"/>
  <c r="AU32" i="59"/>
  <c r="AU10" i="59"/>
  <c r="AU13" i="59"/>
  <c r="AU18" i="59" s="1"/>
  <c r="AV13" i="58"/>
  <c r="AV8" i="58"/>
  <c r="BC36" i="60"/>
  <c r="AY34" i="60"/>
  <c r="BC25" i="60"/>
  <c r="BC6" i="60"/>
  <c r="BC12" i="60" s="1"/>
  <c r="AV320" i="94"/>
  <c r="AV322" i="94"/>
  <c r="AV249" i="94"/>
  <c r="AV250" i="94"/>
  <c r="AV251" i="94"/>
  <c r="AV252" i="94"/>
  <c r="AV218" i="94" s="1"/>
  <c r="AV253" i="94"/>
  <c r="AV219" i="94" s="1"/>
  <c r="AV254" i="94"/>
  <c r="AV255" i="94"/>
  <c r="AV221" i="94" s="1"/>
  <c r="AV256" i="94"/>
  <c r="AV248" i="94"/>
  <c r="AV214" i="94" s="1"/>
  <c r="AV247" i="94"/>
  <c r="AV246" i="94"/>
  <c r="AV245" i="94"/>
  <c r="AV244" i="94"/>
  <c r="AV406" i="94"/>
  <c r="AU37" i="59"/>
  <c r="AU31" i="4" l="1"/>
  <c r="AU30" i="4"/>
  <c r="AU66" i="112" s="1"/>
  <c r="AY70" i="112" s="1"/>
  <c r="AU29" i="4"/>
  <c r="AU11" i="4"/>
  <c r="AU20" i="4" s="1"/>
  <c r="BE9" i="60"/>
  <c r="AW108" i="4" s="1"/>
  <c r="AV159" i="2"/>
  <c r="AV160" i="2" s="1"/>
  <c r="BE35" i="60"/>
  <c r="AW131" i="4" s="1"/>
  <c r="AV132" i="4"/>
  <c r="AV123" i="4"/>
  <c r="AZ34" i="60"/>
  <c r="AR130" i="4" s="1"/>
  <c r="AQ130" i="4"/>
  <c r="AV138" i="4"/>
  <c r="BE10" i="60"/>
  <c r="AV109" i="4"/>
  <c r="AV116" i="4" s="1"/>
  <c r="AY170" i="8"/>
  <c r="AZ144" i="112"/>
  <c r="AZ79" i="112"/>
  <c r="AZ12" i="112"/>
  <c r="AU100" i="4"/>
  <c r="AV411" i="94"/>
  <c r="AV410" i="94"/>
  <c r="AV413" i="94"/>
  <c r="AV414" i="94"/>
  <c r="AV412" i="94"/>
  <c r="AV119" i="112"/>
  <c r="AZ120" i="112" s="1"/>
  <c r="AV226" i="112"/>
  <c r="AU79" i="4"/>
  <c r="BE13" i="60"/>
  <c r="AW111" i="4" s="1"/>
  <c r="BE41" i="60"/>
  <c r="AV157" i="2"/>
  <c r="BE28" i="60"/>
  <c r="AW128" i="4" s="1"/>
  <c r="BD36" i="60"/>
  <c r="BE34" i="60"/>
  <c r="AW130" i="4" s="1"/>
  <c r="BE5" i="60"/>
  <c r="BE8" i="60"/>
  <c r="AW107" i="4" s="1"/>
  <c r="BD6" i="60"/>
  <c r="BD25" i="60"/>
  <c r="BE21" i="60"/>
  <c r="AW119" i="4" s="1"/>
  <c r="BE17" i="60"/>
  <c r="AW115" i="4" s="1"/>
  <c r="BC18" i="60"/>
  <c r="BE14" i="60"/>
  <c r="AW112" i="4" s="1"/>
  <c r="BE16" i="60"/>
  <c r="AW114" i="4" s="1"/>
  <c r="BE15" i="60"/>
  <c r="AW113" i="4" s="1"/>
  <c r="AU19" i="59"/>
  <c r="BE22" i="60"/>
  <c r="AW120" i="4" s="1"/>
  <c r="BE33" i="60"/>
  <c r="AW127" i="4" s="1"/>
  <c r="AV127" i="8"/>
  <c r="AV128" i="8"/>
  <c r="AV33" i="112"/>
  <c r="AV111" i="8"/>
  <c r="AV112" i="8"/>
  <c r="AV116" i="8"/>
  <c r="AV117" i="8"/>
  <c r="AV153" i="2"/>
  <c r="AV145" i="2"/>
  <c r="AV138" i="8"/>
  <c r="AV139" i="8"/>
  <c r="AV133" i="8"/>
  <c r="AV134" i="8"/>
  <c r="AV122" i="8"/>
  <c r="AV123" i="8"/>
  <c r="AV203" i="112"/>
  <c r="AZ204" i="112" s="1"/>
  <c r="AV127" i="94"/>
  <c r="AU165" i="2"/>
  <c r="AV217" i="94"/>
  <c r="AV220" i="94"/>
  <c r="AV51" i="94"/>
  <c r="AV222" i="94"/>
  <c r="AV215" i="94"/>
  <c r="AV216" i="94"/>
  <c r="AV212" i="94"/>
  <c r="AV240" i="94"/>
  <c r="AV213" i="94"/>
  <c r="AV257" i="94"/>
  <c r="AV210" i="94"/>
  <c r="AU46" i="59"/>
  <c r="AV211" i="94"/>
  <c r="AV83" i="58"/>
  <c r="AV82" i="58"/>
  <c r="AU45" i="112" s="1"/>
  <c r="AU147" i="8" s="1"/>
  <c r="AV35" i="58"/>
  <c r="AR31" i="58"/>
  <c r="AR35" i="58"/>
  <c r="AR43" i="58"/>
  <c r="AR60" i="58"/>
  <c r="AR63" i="58"/>
  <c r="AR64" i="58"/>
  <c r="AR65" i="58"/>
  <c r="AR82" i="58"/>
  <c r="AR83" i="58"/>
  <c r="AR84" i="58"/>
  <c r="AR93" i="58"/>
  <c r="AR104" i="58"/>
  <c r="AR115" i="58"/>
  <c r="AV6" i="58"/>
  <c r="AW138" i="4" l="1"/>
  <c r="U29" i="76" s="1"/>
  <c r="AU12" i="4"/>
  <c r="AU18" i="4"/>
  <c r="AY13" i="4"/>
  <c r="BA34" i="60"/>
  <c r="AS130" i="4" s="1"/>
  <c r="AV12" i="58"/>
  <c r="AW132" i="4"/>
  <c r="AW123" i="4"/>
  <c r="AW109" i="4"/>
  <c r="AW116" i="4" s="1"/>
  <c r="AV134" i="4"/>
  <c r="AV139" i="4" s="1"/>
  <c r="AV140" i="4" s="1"/>
  <c r="BC38" i="60"/>
  <c r="AV108" i="112"/>
  <c r="AZ109" i="112" s="1"/>
  <c r="BE6" i="60"/>
  <c r="BE12" i="60" s="1"/>
  <c r="BE18" i="60" s="1"/>
  <c r="BE25" i="60"/>
  <c r="BE36" i="60"/>
  <c r="BD12" i="60"/>
  <c r="BD18" i="60" s="1"/>
  <c r="AV192" i="112"/>
  <c r="AZ193" i="112" s="1"/>
  <c r="AZ197" i="112" s="1"/>
  <c r="AV174" i="112"/>
  <c r="AV263" i="112"/>
  <c r="AZ264" i="112" s="1"/>
  <c r="AR66" i="58"/>
  <c r="AR67" i="58" s="1"/>
  <c r="AU51" i="4"/>
  <c r="AU21" i="4"/>
  <c r="AV223" i="94"/>
  <c r="AV265" i="94"/>
  <c r="AV269" i="94"/>
  <c r="AV262" i="94"/>
  <c r="AV273" i="94"/>
  <c r="AV266" i="94"/>
  <c r="AV271" i="94"/>
  <c r="AV267" i="94"/>
  <c r="AV264" i="94"/>
  <c r="AV268" i="94"/>
  <c r="AV272" i="94"/>
  <c r="AV263" i="94"/>
  <c r="AV270" i="94"/>
  <c r="AV261" i="94"/>
  <c r="AU34" i="4" l="1"/>
  <c r="AU36" i="4" s="1"/>
  <c r="AU19" i="4"/>
  <c r="AU49" i="4"/>
  <c r="AV19" i="58"/>
  <c r="AV22" i="58" s="1"/>
  <c r="AW134" i="4"/>
  <c r="AW139" i="4" s="1"/>
  <c r="AW140" i="4" s="1"/>
  <c r="BD38" i="60"/>
  <c r="BE38" i="60"/>
  <c r="AW42" i="2"/>
  <c r="AW31" i="2" s="1"/>
  <c r="AV170" i="112"/>
  <c r="AU53" i="4"/>
  <c r="AU105" i="4"/>
  <c r="AU55" i="4"/>
  <c r="AU62" i="4"/>
  <c r="AV274" i="94"/>
  <c r="AU62" i="2" l="1"/>
  <c r="AU44" i="4"/>
  <c r="AY35" i="4"/>
  <c r="AU317" i="112"/>
  <c r="AV38" i="58"/>
  <c r="AV40" i="58" s="1"/>
  <c r="AU109" i="4"/>
  <c r="AU116" i="4" s="1"/>
  <c r="AY56" i="4"/>
  <c r="AU54" i="4"/>
  <c r="AU61" i="4"/>
  <c r="AU57" i="4"/>
  <c r="AU46" i="4" l="1"/>
  <c r="AU134" i="4"/>
  <c r="AT77" i="58" l="1"/>
  <c r="C68" i="46" l="1"/>
  <c r="C69" i="46"/>
  <c r="B76" i="46"/>
  <c r="C76" i="46"/>
  <c r="AT70" i="8" l="1"/>
  <c r="AT64" i="8"/>
  <c r="AT60" i="8"/>
  <c r="AT55" i="8"/>
  <c r="AT50" i="8"/>
  <c r="AT45" i="8"/>
  <c r="AT39" i="8"/>
  <c r="AT32" i="8"/>
  <c r="AT29" i="8"/>
  <c r="AT23" i="8"/>
  <c r="AT125" i="2"/>
  <c r="AT13" i="8"/>
  <c r="AT8" i="8"/>
  <c r="AS48" i="4"/>
  <c r="AS52" i="4"/>
  <c r="AT98" i="4"/>
  <c r="AT97" i="4"/>
  <c r="AT95" i="4"/>
  <c r="AT76" i="4"/>
  <c r="AT75" i="4"/>
  <c r="AT74" i="4"/>
  <c r="AT73" i="4"/>
  <c r="AT68" i="4"/>
  <c r="AT104" i="4"/>
  <c r="AT156" i="2"/>
  <c r="AT152" i="2"/>
  <c r="AT150" i="2"/>
  <c r="AT144" i="2"/>
  <c r="AT143" i="2"/>
  <c r="AT141" i="2"/>
  <c r="AT131" i="2"/>
  <c r="AT127" i="2"/>
  <c r="AT100" i="2"/>
  <c r="AT95" i="2"/>
  <c r="AT80" i="2"/>
  <c r="AT60" i="2"/>
  <c r="AT30" i="2"/>
  <c r="AT4" i="2"/>
  <c r="AT3" i="2" s="1"/>
  <c r="AT308" i="112"/>
  <c r="AT299" i="112"/>
  <c r="AT16" i="4" s="1"/>
  <c r="AT287" i="112"/>
  <c r="AT283" i="112"/>
  <c r="AT24" i="2" s="1"/>
  <c r="AT232" i="112"/>
  <c r="AT228" i="112"/>
  <c r="AT196" i="112"/>
  <c r="AT192" i="8" s="1"/>
  <c r="AT158" i="112"/>
  <c r="AT157" i="112"/>
  <c r="AT156" i="112"/>
  <c r="AT155" i="112"/>
  <c r="AT154" i="112"/>
  <c r="AT150" i="112"/>
  <c r="AT146" i="112"/>
  <c r="AT141" i="112"/>
  <c r="AT112" i="112"/>
  <c r="AT105" i="112"/>
  <c r="AT85" i="112"/>
  <c r="AT81" i="112"/>
  <c r="AT76" i="112"/>
  <c r="AT55" i="112"/>
  <c r="AX56" i="112" s="1"/>
  <c r="AT38" i="112"/>
  <c r="AT18" i="112"/>
  <c r="AT14" i="112"/>
  <c r="AT9" i="112"/>
  <c r="AT286" i="112"/>
  <c r="AT282" i="112"/>
  <c r="AU3" i="112"/>
  <c r="AT3" i="112"/>
  <c r="AT96" i="4"/>
  <c r="AT15" i="2"/>
  <c r="AT77" i="4"/>
  <c r="AT70" i="4"/>
  <c r="AT69" i="4"/>
  <c r="AT66" i="4"/>
  <c r="AT64" i="4"/>
  <c r="AT189" i="112" s="1"/>
  <c r="AT189" i="8" s="1"/>
  <c r="AT47" i="4"/>
  <c r="AT45" i="4"/>
  <c r="AT43" i="4"/>
  <c r="AT42" i="4"/>
  <c r="AT41" i="4"/>
  <c r="AT40" i="4"/>
  <c r="AT39" i="4"/>
  <c r="AT38" i="4"/>
  <c r="AT32" i="4"/>
  <c r="AT27" i="4"/>
  <c r="AT26" i="4"/>
  <c r="AT25" i="4"/>
  <c r="AT17" i="4"/>
  <c r="AT14" i="4"/>
  <c r="AT5" i="4"/>
  <c r="AT4" i="4"/>
  <c r="AT3" i="4" s="1"/>
  <c r="AV323" i="94"/>
  <c r="AV321" i="94"/>
  <c r="AV319" i="94"/>
  <c r="AV165" i="94"/>
  <c r="AV288" i="94" s="1"/>
  <c r="AV164" i="94"/>
  <c r="AV287" i="94" s="1"/>
  <c r="AV160" i="94"/>
  <c r="AV161" i="94"/>
  <c r="AV284" i="94" s="1"/>
  <c r="AV318" i="94"/>
  <c r="AV325" i="94"/>
  <c r="AV283" i="94"/>
  <c r="AV290" i="94"/>
  <c r="AV281" i="94"/>
  <c r="AV280" i="94"/>
  <c r="AT6" i="2" l="1"/>
  <c r="AT8" i="2"/>
  <c r="AT130" i="2"/>
  <c r="AT132" i="2" s="1"/>
  <c r="AU137" i="4"/>
  <c r="AU139" i="4" s="1"/>
  <c r="AU140" i="4" s="1"/>
  <c r="AT311" i="112"/>
  <c r="AT159" i="2"/>
  <c r="AT160" i="2" s="1"/>
  <c r="AT231" i="8"/>
  <c r="AT7" i="8"/>
  <c r="AT116" i="2"/>
  <c r="AX190" i="8"/>
  <c r="AT169" i="8"/>
  <c r="AT143" i="8"/>
  <c r="AT130" i="8"/>
  <c r="AU143" i="112"/>
  <c r="AT119" i="8"/>
  <c r="AU78" i="112"/>
  <c r="AT108" i="8"/>
  <c r="AU11" i="112"/>
  <c r="AT15" i="4"/>
  <c r="AT57" i="2"/>
  <c r="AT148" i="2"/>
  <c r="AT151" i="2" s="1"/>
  <c r="AT172" i="8"/>
  <c r="AT142" i="2"/>
  <c r="AU77" i="112"/>
  <c r="AT58" i="112"/>
  <c r="AT207" i="112"/>
  <c r="AU10" i="112"/>
  <c r="AT123" i="112"/>
  <c r="AU142" i="112"/>
  <c r="AX190" i="112"/>
  <c r="AT9" i="4"/>
  <c r="AX106" i="112"/>
  <c r="AT7" i="4"/>
  <c r="AX39" i="112"/>
  <c r="AX6" i="4"/>
  <c r="AV282" i="94"/>
  <c r="AV159" i="94"/>
  <c r="AV279" i="94" s="1"/>
  <c r="AV162" i="94"/>
  <c r="AV285" i="94" s="1"/>
  <c r="AV355" i="94" s="1"/>
  <c r="AV439" i="94"/>
  <c r="AV158" i="94"/>
  <c r="AV278" i="94" s="1"/>
  <c r="AV163" i="94"/>
  <c r="AV286" i="94" s="1"/>
  <c r="AV313" i="94"/>
  <c r="AT134" i="2"/>
  <c r="AU152" i="112"/>
  <c r="AU151" i="112"/>
  <c r="AU137" i="8" s="1"/>
  <c r="AU234" i="112"/>
  <c r="AU233" i="112"/>
  <c r="AV354" i="94"/>
  <c r="AU87" i="112"/>
  <c r="AU86" i="112"/>
  <c r="AU126" i="8" s="1"/>
  <c r="AU229" i="112"/>
  <c r="AU230" i="112"/>
  <c r="AV372" i="94"/>
  <c r="AV373" i="94"/>
  <c r="AV314" i="94"/>
  <c r="AV358" i="94"/>
  <c r="AU16" i="112"/>
  <c r="AU15" i="112"/>
  <c r="AU110" i="8" s="1"/>
  <c r="AT98" i="2"/>
  <c r="AU92" i="2"/>
  <c r="AU93" i="2" s="1"/>
  <c r="AU94" i="2" s="1"/>
  <c r="AU147" i="112"/>
  <c r="AU132" i="8" s="1"/>
  <c r="AU148" i="112"/>
  <c r="AV440" i="94"/>
  <c r="AV360" i="94"/>
  <c r="AV369" i="94"/>
  <c r="AV350" i="94"/>
  <c r="AV353" i="94"/>
  <c r="AV357" i="94"/>
  <c r="AV376" i="94"/>
  <c r="AV370" i="94"/>
  <c r="AV351" i="94"/>
  <c r="AV157" i="94"/>
  <c r="AV377" i="94"/>
  <c r="AU20" i="112"/>
  <c r="AU19" i="112"/>
  <c r="AU115" i="8" s="1"/>
  <c r="AU83" i="112"/>
  <c r="AU92" i="112" s="1"/>
  <c r="AU82" i="112"/>
  <c r="AU121" i="8" s="1"/>
  <c r="AT161" i="112"/>
  <c r="AT60" i="4"/>
  <c r="AT245" i="112"/>
  <c r="AT21" i="2" s="1"/>
  <c r="AT20" i="2"/>
  <c r="AT78" i="8"/>
  <c r="AT16" i="2"/>
  <c r="AT264" i="8" s="1"/>
  <c r="AT265" i="8" s="1"/>
  <c r="AT9" i="2"/>
  <c r="AT259" i="8" s="1"/>
  <c r="AT141" i="8"/>
  <c r="AT208" i="8"/>
  <c r="AT253" i="8" s="1"/>
  <c r="AT269" i="8" s="1"/>
  <c r="AT321" i="8"/>
  <c r="AT37" i="4"/>
  <c r="AT162" i="112"/>
  <c r="AT22" i="8"/>
  <c r="AT65" i="8"/>
  <c r="AT11" i="8"/>
  <c r="AT37" i="8"/>
  <c r="AT12" i="8"/>
  <c r="AT47" i="112"/>
  <c r="AT186" i="112"/>
  <c r="AT164" i="2"/>
  <c r="AT126" i="2"/>
  <c r="AT27" i="8"/>
  <c r="AT21" i="8"/>
  <c r="AT63" i="8"/>
  <c r="AT185" i="112"/>
  <c r="AT58" i="8"/>
  <c r="AT68" i="8"/>
  <c r="AT59" i="8"/>
  <c r="AT69" i="8"/>
  <c r="AT48" i="8"/>
  <c r="AT49" i="8"/>
  <c r="AT43" i="8"/>
  <c r="AT53" i="8"/>
  <c r="AT184" i="112"/>
  <c r="AT44" i="8"/>
  <c r="AT54" i="8"/>
  <c r="AT33" i="8"/>
  <c r="AT34" i="8"/>
  <c r="AT28" i="8"/>
  <c r="AT38" i="8"/>
  <c r="AT163" i="2"/>
  <c r="AT16" i="8"/>
  <c r="AT17" i="8"/>
  <c r="AT18" i="8"/>
  <c r="AT97" i="2"/>
  <c r="AT163" i="112"/>
  <c r="AT164" i="112"/>
  <c r="AT165" i="112"/>
  <c r="AT26" i="2" l="1"/>
  <c r="AT29" i="4"/>
  <c r="AT31" i="4"/>
  <c r="AU157" i="2"/>
  <c r="AU139" i="2"/>
  <c r="AV368" i="94"/>
  <c r="AV371" i="94"/>
  <c r="AX144" i="8"/>
  <c r="AX170" i="8"/>
  <c r="AT60" i="112"/>
  <c r="AT233" i="8" s="1"/>
  <c r="AT236" i="8" s="1"/>
  <c r="AT232" i="8"/>
  <c r="AT209" i="112"/>
  <c r="AT245" i="8" s="1"/>
  <c r="AT248" i="8" s="1"/>
  <c r="AT244" i="8"/>
  <c r="AU75" i="94"/>
  <c r="AT238" i="8"/>
  <c r="AY144" i="112"/>
  <c r="AY79" i="112"/>
  <c r="AY12" i="112"/>
  <c r="AV352" i="94"/>
  <c r="AT125" i="112"/>
  <c r="AT239" i="8" s="1"/>
  <c r="AT242" i="8" s="1"/>
  <c r="AT288" i="112"/>
  <c r="AU134" i="2"/>
  <c r="AU167" i="8"/>
  <c r="AY93" i="112"/>
  <c r="AU119" i="112"/>
  <c r="AY120" i="112" s="1"/>
  <c r="AV393" i="94"/>
  <c r="AT309" i="112"/>
  <c r="AT284" i="112"/>
  <c r="AV374" i="94"/>
  <c r="AV391" i="94" s="1"/>
  <c r="AV389" i="94"/>
  <c r="AV390" i="94"/>
  <c r="AV386" i="94"/>
  <c r="AV387" i="94"/>
  <c r="AU112" i="8"/>
  <c r="AU111" i="8"/>
  <c r="AT17" i="2"/>
  <c r="AU123" i="8"/>
  <c r="AU122" i="8"/>
  <c r="AU134" i="8"/>
  <c r="AU133" i="8"/>
  <c r="AU153" i="2"/>
  <c r="AU145" i="2"/>
  <c r="AU203" i="112"/>
  <c r="AY204" i="112" s="1"/>
  <c r="AV348" i="94"/>
  <c r="AV437" i="94"/>
  <c r="AV349" i="94"/>
  <c r="AU139" i="8"/>
  <c r="AU138" i="8"/>
  <c r="AT296" i="112"/>
  <c r="AT297" i="112" s="1"/>
  <c r="AT28" i="2"/>
  <c r="AT10" i="2"/>
  <c r="AV277" i="94"/>
  <c r="AV312" i="94"/>
  <c r="AV356" i="94"/>
  <c r="AV375" i="94"/>
  <c r="AU117" i="8"/>
  <c r="AU116" i="8"/>
  <c r="AV457" i="94"/>
  <c r="AV394" i="94"/>
  <c r="AU128" i="8"/>
  <c r="AU127" i="8"/>
  <c r="AV367" i="94"/>
  <c r="AV456" i="94"/>
  <c r="AT300" i="112"/>
  <c r="AT224" i="8" s="1"/>
  <c r="AT7" i="2"/>
  <c r="AT267" i="112"/>
  <c r="AT165" i="2"/>
  <c r="AT162" i="2" s="1"/>
  <c r="AT183" i="112"/>
  <c r="AT262" i="8"/>
  <c r="AT261" i="8"/>
  <c r="AT260" i="8"/>
  <c r="AT267" i="8"/>
  <c r="AT266" i="8"/>
  <c r="AT165" i="94"/>
  <c r="AS165" i="94"/>
  <c r="AR165" i="94"/>
  <c r="AQ165" i="94"/>
  <c r="AT164" i="94"/>
  <c r="AS164" i="94"/>
  <c r="AR164" i="94"/>
  <c r="AQ164" i="94"/>
  <c r="AT163" i="94"/>
  <c r="AS163" i="94"/>
  <c r="AR163" i="94"/>
  <c r="AQ163" i="94"/>
  <c r="AT162" i="94"/>
  <c r="AS162" i="94"/>
  <c r="AR162" i="94"/>
  <c r="AQ162" i="94"/>
  <c r="AT161" i="94"/>
  <c r="AS161" i="94"/>
  <c r="AR161" i="94"/>
  <c r="AQ161" i="94"/>
  <c r="AT160" i="94"/>
  <c r="AS160" i="94"/>
  <c r="AR160" i="94"/>
  <c r="AQ160" i="94"/>
  <c r="AT159" i="94"/>
  <c r="AS159" i="94"/>
  <c r="AR159" i="94"/>
  <c r="AQ159" i="94"/>
  <c r="AT158" i="94"/>
  <c r="AS158" i="94"/>
  <c r="AR158" i="94"/>
  <c r="AQ158" i="94"/>
  <c r="AT157" i="94"/>
  <c r="AS157" i="94"/>
  <c r="AR157" i="94"/>
  <c r="AQ157" i="94"/>
  <c r="AU165" i="94"/>
  <c r="AU160" i="94"/>
  <c r="AU161" i="94"/>
  <c r="AV385" i="94" l="1"/>
  <c r="AV388" i="94"/>
  <c r="AT235" i="8"/>
  <c r="AT247" i="8"/>
  <c r="AT246" i="8"/>
  <c r="AT234" i="8"/>
  <c r="AT240" i="8"/>
  <c r="AT241" i="8"/>
  <c r="AT254" i="8"/>
  <c r="AT256" i="8" s="1"/>
  <c r="AU98" i="112"/>
  <c r="AY99" i="112" s="1"/>
  <c r="AY184" i="8" s="1"/>
  <c r="AT251" i="8"/>
  <c r="AT285" i="112"/>
  <c r="AT209" i="8" s="1"/>
  <c r="AY173" i="8"/>
  <c r="AY174" i="8"/>
  <c r="AV134" i="2"/>
  <c r="AU108" i="112"/>
  <c r="AY109" i="112" s="1"/>
  <c r="AV384" i="94"/>
  <c r="AT302" i="112"/>
  <c r="AT303" i="112" s="1"/>
  <c r="AV392" i="94"/>
  <c r="AV436" i="94"/>
  <c r="AV347" i="94"/>
  <c r="AV454" i="94"/>
  <c r="AU174" i="112"/>
  <c r="AY175" i="112" s="1"/>
  <c r="AY204" i="8" s="1"/>
  <c r="AU192" i="112"/>
  <c r="AU263" i="112"/>
  <c r="AY264" i="112" s="1"/>
  <c r="AV366" i="94"/>
  <c r="AU162" i="94"/>
  <c r="AU157" i="94"/>
  <c r="AU163" i="94"/>
  <c r="AU164" i="94"/>
  <c r="AU159" i="94"/>
  <c r="AU158" i="94"/>
  <c r="AU89" i="58"/>
  <c r="AV89" i="58" s="1"/>
  <c r="AW89" i="58" s="1"/>
  <c r="AX89" i="58" s="1"/>
  <c r="AT255" i="8" l="1"/>
  <c r="AT212" i="8"/>
  <c r="AT211" i="8"/>
  <c r="AT210" i="8"/>
  <c r="AT257" i="8"/>
  <c r="AW134" i="2"/>
  <c r="AW52" i="112"/>
  <c r="BA53" i="112" s="1"/>
  <c r="AV52" i="112"/>
  <c r="AZ53" i="112" s="1"/>
  <c r="AY186" i="8"/>
  <c r="AY185" i="8"/>
  <c r="AY206" i="8"/>
  <c r="AY205" i="8"/>
  <c r="AU170" i="112"/>
  <c r="AY193" i="112"/>
  <c r="AY197" i="112" s="1"/>
  <c r="AV383" i="94"/>
  <c r="AV453" i="94"/>
  <c r="AT52" i="112"/>
  <c r="AT260" i="112" s="1"/>
  <c r="AX261" i="112" s="1"/>
  <c r="AU52" i="112"/>
  <c r="AY53" i="112" s="1"/>
  <c r="BB36" i="60"/>
  <c r="BB25" i="60"/>
  <c r="BB6" i="60"/>
  <c r="BB12" i="60" s="1"/>
  <c r="BB18" i="60" s="1"/>
  <c r="AU476" i="94"/>
  <c r="AU463" i="94"/>
  <c r="AU462" i="94"/>
  <c r="AU432" i="94"/>
  <c r="AU404" i="94"/>
  <c r="AU406" i="94" s="1"/>
  <c r="AU422" i="94"/>
  <c r="AU421" i="94"/>
  <c r="AU420" i="94"/>
  <c r="AU419" i="94"/>
  <c r="AU418" i="94"/>
  <c r="AU440" i="94"/>
  <c r="AU323" i="94"/>
  <c r="AU322" i="94"/>
  <c r="AU321" i="94"/>
  <c r="AU320" i="94"/>
  <c r="AU319" i="94"/>
  <c r="AU318" i="94"/>
  <c r="AU316" i="94"/>
  <c r="AU315" i="94"/>
  <c r="AU313" i="94"/>
  <c r="AU312" i="94"/>
  <c r="AU290" i="94"/>
  <c r="AU288" i="94"/>
  <c r="AU287" i="94"/>
  <c r="AU286" i="94"/>
  <c r="AU285" i="94"/>
  <c r="AU284" i="94"/>
  <c r="AU283" i="94"/>
  <c r="AU282" i="94"/>
  <c r="AU281" i="94"/>
  <c r="AU280" i="94"/>
  <c r="AU279" i="94"/>
  <c r="AU278" i="94"/>
  <c r="AU277" i="94"/>
  <c r="AU255" i="94"/>
  <c r="AU254" i="94"/>
  <c r="AU252" i="94"/>
  <c r="AU251" i="94"/>
  <c r="AU250" i="94"/>
  <c r="AU249" i="94"/>
  <c r="AU248" i="94"/>
  <c r="AU247" i="94"/>
  <c r="AU238" i="94"/>
  <c r="AU237" i="94"/>
  <c r="AU236" i="94"/>
  <c r="AU235" i="94"/>
  <c r="AU234" i="94"/>
  <c r="AU233" i="94"/>
  <c r="AU232" i="94"/>
  <c r="AU231" i="94"/>
  <c r="AU230" i="94"/>
  <c r="AU228" i="94"/>
  <c r="AU103" i="94"/>
  <c r="AU113" i="94"/>
  <c r="AU110" i="94"/>
  <c r="AU253" i="94" s="1"/>
  <c r="AU106" i="94"/>
  <c r="AU246" i="94" s="1"/>
  <c r="AU105" i="94"/>
  <c r="AU245" i="94" s="1"/>
  <c r="AU104" i="94"/>
  <c r="AU244" i="94" s="1"/>
  <c r="AU100" i="94"/>
  <c r="AU239" i="94" s="1"/>
  <c r="AU93" i="94"/>
  <c r="AU229" i="94" s="1"/>
  <c r="AU91" i="94"/>
  <c r="AU227" i="94" s="1"/>
  <c r="AU90" i="94"/>
  <c r="AU87" i="94"/>
  <c r="AU77" i="94"/>
  <c r="AU84" i="94"/>
  <c r="AU80" i="94"/>
  <c r="AU79" i="94"/>
  <c r="AU78" i="94"/>
  <c r="AU39" i="94"/>
  <c r="AU38" i="94"/>
  <c r="AU27" i="94"/>
  <c r="AU15" i="94"/>
  <c r="AU14" i="94"/>
  <c r="AU115" i="58"/>
  <c r="AU83" i="58"/>
  <c r="AU82" i="58"/>
  <c r="AT45" i="112" s="1"/>
  <c r="AT147" i="8" s="1"/>
  <c r="AU63" i="58"/>
  <c r="AU64" i="58"/>
  <c r="AU65" i="58"/>
  <c r="AU35" i="58"/>
  <c r="AU31" i="58"/>
  <c r="AT33" i="4" s="1"/>
  <c r="AU412" i="94" l="1"/>
  <c r="BA134" i="2"/>
  <c r="AV41" i="112"/>
  <c r="AV260" i="112"/>
  <c r="AZ261" i="112" s="1"/>
  <c r="AV29" i="112"/>
  <c r="AW260" i="112"/>
  <c r="BA261" i="112" s="1"/>
  <c r="AW41" i="112"/>
  <c r="BA42" i="112" s="1"/>
  <c r="AW29" i="112"/>
  <c r="BA30" i="112" s="1"/>
  <c r="BA164" i="8" s="1"/>
  <c r="AT41" i="112"/>
  <c r="AX53" i="112"/>
  <c r="AX134" i="2"/>
  <c r="AY195" i="112"/>
  <c r="AY198" i="112" s="1"/>
  <c r="AY171" i="112"/>
  <c r="BB512" i="111"/>
  <c r="AU219" i="94"/>
  <c r="AU375" i="94" s="1"/>
  <c r="AU260" i="112"/>
  <c r="AY261" i="112" s="1"/>
  <c r="AU215" i="94"/>
  <c r="AU371" i="94" s="1"/>
  <c r="AU216" i="94"/>
  <c r="AU372" i="94" s="1"/>
  <c r="AU240" i="94"/>
  <c r="AU211" i="94"/>
  <c r="AU367" i="94" s="1"/>
  <c r="AU469" i="94"/>
  <c r="AU217" i="94"/>
  <c r="AU373" i="94" s="1"/>
  <c r="AU220" i="94"/>
  <c r="AU376" i="94" s="1"/>
  <c r="AU210" i="94"/>
  <c r="AU366" i="94" s="1"/>
  <c r="AU212" i="94"/>
  <c r="AU368" i="94" s="1"/>
  <c r="AU50" i="94"/>
  <c r="AU221" i="94"/>
  <c r="AU377" i="94" s="1"/>
  <c r="AU256" i="94"/>
  <c r="AU222" i="94" s="1"/>
  <c r="AU218" i="94"/>
  <c r="AU374" i="94" s="1"/>
  <c r="AU44" i="94"/>
  <c r="AU213" i="94"/>
  <c r="AU369" i="94" s="1"/>
  <c r="BB38" i="60"/>
  <c r="AU214" i="94"/>
  <c r="AU370" i="94" s="1"/>
  <c r="AU48" i="94"/>
  <c r="AU124" i="94"/>
  <c r="AT247" i="112"/>
  <c r="AU43" i="94"/>
  <c r="AU47" i="94"/>
  <c r="AU119" i="94"/>
  <c r="AU123" i="94"/>
  <c r="AU49" i="94"/>
  <c r="AU121" i="94"/>
  <c r="AU120" i="94"/>
  <c r="AU45" i="94"/>
  <c r="AU117" i="94"/>
  <c r="AU125" i="94"/>
  <c r="AU46" i="94"/>
  <c r="AU118" i="94"/>
  <c r="AU122" i="94"/>
  <c r="AU126" i="94"/>
  <c r="AT225" i="112"/>
  <c r="AU356" i="94"/>
  <c r="AU352" i="94"/>
  <c r="AU348" i="94"/>
  <c r="AU439" i="94"/>
  <c r="AU360" i="94"/>
  <c r="AU436" i="94"/>
  <c r="AU349" i="94"/>
  <c r="AU357" i="94"/>
  <c r="AU353" i="94"/>
  <c r="AU437" i="94"/>
  <c r="BB509" i="111" s="1"/>
  <c r="AU457" i="94"/>
  <c r="BB520" i="111" s="1"/>
  <c r="AU411" i="94"/>
  <c r="AU413" i="94"/>
  <c r="AU410" i="94"/>
  <c r="AU423" i="94"/>
  <c r="AU350" i="94"/>
  <c r="AU354" i="94"/>
  <c r="AU358" i="94"/>
  <c r="AU347" i="94"/>
  <c r="AU351" i="94"/>
  <c r="AU355" i="94"/>
  <c r="AU66" i="58"/>
  <c r="AU67" i="58" s="1"/>
  <c r="AU13" i="58"/>
  <c r="AU8" i="58"/>
  <c r="AU6" i="58"/>
  <c r="AT50" i="59"/>
  <c r="AT43" i="59"/>
  <c r="AT45" i="59" s="1"/>
  <c r="AT37" i="59"/>
  <c r="AT32" i="59"/>
  <c r="BB134" i="2" l="1"/>
  <c r="BA165" i="8"/>
  <c r="BA166" i="8"/>
  <c r="AY134" i="2"/>
  <c r="AZ134" i="2"/>
  <c r="AU226" i="112"/>
  <c r="AW25" i="112"/>
  <c r="AW250" i="112"/>
  <c r="BA251" i="112" s="1"/>
  <c r="AX42" i="112"/>
  <c r="AV25" i="112"/>
  <c r="AZ44" i="112" s="1"/>
  <c r="AV250" i="112"/>
  <c r="AY194" i="8"/>
  <c r="AY193" i="8"/>
  <c r="AY200" i="112"/>
  <c r="AY201" i="112" s="1"/>
  <c r="AY198" i="8" s="1"/>
  <c r="AU257" i="94"/>
  <c r="AU387" i="94"/>
  <c r="AU388" i="94"/>
  <c r="AU389" i="94"/>
  <c r="AU383" i="94"/>
  <c r="AU393" i="94"/>
  <c r="AU384" i="94"/>
  <c r="AU391" i="94"/>
  <c r="AU390" i="94"/>
  <c r="AU386" i="94"/>
  <c r="AU385" i="94"/>
  <c r="AU414" i="94"/>
  <c r="AU223" i="94"/>
  <c r="AU456" i="94"/>
  <c r="BB519" i="111" s="1"/>
  <c r="BB511" i="111"/>
  <c r="AT238" i="112"/>
  <c r="AU51" i="94"/>
  <c r="AU127" i="94"/>
  <c r="AU453" i="94"/>
  <c r="BB516" i="111" s="1"/>
  <c r="BB508" i="111"/>
  <c r="AT46" i="59"/>
  <c r="AU394" i="94"/>
  <c r="AU392" i="94"/>
  <c r="AU454" i="94"/>
  <c r="BB517" i="111" s="1"/>
  <c r="AU12" i="58"/>
  <c r="AT13" i="59"/>
  <c r="AT18" i="59" s="1"/>
  <c r="AT9" i="59"/>
  <c r="AT71" i="4" s="1"/>
  <c r="AT11" i="2" l="1"/>
  <c r="AT12" i="2" s="1"/>
  <c r="AU19" i="58"/>
  <c r="AU22" i="58" s="1"/>
  <c r="BC134" i="2"/>
  <c r="BA27" i="112"/>
  <c r="BA26" i="112"/>
  <c r="BA44" i="112"/>
  <c r="BE46" i="112" s="1"/>
  <c r="AV266" i="112"/>
  <c r="AV265" i="112"/>
  <c r="AU264" i="94"/>
  <c r="AU269" i="94"/>
  <c r="AU268" i="94"/>
  <c r="AU262" i="94"/>
  <c r="AW265" i="112"/>
  <c r="AW266" i="112"/>
  <c r="AU261" i="94"/>
  <c r="AU265" i="94"/>
  <c r="AY199" i="8"/>
  <c r="AY200" i="8"/>
  <c r="AU270" i="94"/>
  <c r="AU267" i="94"/>
  <c r="AU272" i="94"/>
  <c r="AU273" i="94"/>
  <c r="AU263" i="94"/>
  <c r="AU271" i="94"/>
  <c r="AU266" i="94"/>
  <c r="AT10" i="59"/>
  <c r="AU38" i="58" l="1"/>
  <c r="AT19" i="59"/>
  <c r="BD134" i="2"/>
  <c r="BE134" i="2"/>
  <c r="BA148" i="8"/>
  <c r="BA149" i="8"/>
  <c r="BA49" i="112"/>
  <c r="BA50" i="112" s="1"/>
  <c r="BA153" i="8" s="1"/>
  <c r="AU274" i="94"/>
  <c r="AU40" i="58" l="1"/>
  <c r="AU41" i="58"/>
  <c r="BA154" i="8"/>
  <c r="BA155" i="8"/>
  <c r="W894" i="111" l="1"/>
  <c r="X894" i="111" s="1"/>
  <c r="Y894" i="111" s="1"/>
  <c r="X893" i="111"/>
  <c r="Y893" i="111"/>
  <c r="Z893" i="111"/>
  <c r="AA893" i="111"/>
  <c r="AB893" i="111"/>
  <c r="AV68" i="59"/>
  <c r="AW68" i="59" s="1"/>
  <c r="AX68" i="59" s="1"/>
  <c r="AY68" i="59" s="1"/>
  <c r="AZ68" i="59" s="1"/>
  <c r="BA68" i="59" s="1"/>
  <c r="AA892" i="111"/>
  <c r="AB892" i="111" s="1"/>
  <c r="BA4" i="111" l="1"/>
  <c r="AZ4" i="111"/>
  <c r="AY4" i="111"/>
  <c r="AX4" i="111"/>
  <c r="AW4" i="111"/>
  <c r="AV4" i="111"/>
  <c r="AU4" i="111"/>
  <c r="AT4" i="111"/>
  <c r="AS4" i="111"/>
  <c r="AR4" i="111"/>
  <c r="AQ4" i="111"/>
  <c r="AP4" i="111"/>
  <c r="AO4" i="111"/>
  <c r="AN4" i="111"/>
  <c r="AM4" i="111"/>
  <c r="AL4" i="111"/>
  <c r="AK4" i="111"/>
  <c r="AJ4" i="111"/>
  <c r="AI4" i="111"/>
  <c r="AH4" i="111"/>
  <c r="AG4" i="111"/>
  <c r="AF4" i="111"/>
  <c r="AE4" i="111"/>
  <c r="AD4" i="111"/>
  <c r="U168" i="111" l="1"/>
  <c r="T168" i="111"/>
  <c r="S168" i="111"/>
  <c r="R168" i="111"/>
  <c r="Q168" i="111"/>
  <c r="P168" i="111"/>
  <c r="O168" i="111"/>
  <c r="N168" i="111"/>
  <c r="M168" i="111"/>
  <c r="L168" i="111"/>
  <c r="K168" i="111"/>
  <c r="J168" i="111"/>
  <c r="I168" i="111"/>
  <c r="H168" i="111"/>
  <c r="G168" i="111"/>
  <c r="F168" i="111"/>
  <c r="E168" i="111"/>
  <c r="D168" i="111"/>
  <c r="C168" i="111"/>
  <c r="B168" i="111"/>
  <c r="U167" i="111"/>
  <c r="T167" i="111"/>
  <c r="S167" i="111"/>
  <c r="R167" i="111"/>
  <c r="Q167" i="111"/>
  <c r="P167" i="111"/>
  <c r="O167" i="111"/>
  <c r="N167" i="111"/>
  <c r="M167" i="111"/>
  <c r="L167" i="111"/>
  <c r="K167" i="111"/>
  <c r="J167" i="111"/>
  <c r="I167" i="111"/>
  <c r="H167" i="111"/>
  <c r="G167" i="111"/>
  <c r="F167" i="111"/>
  <c r="E167" i="111"/>
  <c r="D167" i="111"/>
  <c r="C167" i="111"/>
  <c r="B167" i="111"/>
  <c r="U166" i="111"/>
  <c r="T166" i="111"/>
  <c r="S166" i="111"/>
  <c r="R166" i="111"/>
  <c r="Q166" i="111"/>
  <c r="P166" i="111"/>
  <c r="O166" i="111"/>
  <c r="N166" i="111"/>
  <c r="M166" i="111"/>
  <c r="L166" i="111"/>
  <c r="K166" i="111"/>
  <c r="J166" i="111"/>
  <c r="I166" i="111"/>
  <c r="H166" i="111"/>
  <c r="G166" i="111"/>
  <c r="F166" i="111"/>
  <c r="E166" i="111"/>
  <c r="D166" i="111"/>
  <c r="C166" i="111"/>
  <c r="B166" i="111"/>
  <c r="T165" i="111"/>
  <c r="S165" i="111"/>
  <c r="BO323" i="8" l="1"/>
  <c r="Z163" i="111"/>
  <c r="Y163" i="111"/>
  <c r="X163" i="111"/>
  <c r="W163" i="111"/>
  <c r="V163" i="111"/>
  <c r="U163" i="111"/>
  <c r="T163" i="111"/>
  <c r="S163" i="111"/>
  <c r="R163" i="111"/>
  <c r="Q163" i="111"/>
  <c r="P163" i="111"/>
  <c r="O163" i="111"/>
  <c r="N163" i="111"/>
  <c r="M163" i="111"/>
  <c r="L163" i="111"/>
  <c r="K163" i="111"/>
  <c r="Z162" i="111"/>
  <c r="Y162" i="111"/>
  <c r="X162" i="111"/>
  <c r="W162" i="111"/>
  <c r="V162" i="111"/>
  <c r="U162" i="111"/>
  <c r="T162" i="111"/>
  <c r="S162" i="111"/>
  <c r="R162" i="111"/>
  <c r="Q162" i="111"/>
  <c r="P162" i="111"/>
  <c r="O162" i="111"/>
  <c r="N162" i="111"/>
  <c r="M162" i="111"/>
  <c r="L162" i="111"/>
  <c r="K162" i="111"/>
  <c r="Z161" i="111"/>
  <c r="Y161" i="111"/>
  <c r="X161" i="111"/>
  <c r="W161" i="111"/>
  <c r="V161" i="111"/>
  <c r="U161" i="111"/>
  <c r="T161" i="111"/>
  <c r="S161" i="111"/>
  <c r="R161" i="111"/>
  <c r="Q161" i="111"/>
  <c r="P161" i="111"/>
  <c r="O161" i="111"/>
  <c r="N161" i="111"/>
  <c r="M161" i="111"/>
  <c r="L161" i="111"/>
  <c r="K161" i="111"/>
  <c r="J163" i="111"/>
  <c r="I163" i="111"/>
  <c r="H163" i="111"/>
  <c r="G163" i="111"/>
  <c r="F163" i="111"/>
  <c r="E163" i="111"/>
  <c r="D163" i="111"/>
  <c r="C163" i="111"/>
  <c r="B163" i="111"/>
  <c r="J162" i="111"/>
  <c r="I162" i="111"/>
  <c r="H162" i="111"/>
  <c r="G162" i="111"/>
  <c r="F162" i="111"/>
  <c r="E162" i="111"/>
  <c r="D162" i="111"/>
  <c r="C162" i="111"/>
  <c r="B162" i="111"/>
  <c r="J161" i="111"/>
  <c r="I161" i="111"/>
  <c r="H161" i="111"/>
  <c r="G161" i="111"/>
  <c r="F161" i="111"/>
  <c r="E161" i="111"/>
  <c r="D161" i="111"/>
  <c r="C161" i="111"/>
  <c r="B161" i="111"/>
  <c r="T160" i="111"/>
  <c r="S160" i="111"/>
  <c r="A1" i="112" l="1"/>
  <c r="V3" i="112"/>
  <c r="W3" i="112"/>
  <c r="X3" i="112"/>
  <c r="Y3" i="112"/>
  <c r="Z3" i="112"/>
  <c r="AA3" i="112"/>
  <c r="AB3" i="112"/>
  <c r="AC3" i="112"/>
  <c r="AD3" i="112"/>
  <c r="AE3" i="112"/>
  <c r="AF3" i="112"/>
  <c r="AG3" i="112"/>
  <c r="AH3" i="112"/>
  <c r="AI3" i="112"/>
  <c r="AJ3" i="112"/>
  <c r="AK3" i="112"/>
  <c r="AL3" i="112"/>
  <c r="AM3" i="112"/>
  <c r="AN3" i="112"/>
  <c r="AO3" i="112"/>
  <c r="AP3" i="112"/>
  <c r="AQ3" i="112"/>
  <c r="AR3" i="112"/>
  <c r="AS3" i="112"/>
  <c r="AX3" i="112"/>
  <c r="AZ3" i="112"/>
  <c r="BD3" i="112"/>
  <c r="BE3" i="112"/>
  <c r="BJ3" i="112"/>
  <c r="BL3" i="112"/>
  <c r="BM3" i="112"/>
  <c r="BN3" i="112"/>
  <c r="BO3" i="112"/>
  <c r="BP3" i="112"/>
  <c r="BQ3" i="112"/>
  <c r="AH9" i="112"/>
  <c r="AI9" i="112"/>
  <c r="AJ9" i="112"/>
  <c r="AK9" i="112"/>
  <c r="AL9" i="112"/>
  <c r="AM9" i="112"/>
  <c r="AN9" i="112"/>
  <c r="AO9" i="112"/>
  <c r="AP9" i="112"/>
  <c r="AQ9" i="112"/>
  <c r="AR9" i="112"/>
  <c r="AS9" i="112"/>
  <c r="AT11" i="112" s="1"/>
  <c r="AK14" i="112"/>
  <c r="AL14" i="112"/>
  <c r="AM14" i="112"/>
  <c r="AN14" i="112"/>
  <c r="AO14" i="112"/>
  <c r="AP14" i="112"/>
  <c r="AQ14" i="112"/>
  <c r="AR14" i="112"/>
  <c r="AS14" i="112"/>
  <c r="AK18" i="112"/>
  <c r="AL18" i="112"/>
  <c r="AM18" i="112"/>
  <c r="AN18" i="112"/>
  <c r="AO18" i="112"/>
  <c r="AP18" i="112"/>
  <c r="AQ18" i="112"/>
  <c r="AR18" i="112"/>
  <c r="AS18" i="112"/>
  <c r="Z38" i="112"/>
  <c r="AA38" i="112"/>
  <c r="AB38" i="112"/>
  <c r="AC38" i="112"/>
  <c r="AD38" i="112"/>
  <c r="AE38" i="112"/>
  <c r="AF38" i="112"/>
  <c r="AG38" i="112"/>
  <c r="AH38" i="112"/>
  <c r="AI38" i="112"/>
  <c r="AJ38" i="112"/>
  <c r="AK38" i="112"/>
  <c r="AL38" i="112"/>
  <c r="AM38" i="112"/>
  <c r="AM143" i="8" s="1"/>
  <c r="AN38" i="112"/>
  <c r="AO38" i="112"/>
  <c r="AO143" i="8" s="1"/>
  <c r="AP38" i="112"/>
  <c r="AQ38" i="112"/>
  <c r="AQ143" i="8" s="1"/>
  <c r="AU144" i="8" s="1"/>
  <c r="AR38" i="112"/>
  <c r="AR143" i="8" s="1"/>
  <c r="AS38" i="112"/>
  <c r="AS143" i="8" s="1"/>
  <c r="B45" i="112"/>
  <c r="C45" i="112"/>
  <c r="D45" i="112"/>
  <c r="E45" i="112"/>
  <c r="F45" i="112"/>
  <c r="G45" i="112"/>
  <c r="H45" i="112"/>
  <c r="I45" i="112"/>
  <c r="J45" i="112"/>
  <c r="K45" i="112"/>
  <c r="L45" i="112"/>
  <c r="M45" i="112"/>
  <c r="N45" i="112"/>
  <c r="O45" i="112"/>
  <c r="P45" i="112"/>
  <c r="Q45" i="112"/>
  <c r="R45" i="112"/>
  <c r="S45" i="112"/>
  <c r="T45" i="112"/>
  <c r="U45" i="112"/>
  <c r="V45" i="112"/>
  <c r="W45" i="112"/>
  <c r="X45" i="112"/>
  <c r="Y45" i="112"/>
  <c r="Z45" i="112"/>
  <c r="AA45" i="112"/>
  <c r="AB45" i="112"/>
  <c r="AC45" i="112"/>
  <c r="AD45" i="112"/>
  <c r="AE45" i="112"/>
  <c r="AF45" i="112"/>
  <c r="AG45" i="112"/>
  <c r="B52" i="112"/>
  <c r="B260" i="112" s="1"/>
  <c r="C52" i="112"/>
  <c r="C260" i="112" s="1"/>
  <c r="D52" i="112"/>
  <c r="D260" i="112" s="1"/>
  <c r="F52" i="112"/>
  <c r="F260" i="112" s="1"/>
  <c r="G52" i="112"/>
  <c r="G260" i="112" s="1"/>
  <c r="H52" i="112"/>
  <c r="H260" i="112" s="1"/>
  <c r="I52" i="112"/>
  <c r="I260" i="112" s="1"/>
  <c r="J52" i="112"/>
  <c r="J260" i="112" s="1"/>
  <c r="K52" i="112"/>
  <c r="K260" i="112" s="1"/>
  <c r="L52" i="112"/>
  <c r="L260" i="112" s="1"/>
  <c r="M52" i="112"/>
  <c r="M260" i="112" s="1"/>
  <c r="N52" i="112"/>
  <c r="N260" i="112" s="1"/>
  <c r="O52" i="112"/>
  <c r="O260" i="112" s="1"/>
  <c r="P52" i="112"/>
  <c r="P260" i="112" s="1"/>
  <c r="Q52" i="112"/>
  <c r="Q260" i="112" s="1"/>
  <c r="R52" i="112"/>
  <c r="R260" i="112" s="1"/>
  <c r="S52" i="112"/>
  <c r="S260" i="112" s="1"/>
  <c r="T52" i="112"/>
  <c r="T260" i="112" s="1"/>
  <c r="U52" i="112"/>
  <c r="U260" i="112" s="1"/>
  <c r="V52" i="112"/>
  <c r="V260" i="112" s="1"/>
  <c r="W52" i="112"/>
  <c r="W260" i="112" s="1"/>
  <c r="X52" i="112"/>
  <c r="X260" i="112" s="1"/>
  <c r="Y52" i="112"/>
  <c r="Y260" i="112" s="1"/>
  <c r="Z52" i="112"/>
  <c r="Z260" i="112" s="1"/>
  <c r="AA52" i="112"/>
  <c r="AA260" i="112" s="1"/>
  <c r="AB52" i="112"/>
  <c r="AB260" i="112" s="1"/>
  <c r="AC52" i="112"/>
  <c r="AD52" i="112"/>
  <c r="AD260" i="112" s="1"/>
  <c r="AE52" i="112"/>
  <c r="AE260" i="112" s="1"/>
  <c r="AF52" i="112"/>
  <c r="AF260" i="112" s="1"/>
  <c r="AG52" i="112"/>
  <c r="AG260" i="112" s="1"/>
  <c r="AH52" i="112"/>
  <c r="AH260" i="112" s="1"/>
  <c r="AI52" i="112"/>
  <c r="AI260" i="112" s="1"/>
  <c r="AJ52" i="112"/>
  <c r="AJ260" i="112" s="1"/>
  <c r="AK52" i="112"/>
  <c r="AK260" i="112" s="1"/>
  <c r="B55" i="112"/>
  <c r="C55" i="112"/>
  <c r="D55" i="112"/>
  <c r="E55" i="112"/>
  <c r="F55" i="112"/>
  <c r="G55" i="112"/>
  <c r="H55" i="112"/>
  <c r="I55" i="112"/>
  <c r="J55" i="112"/>
  <c r="N55" i="112"/>
  <c r="R55" i="112"/>
  <c r="V55" i="112"/>
  <c r="Z55" i="112"/>
  <c r="AD55" i="112"/>
  <c r="AH55" i="112"/>
  <c r="AL55" i="112"/>
  <c r="AP55" i="112"/>
  <c r="AT56" i="112" s="1"/>
  <c r="B76" i="112"/>
  <c r="C76" i="112"/>
  <c r="D76" i="112"/>
  <c r="E76" i="112"/>
  <c r="F76" i="112"/>
  <c r="G76" i="112"/>
  <c r="H76" i="112"/>
  <c r="I76" i="112"/>
  <c r="J76" i="112"/>
  <c r="K76" i="112"/>
  <c r="L76" i="112"/>
  <c r="M76" i="112"/>
  <c r="N76" i="112"/>
  <c r="O76" i="112"/>
  <c r="P76" i="112"/>
  <c r="Q76" i="112"/>
  <c r="R76" i="112"/>
  <c r="S76" i="112"/>
  <c r="T76" i="112"/>
  <c r="U76" i="112"/>
  <c r="V76" i="112"/>
  <c r="W76" i="112"/>
  <c r="X76" i="112"/>
  <c r="Y76" i="112"/>
  <c r="Z76" i="112"/>
  <c r="AA76" i="112"/>
  <c r="AB76" i="112"/>
  <c r="AC76" i="112"/>
  <c r="AD76" i="112"/>
  <c r="AE76" i="112"/>
  <c r="AF76" i="112"/>
  <c r="AG76" i="112"/>
  <c r="AH76" i="112"/>
  <c r="AI76" i="112"/>
  <c r="AJ76" i="112"/>
  <c r="AK76" i="112"/>
  <c r="AL76" i="112"/>
  <c r="AM76" i="112"/>
  <c r="AN76" i="112"/>
  <c r="AO76" i="112"/>
  <c r="AP76" i="112"/>
  <c r="AQ76" i="112"/>
  <c r="AR76" i="112"/>
  <c r="AS76" i="112"/>
  <c r="AT78" i="112" s="1"/>
  <c r="B81" i="112"/>
  <c r="C81" i="112"/>
  <c r="D81" i="112"/>
  <c r="E81" i="112"/>
  <c r="F81" i="112"/>
  <c r="G81" i="112"/>
  <c r="H81" i="112"/>
  <c r="I81" i="112"/>
  <c r="J81" i="112"/>
  <c r="K81" i="112"/>
  <c r="L81" i="112"/>
  <c r="M81" i="112"/>
  <c r="N81" i="112"/>
  <c r="O81" i="112"/>
  <c r="P81" i="112"/>
  <c r="Q81" i="112"/>
  <c r="R81" i="112"/>
  <c r="S81" i="112"/>
  <c r="T81" i="112"/>
  <c r="U81" i="112"/>
  <c r="V81" i="112"/>
  <c r="W81" i="112"/>
  <c r="X81" i="112"/>
  <c r="Y81" i="112"/>
  <c r="Z81" i="112"/>
  <c r="AA81" i="112"/>
  <c r="AB81" i="112"/>
  <c r="AC81" i="112"/>
  <c r="AD81" i="112"/>
  <c r="AE81" i="112"/>
  <c r="AF81" i="112"/>
  <c r="AG81" i="112"/>
  <c r="AH81" i="112"/>
  <c r="AI81" i="112"/>
  <c r="AJ81" i="112"/>
  <c r="AK81" i="112"/>
  <c r="AL81" i="112"/>
  <c r="AM81" i="112"/>
  <c r="AN81" i="112"/>
  <c r="AO81" i="112"/>
  <c r="AP81" i="112"/>
  <c r="AQ81" i="112"/>
  <c r="AR81" i="112"/>
  <c r="AS81" i="112"/>
  <c r="B85" i="112"/>
  <c r="C85" i="112"/>
  <c r="D85" i="112"/>
  <c r="E85" i="112"/>
  <c r="F85" i="112"/>
  <c r="G85" i="112"/>
  <c r="H85" i="112"/>
  <c r="I85" i="112"/>
  <c r="J85" i="112"/>
  <c r="K85" i="112"/>
  <c r="L85" i="112"/>
  <c r="M85" i="112"/>
  <c r="N85" i="112"/>
  <c r="O85" i="112"/>
  <c r="P85" i="112"/>
  <c r="Q85" i="112"/>
  <c r="R85" i="112"/>
  <c r="S85" i="112"/>
  <c r="T85" i="112"/>
  <c r="U85" i="112"/>
  <c r="V85" i="112"/>
  <c r="W85" i="112"/>
  <c r="X85" i="112"/>
  <c r="Y85" i="112"/>
  <c r="Z85" i="112"/>
  <c r="AA85" i="112"/>
  <c r="AB85" i="112"/>
  <c r="AC85" i="112"/>
  <c r="AD85" i="112"/>
  <c r="AE85" i="112"/>
  <c r="AF85" i="112"/>
  <c r="AG85" i="112"/>
  <c r="AH85" i="112"/>
  <c r="AI85" i="112"/>
  <c r="AJ85" i="112"/>
  <c r="AK85" i="112"/>
  <c r="AL85" i="112"/>
  <c r="AM85" i="112"/>
  <c r="AN85" i="112"/>
  <c r="AO85" i="112"/>
  <c r="AP85" i="112"/>
  <c r="AQ85" i="112"/>
  <c r="AR85" i="112"/>
  <c r="AS85" i="112"/>
  <c r="B105" i="112"/>
  <c r="C105" i="112"/>
  <c r="D105" i="112"/>
  <c r="E105" i="112"/>
  <c r="F105" i="112"/>
  <c r="G105" i="112"/>
  <c r="H105" i="112"/>
  <c r="I105" i="112"/>
  <c r="J105" i="112"/>
  <c r="K105" i="112"/>
  <c r="L105" i="112"/>
  <c r="M105" i="112"/>
  <c r="N105" i="112"/>
  <c r="O105" i="112"/>
  <c r="P105" i="112"/>
  <c r="Q105" i="112"/>
  <c r="R105" i="112"/>
  <c r="S105" i="112"/>
  <c r="T105" i="112"/>
  <c r="U105" i="112"/>
  <c r="V105" i="112"/>
  <c r="W105" i="112"/>
  <c r="X105" i="112"/>
  <c r="Y105" i="112"/>
  <c r="Z105" i="112"/>
  <c r="AA105" i="112"/>
  <c r="AB105" i="112"/>
  <c r="AC105" i="112"/>
  <c r="AD105" i="112"/>
  <c r="AE105" i="112"/>
  <c r="AF105" i="112"/>
  <c r="AG105" i="112"/>
  <c r="AH105" i="112"/>
  <c r="AI105" i="112"/>
  <c r="AJ105" i="112"/>
  <c r="AK105" i="112"/>
  <c r="AL105" i="112"/>
  <c r="AL169" i="8" s="1"/>
  <c r="AM105" i="112"/>
  <c r="AN105" i="112"/>
  <c r="AO105" i="112"/>
  <c r="AO169" i="8" s="1"/>
  <c r="AP105" i="112"/>
  <c r="AQ105" i="112"/>
  <c r="AQ169" i="8" s="1"/>
  <c r="AR105" i="112"/>
  <c r="AS105" i="112"/>
  <c r="AS169" i="8" s="1"/>
  <c r="B112" i="112"/>
  <c r="C112" i="112"/>
  <c r="D112" i="112"/>
  <c r="E112" i="112"/>
  <c r="F112" i="112"/>
  <c r="G112" i="112"/>
  <c r="H112" i="112"/>
  <c r="I112" i="112"/>
  <c r="J112" i="112"/>
  <c r="K112" i="112"/>
  <c r="L112" i="112"/>
  <c r="M112" i="112"/>
  <c r="N112" i="112"/>
  <c r="O112" i="112"/>
  <c r="P112" i="112"/>
  <c r="Q112" i="112"/>
  <c r="R112" i="112"/>
  <c r="S112" i="112"/>
  <c r="T112" i="112"/>
  <c r="U112" i="112"/>
  <c r="V112" i="112"/>
  <c r="W112" i="112"/>
  <c r="X112" i="112"/>
  <c r="Y112" i="112"/>
  <c r="Z112" i="112"/>
  <c r="AA112" i="112"/>
  <c r="AB112" i="112"/>
  <c r="AC112" i="112"/>
  <c r="AD112" i="112"/>
  <c r="AE112" i="112"/>
  <c r="AF112" i="112"/>
  <c r="AG112" i="112"/>
  <c r="AH112" i="112"/>
  <c r="AI112" i="112"/>
  <c r="AJ112" i="112"/>
  <c r="AK112" i="112"/>
  <c r="AL112" i="112"/>
  <c r="AM112" i="112"/>
  <c r="AN112" i="112"/>
  <c r="AO112" i="112"/>
  <c r="AP112" i="112"/>
  <c r="AQ112" i="112"/>
  <c r="AR112" i="112"/>
  <c r="AS112" i="112"/>
  <c r="AM141" i="112"/>
  <c r="AN141" i="112"/>
  <c r="AO141" i="112"/>
  <c r="AP141" i="112"/>
  <c r="AQ141" i="112"/>
  <c r="AR141" i="112"/>
  <c r="AS141" i="112"/>
  <c r="F146" i="112"/>
  <c r="G146" i="112"/>
  <c r="H146" i="112"/>
  <c r="I146" i="112"/>
  <c r="J146" i="112"/>
  <c r="K146" i="112"/>
  <c r="L146" i="112"/>
  <c r="M146" i="112"/>
  <c r="N146" i="112"/>
  <c r="O146" i="112"/>
  <c r="P146" i="112"/>
  <c r="Q146" i="112"/>
  <c r="R146" i="112"/>
  <c r="S146" i="112"/>
  <c r="T146" i="112"/>
  <c r="U146" i="112"/>
  <c r="V146" i="112"/>
  <c r="W146" i="112"/>
  <c r="X146" i="112"/>
  <c r="Y146" i="112"/>
  <c r="Z146" i="112"/>
  <c r="AA146" i="112"/>
  <c r="AB146" i="112"/>
  <c r="AC146" i="112"/>
  <c r="AD146" i="112"/>
  <c r="AE146" i="112"/>
  <c r="AF146" i="112"/>
  <c r="AG146" i="112"/>
  <c r="AH146" i="112"/>
  <c r="AI146" i="112"/>
  <c r="AJ146" i="112"/>
  <c r="AK146" i="112"/>
  <c r="AL146" i="112"/>
  <c r="AM146" i="112"/>
  <c r="AN146" i="112"/>
  <c r="AP146" i="112"/>
  <c r="AQ146" i="112"/>
  <c r="AR146" i="112"/>
  <c r="AS146" i="112"/>
  <c r="T150" i="112"/>
  <c r="U150" i="112"/>
  <c r="V150" i="112"/>
  <c r="W150" i="112"/>
  <c r="X150" i="112"/>
  <c r="Y150" i="112"/>
  <c r="Z150" i="112"/>
  <c r="AA150" i="112"/>
  <c r="AB150" i="112"/>
  <c r="AC150" i="112"/>
  <c r="AD150" i="112"/>
  <c r="AE150" i="112"/>
  <c r="AF150" i="112"/>
  <c r="AG150" i="112"/>
  <c r="AH150" i="112"/>
  <c r="AI150" i="112"/>
  <c r="AJ150" i="112"/>
  <c r="AK150" i="112"/>
  <c r="AL150" i="112"/>
  <c r="AM150" i="112"/>
  <c r="AN150" i="112"/>
  <c r="AO150" i="112"/>
  <c r="AP150" i="112"/>
  <c r="AQ150" i="112"/>
  <c r="AR150" i="112"/>
  <c r="AS150" i="112"/>
  <c r="R154" i="112"/>
  <c r="S154" i="112"/>
  <c r="T154" i="112"/>
  <c r="U154" i="112"/>
  <c r="V154" i="112"/>
  <c r="W154" i="112"/>
  <c r="X154" i="112"/>
  <c r="Y154" i="112"/>
  <c r="Z154" i="112"/>
  <c r="AA154" i="112"/>
  <c r="AB154" i="112"/>
  <c r="AC154" i="112"/>
  <c r="AD154" i="112"/>
  <c r="AE154" i="112"/>
  <c r="AF154" i="112"/>
  <c r="AG154" i="112"/>
  <c r="AH154" i="112"/>
  <c r="AI154" i="112"/>
  <c r="AJ154" i="112"/>
  <c r="AK154" i="112"/>
  <c r="AL154" i="112"/>
  <c r="AM154" i="112"/>
  <c r="AN154" i="112"/>
  <c r="AO154" i="112"/>
  <c r="AP154" i="112"/>
  <c r="AQ154" i="112"/>
  <c r="AR154" i="112"/>
  <c r="AS154" i="112"/>
  <c r="R155" i="112"/>
  <c r="S155" i="112"/>
  <c r="T155" i="112"/>
  <c r="U155" i="112"/>
  <c r="V155" i="112"/>
  <c r="W155" i="112"/>
  <c r="X155" i="112"/>
  <c r="Y155" i="112"/>
  <c r="Z155" i="112"/>
  <c r="AA155" i="112"/>
  <c r="AB155" i="112"/>
  <c r="AC155" i="112"/>
  <c r="AD155" i="112"/>
  <c r="AE155" i="112"/>
  <c r="AF155" i="112"/>
  <c r="AG155" i="112"/>
  <c r="AH155" i="112"/>
  <c r="AI155" i="112"/>
  <c r="AJ155" i="112"/>
  <c r="AK155" i="112"/>
  <c r="AL155" i="112"/>
  <c r="AM155" i="112"/>
  <c r="AN155" i="112"/>
  <c r="AO155" i="112"/>
  <c r="AP155" i="112"/>
  <c r="AQ155" i="112"/>
  <c r="AR155" i="112"/>
  <c r="AS155" i="112"/>
  <c r="R156" i="112"/>
  <c r="S156" i="112"/>
  <c r="T156" i="112"/>
  <c r="U156" i="112"/>
  <c r="V156" i="112"/>
  <c r="W156" i="112"/>
  <c r="X156" i="112"/>
  <c r="Y156" i="112"/>
  <c r="Z156" i="112"/>
  <c r="AA156" i="112"/>
  <c r="AB156" i="112"/>
  <c r="AC156" i="112"/>
  <c r="AD156" i="112"/>
  <c r="AE156" i="112"/>
  <c r="AF156" i="112"/>
  <c r="AG156" i="112"/>
  <c r="AH156" i="112"/>
  <c r="AI156" i="112"/>
  <c r="AJ156" i="112"/>
  <c r="AK156" i="112"/>
  <c r="AL156" i="112"/>
  <c r="AM156" i="112"/>
  <c r="AN156" i="112"/>
  <c r="AO156" i="112"/>
  <c r="AP156" i="112"/>
  <c r="AQ156" i="112"/>
  <c r="AR156" i="112"/>
  <c r="AS156" i="112"/>
  <c r="B157" i="112"/>
  <c r="C157" i="112"/>
  <c r="D157" i="112"/>
  <c r="E157" i="112"/>
  <c r="F157" i="112"/>
  <c r="G157" i="112"/>
  <c r="H157" i="112"/>
  <c r="I157" i="112"/>
  <c r="J157" i="112"/>
  <c r="K157" i="112"/>
  <c r="L157" i="112"/>
  <c r="M157" i="112"/>
  <c r="N157" i="112"/>
  <c r="O157" i="112"/>
  <c r="P157" i="112"/>
  <c r="Q157" i="112"/>
  <c r="R157" i="112"/>
  <c r="S157" i="112"/>
  <c r="T157" i="112"/>
  <c r="U157" i="112"/>
  <c r="V157" i="112"/>
  <c r="W157" i="112"/>
  <c r="X157" i="112"/>
  <c r="Y157" i="112"/>
  <c r="Z157" i="112"/>
  <c r="AA157" i="112"/>
  <c r="AB157" i="112"/>
  <c r="AC157" i="112"/>
  <c r="AD157" i="112"/>
  <c r="AE157" i="112"/>
  <c r="AF157" i="112"/>
  <c r="AG157" i="112"/>
  <c r="AH157" i="112"/>
  <c r="AI157" i="112"/>
  <c r="AJ157" i="112"/>
  <c r="AK157" i="112"/>
  <c r="AL157" i="112"/>
  <c r="AM157" i="112"/>
  <c r="AN157" i="112"/>
  <c r="AO157" i="112"/>
  <c r="AP157" i="112"/>
  <c r="AQ157" i="112"/>
  <c r="AR157" i="112"/>
  <c r="AS157" i="112"/>
  <c r="B158" i="112"/>
  <c r="C158" i="112"/>
  <c r="D158" i="112"/>
  <c r="E158" i="112"/>
  <c r="F158" i="112"/>
  <c r="G158" i="112"/>
  <c r="H158" i="112"/>
  <c r="I158" i="112"/>
  <c r="J158" i="112"/>
  <c r="K158" i="112"/>
  <c r="L158" i="112"/>
  <c r="M158" i="112"/>
  <c r="N158" i="112"/>
  <c r="O158" i="112"/>
  <c r="P158" i="112"/>
  <c r="Q158" i="112"/>
  <c r="R158" i="112"/>
  <c r="S158" i="112"/>
  <c r="T158" i="112"/>
  <c r="U158" i="112"/>
  <c r="V158" i="112"/>
  <c r="W158" i="112"/>
  <c r="X158" i="112"/>
  <c r="Y158" i="112"/>
  <c r="Z158" i="112"/>
  <c r="AA158" i="112"/>
  <c r="AB158" i="112"/>
  <c r="AC158" i="112"/>
  <c r="AD158" i="112"/>
  <c r="AE158" i="112"/>
  <c r="AF158" i="112"/>
  <c r="AG158" i="112"/>
  <c r="AH158" i="112"/>
  <c r="AI158" i="112"/>
  <c r="AJ158" i="112"/>
  <c r="AK158" i="112"/>
  <c r="AL158" i="112"/>
  <c r="AM158" i="112"/>
  <c r="AN158" i="112"/>
  <c r="AO158" i="112"/>
  <c r="AP158" i="112"/>
  <c r="AQ158" i="112"/>
  <c r="AR158" i="112"/>
  <c r="AS158" i="112"/>
  <c r="B196" i="112"/>
  <c r="C196" i="112"/>
  <c r="D196" i="112"/>
  <c r="E196" i="112"/>
  <c r="F196" i="112"/>
  <c r="G196" i="112"/>
  <c r="H196" i="112"/>
  <c r="I196" i="112"/>
  <c r="J196" i="112"/>
  <c r="K196" i="112"/>
  <c r="L196" i="112"/>
  <c r="M196" i="112"/>
  <c r="N196" i="112"/>
  <c r="O196" i="112"/>
  <c r="P196" i="112"/>
  <c r="Q196" i="112"/>
  <c r="R196" i="112"/>
  <c r="S196" i="112"/>
  <c r="T196" i="112"/>
  <c r="U196" i="112"/>
  <c r="V196" i="112"/>
  <c r="W196" i="112"/>
  <c r="X196" i="112"/>
  <c r="Y196" i="112"/>
  <c r="Z196" i="112"/>
  <c r="AA196" i="112"/>
  <c r="AB196" i="112"/>
  <c r="AC196" i="112"/>
  <c r="AD196" i="112"/>
  <c r="AE196" i="112"/>
  <c r="AF196" i="112"/>
  <c r="AG196" i="112"/>
  <c r="AH196" i="112"/>
  <c r="AI196" i="112"/>
  <c r="AJ196" i="112"/>
  <c r="AK196" i="112"/>
  <c r="AL196" i="112"/>
  <c r="AM196" i="112"/>
  <c r="AN196" i="112"/>
  <c r="AO196" i="112"/>
  <c r="AP196" i="112"/>
  <c r="AQ196" i="112"/>
  <c r="AR196" i="112"/>
  <c r="AS196" i="112"/>
  <c r="B228" i="112"/>
  <c r="C228" i="112"/>
  <c r="D228" i="112"/>
  <c r="E228" i="112"/>
  <c r="F228" i="112"/>
  <c r="G228" i="112"/>
  <c r="H228" i="112"/>
  <c r="I228" i="112"/>
  <c r="J228" i="112"/>
  <c r="K228" i="112"/>
  <c r="M228" i="112"/>
  <c r="N228" i="112"/>
  <c r="O228" i="112"/>
  <c r="P228" i="112"/>
  <c r="Q228" i="112"/>
  <c r="R228" i="112"/>
  <c r="S228" i="112"/>
  <c r="T228" i="112"/>
  <c r="U228" i="112"/>
  <c r="V228" i="112"/>
  <c r="W228" i="112"/>
  <c r="X228" i="112"/>
  <c r="Y228" i="112"/>
  <c r="Z228" i="112"/>
  <c r="AA228" i="112"/>
  <c r="AB228" i="112"/>
  <c r="AC228" i="112"/>
  <c r="AD228" i="112"/>
  <c r="AE228" i="112"/>
  <c r="AF228" i="112"/>
  <c r="AG228" i="112"/>
  <c r="AH228" i="112"/>
  <c r="AI228" i="112"/>
  <c r="AJ228" i="112"/>
  <c r="AK228" i="112"/>
  <c r="AL228" i="112"/>
  <c r="AM228" i="112"/>
  <c r="AN228" i="112"/>
  <c r="AO228" i="112"/>
  <c r="AP228" i="112"/>
  <c r="AQ228" i="112"/>
  <c r="AR228" i="112"/>
  <c r="AS228" i="112"/>
  <c r="R232" i="112"/>
  <c r="S232" i="112"/>
  <c r="T232" i="112"/>
  <c r="U232" i="112"/>
  <c r="U170" i="8" s="1"/>
  <c r="V232" i="112"/>
  <c r="V170" i="8" s="1"/>
  <c r="W232" i="112"/>
  <c r="W170" i="8" s="1"/>
  <c r="X232" i="112"/>
  <c r="X170" i="8" s="1"/>
  <c r="Y232" i="112"/>
  <c r="Y170" i="8" s="1"/>
  <c r="Z232" i="112"/>
  <c r="Z170" i="8" s="1"/>
  <c r="AA232" i="112"/>
  <c r="AA170" i="8" s="1"/>
  <c r="AB232" i="112"/>
  <c r="AB170" i="8" s="1"/>
  <c r="AC232" i="112"/>
  <c r="AC170" i="8" s="1"/>
  <c r="AD232" i="112"/>
  <c r="AD170" i="8" s="1"/>
  <c r="AE232" i="112"/>
  <c r="AE170" i="8" s="1"/>
  <c r="AF232" i="112"/>
  <c r="AF170" i="8" s="1"/>
  <c r="AG232" i="112"/>
  <c r="AG170" i="8" s="1"/>
  <c r="AH232" i="112"/>
  <c r="AH170" i="8" s="1"/>
  <c r="AI232" i="112"/>
  <c r="AI170" i="8" s="1"/>
  <c r="AJ232" i="112"/>
  <c r="AJ170" i="8" s="1"/>
  <c r="AK232" i="112"/>
  <c r="AK170" i="8" s="1"/>
  <c r="AL232" i="112"/>
  <c r="AM232" i="112"/>
  <c r="AN232" i="112"/>
  <c r="AO232" i="112"/>
  <c r="AP232" i="112"/>
  <c r="AQ232" i="112"/>
  <c r="AR232" i="112"/>
  <c r="AS232" i="112"/>
  <c r="B253" i="112"/>
  <c r="C253" i="112"/>
  <c r="D253" i="112"/>
  <c r="E253" i="112"/>
  <c r="F253" i="112"/>
  <c r="B282" i="112"/>
  <c r="C282" i="112"/>
  <c r="D282" i="112"/>
  <c r="E282" i="112"/>
  <c r="F282" i="112"/>
  <c r="G282" i="112"/>
  <c r="H282" i="112"/>
  <c r="I282" i="112"/>
  <c r="J282" i="112"/>
  <c r="K282" i="112"/>
  <c r="L282" i="112"/>
  <c r="M282" i="112"/>
  <c r="N282" i="112"/>
  <c r="O282" i="112"/>
  <c r="P282" i="112"/>
  <c r="Q282" i="112"/>
  <c r="R282" i="112"/>
  <c r="S282" i="112"/>
  <c r="T282" i="112"/>
  <c r="U282" i="112"/>
  <c r="V282" i="112"/>
  <c r="W282" i="112"/>
  <c r="X282" i="112"/>
  <c r="Y282" i="112"/>
  <c r="Z282" i="112"/>
  <c r="AA282" i="112"/>
  <c r="AB282" i="112"/>
  <c r="AC282" i="112"/>
  <c r="AD282" i="112"/>
  <c r="AE282" i="112"/>
  <c r="AF282" i="112"/>
  <c r="AG282" i="112"/>
  <c r="AH282" i="112"/>
  <c r="AI282" i="112"/>
  <c r="AJ282" i="112"/>
  <c r="AK282" i="112"/>
  <c r="AL282" i="112"/>
  <c r="AM282" i="112"/>
  <c r="AN282" i="112"/>
  <c r="AO282" i="112"/>
  <c r="AP282" i="112"/>
  <c r="AQ282" i="112"/>
  <c r="AR282" i="112"/>
  <c r="AS282" i="112"/>
  <c r="AZ282" i="112"/>
  <c r="BC282" i="112"/>
  <c r="BD282" i="112"/>
  <c r="BL282" i="112"/>
  <c r="BM282" i="112"/>
  <c r="BN282" i="112"/>
  <c r="BO282" i="112"/>
  <c r="BP282" i="112"/>
  <c r="BQ282" i="112"/>
  <c r="B283" i="112"/>
  <c r="C283" i="112"/>
  <c r="D283" i="112"/>
  <c r="E283" i="112"/>
  <c r="F283" i="112"/>
  <c r="G283" i="112"/>
  <c r="H283" i="112"/>
  <c r="I283" i="112"/>
  <c r="J283" i="112"/>
  <c r="K283" i="112"/>
  <c r="L283" i="112"/>
  <c r="M283" i="112"/>
  <c r="N283" i="112"/>
  <c r="O283" i="112"/>
  <c r="P283" i="112"/>
  <c r="Q283" i="112"/>
  <c r="R283" i="112"/>
  <c r="S283" i="112"/>
  <c r="T283" i="112"/>
  <c r="U283" i="112"/>
  <c r="V283" i="112"/>
  <c r="W283" i="112"/>
  <c r="X283" i="112"/>
  <c r="Y283" i="112"/>
  <c r="Z283" i="112"/>
  <c r="AA283" i="112"/>
  <c r="AB283" i="112"/>
  <c r="AC283" i="112"/>
  <c r="AD283" i="112"/>
  <c r="AD24" i="2" s="1"/>
  <c r="AE283" i="112"/>
  <c r="AE24" i="2" s="1"/>
  <c r="AF283" i="112"/>
  <c r="AF24" i="2" s="1"/>
  <c r="AG283" i="112"/>
  <c r="AG24" i="2" s="1"/>
  <c r="AH283" i="112"/>
  <c r="AH24" i="2" s="1"/>
  <c r="AI283" i="112"/>
  <c r="AI24" i="2" s="1"/>
  <c r="AJ283" i="112"/>
  <c r="AJ24" i="2" s="1"/>
  <c r="AK283" i="112"/>
  <c r="AK24" i="2" s="1"/>
  <c r="AL283" i="112"/>
  <c r="AL24" i="2" s="1"/>
  <c r="AM283" i="112"/>
  <c r="AM24" i="2" s="1"/>
  <c r="AN283" i="112"/>
  <c r="AN24" i="2" s="1"/>
  <c r="AO283" i="112"/>
  <c r="AO24" i="2" s="1"/>
  <c r="AP283" i="112"/>
  <c r="AP24" i="2" s="1"/>
  <c r="AQ283" i="112"/>
  <c r="AQ24" i="2" s="1"/>
  <c r="AR283" i="112"/>
  <c r="AR24" i="2" s="1"/>
  <c r="AS283" i="112"/>
  <c r="AS24" i="2" s="1"/>
  <c r="B286" i="112"/>
  <c r="C286" i="112"/>
  <c r="D286" i="112"/>
  <c r="E286" i="112"/>
  <c r="F286" i="112"/>
  <c r="G286" i="112"/>
  <c r="H286" i="112"/>
  <c r="I286" i="112"/>
  <c r="J286" i="112"/>
  <c r="K286" i="112"/>
  <c r="L286" i="112"/>
  <c r="M286" i="112"/>
  <c r="N286" i="112"/>
  <c r="O286" i="112"/>
  <c r="P286" i="112"/>
  <c r="Q286" i="112"/>
  <c r="R286" i="112"/>
  <c r="S286" i="112"/>
  <c r="T286" i="112"/>
  <c r="U286" i="112"/>
  <c r="V286" i="112"/>
  <c r="W286" i="112"/>
  <c r="X286" i="112"/>
  <c r="Y286" i="112"/>
  <c r="Z286" i="112"/>
  <c r="AA286" i="112"/>
  <c r="AB286" i="112"/>
  <c r="AC286" i="112"/>
  <c r="AD286" i="112"/>
  <c r="AE286" i="112"/>
  <c r="AF286" i="112"/>
  <c r="AG286" i="112"/>
  <c r="AH286" i="112"/>
  <c r="AI286" i="112"/>
  <c r="AJ286" i="112"/>
  <c r="AK286" i="112"/>
  <c r="AL286" i="112"/>
  <c r="AM286" i="112"/>
  <c r="AN286" i="112"/>
  <c r="AO286" i="112"/>
  <c r="AP286" i="112"/>
  <c r="AQ286" i="112"/>
  <c r="AR286" i="112"/>
  <c r="AS286" i="112"/>
  <c r="AZ286" i="112"/>
  <c r="BC286" i="112"/>
  <c r="BD286" i="112"/>
  <c r="BL286" i="112"/>
  <c r="BM286" i="112"/>
  <c r="BN286" i="112"/>
  <c r="BO286" i="112"/>
  <c r="BP286" i="112"/>
  <c r="BQ286" i="112"/>
  <c r="B287" i="112"/>
  <c r="C287" i="112"/>
  <c r="D287" i="112"/>
  <c r="E287" i="112"/>
  <c r="F287" i="112"/>
  <c r="G287" i="112"/>
  <c r="H287" i="112"/>
  <c r="I287" i="112"/>
  <c r="J287" i="112"/>
  <c r="K287" i="112"/>
  <c r="L287" i="112"/>
  <c r="M287" i="112"/>
  <c r="N287" i="112"/>
  <c r="O287" i="112"/>
  <c r="P287" i="112"/>
  <c r="Q287" i="112"/>
  <c r="R287" i="112"/>
  <c r="S287" i="112"/>
  <c r="T287" i="112"/>
  <c r="U287" i="112"/>
  <c r="V287" i="112"/>
  <c r="W287" i="112"/>
  <c r="X287" i="112"/>
  <c r="Y287" i="112"/>
  <c r="Z287" i="112"/>
  <c r="AA287" i="112"/>
  <c r="AB287" i="112"/>
  <c r="AC287" i="112"/>
  <c r="AD287" i="112"/>
  <c r="AE287" i="112"/>
  <c r="AF287" i="112"/>
  <c r="AG287" i="112"/>
  <c r="AH287" i="112"/>
  <c r="AI287" i="112"/>
  <c r="AJ287" i="112"/>
  <c r="AK287" i="112"/>
  <c r="AL287" i="112"/>
  <c r="AM287" i="112"/>
  <c r="AN287" i="112"/>
  <c r="AP287" i="112"/>
  <c r="AQ287" i="112"/>
  <c r="AR287" i="112"/>
  <c r="AS287" i="112"/>
  <c r="AP299" i="112"/>
  <c r="AQ299" i="112"/>
  <c r="AR299" i="112"/>
  <c r="AS299" i="112"/>
  <c r="U300" i="112"/>
  <c r="V300" i="112"/>
  <c r="W300" i="112"/>
  <c r="X300" i="112"/>
  <c r="Y300" i="112"/>
  <c r="Z300" i="112"/>
  <c r="AA300" i="112"/>
  <c r="AB300" i="112"/>
  <c r="AC300" i="112"/>
  <c r="J308" i="112"/>
  <c r="K308" i="112"/>
  <c r="L308" i="112"/>
  <c r="M308" i="112"/>
  <c r="N308" i="112"/>
  <c r="O308" i="112"/>
  <c r="P308" i="112"/>
  <c r="Q308" i="112"/>
  <c r="R308" i="112"/>
  <c r="S308" i="112"/>
  <c r="T308" i="112"/>
  <c r="U308" i="112"/>
  <c r="V308" i="112"/>
  <c r="W308" i="112"/>
  <c r="X308" i="112"/>
  <c r="Y308" i="112"/>
  <c r="Z308" i="112"/>
  <c r="AA308" i="112"/>
  <c r="AB308" i="112"/>
  <c r="AC308" i="112"/>
  <c r="AD308" i="112"/>
  <c r="AE308" i="112"/>
  <c r="AF308" i="112"/>
  <c r="AG308" i="112"/>
  <c r="AH308" i="112"/>
  <c r="AI308" i="112"/>
  <c r="AJ308" i="112"/>
  <c r="AK308" i="112"/>
  <c r="AL308" i="112"/>
  <c r="AM308" i="112"/>
  <c r="AN308" i="112"/>
  <c r="AO308" i="112"/>
  <c r="AP308" i="112"/>
  <c r="AQ308" i="112"/>
  <c r="AR308" i="112"/>
  <c r="AS308" i="112"/>
  <c r="B318" i="112"/>
  <c r="AS192" i="8" l="1"/>
  <c r="AM192" i="8"/>
  <c r="AR192" i="8"/>
  <c r="AL192" i="8"/>
  <c r="AQ192" i="8"/>
  <c r="AP192" i="8"/>
  <c r="AO192" i="8"/>
  <c r="AN192" i="8"/>
  <c r="AP169" i="8"/>
  <c r="AT170" i="8" s="1"/>
  <c r="AN169" i="8"/>
  <c r="AP143" i="8"/>
  <c r="AT144" i="8" s="1"/>
  <c r="AS170" i="8"/>
  <c r="AW170" i="8"/>
  <c r="AM169" i="8"/>
  <c r="AQ170" i="8" s="1"/>
  <c r="AR169" i="8"/>
  <c r="AV170" i="8" s="1"/>
  <c r="AN143" i="8"/>
  <c r="AR144" i="8" s="1"/>
  <c r="AU170" i="8"/>
  <c r="AW144" i="8"/>
  <c r="AS144" i="8"/>
  <c r="AQ144" i="8"/>
  <c r="AP170" i="8"/>
  <c r="AV144" i="8"/>
  <c r="AL143" i="8"/>
  <c r="E78" i="112"/>
  <c r="F78" i="112"/>
  <c r="AO78" i="112"/>
  <c r="AR143" i="112"/>
  <c r="AV144" i="112" s="1"/>
  <c r="K78" i="112"/>
  <c r="AS143" i="112"/>
  <c r="AW144" i="112" s="1"/>
  <c r="AO143" i="112"/>
  <c r="C78" i="112"/>
  <c r="AQ143" i="112"/>
  <c r="AP143" i="112"/>
  <c r="N78" i="112"/>
  <c r="H78" i="112"/>
  <c r="AS130" i="8"/>
  <c r="AT143" i="112"/>
  <c r="AM130" i="8"/>
  <c r="AN143" i="112"/>
  <c r="AN78" i="112"/>
  <c r="J78" i="112"/>
  <c r="D78" i="112"/>
  <c r="AS78" i="112"/>
  <c r="AM78" i="112"/>
  <c r="I78" i="112"/>
  <c r="AI78" i="112"/>
  <c r="AC78" i="112"/>
  <c r="W78" i="112"/>
  <c r="Q78" i="112"/>
  <c r="AX79" i="112"/>
  <c r="AH78" i="112"/>
  <c r="AB78" i="112"/>
  <c r="V78" i="112"/>
  <c r="P78" i="112"/>
  <c r="AG78" i="112"/>
  <c r="AA78" i="112"/>
  <c r="U78" i="112"/>
  <c r="O78" i="112"/>
  <c r="AR78" i="112"/>
  <c r="AL78" i="112"/>
  <c r="AF78" i="112"/>
  <c r="Z78" i="112"/>
  <c r="T78" i="112"/>
  <c r="AQ78" i="112"/>
  <c r="AK78" i="112"/>
  <c r="AE78" i="112"/>
  <c r="Y78" i="112"/>
  <c r="S78" i="112"/>
  <c r="M78" i="112"/>
  <c r="G78" i="112"/>
  <c r="AP78" i="112"/>
  <c r="AJ78" i="112"/>
  <c r="AD78" i="112"/>
  <c r="X78" i="112"/>
  <c r="R78" i="112"/>
  <c r="L78" i="112"/>
  <c r="AN11" i="112"/>
  <c r="AM11" i="112"/>
  <c r="AQ11" i="112"/>
  <c r="AP11" i="112"/>
  <c r="AX12" i="112"/>
  <c r="AS11" i="112"/>
  <c r="AR11" i="112"/>
  <c r="AL11" i="112"/>
  <c r="AK11" i="112"/>
  <c r="AJ11" i="112"/>
  <c r="AO11" i="112"/>
  <c r="AI11" i="112"/>
  <c r="F254" i="112"/>
  <c r="AS165" i="112"/>
  <c r="AQ130" i="8"/>
  <c r="AP130" i="8"/>
  <c r="AS119" i="8"/>
  <c r="AM119" i="8"/>
  <c r="AO130" i="8"/>
  <c r="AR119" i="8"/>
  <c r="AL119" i="8"/>
  <c r="AP108" i="8"/>
  <c r="AN130" i="8"/>
  <c r="AQ119" i="8"/>
  <c r="AO108" i="8"/>
  <c r="AR108" i="8"/>
  <c r="AP119" i="8"/>
  <c r="AN108" i="8"/>
  <c r="AN119" i="8"/>
  <c r="AL108" i="8"/>
  <c r="AR130" i="8"/>
  <c r="AO119" i="8"/>
  <c r="AS108" i="8"/>
  <c r="AM108" i="8"/>
  <c r="AJ83" i="112"/>
  <c r="AJ92" i="112" s="1"/>
  <c r="X83" i="112"/>
  <c r="X92" i="112" s="1"/>
  <c r="AF473" i="111" s="1"/>
  <c r="L83" i="112"/>
  <c r="L92" i="112" s="1"/>
  <c r="T473" i="111" s="1"/>
  <c r="O148" i="112"/>
  <c r="H106" i="112"/>
  <c r="Y53" i="112"/>
  <c r="Y163" i="112"/>
  <c r="AJ53" i="112"/>
  <c r="AC53" i="112"/>
  <c r="AC161" i="112"/>
  <c r="AG82" i="112"/>
  <c r="AK163" i="112"/>
  <c r="AW106" i="112"/>
  <c r="AS106" i="112"/>
  <c r="I106" i="112"/>
  <c r="AW39" i="112"/>
  <c r="AT142" i="112"/>
  <c r="AF106" i="112"/>
  <c r="T106" i="112"/>
  <c r="AV39" i="112"/>
  <c r="AC164" i="112"/>
  <c r="AU106" i="112"/>
  <c r="H56" i="112"/>
  <c r="AU39" i="112"/>
  <c r="AM39" i="112"/>
  <c r="AL106" i="112"/>
  <c r="Z106" i="112"/>
  <c r="N106" i="112"/>
  <c r="AC260" i="112"/>
  <c r="AG261" i="112" s="1"/>
  <c r="AF165" i="112"/>
  <c r="Z161" i="112"/>
  <c r="AN39" i="112"/>
  <c r="AL39" i="112"/>
  <c r="AO161" i="112"/>
  <c r="J56" i="112"/>
  <c r="V165" i="112"/>
  <c r="AL164" i="112"/>
  <c r="R162" i="112"/>
  <c r="AG165" i="112"/>
  <c r="U165" i="112"/>
  <c r="AO164" i="112"/>
  <c r="AO39" i="112"/>
  <c r="AK165" i="112"/>
  <c r="Y165" i="112"/>
  <c r="AS162" i="112"/>
  <c r="AG162" i="112"/>
  <c r="U162" i="112"/>
  <c r="AR106" i="112"/>
  <c r="AV106" i="112"/>
  <c r="V56" i="112"/>
  <c r="AI229" i="112"/>
  <c r="AR162" i="112"/>
  <c r="AK106" i="112"/>
  <c r="Y106" i="112"/>
  <c r="M106" i="112"/>
  <c r="AP162" i="112"/>
  <c r="AJ163" i="112"/>
  <c r="AD165" i="112"/>
  <c r="AN164" i="112"/>
  <c r="AB161" i="112"/>
  <c r="AH261" i="112"/>
  <c r="AB53" i="112"/>
  <c r="V261" i="112"/>
  <c r="P53" i="112"/>
  <c r="J261" i="112"/>
  <c r="AK39" i="112"/>
  <c r="AN20" i="112"/>
  <c r="AE165" i="112"/>
  <c r="S162" i="112"/>
  <c r="AI163" i="112"/>
  <c r="AM164" i="112"/>
  <c r="AA161" i="112"/>
  <c r="G56" i="112"/>
  <c r="AA53" i="112"/>
  <c r="O53" i="112"/>
  <c r="AS20" i="112"/>
  <c r="AM106" i="112"/>
  <c r="AA106" i="112"/>
  <c r="O106" i="112"/>
  <c r="AH163" i="112"/>
  <c r="AE53" i="112"/>
  <c r="X165" i="112"/>
  <c r="AC229" i="112"/>
  <c r="W165" i="112"/>
  <c r="AQ162" i="112"/>
  <c r="AR83" i="112"/>
  <c r="AR92" i="112" s="1"/>
  <c r="AR167" i="8" s="1"/>
  <c r="AF83" i="112"/>
  <c r="AF92" i="112" s="1"/>
  <c r="AN444" i="111" s="1"/>
  <c r="T83" i="112"/>
  <c r="T92" i="112" s="1"/>
  <c r="AB473" i="111" s="1"/>
  <c r="H83" i="112"/>
  <c r="H92" i="112" s="1"/>
  <c r="P473" i="111" s="1"/>
  <c r="T162" i="112"/>
  <c r="AA148" i="112"/>
  <c r="AJ106" i="112"/>
  <c r="X106" i="112"/>
  <c r="L106" i="112"/>
  <c r="AJ39" i="112"/>
  <c r="AE261" i="112"/>
  <c r="K261" i="112"/>
  <c r="AI106" i="112"/>
  <c r="W106" i="112"/>
  <c r="K106" i="112"/>
  <c r="AN83" i="112"/>
  <c r="AN92" i="112" s="1"/>
  <c r="AV473" i="111" s="1"/>
  <c r="P83" i="112"/>
  <c r="P92" i="112" s="1"/>
  <c r="X473" i="111" s="1"/>
  <c r="D83" i="112"/>
  <c r="D92" i="112" s="1"/>
  <c r="L473" i="111" s="1"/>
  <c r="AF53" i="112"/>
  <c r="T53" i="112"/>
  <c r="H53" i="112"/>
  <c r="AI39" i="112"/>
  <c r="AH106" i="112"/>
  <c r="V106" i="112"/>
  <c r="J106" i="112"/>
  <c r="F56" i="112"/>
  <c r="S53" i="112"/>
  <c r="AH39" i="112"/>
  <c r="AG106" i="112"/>
  <c r="U106" i="112"/>
  <c r="AD261" i="112"/>
  <c r="R261" i="112"/>
  <c r="AB164" i="112"/>
  <c r="X163" i="112"/>
  <c r="AR165" i="112"/>
  <c r="T165" i="112"/>
  <c r="AN161" i="112"/>
  <c r="AF162" i="112"/>
  <c r="AA164" i="112"/>
  <c r="W163" i="112"/>
  <c r="AQ165" i="112"/>
  <c r="S165" i="112"/>
  <c r="AE162" i="112"/>
  <c r="Z164" i="112"/>
  <c r="V163" i="112"/>
  <c r="AP165" i="112"/>
  <c r="R165" i="112"/>
  <c r="AL161" i="112"/>
  <c r="AD162" i="112"/>
  <c r="AR229" i="112"/>
  <c r="AJ229" i="112"/>
  <c r="T229" i="112"/>
  <c r="AM229" i="112"/>
  <c r="AM161" i="112"/>
  <c r="AI165" i="112"/>
  <c r="AH165" i="112"/>
  <c r="AJ165" i="112"/>
  <c r="V151" i="112"/>
  <c r="G83" i="112"/>
  <c r="G92" i="112" s="1"/>
  <c r="V77" i="112"/>
  <c r="V230" i="112"/>
  <c r="I230" i="112"/>
  <c r="AM233" i="112"/>
  <c r="AN234" i="112"/>
  <c r="T234" i="112"/>
  <c r="H229" i="112"/>
  <c r="S233" i="112"/>
  <c r="AE233" i="112"/>
  <c r="AS233" i="112"/>
  <c r="Y234" i="112"/>
  <c r="AS230" i="112"/>
  <c r="AP77" i="112"/>
  <c r="AL77" i="112"/>
  <c r="J77" i="112"/>
  <c r="F77" i="112"/>
  <c r="O86" i="112"/>
  <c r="G53" i="112"/>
  <c r="Y261" i="112"/>
  <c r="O261" i="112"/>
  <c r="AM77" i="112"/>
  <c r="AI77" i="112"/>
  <c r="S77" i="112"/>
  <c r="AD56" i="112"/>
  <c r="N230" i="112"/>
  <c r="AS164" i="112"/>
  <c r="AG164" i="112"/>
  <c r="U164" i="112"/>
  <c r="AO163" i="112"/>
  <c r="AC163" i="112"/>
  <c r="AK162" i="112"/>
  <c r="Y162" i="112"/>
  <c r="AS161" i="112"/>
  <c r="AG161" i="112"/>
  <c r="U161" i="112"/>
  <c r="K147" i="112"/>
  <c r="AE83" i="112"/>
  <c r="AE92" i="112" s="1"/>
  <c r="AM444" i="111" s="1"/>
  <c r="AN19" i="112"/>
  <c r="AO15" i="112"/>
  <c r="AI261" i="112"/>
  <c r="S261" i="112"/>
  <c r="AR164" i="112"/>
  <c r="AF164" i="112"/>
  <c r="T164" i="112"/>
  <c r="AN163" i="112"/>
  <c r="AB163" i="112"/>
  <c r="AJ162" i="112"/>
  <c r="X162" i="112"/>
  <c r="AF161" i="112"/>
  <c r="T161" i="112"/>
  <c r="G106" i="112"/>
  <c r="AB261" i="112"/>
  <c r="L261" i="112"/>
  <c r="G261" i="112"/>
  <c r="AG230" i="112"/>
  <c r="AQ164" i="112"/>
  <c r="AE164" i="112"/>
  <c r="S164" i="112"/>
  <c r="AM163" i="112"/>
  <c r="AA163" i="112"/>
  <c r="AI162" i="112"/>
  <c r="W162" i="112"/>
  <c r="AQ161" i="112"/>
  <c r="AE161" i="112"/>
  <c r="S161" i="112"/>
  <c r="AH147" i="112"/>
  <c r="F106" i="112"/>
  <c r="AM83" i="112"/>
  <c r="AM92" i="112" s="1"/>
  <c r="O83" i="112"/>
  <c r="O92" i="112" s="1"/>
  <c r="W473" i="111" s="1"/>
  <c r="R56" i="112"/>
  <c r="AF261" i="112"/>
  <c r="AA261" i="112"/>
  <c r="P261" i="112"/>
  <c r="AJ234" i="112"/>
  <c r="X234" i="112"/>
  <c r="G229" i="112"/>
  <c r="AP164" i="112"/>
  <c r="AD164" i="112"/>
  <c r="R164" i="112"/>
  <c r="AL163" i="112"/>
  <c r="Z163" i="112"/>
  <c r="AH162" i="112"/>
  <c r="V162" i="112"/>
  <c r="AP161" i="112"/>
  <c r="AD161" i="112"/>
  <c r="R161" i="112"/>
  <c r="AE152" i="112"/>
  <c r="AC82" i="112"/>
  <c r="AH77" i="112"/>
  <c r="AK53" i="112"/>
  <c r="AF39" i="112"/>
  <c r="AD230" i="112"/>
  <c r="AN229" i="112"/>
  <c r="AC230" i="112"/>
  <c r="Q230" i="112"/>
  <c r="E230" i="112"/>
  <c r="W147" i="112"/>
  <c r="K148" i="112"/>
  <c r="W83" i="112"/>
  <c r="W92" i="112" s="1"/>
  <c r="AL83" i="112"/>
  <c r="AL92" i="112" s="1"/>
  <c r="Z83" i="112"/>
  <c r="Z92" i="112" s="1"/>
  <c r="AH473" i="111" s="1"/>
  <c r="N83" i="112"/>
  <c r="Z77" i="112"/>
  <c r="J87" i="112"/>
  <c r="X53" i="112"/>
  <c r="W261" i="112"/>
  <c r="M261" i="112"/>
  <c r="AO165" i="112"/>
  <c r="AC165" i="112"/>
  <c r="AK164" i="112"/>
  <c r="Y164" i="112"/>
  <c r="AS163" i="112"/>
  <c r="AG163" i="112"/>
  <c r="U163" i="112"/>
  <c r="AO162" i="112"/>
  <c r="AC162" i="112"/>
  <c r="AK161" i="112"/>
  <c r="Y161" i="112"/>
  <c r="AQ106" i="112"/>
  <c r="AE106" i="112"/>
  <c r="S106" i="112"/>
  <c r="F261" i="112"/>
  <c r="AR39" i="112"/>
  <c r="Y230" i="112"/>
  <c r="AN165" i="112"/>
  <c r="AB165" i="112"/>
  <c r="AJ164" i="112"/>
  <c r="X164" i="112"/>
  <c r="AR163" i="112"/>
  <c r="AF163" i="112"/>
  <c r="T163" i="112"/>
  <c r="AN162" i="112"/>
  <c r="AB162" i="112"/>
  <c r="AJ161" i="112"/>
  <c r="X161" i="112"/>
  <c r="AE148" i="112"/>
  <c r="G147" i="112"/>
  <c r="B119" i="112"/>
  <c r="AP106" i="112"/>
  <c r="AD106" i="112"/>
  <c r="R106" i="112"/>
  <c r="AH83" i="112"/>
  <c r="AH92" i="112" s="1"/>
  <c r="V83" i="112"/>
  <c r="V92" i="112" s="1"/>
  <c r="AD473" i="111" s="1"/>
  <c r="J83" i="112"/>
  <c r="J92" i="112" s="1"/>
  <c r="R473" i="111" s="1"/>
  <c r="AR234" i="112"/>
  <c r="AM165" i="112"/>
  <c r="AA165" i="112"/>
  <c r="AI164" i="112"/>
  <c r="W164" i="112"/>
  <c r="AQ163" i="112"/>
  <c r="AE163" i="112"/>
  <c r="S163" i="112"/>
  <c r="AM162" i="112"/>
  <c r="AA162" i="112"/>
  <c r="AI161" i="112"/>
  <c r="W161" i="112"/>
  <c r="AQ148" i="112"/>
  <c r="AO106" i="112"/>
  <c r="AC106" i="112"/>
  <c r="Q106" i="112"/>
  <c r="AP87" i="112"/>
  <c r="AE87" i="112"/>
  <c r="S87" i="112"/>
  <c r="AL165" i="112"/>
  <c r="Z165" i="112"/>
  <c r="AH164" i="112"/>
  <c r="V164" i="112"/>
  <c r="AP163" i="112"/>
  <c r="AD163" i="112"/>
  <c r="R163" i="112"/>
  <c r="AL162" i="112"/>
  <c r="Z162" i="112"/>
  <c r="AH161" i="112"/>
  <c r="V161" i="112"/>
  <c r="AN106" i="112"/>
  <c r="AB106" i="112"/>
  <c r="P106" i="112"/>
  <c r="X261" i="112"/>
  <c r="AE234" i="112"/>
  <c r="AO234" i="112"/>
  <c r="AC234" i="112"/>
  <c r="Z261" i="112"/>
  <c r="N261" i="112"/>
  <c r="AS39" i="112"/>
  <c r="AG39" i="112"/>
  <c r="AR161" i="112"/>
  <c r="O147" i="112"/>
  <c r="AP83" i="112"/>
  <c r="AP92" i="112" s="1"/>
  <c r="R83" i="112"/>
  <c r="R92" i="112" s="1"/>
  <c r="E82" i="112"/>
  <c r="Z56" i="112"/>
  <c r="AK261" i="112"/>
  <c r="U261" i="112"/>
  <c r="AB234" i="112"/>
  <c r="O87" i="112"/>
  <c r="C87" i="112"/>
  <c r="L53" i="112"/>
  <c r="AQ39" i="112"/>
  <c r="AE39" i="112"/>
  <c r="AJ261" i="112"/>
  <c r="T261" i="112"/>
  <c r="AM148" i="112"/>
  <c r="AA82" i="112"/>
  <c r="AI53" i="112"/>
  <c r="W53" i="112"/>
  <c r="K53" i="112"/>
  <c r="AD39" i="112"/>
  <c r="AK230" i="112"/>
  <c r="X229" i="112"/>
  <c r="D229" i="112"/>
  <c r="AQ147" i="112"/>
  <c r="V147" i="112"/>
  <c r="AG148" i="112"/>
  <c r="AC148" i="112"/>
  <c r="AI87" i="112"/>
  <c r="AQ83" i="112"/>
  <c r="AQ92" i="112" s="1"/>
  <c r="AI83" i="112"/>
  <c r="AI92" i="112" s="1"/>
  <c r="AA83" i="112"/>
  <c r="AA92" i="112" s="1"/>
  <c r="S83" i="112"/>
  <c r="S92" i="112" s="1"/>
  <c r="K83" i="112"/>
  <c r="K92" i="112" s="1"/>
  <c r="S473" i="111" s="1"/>
  <c r="C83" i="112"/>
  <c r="C92" i="112" s="1"/>
  <c r="K473" i="111" s="1"/>
  <c r="R77" i="112"/>
  <c r="AP233" i="112"/>
  <c r="AL233" i="112"/>
  <c r="AH233" i="112"/>
  <c r="Z233" i="112"/>
  <c r="V233" i="112"/>
  <c r="U230" i="112"/>
  <c r="AS229" i="112"/>
  <c r="AO229" i="112"/>
  <c r="AK229" i="112"/>
  <c r="AG229" i="112"/>
  <c r="Y229" i="112"/>
  <c r="U229" i="112"/>
  <c r="Q229" i="112"/>
  <c r="I229" i="112"/>
  <c r="E229" i="112"/>
  <c r="AQ151" i="112"/>
  <c r="AM151" i="112"/>
  <c r="AI151" i="112"/>
  <c r="AE151" i="112"/>
  <c r="W148" i="112"/>
  <c r="AM147" i="112"/>
  <c r="AI147" i="112"/>
  <c r="AE147" i="112"/>
  <c r="AA147" i="112"/>
  <c r="S147" i="112"/>
  <c r="AQ142" i="112"/>
  <c r="AQ82" i="112"/>
  <c r="AH56" i="112"/>
  <c r="Q261" i="112"/>
  <c r="AF234" i="112"/>
  <c r="AO230" i="112"/>
  <c r="AB229" i="112"/>
  <c r="AQ229" i="112"/>
  <c r="AA229" i="112"/>
  <c r="K229" i="112"/>
  <c r="AL147" i="112"/>
  <c r="R147" i="112"/>
  <c r="Z87" i="112"/>
  <c r="AB83" i="112"/>
  <c r="AB92" i="112" s="1"/>
  <c r="AJ444" i="111" s="1"/>
  <c r="AF77" i="112"/>
  <c r="W77" i="112"/>
  <c r="AO19" i="112"/>
  <c r="AA151" i="112"/>
  <c r="W151" i="112"/>
  <c r="AN147" i="112"/>
  <c r="X147" i="112"/>
  <c r="P148" i="112"/>
  <c r="M148" i="112"/>
  <c r="H147" i="112"/>
  <c r="AE86" i="112"/>
  <c r="AQ86" i="112"/>
  <c r="AM86" i="112"/>
  <c r="AI86" i="112"/>
  <c r="AA86" i="112"/>
  <c r="W86" i="112"/>
  <c r="S86" i="112"/>
  <c r="K86" i="112"/>
  <c r="G86" i="112"/>
  <c r="C86" i="112"/>
  <c r="M82" i="112"/>
  <c r="AJ77" i="112"/>
  <c r="T77" i="112"/>
  <c r="AD234" i="112"/>
  <c r="AI233" i="112"/>
  <c r="G77" i="112"/>
  <c r="C77" i="112"/>
  <c r="AP10" i="112"/>
  <c r="H261" i="112"/>
  <c r="AI234" i="112"/>
  <c r="S234" i="112"/>
  <c r="AC233" i="112"/>
  <c r="AN230" i="112"/>
  <c r="AJ230" i="112"/>
  <c r="AF229" i="112"/>
  <c r="X230" i="112"/>
  <c r="T230" i="112"/>
  <c r="P229" i="112"/>
  <c r="H230" i="112"/>
  <c r="D230" i="112"/>
  <c r="AG151" i="112"/>
  <c r="Z151" i="112"/>
  <c r="AL87" i="112"/>
  <c r="AH87" i="112"/>
  <c r="V87" i="112"/>
  <c r="R87" i="112"/>
  <c r="F87" i="112"/>
  <c r="AC83" i="112"/>
  <c r="AC92" i="112" s="1"/>
  <c r="Y83" i="112"/>
  <c r="M83" i="112"/>
  <c r="M92" i="112" s="1"/>
  <c r="U473" i="111" s="1"/>
  <c r="E83" i="112"/>
  <c r="E92" i="112" s="1"/>
  <c r="M473" i="111" s="1"/>
  <c r="AQ16" i="112"/>
  <c r="AP234" i="112"/>
  <c r="Z234" i="112"/>
  <c r="Y233" i="112"/>
  <c r="AQ233" i="112"/>
  <c r="AA233" i="112"/>
  <c r="AL230" i="112"/>
  <c r="F230" i="112"/>
  <c r="W229" i="112"/>
  <c r="C229" i="112"/>
  <c r="C230" i="112"/>
  <c r="AN151" i="112"/>
  <c r="AJ151" i="112"/>
  <c r="X151" i="112"/>
  <c r="AR86" i="112"/>
  <c r="Y82" i="112"/>
  <c r="AI82" i="112"/>
  <c r="AE82" i="112"/>
  <c r="W82" i="112"/>
  <c r="S82" i="112"/>
  <c r="C82" i="112"/>
  <c r="N56" i="112"/>
  <c r="AL15" i="112"/>
  <c r="AT152" i="112"/>
  <c r="AT151" i="112"/>
  <c r="AT137" i="8" s="1"/>
  <c r="AP152" i="112"/>
  <c r="AP151" i="112"/>
  <c r="AK151" i="112"/>
  <c r="AL152" i="112"/>
  <c r="AL151" i="112"/>
  <c r="AK152" i="112"/>
  <c r="AD152" i="112"/>
  <c r="AD151" i="112"/>
  <c r="U151" i="112"/>
  <c r="V152" i="112"/>
  <c r="AM234" i="112"/>
  <c r="AH234" i="112"/>
  <c r="W234" i="112"/>
  <c r="W233" i="112"/>
  <c r="AT233" i="112"/>
  <c r="AT234" i="112"/>
  <c r="AS234" i="112"/>
  <c r="AK234" i="112"/>
  <c r="AK233" i="112"/>
  <c r="AG233" i="112"/>
  <c r="AG234" i="112"/>
  <c r="U234" i="112"/>
  <c r="U233" i="112"/>
  <c r="AP229" i="112"/>
  <c r="AQ230" i="112"/>
  <c r="AL229" i="112"/>
  <c r="AM230" i="112"/>
  <c r="AH229" i="112"/>
  <c r="AI230" i="112"/>
  <c r="AD229" i="112"/>
  <c r="AE229" i="112"/>
  <c r="AE230" i="112"/>
  <c r="Z229" i="112"/>
  <c r="AA230" i="112"/>
  <c r="V229" i="112"/>
  <c r="W230" i="112"/>
  <c r="R229" i="112"/>
  <c r="S230" i="112"/>
  <c r="N229" i="112"/>
  <c r="O229" i="112"/>
  <c r="O230" i="112"/>
  <c r="J229" i="112"/>
  <c r="K230" i="112"/>
  <c r="F229" i="112"/>
  <c r="G230" i="112"/>
  <c r="Z152" i="112"/>
  <c r="AG152" i="112"/>
  <c r="I56" i="112"/>
  <c r="AQ234" i="112"/>
  <c r="AL234" i="112"/>
  <c r="AA234" i="112"/>
  <c r="V234" i="112"/>
  <c r="AO233" i="112"/>
  <c r="AD233" i="112"/>
  <c r="AP230" i="112"/>
  <c r="AH230" i="112"/>
  <c r="Z230" i="112"/>
  <c r="R230" i="112"/>
  <c r="J230" i="112"/>
  <c r="S229" i="112"/>
  <c r="AT229" i="112"/>
  <c r="AT230" i="112"/>
  <c r="AT241" i="112" s="1"/>
  <c r="AF151" i="112"/>
  <c r="AN86" i="112"/>
  <c r="AN87" i="112"/>
  <c r="AJ86" i="112"/>
  <c r="AJ87" i="112"/>
  <c r="AF86" i="112"/>
  <c r="AG86" i="112"/>
  <c r="AB86" i="112"/>
  <c r="AB87" i="112"/>
  <c r="X86" i="112"/>
  <c r="X87" i="112"/>
  <c r="T86" i="112"/>
  <c r="T87" i="112"/>
  <c r="P86" i="112"/>
  <c r="Q86" i="112"/>
  <c r="L86" i="112"/>
  <c r="L87" i="112"/>
  <c r="H86" i="112"/>
  <c r="I86" i="112"/>
  <c r="H87" i="112"/>
  <c r="D86" i="112"/>
  <c r="D87" i="112"/>
  <c r="AS151" i="112"/>
  <c r="AC151" i="112"/>
  <c r="U152" i="112"/>
  <c r="AT148" i="112"/>
  <c r="AT147" i="112"/>
  <c r="AJ147" i="112"/>
  <c r="AK148" i="112"/>
  <c r="T147" i="112"/>
  <c r="U148" i="112"/>
  <c r="Q148" i="112"/>
  <c r="P147" i="112"/>
  <c r="P77" i="112"/>
  <c r="O77" i="112"/>
  <c r="AL56" i="112"/>
  <c r="AP56" i="112"/>
  <c r="AR233" i="112"/>
  <c r="AN233" i="112"/>
  <c r="AJ233" i="112"/>
  <c r="AF233" i="112"/>
  <c r="AB233" i="112"/>
  <c r="X233" i="112"/>
  <c r="T233" i="112"/>
  <c r="AR230" i="112"/>
  <c r="AF230" i="112"/>
  <c r="AB230" i="112"/>
  <c r="P230" i="112"/>
  <c r="AF147" i="112"/>
  <c r="AS148" i="112"/>
  <c r="AF148" i="112"/>
  <c r="AO86" i="112"/>
  <c r="Y86" i="112"/>
  <c r="AR82" i="112"/>
  <c r="AS83" i="112"/>
  <c r="AS92" i="112" s="1"/>
  <c r="AS167" i="8" s="1"/>
  <c r="AO82" i="112"/>
  <c r="AO83" i="112"/>
  <c r="AO92" i="112" s="1"/>
  <c r="AK82" i="112"/>
  <c r="AK83" i="112"/>
  <c r="AK92" i="112" s="1"/>
  <c r="AS444" i="111" s="1"/>
  <c r="AF82" i="112"/>
  <c r="AG83" i="112"/>
  <c r="AG92" i="112" s="1"/>
  <c r="T82" i="112"/>
  <c r="U82" i="112"/>
  <c r="U83" i="112"/>
  <c r="U92" i="112" s="1"/>
  <c r="AC473" i="111" s="1"/>
  <c r="Q82" i="112"/>
  <c r="Q83" i="112"/>
  <c r="Q92" i="112" s="1"/>
  <c r="Y473" i="111" s="1"/>
  <c r="I82" i="112"/>
  <c r="I83" i="112"/>
  <c r="I92" i="112" s="1"/>
  <c r="Q473" i="111" s="1"/>
  <c r="AT10" i="112"/>
  <c r="AS10" i="112"/>
  <c r="AK10" i="112"/>
  <c r="AL10" i="112"/>
  <c r="AR142" i="112"/>
  <c r="AN142" i="112"/>
  <c r="AT106" i="112"/>
  <c r="N92" i="112"/>
  <c r="V473" i="111" s="1"/>
  <c r="AS86" i="112"/>
  <c r="AT87" i="112"/>
  <c r="AT86" i="112"/>
  <c r="AT126" i="8" s="1"/>
  <c r="AC86" i="112"/>
  <c r="M86" i="112"/>
  <c r="AT83" i="112"/>
  <c r="AT92" i="112" s="1"/>
  <c r="AT82" i="112"/>
  <c r="AN77" i="112"/>
  <c r="X77" i="112"/>
  <c r="H77" i="112"/>
  <c r="AQ20" i="112"/>
  <c r="AQ19" i="112"/>
  <c r="AN148" i="112"/>
  <c r="X148" i="112"/>
  <c r="H148" i="112"/>
  <c r="AF87" i="112"/>
  <c r="P87" i="112"/>
  <c r="AN82" i="112"/>
  <c r="AB82" i="112"/>
  <c r="P82" i="112"/>
  <c r="AT39" i="112"/>
  <c r="AP39" i="112"/>
  <c r="AM152" i="112"/>
  <c r="AH151" i="112"/>
  <c r="W152" i="112"/>
  <c r="G148" i="112"/>
  <c r="AO142" i="112"/>
  <c r="AM87" i="112"/>
  <c r="AD87" i="112"/>
  <c r="W87" i="112"/>
  <c r="N87" i="112"/>
  <c r="G87" i="112"/>
  <c r="AD83" i="112"/>
  <c r="AD92" i="112" s="1"/>
  <c r="AL473" i="111" s="1"/>
  <c r="F83" i="112"/>
  <c r="AS82" i="112"/>
  <c r="AM82" i="112"/>
  <c r="AP82" i="112"/>
  <c r="AS77" i="112"/>
  <c r="AT77" i="112"/>
  <c r="AO77" i="112"/>
  <c r="AK77" i="112"/>
  <c r="AG77" i="112"/>
  <c r="AC77" i="112"/>
  <c r="Y77" i="112"/>
  <c r="U77" i="112"/>
  <c r="Q77" i="112"/>
  <c r="M77" i="112"/>
  <c r="U53" i="112"/>
  <c r="M53" i="112"/>
  <c r="AO20" i="112"/>
  <c r="AS19" i="112"/>
  <c r="AT19" i="112"/>
  <c r="AT115" i="8" s="1"/>
  <c r="AT20" i="112"/>
  <c r="AQ15" i="112"/>
  <c r="AO10" i="112"/>
  <c r="AR19" i="112"/>
  <c r="AL16" i="112"/>
  <c r="AS15" i="112"/>
  <c r="AT16" i="112"/>
  <c r="AT15" i="112"/>
  <c r="AP16" i="112"/>
  <c r="AM10" i="112"/>
  <c r="AQ152" i="112"/>
  <c r="AA152" i="112"/>
  <c r="AR151" i="112"/>
  <c r="AB151" i="112"/>
  <c r="AR148" i="112"/>
  <c r="AB148" i="112"/>
  <c r="L148" i="112"/>
  <c r="AR147" i="112"/>
  <c r="AB147" i="112"/>
  <c r="L147" i="112"/>
  <c r="AK147" i="112"/>
  <c r="AG147" i="112"/>
  <c r="AC147" i="112"/>
  <c r="Y147" i="112"/>
  <c r="U147" i="112"/>
  <c r="Q147" i="112"/>
  <c r="M147" i="112"/>
  <c r="I147" i="112"/>
  <c r="AS142" i="112"/>
  <c r="K82" i="112"/>
  <c r="L82" i="112"/>
  <c r="H82" i="112"/>
  <c r="G82" i="112"/>
  <c r="AO152" i="112"/>
  <c r="AI152" i="112"/>
  <c r="Y152" i="112"/>
  <c r="AO151" i="112"/>
  <c r="Y151" i="112"/>
  <c r="AJ148" i="112"/>
  <c r="Y148" i="112"/>
  <c r="T148" i="112"/>
  <c r="I148" i="112"/>
  <c r="Z147" i="112"/>
  <c r="J147" i="112"/>
  <c r="AP142" i="112"/>
  <c r="AR87" i="112"/>
  <c r="AK86" i="112"/>
  <c r="U86" i="112"/>
  <c r="E86" i="112"/>
  <c r="AJ82" i="112"/>
  <c r="X82" i="112"/>
  <c r="O82" i="112"/>
  <c r="D82" i="112"/>
  <c r="AQ77" i="112"/>
  <c r="AR77" i="112"/>
  <c r="AA77" i="112"/>
  <c r="AB77" i="112"/>
  <c r="K77" i="112"/>
  <c r="L77" i="112"/>
  <c r="AS152" i="112"/>
  <c r="AH152" i="112"/>
  <c r="AC152" i="112"/>
  <c r="AI148" i="112"/>
  <c r="S148" i="112"/>
  <c r="AD147" i="112"/>
  <c r="N147" i="112"/>
  <c r="AQ87" i="112"/>
  <c r="AA87" i="112"/>
  <c r="K87" i="112"/>
  <c r="AP86" i="112"/>
  <c r="AL86" i="112"/>
  <c r="AH86" i="112"/>
  <c r="AD86" i="112"/>
  <c r="Z86" i="112"/>
  <c r="V86" i="112"/>
  <c r="R86" i="112"/>
  <c r="N86" i="112"/>
  <c r="J86" i="112"/>
  <c r="F86" i="112"/>
  <c r="AE77" i="112"/>
  <c r="D77" i="112"/>
  <c r="I77" i="112"/>
  <c r="E77" i="112"/>
  <c r="AP19" i="112"/>
  <c r="AL19" i="112"/>
  <c r="AP15" i="112"/>
  <c r="AM15" i="112"/>
  <c r="AL82" i="112"/>
  <c r="AH82" i="112"/>
  <c r="AD82" i="112"/>
  <c r="Z82" i="112"/>
  <c r="V82" i="112"/>
  <c r="R82" i="112"/>
  <c r="N82" i="112"/>
  <c r="J82" i="112"/>
  <c r="F82" i="112"/>
  <c r="AD77" i="112"/>
  <c r="N77" i="112"/>
  <c r="AG53" i="112"/>
  <c r="Q53" i="112"/>
  <c r="AR20" i="112"/>
  <c r="AM20" i="112"/>
  <c r="AM16" i="112"/>
  <c r="AR152" i="112"/>
  <c r="AN152" i="112"/>
  <c r="AJ152" i="112"/>
  <c r="AF152" i="112"/>
  <c r="AB152" i="112"/>
  <c r="X152" i="112"/>
  <c r="AL148" i="112"/>
  <c r="AH148" i="112"/>
  <c r="AD148" i="112"/>
  <c r="Z148" i="112"/>
  <c r="V148" i="112"/>
  <c r="R148" i="112"/>
  <c r="N148" i="112"/>
  <c r="J148" i="112"/>
  <c r="AS147" i="112"/>
  <c r="AH41" i="112"/>
  <c r="AD41" i="112"/>
  <c r="Z41" i="112"/>
  <c r="AS87" i="112"/>
  <c r="AO87" i="112"/>
  <c r="AK87" i="112"/>
  <c r="AG87" i="112"/>
  <c r="AC87" i="112"/>
  <c r="Y87" i="112"/>
  <c r="U87" i="112"/>
  <c r="Q87" i="112"/>
  <c r="M87" i="112"/>
  <c r="I87" i="112"/>
  <c r="E87" i="112"/>
  <c r="AH53" i="112"/>
  <c r="AD53" i="112"/>
  <c r="Z53" i="112"/>
  <c r="V53" i="112"/>
  <c r="R53" i="112"/>
  <c r="N53" i="112"/>
  <c r="J53" i="112"/>
  <c r="F53" i="112"/>
  <c r="AN10" i="112"/>
  <c r="AQ10" i="112"/>
  <c r="AR10" i="112"/>
  <c r="AI10" i="112"/>
  <c r="AJ10" i="112"/>
  <c r="AR16" i="112"/>
  <c r="AR15" i="112"/>
  <c r="AS16" i="112"/>
  <c r="AN16" i="112"/>
  <c r="AN15" i="112"/>
  <c r="AO16" i="112"/>
  <c r="AP20" i="112"/>
  <c r="AP33" i="112" s="1"/>
  <c r="AL20" i="112"/>
  <c r="AL33" i="112" s="1"/>
  <c r="AM19" i="112"/>
  <c r="A1" i="111"/>
  <c r="B7" i="111"/>
  <c r="C7" i="111"/>
  <c r="D7" i="111"/>
  <c r="E7" i="111"/>
  <c r="F7" i="111"/>
  <c r="G7" i="111"/>
  <c r="H7" i="111"/>
  <c r="I7" i="111"/>
  <c r="B8" i="111"/>
  <c r="C8" i="111"/>
  <c r="D8" i="111"/>
  <c r="E8" i="111"/>
  <c r="F8" i="111"/>
  <c r="G8" i="111"/>
  <c r="H8" i="111"/>
  <c r="I8" i="111"/>
  <c r="B9" i="111"/>
  <c r="C9" i="111"/>
  <c r="D9" i="111"/>
  <c r="E9" i="111"/>
  <c r="F9" i="111"/>
  <c r="G9" i="111"/>
  <c r="H9" i="111"/>
  <c r="I9" i="111"/>
  <c r="J9" i="111"/>
  <c r="K9" i="111"/>
  <c r="L9" i="111"/>
  <c r="M9" i="111"/>
  <c r="N9" i="111"/>
  <c r="S11" i="111"/>
  <c r="T11" i="111"/>
  <c r="S15" i="111"/>
  <c r="T15" i="111"/>
  <c r="B16" i="111"/>
  <c r="C16" i="111"/>
  <c r="D16" i="111"/>
  <c r="B17" i="111"/>
  <c r="C17" i="111"/>
  <c r="D17" i="111"/>
  <c r="E17" i="111"/>
  <c r="F17" i="111"/>
  <c r="B18" i="111"/>
  <c r="C18" i="111"/>
  <c r="D18" i="111"/>
  <c r="E18" i="111"/>
  <c r="F18" i="111"/>
  <c r="G18" i="111"/>
  <c r="H18" i="111"/>
  <c r="I18" i="111"/>
  <c r="S20" i="111"/>
  <c r="T20" i="111"/>
  <c r="B21" i="111"/>
  <c r="C21" i="111"/>
  <c r="D21" i="111"/>
  <c r="E21" i="111"/>
  <c r="F21" i="111"/>
  <c r="G21" i="111"/>
  <c r="H21" i="111"/>
  <c r="I21" i="111"/>
  <c r="B22" i="111"/>
  <c r="C22" i="111"/>
  <c r="D22" i="111"/>
  <c r="E22" i="111"/>
  <c r="F22" i="111"/>
  <c r="G22" i="111"/>
  <c r="H22" i="111"/>
  <c r="I22" i="111"/>
  <c r="B23" i="111"/>
  <c r="C23" i="111"/>
  <c r="D23" i="111"/>
  <c r="E23" i="111"/>
  <c r="F23" i="111"/>
  <c r="G23" i="111"/>
  <c r="H23" i="111"/>
  <c r="I23" i="111"/>
  <c r="J30" i="111"/>
  <c r="K30" i="111"/>
  <c r="L30" i="111"/>
  <c r="M30" i="111"/>
  <c r="N30" i="111"/>
  <c r="O30" i="111"/>
  <c r="P30" i="111"/>
  <c r="Q30" i="111"/>
  <c r="R30" i="111"/>
  <c r="S30" i="111"/>
  <c r="T30" i="111"/>
  <c r="Y30" i="111"/>
  <c r="Z30" i="111"/>
  <c r="B31" i="111"/>
  <c r="C31" i="111"/>
  <c r="D31" i="111"/>
  <c r="E31" i="111"/>
  <c r="F31" i="111"/>
  <c r="G31" i="111"/>
  <c r="H31" i="111"/>
  <c r="I31" i="111"/>
  <c r="J31" i="111"/>
  <c r="K31" i="111"/>
  <c r="L31" i="111"/>
  <c r="M31" i="111"/>
  <c r="N31" i="111"/>
  <c r="O31" i="111"/>
  <c r="P31" i="111"/>
  <c r="Q31" i="111"/>
  <c r="R31" i="111"/>
  <c r="S31" i="111"/>
  <c r="T31" i="111"/>
  <c r="U31" i="111"/>
  <c r="V31" i="111"/>
  <c r="W31" i="111"/>
  <c r="X31" i="111"/>
  <c r="Y31" i="111"/>
  <c r="Z31" i="111"/>
  <c r="AA36" i="111" s="1"/>
  <c r="B32" i="111"/>
  <c r="C32" i="111"/>
  <c r="D32" i="111"/>
  <c r="E32" i="111"/>
  <c r="F32" i="111"/>
  <c r="G32" i="111"/>
  <c r="H32" i="111"/>
  <c r="I32" i="111"/>
  <c r="J32" i="111"/>
  <c r="K32" i="111"/>
  <c r="L32" i="111"/>
  <c r="M32" i="111"/>
  <c r="N32" i="111"/>
  <c r="O32" i="111"/>
  <c r="P32" i="111"/>
  <c r="Q32" i="111"/>
  <c r="R32" i="111"/>
  <c r="S32" i="111"/>
  <c r="T32" i="111"/>
  <c r="U32" i="111"/>
  <c r="V32" i="111"/>
  <c r="W32" i="111"/>
  <c r="X32" i="111"/>
  <c r="Y32" i="111"/>
  <c r="Z32" i="111"/>
  <c r="AA37" i="111" s="1"/>
  <c r="B33" i="111"/>
  <c r="C33" i="111"/>
  <c r="D33" i="111"/>
  <c r="E33" i="111"/>
  <c r="F33" i="111"/>
  <c r="G33" i="111"/>
  <c r="H33" i="111"/>
  <c r="I33" i="111"/>
  <c r="J33" i="111"/>
  <c r="K33" i="111"/>
  <c r="L33" i="111"/>
  <c r="M33" i="111"/>
  <c r="N33" i="111"/>
  <c r="O33" i="111"/>
  <c r="P33" i="111"/>
  <c r="Q33" i="111"/>
  <c r="R33" i="111"/>
  <c r="S33" i="111"/>
  <c r="T33" i="111"/>
  <c r="U33" i="111"/>
  <c r="V33" i="111"/>
  <c r="W33" i="111"/>
  <c r="X33" i="111"/>
  <c r="Y33" i="111"/>
  <c r="Z33" i="111"/>
  <c r="AA38" i="111" s="1"/>
  <c r="J35" i="111"/>
  <c r="K35" i="111"/>
  <c r="L35" i="111"/>
  <c r="M35" i="111"/>
  <c r="N35" i="111"/>
  <c r="O35" i="111"/>
  <c r="P35" i="111"/>
  <c r="Q35" i="111"/>
  <c r="R35" i="111"/>
  <c r="S35" i="111"/>
  <c r="T35" i="111"/>
  <c r="Y35" i="111"/>
  <c r="Z35" i="111"/>
  <c r="B36" i="111"/>
  <c r="B37" i="111"/>
  <c r="B38" i="111"/>
  <c r="J45" i="111"/>
  <c r="K45" i="111"/>
  <c r="L45" i="111"/>
  <c r="M45" i="111"/>
  <c r="N45" i="111"/>
  <c r="O45" i="111"/>
  <c r="P45" i="111"/>
  <c r="Q45" i="111"/>
  <c r="R45" i="111"/>
  <c r="S45" i="111"/>
  <c r="T45" i="111"/>
  <c r="Y45" i="111"/>
  <c r="Z45" i="111"/>
  <c r="B46" i="111"/>
  <c r="C46" i="111"/>
  <c r="D46" i="111"/>
  <c r="E46" i="111"/>
  <c r="F46" i="111"/>
  <c r="G46" i="111"/>
  <c r="H46" i="111"/>
  <c r="I46" i="111"/>
  <c r="J46" i="111"/>
  <c r="B47" i="111"/>
  <c r="C47" i="111"/>
  <c r="D47" i="111"/>
  <c r="E47" i="111"/>
  <c r="F47" i="111"/>
  <c r="G47" i="111"/>
  <c r="H47" i="111"/>
  <c r="I47" i="111"/>
  <c r="J47" i="111"/>
  <c r="B48" i="111"/>
  <c r="C48" i="111"/>
  <c r="D48" i="111"/>
  <c r="E48" i="111"/>
  <c r="F48" i="111"/>
  <c r="G48" i="111"/>
  <c r="H48" i="111"/>
  <c r="I48" i="111"/>
  <c r="J48" i="111"/>
  <c r="J50" i="111"/>
  <c r="K50" i="111"/>
  <c r="L50" i="111"/>
  <c r="M50" i="111"/>
  <c r="N50" i="111"/>
  <c r="O50" i="111"/>
  <c r="P50" i="111"/>
  <c r="Q50" i="111"/>
  <c r="R50" i="111"/>
  <c r="S50" i="111"/>
  <c r="T50" i="111"/>
  <c r="Y50" i="111"/>
  <c r="Z50" i="111"/>
  <c r="B51" i="111"/>
  <c r="C51" i="111"/>
  <c r="D51" i="111"/>
  <c r="E51" i="111"/>
  <c r="F51" i="111"/>
  <c r="G51" i="111"/>
  <c r="H51" i="111"/>
  <c r="I51" i="111"/>
  <c r="J51" i="111"/>
  <c r="K51" i="111"/>
  <c r="L51" i="111"/>
  <c r="M51" i="111"/>
  <c r="N51" i="111"/>
  <c r="O51" i="111"/>
  <c r="P51" i="111"/>
  <c r="Q51" i="111"/>
  <c r="R51" i="111"/>
  <c r="S51" i="111"/>
  <c r="T51" i="111"/>
  <c r="U51" i="111"/>
  <c r="V51" i="111"/>
  <c r="W51" i="111"/>
  <c r="X51" i="111"/>
  <c r="Y51" i="111"/>
  <c r="Z51" i="111"/>
  <c r="AA56" i="111" s="1"/>
  <c r="B52" i="111"/>
  <c r="C52" i="111"/>
  <c r="D52" i="111"/>
  <c r="E52" i="111"/>
  <c r="F52" i="111"/>
  <c r="G52" i="111"/>
  <c r="H52" i="111"/>
  <c r="I52" i="111"/>
  <c r="J52" i="111"/>
  <c r="K52" i="111"/>
  <c r="L52" i="111"/>
  <c r="M52" i="111"/>
  <c r="N52" i="111"/>
  <c r="O52" i="111"/>
  <c r="P52" i="111"/>
  <c r="Q52" i="111"/>
  <c r="R52" i="111"/>
  <c r="S52" i="111"/>
  <c r="T52" i="111"/>
  <c r="U52" i="111"/>
  <c r="V52" i="111"/>
  <c r="W52" i="111"/>
  <c r="X52" i="111"/>
  <c r="Y52" i="111"/>
  <c r="Z52" i="111"/>
  <c r="AA57" i="111" s="1"/>
  <c r="B53" i="111"/>
  <c r="C53" i="111"/>
  <c r="D53" i="111"/>
  <c r="E53" i="111"/>
  <c r="F53" i="111"/>
  <c r="G53" i="111"/>
  <c r="H53" i="111"/>
  <c r="I53" i="111"/>
  <c r="J53" i="111"/>
  <c r="K53" i="111"/>
  <c r="L53" i="111"/>
  <c r="M53" i="111"/>
  <c r="N53" i="111"/>
  <c r="O53" i="111"/>
  <c r="P53" i="111"/>
  <c r="Q53" i="111"/>
  <c r="R53" i="111"/>
  <c r="S53" i="111"/>
  <c r="T53" i="111"/>
  <c r="U53" i="111"/>
  <c r="V53" i="111"/>
  <c r="W53" i="111"/>
  <c r="X53" i="111"/>
  <c r="Y53" i="111"/>
  <c r="Z53" i="111"/>
  <c r="AA58" i="111" s="1"/>
  <c r="J55" i="111"/>
  <c r="K55" i="111"/>
  <c r="L55" i="111"/>
  <c r="M55" i="111"/>
  <c r="N55" i="111"/>
  <c r="O55" i="111"/>
  <c r="P55" i="111"/>
  <c r="Q55" i="111"/>
  <c r="R55" i="111"/>
  <c r="S55" i="111"/>
  <c r="T55" i="111"/>
  <c r="Y55" i="111"/>
  <c r="Z55" i="111"/>
  <c r="B56" i="111"/>
  <c r="B57" i="111"/>
  <c r="B58" i="111"/>
  <c r="J60" i="111"/>
  <c r="K60" i="111"/>
  <c r="L60" i="111"/>
  <c r="M60" i="111"/>
  <c r="N60" i="111"/>
  <c r="O60" i="111"/>
  <c r="P60" i="111"/>
  <c r="Q60" i="111"/>
  <c r="R60" i="111"/>
  <c r="S60" i="111"/>
  <c r="T60" i="111"/>
  <c r="Y60" i="111"/>
  <c r="Z60" i="111"/>
  <c r="B61" i="111"/>
  <c r="B62" i="111"/>
  <c r="C62" i="111"/>
  <c r="D62" i="111"/>
  <c r="E62" i="111"/>
  <c r="F62" i="111"/>
  <c r="G62" i="111"/>
  <c r="H62" i="111"/>
  <c r="I62" i="111"/>
  <c r="B63" i="111"/>
  <c r="C63" i="111"/>
  <c r="D63" i="111"/>
  <c r="E63" i="111"/>
  <c r="F63" i="111"/>
  <c r="G63" i="111"/>
  <c r="H63" i="111"/>
  <c r="I63" i="111"/>
  <c r="B64" i="111"/>
  <c r="G64" i="111"/>
  <c r="H64" i="111"/>
  <c r="I64" i="111"/>
  <c r="J66" i="111"/>
  <c r="K66" i="111"/>
  <c r="L66" i="111"/>
  <c r="M66" i="111"/>
  <c r="N66" i="111"/>
  <c r="O66" i="111"/>
  <c r="P66" i="111"/>
  <c r="Q66" i="111"/>
  <c r="R66" i="111"/>
  <c r="S66" i="111"/>
  <c r="T66" i="111"/>
  <c r="Y66" i="111"/>
  <c r="Z66" i="111"/>
  <c r="B67" i="111"/>
  <c r="B68" i="111"/>
  <c r="C68" i="111"/>
  <c r="D68" i="111"/>
  <c r="E68" i="111"/>
  <c r="F68" i="111"/>
  <c r="G68" i="111"/>
  <c r="H68" i="111"/>
  <c r="I68" i="111"/>
  <c r="J68" i="111"/>
  <c r="K68" i="111"/>
  <c r="L68" i="111"/>
  <c r="M68" i="111"/>
  <c r="N68" i="111"/>
  <c r="O68" i="111"/>
  <c r="B69" i="111"/>
  <c r="C69" i="111"/>
  <c r="D69" i="111"/>
  <c r="E69" i="111"/>
  <c r="F69" i="111"/>
  <c r="G69" i="111"/>
  <c r="B70" i="111"/>
  <c r="C70" i="111"/>
  <c r="D70" i="111"/>
  <c r="E70" i="111"/>
  <c r="T70" i="111"/>
  <c r="U70" i="111"/>
  <c r="V70" i="111"/>
  <c r="W70" i="111"/>
  <c r="X70" i="111"/>
  <c r="Y70" i="111"/>
  <c r="Z70" i="111"/>
  <c r="J94" i="111"/>
  <c r="K94" i="111"/>
  <c r="L94" i="111"/>
  <c r="M94" i="111"/>
  <c r="N94" i="111"/>
  <c r="O94" i="111"/>
  <c r="P94" i="111"/>
  <c r="Q94" i="111"/>
  <c r="R94" i="111"/>
  <c r="S94" i="111"/>
  <c r="T94" i="111"/>
  <c r="Y94" i="111"/>
  <c r="Z94" i="111"/>
  <c r="B95" i="111"/>
  <c r="C95" i="111"/>
  <c r="D95" i="111"/>
  <c r="E95" i="111"/>
  <c r="F95" i="111"/>
  <c r="G95" i="111"/>
  <c r="H95" i="111"/>
  <c r="I95" i="111"/>
  <c r="J95" i="111"/>
  <c r="K95" i="111"/>
  <c r="L95" i="111"/>
  <c r="M95" i="111"/>
  <c r="N95" i="111"/>
  <c r="O95" i="111"/>
  <c r="P95" i="111"/>
  <c r="Q95" i="111"/>
  <c r="R95" i="111"/>
  <c r="S95" i="111"/>
  <c r="T95" i="111"/>
  <c r="U95" i="111"/>
  <c r="V95" i="111"/>
  <c r="W95" i="111"/>
  <c r="X95" i="111"/>
  <c r="Y95" i="111"/>
  <c r="Z95" i="111"/>
  <c r="B96" i="111"/>
  <c r="C96" i="111"/>
  <c r="D96" i="111"/>
  <c r="E96" i="111"/>
  <c r="F96" i="111"/>
  <c r="G96" i="111"/>
  <c r="H96" i="111"/>
  <c r="I96" i="111"/>
  <c r="J96" i="111"/>
  <c r="K96" i="111"/>
  <c r="L96" i="111"/>
  <c r="M96" i="111"/>
  <c r="N96" i="111"/>
  <c r="O96" i="111"/>
  <c r="P96" i="111"/>
  <c r="Q96" i="111"/>
  <c r="R96" i="111"/>
  <c r="S96" i="111"/>
  <c r="T96" i="111"/>
  <c r="U96" i="111"/>
  <c r="V96" i="111"/>
  <c r="W96" i="111"/>
  <c r="X96" i="111"/>
  <c r="Y96" i="111"/>
  <c r="Z96" i="111"/>
  <c r="B97" i="111"/>
  <c r="C97" i="111"/>
  <c r="D97" i="111"/>
  <c r="E97" i="111"/>
  <c r="F97" i="111"/>
  <c r="G97" i="111"/>
  <c r="H97" i="111"/>
  <c r="I97" i="111"/>
  <c r="J97" i="111"/>
  <c r="K97" i="111"/>
  <c r="L97" i="111"/>
  <c r="M97" i="111"/>
  <c r="N97" i="111"/>
  <c r="O97" i="111"/>
  <c r="P97" i="111"/>
  <c r="Q97" i="111"/>
  <c r="R97" i="111"/>
  <c r="S97" i="111"/>
  <c r="T97" i="111"/>
  <c r="U97" i="111"/>
  <c r="V97" i="111"/>
  <c r="W97" i="111"/>
  <c r="X97" i="111"/>
  <c r="Y97" i="111"/>
  <c r="Z97" i="111"/>
  <c r="J99" i="111"/>
  <c r="K99" i="111"/>
  <c r="L99" i="111"/>
  <c r="M99" i="111"/>
  <c r="N99" i="111"/>
  <c r="O99" i="111"/>
  <c r="P99" i="111"/>
  <c r="Q99" i="111"/>
  <c r="R99" i="111"/>
  <c r="S99" i="111"/>
  <c r="T99" i="111"/>
  <c r="Y99" i="111"/>
  <c r="Z99" i="111"/>
  <c r="B100" i="111"/>
  <c r="B101" i="111"/>
  <c r="B102" i="111"/>
  <c r="J109" i="111"/>
  <c r="K109" i="111"/>
  <c r="L109" i="111"/>
  <c r="M109" i="111"/>
  <c r="N109" i="111"/>
  <c r="O109" i="111"/>
  <c r="P109" i="111"/>
  <c r="Q109" i="111"/>
  <c r="R109" i="111"/>
  <c r="S109" i="111"/>
  <c r="T109" i="111"/>
  <c r="Y109" i="111"/>
  <c r="Z109" i="111"/>
  <c r="B110" i="111"/>
  <c r="C110" i="111"/>
  <c r="D110" i="111"/>
  <c r="E110" i="111"/>
  <c r="F110" i="111"/>
  <c r="G110" i="111"/>
  <c r="H110" i="111"/>
  <c r="I110" i="111"/>
  <c r="J110" i="111"/>
  <c r="K110" i="111"/>
  <c r="L110" i="111"/>
  <c r="M110" i="111"/>
  <c r="N110" i="111"/>
  <c r="O110" i="111"/>
  <c r="P110" i="111"/>
  <c r="Q110" i="111"/>
  <c r="R110" i="111"/>
  <c r="S110" i="111"/>
  <c r="T110" i="111"/>
  <c r="U110" i="111"/>
  <c r="V110" i="111"/>
  <c r="X110" i="111"/>
  <c r="Y110" i="111"/>
  <c r="Z110" i="111"/>
  <c r="B111" i="111"/>
  <c r="C111" i="111"/>
  <c r="D111" i="111"/>
  <c r="E111" i="111"/>
  <c r="F111" i="111"/>
  <c r="G111" i="111"/>
  <c r="H111" i="111"/>
  <c r="I111" i="111"/>
  <c r="J111" i="111"/>
  <c r="K111" i="111"/>
  <c r="L111" i="111"/>
  <c r="M111" i="111"/>
  <c r="N111" i="111"/>
  <c r="O111" i="111"/>
  <c r="P111" i="111"/>
  <c r="Q111" i="111"/>
  <c r="R111" i="111"/>
  <c r="S111" i="111"/>
  <c r="T111" i="111"/>
  <c r="U111" i="111"/>
  <c r="V111" i="111"/>
  <c r="X111" i="111"/>
  <c r="Y111" i="111"/>
  <c r="Z111" i="111"/>
  <c r="B112" i="111"/>
  <c r="C112" i="111"/>
  <c r="D112" i="111"/>
  <c r="E112" i="111"/>
  <c r="F112" i="111"/>
  <c r="G112" i="111"/>
  <c r="H112" i="111"/>
  <c r="I112" i="111"/>
  <c r="J112" i="111"/>
  <c r="K112" i="111"/>
  <c r="L112" i="111"/>
  <c r="M112" i="111"/>
  <c r="N112" i="111"/>
  <c r="O112" i="111"/>
  <c r="P112" i="111"/>
  <c r="Q112" i="111"/>
  <c r="R112" i="111"/>
  <c r="S112" i="111"/>
  <c r="T112" i="111"/>
  <c r="U112" i="111"/>
  <c r="V112" i="111"/>
  <c r="X112" i="111"/>
  <c r="Y112" i="111"/>
  <c r="Z112" i="111"/>
  <c r="B113" i="111"/>
  <c r="C113" i="111"/>
  <c r="D113" i="111"/>
  <c r="J114" i="111"/>
  <c r="K114" i="111"/>
  <c r="L114" i="111"/>
  <c r="M114" i="111"/>
  <c r="N114" i="111"/>
  <c r="O114" i="111"/>
  <c r="P114" i="111"/>
  <c r="Q114" i="111"/>
  <c r="R114" i="111"/>
  <c r="S114" i="111"/>
  <c r="T114" i="111"/>
  <c r="Y114" i="111"/>
  <c r="Z114" i="111"/>
  <c r="B115" i="111"/>
  <c r="C115" i="111"/>
  <c r="D115" i="111"/>
  <c r="E115" i="111"/>
  <c r="F115" i="111"/>
  <c r="G115" i="111"/>
  <c r="H115" i="111"/>
  <c r="I115" i="111"/>
  <c r="J115" i="111"/>
  <c r="K115" i="111"/>
  <c r="L115" i="111"/>
  <c r="M115" i="111"/>
  <c r="N115" i="111"/>
  <c r="O115" i="111"/>
  <c r="P115" i="111"/>
  <c r="Q115" i="111"/>
  <c r="R115" i="111"/>
  <c r="S115" i="111"/>
  <c r="T115" i="111"/>
  <c r="U115" i="111"/>
  <c r="V115" i="111"/>
  <c r="X115" i="111"/>
  <c r="Y115" i="111"/>
  <c r="Z115" i="111"/>
  <c r="B116" i="111"/>
  <c r="C116" i="111"/>
  <c r="D116" i="111"/>
  <c r="E116" i="111"/>
  <c r="F116" i="111"/>
  <c r="G116" i="111"/>
  <c r="H116" i="111"/>
  <c r="I116" i="111"/>
  <c r="J116" i="111"/>
  <c r="K116" i="111"/>
  <c r="L116" i="111"/>
  <c r="M116" i="111"/>
  <c r="N116" i="111"/>
  <c r="O116" i="111"/>
  <c r="P116" i="111"/>
  <c r="Q116" i="111"/>
  <c r="R116" i="111"/>
  <c r="S116" i="111"/>
  <c r="T116" i="111"/>
  <c r="U116" i="111"/>
  <c r="V116" i="111"/>
  <c r="X116" i="111"/>
  <c r="Y116" i="111"/>
  <c r="Z116" i="111"/>
  <c r="B117" i="111"/>
  <c r="C117" i="111"/>
  <c r="D117" i="111"/>
  <c r="E117" i="111"/>
  <c r="F117" i="111"/>
  <c r="G117" i="111"/>
  <c r="H117" i="111"/>
  <c r="I117" i="111"/>
  <c r="J117" i="111"/>
  <c r="K117" i="111"/>
  <c r="L117" i="111"/>
  <c r="M117" i="111"/>
  <c r="N117" i="111"/>
  <c r="O117" i="111"/>
  <c r="P117" i="111"/>
  <c r="Q117" i="111"/>
  <c r="R117" i="111"/>
  <c r="S117" i="111"/>
  <c r="T117" i="111"/>
  <c r="U117" i="111"/>
  <c r="V117" i="111"/>
  <c r="X117" i="111"/>
  <c r="Y117" i="111"/>
  <c r="Z117" i="111"/>
  <c r="B120" i="111"/>
  <c r="C120" i="111"/>
  <c r="D120" i="111"/>
  <c r="E120" i="111"/>
  <c r="F120" i="111"/>
  <c r="G120" i="111"/>
  <c r="H120" i="111"/>
  <c r="I120" i="111"/>
  <c r="J121" i="111"/>
  <c r="K121" i="111"/>
  <c r="L121" i="111"/>
  <c r="M121" i="111"/>
  <c r="N121" i="111"/>
  <c r="O121" i="111"/>
  <c r="P121" i="111"/>
  <c r="Q121" i="111"/>
  <c r="R121" i="111"/>
  <c r="S121" i="111"/>
  <c r="T121" i="111"/>
  <c r="Y121" i="111"/>
  <c r="Z121" i="111"/>
  <c r="B122" i="111"/>
  <c r="C122" i="111"/>
  <c r="D122" i="111"/>
  <c r="E122" i="111"/>
  <c r="F122" i="111"/>
  <c r="G122" i="111"/>
  <c r="H122" i="111"/>
  <c r="I122" i="111"/>
  <c r="J122" i="111"/>
  <c r="K122" i="111"/>
  <c r="L122" i="111"/>
  <c r="M122" i="111"/>
  <c r="N122" i="111"/>
  <c r="O122" i="111"/>
  <c r="P122" i="111"/>
  <c r="Q122" i="111"/>
  <c r="R122" i="111"/>
  <c r="S122" i="111"/>
  <c r="T122" i="111"/>
  <c r="U122" i="111"/>
  <c r="V122" i="111"/>
  <c r="X122" i="111"/>
  <c r="Y122" i="111"/>
  <c r="Z122" i="111"/>
  <c r="B123" i="111"/>
  <c r="C123" i="111"/>
  <c r="D123" i="111"/>
  <c r="E123" i="111"/>
  <c r="F123" i="111"/>
  <c r="G123" i="111"/>
  <c r="H123" i="111"/>
  <c r="I123" i="111"/>
  <c r="J123" i="111"/>
  <c r="K123" i="111"/>
  <c r="L123" i="111"/>
  <c r="M123" i="111"/>
  <c r="N123" i="111"/>
  <c r="O123" i="111"/>
  <c r="P123" i="111"/>
  <c r="Q123" i="111"/>
  <c r="R123" i="111"/>
  <c r="S123" i="111"/>
  <c r="T123" i="111"/>
  <c r="U123" i="111"/>
  <c r="V123" i="111"/>
  <c r="X123" i="111"/>
  <c r="Y123" i="111"/>
  <c r="Z123" i="111"/>
  <c r="B124" i="111"/>
  <c r="C124" i="111"/>
  <c r="D124" i="111"/>
  <c r="E124" i="111"/>
  <c r="F124" i="111"/>
  <c r="G124" i="111"/>
  <c r="H124" i="111"/>
  <c r="I124" i="111"/>
  <c r="J124" i="111"/>
  <c r="K124" i="111"/>
  <c r="L124" i="111"/>
  <c r="M124" i="111"/>
  <c r="N124" i="111"/>
  <c r="O124" i="111"/>
  <c r="P124" i="111"/>
  <c r="Q124" i="111"/>
  <c r="R124" i="111"/>
  <c r="S124" i="111"/>
  <c r="T124" i="111"/>
  <c r="U124" i="111"/>
  <c r="V124" i="111"/>
  <c r="X124" i="111"/>
  <c r="Y124" i="111"/>
  <c r="Z124" i="111"/>
  <c r="B125" i="111"/>
  <c r="C125" i="111"/>
  <c r="D125" i="111"/>
  <c r="E125" i="111"/>
  <c r="F125" i="111"/>
  <c r="G125" i="111"/>
  <c r="S126" i="111"/>
  <c r="T126" i="111"/>
  <c r="B127" i="111"/>
  <c r="C127" i="111"/>
  <c r="D127" i="111"/>
  <c r="E127" i="111"/>
  <c r="F127" i="111"/>
  <c r="G127" i="111"/>
  <c r="H127" i="111"/>
  <c r="I127" i="111"/>
  <c r="B128" i="111"/>
  <c r="C128" i="111"/>
  <c r="D128" i="111"/>
  <c r="E128" i="111"/>
  <c r="F128" i="111"/>
  <c r="G128" i="111"/>
  <c r="H128" i="111"/>
  <c r="I128" i="111"/>
  <c r="B129" i="111"/>
  <c r="C129" i="111"/>
  <c r="D129" i="111"/>
  <c r="E129" i="111"/>
  <c r="F129" i="111"/>
  <c r="G129" i="111"/>
  <c r="H129" i="111"/>
  <c r="I129" i="111"/>
  <c r="B130" i="111"/>
  <c r="C130" i="111"/>
  <c r="D130" i="111"/>
  <c r="E130" i="111"/>
  <c r="F130" i="111"/>
  <c r="G130" i="111"/>
  <c r="H130" i="111"/>
  <c r="I130" i="111"/>
  <c r="J134" i="111"/>
  <c r="K134" i="111"/>
  <c r="L134" i="111"/>
  <c r="M134" i="111"/>
  <c r="N134" i="111"/>
  <c r="O134" i="111"/>
  <c r="P134" i="111"/>
  <c r="Q134" i="111"/>
  <c r="R134" i="111"/>
  <c r="S134" i="111"/>
  <c r="T134" i="111"/>
  <c r="Y134" i="111"/>
  <c r="Z134" i="111"/>
  <c r="B135" i="111"/>
  <c r="C135" i="111"/>
  <c r="D135" i="111"/>
  <c r="E135" i="111"/>
  <c r="F135" i="111"/>
  <c r="G135" i="111"/>
  <c r="H135" i="111"/>
  <c r="I135" i="111"/>
  <c r="J135" i="111"/>
  <c r="K135" i="111"/>
  <c r="L135" i="111"/>
  <c r="M135" i="111"/>
  <c r="N135" i="111"/>
  <c r="O135" i="111"/>
  <c r="P135" i="111"/>
  <c r="Q135" i="111"/>
  <c r="R135" i="111"/>
  <c r="S135" i="111"/>
  <c r="T135" i="111"/>
  <c r="U135" i="111"/>
  <c r="V135" i="111"/>
  <c r="W135" i="111"/>
  <c r="X135" i="111"/>
  <c r="Y135" i="111"/>
  <c r="Z135" i="111"/>
  <c r="B136" i="111"/>
  <c r="C136" i="111"/>
  <c r="D136" i="111"/>
  <c r="E136" i="111"/>
  <c r="F136" i="111"/>
  <c r="G136" i="111"/>
  <c r="H136" i="111"/>
  <c r="I136" i="111"/>
  <c r="J136" i="111"/>
  <c r="K136" i="111"/>
  <c r="L136" i="111"/>
  <c r="M136" i="111"/>
  <c r="N136" i="111"/>
  <c r="O136" i="111"/>
  <c r="P136" i="111"/>
  <c r="Q136" i="111"/>
  <c r="R136" i="111"/>
  <c r="S136" i="111"/>
  <c r="T136" i="111"/>
  <c r="U136" i="111"/>
  <c r="V136" i="111"/>
  <c r="W136" i="111"/>
  <c r="X136" i="111"/>
  <c r="Y136" i="111"/>
  <c r="Z136" i="111"/>
  <c r="B137" i="111"/>
  <c r="C137" i="111"/>
  <c r="D137" i="111"/>
  <c r="E137" i="111"/>
  <c r="F137" i="111"/>
  <c r="G137" i="111"/>
  <c r="H137" i="111"/>
  <c r="I137" i="111"/>
  <c r="J137" i="111"/>
  <c r="K137" i="111"/>
  <c r="L137" i="111"/>
  <c r="M137" i="111"/>
  <c r="N137" i="111"/>
  <c r="O137" i="111"/>
  <c r="P137" i="111"/>
  <c r="Q137" i="111"/>
  <c r="R137" i="111"/>
  <c r="S137" i="111"/>
  <c r="T137" i="111"/>
  <c r="U137" i="111"/>
  <c r="V137" i="111"/>
  <c r="W137" i="111"/>
  <c r="X137" i="111"/>
  <c r="Y137" i="111"/>
  <c r="Z137" i="111"/>
  <c r="S139" i="111"/>
  <c r="T139" i="111"/>
  <c r="B140" i="111"/>
  <c r="C140" i="111"/>
  <c r="D140" i="111"/>
  <c r="E140" i="111"/>
  <c r="F140" i="111"/>
  <c r="G140" i="111"/>
  <c r="H140" i="111"/>
  <c r="I140" i="111"/>
  <c r="B141" i="111"/>
  <c r="C141" i="111"/>
  <c r="D141" i="111"/>
  <c r="E141" i="111"/>
  <c r="F141" i="111"/>
  <c r="G141" i="111"/>
  <c r="H141" i="111"/>
  <c r="I141" i="111"/>
  <c r="B142" i="111"/>
  <c r="C142" i="111"/>
  <c r="D142" i="111"/>
  <c r="E142" i="111"/>
  <c r="F142" i="111"/>
  <c r="G142" i="111"/>
  <c r="H142" i="111"/>
  <c r="I142" i="111"/>
  <c r="S144" i="111"/>
  <c r="T144" i="111"/>
  <c r="B145" i="111"/>
  <c r="C145" i="111"/>
  <c r="D145" i="111"/>
  <c r="E145" i="111"/>
  <c r="F145" i="111"/>
  <c r="G145" i="111"/>
  <c r="H145" i="111"/>
  <c r="I145" i="111"/>
  <c r="J145" i="111"/>
  <c r="K145" i="111"/>
  <c r="L145" i="111"/>
  <c r="M145" i="111"/>
  <c r="N145" i="111"/>
  <c r="O145" i="111"/>
  <c r="P145" i="111"/>
  <c r="Q145" i="111"/>
  <c r="R145" i="111"/>
  <c r="S145" i="111"/>
  <c r="T145" i="111"/>
  <c r="U145" i="111"/>
  <c r="V145" i="111"/>
  <c r="W145" i="111"/>
  <c r="X145" i="111"/>
  <c r="Y145" i="111"/>
  <c r="Z145" i="111"/>
  <c r="B146" i="111"/>
  <c r="C146" i="111"/>
  <c r="D146" i="111"/>
  <c r="E146" i="111"/>
  <c r="F146" i="111"/>
  <c r="G146" i="111"/>
  <c r="H146" i="111"/>
  <c r="I146" i="111"/>
  <c r="J146" i="111"/>
  <c r="K146" i="111"/>
  <c r="L146" i="111"/>
  <c r="M146" i="111"/>
  <c r="N146" i="111"/>
  <c r="O146" i="111"/>
  <c r="P146" i="111"/>
  <c r="Q146" i="111"/>
  <c r="R146" i="111"/>
  <c r="S146" i="111"/>
  <c r="T146" i="111"/>
  <c r="U146" i="111"/>
  <c r="V146" i="111"/>
  <c r="W146" i="111"/>
  <c r="X146" i="111"/>
  <c r="Y146" i="111"/>
  <c r="Z146" i="111"/>
  <c r="B147" i="111"/>
  <c r="C147" i="111"/>
  <c r="D147" i="111"/>
  <c r="E147" i="111"/>
  <c r="F147" i="111"/>
  <c r="G147" i="111"/>
  <c r="H147" i="111"/>
  <c r="I147" i="111"/>
  <c r="J147" i="111"/>
  <c r="K147" i="111"/>
  <c r="L147" i="111"/>
  <c r="M147" i="111"/>
  <c r="N147" i="111"/>
  <c r="O147" i="111"/>
  <c r="P147" i="111"/>
  <c r="Q147" i="111"/>
  <c r="R147" i="111"/>
  <c r="S147" i="111"/>
  <c r="T147" i="111"/>
  <c r="U147" i="111"/>
  <c r="V147" i="111"/>
  <c r="W147" i="111"/>
  <c r="X147" i="111"/>
  <c r="Y147" i="111"/>
  <c r="Z147" i="111"/>
  <c r="S149" i="111"/>
  <c r="T149" i="111"/>
  <c r="S154" i="111"/>
  <c r="B155" i="111"/>
  <c r="C155" i="111"/>
  <c r="D155" i="111"/>
  <c r="E155" i="111"/>
  <c r="F155" i="111"/>
  <c r="G155" i="111"/>
  <c r="H155" i="111"/>
  <c r="I155" i="111"/>
  <c r="J155" i="111"/>
  <c r="K155" i="111"/>
  <c r="L155" i="111"/>
  <c r="M155" i="111"/>
  <c r="N155" i="111"/>
  <c r="O155" i="111"/>
  <c r="P155" i="111"/>
  <c r="Q155" i="111"/>
  <c r="R155" i="111"/>
  <c r="S155" i="111"/>
  <c r="T155" i="111"/>
  <c r="U155" i="111"/>
  <c r="V155" i="111"/>
  <c r="W155" i="111"/>
  <c r="X155" i="111"/>
  <c r="Y155" i="111"/>
  <c r="Z155" i="111"/>
  <c r="AA188" i="111" s="1"/>
  <c r="B156" i="111"/>
  <c r="C156" i="111"/>
  <c r="D156" i="111"/>
  <c r="E156" i="111"/>
  <c r="F156" i="111"/>
  <c r="G156" i="111"/>
  <c r="H156" i="111"/>
  <c r="I156" i="111"/>
  <c r="J156" i="111"/>
  <c r="K156" i="111"/>
  <c r="L156" i="111"/>
  <c r="M156" i="111"/>
  <c r="N156" i="111"/>
  <c r="O156" i="111"/>
  <c r="P156" i="111"/>
  <c r="Q156" i="111"/>
  <c r="R156" i="111"/>
  <c r="S156" i="111"/>
  <c r="T156" i="111"/>
  <c r="U156" i="111"/>
  <c r="V156" i="111"/>
  <c r="W156" i="111"/>
  <c r="X156" i="111"/>
  <c r="Y156" i="111"/>
  <c r="Z156" i="111"/>
  <c r="AA189" i="111" s="1"/>
  <c r="B157" i="111"/>
  <c r="C157" i="111"/>
  <c r="D157" i="111"/>
  <c r="E157" i="111"/>
  <c r="F157" i="111"/>
  <c r="G157" i="111"/>
  <c r="H157" i="111"/>
  <c r="I157" i="111"/>
  <c r="J157" i="111"/>
  <c r="K157" i="111"/>
  <c r="L157" i="111"/>
  <c r="M157" i="111"/>
  <c r="N157" i="111"/>
  <c r="O157" i="111"/>
  <c r="P157" i="111"/>
  <c r="Q157" i="111"/>
  <c r="R157" i="111"/>
  <c r="S157" i="111"/>
  <c r="T157" i="111"/>
  <c r="U157" i="111"/>
  <c r="V157" i="111"/>
  <c r="W157" i="111"/>
  <c r="X157" i="111"/>
  <c r="Y157" i="111"/>
  <c r="Z157" i="111"/>
  <c r="AA190" i="111" s="1"/>
  <c r="B158" i="111"/>
  <c r="C158" i="111"/>
  <c r="D158" i="111"/>
  <c r="E158" i="111"/>
  <c r="F158" i="111"/>
  <c r="G158" i="111"/>
  <c r="H158" i="111"/>
  <c r="I158" i="111"/>
  <c r="J158" i="111"/>
  <c r="K158" i="111"/>
  <c r="L158" i="111"/>
  <c r="M158" i="111"/>
  <c r="N158" i="111"/>
  <c r="O158" i="111"/>
  <c r="P158" i="111"/>
  <c r="Q158" i="111"/>
  <c r="R158" i="111"/>
  <c r="S158" i="111"/>
  <c r="T158" i="111"/>
  <c r="U158" i="111"/>
  <c r="V158" i="111"/>
  <c r="W158" i="111"/>
  <c r="X158" i="111"/>
  <c r="Y158" i="111"/>
  <c r="Z158" i="111"/>
  <c r="AA191" i="111" s="1"/>
  <c r="S170" i="111"/>
  <c r="T170" i="111"/>
  <c r="B171" i="111"/>
  <c r="C171" i="111"/>
  <c r="D171" i="111"/>
  <c r="E171" i="111"/>
  <c r="F171" i="111"/>
  <c r="G171" i="111"/>
  <c r="H171" i="111"/>
  <c r="I171" i="111"/>
  <c r="J171" i="111"/>
  <c r="K171" i="111"/>
  <c r="L171" i="111"/>
  <c r="M171" i="111"/>
  <c r="N171" i="111"/>
  <c r="O171" i="111"/>
  <c r="P171" i="111"/>
  <c r="Q171" i="111"/>
  <c r="R171" i="111"/>
  <c r="S171" i="111"/>
  <c r="T171" i="111"/>
  <c r="U171" i="111"/>
  <c r="V171" i="111"/>
  <c r="W171" i="111"/>
  <c r="X171" i="111"/>
  <c r="Y171" i="111"/>
  <c r="Z171" i="111"/>
  <c r="B172" i="111"/>
  <c r="C172" i="111"/>
  <c r="D172" i="111"/>
  <c r="E172" i="111"/>
  <c r="F172" i="111"/>
  <c r="G172" i="111"/>
  <c r="H172" i="111"/>
  <c r="I172" i="111"/>
  <c r="J172" i="111"/>
  <c r="K172" i="111"/>
  <c r="L172" i="111"/>
  <c r="M172" i="111"/>
  <c r="N172" i="111"/>
  <c r="O172" i="111"/>
  <c r="P172" i="111"/>
  <c r="Q172" i="111"/>
  <c r="R172" i="111"/>
  <c r="S172" i="111"/>
  <c r="T172" i="111"/>
  <c r="U172" i="111"/>
  <c r="V172" i="111"/>
  <c r="W172" i="111"/>
  <c r="X172" i="111"/>
  <c r="Y172" i="111"/>
  <c r="Z172" i="111"/>
  <c r="B173" i="111"/>
  <c r="C173" i="111"/>
  <c r="D173" i="111"/>
  <c r="E173" i="111"/>
  <c r="F173" i="111"/>
  <c r="G173" i="111"/>
  <c r="H173" i="111"/>
  <c r="I173" i="111"/>
  <c r="J173" i="111"/>
  <c r="K173" i="111"/>
  <c r="L173" i="111"/>
  <c r="M173" i="111"/>
  <c r="N173" i="111"/>
  <c r="O173" i="111"/>
  <c r="P173" i="111"/>
  <c r="Q173" i="111"/>
  <c r="R173" i="111"/>
  <c r="S173" i="111"/>
  <c r="T173" i="111"/>
  <c r="U173" i="111"/>
  <c r="V173" i="111"/>
  <c r="W173" i="111"/>
  <c r="X173" i="111"/>
  <c r="Y173" i="111"/>
  <c r="Z173" i="111"/>
  <c r="S175" i="111"/>
  <c r="T175" i="111"/>
  <c r="B176" i="111"/>
  <c r="C176" i="111"/>
  <c r="D176" i="111"/>
  <c r="E176" i="111"/>
  <c r="F176" i="111"/>
  <c r="G176" i="111"/>
  <c r="H176" i="111"/>
  <c r="I176" i="111"/>
  <c r="J176" i="111"/>
  <c r="K176" i="111"/>
  <c r="L176" i="111"/>
  <c r="M176" i="111"/>
  <c r="N176" i="111"/>
  <c r="O176" i="111"/>
  <c r="P176" i="111"/>
  <c r="Q176" i="111"/>
  <c r="R176" i="111"/>
  <c r="S176" i="111"/>
  <c r="T176" i="111"/>
  <c r="U176" i="111"/>
  <c r="V176" i="111"/>
  <c r="W176" i="111"/>
  <c r="X176" i="111"/>
  <c r="Y176" i="111"/>
  <c r="Z176" i="111"/>
  <c r="AA182" i="111" s="1"/>
  <c r="B177" i="111"/>
  <c r="C177" i="111"/>
  <c r="D177" i="111"/>
  <c r="E177" i="111"/>
  <c r="F177" i="111"/>
  <c r="G177" i="111"/>
  <c r="H177" i="111"/>
  <c r="I177" i="111"/>
  <c r="J177" i="111"/>
  <c r="K177" i="111"/>
  <c r="L177" i="111"/>
  <c r="M177" i="111"/>
  <c r="N177" i="111"/>
  <c r="O177" i="111"/>
  <c r="P177" i="111"/>
  <c r="Q177" i="111"/>
  <c r="R177" i="111"/>
  <c r="S177" i="111"/>
  <c r="T177" i="111"/>
  <c r="U177" i="111"/>
  <c r="V177" i="111"/>
  <c r="W177" i="111"/>
  <c r="X177" i="111"/>
  <c r="Y177" i="111"/>
  <c r="Z177" i="111"/>
  <c r="AA183" i="111" s="1"/>
  <c r="B178" i="111"/>
  <c r="C178" i="111"/>
  <c r="D178" i="111"/>
  <c r="E178" i="111"/>
  <c r="F178" i="111"/>
  <c r="G178" i="111"/>
  <c r="H178" i="111"/>
  <c r="I178" i="111"/>
  <c r="J178" i="111"/>
  <c r="K178" i="111"/>
  <c r="L178" i="111"/>
  <c r="M178" i="111"/>
  <c r="N178" i="111"/>
  <c r="O178" i="111"/>
  <c r="P178" i="111"/>
  <c r="Q178" i="111"/>
  <c r="R178" i="111"/>
  <c r="S178" i="111"/>
  <c r="T178" i="111"/>
  <c r="U178" i="111"/>
  <c r="V178" i="111"/>
  <c r="W178" i="111"/>
  <c r="X178" i="111"/>
  <c r="Y178" i="111"/>
  <c r="Z178" i="111"/>
  <c r="AA184" i="111" s="1"/>
  <c r="A179" i="111"/>
  <c r="A185" i="111" s="1"/>
  <c r="B179" i="111"/>
  <c r="C179" i="111"/>
  <c r="D179" i="111"/>
  <c r="E179" i="111"/>
  <c r="F179" i="111"/>
  <c r="G179" i="111"/>
  <c r="H179" i="111"/>
  <c r="I179" i="111"/>
  <c r="J179" i="111"/>
  <c r="K179" i="111"/>
  <c r="L179" i="111"/>
  <c r="M179" i="111"/>
  <c r="N179" i="111"/>
  <c r="O179" i="111"/>
  <c r="P179" i="111"/>
  <c r="Q179" i="111"/>
  <c r="R179" i="111"/>
  <c r="S179" i="111"/>
  <c r="T179" i="111"/>
  <c r="U179" i="111"/>
  <c r="V179" i="111"/>
  <c r="W179" i="111"/>
  <c r="X179" i="111"/>
  <c r="Y179" i="111"/>
  <c r="Z179" i="111"/>
  <c r="AA185" i="111" s="1"/>
  <c r="S181" i="111"/>
  <c r="T181" i="111"/>
  <c r="B182" i="111"/>
  <c r="B183" i="111"/>
  <c r="B184" i="111"/>
  <c r="B185" i="111"/>
  <c r="S187" i="111"/>
  <c r="T187" i="111"/>
  <c r="B188" i="111"/>
  <c r="B189" i="111"/>
  <c r="B190" i="111"/>
  <c r="A191" i="111"/>
  <c r="B191" i="111"/>
  <c r="S193" i="111"/>
  <c r="T193" i="111"/>
  <c r="B194" i="111"/>
  <c r="B199" i="111" s="1"/>
  <c r="C194" i="111"/>
  <c r="C199" i="111" s="1"/>
  <c r="D194" i="111"/>
  <c r="D199" i="111" s="1"/>
  <c r="E194" i="111"/>
  <c r="E199" i="111" s="1"/>
  <c r="F194" i="111"/>
  <c r="F199" i="111" s="1"/>
  <c r="G194" i="111"/>
  <c r="G199" i="111" s="1"/>
  <c r="H194" i="111"/>
  <c r="H199" i="111" s="1"/>
  <c r="I194" i="111"/>
  <c r="I199" i="111" s="1"/>
  <c r="J194" i="111"/>
  <c r="J199" i="111" s="1"/>
  <c r="K194" i="111"/>
  <c r="K199" i="111" s="1"/>
  <c r="L194" i="111"/>
  <c r="L199" i="111" s="1"/>
  <c r="M194" i="111"/>
  <c r="M199" i="111" s="1"/>
  <c r="N194" i="111"/>
  <c r="B195" i="111"/>
  <c r="C195" i="111"/>
  <c r="D195" i="111"/>
  <c r="E195" i="111"/>
  <c r="F195" i="111"/>
  <c r="G195" i="111"/>
  <c r="H195" i="111"/>
  <c r="I195" i="111"/>
  <c r="J195" i="111"/>
  <c r="K195" i="111"/>
  <c r="L195" i="111"/>
  <c r="M195" i="111"/>
  <c r="N195" i="111"/>
  <c r="B196" i="111"/>
  <c r="C196" i="111"/>
  <c r="D196" i="111"/>
  <c r="E196" i="111"/>
  <c r="F196" i="111"/>
  <c r="G196" i="111"/>
  <c r="H196" i="111"/>
  <c r="I196" i="111"/>
  <c r="J196" i="111"/>
  <c r="K196" i="111"/>
  <c r="L196" i="111"/>
  <c r="M196" i="111"/>
  <c r="N196" i="111"/>
  <c r="B198" i="111"/>
  <c r="C198" i="111"/>
  <c r="D198" i="111"/>
  <c r="E198" i="111"/>
  <c r="F198" i="111"/>
  <c r="G198" i="111"/>
  <c r="H198" i="111"/>
  <c r="I198" i="111"/>
  <c r="S198" i="111"/>
  <c r="T198" i="111"/>
  <c r="A199" i="111"/>
  <c r="A200" i="111"/>
  <c r="A201" i="111"/>
  <c r="S203" i="111"/>
  <c r="T203" i="111"/>
  <c r="B204" i="111"/>
  <c r="C204" i="111"/>
  <c r="D204" i="111"/>
  <c r="E204" i="111"/>
  <c r="F204" i="111"/>
  <c r="G204" i="111"/>
  <c r="H204" i="111"/>
  <c r="I204" i="111"/>
  <c r="J204" i="111"/>
  <c r="K204" i="111"/>
  <c r="L204" i="111"/>
  <c r="M204" i="111"/>
  <c r="N204" i="111"/>
  <c r="B205" i="111"/>
  <c r="C205" i="111"/>
  <c r="D205" i="111"/>
  <c r="E205" i="111"/>
  <c r="F205" i="111"/>
  <c r="G205" i="111"/>
  <c r="H205" i="111"/>
  <c r="I205" i="111"/>
  <c r="J205" i="111"/>
  <c r="K205" i="111"/>
  <c r="L205" i="111"/>
  <c r="M205" i="111"/>
  <c r="N205" i="111"/>
  <c r="B206" i="111"/>
  <c r="C206" i="111"/>
  <c r="D206" i="111"/>
  <c r="E206" i="111"/>
  <c r="F206" i="111"/>
  <c r="G206" i="111"/>
  <c r="H206" i="111"/>
  <c r="I206" i="111"/>
  <c r="J206" i="111"/>
  <c r="K206" i="111"/>
  <c r="L206" i="111"/>
  <c r="M206" i="111"/>
  <c r="N206" i="111"/>
  <c r="S208" i="111"/>
  <c r="T208" i="111"/>
  <c r="B209" i="111"/>
  <c r="B210" i="111"/>
  <c r="B211" i="111"/>
  <c r="S213" i="111"/>
  <c r="T213" i="111"/>
  <c r="B214" i="111"/>
  <c r="C214" i="111"/>
  <c r="D214" i="111"/>
  <c r="E214" i="111"/>
  <c r="F214" i="111"/>
  <c r="G214" i="111"/>
  <c r="H214" i="111"/>
  <c r="I214" i="111"/>
  <c r="J214" i="111"/>
  <c r="K214" i="111"/>
  <c r="L214" i="111"/>
  <c r="M214" i="111"/>
  <c r="N214" i="111"/>
  <c r="O214" i="111"/>
  <c r="B215" i="111"/>
  <c r="C215" i="111"/>
  <c r="D215" i="111"/>
  <c r="E215" i="111"/>
  <c r="F215" i="111"/>
  <c r="G215" i="111"/>
  <c r="H215" i="111"/>
  <c r="I215" i="111"/>
  <c r="J215" i="111"/>
  <c r="K215" i="111"/>
  <c r="L215" i="111"/>
  <c r="M215" i="111"/>
  <c r="N215" i="111"/>
  <c r="O215" i="111"/>
  <c r="B216" i="111"/>
  <c r="C216" i="111"/>
  <c r="D216" i="111"/>
  <c r="E216" i="111"/>
  <c r="F216" i="111"/>
  <c r="G216" i="111"/>
  <c r="H216" i="111"/>
  <c r="I216" i="111"/>
  <c r="J216" i="111"/>
  <c r="K216" i="111"/>
  <c r="L216" i="111"/>
  <c r="M216" i="111"/>
  <c r="N216" i="111"/>
  <c r="O216" i="111"/>
  <c r="S218" i="111"/>
  <c r="T218" i="111"/>
  <c r="B219" i="111"/>
  <c r="C219" i="111"/>
  <c r="D219" i="111"/>
  <c r="E219" i="111"/>
  <c r="F219" i="111"/>
  <c r="G219" i="111"/>
  <c r="H219" i="111"/>
  <c r="I219" i="111"/>
  <c r="J219" i="111"/>
  <c r="K219" i="111"/>
  <c r="L219" i="111"/>
  <c r="M219" i="111"/>
  <c r="N219" i="111"/>
  <c r="O219" i="111"/>
  <c r="P219" i="111"/>
  <c r="Q219" i="111"/>
  <c r="R219" i="111"/>
  <c r="S219" i="111"/>
  <c r="T219" i="111"/>
  <c r="U219" i="111"/>
  <c r="V219" i="111"/>
  <c r="W219" i="111"/>
  <c r="X219" i="111"/>
  <c r="Y219" i="111"/>
  <c r="Z219" i="111"/>
  <c r="B220" i="111"/>
  <c r="C220" i="111"/>
  <c r="D220" i="111"/>
  <c r="E220" i="111"/>
  <c r="F220" i="111"/>
  <c r="G220" i="111"/>
  <c r="H220" i="111"/>
  <c r="I220" i="111"/>
  <c r="J220" i="111"/>
  <c r="K220" i="111"/>
  <c r="L220" i="111"/>
  <c r="M220" i="111"/>
  <c r="N220" i="111"/>
  <c r="O220" i="111"/>
  <c r="P220" i="111"/>
  <c r="Q220" i="111"/>
  <c r="R220" i="111"/>
  <c r="S220" i="111"/>
  <c r="T220" i="111"/>
  <c r="U220" i="111"/>
  <c r="V220" i="111"/>
  <c r="W220" i="111"/>
  <c r="X220" i="111"/>
  <c r="Y220" i="111"/>
  <c r="Z220" i="111"/>
  <c r="B221" i="111"/>
  <c r="C221" i="111"/>
  <c r="D221" i="111"/>
  <c r="E221" i="111"/>
  <c r="F221" i="111"/>
  <c r="G221" i="111"/>
  <c r="H221" i="111"/>
  <c r="I221" i="111"/>
  <c r="J221" i="111"/>
  <c r="K221" i="111"/>
  <c r="L221" i="111"/>
  <c r="M221" i="111"/>
  <c r="N221" i="111"/>
  <c r="O221" i="111"/>
  <c r="P221" i="111"/>
  <c r="Q221" i="111"/>
  <c r="R221" i="111"/>
  <c r="S221" i="111"/>
  <c r="T221" i="111"/>
  <c r="U221" i="111"/>
  <c r="V221" i="111"/>
  <c r="W221" i="111"/>
  <c r="X221" i="111"/>
  <c r="Y221" i="111"/>
  <c r="Z221" i="111"/>
  <c r="S223" i="111"/>
  <c r="T223" i="111"/>
  <c r="B224" i="111"/>
  <c r="C224" i="111"/>
  <c r="D224" i="111"/>
  <c r="E224" i="111"/>
  <c r="F224" i="111"/>
  <c r="G224" i="111"/>
  <c r="H224" i="111"/>
  <c r="I224" i="111"/>
  <c r="J224" i="111"/>
  <c r="K224" i="111"/>
  <c r="L224" i="111"/>
  <c r="M224" i="111"/>
  <c r="N224" i="111"/>
  <c r="O224" i="111"/>
  <c r="P224" i="111"/>
  <c r="Q224" i="111"/>
  <c r="R224" i="111"/>
  <c r="S224" i="111"/>
  <c r="T224" i="111"/>
  <c r="U224" i="111"/>
  <c r="V224" i="111"/>
  <c r="W224" i="111"/>
  <c r="X224" i="111"/>
  <c r="Y224" i="111"/>
  <c r="Z224" i="111"/>
  <c r="B225" i="111"/>
  <c r="C225" i="111"/>
  <c r="D225" i="111"/>
  <c r="E225" i="111"/>
  <c r="F225" i="111"/>
  <c r="G225" i="111"/>
  <c r="H225" i="111"/>
  <c r="I225" i="111"/>
  <c r="J225" i="111"/>
  <c r="K225" i="111"/>
  <c r="L225" i="111"/>
  <c r="M225" i="111"/>
  <c r="N225" i="111"/>
  <c r="O225" i="111"/>
  <c r="P225" i="111"/>
  <c r="Q225" i="111"/>
  <c r="R225" i="111"/>
  <c r="S225" i="111"/>
  <c r="T225" i="111"/>
  <c r="U225" i="111"/>
  <c r="V225" i="111"/>
  <c r="W225" i="111"/>
  <c r="X225" i="111"/>
  <c r="Y225" i="111"/>
  <c r="Z225" i="111"/>
  <c r="B226" i="111"/>
  <c r="C226" i="111"/>
  <c r="D226" i="111"/>
  <c r="E226" i="111"/>
  <c r="F226" i="111"/>
  <c r="G226" i="111"/>
  <c r="H226" i="111"/>
  <c r="I226" i="111"/>
  <c r="J226" i="111"/>
  <c r="K226" i="111"/>
  <c r="L226" i="111"/>
  <c r="M226" i="111"/>
  <c r="N226" i="111"/>
  <c r="O226" i="111"/>
  <c r="P226" i="111"/>
  <c r="Q226" i="111"/>
  <c r="R226" i="111"/>
  <c r="S226" i="111"/>
  <c r="T226" i="111"/>
  <c r="U226" i="111"/>
  <c r="V226" i="111"/>
  <c r="W226" i="111"/>
  <c r="X226" i="111"/>
  <c r="Y226" i="111"/>
  <c r="Z226" i="111"/>
  <c r="S228" i="111"/>
  <c r="T228" i="111"/>
  <c r="B229" i="111"/>
  <c r="C229" i="111"/>
  <c r="D229" i="111"/>
  <c r="E229" i="111"/>
  <c r="F229" i="111"/>
  <c r="G229" i="111"/>
  <c r="H229" i="111"/>
  <c r="I229" i="111"/>
  <c r="J229" i="111"/>
  <c r="K229" i="111"/>
  <c r="L229" i="111"/>
  <c r="M229" i="111"/>
  <c r="N229" i="111"/>
  <c r="O229" i="111"/>
  <c r="P229" i="111"/>
  <c r="Q229" i="111"/>
  <c r="R229" i="111"/>
  <c r="S229" i="111"/>
  <c r="T229" i="111"/>
  <c r="U229" i="111"/>
  <c r="V229" i="111"/>
  <c r="W229" i="111"/>
  <c r="X229" i="111"/>
  <c r="Y229" i="111"/>
  <c r="Z229" i="111"/>
  <c r="B230" i="111"/>
  <c r="C230" i="111"/>
  <c r="D230" i="111"/>
  <c r="E230" i="111"/>
  <c r="F230" i="111"/>
  <c r="G230" i="111"/>
  <c r="H230" i="111"/>
  <c r="I230" i="111"/>
  <c r="J230" i="111"/>
  <c r="K230" i="111"/>
  <c r="L230" i="111"/>
  <c r="M230" i="111"/>
  <c r="N230" i="111"/>
  <c r="O230" i="111"/>
  <c r="P230" i="111"/>
  <c r="Q230" i="111"/>
  <c r="R230" i="111"/>
  <c r="S230" i="111"/>
  <c r="T230" i="111"/>
  <c r="U230" i="111"/>
  <c r="V230" i="111"/>
  <c r="W230" i="111"/>
  <c r="X230" i="111"/>
  <c r="Y230" i="111"/>
  <c r="Z230" i="111"/>
  <c r="B231" i="111"/>
  <c r="C231" i="111"/>
  <c r="D231" i="111"/>
  <c r="E231" i="111"/>
  <c r="F231" i="111"/>
  <c r="G231" i="111"/>
  <c r="H231" i="111"/>
  <c r="I231" i="111"/>
  <c r="J231" i="111"/>
  <c r="K231" i="111"/>
  <c r="L231" i="111"/>
  <c r="M231" i="111"/>
  <c r="N231" i="111"/>
  <c r="O231" i="111"/>
  <c r="P231" i="111"/>
  <c r="Q231" i="111"/>
  <c r="R231" i="111"/>
  <c r="S231" i="111"/>
  <c r="T231" i="111"/>
  <c r="U231" i="111"/>
  <c r="V231" i="111"/>
  <c r="W231" i="111"/>
  <c r="X231" i="111"/>
  <c r="Y231" i="111"/>
  <c r="Z231" i="111"/>
  <c r="S233" i="111"/>
  <c r="T233" i="111"/>
  <c r="B234" i="111"/>
  <c r="C234" i="111"/>
  <c r="D234" i="111"/>
  <c r="E234" i="111"/>
  <c r="F234" i="111"/>
  <c r="G234" i="111"/>
  <c r="H234" i="111"/>
  <c r="I234" i="111"/>
  <c r="J234" i="111"/>
  <c r="K234" i="111"/>
  <c r="L234" i="111"/>
  <c r="M234" i="111"/>
  <c r="N234" i="111"/>
  <c r="O234" i="111"/>
  <c r="P234" i="111"/>
  <c r="Q234" i="111"/>
  <c r="R234" i="111"/>
  <c r="S234" i="111"/>
  <c r="T234" i="111"/>
  <c r="U234" i="111"/>
  <c r="V234" i="111"/>
  <c r="W234" i="111"/>
  <c r="X234" i="111"/>
  <c r="Y234" i="111"/>
  <c r="Z234" i="111"/>
  <c r="B235" i="111"/>
  <c r="C235" i="111"/>
  <c r="D235" i="111"/>
  <c r="E235" i="111"/>
  <c r="F235" i="111"/>
  <c r="G235" i="111"/>
  <c r="H235" i="111"/>
  <c r="I235" i="111"/>
  <c r="J235" i="111"/>
  <c r="K235" i="111"/>
  <c r="L235" i="111"/>
  <c r="M235" i="111"/>
  <c r="N235" i="111"/>
  <c r="O235" i="111"/>
  <c r="P235" i="111"/>
  <c r="Q235" i="111"/>
  <c r="R235" i="111"/>
  <c r="S235" i="111"/>
  <c r="T235" i="111"/>
  <c r="U235" i="111"/>
  <c r="V235" i="111"/>
  <c r="W235" i="111"/>
  <c r="X235" i="111"/>
  <c r="Y235" i="111"/>
  <c r="Z235" i="111"/>
  <c r="B236" i="111"/>
  <c r="C236" i="111"/>
  <c r="D236" i="111"/>
  <c r="E236" i="111"/>
  <c r="F236" i="111"/>
  <c r="G236" i="111"/>
  <c r="H236" i="111"/>
  <c r="I236" i="111"/>
  <c r="J236" i="111"/>
  <c r="K236" i="111"/>
  <c r="L236" i="111"/>
  <c r="M236" i="111"/>
  <c r="N236" i="111"/>
  <c r="O236" i="111"/>
  <c r="P236" i="111"/>
  <c r="Q236" i="111"/>
  <c r="R236" i="111"/>
  <c r="S236" i="111"/>
  <c r="T236" i="111"/>
  <c r="U236" i="111"/>
  <c r="V236" i="111"/>
  <c r="W236" i="111"/>
  <c r="X236" i="111"/>
  <c r="Y236" i="111"/>
  <c r="Z236" i="111"/>
  <c r="S238" i="111"/>
  <c r="T238" i="111"/>
  <c r="B239" i="111"/>
  <c r="C239" i="111"/>
  <c r="D239" i="111"/>
  <c r="E239" i="111"/>
  <c r="F239" i="111"/>
  <c r="G239" i="111"/>
  <c r="H239" i="111"/>
  <c r="I239" i="111"/>
  <c r="J239" i="111"/>
  <c r="K239" i="111"/>
  <c r="L239" i="111"/>
  <c r="M239" i="111"/>
  <c r="N239" i="111"/>
  <c r="O239" i="111"/>
  <c r="P239" i="111"/>
  <c r="Q239" i="111"/>
  <c r="R239" i="111"/>
  <c r="S239" i="111"/>
  <c r="T239" i="111"/>
  <c r="U239" i="111"/>
  <c r="V239" i="111"/>
  <c r="W239" i="111"/>
  <c r="X239" i="111"/>
  <c r="Y239" i="111"/>
  <c r="Z239" i="111"/>
  <c r="B240" i="111"/>
  <c r="C240" i="111"/>
  <c r="D240" i="111"/>
  <c r="E240" i="111"/>
  <c r="F240" i="111"/>
  <c r="G240" i="111"/>
  <c r="H240" i="111"/>
  <c r="I240" i="111"/>
  <c r="J240" i="111"/>
  <c r="K240" i="111"/>
  <c r="L240" i="111"/>
  <c r="M240" i="111"/>
  <c r="N240" i="111"/>
  <c r="O240" i="111"/>
  <c r="P240" i="111"/>
  <c r="Q240" i="111"/>
  <c r="R240" i="111"/>
  <c r="S240" i="111"/>
  <c r="T240" i="111"/>
  <c r="U240" i="111"/>
  <c r="V240" i="111"/>
  <c r="W240" i="111"/>
  <c r="X240" i="111"/>
  <c r="Y240" i="111"/>
  <c r="Z240" i="111"/>
  <c r="B241" i="111"/>
  <c r="C241" i="111"/>
  <c r="D241" i="111"/>
  <c r="E241" i="111"/>
  <c r="F241" i="111"/>
  <c r="G241" i="111"/>
  <c r="H241" i="111"/>
  <c r="I241" i="111"/>
  <c r="J241" i="111"/>
  <c r="K241" i="111"/>
  <c r="L241" i="111"/>
  <c r="M241" i="111"/>
  <c r="N241" i="111"/>
  <c r="O241" i="111"/>
  <c r="P241" i="111"/>
  <c r="Q241" i="111"/>
  <c r="R241" i="111"/>
  <c r="S241" i="111"/>
  <c r="T241" i="111"/>
  <c r="U241" i="111"/>
  <c r="V241" i="111"/>
  <c r="W241" i="111"/>
  <c r="X241" i="111"/>
  <c r="Y241" i="111"/>
  <c r="Z241" i="111"/>
  <c r="S243" i="111"/>
  <c r="T243" i="111"/>
  <c r="B244" i="111"/>
  <c r="C244" i="111"/>
  <c r="D244" i="111"/>
  <c r="E244" i="111"/>
  <c r="F244" i="111"/>
  <c r="G244" i="111"/>
  <c r="H244" i="111"/>
  <c r="I244" i="111"/>
  <c r="J244" i="111"/>
  <c r="K244" i="111"/>
  <c r="L244" i="111"/>
  <c r="M244" i="111"/>
  <c r="N244" i="111"/>
  <c r="O244" i="111"/>
  <c r="P244" i="111"/>
  <c r="Q244" i="111"/>
  <c r="R244" i="111"/>
  <c r="S244" i="111"/>
  <c r="T244" i="111"/>
  <c r="U244" i="111"/>
  <c r="V244" i="111"/>
  <c r="W244" i="111"/>
  <c r="X244" i="111"/>
  <c r="Y244" i="111"/>
  <c r="Z244" i="111"/>
  <c r="B245" i="111"/>
  <c r="C245" i="111"/>
  <c r="D245" i="111"/>
  <c r="E245" i="111"/>
  <c r="F245" i="111"/>
  <c r="G245" i="111"/>
  <c r="H245" i="111"/>
  <c r="I245" i="111"/>
  <c r="J245" i="111"/>
  <c r="K245" i="111"/>
  <c r="L245" i="111"/>
  <c r="M245" i="111"/>
  <c r="N245" i="111"/>
  <c r="O245" i="111"/>
  <c r="P245" i="111"/>
  <c r="Q245" i="111"/>
  <c r="R245" i="111"/>
  <c r="S245" i="111"/>
  <c r="T245" i="111"/>
  <c r="U245" i="111"/>
  <c r="V245" i="111"/>
  <c r="W245" i="111"/>
  <c r="X245" i="111"/>
  <c r="Y245" i="111"/>
  <c r="Z245" i="111"/>
  <c r="B246" i="111"/>
  <c r="C246" i="111"/>
  <c r="D246" i="111"/>
  <c r="E246" i="111"/>
  <c r="F246" i="111"/>
  <c r="G246" i="111"/>
  <c r="H246" i="111"/>
  <c r="I246" i="111"/>
  <c r="J246" i="111"/>
  <c r="K246" i="111"/>
  <c r="L246" i="111"/>
  <c r="M246" i="111"/>
  <c r="N246" i="111"/>
  <c r="O246" i="111"/>
  <c r="P246" i="111"/>
  <c r="Q246" i="111"/>
  <c r="R246" i="111"/>
  <c r="S246" i="111"/>
  <c r="T246" i="111"/>
  <c r="U246" i="111"/>
  <c r="V246" i="111"/>
  <c r="W246" i="111"/>
  <c r="X246" i="111"/>
  <c r="Y246" i="111"/>
  <c r="Z246" i="111"/>
  <c r="S248" i="111"/>
  <c r="T248" i="111"/>
  <c r="S254" i="111"/>
  <c r="T254" i="111"/>
  <c r="B255" i="111"/>
  <c r="C255" i="111"/>
  <c r="D255" i="111"/>
  <c r="E255" i="111"/>
  <c r="F255" i="111"/>
  <c r="G255" i="111"/>
  <c r="H255" i="111"/>
  <c r="I255" i="111"/>
  <c r="J255" i="111"/>
  <c r="K255" i="111"/>
  <c r="L255" i="111"/>
  <c r="M255" i="111"/>
  <c r="N255" i="111"/>
  <c r="O255" i="111"/>
  <c r="P255" i="111"/>
  <c r="Q255" i="111"/>
  <c r="R255" i="111"/>
  <c r="S255" i="111"/>
  <c r="T255" i="111"/>
  <c r="U255" i="111"/>
  <c r="V255" i="111"/>
  <c r="W255" i="111"/>
  <c r="X255" i="111"/>
  <c r="Y255" i="111"/>
  <c r="Z255" i="111"/>
  <c r="B256" i="111"/>
  <c r="C256" i="111"/>
  <c r="D256" i="111"/>
  <c r="E256" i="111"/>
  <c r="F256" i="111"/>
  <c r="G256" i="111"/>
  <c r="H256" i="111"/>
  <c r="I256" i="111"/>
  <c r="J256" i="111"/>
  <c r="K256" i="111"/>
  <c r="L256" i="111"/>
  <c r="M256" i="111"/>
  <c r="N256" i="111"/>
  <c r="O256" i="111"/>
  <c r="P256" i="111"/>
  <c r="Q256" i="111"/>
  <c r="R256" i="111"/>
  <c r="S256" i="111"/>
  <c r="T256" i="111"/>
  <c r="U256" i="111"/>
  <c r="V256" i="111"/>
  <c r="W256" i="111"/>
  <c r="X256" i="111"/>
  <c r="Y256" i="111"/>
  <c r="Z256" i="111"/>
  <c r="B257" i="111"/>
  <c r="C257" i="111"/>
  <c r="D257" i="111"/>
  <c r="E257" i="111"/>
  <c r="F257" i="111"/>
  <c r="G257" i="111"/>
  <c r="H257" i="111"/>
  <c r="I257" i="111"/>
  <c r="J257" i="111"/>
  <c r="K257" i="111"/>
  <c r="L257" i="111"/>
  <c r="M257" i="111"/>
  <c r="N257" i="111"/>
  <c r="O257" i="111"/>
  <c r="P257" i="111"/>
  <c r="Q257" i="111"/>
  <c r="R257" i="111"/>
  <c r="S257" i="111"/>
  <c r="T257" i="111"/>
  <c r="U257" i="111"/>
  <c r="V257" i="111"/>
  <c r="W257" i="111"/>
  <c r="X257" i="111"/>
  <c r="Y257" i="111"/>
  <c r="Z257" i="111"/>
  <c r="S259" i="111"/>
  <c r="T259" i="111"/>
  <c r="B260" i="111"/>
  <c r="C260" i="111"/>
  <c r="D260" i="111"/>
  <c r="E260" i="111"/>
  <c r="F260" i="111"/>
  <c r="G260" i="111"/>
  <c r="H260" i="111"/>
  <c r="I260" i="111"/>
  <c r="J260" i="111"/>
  <c r="K260" i="111"/>
  <c r="L260" i="111"/>
  <c r="M260" i="111"/>
  <c r="N260" i="111"/>
  <c r="O260" i="111"/>
  <c r="P260" i="111"/>
  <c r="Q260" i="111"/>
  <c r="R260" i="111"/>
  <c r="S260" i="111"/>
  <c r="T260" i="111"/>
  <c r="U260" i="111"/>
  <c r="V260" i="111"/>
  <c r="W260" i="111"/>
  <c r="X260" i="111"/>
  <c r="Y260" i="111"/>
  <c r="Z260" i="111"/>
  <c r="S262" i="111"/>
  <c r="T262" i="111"/>
  <c r="B263" i="111"/>
  <c r="C263" i="111"/>
  <c r="D263" i="111"/>
  <c r="E263" i="111"/>
  <c r="F263" i="111"/>
  <c r="G263" i="111"/>
  <c r="H263" i="111"/>
  <c r="I263" i="111"/>
  <c r="J263" i="111"/>
  <c r="K263" i="111"/>
  <c r="L263" i="111"/>
  <c r="M263" i="111"/>
  <c r="N263" i="111"/>
  <c r="O263" i="111"/>
  <c r="P263" i="111"/>
  <c r="Q263" i="111"/>
  <c r="R263" i="111"/>
  <c r="S263" i="111"/>
  <c r="T263" i="111"/>
  <c r="U263" i="111"/>
  <c r="V263" i="111"/>
  <c r="W263" i="111"/>
  <c r="X263" i="111"/>
  <c r="Y263" i="111"/>
  <c r="Z263" i="111"/>
  <c r="B264" i="111"/>
  <c r="C264" i="111"/>
  <c r="D264" i="111"/>
  <c r="E264" i="111"/>
  <c r="F264" i="111"/>
  <c r="G264" i="111"/>
  <c r="H264" i="111"/>
  <c r="I264" i="111"/>
  <c r="J264" i="111"/>
  <c r="K264" i="111"/>
  <c r="L264" i="111"/>
  <c r="M264" i="111"/>
  <c r="N264" i="111"/>
  <c r="O264" i="111"/>
  <c r="P264" i="111"/>
  <c r="Q264" i="111"/>
  <c r="R264" i="111"/>
  <c r="S264" i="111"/>
  <c r="T264" i="111"/>
  <c r="U264" i="111"/>
  <c r="V264" i="111"/>
  <c r="W264" i="111"/>
  <c r="X264" i="111"/>
  <c r="Y264" i="111"/>
  <c r="Z264" i="111"/>
  <c r="B265" i="111"/>
  <c r="C265" i="111"/>
  <c r="D265" i="111"/>
  <c r="E265" i="111"/>
  <c r="F265" i="111"/>
  <c r="G265" i="111"/>
  <c r="H265" i="111"/>
  <c r="I265" i="111"/>
  <c r="J265" i="111"/>
  <c r="K265" i="111"/>
  <c r="L265" i="111"/>
  <c r="M265" i="111"/>
  <c r="N265" i="111"/>
  <c r="O265" i="111"/>
  <c r="P265" i="111"/>
  <c r="Q265" i="111"/>
  <c r="R265" i="111"/>
  <c r="S265" i="111"/>
  <c r="T265" i="111"/>
  <c r="U265" i="111"/>
  <c r="V265" i="111"/>
  <c r="W265" i="111"/>
  <c r="X265" i="111"/>
  <c r="Y265" i="111"/>
  <c r="Z265" i="111"/>
  <c r="B266" i="111"/>
  <c r="C266" i="111"/>
  <c r="D266" i="111"/>
  <c r="E266" i="111"/>
  <c r="F266" i="111"/>
  <c r="G266" i="111"/>
  <c r="H266" i="111"/>
  <c r="I266" i="111"/>
  <c r="J266" i="111"/>
  <c r="K266" i="111"/>
  <c r="L266" i="111"/>
  <c r="M266" i="111"/>
  <c r="N266" i="111"/>
  <c r="O266" i="111"/>
  <c r="P266" i="111"/>
  <c r="Q266" i="111"/>
  <c r="R266" i="111"/>
  <c r="S266" i="111"/>
  <c r="T266" i="111"/>
  <c r="U266" i="111"/>
  <c r="V266" i="111"/>
  <c r="W266" i="111"/>
  <c r="X266" i="111"/>
  <c r="Y266" i="111"/>
  <c r="Z266" i="111"/>
  <c r="S268" i="111"/>
  <c r="T268" i="111"/>
  <c r="B269" i="111"/>
  <c r="C269" i="111"/>
  <c r="C272" i="111" s="1"/>
  <c r="D269" i="111"/>
  <c r="D272" i="111" s="1"/>
  <c r="E269" i="111"/>
  <c r="F269" i="111"/>
  <c r="G269" i="111"/>
  <c r="H269" i="111"/>
  <c r="H272" i="111" s="1"/>
  <c r="I269" i="111"/>
  <c r="J269" i="111"/>
  <c r="K269" i="111"/>
  <c r="K272" i="111" s="1"/>
  <c r="L269" i="111"/>
  <c r="M269" i="111"/>
  <c r="N269" i="111"/>
  <c r="O269" i="111"/>
  <c r="O272" i="111" s="1"/>
  <c r="P269" i="111"/>
  <c r="Q269" i="111"/>
  <c r="R269" i="111"/>
  <c r="S269" i="111"/>
  <c r="S272" i="111" s="1"/>
  <c r="T269" i="111"/>
  <c r="T272" i="111" s="1"/>
  <c r="U269" i="111"/>
  <c r="V269" i="111"/>
  <c r="W269" i="111"/>
  <c r="X269" i="111"/>
  <c r="X272" i="111" s="1"/>
  <c r="Y269" i="111"/>
  <c r="Z269" i="111"/>
  <c r="B270" i="111"/>
  <c r="C270" i="111"/>
  <c r="D270" i="111"/>
  <c r="E270" i="111"/>
  <c r="F270" i="111"/>
  <c r="G270" i="111"/>
  <c r="H270" i="111"/>
  <c r="I270" i="111"/>
  <c r="J270" i="111"/>
  <c r="K270" i="111"/>
  <c r="L270" i="111"/>
  <c r="M270" i="111"/>
  <c r="N270" i="111"/>
  <c r="O270" i="111"/>
  <c r="P270" i="111"/>
  <c r="Q270" i="111"/>
  <c r="R270" i="111"/>
  <c r="S270" i="111"/>
  <c r="T270" i="111"/>
  <c r="U270" i="111"/>
  <c r="V270" i="111"/>
  <c r="W270" i="111"/>
  <c r="X270" i="111"/>
  <c r="Y270" i="111"/>
  <c r="Z270" i="111"/>
  <c r="B271" i="111"/>
  <c r="C271" i="111"/>
  <c r="D271" i="111"/>
  <c r="E271" i="111"/>
  <c r="F271" i="111"/>
  <c r="G271" i="111"/>
  <c r="H271" i="111"/>
  <c r="I271" i="111"/>
  <c r="J271" i="111"/>
  <c r="K271" i="111"/>
  <c r="L271" i="111"/>
  <c r="M271" i="111"/>
  <c r="N271" i="111"/>
  <c r="O271" i="111"/>
  <c r="P271" i="111"/>
  <c r="Q271" i="111"/>
  <c r="R271" i="111"/>
  <c r="S271" i="111"/>
  <c r="T271" i="111"/>
  <c r="U271" i="111"/>
  <c r="V271" i="111"/>
  <c r="W271" i="111"/>
  <c r="X271" i="111"/>
  <c r="Y271" i="111"/>
  <c r="Z271" i="111"/>
  <c r="S273" i="111"/>
  <c r="T273" i="111"/>
  <c r="B275" i="111"/>
  <c r="C275" i="111"/>
  <c r="D275" i="111"/>
  <c r="E275" i="111"/>
  <c r="F275" i="111"/>
  <c r="G275" i="111"/>
  <c r="H275" i="111"/>
  <c r="I275" i="111"/>
  <c r="B278" i="111"/>
  <c r="C278" i="111"/>
  <c r="D278" i="111"/>
  <c r="E278" i="111"/>
  <c r="F278" i="111"/>
  <c r="G278" i="111"/>
  <c r="H278" i="111"/>
  <c r="I278" i="111"/>
  <c r="J278" i="111"/>
  <c r="K278" i="111"/>
  <c r="L278" i="111"/>
  <c r="M278" i="111"/>
  <c r="N278" i="111"/>
  <c r="O278" i="111"/>
  <c r="P278" i="111"/>
  <c r="Q278" i="111"/>
  <c r="R278" i="111"/>
  <c r="S278" i="111"/>
  <c r="B281" i="111"/>
  <c r="C281" i="111"/>
  <c r="D281" i="111"/>
  <c r="E281" i="111"/>
  <c r="F281" i="111"/>
  <c r="G281" i="111"/>
  <c r="H281" i="111"/>
  <c r="I281" i="111"/>
  <c r="J281" i="111"/>
  <c r="B282" i="111"/>
  <c r="C282" i="111"/>
  <c r="D282" i="111"/>
  <c r="E282" i="111"/>
  <c r="F282" i="111"/>
  <c r="G282" i="111"/>
  <c r="H282" i="111"/>
  <c r="I282" i="111"/>
  <c r="J282" i="111"/>
  <c r="S287" i="111"/>
  <c r="T287" i="111"/>
  <c r="B288" i="111"/>
  <c r="C288" i="111"/>
  <c r="D288" i="111"/>
  <c r="E288" i="111"/>
  <c r="F288" i="111"/>
  <c r="G288" i="111"/>
  <c r="H288" i="111"/>
  <c r="I288" i="111"/>
  <c r="S291" i="111"/>
  <c r="T291" i="111"/>
  <c r="B292" i="111"/>
  <c r="B297" i="111" s="1"/>
  <c r="C292" i="111"/>
  <c r="C297" i="111" s="1"/>
  <c r="D292" i="111"/>
  <c r="D297" i="111" s="1"/>
  <c r="E292" i="111"/>
  <c r="E297" i="111" s="1"/>
  <c r="F292" i="111"/>
  <c r="F297" i="111" s="1"/>
  <c r="G292" i="111"/>
  <c r="G297" i="111" s="1"/>
  <c r="H292" i="111"/>
  <c r="H297" i="111" s="1"/>
  <c r="I292" i="111"/>
  <c r="I297" i="111" s="1"/>
  <c r="J292" i="111"/>
  <c r="J297" i="111" s="1"/>
  <c r="K292" i="111"/>
  <c r="K297" i="111" s="1"/>
  <c r="L292" i="111"/>
  <c r="L297" i="111" s="1"/>
  <c r="M292" i="111"/>
  <c r="M297" i="111" s="1"/>
  <c r="N292" i="111"/>
  <c r="N297" i="111" s="1"/>
  <c r="O292" i="111"/>
  <c r="O297" i="111" s="1"/>
  <c r="P292" i="111"/>
  <c r="P297" i="111" s="1"/>
  <c r="Q292" i="111"/>
  <c r="Q297" i="111" s="1"/>
  <c r="R292" i="111"/>
  <c r="R297" i="111" s="1"/>
  <c r="S292" i="111"/>
  <c r="S297" i="111" s="1"/>
  <c r="T292" i="111"/>
  <c r="T297" i="111" s="1"/>
  <c r="U292" i="111"/>
  <c r="U297" i="111" s="1"/>
  <c r="V292" i="111"/>
  <c r="V297" i="111" s="1"/>
  <c r="W292" i="111"/>
  <c r="W297" i="111" s="1"/>
  <c r="X292" i="111"/>
  <c r="X297" i="111" s="1"/>
  <c r="Y292" i="111"/>
  <c r="Y297" i="111" s="1"/>
  <c r="Z292" i="111"/>
  <c r="Z297" i="111" s="1"/>
  <c r="B293" i="111"/>
  <c r="B298" i="111" s="1"/>
  <c r="C293" i="111"/>
  <c r="C298" i="111" s="1"/>
  <c r="D293" i="111"/>
  <c r="D298" i="111" s="1"/>
  <c r="E293" i="111"/>
  <c r="E298" i="111" s="1"/>
  <c r="F293" i="111"/>
  <c r="F298" i="111" s="1"/>
  <c r="G293" i="111"/>
  <c r="G298" i="111" s="1"/>
  <c r="H293" i="111"/>
  <c r="H298" i="111" s="1"/>
  <c r="I293" i="111"/>
  <c r="I298" i="111" s="1"/>
  <c r="J293" i="111"/>
  <c r="J298" i="111" s="1"/>
  <c r="K293" i="111"/>
  <c r="K298" i="111" s="1"/>
  <c r="L293" i="111"/>
  <c r="L298" i="111" s="1"/>
  <c r="M293" i="111"/>
  <c r="M298" i="111" s="1"/>
  <c r="N293" i="111"/>
  <c r="N298" i="111" s="1"/>
  <c r="O293" i="111"/>
  <c r="O298" i="111" s="1"/>
  <c r="P293" i="111"/>
  <c r="P298" i="111" s="1"/>
  <c r="Q293" i="111"/>
  <c r="Q298" i="111" s="1"/>
  <c r="R293" i="111"/>
  <c r="R298" i="111" s="1"/>
  <c r="S293" i="111"/>
  <c r="S298" i="111" s="1"/>
  <c r="T293" i="111"/>
  <c r="T298" i="111" s="1"/>
  <c r="U293" i="111"/>
  <c r="U298" i="111" s="1"/>
  <c r="V293" i="111"/>
  <c r="V298" i="111" s="1"/>
  <c r="W293" i="111"/>
  <c r="W298" i="111" s="1"/>
  <c r="X293" i="111"/>
  <c r="X298" i="111" s="1"/>
  <c r="Y293" i="111"/>
  <c r="Y298" i="111" s="1"/>
  <c r="Z293" i="111"/>
  <c r="Z298" i="111" s="1"/>
  <c r="B294" i="111"/>
  <c r="B299" i="111" s="1"/>
  <c r="C294" i="111"/>
  <c r="C299" i="111" s="1"/>
  <c r="D294" i="111"/>
  <c r="D299" i="111" s="1"/>
  <c r="E294" i="111"/>
  <c r="E299" i="111" s="1"/>
  <c r="F294" i="111"/>
  <c r="F299" i="111" s="1"/>
  <c r="G294" i="111"/>
  <c r="G299" i="111" s="1"/>
  <c r="H294" i="111"/>
  <c r="H299" i="111" s="1"/>
  <c r="I294" i="111"/>
  <c r="I299" i="111" s="1"/>
  <c r="J294" i="111"/>
  <c r="J299" i="111" s="1"/>
  <c r="K294" i="111"/>
  <c r="K299" i="111" s="1"/>
  <c r="L294" i="111"/>
  <c r="L299" i="111" s="1"/>
  <c r="M294" i="111"/>
  <c r="M299" i="111" s="1"/>
  <c r="N294" i="111"/>
  <c r="N299" i="111" s="1"/>
  <c r="O294" i="111"/>
  <c r="O299" i="111" s="1"/>
  <c r="P294" i="111"/>
  <c r="P299" i="111" s="1"/>
  <c r="Q294" i="111"/>
  <c r="Q299" i="111" s="1"/>
  <c r="R294" i="111"/>
  <c r="R299" i="111" s="1"/>
  <c r="S294" i="111"/>
  <c r="S299" i="111" s="1"/>
  <c r="T294" i="111"/>
  <c r="T299" i="111" s="1"/>
  <c r="U294" i="111"/>
  <c r="U299" i="111" s="1"/>
  <c r="V294" i="111"/>
  <c r="V299" i="111" s="1"/>
  <c r="W294" i="111"/>
  <c r="W299" i="111" s="1"/>
  <c r="X294" i="111"/>
  <c r="X299" i="111" s="1"/>
  <c r="Y294" i="111"/>
  <c r="Y299" i="111" s="1"/>
  <c r="Z294" i="111"/>
  <c r="Z299" i="111" s="1"/>
  <c r="S296" i="111"/>
  <c r="T296" i="111"/>
  <c r="B301" i="111"/>
  <c r="C301" i="111"/>
  <c r="D301" i="111"/>
  <c r="E301" i="111"/>
  <c r="F301" i="111"/>
  <c r="G301" i="111"/>
  <c r="H301" i="111"/>
  <c r="I301" i="111"/>
  <c r="S301" i="111"/>
  <c r="T301" i="111"/>
  <c r="B302" i="111"/>
  <c r="C302" i="111"/>
  <c r="B303" i="111"/>
  <c r="C303" i="111"/>
  <c r="B304" i="111"/>
  <c r="C304" i="111"/>
  <c r="S306" i="111"/>
  <c r="T306" i="111"/>
  <c r="B307" i="111"/>
  <c r="C307" i="111"/>
  <c r="D307" i="111"/>
  <c r="E307" i="111"/>
  <c r="F307" i="111"/>
  <c r="G307" i="111"/>
  <c r="H307" i="111"/>
  <c r="I307" i="111"/>
  <c r="J307" i="111"/>
  <c r="K307" i="111"/>
  <c r="L307" i="111"/>
  <c r="M307" i="111"/>
  <c r="N307" i="111"/>
  <c r="O307" i="111"/>
  <c r="P307" i="111"/>
  <c r="Q307" i="111"/>
  <c r="R307" i="111"/>
  <c r="S307" i="111"/>
  <c r="T307" i="111"/>
  <c r="U307" i="111"/>
  <c r="V307" i="111"/>
  <c r="W307" i="111"/>
  <c r="X307" i="111"/>
  <c r="Y307" i="111"/>
  <c r="Z307" i="111"/>
  <c r="B308" i="111"/>
  <c r="C308" i="111"/>
  <c r="D308" i="111"/>
  <c r="E308" i="111"/>
  <c r="F308" i="111"/>
  <c r="G308" i="111"/>
  <c r="H308" i="111"/>
  <c r="I308" i="111"/>
  <c r="J308" i="111"/>
  <c r="K308" i="111"/>
  <c r="L308" i="111"/>
  <c r="M308" i="111"/>
  <c r="N308" i="111"/>
  <c r="O308" i="111"/>
  <c r="P308" i="111"/>
  <c r="Q308" i="111"/>
  <c r="R308" i="111"/>
  <c r="S308" i="111"/>
  <c r="T308" i="111"/>
  <c r="U308" i="111"/>
  <c r="V308" i="111"/>
  <c r="W308" i="111"/>
  <c r="X308" i="111"/>
  <c r="Y308" i="111"/>
  <c r="Z308" i="111"/>
  <c r="B309" i="111"/>
  <c r="C309" i="111"/>
  <c r="D309" i="111"/>
  <c r="E309" i="111"/>
  <c r="F309" i="111"/>
  <c r="G309" i="111"/>
  <c r="H309" i="111"/>
  <c r="I309" i="111"/>
  <c r="J309" i="111"/>
  <c r="K309" i="111"/>
  <c r="L309" i="111"/>
  <c r="M309" i="111"/>
  <c r="N309" i="111"/>
  <c r="O309" i="111"/>
  <c r="P309" i="111"/>
  <c r="Q309" i="111"/>
  <c r="R309" i="111"/>
  <c r="S309" i="111"/>
  <c r="T309" i="111"/>
  <c r="U309" i="111"/>
  <c r="V309" i="111"/>
  <c r="W309" i="111"/>
  <c r="X309" i="111"/>
  <c r="Y309" i="111"/>
  <c r="Z309" i="111"/>
  <c r="S311" i="111"/>
  <c r="T311" i="111"/>
  <c r="B312" i="111"/>
  <c r="C312" i="111"/>
  <c r="D312" i="111"/>
  <c r="E312" i="111"/>
  <c r="F312" i="111"/>
  <c r="G312" i="111"/>
  <c r="H312" i="111"/>
  <c r="I312" i="111"/>
  <c r="J312" i="111"/>
  <c r="K312" i="111"/>
  <c r="L312" i="111"/>
  <c r="M312" i="111"/>
  <c r="N312" i="111"/>
  <c r="O312" i="111"/>
  <c r="P312" i="111"/>
  <c r="Q312" i="111"/>
  <c r="R312" i="111"/>
  <c r="S312" i="111"/>
  <c r="T312" i="111"/>
  <c r="U312" i="111"/>
  <c r="V312" i="111"/>
  <c r="W312" i="111"/>
  <c r="X312" i="111"/>
  <c r="Y312" i="111"/>
  <c r="Z312" i="111"/>
  <c r="B313" i="111"/>
  <c r="C313" i="111"/>
  <c r="D313" i="111"/>
  <c r="E313" i="111"/>
  <c r="F313" i="111"/>
  <c r="G313" i="111"/>
  <c r="H313" i="111"/>
  <c r="I313" i="111"/>
  <c r="J313" i="111"/>
  <c r="K313" i="111"/>
  <c r="L313" i="111"/>
  <c r="M313" i="111"/>
  <c r="N313" i="111"/>
  <c r="O313" i="111"/>
  <c r="P313" i="111"/>
  <c r="Q313" i="111"/>
  <c r="R313" i="111"/>
  <c r="S313" i="111"/>
  <c r="T313" i="111"/>
  <c r="U313" i="111"/>
  <c r="V313" i="111"/>
  <c r="W313" i="111"/>
  <c r="X313" i="111"/>
  <c r="Y313" i="111"/>
  <c r="Z313" i="111"/>
  <c r="B314" i="111"/>
  <c r="C314" i="111"/>
  <c r="D314" i="111"/>
  <c r="E314" i="111"/>
  <c r="F314" i="111"/>
  <c r="G314" i="111"/>
  <c r="H314" i="111"/>
  <c r="I314" i="111"/>
  <c r="J314" i="111"/>
  <c r="K314" i="111"/>
  <c r="L314" i="111"/>
  <c r="M314" i="111"/>
  <c r="N314" i="111"/>
  <c r="O314" i="111"/>
  <c r="P314" i="111"/>
  <c r="Q314" i="111"/>
  <c r="R314" i="111"/>
  <c r="S314" i="111"/>
  <c r="T314" i="111"/>
  <c r="U314" i="111"/>
  <c r="V314" i="111"/>
  <c r="W314" i="111"/>
  <c r="X314" i="111"/>
  <c r="Y314" i="111"/>
  <c r="Z314" i="111"/>
  <c r="S316" i="111"/>
  <c r="T316" i="111"/>
  <c r="B317" i="111"/>
  <c r="C317" i="111"/>
  <c r="D317" i="111"/>
  <c r="E317" i="111"/>
  <c r="F317" i="111"/>
  <c r="G317" i="111"/>
  <c r="H317" i="111"/>
  <c r="I317" i="111"/>
  <c r="J317" i="111"/>
  <c r="K317" i="111"/>
  <c r="L317" i="111"/>
  <c r="M317" i="111"/>
  <c r="N317" i="111"/>
  <c r="O317" i="111"/>
  <c r="P317" i="111"/>
  <c r="Q317" i="111"/>
  <c r="R317" i="111"/>
  <c r="S317" i="111"/>
  <c r="T317" i="111"/>
  <c r="U317" i="111"/>
  <c r="V317" i="111"/>
  <c r="W317" i="111"/>
  <c r="X317" i="111"/>
  <c r="Y317" i="111"/>
  <c r="Z317" i="111"/>
  <c r="B318" i="111"/>
  <c r="C318" i="111"/>
  <c r="D318" i="111"/>
  <c r="E318" i="111"/>
  <c r="F318" i="111"/>
  <c r="G318" i="111"/>
  <c r="H318" i="111"/>
  <c r="I318" i="111"/>
  <c r="J318" i="111"/>
  <c r="K318" i="111"/>
  <c r="L318" i="111"/>
  <c r="M318" i="111"/>
  <c r="N318" i="111"/>
  <c r="O318" i="111"/>
  <c r="P318" i="111"/>
  <c r="Q318" i="111"/>
  <c r="R318" i="111"/>
  <c r="S318" i="111"/>
  <c r="T318" i="111"/>
  <c r="U318" i="111"/>
  <c r="V318" i="111"/>
  <c r="W318" i="111"/>
  <c r="X318" i="111"/>
  <c r="Y318" i="111"/>
  <c r="Z318" i="111"/>
  <c r="B319" i="111"/>
  <c r="C319" i="111"/>
  <c r="D319" i="111"/>
  <c r="E319" i="111"/>
  <c r="F319" i="111"/>
  <c r="G319" i="111"/>
  <c r="H319" i="111"/>
  <c r="I319" i="111"/>
  <c r="J319" i="111"/>
  <c r="K319" i="111"/>
  <c r="L319" i="111"/>
  <c r="M319" i="111"/>
  <c r="N319" i="111"/>
  <c r="O319" i="111"/>
  <c r="P319" i="111"/>
  <c r="Q319" i="111"/>
  <c r="R319" i="111"/>
  <c r="S319" i="111"/>
  <c r="T319" i="111"/>
  <c r="U319" i="111"/>
  <c r="V319" i="111"/>
  <c r="W319" i="111"/>
  <c r="X319" i="111"/>
  <c r="Y319" i="111"/>
  <c r="Z319" i="111"/>
  <c r="S321" i="111"/>
  <c r="T321" i="111"/>
  <c r="S326" i="111"/>
  <c r="T326" i="111"/>
  <c r="S331" i="111"/>
  <c r="T331" i="111"/>
  <c r="B332" i="111"/>
  <c r="C332" i="111"/>
  <c r="D332" i="111"/>
  <c r="E332" i="111"/>
  <c r="F332" i="111"/>
  <c r="G332" i="111"/>
  <c r="H332" i="111"/>
  <c r="I332" i="111"/>
  <c r="B333" i="111"/>
  <c r="C333" i="111"/>
  <c r="D333" i="111"/>
  <c r="E333" i="111"/>
  <c r="F333" i="111"/>
  <c r="G333" i="111"/>
  <c r="H333" i="111"/>
  <c r="I333" i="111"/>
  <c r="S335" i="111"/>
  <c r="T335" i="111"/>
  <c r="B336" i="111"/>
  <c r="B322" i="111" s="1"/>
  <c r="C336" i="111"/>
  <c r="C322" i="111" s="1"/>
  <c r="D336" i="111"/>
  <c r="D322" i="111" s="1"/>
  <c r="E336" i="111"/>
  <c r="E322" i="111" s="1"/>
  <c r="F336" i="111"/>
  <c r="F322" i="111" s="1"/>
  <c r="G336" i="111"/>
  <c r="G322" i="111" s="1"/>
  <c r="H336" i="111"/>
  <c r="H322" i="111" s="1"/>
  <c r="I336" i="111"/>
  <c r="I322" i="111" s="1"/>
  <c r="B337" i="111"/>
  <c r="C337" i="111"/>
  <c r="D337" i="111"/>
  <c r="E337" i="111"/>
  <c r="F337" i="111"/>
  <c r="G337" i="111"/>
  <c r="H337" i="111"/>
  <c r="I337" i="111"/>
  <c r="B338" i="111"/>
  <c r="C338" i="111"/>
  <c r="D338" i="111"/>
  <c r="E338" i="111"/>
  <c r="F338" i="111"/>
  <c r="G338" i="111"/>
  <c r="H338" i="111"/>
  <c r="I338" i="111"/>
  <c r="S340" i="111"/>
  <c r="T340" i="111"/>
  <c r="B341" i="111"/>
  <c r="B323" i="111" s="1"/>
  <c r="C341" i="111"/>
  <c r="C323" i="111" s="1"/>
  <c r="D341" i="111"/>
  <c r="D323" i="111" s="1"/>
  <c r="E341" i="111"/>
  <c r="E323" i="111" s="1"/>
  <c r="F341" i="111"/>
  <c r="F323" i="111" s="1"/>
  <c r="G341" i="111"/>
  <c r="G323" i="111" s="1"/>
  <c r="H341" i="111"/>
  <c r="H323" i="111" s="1"/>
  <c r="I341" i="111"/>
  <c r="I323" i="111" s="1"/>
  <c r="J341" i="111"/>
  <c r="J323" i="111" s="1"/>
  <c r="B342" i="111"/>
  <c r="C342" i="111"/>
  <c r="D342" i="111"/>
  <c r="E342" i="111"/>
  <c r="F342" i="111"/>
  <c r="G342" i="111"/>
  <c r="H342" i="111"/>
  <c r="I342" i="111"/>
  <c r="J342" i="111"/>
  <c r="B343" i="111"/>
  <c r="C343" i="111"/>
  <c r="D343" i="111"/>
  <c r="E343" i="111"/>
  <c r="F343" i="111"/>
  <c r="G343" i="111"/>
  <c r="H343" i="111"/>
  <c r="I343" i="111"/>
  <c r="J343" i="111"/>
  <c r="S345" i="111"/>
  <c r="T345" i="111"/>
  <c r="B346" i="111"/>
  <c r="B324" i="111" s="1"/>
  <c r="C346" i="111"/>
  <c r="C324" i="111" s="1"/>
  <c r="D346" i="111"/>
  <c r="D324" i="111" s="1"/>
  <c r="E346" i="111"/>
  <c r="E324" i="111" s="1"/>
  <c r="F346" i="111"/>
  <c r="F324" i="111" s="1"/>
  <c r="G346" i="111"/>
  <c r="G324" i="111" s="1"/>
  <c r="H346" i="111"/>
  <c r="H324" i="111" s="1"/>
  <c r="I346" i="111"/>
  <c r="I324" i="111" s="1"/>
  <c r="J346" i="111"/>
  <c r="J324" i="111" s="1"/>
  <c r="B347" i="111"/>
  <c r="C347" i="111"/>
  <c r="D347" i="111"/>
  <c r="E347" i="111"/>
  <c r="F347" i="111"/>
  <c r="G347" i="111"/>
  <c r="H347" i="111"/>
  <c r="I347" i="111"/>
  <c r="J347" i="111"/>
  <c r="B348" i="111"/>
  <c r="C348" i="111"/>
  <c r="D348" i="111"/>
  <c r="E348" i="111"/>
  <c r="F348" i="111"/>
  <c r="G348" i="111"/>
  <c r="H348" i="111"/>
  <c r="I348" i="111"/>
  <c r="J348" i="111"/>
  <c r="S350" i="111"/>
  <c r="T350" i="111"/>
  <c r="B351" i="111"/>
  <c r="C351" i="111"/>
  <c r="D351" i="111"/>
  <c r="E351" i="111"/>
  <c r="F351" i="111"/>
  <c r="G351" i="111"/>
  <c r="H351" i="111"/>
  <c r="I351" i="111"/>
  <c r="J351" i="111"/>
  <c r="K351" i="111"/>
  <c r="L351" i="111"/>
  <c r="M351" i="111"/>
  <c r="N351" i="111"/>
  <c r="O351" i="111"/>
  <c r="P351" i="111"/>
  <c r="Q351" i="111"/>
  <c r="R351" i="111"/>
  <c r="S351" i="111"/>
  <c r="T351" i="111"/>
  <c r="U351" i="111"/>
  <c r="V351" i="111"/>
  <c r="W351" i="111"/>
  <c r="X351" i="111"/>
  <c r="Y351" i="111"/>
  <c r="Z351" i="111"/>
  <c r="B352" i="111"/>
  <c r="C352" i="111"/>
  <c r="D352" i="111"/>
  <c r="E352" i="111"/>
  <c r="F352" i="111"/>
  <c r="G352" i="111"/>
  <c r="H352" i="111"/>
  <c r="I352" i="111"/>
  <c r="J352" i="111"/>
  <c r="K352" i="111"/>
  <c r="L352" i="111"/>
  <c r="M352" i="111"/>
  <c r="N352" i="111"/>
  <c r="O352" i="111"/>
  <c r="P352" i="111"/>
  <c r="Q352" i="111"/>
  <c r="R352" i="111"/>
  <c r="S352" i="111"/>
  <c r="T352" i="111"/>
  <c r="U352" i="111"/>
  <c r="V352" i="111"/>
  <c r="W352" i="111"/>
  <c r="X352" i="111"/>
  <c r="Y352" i="111"/>
  <c r="Z352" i="111"/>
  <c r="B353" i="111"/>
  <c r="C353" i="111"/>
  <c r="D353" i="111"/>
  <c r="E353" i="111"/>
  <c r="F353" i="111"/>
  <c r="G353" i="111"/>
  <c r="H353" i="111"/>
  <c r="I353" i="111"/>
  <c r="J353" i="111"/>
  <c r="K353" i="111"/>
  <c r="L353" i="111"/>
  <c r="M353" i="111"/>
  <c r="N353" i="111"/>
  <c r="O353" i="111"/>
  <c r="P353" i="111"/>
  <c r="Q353" i="111"/>
  <c r="R353" i="111"/>
  <c r="S353" i="111"/>
  <c r="T353" i="111"/>
  <c r="U353" i="111"/>
  <c r="V353" i="111"/>
  <c r="W353" i="111"/>
  <c r="X353" i="111"/>
  <c r="Y353" i="111"/>
  <c r="Z353" i="111"/>
  <c r="S355" i="111"/>
  <c r="T355" i="111"/>
  <c r="B356" i="111"/>
  <c r="C356" i="111"/>
  <c r="D356" i="111"/>
  <c r="E356" i="111"/>
  <c r="F356" i="111"/>
  <c r="G356" i="111"/>
  <c r="H356" i="111"/>
  <c r="I356" i="111"/>
  <c r="J356" i="111"/>
  <c r="K356" i="111"/>
  <c r="L356" i="111"/>
  <c r="M356" i="111"/>
  <c r="N356" i="111"/>
  <c r="O356" i="111"/>
  <c r="P356" i="111"/>
  <c r="Q356" i="111"/>
  <c r="R356" i="111"/>
  <c r="S356" i="111"/>
  <c r="T356" i="111"/>
  <c r="U356" i="111"/>
  <c r="V356" i="111"/>
  <c r="W356" i="111"/>
  <c r="X356" i="111"/>
  <c r="Y356" i="111"/>
  <c r="Z356" i="111"/>
  <c r="B357" i="111"/>
  <c r="C357" i="111"/>
  <c r="D357" i="111"/>
  <c r="E357" i="111"/>
  <c r="F357" i="111"/>
  <c r="G357" i="111"/>
  <c r="H357" i="111"/>
  <c r="I357" i="111"/>
  <c r="J357" i="111"/>
  <c r="K357" i="111"/>
  <c r="L357" i="111"/>
  <c r="M357" i="111"/>
  <c r="N357" i="111"/>
  <c r="O357" i="111"/>
  <c r="P357" i="111"/>
  <c r="Q357" i="111"/>
  <c r="R357" i="111"/>
  <c r="S357" i="111"/>
  <c r="T357" i="111"/>
  <c r="U357" i="111"/>
  <c r="V357" i="111"/>
  <c r="W357" i="111"/>
  <c r="X357" i="111"/>
  <c r="Y357" i="111"/>
  <c r="Z357" i="111"/>
  <c r="B358" i="111"/>
  <c r="C358" i="111"/>
  <c r="D358" i="111"/>
  <c r="E358" i="111"/>
  <c r="F358" i="111"/>
  <c r="G358" i="111"/>
  <c r="H358" i="111"/>
  <c r="I358" i="111"/>
  <c r="J358" i="111"/>
  <c r="K358" i="111"/>
  <c r="L358" i="111"/>
  <c r="M358" i="111"/>
  <c r="N358" i="111"/>
  <c r="O358" i="111"/>
  <c r="P358" i="111"/>
  <c r="Q358" i="111"/>
  <c r="R358" i="111"/>
  <c r="S358" i="111"/>
  <c r="T358" i="111"/>
  <c r="U358" i="111"/>
  <c r="V358" i="111"/>
  <c r="W358" i="111"/>
  <c r="X358" i="111"/>
  <c r="Y358" i="111"/>
  <c r="Z358" i="111"/>
  <c r="S360" i="111"/>
  <c r="T360" i="111"/>
  <c r="B361" i="111"/>
  <c r="B371" i="111" s="1"/>
  <c r="C361" i="111"/>
  <c r="C371" i="111" s="1"/>
  <c r="D361" i="111"/>
  <c r="D371" i="111" s="1"/>
  <c r="E361" i="111"/>
  <c r="E371" i="111" s="1"/>
  <c r="F361" i="111"/>
  <c r="F371" i="111" s="1"/>
  <c r="G361" i="111"/>
  <c r="G371" i="111" s="1"/>
  <c r="H361" i="111"/>
  <c r="H371" i="111" s="1"/>
  <c r="I361" i="111"/>
  <c r="I371" i="111" s="1"/>
  <c r="J361" i="111"/>
  <c r="J371" i="111" s="1"/>
  <c r="K361" i="111"/>
  <c r="K371" i="111" s="1"/>
  <c r="L361" i="111"/>
  <c r="L371" i="111" s="1"/>
  <c r="M361" i="111"/>
  <c r="M371" i="111" s="1"/>
  <c r="N361" i="111"/>
  <c r="N371" i="111" s="1"/>
  <c r="O361" i="111"/>
  <c r="O371" i="111" s="1"/>
  <c r="P361" i="111"/>
  <c r="P371" i="111" s="1"/>
  <c r="Q361" i="111"/>
  <c r="Q371" i="111" s="1"/>
  <c r="R361" i="111"/>
  <c r="R371" i="111" s="1"/>
  <c r="S361" i="111"/>
  <c r="S371" i="111" s="1"/>
  <c r="T361" i="111"/>
  <c r="T371" i="111" s="1"/>
  <c r="U361" i="111"/>
  <c r="U371" i="111" s="1"/>
  <c r="V361" i="111"/>
  <c r="V371" i="111" s="1"/>
  <c r="W361" i="111"/>
  <c r="W371" i="111" s="1"/>
  <c r="X361" i="111"/>
  <c r="X371" i="111" s="1"/>
  <c r="Y361" i="111"/>
  <c r="Y371" i="111" s="1"/>
  <c r="Z361" i="111"/>
  <c r="Z371" i="111" s="1"/>
  <c r="B362" i="111"/>
  <c r="B372" i="111" s="1"/>
  <c r="C362" i="111"/>
  <c r="C372" i="111" s="1"/>
  <c r="D362" i="111"/>
  <c r="D372" i="111" s="1"/>
  <c r="E362" i="111"/>
  <c r="E372" i="111" s="1"/>
  <c r="F362" i="111"/>
  <c r="F372" i="111" s="1"/>
  <c r="G362" i="111"/>
  <c r="G372" i="111" s="1"/>
  <c r="H362" i="111"/>
  <c r="H372" i="111" s="1"/>
  <c r="I362" i="111"/>
  <c r="I372" i="111" s="1"/>
  <c r="J362" i="111"/>
  <c r="J372" i="111" s="1"/>
  <c r="K362" i="111"/>
  <c r="K372" i="111" s="1"/>
  <c r="L362" i="111"/>
  <c r="L372" i="111" s="1"/>
  <c r="M362" i="111"/>
  <c r="M372" i="111" s="1"/>
  <c r="N362" i="111"/>
  <c r="N372" i="111" s="1"/>
  <c r="O362" i="111"/>
  <c r="O372" i="111" s="1"/>
  <c r="P362" i="111"/>
  <c r="P372" i="111" s="1"/>
  <c r="Q362" i="111"/>
  <c r="Q372" i="111" s="1"/>
  <c r="R362" i="111"/>
  <c r="R372" i="111" s="1"/>
  <c r="S362" i="111"/>
  <c r="S372" i="111" s="1"/>
  <c r="T362" i="111"/>
  <c r="T372" i="111" s="1"/>
  <c r="U362" i="111"/>
  <c r="U372" i="111" s="1"/>
  <c r="V362" i="111"/>
  <c r="V372" i="111" s="1"/>
  <c r="W362" i="111"/>
  <c r="W372" i="111" s="1"/>
  <c r="X362" i="111"/>
  <c r="X372" i="111" s="1"/>
  <c r="Y362" i="111"/>
  <c r="Y372" i="111" s="1"/>
  <c r="Z362" i="111"/>
  <c r="Z372" i="111" s="1"/>
  <c r="B363" i="111"/>
  <c r="B373" i="111" s="1"/>
  <c r="C363" i="111"/>
  <c r="C373" i="111" s="1"/>
  <c r="D363" i="111"/>
  <c r="D373" i="111" s="1"/>
  <c r="E363" i="111"/>
  <c r="E373" i="111" s="1"/>
  <c r="F363" i="111"/>
  <c r="F373" i="111" s="1"/>
  <c r="G363" i="111"/>
  <c r="G373" i="111" s="1"/>
  <c r="H363" i="111"/>
  <c r="H373" i="111" s="1"/>
  <c r="I363" i="111"/>
  <c r="I373" i="111" s="1"/>
  <c r="J363" i="111"/>
  <c r="J373" i="111" s="1"/>
  <c r="K363" i="111"/>
  <c r="K373" i="111" s="1"/>
  <c r="L363" i="111"/>
  <c r="L373" i="111" s="1"/>
  <c r="M363" i="111"/>
  <c r="M373" i="111" s="1"/>
  <c r="N363" i="111"/>
  <c r="N373" i="111" s="1"/>
  <c r="O363" i="111"/>
  <c r="O373" i="111" s="1"/>
  <c r="P363" i="111"/>
  <c r="P373" i="111" s="1"/>
  <c r="Q363" i="111"/>
  <c r="Q373" i="111" s="1"/>
  <c r="R363" i="111"/>
  <c r="R373" i="111" s="1"/>
  <c r="S363" i="111"/>
  <c r="S373" i="111" s="1"/>
  <c r="T363" i="111"/>
  <c r="T373" i="111" s="1"/>
  <c r="U363" i="111"/>
  <c r="U373" i="111" s="1"/>
  <c r="V363" i="111"/>
  <c r="V373" i="111" s="1"/>
  <c r="W363" i="111"/>
  <c r="W373" i="111" s="1"/>
  <c r="X363" i="111"/>
  <c r="X373" i="111" s="1"/>
  <c r="Y363" i="111"/>
  <c r="Y373" i="111" s="1"/>
  <c r="Z363" i="111"/>
  <c r="Z373" i="111" s="1"/>
  <c r="S365" i="111"/>
  <c r="T365" i="111"/>
  <c r="B366" i="111"/>
  <c r="C366" i="111"/>
  <c r="D366" i="111"/>
  <c r="E366" i="111"/>
  <c r="F366" i="111"/>
  <c r="G366" i="111"/>
  <c r="H366" i="111"/>
  <c r="I366" i="111"/>
  <c r="J366" i="111"/>
  <c r="K366" i="111"/>
  <c r="L366" i="111"/>
  <c r="M366" i="111"/>
  <c r="N366" i="111"/>
  <c r="O366" i="111"/>
  <c r="P366" i="111"/>
  <c r="Q366" i="111"/>
  <c r="R366" i="111"/>
  <c r="S366" i="111"/>
  <c r="T366" i="111"/>
  <c r="U366" i="111"/>
  <c r="V366" i="111"/>
  <c r="W366" i="111"/>
  <c r="X366" i="111"/>
  <c r="Y366" i="111"/>
  <c r="Z366" i="111"/>
  <c r="B367" i="111"/>
  <c r="C367" i="111"/>
  <c r="D367" i="111"/>
  <c r="E367" i="111"/>
  <c r="F367" i="111"/>
  <c r="G367" i="111"/>
  <c r="H367" i="111"/>
  <c r="I367" i="111"/>
  <c r="J367" i="111"/>
  <c r="K367" i="111"/>
  <c r="L367" i="111"/>
  <c r="M367" i="111"/>
  <c r="N367" i="111"/>
  <c r="O367" i="111"/>
  <c r="P367" i="111"/>
  <c r="Q367" i="111"/>
  <c r="R367" i="111"/>
  <c r="S367" i="111"/>
  <c r="T367" i="111"/>
  <c r="U367" i="111"/>
  <c r="V367" i="111"/>
  <c r="W367" i="111"/>
  <c r="X367" i="111"/>
  <c r="Y367" i="111"/>
  <c r="Z367" i="111"/>
  <c r="B368" i="111"/>
  <c r="C368" i="111"/>
  <c r="D368" i="111"/>
  <c r="E368" i="111"/>
  <c r="F368" i="111"/>
  <c r="G368" i="111"/>
  <c r="H368" i="111"/>
  <c r="I368" i="111"/>
  <c r="J368" i="111"/>
  <c r="K368" i="111"/>
  <c r="L368" i="111"/>
  <c r="M368" i="111"/>
  <c r="N368" i="111"/>
  <c r="O368" i="111"/>
  <c r="P368" i="111"/>
  <c r="Q368" i="111"/>
  <c r="R368" i="111"/>
  <c r="S368" i="111"/>
  <c r="T368" i="111"/>
  <c r="U368" i="111"/>
  <c r="V368" i="111"/>
  <c r="W368" i="111"/>
  <c r="X368" i="111"/>
  <c r="Y368" i="111"/>
  <c r="Z368" i="111"/>
  <c r="S370" i="111"/>
  <c r="T370" i="111"/>
  <c r="S375" i="111"/>
  <c r="T375" i="111"/>
  <c r="S380" i="111"/>
  <c r="T380" i="111"/>
  <c r="A381" i="111"/>
  <c r="B381" i="111"/>
  <c r="C381" i="111"/>
  <c r="D381" i="111"/>
  <c r="E381" i="111"/>
  <c r="F381" i="111"/>
  <c r="G381" i="111"/>
  <c r="H381" i="111"/>
  <c r="I381" i="111"/>
  <c r="A382" i="111"/>
  <c r="B382" i="111"/>
  <c r="C382" i="111"/>
  <c r="D382" i="111"/>
  <c r="E382" i="111"/>
  <c r="F382" i="111"/>
  <c r="G382" i="111"/>
  <c r="H382" i="111"/>
  <c r="I382" i="111"/>
  <c r="B383" i="111"/>
  <c r="C383" i="111"/>
  <c r="D383" i="111"/>
  <c r="E383" i="111"/>
  <c r="F383" i="111"/>
  <c r="G383" i="111"/>
  <c r="H383" i="111"/>
  <c r="I383" i="111"/>
  <c r="B384" i="111"/>
  <c r="C384" i="111"/>
  <c r="D384" i="111"/>
  <c r="E384" i="111"/>
  <c r="F384" i="111"/>
  <c r="G384" i="111"/>
  <c r="H384" i="111"/>
  <c r="I384" i="111"/>
  <c r="S386" i="111"/>
  <c r="T386" i="111"/>
  <c r="B387" i="111"/>
  <c r="C387" i="111"/>
  <c r="D387" i="111"/>
  <c r="E387" i="111"/>
  <c r="F387" i="111"/>
  <c r="G387" i="111"/>
  <c r="H387" i="111"/>
  <c r="I387" i="111"/>
  <c r="B388" i="111"/>
  <c r="C388" i="111"/>
  <c r="D388" i="111"/>
  <c r="E388" i="111"/>
  <c r="F388" i="111"/>
  <c r="G388" i="111"/>
  <c r="H388" i="111"/>
  <c r="I388" i="111"/>
  <c r="S391" i="111"/>
  <c r="T391" i="111"/>
  <c r="B393" i="111"/>
  <c r="B394" i="111"/>
  <c r="S396" i="111"/>
  <c r="T396" i="111"/>
  <c r="B397" i="111"/>
  <c r="C397" i="111"/>
  <c r="D397" i="111"/>
  <c r="E397" i="111"/>
  <c r="F397" i="111"/>
  <c r="G397" i="111"/>
  <c r="H397" i="111"/>
  <c r="I397" i="111"/>
  <c r="J397" i="111"/>
  <c r="K397" i="111"/>
  <c r="L397" i="111"/>
  <c r="M397" i="111"/>
  <c r="N397" i="111"/>
  <c r="O397" i="111"/>
  <c r="P397" i="111"/>
  <c r="Q397" i="111"/>
  <c r="R397" i="111"/>
  <c r="S397" i="111"/>
  <c r="T397" i="111"/>
  <c r="U397" i="111"/>
  <c r="V397" i="111"/>
  <c r="W397" i="111"/>
  <c r="X397" i="111"/>
  <c r="Y397" i="111"/>
  <c r="Z397" i="111"/>
  <c r="B398" i="111"/>
  <c r="C398" i="111"/>
  <c r="D398" i="111"/>
  <c r="E398" i="111"/>
  <c r="F398" i="111"/>
  <c r="G398" i="111"/>
  <c r="H398" i="111"/>
  <c r="I398" i="111"/>
  <c r="J398" i="111"/>
  <c r="K398" i="111"/>
  <c r="L398" i="111"/>
  <c r="M398" i="111"/>
  <c r="N398" i="111"/>
  <c r="O398" i="111"/>
  <c r="P398" i="111"/>
  <c r="Q398" i="111"/>
  <c r="R398" i="111"/>
  <c r="S398" i="111"/>
  <c r="T398" i="111"/>
  <c r="U398" i="111"/>
  <c r="V398" i="111"/>
  <c r="W398" i="111"/>
  <c r="X398" i="111"/>
  <c r="Y398" i="111"/>
  <c r="Z398" i="111"/>
  <c r="B399" i="111"/>
  <c r="C399" i="111"/>
  <c r="D399" i="111"/>
  <c r="E399" i="111"/>
  <c r="F399" i="111"/>
  <c r="G399" i="111"/>
  <c r="H399" i="111"/>
  <c r="I399" i="111"/>
  <c r="J399" i="111"/>
  <c r="K399" i="111"/>
  <c r="L399" i="111"/>
  <c r="M399" i="111"/>
  <c r="N399" i="111"/>
  <c r="O399" i="111"/>
  <c r="P399" i="111"/>
  <c r="Q399" i="111"/>
  <c r="R399" i="111"/>
  <c r="S399" i="111"/>
  <c r="T399" i="111"/>
  <c r="U399" i="111"/>
  <c r="V399" i="111"/>
  <c r="W399" i="111"/>
  <c r="X399" i="111"/>
  <c r="Y399" i="111"/>
  <c r="Z399" i="111"/>
  <c r="S401" i="111"/>
  <c r="T401" i="111"/>
  <c r="B402" i="111"/>
  <c r="C402" i="111"/>
  <c r="D402" i="111"/>
  <c r="E402" i="111"/>
  <c r="F402" i="111"/>
  <c r="G402" i="111"/>
  <c r="H402" i="111"/>
  <c r="I402" i="111"/>
  <c r="J402" i="111"/>
  <c r="K402" i="111"/>
  <c r="L402" i="111"/>
  <c r="M402" i="111"/>
  <c r="N402" i="111"/>
  <c r="O402" i="111"/>
  <c r="P402" i="111"/>
  <c r="Q402" i="111"/>
  <c r="R402" i="111"/>
  <c r="S402" i="111"/>
  <c r="T402" i="111"/>
  <c r="U402" i="111"/>
  <c r="V402" i="111"/>
  <c r="W402" i="111"/>
  <c r="X402" i="111"/>
  <c r="Y402" i="111"/>
  <c r="Z402" i="111"/>
  <c r="B403" i="111"/>
  <c r="C403" i="111"/>
  <c r="D403" i="111"/>
  <c r="E403" i="111"/>
  <c r="F403" i="111"/>
  <c r="G403" i="111"/>
  <c r="H403" i="111"/>
  <c r="I403" i="111"/>
  <c r="J403" i="111"/>
  <c r="K403" i="111"/>
  <c r="L403" i="111"/>
  <c r="M403" i="111"/>
  <c r="N403" i="111"/>
  <c r="O403" i="111"/>
  <c r="P403" i="111"/>
  <c r="Q403" i="111"/>
  <c r="R403" i="111"/>
  <c r="S403" i="111"/>
  <c r="T403" i="111"/>
  <c r="U403" i="111"/>
  <c r="V403" i="111"/>
  <c r="W403" i="111"/>
  <c r="X403" i="111"/>
  <c r="Y403" i="111"/>
  <c r="Z403" i="111"/>
  <c r="B404" i="111"/>
  <c r="C404" i="111"/>
  <c r="D404" i="111"/>
  <c r="E404" i="111"/>
  <c r="F404" i="111"/>
  <c r="G404" i="111"/>
  <c r="H404" i="111"/>
  <c r="I404" i="111"/>
  <c r="J404" i="111"/>
  <c r="K404" i="111"/>
  <c r="L404" i="111"/>
  <c r="M404" i="111"/>
  <c r="N404" i="111"/>
  <c r="O404" i="111"/>
  <c r="P404" i="111"/>
  <c r="Q404" i="111"/>
  <c r="R404" i="111"/>
  <c r="S404" i="111"/>
  <c r="T404" i="111"/>
  <c r="U404" i="111"/>
  <c r="V404" i="111"/>
  <c r="W404" i="111"/>
  <c r="X404" i="111"/>
  <c r="Y404" i="111"/>
  <c r="Z404" i="111"/>
  <c r="S406" i="111"/>
  <c r="T406" i="111"/>
  <c r="B407" i="111"/>
  <c r="C407" i="111"/>
  <c r="D407" i="111"/>
  <c r="E407" i="111"/>
  <c r="F407" i="111"/>
  <c r="G407" i="111"/>
  <c r="H407" i="111"/>
  <c r="I407" i="111"/>
  <c r="J407" i="111"/>
  <c r="K407" i="111"/>
  <c r="L407" i="111"/>
  <c r="M407" i="111"/>
  <c r="N407" i="111"/>
  <c r="O407" i="111"/>
  <c r="P407" i="111"/>
  <c r="Q407" i="111"/>
  <c r="R407" i="111"/>
  <c r="S407" i="111"/>
  <c r="T407" i="111"/>
  <c r="U407" i="111"/>
  <c r="V407" i="111"/>
  <c r="W407" i="111"/>
  <c r="X407" i="111"/>
  <c r="Y407" i="111"/>
  <c r="Z407" i="111"/>
  <c r="B408" i="111"/>
  <c r="C408" i="111"/>
  <c r="D408" i="111"/>
  <c r="E408" i="111"/>
  <c r="F408" i="111"/>
  <c r="G408" i="111"/>
  <c r="H408" i="111"/>
  <c r="I408" i="111"/>
  <c r="J408" i="111"/>
  <c r="K408" i="111"/>
  <c r="L408" i="111"/>
  <c r="M408" i="111"/>
  <c r="N408" i="111"/>
  <c r="O408" i="111"/>
  <c r="P408" i="111"/>
  <c r="Q408" i="111"/>
  <c r="R408" i="111"/>
  <c r="S408" i="111"/>
  <c r="T408" i="111"/>
  <c r="U408" i="111"/>
  <c r="V408" i="111"/>
  <c r="W408" i="111"/>
  <c r="X408" i="111"/>
  <c r="Y408" i="111"/>
  <c r="Z408" i="111"/>
  <c r="B409" i="111"/>
  <c r="C409" i="111"/>
  <c r="D409" i="111"/>
  <c r="E409" i="111"/>
  <c r="F409" i="111"/>
  <c r="G409" i="111"/>
  <c r="H409" i="111"/>
  <c r="I409" i="111"/>
  <c r="J409" i="111"/>
  <c r="K409" i="111"/>
  <c r="L409" i="111"/>
  <c r="M409" i="111"/>
  <c r="N409" i="111"/>
  <c r="O409" i="111"/>
  <c r="P409" i="111"/>
  <c r="Q409" i="111"/>
  <c r="R409" i="111"/>
  <c r="S409" i="111"/>
  <c r="T409" i="111"/>
  <c r="U409" i="111"/>
  <c r="V409" i="111"/>
  <c r="W409" i="111"/>
  <c r="X409" i="111"/>
  <c r="Y409" i="111"/>
  <c r="Z409" i="111"/>
  <c r="S411" i="111"/>
  <c r="T411" i="111"/>
  <c r="B412" i="111"/>
  <c r="C412" i="111"/>
  <c r="D412" i="111"/>
  <c r="E412" i="111"/>
  <c r="F412" i="111"/>
  <c r="G412" i="111"/>
  <c r="H412" i="111"/>
  <c r="I412" i="111"/>
  <c r="J412" i="111"/>
  <c r="K412" i="111"/>
  <c r="L412" i="111"/>
  <c r="M412" i="111"/>
  <c r="N412" i="111"/>
  <c r="O412" i="111"/>
  <c r="P412" i="111"/>
  <c r="Q412" i="111"/>
  <c r="R412" i="111"/>
  <c r="S412" i="111"/>
  <c r="T412" i="111"/>
  <c r="U412" i="111"/>
  <c r="V412" i="111"/>
  <c r="W412" i="111"/>
  <c r="X412" i="111"/>
  <c r="Y412" i="111"/>
  <c r="Z412" i="111"/>
  <c r="B413" i="111"/>
  <c r="C413" i="111"/>
  <c r="D413" i="111"/>
  <c r="E413" i="111"/>
  <c r="F413" i="111"/>
  <c r="G413" i="111"/>
  <c r="H413" i="111"/>
  <c r="I413" i="111"/>
  <c r="J413" i="111"/>
  <c r="K413" i="111"/>
  <c r="L413" i="111"/>
  <c r="M413" i="111"/>
  <c r="N413" i="111"/>
  <c r="O413" i="111"/>
  <c r="P413" i="111"/>
  <c r="Q413" i="111"/>
  <c r="R413" i="111"/>
  <c r="S413" i="111"/>
  <c r="T413" i="111"/>
  <c r="U413" i="111"/>
  <c r="V413" i="111"/>
  <c r="W413" i="111"/>
  <c r="X413" i="111"/>
  <c r="Y413" i="111"/>
  <c r="Z413" i="111"/>
  <c r="B414" i="111"/>
  <c r="C414" i="111"/>
  <c r="D414" i="111"/>
  <c r="E414" i="111"/>
  <c r="F414" i="111"/>
  <c r="G414" i="111"/>
  <c r="H414" i="111"/>
  <c r="I414" i="111"/>
  <c r="J414" i="111"/>
  <c r="K414" i="111"/>
  <c r="L414" i="111"/>
  <c r="M414" i="111"/>
  <c r="N414" i="111"/>
  <c r="O414" i="111"/>
  <c r="P414" i="111"/>
  <c r="Q414" i="111"/>
  <c r="R414" i="111"/>
  <c r="S414" i="111"/>
  <c r="T414" i="111"/>
  <c r="U414" i="111"/>
  <c r="V414" i="111"/>
  <c r="W414" i="111"/>
  <c r="X414" i="111"/>
  <c r="Y414" i="111"/>
  <c r="Z414" i="111"/>
  <c r="S416" i="111"/>
  <c r="T416" i="111"/>
  <c r="B417" i="111"/>
  <c r="C417" i="111"/>
  <c r="D417" i="111"/>
  <c r="E417" i="111"/>
  <c r="F417" i="111"/>
  <c r="G417" i="111"/>
  <c r="H417" i="111"/>
  <c r="I417" i="111"/>
  <c r="J417" i="111"/>
  <c r="K417" i="111"/>
  <c r="L417" i="111"/>
  <c r="M417" i="111"/>
  <c r="N417" i="111"/>
  <c r="O417" i="111"/>
  <c r="P417" i="111"/>
  <c r="Q417" i="111"/>
  <c r="R417" i="111"/>
  <c r="S417" i="111"/>
  <c r="T417" i="111"/>
  <c r="U417" i="111"/>
  <c r="V417" i="111"/>
  <c r="W417" i="111"/>
  <c r="X417" i="111"/>
  <c r="Y417" i="111"/>
  <c r="Z417" i="111"/>
  <c r="B418" i="111"/>
  <c r="C418" i="111"/>
  <c r="D418" i="111"/>
  <c r="E418" i="111"/>
  <c r="F418" i="111"/>
  <c r="G418" i="111"/>
  <c r="H418" i="111"/>
  <c r="I418" i="111"/>
  <c r="J418" i="111"/>
  <c r="K418" i="111"/>
  <c r="L418" i="111"/>
  <c r="M418" i="111"/>
  <c r="N418" i="111"/>
  <c r="O418" i="111"/>
  <c r="P418" i="111"/>
  <c r="Q418" i="111"/>
  <c r="R418" i="111"/>
  <c r="S418" i="111"/>
  <c r="T418" i="111"/>
  <c r="U418" i="111"/>
  <c r="V418" i="111"/>
  <c r="W418" i="111"/>
  <c r="X418" i="111"/>
  <c r="Y418" i="111"/>
  <c r="Z418" i="111"/>
  <c r="B419" i="111"/>
  <c r="C419" i="111"/>
  <c r="D419" i="111"/>
  <c r="E419" i="111"/>
  <c r="F419" i="111"/>
  <c r="G419" i="111"/>
  <c r="H419" i="111"/>
  <c r="I419" i="111"/>
  <c r="J419" i="111"/>
  <c r="K419" i="111"/>
  <c r="L419" i="111"/>
  <c r="M419" i="111"/>
  <c r="N419" i="111"/>
  <c r="O419" i="111"/>
  <c r="P419" i="111"/>
  <c r="Q419" i="111"/>
  <c r="R419" i="111"/>
  <c r="S419" i="111"/>
  <c r="T419" i="111"/>
  <c r="U419" i="111"/>
  <c r="V419" i="111"/>
  <c r="W419" i="111"/>
  <c r="X419" i="111"/>
  <c r="Y419" i="111"/>
  <c r="Z419" i="111"/>
  <c r="S421" i="111"/>
  <c r="T421" i="111"/>
  <c r="B422" i="111"/>
  <c r="C422" i="111"/>
  <c r="D422" i="111"/>
  <c r="E422" i="111"/>
  <c r="F422" i="111"/>
  <c r="G422" i="111"/>
  <c r="H422" i="111"/>
  <c r="I422" i="111"/>
  <c r="J422" i="111"/>
  <c r="K422" i="111"/>
  <c r="L422" i="111"/>
  <c r="M422" i="111"/>
  <c r="N422" i="111"/>
  <c r="O422" i="111"/>
  <c r="P422" i="111"/>
  <c r="Q422" i="111"/>
  <c r="R422" i="111"/>
  <c r="S422" i="111"/>
  <c r="T422" i="111"/>
  <c r="U422" i="111"/>
  <c r="V422" i="111"/>
  <c r="W422" i="111"/>
  <c r="X422" i="111"/>
  <c r="Y422" i="111"/>
  <c r="Z422" i="111"/>
  <c r="B423" i="111"/>
  <c r="C423" i="111"/>
  <c r="D423" i="111"/>
  <c r="E423" i="111"/>
  <c r="F423" i="111"/>
  <c r="G423" i="111"/>
  <c r="H423" i="111"/>
  <c r="I423" i="111"/>
  <c r="J423" i="111"/>
  <c r="K423" i="111"/>
  <c r="L423" i="111"/>
  <c r="M423" i="111"/>
  <c r="N423" i="111"/>
  <c r="O423" i="111"/>
  <c r="P423" i="111"/>
  <c r="Q423" i="111"/>
  <c r="R423" i="111"/>
  <c r="S423" i="111"/>
  <c r="T423" i="111"/>
  <c r="U423" i="111"/>
  <c r="V423" i="111"/>
  <c r="W423" i="111"/>
  <c r="X423" i="111"/>
  <c r="Y423" i="111"/>
  <c r="Z423" i="111"/>
  <c r="B424" i="111"/>
  <c r="C424" i="111"/>
  <c r="D424" i="111"/>
  <c r="E424" i="111"/>
  <c r="F424" i="111"/>
  <c r="G424" i="111"/>
  <c r="H424" i="111"/>
  <c r="I424" i="111"/>
  <c r="J424" i="111"/>
  <c r="K424" i="111"/>
  <c r="L424" i="111"/>
  <c r="M424" i="111"/>
  <c r="N424" i="111"/>
  <c r="O424" i="111"/>
  <c r="P424" i="111"/>
  <c r="Q424" i="111"/>
  <c r="R424" i="111"/>
  <c r="S424" i="111"/>
  <c r="T424" i="111"/>
  <c r="U424" i="111"/>
  <c r="V424" i="111"/>
  <c r="W424" i="111"/>
  <c r="X424" i="111"/>
  <c r="Y424" i="111"/>
  <c r="Z424" i="111"/>
  <c r="J427" i="111"/>
  <c r="K427" i="111"/>
  <c r="L427" i="111"/>
  <c r="M427" i="111"/>
  <c r="N427" i="111"/>
  <c r="O427" i="111"/>
  <c r="P427" i="111"/>
  <c r="Q427" i="111"/>
  <c r="R427" i="111"/>
  <c r="S427" i="111"/>
  <c r="T427" i="111"/>
  <c r="U427" i="111"/>
  <c r="V427" i="111"/>
  <c r="W427" i="111"/>
  <c r="X427" i="111"/>
  <c r="Y427" i="111"/>
  <c r="Z427" i="111"/>
  <c r="AA427" i="111"/>
  <c r="AB427" i="111"/>
  <c r="AC427" i="111"/>
  <c r="AD427" i="111"/>
  <c r="AE427" i="111"/>
  <c r="AF427" i="111"/>
  <c r="AG427" i="111"/>
  <c r="AH427" i="111"/>
  <c r="AI427" i="111"/>
  <c r="AJ427" i="111"/>
  <c r="AK427" i="111"/>
  <c r="AL427" i="111"/>
  <c r="AM427" i="111"/>
  <c r="AN427" i="111"/>
  <c r="AO427" i="111"/>
  <c r="AP427" i="111"/>
  <c r="AQ427" i="111"/>
  <c r="AR427" i="111"/>
  <c r="AS427" i="111"/>
  <c r="AT427" i="111"/>
  <c r="AU427" i="111"/>
  <c r="AV427" i="111"/>
  <c r="AW427" i="111"/>
  <c r="AX427" i="111"/>
  <c r="AY427" i="111"/>
  <c r="AZ427" i="111"/>
  <c r="BA427" i="111"/>
  <c r="BO427" i="111"/>
  <c r="BR427" i="111"/>
  <c r="BS427" i="111"/>
  <c r="BT427" i="111"/>
  <c r="BU427" i="111"/>
  <c r="BW427" i="111"/>
  <c r="BX427" i="111"/>
  <c r="BY427" i="111"/>
  <c r="AP430" i="111"/>
  <c r="AQ430" i="111"/>
  <c r="AR430" i="111"/>
  <c r="AS430" i="111"/>
  <c r="AT430" i="111"/>
  <c r="AU430" i="111"/>
  <c r="AV430" i="111"/>
  <c r="AW430" i="111"/>
  <c r="AX430" i="111"/>
  <c r="AY430" i="111"/>
  <c r="AZ430" i="111"/>
  <c r="BA430" i="111"/>
  <c r="AU432" i="111"/>
  <c r="AV432" i="111"/>
  <c r="AW432" i="111"/>
  <c r="AX432" i="111"/>
  <c r="AY432" i="111"/>
  <c r="AZ432" i="111"/>
  <c r="BA432" i="111"/>
  <c r="J434" i="111"/>
  <c r="K434" i="111"/>
  <c r="L434" i="111"/>
  <c r="M434" i="111"/>
  <c r="N434" i="111"/>
  <c r="O434" i="111"/>
  <c r="P434" i="111"/>
  <c r="Q434" i="111"/>
  <c r="R434" i="111"/>
  <c r="S434" i="111"/>
  <c r="T434" i="111"/>
  <c r="U434" i="111"/>
  <c r="V434" i="111"/>
  <c r="W434" i="111"/>
  <c r="X434" i="111"/>
  <c r="Y434" i="111"/>
  <c r="Z434" i="111"/>
  <c r="AA434" i="111"/>
  <c r="AB434" i="111"/>
  <c r="AC434" i="111"/>
  <c r="AD434" i="111"/>
  <c r="AE434" i="111"/>
  <c r="AF434" i="111"/>
  <c r="AG434" i="111"/>
  <c r="AH434" i="111"/>
  <c r="AI434" i="111"/>
  <c r="AJ434" i="111"/>
  <c r="AK434" i="111"/>
  <c r="AL434" i="111"/>
  <c r="AM434" i="111"/>
  <c r="AN434" i="111"/>
  <c r="AO434" i="111"/>
  <c r="AP434" i="111"/>
  <c r="AQ434" i="111"/>
  <c r="AR434" i="111"/>
  <c r="AS434" i="111"/>
  <c r="AT434" i="111"/>
  <c r="AU434" i="111"/>
  <c r="AV434" i="111"/>
  <c r="AW434" i="111"/>
  <c r="AX434" i="111"/>
  <c r="AY434" i="111"/>
  <c r="AZ434" i="111"/>
  <c r="BA434" i="111"/>
  <c r="J437" i="111"/>
  <c r="K437" i="111"/>
  <c r="L437" i="111"/>
  <c r="M437" i="111"/>
  <c r="N437" i="111"/>
  <c r="O437" i="111"/>
  <c r="P437" i="111"/>
  <c r="Q437" i="111"/>
  <c r="R437" i="111"/>
  <c r="S437" i="111"/>
  <c r="T437" i="111"/>
  <c r="U437" i="111"/>
  <c r="V437" i="111"/>
  <c r="W437" i="111"/>
  <c r="X437" i="111"/>
  <c r="Y437" i="111"/>
  <c r="Z437" i="111"/>
  <c r="AA437" i="111"/>
  <c r="AB437" i="111"/>
  <c r="AC437" i="111"/>
  <c r="AD437" i="111"/>
  <c r="AE437" i="111"/>
  <c r="AF437" i="111"/>
  <c r="AG437" i="111"/>
  <c r="AH437" i="111"/>
  <c r="AI437" i="111"/>
  <c r="AJ437" i="111"/>
  <c r="AK437" i="111"/>
  <c r="AL437" i="111"/>
  <c r="AM437" i="111"/>
  <c r="AN437" i="111"/>
  <c r="AO437" i="111"/>
  <c r="AP437" i="111"/>
  <c r="AQ437" i="111"/>
  <c r="AR437" i="111"/>
  <c r="AS437" i="111"/>
  <c r="AT437" i="111"/>
  <c r="AU437" i="111"/>
  <c r="AV437" i="111"/>
  <c r="AW437" i="111"/>
  <c r="AX437" i="111"/>
  <c r="AY437" i="111"/>
  <c r="AZ437" i="111"/>
  <c r="BA437" i="111"/>
  <c r="BO437" i="111"/>
  <c r="BR437" i="111"/>
  <c r="BS437" i="111"/>
  <c r="BT437" i="111"/>
  <c r="BU437" i="111"/>
  <c r="BW437" i="111"/>
  <c r="BX437" i="111"/>
  <c r="BY437" i="111"/>
  <c r="A438" i="111"/>
  <c r="A439" i="111"/>
  <c r="A441" i="111"/>
  <c r="A443" i="111"/>
  <c r="A445" i="111"/>
  <c r="J447" i="111"/>
  <c r="K447" i="111"/>
  <c r="L447" i="111"/>
  <c r="M447" i="111"/>
  <c r="N447" i="111"/>
  <c r="O447" i="111"/>
  <c r="P447" i="111"/>
  <c r="Q447" i="111"/>
  <c r="R447" i="111"/>
  <c r="S447" i="111"/>
  <c r="T447" i="111"/>
  <c r="U447" i="111"/>
  <c r="V447" i="111"/>
  <c r="W447" i="111"/>
  <c r="X447" i="111"/>
  <c r="Y447" i="111"/>
  <c r="Z447" i="111"/>
  <c r="AA447" i="111"/>
  <c r="AB447" i="111"/>
  <c r="AC447" i="111"/>
  <c r="AD447" i="111"/>
  <c r="AE447" i="111"/>
  <c r="AF447" i="111"/>
  <c r="AG447" i="111"/>
  <c r="AH447" i="111"/>
  <c r="AI447" i="111"/>
  <c r="AJ447" i="111"/>
  <c r="AK447" i="111"/>
  <c r="AL447" i="111"/>
  <c r="AM447" i="111"/>
  <c r="AN447" i="111"/>
  <c r="AO447" i="111"/>
  <c r="BS447" i="111"/>
  <c r="BT447" i="111"/>
  <c r="BU447" i="111"/>
  <c r="BW447" i="111"/>
  <c r="BX447" i="111"/>
  <c r="BY447" i="111"/>
  <c r="J449" i="111"/>
  <c r="K449" i="111"/>
  <c r="L449" i="111"/>
  <c r="M449" i="111"/>
  <c r="N449" i="111"/>
  <c r="O449" i="111"/>
  <c r="P449" i="111"/>
  <c r="Q449" i="111"/>
  <c r="R449" i="111"/>
  <c r="S449" i="111"/>
  <c r="T449" i="111"/>
  <c r="U449" i="111"/>
  <c r="V449" i="111"/>
  <c r="W449" i="111"/>
  <c r="X449" i="111"/>
  <c r="Y449" i="111"/>
  <c r="Z449" i="111"/>
  <c r="AA449" i="111"/>
  <c r="AB449" i="111"/>
  <c r="AC449" i="111"/>
  <c r="AD449" i="111"/>
  <c r="AE449" i="111"/>
  <c r="AF449" i="111"/>
  <c r="AG449" i="111"/>
  <c r="AH449" i="111"/>
  <c r="AI449" i="111"/>
  <c r="AJ449" i="111"/>
  <c r="AK449" i="111"/>
  <c r="AL449" i="111"/>
  <c r="AM449" i="111"/>
  <c r="AN449" i="111"/>
  <c r="AO449" i="111"/>
  <c r="J450" i="111"/>
  <c r="K450" i="111"/>
  <c r="L450" i="111"/>
  <c r="M450" i="111"/>
  <c r="N450" i="111"/>
  <c r="O450" i="111"/>
  <c r="P450" i="111"/>
  <c r="Q450" i="111"/>
  <c r="R450" i="111"/>
  <c r="S450" i="111"/>
  <c r="T450" i="111"/>
  <c r="U450" i="111"/>
  <c r="V450" i="111"/>
  <c r="W450" i="111"/>
  <c r="X450" i="111"/>
  <c r="Y450" i="111"/>
  <c r="Z450" i="111"/>
  <c r="AA450" i="111"/>
  <c r="AB450" i="111"/>
  <c r="AC450" i="111"/>
  <c r="AD450" i="111"/>
  <c r="AE450" i="111"/>
  <c r="AF450" i="111"/>
  <c r="AG450" i="111"/>
  <c r="AH450" i="111"/>
  <c r="AI450" i="111"/>
  <c r="AJ450" i="111"/>
  <c r="AK450" i="111"/>
  <c r="AL450" i="111"/>
  <c r="AM450" i="111"/>
  <c r="AN450" i="111"/>
  <c r="AO450" i="111"/>
  <c r="AP450" i="111"/>
  <c r="AQ450" i="111"/>
  <c r="AR450" i="111"/>
  <c r="AS450" i="111"/>
  <c r="AT450" i="111"/>
  <c r="AU450" i="111"/>
  <c r="AV450" i="111"/>
  <c r="AW450" i="111"/>
  <c r="AX450" i="111"/>
  <c r="AY450" i="111"/>
  <c r="AZ450" i="111"/>
  <c r="BA450" i="111"/>
  <c r="J451" i="111"/>
  <c r="K451" i="111"/>
  <c r="L451" i="111"/>
  <c r="M451" i="111"/>
  <c r="N451" i="111"/>
  <c r="O451" i="111"/>
  <c r="P451" i="111"/>
  <c r="Q451" i="111"/>
  <c r="R451" i="111"/>
  <c r="S451" i="111"/>
  <c r="T451" i="111"/>
  <c r="U451" i="111"/>
  <c r="V451" i="111"/>
  <c r="W451" i="111"/>
  <c r="X451" i="111"/>
  <c r="Y451" i="111"/>
  <c r="Z451" i="111"/>
  <c r="AA451" i="111"/>
  <c r="AB451" i="111"/>
  <c r="AC451" i="111"/>
  <c r="AD451" i="111"/>
  <c r="AE451" i="111"/>
  <c r="AF451" i="111"/>
  <c r="AG451" i="111"/>
  <c r="AH451" i="111"/>
  <c r="AI451" i="111"/>
  <c r="AJ451" i="111"/>
  <c r="AK451" i="111"/>
  <c r="AL451" i="111"/>
  <c r="AM451" i="111"/>
  <c r="AN451" i="111"/>
  <c r="AO451" i="111"/>
  <c r="AP451" i="111"/>
  <c r="AQ451" i="111"/>
  <c r="AR451" i="111"/>
  <c r="AS451" i="111"/>
  <c r="AT451" i="111"/>
  <c r="AU451" i="111"/>
  <c r="AV451" i="111"/>
  <c r="AW451" i="111"/>
  <c r="AX451" i="111"/>
  <c r="AY451" i="111"/>
  <c r="AZ451" i="111"/>
  <c r="BA451" i="111"/>
  <c r="J458" i="111"/>
  <c r="K458" i="111"/>
  <c r="L458" i="111"/>
  <c r="M458" i="111"/>
  <c r="N458" i="111"/>
  <c r="O458" i="111"/>
  <c r="P458" i="111"/>
  <c r="Q458" i="111"/>
  <c r="R458" i="111"/>
  <c r="S458" i="111"/>
  <c r="T458" i="111"/>
  <c r="U458" i="111"/>
  <c r="V458" i="111"/>
  <c r="W458" i="111"/>
  <c r="X458" i="111"/>
  <c r="Y458" i="111"/>
  <c r="Z458" i="111"/>
  <c r="AA458" i="111"/>
  <c r="AB458" i="111"/>
  <c r="AC458" i="111"/>
  <c r="AD458" i="111"/>
  <c r="AE458" i="111"/>
  <c r="AF458" i="111"/>
  <c r="AG458" i="111"/>
  <c r="AH458" i="111"/>
  <c r="AI458" i="111"/>
  <c r="AJ458" i="111"/>
  <c r="AK458" i="111"/>
  <c r="AL458" i="111"/>
  <c r="AM458" i="111"/>
  <c r="AN458" i="111"/>
  <c r="AO458" i="111"/>
  <c r="BS458" i="111"/>
  <c r="BT458" i="111"/>
  <c r="BU458" i="111"/>
  <c r="BW458" i="111"/>
  <c r="BX458" i="111"/>
  <c r="BY458" i="111"/>
  <c r="A459" i="111"/>
  <c r="A469" i="111" s="1"/>
  <c r="AH459" i="111"/>
  <c r="AI459" i="111"/>
  <c r="AJ459" i="111"/>
  <c r="AK459" i="111"/>
  <c r="AL459" i="111"/>
  <c r="AM459" i="111"/>
  <c r="AN459" i="111"/>
  <c r="AO459" i="111"/>
  <c r="AP459" i="111"/>
  <c r="AQ459" i="111"/>
  <c r="AR459" i="111"/>
  <c r="AS459" i="111"/>
  <c r="AT459" i="111"/>
  <c r="AU459" i="111"/>
  <c r="AV459" i="111"/>
  <c r="AW459" i="111"/>
  <c r="AX459" i="111"/>
  <c r="AY459" i="111"/>
  <c r="AZ459" i="111"/>
  <c r="BA459" i="111"/>
  <c r="A461" i="111"/>
  <c r="A471" i="111" s="1"/>
  <c r="J463" i="111"/>
  <c r="K463" i="111"/>
  <c r="L463" i="111"/>
  <c r="M463" i="111"/>
  <c r="N463" i="111"/>
  <c r="O463" i="111"/>
  <c r="P463" i="111"/>
  <c r="Q463" i="111"/>
  <c r="R463" i="111"/>
  <c r="S463" i="111"/>
  <c r="T463" i="111"/>
  <c r="U463" i="111"/>
  <c r="V463" i="111"/>
  <c r="W463" i="111"/>
  <c r="X463" i="111"/>
  <c r="Y463" i="111"/>
  <c r="Z463" i="111"/>
  <c r="AA463" i="111"/>
  <c r="AB463" i="111"/>
  <c r="AC463" i="111"/>
  <c r="AD463" i="111"/>
  <c r="AE463" i="111"/>
  <c r="AF463" i="111"/>
  <c r="AG463" i="111"/>
  <c r="AH463" i="111"/>
  <c r="AI463" i="111"/>
  <c r="AJ463" i="111"/>
  <c r="AK463" i="111"/>
  <c r="AL463" i="111"/>
  <c r="AM463" i="111"/>
  <c r="AN463" i="111"/>
  <c r="AO463" i="111"/>
  <c r="AP463" i="111"/>
  <c r="AQ463" i="111"/>
  <c r="AR463" i="111"/>
  <c r="AS463" i="111"/>
  <c r="AT463" i="111"/>
  <c r="AU463" i="111"/>
  <c r="AV463" i="111"/>
  <c r="AW463" i="111"/>
  <c r="AX463" i="111"/>
  <c r="AY463" i="111"/>
  <c r="AZ463" i="111"/>
  <c r="BA463" i="111"/>
  <c r="A465" i="111"/>
  <c r="BB465" i="111"/>
  <c r="BH465" i="111"/>
  <c r="BK465" i="111"/>
  <c r="BO465" i="111"/>
  <c r="BS465" i="111"/>
  <c r="BT465" i="111"/>
  <c r="BU465" i="111"/>
  <c r="BV465" i="111"/>
  <c r="BW465" i="111"/>
  <c r="BY465" i="111"/>
  <c r="J468" i="111"/>
  <c r="K468" i="111"/>
  <c r="L468" i="111"/>
  <c r="M468" i="111"/>
  <c r="N468" i="111"/>
  <c r="O468" i="111"/>
  <c r="P468" i="111"/>
  <c r="Q468" i="111"/>
  <c r="R468" i="111"/>
  <c r="S468" i="111"/>
  <c r="T468" i="111"/>
  <c r="U468" i="111"/>
  <c r="V468" i="111"/>
  <c r="W468" i="111"/>
  <c r="X468" i="111"/>
  <c r="Y468" i="111"/>
  <c r="Z468" i="111"/>
  <c r="AA468" i="111"/>
  <c r="AB468" i="111"/>
  <c r="AC468" i="111"/>
  <c r="AD468" i="111"/>
  <c r="AE468" i="111"/>
  <c r="AF468" i="111"/>
  <c r="AG468" i="111"/>
  <c r="AH468" i="111"/>
  <c r="AI468" i="111"/>
  <c r="AJ468" i="111"/>
  <c r="AK468" i="111"/>
  <c r="AL468" i="111"/>
  <c r="AM468" i="111"/>
  <c r="AN468" i="111"/>
  <c r="AO468" i="111"/>
  <c r="AP468" i="111"/>
  <c r="AQ468" i="111"/>
  <c r="AR468" i="111"/>
  <c r="AS468" i="111"/>
  <c r="AT468" i="111"/>
  <c r="AU468" i="111"/>
  <c r="AV468" i="111"/>
  <c r="AW468" i="111"/>
  <c r="AX468" i="111"/>
  <c r="AY468" i="111"/>
  <c r="AZ468" i="111"/>
  <c r="BA468" i="111"/>
  <c r="BO468" i="111"/>
  <c r="BS468" i="111"/>
  <c r="BT468" i="111"/>
  <c r="BU468" i="111"/>
  <c r="BW468" i="111"/>
  <c r="BX468" i="111"/>
  <c r="BY468" i="111"/>
  <c r="J469" i="111"/>
  <c r="A470" i="111"/>
  <c r="J471" i="111"/>
  <c r="A472" i="111"/>
  <c r="A473" i="111"/>
  <c r="J473" i="111"/>
  <c r="AG473" i="111"/>
  <c r="A474" i="111"/>
  <c r="K474" i="111"/>
  <c r="L474" i="111"/>
  <c r="M474" i="111"/>
  <c r="N474" i="111"/>
  <c r="O474" i="111"/>
  <c r="P474" i="111"/>
  <c r="Q474" i="111"/>
  <c r="R474" i="111"/>
  <c r="S474" i="111"/>
  <c r="T474" i="111"/>
  <c r="U474" i="111"/>
  <c r="V474" i="111"/>
  <c r="W474" i="111"/>
  <c r="X474" i="111"/>
  <c r="Y474" i="111"/>
  <c r="Z474" i="111"/>
  <c r="AA474" i="111"/>
  <c r="AB474" i="111"/>
  <c r="AC474" i="111"/>
  <c r="AD474" i="111"/>
  <c r="AE474" i="111"/>
  <c r="AF474" i="111"/>
  <c r="AG474" i="111"/>
  <c r="J476" i="111"/>
  <c r="K476" i="111"/>
  <c r="L476" i="111"/>
  <c r="M476" i="111"/>
  <c r="N476" i="111"/>
  <c r="O476" i="111"/>
  <c r="P476" i="111"/>
  <c r="Q476" i="111"/>
  <c r="R476" i="111"/>
  <c r="S476" i="111"/>
  <c r="T476" i="111"/>
  <c r="U476" i="111"/>
  <c r="V476" i="111"/>
  <c r="W476" i="111"/>
  <c r="X476" i="111"/>
  <c r="Y476" i="111"/>
  <c r="Z476" i="111"/>
  <c r="AA476" i="111"/>
  <c r="AB476" i="111"/>
  <c r="AC476" i="111"/>
  <c r="AD476" i="111"/>
  <c r="AE476" i="111"/>
  <c r="AF476" i="111"/>
  <c r="AG476" i="111"/>
  <c r="AH476" i="111"/>
  <c r="AI476" i="111"/>
  <c r="AJ476" i="111"/>
  <c r="AK476" i="111"/>
  <c r="AL476" i="111"/>
  <c r="AM476" i="111"/>
  <c r="AN476" i="111"/>
  <c r="AO476" i="111"/>
  <c r="AP476" i="111"/>
  <c r="AQ476" i="111"/>
  <c r="AR476" i="111"/>
  <c r="AS476" i="111"/>
  <c r="AT476" i="111"/>
  <c r="AU476" i="111"/>
  <c r="AV476" i="111"/>
  <c r="AW476" i="111"/>
  <c r="AX476" i="111"/>
  <c r="AY476" i="111"/>
  <c r="AZ476" i="111"/>
  <c r="BA476" i="111"/>
  <c r="BO476" i="111"/>
  <c r="BS476" i="111"/>
  <c r="BT476" i="111"/>
  <c r="BU476" i="111"/>
  <c r="BW476" i="111"/>
  <c r="BX476" i="111"/>
  <c r="BY476" i="111"/>
  <c r="A477" i="111"/>
  <c r="J480" i="111"/>
  <c r="K480" i="111"/>
  <c r="L480" i="111"/>
  <c r="M480" i="111"/>
  <c r="N480" i="111"/>
  <c r="O480" i="111"/>
  <c r="P480" i="111"/>
  <c r="Q480" i="111"/>
  <c r="R480" i="111"/>
  <c r="S480" i="111"/>
  <c r="T480" i="111"/>
  <c r="U480" i="111"/>
  <c r="V480" i="111"/>
  <c r="W480" i="111"/>
  <c r="X480" i="111"/>
  <c r="Y480" i="111"/>
  <c r="Z480" i="111"/>
  <c r="AA480" i="111"/>
  <c r="AB480" i="111"/>
  <c r="AC480" i="111"/>
  <c r="AD480" i="111"/>
  <c r="AE480" i="111"/>
  <c r="AF480" i="111"/>
  <c r="AG480" i="111"/>
  <c r="AH480" i="111"/>
  <c r="AI480" i="111"/>
  <c r="AJ480" i="111"/>
  <c r="AK480" i="111"/>
  <c r="AL480" i="111"/>
  <c r="AM480" i="111"/>
  <c r="AN480" i="111"/>
  <c r="AO480" i="111"/>
  <c r="AP480" i="111"/>
  <c r="AQ480" i="111"/>
  <c r="AR480" i="111"/>
  <c r="AS480" i="111"/>
  <c r="AT480" i="111"/>
  <c r="AU480" i="111"/>
  <c r="AV480" i="111"/>
  <c r="AW480" i="111"/>
  <c r="AX480" i="111"/>
  <c r="AY480" i="111"/>
  <c r="AZ480" i="111"/>
  <c r="BA480" i="111"/>
  <c r="BO480" i="111"/>
  <c r="BS480" i="111"/>
  <c r="BT480" i="111"/>
  <c r="BU480" i="111"/>
  <c r="BW480" i="111"/>
  <c r="BX480" i="111"/>
  <c r="BY480" i="111"/>
  <c r="A481" i="111"/>
  <c r="J483" i="111"/>
  <c r="K483" i="111"/>
  <c r="L483" i="111"/>
  <c r="M483" i="111"/>
  <c r="N483" i="111"/>
  <c r="O483" i="111"/>
  <c r="P483" i="111"/>
  <c r="Q483" i="111"/>
  <c r="R483" i="111"/>
  <c r="S483" i="111"/>
  <c r="T483" i="111"/>
  <c r="U483" i="111"/>
  <c r="V483" i="111"/>
  <c r="W483" i="111"/>
  <c r="X483" i="111"/>
  <c r="Y483" i="111"/>
  <c r="Z483" i="111"/>
  <c r="AA483" i="111"/>
  <c r="AB483" i="111"/>
  <c r="AC483" i="111"/>
  <c r="AD483" i="111"/>
  <c r="AE483" i="111"/>
  <c r="AF483" i="111"/>
  <c r="AG483" i="111"/>
  <c r="AH483" i="111"/>
  <c r="AI483" i="111"/>
  <c r="AJ483" i="111"/>
  <c r="AK483" i="111"/>
  <c r="AL483" i="111"/>
  <c r="AM483" i="111"/>
  <c r="AN483" i="111"/>
  <c r="AO483" i="111"/>
  <c r="AP483" i="111"/>
  <c r="AQ483" i="111"/>
  <c r="AR483" i="111"/>
  <c r="AS483" i="111"/>
  <c r="AT483" i="111"/>
  <c r="AU483" i="111"/>
  <c r="AV483" i="111"/>
  <c r="AW483" i="111"/>
  <c r="AX483" i="111"/>
  <c r="AY483" i="111"/>
  <c r="AZ483" i="111"/>
  <c r="BA483" i="111"/>
  <c r="BO483" i="111"/>
  <c r="BS483" i="111"/>
  <c r="BT483" i="111"/>
  <c r="BU483" i="111"/>
  <c r="BW483" i="111"/>
  <c r="BX483" i="111"/>
  <c r="BY483" i="111"/>
  <c r="J486" i="111"/>
  <c r="K486" i="111"/>
  <c r="L486" i="111"/>
  <c r="M486" i="111"/>
  <c r="N486" i="111"/>
  <c r="O486" i="111"/>
  <c r="P486" i="111"/>
  <c r="Q486" i="111"/>
  <c r="R486" i="111"/>
  <c r="S486" i="111"/>
  <c r="T486" i="111"/>
  <c r="U486" i="111"/>
  <c r="V486" i="111"/>
  <c r="W486" i="111"/>
  <c r="X486" i="111"/>
  <c r="Y486" i="111"/>
  <c r="Z486" i="111"/>
  <c r="AA486" i="111"/>
  <c r="AB486" i="111"/>
  <c r="AC486" i="111"/>
  <c r="AD486" i="111"/>
  <c r="AE486" i="111"/>
  <c r="AF486" i="111"/>
  <c r="AG486" i="111"/>
  <c r="AH486" i="111"/>
  <c r="AI486" i="111"/>
  <c r="AJ486" i="111"/>
  <c r="AK486" i="111"/>
  <c r="AL486" i="111"/>
  <c r="AM486" i="111"/>
  <c r="AN486" i="111"/>
  <c r="AO486" i="111"/>
  <c r="AP486" i="111"/>
  <c r="AQ486" i="111"/>
  <c r="AR486" i="111"/>
  <c r="AS486" i="111"/>
  <c r="AT486" i="111"/>
  <c r="AU486" i="111"/>
  <c r="AV486" i="111"/>
  <c r="AW486" i="111"/>
  <c r="AX486" i="111"/>
  <c r="AY486" i="111"/>
  <c r="AZ486" i="111"/>
  <c r="BA486" i="111"/>
  <c r="BO486" i="111"/>
  <c r="BS486" i="111"/>
  <c r="BT486" i="111"/>
  <c r="BU486" i="111"/>
  <c r="BW486" i="111"/>
  <c r="BX486" i="111"/>
  <c r="BY486" i="111"/>
  <c r="J492" i="111"/>
  <c r="K492" i="111"/>
  <c r="L492" i="111"/>
  <c r="M492" i="111"/>
  <c r="N492" i="111"/>
  <c r="O492" i="111"/>
  <c r="P492" i="111"/>
  <c r="Q492" i="111"/>
  <c r="R492" i="111"/>
  <c r="S492" i="111"/>
  <c r="T492" i="111"/>
  <c r="U492" i="111"/>
  <c r="V492" i="111"/>
  <c r="W492" i="111"/>
  <c r="X492" i="111"/>
  <c r="Y492" i="111"/>
  <c r="Z492" i="111"/>
  <c r="AA492" i="111"/>
  <c r="AB492" i="111"/>
  <c r="AC492" i="111"/>
  <c r="AD492" i="111"/>
  <c r="AE492" i="111"/>
  <c r="AF492" i="111"/>
  <c r="AG492" i="111"/>
  <c r="AH492" i="111"/>
  <c r="AI492" i="111"/>
  <c r="AJ492" i="111"/>
  <c r="AK492" i="111"/>
  <c r="AL492" i="111"/>
  <c r="AM492" i="111"/>
  <c r="AN492" i="111"/>
  <c r="AO492" i="111"/>
  <c r="AP492" i="111"/>
  <c r="AQ492" i="111"/>
  <c r="AR492" i="111"/>
  <c r="AS492" i="111"/>
  <c r="AT492" i="111"/>
  <c r="AU492" i="111"/>
  <c r="AV492" i="111"/>
  <c r="AW492" i="111"/>
  <c r="AX492" i="111"/>
  <c r="AY492" i="111"/>
  <c r="AZ492" i="111"/>
  <c r="BA492" i="111"/>
  <c r="BO492" i="111"/>
  <c r="BS492" i="111"/>
  <c r="BT492" i="111"/>
  <c r="BU492" i="111"/>
  <c r="BW492" i="111"/>
  <c r="BX492" i="111"/>
  <c r="BY492" i="111"/>
  <c r="J497" i="111"/>
  <c r="K497" i="111"/>
  <c r="L497" i="111"/>
  <c r="M497" i="111"/>
  <c r="N497" i="111"/>
  <c r="O497" i="111"/>
  <c r="P497" i="111"/>
  <c r="Q497" i="111"/>
  <c r="R497" i="111"/>
  <c r="S497" i="111"/>
  <c r="T497" i="111"/>
  <c r="U497" i="111"/>
  <c r="V497" i="111"/>
  <c r="W497" i="111"/>
  <c r="X497" i="111"/>
  <c r="Y497" i="111"/>
  <c r="Z497" i="111"/>
  <c r="AA497" i="111"/>
  <c r="AB497" i="111"/>
  <c r="AC497" i="111"/>
  <c r="AD497" i="111"/>
  <c r="AE497" i="111"/>
  <c r="AF497" i="111"/>
  <c r="AG497" i="111"/>
  <c r="AH497" i="111"/>
  <c r="AI497" i="111"/>
  <c r="AJ497" i="111"/>
  <c r="AK497" i="111"/>
  <c r="AL497" i="111"/>
  <c r="AM497" i="111"/>
  <c r="AN497" i="111"/>
  <c r="AO497" i="111"/>
  <c r="AP497" i="111"/>
  <c r="AQ497" i="111"/>
  <c r="AR497" i="111"/>
  <c r="AS497" i="111"/>
  <c r="AT497" i="111"/>
  <c r="AU497" i="111"/>
  <c r="AV497" i="111"/>
  <c r="AW497" i="111"/>
  <c r="AX497" i="111"/>
  <c r="AY497" i="111"/>
  <c r="AZ497" i="111"/>
  <c r="BA497" i="111"/>
  <c r="BO497" i="111"/>
  <c r="BS497" i="111"/>
  <c r="BT497" i="111"/>
  <c r="BU497" i="111"/>
  <c r="BW497" i="111"/>
  <c r="BX497" i="111"/>
  <c r="BY497" i="111"/>
  <c r="J502" i="111"/>
  <c r="K502" i="111"/>
  <c r="L502" i="111"/>
  <c r="M502" i="111"/>
  <c r="N502" i="111"/>
  <c r="O502" i="111"/>
  <c r="P502" i="111"/>
  <c r="Q502" i="111"/>
  <c r="R502" i="111"/>
  <c r="S502" i="111"/>
  <c r="T502" i="111"/>
  <c r="U502" i="111"/>
  <c r="V502" i="111"/>
  <c r="W502" i="111"/>
  <c r="X502" i="111"/>
  <c r="Y502" i="111"/>
  <c r="Z502" i="111"/>
  <c r="AA502" i="111"/>
  <c r="AB502" i="111"/>
  <c r="AC502" i="111"/>
  <c r="AD502" i="111"/>
  <c r="AE502" i="111"/>
  <c r="AF502" i="111"/>
  <c r="AG502" i="111"/>
  <c r="AH502" i="111"/>
  <c r="AI502" i="111"/>
  <c r="AJ502" i="111"/>
  <c r="AK502" i="111"/>
  <c r="AL502" i="111"/>
  <c r="AM502" i="111"/>
  <c r="AN502" i="111"/>
  <c r="AO502" i="111"/>
  <c r="AP502" i="111"/>
  <c r="AQ502" i="111"/>
  <c r="AR502" i="111"/>
  <c r="AS502" i="111"/>
  <c r="AT502" i="111"/>
  <c r="AU502" i="111"/>
  <c r="AV502" i="111"/>
  <c r="AW502" i="111"/>
  <c r="AX502" i="111"/>
  <c r="AY502" i="111"/>
  <c r="AZ502" i="111"/>
  <c r="BA502" i="111"/>
  <c r="BO502" i="111"/>
  <c r="BS502" i="111"/>
  <c r="BT502" i="111"/>
  <c r="BU502" i="111"/>
  <c r="BW502" i="111"/>
  <c r="BX502" i="111"/>
  <c r="BY502" i="111"/>
  <c r="J507" i="111"/>
  <c r="K507" i="111"/>
  <c r="L507" i="111"/>
  <c r="M507" i="111"/>
  <c r="N507" i="111"/>
  <c r="O507" i="111"/>
  <c r="P507" i="111"/>
  <c r="Q507" i="111"/>
  <c r="R507" i="111"/>
  <c r="S507" i="111"/>
  <c r="T507" i="111"/>
  <c r="U507" i="111"/>
  <c r="V507" i="111"/>
  <c r="W507" i="111"/>
  <c r="X507" i="111"/>
  <c r="Y507" i="111"/>
  <c r="Z507" i="111"/>
  <c r="AA507" i="111"/>
  <c r="AB507" i="111"/>
  <c r="AC507" i="111"/>
  <c r="AD507" i="111"/>
  <c r="AE507" i="111"/>
  <c r="AF507" i="111"/>
  <c r="AG507" i="111"/>
  <c r="AH507" i="111"/>
  <c r="AI507" i="111"/>
  <c r="AJ507" i="111"/>
  <c r="AK507" i="111"/>
  <c r="AL507" i="111"/>
  <c r="AM507" i="111"/>
  <c r="AN507" i="111"/>
  <c r="AO507" i="111"/>
  <c r="AP507" i="111"/>
  <c r="AQ507" i="111"/>
  <c r="AR507" i="111"/>
  <c r="AS507" i="111"/>
  <c r="AT507" i="111"/>
  <c r="AU507" i="111"/>
  <c r="AV507" i="111"/>
  <c r="AW507" i="111"/>
  <c r="AX507" i="111"/>
  <c r="AY507" i="111"/>
  <c r="AZ507" i="111"/>
  <c r="BA507" i="111"/>
  <c r="A508" i="111"/>
  <c r="A516" i="111" s="1"/>
  <c r="J508" i="111"/>
  <c r="K508" i="111"/>
  <c r="L508" i="111"/>
  <c r="M508" i="111"/>
  <c r="N508" i="111"/>
  <c r="O508" i="111"/>
  <c r="P508" i="111"/>
  <c r="Q508" i="111"/>
  <c r="R508" i="111"/>
  <c r="S508" i="111"/>
  <c r="T508" i="111"/>
  <c r="U508" i="111"/>
  <c r="V508" i="111"/>
  <c r="W508" i="111"/>
  <c r="X508" i="111"/>
  <c r="Y508" i="111"/>
  <c r="Z508" i="111"/>
  <c r="AA508" i="111"/>
  <c r="AB508" i="111"/>
  <c r="AC508" i="111"/>
  <c r="AD508" i="111"/>
  <c r="AE508" i="111"/>
  <c r="AF508" i="111"/>
  <c r="AG508" i="111"/>
  <c r="AH508" i="111"/>
  <c r="AI508" i="111"/>
  <c r="AJ508" i="111"/>
  <c r="AK508" i="111"/>
  <c r="A509" i="111"/>
  <c r="A525" i="111" s="1"/>
  <c r="J509" i="111"/>
  <c r="K509" i="111"/>
  <c r="L509" i="111"/>
  <c r="M509" i="111"/>
  <c r="N509" i="111"/>
  <c r="O509" i="111"/>
  <c r="P509" i="111"/>
  <c r="Q509" i="111"/>
  <c r="R509" i="111"/>
  <c r="S509" i="111"/>
  <c r="T509" i="111"/>
  <c r="U509" i="111"/>
  <c r="V509" i="111"/>
  <c r="W509" i="111"/>
  <c r="X509" i="111"/>
  <c r="Y509" i="111"/>
  <c r="Z509" i="111"/>
  <c r="AA509" i="111"/>
  <c r="AB509" i="111"/>
  <c r="AC509" i="111"/>
  <c r="AD509" i="111"/>
  <c r="AE509" i="111"/>
  <c r="AF509" i="111"/>
  <c r="AG509" i="111"/>
  <c r="AH509" i="111"/>
  <c r="AI509" i="111"/>
  <c r="AJ509" i="111"/>
  <c r="AK509" i="111"/>
  <c r="A510" i="111"/>
  <c r="A526" i="111" s="1"/>
  <c r="J510" i="111"/>
  <c r="K510" i="111"/>
  <c r="L510" i="111"/>
  <c r="M510" i="111"/>
  <c r="N510" i="111"/>
  <c r="O510" i="111"/>
  <c r="P510" i="111"/>
  <c r="Q510" i="111"/>
  <c r="R510" i="111"/>
  <c r="S510" i="111"/>
  <c r="T510" i="111"/>
  <c r="U510" i="111"/>
  <c r="V510" i="111"/>
  <c r="W510" i="111"/>
  <c r="X510" i="111"/>
  <c r="Y510" i="111"/>
  <c r="Z510" i="111"/>
  <c r="AA510" i="111"/>
  <c r="AB510" i="111"/>
  <c r="AC510" i="111"/>
  <c r="AD510" i="111"/>
  <c r="AE510" i="111"/>
  <c r="AF510" i="111"/>
  <c r="AG510" i="111"/>
  <c r="AH510" i="111"/>
  <c r="AI510" i="111"/>
  <c r="AJ510" i="111"/>
  <c r="AK510" i="111"/>
  <c r="A511" i="111"/>
  <c r="A527" i="111" s="1"/>
  <c r="J511" i="111"/>
  <c r="K511" i="111"/>
  <c r="L511" i="111"/>
  <c r="M511" i="111"/>
  <c r="N511" i="111"/>
  <c r="O511" i="111"/>
  <c r="P511" i="111"/>
  <c r="Q511" i="111"/>
  <c r="R511" i="111"/>
  <c r="S511" i="111"/>
  <c r="T511" i="111"/>
  <c r="U511" i="111"/>
  <c r="V511" i="111"/>
  <c r="W511" i="111"/>
  <c r="X511" i="111"/>
  <c r="Y511" i="111"/>
  <c r="Z511" i="111"/>
  <c r="AA511" i="111"/>
  <c r="AB511" i="111"/>
  <c r="AC511" i="111"/>
  <c r="AD511" i="111"/>
  <c r="AE511" i="111"/>
  <c r="AF511" i="111"/>
  <c r="AG511" i="111"/>
  <c r="AH511" i="111"/>
  <c r="AI511" i="111"/>
  <c r="AJ511" i="111"/>
  <c r="AK511" i="111"/>
  <c r="A512" i="111"/>
  <c r="A528" i="111" s="1"/>
  <c r="J512" i="111"/>
  <c r="K512" i="111"/>
  <c r="L512" i="111"/>
  <c r="M512" i="111"/>
  <c r="N512" i="111"/>
  <c r="O512" i="111"/>
  <c r="P512" i="111"/>
  <c r="Q512" i="111"/>
  <c r="R512" i="111"/>
  <c r="S512" i="111"/>
  <c r="T512" i="111"/>
  <c r="U512" i="111"/>
  <c r="V512" i="111"/>
  <c r="W512" i="111"/>
  <c r="X512" i="111"/>
  <c r="Y512" i="111"/>
  <c r="Z512" i="111"/>
  <c r="AA512" i="111"/>
  <c r="AB512" i="111"/>
  <c r="AC512" i="111"/>
  <c r="AD512" i="111"/>
  <c r="AE512" i="111"/>
  <c r="AF512" i="111"/>
  <c r="AG512" i="111"/>
  <c r="AH512" i="111"/>
  <c r="AI512" i="111"/>
  <c r="AJ512" i="111"/>
  <c r="AK512" i="111"/>
  <c r="J513" i="111"/>
  <c r="K513" i="111"/>
  <c r="L513" i="111"/>
  <c r="M513" i="111"/>
  <c r="N513" i="111"/>
  <c r="O513" i="111"/>
  <c r="P513" i="111"/>
  <c r="Q513" i="111"/>
  <c r="R513" i="111"/>
  <c r="S513" i="111"/>
  <c r="T513" i="111"/>
  <c r="U513" i="111"/>
  <c r="V513" i="111"/>
  <c r="W513" i="111"/>
  <c r="X513" i="111"/>
  <c r="Y513" i="111"/>
  <c r="Z513" i="111"/>
  <c r="AA513" i="111"/>
  <c r="AB513" i="111"/>
  <c r="AC513" i="111"/>
  <c r="AD513" i="111"/>
  <c r="AE513" i="111"/>
  <c r="AF513" i="111"/>
  <c r="AG513" i="111"/>
  <c r="AH513" i="111"/>
  <c r="AI513" i="111"/>
  <c r="AJ513" i="111"/>
  <c r="AK513" i="111"/>
  <c r="J515" i="111"/>
  <c r="K515" i="111"/>
  <c r="L515" i="111"/>
  <c r="M515" i="111"/>
  <c r="N515" i="111"/>
  <c r="O515" i="111"/>
  <c r="P515" i="111"/>
  <c r="Q515" i="111"/>
  <c r="R515" i="111"/>
  <c r="S515" i="111"/>
  <c r="T515" i="111"/>
  <c r="U515" i="111"/>
  <c r="V515" i="111"/>
  <c r="W515" i="111"/>
  <c r="X515" i="111"/>
  <c r="Y515" i="111"/>
  <c r="Z515" i="111"/>
  <c r="AA515" i="111"/>
  <c r="AB515" i="111"/>
  <c r="AC515" i="111"/>
  <c r="AD515" i="111"/>
  <c r="AE515" i="111"/>
  <c r="AF515" i="111"/>
  <c r="AG515" i="111"/>
  <c r="AH515" i="111"/>
  <c r="AI515" i="111"/>
  <c r="AJ515" i="111"/>
  <c r="AK515" i="111"/>
  <c r="AL515" i="111"/>
  <c r="AM515" i="111"/>
  <c r="AN515" i="111"/>
  <c r="AO515" i="111"/>
  <c r="AP515" i="111"/>
  <c r="AQ515" i="111"/>
  <c r="AR515" i="111"/>
  <c r="AS515" i="111"/>
  <c r="AT515" i="111"/>
  <c r="AU515" i="111"/>
  <c r="AV515" i="111"/>
  <c r="AW515" i="111"/>
  <c r="AX515" i="111"/>
  <c r="AY515" i="111"/>
  <c r="AZ515" i="111"/>
  <c r="BA515" i="111"/>
  <c r="J516" i="111"/>
  <c r="K516" i="111"/>
  <c r="L516" i="111"/>
  <c r="M516" i="111"/>
  <c r="N516" i="111"/>
  <c r="O516" i="111"/>
  <c r="P516" i="111"/>
  <c r="Q516" i="111"/>
  <c r="R516" i="111"/>
  <c r="S516" i="111"/>
  <c r="T516" i="111"/>
  <c r="U516" i="111"/>
  <c r="V516" i="111"/>
  <c r="W516" i="111"/>
  <c r="X516" i="111"/>
  <c r="Y516" i="111"/>
  <c r="Z516" i="111"/>
  <c r="AA516" i="111"/>
  <c r="AB516" i="111"/>
  <c r="AC516" i="111"/>
  <c r="AD516" i="111"/>
  <c r="AE516" i="111"/>
  <c r="AF516" i="111"/>
  <c r="AG516" i="111"/>
  <c r="AH516" i="111"/>
  <c r="AI516" i="111"/>
  <c r="AJ516" i="111"/>
  <c r="AK516" i="111"/>
  <c r="J517" i="111"/>
  <c r="K517" i="111"/>
  <c r="L517" i="111"/>
  <c r="M517" i="111"/>
  <c r="N517" i="111"/>
  <c r="O517" i="111"/>
  <c r="P517" i="111"/>
  <c r="Q517" i="111"/>
  <c r="R517" i="111"/>
  <c r="S517" i="111"/>
  <c r="T517" i="111"/>
  <c r="U517" i="111"/>
  <c r="V517" i="111"/>
  <c r="W517" i="111"/>
  <c r="X517" i="111"/>
  <c r="Y517" i="111"/>
  <c r="Z517" i="111"/>
  <c r="AA517" i="111"/>
  <c r="AB517" i="111"/>
  <c r="AC517" i="111"/>
  <c r="AD517" i="111"/>
  <c r="AE517" i="111"/>
  <c r="AF517" i="111"/>
  <c r="AG517" i="111"/>
  <c r="AH517" i="111"/>
  <c r="AI517" i="111"/>
  <c r="AJ517" i="111"/>
  <c r="AK517" i="111"/>
  <c r="J518" i="111"/>
  <c r="K518" i="111"/>
  <c r="L518" i="111"/>
  <c r="M518" i="111"/>
  <c r="N518" i="111"/>
  <c r="O518" i="111"/>
  <c r="P518" i="111"/>
  <c r="Q518" i="111"/>
  <c r="R518" i="111"/>
  <c r="S518" i="111"/>
  <c r="T518" i="111"/>
  <c r="U518" i="111"/>
  <c r="V518" i="111"/>
  <c r="W518" i="111"/>
  <c r="X518" i="111"/>
  <c r="Y518" i="111"/>
  <c r="Z518" i="111"/>
  <c r="AA518" i="111"/>
  <c r="AB518" i="111"/>
  <c r="AC518" i="111"/>
  <c r="AD518" i="111"/>
  <c r="AE518" i="111"/>
  <c r="AF518" i="111"/>
  <c r="AG518" i="111"/>
  <c r="AH518" i="111"/>
  <c r="AI518" i="111"/>
  <c r="AJ518" i="111"/>
  <c r="AK518" i="111"/>
  <c r="J519" i="111"/>
  <c r="K519" i="111"/>
  <c r="L519" i="111"/>
  <c r="M519" i="111"/>
  <c r="N519" i="111"/>
  <c r="O519" i="111"/>
  <c r="P519" i="111"/>
  <c r="Q519" i="111"/>
  <c r="R519" i="111"/>
  <c r="S519" i="111"/>
  <c r="T519" i="111"/>
  <c r="U519" i="111"/>
  <c r="V519" i="111"/>
  <c r="W519" i="111"/>
  <c r="X519" i="111"/>
  <c r="Y519" i="111"/>
  <c r="Z519" i="111"/>
  <c r="AA519" i="111"/>
  <c r="AB519" i="111"/>
  <c r="AC519" i="111"/>
  <c r="AD519" i="111"/>
  <c r="AE519" i="111"/>
  <c r="AF519" i="111"/>
  <c r="AG519" i="111"/>
  <c r="AH519" i="111"/>
  <c r="AI519" i="111"/>
  <c r="AJ519" i="111"/>
  <c r="AK519" i="111"/>
  <c r="J520" i="111"/>
  <c r="K520" i="111"/>
  <c r="L520" i="111"/>
  <c r="M520" i="111"/>
  <c r="N520" i="111"/>
  <c r="O520" i="111"/>
  <c r="P520" i="111"/>
  <c r="Q520" i="111"/>
  <c r="R520" i="111"/>
  <c r="S520" i="111"/>
  <c r="T520" i="111"/>
  <c r="U520" i="111"/>
  <c r="V520" i="111"/>
  <c r="W520" i="111"/>
  <c r="X520" i="111"/>
  <c r="Y520" i="111"/>
  <c r="Z520" i="111"/>
  <c r="AA520" i="111"/>
  <c r="AB520" i="111"/>
  <c r="AC520" i="111"/>
  <c r="AD520" i="111"/>
  <c r="AE520" i="111"/>
  <c r="AF520" i="111"/>
  <c r="AG520" i="111"/>
  <c r="AH520" i="111"/>
  <c r="AI520" i="111"/>
  <c r="AJ520" i="111"/>
  <c r="AK520" i="111"/>
  <c r="J521" i="111"/>
  <c r="K521" i="111"/>
  <c r="L521" i="111"/>
  <c r="M521" i="111"/>
  <c r="N521" i="111"/>
  <c r="O521" i="111"/>
  <c r="P521" i="111"/>
  <c r="Q521" i="111"/>
  <c r="R521" i="111"/>
  <c r="S521" i="111"/>
  <c r="T521" i="111"/>
  <c r="U521" i="111"/>
  <c r="V521" i="111"/>
  <c r="W521" i="111"/>
  <c r="X521" i="111"/>
  <c r="Y521" i="111"/>
  <c r="Z521" i="111"/>
  <c r="AA521" i="111"/>
  <c r="AB521" i="111"/>
  <c r="AC521" i="111"/>
  <c r="AD521" i="111"/>
  <c r="AE521" i="111"/>
  <c r="AF521" i="111"/>
  <c r="AG521" i="111"/>
  <c r="AH521" i="111"/>
  <c r="AI521" i="111"/>
  <c r="AJ521" i="111"/>
  <c r="AK521" i="111"/>
  <c r="J523" i="111"/>
  <c r="K523" i="111"/>
  <c r="L523" i="111"/>
  <c r="M523" i="111"/>
  <c r="N523" i="111"/>
  <c r="O523" i="111"/>
  <c r="P523" i="111"/>
  <c r="Q523" i="111"/>
  <c r="R523" i="111"/>
  <c r="S523" i="111"/>
  <c r="T523" i="111"/>
  <c r="U523" i="111"/>
  <c r="V523" i="111"/>
  <c r="W523" i="111"/>
  <c r="X523" i="111"/>
  <c r="Y523" i="111"/>
  <c r="Z523" i="111"/>
  <c r="AA523" i="111"/>
  <c r="AB523" i="111"/>
  <c r="AC523" i="111"/>
  <c r="AD523" i="111"/>
  <c r="AE523" i="111"/>
  <c r="AF523" i="111"/>
  <c r="AG523" i="111"/>
  <c r="AH523" i="111"/>
  <c r="AI523" i="111"/>
  <c r="AJ523" i="111"/>
  <c r="AK523" i="111"/>
  <c r="AL523" i="111"/>
  <c r="AM523" i="111"/>
  <c r="AN523" i="111"/>
  <c r="AO523" i="111"/>
  <c r="AP523" i="111"/>
  <c r="AQ523" i="111"/>
  <c r="AR523" i="111"/>
  <c r="AS523" i="111"/>
  <c r="AT523" i="111"/>
  <c r="AU523" i="111"/>
  <c r="AV523" i="111"/>
  <c r="AW523" i="111"/>
  <c r="AX523" i="111"/>
  <c r="AY523" i="111"/>
  <c r="AZ523" i="111"/>
  <c r="BA523" i="111"/>
  <c r="J524" i="111"/>
  <c r="K524" i="111"/>
  <c r="L524" i="111"/>
  <c r="M524" i="111"/>
  <c r="N524" i="111"/>
  <c r="O524" i="111"/>
  <c r="P524" i="111"/>
  <c r="Q524" i="111"/>
  <c r="R524" i="111"/>
  <c r="S524" i="111"/>
  <c r="T524" i="111"/>
  <c r="U524" i="111"/>
  <c r="V524" i="111"/>
  <c r="W524" i="111"/>
  <c r="X524" i="111"/>
  <c r="Y524" i="111"/>
  <c r="Z524" i="111"/>
  <c r="AA524" i="111"/>
  <c r="AB524" i="111"/>
  <c r="AC524" i="111"/>
  <c r="AD524" i="111"/>
  <c r="AE524" i="111"/>
  <c r="AF524" i="111"/>
  <c r="AG524" i="111"/>
  <c r="AH524" i="111"/>
  <c r="AI524" i="111"/>
  <c r="AJ524" i="111"/>
  <c r="AK524" i="111"/>
  <c r="AL524" i="111"/>
  <c r="J525" i="111"/>
  <c r="K525" i="111"/>
  <c r="L525" i="111"/>
  <c r="M525" i="111"/>
  <c r="N525" i="111"/>
  <c r="O525" i="111"/>
  <c r="P525" i="111"/>
  <c r="Q525" i="111"/>
  <c r="R525" i="111"/>
  <c r="S525" i="111"/>
  <c r="T525" i="111"/>
  <c r="U525" i="111"/>
  <c r="V525" i="111"/>
  <c r="W525" i="111"/>
  <c r="X525" i="111"/>
  <c r="Y525" i="111"/>
  <c r="Z525" i="111"/>
  <c r="AA525" i="111"/>
  <c r="AB525" i="111"/>
  <c r="AC525" i="111"/>
  <c r="AD525" i="111"/>
  <c r="AE525" i="111"/>
  <c r="AF525" i="111"/>
  <c r="AG525" i="111"/>
  <c r="AH525" i="111"/>
  <c r="AI525" i="111"/>
  <c r="AJ525" i="111"/>
  <c r="AK525" i="111"/>
  <c r="AL525" i="111"/>
  <c r="J526" i="111"/>
  <c r="K526" i="111"/>
  <c r="L526" i="111"/>
  <c r="M526" i="111"/>
  <c r="N526" i="111"/>
  <c r="O526" i="111"/>
  <c r="P526" i="111"/>
  <c r="Q526" i="111"/>
  <c r="R526" i="111"/>
  <c r="S526" i="111"/>
  <c r="T526" i="111"/>
  <c r="U526" i="111"/>
  <c r="V526" i="111"/>
  <c r="W526" i="111"/>
  <c r="X526" i="111"/>
  <c r="Y526" i="111"/>
  <c r="Z526" i="111"/>
  <c r="AA526" i="111"/>
  <c r="AB526" i="111"/>
  <c r="AC526" i="111"/>
  <c r="AD526" i="111"/>
  <c r="AE526" i="111"/>
  <c r="AF526" i="111"/>
  <c r="AG526" i="111"/>
  <c r="AH526" i="111"/>
  <c r="AI526" i="111"/>
  <c r="AJ526" i="111"/>
  <c r="AK526" i="111"/>
  <c r="AL526" i="111"/>
  <c r="J527" i="111"/>
  <c r="K527" i="111"/>
  <c r="L527" i="111"/>
  <c r="M527" i="111"/>
  <c r="N527" i="111"/>
  <c r="O527" i="111"/>
  <c r="P527" i="111"/>
  <c r="Q527" i="111"/>
  <c r="R527" i="111"/>
  <c r="S527" i="111"/>
  <c r="T527" i="111"/>
  <c r="U527" i="111"/>
  <c r="V527" i="111"/>
  <c r="W527" i="111"/>
  <c r="X527" i="111"/>
  <c r="Y527" i="111"/>
  <c r="Z527" i="111"/>
  <c r="AA527" i="111"/>
  <c r="AB527" i="111"/>
  <c r="AC527" i="111"/>
  <c r="AD527" i="111"/>
  <c r="AE527" i="111"/>
  <c r="AF527" i="111"/>
  <c r="AG527" i="111"/>
  <c r="AH527" i="111"/>
  <c r="AI527" i="111"/>
  <c r="AJ527" i="111"/>
  <c r="AK527" i="111"/>
  <c r="AL527" i="111"/>
  <c r="J528" i="111"/>
  <c r="K528" i="111"/>
  <c r="L528" i="111"/>
  <c r="M528" i="111"/>
  <c r="N528" i="111"/>
  <c r="O528" i="111"/>
  <c r="P528" i="111"/>
  <c r="Q528" i="111"/>
  <c r="R528" i="111"/>
  <c r="S528" i="111"/>
  <c r="T528" i="111"/>
  <c r="U528" i="111"/>
  <c r="V528" i="111"/>
  <c r="W528" i="111"/>
  <c r="X528" i="111"/>
  <c r="Y528" i="111"/>
  <c r="Z528" i="111"/>
  <c r="AA528" i="111"/>
  <c r="AB528" i="111"/>
  <c r="AC528" i="111"/>
  <c r="AD528" i="111"/>
  <c r="AE528" i="111"/>
  <c r="AF528" i="111"/>
  <c r="AG528" i="111"/>
  <c r="AH528" i="111"/>
  <c r="AI528" i="111"/>
  <c r="AJ528" i="111"/>
  <c r="AK528" i="111"/>
  <c r="AL528" i="111"/>
  <c r="J529" i="111"/>
  <c r="K529" i="111"/>
  <c r="L529" i="111"/>
  <c r="M529" i="111"/>
  <c r="N529" i="111"/>
  <c r="O529" i="111"/>
  <c r="P529" i="111"/>
  <c r="Q529" i="111"/>
  <c r="R529" i="111"/>
  <c r="S529" i="111"/>
  <c r="T529" i="111"/>
  <c r="U529" i="111"/>
  <c r="V529" i="111"/>
  <c r="W529" i="111"/>
  <c r="X529" i="111"/>
  <c r="Y529" i="111"/>
  <c r="Z529" i="111"/>
  <c r="AA529" i="111"/>
  <c r="AB529" i="111"/>
  <c r="AC529" i="111"/>
  <c r="AD529" i="111"/>
  <c r="AE529" i="111"/>
  <c r="AF529" i="111"/>
  <c r="AG529" i="111"/>
  <c r="AH529" i="111"/>
  <c r="AI529" i="111"/>
  <c r="AJ529" i="111"/>
  <c r="AK529" i="111"/>
  <c r="AL529" i="111"/>
  <c r="J531" i="111"/>
  <c r="K531" i="111"/>
  <c r="L531" i="111"/>
  <c r="M531" i="111"/>
  <c r="N531" i="111"/>
  <c r="O531" i="111"/>
  <c r="P531" i="111"/>
  <c r="Q531" i="111"/>
  <c r="R531" i="111"/>
  <c r="S531" i="111"/>
  <c r="T531" i="111"/>
  <c r="U531" i="111"/>
  <c r="V531" i="111"/>
  <c r="W531" i="111"/>
  <c r="X531" i="111"/>
  <c r="Y531" i="111"/>
  <c r="Z531" i="111"/>
  <c r="AA531" i="111"/>
  <c r="AB531" i="111"/>
  <c r="AC531" i="111"/>
  <c r="AD531" i="111"/>
  <c r="AE531" i="111"/>
  <c r="AF531" i="111"/>
  <c r="AG531" i="111"/>
  <c r="AH531" i="111"/>
  <c r="AI531" i="111"/>
  <c r="AJ531" i="111"/>
  <c r="AK531" i="111"/>
  <c r="AL531" i="111"/>
  <c r="AM531" i="111"/>
  <c r="AN531" i="111"/>
  <c r="AO531" i="111"/>
  <c r="AP531" i="111"/>
  <c r="AQ531" i="111"/>
  <c r="AR531" i="111"/>
  <c r="AS531" i="111"/>
  <c r="AT531" i="111"/>
  <c r="AU531" i="111"/>
  <c r="AV531" i="111"/>
  <c r="AW531" i="111"/>
  <c r="AX531" i="111"/>
  <c r="AY531" i="111"/>
  <c r="AZ531" i="111"/>
  <c r="BA531" i="111"/>
  <c r="BR531" i="111"/>
  <c r="BS531" i="111"/>
  <c r="BT531" i="111"/>
  <c r="BU531" i="111"/>
  <c r="BW531" i="111"/>
  <c r="BX531" i="111"/>
  <c r="BY531" i="111"/>
  <c r="J536" i="111"/>
  <c r="K536" i="111"/>
  <c r="L536" i="111"/>
  <c r="M536" i="111"/>
  <c r="N536" i="111"/>
  <c r="O536" i="111"/>
  <c r="P536" i="111"/>
  <c r="Q536" i="111"/>
  <c r="R536" i="111"/>
  <c r="S536" i="111"/>
  <c r="T536" i="111"/>
  <c r="U536" i="111"/>
  <c r="V536" i="111"/>
  <c r="W536" i="111"/>
  <c r="X536" i="111"/>
  <c r="Y536" i="111"/>
  <c r="Z536" i="111"/>
  <c r="AA536" i="111"/>
  <c r="AB536" i="111"/>
  <c r="AC536" i="111"/>
  <c r="AD536" i="111"/>
  <c r="AE536" i="111"/>
  <c r="AF536" i="111"/>
  <c r="AG536" i="111"/>
  <c r="AH536" i="111"/>
  <c r="AI536" i="111"/>
  <c r="AJ536" i="111"/>
  <c r="AK536" i="111"/>
  <c r="AL536" i="111"/>
  <c r="AM536" i="111"/>
  <c r="AN536" i="111"/>
  <c r="AO536" i="111"/>
  <c r="AP536" i="111"/>
  <c r="AQ536" i="111"/>
  <c r="AR536" i="111"/>
  <c r="AS536" i="111"/>
  <c r="AT536" i="111"/>
  <c r="AU536" i="111"/>
  <c r="AV536" i="111"/>
  <c r="AW536" i="111"/>
  <c r="AX536" i="111"/>
  <c r="AY536" i="111"/>
  <c r="AZ536" i="111"/>
  <c r="BA536" i="111"/>
  <c r="BR536" i="111"/>
  <c r="BS536" i="111"/>
  <c r="BT536" i="111"/>
  <c r="BU536" i="111"/>
  <c r="BW536" i="111"/>
  <c r="BX536" i="111"/>
  <c r="BY536" i="111"/>
  <c r="J541" i="111"/>
  <c r="K541" i="111"/>
  <c r="L541" i="111"/>
  <c r="M541" i="111"/>
  <c r="N541" i="111"/>
  <c r="O541" i="111"/>
  <c r="P541" i="111"/>
  <c r="Q541" i="111"/>
  <c r="R541" i="111"/>
  <c r="S541" i="111"/>
  <c r="T541" i="111"/>
  <c r="U541" i="111"/>
  <c r="V541" i="111"/>
  <c r="W541" i="111"/>
  <c r="X541" i="111"/>
  <c r="Y541" i="111"/>
  <c r="Z541" i="111"/>
  <c r="AA541" i="111"/>
  <c r="AB541" i="111"/>
  <c r="AC541" i="111"/>
  <c r="AD541" i="111"/>
  <c r="AE541" i="111"/>
  <c r="AF541" i="111"/>
  <c r="AG541" i="111"/>
  <c r="AH541" i="111"/>
  <c r="AI541" i="111"/>
  <c r="AJ541" i="111"/>
  <c r="AK541" i="111"/>
  <c r="AL541" i="111"/>
  <c r="AM541" i="111"/>
  <c r="AN541" i="111"/>
  <c r="AO541" i="111"/>
  <c r="AP541" i="111"/>
  <c r="AQ541" i="111"/>
  <c r="AR541" i="111"/>
  <c r="AS541" i="111"/>
  <c r="AT541" i="111"/>
  <c r="AU541" i="111"/>
  <c r="AV541" i="111"/>
  <c r="AW541" i="111"/>
  <c r="AX541" i="111"/>
  <c r="AY541" i="111"/>
  <c r="AZ541" i="111"/>
  <c r="BA541" i="111"/>
  <c r="BR541" i="111"/>
  <c r="BS541" i="111"/>
  <c r="BT541" i="111"/>
  <c r="BU541" i="111"/>
  <c r="BW541" i="111"/>
  <c r="BX541" i="111"/>
  <c r="BY541" i="111"/>
  <c r="J544" i="111"/>
  <c r="K544" i="111"/>
  <c r="L544" i="111"/>
  <c r="M544" i="111"/>
  <c r="N544" i="111"/>
  <c r="O544" i="111"/>
  <c r="P544" i="111"/>
  <c r="Q544" i="111"/>
  <c r="R544" i="111"/>
  <c r="S544" i="111"/>
  <c r="T544" i="111"/>
  <c r="U544" i="111"/>
  <c r="V544" i="111"/>
  <c r="W544" i="111"/>
  <c r="X544" i="111"/>
  <c r="Y544" i="111"/>
  <c r="Z544" i="111"/>
  <c r="AA544" i="111"/>
  <c r="AB544" i="111"/>
  <c r="AC544" i="111"/>
  <c r="AD544" i="111"/>
  <c r="AE544" i="111"/>
  <c r="AF544" i="111"/>
  <c r="AG544" i="111"/>
  <c r="AH544" i="111"/>
  <c r="AI544" i="111"/>
  <c r="AJ544" i="111"/>
  <c r="AK544" i="111"/>
  <c r="AL544" i="111"/>
  <c r="AM544" i="111"/>
  <c r="AN544" i="111"/>
  <c r="AO544" i="111"/>
  <c r="AP544" i="111"/>
  <c r="AQ544" i="111"/>
  <c r="AR544" i="111"/>
  <c r="AS544" i="111"/>
  <c r="AT544" i="111"/>
  <c r="AU544" i="111"/>
  <c r="AV544" i="111"/>
  <c r="AW544" i="111"/>
  <c r="AX544" i="111"/>
  <c r="AY544" i="111"/>
  <c r="AZ544" i="111"/>
  <c r="BA544" i="111"/>
  <c r="BR544" i="111"/>
  <c r="BS544" i="111"/>
  <c r="BT544" i="111"/>
  <c r="BU544" i="111"/>
  <c r="BW544" i="111"/>
  <c r="BX544" i="111"/>
  <c r="BY544" i="111"/>
  <c r="A545" i="111"/>
  <c r="J547" i="111"/>
  <c r="K547" i="111"/>
  <c r="L547" i="111"/>
  <c r="M547" i="111"/>
  <c r="N547" i="111"/>
  <c r="O547" i="111"/>
  <c r="P547" i="111"/>
  <c r="Q547" i="111"/>
  <c r="R547" i="111"/>
  <c r="S547" i="111"/>
  <c r="T547" i="111"/>
  <c r="U547" i="111"/>
  <c r="V547" i="111"/>
  <c r="W547" i="111"/>
  <c r="X547" i="111"/>
  <c r="Y547" i="111"/>
  <c r="Z547" i="111"/>
  <c r="AA547" i="111"/>
  <c r="AB547" i="111"/>
  <c r="AC547" i="111"/>
  <c r="AD547" i="111"/>
  <c r="AE547" i="111"/>
  <c r="AF547" i="111"/>
  <c r="AG547" i="111"/>
  <c r="AH547" i="111"/>
  <c r="AI547" i="111"/>
  <c r="AJ547" i="111"/>
  <c r="AK547" i="111"/>
  <c r="AL547" i="111"/>
  <c r="AM547" i="111"/>
  <c r="AN547" i="111"/>
  <c r="AO547" i="111"/>
  <c r="AP547" i="111"/>
  <c r="AQ547" i="111"/>
  <c r="AR547" i="111"/>
  <c r="AS547" i="111"/>
  <c r="AT547" i="111"/>
  <c r="AU547" i="111"/>
  <c r="AV547" i="111"/>
  <c r="AW547" i="111"/>
  <c r="AX547" i="111"/>
  <c r="AY547" i="111"/>
  <c r="AZ547" i="111"/>
  <c r="BA547" i="111"/>
  <c r="BR547" i="111"/>
  <c r="BS547" i="111"/>
  <c r="BT547" i="111"/>
  <c r="BU547" i="111"/>
  <c r="BW547" i="111"/>
  <c r="BX547" i="111"/>
  <c r="BY547" i="111"/>
  <c r="A548" i="111"/>
  <c r="J550" i="111"/>
  <c r="K550" i="111"/>
  <c r="L550" i="111"/>
  <c r="M550" i="111"/>
  <c r="N550" i="111"/>
  <c r="O550" i="111"/>
  <c r="P550" i="111"/>
  <c r="Q550" i="111"/>
  <c r="R550" i="111"/>
  <c r="S550" i="111"/>
  <c r="T550" i="111"/>
  <c r="U550" i="111"/>
  <c r="V550" i="111"/>
  <c r="W550" i="111"/>
  <c r="X550" i="111"/>
  <c r="Y550" i="111"/>
  <c r="Z550" i="111"/>
  <c r="AA550" i="111"/>
  <c r="AB550" i="111"/>
  <c r="AC550" i="111"/>
  <c r="AD550" i="111"/>
  <c r="AE550" i="111"/>
  <c r="AF550" i="111"/>
  <c r="AG550" i="111"/>
  <c r="AH550" i="111"/>
  <c r="AI550" i="111"/>
  <c r="AJ550" i="111"/>
  <c r="AK550" i="111"/>
  <c r="AL550" i="111"/>
  <c r="AM550" i="111"/>
  <c r="AN550" i="111"/>
  <c r="AO550" i="111"/>
  <c r="AP550" i="111"/>
  <c r="AQ550" i="111"/>
  <c r="AR550" i="111"/>
  <c r="AS550" i="111"/>
  <c r="AT550" i="111"/>
  <c r="AU550" i="111"/>
  <c r="AV550" i="111"/>
  <c r="AW550" i="111"/>
  <c r="AX550" i="111"/>
  <c r="AY550" i="111"/>
  <c r="AZ550" i="111"/>
  <c r="BA550" i="111"/>
  <c r="BR550" i="111"/>
  <c r="BS550" i="111"/>
  <c r="BT550" i="111"/>
  <c r="BU550" i="111"/>
  <c r="BW550" i="111"/>
  <c r="BX550" i="111"/>
  <c r="BY550" i="111"/>
  <c r="J553" i="111"/>
  <c r="K553" i="111"/>
  <c r="L553" i="111"/>
  <c r="M553" i="111"/>
  <c r="N553" i="111"/>
  <c r="O553" i="111"/>
  <c r="P553" i="111"/>
  <c r="Q553" i="111"/>
  <c r="R553" i="111"/>
  <c r="S553" i="111"/>
  <c r="T553" i="111"/>
  <c r="U553" i="111"/>
  <c r="V553" i="111"/>
  <c r="W553" i="111"/>
  <c r="X553" i="111"/>
  <c r="Y553" i="111"/>
  <c r="Z553" i="111"/>
  <c r="AA553" i="111"/>
  <c r="AB553" i="111"/>
  <c r="AC553" i="111"/>
  <c r="AD553" i="111"/>
  <c r="AE553" i="111"/>
  <c r="AF553" i="111"/>
  <c r="AG553" i="111"/>
  <c r="AH553" i="111"/>
  <c r="AI553" i="111"/>
  <c r="AJ553" i="111"/>
  <c r="AK553" i="111"/>
  <c r="AL553" i="111"/>
  <c r="AM553" i="111"/>
  <c r="AN553" i="111"/>
  <c r="AO553" i="111"/>
  <c r="AP553" i="111"/>
  <c r="AQ553" i="111"/>
  <c r="AR553" i="111"/>
  <c r="AS553" i="111"/>
  <c r="AT553" i="111"/>
  <c r="AU553" i="111"/>
  <c r="AV553" i="111"/>
  <c r="AW553" i="111"/>
  <c r="AX553" i="111"/>
  <c r="AY553" i="111"/>
  <c r="AZ553" i="111"/>
  <c r="BA553" i="111"/>
  <c r="BR553" i="111"/>
  <c r="BS553" i="111"/>
  <c r="BT553" i="111"/>
  <c r="BU553" i="111"/>
  <c r="BW553" i="111"/>
  <c r="BX553" i="111"/>
  <c r="BY553" i="111"/>
  <c r="J556" i="111"/>
  <c r="K556" i="111"/>
  <c r="L556" i="111"/>
  <c r="M556" i="111"/>
  <c r="N556" i="111"/>
  <c r="O556" i="111"/>
  <c r="P556" i="111"/>
  <c r="Q556" i="111"/>
  <c r="R556" i="111"/>
  <c r="S556" i="111"/>
  <c r="T556" i="111"/>
  <c r="U556" i="111"/>
  <c r="V556" i="111"/>
  <c r="W556" i="111"/>
  <c r="X556" i="111"/>
  <c r="Y556" i="111"/>
  <c r="Z556" i="111"/>
  <c r="AA556" i="111"/>
  <c r="AB556" i="111"/>
  <c r="AC556" i="111"/>
  <c r="AD556" i="111"/>
  <c r="AE556" i="111"/>
  <c r="AF556" i="111"/>
  <c r="AG556" i="111"/>
  <c r="AH556" i="111"/>
  <c r="AI556" i="111"/>
  <c r="AJ556" i="111"/>
  <c r="AK556" i="111"/>
  <c r="AL556" i="111"/>
  <c r="AM556" i="111"/>
  <c r="AN556" i="111"/>
  <c r="AO556" i="111"/>
  <c r="AP556" i="111"/>
  <c r="AQ556" i="111"/>
  <c r="AR556" i="111"/>
  <c r="AS556" i="111"/>
  <c r="AT556" i="111"/>
  <c r="AU556" i="111"/>
  <c r="AV556" i="111"/>
  <c r="AW556" i="111"/>
  <c r="AX556" i="111"/>
  <c r="AY556" i="111"/>
  <c r="AZ556" i="111"/>
  <c r="BA556" i="111"/>
  <c r="BR556" i="111"/>
  <c r="BS556" i="111"/>
  <c r="BT556" i="111"/>
  <c r="BU556" i="111"/>
  <c r="BW556" i="111"/>
  <c r="BX556" i="111"/>
  <c r="BY556" i="111"/>
  <c r="A557" i="111"/>
  <c r="J559" i="111"/>
  <c r="K559" i="111"/>
  <c r="L559" i="111"/>
  <c r="M559" i="111"/>
  <c r="N559" i="111"/>
  <c r="O559" i="111"/>
  <c r="P559" i="111"/>
  <c r="Q559" i="111"/>
  <c r="R559" i="111"/>
  <c r="S559" i="111"/>
  <c r="T559" i="111"/>
  <c r="U559" i="111"/>
  <c r="V559" i="111"/>
  <c r="W559" i="111"/>
  <c r="X559" i="111"/>
  <c r="Y559" i="111"/>
  <c r="Z559" i="111"/>
  <c r="AA559" i="111"/>
  <c r="AB559" i="111"/>
  <c r="AC559" i="111"/>
  <c r="AD559" i="111"/>
  <c r="AE559" i="111"/>
  <c r="AF559" i="111"/>
  <c r="AG559" i="111"/>
  <c r="AH559" i="111"/>
  <c r="AI559" i="111"/>
  <c r="AJ559" i="111"/>
  <c r="AK559" i="111"/>
  <c r="AL559" i="111"/>
  <c r="AM559" i="111"/>
  <c r="AN559" i="111"/>
  <c r="AO559" i="111"/>
  <c r="AP559" i="111"/>
  <c r="AQ559" i="111"/>
  <c r="AR559" i="111"/>
  <c r="AS559" i="111"/>
  <c r="AT559" i="111"/>
  <c r="AU559" i="111"/>
  <c r="AV559" i="111"/>
  <c r="AW559" i="111"/>
  <c r="AX559" i="111"/>
  <c r="AY559" i="111"/>
  <c r="AZ559" i="111"/>
  <c r="BA559" i="111"/>
  <c r="BR559" i="111"/>
  <c r="BS559" i="111"/>
  <c r="BT559" i="111"/>
  <c r="BU559" i="111"/>
  <c r="BW559" i="111"/>
  <c r="BX559" i="111"/>
  <c r="BY559" i="111"/>
  <c r="A560" i="111"/>
  <c r="J562" i="111"/>
  <c r="K562" i="111"/>
  <c r="L562" i="111"/>
  <c r="M562" i="111"/>
  <c r="N562" i="111"/>
  <c r="O562" i="111"/>
  <c r="P562" i="111"/>
  <c r="Q562" i="111"/>
  <c r="R562" i="111"/>
  <c r="S562" i="111"/>
  <c r="T562" i="111"/>
  <c r="U562" i="111"/>
  <c r="V562" i="111"/>
  <c r="W562" i="111"/>
  <c r="X562" i="111"/>
  <c r="Y562" i="111"/>
  <c r="Z562" i="111"/>
  <c r="AA562" i="111"/>
  <c r="AB562" i="111"/>
  <c r="AC562" i="111"/>
  <c r="AD562" i="111"/>
  <c r="AE562" i="111"/>
  <c r="AF562" i="111"/>
  <c r="AG562" i="111"/>
  <c r="AH562" i="111"/>
  <c r="AI562" i="111"/>
  <c r="AJ562" i="111"/>
  <c r="AK562" i="111"/>
  <c r="AL562" i="111"/>
  <c r="AM562" i="111"/>
  <c r="AN562" i="111"/>
  <c r="AO562" i="111"/>
  <c r="AP562" i="111"/>
  <c r="AQ562" i="111"/>
  <c r="AR562" i="111"/>
  <c r="AS562" i="111"/>
  <c r="AT562" i="111"/>
  <c r="AU562" i="111"/>
  <c r="AV562" i="111"/>
  <c r="AW562" i="111"/>
  <c r="AX562" i="111"/>
  <c r="AY562" i="111"/>
  <c r="AZ562" i="111"/>
  <c r="BA562" i="111"/>
  <c r="BR562" i="111"/>
  <c r="BS562" i="111"/>
  <c r="BT562" i="111"/>
  <c r="BU562" i="111"/>
  <c r="BW562" i="111"/>
  <c r="BX562" i="111"/>
  <c r="BY562" i="111"/>
  <c r="B745" i="111"/>
  <c r="C745" i="111"/>
  <c r="D745" i="111"/>
  <c r="E745" i="111"/>
  <c r="F745" i="111"/>
  <c r="G745" i="111"/>
  <c r="H745" i="111"/>
  <c r="I745" i="111"/>
  <c r="J745" i="111"/>
  <c r="K745" i="111"/>
  <c r="B746" i="111"/>
  <c r="C746" i="111"/>
  <c r="D746" i="111"/>
  <c r="E746" i="111"/>
  <c r="F746" i="111"/>
  <c r="G746" i="111"/>
  <c r="H746" i="111"/>
  <c r="I746" i="111"/>
  <c r="J746" i="111"/>
  <c r="K746" i="111"/>
  <c r="B753" i="111"/>
  <c r="C753" i="111"/>
  <c r="E753" i="111"/>
  <c r="F753" i="111"/>
  <c r="G753" i="111"/>
  <c r="H753" i="111"/>
  <c r="B754" i="111"/>
  <c r="C754" i="111"/>
  <c r="D754" i="111"/>
  <c r="E754" i="111"/>
  <c r="F754" i="111"/>
  <c r="G754" i="111"/>
  <c r="H754" i="111"/>
  <c r="I761" i="111"/>
  <c r="B762" i="111"/>
  <c r="B763" i="111" s="1"/>
  <c r="C762" i="111"/>
  <c r="C763" i="111" s="1"/>
  <c r="D762" i="111"/>
  <c r="D763" i="111" s="1"/>
  <c r="E762" i="111"/>
  <c r="E763" i="111" s="1"/>
  <c r="F762" i="111"/>
  <c r="F763" i="111" s="1"/>
  <c r="G762" i="111"/>
  <c r="G763" i="111" s="1"/>
  <c r="H762" i="111"/>
  <c r="H763" i="111" s="1"/>
  <c r="I762" i="111"/>
  <c r="J762" i="111"/>
  <c r="J763" i="111" s="1"/>
  <c r="J764" i="111" s="1"/>
  <c r="K762" i="111"/>
  <c r="K763" i="111" s="1"/>
  <c r="L762" i="111"/>
  <c r="M762" i="111"/>
  <c r="M763" i="111" s="1"/>
  <c r="M764" i="111" s="1"/>
  <c r="J786" i="111"/>
  <c r="K786" i="111"/>
  <c r="L786" i="111"/>
  <c r="M786" i="111"/>
  <c r="N786" i="111"/>
  <c r="O786" i="111"/>
  <c r="P786" i="111"/>
  <c r="Q786" i="111"/>
  <c r="R786" i="111"/>
  <c r="S786" i="111"/>
  <c r="T786" i="111"/>
  <c r="U786" i="111"/>
  <c r="V786" i="111"/>
  <c r="W786" i="111"/>
  <c r="X786" i="111"/>
  <c r="Y786" i="111"/>
  <c r="Z786" i="111"/>
  <c r="AA786" i="111"/>
  <c r="AB786" i="111"/>
  <c r="AC786" i="111"/>
  <c r="AD786" i="111"/>
  <c r="AE786" i="111"/>
  <c r="AF786" i="111"/>
  <c r="AG786" i="111"/>
  <c r="AH786" i="111"/>
  <c r="AI786" i="111"/>
  <c r="AJ786" i="111"/>
  <c r="AK786" i="111"/>
  <c r="AL786" i="111"/>
  <c r="AM786" i="111"/>
  <c r="AN786" i="111"/>
  <c r="AO786" i="111"/>
  <c r="AP786" i="111"/>
  <c r="AQ786" i="111"/>
  <c r="AR786" i="111"/>
  <c r="AS786" i="111"/>
  <c r="AT786" i="111"/>
  <c r="AU786" i="111"/>
  <c r="AV786" i="111"/>
  <c r="AW786" i="111"/>
  <c r="AX786" i="111"/>
  <c r="AY786" i="111"/>
  <c r="AZ786" i="111"/>
  <c r="BA786" i="111"/>
  <c r="BO786" i="111"/>
  <c r="BQ786" i="111"/>
  <c r="BR786" i="111"/>
  <c r="BS786" i="111"/>
  <c r="BT786" i="111"/>
  <c r="BU786" i="111"/>
  <c r="BW786" i="111"/>
  <c r="BX786" i="111"/>
  <c r="BY786" i="111"/>
  <c r="J796" i="111"/>
  <c r="K796" i="111"/>
  <c r="L796" i="111"/>
  <c r="M796" i="111"/>
  <c r="N796" i="111"/>
  <c r="O796" i="111"/>
  <c r="P796" i="111"/>
  <c r="Q796" i="111"/>
  <c r="R796" i="111"/>
  <c r="S796" i="111"/>
  <c r="T796" i="111"/>
  <c r="Y796" i="111"/>
  <c r="Z796" i="111"/>
  <c r="J797" i="111"/>
  <c r="K797" i="111"/>
  <c r="L797" i="111"/>
  <c r="M797" i="111"/>
  <c r="N797" i="111"/>
  <c r="O797" i="111"/>
  <c r="P797" i="111"/>
  <c r="Q797" i="111"/>
  <c r="R797" i="111"/>
  <c r="S797" i="111"/>
  <c r="T797" i="111"/>
  <c r="W797" i="111"/>
  <c r="X797" i="111"/>
  <c r="Y797" i="111"/>
  <c r="Z797" i="111"/>
  <c r="J798" i="111"/>
  <c r="K798" i="111"/>
  <c r="L798" i="111"/>
  <c r="M798" i="111"/>
  <c r="N798" i="111"/>
  <c r="O798" i="111"/>
  <c r="P798" i="111"/>
  <c r="Q798" i="111"/>
  <c r="R798" i="111"/>
  <c r="S798" i="111"/>
  <c r="T798" i="111"/>
  <c r="U798" i="111"/>
  <c r="V798" i="111"/>
  <c r="W798" i="111"/>
  <c r="X798" i="111"/>
  <c r="Y798" i="111"/>
  <c r="Z798" i="111"/>
  <c r="J799" i="111"/>
  <c r="K799" i="111"/>
  <c r="L799" i="111"/>
  <c r="M799" i="111"/>
  <c r="N799" i="111"/>
  <c r="O799" i="111"/>
  <c r="P799" i="111"/>
  <c r="Q799" i="111"/>
  <c r="R799" i="111"/>
  <c r="S799" i="111"/>
  <c r="T799" i="111"/>
  <c r="U799" i="111"/>
  <c r="V799" i="111"/>
  <c r="W799" i="111"/>
  <c r="X799" i="111"/>
  <c r="Y799" i="111"/>
  <c r="Z799" i="111"/>
  <c r="S808" i="111"/>
  <c r="T808" i="111"/>
  <c r="B809" i="111"/>
  <c r="C809" i="111"/>
  <c r="D809" i="111"/>
  <c r="B810" i="111"/>
  <c r="C810" i="111"/>
  <c r="D810" i="111"/>
  <c r="B811" i="111"/>
  <c r="C811" i="111"/>
  <c r="D811" i="111"/>
  <c r="B812" i="111"/>
  <c r="C812" i="111"/>
  <c r="D812" i="111"/>
  <c r="S814" i="111"/>
  <c r="T814" i="111"/>
  <c r="B815" i="111"/>
  <c r="C815" i="111"/>
  <c r="D815" i="111"/>
  <c r="E815" i="111"/>
  <c r="F815" i="111"/>
  <c r="G815" i="111"/>
  <c r="H815" i="111"/>
  <c r="I815" i="111"/>
  <c r="J815" i="111"/>
  <c r="K815" i="111"/>
  <c r="L815" i="111"/>
  <c r="M815" i="111"/>
  <c r="N815" i="111"/>
  <c r="O815" i="111"/>
  <c r="P815" i="111"/>
  <c r="Q815" i="111"/>
  <c r="R815" i="111"/>
  <c r="S815" i="111"/>
  <c r="T815" i="111"/>
  <c r="U815" i="111"/>
  <c r="V815" i="111"/>
  <c r="W815" i="111"/>
  <c r="X815" i="111"/>
  <c r="Y815" i="111"/>
  <c r="Z815" i="111"/>
  <c r="B816" i="111"/>
  <c r="C816" i="111"/>
  <c r="D816" i="111"/>
  <c r="E816" i="111"/>
  <c r="F816" i="111"/>
  <c r="G816" i="111"/>
  <c r="H816" i="111"/>
  <c r="I816" i="111"/>
  <c r="J816" i="111"/>
  <c r="K816" i="111"/>
  <c r="L816" i="111"/>
  <c r="M816" i="111"/>
  <c r="N816" i="111"/>
  <c r="O816" i="111"/>
  <c r="P816" i="111"/>
  <c r="Q816" i="111"/>
  <c r="R816" i="111"/>
  <c r="S816" i="111"/>
  <c r="T816" i="111"/>
  <c r="U816" i="111"/>
  <c r="V816" i="111"/>
  <c r="W816" i="111"/>
  <c r="X816" i="111"/>
  <c r="Y816" i="111"/>
  <c r="Z816" i="111"/>
  <c r="B817" i="111"/>
  <c r="C817" i="111"/>
  <c r="D817" i="111"/>
  <c r="E817" i="111"/>
  <c r="F817" i="111"/>
  <c r="G817" i="111"/>
  <c r="H817" i="111"/>
  <c r="I817" i="111"/>
  <c r="J817" i="111"/>
  <c r="K817" i="111"/>
  <c r="L817" i="111"/>
  <c r="M817" i="111"/>
  <c r="N817" i="111"/>
  <c r="O817" i="111"/>
  <c r="P817" i="111"/>
  <c r="Q817" i="111"/>
  <c r="R817" i="111"/>
  <c r="S817" i="111"/>
  <c r="T817" i="111"/>
  <c r="U817" i="111"/>
  <c r="V817" i="111"/>
  <c r="W817" i="111"/>
  <c r="X817" i="111"/>
  <c r="Y817" i="111"/>
  <c r="Z817" i="111"/>
  <c r="S819" i="111"/>
  <c r="T819" i="111"/>
  <c r="B820" i="111"/>
  <c r="C820" i="111"/>
  <c r="D820" i="111"/>
  <c r="E820" i="111"/>
  <c r="F820" i="111"/>
  <c r="G820" i="111"/>
  <c r="H820" i="111"/>
  <c r="I820" i="111"/>
  <c r="J820" i="111"/>
  <c r="K820" i="111"/>
  <c r="L820" i="111"/>
  <c r="M820" i="111"/>
  <c r="N820" i="111"/>
  <c r="O820" i="111"/>
  <c r="P820" i="111"/>
  <c r="Q820" i="111"/>
  <c r="R820" i="111"/>
  <c r="S820" i="111"/>
  <c r="T820" i="111"/>
  <c r="U820" i="111"/>
  <c r="V820" i="111"/>
  <c r="W820" i="111"/>
  <c r="X820" i="111"/>
  <c r="Y820" i="111"/>
  <c r="Z820" i="111"/>
  <c r="B821" i="111"/>
  <c r="C821" i="111"/>
  <c r="D821" i="111"/>
  <c r="E821" i="111"/>
  <c r="F821" i="111"/>
  <c r="G821" i="111"/>
  <c r="H821" i="111"/>
  <c r="I821" i="111"/>
  <c r="J821" i="111"/>
  <c r="K821" i="111"/>
  <c r="L821" i="111"/>
  <c r="M821" i="111"/>
  <c r="N821" i="111"/>
  <c r="O821" i="111"/>
  <c r="P821" i="111"/>
  <c r="Q821" i="111"/>
  <c r="R821" i="111"/>
  <c r="S821" i="111"/>
  <c r="T821" i="111"/>
  <c r="U821" i="111"/>
  <c r="V821" i="111"/>
  <c r="W821" i="111"/>
  <c r="X821" i="111"/>
  <c r="Y821" i="111"/>
  <c r="Z821" i="111"/>
  <c r="B822" i="111"/>
  <c r="C822" i="111"/>
  <c r="D822" i="111"/>
  <c r="E822" i="111"/>
  <c r="F822" i="111"/>
  <c r="G822" i="111"/>
  <c r="H822" i="111"/>
  <c r="I822" i="111"/>
  <c r="J822" i="111"/>
  <c r="K822" i="111"/>
  <c r="L822" i="111"/>
  <c r="M822" i="111"/>
  <c r="N822" i="111"/>
  <c r="O822" i="111"/>
  <c r="P822" i="111"/>
  <c r="Q822" i="111"/>
  <c r="R822" i="111"/>
  <c r="S822" i="111"/>
  <c r="T822" i="111"/>
  <c r="U822" i="111"/>
  <c r="V822" i="111"/>
  <c r="W822" i="111"/>
  <c r="X822" i="111"/>
  <c r="Y822" i="111"/>
  <c r="Z822" i="111"/>
  <c r="S824" i="111"/>
  <c r="T824" i="111"/>
  <c r="B825" i="111"/>
  <c r="C825" i="111"/>
  <c r="D825" i="111"/>
  <c r="E825" i="111"/>
  <c r="F825" i="111"/>
  <c r="G825" i="111"/>
  <c r="H825" i="111"/>
  <c r="I825" i="111"/>
  <c r="J825" i="111"/>
  <c r="K825" i="111"/>
  <c r="L825" i="111"/>
  <c r="M825" i="111"/>
  <c r="N825" i="111"/>
  <c r="O825" i="111"/>
  <c r="P825" i="111"/>
  <c r="Q825" i="111"/>
  <c r="R825" i="111"/>
  <c r="S825" i="111"/>
  <c r="T825" i="111"/>
  <c r="U825" i="111"/>
  <c r="V825" i="111"/>
  <c r="W825" i="111"/>
  <c r="X825" i="111"/>
  <c r="Y825" i="111"/>
  <c r="Z825" i="111"/>
  <c r="B826" i="111"/>
  <c r="C826" i="111"/>
  <c r="D826" i="111"/>
  <c r="E826" i="111"/>
  <c r="F826" i="111"/>
  <c r="G826" i="111"/>
  <c r="H826" i="111"/>
  <c r="I826" i="111"/>
  <c r="J826" i="111"/>
  <c r="K826" i="111"/>
  <c r="L826" i="111"/>
  <c r="M826" i="111"/>
  <c r="N826" i="111"/>
  <c r="O826" i="111"/>
  <c r="P826" i="111"/>
  <c r="Q826" i="111"/>
  <c r="R826" i="111"/>
  <c r="S826" i="111"/>
  <c r="T826" i="111"/>
  <c r="U826" i="111"/>
  <c r="V826" i="111"/>
  <c r="W826" i="111"/>
  <c r="X826" i="111"/>
  <c r="Y826" i="111"/>
  <c r="Z826" i="111"/>
  <c r="B827" i="111"/>
  <c r="C827" i="111"/>
  <c r="D827" i="111"/>
  <c r="E827" i="111"/>
  <c r="F827" i="111"/>
  <c r="G827" i="111"/>
  <c r="H827" i="111"/>
  <c r="I827" i="111"/>
  <c r="J827" i="111"/>
  <c r="K827" i="111"/>
  <c r="L827" i="111"/>
  <c r="M827" i="111"/>
  <c r="N827" i="111"/>
  <c r="O827" i="111"/>
  <c r="P827" i="111"/>
  <c r="Q827" i="111"/>
  <c r="R827" i="111"/>
  <c r="S827" i="111"/>
  <c r="T827" i="111"/>
  <c r="U827" i="111"/>
  <c r="V827" i="111"/>
  <c r="W827" i="111"/>
  <c r="X827" i="111"/>
  <c r="Y827" i="111"/>
  <c r="Z827" i="111"/>
  <c r="S829" i="111"/>
  <c r="T829" i="111"/>
  <c r="B830" i="111"/>
  <c r="C830" i="111"/>
  <c r="D830" i="111"/>
  <c r="E830" i="111"/>
  <c r="F830" i="111"/>
  <c r="G830" i="111"/>
  <c r="H830" i="111"/>
  <c r="I830" i="111"/>
  <c r="J830" i="111"/>
  <c r="K830" i="111"/>
  <c r="L830" i="111"/>
  <c r="M830" i="111"/>
  <c r="N830" i="111"/>
  <c r="O830" i="111"/>
  <c r="P830" i="111"/>
  <c r="Q830" i="111"/>
  <c r="R830" i="111"/>
  <c r="S830" i="111"/>
  <c r="T830" i="111"/>
  <c r="U830" i="111"/>
  <c r="V830" i="111"/>
  <c r="W830" i="111"/>
  <c r="X830" i="111"/>
  <c r="Y830" i="111"/>
  <c r="Z830" i="111"/>
  <c r="B831" i="111"/>
  <c r="C831" i="111"/>
  <c r="D831" i="111"/>
  <c r="E831" i="111"/>
  <c r="F831" i="111"/>
  <c r="G831" i="111"/>
  <c r="H831" i="111"/>
  <c r="I831" i="111"/>
  <c r="J831" i="111"/>
  <c r="K831" i="111"/>
  <c r="L831" i="111"/>
  <c r="M831" i="111"/>
  <c r="N831" i="111"/>
  <c r="O831" i="111"/>
  <c r="P831" i="111"/>
  <c r="Q831" i="111"/>
  <c r="R831" i="111"/>
  <c r="S831" i="111"/>
  <c r="T831" i="111"/>
  <c r="U831" i="111"/>
  <c r="V831" i="111"/>
  <c r="W831" i="111"/>
  <c r="X831" i="111"/>
  <c r="Y831" i="111"/>
  <c r="Z831" i="111"/>
  <c r="B832" i="111"/>
  <c r="C832" i="111"/>
  <c r="D832" i="111"/>
  <c r="E832" i="111"/>
  <c r="F832" i="111"/>
  <c r="G832" i="111"/>
  <c r="H832" i="111"/>
  <c r="I832" i="111"/>
  <c r="J832" i="111"/>
  <c r="K832" i="111"/>
  <c r="L832" i="111"/>
  <c r="M832" i="111"/>
  <c r="N832" i="111"/>
  <c r="O832" i="111"/>
  <c r="P832" i="111"/>
  <c r="Q832" i="111"/>
  <c r="R832" i="111"/>
  <c r="S832" i="111"/>
  <c r="T832" i="111"/>
  <c r="U832" i="111"/>
  <c r="V832" i="111"/>
  <c r="W832" i="111"/>
  <c r="X832" i="111"/>
  <c r="Y832" i="111"/>
  <c r="Z832" i="111"/>
  <c r="S834" i="111"/>
  <c r="T834" i="111"/>
  <c r="B835" i="111"/>
  <c r="C835" i="111"/>
  <c r="D835" i="111"/>
  <c r="E835" i="111"/>
  <c r="F835" i="111"/>
  <c r="G835" i="111"/>
  <c r="H835" i="111"/>
  <c r="I835" i="111"/>
  <c r="J835" i="111"/>
  <c r="K835" i="111"/>
  <c r="L835" i="111"/>
  <c r="M835" i="111"/>
  <c r="N835" i="111"/>
  <c r="O835" i="111"/>
  <c r="P835" i="111"/>
  <c r="Q835" i="111"/>
  <c r="R835" i="111"/>
  <c r="S835" i="111"/>
  <c r="T835" i="111"/>
  <c r="U835" i="111"/>
  <c r="V835" i="111"/>
  <c r="W835" i="111"/>
  <c r="X835" i="111"/>
  <c r="Y835" i="111"/>
  <c r="Z835" i="111"/>
  <c r="B836" i="111"/>
  <c r="C836" i="111"/>
  <c r="D836" i="111"/>
  <c r="E836" i="111"/>
  <c r="F836" i="111"/>
  <c r="G836" i="111"/>
  <c r="H836" i="111"/>
  <c r="I836" i="111"/>
  <c r="J836" i="111"/>
  <c r="K836" i="111"/>
  <c r="L836" i="111"/>
  <c r="M836" i="111"/>
  <c r="N836" i="111"/>
  <c r="O836" i="111"/>
  <c r="P836" i="111"/>
  <c r="Q836" i="111"/>
  <c r="R836" i="111"/>
  <c r="S836" i="111"/>
  <c r="T836" i="111"/>
  <c r="U836" i="111"/>
  <c r="V836" i="111"/>
  <c r="W836" i="111"/>
  <c r="X836" i="111"/>
  <c r="Y836" i="111"/>
  <c r="Z836" i="111"/>
  <c r="B837" i="111"/>
  <c r="C837" i="111"/>
  <c r="D837" i="111"/>
  <c r="E837" i="111"/>
  <c r="F837" i="111"/>
  <c r="G837" i="111"/>
  <c r="H837" i="111"/>
  <c r="I837" i="111"/>
  <c r="J837" i="111"/>
  <c r="K837" i="111"/>
  <c r="L837" i="111"/>
  <c r="M837" i="111"/>
  <c r="N837" i="111"/>
  <c r="O837" i="111"/>
  <c r="P837" i="111"/>
  <c r="Q837" i="111"/>
  <c r="R837" i="111"/>
  <c r="S837" i="111"/>
  <c r="T837" i="111"/>
  <c r="U837" i="111"/>
  <c r="V837" i="111"/>
  <c r="W837" i="111"/>
  <c r="X837" i="111"/>
  <c r="Y837" i="111"/>
  <c r="Z837" i="111"/>
  <c r="S839" i="111"/>
  <c r="T839" i="111"/>
  <c r="B840" i="111"/>
  <c r="C840" i="111"/>
  <c r="D840" i="111"/>
  <c r="E840" i="111"/>
  <c r="F840" i="111"/>
  <c r="G840" i="111"/>
  <c r="H840" i="111"/>
  <c r="I840" i="111"/>
  <c r="J840" i="111"/>
  <c r="K840" i="111"/>
  <c r="L840" i="111"/>
  <c r="M840" i="111"/>
  <c r="N840" i="111"/>
  <c r="O840" i="111"/>
  <c r="P840" i="111"/>
  <c r="Q840" i="111"/>
  <c r="R840" i="111"/>
  <c r="S840" i="111"/>
  <c r="T840" i="111"/>
  <c r="U840" i="111"/>
  <c r="V840" i="111"/>
  <c r="W840" i="111"/>
  <c r="X840" i="111"/>
  <c r="Y840" i="111"/>
  <c r="Z840" i="111"/>
  <c r="B841" i="111"/>
  <c r="C841" i="111"/>
  <c r="D841" i="111"/>
  <c r="E841" i="111"/>
  <c r="F841" i="111"/>
  <c r="G841" i="111"/>
  <c r="H841" i="111"/>
  <c r="I841" i="111"/>
  <c r="J841" i="111"/>
  <c r="K841" i="111"/>
  <c r="L841" i="111"/>
  <c r="M841" i="111"/>
  <c r="N841" i="111"/>
  <c r="O841" i="111"/>
  <c r="P841" i="111"/>
  <c r="Q841" i="111"/>
  <c r="R841" i="111"/>
  <c r="S841" i="111"/>
  <c r="T841" i="111"/>
  <c r="U841" i="111"/>
  <c r="V841" i="111"/>
  <c r="W841" i="111"/>
  <c r="X841" i="111"/>
  <c r="Y841" i="111"/>
  <c r="Z841" i="111"/>
  <c r="B842" i="111"/>
  <c r="C842" i="111"/>
  <c r="D842" i="111"/>
  <c r="E842" i="111"/>
  <c r="F842" i="111"/>
  <c r="G842" i="111"/>
  <c r="H842" i="111"/>
  <c r="I842" i="111"/>
  <c r="J842" i="111"/>
  <c r="K842" i="111"/>
  <c r="L842" i="111"/>
  <c r="M842" i="111"/>
  <c r="N842" i="111"/>
  <c r="O842" i="111"/>
  <c r="P842" i="111"/>
  <c r="Q842" i="111"/>
  <c r="R842" i="111"/>
  <c r="S842" i="111"/>
  <c r="T842" i="111"/>
  <c r="U842" i="111"/>
  <c r="V842" i="111"/>
  <c r="W842" i="111"/>
  <c r="X842" i="111"/>
  <c r="Y842" i="111"/>
  <c r="Z842" i="111"/>
  <c r="B844" i="111"/>
  <c r="C844" i="111"/>
  <c r="D844" i="111"/>
  <c r="E844" i="111"/>
  <c r="F844" i="111"/>
  <c r="G844" i="111"/>
  <c r="H844" i="111"/>
  <c r="I844" i="111"/>
  <c r="J844" i="111"/>
  <c r="K844" i="111"/>
  <c r="L844" i="111"/>
  <c r="M844" i="111"/>
  <c r="N844" i="111"/>
  <c r="O844" i="111"/>
  <c r="P844" i="111"/>
  <c r="Q844" i="111"/>
  <c r="R844" i="111"/>
  <c r="S844" i="111"/>
  <c r="T844" i="111"/>
  <c r="Y844" i="111"/>
  <c r="Z844" i="111"/>
  <c r="C846" i="111"/>
  <c r="D846" i="111"/>
  <c r="E846" i="111"/>
  <c r="F846" i="111"/>
  <c r="G846" i="111"/>
  <c r="H846" i="111"/>
  <c r="I846" i="111"/>
  <c r="C847" i="111"/>
  <c r="D847" i="111"/>
  <c r="E847" i="111"/>
  <c r="F847" i="111"/>
  <c r="G847" i="111"/>
  <c r="H847" i="111"/>
  <c r="I847" i="111"/>
  <c r="C850" i="111"/>
  <c r="D850" i="111"/>
  <c r="E850" i="111"/>
  <c r="F850" i="111"/>
  <c r="G850" i="111"/>
  <c r="H850" i="111"/>
  <c r="I850" i="111"/>
  <c r="J850" i="111"/>
  <c r="B855" i="111"/>
  <c r="C855" i="111"/>
  <c r="D855" i="111"/>
  <c r="E855" i="111"/>
  <c r="F855" i="111"/>
  <c r="G855" i="111"/>
  <c r="H855" i="111"/>
  <c r="I855" i="111"/>
  <c r="J855" i="111"/>
  <c r="B869" i="111"/>
  <c r="C869" i="111"/>
  <c r="D869" i="111"/>
  <c r="E869" i="111"/>
  <c r="F869" i="111"/>
  <c r="G869" i="111"/>
  <c r="H869" i="111"/>
  <c r="I869" i="111"/>
  <c r="J869" i="111"/>
  <c r="K869" i="111"/>
  <c r="L869" i="111"/>
  <c r="M869" i="111"/>
  <c r="N869" i="111"/>
  <c r="O869" i="111"/>
  <c r="P869" i="111"/>
  <c r="Q869" i="111"/>
  <c r="R869" i="111"/>
  <c r="S869" i="111"/>
  <c r="T869" i="111"/>
  <c r="Y869" i="111"/>
  <c r="Z869" i="111"/>
  <c r="B874" i="111"/>
  <c r="C874" i="111"/>
  <c r="D874" i="111"/>
  <c r="E874" i="111"/>
  <c r="F874" i="111"/>
  <c r="G874" i="111"/>
  <c r="H874" i="111"/>
  <c r="I874" i="111"/>
  <c r="J874" i="111"/>
  <c r="K874" i="111"/>
  <c r="L874" i="111"/>
  <c r="M874" i="111"/>
  <c r="N874" i="111"/>
  <c r="O874" i="111"/>
  <c r="P874" i="111"/>
  <c r="Q874" i="111"/>
  <c r="R874" i="111"/>
  <c r="S874" i="111"/>
  <c r="T874" i="111"/>
  <c r="Y874" i="111"/>
  <c r="Z874" i="111"/>
  <c r="S875" i="111"/>
  <c r="T875" i="111"/>
  <c r="K876" i="111"/>
  <c r="L876" i="111"/>
  <c r="M876" i="111"/>
  <c r="N876" i="111"/>
  <c r="O876" i="111"/>
  <c r="P876" i="111"/>
  <c r="Q876" i="111"/>
  <c r="R876" i="111"/>
  <c r="T876" i="111"/>
  <c r="J877" i="111"/>
  <c r="K877" i="111"/>
  <c r="L877" i="111"/>
  <c r="M877" i="111"/>
  <c r="N877" i="111"/>
  <c r="O877" i="111"/>
  <c r="P877" i="111"/>
  <c r="Q877" i="111"/>
  <c r="R877" i="111"/>
  <c r="S877" i="111"/>
  <c r="T877" i="111"/>
  <c r="B879" i="111"/>
  <c r="C879" i="111"/>
  <c r="D879" i="111"/>
  <c r="E879" i="111"/>
  <c r="F879" i="111"/>
  <c r="G879" i="111"/>
  <c r="H879" i="111"/>
  <c r="I879" i="111"/>
  <c r="J879" i="111"/>
  <c r="K879" i="111"/>
  <c r="L879" i="111"/>
  <c r="M879" i="111"/>
  <c r="N879" i="111"/>
  <c r="O879" i="111"/>
  <c r="P879" i="111"/>
  <c r="Q879" i="111"/>
  <c r="R879" i="111"/>
  <c r="S879" i="111"/>
  <c r="T879" i="111"/>
  <c r="Y879" i="111"/>
  <c r="Z879" i="111"/>
  <c r="B884" i="111"/>
  <c r="C884" i="111"/>
  <c r="D884" i="111"/>
  <c r="E884" i="111"/>
  <c r="F884" i="111"/>
  <c r="G884" i="111"/>
  <c r="H884" i="111"/>
  <c r="I884" i="111"/>
  <c r="J884" i="111"/>
  <c r="K884" i="111"/>
  <c r="L884" i="111"/>
  <c r="M884" i="111"/>
  <c r="N884" i="111"/>
  <c r="O884" i="111"/>
  <c r="P884" i="111"/>
  <c r="Q884" i="111"/>
  <c r="R884" i="111"/>
  <c r="S884" i="111"/>
  <c r="T884" i="111"/>
  <c r="Y884" i="111"/>
  <c r="Z884" i="111"/>
  <c r="B889" i="111"/>
  <c r="A518" i="111" l="1"/>
  <c r="A519" i="111"/>
  <c r="A517" i="111"/>
  <c r="AN12" i="112"/>
  <c r="Z913" i="111"/>
  <c r="Z918" i="111"/>
  <c r="Y913" i="111"/>
  <c r="Y918" i="111"/>
  <c r="R913" i="111"/>
  <c r="R918" i="111"/>
  <c r="Q918" i="111"/>
  <c r="Q913" i="111"/>
  <c r="P913" i="111"/>
  <c r="P918" i="111"/>
  <c r="O918" i="111"/>
  <c r="O913" i="111"/>
  <c r="N913" i="111"/>
  <c r="N918" i="111"/>
  <c r="M913" i="111"/>
  <c r="M918" i="111"/>
  <c r="L913" i="111"/>
  <c r="L918" i="111"/>
  <c r="K918" i="111"/>
  <c r="K913" i="111"/>
  <c r="J913" i="111"/>
  <c r="J918" i="111"/>
  <c r="Q208" i="111"/>
  <c r="Q906" i="111"/>
  <c r="Q901" i="111"/>
  <c r="K259" i="111"/>
  <c r="K906" i="111"/>
  <c r="K901" i="111"/>
  <c r="Z901" i="111"/>
  <c r="Z906" i="111"/>
  <c r="P906" i="111"/>
  <c r="P901" i="111"/>
  <c r="J906" i="111"/>
  <c r="J901" i="111"/>
  <c r="Y901" i="111"/>
  <c r="Y906" i="111"/>
  <c r="O321" i="111"/>
  <c r="O901" i="111"/>
  <c r="O906" i="111"/>
  <c r="N901" i="111"/>
  <c r="N906" i="111"/>
  <c r="M901" i="111"/>
  <c r="M906" i="111"/>
  <c r="R901" i="111"/>
  <c r="R906" i="111"/>
  <c r="L901" i="111"/>
  <c r="L906" i="111"/>
  <c r="K126" i="111"/>
  <c r="B108" i="112"/>
  <c r="Q238" i="111"/>
  <c r="K233" i="111"/>
  <c r="K326" i="111"/>
  <c r="Q170" i="111"/>
  <c r="K154" i="111"/>
  <c r="I79" i="112"/>
  <c r="O79" i="112"/>
  <c r="K834" i="111"/>
  <c r="Q248" i="111"/>
  <c r="Q421" i="111"/>
  <c r="Q416" i="111"/>
  <c r="K316" i="111"/>
  <c r="Q311" i="111"/>
  <c r="Q355" i="111"/>
  <c r="J79" i="112"/>
  <c r="AP144" i="8"/>
  <c r="AR170" i="8"/>
  <c r="K416" i="111"/>
  <c r="K331" i="111"/>
  <c r="K421" i="111"/>
  <c r="K360" i="111"/>
  <c r="K335" i="111"/>
  <c r="AS79" i="112"/>
  <c r="L79" i="112"/>
  <c r="S79" i="112"/>
  <c r="AE79" i="112"/>
  <c r="X79" i="112"/>
  <c r="AJ79" i="112"/>
  <c r="Q273" i="111"/>
  <c r="K396" i="111"/>
  <c r="Q345" i="111"/>
  <c r="K340" i="111"/>
  <c r="K273" i="111"/>
  <c r="AD79" i="112"/>
  <c r="AP79" i="112"/>
  <c r="Y79" i="112"/>
  <c r="AK79" i="112"/>
  <c r="AO12" i="112"/>
  <c r="G79" i="112"/>
  <c r="AS144" i="112"/>
  <c r="AM79" i="112"/>
  <c r="T79" i="112"/>
  <c r="AA79" i="112"/>
  <c r="H79" i="112"/>
  <c r="AL79" i="112"/>
  <c r="AT144" i="112"/>
  <c r="AX144" i="112"/>
  <c r="AU144" i="112"/>
  <c r="R79" i="112"/>
  <c r="U79" i="112"/>
  <c r="AR144" i="112"/>
  <c r="AW79" i="112"/>
  <c r="M79" i="112"/>
  <c r="Z79" i="112"/>
  <c r="N79" i="112"/>
  <c r="AQ79" i="112"/>
  <c r="AU79" i="112"/>
  <c r="AB79" i="112"/>
  <c r="AT79" i="112"/>
  <c r="AC79" i="112"/>
  <c r="K79" i="112"/>
  <c r="AR79" i="112"/>
  <c r="AV79" i="112"/>
  <c r="P79" i="112"/>
  <c r="AH79" i="112"/>
  <c r="Q79" i="112"/>
  <c r="AI79" i="112"/>
  <c r="AG79" i="112"/>
  <c r="AF79" i="112"/>
  <c r="V79" i="112"/>
  <c r="AN79" i="112"/>
  <c r="W79" i="112"/>
  <c r="AO79" i="112"/>
  <c r="AP12" i="112"/>
  <c r="AT12" i="112"/>
  <c r="AR12" i="112"/>
  <c r="AV12" i="112"/>
  <c r="AQ12" i="112"/>
  <c r="AU12" i="112"/>
  <c r="AS12" i="112"/>
  <c r="AW12" i="112"/>
  <c r="AM12" i="112"/>
  <c r="P213" i="111"/>
  <c r="P896" i="111"/>
  <c r="L139" i="111"/>
  <c r="L896" i="111"/>
  <c r="Z139" i="111"/>
  <c r="Z896" i="111"/>
  <c r="O149" i="111"/>
  <c r="O896" i="111"/>
  <c r="K175" i="111"/>
  <c r="K896" i="111"/>
  <c r="Y175" i="111"/>
  <c r="Y896" i="111"/>
  <c r="R181" i="111"/>
  <c r="R896" i="111"/>
  <c r="N139" i="111"/>
  <c r="N896" i="111"/>
  <c r="J144" i="111"/>
  <c r="J896" i="111"/>
  <c r="Q126" i="111"/>
  <c r="Q896" i="111"/>
  <c r="M139" i="111"/>
  <c r="M896" i="111"/>
  <c r="Q834" i="111"/>
  <c r="Q406" i="111"/>
  <c r="Q396" i="111"/>
  <c r="Q370" i="111"/>
  <c r="Q360" i="111"/>
  <c r="Q316" i="111"/>
  <c r="Q296" i="111"/>
  <c r="Q301" i="111" s="1"/>
  <c r="Q254" i="111"/>
  <c r="Q228" i="111"/>
  <c r="Q218" i="111"/>
  <c r="Q193" i="111"/>
  <c r="Q198" i="111" s="1"/>
  <c r="Q187" i="111"/>
  <c r="Q386" i="111"/>
  <c r="Q375" i="111"/>
  <c r="Q350" i="111"/>
  <c r="Q340" i="111"/>
  <c r="Q335" i="111"/>
  <c r="Q331" i="111"/>
  <c r="Q326" i="111"/>
  <c r="Q321" i="111"/>
  <c r="Q306" i="111"/>
  <c r="Q287" i="111"/>
  <c r="Q262" i="111"/>
  <c r="Q259" i="111"/>
  <c r="Q243" i="111"/>
  <c r="Q233" i="111"/>
  <c r="Q213" i="111"/>
  <c r="Q203" i="111"/>
  <c r="Q154" i="111"/>
  <c r="Q839" i="111"/>
  <c r="Q829" i="111"/>
  <c r="Q411" i="111"/>
  <c r="Q401" i="111"/>
  <c r="Q391" i="111"/>
  <c r="Q380" i="111"/>
  <c r="Q365" i="111"/>
  <c r="Q291" i="111"/>
  <c r="Q268" i="111"/>
  <c r="Q223" i="111"/>
  <c r="K829" i="111"/>
  <c r="K401" i="111"/>
  <c r="K380" i="111"/>
  <c r="K375" i="111"/>
  <c r="O370" i="111"/>
  <c r="K365" i="111"/>
  <c r="K345" i="111"/>
  <c r="K321" i="111"/>
  <c r="K291" i="111"/>
  <c r="K287" i="111"/>
  <c r="K238" i="111"/>
  <c r="K218" i="111"/>
  <c r="K203" i="111"/>
  <c r="K193" i="111"/>
  <c r="K198" i="111" s="1"/>
  <c r="K406" i="111"/>
  <c r="O391" i="111"/>
  <c r="K370" i="111"/>
  <c r="K350" i="111"/>
  <c r="K306" i="111"/>
  <c r="K296" i="111"/>
  <c r="K301" i="111" s="1"/>
  <c r="K243" i="111"/>
  <c r="K223" i="111"/>
  <c r="K208" i="111"/>
  <c r="K187" i="111"/>
  <c r="K144" i="111"/>
  <c r="K839" i="111"/>
  <c r="O834" i="111"/>
  <c r="K411" i="111"/>
  <c r="K391" i="111"/>
  <c r="K386" i="111"/>
  <c r="K355" i="111"/>
  <c r="K311" i="111"/>
  <c r="K268" i="111"/>
  <c r="K262" i="111"/>
  <c r="K254" i="111"/>
  <c r="K248" i="111"/>
  <c r="K228" i="111"/>
  <c r="K213" i="111"/>
  <c r="O421" i="111"/>
  <c r="O406" i="111"/>
  <c r="O360" i="111"/>
  <c r="O350" i="111"/>
  <c r="O306" i="111"/>
  <c r="O254" i="111"/>
  <c r="O839" i="111"/>
  <c r="O411" i="111"/>
  <c r="O396" i="111"/>
  <c r="O365" i="111"/>
  <c r="O208" i="111"/>
  <c r="O181" i="111"/>
  <c r="X119" i="112"/>
  <c r="X98" i="112" s="1"/>
  <c r="O829" i="111"/>
  <c r="O380" i="111"/>
  <c r="O416" i="111"/>
  <c r="O401" i="111"/>
  <c r="O386" i="111"/>
  <c r="O375" i="111"/>
  <c r="O345" i="111"/>
  <c r="O262" i="111"/>
  <c r="W119" i="112"/>
  <c r="W98" i="112" s="1"/>
  <c r="AN119" i="112"/>
  <c r="AN98" i="112" s="1"/>
  <c r="O311" i="111"/>
  <c r="O268" i="111"/>
  <c r="O248" i="111"/>
  <c r="O233" i="111"/>
  <c r="O218" i="111"/>
  <c r="O291" i="111"/>
  <c r="O259" i="111"/>
  <c r="O213" i="111"/>
  <c r="O355" i="111"/>
  <c r="O340" i="111"/>
  <c r="O331" i="111"/>
  <c r="O316" i="111"/>
  <c r="O273" i="111"/>
  <c r="O238" i="111"/>
  <c r="O223" i="111"/>
  <c r="O193" i="111"/>
  <c r="O198" i="111" s="1"/>
  <c r="O187" i="111"/>
  <c r="O175" i="111"/>
  <c r="O335" i="111"/>
  <c r="O326" i="111"/>
  <c r="O296" i="111"/>
  <c r="O301" i="111" s="1"/>
  <c r="O203" i="111"/>
  <c r="O287" i="111"/>
  <c r="O243" i="111"/>
  <c r="O228" i="111"/>
  <c r="O170" i="111"/>
  <c r="R154" i="111"/>
  <c r="R839" i="111"/>
  <c r="Q149" i="111"/>
  <c r="Q139" i="111"/>
  <c r="Q181" i="111"/>
  <c r="Q175" i="111"/>
  <c r="K170" i="111"/>
  <c r="K149" i="111"/>
  <c r="K139" i="111"/>
  <c r="K181" i="111"/>
  <c r="Z411" i="111"/>
  <c r="J243" i="111"/>
  <c r="P401" i="111"/>
  <c r="J375" i="111"/>
  <c r="J287" i="111"/>
  <c r="P228" i="111"/>
  <c r="M340" i="111"/>
  <c r="M375" i="111"/>
  <c r="Y345" i="111"/>
  <c r="M291" i="111"/>
  <c r="M396" i="111"/>
  <c r="R834" i="111"/>
  <c r="R829" i="111"/>
  <c r="L340" i="111"/>
  <c r="R311" i="111"/>
  <c r="R218" i="111"/>
  <c r="L834" i="111"/>
  <c r="L316" i="111"/>
  <c r="L839" i="111"/>
  <c r="L829" i="111"/>
  <c r="M126" i="111"/>
  <c r="M345" i="111"/>
  <c r="M296" i="111"/>
  <c r="M301" i="111" s="1"/>
  <c r="Y391" i="111"/>
  <c r="M386" i="111"/>
  <c r="M218" i="111"/>
  <c r="Y396" i="111"/>
  <c r="Y375" i="111"/>
  <c r="Y287" i="111"/>
  <c r="Y273" i="111"/>
  <c r="Y268" i="111"/>
  <c r="M262" i="111"/>
  <c r="P839" i="111"/>
  <c r="J829" i="111"/>
  <c r="J396" i="111"/>
  <c r="J370" i="111"/>
  <c r="P355" i="111"/>
  <c r="J321" i="111"/>
  <c r="P421" i="111"/>
  <c r="J834" i="111"/>
  <c r="P829" i="111"/>
  <c r="P386" i="111"/>
  <c r="J839" i="111"/>
  <c r="P834" i="111"/>
  <c r="J421" i="111"/>
  <c r="J306" i="111"/>
  <c r="P181" i="111"/>
  <c r="J380" i="111"/>
  <c r="J259" i="111"/>
  <c r="J411" i="111"/>
  <c r="J391" i="111"/>
  <c r="J365" i="111"/>
  <c r="P350" i="111"/>
  <c r="J345" i="111"/>
  <c r="P331" i="111"/>
  <c r="P291" i="111"/>
  <c r="P268" i="111"/>
  <c r="J262" i="111"/>
  <c r="J254" i="111"/>
  <c r="J238" i="111"/>
  <c r="P223" i="111"/>
  <c r="P154" i="111"/>
  <c r="P144" i="111"/>
  <c r="P416" i="111"/>
  <c r="J406" i="111"/>
  <c r="P396" i="111"/>
  <c r="P375" i="111"/>
  <c r="J360" i="111"/>
  <c r="J335" i="111"/>
  <c r="J326" i="111"/>
  <c r="J316" i="111"/>
  <c r="P311" i="111"/>
  <c r="J273" i="111"/>
  <c r="P248" i="111"/>
  <c r="J233" i="111"/>
  <c r="J401" i="111"/>
  <c r="P380" i="111"/>
  <c r="P370" i="111"/>
  <c r="J355" i="111"/>
  <c r="P345" i="111"/>
  <c r="P321" i="111"/>
  <c r="P306" i="111"/>
  <c r="J296" i="111"/>
  <c r="J301" i="111" s="1"/>
  <c r="P287" i="111"/>
  <c r="P262" i="111"/>
  <c r="P259" i="111"/>
  <c r="P243" i="111"/>
  <c r="J228" i="111"/>
  <c r="P411" i="111"/>
  <c r="P391" i="111"/>
  <c r="J386" i="111"/>
  <c r="P365" i="111"/>
  <c r="J350" i="111"/>
  <c r="J340" i="111"/>
  <c r="J331" i="111"/>
  <c r="P316" i="111"/>
  <c r="J268" i="111"/>
  <c r="P254" i="111"/>
  <c r="P238" i="111"/>
  <c r="J223" i="111"/>
  <c r="P208" i="111"/>
  <c r="P203" i="111"/>
  <c r="J175" i="111"/>
  <c r="J416" i="111"/>
  <c r="P406" i="111"/>
  <c r="P360" i="111"/>
  <c r="P340" i="111"/>
  <c r="P335" i="111"/>
  <c r="P326" i="111"/>
  <c r="J311" i="111"/>
  <c r="P296" i="111"/>
  <c r="P301" i="111" s="1"/>
  <c r="J291" i="111"/>
  <c r="P273" i="111"/>
  <c r="J248" i="111"/>
  <c r="P233" i="111"/>
  <c r="J218" i="111"/>
  <c r="P193" i="111"/>
  <c r="P198" i="111" s="1"/>
  <c r="P149" i="111"/>
  <c r="Z375" i="111"/>
  <c r="Z345" i="111"/>
  <c r="Z213" i="111"/>
  <c r="Z360" i="111"/>
  <c r="N213" i="111"/>
  <c r="N839" i="111"/>
  <c r="N411" i="111"/>
  <c r="N396" i="111"/>
  <c r="Z839" i="111"/>
  <c r="C182" i="111"/>
  <c r="V119" i="112"/>
  <c r="V98" i="112" s="1"/>
  <c r="Z396" i="111"/>
  <c r="N375" i="111"/>
  <c r="N360" i="111"/>
  <c r="N345" i="111"/>
  <c r="Z170" i="111"/>
  <c r="R203" i="111"/>
  <c r="L331" i="111"/>
  <c r="R268" i="111"/>
  <c r="L259" i="111"/>
  <c r="R254" i="111"/>
  <c r="AH119" i="112"/>
  <c r="AH98" i="112" s="1"/>
  <c r="L287" i="111"/>
  <c r="R213" i="111"/>
  <c r="E184" i="111"/>
  <c r="O144" i="111"/>
  <c r="O126" i="111"/>
  <c r="O139" i="111"/>
  <c r="AM119" i="112"/>
  <c r="AM98" i="112" s="1"/>
  <c r="O154" i="111"/>
  <c r="T119" i="112"/>
  <c r="L416" i="111"/>
  <c r="L411" i="111"/>
  <c r="R406" i="111"/>
  <c r="R375" i="111"/>
  <c r="L375" i="111"/>
  <c r="R370" i="111"/>
  <c r="L355" i="111"/>
  <c r="R350" i="111"/>
  <c r="R345" i="111"/>
  <c r="L345" i="111"/>
  <c r="R340" i="111"/>
  <c r="L335" i="111"/>
  <c r="L326" i="111"/>
  <c r="R273" i="111"/>
  <c r="R248" i="111"/>
  <c r="L238" i="111"/>
  <c r="R233" i="111"/>
  <c r="L223" i="111"/>
  <c r="L208" i="111"/>
  <c r="L149" i="111"/>
  <c r="L144" i="111"/>
  <c r="AX435" i="111"/>
  <c r="AR435" i="111"/>
  <c r="AZ433" i="111"/>
  <c r="BA431" i="111"/>
  <c r="AU431" i="111"/>
  <c r="R411" i="111"/>
  <c r="L380" i="111"/>
  <c r="R331" i="111"/>
  <c r="L321" i="111"/>
  <c r="R316" i="111"/>
  <c r="L306" i="111"/>
  <c r="L291" i="111"/>
  <c r="R287" i="111"/>
  <c r="R259" i="111"/>
  <c r="R187" i="111"/>
  <c r="R139" i="111"/>
  <c r="L421" i="111"/>
  <c r="R416" i="111"/>
  <c r="L401" i="111"/>
  <c r="L391" i="111"/>
  <c r="L386" i="111"/>
  <c r="L365" i="111"/>
  <c r="L360" i="111"/>
  <c r="R355" i="111"/>
  <c r="R335" i="111"/>
  <c r="R326" i="111"/>
  <c r="L296" i="111"/>
  <c r="L301" i="111" s="1"/>
  <c r="R291" i="111"/>
  <c r="L243" i="111"/>
  <c r="R238" i="111"/>
  <c r="L228" i="111"/>
  <c r="R223" i="111"/>
  <c r="R208" i="111"/>
  <c r="L193" i="111"/>
  <c r="L198" i="111" s="1"/>
  <c r="L181" i="111"/>
  <c r="R175" i="111"/>
  <c r="R149" i="111"/>
  <c r="R126" i="111"/>
  <c r="R386" i="111"/>
  <c r="R380" i="111"/>
  <c r="R360" i="111"/>
  <c r="R321" i="111"/>
  <c r="L311" i="111"/>
  <c r="R306" i="111"/>
  <c r="R296" i="111"/>
  <c r="R301" i="111" s="1"/>
  <c r="L268" i="111"/>
  <c r="L262" i="111"/>
  <c r="L254" i="111"/>
  <c r="L213" i="111"/>
  <c r="L203" i="111"/>
  <c r="L201" i="111"/>
  <c r="R170" i="111"/>
  <c r="L154" i="111"/>
  <c r="R144" i="111"/>
  <c r="R421" i="111"/>
  <c r="L406" i="111"/>
  <c r="R401" i="111"/>
  <c r="R396" i="111"/>
  <c r="L396" i="111"/>
  <c r="R391" i="111"/>
  <c r="L370" i="111"/>
  <c r="R365" i="111"/>
  <c r="L350" i="111"/>
  <c r="L273" i="111"/>
  <c r="R262" i="111"/>
  <c r="L248" i="111"/>
  <c r="R243" i="111"/>
  <c r="L233" i="111"/>
  <c r="R228" i="111"/>
  <c r="R193" i="111"/>
  <c r="R198" i="111" s="1"/>
  <c r="AE119" i="112"/>
  <c r="AE108" i="112" s="1"/>
  <c r="AP473" i="111"/>
  <c r="AP444" i="111"/>
  <c r="AR119" i="112"/>
  <c r="AR108" i="112" s="1"/>
  <c r="AV109" i="112" s="1"/>
  <c r="AB119" i="112"/>
  <c r="AB98" i="112" s="1"/>
  <c r="AJ119" i="112"/>
  <c r="AJ98" i="112" s="1"/>
  <c r="AP119" i="112"/>
  <c r="AP167" i="8"/>
  <c r="AX473" i="111"/>
  <c r="AU435" i="111"/>
  <c r="AL444" i="111"/>
  <c r="AF119" i="112"/>
  <c r="AF108" i="112" s="1"/>
  <c r="L119" i="112"/>
  <c r="L98" i="112" s="1"/>
  <c r="AC261" i="112"/>
  <c r="J119" i="112"/>
  <c r="J108" i="112" s="1"/>
  <c r="H119" i="112"/>
  <c r="H98" i="112" s="1"/>
  <c r="AX444" i="111"/>
  <c r="AA119" i="112"/>
  <c r="AA108" i="112" s="1"/>
  <c r="G119" i="112"/>
  <c r="G98" i="112" s="1"/>
  <c r="Z119" i="112"/>
  <c r="Z108" i="112" s="1"/>
  <c r="AS473" i="111"/>
  <c r="AQ119" i="112"/>
  <c r="AU120" i="112" s="1"/>
  <c r="N119" i="112"/>
  <c r="N98" i="112" s="1"/>
  <c r="R119" i="112"/>
  <c r="R98" i="112" s="1"/>
  <c r="AH444" i="111"/>
  <c r="AM473" i="111"/>
  <c r="AM474" i="111" s="1"/>
  <c r="F119" i="112"/>
  <c r="F98" i="112" s="1"/>
  <c r="K119" i="112"/>
  <c r="K108" i="112" s="1"/>
  <c r="D119" i="112"/>
  <c r="D98" i="112" s="1"/>
  <c r="AL119" i="112"/>
  <c r="D211" i="111"/>
  <c r="F209" i="111"/>
  <c r="I184" i="111"/>
  <c r="J183" i="111"/>
  <c r="K182" i="111"/>
  <c r="AX460" i="111"/>
  <c r="AL460" i="111"/>
  <c r="M421" i="111"/>
  <c r="M416" i="111"/>
  <c r="Y380" i="111"/>
  <c r="M370" i="111"/>
  <c r="M365" i="111"/>
  <c r="Y326" i="111"/>
  <c r="Y248" i="111"/>
  <c r="Y243" i="111"/>
  <c r="Y238" i="111"/>
  <c r="Y233" i="111"/>
  <c r="Y228" i="111"/>
  <c r="Y223" i="111"/>
  <c r="Y218" i="111"/>
  <c r="G200" i="111"/>
  <c r="N201" i="111"/>
  <c r="M193" i="111"/>
  <c r="M198" i="111" s="1"/>
  <c r="M187" i="111"/>
  <c r="M170" i="111"/>
  <c r="M154" i="111"/>
  <c r="M149" i="111"/>
  <c r="Y139" i="111"/>
  <c r="J126" i="111"/>
  <c r="CA323" i="8"/>
  <c r="Y421" i="111"/>
  <c r="Y416" i="111"/>
  <c r="Y370" i="111"/>
  <c r="Y365" i="111"/>
  <c r="M335" i="111"/>
  <c r="Y193" i="111"/>
  <c r="Y198" i="111" s="1"/>
  <c r="Y154" i="111"/>
  <c r="Y149" i="111"/>
  <c r="Y126" i="111"/>
  <c r="AT167" i="8"/>
  <c r="AX93" i="112"/>
  <c r="Y839" i="111"/>
  <c r="M834" i="111"/>
  <c r="M829" i="111"/>
  <c r="AZ464" i="111"/>
  <c r="AN464" i="111"/>
  <c r="AW460" i="111"/>
  <c r="Y411" i="111"/>
  <c r="M411" i="111"/>
  <c r="M406" i="111"/>
  <c r="M401" i="111"/>
  <c r="Y360" i="111"/>
  <c r="M360" i="111"/>
  <c r="M355" i="111"/>
  <c r="M350" i="111"/>
  <c r="Y335" i="111"/>
  <c r="M331" i="111"/>
  <c r="M321" i="111"/>
  <c r="M316" i="111"/>
  <c r="M311" i="111"/>
  <c r="M306" i="111"/>
  <c r="M259" i="111"/>
  <c r="M254" i="111"/>
  <c r="Y213" i="111"/>
  <c r="M213" i="111"/>
  <c r="M208" i="111"/>
  <c r="M203" i="111"/>
  <c r="L200" i="111"/>
  <c r="J187" i="111"/>
  <c r="M181" i="111"/>
  <c r="M175" i="111"/>
  <c r="J170" i="111"/>
  <c r="J139" i="111"/>
  <c r="P119" i="112"/>
  <c r="P98" i="112" s="1"/>
  <c r="M839" i="111"/>
  <c r="Y834" i="111"/>
  <c r="Y829" i="111"/>
  <c r="AN473" i="111"/>
  <c r="AV431" i="111"/>
  <c r="Y406" i="111"/>
  <c r="Y401" i="111"/>
  <c r="M391" i="111"/>
  <c r="Y355" i="111"/>
  <c r="Y350" i="111"/>
  <c r="Y331" i="111"/>
  <c r="Y321" i="111"/>
  <c r="Y316" i="111"/>
  <c r="Y311" i="111"/>
  <c r="Y306" i="111"/>
  <c r="M287" i="111"/>
  <c r="M273" i="111"/>
  <c r="M268" i="111"/>
  <c r="Y259" i="111"/>
  <c r="Y254" i="111"/>
  <c r="Y208" i="111"/>
  <c r="Y203" i="111"/>
  <c r="J193" i="111"/>
  <c r="J198" i="111" s="1"/>
  <c r="Y187" i="111"/>
  <c r="Y181" i="111"/>
  <c r="Y170" i="111"/>
  <c r="J154" i="111"/>
  <c r="J149" i="111"/>
  <c r="P139" i="111"/>
  <c r="O119" i="112"/>
  <c r="O108" i="112" s="1"/>
  <c r="AY473" i="111"/>
  <c r="AQ167" i="8"/>
  <c r="AW464" i="111"/>
  <c r="AZ460" i="111"/>
  <c r="AT460" i="111"/>
  <c r="AN460" i="111"/>
  <c r="AW435" i="111"/>
  <c r="AQ435" i="111"/>
  <c r="AZ431" i="111"/>
  <c r="AT431" i="111"/>
  <c r="Y386" i="111"/>
  <c r="M380" i="111"/>
  <c r="Y340" i="111"/>
  <c r="M326" i="111"/>
  <c r="Y296" i="111"/>
  <c r="Y301" i="111" s="1"/>
  <c r="Y291" i="111"/>
  <c r="F285" i="111"/>
  <c r="Y262" i="111"/>
  <c r="M248" i="111"/>
  <c r="M243" i="111"/>
  <c r="M238" i="111"/>
  <c r="M233" i="111"/>
  <c r="M228" i="111"/>
  <c r="M223" i="111"/>
  <c r="J213" i="111"/>
  <c r="J208" i="111"/>
  <c r="J203" i="111"/>
  <c r="J181" i="111"/>
  <c r="C185" i="111"/>
  <c r="G182" i="111"/>
  <c r="AY444" i="111"/>
  <c r="S119" i="112"/>
  <c r="S108" i="112" s="1"/>
  <c r="AX431" i="111"/>
  <c r="AU93" i="112"/>
  <c r="BA460" i="111"/>
  <c r="AU460" i="111"/>
  <c r="AO460" i="111"/>
  <c r="AS435" i="111"/>
  <c r="BA433" i="111"/>
  <c r="AW431" i="111"/>
  <c r="AZ444" i="111"/>
  <c r="AW93" i="112"/>
  <c r="B285" i="111"/>
  <c r="J285" i="111"/>
  <c r="AY431" i="111"/>
  <c r="AY460" i="111"/>
  <c r="AM460" i="111"/>
  <c r="L185" i="111"/>
  <c r="N184" i="111"/>
  <c r="AY464" i="111"/>
  <c r="AM464" i="111"/>
  <c r="AV460" i="111"/>
  <c r="N199" i="111"/>
  <c r="H201" i="111"/>
  <c r="H200" i="111"/>
  <c r="AV464" i="111"/>
  <c r="AR460" i="111"/>
  <c r="AT464" i="111"/>
  <c r="AQ460" i="111"/>
  <c r="D201" i="111"/>
  <c r="AS464" i="111"/>
  <c r="D200" i="111"/>
  <c r="D185" i="111"/>
  <c r="F184" i="111"/>
  <c r="S329" i="111"/>
  <c r="O329" i="111"/>
  <c r="G329" i="111"/>
  <c r="C329" i="111"/>
  <c r="U327" i="111"/>
  <c r="Q327" i="111"/>
  <c r="I327" i="111"/>
  <c r="E327" i="111"/>
  <c r="D328" i="111"/>
  <c r="Z376" i="111"/>
  <c r="R327" i="111"/>
  <c r="N327" i="111"/>
  <c r="B327" i="111"/>
  <c r="B284" i="111"/>
  <c r="F279" i="111"/>
  <c r="L211" i="111"/>
  <c r="M210" i="111"/>
  <c r="J209" i="111"/>
  <c r="G183" i="111"/>
  <c r="C183" i="111"/>
  <c r="H182" i="111"/>
  <c r="D182" i="111"/>
  <c r="K211" i="111"/>
  <c r="L210" i="111"/>
  <c r="M209" i="111"/>
  <c r="I211" i="111"/>
  <c r="K209" i="111"/>
  <c r="C209" i="111"/>
  <c r="M184" i="111"/>
  <c r="A520" i="111"/>
  <c r="AJ93" i="112"/>
  <c r="AF93" i="112"/>
  <c r="C119" i="112"/>
  <c r="C98" i="112" s="1"/>
  <c r="M200" i="111"/>
  <c r="E200" i="111"/>
  <c r="F764" i="111"/>
  <c r="H211" i="111"/>
  <c r="I210" i="111"/>
  <c r="E210" i="111"/>
  <c r="J201" i="111"/>
  <c r="G185" i="111"/>
  <c r="E764" i="111"/>
  <c r="E201" i="111"/>
  <c r="M201" i="111"/>
  <c r="AI93" i="112"/>
  <c r="C764" i="111"/>
  <c r="AX464" i="111"/>
  <c r="Z335" i="111"/>
  <c r="N335" i="111"/>
  <c r="F183" i="111"/>
  <c r="B764" i="111"/>
  <c r="AV435" i="111"/>
  <c r="Z311" i="111"/>
  <c r="N311" i="111"/>
  <c r="Z259" i="111"/>
  <c r="N259" i="111"/>
  <c r="N218" i="111"/>
  <c r="Z149" i="111"/>
  <c r="N149" i="111"/>
  <c r="AS460" i="111"/>
  <c r="Z326" i="111"/>
  <c r="N326" i="111"/>
  <c r="Z273" i="111"/>
  <c r="N273" i="111"/>
  <c r="Z248" i="111"/>
  <c r="N248" i="111"/>
  <c r="Z233" i="111"/>
  <c r="N233" i="111"/>
  <c r="Z218" i="111"/>
  <c r="Z208" i="111"/>
  <c r="N208" i="111"/>
  <c r="Z829" i="111"/>
  <c r="N829" i="111"/>
  <c r="AU464" i="111"/>
  <c r="AT435" i="111"/>
  <c r="Z416" i="111"/>
  <c r="N416" i="111"/>
  <c r="Z401" i="111"/>
  <c r="N401" i="111"/>
  <c r="Z386" i="111"/>
  <c r="N386" i="111"/>
  <c r="Z365" i="111"/>
  <c r="N365" i="111"/>
  <c r="Z350" i="111"/>
  <c r="N350" i="111"/>
  <c r="Z291" i="111"/>
  <c r="N291" i="111"/>
  <c r="G211" i="111"/>
  <c r="H210" i="111"/>
  <c r="I209" i="111"/>
  <c r="N187" i="111"/>
  <c r="Z287" i="111"/>
  <c r="N287" i="111"/>
  <c r="F210" i="111"/>
  <c r="K185" i="111"/>
  <c r="N183" i="111"/>
  <c r="N175" i="111"/>
  <c r="H285" i="111"/>
  <c r="AP460" i="111"/>
  <c r="Z316" i="111"/>
  <c r="N316" i="111"/>
  <c r="F201" i="111"/>
  <c r="Z187" i="111"/>
  <c r="Z154" i="111"/>
  <c r="N154" i="111"/>
  <c r="N126" i="111"/>
  <c r="T93" i="112"/>
  <c r="AZ473" i="111"/>
  <c r="AR464" i="111"/>
  <c r="Z391" i="111"/>
  <c r="N391" i="111"/>
  <c r="Z380" i="111"/>
  <c r="N380" i="111"/>
  <c r="Z238" i="111"/>
  <c r="N238" i="111"/>
  <c r="Z223" i="111"/>
  <c r="N223" i="111"/>
  <c r="Z175" i="111"/>
  <c r="N144" i="111"/>
  <c r="N834" i="111"/>
  <c r="AQ464" i="111"/>
  <c r="AP435" i="111"/>
  <c r="AY433" i="111"/>
  <c r="Z421" i="111"/>
  <c r="N421" i="111"/>
  <c r="Z406" i="111"/>
  <c r="N406" i="111"/>
  <c r="Z370" i="111"/>
  <c r="N370" i="111"/>
  <c r="Z355" i="111"/>
  <c r="N355" i="111"/>
  <c r="Z340" i="111"/>
  <c r="N340" i="111"/>
  <c r="Z296" i="111"/>
  <c r="Z301" i="111" s="1"/>
  <c r="N296" i="111"/>
  <c r="N301" i="111" s="1"/>
  <c r="Z262" i="111"/>
  <c r="N262" i="111"/>
  <c r="C211" i="111"/>
  <c r="D210" i="111"/>
  <c r="E209" i="111"/>
  <c r="B201" i="111"/>
  <c r="Z193" i="111"/>
  <c r="Z198" i="111" s="1"/>
  <c r="N193" i="111"/>
  <c r="N198" i="111" s="1"/>
  <c r="H185" i="111"/>
  <c r="J184" i="111"/>
  <c r="K183" i="111"/>
  <c r="L182" i="111"/>
  <c r="Z126" i="111"/>
  <c r="E284" i="111"/>
  <c r="B98" i="112"/>
  <c r="B263" i="112"/>
  <c r="Z834" i="111"/>
  <c r="G764" i="111"/>
  <c r="AP464" i="111"/>
  <c r="BA435" i="111"/>
  <c r="M211" i="111"/>
  <c r="Z181" i="111"/>
  <c r="N181" i="111"/>
  <c r="D285" i="111"/>
  <c r="BA464" i="111"/>
  <c r="AO464" i="111"/>
  <c r="AZ435" i="111"/>
  <c r="AN435" i="111"/>
  <c r="Z331" i="111"/>
  <c r="N331" i="111"/>
  <c r="Z321" i="111"/>
  <c r="N321" i="111"/>
  <c r="W329" i="111"/>
  <c r="K329" i="111"/>
  <c r="Y327" i="111"/>
  <c r="M327" i="111"/>
  <c r="Z306" i="111"/>
  <c r="N306" i="111"/>
  <c r="Z254" i="111"/>
  <c r="N254" i="111"/>
  <c r="I201" i="111"/>
  <c r="N170" i="111"/>
  <c r="Z144" i="111"/>
  <c r="AY435" i="111"/>
  <c r="AM435" i="111"/>
  <c r="Z268" i="111"/>
  <c r="N268" i="111"/>
  <c r="Z243" i="111"/>
  <c r="N243" i="111"/>
  <c r="Z228" i="111"/>
  <c r="N228" i="111"/>
  <c r="N209" i="111"/>
  <c r="Z203" i="111"/>
  <c r="N203" i="111"/>
  <c r="I200" i="111"/>
  <c r="S93" i="112"/>
  <c r="N93" i="112"/>
  <c r="AI444" i="111"/>
  <c r="AM445" i="111" s="1"/>
  <c r="AI473" i="111"/>
  <c r="AI474" i="111" s="1"/>
  <c r="P93" i="112"/>
  <c r="L93" i="112"/>
  <c r="AB93" i="112"/>
  <c r="AR93" i="112"/>
  <c r="R93" i="112"/>
  <c r="AP93" i="112"/>
  <c r="AO93" i="112"/>
  <c r="AI119" i="112"/>
  <c r="AQ473" i="111"/>
  <c r="AA473" i="111"/>
  <c r="AQ444" i="111"/>
  <c r="AQ445" i="111" s="1"/>
  <c r="G93" i="112"/>
  <c r="W93" i="112"/>
  <c r="AM93" i="112"/>
  <c r="AJ473" i="111"/>
  <c r="BA444" i="111"/>
  <c r="BA473" i="111"/>
  <c r="AK444" i="111"/>
  <c r="AK445" i="111" s="1"/>
  <c r="AK473" i="111"/>
  <c r="AL474" i="111" s="1"/>
  <c r="AC93" i="112"/>
  <c r="AG93" i="112"/>
  <c r="AR473" i="111"/>
  <c r="AE473" i="111"/>
  <c r="O473" i="111"/>
  <c r="AR444" i="111"/>
  <c r="AR445" i="111" s="1"/>
  <c r="Y93" i="112"/>
  <c r="AA93" i="112"/>
  <c r="AQ93" i="112"/>
  <c r="F92" i="112"/>
  <c r="N473" i="111" s="1"/>
  <c r="Z473" i="111"/>
  <c r="AU444" i="111"/>
  <c r="AU473" i="111"/>
  <c r="AV474" i="111" s="1"/>
  <c r="AT444" i="111"/>
  <c r="AT119" i="112"/>
  <c r="Q93" i="112"/>
  <c r="X329" i="111"/>
  <c r="T329" i="111"/>
  <c r="P329" i="111"/>
  <c r="L329" i="111"/>
  <c r="H329" i="111"/>
  <c r="D329" i="111"/>
  <c r="L763" i="111"/>
  <c r="L764" i="111" s="1"/>
  <c r="H764" i="111"/>
  <c r="D764" i="111"/>
  <c r="K764" i="111"/>
  <c r="I763" i="111"/>
  <c r="I764" i="111" s="1"/>
  <c r="C755" i="111"/>
  <c r="C756" i="111" s="1"/>
  <c r="AW473" i="111"/>
  <c r="AW474" i="111" s="1"/>
  <c r="AO473" i="111"/>
  <c r="P160" i="111"/>
  <c r="P165" i="111"/>
  <c r="P170" i="111"/>
  <c r="P175" i="111"/>
  <c r="P187" i="111"/>
  <c r="P126" i="111"/>
  <c r="P218" i="111"/>
  <c r="L160" i="111"/>
  <c r="L165" i="111"/>
  <c r="L170" i="111"/>
  <c r="L175" i="111"/>
  <c r="L187" i="111"/>
  <c r="L126" i="111"/>
  <c r="L218" i="111"/>
  <c r="AN93" i="112"/>
  <c r="AT116" i="8"/>
  <c r="AT117" i="8"/>
  <c r="AT139" i="8"/>
  <c r="AT138" i="8"/>
  <c r="AW444" i="111"/>
  <c r="AO444" i="111"/>
  <c r="AS445" i="111" s="1"/>
  <c r="AL93" i="112"/>
  <c r="AK93" i="112"/>
  <c r="AD93" i="112"/>
  <c r="AH93" i="112"/>
  <c r="AD119" i="112"/>
  <c r="K93" i="112"/>
  <c r="O93" i="112"/>
  <c r="V93" i="112"/>
  <c r="Z93" i="112"/>
  <c r="M93" i="112"/>
  <c r="I93" i="112"/>
  <c r="U93" i="112"/>
  <c r="B755" i="111"/>
  <c r="B756" i="111" s="1"/>
  <c r="AT473" i="111"/>
  <c r="AV444" i="111"/>
  <c r="AT121" i="8"/>
  <c r="AT33" i="2"/>
  <c r="AS93" i="112"/>
  <c r="Y160" i="111"/>
  <c r="Y165" i="111"/>
  <c r="Q160" i="111"/>
  <c r="Q165" i="111"/>
  <c r="M160" i="111"/>
  <c r="M165" i="111"/>
  <c r="H93" i="112"/>
  <c r="X93" i="112"/>
  <c r="AT29" i="112"/>
  <c r="AX30" i="112" s="1"/>
  <c r="AX164" i="8" s="1"/>
  <c r="AT33" i="112"/>
  <c r="O160" i="111"/>
  <c r="O165" i="111"/>
  <c r="K160" i="111"/>
  <c r="K165" i="111"/>
  <c r="AT110" i="8"/>
  <c r="AE93" i="112"/>
  <c r="AT93" i="112"/>
  <c r="BB473" i="111"/>
  <c r="AT128" i="8"/>
  <c r="AT127" i="8"/>
  <c r="AT203" i="112"/>
  <c r="AX204" i="112" s="1"/>
  <c r="Y144" i="111"/>
  <c r="Q144" i="111"/>
  <c r="M144" i="111"/>
  <c r="Z160" i="111"/>
  <c r="Z165" i="111"/>
  <c r="R160" i="111"/>
  <c r="R165" i="111"/>
  <c r="N160" i="111"/>
  <c r="N165" i="111"/>
  <c r="J160" i="111"/>
  <c r="J165" i="111"/>
  <c r="AT153" i="2"/>
  <c r="AT145" i="2"/>
  <c r="AT25" i="112"/>
  <c r="AX44" i="112" s="1"/>
  <c r="BB46" i="112" s="1"/>
  <c r="AT132" i="8"/>
  <c r="Y328" i="111"/>
  <c r="U328" i="111"/>
  <c r="Q328" i="111"/>
  <c r="M328" i="111"/>
  <c r="I328" i="111"/>
  <c r="E328" i="111"/>
  <c r="Q378" i="111"/>
  <c r="J376" i="111"/>
  <c r="Q377" i="111"/>
  <c r="Y377" i="111"/>
  <c r="U377" i="111"/>
  <c r="M377" i="111"/>
  <c r="I377" i="111"/>
  <c r="E377" i="111"/>
  <c r="Y378" i="111"/>
  <c r="U378" i="111"/>
  <c r="M378" i="111"/>
  <c r="I378" i="111"/>
  <c r="E378" i="111"/>
  <c r="P58" i="111"/>
  <c r="X378" i="111"/>
  <c r="T378" i="111"/>
  <c r="P378" i="111"/>
  <c r="L378" i="111"/>
  <c r="H378" i="111"/>
  <c r="D378" i="111"/>
  <c r="D279" i="111"/>
  <c r="X327" i="111"/>
  <c r="T327" i="111"/>
  <c r="P327" i="111"/>
  <c r="L327" i="111"/>
  <c r="H327" i="111"/>
  <c r="D327" i="111"/>
  <c r="H284" i="111"/>
  <c r="D284" i="111"/>
  <c r="AN445" i="111"/>
  <c r="Q376" i="111"/>
  <c r="E376" i="111"/>
  <c r="U188" i="111"/>
  <c r="S378" i="111"/>
  <c r="K378" i="111"/>
  <c r="Y329" i="111"/>
  <c r="U329" i="111"/>
  <c r="Q329" i="111"/>
  <c r="M329" i="111"/>
  <c r="I329" i="111"/>
  <c r="E329" i="111"/>
  <c r="Z328" i="111"/>
  <c r="V328" i="111"/>
  <c r="R328" i="111"/>
  <c r="N328" i="111"/>
  <c r="J328" i="111"/>
  <c r="F328" i="111"/>
  <c r="B328" i="111"/>
  <c r="U191" i="111"/>
  <c r="E191" i="111"/>
  <c r="T188" i="111"/>
  <c r="L188" i="111"/>
  <c r="X376" i="111"/>
  <c r="T376" i="111"/>
  <c r="P376" i="111"/>
  <c r="L376" i="111"/>
  <c r="H376" i="111"/>
  <c r="D376" i="111"/>
  <c r="W378" i="111"/>
  <c r="O378" i="111"/>
  <c r="G378" i="111"/>
  <c r="C378" i="111"/>
  <c r="W182" i="111"/>
  <c r="H69" i="111"/>
  <c r="X377" i="111"/>
  <c r="T377" i="111"/>
  <c r="P377" i="111"/>
  <c r="L377" i="111"/>
  <c r="H377" i="111"/>
  <c r="D377" i="111"/>
  <c r="D188" i="111"/>
  <c r="V57" i="111"/>
  <c r="N56" i="111"/>
  <c r="W38" i="111"/>
  <c r="S38" i="111"/>
  <c r="K38" i="111"/>
  <c r="G38" i="111"/>
  <c r="C38" i="111"/>
  <c r="K747" i="111"/>
  <c r="K748" i="111" s="1"/>
  <c r="C747" i="111"/>
  <c r="C748" i="111" s="1"/>
  <c r="X185" i="111"/>
  <c r="T185" i="111"/>
  <c r="P185" i="111"/>
  <c r="X182" i="111"/>
  <c r="T182" i="111"/>
  <c r="P182" i="111"/>
  <c r="Z191" i="111"/>
  <c r="V191" i="111"/>
  <c r="R191" i="111"/>
  <c r="Q188" i="111"/>
  <c r="I188" i="111"/>
  <c r="E188" i="111"/>
  <c r="C36" i="111"/>
  <c r="A524" i="111"/>
  <c r="Q184" i="111"/>
  <c r="Z190" i="111"/>
  <c r="V190" i="111"/>
  <c r="N190" i="111"/>
  <c r="F190" i="111"/>
  <c r="U58" i="111"/>
  <c r="Q58" i="111"/>
  <c r="E58" i="111"/>
  <c r="I389" i="111"/>
  <c r="E389" i="111"/>
  <c r="J747" i="111"/>
  <c r="J748" i="111" s="1"/>
  <c r="X58" i="111"/>
  <c r="T58" i="111"/>
  <c r="L58" i="111"/>
  <c r="H58" i="111"/>
  <c r="D58" i="111"/>
  <c r="X37" i="111"/>
  <c r="T37" i="111"/>
  <c r="P37" i="111"/>
  <c r="L37" i="111"/>
  <c r="H37" i="111"/>
  <c r="D37" i="111"/>
  <c r="I57" i="111"/>
  <c r="Z36" i="111"/>
  <c r="V36" i="111"/>
  <c r="J36" i="111"/>
  <c r="R36" i="111"/>
  <c r="F36" i="111"/>
  <c r="Z327" i="111"/>
  <c r="V327" i="111"/>
  <c r="J327" i="111"/>
  <c r="F327" i="111"/>
  <c r="C56" i="111"/>
  <c r="F284" i="111"/>
  <c r="J284" i="111"/>
  <c r="E279" i="111"/>
  <c r="Y376" i="111"/>
  <c r="U376" i="111"/>
  <c r="M376" i="111"/>
  <c r="F56" i="111"/>
  <c r="B279" i="111"/>
  <c r="Z274" i="111"/>
  <c r="V274" i="111"/>
  <c r="R274" i="111"/>
  <c r="N274" i="111"/>
  <c r="J274" i="111"/>
  <c r="F274" i="111"/>
  <c r="B274" i="111"/>
  <c r="I376" i="111"/>
  <c r="Y188" i="111"/>
  <c r="M188" i="111"/>
  <c r="Y56" i="111"/>
  <c r="U56" i="111"/>
  <c r="R56" i="111"/>
  <c r="X56" i="111"/>
  <c r="T56" i="111"/>
  <c r="P56" i="111"/>
  <c r="P274" i="111"/>
  <c r="L274" i="111"/>
  <c r="M56" i="111"/>
  <c r="M36" i="111"/>
  <c r="E36" i="111"/>
  <c r="S56" i="111"/>
  <c r="S190" i="111"/>
  <c r="K190" i="111"/>
  <c r="C190" i="111"/>
  <c r="W58" i="111"/>
  <c r="S58" i="111"/>
  <c r="K58" i="111"/>
  <c r="C58" i="111"/>
  <c r="P38" i="111"/>
  <c r="G190" i="111"/>
  <c r="W190" i="111"/>
  <c r="O190" i="111"/>
  <c r="O189" i="111"/>
  <c r="X328" i="111"/>
  <c r="T328" i="111"/>
  <c r="P328" i="111"/>
  <c r="L328" i="111"/>
  <c r="H328" i="111"/>
  <c r="H274" i="111"/>
  <c r="N272" i="111"/>
  <c r="Z377" i="111"/>
  <c r="V377" i="111"/>
  <c r="R377" i="111"/>
  <c r="N377" i="111"/>
  <c r="J377" i="111"/>
  <c r="F377" i="111"/>
  <c r="B377" i="111"/>
  <c r="L272" i="111"/>
  <c r="V183" i="111"/>
  <c r="W189" i="111"/>
  <c r="S377" i="111"/>
  <c r="K189" i="111"/>
  <c r="G189" i="111"/>
  <c r="C189" i="111"/>
  <c r="Z378" i="111"/>
  <c r="V378" i="111"/>
  <c r="R378" i="111"/>
  <c r="N378" i="111"/>
  <c r="J378" i="111"/>
  <c r="F378" i="111"/>
  <c r="B378" i="111"/>
  <c r="Z329" i="111"/>
  <c r="V329" i="111"/>
  <c r="R329" i="111"/>
  <c r="N329" i="111"/>
  <c r="J329" i="111"/>
  <c r="F329" i="111"/>
  <c r="B329" i="111"/>
  <c r="R190" i="111"/>
  <c r="J190" i="111"/>
  <c r="Z184" i="111"/>
  <c r="V184" i="111"/>
  <c r="R184" i="111"/>
  <c r="O58" i="111"/>
  <c r="G58" i="111"/>
  <c r="S189" i="111"/>
  <c r="W183" i="111"/>
  <c r="S183" i="111"/>
  <c r="O183" i="111"/>
  <c r="W377" i="111"/>
  <c r="O377" i="111"/>
  <c r="K377" i="111"/>
  <c r="G377" i="111"/>
  <c r="C377" i="111"/>
  <c r="S806" i="111"/>
  <c r="O806" i="111"/>
  <c r="K806" i="111"/>
  <c r="G806" i="111"/>
  <c r="C806" i="111"/>
  <c r="E755" i="111"/>
  <c r="E756" i="111" s="1"/>
  <c r="B276" i="111"/>
  <c r="X274" i="111"/>
  <c r="D274" i="111"/>
  <c r="P272" i="111"/>
  <c r="K201" i="111"/>
  <c r="G201" i="111"/>
  <c r="C201" i="111"/>
  <c r="N200" i="111"/>
  <c r="J200" i="111"/>
  <c r="F200" i="111"/>
  <c r="B200" i="111"/>
  <c r="W185" i="111"/>
  <c r="S185" i="111"/>
  <c r="O185" i="111"/>
  <c r="Y184" i="111"/>
  <c r="U184" i="111"/>
  <c r="Z183" i="111"/>
  <c r="R183" i="111"/>
  <c r="S182" i="111"/>
  <c r="O182" i="111"/>
  <c r="Y191" i="111"/>
  <c r="Q191" i="111"/>
  <c r="M191" i="111"/>
  <c r="H276" i="111"/>
  <c r="D276" i="111"/>
  <c r="T274" i="111"/>
  <c r="Z188" i="111"/>
  <c r="O38" i="111"/>
  <c r="D209" i="111"/>
  <c r="I285" i="111"/>
  <c r="F38" i="111"/>
  <c r="AO435" i="111"/>
  <c r="G389" i="111"/>
  <c r="C389" i="111"/>
  <c r="F389" i="111"/>
  <c r="B389" i="111"/>
  <c r="N191" i="111"/>
  <c r="J191" i="111"/>
  <c r="F191" i="111"/>
  <c r="X189" i="111"/>
  <c r="T189" i="111"/>
  <c r="P189" i="111"/>
  <c r="L189" i="111"/>
  <c r="H189" i="111"/>
  <c r="Q806" i="111"/>
  <c r="M806" i="111"/>
  <c r="I806" i="111"/>
  <c r="B747" i="111"/>
  <c r="B748" i="111" s="1"/>
  <c r="D38" i="111"/>
  <c r="F755" i="111"/>
  <c r="F756" i="111" s="1"/>
  <c r="D189" i="111"/>
  <c r="X38" i="111"/>
  <c r="E747" i="111"/>
  <c r="E748" i="111" s="1"/>
  <c r="P57" i="111"/>
  <c r="D57" i="111"/>
  <c r="E56" i="111"/>
  <c r="G755" i="111"/>
  <c r="G756" i="111" s="1"/>
  <c r="H747" i="111"/>
  <c r="H748" i="111" s="1"/>
  <c r="D747" i="111"/>
  <c r="D748" i="111" s="1"/>
  <c r="Z58" i="111"/>
  <c r="V58" i="111"/>
  <c r="R58" i="111"/>
  <c r="L56" i="111"/>
  <c r="H56" i="111"/>
  <c r="D56" i="111"/>
  <c r="C37" i="111"/>
  <c r="E806" i="111"/>
  <c r="H38" i="111"/>
  <c r="L38" i="111"/>
  <c r="T38" i="111"/>
  <c r="Y57" i="111"/>
  <c r="U57" i="111"/>
  <c r="Q57" i="111"/>
  <c r="M57" i="111"/>
  <c r="E57" i="111"/>
  <c r="X57" i="111"/>
  <c r="T57" i="111"/>
  <c r="L57" i="111"/>
  <c r="H57" i="111"/>
  <c r="Y37" i="111"/>
  <c r="U37" i="111"/>
  <c r="Q37" i="111"/>
  <c r="M37" i="111"/>
  <c r="I37" i="111"/>
  <c r="E37" i="111"/>
  <c r="W57" i="111"/>
  <c r="S57" i="111"/>
  <c r="O57" i="111"/>
  <c r="K57" i="111"/>
  <c r="G57" i="111"/>
  <c r="C57" i="111"/>
  <c r="W328" i="111"/>
  <c r="S328" i="111"/>
  <c r="O328" i="111"/>
  <c r="K328" i="111"/>
  <c r="G328" i="111"/>
  <c r="C328" i="111"/>
  <c r="AH474" i="111"/>
  <c r="V376" i="111"/>
  <c r="R376" i="111"/>
  <c r="N376" i="111"/>
  <c r="F376" i="111"/>
  <c r="B376" i="111"/>
  <c r="I191" i="111"/>
  <c r="N58" i="111"/>
  <c r="J58" i="111"/>
  <c r="J57" i="111"/>
  <c r="G284" i="111"/>
  <c r="C284" i="111"/>
  <c r="W274" i="111"/>
  <c r="S274" i="111"/>
  <c r="O274" i="111"/>
  <c r="K274" i="111"/>
  <c r="G274" i="111"/>
  <c r="C274" i="111"/>
  <c r="W376" i="111"/>
  <c r="S376" i="111"/>
  <c r="O376" i="111"/>
  <c r="K376" i="111"/>
  <c r="G376" i="111"/>
  <c r="C376" i="111"/>
  <c r="Z56" i="111"/>
  <c r="U36" i="111"/>
  <c r="O56" i="111"/>
  <c r="N36" i="111"/>
  <c r="Y36" i="111"/>
  <c r="Q36" i="111"/>
  <c r="I36" i="111"/>
  <c r="W327" i="111"/>
  <c r="S327" i="111"/>
  <c r="O327" i="111"/>
  <c r="K327" i="111"/>
  <c r="G327" i="111"/>
  <c r="C327" i="111"/>
  <c r="G285" i="111"/>
  <c r="C285" i="111"/>
  <c r="F58" i="111"/>
  <c r="Z57" i="111"/>
  <c r="F57" i="111"/>
  <c r="Z37" i="111"/>
  <c r="I284" i="111"/>
  <c r="I279" i="111"/>
  <c r="V272" i="111"/>
  <c r="F272" i="111"/>
  <c r="X188" i="111"/>
  <c r="P188" i="111"/>
  <c r="H188" i="111"/>
  <c r="V56" i="111"/>
  <c r="Q56" i="111"/>
  <c r="J56" i="111"/>
  <c r="E285" i="111"/>
  <c r="F276" i="111"/>
  <c r="Z272" i="111"/>
  <c r="J272" i="111"/>
  <c r="I56" i="111"/>
  <c r="W272" i="111"/>
  <c r="R272" i="111"/>
  <c r="G272" i="111"/>
  <c r="B272" i="111"/>
  <c r="C188" i="111"/>
  <c r="D36" i="111"/>
  <c r="H279" i="111"/>
  <c r="R806" i="111"/>
  <c r="N806" i="111"/>
  <c r="J806" i="111"/>
  <c r="F806" i="111"/>
  <c r="P806" i="111"/>
  <c r="L806" i="111"/>
  <c r="H806" i="111"/>
  <c r="D806" i="111"/>
  <c r="AP34" i="112"/>
  <c r="M119" i="112"/>
  <c r="AC119" i="112"/>
  <c r="AS119" i="112"/>
  <c r="AW120" i="112" s="1"/>
  <c r="Q119" i="112"/>
  <c r="AG119" i="112"/>
  <c r="AH42" i="112"/>
  <c r="E119" i="112"/>
  <c r="U119" i="112"/>
  <c r="AK119" i="112"/>
  <c r="I119" i="112"/>
  <c r="Y119" i="112"/>
  <c r="AO119" i="112"/>
  <c r="AD42" i="112"/>
  <c r="G747" i="111"/>
  <c r="G748" i="111" s="1"/>
  <c r="F747" i="111"/>
  <c r="F748" i="111" s="1"/>
  <c r="I747" i="111"/>
  <c r="I748" i="111" s="1"/>
  <c r="H755" i="111"/>
  <c r="H756" i="111" s="1"/>
  <c r="D755" i="111"/>
  <c r="D756" i="111" s="1"/>
  <c r="H389" i="111"/>
  <c r="D389" i="111"/>
  <c r="E211" i="111"/>
  <c r="F211" i="111"/>
  <c r="N210" i="111"/>
  <c r="K210" i="111"/>
  <c r="J210" i="111"/>
  <c r="G209" i="111"/>
  <c r="H209" i="111"/>
  <c r="G279" i="111"/>
  <c r="G276" i="111"/>
  <c r="C279" i="111"/>
  <c r="C276" i="111"/>
  <c r="Z38" i="111"/>
  <c r="Y38" i="111"/>
  <c r="V38" i="111"/>
  <c r="U38" i="111"/>
  <c r="R38" i="111"/>
  <c r="Q38" i="111"/>
  <c r="N38" i="111"/>
  <c r="M38" i="111"/>
  <c r="J38" i="111"/>
  <c r="I38" i="111"/>
  <c r="W37" i="111"/>
  <c r="V37" i="111"/>
  <c r="S37" i="111"/>
  <c r="R37" i="111"/>
  <c r="O37" i="111"/>
  <c r="N37" i="111"/>
  <c r="K37" i="111"/>
  <c r="J37" i="111"/>
  <c r="G37" i="111"/>
  <c r="F37" i="111"/>
  <c r="X36" i="111"/>
  <c r="W36" i="111"/>
  <c r="T36" i="111"/>
  <c r="S36" i="111"/>
  <c r="P36" i="111"/>
  <c r="O36" i="111"/>
  <c r="L36" i="111"/>
  <c r="K36" i="111"/>
  <c r="H36" i="111"/>
  <c r="G36" i="111"/>
  <c r="Y272" i="111"/>
  <c r="Y274" i="111"/>
  <c r="U272" i="111"/>
  <c r="U274" i="111"/>
  <c r="Q272" i="111"/>
  <c r="Q274" i="111"/>
  <c r="M272" i="111"/>
  <c r="M274" i="111"/>
  <c r="I272" i="111"/>
  <c r="I276" i="111"/>
  <c r="I274" i="111"/>
  <c r="E272" i="111"/>
  <c r="E276" i="111"/>
  <c r="E274" i="111"/>
  <c r="E38" i="111"/>
  <c r="Y185" i="111"/>
  <c r="Z185" i="111"/>
  <c r="U185" i="111"/>
  <c r="V185" i="111"/>
  <c r="Q185" i="111"/>
  <c r="R185" i="111"/>
  <c r="M185" i="111"/>
  <c r="N185" i="111"/>
  <c r="I185" i="111"/>
  <c r="J185" i="111"/>
  <c r="E185" i="111"/>
  <c r="F185" i="111"/>
  <c r="W184" i="111"/>
  <c r="X184" i="111"/>
  <c r="S184" i="111"/>
  <c r="T184" i="111"/>
  <c r="O184" i="111"/>
  <c r="P184" i="111"/>
  <c r="K184" i="111"/>
  <c r="L184" i="111"/>
  <c r="G184" i="111"/>
  <c r="H184" i="111"/>
  <c r="C184" i="111"/>
  <c r="D184" i="111"/>
  <c r="X183" i="111"/>
  <c r="Y183" i="111"/>
  <c r="T183" i="111"/>
  <c r="U183" i="111"/>
  <c r="P183" i="111"/>
  <c r="Q183" i="111"/>
  <c r="L183" i="111"/>
  <c r="M183" i="111"/>
  <c r="H183" i="111"/>
  <c r="I183" i="111"/>
  <c r="D183" i="111"/>
  <c r="E183" i="111"/>
  <c r="Y182" i="111"/>
  <c r="Z182" i="111"/>
  <c r="U182" i="111"/>
  <c r="V182" i="111"/>
  <c r="Q182" i="111"/>
  <c r="R182" i="111"/>
  <c r="M182" i="111"/>
  <c r="N182" i="111"/>
  <c r="I182" i="111"/>
  <c r="J182" i="111"/>
  <c r="E182" i="111"/>
  <c r="F182" i="111"/>
  <c r="W191" i="111"/>
  <c r="X191" i="111"/>
  <c r="S191" i="111"/>
  <c r="T191" i="111"/>
  <c r="O191" i="111"/>
  <c r="P191" i="111"/>
  <c r="K191" i="111"/>
  <c r="L191" i="111"/>
  <c r="G191" i="111"/>
  <c r="H191" i="111"/>
  <c r="C191" i="111"/>
  <c r="D191" i="111"/>
  <c r="Y190" i="111"/>
  <c r="X190" i="111"/>
  <c r="U190" i="111"/>
  <c r="T190" i="111"/>
  <c r="Q190" i="111"/>
  <c r="P190" i="111"/>
  <c r="M190" i="111"/>
  <c r="L190" i="111"/>
  <c r="I190" i="111"/>
  <c r="H190" i="111"/>
  <c r="E190" i="111"/>
  <c r="D190" i="111"/>
  <c r="Z189" i="111"/>
  <c r="Y189" i="111"/>
  <c r="V189" i="111"/>
  <c r="U189" i="111"/>
  <c r="R189" i="111"/>
  <c r="Q189" i="111"/>
  <c r="N189" i="111"/>
  <c r="M189" i="111"/>
  <c r="J189" i="111"/>
  <c r="I189" i="111"/>
  <c r="F189" i="111"/>
  <c r="E189" i="111"/>
  <c r="W188" i="111"/>
  <c r="V188" i="111"/>
  <c r="S188" i="111"/>
  <c r="R188" i="111"/>
  <c r="O188" i="111"/>
  <c r="N188" i="111"/>
  <c r="K188" i="111"/>
  <c r="J188" i="111"/>
  <c r="G188" i="111"/>
  <c r="F188" i="111"/>
  <c r="J211" i="111"/>
  <c r="C210" i="111"/>
  <c r="L209" i="111"/>
  <c r="K200" i="111"/>
  <c r="C200" i="111"/>
  <c r="N211" i="111"/>
  <c r="G210" i="111"/>
  <c r="I70" i="111"/>
  <c r="H70" i="111"/>
  <c r="I69" i="111"/>
  <c r="M58" i="111"/>
  <c r="R57" i="111"/>
  <c r="K56" i="111"/>
  <c r="Y58" i="111"/>
  <c r="I58" i="111"/>
  <c r="N57" i="111"/>
  <c r="W56" i="111"/>
  <c r="G56" i="111"/>
  <c r="AP108" i="112" l="1"/>
  <c r="AN108" i="112"/>
  <c r="AR109" i="112" s="1"/>
  <c r="W108" i="112"/>
  <c r="AA109" i="112" s="1"/>
  <c r="X108" i="112"/>
  <c r="O109" i="112"/>
  <c r="X120" i="112"/>
  <c r="J98" i="112"/>
  <c r="J99" i="112" s="1"/>
  <c r="AH120" i="112"/>
  <c r="AH108" i="112"/>
  <c r="AR98" i="112"/>
  <c r="AR99" i="112" s="1"/>
  <c r="V108" i="112"/>
  <c r="Z109" i="112" s="1"/>
  <c r="AN120" i="112"/>
  <c r="AR120" i="112"/>
  <c r="AN99" i="112"/>
  <c r="AQ108" i="112"/>
  <c r="AU109" i="112" s="1"/>
  <c r="Z98" i="112"/>
  <c r="Z99" i="112" s="1"/>
  <c r="AB120" i="112"/>
  <c r="H108" i="112"/>
  <c r="F108" i="112"/>
  <c r="J109" i="112" s="1"/>
  <c r="J120" i="112"/>
  <c r="G108" i="112"/>
  <c r="K109" i="112" s="1"/>
  <c r="G99" i="112"/>
  <c r="AJ108" i="112"/>
  <c r="Z120" i="112"/>
  <c r="AV120" i="112"/>
  <c r="AI120" i="112"/>
  <c r="K98" i="112"/>
  <c r="K99" i="112" s="1"/>
  <c r="AQ120" i="112"/>
  <c r="T98" i="112"/>
  <c r="X99" i="112" s="1"/>
  <c r="T108" i="112"/>
  <c r="AQ98" i="112"/>
  <c r="AQ99" i="112" s="1"/>
  <c r="AE98" i="112"/>
  <c r="AM108" i="112"/>
  <c r="AP120" i="112"/>
  <c r="AP98" i="112"/>
  <c r="H99" i="112"/>
  <c r="AE109" i="112"/>
  <c r="AA98" i="112"/>
  <c r="AA99" i="112" s="1"/>
  <c r="AF98" i="112"/>
  <c r="AJ99" i="112" s="1"/>
  <c r="AT445" i="111"/>
  <c r="AF120" i="112"/>
  <c r="R120" i="112"/>
  <c r="BB474" i="111"/>
  <c r="W120" i="112"/>
  <c r="AJ120" i="112"/>
  <c r="L108" i="112"/>
  <c r="AE120" i="112"/>
  <c r="O120" i="112"/>
  <c r="R108" i="112"/>
  <c r="O98" i="112"/>
  <c r="V120" i="112"/>
  <c r="AB108" i="112"/>
  <c r="L99" i="112"/>
  <c r="AA120" i="112"/>
  <c r="K120" i="112"/>
  <c r="AY474" i="111"/>
  <c r="AL445" i="111"/>
  <c r="AP445" i="111"/>
  <c r="AS474" i="111"/>
  <c r="AN474" i="111"/>
  <c r="AT474" i="111"/>
  <c r="L120" i="112"/>
  <c r="N120" i="112"/>
  <c r="BA445" i="111"/>
  <c r="F99" i="112"/>
  <c r="S98" i="112"/>
  <c r="W99" i="112" s="1"/>
  <c r="N108" i="112"/>
  <c r="N109" i="112" s="1"/>
  <c r="S120" i="112"/>
  <c r="P120" i="112"/>
  <c r="AL120" i="112"/>
  <c r="AL98" i="112"/>
  <c r="AL99" i="112" s="1"/>
  <c r="AL108" i="112"/>
  <c r="D108" i="112"/>
  <c r="P99" i="112"/>
  <c r="P108" i="112"/>
  <c r="T120" i="112"/>
  <c r="S109" i="112"/>
  <c r="AO474" i="111"/>
  <c r="AX49" i="112"/>
  <c r="AX50" i="112" s="1"/>
  <c r="AX153" i="8" s="1"/>
  <c r="AX165" i="8"/>
  <c r="AX166" i="8"/>
  <c r="CE323" i="8"/>
  <c r="AX174" i="8"/>
  <c r="AX173" i="8"/>
  <c r="AT120" i="112"/>
  <c r="AX120" i="112"/>
  <c r="AX27" i="112"/>
  <c r="AX26" i="112"/>
  <c r="AT34" i="112"/>
  <c r="AX34" i="112"/>
  <c r="AY445" i="111"/>
  <c r="AZ445" i="111"/>
  <c r="AW173" i="8"/>
  <c r="AW174" i="8"/>
  <c r="AX445" i="111"/>
  <c r="BA474" i="111"/>
  <c r="AZ474" i="111"/>
  <c r="AD120" i="112"/>
  <c r="C108" i="112"/>
  <c r="AB99" i="112"/>
  <c r="AT98" i="112"/>
  <c r="AT108" i="112"/>
  <c r="AP474" i="111"/>
  <c r="AJ474" i="111"/>
  <c r="AK474" i="111"/>
  <c r="AU474" i="111"/>
  <c r="AU445" i="111"/>
  <c r="AW445" i="111"/>
  <c r="AV445" i="111"/>
  <c r="AR474" i="111"/>
  <c r="AQ474" i="111"/>
  <c r="AI98" i="112"/>
  <c r="AM99" i="112" s="1"/>
  <c r="AI108" i="112"/>
  <c r="AM120" i="112"/>
  <c r="J93" i="112"/>
  <c r="AX474" i="111"/>
  <c r="AO445" i="111"/>
  <c r="AT134" i="8"/>
  <c r="AT133" i="8"/>
  <c r="AT263" i="112"/>
  <c r="AX264" i="112" s="1"/>
  <c r="AT174" i="112"/>
  <c r="AX175" i="112" s="1"/>
  <c r="AX204" i="8" s="1"/>
  <c r="AT192" i="112"/>
  <c r="AX193" i="112" s="1"/>
  <c r="AX197" i="112" s="1"/>
  <c r="R99" i="112"/>
  <c r="V99" i="112"/>
  <c r="BB469" i="111"/>
  <c r="AT112" i="8"/>
  <c r="AT111" i="8"/>
  <c r="AT123" i="8"/>
  <c r="AT122" i="8"/>
  <c r="AD98" i="112"/>
  <c r="AH99" i="112" s="1"/>
  <c r="AD108" i="112"/>
  <c r="AO120" i="112"/>
  <c r="AO98" i="112"/>
  <c r="AO108" i="112"/>
  <c r="I98" i="112"/>
  <c r="I108" i="112"/>
  <c r="AC120" i="112"/>
  <c r="AC98" i="112"/>
  <c r="AC108" i="112"/>
  <c r="AC122" i="112" s="1"/>
  <c r="U120" i="112"/>
  <c r="U98" i="112"/>
  <c r="U108" i="112"/>
  <c r="Q120" i="112"/>
  <c r="Q98" i="112"/>
  <c r="Q108" i="112"/>
  <c r="Y120" i="112"/>
  <c r="Y98" i="112"/>
  <c r="Y108" i="112"/>
  <c r="AS120" i="112"/>
  <c r="AS98" i="112"/>
  <c r="AW99" i="112" s="1"/>
  <c r="AW184" i="8" s="1"/>
  <c r="AS108" i="112"/>
  <c r="AW109" i="112" s="1"/>
  <c r="M120" i="112"/>
  <c r="M98" i="112"/>
  <c r="M108" i="112"/>
  <c r="AK120" i="112"/>
  <c r="AK98" i="112"/>
  <c r="AK108" i="112"/>
  <c r="E98" i="112"/>
  <c r="E108" i="112"/>
  <c r="AG120" i="112"/>
  <c r="AG98" i="112"/>
  <c r="AG108" i="112"/>
  <c r="W109" i="112" l="1"/>
  <c r="CI323" i="8"/>
  <c r="X109" i="112"/>
  <c r="N99" i="112"/>
  <c r="AJ109" i="112"/>
  <c r="V109" i="112"/>
  <c r="S99" i="112"/>
  <c r="F109" i="112"/>
  <c r="G109" i="112"/>
  <c r="AQ109" i="112"/>
  <c r="H109" i="112"/>
  <c r="AF99" i="112"/>
  <c r="L109" i="112"/>
  <c r="AN109" i="112"/>
  <c r="O99" i="112"/>
  <c r="AU99" i="112"/>
  <c r="AU184" i="8" s="1"/>
  <c r="AU186" i="8" s="1"/>
  <c r="T99" i="112"/>
  <c r="AE99" i="112"/>
  <c r="AF109" i="112"/>
  <c r="R109" i="112"/>
  <c r="P109" i="112"/>
  <c r="AB109" i="112"/>
  <c r="T109" i="112"/>
  <c r="AP99" i="112"/>
  <c r="AP109" i="112"/>
  <c r="AL109" i="112"/>
  <c r="AX149" i="8"/>
  <c r="AX148" i="8"/>
  <c r="AT109" i="112"/>
  <c r="AX109" i="112"/>
  <c r="AT99" i="112"/>
  <c r="AT184" i="8" s="1"/>
  <c r="AT186" i="8" s="1"/>
  <c r="AX99" i="112"/>
  <c r="AX184" i="8" s="1"/>
  <c r="AX155" i="8"/>
  <c r="AX154" i="8"/>
  <c r="AX206" i="8"/>
  <c r="AX205" i="8"/>
  <c r="AU174" i="8"/>
  <c r="AU173" i="8"/>
  <c r="AW185" i="8"/>
  <c r="AW186" i="8"/>
  <c r="AT174" i="8"/>
  <c r="AT173" i="8"/>
  <c r="J872" i="111"/>
  <c r="J882" i="111" s="1"/>
  <c r="AI99" i="112"/>
  <c r="AD99" i="112"/>
  <c r="Y99" i="112"/>
  <c r="M99" i="112"/>
  <c r="AG99" i="112"/>
  <c r="AM109" i="112"/>
  <c r="AI109" i="112"/>
  <c r="AD109" i="112"/>
  <c r="AH109" i="112"/>
  <c r="AT250" i="112"/>
  <c r="AT170" i="112"/>
  <c r="AS109" i="112"/>
  <c r="T872" i="111"/>
  <c r="T882" i="111" s="1"/>
  <c r="Q109" i="112"/>
  <c r="M872" i="111"/>
  <c r="M882" i="111" s="1"/>
  <c r="AC99" i="112"/>
  <c r="I99" i="112"/>
  <c r="M109" i="112"/>
  <c r="L872" i="111"/>
  <c r="L882" i="111" s="1"/>
  <c r="AS99" i="112"/>
  <c r="Q99" i="112"/>
  <c r="U109" i="112"/>
  <c r="N872" i="111"/>
  <c r="N882" i="111" s="1"/>
  <c r="AO109" i="112"/>
  <c r="S872" i="111"/>
  <c r="S882" i="111" s="1"/>
  <c r="AK109" i="112"/>
  <c r="R872" i="111"/>
  <c r="R882" i="111" s="1"/>
  <c r="Y109" i="112"/>
  <c r="O872" i="111"/>
  <c r="O882" i="111" s="1"/>
  <c r="U99" i="112"/>
  <c r="AO99" i="112"/>
  <c r="AG109" i="112"/>
  <c r="Q872" i="111"/>
  <c r="Q882" i="111" s="1"/>
  <c r="AK99" i="112"/>
  <c r="AC109" i="112"/>
  <c r="P872" i="111"/>
  <c r="P882" i="111" s="1"/>
  <c r="I109" i="112"/>
  <c r="K872" i="111"/>
  <c r="K882" i="111" s="1"/>
  <c r="AT325" i="94"/>
  <c r="AT323" i="94"/>
  <c r="AT322" i="94"/>
  <c r="AT321" i="94"/>
  <c r="AT320" i="94"/>
  <c r="AT319" i="94"/>
  <c r="AT318" i="94"/>
  <c r="AT317" i="94"/>
  <c r="AT316" i="94"/>
  <c r="AT315" i="94"/>
  <c r="AT314" i="94"/>
  <c r="AT313" i="94"/>
  <c r="AT312" i="94"/>
  <c r="AT179" i="94"/>
  <c r="CU323" i="8" l="1"/>
  <c r="CQ323" i="8"/>
  <c r="CM323" i="8"/>
  <c r="AU185" i="8"/>
  <c r="AT185" i="8"/>
  <c r="AX185" i="8"/>
  <c r="AX186" i="8"/>
  <c r="BB471" i="111"/>
  <c r="AX195" i="112"/>
  <c r="AX198" i="112" s="1"/>
  <c r="AX171" i="112"/>
  <c r="AX251" i="112"/>
  <c r="AV180" i="94"/>
  <c r="AU180" i="94"/>
  <c r="AT266" i="112"/>
  <c r="AT265" i="112"/>
  <c r="Q887" i="111"/>
  <c r="R887" i="111"/>
  <c r="S887" i="111"/>
  <c r="T887" i="111"/>
  <c r="AX193" i="8" l="1"/>
  <c r="AX194" i="8"/>
  <c r="AX200" i="112"/>
  <c r="AX201" i="112" s="1"/>
  <c r="AX198" i="8" s="1"/>
  <c r="AX200" i="8" l="1"/>
  <c r="AX199" i="8"/>
  <c r="AT73" i="94"/>
  <c r="AT62" i="94"/>
  <c r="AT192" i="94"/>
  <c r="AT193" i="94" s="1"/>
  <c r="AT180" i="94"/>
  <c r="AT153" i="94"/>
  <c r="AT140" i="94"/>
  <c r="AU63" i="94" l="1"/>
  <c r="AV193" i="94"/>
  <c r="AU193" i="94"/>
  <c r="AV74" i="94"/>
  <c r="AU74" i="94"/>
  <c r="AT63" i="94"/>
  <c r="AT74" i="94"/>
  <c r="AT154" i="94"/>
  <c r="AT166" i="94"/>
  <c r="AT167" i="94" s="1"/>
  <c r="AT141" i="94"/>
  <c r="I166" i="11"/>
  <c r="H166" i="11"/>
  <c r="G166" i="11"/>
  <c r="F166" i="11"/>
  <c r="E166" i="11"/>
  <c r="D166" i="11"/>
  <c r="C166" i="11"/>
  <c r="B166" i="11"/>
  <c r="AS131" i="2"/>
  <c r="AR131" i="2"/>
  <c r="AQ131" i="2"/>
  <c r="AP131" i="2"/>
  <c r="AU154" i="94" l="1"/>
  <c r="AV154" i="94"/>
  <c r="AU141" i="94"/>
  <c r="AU166" i="94"/>
  <c r="AU167" i="94" s="1"/>
  <c r="AS144" i="2"/>
  <c r="AR144" i="2"/>
  <c r="AQ144" i="2"/>
  <c r="AP144" i="2"/>
  <c r="AU289" i="94" l="1"/>
  <c r="AV166" i="94"/>
  <c r="AV141" i="94"/>
  <c r="AU378" i="94" l="1"/>
  <c r="AU291" i="94"/>
  <c r="AU295" i="94" s="1"/>
  <c r="AV289" i="94"/>
  <c r="AV167" i="94"/>
  <c r="AU301" i="94" l="1"/>
  <c r="AU299" i="94"/>
  <c r="AU306" i="94"/>
  <c r="AU297" i="94"/>
  <c r="AU303" i="94"/>
  <c r="AU308" i="94"/>
  <c r="AU379" i="94"/>
  <c r="AU304" i="94"/>
  <c r="AU300" i="94"/>
  <c r="AU307" i="94"/>
  <c r="AU305" i="94"/>
  <c r="AU296" i="94"/>
  <c r="AU298" i="94"/>
  <c r="AU302" i="94"/>
  <c r="AV378" i="94"/>
  <c r="AV291" i="94"/>
  <c r="AU309" i="94" l="1"/>
  <c r="AV297" i="94"/>
  <c r="AV379" i="94"/>
  <c r="AV301" i="94"/>
  <c r="AV303" i="94"/>
  <c r="AV298" i="94"/>
  <c r="AV299" i="94"/>
  <c r="AV306" i="94"/>
  <c r="AV308" i="94"/>
  <c r="AV302" i="94"/>
  <c r="AV300" i="94"/>
  <c r="AV305" i="94"/>
  <c r="AV304" i="94"/>
  <c r="AV296" i="94"/>
  <c r="AV295" i="94"/>
  <c r="AV307" i="94"/>
  <c r="AV309" i="94" l="1"/>
  <c r="T4" i="46" l="1"/>
  <c r="T187" i="11"/>
  <c r="T202" i="11"/>
  <c r="T203" i="11"/>
  <c r="T35" i="11"/>
  <c r="T25" i="11"/>
  <c r="V8" i="71" s="1"/>
  <c r="T26" i="11"/>
  <c r="V9" i="71" s="1"/>
  <c r="T27" i="11"/>
  <c r="V11" i="71" s="1"/>
  <c r="T28" i="11"/>
  <c r="V10" i="71" s="1"/>
  <c r="AS156" i="2"/>
  <c r="AS152" i="2"/>
  <c r="AS153" i="2" s="1"/>
  <c r="AS150" i="2"/>
  <c r="AS143" i="2"/>
  <c r="AS142" i="2" s="1"/>
  <c r="AT139" i="2" s="1"/>
  <c r="AS127" i="2"/>
  <c r="AS134" i="2"/>
  <c r="AS80" i="2"/>
  <c r="AS95" i="2"/>
  <c r="AR4" i="2"/>
  <c r="AR3" i="2" s="1"/>
  <c r="AS148" i="2" l="1"/>
  <c r="AS98" i="2"/>
  <c r="AT92" i="2"/>
  <c r="AT93" i="2" s="1"/>
  <c r="AS145" i="2"/>
  <c r="AT157" i="2"/>
  <c r="AS97" i="2"/>
  <c r="T113" i="11" s="1"/>
  <c r="T14" i="46"/>
  <c r="T12" i="46"/>
  <c r="T11" i="46"/>
  <c r="T13" i="46"/>
  <c r="T64" i="46"/>
  <c r="AS68" i="4"/>
  <c r="AT137" i="4" s="1"/>
  <c r="AS69" i="4"/>
  <c r="AS70" i="4"/>
  <c r="AS73" i="4"/>
  <c r="AS74" i="4"/>
  <c r="AS75" i="4"/>
  <c r="AS76" i="4"/>
  <c r="T126" i="11" s="1"/>
  <c r="AS77" i="4"/>
  <c r="T127" i="11" s="1"/>
  <c r="T141" i="11"/>
  <c r="AS95" i="4"/>
  <c r="L53" i="27" s="1"/>
  <c r="AS96" i="4"/>
  <c r="L54" i="27" s="1"/>
  <c r="AS97" i="4"/>
  <c r="L55" i="27" s="1"/>
  <c r="AS98" i="4"/>
  <c r="L56" i="27" s="1"/>
  <c r="AS60" i="4"/>
  <c r="AS64" i="4"/>
  <c r="AS5" i="4"/>
  <c r="AS14" i="4"/>
  <c r="AS17" i="4"/>
  <c r="AS25" i="4"/>
  <c r="AS26" i="4"/>
  <c r="AS27" i="4"/>
  <c r="AS32" i="4"/>
  <c r="AS38" i="4"/>
  <c r="AS39" i="4"/>
  <c r="AS130" i="2" s="1"/>
  <c r="AS132" i="2" s="1"/>
  <c r="AS40" i="4"/>
  <c r="AS41" i="4"/>
  <c r="AS42" i="4"/>
  <c r="AS43" i="4"/>
  <c r="AS45" i="4"/>
  <c r="AS311" i="112" s="1"/>
  <c r="AS47" i="4"/>
  <c r="AS9" i="4"/>
  <c r="AS172" i="8"/>
  <c r="T7" i="11"/>
  <c r="T15" i="11"/>
  <c r="T6" i="11"/>
  <c r="T10" i="11"/>
  <c r="T14" i="11"/>
  <c r="T8" i="11"/>
  <c r="T8" i="111" s="1"/>
  <c r="T9" i="11"/>
  <c r="T13" i="11"/>
  <c r="V13" i="71" l="1"/>
  <c r="V14" i="71"/>
  <c r="AS116" i="2"/>
  <c r="AT111" i="2" s="1"/>
  <c r="T189" i="11"/>
  <c r="L57" i="27"/>
  <c r="AS245" i="112"/>
  <c r="AW6" i="4"/>
  <c r="AS31" i="4"/>
  <c r="AT76" i="2"/>
  <c r="AT94" i="2"/>
  <c r="AS37" i="4"/>
  <c r="BA545" i="111" s="1"/>
  <c r="AS58" i="112"/>
  <c r="BA493" i="111"/>
  <c r="AS123" i="112"/>
  <c r="BA495" i="111"/>
  <c r="AS207" i="112"/>
  <c r="AS244" i="8" s="1"/>
  <c r="BA494" i="111"/>
  <c r="AS99" i="4"/>
  <c r="AS15" i="2"/>
  <c r="T136" i="11"/>
  <c r="T123" i="11"/>
  <c r="AS48" i="2"/>
  <c r="T131" i="11"/>
  <c r="AS8" i="2"/>
  <c r="T135" i="11"/>
  <c r="AS108" i="2"/>
  <c r="AT105" i="2" s="1"/>
  <c r="T124" i="11"/>
  <c r="AS41" i="2"/>
  <c r="T130" i="11"/>
  <c r="AS6" i="2"/>
  <c r="T172" i="11"/>
  <c r="AS78" i="4"/>
  <c r="T125" i="11"/>
  <c r="T129" i="11"/>
  <c r="AS101" i="2"/>
  <c r="T137" i="11"/>
  <c r="T12" i="111"/>
  <c r="T16" i="111"/>
  <c r="AS189" i="112"/>
  <c r="T23" i="111"/>
  <c r="T21" i="111"/>
  <c r="T13" i="111"/>
  <c r="T10" i="46"/>
  <c r="T9" i="111"/>
  <c r="T8" i="46"/>
  <c r="T7" i="111"/>
  <c r="T9" i="46"/>
  <c r="T204" i="11"/>
  <c r="AS16" i="4"/>
  <c r="AS15" i="4" s="1"/>
  <c r="T111" i="11"/>
  <c r="T11" i="11"/>
  <c r="T12" i="11"/>
  <c r="AS173" i="8"/>
  <c r="AS174" i="8"/>
  <c r="AS7" i="4"/>
  <c r="AS29" i="4" s="1"/>
  <c r="AS194" i="8"/>
  <c r="AS193" i="8"/>
  <c r="T16" i="11"/>
  <c r="AS10" i="4"/>
  <c r="AS11" i="4" s="1"/>
  <c r="AW13" i="4" s="1"/>
  <c r="AS165" i="2"/>
  <c r="L51" i="27" l="1"/>
  <c r="V49" i="71"/>
  <c r="V48" i="71"/>
  <c r="AS9" i="2"/>
  <c r="AS20" i="2"/>
  <c r="AS21" i="2"/>
  <c r="AS60" i="112"/>
  <c r="AS232" i="8"/>
  <c r="AS189" i="8"/>
  <c r="AS125" i="112"/>
  <c r="AS239" i="8" s="1"/>
  <c r="AS240" i="8" s="1"/>
  <c r="AS238" i="8"/>
  <c r="AS7" i="2"/>
  <c r="AS17" i="2"/>
  <c r="T382" i="111"/>
  <c r="L50" i="27"/>
  <c r="T381" i="111"/>
  <c r="AS309" i="112"/>
  <c r="BA454" i="111"/>
  <c r="AS284" i="112"/>
  <c r="AS241" i="112"/>
  <c r="AS10" i="2"/>
  <c r="AS300" i="112"/>
  <c r="AS224" i="8" s="1"/>
  <c r="AS296" i="112"/>
  <c r="AS297" i="112" s="1"/>
  <c r="AS288" i="112"/>
  <c r="AS8" i="4"/>
  <c r="AS30" i="4" s="1"/>
  <c r="AW190" i="112"/>
  <c r="AS18" i="4"/>
  <c r="AS20" i="4"/>
  <c r="AS109" i="2"/>
  <c r="BA498" i="111"/>
  <c r="AS12" i="4"/>
  <c r="BA477" i="111" s="1"/>
  <c r="BA500" i="111"/>
  <c r="AS100" i="4"/>
  <c r="AS119" i="2"/>
  <c r="AS120" i="2" s="1"/>
  <c r="AS26" i="2"/>
  <c r="AS16" i="2"/>
  <c r="T140" i="11"/>
  <c r="AS67" i="2"/>
  <c r="AT61" i="2" s="1"/>
  <c r="T387" i="111"/>
  <c r="T169" i="11"/>
  <c r="T166" i="11"/>
  <c r="V37" i="71" s="1"/>
  <c r="L49" i="27"/>
  <c r="T128" i="11"/>
  <c r="AS117" i="2"/>
  <c r="T18" i="111"/>
  <c r="T17" i="111"/>
  <c r="AS267" i="112"/>
  <c r="AS209" i="112"/>
  <c r="BA461" i="111"/>
  <c r="AS203" i="112"/>
  <c r="AW204" i="112" s="1"/>
  <c r="T22" i="111"/>
  <c r="AS66" i="112" l="1"/>
  <c r="AS49" i="4"/>
  <c r="T206" i="11"/>
  <c r="AM18" i="71"/>
  <c r="AM48" i="71" s="1"/>
  <c r="G18" i="71"/>
  <c r="G45" i="71" s="1"/>
  <c r="AS264" i="8"/>
  <c r="AS266" i="8" s="1"/>
  <c r="T346" i="111" s="1"/>
  <c r="T324" i="111" s="1"/>
  <c r="AT27" i="2"/>
  <c r="AS259" i="8"/>
  <c r="L31" i="27"/>
  <c r="BA542" i="111"/>
  <c r="AS241" i="8"/>
  <c r="AS242" i="8"/>
  <c r="AW190" i="8"/>
  <c r="AS254" i="8"/>
  <c r="AS256" i="8" s="1"/>
  <c r="T336" i="111" s="1"/>
  <c r="T322" i="111" s="1"/>
  <c r="BA481" i="111"/>
  <c r="T170" i="11"/>
  <c r="AS285" i="112"/>
  <c r="AS209" i="8" s="1"/>
  <c r="AS210" i="8" s="1"/>
  <c r="AS251" i="8"/>
  <c r="AS302" i="112"/>
  <c r="BA563" i="111"/>
  <c r="AT33" i="58"/>
  <c r="BA491" i="111"/>
  <c r="T205" i="11"/>
  <c r="AS34" i="4"/>
  <c r="AS19" i="4"/>
  <c r="T142" i="11"/>
  <c r="T183" i="11"/>
  <c r="AS28" i="2"/>
  <c r="T383" i="111"/>
  <c r="T191" i="11"/>
  <c r="L52" i="27"/>
  <c r="L58" i="27" s="1"/>
  <c r="T388" i="111"/>
  <c r="T213" i="11"/>
  <c r="T198" i="11"/>
  <c r="T69" i="46" s="1"/>
  <c r="T167" i="11"/>
  <c r="T190" i="11"/>
  <c r="T32" i="46"/>
  <c r="BA465" i="111"/>
  <c r="AS174" i="112"/>
  <c r="BA499" i="111"/>
  <c r="AS192" i="112"/>
  <c r="AW193" i="112" s="1"/>
  <c r="AS21" i="4"/>
  <c r="BA537" i="111"/>
  <c r="BA538" i="111" s="1"/>
  <c r="AS53" i="4"/>
  <c r="AS317" i="112" s="1"/>
  <c r="AS105" i="4"/>
  <c r="AS62" i="2" l="1"/>
  <c r="AS265" i="8"/>
  <c r="T347" i="111" s="1"/>
  <c r="AS267" i="8"/>
  <c r="T348" i="111" s="1"/>
  <c r="AS262" i="8"/>
  <c r="T343" i="111" s="1"/>
  <c r="AS260" i="8"/>
  <c r="T342" i="111" s="1"/>
  <c r="AS261" i="8"/>
  <c r="T341" i="111" s="1"/>
  <c r="T323" i="111" s="1"/>
  <c r="AS257" i="8"/>
  <c r="T338" i="111" s="1"/>
  <c r="AS255" i="8"/>
  <c r="T337" i="111" s="1"/>
  <c r="AS211" i="8"/>
  <c r="AS303" i="112"/>
  <c r="AS212" i="8"/>
  <c r="AS54" i="4"/>
  <c r="AS44" i="4"/>
  <c r="AS46" i="4" s="1"/>
  <c r="BA548" i="111" s="1"/>
  <c r="AW35" i="4"/>
  <c r="T389" i="111"/>
  <c r="AS36" i="4"/>
  <c r="T77" i="46"/>
  <c r="T425" i="111"/>
  <c r="AS170" i="112"/>
  <c r="AW195" i="112" s="1"/>
  <c r="AW198" i="112" s="1"/>
  <c r="AW200" i="112" l="1"/>
  <c r="AW201" i="112" s="1"/>
  <c r="AW198" i="8" s="1"/>
  <c r="BA442" i="111"/>
  <c r="BA471" i="111"/>
  <c r="AW200" i="8" l="1"/>
  <c r="AW199" i="8"/>
  <c r="AS8" i="8"/>
  <c r="AS7" i="8" s="1"/>
  <c r="AS47" i="112"/>
  <c r="AS34" i="8"/>
  <c r="AS184" i="112"/>
  <c r="AS185" i="112"/>
  <c r="AS186" i="112"/>
  <c r="AS183" i="112" l="1"/>
  <c r="AT101" i="112"/>
  <c r="AS23" i="8"/>
  <c r="AS64" i="8"/>
  <c r="AS55" i="8"/>
  <c r="AS45" i="8"/>
  <c r="AS321" i="8"/>
  <c r="AS231" i="8"/>
  <c r="AS208" i="8"/>
  <c r="AS253" i="8" s="1"/>
  <c r="AS269" i="8" s="1"/>
  <c r="AS141" i="8"/>
  <c r="AS78" i="8"/>
  <c r="AS29" i="8"/>
  <c r="AS39" i="8"/>
  <c r="AS126" i="2"/>
  <c r="AS164" i="2"/>
  <c r="AS18" i="8"/>
  <c r="AS163" i="2"/>
  <c r="AS125" i="2"/>
  <c r="AS60" i="8"/>
  <c r="AS69" i="8"/>
  <c r="AS50" i="8"/>
  <c r="AS68" i="8"/>
  <c r="AS63" i="8"/>
  <c r="AS70" i="8"/>
  <c r="AS65" i="8"/>
  <c r="AS54" i="8"/>
  <c r="AS49" i="8"/>
  <c r="AS44" i="8"/>
  <c r="AS38" i="8"/>
  <c r="AS33" i="8"/>
  <c r="AS28" i="8"/>
  <c r="AS22" i="8"/>
  <c r="AS17" i="8"/>
  <c r="AS12" i="8"/>
  <c r="AS58" i="8"/>
  <c r="AS53" i="8"/>
  <c r="AS48" i="8"/>
  <c r="AS43" i="8"/>
  <c r="AS37" i="8"/>
  <c r="AS32" i="8"/>
  <c r="AS27" i="8"/>
  <c r="AS21" i="8"/>
  <c r="AS16" i="8"/>
  <c r="AS11" i="8"/>
  <c r="AS13" i="8"/>
  <c r="AS59" i="8"/>
  <c r="BA35" i="60"/>
  <c r="BA31" i="60"/>
  <c r="AS126" i="4" s="1"/>
  <c r="BA32" i="60"/>
  <c r="BA30" i="60"/>
  <c r="BA24" i="60"/>
  <c r="AS122" i="4" s="1"/>
  <c r="AS50" i="59"/>
  <c r="AS43" i="59"/>
  <c r="AS45" i="59" s="1"/>
  <c r="AS37" i="59"/>
  <c r="AS32" i="59"/>
  <c r="AS13" i="59"/>
  <c r="AS18" i="59" s="1"/>
  <c r="AS9" i="59"/>
  <c r="AS71" i="4" s="1"/>
  <c r="AS140" i="94"/>
  <c r="AS166" i="94" s="1"/>
  <c r="AS167" i="94" s="1"/>
  <c r="AR140" i="94"/>
  <c r="AR166" i="94" s="1"/>
  <c r="AR167" i="94" s="1"/>
  <c r="AG289" i="94"/>
  <c r="AH289" i="94"/>
  <c r="AI289" i="94"/>
  <c r="AJ289" i="94"/>
  <c r="AK289" i="94"/>
  <c r="AL289" i="94"/>
  <c r="AM289" i="94"/>
  <c r="AN289" i="94"/>
  <c r="AO289" i="94"/>
  <c r="AP289" i="94"/>
  <c r="AE290" i="94"/>
  <c r="AF290" i="94"/>
  <c r="AG290" i="94"/>
  <c r="AH290" i="94"/>
  <c r="AI290" i="94"/>
  <c r="AJ290" i="94"/>
  <c r="AK290" i="94"/>
  <c r="AL290" i="94"/>
  <c r="AM290" i="94"/>
  <c r="AN290" i="94"/>
  <c r="AO290" i="94"/>
  <c r="AP290" i="94"/>
  <c r="AQ290" i="94"/>
  <c r="AR290" i="94"/>
  <c r="AS290" i="94"/>
  <c r="AE277" i="94"/>
  <c r="AF277" i="94"/>
  <c r="AG277" i="94"/>
  <c r="AH277" i="94"/>
  <c r="AI277" i="94"/>
  <c r="AJ277" i="94"/>
  <c r="AK277" i="94"/>
  <c r="AL277" i="94"/>
  <c r="AM277" i="94"/>
  <c r="AN277" i="94"/>
  <c r="AO277" i="94"/>
  <c r="AP277" i="94"/>
  <c r="AE278" i="94"/>
  <c r="AF278" i="94"/>
  <c r="AG278" i="94"/>
  <c r="AH278" i="94"/>
  <c r="AI278" i="94"/>
  <c r="AJ278" i="94"/>
  <c r="AK278" i="94"/>
  <c r="AL278" i="94"/>
  <c r="AM278" i="94"/>
  <c r="AN278" i="94"/>
  <c r="AO278" i="94"/>
  <c r="AP278" i="94"/>
  <c r="AE279" i="94"/>
  <c r="AF279" i="94"/>
  <c r="AG279" i="94"/>
  <c r="AH279" i="94"/>
  <c r="AI279" i="94"/>
  <c r="AJ279" i="94"/>
  <c r="AK279" i="94"/>
  <c r="AL279" i="94"/>
  <c r="AM279" i="94"/>
  <c r="AN279" i="94"/>
  <c r="AO279" i="94"/>
  <c r="AP279" i="94"/>
  <c r="AE280" i="94"/>
  <c r="AF280" i="94"/>
  <c r="AG280" i="94"/>
  <c r="AH280" i="94"/>
  <c r="AI280" i="94"/>
  <c r="AJ280" i="94"/>
  <c r="AK280" i="94"/>
  <c r="AL280" i="94"/>
  <c r="AM280" i="94"/>
  <c r="AN280" i="94"/>
  <c r="AO280" i="94"/>
  <c r="AP280" i="94"/>
  <c r="AQ280" i="94"/>
  <c r="AR280" i="94"/>
  <c r="AS280" i="94"/>
  <c r="AE281" i="94"/>
  <c r="AF281" i="94"/>
  <c r="AG281" i="94"/>
  <c r="AH281" i="94"/>
  <c r="AI281" i="94"/>
  <c r="AJ281" i="94"/>
  <c r="AK281" i="94"/>
  <c r="AL281" i="94"/>
  <c r="AM281" i="94"/>
  <c r="AN281" i="94"/>
  <c r="AO281" i="94"/>
  <c r="AP281" i="94"/>
  <c r="AQ281" i="94"/>
  <c r="AR281" i="94"/>
  <c r="AS281" i="94"/>
  <c r="AE282" i="94"/>
  <c r="AF282" i="94"/>
  <c r="AG282" i="94"/>
  <c r="AH282" i="94"/>
  <c r="AI282" i="94"/>
  <c r="AJ282" i="94"/>
  <c r="AK282" i="94"/>
  <c r="AL282" i="94"/>
  <c r="AM282" i="94"/>
  <c r="AN282" i="94"/>
  <c r="AO282" i="94"/>
  <c r="AP282" i="94"/>
  <c r="AE283" i="94"/>
  <c r="AF283" i="94"/>
  <c r="AG283" i="94"/>
  <c r="AH283" i="94"/>
  <c r="AI283" i="94"/>
  <c r="AJ283" i="94"/>
  <c r="AK283" i="94"/>
  <c r="AL283" i="94"/>
  <c r="AM283" i="94"/>
  <c r="AN283" i="94"/>
  <c r="AO283" i="94"/>
  <c r="AP283" i="94"/>
  <c r="AQ283" i="94"/>
  <c r="AR283" i="94"/>
  <c r="AS283" i="94"/>
  <c r="AE284" i="94"/>
  <c r="AF284" i="94"/>
  <c r="AG284" i="94"/>
  <c r="AH284" i="94"/>
  <c r="AI284" i="94"/>
  <c r="AJ284" i="94"/>
  <c r="AK284" i="94"/>
  <c r="AL284" i="94"/>
  <c r="AM284" i="94"/>
  <c r="AN284" i="94"/>
  <c r="AO284" i="94"/>
  <c r="AP284" i="94"/>
  <c r="AE285" i="94"/>
  <c r="AF285" i="94"/>
  <c r="AG285" i="94"/>
  <c r="AH285" i="94"/>
  <c r="AI285" i="94"/>
  <c r="AJ285" i="94"/>
  <c r="AK285" i="94"/>
  <c r="AL285" i="94"/>
  <c r="AM285" i="94"/>
  <c r="AN285" i="94"/>
  <c r="AO285" i="94"/>
  <c r="AP285" i="94"/>
  <c r="AE286" i="94"/>
  <c r="AF286" i="94"/>
  <c r="AG286" i="94"/>
  <c r="AH286" i="94"/>
  <c r="AI286" i="94"/>
  <c r="AJ286" i="94"/>
  <c r="AK286" i="94"/>
  <c r="AL286" i="94"/>
  <c r="AM286" i="94"/>
  <c r="AN286" i="94"/>
  <c r="AO286" i="94"/>
  <c r="AP286" i="94"/>
  <c r="AT277" i="94"/>
  <c r="AT278" i="94"/>
  <c r="AT279" i="94"/>
  <c r="AT280" i="94"/>
  <c r="AT281" i="94"/>
  <c r="AT351" i="94" s="1"/>
  <c r="AT282" i="94"/>
  <c r="AT283" i="94"/>
  <c r="AT284" i="94"/>
  <c r="AT285" i="94"/>
  <c r="AT286" i="94"/>
  <c r="AT287" i="94"/>
  <c r="AT288" i="94"/>
  <c r="AT289" i="94"/>
  <c r="AT290" i="94"/>
  <c r="AT436" i="94"/>
  <c r="AE287" i="94"/>
  <c r="AF287" i="94"/>
  <c r="AG287" i="94"/>
  <c r="AH287" i="94"/>
  <c r="AI287" i="94"/>
  <c r="AJ287" i="94"/>
  <c r="AK287" i="94"/>
  <c r="AL287" i="94"/>
  <c r="AM287" i="94"/>
  <c r="AN287" i="94"/>
  <c r="AO287" i="94"/>
  <c r="AP287" i="94"/>
  <c r="AD280" i="94"/>
  <c r="AT429" i="94"/>
  <c r="AT420" i="94" s="1"/>
  <c r="AT404" i="94"/>
  <c r="AT418" i="94"/>
  <c r="AT419" i="94"/>
  <c r="AT421" i="94"/>
  <c r="AT422" i="94"/>
  <c r="AT476" i="94"/>
  <c r="AT463" i="94"/>
  <c r="AT462" i="94"/>
  <c r="AT437" i="94"/>
  <c r="AT439" i="94"/>
  <c r="AT440" i="94"/>
  <c r="BA512" i="111" s="1"/>
  <c r="BB528" i="111" s="1"/>
  <c r="AT247" i="94"/>
  <c r="AT248" i="94"/>
  <c r="AT249" i="94"/>
  <c r="AT250" i="94"/>
  <c r="AT251" i="94"/>
  <c r="AT252" i="94"/>
  <c r="AT254" i="94"/>
  <c r="AT255" i="94"/>
  <c r="AT228" i="94"/>
  <c r="AT230" i="94"/>
  <c r="AT231" i="94"/>
  <c r="AT232" i="94"/>
  <c r="AT233" i="94"/>
  <c r="AT234" i="94"/>
  <c r="AT235" i="94"/>
  <c r="AT236" i="94"/>
  <c r="AT237" i="94"/>
  <c r="AT238" i="94"/>
  <c r="AT110" i="94"/>
  <c r="AT253" i="94" s="1"/>
  <c r="AT113" i="94"/>
  <c r="AT106" i="94"/>
  <c r="AT246" i="94" s="1"/>
  <c r="AT105" i="94"/>
  <c r="AT245" i="94" s="1"/>
  <c r="AT104" i="94"/>
  <c r="AT244" i="94" s="1"/>
  <c r="AT103" i="94"/>
  <c r="AT120" i="94" s="1"/>
  <c r="AT100" i="94"/>
  <c r="AT93" i="94"/>
  <c r="AT229" i="94" s="1"/>
  <c r="AT91" i="94"/>
  <c r="AT227" i="94" s="1"/>
  <c r="AT90" i="94"/>
  <c r="AT38" i="94"/>
  <c r="AT14" i="94"/>
  <c r="AT85" i="94"/>
  <c r="AT84" i="94"/>
  <c r="AT80" i="94"/>
  <c r="AT79" i="94"/>
  <c r="AT78" i="94"/>
  <c r="AT77" i="94"/>
  <c r="AT26" i="94"/>
  <c r="AT39" i="94"/>
  <c r="AT46" i="94" s="1"/>
  <c r="AT27" i="94"/>
  <c r="AT15" i="94"/>
  <c r="AT35" i="58"/>
  <c r="AI115" i="58"/>
  <c r="AJ115" i="58"/>
  <c r="AK115" i="58"/>
  <c r="AL115" i="58"/>
  <c r="AM115" i="58"/>
  <c r="AN115" i="58"/>
  <c r="AO115" i="58"/>
  <c r="AP115" i="58"/>
  <c r="AQ115" i="58"/>
  <c r="AS115" i="58"/>
  <c r="AT115" i="58"/>
  <c r="AI104" i="58"/>
  <c r="AJ104" i="58"/>
  <c r="AK104" i="58"/>
  <c r="AL104" i="58"/>
  <c r="AM104" i="58"/>
  <c r="AN104" i="58"/>
  <c r="AO104" i="58"/>
  <c r="AP104" i="58"/>
  <c r="AQ104" i="58"/>
  <c r="AS104" i="58"/>
  <c r="AT104" i="58"/>
  <c r="AJ83" i="58"/>
  <c r="AK83" i="58"/>
  <c r="AL83" i="58"/>
  <c r="AM83" i="58"/>
  <c r="AN83" i="58"/>
  <c r="AO83" i="58"/>
  <c r="AP83" i="58"/>
  <c r="AQ83" i="58"/>
  <c r="AS83" i="58"/>
  <c r="AT83" i="58"/>
  <c r="AI83" i="58"/>
  <c r="AJ82" i="58"/>
  <c r="AI45" i="112" s="1"/>
  <c r="AK82" i="58"/>
  <c r="AJ45" i="112" s="1"/>
  <c r="AL82" i="58"/>
  <c r="AK45" i="112" s="1"/>
  <c r="AM82" i="58"/>
  <c r="AL45" i="112" s="1"/>
  <c r="AL147" i="8" s="1"/>
  <c r="AN82" i="58"/>
  <c r="AM45" i="112" s="1"/>
  <c r="AM147" i="8" s="1"/>
  <c r="AO82" i="58"/>
  <c r="AN45" i="112" s="1"/>
  <c r="AN147" i="8" s="1"/>
  <c r="AP82" i="58"/>
  <c r="AO45" i="112" s="1"/>
  <c r="AO147" i="8" s="1"/>
  <c r="AQ82" i="58"/>
  <c r="AP45" i="112" s="1"/>
  <c r="AQ45" i="112"/>
  <c r="AQ147" i="8" s="1"/>
  <c r="AS82" i="58"/>
  <c r="AR45" i="112" s="1"/>
  <c r="AR147" i="8" s="1"/>
  <c r="AT82" i="58"/>
  <c r="AS45" i="112" s="1"/>
  <c r="AI82" i="58"/>
  <c r="AH45" i="112" s="1"/>
  <c r="AT78" i="58"/>
  <c r="AT63" i="58"/>
  <c r="AT64" i="58"/>
  <c r="AT65" i="58"/>
  <c r="AT31" i="58"/>
  <c r="AS33" i="4" s="1"/>
  <c r="AP20" i="58"/>
  <c r="AP14" i="58"/>
  <c r="AP10" i="58"/>
  <c r="AP9" i="58"/>
  <c r="AT13" i="58"/>
  <c r="AT8" i="58"/>
  <c r="AT6" i="58"/>
  <c r="AS147" i="8" l="1"/>
  <c r="AP147" i="8"/>
  <c r="AS131" i="4"/>
  <c r="AS129" i="4"/>
  <c r="AS65" i="2" s="1"/>
  <c r="AS70" i="2" s="1"/>
  <c r="AT347" i="94"/>
  <c r="AS225" i="112"/>
  <c r="AO287" i="112"/>
  <c r="AW449" i="111"/>
  <c r="AR449" i="111"/>
  <c r="AS449" i="111"/>
  <c r="AZ449" i="111"/>
  <c r="AV449" i="111"/>
  <c r="AY449" i="111"/>
  <c r="AU449" i="111"/>
  <c r="AQ449" i="111"/>
  <c r="AP449" i="111"/>
  <c r="AT449" i="111"/>
  <c r="AT94" i="112"/>
  <c r="AX95" i="112" s="1"/>
  <c r="AX113" i="112"/>
  <c r="AT210" i="94"/>
  <c r="AT366" i="94" s="1"/>
  <c r="AT432" i="94"/>
  <c r="AT221" i="94"/>
  <c r="AT377" i="94" s="1"/>
  <c r="AT219" i="94"/>
  <c r="AT375" i="94" s="1"/>
  <c r="AT256" i="94"/>
  <c r="AT257" i="94" s="1"/>
  <c r="AT271" i="94" s="1"/>
  <c r="AT239" i="94"/>
  <c r="AT240" i="94" s="1"/>
  <c r="AT122" i="94"/>
  <c r="AT217" i="94"/>
  <c r="AT373" i="94" s="1"/>
  <c r="AT213" i="94"/>
  <c r="AT369" i="94" s="1"/>
  <c r="AT218" i="94"/>
  <c r="AT374" i="94" s="1"/>
  <c r="AT406" i="94"/>
  <c r="AT211" i="94"/>
  <c r="AT367" i="94" s="1"/>
  <c r="AS51" i="4"/>
  <c r="AS312" i="112"/>
  <c r="AS313" i="112" s="1"/>
  <c r="AT214" i="94"/>
  <c r="AT370" i="94" s="1"/>
  <c r="AT387" i="94" s="1"/>
  <c r="BA449" i="111"/>
  <c r="AS247" i="112"/>
  <c r="AT215" i="94"/>
  <c r="AT371" i="94" s="1"/>
  <c r="AL291" i="94"/>
  <c r="AP291" i="94"/>
  <c r="AH291" i="94"/>
  <c r="AX449" i="111"/>
  <c r="AM291" i="94"/>
  <c r="AI291" i="94"/>
  <c r="AS63" i="2"/>
  <c r="AS78" i="2" s="1"/>
  <c r="AT355" i="94"/>
  <c r="AT348" i="94"/>
  <c r="AT454" i="94"/>
  <c r="BA517" i="111" s="1"/>
  <c r="BA509" i="111"/>
  <c r="BB525" i="111" s="1"/>
  <c r="BA508" i="111"/>
  <c r="BB524" i="111" s="1"/>
  <c r="AN291" i="94"/>
  <c r="AJ291" i="94"/>
  <c r="AT469" i="94"/>
  <c r="BA511" i="111"/>
  <c r="BB527" i="111" s="1"/>
  <c r="AK291" i="94"/>
  <c r="AG291" i="94"/>
  <c r="AS46" i="59"/>
  <c r="AS10" i="59"/>
  <c r="AS72" i="4"/>
  <c r="AS79" i="4" s="1"/>
  <c r="AS11" i="2"/>
  <c r="T132" i="11"/>
  <c r="AT457" i="94"/>
  <c r="BA520" i="111" s="1"/>
  <c r="AT360" i="94"/>
  <c r="AT456" i="94"/>
  <c r="BA519" i="111" s="1"/>
  <c r="AT291" i="94"/>
  <c r="AS162" i="2"/>
  <c r="AO291" i="94"/>
  <c r="AT453" i="94"/>
  <c r="BA516" i="111" s="1"/>
  <c r="AT356" i="94"/>
  <c r="AT352" i="94"/>
  <c r="AT48" i="94"/>
  <c r="AT126" i="94"/>
  <c r="AT119" i="94"/>
  <c r="AT358" i="94"/>
  <c r="AT354" i="94"/>
  <c r="AT350" i="94"/>
  <c r="AT423" i="94"/>
  <c r="AT43" i="94"/>
  <c r="AT47" i="94"/>
  <c r="AT124" i="94"/>
  <c r="AT50" i="94"/>
  <c r="AT44" i="94"/>
  <c r="AT123" i="94"/>
  <c r="AT49" i="94"/>
  <c r="AT45" i="94"/>
  <c r="AT118" i="94"/>
  <c r="AT357" i="94"/>
  <c r="AT353" i="94"/>
  <c r="AT349" i="94"/>
  <c r="AT220" i="94"/>
  <c r="AT376" i="94" s="1"/>
  <c r="AT216" i="94"/>
  <c r="AT372" i="94" s="1"/>
  <c r="AT212" i="94"/>
  <c r="AT117" i="94"/>
  <c r="AT125" i="94"/>
  <c r="AT121" i="94"/>
  <c r="AT66" i="58"/>
  <c r="AT67" i="58" s="1"/>
  <c r="AT12" i="58"/>
  <c r="AT19" i="58" s="1"/>
  <c r="AT22" i="58" s="1"/>
  <c r="AT38" i="58" s="1"/>
  <c r="AS12" i="2" l="1"/>
  <c r="AS19" i="59"/>
  <c r="AS318" i="112"/>
  <c r="AS73" i="2"/>
  <c r="AT226" i="112"/>
  <c r="AT383" i="94"/>
  <c r="T5" i="11"/>
  <c r="AS238" i="112"/>
  <c r="BA438" i="111" s="1"/>
  <c r="BA428" i="111"/>
  <c r="AT412" i="94"/>
  <c r="AX111" i="112"/>
  <c r="AX116" i="112" s="1"/>
  <c r="AX117" i="112" s="1"/>
  <c r="AX178" i="8" s="1"/>
  <c r="BA448" i="111"/>
  <c r="AT222" i="94"/>
  <c r="AT378" i="94" s="1"/>
  <c r="AT413" i="94"/>
  <c r="AT384" i="94"/>
  <c r="AT411" i="94"/>
  <c r="AT410" i="94"/>
  <c r="AT391" i="94"/>
  <c r="AT392" i="94"/>
  <c r="AT262" i="94"/>
  <c r="AT270" i="94"/>
  <c r="AS62" i="4"/>
  <c r="BA554" i="111"/>
  <c r="AS55" i="4"/>
  <c r="AT263" i="94"/>
  <c r="AT386" i="94"/>
  <c r="AT267" i="94"/>
  <c r="AT394" i="94"/>
  <c r="AS148" i="8"/>
  <c r="AS149" i="8"/>
  <c r="AT268" i="94"/>
  <c r="AT261" i="94"/>
  <c r="AT265" i="94"/>
  <c r="AT269" i="94"/>
  <c r="AT273" i="94"/>
  <c r="AT264" i="94"/>
  <c r="AT272" i="94"/>
  <c r="AT388" i="94"/>
  <c r="AT368" i="94"/>
  <c r="AT385" i="94" s="1"/>
  <c r="AT389" i="94"/>
  <c r="AT393" i="94"/>
  <c r="AT390" i="94"/>
  <c r="AT266" i="94"/>
  <c r="AT41" i="58"/>
  <c r="AT40" i="58"/>
  <c r="AT51" i="94"/>
  <c r="T384" i="111"/>
  <c r="T133" i="11"/>
  <c r="AT295" i="94"/>
  <c r="AT305" i="94"/>
  <c r="AT299" i="94"/>
  <c r="AT296" i="94"/>
  <c r="AT303" i="94"/>
  <c r="AT304" i="94"/>
  <c r="AT308" i="94"/>
  <c r="AT301" i="94"/>
  <c r="AT298" i="94"/>
  <c r="AT302" i="94"/>
  <c r="AT306" i="94"/>
  <c r="AT307" i="94"/>
  <c r="AT300" i="94"/>
  <c r="AT297" i="94"/>
  <c r="AT127" i="94"/>
  <c r="V12" i="71" l="1"/>
  <c r="T7" i="46"/>
  <c r="AX253" i="112"/>
  <c r="AX255" i="112" s="1"/>
  <c r="AW56" i="4"/>
  <c r="AX179" i="8"/>
  <c r="AX180" i="8"/>
  <c r="AT223" i="94"/>
  <c r="AT414" i="94"/>
  <c r="AS57" i="4"/>
  <c r="AS61" i="4"/>
  <c r="BA557" i="111" s="1"/>
  <c r="BA551" i="111"/>
  <c r="AT274" i="94"/>
  <c r="AT309" i="94"/>
  <c r="V47" i="71" l="1"/>
  <c r="AX257" i="112"/>
  <c r="AX258" i="112" s="1"/>
  <c r="AT379" i="94"/>
  <c r="AR186" i="112" l="1"/>
  <c r="AQ186" i="112"/>
  <c r="AP186" i="112"/>
  <c r="AO186" i="112"/>
  <c r="AN186" i="112"/>
  <c r="AM186" i="112"/>
  <c r="AL186" i="112"/>
  <c r="AK186" i="112"/>
  <c r="AJ186" i="112"/>
  <c r="AI186" i="112"/>
  <c r="AH186" i="112"/>
  <c r="AG186" i="112"/>
  <c r="AF186" i="112"/>
  <c r="AE186" i="112"/>
  <c r="AD186" i="112"/>
  <c r="AC186" i="112"/>
  <c r="AB186" i="112"/>
  <c r="AA186" i="112"/>
  <c r="Z186" i="112"/>
  <c r="Y186" i="112"/>
  <c r="X186" i="112"/>
  <c r="W186" i="112"/>
  <c r="V186" i="112"/>
  <c r="U186" i="112"/>
  <c r="T186" i="112"/>
  <c r="S186" i="112"/>
  <c r="R186" i="112"/>
  <c r="Q186" i="112"/>
  <c r="P186" i="112"/>
  <c r="O186" i="112"/>
  <c r="N186" i="112"/>
  <c r="M186" i="112"/>
  <c r="L186" i="112"/>
  <c r="K186" i="112"/>
  <c r="J186" i="112"/>
  <c r="I186" i="112"/>
  <c r="H186" i="112"/>
  <c r="G186" i="112"/>
  <c r="F186" i="112"/>
  <c r="E186" i="112"/>
  <c r="D186" i="112"/>
  <c r="C186" i="112"/>
  <c r="B186" i="112"/>
  <c r="AR185" i="112"/>
  <c r="AQ185" i="112"/>
  <c r="AP185" i="112"/>
  <c r="AO185" i="112"/>
  <c r="AN185" i="112"/>
  <c r="AM185" i="112"/>
  <c r="AL185" i="112"/>
  <c r="AK185" i="112"/>
  <c r="AJ185" i="112"/>
  <c r="AI185" i="112"/>
  <c r="AH185" i="112"/>
  <c r="AG185" i="112"/>
  <c r="AF185" i="112"/>
  <c r="AE185" i="112"/>
  <c r="AD185" i="112"/>
  <c r="AC185" i="112"/>
  <c r="AB185" i="112"/>
  <c r="AA185" i="112"/>
  <c r="Z185" i="112"/>
  <c r="Y185" i="112"/>
  <c r="X185" i="112"/>
  <c r="W185" i="112"/>
  <c r="V185" i="112"/>
  <c r="U185" i="112"/>
  <c r="T185" i="112"/>
  <c r="S185" i="112"/>
  <c r="R185" i="112"/>
  <c r="Q185" i="112"/>
  <c r="P185" i="112"/>
  <c r="O185" i="112"/>
  <c r="N185" i="112"/>
  <c r="M185" i="112"/>
  <c r="L185" i="112"/>
  <c r="K185" i="112"/>
  <c r="J185" i="112"/>
  <c r="I185" i="112"/>
  <c r="H185" i="112"/>
  <c r="G185" i="112"/>
  <c r="F185" i="112"/>
  <c r="E185" i="112"/>
  <c r="D185" i="112"/>
  <c r="C185" i="112"/>
  <c r="B185" i="112"/>
  <c r="AR184" i="112"/>
  <c r="AQ184" i="112"/>
  <c r="AP184" i="112"/>
  <c r="AO184" i="112"/>
  <c r="AN184" i="112"/>
  <c r="AM184" i="112"/>
  <c r="AL184" i="112"/>
  <c r="AK184" i="112"/>
  <c r="AJ184" i="112"/>
  <c r="AI184" i="112"/>
  <c r="AH184" i="112"/>
  <c r="AG184" i="112"/>
  <c r="AF184" i="112"/>
  <c r="AE184" i="112"/>
  <c r="AD184" i="112"/>
  <c r="AC184" i="112"/>
  <c r="AB184" i="112"/>
  <c r="AA184" i="112"/>
  <c r="Z184" i="112"/>
  <c r="Y184" i="112"/>
  <c r="X184" i="112"/>
  <c r="W184" i="112"/>
  <c r="V184" i="112"/>
  <c r="U184" i="112"/>
  <c r="T184" i="112"/>
  <c r="S184" i="112"/>
  <c r="R184" i="112"/>
  <c r="Q184" i="112"/>
  <c r="P184" i="112"/>
  <c r="O184" i="112"/>
  <c r="N184" i="112"/>
  <c r="M184" i="112"/>
  <c r="L184" i="112"/>
  <c r="K184" i="112"/>
  <c r="J184" i="112"/>
  <c r="I184" i="112"/>
  <c r="H184" i="112"/>
  <c r="G184" i="112"/>
  <c r="F184" i="112"/>
  <c r="E184" i="112"/>
  <c r="D184" i="112"/>
  <c r="C184" i="112"/>
  <c r="B184" i="112"/>
  <c r="AR47" i="112"/>
  <c r="AQ47" i="112"/>
  <c r="AP47" i="112"/>
  <c r="AO47" i="112"/>
  <c r="AN47" i="112"/>
  <c r="AM47" i="112"/>
  <c r="AL47" i="112"/>
  <c r="AK47" i="112"/>
  <c r="AJ47" i="112"/>
  <c r="AI47" i="112"/>
  <c r="AH47" i="112"/>
  <c r="AG47" i="112"/>
  <c r="AF47" i="112"/>
  <c r="AE47" i="112"/>
  <c r="AD47" i="112"/>
  <c r="AC47" i="112"/>
  <c r="AB47" i="112"/>
  <c r="AA47" i="112"/>
  <c r="Z47" i="112"/>
  <c r="Y47" i="112"/>
  <c r="X47" i="112"/>
  <c r="W47" i="112"/>
  <c r="V47" i="112"/>
  <c r="U47" i="112"/>
  <c r="T47" i="112"/>
  <c r="S47" i="112"/>
  <c r="R47" i="112"/>
  <c r="Q47" i="112"/>
  <c r="P47" i="112"/>
  <c r="O47" i="112"/>
  <c r="N47" i="112"/>
  <c r="M47" i="112"/>
  <c r="L47" i="112"/>
  <c r="K47" i="112"/>
  <c r="J47" i="112"/>
  <c r="I47" i="112"/>
  <c r="H47" i="112"/>
  <c r="G47" i="112"/>
  <c r="F47" i="112"/>
  <c r="E47" i="112"/>
  <c r="D47" i="112"/>
  <c r="C47" i="112"/>
  <c r="B47" i="112"/>
  <c r="S183" i="112" l="1"/>
  <c r="U183" i="112"/>
  <c r="W183" i="112"/>
  <c r="AA183" i="112"/>
  <c r="AC183" i="112"/>
  <c r="AG183" i="112"/>
  <c r="AO183" i="112"/>
  <c r="Y183" i="112"/>
  <c r="AK183" i="112"/>
  <c r="R183" i="112"/>
  <c r="V183" i="112"/>
  <c r="Z183" i="112"/>
  <c r="AD183" i="112"/>
  <c r="AH183" i="112"/>
  <c r="AL183" i="112"/>
  <c r="AP183" i="112"/>
  <c r="AE183" i="112"/>
  <c r="AI183" i="112"/>
  <c r="AM183" i="112"/>
  <c r="AQ183" i="112"/>
  <c r="T183" i="112"/>
  <c r="X183" i="112"/>
  <c r="AB183" i="112"/>
  <c r="AF183" i="112"/>
  <c r="AJ183" i="112"/>
  <c r="AN183" i="112"/>
  <c r="AR183" i="112"/>
  <c r="AT180" i="112"/>
  <c r="AT178" i="112"/>
  <c r="AT179" i="112"/>
  <c r="AT181" i="112"/>
  <c r="D101" i="112"/>
  <c r="E101" i="112"/>
  <c r="H179" i="112"/>
  <c r="X179" i="112"/>
  <c r="AN179" i="112"/>
  <c r="Q101" i="112"/>
  <c r="Q178" i="112"/>
  <c r="AC101" i="112"/>
  <c r="AC94" i="112" s="1"/>
  <c r="AC95" i="112" s="1"/>
  <c r="AC178" i="112"/>
  <c r="AO101" i="112"/>
  <c r="AO94" i="112" s="1"/>
  <c r="AO178" i="112"/>
  <c r="B101" i="112"/>
  <c r="C101" i="112"/>
  <c r="G178" i="112"/>
  <c r="G101" i="112"/>
  <c r="K178" i="112"/>
  <c r="K101" i="112"/>
  <c r="O178" i="112"/>
  <c r="O101" i="112"/>
  <c r="S178" i="112"/>
  <c r="S101" i="112"/>
  <c r="W178" i="112"/>
  <c r="W101" i="112"/>
  <c r="AA178" i="112"/>
  <c r="AA101" i="112"/>
  <c r="AA94" i="112" s="1"/>
  <c r="AA95" i="112" s="1"/>
  <c r="AE178" i="112"/>
  <c r="AE101" i="112"/>
  <c r="AE94" i="112" s="1"/>
  <c r="AI178" i="112"/>
  <c r="AI101" i="112"/>
  <c r="AI94" i="112" s="1"/>
  <c r="AM178" i="112"/>
  <c r="AM101" i="112"/>
  <c r="AM94" i="112" s="1"/>
  <c r="AQ101" i="112"/>
  <c r="AQ178" i="112"/>
  <c r="G179" i="112"/>
  <c r="K179" i="112"/>
  <c r="O179" i="112"/>
  <c r="S179" i="112"/>
  <c r="W179" i="112"/>
  <c r="AA179" i="112"/>
  <c r="AE179" i="112"/>
  <c r="AI179" i="112"/>
  <c r="AM179" i="112"/>
  <c r="AQ179" i="112"/>
  <c r="G180" i="112"/>
  <c r="K180" i="112"/>
  <c r="O180" i="112"/>
  <c r="S180" i="112"/>
  <c r="W180" i="112"/>
  <c r="AA180" i="112"/>
  <c r="AE180" i="112"/>
  <c r="AI180" i="112"/>
  <c r="AM180" i="112"/>
  <c r="AQ180" i="112"/>
  <c r="G181" i="112"/>
  <c r="K181" i="112"/>
  <c r="O181" i="112"/>
  <c r="S181" i="112"/>
  <c r="W181" i="112"/>
  <c r="AA181" i="112"/>
  <c r="AE181" i="112"/>
  <c r="AI181" i="112"/>
  <c r="AM181" i="112"/>
  <c r="AQ181" i="112"/>
  <c r="L179" i="112"/>
  <c r="P179" i="112"/>
  <c r="T179" i="112"/>
  <c r="AB179" i="112"/>
  <c r="AF179" i="112"/>
  <c r="AJ179" i="112"/>
  <c r="AR179" i="112"/>
  <c r="H180" i="112"/>
  <c r="L180" i="112"/>
  <c r="P180" i="112"/>
  <c r="T180" i="112"/>
  <c r="X180" i="112"/>
  <c r="AB180" i="112"/>
  <c r="AF180" i="112"/>
  <c r="AJ180" i="112"/>
  <c r="AN180" i="112"/>
  <c r="AR180" i="112"/>
  <c r="H181" i="112"/>
  <c r="L181" i="112"/>
  <c r="P181" i="112"/>
  <c r="T181" i="112"/>
  <c r="X181" i="112"/>
  <c r="AB181" i="112"/>
  <c r="AF181" i="112"/>
  <c r="AJ181" i="112"/>
  <c r="AN181" i="112"/>
  <c r="AR181" i="112"/>
  <c r="I101" i="112"/>
  <c r="I178" i="112"/>
  <c r="U101" i="112"/>
  <c r="U178" i="112"/>
  <c r="AG101" i="112"/>
  <c r="AG94" i="112" s="1"/>
  <c r="AG178" i="112"/>
  <c r="AS101" i="112"/>
  <c r="AS94" i="112" s="1"/>
  <c r="AS178" i="112"/>
  <c r="I179" i="112"/>
  <c r="M179" i="112"/>
  <c r="Q179" i="112"/>
  <c r="U179" i="112"/>
  <c r="Y179" i="112"/>
  <c r="AC179" i="112"/>
  <c r="AG179" i="112"/>
  <c r="AK179" i="112"/>
  <c r="AO179" i="112"/>
  <c r="AS179" i="112"/>
  <c r="I180" i="112"/>
  <c r="M180" i="112"/>
  <c r="Q180" i="112"/>
  <c r="U180" i="112"/>
  <c r="Y180" i="112"/>
  <c r="AC180" i="112"/>
  <c r="AG180" i="112"/>
  <c r="AK180" i="112"/>
  <c r="AO180" i="112"/>
  <c r="AS180" i="112"/>
  <c r="I181" i="112"/>
  <c r="M181" i="112"/>
  <c r="Q181" i="112"/>
  <c r="U181" i="112"/>
  <c r="Y181" i="112"/>
  <c r="AC181" i="112"/>
  <c r="AG181" i="112"/>
  <c r="AK181" i="112"/>
  <c r="AO181" i="112"/>
  <c r="AS181" i="112"/>
  <c r="H101" i="112"/>
  <c r="H178" i="112"/>
  <c r="L101" i="112"/>
  <c r="L178" i="112"/>
  <c r="P101" i="112"/>
  <c r="P178" i="112"/>
  <c r="T101" i="112"/>
  <c r="T178" i="112"/>
  <c r="X101" i="112"/>
  <c r="X178" i="112"/>
  <c r="AB101" i="112"/>
  <c r="AB94" i="112" s="1"/>
  <c r="AB95" i="112" s="1"/>
  <c r="AB178" i="112"/>
  <c r="AF101" i="112"/>
  <c r="AF94" i="112" s="1"/>
  <c r="AF178" i="112"/>
  <c r="AJ101" i="112"/>
  <c r="AJ94" i="112" s="1"/>
  <c r="AJ178" i="112"/>
  <c r="AN101" i="112"/>
  <c r="AN94" i="112" s="1"/>
  <c r="AN178" i="112"/>
  <c r="AR101" i="112"/>
  <c r="AR178" i="112"/>
  <c r="M101" i="112"/>
  <c r="M178" i="112"/>
  <c r="Y101" i="112"/>
  <c r="Y178" i="112"/>
  <c r="AK101" i="112"/>
  <c r="AK94" i="112" s="1"/>
  <c r="AK178" i="112"/>
  <c r="F101" i="112"/>
  <c r="F178" i="112"/>
  <c r="J101" i="112"/>
  <c r="J178" i="112"/>
  <c r="N101" i="112"/>
  <c r="N178" i="112"/>
  <c r="R101" i="112"/>
  <c r="R178" i="112"/>
  <c r="V101" i="112"/>
  <c r="V178" i="112"/>
  <c r="Z101" i="112"/>
  <c r="Z94" i="112" s="1"/>
  <c r="Z95" i="112" s="1"/>
  <c r="Z178" i="112"/>
  <c r="AD101" i="112"/>
  <c r="AD94" i="112" s="1"/>
  <c r="AD178" i="112"/>
  <c r="AH101" i="112"/>
  <c r="AH94" i="112" s="1"/>
  <c r="AH178" i="112"/>
  <c r="AL101" i="112"/>
  <c r="AL94" i="112" s="1"/>
  <c r="AL178" i="112"/>
  <c r="AP101" i="112"/>
  <c r="AP178" i="112"/>
  <c r="F179" i="112"/>
  <c r="J179" i="112"/>
  <c r="N179" i="112"/>
  <c r="R179" i="112"/>
  <c r="V179" i="112"/>
  <c r="Z179" i="112"/>
  <c r="AD179" i="112"/>
  <c r="AH179" i="112"/>
  <c r="AL179" i="112"/>
  <c r="AP179" i="112"/>
  <c r="F180" i="112"/>
  <c r="J180" i="112"/>
  <c r="N180" i="112"/>
  <c r="R180" i="112"/>
  <c r="V180" i="112"/>
  <c r="Z180" i="112"/>
  <c r="AD180" i="112"/>
  <c r="AH180" i="112"/>
  <c r="AL180" i="112"/>
  <c r="AP180" i="112"/>
  <c r="F181" i="112"/>
  <c r="J181" i="112"/>
  <c r="N181" i="112"/>
  <c r="R181" i="112"/>
  <c r="V181" i="112"/>
  <c r="Z181" i="112"/>
  <c r="AD181" i="112"/>
  <c r="AH181" i="112"/>
  <c r="AL181" i="112"/>
  <c r="AP181" i="112"/>
  <c r="AP94" i="112" l="1"/>
  <c r="AP95" i="112" s="1"/>
  <c r="AI95" i="112"/>
  <c r="AG95" i="112"/>
  <c r="AD95" i="112"/>
  <c r="AJ95" i="112"/>
  <c r="AR94" i="112"/>
  <c r="AQ94" i="112"/>
  <c r="AN95" i="112"/>
  <c r="AM95" i="112"/>
  <c r="AO95" i="112"/>
  <c r="AL95" i="112"/>
  <c r="AK95" i="112"/>
  <c r="AF95" i="112"/>
  <c r="AE95" i="112"/>
  <c r="AH95" i="112"/>
  <c r="AW95" i="112"/>
  <c r="AS95" i="112"/>
  <c r="AV113" i="112"/>
  <c r="AV111" i="112" s="1"/>
  <c r="AV116" i="112" s="1"/>
  <c r="AV117" i="112" s="1"/>
  <c r="AV178" i="8" s="1"/>
  <c r="AW113" i="112"/>
  <c r="AW111" i="112" s="1"/>
  <c r="AW116" i="112" s="1"/>
  <c r="AW117" i="112" s="1"/>
  <c r="AW178" i="8" s="1"/>
  <c r="AT113" i="112"/>
  <c r="AT111" i="112" s="1"/>
  <c r="AJ177" i="112"/>
  <c r="AJ197" i="112" s="1"/>
  <c r="AJ144" i="8" s="1"/>
  <c r="AD177" i="112"/>
  <c r="AD197" i="112" s="1"/>
  <c r="AD144" i="8" s="1"/>
  <c r="AG177" i="112"/>
  <c r="AG197" i="112" s="1"/>
  <c r="AG144" i="8" s="1"/>
  <c r="AI177" i="112"/>
  <c r="AI197" i="112" s="1"/>
  <c r="AI144" i="8" s="1"/>
  <c r="S177" i="112"/>
  <c r="S197" i="112" s="1"/>
  <c r="AN177" i="112"/>
  <c r="AN197" i="112" s="1"/>
  <c r="AP177" i="112"/>
  <c r="AP197" i="112" s="1"/>
  <c r="Z177" i="112"/>
  <c r="Z197" i="112" s="1"/>
  <c r="Z144" i="8" s="1"/>
  <c r="AS177" i="112"/>
  <c r="AS197" i="112" s="1"/>
  <c r="AC177" i="112"/>
  <c r="AC197" i="112" s="1"/>
  <c r="AC144" i="8" s="1"/>
  <c r="AF177" i="112"/>
  <c r="AF197" i="112" s="1"/>
  <c r="AF144" i="8" s="1"/>
  <c r="AE177" i="112"/>
  <c r="AE197" i="112" s="1"/>
  <c r="AE144" i="8" s="1"/>
  <c r="X177" i="112"/>
  <c r="X197" i="112" s="1"/>
  <c r="X144" i="8" s="1"/>
  <c r="AL177" i="112"/>
  <c r="AL197" i="112" s="1"/>
  <c r="V177" i="112"/>
  <c r="V197" i="112" s="1"/>
  <c r="V144" i="8" s="1"/>
  <c r="AO177" i="112"/>
  <c r="AO197" i="112" s="1"/>
  <c r="Y177" i="112"/>
  <c r="Y197" i="112" s="1"/>
  <c r="Y144" i="8" s="1"/>
  <c r="AB177" i="112"/>
  <c r="AB197" i="112" s="1"/>
  <c r="AB144" i="8" s="1"/>
  <c r="AQ177" i="112"/>
  <c r="AQ197" i="112" s="1"/>
  <c r="AA177" i="112"/>
  <c r="AA197" i="112" s="1"/>
  <c r="AA144" i="8" s="1"/>
  <c r="AH177" i="112"/>
  <c r="AH197" i="112" s="1"/>
  <c r="AH144" i="8" s="1"/>
  <c r="R177" i="112"/>
  <c r="R197" i="112" s="1"/>
  <c r="AK177" i="112"/>
  <c r="AK197" i="112" s="1"/>
  <c r="AK144" i="8" s="1"/>
  <c r="U177" i="112"/>
  <c r="U197" i="112" s="1"/>
  <c r="U144" i="8" s="1"/>
  <c r="AR177" i="112"/>
  <c r="AR197" i="112" s="1"/>
  <c r="T177" i="112"/>
  <c r="T197" i="112" s="1"/>
  <c r="AM177" i="112"/>
  <c r="AM197" i="112" s="1"/>
  <c r="W177" i="112"/>
  <c r="W197" i="112" s="1"/>
  <c r="W144" i="8" s="1"/>
  <c r="AT177" i="112"/>
  <c r="AT197" i="112" s="1"/>
  <c r="H113" i="112"/>
  <c r="H111" i="112" s="1"/>
  <c r="H116" i="112" s="1"/>
  <c r="H117" i="112" s="1"/>
  <c r="I113" i="112"/>
  <c r="I111" i="112" s="1"/>
  <c r="I116" i="112" s="1"/>
  <c r="I117" i="112" s="1"/>
  <c r="AS113" i="112"/>
  <c r="AS111" i="112" s="1"/>
  <c r="AS116" i="112" s="1"/>
  <c r="AS117" i="112" s="1"/>
  <c r="U113" i="112"/>
  <c r="U111" i="112" s="1"/>
  <c r="U116" i="112" s="1"/>
  <c r="U117" i="112" s="1"/>
  <c r="AG113" i="112"/>
  <c r="AG111" i="112" s="1"/>
  <c r="AG116" i="112" s="1"/>
  <c r="AG117" i="112" s="1"/>
  <c r="Y113" i="112"/>
  <c r="Y111" i="112" s="1"/>
  <c r="Y116" i="112" s="1"/>
  <c r="Y117" i="112" s="1"/>
  <c r="AM113" i="112"/>
  <c r="AM111" i="112" s="1"/>
  <c r="AM116" i="112" s="1"/>
  <c r="AM117" i="112" s="1"/>
  <c r="AE113" i="112"/>
  <c r="AE111" i="112" s="1"/>
  <c r="AE116" i="112" s="1"/>
  <c r="AE117" i="112" s="1"/>
  <c r="W113" i="112"/>
  <c r="W111" i="112" s="1"/>
  <c r="W116" i="112" s="1"/>
  <c r="W117" i="112" s="1"/>
  <c r="O113" i="112"/>
  <c r="O111" i="112" s="1"/>
  <c r="O116" i="112" s="1"/>
  <c r="O117" i="112" s="1"/>
  <c r="G113" i="112"/>
  <c r="G111" i="112" s="1"/>
  <c r="G116" i="112" s="1"/>
  <c r="G117" i="112" s="1"/>
  <c r="M113" i="112"/>
  <c r="M111" i="112" s="1"/>
  <c r="AJ113" i="112"/>
  <c r="AJ111" i="112" s="1"/>
  <c r="AJ116" i="112" s="1"/>
  <c r="AJ117" i="112" s="1"/>
  <c r="AP113" i="112"/>
  <c r="AP111" i="112" s="1"/>
  <c r="AP116" i="112" s="1"/>
  <c r="AP117" i="112" s="1"/>
  <c r="AH113" i="112"/>
  <c r="AH111" i="112" s="1"/>
  <c r="AH116" i="112" s="1"/>
  <c r="AH117" i="112" s="1"/>
  <c r="Z113" i="112"/>
  <c r="Z111" i="112" s="1"/>
  <c r="Z116" i="112" s="1"/>
  <c r="Z117" i="112" s="1"/>
  <c r="R113" i="112"/>
  <c r="R111" i="112" s="1"/>
  <c r="R116" i="112" s="1"/>
  <c r="R117" i="112" s="1"/>
  <c r="J113" i="112"/>
  <c r="J111" i="112" s="1"/>
  <c r="J116" i="112" s="1"/>
  <c r="J117" i="112" s="1"/>
  <c r="AK113" i="112"/>
  <c r="AK111" i="112" s="1"/>
  <c r="AR113" i="112"/>
  <c r="AR111" i="112" s="1"/>
  <c r="AR116" i="112" s="1"/>
  <c r="AR117" i="112" s="1"/>
  <c r="AB113" i="112"/>
  <c r="AB111" i="112" s="1"/>
  <c r="AB116" i="112" s="1"/>
  <c r="AB117" i="112" s="1"/>
  <c r="T113" i="112"/>
  <c r="T111" i="112" s="1"/>
  <c r="T116" i="112" s="1"/>
  <c r="T117" i="112" s="1"/>
  <c r="L113" i="112"/>
  <c r="L111" i="112" s="1"/>
  <c r="AI113" i="112"/>
  <c r="AI111" i="112" s="1"/>
  <c r="AA113" i="112"/>
  <c r="AA111" i="112" s="1"/>
  <c r="S113" i="112"/>
  <c r="S111" i="112" s="1"/>
  <c r="K113" i="112"/>
  <c r="K111" i="112" s="1"/>
  <c r="AL113" i="112"/>
  <c r="AL111" i="112" s="1"/>
  <c r="AD113" i="112"/>
  <c r="AD111" i="112" s="1"/>
  <c r="V113" i="112"/>
  <c r="V111" i="112" s="1"/>
  <c r="N113" i="112"/>
  <c r="N111" i="112" s="1"/>
  <c r="AN113" i="112"/>
  <c r="AN111" i="112" s="1"/>
  <c r="AF113" i="112"/>
  <c r="AF111" i="112" s="1"/>
  <c r="X113" i="112"/>
  <c r="X111" i="112" s="1"/>
  <c r="P113" i="112"/>
  <c r="P111" i="112" s="1"/>
  <c r="AQ113" i="112"/>
  <c r="AQ111" i="112" s="1"/>
  <c r="AC113" i="112"/>
  <c r="AC111" i="112" s="1"/>
  <c r="AO113" i="112"/>
  <c r="AO111" i="112" s="1"/>
  <c r="Q113" i="112"/>
  <c r="Q111" i="112" s="1"/>
  <c r="AT95" i="112" l="1"/>
  <c r="AT116" i="112"/>
  <c r="AT117" i="112" s="1"/>
  <c r="AT178" i="8" s="1"/>
  <c r="AT179" i="8" s="1"/>
  <c r="AX114" i="112"/>
  <c r="AQ95" i="112"/>
  <c r="AR95" i="112"/>
  <c r="AW179" i="8"/>
  <c r="AW180" i="8"/>
  <c r="AW114" i="112"/>
  <c r="AV180" i="8"/>
  <c r="AV179" i="8"/>
  <c r="AV114" i="112"/>
  <c r="L114" i="112"/>
  <c r="M114" i="112"/>
  <c r="AT114" i="112"/>
  <c r="U114" i="112"/>
  <c r="Y114" i="112"/>
  <c r="AG114" i="112"/>
  <c r="Z114" i="112"/>
  <c r="W114" i="112"/>
  <c r="AJ114" i="112"/>
  <c r="M116" i="112"/>
  <c r="M117" i="112" s="1"/>
  <c r="O114" i="112"/>
  <c r="AB114" i="112"/>
  <c r="R114" i="112"/>
  <c r="AK114" i="112"/>
  <c r="AP114" i="112"/>
  <c r="AK116" i="112"/>
  <c r="AK117" i="112" s="1"/>
  <c r="AE114" i="112"/>
  <c r="AM114" i="112"/>
  <c r="L116" i="112"/>
  <c r="L117" i="112" s="1"/>
  <c r="AO114" i="112"/>
  <c r="AO116" i="112"/>
  <c r="AO117" i="112" s="1"/>
  <c r="AN114" i="112"/>
  <c r="AN116" i="112"/>
  <c r="AN117" i="112" s="1"/>
  <c r="AD114" i="112"/>
  <c r="AD116" i="112"/>
  <c r="AD117" i="112" s="1"/>
  <c r="AA114" i="112"/>
  <c r="AA116" i="112"/>
  <c r="AA117" i="112" s="1"/>
  <c r="AS114" i="112"/>
  <c r="AR114" i="112"/>
  <c r="AH114" i="112"/>
  <c r="P116" i="112"/>
  <c r="P117" i="112" s="1"/>
  <c r="P114" i="112"/>
  <c r="AL114" i="112"/>
  <c r="AL116" i="112"/>
  <c r="AL117" i="112" s="1"/>
  <c r="AI114" i="112"/>
  <c r="AI116" i="112"/>
  <c r="AI117" i="112" s="1"/>
  <c r="X116" i="112"/>
  <c r="X117" i="112" s="1"/>
  <c r="X114" i="112"/>
  <c r="N114" i="112"/>
  <c r="N116" i="112"/>
  <c r="N117" i="112" s="1"/>
  <c r="K114" i="112"/>
  <c r="K116" i="112"/>
  <c r="K117" i="112" s="1"/>
  <c r="T114" i="112"/>
  <c r="AC114" i="112"/>
  <c r="AC116" i="112"/>
  <c r="AC117" i="112" s="1"/>
  <c r="Q114" i="112"/>
  <c r="Q116" i="112"/>
  <c r="Q117" i="112" s="1"/>
  <c r="AQ114" i="112"/>
  <c r="AQ116" i="112"/>
  <c r="AQ117" i="112" s="1"/>
  <c r="AF116" i="112"/>
  <c r="AF117" i="112" s="1"/>
  <c r="AF114" i="112"/>
  <c r="V114" i="112"/>
  <c r="V116" i="112"/>
  <c r="V117" i="112" s="1"/>
  <c r="S114" i="112"/>
  <c r="S116" i="112"/>
  <c r="S117" i="112" s="1"/>
  <c r="B135" i="27"/>
  <c r="AT180" i="8" l="1"/>
  <c r="AR104" i="4" l="1"/>
  <c r="AR98" i="4"/>
  <c r="AR97" i="4"/>
  <c r="AR96" i="4"/>
  <c r="AR95" i="4"/>
  <c r="AR77" i="4"/>
  <c r="AR76" i="4"/>
  <c r="AR75" i="4"/>
  <c r="AR74" i="4"/>
  <c r="AR73" i="4"/>
  <c r="AR70" i="4"/>
  <c r="AR69" i="4"/>
  <c r="AR68" i="4"/>
  <c r="AS137" i="4" s="1"/>
  <c r="AR66" i="4"/>
  <c r="AR64" i="4"/>
  <c r="AR52" i="4"/>
  <c r="AR48" i="4"/>
  <c r="AR47" i="4"/>
  <c r="AR45" i="4"/>
  <c r="AR311" i="112" s="1"/>
  <c r="AR43" i="4"/>
  <c r="AR42" i="4"/>
  <c r="AR41" i="4"/>
  <c r="AR40" i="4"/>
  <c r="AR39" i="4"/>
  <c r="AR38" i="4"/>
  <c r="AR32" i="4"/>
  <c r="AR27" i="4"/>
  <c r="AR26" i="4"/>
  <c r="AR25" i="4"/>
  <c r="AR17" i="4"/>
  <c r="AR14" i="4"/>
  <c r="AR5" i="4"/>
  <c r="AS30" i="2"/>
  <c r="AS60" i="2"/>
  <c r="AS100" i="2"/>
  <c r="AR10" i="4"/>
  <c r="AR7" i="4"/>
  <c r="AR156" i="2"/>
  <c r="AR152" i="2"/>
  <c r="AR153" i="2" s="1"/>
  <c r="AR150" i="2"/>
  <c r="AR143" i="2"/>
  <c r="AR134" i="2"/>
  <c r="AR127" i="2"/>
  <c r="AR100" i="2"/>
  <c r="AR95" i="2"/>
  <c r="AS92" i="2" s="1"/>
  <c r="AS93" i="2" s="1"/>
  <c r="AR80" i="2"/>
  <c r="AR60" i="2"/>
  <c r="AR30" i="2"/>
  <c r="AR69" i="8"/>
  <c r="AR68" i="8"/>
  <c r="AR63" i="8"/>
  <c r="AR59" i="8"/>
  <c r="AR58" i="8"/>
  <c r="AR53" i="8"/>
  <c r="AR49" i="8"/>
  <c r="AR48" i="8"/>
  <c r="AR43" i="8"/>
  <c r="AR38" i="8"/>
  <c r="AR37" i="8"/>
  <c r="AR32" i="8"/>
  <c r="AR28" i="8"/>
  <c r="AR27" i="8"/>
  <c r="AR21" i="8"/>
  <c r="AR17" i="8"/>
  <c r="AR16" i="8"/>
  <c r="AR11" i="8"/>
  <c r="AY41" i="60"/>
  <c r="AY39" i="60"/>
  <c r="AX36" i="60"/>
  <c r="AY33" i="60"/>
  <c r="AQ127" i="4" s="1"/>
  <c r="AY29" i="60"/>
  <c r="AZ29" i="60" s="1"/>
  <c r="AY28" i="60"/>
  <c r="AX25" i="60"/>
  <c r="AY23" i="60"/>
  <c r="AY22" i="60"/>
  <c r="AQ120" i="4" s="1"/>
  <c r="AY21" i="60"/>
  <c r="AY17" i="60"/>
  <c r="AX16" i="60"/>
  <c r="AY15" i="60"/>
  <c r="AY14" i="60"/>
  <c r="AQ112" i="4" s="1"/>
  <c r="AY13" i="60"/>
  <c r="AQ111" i="4" s="1"/>
  <c r="AX11" i="60"/>
  <c r="AY10" i="60"/>
  <c r="AY9" i="60"/>
  <c r="AY8" i="60"/>
  <c r="AQ107" i="4" s="1"/>
  <c r="AY5" i="60"/>
  <c r="AZ5" i="60" s="1"/>
  <c r="AN55" i="59"/>
  <c r="AN50" i="59"/>
  <c r="AN43" i="59"/>
  <c r="AN45" i="59" s="1"/>
  <c r="AN37" i="59"/>
  <c r="AN32" i="59"/>
  <c r="AN13" i="59"/>
  <c r="AN18" i="59" s="1"/>
  <c r="AN9" i="59"/>
  <c r="AN10" i="59" s="1"/>
  <c r="AR55" i="59"/>
  <c r="AS55" i="59" s="1"/>
  <c r="AT55" i="59" s="1"/>
  <c r="AU55" i="59" s="1"/>
  <c r="AV55" i="59" s="1"/>
  <c r="AW55" i="59" s="1"/>
  <c r="AX55" i="59" s="1"/>
  <c r="AY55" i="59" s="1"/>
  <c r="AZ55" i="59" s="1"/>
  <c r="BA55" i="59" s="1"/>
  <c r="BB55" i="59" s="1"/>
  <c r="AR43" i="59"/>
  <c r="AR45" i="59" s="1"/>
  <c r="AR37" i="59"/>
  <c r="AR32" i="59"/>
  <c r="AR13" i="59"/>
  <c r="AR18" i="59" s="1"/>
  <c r="AR9" i="59"/>
  <c r="AR10" i="59" s="1"/>
  <c r="AS479" i="94"/>
  <c r="AS463" i="94"/>
  <c r="AS422" i="94"/>
  <c r="AS421" i="94"/>
  <c r="AS419" i="94"/>
  <c r="AS418" i="94"/>
  <c r="AS325" i="94"/>
  <c r="AS318" i="94"/>
  <c r="AS316" i="94"/>
  <c r="AS315" i="94"/>
  <c r="AS205" i="94"/>
  <c r="AS204" i="94"/>
  <c r="AS203" i="94"/>
  <c r="AS202" i="94"/>
  <c r="AS201" i="94"/>
  <c r="AS200" i="94"/>
  <c r="AS199" i="94"/>
  <c r="AS198" i="94"/>
  <c r="AS197" i="94"/>
  <c r="AS196" i="94"/>
  <c r="AS476" i="94"/>
  <c r="AR225" i="112" s="1"/>
  <c r="AS429" i="94"/>
  <c r="AS420" i="94" s="1"/>
  <c r="AS404" i="94"/>
  <c r="AS406" i="94" s="1"/>
  <c r="AS413" i="94" s="1"/>
  <c r="AS255" i="94"/>
  <c r="AS254" i="94"/>
  <c r="AS252" i="94"/>
  <c r="AS251" i="94"/>
  <c r="AS250" i="94"/>
  <c r="AS249" i="94"/>
  <c r="AS248" i="94"/>
  <c r="AS247" i="94"/>
  <c r="AS238" i="94"/>
  <c r="AS237" i="94"/>
  <c r="AS236" i="94"/>
  <c r="AS235" i="94"/>
  <c r="AS234" i="94"/>
  <c r="AS233" i="94"/>
  <c r="AS232" i="94"/>
  <c r="AS231" i="94"/>
  <c r="AS230" i="94"/>
  <c r="AS228" i="94"/>
  <c r="AS193" i="94"/>
  <c r="AS180" i="94"/>
  <c r="AS154" i="94"/>
  <c r="AR154" i="94"/>
  <c r="AS141" i="94"/>
  <c r="AR141" i="94"/>
  <c r="AS113" i="94"/>
  <c r="AS110" i="94"/>
  <c r="AS253" i="94" s="1"/>
  <c r="AS106" i="94"/>
  <c r="AS246" i="94" s="1"/>
  <c r="AS105" i="94"/>
  <c r="AS245" i="94" s="1"/>
  <c r="AS104" i="94"/>
  <c r="AS244" i="94" s="1"/>
  <c r="AS87" i="94"/>
  <c r="AS84" i="94"/>
  <c r="AS80" i="94"/>
  <c r="AS79" i="94"/>
  <c r="AS78" i="94"/>
  <c r="AS74" i="94"/>
  <c r="AR74" i="94"/>
  <c r="AS63" i="94"/>
  <c r="AR63" i="94"/>
  <c r="AO38" i="94"/>
  <c r="AO14" i="94"/>
  <c r="AO35" i="58"/>
  <c r="AO31" i="58"/>
  <c r="AO13" i="58"/>
  <c r="AO8" i="58"/>
  <c r="AO6" i="58"/>
  <c r="AZ9" i="60" l="1"/>
  <c r="AR108" i="4" s="1"/>
  <c r="AQ108" i="4"/>
  <c r="AZ15" i="60"/>
  <c r="AR113" i="4" s="1"/>
  <c r="AQ113" i="4"/>
  <c r="AY16" i="60"/>
  <c r="AQ114" i="4" s="1"/>
  <c r="AP114" i="4"/>
  <c r="AZ17" i="60"/>
  <c r="AR115" i="4" s="1"/>
  <c r="AQ115" i="4"/>
  <c r="AZ21" i="60"/>
  <c r="AR119" i="4" s="1"/>
  <c r="AQ119" i="4"/>
  <c r="AZ23" i="60"/>
  <c r="AR121" i="4" s="1"/>
  <c r="AQ121" i="4"/>
  <c r="AZ28" i="60"/>
  <c r="AR128" i="4" s="1"/>
  <c r="AQ128" i="4"/>
  <c r="AQ132" i="4" s="1"/>
  <c r="AQ138" i="4"/>
  <c r="AR116" i="2"/>
  <c r="AR57" i="2"/>
  <c r="AR148" i="2"/>
  <c r="AR151" i="2" s="1"/>
  <c r="AS206" i="94"/>
  <c r="AR245" i="112"/>
  <c r="AV6" i="4"/>
  <c r="AZ8" i="60"/>
  <c r="AR107" i="4" s="1"/>
  <c r="AS440" i="94"/>
  <c r="AZ512" i="111" s="1"/>
  <c r="BA528" i="111" s="1"/>
  <c r="AS220" i="94"/>
  <c r="AS221" i="94"/>
  <c r="AS213" i="94"/>
  <c r="AS369" i="94" s="1"/>
  <c r="AS217" i="94"/>
  <c r="AZ428" i="111"/>
  <c r="AS226" i="112"/>
  <c r="BA5" i="60"/>
  <c r="BA29" i="60"/>
  <c r="AZ13" i="60"/>
  <c r="AR111" i="4" s="1"/>
  <c r="AZ33" i="60"/>
  <c r="AR127" i="4" s="1"/>
  <c r="AZ41" i="60"/>
  <c r="AS216" i="94"/>
  <c r="AS372" i="94" s="1"/>
  <c r="AZ14" i="60"/>
  <c r="AR112" i="4" s="1"/>
  <c r="AZ22" i="60"/>
  <c r="AR120" i="4" s="1"/>
  <c r="AZ39" i="60"/>
  <c r="BA39" i="60" s="1"/>
  <c r="AZ10" i="60"/>
  <c r="AY25" i="60"/>
  <c r="AY36" i="60"/>
  <c r="AR285" i="94"/>
  <c r="AS321" i="94"/>
  <c r="AR123" i="112"/>
  <c r="AZ495" i="111"/>
  <c r="AS289" i="94"/>
  <c r="AS317" i="94"/>
  <c r="AS439" i="94" s="1"/>
  <c r="AS322" i="94"/>
  <c r="AR282" i="94"/>
  <c r="AR289" i="94"/>
  <c r="AS282" i="94"/>
  <c r="AR284" i="94"/>
  <c r="AS312" i="94"/>
  <c r="AS323" i="94"/>
  <c r="AR58" i="112"/>
  <c r="AZ493" i="111"/>
  <c r="AR278" i="94"/>
  <c r="AR287" i="94"/>
  <c r="AS314" i="94"/>
  <c r="AS437" i="94" s="1"/>
  <c r="AS278" i="94"/>
  <c r="AS285" i="94"/>
  <c r="AR277" i="94"/>
  <c r="AR279" i="94"/>
  <c r="AR286" i="94"/>
  <c r="AR288" i="94"/>
  <c r="AS319" i="94"/>
  <c r="AS277" i="94"/>
  <c r="AS279" i="94"/>
  <c r="AS284" i="94"/>
  <c r="AS286" i="94"/>
  <c r="AS288" i="94"/>
  <c r="AS313" i="94"/>
  <c r="AS320" i="94"/>
  <c r="AS324" i="94"/>
  <c r="AR207" i="112"/>
  <c r="AR244" i="8" s="1"/>
  <c r="AZ494" i="111"/>
  <c r="AN46" i="59"/>
  <c r="AR71" i="4"/>
  <c r="AR72" i="4" s="1"/>
  <c r="AR19" i="59"/>
  <c r="AR78" i="4"/>
  <c r="AR189" i="112"/>
  <c r="AS76" i="2"/>
  <c r="AS77" i="2" s="1"/>
  <c r="AS94" i="2"/>
  <c r="AR16" i="4"/>
  <c r="AR15" i="4" s="1"/>
  <c r="AS110" i="8"/>
  <c r="AS115" i="8"/>
  <c r="AS121" i="8"/>
  <c r="AS126" i="8"/>
  <c r="AS132" i="8"/>
  <c r="AS137" i="8"/>
  <c r="AS33" i="2"/>
  <c r="AS287" i="94"/>
  <c r="AS351" i="94"/>
  <c r="AS423" i="94"/>
  <c r="AO12" i="58"/>
  <c r="AS211" i="94"/>
  <c r="AS215" i="94"/>
  <c r="AS219" i="94"/>
  <c r="AR142" i="2"/>
  <c r="AR97" i="2"/>
  <c r="AR37" i="4"/>
  <c r="AZ545" i="111" s="1"/>
  <c r="AR60" i="4"/>
  <c r="AR46" i="59"/>
  <c r="AR98" i="2"/>
  <c r="AR9" i="4"/>
  <c r="AR31" i="4" s="1"/>
  <c r="AR29" i="4"/>
  <c r="AR99" i="4"/>
  <c r="AR125" i="2"/>
  <c r="AR163" i="2"/>
  <c r="AR126" i="2"/>
  <c r="AR164" i="2"/>
  <c r="AR12" i="8"/>
  <c r="AR22" i="8"/>
  <c r="AR33" i="8"/>
  <c r="AR44" i="8"/>
  <c r="AR54" i="8"/>
  <c r="AR64" i="8"/>
  <c r="AR11" i="4"/>
  <c r="AV13" i="4" s="1"/>
  <c r="AR13" i="8"/>
  <c r="AR18" i="8"/>
  <c r="AR23" i="8"/>
  <c r="AR29" i="8"/>
  <c r="AR34" i="8"/>
  <c r="AR39" i="8"/>
  <c r="AR45" i="8"/>
  <c r="AR50" i="8"/>
  <c r="AR55" i="8"/>
  <c r="AR60" i="8"/>
  <c r="AR65" i="8"/>
  <c r="AR70" i="8"/>
  <c r="AX6" i="60"/>
  <c r="AX12" i="60" s="1"/>
  <c r="AX18" i="60" s="1"/>
  <c r="AY11" i="60"/>
  <c r="AY6" i="60" s="1"/>
  <c r="AN19" i="59"/>
  <c r="AS214" i="94"/>
  <c r="AS370" i="94" s="1"/>
  <c r="AS353" i="94"/>
  <c r="AS410" i="94"/>
  <c r="AS218" i="94"/>
  <c r="AS350" i="94"/>
  <c r="AS411" i="94"/>
  <c r="AS432" i="94"/>
  <c r="AS412" i="94"/>
  <c r="AS360" i="94"/>
  <c r="AR138" i="4" l="1"/>
  <c r="AR145" i="2"/>
  <c r="AS139" i="2"/>
  <c r="BA15" i="60"/>
  <c r="AS113" i="4" s="1"/>
  <c r="AR132" i="4"/>
  <c r="BA23" i="60"/>
  <c r="AS121" i="4" s="1"/>
  <c r="AZ16" i="60"/>
  <c r="AR114" i="4" s="1"/>
  <c r="BA17" i="60"/>
  <c r="AS115" i="4" s="1"/>
  <c r="AO19" i="58"/>
  <c r="AO22" i="58" s="1"/>
  <c r="BA28" i="60"/>
  <c r="AS128" i="4" s="1"/>
  <c r="BA21" i="60"/>
  <c r="AS119" i="4" s="1"/>
  <c r="AQ123" i="4"/>
  <c r="AR123" i="4"/>
  <c r="AX38" i="60"/>
  <c r="BA10" i="60"/>
  <c r="AR189" i="8"/>
  <c r="AR125" i="112"/>
  <c r="AR238" i="8"/>
  <c r="AR60" i="112"/>
  <c r="AR232" i="8"/>
  <c r="BA8" i="60"/>
  <c r="AZ25" i="60"/>
  <c r="AR284" i="112"/>
  <c r="AS377" i="94"/>
  <c r="AR300" i="112"/>
  <c r="AR224" i="8" s="1"/>
  <c r="AR241" i="112"/>
  <c r="AZ454" i="111"/>
  <c r="AR309" i="112"/>
  <c r="AR238" i="112"/>
  <c r="AZ438" i="111" s="1"/>
  <c r="AR296" i="112"/>
  <c r="AR297" i="112" s="1"/>
  <c r="AR288" i="112"/>
  <c r="AS457" i="94"/>
  <c r="AZ520" i="111" s="1"/>
  <c r="AS376" i="94"/>
  <c r="AS326" i="94"/>
  <c r="AS343" i="94" s="1"/>
  <c r="AS352" i="94"/>
  <c r="AS438" i="94"/>
  <c r="AZ510" i="111" s="1"/>
  <c r="AR8" i="4"/>
  <c r="AR30" i="4" s="1"/>
  <c r="AV190" i="112"/>
  <c r="AS389" i="94"/>
  <c r="AS436" i="94"/>
  <c r="AS453" i="94" s="1"/>
  <c r="AZ516" i="111" s="1"/>
  <c r="AS373" i="94"/>
  <c r="BA33" i="60"/>
  <c r="AS354" i="94"/>
  <c r="AS349" i="94"/>
  <c r="BA13" i="60"/>
  <c r="AS111" i="4" s="1"/>
  <c r="AS347" i="94"/>
  <c r="BA41" i="60"/>
  <c r="AZ36" i="60"/>
  <c r="BA14" i="60"/>
  <c r="AS112" i="4" s="1"/>
  <c r="AS355" i="94"/>
  <c r="AS359" i="94"/>
  <c r="AS375" i="94"/>
  <c r="AS348" i="94"/>
  <c r="BA22" i="60"/>
  <c r="AS120" i="4" s="1"/>
  <c r="AY12" i="60"/>
  <c r="AY18" i="60" s="1"/>
  <c r="AS358" i="94"/>
  <c r="AS356" i="94"/>
  <c r="AS374" i="94"/>
  <c r="AS367" i="94"/>
  <c r="AS371" i="94"/>
  <c r="AS387" i="94"/>
  <c r="AZ498" i="111"/>
  <c r="AZ500" i="111"/>
  <c r="AZ509" i="111"/>
  <c r="AZ511" i="111"/>
  <c r="AS291" i="94"/>
  <c r="AS303" i="94" s="1"/>
  <c r="AR100" i="4"/>
  <c r="AR79" i="4"/>
  <c r="AR267" i="112"/>
  <c r="AR247" i="112"/>
  <c r="AR209" i="112"/>
  <c r="AZ461" i="111"/>
  <c r="AR203" i="112"/>
  <c r="AS157" i="2"/>
  <c r="AS128" i="8"/>
  <c r="AS127" i="8"/>
  <c r="AS123" i="8"/>
  <c r="AS122" i="8"/>
  <c r="AS139" i="8"/>
  <c r="AS138" i="8"/>
  <c r="AS134" i="8"/>
  <c r="AS133" i="8"/>
  <c r="AS117" i="8"/>
  <c r="AS116" i="8"/>
  <c r="AS112" i="8"/>
  <c r="AS111" i="8"/>
  <c r="AS357" i="94"/>
  <c r="AR291" i="94"/>
  <c r="AS414" i="94"/>
  <c r="AR18" i="4"/>
  <c r="AR20" i="4"/>
  <c r="AR12" i="4"/>
  <c r="AZ477" i="111" s="1"/>
  <c r="AZ11" i="60"/>
  <c r="AZ6" i="60" s="1"/>
  <c r="AZ12" i="60" s="1"/>
  <c r="AS454" i="94"/>
  <c r="AZ517" i="111" s="1"/>
  <c r="AS386" i="94"/>
  <c r="AS456" i="94"/>
  <c r="AZ519" i="111" s="1"/>
  <c r="AS138" i="4" l="1"/>
  <c r="T29" i="76" s="1"/>
  <c r="AR66" i="112"/>
  <c r="BA16" i="60"/>
  <c r="AS114" i="4" s="1"/>
  <c r="AZ18" i="60"/>
  <c r="AO38" i="58"/>
  <c r="AS123" i="4"/>
  <c r="AS43" i="2"/>
  <c r="AS127" i="4"/>
  <c r="AS132" i="4" s="1"/>
  <c r="AS107" i="4"/>
  <c r="AY38" i="60"/>
  <c r="AZ563" i="111"/>
  <c r="BA36" i="60"/>
  <c r="AV190" i="8"/>
  <c r="AZ481" i="111"/>
  <c r="AS394" i="94"/>
  <c r="AS441" i="94"/>
  <c r="AS446" i="94" s="1"/>
  <c r="AS338" i="94"/>
  <c r="AS337" i="94"/>
  <c r="AS335" i="94"/>
  <c r="AS341" i="94"/>
  <c r="AS342" i="94"/>
  <c r="AS336" i="94"/>
  <c r="AS340" i="94"/>
  <c r="AS330" i="94"/>
  <c r="AS333" i="94"/>
  <c r="AS331" i="94"/>
  <c r="AZ508" i="111"/>
  <c r="BA524" i="111" s="1"/>
  <c r="AS332" i="94"/>
  <c r="AS339" i="94"/>
  <c r="AS334" i="94"/>
  <c r="AS455" i="94"/>
  <c r="AZ518" i="111" s="1"/>
  <c r="AR285" i="112"/>
  <c r="AR209" i="8" s="1"/>
  <c r="AR210" i="8" s="1"/>
  <c r="AS390" i="94"/>
  <c r="AS388" i="94"/>
  <c r="AS393" i="94"/>
  <c r="AR302" i="112"/>
  <c r="AS42" i="2"/>
  <c r="AS31" i="2" s="1"/>
  <c r="AZ448" i="111"/>
  <c r="AZ465" i="111"/>
  <c r="AR192" i="112"/>
  <c r="AV193" i="112" s="1"/>
  <c r="AV204" i="112"/>
  <c r="BA25" i="60"/>
  <c r="AS392" i="94"/>
  <c r="AS384" i="94"/>
  <c r="AS391" i="94"/>
  <c r="AS49" i="2"/>
  <c r="AS50" i="2" s="1"/>
  <c r="BA11" i="60"/>
  <c r="AS109" i="4" s="1"/>
  <c r="AS307" i="94"/>
  <c r="AS302" i="94"/>
  <c r="AS297" i="94"/>
  <c r="AS300" i="94"/>
  <c r="AS305" i="94"/>
  <c r="AS301" i="94"/>
  <c r="AS298" i="94"/>
  <c r="AS295" i="94"/>
  <c r="AS306" i="94"/>
  <c r="AS304" i="94"/>
  <c r="AS361" i="94"/>
  <c r="AS299" i="94"/>
  <c r="AS308" i="94"/>
  <c r="AS296" i="94"/>
  <c r="BA525" i="111"/>
  <c r="BA527" i="111"/>
  <c r="AZ499" i="111"/>
  <c r="AZ537" i="111"/>
  <c r="AZ538" i="111" s="1"/>
  <c r="AR174" i="112"/>
  <c r="AV175" i="112" s="1"/>
  <c r="AV204" i="8" s="1"/>
  <c r="AZ491" i="111"/>
  <c r="AR21" i="4"/>
  <c r="AR34" i="4"/>
  <c r="AV35" i="4" s="1"/>
  <c r="AR49" i="4"/>
  <c r="AR19" i="4"/>
  <c r="AR62" i="2" l="1"/>
  <c r="AZ38" i="60"/>
  <c r="AO41" i="58"/>
  <c r="AO40" i="58"/>
  <c r="AS116" i="4"/>
  <c r="AS134" i="4" s="1"/>
  <c r="AS139" i="4" s="1"/>
  <c r="AS140" i="4" s="1"/>
  <c r="AS38" i="2"/>
  <c r="AS39" i="2" s="1"/>
  <c r="AS64" i="2"/>
  <c r="AS82" i="2" s="1"/>
  <c r="AS445" i="94"/>
  <c r="AS447" i="94"/>
  <c r="AS458" i="94"/>
  <c r="AZ521" i="111" s="1"/>
  <c r="AS448" i="94"/>
  <c r="AZ513" i="111"/>
  <c r="AS449" i="94"/>
  <c r="AR303" i="112"/>
  <c r="AR211" i="8"/>
  <c r="AS344" i="94"/>
  <c r="AR212" i="8"/>
  <c r="BA560" i="111"/>
  <c r="AR170" i="112"/>
  <c r="AZ442" i="111" s="1"/>
  <c r="AV206" i="8"/>
  <c r="AV205" i="8"/>
  <c r="BA6" i="60"/>
  <c r="BA12" i="60" s="1"/>
  <c r="BA18" i="60" s="1"/>
  <c r="AS309" i="94"/>
  <c r="AR44" i="4"/>
  <c r="AR36" i="4"/>
  <c r="AR105" i="4"/>
  <c r="AR53" i="4"/>
  <c r="AR317" i="112" s="1"/>
  <c r="AR109" i="4" l="1"/>
  <c r="AR116" i="4" s="1"/>
  <c r="BA38" i="60"/>
  <c r="AS450" i="94"/>
  <c r="AR54" i="4"/>
  <c r="AS102" i="2"/>
  <c r="AZ471" i="111"/>
  <c r="BA472" i="111" s="1"/>
  <c r="AV195" i="112"/>
  <c r="AV198" i="112" s="1"/>
  <c r="AV171" i="112"/>
  <c r="AV193" i="8" s="1"/>
  <c r="AR46" i="4"/>
  <c r="AZ548" i="111" s="1"/>
  <c r="AS103" i="94"/>
  <c r="AS90" i="94"/>
  <c r="AS15" i="94"/>
  <c r="AS27" i="94"/>
  <c r="AS77" i="94"/>
  <c r="AR134" i="4" l="1"/>
  <c r="AV200" i="112"/>
  <c r="AV201" i="112" s="1"/>
  <c r="AV198" i="8" s="1"/>
  <c r="AV199" i="8" s="1"/>
  <c r="AV194" i="8"/>
  <c r="AS123" i="94"/>
  <c r="AS119" i="94"/>
  <c r="AS117" i="94"/>
  <c r="AS125" i="94"/>
  <c r="AS93" i="94"/>
  <c r="AS229" i="94" s="1"/>
  <c r="AS212" i="94" s="1"/>
  <c r="AS368" i="94" s="1"/>
  <c r="AS385" i="94" s="1"/>
  <c r="AS91" i="94"/>
  <c r="AS227" i="94" s="1"/>
  <c r="AS38" i="94"/>
  <c r="AS26" i="94"/>
  <c r="AS239" i="94" s="1"/>
  <c r="AS65" i="58"/>
  <c r="AS64" i="58"/>
  <c r="AS63" i="58"/>
  <c r="AS35" i="58"/>
  <c r="AS31" i="58"/>
  <c r="AR33" i="4" s="1"/>
  <c r="AS13" i="58"/>
  <c r="AS8" i="58"/>
  <c r="AS6" i="58"/>
  <c r="AS12" i="58" l="1"/>
  <c r="AV200" i="8"/>
  <c r="AS256" i="94"/>
  <c r="AS222" i="94" s="1"/>
  <c r="AS378" i="94" s="1"/>
  <c r="AS395" i="94" s="1"/>
  <c r="AR51" i="4"/>
  <c r="AR312" i="112"/>
  <c r="AR313" i="112" s="1"/>
  <c r="AS210" i="94"/>
  <c r="AS240" i="94"/>
  <c r="AS462" i="94"/>
  <c r="AS39" i="94"/>
  <c r="AS50" i="94" s="1"/>
  <c r="AS118" i="94"/>
  <c r="AS122" i="94"/>
  <c r="AS126" i="94"/>
  <c r="AS120" i="94"/>
  <c r="AS124" i="94"/>
  <c r="AS121" i="94"/>
  <c r="AS66" i="58"/>
  <c r="AS67" i="58" s="1"/>
  <c r="AS19" i="58" l="1"/>
  <c r="AS22" i="58" s="1"/>
  <c r="AS257" i="94"/>
  <c r="AS273" i="94" s="1"/>
  <c r="AS469" i="94"/>
  <c r="AZ554" i="111"/>
  <c r="AR62" i="4"/>
  <c r="AR55" i="4"/>
  <c r="AS45" i="94"/>
  <c r="AS366" i="94"/>
  <c r="AS383" i="94" s="1"/>
  <c r="AS223" i="94"/>
  <c r="AS46" i="94"/>
  <c r="AS44" i="94"/>
  <c r="AS48" i="94"/>
  <c r="AS43" i="94"/>
  <c r="AS47" i="94"/>
  <c r="AS49" i="94"/>
  <c r="AS127" i="94"/>
  <c r="AS38" i="58" l="1"/>
  <c r="AS261" i="94"/>
  <c r="AS269" i="94"/>
  <c r="AS264" i="94"/>
  <c r="AS268" i="94"/>
  <c r="AS262" i="94"/>
  <c r="AS266" i="94"/>
  <c r="AS263" i="94"/>
  <c r="AS267" i="94"/>
  <c r="AS271" i="94"/>
  <c r="AS272" i="94"/>
  <c r="AS265" i="94"/>
  <c r="AS270" i="94"/>
  <c r="AV56" i="4"/>
  <c r="AZ551" i="111"/>
  <c r="AR57" i="4"/>
  <c r="AR61" i="4"/>
  <c r="AZ557" i="111" s="1"/>
  <c r="AS51" i="94"/>
  <c r="AS379" i="94"/>
  <c r="AS396" i="94" s="1"/>
  <c r="AS41" i="58" l="1"/>
  <c r="AS40" i="58"/>
  <c r="AS274" i="94"/>
  <c r="AR206" i="94"/>
  <c r="AR193" i="94"/>
  <c r="AR180" i="94"/>
  <c r="AS84" i="58" l="1"/>
  <c r="AT84" i="58" s="1"/>
  <c r="BR4" i="36" l="1"/>
  <c r="BK20" i="36"/>
  <c r="AQ532" i="94"/>
  <c r="AQ533" i="94" s="1"/>
  <c r="AQ515" i="94"/>
  <c r="AQ516" i="94" s="1"/>
  <c r="AR312" i="94" l="1"/>
  <c r="CV4" i="36" l="1"/>
  <c r="BP48" i="8" l="1"/>
  <c r="BR48" i="8"/>
  <c r="BR50" i="8"/>
  <c r="BR45" i="8" l="1"/>
  <c r="BR43" i="8"/>
  <c r="BS48" i="8"/>
  <c r="BS50" i="8"/>
  <c r="BT45" i="8" l="1"/>
  <c r="BT43" i="8"/>
  <c r="BT50" i="8"/>
  <c r="BT48" i="8"/>
  <c r="BS45" i="8"/>
  <c r="BS43" i="8"/>
  <c r="BU50" i="8" l="1"/>
  <c r="BU48" i="8"/>
  <c r="BU45" i="8" l="1"/>
  <c r="BU43" i="8"/>
  <c r="BV50" i="8"/>
  <c r="BV48" i="8"/>
  <c r="BV43" i="8" l="1"/>
  <c r="BV45" i="8"/>
  <c r="BW50" i="8"/>
  <c r="BW48" i="8"/>
  <c r="BX50" i="8" l="1"/>
  <c r="BX48" i="8"/>
  <c r="BW43" i="8"/>
  <c r="BW45" i="8"/>
  <c r="BX45" i="8" l="1"/>
  <c r="BX43" i="8"/>
  <c r="BY48" i="8"/>
  <c r="BY50" i="8"/>
  <c r="BY45" i="8" l="1"/>
  <c r="BY43" i="8"/>
  <c r="BZ48" i="8"/>
  <c r="BZ50" i="8"/>
  <c r="BZ45" i="8" l="1"/>
  <c r="BZ43" i="8"/>
  <c r="CA50" i="8"/>
  <c r="CA48" i="8"/>
  <c r="CA45" i="8" l="1"/>
  <c r="CA43" i="8"/>
  <c r="CB50" i="8"/>
  <c r="CB48" i="8"/>
  <c r="CB43" i="8" l="1"/>
  <c r="CB45" i="8"/>
  <c r="CC50" i="8"/>
  <c r="CC48" i="8"/>
  <c r="BT127" i="8" l="1"/>
  <c r="BT128" i="8" s="1"/>
  <c r="CC43" i="8"/>
  <c r="CC45" i="8"/>
  <c r="CD48" i="8"/>
  <c r="CD50" i="8"/>
  <c r="BV127" i="8" l="1"/>
  <c r="BV128" i="8" s="1"/>
  <c r="BW138" i="8"/>
  <c r="BW139" i="8" s="1"/>
  <c r="BX138" i="8"/>
  <c r="BX137" i="8" s="1"/>
  <c r="BW127" i="8"/>
  <c r="BW128" i="8" s="1"/>
  <c r="BS127" i="8"/>
  <c r="BS126" i="8" s="1"/>
  <c r="BS138" i="8"/>
  <c r="BS137" i="8" s="1"/>
  <c r="CA127" i="8"/>
  <c r="BR127" i="8"/>
  <c r="BX127" i="8"/>
  <c r="BV138" i="8"/>
  <c r="BR138" i="8"/>
  <c r="BT138" i="8"/>
  <c r="BT126" i="8"/>
  <c r="CE48" i="8"/>
  <c r="CE50" i="8"/>
  <c r="CD43" i="8"/>
  <c r="CD45" i="8"/>
  <c r="I12" i="11"/>
  <c r="I17" i="111" s="1"/>
  <c r="H12" i="11"/>
  <c r="H17" i="111" s="1"/>
  <c r="G12" i="11"/>
  <c r="G17" i="111" s="1"/>
  <c r="I10" i="11"/>
  <c r="I16" i="111" s="1"/>
  <c r="H10" i="11"/>
  <c r="H16" i="111" s="1"/>
  <c r="G10" i="11"/>
  <c r="G16" i="111" s="1"/>
  <c r="F10" i="11"/>
  <c r="F16" i="111" s="1"/>
  <c r="E10" i="11"/>
  <c r="E16" i="111" s="1"/>
  <c r="BV126" i="8" l="1"/>
  <c r="BW137" i="8"/>
  <c r="BX139" i="8"/>
  <c r="BY138" i="8"/>
  <c r="BY137" i="8" s="1"/>
  <c r="BS128" i="8"/>
  <c r="BY127" i="8"/>
  <c r="BY126" i="8" s="1"/>
  <c r="BW126" i="8"/>
  <c r="BS139" i="8"/>
  <c r="CB127" i="8"/>
  <c r="CB128" i="8" s="1"/>
  <c r="BR126" i="8"/>
  <c r="BR128" i="8"/>
  <c r="BT137" i="8"/>
  <c r="BT139" i="8"/>
  <c r="BR137" i="8"/>
  <c r="BR139" i="8"/>
  <c r="BU138" i="8"/>
  <c r="CA126" i="8"/>
  <c r="CA128" i="8"/>
  <c r="BV139" i="8"/>
  <c r="BV137" i="8"/>
  <c r="BX126" i="8"/>
  <c r="BX128" i="8"/>
  <c r="CE127" i="8"/>
  <c r="BZ127" i="8"/>
  <c r="BZ138" i="8"/>
  <c r="CB138" i="8"/>
  <c r="CA138" i="8"/>
  <c r="BU127" i="8"/>
  <c r="BU128" i="8" s="1"/>
  <c r="BT116" i="8"/>
  <c r="BS116" i="8"/>
  <c r="BR116" i="8"/>
  <c r="CE45" i="8"/>
  <c r="CE43" i="8"/>
  <c r="CF48" i="8"/>
  <c r="CF50" i="8"/>
  <c r="BY139" i="8" l="1"/>
  <c r="BY128" i="8"/>
  <c r="CB126" i="8"/>
  <c r="CF127" i="8"/>
  <c r="CF128" i="8" s="1"/>
  <c r="CE138" i="8"/>
  <c r="CE137" i="8" s="1"/>
  <c r="CD138" i="8"/>
  <c r="CD139" i="8" s="1"/>
  <c r="CD127" i="8"/>
  <c r="CD128" i="8" s="1"/>
  <c r="BZ139" i="8"/>
  <c r="BZ137" i="8"/>
  <c r="CC138" i="8"/>
  <c r="CA137" i="8"/>
  <c r="CA139" i="8"/>
  <c r="CB139" i="8"/>
  <c r="CB137" i="8"/>
  <c r="BZ128" i="8"/>
  <c r="BZ126" i="8"/>
  <c r="CC127" i="8"/>
  <c r="BU126" i="8"/>
  <c r="CF138" i="8"/>
  <c r="CE128" i="8"/>
  <c r="CE126" i="8"/>
  <c r="BU137" i="8"/>
  <c r="BU139" i="8"/>
  <c r="BU116" i="8"/>
  <c r="BU115" i="8" s="1"/>
  <c r="BS122" i="8"/>
  <c r="BR122" i="8"/>
  <c r="BT122" i="8"/>
  <c r="BT117" i="8"/>
  <c r="BT115" i="8"/>
  <c r="BV116" i="8"/>
  <c r="BW116" i="8"/>
  <c r="BX116" i="8"/>
  <c r="BS117" i="8"/>
  <c r="BS115" i="8"/>
  <c r="BR133" i="8"/>
  <c r="BT133" i="8"/>
  <c r="BS133" i="8"/>
  <c r="BR115" i="8"/>
  <c r="BR117" i="8"/>
  <c r="CF45" i="8"/>
  <c r="CF43" i="8"/>
  <c r="CG50" i="8"/>
  <c r="CG48" i="8"/>
  <c r="CF126" i="8" l="1"/>
  <c r="CE139" i="8"/>
  <c r="CJ138" i="8"/>
  <c r="CJ137" i="8" s="1"/>
  <c r="CH127" i="8"/>
  <c r="CH128" i="8" s="1"/>
  <c r="CD137" i="8"/>
  <c r="CG127" i="8"/>
  <c r="CG128" i="8" s="1"/>
  <c r="CD126" i="8"/>
  <c r="CT127" i="8"/>
  <c r="CM127" i="8"/>
  <c r="CM128" i="8" s="1"/>
  <c r="CL138" i="8"/>
  <c r="CL137" i="8" s="1"/>
  <c r="CJ127" i="8"/>
  <c r="CJ128" i="8" s="1"/>
  <c r="CP127" i="8"/>
  <c r="CP128" i="8" s="1"/>
  <c r="CT138" i="8"/>
  <c r="CV138" i="8"/>
  <c r="CR127" i="8"/>
  <c r="CM138" i="8"/>
  <c r="CM139" i="8" s="1"/>
  <c r="CP138" i="8"/>
  <c r="CQ138" i="8"/>
  <c r="CR138" i="8"/>
  <c r="CN127" i="8"/>
  <c r="CN126" i="8" s="1"/>
  <c r="CI138" i="8"/>
  <c r="CI139" i="8" s="1"/>
  <c r="CU127" i="8"/>
  <c r="CL127" i="8"/>
  <c r="CV127" i="8"/>
  <c r="CU138" i="8"/>
  <c r="CI127" i="8"/>
  <c r="CI128" i="8" s="1"/>
  <c r="CQ127" i="8"/>
  <c r="CQ128" i="8" s="1"/>
  <c r="CN138" i="8"/>
  <c r="CH138" i="8"/>
  <c r="CF137" i="8"/>
  <c r="CF139" i="8"/>
  <c r="CC128" i="8"/>
  <c r="CC126" i="8"/>
  <c r="CC137" i="8"/>
  <c r="CC139" i="8"/>
  <c r="CG138" i="8"/>
  <c r="BU117" i="8"/>
  <c r="BY116" i="8"/>
  <c r="BY117" i="8" s="1"/>
  <c r="BT123" i="8"/>
  <c r="BT121" i="8"/>
  <c r="BR121" i="8"/>
  <c r="BR123" i="8"/>
  <c r="BR132" i="8"/>
  <c r="BR134" i="8"/>
  <c r="BU122" i="8"/>
  <c r="CB116" i="8"/>
  <c r="BZ116" i="8"/>
  <c r="CA116" i="8"/>
  <c r="BS121" i="8"/>
  <c r="BS123" i="8"/>
  <c r="BS111" i="8"/>
  <c r="BR111" i="8"/>
  <c r="BT111" i="8"/>
  <c r="BV122" i="8"/>
  <c r="BW122" i="8"/>
  <c r="BX122" i="8"/>
  <c r="BS134" i="8"/>
  <c r="BS132" i="8"/>
  <c r="BW117" i="8"/>
  <c r="BW115" i="8"/>
  <c r="BX115" i="8"/>
  <c r="BX117" i="8"/>
  <c r="BW133" i="8"/>
  <c r="BX133" i="8"/>
  <c r="BV133" i="8"/>
  <c r="BU133" i="8"/>
  <c r="BT134" i="8"/>
  <c r="BT132" i="8"/>
  <c r="BV117" i="8"/>
  <c r="BV115" i="8"/>
  <c r="CG45" i="8"/>
  <c r="CG43" i="8"/>
  <c r="CH50" i="8"/>
  <c r="CH48" i="8"/>
  <c r="CG126" i="8" l="1"/>
  <c r="CH126" i="8"/>
  <c r="CO138" i="8"/>
  <c r="CO139" i="8" s="1"/>
  <c r="CJ139" i="8"/>
  <c r="CN128" i="8"/>
  <c r="CJ126" i="8"/>
  <c r="CP126" i="8"/>
  <c r="CL139" i="8"/>
  <c r="CM137" i="8"/>
  <c r="CO127" i="8"/>
  <c r="CO128" i="8" s="1"/>
  <c r="CL128" i="8"/>
  <c r="CL126" i="8"/>
  <c r="CS138" i="8"/>
  <c r="CW127" i="8"/>
  <c r="CW138" i="8"/>
  <c r="CI137" i="8"/>
  <c r="CK138" i="8"/>
  <c r="CK139" i="8" s="1"/>
  <c r="CM126" i="8"/>
  <c r="CS127" i="8"/>
  <c r="CI126" i="8"/>
  <c r="CK127" i="8"/>
  <c r="CK128" i="8" s="1"/>
  <c r="CN139" i="8"/>
  <c r="CH139" i="8"/>
  <c r="CN137" i="8"/>
  <c r="CH137" i="8"/>
  <c r="CQ126" i="8"/>
  <c r="CG137" i="8"/>
  <c r="CG139" i="8"/>
  <c r="CR128" i="8"/>
  <c r="CR126" i="8"/>
  <c r="BY115" i="8"/>
  <c r="BY133" i="8"/>
  <c r="BY132" i="8" s="1"/>
  <c r="BX121" i="8"/>
  <c r="BX123" i="8"/>
  <c r="BV111" i="8"/>
  <c r="BW111" i="8"/>
  <c r="BX111" i="8"/>
  <c r="BZ115" i="8"/>
  <c r="BZ117" i="8"/>
  <c r="CA133" i="8"/>
  <c r="CB133" i="8"/>
  <c r="BZ133" i="8"/>
  <c r="CB115" i="8"/>
  <c r="CB117" i="8"/>
  <c r="BV121" i="8"/>
  <c r="BV123" i="8"/>
  <c r="CE116" i="8"/>
  <c r="CF116" i="8"/>
  <c r="CD116" i="8"/>
  <c r="BW121" i="8"/>
  <c r="BW123" i="8"/>
  <c r="BZ122" i="8"/>
  <c r="CA122" i="8"/>
  <c r="CB122" i="8"/>
  <c r="BT112" i="8"/>
  <c r="BT110" i="8"/>
  <c r="BU132" i="8"/>
  <c r="BU134" i="8"/>
  <c r="BR110" i="8"/>
  <c r="BR112" i="8"/>
  <c r="CA117" i="8"/>
  <c r="CA115" i="8"/>
  <c r="BX134" i="8"/>
  <c r="BX132" i="8"/>
  <c r="BW132" i="8"/>
  <c r="BW134" i="8"/>
  <c r="BV132" i="8"/>
  <c r="BV134" i="8"/>
  <c r="BY122" i="8"/>
  <c r="BU111" i="8"/>
  <c r="BS112" i="8"/>
  <c r="BS110" i="8"/>
  <c r="CC116" i="8"/>
  <c r="BU123" i="8"/>
  <c r="BU121" i="8"/>
  <c r="CI50" i="8"/>
  <c r="CI48" i="8"/>
  <c r="CH43" i="8"/>
  <c r="CH45" i="8"/>
  <c r="CO137" i="8" l="1"/>
  <c r="CO126" i="8"/>
  <c r="CK137" i="8"/>
  <c r="CK126" i="8"/>
  <c r="CJ116" i="8"/>
  <c r="CH116" i="8"/>
  <c r="CI116" i="8"/>
  <c r="CQ139" i="8"/>
  <c r="CQ137" i="8"/>
  <c r="CS128" i="8"/>
  <c r="CS126" i="8"/>
  <c r="CP139" i="8"/>
  <c r="CP137" i="8"/>
  <c r="CC133" i="8"/>
  <c r="CC134" i="8" s="1"/>
  <c r="BY134" i="8"/>
  <c r="BX112" i="8"/>
  <c r="BX110" i="8"/>
  <c r="BZ132" i="8"/>
  <c r="BZ134" i="8"/>
  <c r="BW110" i="8"/>
  <c r="BW112" i="8"/>
  <c r="CB123" i="8"/>
  <c r="CB121" i="8"/>
  <c r="CB134" i="8"/>
  <c r="CB132" i="8"/>
  <c r="BY111" i="8"/>
  <c r="CD117" i="8"/>
  <c r="CD115" i="8"/>
  <c r="CA123" i="8"/>
  <c r="CA121" i="8"/>
  <c r="CA132" i="8"/>
  <c r="CA134" i="8"/>
  <c r="BV110" i="8"/>
  <c r="BV112" i="8"/>
  <c r="CC117" i="8"/>
  <c r="CC115" i="8"/>
  <c r="BU112" i="8"/>
  <c r="BU110" i="8"/>
  <c r="CF122" i="8"/>
  <c r="CE122" i="8"/>
  <c r="CE133" i="8"/>
  <c r="CF133" i="8"/>
  <c r="CD133" i="8"/>
  <c r="BZ123" i="8"/>
  <c r="BZ121" i="8"/>
  <c r="CG116" i="8"/>
  <c r="CE117" i="8"/>
  <c r="CE115" i="8"/>
  <c r="CA111" i="8"/>
  <c r="BZ111" i="8"/>
  <c r="CB111" i="8"/>
  <c r="CF115" i="8"/>
  <c r="CF117" i="8"/>
  <c r="BY123" i="8"/>
  <c r="BY121" i="8"/>
  <c r="CC122" i="8"/>
  <c r="CI43" i="8"/>
  <c r="CI45" i="8"/>
  <c r="CJ48" i="8"/>
  <c r="CJ50" i="8"/>
  <c r="CK116" i="8" l="1"/>
  <c r="CJ133" i="8"/>
  <c r="CJ132" i="8" s="1"/>
  <c r="CH133" i="8"/>
  <c r="CH132" i="8" s="1"/>
  <c r="CI133" i="8"/>
  <c r="CI134" i="8" s="1"/>
  <c r="CD122" i="8"/>
  <c r="CG122" i="8" s="1"/>
  <c r="CG123" i="8" s="1"/>
  <c r="CJ122" i="8"/>
  <c r="CJ123" i="8" s="1"/>
  <c r="CI122" i="8"/>
  <c r="CI123" i="8" s="1"/>
  <c r="CH122" i="8"/>
  <c r="CH121" i="8" s="1"/>
  <c r="CM116" i="8"/>
  <c r="CL116" i="8"/>
  <c r="CN116" i="8"/>
  <c r="CT137" i="8"/>
  <c r="CR139" i="8"/>
  <c r="CR137" i="8"/>
  <c r="CS139" i="8"/>
  <c r="CS137" i="8"/>
  <c r="CT128" i="8"/>
  <c r="CT126" i="8"/>
  <c r="CC132" i="8"/>
  <c r="BZ112" i="8"/>
  <c r="BZ110" i="8"/>
  <c r="CD132" i="8"/>
  <c r="CD134" i="8"/>
  <c r="CG133" i="8"/>
  <c r="CF121" i="8"/>
  <c r="CF123" i="8"/>
  <c r="CF111" i="8"/>
  <c r="CE111" i="8"/>
  <c r="CD111" i="8"/>
  <c r="CI117" i="8"/>
  <c r="CI115" i="8"/>
  <c r="CF134" i="8"/>
  <c r="CF132" i="8"/>
  <c r="CH115" i="8"/>
  <c r="CH117" i="8"/>
  <c r="CE123" i="8"/>
  <c r="CE121" i="8"/>
  <c r="CC111" i="8"/>
  <c r="CG115" i="8"/>
  <c r="CG117" i="8"/>
  <c r="CE132" i="8"/>
  <c r="CE134" i="8"/>
  <c r="CA110" i="8"/>
  <c r="CA112" i="8"/>
  <c r="CC121" i="8"/>
  <c r="CC123" i="8"/>
  <c r="CJ117" i="8"/>
  <c r="CJ115" i="8"/>
  <c r="CB110" i="8"/>
  <c r="CB112" i="8"/>
  <c r="BY112" i="8"/>
  <c r="BY110" i="8"/>
  <c r="CJ43" i="8"/>
  <c r="CJ45" i="8"/>
  <c r="CK48" i="8"/>
  <c r="CK50" i="8"/>
  <c r="CJ134" i="8" l="1"/>
  <c r="CH134" i="8"/>
  <c r="CO116" i="8"/>
  <c r="CJ121" i="8"/>
  <c r="CI132" i="8"/>
  <c r="CI121" i="8"/>
  <c r="CH123" i="8"/>
  <c r="CK122" i="8"/>
  <c r="CK121" i="8" s="1"/>
  <c r="CD121" i="8"/>
  <c r="CD123" i="8"/>
  <c r="CM133" i="8"/>
  <c r="CL133" i="8"/>
  <c r="CN133" i="8"/>
  <c r="CL122" i="8"/>
  <c r="CM122" i="8"/>
  <c r="CN122" i="8"/>
  <c r="CH111" i="8"/>
  <c r="CH110" i="8" s="1"/>
  <c r="CJ111" i="8"/>
  <c r="CJ112" i="8" s="1"/>
  <c r="CI111" i="8"/>
  <c r="CI112" i="8" s="1"/>
  <c r="CR116" i="8"/>
  <c r="CP116" i="8"/>
  <c r="CQ116" i="8"/>
  <c r="CK133" i="8"/>
  <c r="CK132" i="8" s="1"/>
  <c r="CT139" i="8"/>
  <c r="CU139" i="8"/>
  <c r="CU126" i="8"/>
  <c r="CU128" i="8"/>
  <c r="CK115" i="8"/>
  <c r="CK117" i="8"/>
  <c r="CG121" i="8"/>
  <c r="CF112" i="8"/>
  <c r="CF110" i="8"/>
  <c r="CC110" i="8"/>
  <c r="CC112" i="8"/>
  <c r="CG134" i="8"/>
  <c r="CG132" i="8"/>
  <c r="CD110" i="8"/>
  <c r="CD112" i="8"/>
  <c r="CG111" i="8"/>
  <c r="CE110" i="8"/>
  <c r="CE112" i="8"/>
  <c r="CK45" i="8"/>
  <c r="CK43" i="8"/>
  <c r="CT133" i="8" l="1"/>
  <c r="CK123" i="8"/>
  <c r="CI110" i="8"/>
  <c r="CK111" i="8"/>
  <c r="CK112" i="8" s="1"/>
  <c r="CH112" i="8"/>
  <c r="CJ110" i="8"/>
  <c r="CO133" i="8"/>
  <c r="CO122" i="8"/>
  <c r="CS116" i="8"/>
  <c r="CL111" i="8"/>
  <c r="CM111" i="8"/>
  <c r="CN111" i="8"/>
  <c r="CV116" i="8"/>
  <c r="CT116" i="8"/>
  <c r="CU116" i="8"/>
  <c r="CP133" i="8"/>
  <c r="CR133" i="8"/>
  <c r="CQ133" i="8"/>
  <c r="CQ122" i="8"/>
  <c r="CP122" i="8"/>
  <c r="CR122" i="8"/>
  <c r="CK134" i="8"/>
  <c r="CV137" i="8"/>
  <c r="CV139" i="8"/>
  <c r="CU137" i="8"/>
  <c r="CV128" i="8"/>
  <c r="CV126" i="8"/>
  <c r="CL117" i="8"/>
  <c r="CL115" i="8"/>
  <c r="CL134" i="8"/>
  <c r="CL132" i="8"/>
  <c r="CL121" i="8"/>
  <c r="CL123" i="8"/>
  <c r="CM117" i="8"/>
  <c r="CM115" i="8"/>
  <c r="CG110" i="8"/>
  <c r="CG112" i="8"/>
  <c r="CV111" i="8" l="1"/>
  <c r="CV133" i="8"/>
  <c r="CU133" i="8"/>
  <c r="CU122" i="8"/>
  <c r="CT122" i="8"/>
  <c r="CV122" i="8"/>
  <c r="CK110" i="8"/>
  <c r="CS122" i="8"/>
  <c r="CO111" i="8"/>
  <c r="CS133" i="8"/>
  <c r="CW116" i="8"/>
  <c r="CP111" i="8"/>
  <c r="CQ111" i="8"/>
  <c r="CR111" i="8"/>
  <c r="CW137" i="8"/>
  <c r="CW139" i="8"/>
  <c r="CW126" i="8"/>
  <c r="CW128" i="8"/>
  <c r="CO117" i="8"/>
  <c r="CM110" i="8"/>
  <c r="CM112" i="8"/>
  <c r="CN134" i="8"/>
  <c r="CN132" i="8"/>
  <c r="CM123" i="8"/>
  <c r="CM121" i="8"/>
  <c r="CL110" i="8"/>
  <c r="CL112" i="8"/>
  <c r="CN115" i="8"/>
  <c r="CN117" i="8"/>
  <c r="CN121" i="8"/>
  <c r="CN123" i="8"/>
  <c r="CM134" i="8"/>
  <c r="CM132" i="8"/>
  <c r="AC37" i="46"/>
  <c r="AC43" i="46"/>
  <c r="AC49" i="46"/>
  <c r="AC40" i="46"/>
  <c r="AC46" i="46"/>
  <c r="AC53" i="46"/>
  <c r="CT111" i="8" l="1"/>
  <c r="CU111" i="8"/>
  <c r="CW133" i="8"/>
  <c r="CW122" i="8"/>
  <c r="CS111" i="8"/>
  <c r="CO115" i="8"/>
  <c r="CQ117" i="8"/>
  <c r="CQ115" i="8"/>
  <c r="CN110" i="8"/>
  <c r="CN112" i="8"/>
  <c r="CO132" i="8"/>
  <c r="CO134" i="8"/>
  <c r="CP115" i="8"/>
  <c r="CP117" i="8"/>
  <c r="CO123" i="8"/>
  <c r="CO121" i="8"/>
  <c r="CW111" i="8" l="1"/>
  <c r="CQ123" i="8"/>
  <c r="CQ121" i="8"/>
  <c r="CO110" i="8"/>
  <c r="CO112" i="8"/>
  <c r="CR117" i="8"/>
  <c r="CR115" i="8"/>
  <c r="CR121" i="8"/>
  <c r="CR123" i="8"/>
  <c r="CP121" i="8"/>
  <c r="CP123" i="8"/>
  <c r="CP132" i="8"/>
  <c r="CP134" i="8"/>
  <c r="B65" i="11"/>
  <c r="B66" i="11" s="1"/>
  <c r="C65" i="11"/>
  <c r="C66" i="11" s="1"/>
  <c r="D65" i="11"/>
  <c r="D66" i="11" s="1"/>
  <c r="E65" i="11"/>
  <c r="E66" i="11" s="1"/>
  <c r="F65" i="11"/>
  <c r="F66" i="11" s="1"/>
  <c r="G65" i="11"/>
  <c r="G66" i="11" s="1"/>
  <c r="H65" i="11"/>
  <c r="H66" i="11" s="1"/>
  <c r="I65" i="11"/>
  <c r="I66" i="11" s="1"/>
  <c r="CT117" i="8" l="1"/>
  <c r="CT115" i="8"/>
  <c r="CS117" i="8"/>
  <c r="CS115" i="8"/>
  <c r="CS123" i="8"/>
  <c r="CS121" i="8"/>
  <c r="CQ132" i="8"/>
  <c r="CQ134" i="8"/>
  <c r="CT121" i="8"/>
  <c r="CT123" i="8"/>
  <c r="CP112" i="8"/>
  <c r="CP110" i="8"/>
  <c r="CR132" i="8" l="1"/>
  <c r="CR134" i="8"/>
  <c r="CQ110" i="8"/>
  <c r="CQ112" i="8"/>
  <c r="CU115" i="8"/>
  <c r="CU117" i="8"/>
  <c r="CU121" i="8"/>
  <c r="CU123" i="8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AQ7" i="4"/>
  <c r="CV121" i="8" l="1"/>
  <c r="CV123" i="8"/>
  <c r="CV115" i="8"/>
  <c r="CV117" i="8"/>
  <c r="CS112" i="8"/>
  <c r="CS110" i="8"/>
  <c r="CR110" i="8"/>
  <c r="CR112" i="8"/>
  <c r="CT134" i="8"/>
  <c r="CT132" i="8"/>
  <c r="CS134" i="8"/>
  <c r="CS132" i="8"/>
  <c r="AO7" i="4"/>
  <c r="AP7" i="4"/>
  <c r="T38" i="11"/>
  <c r="V20" i="71" s="1"/>
  <c r="AN7" i="4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S4" i="46"/>
  <c r="CU132" i="8" l="1"/>
  <c r="CU134" i="8"/>
  <c r="CV134" i="8"/>
  <c r="CV132" i="8"/>
  <c r="CW123" i="8"/>
  <c r="CW121" i="8"/>
  <c r="CW115" i="8"/>
  <c r="CW117" i="8"/>
  <c r="CT110" i="8"/>
  <c r="CT112" i="8"/>
  <c r="T127" i="111"/>
  <c r="T61" i="111"/>
  <c r="T16" i="46"/>
  <c r="S64" i="46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N189" i="112" s="1"/>
  <c r="AO64" i="4"/>
  <c r="AO189" i="112" s="1"/>
  <c r="AP64" i="4"/>
  <c r="AP189" i="112" s="1"/>
  <c r="AP189" i="8" s="1"/>
  <c r="AQ64" i="4"/>
  <c r="AQ189" i="112" s="1"/>
  <c r="AQ189" i="8" s="1"/>
  <c r="CW110" i="8" l="1"/>
  <c r="CW112" i="8"/>
  <c r="CV112" i="8"/>
  <c r="CV110" i="8"/>
  <c r="CW134" i="8"/>
  <c r="CW132" i="8"/>
  <c r="CU112" i="8"/>
  <c r="CU110" i="8"/>
  <c r="AN189" i="8"/>
  <c r="AR190" i="8" s="1"/>
  <c r="AT190" i="8"/>
  <c r="AO189" i="8"/>
  <c r="AS190" i="8" s="1"/>
  <c r="AU190" i="8"/>
  <c r="AU190" i="112"/>
  <c r="AT190" i="112"/>
  <c r="AQ203" i="112"/>
  <c r="AY461" i="111"/>
  <c r="AM189" i="112"/>
  <c r="AI189" i="112"/>
  <c r="AE189" i="112"/>
  <c r="AA189" i="112"/>
  <c r="W189" i="112"/>
  <c r="S189" i="112"/>
  <c r="O189" i="112"/>
  <c r="K189" i="112"/>
  <c r="G189" i="112"/>
  <c r="C189" i="112"/>
  <c r="AX461" i="111"/>
  <c r="AL189" i="112"/>
  <c r="AL189" i="8" s="1"/>
  <c r="AP190" i="8" s="1"/>
  <c r="AH189" i="112"/>
  <c r="AD189" i="112"/>
  <c r="Z189" i="112"/>
  <c r="V189" i="112"/>
  <c r="R189" i="112"/>
  <c r="N189" i="112"/>
  <c r="J189" i="112"/>
  <c r="F189" i="112"/>
  <c r="B189" i="112"/>
  <c r="AW461" i="111"/>
  <c r="AS190" i="112"/>
  <c r="AK189" i="112"/>
  <c r="AG189" i="112"/>
  <c r="AC189" i="112"/>
  <c r="Y189" i="112"/>
  <c r="U189" i="112"/>
  <c r="Q189" i="112"/>
  <c r="M189" i="112"/>
  <c r="M8" i="4" s="1"/>
  <c r="I189" i="112"/>
  <c r="I8" i="4" s="1"/>
  <c r="AV461" i="111"/>
  <c r="AN203" i="112"/>
  <c r="AN192" i="112" s="1"/>
  <c r="AR190" i="112"/>
  <c r="AJ189" i="112"/>
  <c r="AF189" i="112"/>
  <c r="AB189" i="112"/>
  <c r="X189" i="112"/>
  <c r="T189" i="112"/>
  <c r="P189" i="112"/>
  <c r="L189" i="112"/>
  <c r="H189" i="112"/>
  <c r="D189" i="112"/>
  <c r="AP8" i="4"/>
  <c r="T40" i="11"/>
  <c r="V22" i="71" s="1"/>
  <c r="AO8" i="4"/>
  <c r="AN8" i="4"/>
  <c r="AQ8" i="4"/>
  <c r="AM189" i="8" l="1"/>
  <c r="AQ190" i="8" s="1"/>
  <c r="AK8" i="4"/>
  <c r="AP190" i="112"/>
  <c r="AG8" i="4"/>
  <c r="Q8" i="4"/>
  <c r="U8" i="4"/>
  <c r="Y8" i="4"/>
  <c r="AC8" i="4"/>
  <c r="AQ192" i="112"/>
  <c r="AQ170" i="112" s="1"/>
  <c r="AU204" i="112"/>
  <c r="L461" i="111"/>
  <c r="L190" i="112"/>
  <c r="T461" i="111"/>
  <c r="T190" i="112"/>
  <c r="AB461" i="111"/>
  <c r="AB190" i="112"/>
  <c r="AJ461" i="111"/>
  <c r="AB203" i="112"/>
  <c r="AB192" i="112" s="1"/>
  <c r="AJ190" i="112"/>
  <c r="AR461" i="111"/>
  <c r="AJ203" i="112"/>
  <c r="AJ192" i="112" s="1"/>
  <c r="AN170" i="112"/>
  <c r="AR193" i="112"/>
  <c r="AN190" i="112"/>
  <c r="B192" i="112"/>
  <c r="J461" i="111"/>
  <c r="J190" i="112"/>
  <c r="R461" i="111"/>
  <c r="R190" i="112"/>
  <c r="Z461" i="111"/>
  <c r="Z190" i="112"/>
  <c r="AH461" i="111"/>
  <c r="Z203" i="112"/>
  <c r="Z192" i="112" s="1"/>
  <c r="AH190" i="112"/>
  <c r="AP461" i="111"/>
  <c r="AH203" i="112"/>
  <c r="AH192" i="112" s="1"/>
  <c r="G190" i="112"/>
  <c r="O461" i="111"/>
  <c r="O190" i="112"/>
  <c r="W461" i="111"/>
  <c r="W190" i="112"/>
  <c r="W203" i="112"/>
  <c r="AE461" i="111"/>
  <c r="AE203" i="112"/>
  <c r="AE192" i="112" s="1"/>
  <c r="AE190" i="112"/>
  <c r="AM461" i="111"/>
  <c r="AM190" i="112"/>
  <c r="AM203" i="112"/>
  <c r="AQ204" i="112" s="1"/>
  <c r="AU461" i="111"/>
  <c r="X190" i="112"/>
  <c r="AF461" i="111"/>
  <c r="X203" i="112"/>
  <c r="X192" i="112" s="1"/>
  <c r="D8" i="4"/>
  <c r="L8" i="4"/>
  <c r="T8" i="4"/>
  <c r="AB8" i="4"/>
  <c r="AJ8" i="4"/>
  <c r="AN174" i="112"/>
  <c r="AR204" i="112"/>
  <c r="Q461" i="111"/>
  <c r="Q190" i="112"/>
  <c r="Y461" i="111"/>
  <c r="Y190" i="112"/>
  <c r="AG461" i="111"/>
  <c r="Y203" i="112"/>
  <c r="Y192" i="112" s="1"/>
  <c r="AG190" i="112"/>
  <c r="AO461" i="111"/>
  <c r="AG203" i="112"/>
  <c r="BA462" i="111"/>
  <c r="B8" i="4"/>
  <c r="J8" i="4"/>
  <c r="R8" i="4"/>
  <c r="Z8" i="4"/>
  <c r="AH8" i="4"/>
  <c r="G8" i="4"/>
  <c r="O8" i="4"/>
  <c r="W8" i="4"/>
  <c r="AE8" i="4"/>
  <c r="AM8" i="4"/>
  <c r="AQ190" i="112"/>
  <c r="P190" i="112"/>
  <c r="X461" i="111"/>
  <c r="F190" i="112"/>
  <c r="N461" i="111"/>
  <c r="V190" i="112"/>
  <c r="AD461" i="111"/>
  <c r="V203" i="112"/>
  <c r="V192" i="112" s="1"/>
  <c r="AD190" i="112"/>
  <c r="AL461" i="111"/>
  <c r="AD203" i="112"/>
  <c r="AD192" i="112" s="1"/>
  <c r="AL190" i="112"/>
  <c r="AT461" i="111"/>
  <c r="AL203" i="112"/>
  <c r="AL192" i="112" s="1"/>
  <c r="K461" i="111"/>
  <c r="K190" i="112"/>
  <c r="S461" i="111"/>
  <c r="S190" i="112"/>
  <c r="AA461" i="111"/>
  <c r="AA203" i="112"/>
  <c r="AA192" i="112" s="1"/>
  <c r="AA190" i="112"/>
  <c r="AI461" i="111"/>
  <c r="AI190" i="112"/>
  <c r="AI203" i="112"/>
  <c r="AI192" i="112" s="1"/>
  <c r="AQ461" i="111"/>
  <c r="H190" i="112"/>
  <c r="P461" i="111"/>
  <c r="AF190" i="112"/>
  <c r="AN461" i="111"/>
  <c r="AF203" i="112"/>
  <c r="N190" i="112"/>
  <c r="V461" i="111"/>
  <c r="H8" i="4"/>
  <c r="P8" i="4"/>
  <c r="X8" i="4"/>
  <c r="AF8" i="4"/>
  <c r="AZ462" i="111"/>
  <c r="M190" i="112"/>
  <c r="U461" i="111"/>
  <c r="U190" i="112"/>
  <c r="AC461" i="111"/>
  <c r="U203" i="112"/>
  <c r="AC190" i="112"/>
  <c r="AK461" i="111"/>
  <c r="AC203" i="112"/>
  <c r="AC192" i="112" s="1"/>
  <c r="AK190" i="112"/>
  <c r="AS461" i="111"/>
  <c r="AK203" i="112"/>
  <c r="AO190" i="112"/>
  <c r="F8" i="4"/>
  <c r="N8" i="4"/>
  <c r="V8" i="4"/>
  <c r="AD8" i="4"/>
  <c r="AL8" i="4"/>
  <c r="C8" i="4"/>
  <c r="K8" i="4"/>
  <c r="S8" i="4"/>
  <c r="AA8" i="4"/>
  <c r="AI8" i="4"/>
  <c r="AQ174" i="112"/>
  <c r="AU175" i="112" s="1"/>
  <c r="AU204" i="8" s="1"/>
  <c r="T63" i="111"/>
  <c r="T128" i="111"/>
  <c r="T18" i="46"/>
  <c r="AX462" i="111" l="1"/>
  <c r="AV462" i="111"/>
  <c r="AY462" i="111"/>
  <c r="AU206" i="8"/>
  <c r="AU205" i="8"/>
  <c r="AU171" i="112"/>
  <c r="AU193" i="112"/>
  <c r="S462" i="111"/>
  <c r="AA462" i="111"/>
  <c r="P462" i="111"/>
  <c r="N462" i="111"/>
  <c r="V462" i="111"/>
  <c r="X462" i="111"/>
  <c r="U462" i="111"/>
  <c r="AN193" i="112"/>
  <c r="AN204" i="112"/>
  <c r="Z250" i="112"/>
  <c r="Z170" i="112"/>
  <c r="P871" i="111"/>
  <c r="P881" i="111" s="1"/>
  <c r="Z193" i="112"/>
  <c r="AI193" i="112"/>
  <c r="AI170" i="112"/>
  <c r="AL170" i="112"/>
  <c r="AL193" i="112"/>
  <c r="AC170" i="112"/>
  <c r="AC193" i="112"/>
  <c r="V170" i="112"/>
  <c r="Y170" i="112"/>
  <c r="AK204" i="112"/>
  <c r="AK174" i="112"/>
  <c r="U174" i="112"/>
  <c r="AF174" i="112"/>
  <c r="AF204" i="112"/>
  <c r="AL462" i="111"/>
  <c r="AG174" i="112"/>
  <c r="AG204" i="112"/>
  <c r="X174" i="112"/>
  <c r="AY471" i="111"/>
  <c r="AY442" i="111"/>
  <c r="AM174" i="112"/>
  <c r="AM204" i="112"/>
  <c r="AM462" i="111"/>
  <c r="W174" i="112"/>
  <c r="W462" i="111"/>
  <c r="AP462" i="111"/>
  <c r="Z462" i="111"/>
  <c r="AR462" i="111"/>
  <c r="AB170" i="112"/>
  <c r="AB193" i="112"/>
  <c r="T462" i="111"/>
  <c r="AS462" i="111"/>
  <c r="AC462" i="111"/>
  <c r="AI462" i="111"/>
  <c r="AA174" i="112"/>
  <c r="AA204" i="112"/>
  <c r="AL263" i="112"/>
  <c r="AL174" i="112"/>
  <c r="AL204" i="112"/>
  <c r="V263" i="112"/>
  <c r="V174" i="112"/>
  <c r="AW462" i="111"/>
  <c r="AO462" i="111"/>
  <c r="Y462" i="111"/>
  <c r="AR175" i="112"/>
  <c r="X170" i="112"/>
  <c r="AE170" i="112"/>
  <c r="AE193" i="112"/>
  <c r="O462" i="111"/>
  <c r="Z204" i="112"/>
  <c r="Z263" i="112"/>
  <c r="Z174" i="112"/>
  <c r="R462" i="111"/>
  <c r="AJ174" i="112"/>
  <c r="AJ204" i="112"/>
  <c r="AJ462" i="111"/>
  <c r="AC174" i="112"/>
  <c r="AC204" i="112"/>
  <c r="AN462" i="111"/>
  <c r="AI174" i="112"/>
  <c r="AI204" i="112"/>
  <c r="AA170" i="112"/>
  <c r="AT462" i="111"/>
  <c r="AD250" i="112"/>
  <c r="AD170" i="112"/>
  <c r="AD193" i="112"/>
  <c r="AD462" i="111"/>
  <c r="Y174" i="112"/>
  <c r="Y204" i="112"/>
  <c r="AU462" i="111"/>
  <c r="AE462" i="111"/>
  <c r="AH170" i="112"/>
  <c r="AH193" i="112"/>
  <c r="AH250" i="112"/>
  <c r="AH462" i="111"/>
  <c r="AJ170" i="112"/>
  <c r="AN171" i="112" s="1"/>
  <c r="AK192" i="112"/>
  <c r="R871" i="111" s="1"/>
  <c r="R881" i="111" s="1"/>
  <c r="AK462" i="111"/>
  <c r="U192" i="112"/>
  <c r="AF192" i="112"/>
  <c r="AQ462" i="111"/>
  <c r="AD204" i="112"/>
  <c r="AD263" i="112"/>
  <c r="AD174" i="112"/>
  <c r="AG192" i="112"/>
  <c r="AG462" i="111"/>
  <c r="AF462" i="111"/>
  <c r="AM192" i="112"/>
  <c r="AE174" i="112"/>
  <c r="AE204" i="112"/>
  <c r="W192" i="112"/>
  <c r="O871" i="111" s="1"/>
  <c r="O881" i="111" s="1"/>
  <c r="AH174" i="112"/>
  <c r="AH204" i="112"/>
  <c r="AH263" i="112"/>
  <c r="AV471" i="111"/>
  <c r="AV442" i="111"/>
  <c r="AR195" i="112"/>
  <c r="AR198" i="112" s="1"/>
  <c r="AR171" i="112"/>
  <c r="AB174" i="112"/>
  <c r="AB204" i="112"/>
  <c r="AB462" i="111"/>
  <c r="AU194" i="8" l="1"/>
  <c r="AU193" i="8"/>
  <c r="AB175" i="112"/>
  <c r="Z175" i="112"/>
  <c r="AD175" i="112"/>
  <c r="AH175" i="112"/>
  <c r="AJ175" i="112"/>
  <c r="Y175" i="112"/>
  <c r="AE175" i="112"/>
  <c r="AA193" i="112"/>
  <c r="Q871" i="111"/>
  <c r="Q881" i="111" s="1"/>
  <c r="Q886" i="111" s="1"/>
  <c r="AJ193" i="112"/>
  <c r="AM193" i="112"/>
  <c r="AM170" i="112"/>
  <c r="AQ193" i="112"/>
  <c r="U170" i="112"/>
  <c r="Y171" i="112" s="1"/>
  <c r="AN175" i="112"/>
  <c r="AL175" i="112"/>
  <c r="AM175" i="112"/>
  <c r="AG175" i="112"/>
  <c r="AG442" i="111"/>
  <c r="AG471" i="111"/>
  <c r="AC195" i="112"/>
  <c r="AC198" i="112" s="1"/>
  <c r="AL171" i="112"/>
  <c r="AT442" i="111"/>
  <c r="AT471" i="111"/>
  <c r="AP195" i="112"/>
  <c r="AP198" i="112" s="1"/>
  <c r="AQ471" i="111"/>
  <c r="AI171" i="112"/>
  <c r="AQ442" i="111"/>
  <c r="AM195" i="112"/>
  <c r="AR200" i="112"/>
  <c r="AR201" i="112" s="1"/>
  <c r="AH265" i="112"/>
  <c r="AH266" i="112"/>
  <c r="AH264" i="112"/>
  <c r="AD265" i="112"/>
  <c r="AD266" i="112"/>
  <c r="AD264" i="112"/>
  <c r="AP442" i="111"/>
  <c r="AP471" i="111"/>
  <c r="AH171" i="112"/>
  <c r="AL195" i="112"/>
  <c r="AL198" i="112" s="1"/>
  <c r="AL471" i="111"/>
  <c r="AD171" i="112"/>
  <c r="AL442" i="111"/>
  <c r="AH195" i="112"/>
  <c r="AH198" i="112" s="1"/>
  <c r="AE171" i="112"/>
  <c r="AM442" i="111"/>
  <c r="AM471" i="111"/>
  <c r="AI195" i="112"/>
  <c r="AI198" i="112" s="1"/>
  <c r="AL264" i="112"/>
  <c r="AF175" i="112"/>
  <c r="AK175" i="112"/>
  <c r="AD471" i="111"/>
  <c r="AD442" i="111"/>
  <c r="Z195" i="112"/>
  <c r="Z198" i="112" s="1"/>
  <c r="AC171" i="112"/>
  <c r="AK442" i="111"/>
  <c r="AK471" i="111"/>
  <c r="AG195" i="112"/>
  <c r="AZ443" i="111"/>
  <c r="AH251" i="112"/>
  <c r="AH270" i="112" s="1"/>
  <c r="AD251" i="112"/>
  <c r="AD270" i="112" s="1"/>
  <c r="AI175" i="112"/>
  <c r="AC175" i="112"/>
  <c r="AF471" i="111"/>
  <c r="AF442" i="111"/>
  <c r="AB195" i="112"/>
  <c r="AB198" i="112" s="1"/>
  <c r="AB171" i="112"/>
  <c r="AJ442" i="111"/>
  <c r="AJ471" i="111"/>
  <c r="AF195" i="112"/>
  <c r="P886" i="111"/>
  <c r="W170" i="112"/>
  <c r="AA171" i="112" s="1"/>
  <c r="AG170" i="112"/>
  <c r="AG193" i="112"/>
  <c r="AF193" i="112"/>
  <c r="AF170" i="112"/>
  <c r="AJ171" i="112" s="1"/>
  <c r="AK170" i="112"/>
  <c r="AK193" i="112"/>
  <c r="AR471" i="111"/>
  <c r="AR442" i="111"/>
  <c r="AN195" i="112"/>
  <c r="AN198" i="112" s="1"/>
  <c r="AI471" i="111"/>
  <c r="AI442" i="111"/>
  <c r="AE195" i="112"/>
  <c r="AE198" i="112" s="1"/>
  <c r="Z264" i="112"/>
  <c r="Z265" i="112"/>
  <c r="AA175" i="112"/>
  <c r="AQ175" i="112"/>
  <c r="AZ472" i="111"/>
  <c r="Y193" i="112"/>
  <c r="Z171" i="112"/>
  <c r="AH442" i="111"/>
  <c r="AH471" i="111"/>
  <c r="AD195" i="112"/>
  <c r="AD198" i="112" s="1"/>
  <c r="AH271" i="112" l="1"/>
  <c r="AM200" i="112"/>
  <c r="AM198" i="112"/>
  <c r="AF200" i="112"/>
  <c r="AF198" i="112"/>
  <c r="AG200" i="112"/>
  <c r="AG198" i="112"/>
  <c r="AR472" i="111"/>
  <c r="AH443" i="111"/>
  <c r="AK443" i="111"/>
  <c r="R886" i="111"/>
  <c r="AN200" i="112"/>
  <c r="AS442" i="111"/>
  <c r="AS471" i="111"/>
  <c r="AS472" i="111" s="1"/>
  <c r="AK171" i="112"/>
  <c r="AO195" i="112"/>
  <c r="AO198" i="112" s="1"/>
  <c r="AJ472" i="111"/>
  <c r="AK472" i="111"/>
  <c r="AM443" i="111"/>
  <c r="AM472" i="111"/>
  <c r="AL472" i="111"/>
  <c r="AT443" i="111"/>
  <c r="AC200" i="112"/>
  <c r="AD200" i="112"/>
  <c r="AJ443" i="111"/>
  <c r="Z200" i="112"/>
  <c r="AH200" i="112"/>
  <c r="AQ472" i="111"/>
  <c r="AG472" i="111"/>
  <c r="AU471" i="111"/>
  <c r="AV472" i="111" s="1"/>
  <c r="AM171" i="112"/>
  <c r="AU442" i="111"/>
  <c r="AQ195" i="112"/>
  <c r="AQ198" i="112" s="1"/>
  <c r="AQ171" i="112"/>
  <c r="AI472" i="111"/>
  <c r="AH472" i="111"/>
  <c r="AE471" i="111"/>
  <c r="AE472" i="111" s="1"/>
  <c r="AE442" i="111"/>
  <c r="AA195" i="112"/>
  <c r="AA198" i="112" s="1"/>
  <c r="AB200" i="112"/>
  <c r="AV443" i="111"/>
  <c r="AI200" i="112"/>
  <c r="AL443" i="111"/>
  <c r="AP443" i="111"/>
  <c r="AC442" i="111"/>
  <c r="AC471" i="111"/>
  <c r="Y195" i="112"/>
  <c r="Y198" i="112" s="1"/>
  <c r="AE200" i="112"/>
  <c r="AN442" i="111"/>
  <c r="AN443" i="111" s="1"/>
  <c r="AN471" i="111"/>
  <c r="AN472" i="111" s="1"/>
  <c r="AF171" i="112"/>
  <c r="AJ195" i="112"/>
  <c r="AJ198" i="112" s="1"/>
  <c r="AO442" i="111"/>
  <c r="AO443" i="111" s="1"/>
  <c r="AO471" i="111"/>
  <c r="AG171" i="112"/>
  <c r="AK195" i="112"/>
  <c r="AK198" i="112" s="1"/>
  <c r="AL200" i="112"/>
  <c r="AQ443" i="111"/>
  <c r="AU472" i="111" l="1"/>
  <c r="AO472" i="111"/>
  <c r="AT472" i="111"/>
  <c r="AG443" i="111"/>
  <c r="AA200" i="112"/>
  <c r="AF472" i="111"/>
  <c r="AD472" i="111"/>
  <c r="AS443" i="111"/>
  <c r="AI443" i="111"/>
  <c r="AQ200" i="112"/>
  <c r="AQ201" i="112" s="1"/>
  <c r="AK200" i="112"/>
  <c r="AJ200" i="112"/>
  <c r="AU443" i="111"/>
  <c r="AY443" i="111"/>
  <c r="AP472" i="111"/>
  <c r="Y200" i="112"/>
  <c r="AR443" i="111"/>
  <c r="I169" i="11"/>
  <c r="H169" i="11"/>
  <c r="G169" i="11"/>
  <c r="F169" i="11"/>
  <c r="E169" i="11"/>
  <c r="D169" i="11"/>
  <c r="C169" i="11"/>
  <c r="B169" i="11"/>
  <c r="AC108" i="4" l="1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Z131" i="4"/>
  <c r="V131" i="4"/>
  <c r="R131" i="4"/>
  <c r="N131" i="4"/>
  <c r="J131" i="4"/>
  <c r="F131" i="4"/>
  <c r="B131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I83" i="27" l="1"/>
  <c r="J83" i="27"/>
  <c r="AQ33" i="4" l="1"/>
  <c r="AN31" i="58"/>
  <c r="AM33" i="4" s="1"/>
  <c r="AM31" i="58"/>
  <c r="AL33" i="4" s="1"/>
  <c r="AL31" i="58"/>
  <c r="AK33" i="4" s="1"/>
  <c r="AK31" i="58"/>
  <c r="AJ33" i="4" s="1"/>
  <c r="AJ31" i="58"/>
  <c r="AI33" i="4" s="1"/>
  <c r="AI31" i="58"/>
  <c r="AH33" i="4" s="1"/>
  <c r="AH31" i="58"/>
  <c r="AG33" i="4" s="1"/>
  <c r="AG31" i="58"/>
  <c r="AF33" i="4" s="1"/>
  <c r="AF31" i="58"/>
  <c r="AE33" i="4" s="1"/>
  <c r="AE31" i="58"/>
  <c r="AD33" i="4" s="1"/>
  <c r="AD31" i="58"/>
  <c r="AC33" i="4" s="1"/>
  <c r="AC31" i="58"/>
  <c r="AB33" i="4" s="1"/>
  <c r="AB31" i="58"/>
  <c r="AA33" i="4" s="1"/>
  <c r="AA31" i="58"/>
  <c r="Z33" i="4" s="1"/>
  <c r="Z31" i="58"/>
  <c r="Y33" i="4" s="1"/>
  <c r="Y31" i="58"/>
  <c r="X33" i="4" s="1"/>
  <c r="X31" i="58"/>
  <c r="W33" i="4" s="1"/>
  <c r="W31" i="58"/>
  <c r="V33" i="4" s="1"/>
  <c r="V31" i="58"/>
  <c r="U33" i="4" s="1"/>
  <c r="U31" i="58"/>
  <c r="T33" i="4" s="1"/>
  <c r="T31" i="58"/>
  <c r="S33" i="4" s="1"/>
  <c r="S31" i="58"/>
  <c r="R33" i="4" s="1"/>
  <c r="R31" i="58"/>
  <c r="Q33" i="4" s="1"/>
  <c r="Q31" i="58"/>
  <c r="P33" i="4" s="1"/>
  <c r="P31" i="58"/>
  <c r="O33" i="4" s="1"/>
  <c r="O31" i="58"/>
  <c r="N33" i="4" s="1"/>
  <c r="N31" i="58"/>
  <c r="M33" i="4" s="1"/>
  <c r="M31" i="58"/>
  <c r="L33" i="4" s="1"/>
  <c r="L31" i="58"/>
  <c r="K33" i="4" s="1"/>
  <c r="K31" i="58"/>
  <c r="J33" i="4" s="1"/>
  <c r="J31" i="58"/>
  <c r="I33" i="4" s="1"/>
  <c r="I31" i="58"/>
  <c r="H33" i="4" s="1"/>
  <c r="H31" i="58"/>
  <c r="G33" i="4" s="1"/>
  <c r="G31" i="58"/>
  <c r="F33" i="4" s="1"/>
  <c r="F31" i="58"/>
  <c r="E33" i="4" s="1"/>
  <c r="E31" i="58"/>
  <c r="D33" i="4" s="1"/>
  <c r="D31" i="58"/>
  <c r="C33" i="4" s="1"/>
  <c r="C31" i="58"/>
  <c r="B33" i="4" s="1"/>
  <c r="BQ113" i="2"/>
  <c r="BP113" i="2"/>
  <c r="BO113" i="2"/>
  <c r="BN113" i="2"/>
  <c r="BL113" i="2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P32" i="4"/>
  <c r="AQ32" i="4"/>
  <c r="Z107" i="4"/>
  <c r="V107" i="4"/>
  <c r="R107" i="4"/>
  <c r="N107" i="4"/>
  <c r="J107" i="4"/>
  <c r="F107" i="4"/>
  <c r="C107" i="4"/>
  <c r="B107" i="4"/>
  <c r="T88" i="11" l="1"/>
  <c r="AQ31" i="58"/>
  <c r="AP33" i="4" s="1"/>
  <c r="T89" i="11" s="1"/>
  <c r="T22" i="76" s="1"/>
  <c r="T26" i="76" s="1"/>
  <c r="T275" i="111" l="1"/>
  <c r="T279" i="111" s="1"/>
  <c r="AQ134" i="2"/>
  <c r="AR53" i="59"/>
  <c r="AR50" i="59" s="1"/>
  <c r="I19" i="11"/>
  <c r="I102" i="111" s="1"/>
  <c r="H19" i="11"/>
  <c r="H102" i="111" s="1"/>
  <c r="G19" i="11"/>
  <c r="G102" i="111" s="1"/>
  <c r="F19" i="11"/>
  <c r="F102" i="111" s="1"/>
  <c r="E19" i="11"/>
  <c r="E102" i="111" s="1"/>
  <c r="D19" i="11"/>
  <c r="D102" i="111" s="1"/>
  <c r="C19" i="11"/>
  <c r="C102" i="111" s="1"/>
  <c r="I20" i="11"/>
  <c r="I101" i="111" s="1"/>
  <c r="H20" i="11"/>
  <c r="H101" i="111" s="1"/>
  <c r="G20" i="11"/>
  <c r="G101" i="111" s="1"/>
  <c r="F20" i="11"/>
  <c r="F101" i="111" s="1"/>
  <c r="E20" i="11"/>
  <c r="E101" i="111" s="1"/>
  <c r="D20" i="11"/>
  <c r="D101" i="111" s="1"/>
  <c r="C20" i="11"/>
  <c r="C101" i="111" s="1"/>
  <c r="I18" i="11"/>
  <c r="I100" i="111" s="1"/>
  <c r="H18" i="11"/>
  <c r="H100" i="111" s="1"/>
  <c r="G18" i="11"/>
  <c r="G100" i="111" s="1"/>
  <c r="F18" i="11"/>
  <c r="F100" i="111" s="1"/>
  <c r="E18" i="11"/>
  <c r="E100" i="111" s="1"/>
  <c r="D18" i="11"/>
  <c r="D100" i="111" s="1"/>
  <c r="C18" i="11"/>
  <c r="C100" i="111" s="1"/>
  <c r="T276" i="111" l="1"/>
  <c r="AQ8" i="8"/>
  <c r="AQ141" i="8" l="1"/>
  <c r="AQ7" i="8"/>
  <c r="AS93" i="58"/>
  <c r="AR55" i="112" s="1"/>
  <c r="AV56" i="112" s="1"/>
  <c r="AQ55" i="112"/>
  <c r="AU56" i="112" s="1"/>
  <c r="AQ78" i="8"/>
  <c r="AQ321" i="8"/>
  <c r="AQ208" i="8"/>
  <c r="AQ253" i="8" s="1"/>
  <c r="AQ269" i="8" s="1"/>
  <c r="AQ231" i="8"/>
  <c r="AT93" i="58" l="1"/>
  <c r="AS55" i="112" s="1"/>
  <c r="AW56" i="112" s="1"/>
  <c r="AQ33" i="112"/>
  <c r="AQ263" i="112"/>
  <c r="AU264" i="112" s="1"/>
  <c r="AR33" i="112"/>
  <c r="AV34" i="112" s="1"/>
  <c r="AR263" i="112"/>
  <c r="AV264" i="112" s="1"/>
  <c r="AQ156" i="2"/>
  <c r="AS33" i="112" l="1"/>
  <c r="AW34" i="112" s="1"/>
  <c r="AS263" i="112"/>
  <c r="AW264" i="112" s="1"/>
  <c r="AQ143" i="2"/>
  <c r="AP143" i="2"/>
  <c r="U101" i="11" l="1"/>
  <c r="V101" i="11"/>
  <c r="W101" i="11"/>
  <c r="Y101" i="11"/>
  <c r="Z101" i="11"/>
  <c r="AQ69" i="8" l="1"/>
  <c r="AQ59" i="8"/>
  <c r="AQ49" i="8"/>
  <c r="AQ38" i="8"/>
  <c r="AQ33" i="8"/>
  <c r="AQ17" i="8"/>
  <c r="AQ12" i="8"/>
  <c r="AQ54" i="8" l="1"/>
  <c r="AQ22" i="8"/>
  <c r="AQ44" i="8"/>
  <c r="AQ64" i="8"/>
  <c r="AQ28" i="8"/>
  <c r="AQ18" i="8"/>
  <c r="AQ29" i="8"/>
  <c r="AQ39" i="8"/>
  <c r="AQ50" i="8"/>
  <c r="AQ60" i="8"/>
  <c r="AQ70" i="8"/>
  <c r="AQ13" i="8"/>
  <c r="AQ23" i="8"/>
  <c r="AQ34" i="8"/>
  <c r="AQ45" i="8"/>
  <c r="AQ55" i="8"/>
  <c r="AQ65" i="8"/>
  <c r="AQ11" i="8"/>
  <c r="AQ16" i="8"/>
  <c r="AQ21" i="8"/>
  <c r="AQ27" i="8"/>
  <c r="AQ32" i="8"/>
  <c r="AQ37" i="8"/>
  <c r="AQ43" i="8"/>
  <c r="AQ48" i="8"/>
  <c r="AQ53" i="8"/>
  <c r="AQ58" i="8"/>
  <c r="AQ63" i="8"/>
  <c r="AQ68" i="8"/>
  <c r="AQ142" i="2"/>
  <c r="AQ145" i="2" l="1"/>
  <c r="AR139" i="2"/>
  <c r="AR157" i="2"/>
  <c r="AP141" i="2"/>
  <c r="AQ164" i="2"/>
  <c r="AQ163" i="2"/>
  <c r="AQ152" i="2"/>
  <c r="AQ153" i="2" s="1"/>
  <c r="AQ150" i="2"/>
  <c r="AQ127" i="2"/>
  <c r="AQ126" i="2"/>
  <c r="AQ125" i="2"/>
  <c r="AQ95" i="2"/>
  <c r="AQ80" i="2"/>
  <c r="AQ38" i="2"/>
  <c r="AQ65" i="2"/>
  <c r="AQ70" i="2" s="1"/>
  <c r="AQ318" i="112" s="1"/>
  <c r="AQ63" i="2"/>
  <c r="AQ78" i="2" s="1"/>
  <c r="AQ98" i="4"/>
  <c r="AQ97" i="4"/>
  <c r="AQ96" i="4"/>
  <c r="AQ95" i="4"/>
  <c r="AP98" i="4"/>
  <c r="AQ15" i="2"/>
  <c r="AQ77" i="4"/>
  <c r="AQ76" i="4"/>
  <c r="AQ75" i="4"/>
  <c r="AQ48" i="2" s="1"/>
  <c r="AQ74" i="4"/>
  <c r="AQ41" i="2" s="1"/>
  <c r="AQ70" i="4"/>
  <c r="AQ8" i="2" s="1"/>
  <c r="AQ69" i="4"/>
  <c r="AQ6" i="2" s="1"/>
  <c r="AQ68" i="4"/>
  <c r="AR137" i="4" s="1"/>
  <c r="AR139" i="4" s="1"/>
  <c r="AR140" i="4" s="1"/>
  <c r="AQ52" i="4"/>
  <c r="AQ48" i="4"/>
  <c r="AQ47" i="4"/>
  <c r="AQ45" i="4"/>
  <c r="AQ311" i="112" s="1"/>
  <c r="AQ43" i="4"/>
  <c r="AQ42" i="4"/>
  <c r="AQ41" i="4"/>
  <c r="AQ40" i="4"/>
  <c r="AQ39" i="4"/>
  <c r="AQ130" i="2" s="1"/>
  <c r="AQ38" i="4"/>
  <c r="AQ27" i="4"/>
  <c r="AQ26" i="4"/>
  <c r="AQ25" i="4"/>
  <c r="AQ17" i="4"/>
  <c r="AQ14" i="4"/>
  <c r="AQ5" i="4"/>
  <c r="AR476" i="94"/>
  <c r="AQ225" i="112" s="1"/>
  <c r="AR463" i="94"/>
  <c r="AR429" i="94"/>
  <c r="AR432" i="94" s="1"/>
  <c r="AR422" i="94"/>
  <c r="AR421" i="94"/>
  <c r="AR419" i="94"/>
  <c r="AR418" i="94"/>
  <c r="AR325" i="94"/>
  <c r="AR324" i="94"/>
  <c r="AR323" i="94"/>
  <c r="AR322" i="94"/>
  <c r="AR357" i="94" s="1"/>
  <c r="AR321" i="94"/>
  <c r="AR320" i="94"/>
  <c r="AR319" i="94"/>
  <c r="AR318" i="94"/>
  <c r="AR317" i="94"/>
  <c r="AR316" i="94"/>
  <c r="AR315" i="94"/>
  <c r="AR314" i="94"/>
  <c r="AR313" i="94"/>
  <c r="AR404" i="94"/>
  <c r="AR255" i="94"/>
  <c r="AR254" i="94"/>
  <c r="AR252" i="94"/>
  <c r="AR251" i="94"/>
  <c r="AR250" i="94"/>
  <c r="AR249" i="94"/>
  <c r="AR248" i="94"/>
  <c r="AR247" i="94"/>
  <c r="AR238" i="94"/>
  <c r="AR237" i="94"/>
  <c r="AR235" i="94"/>
  <c r="AR234" i="94"/>
  <c r="AR233" i="94"/>
  <c r="AR232" i="94"/>
  <c r="AR231" i="94"/>
  <c r="AR230" i="94"/>
  <c r="AR228" i="94"/>
  <c r="AQ116" i="2" l="1"/>
  <c r="AR111" i="2" s="1"/>
  <c r="BL88" i="4"/>
  <c r="BM88" i="4" s="1"/>
  <c r="BN88" i="4" s="1"/>
  <c r="BO88" i="4" s="1"/>
  <c r="BP88" i="4" s="1"/>
  <c r="BQ88" i="4" s="1"/>
  <c r="BR88" i="4" s="1"/>
  <c r="BS88" i="4" s="1"/>
  <c r="BT88" i="4" s="1"/>
  <c r="BU88" i="4" s="1"/>
  <c r="BV88" i="4" s="1"/>
  <c r="BW88" i="4" s="1"/>
  <c r="BX88" i="4" s="1"/>
  <c r="BY88" i="4" s="1"/>
  <c r="BZ88" i="4" s="1"/>
  <c r="CA88" i="4" s="1"/>
  <c r="CB88" i="4" s="1"/>
  <c r="CC88" i="4" s="1"/>
  <c r="CD88" i="4" s="1"/>
  <c r="CE88" i="4" s="1"/>
  <c r="CF88" i="4" s="1"/>
  <c r="CG88" i="4" s="1"/>
  <c r="CH88" i="4" s="1"/>
  <c r="CI88" i="4" s="1"/>
  <c r="CJ88" i="4" s="1"/>
  <c r="CK88" i="4" s="1"/>
  <c r="CL88" i="4" s="1"/>
  <c r="CM88" i="4" s="1"/>
  <c r="CN88" i="4" s="1"/>
  <c r="CO88" i="4" s="1"/>
  <c r="CP88" i="4" s="1"/>
  <c r="CQ88" i="4" s="1"/>
  <c r="CR88" i="4" s="1"/>
  <c r="CS88" i="4" s="1"/>
  <c r="CT88" i="4" s="1"/>
  <c r="CU88" i="4" s="1"/>
  <c r="CV88" i="4" s="1"/>
  <c r="CW88" i="4" s="1"/>
  <c r="AQ148" i="2"/>
  <c r="AQ151" i="2" s="1"/>
  <c r="AR216" i="94"/>
  <c r="AR372" i="94" s="1"/>
  <c r="AR217" i="94"/>
  <c r="AR373" i="94" s="1"/>
  <c r="AQ245" i="112"/>
  <c r="AU6" i="4"/>
  <c r="AR218" i="94"/>
  <c r="AR374" i="94" s="1"/>
  <c r="AR220" i="94"/>
  <c r="AR376" i="94" s="1"/>
  <c r="AR214" i="94"/>
  <c r="AR370" i="94" s="1"/>
  <c r="AR215" i="94"/>
  <c r="AR371" i="94" s="1"/>
  <c r="AY428" i="111"/>
  <c r="AR226" i="112"/>
  <c r="AQ29" i="4"/>
  <c r="AQ58" i="112"/>
  <c r="AY493" i="111"/>
  <c r="AQ123" i="112"/>
  <c r="AY495" i="111"/>
  <c r="AQ30" i="4"/>
  <c r="AQ207" i="112"/>
  <c r="AY494" i="111"/>
  <c r="AQ16" i="4"/>
  <c r="AQ15" i="4" s="1"/>
  <c r="AR420" i="94"/>
  <c r="AQ9" i="4"/>
  <c r="AQ31" i="4" s="1"/>
  <c r="AQ98" i="2"/>
  <c r="AR92" i="2"/>
  <c r="AR93" i="2" s="1"/>
  <c r="AR213" i="94"/>
  <c r="AR369" i="94" s="1"/>
  <c r="AR221" i="94"/>
  <c r="AR377" i="94" s="1"/>
  <c r="AR406" i="94"/>
  <c r="AQ194" i="8"/>
  <c r="AQ172" i="8"/>
  <c r="AQ173" i="8" s="1"/>
  <c r="AR438" i="94"/>
  <c r="AQ101" i="2"/>
  <c r="AQ108" i="2"/>
  <c r="AR105" i="2" s="1"/>
  <c r="AQ20" i="2"/>
  <c r="AQ99" i="4"/>
  <c r="AQ132" i="2"/>
  <c r="AR347" i="94"/>
  <c r="AR351" i="94"/>
  <c r="AR355" i="94"/>
  <c r="AR359" i="94"/>
  <c r="AR354" i="94"/>
  <c r="AR358" i="94"/>
  <c r="AR326" i="94"/>
  <c r="AR348" i="94"/>
  <c r="AR352" i="94"/>
  <c r="AR356" i="94"/>
  <c r="AR360" i="94"/>
  <c r="AR439" i="94"/>
  <c r="AQ10" i="4"/>
  <c r="AQ11" i="4" s="1"/>
  <c r="AQ39" i="2"/>
  <c r="AR349" i="94"/>
  <c r="AR353" i="94"/>
  <c r="AR436" i="94"/>
  <c r="AR440" i="94"/>
  <c r="AQ37" i="4"/>
  <c r="AQ16" i="2"/>
  <c r="AQ264" i="8" s="1"/>
  <c r="AR350" i="94"/>
  <c r="AR437" i="94"/>
  <c r="AQ9" i="2"/>
  <c r="AQ259" i="8" s="1"/>
  <c r="AQ57" i="2"/>
  <c r="AQ97" i="2"/>
  <c r="AQ26" i="2"/>
  <c r="AQ67" i="2" l="1"/>
  <c r="AR61" i="2" s="1"/>
  <c r="AQ66" i="112"/>
  <c r="AQ288" i="112"/>
  <c r="AY481" i="111" s="1"/>
  <c r="AQ21" i="2"/>
  <c r="AQ125" i="112"/>
  <c r="AQ238" i="8"/>
  <c r="AQ60" i="112"/>
  <c r="AQ232" i="8"/>
  <c r="AQ209" i="112"/>
  <c r="AQ244" i="8"/>
  <c r="AQ284" i="112"/>
  <c r="AQ238" i="112"/>
  <c r="AY438" i="111" s="1"/>
  <c r="AQ241" i="112"/>
  <c r="AQ247" i="112"/>
  <c r="AY448" i="111" s="1"/>
  <c r="AY454" i="111"/>
  <c r="AQ300" i="112"/>
  <c r="AQ224" i="8" s="1"/>
  <c r="AQ309" i="112"/>
  <c r="AQ296" i="112"/>
  <c r="AQ297" i="112" s="1"/>
  <c r="AQ267" i="112"/>
  <c r="AQ18" i="4"/>
  <c r="AU13" i="4"/>
  <c r="AR423" i="94"/>
  <c r="AR331" i="94"/>
  <c r="AQ193" i="8"/>
  <c r="AY498" i="111"/>
  <c r="AY512" i="111"/>
  <c r="AY499" i="111"/>
  <c r="AY500" i="111"/>
  <c r="AY510" i="111"/>
  <c r="AY509" i="111"/>
  <c r="AY545" i="111"/>
  <c r="AY508" i="111"/>
  <c r="AY511" i="111"/>
  <c r="AR387" i="94"/>
  <c r="AR388" i="94"/>
  <c r="AR76" i="2"/>
  <c r="AR94" i="2"/>
  <c r="AR342" i="94"/>
  <c r="AR338" i="94"/>
  <c r="AR455" i="94"/>
  <c r="AR391" i="94"/>
  <c r="AR411" i="94"/>
  <c r="AR410" i="94"/>
  <c r="AR413" i="94"/>
  <c r="AR337" i="94"/>
  <c r="AR330" i="94"/>
  <c r="AR333" i="94"/>
  <c r="AR412" i="94"/>
  <c r="AQ174" i="8"/>
  <c r="BM127" i="2"/>
  <c r="BN127" i="2" s="1"/>
  <c r="BO127" i="2" s="1"/>
  <c r="BP127" i="2" s="1"/>
  <c r="BQ127" i="2" s="1"/>
  <c r="BR127" i="2" s="1"/>
  <c r="BS127" i="2" s="1"/>
  <c r="BT127" i="2" s="1"/>
  <c r="BU127" i="2" s="1"/>
  <c r="BV127" i="2" s="1"/>
  <c r="BW127" i="2" s="1"/>
  <c r="BX127" i="2" s="1"/>
  <c r="BY127" i="2" s="1"/>
  <c r="BZ127" i="2" s="1"/>
  <c r="CA127" i="2" s="1"/>
  <c r="CB127" i="2" s="1"/>
  <c r="CC127" i="2" s="1"/>
  <c r="CD127" i="2" s="1"/>
  <c r="CE127" i="2" s="1"/>
  <c r="CF127" i="2" s="1"/>
  <c r="CG127" i="2" s="1"/>
  <c r="CH127" i="2" s="1"/>
  <c r="CI127" i="2" s="1"/>
  <c r="CJ127" i="2" s="1"/>
  <c r="CK127" i="2" s="1"/>
  <c r="CL127" i="2" s="1"/>
  <c r="CM127" i="2" s="1"/>
  <c r="CN127" i="2" s="1"/>
  <c r="CO127" i="2" s="1"/>
  <c r="CP127" i="2" s="1"/>
  <c r="CQ127" i="2" s="1"/>
  <c r="CR127" i="2" s="1"/>
  <c r="CS127" i="2" s="1"/>
  <c r="CT127" i="2" s="1"/>
  <c r="CU127" i="2" s="1"/>
  <c r="CV127" i="2" s="1"/>
  <c r="CW127" i="2" s="1"/>
  <c r="AQ165" i="2"/>
  <c r="AQ100" i="4"/>
  <c r="AR300" i="94"/>
  <c r="AR297" i="94"/>
  <c r="AR296" i="94"/>
  <c r="AR299" i="94"/>
  <c r="AR340" i="94"/>
  <c r="AR390" i="94"/>
  <c r="AR304" i="94"/>
  <c r="AR307" i="94"/>
  <c r="AQ109" i="2"/>
  <c r="AQ117" i="2"/>
  <c r="AQ119" i="2"/>
  <c r="AQ120" i="2" s="1"/>
  <c r="AQ267" i="8"/>
  <c r="AQ265" i="8"/>
  <c r="AQ266" i="8"/>
  <c r="AQ261" i="8"/>
  <c r="AQ262" i="8"/>
  <c r="AQ260" i="8"/>
  <c r="AR394" i="94"/>
  <c r="AR334" i="94"/>
  <c r="AR341" i="94"/>
  <c r="AR336" i="94"/>
  <c r="AQ12" i="4"/>
  <c r="AQ20" i="4"/>
  <c r="AR389" i="94"/>
  <c r="AR361" i="94"/>
  <c r="AR295" i="94"/>
  <c r="AR332" i="94"/>
  <c r="AR343" i="94"/>
  <c r="AR306" i="94"/>
  <c r="AR305" i="94"/>
  <c r="AR457" i="94"/>
  <c r="AR386" i="94"/>
  <c r="AR456" i="94"/>
  <c r="AR339" i="94"/>
  <c r="AR302" i="94"/>
  <c r="AR301" i="94"/>
  <c r="AR441" i="94"/>
  <c r="AR454" i="94"/>
  <c r="AR453" i="94"/>
  <c r="AQ149" i="8"/>
  <c r="AQ148" i="8"/>
  <c r="AR393" i="94"/>
  <c r="AR303" i="94"/>
  <c r="AR308" i="94"/>
  <c r="AR335" i="94"/>
  <c r="AR298" i="94"/>
  <c r="AY491" i="111" l="1"/>
  <c r="AY563" i="111"/>
  <c r="AQ285" i="112"/>
  <c r="AQ209" i="8" s="1"/>
  <c r="AQ212" i="8" s="1"/>
  <c r="AQ302" i="112"/>
  <c r="AY465" i="111"/>
  <c r="AY537" i="111"/>
  <c r="AY538" i="111" s="1"/>
  <c r="AR33" i="58"/>
  <c r="AR34" i="58" s="1"/>
  <c r="AR36" i="58" s="1"/>
  <c r="AY517" i="111"/>
  <c r="AY516" i="111"/>
  <c r="AY520" i="111"/>
  <c r="AZ527" i="111"/>
  <c r="AZ525" i="111"/>
  <c r="AZ526" i="111"/>
  <c r="AZ528" i="111"/>
  <c r="AY519" i="111"/>
  <c r="AY513" i="111"/>
  <c r="AY518" i="111"/>
  <c r="AZ524" i="111"/>
  <c r="AY542" i="111"/>
  <c r="AY477" i="111"/>
  <c r="AR414" i="94"/>
  <c r="AQ21" i="4"/>
  <c r="AR344" i="94"/>
  <c r="AR458" i="94"/>
  <c r="AR447" i="94"/>
  <c r="AR445" i="94"/>
  <c r="AR449" i="94"/>
  <c r="AR448" i="94"/>
  <c r="AR446" i="94"/>
  <c r="AR309" i="94"/>
  <c r="AQ211" i="8" l="1"/>
  <c r="AQ210" i="8"/>
  <c r="AQ303" i="112"/>
  <c r="AY521" i="111"/>
  <c r="AZ529" i="111"/>
  <c r="AQ22" i="4"/>
  <c r="AQ23" i="4" s="1"/>
  <c r="AR450" i="94"/>
  <c r="AQ19" i="4"/>
  <c r="AR113" i="94"/>
  <c r="AR100" i="94"/>
  <c r="AR87" i="94"/>
  <c r="AR106" i="94"/>
  <c r="AR246" i="94" s="1"/>
  <c r="AR80" i="94"/>
  <c r="AR93" i="94"/>
  <c r="AR229" i="94" s="1"/>
  <c r="AR110" i="94"/>
  <c r="AR253" i="94" s="1"/>
  <c r="AR97" i="94"/>
  <c r="AR236" i="94" s="1"/>
  <c r="AR84" i="94"/>
  <c r="AR105" i="94"/>
  <c r="AR245" i="94" s="1"/>
  <c r="AR79" i="94"/>
  <c r="AR104" i="94"/>
  <c r="AR244" i="94" s="1"/>
  <c r="AR91" i="94"/>
  <c r="AR227" i="94" s="1"/>
  <c r="AR78" i="94"/>
  <c r="AR103" i="94"/>
  <c r="AR124" i="94" s="1"/>
  <c r="AR90" i="94"/>
  <c r="AR77" i="94"/>
  <c r="AR15" i="94"/>
  <c r="AR27" i="94"/>
  <c r="AR38" i="94"/>
  <c r="AR26" i="94"/>
  <c r="AR14" i="94"/>
  <c r="AQ140" i="94"/>
  <c r="AQ166" i="94" s="1"/>
  <c r="AQ167" i="94" s="1"/>
  <c r="AQ255" i="94"/>
  <c r="AQ238" i="94"/>
  <c r="AQ204" i="94"/>
  <c r="AQ199" i="94"/>
  <c r="AQ113" i="94"/>
  <c r="AQ100" i="94"/>
  <c r="AQ87" i="94"/>
  <c r="I5" i="4"/>
  <c r="I245" i="112" s="1"/>
  <c r="I14" i="4"/>
  <c r="I15" i="4" s="1"/>
  <c r="AQ288" i="94" l="1"/>
  <c r="AQ317" i="94"/>
  <c r="AQ323" i="94"/>
  <c r="AQ282" i="94"/>
  <c r="I241" i="112"/>
  <c r="I284" i="112"/>
  <c r="I288" i="112"/>
  <c r="I296" i="112"/>
  <c r="I302" i="112" s="1"/>
  <c r="Q454" i="111"/>
  <c r="AQ305" i="112"/>
  <c r="AY487" i="111"/>
  <c r="AR211" i="94"/>
  <c r="AR367" i="94" s="1"/>
  <c r="AR384" i="94" s="1"/>
  <c r="AR239" i="94"/>
  <c r="AR240" i="94" s="1"/>
  <c r="AR256" i="94"/>
  <c r="AR257" i="94" s="1"/>
  <c r="AR210" i="94"/>
  <c r="AR212" i="94"/>
  <c r="AR368" i="94" s="1"/>
  <c r="AR385" i="94" s="1"/>
  <c r="AR219" i="94"/>
  <c r="AR375" i="94" s="1"/>
  <c r="AR392" i="94" s="1"/>
  <c r="AQ28" i="4"/>
  <c r="AR117" i="94"/>
  <c r="AR121" i="94"/>
  <c r="AR125" i="94"/>
  <c r="AR118" i="94"/>
  <c r="AR122" i="94"/>
  <c r="AR126" i="94"/>
  <c r="AR119" i="94"/>
  <c r="AR123" i="94"/>
  <c r="AR120" i="94"/>
  <c r="AQ221" i="94"/>
  <c r="AQ358" i="94" l="1"/>
  <c r="I285" i="112"/>
  <c r="AQ377" i="94"/>
  <c r="AY532" i="111"/>
  <c r="AQ59" i="112"/>
  <c r="AQ124" i="112"/>
  <c r="AQ208" i="112"/>
  <c r="AQ293" i="112"/>
  <c r="AQ306" i="112"/>
  <c r="Q563" i="111"/>
  <c r="Q481" i="111"/>
  <c r="AR267" i="94"/>
  <c r="AR266" i="94"/>
  <c r="AR272" i="94"/>
  <c r="AR265" i="94"/>
  <c r="AR268" i="94"/>
  <c r="AR269" i="94"/>
  <c r="AR264" i="94"/>
  <c r="AR271" i="94"/>
  <c r="AR262" i="94"/>
  <c r="AR270" i="94"/>
  <c r="AR261" i="94"/>
  <c r="AR263" i="94"/>
  <c r="AR222" i="94"/>
  <c r="AR378" i="94" s="1"/>
  <c r="AR395" i="94" s="1"/>
  <c r="AR366" i="94"/>
  <c r="AR383" i="94" s="1"/>
  <c r="AR273" i="94"/>
  <c r="AR127" i="94"/>
  <c r="AQ66" i="59"/>
  <c r="AQ394" i="94" l="1"/>
  <c r="AR66" i="59"/>
  <c r="AQ294" i="112"/>
  <c r="AQ290" i="112"/>
  <c r="AR223" i="94"/>
  <c r="AQ141" i="2"/>
  <c r="AR274" i="94"/>
  <c r="AQ49" i="2"/>
  <c r="AQ50" i="2" s="1"/>
  <c r="AQ43" i="59"/>
  <c r="AQ45" i="59" s="1"/>
  <c r="AQ37" i="59"/>
  <c r="AQ32" i="59"/>
  <c r="AP31" i="59"/>
  <c r="AP82" i="4" s="1"/>
  <c r="AP86" i="4" s="1"/>
  <c r="AQ9" i="59"/>
  <c r="AQ14" i="59"/>
  <c r="AQ73" i="4" s="1"/>
  <c r="AQ78" i="4" s="1"/>
  <c r="AP9" i="59"/>
  <c r="AQ13" i="59"/>
  <c r="AR13" i="58"/>
  <c r="AR8" i="58"/>
  <c r="AR6" i="58"/>
  <c r="AQ159" i="2" l="1"/>
  <c r="AQ160" i="2" s="1"/>
  <c r="AP19" i="2"/>
  <c r="AR379" i="94"/>
  <c r="AR396" i="94" s="1"/>
  <c r="AY484" i="111"/>
  <c r="AS66" i="59"/>
  <c r="AS141" i="2" s="1"/>
  <c r="AS159" i="2" s="1"/>
  <c r="AS160" i="2" s="1"/>
  <c r="AR141" i="2"/>
  <c r="AQ291" i="112"/>
  <c r="AR12" i="58"/>
  <c r="AR19" i="58" s="1"/>
  <c r="AR22" i="58" s="1"/>
  <c r="AR38" i="58" s="1"/>
  <c r="AQ10" i="59"/>
  <c r="AQ71" i="4"/>
  <c r="AQ18" i="59"/>
  <c r="AQ43" i="2"/>
  <c r="AQ42" i="2"/>
  <c r="AY560" i="111" s="1"/>
  <c r="AQ64" i="2"/>
  <c r="AQ82" i="2" s="1"/>
  <c r="AR462" i="94"/>
  <c r="AR39" i="94"/>
  <c r="AQ46" i="59"/>
  <c r="AR159" i="2" l="1"/>
  <c r="AR160" i="2" s="1"/>
  <c r="AR40" i="58"/>
  <c r="AR41" i="58"/>
  <c r="AR469" i="94"/>
  <c r="AQ19" i="59"/>
  <c r="AQ31" i="2"/>
  <c r="AQ11" i="2"/>
  <c r="AQ72" i="4"/>
  <c r="AQ79" i="4" s="1"/>
  <c r="AR48" i="94"/>
  <c r="AR50" i="94"/>
  <c r="AR43" i="94"/>
  <c r="AR45" i="94"/>
  <c r="AR47" i="94"/>
  <c r="AR44" i="94"/>
  <c r="AR49" i="94"/>
  <c r="AR46" i="94"/>
  <c r="AR51" i="94" l="1"/>
  <c r="AO48" i="4" l="1"/>
  <c r="K4" i="27"/>
  <c r="K36" i="27" s="1"/>
  <c r="AQ35" i="58"/>
  <c r="K60" i="27" l="1"/>
  <c r="B92" i="11" l="1"/>
  <c r="C92" i="11"/>
  <c r="D92" i="11"/>
  <c r="E92" i="11"/>
  <c r="F92" i="11"/>
  <c r="G92" i="11"/>
  <c r="H92" i="11"/>
  <c r="I92" i="11"/>
  <c r="B88" i="11"/>
  <c r="C88" i="11"/>
  <c r="D88" i="11"/>
  <c r="E88" i="11"/>
  <c r="F88" i="11"/>
  <c r="G88" i="11"/>
  <c r="H88" i="11"/>
  <c r="I88" i="11"/>
  <c r="AO76" i="4" l="1"/>
  <c r="S126" i="11" s="1"/>
  <c r="AN76" i="4"/>
  <c r="AM76" i="4"/>
  <c r="AL76" i="4"/>
  <c r="AK76" i="4"/>
  <c r="R126" i="11" s="1"/>
  <c r="AJ76" i="4"/>
  <c r="AI76" i="4"/>
  <c r="AH76" i="4"/>
  <c r="AG76" i="4"/>
  <c r="Q126" i="11" s="1"/>
  <c r="AF76" i="4"/>
  <c r="AE76" i="4"/>
  <c r="AD76" i="4"/>
  <c r="AC76" i="4"/>
  <c r="P126" i="11" s="1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S137" i="11"/>
  <c r="R137" i="11"/>
  <c r="Q137" i="11"/>
  <c r="P137" i="11"/>
  <c r="I51" i="27" l="1"/>
  <c r="J51" i="27"/>
  <c r="K51" i="27"/>
  <c r="I170" i="11"/>
  <c r="H170" i="11"/>
  <c r="G170" i="11"/>
  <c r="F170" i="11"/>
  <c r="E170" i="11"/>
  <c r="D170" i="11"/>
  <c r="C170" i="11"/>
  <c r="B170" i="11"/>
  <c r="AP38" i="4" l="1"/>
  <c r="AP39" i="4"/>
  <c r="AP130" i="2" l="1"/>
  <c r="AP16" i="4"/>
  <c r="AP64" i="2" l="1"/>
  <c r="AP82" i="2" s="1"/>
  <c r="AP43" i="2"/>
  <c r="AP49" i="2"/>
  <c r="AP68" i="4"/>
  <c r="AQ137" i="4" s="1"/>
  <c r="AP69" i="4"/>
  <c r="AP6" i="2" s="1"/>
  <c r="AP70" i="4"/>
  <c r="AP71" i="4"/>
  <c r="AP73" i="4"/>
  <c r="AP74" i="4"/>
  <c r="AP41" i="2" s="1"/>
  <c r="AP75" i="4"/>
  <c r="AP76" i="4"/>
  <c r="AP77" i="4"/>
  <c r="AP15" i="2"/>
  <c r="AP95" i="4"/>
  <c r="AP96" i="4"/>
  <c r="AP97" i="4"/>
  <c r="AP52" i="4"/>
  <c r="T105" i="11" s="1"/>
  <c r="AP48" i="4"/>
  <c r="T100" i="11" s="1"/>
  <c r="AP47" i="4"/>
  <c r="T101" i="11" s="1"/>
  <c r="AP45" i="4"/>
  <c r="AP43" i="4"/>
  <c r="AP42" i="4"/>
  <c r="AP27" i="4"/>
  <c r="AP26" i="4"/>
  <c r="AP25" i="4"/>
  <c r="AP17" i="4"/>
  <c r="AP14" i="4"/>
  <c r="AP5" i="4"/>
  <c r="AP150" i="2"/>
  <c r="AP152" i="2"/>
  <c r="AP153" i="2" s="1"/>
  <c r="AP156" i="2"/>
  <c r="AP159" i="2" s="1"/>
  <c r="AP30" i="2"/>
  <c r="AP60" i="2"/>
  <c r="AP80" i="2"/>
  <c r="AP95" i="2"/>
  <c r="AP100" i="2"/>
  <c r="AP127" i="2"/>
  <c r="T60" i="11"/>
  <c r="AP160" i="2" l="1"/>
  <c r="AP116" i="2"/>
  <c r="AP15" i="4"/>
  <c r="T65" i="11" s="1"/>
  <c r="AP148" i="2"/>
  <c r="AP151" i="2" s="1"/>
  <c r="T94" i="11"/>
  <c r="AP108" i="2"/>
  <c r="AQ105" i="2" s="1"/>
  <c r="AQ107" i="2" s="1"/>
  <c r="AP65" i="2"/>
  <c r="AP70" i="2" s="1"/>
  <c r="AP318" i="112" s="1"/>
  <c r="T63" i="11"/>
  <c r="AP245" i="112"/>
  <c r="AT6" i="4"/>
  <c r="AP58" i="112"/>
  <c r="AX493" i="111"/>
  <c r="T73" i="11"/>
  <c r="AP311" i="112"/>
  <c r="T97" i="11"/>
  <c r="AP30" i="4"/>
  <c r="AP207" i="112"/>
  <c r="AP244" i="8" s="1"/>
  <c r="AX494" i="111"/>
  <c r="T75" i="11"/>
  <c r="AP123" i="112"/>
  <c r="AP238" i="8" s="1"/>
  <c r="AX495" i="111"/>
  <c r="T74" i="11"/>
  <c r="AP9" i="4"/>
  <c r="AP31" i="4" s="1"/>
  <c r="T39" i="11"/>
  <c r="V21" i="71" s="1"/>
  <c r="AP29" i="4"/>
  <c r="AP50" i="2"/>
  <c r="AQ33" i="2"/>
  <c r="AP10" i="4"/>
  <c r="AP11" i="4" s="1"/>
  <c r="AP18" i="4" s="1"/>
  <c r="AQ132" i="8"/>
  <c r="AQ126" i="8"/>
  <c r="AQ121" i="8"/>
  <c r="AQ115" i="8"/>
  <c r="AP60" i="4"/>
  <c r="AQ92" i="2"/>
  <c r="AQ93" i="2" s="1"/>
  <c r="AQ94" i="2" s="1"/>
  <c r="AQ137" i="8"/>
  <c r="AQ110" i="8"/>
  <c r="AP63" i="2"/>
  <c r="AP78" i="2" s="1"/>
  <c r="AP38" i="2"/>
  <c r="AP39" i="2" s="1"/>
  <c r="AP142" i="2"/>
  <c r="AQ139" i="2" s="1"/>
  <c r="AP57" i="2"/>
  <c r="AP98" i="2"/>
  <c r="AP97" i="2"/>
  <c r="AP20" i="2"/>
  <c r="AP16" i="2"/>
  <c r="AP99" i="4"/>
  <c r="AP42" i="2"/>
  <c r="AP72" i="4"/>
  <c r="AP78" i="4"/>
  <c r="AP48" i="2"/>
  <c r="AQ51" i="2" s="1"/>
  <c r="AP11" i="2"/>
  <c r="AP101" i="2"/>
  <c r="AP8" i="2"/>
  <c r="AP9" i="2" s="1"/>
  <c r="AP132" i="2"/>
  <c r="AP67" i="2" l="1"/>
  <c r="AQ61" i="2" s="1"/>
  <c r="AP66" i="112"/>
  <c r="AX491" i="111"/>
  <c r="V25" i="71"/>
  <c r="V26" i="71"/>
  <c r="V24" i="71"/>
  <c r="AP241" i="112"/>
  <c r="AT242" i="112" s="1"/>
  <c r="AP21" i="2"/>
  <c r="AP60" i="112"/>
  <c r="AT61" i="112" s="1"/>
  <c r="AP232" i="8"/>
  <c r="AP125" i="112"/>
  <c r="AT126" i="112" s="1"/>
  <c r="AP209" i="112"/>
  <c r="AT210" i="112" s="1"/>
  <c r="AQ106" i="2"/>
  <c r="AT246" i="112"/>
  <c r="AP267" i="112"/>
  <c r="AP288" i="112"/>
  <c r="AX454" i="111"/>
  <c r="AP300" i="112"/>
  <c r="AP224" i="8" s="1"/>
  <c r="AP309" i="112"/>
  <c r="AP247" i="112"/>
  <c r="AP296" i="112"/>
  <c r="AP302" i="112" s="1"/>
  <c r="AP284" i="112"/>
  <c r="AP31" i="2"/>
  <c r="AX560" i="111"/>
  <c r="T196" i="111"/>
  <c r="T23" i="46"/>
  <c r="AX499" i="111"/>
  <c r="T194" i="111"/>
  <c r="T22" i="46"/>
  <c r="T26" i="46" s="1"/>
  <c r="T81" i="11"/>
  <c r="V28" i="71" s="1"/>
  <c r="AX498" i="111"/>
  <c r="AX500" i="111"/>
  <c r="T24" i="46"/>
  <c r="T28" i="46" s="1"/>
  <c r="T195" i="111"/>
  <c r="T83" i="11"/>
  <c r="V30" i="71" s="1"/>
  <c r="AP145" i="2"/>
  <c r="T62" i="111"/>
  <c r="T129" i="111"/>
  <c r="T67" i="11"/>
  <c r="T82" i="11"/>
  <c r="V29" i="71" s="1"/>
  <c r="T17" i="46"/>
  <c r="AP12" i="2"/>
  <c r="AP7" i="2"/>
  <c r="AP17" i="2"/>
  <c r="AQ157" i="2"/>
  <c r="AP157" i="2"/>
  <c r="AP20" i="4"/>
  <c r="AQ111" i="8"/>
  <c r="AQ112" i="8"/>
  <c r="AQ133" i="8"/>
  <c r="AQ134" i="8"/>
  <c r="AQ123" i="8"/>
  <c r="AQ122" i="8"/>
  <c r="AQ116" i="8"/>
  <c r="AQ117" i="8"/>
  <c r="AQ128" i="8"/>
  <c r="AQ127" i="8"/>
  <c r="AQ139" i="8"/>
  <c r="AQ138" i="8"/>
  <c r="AP119" i="2"/>
  <c r="AP120" i="2" s="1"/>
  <c r="AQ111" i="2"/>
  <c r="AP165" i="2"/>
  <c r="AP12" i="4"/>
  <c r="AX477" i="111" s="1"/>
  <c r="AP79" i="4"/>
  <c r="AP100" i="4"/>
  <c r="AP109" i="2"/>
  <c r="AP10" i="2"/>
  <c r="AP117" i="2"/>
  <c r="AP26" i="2"/>
  <c r="AQ27" i="2" s="1"/>
  <c r="AM12" i="71" l="1"/>
  <c r="G10" i="71"/>
  <c r="AX481" i="111"/>
  <c r="AX563" i="111"/>
  <c r="AP285" i="112"/>
  <c r="AP209" i="8" s="1"/>
  <c r="AY455" i="111"/>
  <c r="AX448" i="111"/>
  <c r="AZ455" i="111"/>
  <c r="AX465" i="111"/>
  <c r="BA455" i="111"/>
  <c r="AY490" i="111"/>
  <c r="AX455" i="111"/>
  <c r="AP297" i="112"/>
  <c r="T200" i="111"/>
  <c r="T27" i="46"/>
  <c r="T205" i="111"/>
  <c r="T199" i="111"/>
  <c r="T204" i="111"/>
  <c r="T201" i="111"/>
  <c r="AQ123" i="2"/>
  <c r="AQ124" i="2" s="1"/>
  <c r="AQ128" i="2" s="1"/>
  <c r="AQ227" i="8" s="1"/>
  <c r="AX542" i="111"/>
  <c r="T206" i="111"/>
  <c r="AP303" i="112"/>
  <c r="AX537" i="111"/>
  <c r="AX538" i="111" s="1"/>
  <c r="T194" i="11"/>
  <c r="T168" i="11"/>
  <c r="T209" i="11"/>
  <c r="AP251" i="8"/>
  <c r="T69" i="11"/>
  <c r="T21" i="76" s="1"/>
  <c r="AS121" i="2"/>
  <c r="AP21" i="4"/>
  <c r="AQ33" i="58"/>
  <c r="AQ115" i="2"/>
  <c r="AQ112" i="2"/>
  <c r="AQ329" i="8" s="1"/>
  <c r="AP34" i="4"/>
  <c r="AP36" i="4" s="1"/>
  <c r="AP19" i="4"/>
  <c r="AP28" i="2"/>
  <c r="T23" i="76" l="1"/>
  <c r="V31" i="71"/>
  <c r="V39" i="71"/>
  <c r="G12" i="71"/>
  <c r="G42" i="71" s="1"/>
  <c r="G40" i="71"/>
  <c r="AM42" i="71"/>
  <c r="AJ60" i="71"/>
  <c r="AJ62" i="71" s="1"/>
  <c r="L29" i="27"/>
  <c r="AP210" i="8"/>
  <c r="AP211" i="8"/>
  <c r="AP212" i="8"/>
  <c r="AQ129" i="2"/>
  <c r="T415" i="111"/>
  <c r="T33" i="46"/>
  <c r="T180" i="11"/>
  <c r="T171" i="11"/>
  <c r="T195" i="11"/>
  <c r="T67" i="46" s="1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G19" i="71" l="1"/>
  <c r="G46" i="71" s="1"/>
  <c r="AM19" i="71"/>
  <c r="AM49" i="71" s="1"/>
  <c r="V38" i="71"/>
  <c r="AM38" i="4"/>
  <c r="AM130" i="2"/>
  <c r="AI38" i="4"/>
  <c r="AI130" i="2"/>
  <c r="AE38" i="4"/>
  <c r="AE130" i="2"/>
  <c r="AA38" i="4"/>
  <c r="AA130" i="2"/>
  <c r="W38" i="4"/>
  <c r="W130" i="2"/>
  <c r="S38" i="4"/>
  <c r="S130" i="2"/>
  <c r="O38" i="4"/>
  <c r="O130" i="2"/>
  <c r="K38" i="4"/>
  <c r="K130" i="2"/>
  <c r="G38" i="4"/>
  <c r="G130" i="2"/>
  <c r="C38" i="4"/>
  <c r="C130" i="2"/>
  <c r="AL38" i="4"/>
  <c r="AL130" i="2"/>
  <c r="AD38" i="4"/>
  <c r="AD130" i="2"/>
  <c r="V38" i="4"/>
  <c r="V130" i="2"/>
  <c r="N38" i="4"/>
  <c r="N130" i="2"/>
  <c r="F38" i="4"/>
  <c r="F130" i="2"/>
  <c r="AK38" i="4"/>
  <c r="AK130" i="2"/>
  <c r="AC38" i="4"/>
  <c r="AC130" i="2"/>
  <c r="U38" i="4"/>
  <c r="U130" i="2"/>
  <c r="Q38" i="4"/>
  <c r="Q130" i="2"/>
  <c r="M38" i="4"/>
  <c r="M130" i="2"/>
  <c r="I38" i="4"/>
  <c r="I130" i="2"/>
  <c r="E38" i="4"/>
  <c r="E130" i="2"/>
  <c r="AH38" i="4"/>
  <c r="AH130" i="2"/>
  <c r="Z38" i="4"/>
  <c r="Z130" i="2"/>
  <c r="R38" i="4"/>
  <c r="R130" i="2"/>
  <c r="J38" i="4"/>
  <c r="J130" i="2"/>
  <c r="B38" i="4"/>
  <c r="B130" i="2"/>
  <c r="AG38" i="4"/>
  <c r="AG130" i="2"/>
  <c r="Y38" i="4"/>
  <c r="Y130" i="2"/>
  <c r="AN38" i="4"/>
  <c r="AN130" i="2"/>
  <c r="AJ38" i="4"/>
  <c r="AJ130" i="2"/>
  <c r="AF38" i="4"/>
  <c r="AF130" i="2"/>
  <c r="AB38" i="4"/>
  <c r="AB130" i="2"/>
  <c r="X38" i="4"/>
  <c r="X130" i="2"/>
  <c r="T38" i="4"/>
  <c r="T130" i="2"/>
  <c r="P38" i="4"/>
  <c r="P130" i="2"/>
  <c r="L38" i="4"/>
  <c r="L130" i="2"/>
  <c r="H38" i="4"/>
  <c r="H130" i="2"/>
  <c r="D38" i="4"/>
  <c r="D130" i="2"/>
  <c r="AQ203" i="94" l="1"/>
  <c r="AQ202" i="94"/>
  <c r="AQ201" i="94"/>
  <c r="AQ200" i="94"/>
  <c r="AQ198" i="94"/>
  <c r="AQ197" i="94"/>
  <c r="AQ196" i="94"/>
  <c r="AQ193" i="94"/>
  <c r="AQ154" i="94"/>
  <c r="AQ179" i="94"/>
  <c r="AQ277" i="94" l="1"/>
  <c r="AQ285" i="94"/>
  <c r="AQ278" i="94"/>
  <c r="AQ286" i="94"/>
  <c r="AQ284" i="94"/>
  <c r="AQ279" i="94"/>
  <c r="AQ287" i="94"/>
  <c r="AQ205" i="94"/>
  <c r="AQ180" i="94"/>
  <c r="AQ141" i="94"/>
  <c r="AQ38" i="94"/>
  <c r="AQ14" i="94"/>
  <c r="AQ206" i="94" l="1"/>
  <c r="BL143" i="2"/>
  <c r="BM143" i="2" s="1"/>
  <c r="BN143" i="2" s="1"/>
  <c r="BO143" i="2" s="1"/>
  <c r="BP143" i="2" s="1"/>
  <c r="BQ143" i="2" s="1"/>
  <c r="BR143" i="2" s="1"/>
  <c r="BS143" i="2" s="1"/>
  <c r="BT143" i="2" s="1"/>
  <c r="BU143" i="2" s="1"/>
  <c r="BV143" i="2" s="1"/>
  <c r="BW143" i="2" s="1"/>
  <c r="BX143" i="2" s="1"/>
  <c r="BY143" i="2" s="1"/>
  <c r="BZ143" i="2" s="1"/>
  <c r="CA143" i="2" s="1"/>
  <c r="CB143" i="2" s="1"/>
  <c r="CC143" i="2" s="1"/>
  <c r="CD143" i="2" s="1"/>
  <c r="CE143" i="2" s="1"/>
  <c r="CF143" i="2" s="1"/>
  <c r="CG143" i="2" s="1"/>
  <c r="CH143" i="2" s="1"/>
  <c r="CI143" i="2" s="1"/>
  <c r="CJ143" i="2" s="1"/>
  <c r="CK143" i="2" s="1"/>
  <c r="CL143" i="2" s="1"/>
  <c r="CM143" i="2" s="1"/>
  <c r="CN143" i="2" s="1"/>
  <c r="CO143" i="2" s="1"/>
  <c r="CP143" i="2" s="1"/>
  <c r="CQ143" i="2" s="1"/>
  <c r="CR143" i="2" s="1"/>
  <c r="CS143" i="2" s="1"/>
  <c r="CT143" i="2" s="1"/>
  <c r="CU143" i="2" s="1"/>
  <c r="CV143" i="2" s="1"/>
  <c r="CW143" i="2" s="1"/>
  <c r="BL167" i="2" l="1"/>
  <c r="BM167" i="2" l="1"/>
  <c r="BN167" i="2" l="1"/>
  <c r="BO167" i="2" l="1"/>
  <c r="BP167" i="2" l="1"/>
  <c r="BQ167" i="2" l="1"/>
  <c r="BR167" i="2" s="1"/>
  <c r="BS167" i="2" l="1"/>
  <c r="AO164" i="2"/>
  <c r="AN164" i="2"/>
  <c r="AM164" i="2"/>
  <c r="AL164" i="2"/>
  <c r="AO163" i="2"/>
  <c r="AN163" i="2"/>
  <c r="AM163" i="2"/>
  <c r="AL163" i="2"/>
  <c r="BU22" i="8"/>
  <c r="BT22" i="8"/>
  <c r="BS22" i="8" l="1"/>
  <c r="BS21" i="8" s="1"/>
  <c r="BO23" i="8"/>
  <c r="BV22" i="8"/>
  <c r="BZ22" i="8" s="1"/>
  <c r="CD22" i="8" s="1"/>
  <c r="CH22" i="8" s="1"/>
  <c r="CL22" i="8" s="1"/>
  <c r="CP22" i="8" s="1"/>
  <c r="CT22" i="8" s="1"/>
  <c r="BN23" i="8"/>
  <c r="BT23" i="8"/>
  <c r="BT21" i="8"/>
  <c r="BX22" i="8"/>
  <c r="CB22" i="8" s="1"/>
  <c r="CF22" i="8" s="1"/>
  <c r="CJ22" i="8" s="1"/>
  <c r="CN22" i="8" s="1"/>
  <c r="CR22" i="8" s="1"/>
  <c r="CV22" i="8" s="1"/>
  <c r="BS34" i="8"/>
  <c r="BS32" i="8"/>
  <c r="BT32" i="8"/>
  <c r="BT34" i="8"/>
  <c r="BU21" i="8"/>
  <c r="BU23" i="8"/>
  <c r="BU34" i="8"/>
  <c r="BU32" i="8"/>
  <c r="BY22" i="8"/>
  <c r="CC22" i="8" s="1"/>
  <c r="CG22" i="8" s="1"/>
  <c r="CK22" i="8" s="1"/>
  <c r="CO22" i="8" s="1"/>
  <c r="CS22" i="8" s="1"/>
  <c r="CW22" i="8" s="1"/>
  <c r="BT167" i="2"/>
  <c r="AP125" i="2"/>
  <c r="AP163" i="2"/>
  <c r="AP164" i="2"/>
  <c r="AP126" i="2"/>
  <c r="BW22" i="8" l="1"/>
  <c r="BS23" i="8"/>
  <c r="BT65" i="8"/>
  <c r="BT63" i="8"/>
  <c r="BV21" i="8"/>
  <c r="BV23" i="8"/>
  <c r="BW32" i="8"/>
  <c r="BW34" i="8"/>
  <c r="BX23" i="8"/>
  <c r="BX21" i="8"/>
  <c r="BS53" i="8"/>
  <c r="BS55" i="8"/>
  <c r="BS63" i="8"/>
  <c r="BS65" i="8"/>
  <c r="BX32" i="8"/>
  <c r="BX34" i="8"/>
  <c r="BT55" i="8"/>
  <c r="BT53" i="8"/>
  <c r="BR63" i="8"/>
  <c r="BR65" i="8"/>
  <c r="BV34" i="8"/>
  <c r="BV32" i="8"/>
  <c r="BR55" i="8"/>
  <c r="BR53" i="8"/>
  <c r="BU55" i="8"/>
  <c r="BU53" i="8"/>
  <c r="BY23" i="8"/>
  <c r="BY21" i="8"/>
  <c r="BU65" i="8"/>
  <c r="BU63" i="8"/>
  <c r="BY34" i="8"/>
  <c r="BY32" i="8"/>
  <c r="BU167" i="2"/>
  <c r="AK164" i="2"/>
  <c r="AJ164" i="2"/>
  <c r="AI164" i="2"/>
  <c r="AH164" i="2"/>
  <c r="AG164" i="2"/>
  <c r="AF164" i="2"/>
  <c r="AE164" i="2"/>
  <c r="AD164" i="2"/>
  <c r="AK163" i="2"/>
  <c r="AJ163" i="2"/>
  <c r="AI163" i="2"/>
  <c r="AH163" i="2"/>
  <c r="AG163" i="2"/>
  <c r="AF163" i="2"/>
  <c r="AE163" i="2"/>
  <c r="AD163" i="2"/>
  <c r="BW21" i="8" l="1"/>
  <c r="CA22" i="8"/>
  <c r="CE22" i="8" s="1"/>
  <c r="CI22" i="8" s="1"/>
  <c r="CM22" i="8" s="1"/>
  <c r="CQ22" i="8" s="1"/>
  <c r="CU22" i="8" s="1"/>
  <c r="BW23" i="8"/>
  <c r="BZ32" i="8"/>
  <c r="BZ34" i="8"/>
  <c r="CB21" i="8"/>
  <c r="CB23" i="8"/>
  <c r="CA34" i="8"/>
  <c r="CA32" i="8"/>
  <c r="BX65" i="8"/>
  <c r="BX63" i="8"/>
  <c r="BV65" i="8"/>
  <c r="BV63" i="8"/>
  <c r="BX55" i="8"/>
  <c r="BX53" i="8"/>
  <c r="CB32" i="8"/>
  <c r="CB34" i="8"/>
  <c r="BW55" i="8"/>
  <c r="BW53" i="8"/>
  <c r="BZ23" i="8"/>
  <c r="BZ21" i="8"/>
  <c r="BW65" i="8"/>
  <c r="BW63" i="8"/>
  <c r="BV55" i="8"/>
  <c r="BV53" i="8"/>
  <c r="BY53" i="8"/>
  <c r="BY55" i="8"/>
  <c r="BY65" i="8"/>
  <c r="BY63" i="8"/>
  <c r="CC32" i="8"/>
  <c r="CC34" i="8"/>
  <c r="CC21" i="8"/>
  <c r="CC23" i="8"/>
  <c r="BV167" i="2"/>
  <c r="AQ66" i="4"/>
  <c r="AQ476" i="94"/>
  <c r="AP225" i="112" s="1"/>
  <c r="AQ463" i="94"/>
  <c r="AQ429" i="94"/>
  <c r="CA23" i="8" l="1"/>
  <c r="CA21" i="8"/>
  <c r="CE23" i="8"/>
  <c r="CF23" i="8"/>
  <c r="CF21" i="8"/>
  <c r="BZ63" i="8"/>
  <c r="BZ65" i="8"/>
  <c r="CE32" i="8"/>
  <c r="CE34" i="8"/>
  <c r="CD34" i="8"/>
  <c r="CD32" i="8"/>
  <c r="CD23" i="8"/>
  <c r="CD21" i="8"/>
  <c r="CB55" i="8"/>
  <c r="CB53" i="8"/>
  <c r="CB63" i="8"/>
  <c r="CB65" i="8"/>
  <c r="BZ53" i="8"/>
  <c r="BZ55" i="8"/>
  <c r="CA55" i="8"/>
  <c r="CA53" i="8"/>
  <c r="CA65" i="8"/>
  <c r="CA63" i="8"/>
  <c r="CF32" i="8"/>
  <c r="CF34" i="8"/>
  <c r="CG34" i="8"/>
  <c r="CG32" i="8"/>
  <c r="CG23" i="8"/>
  <c r="CG21" i="8"/>
  <c r="CC55" i="8"/>
  <c r="CC53" i="8"/>
  <c r="CC63" i="8"/>
  <c r="CC65" i="8"/>
  <c r="BW167" i="2"/>
  <c r="AX428" i="111"/>
  <c r="AQ226" i="112"/>
  <c r="AP238" i="112"/>
  <c r="AP259" i="8"/>
  <c r="AP262" i="8" s="1"/>
  <c r="AP194" i="8"/>
  <c r="AP193" i="8"/>
  <c r="AP264" i="8"/>
  <c r="AQ239" i="94"/>
  <c r="AQ422" i="94"/>
  <c r="AQ421" i="94"/>
  <c r="AQ420" i="94"/>
  <c r="AQ419" i="94"/>
  <c r="AQ418" i="94"/>
  <c r="AQ432" i="94"/>
  <c r="AQ404" i="94"/>
  <c r="AQ406" i="94" s="1"/>
  <c r="AQ325" i="94"/>
  <c r="AQ322" i="94"/>
  <c r="AQ357" i="94" s="1"/>
  <c r="AQ321" i="94"/>
  <c r="AQ320" i="94"/>
  <c r="AQ319" i="94"/>
  <c r="AQ318" i="94"/>
  <c r="AQ439" i="94"/>
  <c r="AQ316" i="94"/>
  <c r="AQ315" i="94"/>
  <c r="AQ314" i="94"/>
  <c r="AQ437" i="94" s="1"/>
  <c r="AQ313" i="94"/>
  <c r="AQ312" i="94"/>
  <c r="AQ254" i="94"/>
  <c r="AQ252" i="94"/>
  <c r="AQ251" i="94"/>
  <c r="AQ250" i="94"/>
  <c r="AQ248" i="94"/>
  <c r="AQ247" i="94"/>
  <c r="AQ237" i="94"/>
  <c r="AQ236" i="94"/>
  <c r="AQ235" i="94"/>
  <c r="AQ234" i="94"/>
  <c r="AQ233" i="94"/>
  <c r="AQ231" i="94"/>
  <c r="AQ230" i="94"/>
  <c r="AQ229" i="94"/>
  <c r="AQ228" i="94"/>
  <c r="AQ110" i="94"/>
  <c r="AQ253" i="94" s="1"/>
  <c r="AQ106" i="94"/>
  <c r="AQ246" i="94" s="1"/>
  <c r="AQ105" i="94"/>
  <c r="AQ245" i="94" s="1"/>
  <c r="AQ104" i="94"/>
  <c r="AQ244" i="94" s="1"/>
  <c r="AQ91" i="94"/>
  <c r="AQ227" i="94" s="1"/>
  <c r="AQ103" i="94"/>
  <c r="AQ90" i="94"/>
  <c r="AQ84" i="94"/>
  <c r="AQ80" i="94"/>
  <c r="AQ79" i="94"/>
  <c r="AQ78" i="94"/>
  <c r="AQ77" i="94"/>
  <c r="AQ73" i="94"/>
  <c r="AQ324" i="94" s="1"/>
  <c r="AQ62" i="94"/>
  <c r="AQ289" i="94" s="1"/>
  <c r="AQ291" i="94" s="1"/>
  <c r="AQ36" i="94"/>
  <c r="AQ24" i="94"/>
  <c r="AQ232" i="94" s="1"/>
  <c r="AQ15" i="94"/>
  <c r="AQ27" i="94"/>
  <c r="CE21" i="8" l="1"/>
  <c r="CQ23" i="8"/>
  <c r="CV21" i="8"/>
  <c r="CV23" i="8"/>
  <c r="CW23" i="8"/>
  <c r="CW21" i="8"/>
  <c r="CS23" i="8"/>
  <c r="CS21" i="8"/>
  <c r="CR21" i="8"/>
  <c r="CR23" i="8"/>
  <c r="CN23" i="8"/>
  <c r="CN21" i="8"/>
  <c r="CO21" i="8"/>
  <c r="CO23" i="8"/>
  <c r="CL23" i="8"/>
  <c r="CL21" i="8"/>
  <c r="AQ219" i="94"/>
  <c r="AQ375" i="94" s="1"/>
  <c r="CD53" i="8"/>
  <c r="CD55" i="8"/>
  <c r="CF65" i="8"/>
  <c r="CF63" i="8"/>
  <c r="CI32" i="8"/>
  <c r="CI34" i="8"/>
  <c r="CH23" i="8"/>
  <c r="CH21" i="8"/>
  <c r="CH34" i="8"/>
  <c r="CH32" i="8"/>
  <c r="CJ21" i="8"/>
  <c r="CJ23" i="8"/>
  <c r="CE65" i="8"/>
  <c r="CE63" i="8"/>
  <c r="CF53" i="8"/>
  <c r="CF55" i="8"/>
  <c r="CD63" i="8"/>
  <c r="CD65" i="8"/>
  <c r="CE53" i="8"/>
  <c r="CE55" i="8"/>
  <c r="CJ34" i="8"/>
  <c r="CJ32" i="8"/>
  <c r="CK23" i="8"/>
  <c r="CK21" i="8"/>
  <c r="CG55" i="8"/>
  <c r="CG53" i="8"/>
  <c r="CG65" i="8"/>
  <c r="CG63" i="8"/>
  <c r="CK34" i="8"/>
  <c r="CK32" i="8"/>
  <c r="BX167" i="2"/>
  <c r="AT239" i="112"/>
  <c r="AX438" i="111"/>
  <c r="AQ456" i="94"/>
  <c r="AX519" i="111" s="1"/>
  <c r="AX511" i="111"/>
  <c r="AX509" i="111"/>
  <c r="AQ440" i="94"/>
  <c r="AQ122" i="94"/>
  <c r="AQ120" i="94"/>
  <c r="AQ125" i="94"/>
  <c r="AQ249" i="94"/>
  <c r="AP260" i="8"/>
  <c r="AP261" i="8"/>
  <c r="AQ454" i="94"/>
  <c r="AX517" i="111" s="1"/>
  <c r="AP265" i="8"/>
  <c r="AP267" i="8"/>
  <c r="AP266" i="8"/>
  <c r="AQ218" i="94"/>
  <c r="AQ374" i="94" s="1"/>
  <c r="AQ256" i="94"/>
  <c r="AQ213" i="94"/>
  <c r="AQ369" i="94" s="1"/>
  <c r="AQ211" i="94"/>
  <c r="AQ367" i="94" s="1"/>
  <c r="AQ212" i="94"/>
  <c r="AQ368" i="94" s="1"/>
  <c r="AQ220" i="94"/>
  <c r="AQ376" i="94" s="1"/>
  <c r="AQ216" i="94"/>
  <c r="AQ372" i="94" s="1"/>
  <c r="AQ413" i="94"/>
  <c r="AQ411" i="94"/>
  <c r="AQ74" i="94"/>
  <c r="AQ63" i="94"/>
  <c r="AQ412" i="94"/>
  <c r="AQ210" i="94"/>
  <c r="AQ366" i="94" s="1"/>
  <c r="AQ214" i="94"/>
  <c r="AQ370" i="94" s="1"/>
  <c r="AQ410" i="94"/>
  <c r="AQ240" i="94"/>
  <c r="AQ438" i="94"/>
  <c r="AQ423" i="94"/>
  <c r="AQ436" i="94"/>
  <c r="AQ123" i="94"/>
  <c r="AQ126" i="94"/>
  <c r="AQ121" i="94"/>
  <c r="AQ352" i="94"/>
  <c r="AQ356" i="94"/>
  <c r="AQ124" i="94"/>
  <c r="AQ353" i="94"/>
  <c r="AQ118" i="94"/>
  <c r="AQ119" i="94"/>
  <c r="AQ355" i="94"/>
  <c r="AQ348" i="94"/>
  <c r="AQ349" i="94"/>
  <c r="AQ117" i="94"/>
  <c r="AQ347" i="94"/>
  <c r="AQ360" i="94"/>
  <c r="AQ351" i="94"/>
  <c r="AQ306" i="94"/>
  <c r="AQ350" i="94"/>
  <c r="AQ354" i="94"/>
  <c r="AQ359" i="94"/>
  <c r="AQ326" i="94"/>
  <c r="AQ217" i="94"/>
  <c r="AQ373" i="94" s="1"/>
  <c r="AP172" i="8"/>
  <c r="AP64" i="8"/>
  <c r="AP60" i="8"/>
  <c r="AP54" i="8"/>
  <c r="AP50" i="8"/>
  <c r="AP44" i="8"/>
  <c r="AP33" i="8"/>
  <c r="AP28" i="8"/>
  <c r="AQ479" i="94"/>
  <c r="CI23" i="8" l="1"/>
  <c r="CM23" i="8"/>
  <c r="CU21" i="8"/>
  <c r="CM21" i="8"/>
  <c r="CQ21" i="8"/>
  <c r="CI21" i="8"/>
  <c r="CT21" i="8"/>
  <c r="CT23" i="8"/>
  <c r="CP23" i="8"/>
  <c r="CP21" i="8"/>
  <c r="CI55" i="8"/>
  <c r="CI53" i="8"/>
  <c r="CJ55" i="8"/>
  <c r="CJ53" i="8"/>
  <c r="CH53" i="8"/>
  <c r="CH55" i="8"/>
  <c r="CH65" i="8"/>
  <c r="CH63" i="8"/>
  <c r="CI63" i="8"/>
  <c r="CI65" i="8"/>
  <c r="CJ63" i="8"/>
  <c r="CJ65" i="8"/>
  <c r="CK53" i="8"/>
  <c r="CK55" i="8"/>
  <c r="CK65" i="8"/>
  <c r="CK63" i="8"/>
  <c r="BY167" i="2"/>
  <c r="AQ453" i="94"/>
  <c r="AX516" i="111" s="1"/>
  <c r="AX508" i="111"/>
  <c r="AY527" i="111"/>
  <c r="AX512" i="111"/>
  <c r="AY525" i="111"/>
  <c r="AQ455" i="94"/>
  <c r="AX518" i="111" s="1"/>
  <c r="AX510" i="111"/>
  <c r="AQ457" i="94"/>
  <c r="AX520" i="111" s="1"/>
  <c r="AQ215" i="94"/>
  <c r="AQ371" i="94" s="1"/>
  <c r="AQ388" i="94" s="1"/>
  <c r="AQ335" i="94"/>
  <c r="AQ341" i="94"/>
  <c r="AP174" i="8"/>
  <c r="AP173" i="8"/>
  <c r="AP70" i="8"/>
  <c r="AP29" i="8"/>
  <c r="AP18" i="8"/>
  <c r="AP39" i="8"/>
  <c r="AP13" i="8"/>
  <c r="AP23" i="8"/>
  <c r="AP34" i="8"/>
  <c r="AP45" i="8"/>
  <c r="AP55" i="8"/>
  <c r="AP65" i="8"/>
  <c r="AP11" i="8"/>
  <c r="AP16" i="8"/>
  <c r="AP21" i="8"/>
  <c r="AP27" i="8"/>
  <c r="AP32" i="8"/>
  <c r="AP37" i="8"/>
  <c r="AP43" i="8"/>
  <c r="AP48" i="8"/>
  <c r="AP53" i="8"/>
  <c r="AP58" i="8"/>
  <c r="AP63" i="8"/>
  <c r="AP68" i="8"/>
  <c r="AP12" i="8"/>
  <c r="AP17" i="8"/>
  <c r="AP22" i="8"/>
  <c r="AP38" i="8"/>
  <c r="AP49" i="8"/>
  <c r="AP59" i="8"/>
  <c r="AP69" i="8"/>
  <c r="AQ257" i="94"/>
  <c r="AQ222" i="94"/>
  <c r="AQ378" i="94" s="1"/>
  <c r="AQ395" i="94" s="1"/>
  <c r="AQ393" i="94"/>
  <c r="AQ383" i="94"/>
  <c r="AQ384" i="94"/>
  <c r="AQ385" i="94"/>
  <c r="AQ386" i="94"/>
  <c r="AQ414" i="94"/>
  <c r="AQ441" i="94"/>
  <c r="AX513" i="111" s="1"/>
  <c r="AQ390" i="94"/>
  <c r="AQ387" i="94"/>
  <c r="AQ391" i="94"/>
  <c r="AQ389" i="94"/>
  <c r="AQ392" i="94"/>
  <c r="AQ127" i="94"/>
  <c r="AQ304" i="94"/>
  <c r="AQ308" i="94"/>
  <c r="AQ298" i="94"/>
  <c r="AQ300" i="94"/>
  <c r="AQ303" i="94"/>
  <c r="AQ305" i="94"/>
  <c r="AQ299" i="94"/>
  <c r="AQ301" i="94"/>
  <c r="AQ296" i="94"/>
  <c r="AQ302" i="94"/>
  <c r="AQ297" i="94"/>
  <c r="AQ337" i="94"/>
  <c r="AQ332" i="94"/>
  <c r="AQ339" i="94"/>
  <c r="AQ333" i="94"/>
  <c r="AQ295" i="94"/>
  <c r="AQ307" i="94"/>
  <c r="AQ361" i="94"/>
  <c r="AQ343" i="94"/>
  <c r="AQ338" i="94"/>
  <c r="AQ330" i="94"/>
  <c r="AQ334" i="94"/>
  <c r="AQ331" i="94"/>
  <c r="AQ340" i="94"/>
  <c r="AQ342" i="94"/>
  <c r="AQ336" i="94"/>
  <c r="CU23" i="8" l="1"/>
  <c r="BZ167" i="2"/>
  <c r="AY529" i="111"/>
  <c r="AY528" i="111"/>
  <c r="AY524" i="111"/>
  <c r="AY526" i="111"/>
  <c r="AQ272" i="94"/>
  <c r="AQ269" i="94"/>
  <c r="AQ267" i="94"/>
  <c r="AQ273" i="94"/>
  <c r="AQ264" i="94"/>
  <c r="AQ271" i="94"/>
  <c r="AQ268" i="94"/>
  <c r="AQ262" i="94"/>
  <c r="AQ261" i="94"/>
  <c r="AQ270" i="94"/>
  <c r="AQ449" i="94"/>
  <c r="AQ458" i="94"/>
  <c r="AX521" i="111" s="1"/>
  <c r="AP245" i="8"/>
  <c r="AP149" i="8"/>
  <c r="AP148" i="8"/>
  <c r="AQ263" i="94"/>
  <c r="AQ265" i="94"/>
  <c r="AQ266" i="94"/>
  <c r="AQ223" i="94"/>
  <c r="AQ446" i="94"/>
  <c r="AQ447" i="94"/>
  <c r="AQ445" i="94"/>
  <c r="AQ448" i="94"/>
  <c r="AQ309" i="94"/>
  <c r="AQ344" i="94"/>
  <c r="CA167" i="2" l="1"/>
  <c r="AQ450" i="94"/>
  <c r="AQ274" i="94"/>
  <c r="AP247" i="8"/>
  <c r="AP246" i="8"/>
  <c r="AP248" i="8"/>
  <c r="AQ379" i="94"/>
  <c r="AQ396" i="94" s="1"/>
  <c r="CB167" i="2" l="1"/>
  <c r="S25" i="11"/>
  <c r="U8" i="71" s="1"/>
  <c r="S26" i="11"/>
  <c r="U9" i="71" s="1"/>
  <c r="S28" i="11"/>
  <c r="U10" i="71" s="1"/>
  <c r="S27" i="11"/>
  <c r="U11" i="71" s="1"/>
  <c r="AP55" i="59"/>
  <c r="AP50" i="59"/>
  <c r="CC167" i="2" l="1"/>
  <c r="S11" i="46"/>
  <c r="K135" i="27"/>
  <c r="S14" i="46"/>
  <c r="S13" i="46"/>
  <c r="S12" i="46"/>
  <c r="AP43" i="59"/>
  <c r="AP45" i="59" s="1"/>
  <c r="AP37" i="59"/>
  <c r="AP32" i="59"/>
  <c r="AP13" i="59"/>
  <c r="AP18" i="59" s="1"/>
  <c r="AP10" i="59"/>
  <c r="CD167" i="2" l="1"/>
  <c r="AP46" i="59"/>
  <c r="AP19" i="59"/>
  <c r="R203" i="11"/>
  <c r="CE167" i="2" l="1"/>
  <c r="AQ89" i="58"/>
  <c r="CF167" i="2" l="1"/>
  <c r="AP52" i="112"/>
  <c r="AP260" i="112" s="1"/>
  <c r="AR89" i="58"/>
  <c r="AQ65" i="58"/>
  <c r="AQ64" i="58"/>
  <c r="AQ63" i="58"/>
  <c r="AQ16" i="58"/>
  <c r="AQ15" i="58"/>
  <c r="AQ8" i="58"/>
  <c r="AQ6" i="58"/>
  <c r="AP41" i="4" l="1"/>
  <c r="AP40" i="4"/>
  <c r="AT53" i="112"/>
  <c r="AP29" i="112"/>
  <c r="AT30" i="112" s="1"/>
  <c r="AT164" i="8" s="1"/>
  <c r="AP41" i="112"/>
  <c r="AT42" i="112" s="1"/>
  <c r="CG167" i="2"/>
  <c r="AT261" i="112"/>
  <c r="AQ52" i="112"/>
  <c r="AU53" i="112" s="1"/>
  <c r="AS89" i="58"/>
  <c r="AR52" i="112" s="1"/>
  <c r="AV53" i="112" s="1"/>
  <c r="AQ462" i="94"/>
  <c r="AQ39" i="94"/>
  <c r="AQ66" i="58"/>
  <c r="AQ67" i="58" s="1"/>
  <c r="AQ13" i="58"/>
  <c r="AQ12" i="58"/>
  <c r="AP51" i="4" l="1"/>
  <c r="AX554" i="111" s="1"/>
  <c r="AP37" i="4"/>
  <c r="AX545" i="111" s="1"/>
  <c r="AP25" i="112"/>
  <c r="AT27" i="112" s="1"/>
  <c r="CH167" i="2"/>
  <c r="AT89" i="58"/>
  <c r="AS52" i="112" s="1"/>
  <c r="AW53" i="112" s="1"/>
  <c r="AT166" i="8"/>
  <c r="AT165" i="8"/>
  <c r="AR260" i="112"/>
  <c r="AV261" i="112" s="1"/>
  <c r="AR41" i="112"/>
  <c r="AV42" i="112" s="1"/>
  <c r="AR29" i="112"/>
  <c r="AV30" i="112" s="1"/>
  <c r="AV164" i="8" s="1"/>
  <c r="AQ260" i="112"/>
  <c r="AU261" i="112" s="1"/>
  <c r="AQ41" i="112"/>
  <c r="AQ29" i="112"/>
  <c r="AQ469" i="94"/>
  <c r="AQ34" i="58"/>
  <c r="AQ49" i="94"/>
  <c r="AQ43" i="94"/>
  <c r="AQ50" i="94"/>
  <c r="AQ48" i="94"/>
  <c r="AQ44" i="94"/>
  <c r="AQ47" i="94"/>
  <c r="AQ46" i="94"/>
  <c r="AQ45" i="94"/>
  <c r="AQ19" i="58"/>
  <c r="AQ22" i="58" s="1"/>
  <c r="T92" i="11" l="1"/>
  <c r="AP44" i="4"/>
  <c r="AP312" i="112" s="1"/>
  <c r="AP313" i="112" s="1"/>
  <c r="AP49" i="4"/>
  <c r="AX440" i="111"/>
  <c r="AS41" i="112"/>
  <c r="AW42" i="112" s="1"/>
  <c r="AT44" i="112"/>
  <c r="AX46" i="112" s="1"/>
  <c r="AT26" i="112"/>
  <c r="AT149" i="8" s="1"/>
  <c r="AX469" i="111"/>
  <c r="BB470" i="111" s="1"/>
  <c r="AS260" i="112"/>
  <c r="AW261" i="112" s="1"/>
  <c r="AS29" i="112"/>
  <c r="AW30" i="112" s="1"/>
  <c r="AW164" i="8" s="1"/>
  <c r="AW165" i="8" s="1"/>
  <c r="CI167" i="2"/>
  <c r="AV166" i="8"/>
  <c r="AV165" i="8"/>
  <c r="AQ25" i="112"/>
  <c r="AU44" i="112" s="1"/>
  <c r="AQ250" i="112"/>
  <c r="AR25" i="112"/>
  <c r="AR250" i="112"/>
  <c r="AV251" i="112" s="1"/>
  <c r="AV270" i="112" s="1"/>
  <c r="AZ271" i="112" s="1"/>
  <c r="AP55" i="4"/>
  <c r="AP62" i="4"/>
  <c r="AQ36" i="58"/>
  <c r="AP22" i="4"/>
  <c r="AQ38" i="58"/>
  <c r="AQ41" i="58" s="1"/>
  <c r="AQ51" i="94"/>
  <c r="AP62" i="2" l="1"/>
  <c r="T106" i="11"/>
  <c r="T102" i="11"/>
  <c r="T211" i="11" s="1"/>
  <c r="AP53" i="4"/>
  <c r="AP105" i="4"/>
  <c r="AP109" i="4" s="1"/>
  <c r="AP116" i="4" s="1"/>
  <c r="AP134" i="4" s="1"/>
  <c r="AP46" i="4"/>
  <c r="AX548" i="111" s="1"/>
  <c r="AT49" i="112"/>
  <c r="AT50" i="112" s="1"/>
  <c r="AT153" i="8" s="1"/>
  <c r="AT155" i="8" s="1"/>
  <c r="T870" i="111"/>
  <c r="T880" i="111" s="1"/>
  <c r="AS250" i="112"/>
  <c r="AW251" i="112" s="1"/>
  <c r="AW270" i="112" s="1"/>
  <c r="AS25" i="112"/>
  <c r="AW44" i="112" s="1"/>
  <c r="BA46" i="112" s="1"/>
  <c r="AT148" i="8"/>
  <c r="AW166" i="8"/>
  <c r="CJ167" i="2"/>
  <c r="AV26" i="112"/>
  <c r="AV27" i="112"/>
  <c r="AV44" i="112"/>
  <c r="AZ46" i="112" s="1"/>
  <c r="AQ266" i="112"/>
  <c r="AQ265" i="112"/>
  <c r="AZ469" i="111"/>
  <c r="AZ440" i="111"/>
  <c r="AY440" i="111"/>
  <c r="AY469" i="111"/>
  <c r="AR266" i="112"/>
  <c r="AR265" i="112"/>
  <c r="AP61" i="4"/>
  <c r="AX557" i="111" s="1"/>
  <c r="AX551" i="111"/>
  <c r="AP23" i="4"/>
  <c r="AP57" i="4"/>
  <c r="AQ40" i="58"/>
  <c r="G13" i="71" l="1"/>
  <c r="G43" i="71" s="1"/>
  <c r="AM15" i="71"/>
  <c r="AM45" i="71" s="1"/>
  <c r="AP54" i="4"/>
  <c r="AP317" i="112"/>
  <c r="T174" i="11"/>
  <c r="T196" i="11"/>
  <c r="T115" i="11"/>
  <c r="AS266" i="112"/>
  <c r="AT154" i="8"/>
  <c r="AS265" i="112"/>
  <c r="AW27" i="112"/>
  <c r="BA469" i="111"/>
  <c r="BA470" i="111" s="1"/>
  <c r="AW26" i="112"/>
  <c r="AW148" i="8" s="1"/>
  <c r="BA440" i="111"/>
  <c r="CK167" i="2"/>
  <c r="CL167" i="2" s="1"/>
  <c r="CM167" i="2" s="1"/>
  <c r="CN167" i="2" s="1"/>
  <c r="CO167" i="2" s="1"/>
  <c r="CP167" i="2" s="1"/>
  <c r="CQ167" i="2" s="1"/>
  <c r="CR167" i="2" s="1"/>
  <c r="CS167" i="2" s="1"/>
  <c r="CT167" i="2" s="1"/>
  <c r="CU167" i="2" s="1"/>
  <c r="CV167" i="2" s="1"/>
  <c r="CW167" i="2" s="1"/>
  <c r="AV149" i="8"/>
  <c r="AV148" i="8"/>
  <c r="AW49" i="112"/>
  <c r="AW50" i="112" s="1"/>
  <c r="AW153" i="8" s="1"/>
  <c r="AW253" i="112"/>
  <c r="AV49" i="112"/>
  <c r="AV50" i="112" s="1"/>
  <c r="AV153" i="8" s="1"/>
  <c r="AV253" i="112"/>
  <c r="AY470" i="111"/>
  <c r="AZ470" i="111"/>
  <c r="AP28" i="4"/>
  <c r="AP305" i="112"/>
  <c r="AX487" i="111"/>
  <c r="T420" i="111"/>
  <c r="AW149" i="8" l="1"/>
  <c r="AX532" i="111"/>
  <c r="AV255" i="112"/>
  <c r="AV257" i="112"/>
  <c r="AV258" i="112" s="1"/>
  <c r="AV154" i="8"/>
  <c r="AV155" i="8"/>
  <c r="AW255" i="112"/>
  <c r="AW257" i="112"/>
  <c r="AW258" i="112" s="1"/>
  <c r="AW154" i="8"/>
  <c r="AW155" i="8"/>
  <c r="AX490" i="111"/>
  <c r="AP124" i="112"/>
  <c r="AP208" i="112"/>
  <c r="AP293" i="112"/>
  <c r="AP306" i="112"/>
  <c r="AP59" i="112"/>
  <c r="AP294" i="112" l="1"/>
  <c r="AP290" i="112"/>
  <c r="AU81" i="2" l="1"/>
  <c r="AX484" i="111"/>
  <c r="AP291" i="112"/>
  <c r="AS81" i="2" l="1"/>
  <c r="AF70" i="46"/>
  <c r="AT81" i="2"/>
  <c r="AR81" i="2"/>
  <c r="AP81" i="2"/>
  <c r="AQ81" i="2"/>
  <c r="AO68" i="8" l="1"/>
  <c r="AO63" i="8"/>
  <c r="AO58" i="8"/>
  <c r="AO53" i="8"/>
  <c r="AO48" i="8"/>
  <c r="AO43" i="8"/>
  <c r="AO37" i="8"/>
  <c r="AO32" i="8"/>
  <c r="AO27" i="8"/>
  <c r="AO21" i="8"/>
  <c r="AO16" i="8"/>
  <c r="AO11" i="8"/>
  <c r="AO8" i="8"/>
  <c r="AO7" i="8" s="1"/>
  <c r="AO13" i="8" l="1"/>
  <c r="AO28" i="8"/>
  <c r="AO34" i="8"/>
  <c r="AO49" i="8"/>
  <c r="AO70" i="8"/>
  <c r="AO55" i="8"/>
  <c r="AO69" i="8"/>
  <c r="AO50" i="8"/>
  <c r="AO12" i="8"/>
  <c r="AO18" i="8"/>
  <c r="AO33" i="8"/>
  <c r="AO39" i="8"/>
  <c r="AO54" i="8"/>
  <c r="AO60" i="8"/>
  <c r="AO22" i="8"/>
  <c r="AO29" i="8"/>
  <c r="AO44" i="8"/>
  <c r="AO64" i="8"/>
  <c r="AO17" i="8"/>
  <c r="AO23" i="8"/>
  <c r="AO38" i="8"/>
  <c r="AO45" i="8"/>
  <c r="AO59" i="8"/>
  <c r="AO65" i="8"/>
  <c r="AO321" i="8"/>
  <c r="AO78" i="8"/>
  <c r="AO141" i="8"/>
  <c r="AO231" i="8"/>
  <c r="AO208" i="8"/>
  <c r="AO253" i="8" s="1"/>
  <c r="AO269" i="8" s="1"/>
  <c r="AO127" i="2"/>
  <c r="AO126" i="2"/>
  <c r="AO125" i="2"/>
  <c r="AO100" i="2"/>
  <c r="AO95" i="2"/>
  <c r="AP92" i="2" s="1"/>
  <c r="AP93" i="2" s="1"/>
  <c r="AO80" i="2"/>
  <c r="AO60" i="2"/>
  <c r="AO30" i="2"/>
  <c r="AO4" i="2"/>
  <c r="AO63" i="2"/>
  <c r="AO78" i="2" s="1"/>
  <c r="AO104" i="4"/>
  <c r="AO98" i="4"/>
  <c r="K56" i="27" s="1"/>
  <c r="AO97" i="4"/>
  <c r="K55" i="27" s="1"/>
  <c r="AO96" i="4"/>
  <c r="K54" i="27" s="1"/>
  <c r="AO95" i="4"/>
  <c r="K53" i="27" s="1"/>
  <c r="AO77" i="4"/>
  <c r="AO75" i="4"/>
  <c r="AO48" i="2" s="1"/>
  <c r="AP51" i="2" s="1"/>
  <c r="AO74" i="4"/>
  <c r="AO41" i="2" s="1"/>
  <c r="AO73" i="4"/>
  <c r="AO70" i="4"/>
  <c r="AO69" i="4"/>
  <c r="AO68" i="4"/>
  <c r="AP137" i="4" s="1"/>
  <c r="AP139" i="4" s="1"/>
  <c r="AP140" i="4" s="1"/>
  <c r="AO66" i="4"/>
  <c r="AO52" i="4"/>
  <c r="AO50" i="4" s="1"/>
  <c r="AO47" i="4"/>
  <c r="AO43" i="4"/>
  <c r="AO42" i="4"/>
  <c r="AO41" i="4"/>
  <c r="AO27" i="4"/>
  <c r="AO26" i="4"/>
  <c r="AO25" i="4"/>
  <c r="AO17" i="4"/>
  <c r="AO5" i="4"/>
  <c r="AO4" i="4"/>
  <c r="AO3" i="4" s="1"/>
  <c r="AO194" i="8"/>
  <c r="AO172" i="8"/>
  <c r="AO174" i="8" s="1"/>
  <c r="S10" i="11"/>
  <c r="AO160" i="2" l="1"/>
  <c r="AO3" i="2"/>
  <c r="AO116" i="2"/>
  <c r="AP111" i="2" s="1"/>
  <c r="AO6" i="2"/>
  <c r="AO8" i="2"/>
  <c r="AO15" i="2"/>
  <c r="AO207" i="112"/>
  <c r="AW494" i="111"/>
  <c r="AW499" i="111" s="1"/>
  <c r="AO58" i="112"/>
  <c r="AO232" i="8" s="1"/>
  <c r="AW493" i="111"/>
  <c r="AO123" i="112"/>
  <c r="AW495" i="111"/>
  <c r="AW500" i="111" s="1"/>
  <c r="T18" i="11"/>
  <c r="S16" i="111"/>
  <c r="AS6" i="4"/>
  <c r="AO245" i="112"/>
  <c r="AO9" i="4"/>
  <c r="AO31" i="4" s="1"/>
  <c r="AO29" i="4"/>
  <c r="AO30" i="4"/>
  <c r="AP33" i="2"/>
  <c r="AP110" i="8"/>
  <c r="AP115" i="8"/>
  <c r="AP126" i="8"/>
  <c r="AP137" i="8"/>
  <c r="AP94" i="2"/>
  <c r="AP76" i="2"/>
  <c r="AP77" i="2" s="1"/>
  <c r="AP121" i="8"/>
  <c r="S7" i="11"/>
  <c r="S11" i="11"/>
  <c r="S8" i="11"/>
  <c r="S14" i="11"/>
  <c r="S15" i="11"/>
  <c r="S16" i="11"/>
  <c r="S9" i="11"/>
  <c r="S13" i="11"/>
  <c r="AO97" i="2"/>
  <c r="AO78" i="4"/>
  <c r="AO99" i="4"/>
  <c r="AO108" i="2"/>
  <c r="AP105" i="2" s="1"/>
  <c r="AO101" i="2"/>
  <c r="AO173" i="8"/>
  <c r="AO149" i="8"/>
  <c r="AO148" i="8"/>
  <c r="AO193" i="8"/>
  <c r="AO60" i="4"/>
  <c r="AO98" i="2"/>
  <c r="AO67" i="2" l="1"/>
  <c r="AP61" i="2" s="1"/>
  <c r="AP66" i="2" s="1"/>
  <c r="AO66" i="112"/>
  <c r="U14" i="71"/>
  <c r="U49" i="71" s="1"/>
  <c r="V17" i="71"/>
  <c r="U13" i="71"/>
  <c r="U48" i="71" s="1"/>
  <c r="V16" i="71"/>
  <c r="AO21" i="2"/>
  <c r="AO209" i="112"/>
  <c r="AS210" i="112" s="1"/>
  <c r="AO244" i="8"/>
  <c r="AO125" i="112"/>
  <c r="AS126" i="112" s="1"/>
  <c r="AO238" i="8"/>
  <c r="AO60" i="112"/>
  <c r="AS61" i="112" s="1"/>
  <c r="AO26" i="2"/>
  <c r="S8" i="111"/>
  <c r="S9" i="111"/>
  <c r="S21" i="111"/>
  <c r="S22" i="111"/>
  <c r="S23" i="111"/>
  <c r="AW498" i="111"/>
  <c r="BA503" i="111" s="1"/>
  <c r="BA504" i="111"/>
  <c r="BA505" i="111"/>
  <c r="S13" i="111"/>
  <c r="S12" i="111"/>
  <c r="AO241" i="112"/>
  <c r="AO267" i="112"/>
  <c r="AO284" i="112"/>
  <c r="AO288" i="112"/>
  <c r="AO296" i="112"/>
  <c r="AO247" i="112"/>
  <c r="AO309" i="112"/>
  <c r="AW454" i="111"/>
  <c r="AS246" i="112"/>
  <c r="T19" i="11"/>
  <c r="S18" i="111"/>
  <c r="T100" i="111"/>
  <c r="T140" i="111"/>
  <c r="T17" i="11"/>
  <c r="S10" i="46"/>
  <c r="S9" i="46"/>
  <c r="AP107" i="2"/>
  <c r="AP106" i="2"/>
  <c r="AP115" i="2"/>
  <c r="AP112" i="2"/>
  <c r="AP329" i="8" s="1"/>
  <c r="AO165" i="2"/>
  <c r="AP116" i="8"/>
  <c r="AP117" i="8"/>
  <c r="AP111" i="8"/>
  <c r="AP112" i="8"/>
  <c r="AP122" i="8"/>
  <c r="AP127" i="8"/>
  <c r="AP128" i="8"/>
  <c r="AP138" i="8"/>
  <c r="AP139" i="8"/>
  <c r="AO117" i="2"/>
  <c r="AO100" i="4"/>
  <c r="AO109" i="2"/>
  <c r="AO119" i="2"/>
  <c r="AO120" i="2" s="1"/>
  <c r="AP113" i="94"/>
  <c r="AP87" i="94"/>
  <c r="AW32" i="60"/>
  <c r="AW24" i="60"/>
  <c r="AO122" i="4" s="1"/>
  <c r="AW23" i="60"/>
  <c r="V51" i="71" l="1"/>
  <c r="V52" i="71"/>
  <c r="AP27" i="2"/>
  <c r="AO121" i="4"/>
  <c r="AO43" i="2" s="1"/>
  <c r="AO131" i="4"/>
  <c r="K83" i="27" s="1"/>
  <c r="S183" i="11"/>
  <c r="AO285" i="112"/>
  <c r="AO209" i="8" s="1"/>
  <c r="AW465" i="111"/>
  <c r="AW448" i="111"/>
  <c r="AP123" i="2"/>
  <c r="AP124" i="2" s="1"/>
  <c r="AW542" i="111"/>
  <c r="T142" i="111"/>
  <c r="T102" i="111"/>
  <c r="AO302" i="112"/>
  <c r="AO297" i="112"/>
  <c r="AS242" i="112"/>
  <c r="BA456" i="111"/>
  <c r="AW563" i="111"/>
  <c r="AW481" i="111"/>
  <c r="AP14" i="94"/>
  <c r="AP110" i="94"/>
  <c r="AP253" i="94" s="1"/>
  <c r="AP251" i="94"/>
  <c r="AP106" i="94"/>
  <c r="AP246" i="94" s="1"/>
  <c r="AP105" i="94"/>
  <c r="AP245" i="94" s="1"/>
  <c r="AP104" i="94"/>
  <c r="AP244" i="94" s="1"/>
  <c r="AP91" i="94"/>
  <c r="AP227" i="94" s="1"/>
  <c r="AP84" i="94"/>
  <c r="AP80" i="94"/>
  <c r="AP79" i="94"/>
  <c r="AP78" i="94"/>
  <c r="AP38" i="94"/>
  <c r="AO43" i="59"/>
  <c r="AO45" i="59" s="1"/>
  <c r="AO9" i="59"/>
  <c r="AO71" i="4" s="1"/>
  <c r="AP111" i="58"/>
  <c r="AO146" i="112" s="1"/>
  <c r="AO45" i="4"/>
  <c r="AO311" i="112" s="1"/>
  <c r="AP15" i="58"/>
  <c r="AO39" i="4"/>
  <c r="AP476" i="94"/>
  <c r="AO225" i="112" s="1"/>
  <c r="AP463" i="94"/>
  <c r="AP432" i="94"/>
  <c r="AP422" i="94"/>
  <c r="AP421" i="94"/>
  <c r="AP420" i="94"/>
  <c r="AP419" i="94"/>
  <c r="AP418" i="94"/>
  <c r="AP406" i="94"/>
  <c r="AP325" i="94"/>
  <c r="AP324" i="94"/>
  <c r="AP322" i="94"/>
  <c r="AP321" i="94"/>
  <c r="AP320" i="94"/>
  <c r="AP319" i="94"/>
  <c r="AP318" i="94"/>
  <c r="AP317" i="94"/>
  <c r="AP316" i="94"/>
  <c r="AP315" i="94"/>
  <c r="AP314" i="94"/>
  <c r="AP313" i="94"/>
  <c r="AP312" i="94"/>
  <c r="AP254" i="94"/>
  <c r="AP252" i="94"/>
  <c r="AP250" i="94"/>
  <c r="AP249" i="94"/>
  <c r="AP248" i="94"/>
  <c r="AP247" i="94"/>
  <c r="AP239" i="94"/>
  <c r="AP237" i="94"/>
  <c r="AP236" i="94"/>
  <c r="AP235" i="94"/>
  <c r="AP234" i="94"/>
  <c r="AP233" i="94"/>
  <c r="AP232" i="94"/>
  <c r="AP231" i="94"/>
  <c r="AP230" i="94"/>
  <c r="AP229" i="94"/>
  <c r="AP228" i="94"/>
  <c r="AP206" i="94"/>
  <c r="AP167" i="94"/>
  <c r="AP103" i="94"/>
  <c r="AP121" i="94" s="1"/>
  <c r="AP90" i="94"/>
  <c r="AP74" i="94"/>
  <c r="AP63" i="94"/>
  <c r="AP27" i="94"/>
  <c r="AP15" i="94"/>
  <c r="AO55" i="59"/>
  <c r="AO50" i="59"/>
  <c r="AO37" i="59"/>
  <c r="AO32" i="59"/>
  <c r="AO13" i="59"/>
  <c r="AO18" i="59" s="1"/>
  <c r="AP65" i="58"/>
  <c r="AP64" i="58"/>
  <c r="AP63" i="58"/>
  <c r="AP60" i="58"/>
  <c r="AP43" i="58"/>
  <c r="AP35" i="58"/>
  <c r="AP29" i="58"/>
  <c r="AO40" i="4" l="1"/>
  <c r="AO210" i="8"/>
  <c r="AO211" i="8"/>
  <c r="AO212" i="8"/>
  <c r="AW428" i="111"/>
  <c r="AP226" i="112"/>
  <c r="AO238" i="112"/>
  <c r="AO148" i="112"/>
  <c r="AP148" i="112"/>
  <c r="AP147" i="112"/>
  <c r="S876" i="111"/>
  <c r="AO147" i="112"/>
  <c r="AO303" i="112"/>
  <c r="AP31" i="58"/>
  <c r="AO33" i="4" s="1"/>
  <c r="AO32" i="4"/>
  <c r="AO38" i="4"/>
  <c r="AO130" i="2"/>
  <c r="AP218" i="94"/>
  <c r="S5" i="11"/>
  <c r="S12" i="11"/>
  <c r="AP6" i="58"/>
  <c r="AP215" i="94"/>
  <c r="AP77" i="94"/>
  <c r="AP8" i="58"/>
  <c r="AP350" i="94"/>
  <c r="AO10" i="59"/>
  <c r="AP216" i="94"/>
  <c r="AP220" i="94"/>
  <c r="AP13" i="58"/>
  <c r="AO11" i="2"/>
  <c r="AO72" i="4"/>
  <c r="AO79" i="4" s="1"/>
  <c r="AO14" i="4"/>
  <c r="AO15" i="4" s="1"/>
  <c r="AP354" i="94"/>
  <c r="AP436" i="94"/>
  <c r="AW508" i="111" s="1"/>
  <c r="AP219" i="94"/>
  <c r="AP217" i="94"/>
  <c r="AP211" i="94"/>
  <c r="AP214" i="94"/>
  <c r="AP213" i="94"/>
  <c r="AP356" i="94"/>
  <c r="AP348" i="94"/>
  <c r="AP352" i="94"/>
  <c r="AP359" i="94"/>
  <c r="AP126" i="94"/>
  <c r="AP39" i="94"/>
  <c r="AP117" i="94"/>
  <c r="AP349" i="94"/>
  <c r="AP353" i="94"/>
  <c r="AP357" i="94"/>
  <c r="AP122" i="94"/>
  <c r="AP438" i="94"/>
  <c r="AP439" i="94"/>
  <c r="AP123" i="94"/>
  <c r="AP462" i="94"/>
  <c r="AP469" i="94" s="1"/>
  <c r="AP423" i="94"/>
  <c r="AP411" i="94"/>
  <c r="AP240" i="94"/>
  <c r="AP212" i="94"/>
  <c r="AP210" i="94"/>
  <c r="AP326" i="94"/>
  <c r="AP333" i="94" s="1"/>
  <c r="AP347" i="94"/>
  <c r="AP360" i="94"/>
  <c r="AP440" i="94"/>
  <c r="AW512" i="111" s="1"/>
  <c r="AP119" i="94"/>
  <c r="AP124" i="94"/>
  <c r="AP256" i="94"/>
  <c r="AP413" i="94"/>
  <c r="AP437" i="94"/>
  <c r="AW509" i="111" s="1"/>
  <c r="AP118" i="94"/>
  <c r="AP351" i="94"/>
  <c r="AP355" i="94"/>
  <c r="AP412" i="94"/>
  <c r="AP300" i="94"/>
  <c r="AP410" i="94"/>
  <c r="AO46" i="59"/>
  <c r="AP66" i="58"/>
  <c r="AP67" i="58" s="1"/>
  <c r="U12" i="71" l="1"/>
  <c r="U47" i="71" s="1"/>
  <c r="V50" i="71" s="1"/>
  <c r="V15" i="71"/>
  <c r="AO19" i="59"/>
  <c r="AP132" i="8"/>
  <c r="AP133" i="8" s="1"/>
  <c r="BA429" i="111"/>
  <c r="AP203" i="112"/>
  <c r="AS239" i="112"/>
  <c r="AW438" i="111"/>
  <c r="BA439" i="111" s="1"/>
  <c r="AO203" i="112"/>
  <c r="AP456" i="94"/>
  <c r="AW519" i="111" s="1"/>
  <c r="AW511" i="111"/>
  <c r="AX528" i="111"/>
  <c r="AX525" i="111"/>
  <c r="AP455" i="94"/>
  <c r="AW518" i="111" s="1"/>
  <c r="AW510" i="111"/>
  <c r="AX524" i="111"/>
  <c r="T20" i="11"/>
  <c r="S17" i="111"/>
  <c r="K133" i="27"/>
  <c r="K134" i="27"/>
  <c r="AP367" i="94"/>
  <c r="AP374" i="94"/>
  <c r="AP368" i="94"/>
  <c r="AP373" i="94"/>
  <c r="AP376" i="94"/>
  <c r="AP366" i="94"/>
  <c r="AP369" i="94"/>
  <c r="AP375" i="94"/>
  <c r="AP372" i="94"/>
  <c r="AP370" i="94"/>
  <c r="AP371" i="94"/>
  <c r="S7" i="46"/>
  <c r="K98" i="27"/>
  <c r="AP12" i="58"/>
  <c r="S6" i="11"/>
  <c r="AP48" i="94"/>
  <c r="AP45" i="94"/>
  <c r="AP414" i="94"/>
  <c r="AP127" i="94"/>
  <c r="AP44" i="94"/>
  <c r="AP295" i="94"/>
  <c r="AP338" i="94"/>
  <c r="AP298" i="94"/>
  <c r="AP49" i="94"/>
  <c r="AP43" i="94"/>
  <c r="AP50" i="94"/>
  <c r="AP47" i="94"/>
  <c r="AP46" i="94"/>
  <c r="AP457" i="94"/>
  <c r="AW520" i="111" s="1"/>
  <c r="AP454" i="94"/>
  <c r="AW517" i="111" s="1"/>
  <c r="AP453" i="94"/>
  <c r="AW516" i="111" s="1"/>
  <c r="AP441" i="94"/>
  <c r="AP340" i="94"/>
  <c r="AP332" i="94"/>
  <c r="AP335" i="94"/>
  <c r="AP361" i="94"/>
  <c r="AP336" i="94"/>
  <c r="AP339" i="94"/>
  <c r="AP331" i="94"/>
  <c r="AP308" i="94"/>
  <c r="AP303" i="94"/>
  <c r="AP222" i="94"/>
  <c r="AP307" i="94"/>
  <c r="AP330" i="94"/>
  <c r="AP257" i="94"/>
  <c r="AP337" i="94"/>
  <c r="AP334" i="94"/>
  <c r="AP296" i="94"/>
  <c r="AP342" i="94"/>
  <c r="AP305" i="94"/>
  <c r="AP297" i="94"/>
  <c r="AP299" i="94"/>
  <c r="AP302" i="94"/>
  <c r="AP343" i="94"/>
  <c r="AP304" i="94"/>
  <c r="AP301" i="94"/>
  <c r="S7" i="111" l="1"/>
  <c r="AP383" i="94"/>
  <c r="AP389" i="94"/>
  <c r="AP134" i="8"/>
  <c r="AO174" i="112"/>
  <c r="AO192" i="112"/>
  <c r="AS204" i="112"/>
  <c r="AO204" i="112"/>
  <c r="AP192" i="112"/>
  <c r="AT204" i="112"/>
  <c r="AP174" i="112"/>
  <c r="AP263" i="112"/>
  <c r="AP204" i="112"/>
  <c r="AP393" i="94"/>
  <c r="AP385" i="94"/>
  <c r="AP445" i="94"/>
  <c r="AW513" i="111"/>
  <c r="AX526" i="111"/>
  <c r="AX527" i="111"/>
  <c r="T101" i="111"/>
  <c r="T141" i="111"/>
  <c r="AP388" i="94"/>
  <c r="AP387" i="94"/>
  <c r="AP384" i="94"/>
  <c r="AP386" i="94"/>
  <c r="AP391" i="94"/>
  <c r="AP392" i="94"/>
  <c r="AP390" i="94"/>
  <c r="S8" i="46"/>
  <c r="AP378" i="94"/>
  <c r="AP19" i="58"/>
  <c r="AP22" i="58" s="1"/>
  <c r="AP38" i="58" s="1"/>
  <c r="AP41" i="58" s="1"/>
  <c r="AP51" i="94"/>
  <c r="AP309" i="94"/>
  <c r="AP269" i="94"/>
  <c r="AP268" i="94"/>
  <c r="AP264" i="94"/>
  <c r="AP265" i="94"/>
  <c r="AP267" i="94"/>
  <c r="AP263" i="94"/>
  <c r="AP262" i="94"/>
  <c r="AP261" i="94"/>
  <c r="AP266" i="94"/>
  <c r="AP270" i="94"/>
  <c r="AP271" i="94"/>
  <c r="AP344" i="94"/>
  <c r="AP458" i="94"/>
  <c r="AW521" i="111" s="1"/>
  <c r="AP447" i="94"/>
  <c r="AP448" i="94"/>
  <c r="AP449" i="94"/>
  <c r="AP273" i="94"/>
  <c r="AP223" i="94"/>
  <c r="AP446" i="94"/>
  <c r="AT175" i="112" l="1"/>
  <c r="AT204" i="8" s="1"/>
  <c r="AP175" i="112"/>
  <c r="AT193" i="112"/>
  <c r="T871" i="111"/>
  <c r="T881" i="111" s="1"/>
  <c r="AP250" i="112"/>
  <c r="AP266" i="112" s="1"/>
  <c r="AP170" i="112"/>
  <c r="AP193" i="112"/>
  <c r="AP200" i="112"/>
  <c r="AO170" i="112"/>
  <c r="AS193" i="112"/>
  <c r="AO193" i="112"/>
  <c r="S871" i="111"/>
  <c r="S881" i="111" s="1"/>
  <c r="S886" i="111" s="1"/>
  <c r="AO200" i="112"/>
  <c r="AT264" i="112"/>
  <c r="AP264" i="112"/>
  <c r="AS175" i="112"/>
  <c r="AO175" i="112"/>
  <c r="AX529" i="111"/>
  <c r="AP395" i="94"/>
  <c r="AP40" i="58"/>
  <c r="AP450" i="94"/>
  <c r="AP379" i="94"/>
  <c r="AP274" i="94"/>
  <c r="S203" i="11"/>
  <c r="Q203" i="11"/>
  <c r="AP265" i="112" l="1"/>
  <c r="T886" i="111"/>
  <c r="AT171" i="112"/>
  <c r="AX442" i="111"/>
  <c r="AX471" i="111"/>
  <c r="AP171" i="112"/>
  <c r="AT195" i="112"/>
  <c r="AT198" i="112" s="1"/>
  <c r="AW471" i="111"/>
  <c r="AW472" i="111" s="1"/>
  <c r="AS171" i="112"/>
  <c r="AW442" i="111"/>
  <c r="AO171" i="112"/>
  <c r="AS195" i="112"/>
  <c r="AS198" i="112" s="1"/>
  <c r="AT251" i="112"/>
  <c r="AT270" i="112" s="1"/>
  <c r="AT206" i="8"/>
  <c r="AT205" i="8"/>
  <c r="AP396" i="94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AT194" i="8" l="1"/>
  <c r="AT193" i="8"/>
  <c r="AS200" i="112"/>
  <c r="AS201" i="112" s="1"/>
  <c r="AX443" i="111"/>
  <c r="AT253" i="112"/>
  <c r="AX254" i="112" s="1"/>
  <c r="AT200" i="112"/>
  <c r="AT201" i="112" s="1"/>
  <c r="AT198" i="8" s="1"/>
  <c r="BA443" i="111"/>
  <c r="AW443" i="111"/>
  <c r="BB472" i="111"/>
  <c r="AY472" i="111"/>
  <c r="AX472" i="111"/>
  <c r="AM55" i="59"/>
  <c r="AT200" i="8" l="1"/>
  <c r="AT199" i="8"/>
  <c r="AT255" i="112"/>
  <c r="AT257" i="112"/>
  <c r="AT258" i="112" s="1"/>
  <c r="AL55" i="59" l="1"/>
  <c r="AK55" i="59"/>
  <c r="AJ55" i="59"/>
  <c r="AI55" i="59"/>
  <c r="AH55" i="59"/>
  <c r="AG55" i="59"/>
  <c r="AF55" i="59"/>
  <c r="AE55" i="59"/>
  <c r="AD55" i="59"/>
  <c r="AC55" i="59"/>
  <c r="AB55" i="59"/>
  <c r="AA55" i="59"/>
  <c r="Z55" i="59"/>
  <c r="Y55" i="59"/>
  <c r="X55" i="59"/>
  <c r="W55" i="59"/>
  <c r="V55" i="59"/>
  <c r="U55" i="59"/>
  <c r="T55" i="59"/>
  <c r="S55" i="59"/>
  <c r="R55" i="59"/>
  <c r="Q55" i="59"/>
  <c r="P55" i="59"/>
  <c r="O55" i="59"/>
  <c r="N55" i="59"/>
  <c r="M55" i="59"/>
  <c r="L55" i="59"/>
  <c r="K55" i="59"/>
  <c r="J55" i="59"/>
  <c r="I55" i="59"/>
  <c r="H55" i="59"/>
  <c r="G55" i="59"/>
  <c r="F55" i="59"/>
  <c r="E55" i="59"/>
  <c r="D55" i="59"/>
  <c r="C55" i="59"/>
  <c r="B55" i="59"/>
  <c r="N26" i="11" l="1"/>
  <c r="O26" i="11"/>
  <c r="N28" i="11"/>
  <c r="O28" i="11"/>
  <c r="N27" i="11"/>
  <c r="O27" i="11"/>
  <c r="U53" i="59" l="1"/>
  <c r="U50" i="59" s="1"/>
  <c r="B50" i="59"/>
  <c r="C50" i="59"/>
  <c r="D50" i="59"/>
  <c r="E50" i="59"/>
  <c r="F50" i="59"/>
  <c r="G50" i="59"/>
  <c r="H50" i="59"/>
  <c r="I50" i="59"/>
  <c r="J50" i="59"/>
  <c r="K50" i="59"/>
  <c r="L50" i="59"/>
  <c r="M50" i="59"/>
  <c r="N50" i="59"/>
  <c r="O50" i="59"/>
  <c r="P50" i="59"/>
  <c r="Q50" i="59"/>
  <c r="R50" i="59"/>
  <c r="S50" i="59"/>
  <c r="T50" i="59"/>
  <c r="V50" i="59"/>
  <c r="W50" i="59"/>
  <c r="X50" i="59"/>
  <c r="Y50" i="59"/>
  <c r="Z50" i="59"/>
  <c r="AA50" i="59"/>
  <c r="AB50" i="59"/>
  <c r="AC50" i="59"/>
  <c r="AD50" i="59"/>
  <c r="AE50" i="59"/>
  <c r="AF50" i="59"/>
  <c r="AG50" i="59"/>
  <c r="AH50" i="59"/>
  <c r="AI50" i="59"/>
  <c r="AJ50" i="59"/>
  <c r="AK50" i="59"/>
  <c r="AL50" i="59"/>
  <c r="AM50" i="59"/>
  <c r="AA405" i="94" l="1"/>
  <c r="AA404" i="94"/>
  <c r="Z405" i="94"/>
  <c r="Z404" i="94"/>
  <c r="X405" i="94"/>
  <c r="X404" i="94"/>
  <c r="E6" i="92" l="1"/>
  <c r="C6" i="92" s="1"/>
  <c r="B9" i="92"/>
  <c r="B7" i="92"/>
  <c r="B8" i="92"/>
  <c r="AM126" i="2" l="1"/>
  <c r="AL126" i="2"/>
  <c r="AK126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BO339" i="8" l="1"/>
  <c r="BO337" i="8"/>
  <c r="AO81" i="2" l="1"/>
  <c r="BL103" i="2" l="1"/>
  <c r="BM103" i="2"/>
  <c r="BN103" i="2"/>
  <c r="BO103" i="2"/>
  <c r="BP103" i="2"/>
  <c r="BQ103" i="2"/>
  <c r="AF38" i="8"/>
  <c r="AG38" i="8"/>
  <c r="AH38" i="8"/>
  <c r="AI38" i="8"/>
  <c r="AJ38" i="8"/>
  <c r="AK38" i="8"/>
  <c r="AL38" i="8"/>
  <c r="AM38" i="8"/>
  <c r="AN38" i="8"/>
  <c r="AN126" i="2"/>
  <c r="AN127" i="2"/>
  <c r="BQ39" i="8" l="1"/>
  <c r="BP39" i="8"/>
  <c r="BO39" i="8"/>
  <c r="BN39" i="8"/>
  <c r="BM39" i="8"/>
  <c r="BL39" i="8"/>
  <c r="BQ37" i="8"/>
  <c r="BP37" i="8"/>
  <c r="BO37" i="8"/>
  <c r="BN37" i="8"/>
  <c r="BM37" i="8"/>
  <c r="BL37" i="8"/>
  <c r="AN37" i="8"/>
  <c r="AM39" i="8"/>
  <c r="AL39" i="8"/>
  <c r="AK39" i="8"/>
  <c r="AJ39" i="8"/>
  <c r="AI37" i="8"/>
  <c r="AH39" i="8"/>
  <c r="AG39" i="8"/>
  <c r="AF39" i="8"/>
  <c r="X37" i="8"/>
  <c r="W37" i="8"/>
  <c r="V39" i="8"/>
  <c r="U39" i="8"/>
  <c r="T39" i="8"/>
  <c r="S37" i="8"/>
  <c r="R39" i="8"/>
  <c r="Q39" i="8"/>
  <c r="P37" i="8"/>
  <c r="O39" i="8"/>
  <c r="N39" i="8"/>
  <c r="M39" i="8"/>
  <c r="L39" i="8"/>
  <c r="K37" i="8"/>
  <c r="J39" i="8"/>
  <c r="I39" i="8"/>
  <c r="H37" i="8"/>
  <c r="G37" i="8"/>
  <c r="F39" i="8"/>
  <c r="E39" i="8"/>
  <c r="D37" i="8"/>
  <c r="C38" i="8"/>
  <c r="B39" i="8"/>
  <c r="AB39" i="8" l="1"/>
  <c r="AB38" i="8"/>
  <c r="Y39" i="8"/>
  <c r="Y38" i="8"/>
  <c r="AC39" i="8"/>
  <c r="AC38" i="8"/>
  <c r="Z39" i="8"/>
  <c r="Z38" i="8"/>
  <c r="AD39" i="8"/>
  <c r="AD38" i="8"/>
  <c r="AA39" i="8"/>
  <c r="AA38" i="8"/>
  <c r="AE37" i="8"/>
  <c r="AE38" i="8"/>
  <c r="B37" i="8"/>
  <c r="F37" i="8"/>
  <c r="J37" i="8"/>
  <c r="N37" i="8"/>
  <c r="R37" i="8"/>
  <c r="V37" i="8"/>
  <c r="Z37" i="8"/>
  <c r="AD37" i="8"/>
  <c r="AH37" i="8"/>
  <c r="AL37" i="8"/>
  <c r="B38" i="8"/>
  <c r="F38" i="8"/>
  <c r="J38" i="8"/>
  <c r="N38" i="8"/>
  <c r="R38" i="8"/>
  <c r="V38" i="8"/>
  <c r="O37" i="8"/>
  <c r="AA37" i="8"/>
  <c r="AM37" i="8"/>
  <c r="G38" i="8"/>
  <c r="K38" i="8"/>
  <c r="O38" i="8"/>
  <c r="S38" i="8"/>
  <c r="W38" i="8"/>
  <c r="C39" i="8"/>
  <c r="G39" i="8"/>
  <c r="K39" i="8"/>
  <c r="S39" i="8"/>
  <c r="W39" i="8"/>
  <c r="AE39" i="8"/>
  <c r="AI39" i="8"/>
  <c r="C37" i="8"/>
  <c r="L37" i="8"/>
  <c r="T37" i="8"/>
  <c r="AB37" i="8"/>
  <c r="AF37" i="8"/>
  <c r="AJ37" i="8"/>
  <c r="D38" i="8"/>
  <c r="H38" i="8"/>
  <c r="L38" i="8"/>
  <c r="P38" i="8"/>
  <c r="T38" i="8"/>
  <c r="X38" i="8"/>
  <c r="D39" i="8"/>
  <c r="H39" i="8"/>
  <c r="P39" i="8"/>
  <c r="X39" i="8"/>
  <c r="AN39" i="8"/>
  <c r="E37" i="8"/>
  <c r="I37" i="8"/>
  <c r="M37" i="8"/>
  <c r="Q37" i="8"/>
  <c r="U37" i="8"/>
  <c r="Y37" i="8"/>
  <c r="AC37" i="8"/>
  <c r="AG37" i="8"/>
  <c r="AK37" i="8"/>
  <c r="E38" i="8"/>
  <c r="I38" i="8"/>
  <c r="M38" i="8"/>
  <c r="Q38" i="8"/>
  <c r="U38" i="8"/>
  <c r="AO325" i="94" l="1"/>
  <c r="AM325" i="94"/>
  <c r="AL325" i="94"/>
  <c r="AL440" i="94" s="1"/>
  <c r="AK325" i="94"/>
  <c r="AK440" i="94" s="1"/>
  <c r="AJ325" i="94"/>
  <c r="AJ440" i="94" s="1"/>
  <c r="AI325" i="94"/>
  <c r="AI440" i="94" s="1"/>
  <c r="AP512" i="111" s="1"/>
  <c r="AH325" i="94"/>
  <c r="AH440" i="94" s="1"/>
  <c r="AG325" i="94"/>
  <c r="AG440" i="94" s="1"/>
  <c r="AF325" i="94"/>
  <c r="AF440" i="94" s="1"/>
  <c r="AE325" i="94"/>
  <c r="AE440" i="94" s="1"/>
  <c r="AL512" i="111" s="1"/>
  <c r="AD325" i="94"/>
  <c r="AD440" i="94" s="1"/>
  <c r="AC325" i="94"/>
  <c r="AC440" i="94" s="1"/>
  <c r="AN325" i="94"/>
  <c r="AD290" i="94"/>
  <c r="AC290" i="94"/>
  <c r="AK239" i="94"/>
  <c r="AJ239" i="94"/>
  <c r="AI239" i="94"/>
  <c r="AH239" i="94"/>
  <c r="AG239" i="94"/>
  <c r="AF239" i="94"/>
  <c r="AE239" i="94"/>
  <c r="AO239" i="94"/>
  <c r="AO237" i="94"/>
  <c r="AN237" i="94"/>
  <c r="AM237" i="94"/>
  <c r="AL237" i="94"/>
  <c r="AK237" i="94"/>
  <c r="AJ237" i="94"/>
  <c r="AI237" i="94"/>
  <c r="AH237" i="94"/>
  <c r="AG237" i="94"/>
  <c r="AF237" i="94"/>
  <c r="AE237" i="94"/>
  <c r="AD237" i="94"/>
  <c r="AC237" i="94"/>
  <c r="AO236" i="94"/>
  <c r="AN236" i="94"/>
  <c r="AM236" i="94"/>
  <c r="AL236" i="94"/>
  <c r="AK236" i="94"/>
  <c r="AJ236" i="94"/>
  <c r="AI236" i="94"/>
  <c r="AH236" i="94"/>
  <c r="AG236" i="94"/>
  <c r="AF236" i="94"/>
  <c r="AE236" i="94"/>
  <c r="AD236" i="94"/>
  <c r="AC236" i="94"/>
  <c r="AO235" i="94"/>
  <c r="AN235" i="94"/>
  <c r="AM235" i="94"/>
  <c r="AL235" i="94"/>
  <c r="AK235" i="94"/>
  <c r="AJ235" i="94"/>
  <c r="AI235" i="94"/>
  <c r="AH235" i="94"/>
  <c r="AG235" i="94"/>
  <c r="AF235" i="94"/>
  <c r="AE235" i="94"/>
  <c r="AD235" i="94"/>
  <c r="AC235" i="94"/>
  <c r="AO234" i="94"/>
  <c r="AN234" i="94"/>
  <c r="AM234" i="94"/>
  <c r="AL234" i="94"/>
  <c r="AK234" i="94"/>
  <c r="AJ234" i="94"/>
  <c r="AI234" i="94"/>
  <c r="AH234" i="94"/>
  <c r="AG234" i="94"/>
  <c r="AF234" i="94"/>
  <c r="AE234" i="94"/>
  <c r="AD234" i="94"/>
  <c r="AC234" i="94"/>
  <c r="AO233" i="94"/>
  <c r="AN233" i="94"/>
  <c r="AM233" i="94"/>
  <c r="AL233" i="94"/>
  <c r="AK233" i="94"/>
  <c r="AJ233" i="94"/>
  <c r="AI233" i="94"/>
  <c r="AH233" i="94"/>
  <c r="AG233" i="94"/>
  <c r="AF233" i="94"/>
  <c r="AE233" i="94"/>
  <c r="AD233" i="94"/>
  <c r="AC233" i="94"/>
  <c r="AO232" i="94"/>
  <c r="AN232" i="94"/>
  <c r="AM232" i="94"/>
  <c r="AL232" i="94"/>
  <c r="AK232" i="94"/>
  <c r="AJ232" i="94"/>
  <c r="AI232" i="94"/>
  <c r="AH232" i="94"/>
  <c r="AG232" i="94"/>
  <c r="AF232" i="94"/>
  <c r="AE232" i="94"/>
  <c r="AD232" i="94"/>
  <c r="AC232" i="94"/>
  <c r="AO231" i="94"/>
  <c r="AN231" i="94"/>
  <c r="AM231" i="94"/>
  <c r="AL231" i="94"/>
  <c r="AK231" i="94"/>
  <c r="AJ231" i="94"/>
  <c r="AI231" i="94"/>
  <c r="AH231" i="94"/>
  <c r="AG231" i="94"/>
  <c r="AF231" i="94"/>
  <c r="AE231" i="94"/>
  <c r="AD231" i="94"/>
  <c r="AC231" i="94"/>
  <c r="AO230" i="94"/>
  <c r="AN230" i="94"/>
  <c r="AM230" i="94"/>
  <c r="AL230" i="94"/>
  <c r="AK230" i="94"/>
  <c r="AJ230" i="94"/>
  <c r="AI230" i="94"/>
  <c r="AH230" i="94"/>
  <c r="AG230" i="94"/>
  <c r="AF230" i="94"/>
  <c r="AE230" i="94"/>
  <c r="AD230" i="94"/>
  <c r="AC230" i="94"/>
  <c r="AO229" i="94"/>
  <c r="AN229" i="94"/>
  <c r="AM229" i="94"/>
  <c r="AL229" i="94"/>
  <c r="AK229" i="94"/>
  <c r="AJ229" i="94"/>
  <c r="AI229" i="94"/>
  <c r="AH229" i="94"/>
  <c r="AG229" i="94"/>
  <c r="AF229" i="94"/>
  <c r="AE229" i="94"/>
  <c r="AD229" i="94"/>
  <c r="AC229" i="94"/>
  <c r="AO228" i="94"/>
  <c r="AN228" i="94"/>
  <c r="AM228" i="94"/>
  <c r="AL228" i="94"/>
  <c r="AK228" i="94"/>
  <c r="AJ228" i="94"/>
  <c r="AI228" i="94"/>
  <c r="AH228" i="94"/>
  <c r="AG228" i="94"/>
  <c r="AF228" i="94"/>
  <c r="AE228" i="94"/>
  <c r="AD228" i="94"/>
  <c r="AC228" i="94"/>
  <c r="AM512" i="111" l="1"/>
  <c r="AM528" i="111" s="1"/>
  <c r="AQ512" i="111"/>
  <c r="AQ528" i="111" s="1"/>
  <c r="AN512" i="111"/>
  <c r="AR512" i="111"/>
  <c r="AO512" i="111"/>
  <c r="AS512" i="111"/>
  <c r="AO440" i="94"/>
  <c r="AV512" i="111" s="1"/>
  <c r="AN440" i="94"/>
  <c r="AM440" i="94"/>
  <c r="AT512" i="111" s="1"/>
  <c r="AD360" i="94"/>
  <c r="AC360" i="94"/>
  <c r="AG360" i="94"/>
  <c r="AK360" i="94"/>
  <c r="AL360" i="94"/>
  <c r="AH360" i="94"/>
  <c r="AN360" i="94"/>
  <c r="AF360" i="94"/>
  <c r="AJ360" i="94"/>
  <c r="AO360" i="94"/>
  <c r="AE360" i="94"/>
  <c r="AI360" i="94"/>
  <c r="AM360" i="94"/>
  <c r="AC26" i="94"/>
  <c r="AC239" i="94" s="1"/>
  <c r="AD26" i="94"/>
  <c r="AD239" i="94" s="1"/>
  <c r="AE91" i="94"/>
  <c r="AE227" i="94" s="1"/>
  <c r="AE240" i="94" s="1"/>
  <c r="AF91" i="94"/>
  <c r="AF227" i="94" s="1"/>
  <c r="AF240" i="94" s="1"/>
  <c r="AG91" i="94"/>
  <c r="AG227" i="94" s="1"/>
  <c r="AG240" i="94" s="1"/>
  <c r="AH91" i="94"/>
  <c r="AH227" i="94" s="1"/>
  <c r="AH240" i="94" s="1"/>
  <c r="AI91" i="94"/>
  <c r="AI227" i="94" s="1"/>
  <c r="AI240" i="94" s="1"/>
  <c r="AC82" i="94"/>
  <c r="AD82" i="94"/>
  <c r="AE82" i="94"/>
  <c r="AF82" i="94"/>
  <c r="AG82" i="94"/>
  <c r="AH82" i="94"/>
  <c r="AI82" i="94"/>
  <c r="AC83" i="94"/>
  <c r="AD83" i="94"/>
  <c r="AE83" i="94"/>
  <c r="AF83" i="94"/>
  <c r="AG83" i="94"/>
  <c r="AH83" i="94"/>
  <c r="AI83" i="94"/>
  <c r="AC85" i="94"/>
  <c r="AD85" i="94"/>
  <c r="AE85" i="94"/>
  <c r="AF85" i="94"/>
  <c r="AG85" i="94"/>
  <c r="AH85" i="94"/>
  <c r="AI85" i="94"/>
  <c r="AJ82" i="94"/>
  <c r="AJ83" i="94"/>
  <c r="AJ85" i="94"/>
  <c r="AJ87" i="94"/>
  <c r="AJ91" i="94"/>
  <c r="AJ227" i="94" s="1"/>
  <c r="AJ240" i="94" s="1"/>
  <c r="AE7" i="94"/>
  <c r="AF7" i="94"/>
  <c r="AG7" i="94"/>
  <c r="AH7" i="94"/>
  <c r="AI7" i="94"/>
  <c r="AJ7" i="94"/>
  <c r="AC8" i="94"/>
  <c r="AD8" i="94"/>
  <c r="AE8" i="94"/>
  <c r="AF8" i="94"/>
  <c r="AG8" i="94"/>
  <c r="AH8" i="94"/>
  <c r="AI8" i="94"/>
  <c r="AJ8" i="94"/>
  <c r="AC9" i="94"/>
  <c r="AD9" i="94"/>
  <c r="AE9" i="94"/>
  <c r="AF9" i="94"/>
  <c r="AG9" i="94"/>
  <c r="AH9" i="94"/>
  <c r="AI9" i="94"/>
  <c r="AJ9" i="94"/>
  <c r="AC10" i="94"/>
  <c r="AD10" i="94"/>
  <c r="AE10" i="94"/>
  <c r="AF10" i="94"/>
  <c r="AG10" i="94"/>
  <c r="AH10" i="94"/>
  <c r="AI10" i="94"/>
  <c r="AJ10" i="94"/>
  <c r="AC11" i="94"/>
  <c r="AD11" i="94"/>
  <c r="AE11" i="94"/>
  <c r="AF11" i="94"/>
  <c r="AG11" i="94"/>
  <c r="AH11" i="94"/>
  <c r="AI11" i="94"/>
  <c r="AJ11" i="94"/>
  <c r="AC12" i="94"/>
  <c r="AD12" i="94"/>
  <c r="AE12" i="94"/>
  <c r="AF12" i="94"/>
  <c r="AG12" i="94"/>
  <c r="AH12" i="94"/>
  <c r="AI12" i="94"/>
  <c r="AJ12" i="94"/>
  <c r="AC13" i="94"/>
  <c r="AD13" i="94"/>
  <c r="AE13" i="94"/>
  <c r="AF13" i="94"/>
  <c r="AG13" i="94"/>
  <c r="AH13" i="94"/>
  <c r="AI13" i="94"/>
  <c r="AJ13" i="94"/>
  <c r="AK82" i="94"/>
  <c r="AK83" i="94"/>
  <c r="AK85" i="94"/>
  <c r="AO87" i="94"/>
  <c r="AN87" i="94"/>
  <c r="AM87" i="94"/>
  <c r="AL87" i="94"/>
  <c r="AK91" i="94"/>
  <c r="AK227" i="94" s="1"/>
  <c r="AK240" i="94" s="1"/>
  <c r="AK8" i="94"/>
  <c r="AK9" i="94"/>
  <c r="AK10" i="94"/>
  <c r="AK11" i="94"/>
  <c r="AK12" i="94"/>
  <c r="AK13" i="94"/>
  <c r="AK7" i="94"/>
  <c r="AL91" i="94"/>
  <c r="AL227" i="94" s="1"/>
  <c r="AL79" i="94"/>
  <c r="AL80" i="94"/>
  <c r="AL78" i="94"/>
  <c r="AL26" i="94"/>
  <c r="AL239" i="94" s="1"/>
  <c r="AL14" i="94"/>
  <c r="AM91" i="94"/>
  <c r="AM227" i="94" s="1"/>
  <c r="AM79" i="94"/>
  <c r="AM80" i="94"/>
  <c r="AM78" i="94"/>
  <c r="AM26" i="94"/>
  <c r="AM239" i="94" s="1"/>
  <c r="AM14" i="94"/>
  <c r="AN91" i="94"/>
  <c r="AN227" i="94" s="1"/>
  <c r="AN79" i="94"/>
  <c r="AN80" i="94"/>
  <c r="AN78" i="94"/>
  <c r="AN90" i="94"/>
  <c r="AM90" i="94"/>
  <c r="AL90" i="94"/>
  <c r="AK90" i="94"/>
  <c r="AJ90" i="94"/>
  <c r="AI90" i="94"/>
  <c r="AH90" i="94"/>
  <c r="AG90" i="94"/>
  <c r="AF90" i="94"/>
  <c r="AE90" i="94"/>
  <c r="AD90" i="94"/>
  <c r="AC90" i="94"/>
  <c r="AC77" i="94"/>
  <c r="AD77" i="94"/>
  <c r="AE77" i="94"/>
  <c r="AF77" i="94"/>
  <c r="AG77" i="94"/>
  <c r="AH77" i="94"/>
  <c r="AI77" i="94"/>
  <c r="AJ77" i="94"/>
  <c r="AK77" i="94"/>
  <c r="AL77" i="94"/>
  <c r="AM77" i="94"/>
  <c r="AN77" i="94"/>
  <c r="AN26" i="94"/>
  <c r="AN239" i="94" s="1"/>
  <c r="AN14" i="94"/>
  <c r="AO91" i="94"/>
  <c r="AO227" i="94" s="1"/>
  <c r="AO240" i="94" s="1"/>
  <c r="AO79" i="94"/>
  <c r="AO80" i="94"/>
  <c r="AO78" i="94"/>
  <c r="AO90" i="94"/>
  <c r="AO77" i="94"/>
  <c r="AN27" i="94"/>
  <c r="AM27" i="94"/>
  <c r="AL27" i="94"/>
  <c r="AL15" i="94"/>
  <c r="AM15" i="94"/>
  <c r="AN15" i="94"/>
  <c r="AO27" i="94"/>
  <c r="AO15" i="94"/>
  <c r="AO528" i="111" l="1"/>
  <c r="AT528" i="111"/>
  <c r="AR528" i="111"/>
  <c r="AS528" i="111"/>
  <c r="AU512" i="111"/>
  <c r="AU528" i="111" s="1"/>
  <c r="AN528" i="111"/>
  <c r="AW528" i="111"/>
  <c r="AP528" i="111"/>
  <c r="AM240" i="94"/>
  <c r="AN240" i="94"/>
  <c r="AL240" i="94"/>
  <c r="AC91" i="94"/>
  <c r="AD91" i="94"/>
  <c r="AV528" i="111" l="1"/>
  <c r="AD19" i="94"/>
  <c r="AD227" i="94" s="1"/>
  <c r="AC19" i="94"/>
  <c r="AC227" i="94" s="1"/>
  <c r="AC240" i="94" l="1"/>
  <c r="AD240" i="94"/>
  <c r="AC7" i="94"/>
  <c r="AD7" i="94"/>
  <c r="AJ322" i="94" l="1"/>
  <c r="K12" i="46" l="1"/>
  <c r="L12" i="46"/>
  <c r="M12" i="46"/>
  <c r="N12" i="46"/>
  <c r="O12" i="46"/>
  <c r="K13" i="46"/>
  <c r="L13" i="46"/>
  <c r="M13" i="46"/>
  <c r="N13" i="46"/>
  <c r="O13" i="46"/>
  <c r="K14" i="46"/>
  <c r="L14" i="46"/>
  <c r="M14" i="46"/>
  <c r="N14" i="46"/>
  <c r="O14" i="46"/>
  <c r="J14" i="46"/>
  <c r="J13" i="46"/>
  <c r="J12" i="46"/>
  <c r="J11" i="46"/>
  <c r="C7" i="46"/>
  <c r="D7" i="46"/>
  <c r="E7" i="46"/>
  <c r="F7" i="46"/>
  <c r="G7" i="46"/>
  <c r="H7" i="46"/>
  <c r="I7" i="46"/>
  <c r="B7" i="46"/>
  <c r="Z432" i="94" l="1"/>
  <c r="AA432" i="94"/>
  <c r="AB432" i="94"/>
  <c r="AC432" i="94"/>
  <c r="AD432" i="94"/>
  <c r="AE432" i="94"/>
  <c r="AF432" i="94"/>
  <c r="AG432" i="94"/>
  <c r="AH432" i="94"/>
  <c r="AI432" i="94"/>
  <c r="AJ432" i="94"/>
  <c r="AK432" i="94"/>
  <c r="AL432" i="94"/>
  <c r="AM432" i="94"/>
  <c r="AN432" i="94"/>
  <c r="AO432" i="94"/>
  <c r="Z418" i="94"/>
  <c r="AA418" i="94"/>
  <c r="AB418" i="94"/>
  <c r="AC418" i="94"/>
  <c r="AD418" i="94"/>
  <c r="AE418" i="94"/>
  <c r="AF418" i="94"/>
  <c r="AG418" i="94"/>
  <c r="AH418" i="94"/>
  <c r="AI418" i="94"/>
  <c r="AJ418" i="94"/>
  <c r="AK418" i="94"/>
  <c r="AL418" i="94"/>
  <c r="AM418" i="94"/>
  <c r="AN418" i="94"/>
  <c r="AO418" i="94"/>
  <c r="Z420" i="94"/>
  <c r="AA420" i="94"/>
  <c r="AB420" i="94"/>
  <c r="AC420" i="94"/>
  <c r="AD420" i="94"/>
  <c r="AE420" i="94"/>
  <c r="AF420" i="94"/>
  <c r="AG420" i="94"/>
  <c r="AH420" i="94"/>
  <c r="AI420" i="94"/>
  <c r="AJ420" i="94"/>
  <c r="AK420" i="94"/>
  <c r="AL420" i="94"/>
  <c r="AM420" i="94"/>
  <c r="AN420" i="94"/>
  <c r="AO420" i="94"/>
  <c r="Z419" i="94"/>
  <c r="AA419" i="94"/>
  <c r="AB419" i="94"/>
  <c r="AC419" i="94"/>
  <c r="AD419" i="94"/>
  <c r="AE419" i="94"/>
  <c r="AF419" i="94"/>
  <c r="AG419" i="94"/>
  <c r="AH419" i="94"/>
  <c r="AI419" i="94"/>
  <c r="AJ419" i="94"/>
  <c r="AK419" i="94"/>
  <c r="AL419" i="94"/>
  <c r="AM419" i="94"/>
  <c r="AN419" i="94"/>
  <c r="AO419" i="94"/>
  <c r="Z421" i="94"/>
  <c r="AA421" i="94"/>
  <c r="AB421" i="94"/>
  <c r="AC421" i="94"/>
  <c r="AD421" i="94"/>
  <c r="AE421" i="94"/>
  <c r="AF421" i="94"/>
  <c r="AG421" i="94"/>
  <c r="AH421" i="94"/>
  <c r="AI421" i="94"/>
  <c r="AJ421" i="94"/>
  <c r="AK421" i="94"/>
  <c r="AL421" i="94"/>
  <c r="AM421" i="94"/>
  <c r="AN421" i="94"/>
  <c r="AO421" i="94"/>
  <c r="Z422" i="94"/>
  <c r="AA422" i="94"/>
  <c r="AB422" i="94"/>
  <c r="AC422" i="94"/>
  <c r="AC457" i="94" s="1"/>
  <c r="AD422" i="94"/>
  <c r="AD457" i="94" s="1"/>
  <c r="AE422" i="94"/>
  <c r="AF422" i="94"/>
  <c r="AF457" i="94" s="1"/>
  <c r="AG422" i="94"/>
  <c r="AG457" i="94" s="1"/>
  <c r="AH422" i="94"/>
  <c r="AH457" i="94" s="1"/>
  <c r="AI422" i="94"/>
  <c r="AJ422" i="94"/>
  <c r="AJ457" i="94" s="1"/>
  <c r="AK422" i="94"/>
  <c r="AK457" i="94" s="1"/>
  <c r="AL422" i="94"/>
  <c r="AL457" i="94" s="1"/>
  <c r="AM422" i="94"/>
  <c r="AN422" i="94"/>
  <c r="AN457" i="94" s="1"/>
  <c r="AO422" i="94"/>
  <c r="AO457" i="94" s="1"/>
  <c r="C423" i="94"/>
  <c r="D423" i="94"/>
  <c r="E423" i="94"/>
  <c r="F423" i="94"/>
  <c r="G423" i="94"/>
  <c r="H423" i="94"/>
  <c r="I423" i="94"/>
  <c r="J423" i="94"/>
  <c r="K423" i="94"/>
  <c r="L423" i="94"/>
  <c r="M423" i="94"/>
  <c r="N423" i="94"/>
  <c r="O423" i="94"/>
  <c r="P423" i="94"/>
  <c r="Q423" i="94"/>
  <c r="R423" i="94"/>
  <c r="S423" i="94"/>
  <c r="T423" i="94"/>
  <c r="U423" i="94"/>
  <c r="V423" i="94"/>
  <c r="W423" i="94"/>
  <c r="X423" i="94"/>
  <c r="Y423" i="94"/>
  <c r="C29" i="58"/>
  <c r="D29" i="58"/>
  <c r="E29" i="58"/>
  <c r="F29" i="58"/>
  <c r="G29" i="58"/>
  <c r="H29" i="58"/>
  <c r="I29" i="58"/>
  <c r="J29" i="58"/>
  <c r="K29" i="58"/>
  <c r="L29" i="58"/>
  <c r="M29" i="58"/>
  <c r="N29" i="58"/>
  <c r="O29" i="58"/>
  <c r="P29" i="58"/>
  <c r="Q29" i="58"/>
  <c r="R29" i="58"/>
  <c r="S29" i="58"/>
  <c r="T29" i="58"/>
  <c r="U29" i="58"/>
  <c r="V29" i="58"/>
  <c r="W29" i="58"/>
  <c r="X29" i="58"/>
  <c r="Y29" i="58"/>
  <c r="Z29" i="58"/>
  <c r="AA29" i="58"/>
  <c r="AB29" i="58"/>
  <c r="AC29" i="58"/>
  <c r="AD29" i="58"/>
  <c r="AE29" i="58"/>
  <c r="AF29" i="58"/>
  <c r="AG29" i="58"/>
  <c r="AH29" i="58"/>
  <c r="AI29" i="58"/>
  <c r="AJ29" i="58"/>
  <c r="AK29" i="58"/>
  <c r="AL29" i="58"/>
  <c r="AM29" i="58"/>
  <c r="AN29" i="58"/>
  <c r="AO29" i="58"/>
  <c r="AQ29" i="58"/>
  <c r="AR29" i="58"/>
  <c r="AS29" i="58"/>
  <c r="AT29" i="58"/>
  <c r="AU29" i="58"/>
  <c r="AV29" i="58"/>
  <c r="AW29" i="58"/>
  <c r="AX29" i="58"/>
  <c r="AY29" i="58"/>
  <c r="AZ29" i="58"/>
  <c r="BA29" i="58"/>
  <c r="BB29" i="58"/>
  <c r="BD29" i="58"/>
  <c r="BE29" i="58"/>
  <c r="BF29" i="58"/>
  <c r="BG29" i="58"/>
  <c r="BH29" i="58"/>
  <c r="BI29" i="58"/>
  <c r="BJ29" i="58"/>
  <c r="BL29" i="58"/>
  <c r="BM29" i="58"/>
  <c r="BN29" i="58"/>
  <c r="BO29" i="58"/>
  <c r="BP29" i="58"/>
  <c r="BQ29" i="58"/>
  <c r="BR29" i="58"/>
  <c r="A1" i="94"/>
  <c r="AO476" i="94"/>
  <c r="AN225" i="112" s="1"/>
  <c r="AN476" i="94"/>
  <c r="AM225" i="112" s="1"/>
  <c r="AM476" i="94"/>
  <c r="AL225" i="112" s="1"/>
  <c r="AL476" i="94"/>
  <c r="AK225" i="112" s="1"/>
  <c r="AK476" i="94"/>
  <c r="AJ225" i="112" s="1"/>
  <c r="AJ476" i="94"/>
  <c r="AI225" i="112" s="1"/>
  <c r="AI476" i="94"/>
  <c r="AH225" i="112" s="1"/>
  <c r="AH476" i="94"/>
  <c r="AG225" i="112" s="1"/>
  <c r="AG476" i="94"/>
  <c r="AF225" i="112" s="1"/>
  <c r="AF476" i="94"/>
  <c r="AE225" i="112" s="1"/>
  <c r="AE476" i="94"/>
  <c r="AD225" i="112" s="1"/>
  <c r="AD476" i="94"/>
  <c r="AC225" i="112" s="1"/>
  <c r="AC476" i="94"/>
  <c r="AB225" i="112" s="1"/>
  <c r="AB476" i="94"/>
  <c r="AA225" i="112" s="1"/>
  <c r="AA476" i="94"/>
  <c r="Z225" i="112" s="1"/>
  <c r="Z476" i="94"/>
  <c r="Y225" i="112" s="1"/>
  <c r="Y476" i="94"/>
  <c r="X225" i="112" s="1"/>
  <c r="X476" i="94"/>
  <c r="W225" i="112" s="1"/>
  <c r="W476" i="94"/>
  <c r="V225" i="112" s="1"/>
  <c r="V476" i="94"/>
  <c r="U225" i="112" s="1"/>
  <c r="U476" i="94"/>
  <c r="T225" i="112" s="1"/>
  <c r="T476" i="94"/>
  <c r="S225" i="112" s="1"/>
  <c r="S476" i="94"/>
  <c r="R225" i="112" s="1"/>
  <c r="R475" i="94"/>
  <c r="Q475" i="94"/>
  <c r="P475" i="94"/>
  <c r="O475" i="94"/>
  <c r="N475" i="94"/>
  <c r="M475" i="94"/>
  <c r="L232" i="112" s="1"/>
  <c r="L475" i="94"/>
  <c r="K475" i="94"/>
  <c r="J475" i="94"/>
  <c r="I475" i="94"/>
  <c r="H475" i="94"/>
  <c r="G475" i="94"/>
  <c r="F475" i="94"/>
  <c r="E475" i="94"/>
  <c r="D475" i="94"/>
  <c r="C475" i="94"/>
  <c r="M474" i="94"/>
  <c r="L228" i="112" s="1"/>
  <c r="R466" i="94"/>
  <c r="Q156" i="112" s="1"/>
  <c r="Q466" i="94"/>
  <c r="P156" i="112" s="1"/>
  <c r="P466" i="94"/>
  <c r="O156" i="112" s="1"/>
  <c r="O466" i="94"/>
  <c r="N156" i="112" s="1"/>
  <c r="N466" i="94"/>
  <c r="M156" i="112" s="1"/>
  <c r="M466" i="94"/>
  <c r="L156" i="112" s="1"/>
  <c r="L466" i="94"/>
  <c r="K156" i="112" s="1"/>
  <c r="K466" i="94"/>
  <c r="J156" i="112" s="1"/>
  <c r="J466" i="94"/>
  <c r="I156" i="112" s="1"/>
  <c r="I466" i="94"/>
  <c r="H156" i="112" s="1"/>
  <c r="H466" i="94"/>
  <c r="G156" i="112" s="1"/>
  <c r="G466" i="94"/>
  <c r="F156" i="112" s="1"/>
  <c r="F466" i="94"/>
  <c r="E156" i="112" s="1"/>
  <c r="E466" i="94"/>
  <c r="D156" i="112" s="1"/>
  <c r="D466" i="94"/>
  <c r="C156" i="112" s="1"/>
  <c r="C466" i="94"/>
  <c r="B156" i="112" s="1"/>
  <c r="R465" i="94"/>
  <c r="Q155" i="112" s="1"/>
  <c r="Q465" i="94"/>
  <c r="P155" i="112" s="1"/>
  <c r="P465" i="94"/>
  <c r="O155" i="112" s="1"/>
  <c r="O465" i="94"/>
  <c r="N155" i="112" s="1"/>
  <c r="N465" i="94"/>
  <c r="M155" i="112" s="1"/>
  <c r="M465" i="94"/>
  <c r="L155" i="112" s="1"/>
  <c r="L465" i="94"/>
  <c r="K155" i="112" s="1"/>
  <c r="K465" i="94"/>
  <c r="J155" i="112" s="1"/>
  <c r="J465" i="94"/>
  <c r="I155" i="112" s="1"/>
  <c r="I465" i="94"/>
  <c r="H155" i="112" s="1"/>
  <c r="H465" i="94"/>
  <c r="G155" i="112" s="1"/>
  <c r="G465" i="94"/>
  <c r="F155" i="112" s="1"/>
  <c r="F465" i="94"/>
  <c r="E155" i="112" s="1"/>
  <c r="E465" i="94"/>
  <c r="D155" i="112" s="1"/>
  <c r="D465" i="94"/>
  <c r="C155" i="112" s="1"/>
  <c r="C465" i="94"/>
  <c r="B155" i="112" s="1"/>
  <c r="R464" i="94"/>
  <c r="Q154" i="112" s="1"/>
  <c r="Q464" i="94"/>
  <c r="P154" i="112" s="1"/>
  <c r="P464" i="94"/>
  <c r="O154" i="112" s="1"/>
  <c r="O464" i="94"/>
  <c r="N154" i="112" s="1"/>
  <c r="N464" i="94"/>
  <c r="M154" i="112" s="1"/>
  <c r="M464" i="94"/>
  <c r="L154" i="112" s="1"/>
  <c r="L464" i="94"/>
  <c r="K154" i="112" s="1"/>
  <c r="K464" i="94"/>
  <c r="J154" i="112" s="1"/>
  <c r="J464" i="94"/>
  <c r="I154" i="112" s="1"/>
  <c r="I464" i="94"/>
  <c r="H154" i="112" s="1"/>
  <c r="H464" i="94"/>
  <c r="G154" i="112" s="1"/>
  <c r="G464" i="94"/>
  <c r="F154" i="112" s="1"/>
  <c r="F464" i="94"/>
  <c r="E154" i="112" s="1"/>
  <c r="E464" i="94"/>
  <c r="D154" i="112" s="1"/>
  <c r="D464" i="94"/>
  <c r="C154" i="112" s="1"/>
  <c r="C464" i="94"/>
  <c r="B154" i="112" s="1"/>
  <c r="AO463" i="94"/>
  <c r="AN463" i="94"/>
  <c r="AM463" i="94"/>
  <c r="AL463" i="94"/>
  <c r="AK463" i="94"/>
  <c r="AJ463" i="94"/>
  <c r="AI463" i="94"/>
  <c r="AH463" i="94"/>
  <c r="AG463" i="94"/>
  <c r="AF463" i="94"/>
  <c r="AE463" i="94"/>
  <c r="AD463" i="94"/>
  <c r="AC463" i="94"/>
  <c r="AB463" i="94"/>
  <c r="AA463" i="94"/>
  <c r="Z463" i="94"/>
  <c r="Y463" i="94"/>
  <c r="X463" i="94"/>
  <c r="W463" i="94"/>
  <c r="V463" i="94"/>
  <c r="U463" i="94"/>
  <c r="T463" i="94"/>
  <c r="S463" i="94"/>
  <c r="R463" i="94"/>
  <c r="Q463" i="94"/>
  <c r="P463" i="94"/>
  <c r="O463" i="94"/>
  <c r="N463" i="94"/>
  <c r="M463" i="94"/>
  <c r="L463" i="94"/>
  <c r="K463" i="94"/>
  <c r="J463" i="94"/>
  <c r="I463" i="94"/>
  <c r="H463" i="94"/>
  <c r="G463" i="94"/>
  <c r="F463" i="94"/>
  <c r="E463" i="94"/>
  <c r="D463" i="94"/>
  <c r="C463" i="94"/>
  <c r="AO406" i="94"/>
  <c r="AN406" i="94"/>
  <c r="AM406" i="94"/>
  <c r="AL406" i="94"/>
  <c r="AK406" i="94"/>
  <c r="AJ406" i="94"/>
  <c r="AI406" i="94"/>
  <c r="AH406" i="94"/>
  <c r="AG406" i="94"/>
  <c r="AF406" i="94"/>
  <c r="AE406" i="94"/>
  <c r="AD406" i="94"/>
  <c r="AC406" i="94"/>
  <c r="AB406" i="94"/>
  <c r="AA406" i="94"/>
  <c r="Z406" i="94"/>
  <c r="Y406" i="94"/>
  <c r="X406" i="94"/>
  <c r="W406" i="94"/>
  <c r="V406" i="94"/>
  <c r="U406" i="94"/>
  <c r="T406" i="94"/>
  <c r="S406" i="94"/>
  <c r="R404" i="94"/>
  <c r="Q404" i="94"/>
  <c r="P404" i="94"/>
  <c r="O404" i="94"/>
  <c r="N404" i="94"/>
  <c r="M404" i="94"/>
  <c r="L404" i="94"/>
  <c r="K404" i="94"/>
  <c r="J404" i="94"/>
  <c r="I404" i="94"/>
  <c r="H404" i="94"/>
  <c r="G404" i="94"/>
  <c r="F404" i="94"/>
  <c r="E404" i="94"/>
  <c r="D404" i="94"/>
  <c r="C404" i="94"/>
  <c r="R403" i="94"/>
  <c r="Q403" i="94"/>
  <c r="P403" i="94"/>
  <c r="O403" i="94"/>
  <c r="N403" i="94"/>
  <c r="M403" i="94"/>
  <c r="L403" i="94"/>
  <c r="K403" i="94"/>
  <c r="J403" i="94"/>
  <c r="I403" i="94"/>
  <c r="H403" i="94"/>
  <c r="G403" i="94"/>
  <c r="F403" i="94"/>
  <c r="E403" i="94"/>
  <c r="D403" i="94"/>
  <c r="C403" i="94"/>
  <c r="R402" i="94"/>
  <c r="Q402" i="94"/>
  <c r="P402" i="94"/>
  <c r="O402" i="94"/>
  <c r="N402" i="94"/>
  <c r="M402" i="94"/>
  <c r="L402" i="94"/>
  <c r="K402" i="94"/>
  <c r="J402" i="94"/>
  <c r="I402" i="94"/>
  <c r="H402" i="94"/>
  <c r="G402" i="94"/>
  <c r="F402" i="94"/>
  <c r="E402" i="94"/>
  <c r="D402" i="94"/>
  <c r="C402" i="94"/>
  <c r="AO324" i="94"/>
  <c r="AN324" i="94"/>
  <c r="AM324" i="94"/>
  <c r="AL324" i="94"/>
  <c r="AK324" i="94"/>
  <c r="AJ324" i="94"/>
  <c r="AI324" i="94"/>
  <c r="AH324" i="94"/>
  <c r="AG324" i="94"/>
  <c r="AD324" i="94"/>
  <c r="AO322" i="94"/>
  <c r="AN322" i="94"/>
  <c r="AM322" i="94"/>
  <c r="AL322" i="94"/>
  <c r="AK322" i="94"/>
  <c r="AI322" i="94"/>
  <c r="AH322" i="94"/>
  <c r="AG322" i="94"/>
  <c r="AF322" i="94"/>
  <c r="AE322" i="94"/>
  <c r="AD322" i="94"/>
  <c r="AC322" i="94"/>
  <c r="AO321" i="94"/>
  <c r="AN321" i="94"/>
  <c r="AM321" i="94"/>
  <c r="AL321" i="94"/>
  <c r="AK321" i="94"/>
  <c r="AJ321" i="94"/>
  <c r="AI321" i="94"/>
  <c r="AH321" i="94"/>
  <c r="AG321" i="94"/>
  <c r="AF321" i="94"/>
  <c r="AE321" i="94"/>
  <c r="AD321" i="94"/>
  <c r="AC321" i="94"/>
  <c r="AO320" i="94"/>
  <c r="AN320" i="94"/>
  <c r="AM320" i="94"/>
  <c r="AL320" i="94"/>
  <c r="AK320" i="94"/>
  <c r="AJ320" i="94"/>
  <c r="AI320" i="94"/>
  <c r="AH320" i="94"/>
  <c r="AG320" i="94"/>
  <c r="AF320" i="94"/>
  <c r="AE320" i="94"/>
  <c r="AD320" i="94"/>
  <c r="AC320" i="94"/>
  <c r="AO319" i="94"/>
  <c r="AN319" i="94"/>
  <c r="AM319" i="94"/>
  <c r="AL319" i="94"/>
  <c r="AK319" i="94"/>
  <c r="AJ319" i="94"/>
  <c r="AI319" i="94"/>
  <c r="AH319" i="94"/>
  <c r="AG319" i="94"/>
  <c r="AF319" i="94"/>
  <c r="AE319" i="94"/>
  <c r="AD319" i="94"/>
  <c r="AC319" i="94"/>
  <c r="AO318" i="94"/>
  <c r="AN318" i="94"/>
  <c r="AM318" i="94"/>
  <c r="AL318" i="94"/>
  <c r="AK318" i="94"/>
  <c r="AJ318" i="94"/>
  <c r="AI318" i="94"/>
  <c r="AH318" i="94"/>
  <c r="AG318" i="94"/>
  <c r="AF318" i="94"/>
  <c r="AE318" i="94"/>
  <c r="AD318" i="94"/>
  <c r="AC318" i="94"/>
  <c r="AO317" i="94"/>
  <c r="AN317" i="94"/>
  <c r="AM317" i="94"/>
  <c r="AL317" i="94"/>
  <c r="AK317" i="94"/>
  <c r="AJ317" i="94"/>
  <c r="AI317" i="94"/>
  <c r="AH317" i="94"/>
  <c r="AG317" i="94"/>
  <c r="AF317" i="94"/>
  <c r="AE317" i="94"/>
  <c r="AD317" i="94"/>
  <c r="AC317" i="94"/>
  <c r="AO316" i="94"/>
  <c r="AN316" i="94"/>
  <c r="AM316" i="94"/>
  <c r="AL316" i="94"/>
  <c r="AK316" i="94"/>
  <c r="AJ316" i="94"/>
  <c r="AI316" i="94"/>
  <c r="AH316" i="94"/>
  <c r="AG316" i="94"/>
  <c r="AF316" i="94"/>
  <c r="AE316" i="94"/>
  <c r="AD316" i="94"/>
  <c r="AC316" i="94"/>
  <c r="AO315" i="94"/>
  <c r="AN315" i="94"/>
  <c r="AM315" i="94"/>
  <c r="AL315" i="94"/>
  <c r="AK315" i="94"/>
  <c r="AJ315" i="94"/>
  <c r="AI315" i="94"/>
  <c r="AH315" i="94"/>
  <c r="AG315" i="94"/>
  <c r="AF315" i="94"/>
  <c r="AE315" i="94"/>
  <c r="AD315" i="94"/>
  <c r="AC315" i="94"/>
  <c r="AO314" i="94"/>
  <c r="AN314" i="94"/>
  <c r="AM314" i="94"/>
  <c r="AL314" i="94"/>
  <c r="AK314" i="94"/>
  <c r="AJ314" i="94"/>
  <c r="AI314" i="94"/>
  <c r="AH314" i="94"/>
  <c r="AG314" i="94"/>
  <c r="AF314" i="94"/>
  <c r="AE314" i="94"/>
  <c r="AD314" i="94"/>
  <c r="AC314" i="94"/>
  <c r="AO313" i="94"/>
  <c r="AN313" i="94"/>
  <c r="AM313" i="94"/>
  <c r="AL313" i="94"/>
  <c r="AK313" i="94"/>
  <c r="AJ313" i="94"/>
  <c r="AI313" i="94"/>
  <c r="AH313" i="94"/>
  <c r="AG313" i="94"/>
  <c r="AF313" i="94"/>
  <c r="AE313" i="94"/>
  <c r="AD313" i="94"/>
  <c r="AC313" i="94"/>
  <c r="AO312" i="94"/>
  <c r="AN312" i="94"/>
  <c r="AM312" i="94"/>
  <c r="AL312" i="94"/>
  <c r="AK312" i="94"/>
  <c r="AJ312" i="94"/>
  <c r="AI312" i="94"/>
  <c r="AH312" i="94"/>
  <c r="AG312" i="94"/>
  <c r="AF312" i="94"/>
  <c r="AE312" i="94"/>
  <c r="AD312" i="94"/>
  <c r="AC312" i="94"/>
  <c r="AD289" i="94"/>
  <c r="AD287" i="94"/>
  <c r="AC287" i="94"/>
  <c r="AD286" i="94"/>
  <c r="AC286" i="94"/>
  <c r="AD285" i="94"/>
  <c r="AC285" i="94"/>
  <c r="AD284" i="94"/>
  <c r="AC284" i="94"/>
  <c r="AD283" i="94"/>
  <c r="AC283" i="94"/>
  <c r="AD282" i="94"/>
  <c r="AC282" i="94"/>
  <c r="AD281" i="94"/>
  <c r="AC281" i="94"/>
  <c r="AC280" i="94"/>
  <c r="AD279" i="94"/>
  <c r="AC279" i="94"/>
  <c r="AD278" i="94"/>
  <c r="AC278" i="94"/>
  <c r="AD277" i="94"/>
  <c r="AC277" i="94"/>
  <c r="E256" i="94"/>
  <c r="AO254" i="94"/>
  <c r="AO220" i="94" s="1"/>
  <c r="AN254" i="94"/>
  <c r="AN220" i="94" s="1"/>
  <c r="AM254" i="94"/>
  <c r="AM220" i="94" s="1"/>
  <c r="AL254" i="94"/>
  <c r="AL220" i="94" s="1"/>
  <c r="AK254" i="94"/>
  <c r="AK220" i="94" s="1"/>
  <c r="AJ254" i="94"/>
  <c r="AJ220" i="94" s="1"/>
  <c r="AI254" i="94"/>
  <c r="AI220" i="94" s="1"/>
  <c r="AH254" i="94"/>
  <c r="AH220" i="94" s="1"/>
  <c r="AG254" i="94"/>
  <c r="AG220" i="94" s="1"/>
  <c r="AF254" i="94"/>
  <c r="AF220" i="94" s="1"/>
  <c r="AE254" i="94"/>
  <c r="AE220" i="94" s="1"/>
  <c r="AD254" i="94"/>
  <c r="AD220" i="94" s="1"/>
  <c r="AC254" i="94"/>
  <c r="AC220" i="94" s="1"/>
  <c r="AB254" i="94"/>
  <c r="AA254" i="94"/>
  <c r="Z254" i="94"/>
  <c r="Y254" i="94"/>
  <c r="X254" i="94"/>
  <c r="W254" i="94"/>
  <c r="V254" i="94"/>
  <c r="U254" i="94"/>
  <c r="T254" i="94"/>
  <c r="S254" i="94"/>
  <c r="R254" i="94"/>
  <c r="Q254" i="94"/>
  <c r="P254" i="94"/>
  <c r="O254" i="94"/>
  <c r="N254" i="94"/>
  <c r="M254" i="94"/>
  <c r="L254" i="94"/>
  <c r="K254" i="94"/>
  <c r="J254" i="94"/>
  <c r="I254" i="94"/>
  <c r="H254" i="94"/>
  <c r="G254" i="94"/>
  <c r="F254" i="94"/>
  <c r="E254" i="94"/>
  <c r="D254" i="94"/>
  <c r="C254" i="94"/>
  <c r="V253" i="94"/>
  <c r="U253" i="94"/>
  <c r="T253" i="94"/>
  <c r="S253" i="94"/>
  <c r="R253" i="94"/>
  <c r="Q253" i="94"/>
  <c r="P253" i="94"/>
  <c r="O253" i="94"/>
  <c r="N253" i="94"/>
  <c r="M253" i="94"/>
  <c r="L253" i="94"/>
  <c r="K253" i="94"/>
  <c r="J253" i="94"/>
  <c r="I253" i="94"/>
  <c r="H253" i="94"/>
  <c r="G253" i="94"/>
  <c r="F253" i="94"/>
  <c r="E253" i="94"/>
  <c r="D253" i="94"/>
  <c r="C253" i="94"/>
  <c r="AO252" i="94"/>
  <c r="AO218" i="94" s="1"/>
  <c r="AN252" i="94"/>
  <c r="AN218" i="94" s="1"/>
  <c r="AM252" i="94"/>
  <c r="AM218" i="94" s="1"/>
  <c r="AL252" i="94"/>
  <c r="AL218" i="94" s="1"/>
  <c r="AK252" i="94"/>
  <c r="AK218" i="94" s="1"/>
  <c r="AJ252" i="94"/>
  <c r="AJ218" i="94" s="1"/>
  <c r="AI252" i="94"/>
  <c r="AI218" i="94" s="1"/>
  <c r="AH252" i="94"/>
  <c r="AH218" i="94" s="1"/>
  <c r="AG252" i="94"/>
  <c r="AG218" i="94" s="1"/>
  <c r="AF252" i="94"/>
  <c r="AF218" i="94" s="1"/>
  <c r="AE252" i="94"/>
  <c r="AE218" i="94" s="1"/>
  <c r="AD252" i="94"/>
  <c r="AD218" i="94" s="1"/>
  <c r="AC252" i="94"/>
  <c r="AC218" i="94" s="1"/>
  <c r="AB252" i="94"/>
  <c r="AA252" i="94"/>
  <c r="Z252" i="94"/>
  <c r="Y252" i="94"/>
  <c r="X252" i="94"/>
  <c r="W252" i="94"/>
  <c r="V252" i="94"/>
  <c r="U252" i="94"/>
  <c r="T252" i="94"/>
  <c r="S252" i="94"/>
  <c r="R252" i="94"/>
  <c r="Q252" i="94"/>
  <c r="P252" i="94"/>
  <c r="O252" i="94"/>
  <c r="N252" i="94"/>
  <c r="M252" i="94"/>
  <c r="L252" i="94"/>
  <c r="K252" i="94"/>
  <c r="J252" i="94"/>
  <c r="I252" i="94"/>
  <c r="H252" i="94"/>
  <c r="G252" i="94"/>
  <c r="F252" i="94"/>
  <c r="E252" i="94"/>
  <c r="D252" i="94"/>
  <c r="C252" i="94"/>
  <c r="AO251" i="94"/>
  <c r="AO217" i="94" s="1"/>
  <c r="AN251" i="94"/>
  <c r="AN217" i="94" s="1"/>
  <c r="AM251" i="94"/>
  <c r="AM217" i="94" s="1"/>
  <c r="AL251" i="94"/>
  <c r="AL217" i="94" s="1"/>
  <c r="AK251" i="94"/>
  <c r="AK217" i="94" s="1"/>
  <c r="AJ251" i="94"/>
  <c r="AJ217" i="94" s="1"/>
  <c r="AI251" i="94"/>
  <c r="AI217" i="94" s="1"/>
  <c r="AH251" i="94"/>
  <c r="AH217" i="94" s="1"/>
  <c r="AG251" i="94"/>
  <c r="AG217" i="94" s="1"/>
  <c r="AF251" i="94"/>
  <c r="AF217" i="94" s="1"/>
  <c r="AE251" i="94"/>
  <c r="AE217" i="94" s="1"/>
  <c r="AD251" i="94"/>
  <c r="AD217" i="94" s="1"/>
  <c r="AC251" i="94"/>
  <c r="AC217" i="94" s="1"/>
  <c r="AB251" i="94"/>
  <c r="AA251" i="94"/>
  <c r="Z251" i="94"/>
  <c r="Y251" i="94"/>
  <c r="X251" i="94"/>
  <c r="W251" i="94"/>
  <c r="V251" i="94"/>
  <c r="U251" i="94"/>
  <c r="T251" i="94"/>
  <c r="S251" i="94"/>
  <c r="R251" i="94"/>
  <c r="Q251" i="94"/>
  <c r="P251" i="94"/>
  <c r="O251" i="94"/>
  <c r="N251" i="94"/>
  <c r="M251" i="94"/>
  <c r="L251" i="94"/>
  <c r="K251" i="94"/>
  <c r="J251" i="94"/>
  <c r="I251" i="94"/>
  <c r="H251" i="94"/>
  <c r="G251" i="94"/>
  <c r="F251" i="94"/>
  <c r="E251" i="94"/>
  <c r="D251" i="94"/>
  <c r="C251" i="94"/>
  <c r="AO250" i="94"/>
  <c r="AO216" i="94" s="1"/>
  <c r="AN250" i="94"/>
  <c r="AN216" i="94" s="1"/>
  <c r="AM250" i="94"/>
  <c r="AM216" i="94" s="1"/>
  <c r="AL250" i="94"/>
  <c r="AL216" i="94" s="1"/>
  <c r="AK250" i="94"/>
  <c r="AK216" i="94" s="1"/>
  <c r="AJ250" i="94"/>
  <c r="AJ216" i="94" s="1"/>
  <c r="AI250" i="94"/>
  <c r="AI216" i="94" s="1"/>
  <c r="AH250" i="94"/>
  <c r="AH216" i="94" s="1"/>
  <c r="AG250" i="94"/>
  <c r="AG216" i="94" s="1"/>
  <c r="AF250" i="94"/>
  <c r="AF216" i="94" s="1"/>
  <c r="AE250" i="94"/>
  <c r="AE216" i="94" s="1"/>
  <c r="AD250" i="94"/>
  <c r="AD216" i="94" s="1"/>
  <c r="AC250" i="94"/>
  <c r="AC216" i="94" s="1"/>
  <c r="AB250" i="94"/>
  <c r="AA250" i="94"/>
  <c r="Z250" i="94"/>
  <c r="Y250" i="94"/>
  <c r="X250" i="94"/>
  <c r="W250" i="94"/>
  <c r="V250" i="94"/>
  <c r="U250" i="94"/>
  <c r="T250" i="94"/>
  <c r="S250" i="94"/>
  <c r="R250" i="94"/>
  <c r="Q250" i="94"/>
  <c r="P250" i="94"/>
  <c r="O250" i="94"/>
  <c r="N250" i="94"/>
  <c r="M250" i="94"/>
  <c r="L250" i="94"/>
  <c r="K250" i="94"/>
  <c r="J250" i="94"/>
  <c r="I250" i="94"/>
  <c r="H250" i="94"/>
  <c r="G250" i="94"/>
  <c r="F250" i="94"/>
  <c r="E250" i="94"/>
  <c r="D250" i="94"/>
  <c r="C250" i="94"/>
  <c r="AO249" i="94"/>
  <c r="AN249" i="94"/>
  <c r="AM249" i="94"/>
  <c r="AL249" i="94"/>
  <c r="AK249" i="94"/>
  <c r="AJ249" i="94"/>
  <c r="AI249" i="94"/>
  <c r="AH249" i="94"/>
  <c r="AG249" i="94"/>
  <c r="AF249" i="94"/>
  <c r="AE249" i="94"/>
  <c r="AD249" i="94"/>
  <c r="AC249" i="94"/>
  <c r="AB249" i="94"/>
  <c r="AA249" i="94"/>
  <c r="Z249" i="94"/>
  <c r="Y249" i="94"/>
  <c r="X249" i="94"/>
  <c r="W249" i="94"/>
  <c r="V249" i="94"/>
  <c r="U249" i="94"/>
  <c r="T249" i="94"/>
  <c r="S249" i="94"/>
  <c r="R249" i="94"/>
  <c r="Q249" i="94"/>
  <c r="P249" i="94"/>
  <c r="O249" i="94"/>
  <c r="N249" i="94"/>
  <c r="M249" i="94"/>
  <c r="L249" i="94"/>
  <c r="K249" i="94"/>
  <c r="J249" i="94"/>
  <c r="I249" i="94"/>
  <c r="H249" i="94"/>
  <c r="G249" i="94"/>
  <c r="F249" i="94"/>
  <c r="E249" i="94"/>
  <c r="D249" i="94"/>
  <c r="C249" i="94"/>
  <c r="AO248" i="94"/>
  <c r="AO214" i="94" s="1"/>
  <c r="AN248" i="94"/>
  <c r="AN214" i="94" s="1"/>
  <c r="AM248" i="94"/>
  <c r="AM214" i="94" s="1"/>
  <c r="AL248" i="94"/>
  <c r="AL214" i="94" s="1"/>
  <c r="AK248" i="94"/>
  <c r="AK214" i="94" s="1"/>
  <c r="AJ248" i="94"/>
  <c r="AJ214" i="94" s="1"/>
  <c r="AI248" i="94"/>
  <c r="AI214" i="94" s="1"/>
  <c r="AH248" i="94"/>
  <c r="AH214" i="94" s="1"/>
  <c r="AG248" i="94"/>
  <c r="AG214" i="94" s="1"/>
  <c r="AF248" i="94"/>
  <c r="AF214" i="94" s="1"/>
  <c r="AE248" i="94"/>
  <c r="AE214" i="94" s="1"/>
  <c r="AD248" i="94"/>
  <c r="AD214" i="94" s="1"/>
  <c r="AC248" i="94"/>
  <c r="AC214" i="94" s="1"/>
  <c r="AB248" i="94"/>
  <c r="AA248" i="94"/>
  <c r="Z248" i="94"/>
  <c r="Y248" i="94"/>
  <c r="X248" i="94"/>
  <c r="W248" i="94"/>
  <c r="V248" i="94"/>
  <c r="U248" i="94"/>
  <c r="T248" i="94"/>
  <c r="S248" i="94"/>
  <c r="N248" i="94"/>
  <c r="M248" i="94"/>
  <c r="L248" i="94"/>
  <c r="K248" i="94"/>
  <c r="J248" i="94"/>
  <c r="I248" i="94"/>
  <c r="H248" i="94"/>
  <c r="G248" i="94"/>
  <c r="F248" i="94"/>
  <c r="E248" i="94"/>
  <c r="D248" i="94"/>
  <c r="C248" i="94"/>
  <c r="AO247" i="94"/>
  <c r="AN247" i="94"/>
  <c r="AM247" i="94"/>
  <c r="AL247" i="94"/>
  <c r="AK247" i="94"/>
  <c r="AJ247" i="94"/>
  <c r="AI247" i="94"/>
  <c r="AH247" i="94"/>
  <c r="AG247" i="94"/>
  <c r="AF247" i="94"/>
  <c r="AE247" i="94"/>
  <c r="AD247" i="94"/>
  <c r="AC247" i="94"/>
  <c r="AB247" i="94"/>
  <c r="AA247" i="94"/>
  <c r="Z247" i="94"/>
  <c r="Y247" i="94"/>
  <c r="X247" i="94"/>
  <c r="W247" i="94"/>
  <c r="V247" i="94"/>
  <c r="U247" i="94"/>
  <c r="T247" i="94"/>
  <c r="S247" i="94"/>
  <c r="R247" i="94"/>
  <c r="Q247" i="94"/>
  <c r="P247" i="94"/>
  <c r="O247" i="94"/>
  <c r="N247" i="94"/>
  <c r="M247" i="94"/>
  <c r="L247" i="94"/>
  <c r="K247" i="94"/>
  <c r="J247" i="94"/>
  <c r="I247" i="94"/>
  <c r="H247" i="94"/>
  <c r="G247" i="94"/>
  <c r="F247" i="94"/>
  <c r="E247" i="94"/>
  <c r="D247" i="94"/>
  <c r="C247" i="94"/>
  <c r="V245" i="94"/>
  <c r="U245" i="94"/>
  <c r="T245" i="94"/>
  <c r="S245" i="94"/>
  <c r="V246" i="94"/>
  <c r="U246" i="94"/>
  <c r="Y244" i="94"/>
  <c r="X244" i="94"/>
  <c r="W244" i="94"/>
  <c r="V244" i="94"/>
  <c r="U244" i="94"/>
  <c r="T244" i="94"/>
  <c r="S244" i="94"/>
  <c r="AO206" i="94"/>
  <c r="AN206" i="94"/>
  <c r="AM206" i="94"/>
  <c r="AL206" i="94"/>
  <c r="AK206" i="94"/>
  <c r="AJ206" i="94"/>
  <c r="AI206" i="94"/>
  <c r="AH206" i="94"/>
  <c r="AG206" i="94"/>
  <c r="AF205" i="94"/>
  <c r="AE205" i="94"/>
  <c r="AE324" i="94" s="1"/>
  <c r="AC205" i="94"/>
  <c r="AC324" i="94" s="1"/>
  <c r="AO167" i="94"/>
  <c r="AN167" i="94"/>
  <c r="AM167" i="94"/>
  <c r="AL167" i="94"/>
  <c r="AK167" i="94"/>
  <c r="AJ167" i="94"/>
  <c r="AI167" i="94"/>
  <c r="AH167" i="94"/>
  <c r="AG167" i="94"/>
  <c r="AF166" i="94"/>
  <c r="AF289" i="94" s="1"/>
  <c r="AF291" i="94" s="1"/>
  <c r="AE166" i="94"/>
  <c r="AE289" i="94" s="1"/>
  <c r="AE291" i="94" s="1"/>
  <c r="AC166" i="94"/>
  <c r="AC167" i="94" s="1"/>
  <c r="AO113" i="94"/>
  <c r="AN113" i="94"/>
  <c r="AM113" i="94"/>
  <c r="AL113" i="94"/>
  <c r="AK113" i="94"/>
  <c r="AK87" i="94" s="1"/>
  <c r="AI113" i="94"/>
  <c r="AI87" i="94" s="1"/>
  <c r="AH113" i="94"/>
  <c r="AH87" i="94" s="1"/>
  <c r="AG113" i="94"/>
  <c r="AG87" i="94" s="1"/>
  <c r="AF113" i="94"/>
  <c r="AF87" i="94" s="1"/>
  <c r="AE113" i="94"/>
  <c r="AE87" i="94" s="1"/>
  <c r="AD113" i="94"/>
  <c r="AD87" i="94" s="1"/>
  <c r="AC113" i="94"/>
  <c r="AC87" i="94" s="1"/>
  <c r="AB113" i="94"/>
  <c r="AA113" i="94"/>
  <c r="Z113" i="94"/>
  <c r="AO110" i="94"/>
  <c r="AN110" i="94"/>
  <c r="AM110" i="94"/>
  <c r="AM253" i="94" s="1"/>
  <c r="AM219" i="94" s="1"/>
  <c r="AL110" i="94"/>
  <c r="AK110" i="94"/>
  <c r="AK84" i="94" s="1"/>
  <c r="AJ110" i="94"/>
  <c r="AJ84" i="94" s="1"/>
  <c r="AI110" i="94"/>
  <c r="AH110" i="94"/>
  <c r="AH84" i="94" s="1"/>
  <c r="AG110" i="94"/>
  <c r="AG84" i="94" s="1"/>
  <c r="AF110" i="94"/>
  <c r="AF84" i="94" s="1"/>
  <c r="AE110" i="94"/>
  <c r="AD110" i="94"/>
  <c r="AD84" i="94" s="1"/>
  <c r="AC110" i="94"/>
  <c r="AC84" i="94" s="1"/>
  <c r="AB110" i="94"/>
  <c r="AA110" i="94"/>
  <c r="Z110" i="94"/>
  <c r="Y110" i="94"/>
  <c r="X110" i="94"/>
  <c r="W110" i="94"/>
  <c r="AO106" i="94"/>
  <c r="AO246" i="94" s="1"/>
  <c r="AN106" i="94"/>
  <c r="AM106" i="94"/>
  <c r="AL106" i="94"/>
  <c r="AK106" i="94"/>
  <c r="AK80" i="94" s="1"/>
  <c r="AJ106" i="94"/>
  <c r="AI106" i="94"/>
  <c r="AI80" i="94" s="1"/>
  <c r="AH106" i="94"/>
  <c r="AH80" i="94" s="1"/>
  <c r="AG106" i="94"/>
  <c r="AG80" i="94" s="1"/>
  <c r="AF106" i="94"/>
  <c r="AE106" i="94"/>
  <c r="AE80" i="94" s="1"/>
  <c r="AD106" i="94"/>
  <c r="AD80" i="94" s="1"/>
  <c r="AC106" i="94"/>
  <c r="AC80" i="94" s="1"/>
  <c r="AB106" i="94"/>
  <c r="AA106" i="94"/>
  <c r="Z106" i="94"/>
  <c r="Y106" i="94"/>
  <c r="X106" i="94"/>
  <c r="W106" i="94"/>
  <c r="T106" i="94"/>
  <c r="S106" i="94"/>
  <c r="R106" i="94"/>
  <c r="Q106" i="94"/>
  <c r="P106" i="94"/>
  <c r="O106" i="94"/>
  <c r="N106" i="94"/>
  <c r="M106" i="94"/>
  <c r="L106" i="94"/>
  <c r="L246" i="94" s="1"/>
  <c r="K106" i="94"/>
  <c r="J106" i="94"/>
  <c r="I106" i="94"/>
  <c r="I246" i="94" s="1"/>
  <c r="H106" i="94"/>
  <c r="H246" i="94" s="1"/>
  <c r="G106" i="94"/>
  <c r="F106" i="94"/>
  <c r="E106" i="94"/>
  <c r="D106" i="94"/>
  <c r="D246" i="94" s="1"/>
  <c r="C106" i="94"/>
  <c r="AO105" i="94"/>
  <c r="AO245" i="94" s="1"/>
  <c r="AO211" i="94" s="1"/>
  <c r="AN105" i="94"/>
  <c r="AM105" i="94"/>
  <c r="AM245" i="94" s="1"/>
  <c r="AM211" i="94" s="1"/>
  <c r="AL105" i="94"/>
  <c r="AK105" i="94"/>
  <c r="AK79" i="94" s="1"/>
  <c r="AJ105" i="94"/>
  <c r="AJ79" i="94" s="1"/>
  <c r="AI105" i="94"/>
  <c r="AH105" i="94"/>
  <c r="AH79" i="94" s="1"/>
  <c r="AG105" i="94"/>
  <c r="AG79" i="94" s="1"/>
  <c r="AF105" i="94"/>
  <c r="AF79" i="94" s="1"/>
  <c r="AE105" i="94"/>
  <c r="AD105" i="94"/>
  <c r="AD79" i="94" s="1"/>
  <c r="AC105" i="94"/>
  <c r="AC79" i="94" s="1"/>
  <c r="AB105" i="94"/>
  <c r="AA105" i="94"/>
  <c r="Z105" i="94"/>
  <c r="Y105" i="94"/>
  <c r="X105" i="94"/>
  <c r="W105" i="94"/>
  <c r="R105" i="94"/>
  <c r="Q105" i="94"/>
  <c r="P105" i="94"/>
  <c r="O105" i="94"/>
  <c r="N105" i="94"/>
  <c r="M105" i="94"/>
  <c r="M245" i="94" s="1"/>
  <c r="L105" i="94"/>
  <c r="K105" i="94"/>
  <c r="K245" i="94" s="1"/>
  <c r="J105" i="94"/>
  <c r="I105" i="94"/>
  <c r="I245" i="94" s="1"/>
  <c r="H105" i="94"/>
  <c r="G105" i="94"/>
  <c r="G245" i="94" s="1"/>
  <c r="F105" i="94"/>
  <c r="E105" i="94"/>
  <c r="E245" i="94" s="1"/>
  <c r="D105" i="94"/>
  <c r="C105" i="94"/>
  <c r="C245" i="94" s="1"/>
  <c r="AO104" i="94"/>
  <c r="AN104" i="94"/>
  <c r="AN244" i="94" s="1"/>
  <c r="AM104" i="94"/>
  <c r="AL104" i="94"/>
  <c r="AK104" i="94"/>
  <c r="AK78" i="94" s="1"/>
  <c r="AJ104" i="94"/>
  <c r="AJ78" i="94" s="1"/>
  <c r="AI104" i="94"/>
  <c r="AI78" i="94" s="1"/>
  <c r="AH104" i="94"/>
  <c r="AH78" i="94" s="1"/>
  <c r="AG104" i="94"/>
  <c r="AG78" i="94" s="1"/>
  <c r="AF104" i="94"/>
  <c r="AF78" i="94" s="1"/>
  <c r="AE104" i="94"/>
  <c r="AE78" i="94" s="1"/>
  <c r="AD104" i="94"/>
  <c r="AD78" i="94" s="1"/>
  <c r="AC104" i="94"/>
  <c r="AC78" i="94" s="1"/>
  <c r="AB104" i="94"/>
  <c r="AA104" i="94"/>
  <c r="Z104" i="94"/>
  <c r="AO103" i="94"/>
  <c r="AO121" i="94" s="1"/>
  <c r="AN103" i="94"/>
  <c r="AO74" i="94"/>
  <c r="AN74" i="94"/>
  <c r="AM74" i="94"/>
  <c r="AL74" i="94"/>
  <c r="AK74" i="94"/>
  <c r="AJ74" i="94"/>
  <c r="AI74" i="94"/>
  <c r="AH74" i="94"/>
  <c r="AG74" i="94"/>
  <c r="AF74" i="94"/>
  <c r="AE74" i="94"/>
  <c r="AC74" i="94"/>
  <c r="AO63" i="94"/>
  <c r="AN63" i="94"/>
  <c r="AM63" i="94"/>
  <c r="AL63" i="94"/>
  <c r="AK63" i="94"/>
  <c r="AJ63" i="94"/>
  <c r="AI63" i="94"/>
  <c r="AH63" i="94"/>
  <c r="AG63" i="94"/>
  <c r="AF63" i="94"/>
  <c r="AE63" i="94"/>
  <c r="AC63" i="94"/>
  <c r="AN38" i="94"/>
  <c r="AM38" i="94"/>
  <c r="AL38" i="94"/>
  <c r="AK38" i="94"/>
  <c r="AK14" i="94" s="1"/>
  <c r="AJ38" i="94"/>
  <c r="AI38" i="94"/>
  <c r="AI14" i="94" s="1"/>
  <c r="AH38" i="94"/>
  <c r="AH14" i="94" s="1"/>
  <c r="AG38" i="94"/>
  <c r="AG14" i="94" s="1"/>
  <c r="AF38" i="94"/>
  <c r="AF14" i="94" s="1"/>
  <c r="AE38" i="94"/>
  <c r="AE14" i="94" s="1"/>
  <c r="AD38" i="94"/>
  <c r="AD14" i="94" s="1"/>
  <c r="AC38" i="94"/>
  <c r="AC14" i="94" s="1"/>
  <c r="AB38" i="94"/>
  <c r="AA38" i="94"/>
  <c r="Z38" i="94"/>
  <c r="Y38" i="94"/>
  <c r="X38" i="94"/>
  <c r="W38" i="94"/>
  <c r="V38" i="94"/>
  <c r="U38" i="94"/>
  <c r="T38" i="94"/>
  <c r="S38" i="94"/>
  <c r="R38" i="94"/>
  <c r="Q38" i="94"/>
  <c r="P38" i="94"/>
  <c r="O38" i="94"/>
  <c r="N38" i="94"/>
  <c r="M38" i="94"/>
  <c r="L38" i="94"/>
  <c r="L256" i="94" s="1"/>
  <c r="K38" i="94"/>
  <c r="K256" i="94" s="1"/>
  <c r="J38" i="94"/>
  <c r="I38" i="94"/>
  <c r="H38" i="94"/>
  <c r="H256" i="94" s="1"/>
  <c r="G38" i="94"/>
  <c r="G256" i="94" s="1"/>
  <c r="F38" i="94"/>
  <c r="D38" i="94"/>
  <c r="D256" i="94" s="1"/>
  <c r="C38" i="94"/>
  <c r="C256" i="94" s="1"/>
  <c r="R35" i="94"/>
  <c r="Q35" i="94"/>
  <c r="P35" i="94"/>
  <c r="O35" i="94"/>
  <c r="R31" i="94"/>
  <c r="Q31" i="94"/>
  <c r="P31" i="94"/>
  <c r="O31" i="94"/>
  <c r="N31" i="94"/>
  <c r="M31" i="94"/>
  <c r="L31" i="94"/>
  <c r="L244" i="94" s="1"/>
  <c r="K31" i="94"/>
  <c r="K244" i="94" s="1"/>
  <c r="J31" i="94"/>
  <c r="I31" i="94"/>
  <c r="H31" i="94"/>
  <c r="H244" i="94" s="1"/>
  <c r="G31" i="94"/>
  <c r="G244" i="94" s="1"/>
  <c r="F31" i="94"/>
  <c r="E31" i="94"/>
  <c r="D31" i="94"/>
  <c r="D244" i="94" s="1"/>
  <c r="C31" i="94"/>
  <c r="C244" i="94" s="1"/>
  <c r="F162" i="112" l="1"/>
  <c r="B163" i="112"/>
  <c r="N163" i="112"/>
  <c r="G162" i="112"/>
  <c r="C163" i="112"/>
  <c r="O163" i="112"/>
  <c r="H162" i="112"/>
  <c r="D163" i="112"/>
  <c r="P163" i="112"/>
  <c r="I162" i="112"/>
  <c r="E163" i="112"/>
  <c r="Q163" i="112"/>
  <c r="K476" i="94"/>
  <c r="J225" i="112" s="1"/>
  <c r="R428" i="111" s="1"/>
  <c r="J232" i="112"/>
  <c r="L161" i="112"/>
  <c r="L164" i="112"/>
  <c r="L165" i="112"/>
  <c r="L476" i="94"/>
  <c r="K225" i="112" s="1"/>
  <c r="S428" i="111" s="1"/>
  <c r="K232" i="112"/>
  <c r="K161" i="112"/>
  <c r="K164" i="112"/>
  <c r="K165" i="112"/>
  <c r="M161" i="112"/>
  <c r="M164" i="112"/>
  <c r="M165" i="112"/>
  <c r="B165" i="112"/>
  <c r="B161" i="112"/>
  <c r="B164" i="112"/>
  <c r="N165" i="112"/>
  <c r="N161" i="112"/>
  <c r="N164" i="112"/>
  <c r="J162" i="112"/>
  <c r="F163" i="112"/>
  <c r="L229" i="112"/>
  <c r="L230" i="112"/>
  <c r="M230" i="112"/>
  <c r="M229" i="112"/>
  <c r="N476" i="94"/>
  <c r="M225" i="112" s="1"/>
  <c r="U428" i="111" s="1"/>
  <c r="M232" i="112"/>
  <c r="C165" i="112"/>
  <c r="C161" i="112"/>
  <c r="C164" i="112"/>
  <c r="O165" i="112"/>
  <c r="O161" i="112"/>
  <c r="O164" i="112"/>
  <c r="K162" i="112"/>
  <c r="G163" i="112"/>
  <c r="C476" i="94"/>
  <c r="B225" i="112" s="1"/>
  <c r="B232" i="112"/>
  <c r="O476" i="94"/>
  <c r="N225" i="112" s="1"/>
  <c r="V428" i="111" s="1"/>
  <c r="N232" i="112"/>
  <c r="J476" i="94"/>
  <c r="I225" i="112" s="1"/>
  <c r="I232" i="112"/>
  <c r="D165" i="112"/>
  <c r="D161" i="112"/>
  <c r="D164" i="112"/>
  <c r="P165" i="112"/>
  <c r="P161" i="112"/>
  <c r="P164" i="112"/>
  <c r="L162" i="112"/>
  <c r="H163" i="112"/>
  <c r="D476" i="94"/>
  <c r="C225" i="112" s="1"/>
  <c r="C232" i="112"/>
  <c r="P476" i="94"/>
  <c r="O225" i="112" s="1"/>
  <c r="O232" i="112"/>
  <c r="E161" i="112"/>
  <c r="E164" i="112"/>
  <c r="E165" i="112"/>
  <c r="Q161" i="112"/>
  <c r="Q165" i="112"/>
  <c r="Q164" i="112"/>
  <c r="M162" i="112"/>
  <c r="I163" i="112"/>
  <c r="E476" i="94"/>
  <c r="D225" i="112" s="1"/>
  <c r="L428" i="111" s="1"/>
  <c r="D232" i="112"/>
  <c r="Q476" i="94"/>
  <c r="P225" i="112" s="1"/>
  <c r="P232" i="112"/>
  <c r="J161" i="112"/>
  <c r="J164" i="112"/>
  <c r="J165" i="112"/>
  <c r="F161" i="112"/>
  <c r="F165" i="112"/>
  <c r="F164" i="112"/>
  <c r="B162" i="112"/>
  <c r="N162" i="112"/>
  <c r="J163" i="112"/>
  <c r="F476" i="94"/>
  <c r="E225" i="112" s="1"/>
  <c r="E232" i="112"/>
  <c r="R476" i="94"/>
  <c r="Q225" i="112" s="1"/>
  <c r="Q232" i="112"/>
  <c r="G161" i="112"/>
  <c r="G165" i="112"/>
  <c r="G164" i="112"/>
  <c r="C162" i="112"/>
  <c r="O162" i="112"/>
  <c r="K163" i="112"/>
  <c r="G476" i="94"/>
  <c r="F225" i="112" s="1"/>
  <c r="N428" i="111" s="1"/>
  <c r="F232" i="112"/>
  <c r="H161" i="112"/>
  <c r="H165" i="112"/>
  <c r="H164" i="112"/>
  <c r="D162" i="112"/>
  <c r="P162" i="112"/>
  <c r="L163" i="112"/>
  <c r="H476" i="94"/>
  <c r="G225" i="112" s="1"/>
  <c r="G232" i="112"/>
  <c r="I165" i="112"/>
  <c r="I161" i="112"/>
  <c r="I164" i="112"/>
  <c r="E162" i="112"/>
  <c r="Q162" i="112"/>
  <c r="M163" i="112"/>
  <c r="I476" i="94"/>
  <c r="H225" i="112" s="1"/>
  <c r="H232" i="112"/>
  <c r="U226" i="112"/>
  <c r="AC428" i="111"/>
  <c r="Y226" i="112"/>
  <c r="AG428" i="111"/>
  <c r="AC226" i="112"/>
  <c r="AK428" i="111"/>
  <c r="AG226" i="112"/>
  <c r="AO428" i="111"/>
  <c r="AK226" i="112"/>
  <c r="AS428" i="111"/>
  <c r="Z428" i="111"/>
  <c r="V226" i="112"/>
  <c r="AD428" i="111"/>
  <c r="Z226" i="112"/>
  <c r="AH428" i="111"/>
  <c r="AD226" i="112"/>
  <c r="AL428" i="111"/>
  <c r="AH226" i="112"/>
  <c r="AP428" i="111"/>
  <c r="AL226" i="112"/>
  <c r="AT428" i="111"/>
  <c r="S226" i="112"/>
  <c r="AA428" i="111"/>
  <c r="W226" i="112"/>
  <c r="AE428" i="111"/>
  <c r="AA226" i="112"/>
  <c r="AI428" i="111"/>
  <c r="AE226" i="112"/>
  <c r="AM428" i="111"/>
  <c r="AI226" i="112"/>
  <c r="AQ428" i="111"/>
  <c r="AM226" i="112"/>
  <c r="AU428" i="111"/>
  <c r="T226" i="112"/>
  <c r="AB428" i="111"/>
  <c r="X226" i="112"/>
  <c r="AF428" i="111"/>
  <c r="AB226" i="112"/>
  <c r="AJ428" i="111"/>
  <c r="AF226" i="112"/>
  <c r="AN428" i="111"/>
  <c r="AJ226" i="112"/>
  <c r="AR428" i="111"/>
  <c r="AN226" i="112"/>
  <c r="AV428" i="111"/>
  <c r="AO226" i="112"/>
  <c r="AV520" i="111"/>
  <c r="AR520" i="111"/>
  <c r="AN520" i="111"/>
  <c r="AS520" i="111"/>
  <c r="AO520" i="111"/>
  <c r="AU520" i="111"/>
  <c r="AQ520" i="111"/>
  <c r="AM520" i="111"/>
  <c r="AM457" i="94"/>
  <c r="AI457" i="94"/>
  <c r="AE457" i="94"/>
  <c r="AF213" i="94"/>
  <c r="AF386" i="94" s="1"/>
  <c r="AJ213" i="94"/>
  <c r="AJ369" i="94" s="1"/>
  <c r="AN213" i="94"/>
  <c r="AD215" i="94"/>
  <c r="AD388" i="94" s="1"/>
  <c r="AH215" i="94"/>
  <c r="AH371" i="94" s="1"/>
  <c r="AL215" i="94"/>
  <c r="AC213" i="94"/>
  <c r="AC386" i="94" s="1"/>
  <c r="AG213" i="94"/>
  <c r="AG369" i="94" s="1"/>
  <c r="AK213" i="94"/>
  <c r="AO213" i="94"/>
  <c r="AE215" i="94"/>
  <c r="AE388" i="94" s="1"/>
  <c r="AI215" i="94"/>
  <c r="AI388" i="94" s="1"/>
  <c r="AM215" i="94"/>
  <c r="AN210" i="94"/>
  <c r="AD213" i="94"/>
  <c r="AD369" i="94" s="1"/>
  <c r="AH213" i="94"/>
  <c r="AH369" i="94" s="1"/>
  <c r="AL213" i="94"/>
  <c r="AF215" i="94"/>
  <c r="AF388" i="94" s="1"/>
  <c r="AJ215" i="94"/>
  <c r="AJ388" i="94" s="1"/>
  <c r="AN215" i="94"/>
  <c r="AO212" i="94"/>
  <c r="AE213" i="94"/>
  <c r="AE386" i="94" s="1"/>
  <c r="AI213" i="94"/>
  <c r="AI386" i="94" s="1"/>
  <c r="AM213" i="94"/>
  <c r="AC215" i="94"/>
  <c r="AC388" i="94" s="1"/>
  <c r="AG215" i="94"/>
  <c r="AG388" i="94" s="1"/>
  <c r="AK215" i="94"/>
  <c r="AO215" i="94"/>
  <c r="AJ393" i="94"/>
  <c r="AO326" i="94"/>
  <c r="AC387" i="94"/>
  <c r="AG387" i="94"/>
  <c r="AK387" i="94"/>
  <c r="AE389" i="94"/>
  <c r="AI389" i="94"/>
  <c r="AM389" i="94"/>
  <c r="AD390" i="94"/>
  <c r="AH390" i="94"/>
  <c r="AL390" i="94"/>
  <c r="AC391" i="94"/>
  <c r="AG391" i="94"/>
  <c r="AK391" i="94"/>
  <c r="AE393" i="94"/>
  <c r="AI393" i="94"/>
  <c r="AG326" i="94"/>
  <c r="AG343" i="94" s="1"/>
  <c r="AM384" i="94"/>
  <c r="AF387" i="94"/>
  <c r="AJ387" i="94"/>
  <c r="AN387" i="94"/>
  <c r="AD389" i="94"/>
  <c r="AH389" i="94"/>
  <c r="AL389" i="94"/>
  <c r="AC390" i="94"/>
  <c r="AG390" i="94"/>
  <c r="AK390" i="94"/>
  <c r="AF391" i="94"/>
  <c r="AJ391" i="94"/>
  <c r="AN391" i="94"/>
  <c r="AM392" i="94"/>
  <c r="AD393" i="94"/>
  <c r="AH393" i="94"/>
  <c r="AM393" i="94"/>
  <c r="AK326" i="94"/>
  <c r="AD387" i="94"/>
  <c r="AH387" i="94"/>
  <c r="AL387" i="94"/>
  <c r="AF389" i="94"/>
  <c r="AJ389" i="94"/>
  <c r="AN389" i="94"/>
  <c r="AE390" i="94"/>
  <c r="AI390" i="94"/>
  <c r="AM390" i="94"/>
  <c r="AD391" i="94"/>
  <c r="AH391" i="94"/>
  <c r="AL391" i="94"/>
  <c r="AF393" i="94"/>
  <c r="AK393" i="94"/>
  <c r="AN393" i="94"/>
  <c r="AE387" i="94"/>
  <c r="AI387" i="94"/>
  <c r="AM387" i="94"/>
  <c r="AC389" i="94"/>
  <c r="AG389" i="94"/>
  <c r="AK389" i="94"/>
  <c r="AF390" i="94"/>
  <c r="AJ390" i="94"/>
  <c r="AN390" i="94"/>
  <c r="AE391" i="94"/>
  <c r="AI391" i="94"/>
  <c r="AM391" i="94"/>
  <c r="AC393" i="94"/>
  <c r="AG393" i="94"/>
  <c r="AL393" i="94"/>
  <c r="AJ326" i="94"/>
  <c r="AN326" i="94"/>
  <c r="AD291" i="94"/>
  <c r="AD326" i="94"/>
  <c r="AH326" i="94"/>
  <c r="AL326" i="94"/>
  <c r="AI326" i="94"/>
  <c r="AM326" i="94"/>
  <c r="AC326" i="94"/>
  <c r="AE326" i="94"/>
  <c r="AG293" i="94"/>
  <c r="AO367" i="94"/>
  <c r="AE373" i="94"/>
  <c r="AI373" i="94"/>
  <c r="AM373" i="94"/>
  <c r="AF376" i="94"/>
  <c r="AJ376" i="94"/>
  <c r="AN376" i="94"/>
  <c r="AH370" i="94"/>
  <c r="AF372" i="94"/>
  <c r="AD374" i="94"/>
  <c r="AM367" i="94"/>
  <c r="AC370" i="94"/>
  <c r="AG370" i="94"/>
  <c r="AK370" i="94"/>
  <c r="AO370" i="94"/>
  <c r="AE372" i="94"/>
  <c r="AI372" i="94"/>
  <c r="AM372" i="94"/>
  <c r="AD373" i="94"/>
  <c r="AH373" i="94"/>
  <c r="AL373" i="94"/>
  <c r="AC374" i="94"/>
  <c r="AG374" i="94"/>
  <c r="AK374" i="94"/>
  <c r="AO374" i="94"/>
  <c r="AE376" i="94"/>
  <c r="AI376" i="94"/>
  <c r="AM376" i="94"/>
  <c r="AD370" i="94"/>
  <c r="AL370" i="94"/>
  <c r="AJ372" i="94"/>
  <c r="AL374" i="94"/>
  <c r="AE370" i="94"/>
  <c r="AI370" i="94"/>
  <c r="AM370" i="94"/>
  <c r="AC372" i="94"/>
  <c r="AG372" i="94"/>
  <c r="AK372" i="94"/>
  <c r="AO372" i="94"/>
  <c r="AF373" i="94"/>
  <c r="AJ373" i="94"/>
  <c r="AN373" i="94"/>
  <c r="AE374" i="94"/>
  <c r="AI374" i="94"/>
  <c r="AM374" i="94"/>
  <c r="AC376" i="94"/>
  <c r="AG376" i="94"/>
  <c r="AK376" i="94"/>
  <c r="AO376" i="94"/>
  <c r="AN372" i="94"/>
  <c r="AH374" i="94"/>
  <c r="AF370" i="94"/>
  <c r="AJ370" i="94"/>
  <c r="AN370" i="94"/>
  <c r="AD372" i="94"/>
  <c r="AH372" i="94"/>
  <c r="AL372" i="94"/>
  <c r="AC373" i="94"/>
  <c r="AG373" i="94"/>
  <c r="AK373" i="94"/>
  <c r="AO373" i="94"/>
  <c r="AF374" i="94"/>
  <c r="AJ374" i="94"/>
  <c r="AN374" i="94"/>
  <c r="AM375" i="94"/>
  <c r="AD376" i="94"/>
  <c r="AH376" i="94"/>
  <c r="AL376" i="94"/>
  <c r="AE437" i="94"/>
  <c r="AL509" i="111" s="1"/>
  <c r="AI437" i="94"/>
  <c r="AP509" i="111" s="1"/>
  <c r="AM437" i="94"/>
  <c r="AT509" i="111" s="1"/>
  <c r="AF439" i="94"/>
  <c r="AM511" i="111" s="1"/>
  <c r="AJ439" i="94"/>
  <c r="AQ511" i="111" s="1"/>
  <c r="AN439" i="94"/>
  <c r="AU511" i="111" s="1"/>
  <c r="AF437" i="94"/>
  <c r="AM509" i="111" s="1"/>
  <c r="AJ437" i="94"/>
  <c r="AQ509" i="111" s="1"/>
  <c r="AN437" i="94"/>
  <c r="AU509" i="111" s="1"/>
  <c r="AC439" i="94"/>
  <c r="AC456" i="94" s="1"/>
  <c r="AG439" i="94"/>
  <c r="AN511" i="111" s="1"/>
  <c r="AK439" i="94"/>
  <c r="AR511" i="111" s="1"/>
  <c r="AO439" i="94"/>
  <c r="AV511" i="111" s="1"/>
  <c r="AC437" i="94"/>
  <c r="AC454" i="94" s="1"/>
  <c r="AG437" i="94"/>
  <c r="AN509" i="111" s="1"/>
  <c r="AK437" i="94"/>
  <c r="AR509" i="111" s="1"/>
  <c r="AO437" i="94"/>
  <c r="AV509" i="111" s="1"/>
  <c r="AD439" i="94"/>
  <c r="AD456" i="94" s="1"/>
  <c r="AH439" i="94"/>
  <c r="AO511" i="111" s="1"/>
  <c r="AL439" i="94"/>
  <c r="AS511" i="111" s="1"/>
  <c r="AJ357" i="94"/>
  <c r="AB246" i="94"/>
  <c r="AF246" i="94"/>
  <c r="AF80" i="94"/>
  <c r="O245" i="94"/>
  <c r="W245" i="94"/>
  <c r="AA245" i="94"/>
  <c r="AE245" i="94"/>
  <c r="AE211" i="94" s="1"/>
  <c r="AE367" i="94" s="1"/>
  <c r="AE79" i="94"/>
  <c r="AI245" i="94"/>
  <c r="AI211" i="94" s="1"/>
  <c r="AI367" i="94" s="1"/>
  <c r="AI79" i="94"/>
  <c r="P246" i="94"/>
  <c r="W253" i="94"/>
  <c r="AA253" i="94"/>
  <c r="AE253" i="94"/>
  <c r="AE219" i="94" s="1"/>
  <c r="AE375" i="94" s="1"/>
  <c r="AE84" i="94"/>
  <c r="AI253" i="94"/>
  <c r="AI219" i="94" s="1"/>
  <c r="AI375" i="94" s="1"/>
  <c r="AI84" i="94"/>
  <c r="AJ246" i="94"/>
  <c r="AJ80" i="94"/>
  <c r="W256" i="94"/>
  <c r="S256" i="94"/>
  <c r="O248" i="94"/>
  <c r="Q248" i="94"/>
  <c r="O256" i="94"/>
  <c r="O244" i="94"/>
  <c r="P256" i="94"/>
  <c r="T256" i="94"/>
  <c r="X256" i="94"/>
  <c r="AJ256" i="94"/>
  <c r="AJ222" i="94" s="1"/>
  <c r="AJ378" i="94" s="1"/>
  <c r="AJ14" i="94"/>
  <c r="P244" i="94"/>
  <c r="P248" i="94"/>
  <c r="D406" i="94"/>
  <c r="D410" i="94" s="1"/>
  <c r="H406" i="94"/>
  <c r="H413" i="94" s="1"/>
  <c r="L406" i="94"/>
  <c r="L413" i="94" s="1"/>
  <c r="P406" i="94"/>
  <c r="P413" i="94" s="1"/>
  <c r="T410" i="94"/>
  <c r="T412" i="94"/>
  <c r="T411" i="94"/>
  <c r="T413" i="94"/>
  <c r="X410" i="94"/>
  <c r="X412" i="94"/>
  <c r="X413" i="94"/>
  <c r="X411" i="94"/>
  <c r="AB410" i="94"/>
  <c r="AB412" i="94"/>
  <c r="AB411" i="94"/>
  <c r="AB413" i="94"/>
  <c r="AF410" i="94"/>
  <c r="AF412" i="94"/>
  <c r="AF411" i="94"/>
  <c r="AF413" i="94"/>
  <c r="AJ410" i="94"/>
  <c r="AJ412" i="94"/>
  <c r="AJ411" i="94"/>
  <c r="AJ413" i="94"/>
  <c r="AN410" i="94"/>
  <c r="AN412" i="94"/>
  <c r="AN411" i="94"/>
  <c r="AN413" i="94"/>
  <c r="I406" i="94"/>
  <c r="I413" i="94" s="1"/>
  <c r="Q406" i="94"/>
  <c r="Q413" i="94" s="1"/>
  <c r="U410" i="94"/>
  <c r="U412" i="94"/>
  <c r="U411" i="94"/>
  <c r="U413" i="94"/>
  <c r="Y410" i="94"/>
  <c r="Y412" i="94"/>
  <c r="Y411" i="94"/>
  <c r="Y413" i="94"/>
  <c r="AC410" i="94"/>
  <c r="AC412" i="94"/>
  <c r="AC411" i="94"/>
  <c r="AC413" i="94"/>
  <c r="AG410" i="94"/>
  <c r="AG412" i="94"/>
  <c r="AG411" i="94"/>
  <c r="AG413" i="94"/>
  <c r="AK410" i="94"/>
  <c r="AK412" i="94"/>
  <c r="AK411" i="94"/>
  <c r="AK413" i="94"/>
  <c r="AO412" i="94"/>
  <c r="AO413" i="94"/>
  <c r="AO410" i="94"/>
  <c r="AO411" i="94"/>
  <c r="F406" i="94"/>
  <c r="F410" i="94" s="1"/>
  <c r="J406" i="94"/>
  <c r="J413" i="94" s="1"/>
  <c r="N406" i="94"/>
  <c r="N413" i="94" s="1"/>
  <c r="R406" i="94"/>
  <c r="R413" i="94" s="1"/>
  <c r="V411" i="94"/>
  <c r="V413" i="94"/>
  <c r="V410" i="94"/>
  <c r="V412" i="94"/>
  <c r="Z411" i="94"/>
  <c r="Z413" i="94"/>
  <c r="Z412" i="94"/>
  <c r="Z410" i="94"/>
  <c r="AD411" i="94"/>
  <c r="AD413" i="94"/>
  <c r="AD412" i="94"/>
  <c r="AD410" i="94"/>
  <c r="AH411" i="94"/>
  <c r="AH413" i="94"/>
  <c r="AH410" i="94"/>
  <c r="AH412" i="94"/>
  <c r="AL411" i="94"/>
  <c r="AL413" i="94"/>
  <c r="AL410" i="94"/>
  <c r="AL412" i="94"/>
  <c r="C406" i="94"/>
  <c r="C410" i="94" s="1"/>
  <c r="G406" i="94"/>
  <c r="G411" i="94" s="1"/>
  <c r="K406" i="94"/>
  <c r="K413" i="94" s="1"/>
  <c r="O406" i="94"/>
  <c r="O413" i="94" s="1"/>
  <c r="S411" i="94"/>
  <c r="S413" i="94"/>
  <c r="S410" i="94"/>
  <c r="S412" i="94"/>
  <c r="W411" i="94"/>
  <c r="W413" i="94"/>
  <c r="W410" i="94"/>
  <c r="W412" i="94"/>
  <c r="AA411" i="94"/>
  <c r="AA413" i="94"/>
  <c r="AA410" i="94"/>
  <c r="AA412" i="94"/>
  <c r="AE411" i="94"/>
  <c r="AE413" i="94"/>
  <c r="AE410" i="94"/>
  <c r="AE412" i="94"/>
  <c r="AI411" i="94"/>
  <c r="AI413" i="94"/>
  <c r="AI410" i="94"/>
  <c r="AI412" i="94"/>
  <c r="AM411" i="94"/>
  <c r="AM413" i="94"/>
  <c r="AM410" i="94"/>
  <c r="AM412" i="94"/>
  <c r="AD437" i="94"/>
  <c r="AD454" i="94" s="1"/>
  <c r="AH437" i="94"/>
  <c r="AO509" i="111" s="1"/>
  <c r="AL437" i="94"/>
  <c r="AS509" i="111" s="1"/>
  <c r="AE439" i="94"/>
  <c r="AL511" i="111" s="1"/>
  <c r="AI439" i="94"/>
  <c r="AP511" i="111" s="1"/>
  <c r="AM439" i="94"/>
  <c r="AT511" i="111" s="1"/>
  <c r="AI423" i="94"/>
  <c r="M406" i="94"/>
  <c r="M413" i="94" s="1"/>
  <c r="AE423" i="94"/>
  <c r="AA423" i="94"/>
  <c r="AK423" i="94"/>
  <c r="AG423" i="94"/>
  <c r="AC423" i="94"/>
  <c r="AM423" i="94"/>
  <c r="AO423" i="94"/>
  <c r="AN423" i="94"/>
  <c r="AJ423" i="94"/>
  <c r="AF423" i="94"/>
  <c r="AB423" i="94"/>
  <c r="AL423" i="94"/>
  <c r="AH423" i="94"/>
  <c r="AD423" i="94"/>
  <c r="Z423" i="94"/>
  <c r="AD438" i="94"/>
  <c r="AD455" i="94" s="1"/>
  <c r="AH438" i="94"/>
  <c r="AO510" i="111" s="1"/>
  <c r="AL438" i="94"/>
  <c r="AS510" i="111" s="1"/>
  <c r="AF436" i="94"/>
  <c r="AM508" i="111" s="1"/>
  <c r="AJ436" i="94"/>
  <c r="AQ508" i="111" s="1"/>
  <c r="AN436" i="94"/>
  <c r="AU508" i="111" s="1"/>
  <c r="AE436" i="94"/>
  <c r="AL508" i="111" s="1"/>
  <c r="AI436" i="94"/>
  <c r="AP508" i="111" s="1"/>
  <c r="AM436" i="94"/>
  <c r="AT508" i="111" s="1"/>
  <c r="AC438" i="94"/>
  <c r="AC455" i="94" s="1"/>
  <c r="AG438" i="94"/>
  <c r="AN510" i="111" s="1"/>
  <c r="AK438" i="94"/>
  <c r="AR510" i="111" s="1"/>
  <c r="AO438" i="94"/>
  <c r="AV510" i="111" s="1"/>
  <c r="AD436" i="94"/>
  <c r="AD453" i="94" s="1"/>
  <c r="AH436" i="94"/>
  <c r="AO508" i="111" s="1"/>
  <c r="AL436" i="94"/>
  <c r="AS508" i="111" s="1"/>
  <c r="AC436" i="94"/>
  <c r="AC453" i="94" s="1"/>
  <c r="AG436" i="94"/>
  <c r="AN508" i="111" s="1"/>
  <c r="AK436" i="94"/>
  <c r="AR508" i="111" s="1"/>
  <c r="AO436" i="94"/>
  <c r="AV508" i="111" s="1"/>
  <c r="AE438" i="94"/>
  <c r="AL510" i="111" s="1"/>
  <c r="AI438" i="94"/>
  <c r="AP510" i="111" s="1"/>
  <c r="AM438" i="94"/>
  <c r="AT510" i="111" s="1"/>
  <c r="AJ438" i="94"/>
  <c r="AQ510" i="111" s="1"/>
  <c r="AN438" i="94"/>
  <c r="AU510" i="111" s="1"/>
  <c r="AN348" i="94"/>
  <c r="AC206" i="94"/>
  <c r="M476" i="94"/>
  <c r="L225" i="112" s="1"/>
  <c r="E406" i="94"/>
  <c r="E411" i="94" s="1"/>
  <c r="AM353" i="94"/>
  <c r="AF167" i="94"/>
  <c r="AH356" i="94"/>
  <c r="AG351" i="94"/>
  <c r="AI354" i="94"/>
  <c r="AO356" i="94"/>
  <c r="AN119" i="94"/>
  <c r="AE352" i="94"/>
  <c r="AH353" i="94"/>
  <c r="AK354" i="94"/>
  <c r="AO357" i="94"/>
  <c r="I256" i="94"/>
  <c r="M256" i="94"/>
  <c r="Q256" i="94"/>
  <c r="U256" i="94"/>
  <c r="U257" i="94" s="1"/>
  <c r="Y256" i="94"/>
  <c r="E244" i="94"/>
  <c r="I244" i="94"/>
  <c r="M244" i="94"/>
  <c r="Q244" i="94"/>
  <c r="F256" i="94"/>
  <c r="J256" i="94"/>
  <c r="N256" i="94"/>
  <c r="R256" i="94"/>
  <c r="V256" i="94"/>
  <c r="F244" i="94"/>
  <c r="J244" i="94"/>
  <c r="N244" i="94"/>
  <c r="R244" i="94"/>
  <c r="R248" i="94"/>
  <c r="AO122" i="94"/>
  <c r="AO124" i="94"/>
  <c r="AO126" i="94"/>
  <c r="AC244" i="94"/>
  <c r="AG244" i="94"/>
  <c r="AK244" i="94"/>
  <c r="AO244" i="94"/>
  <c r="AO117" i="94"/>
  <c r="F245" i="94"/>
  <c r="J245" i="94"/>
  <c r="N245" i="94"/>
  <c r="R245" i="94"/>
  <c r="Z245" i="94"/>
  <c r="AD245" i="94"/>
  <c r="AD211" i="94" s="1"/>
  <c r="AD367" i="94" s="1"/>
  <c r="AH245" i="94"/>
  <c r="AH211" i="94" s="1"/>
  <c r="AH367" i="94" s="1"/>
  <c r="AL245" i="94"/>
  <c r="AL211" i="94" s="1"/>
  <c r="AL384" i="94" s="1"/>
  <c r="C246" i="94"/>
  <c r="G246" i="94"/>
  <c r="K246" i="94"/>
  <c r="O246" i="94"/>
  <c r="S246" i="94"/>
  <c r="Y246" i="94"/>
  <c r="AC246" i="94"/>
  <c r="AG246" i="94"/>
  <c r="AK246" i="94"/>
  <c r="AO119" i="94"/>
  <c r="Z253" i="94"/>
  <c r="AD253" i="94"/>
  <c r="AD219" i="94" s="1"/>
  <c r="AD375" i="94" s="1"/>
  <c r="AH253" i="94"/>
  <c r="AH219" i="94" s="1"/>
  <c r="AH375" i="94" s="1"/>
  <c r="AL253" i="94"/>
  <c r="AL219" i="94" s="1"/>
  <c r="AL392" i="94" s="1"/>
  <c r="Z256" i="94"/>
  <c r="AD256" i="94"/>
  <c r="AD222" i="94" s="1"/>
  <c r="AD378" i="94" s="1"/>
  <c r="AH256" i="94"/>
  <c r="AH222" i="94" s="1"/>
  <c r="AH378" i="94" s="1"/>
  <c r="AM256" i="94"/>
  <c r="AM222" i="94" s="1"/>
  <c r="AN121" i="94"/>
  <c r="AN122" i="94"/>
  <c r="AB244" i="94"/>
  <c r="AJ244" i="94"/>
  <c r="Y245" i="94"/>
  <c r="AG245" i="94"/>
  <c r="AG211" i="94" s="1"/>
  <c r="AG367" i="94" s="1"/>
  <c r="AO118" i="94"/>
  <c r="F246" i="94"/>
  <c r="J246" i="94"/>
  <c r="N246" i="94"/>
  <c r="R246" i="94"/>
  <c r="Y253" i="94"/>
  <c r="AC253" i="94"/>
  <c r="AC219" i="94" s="1"/>
  <c r="AC375" i="94" s="1"/>
  <c r="AG253" i="94"/>
  <c r="AG219" i="94" s="1"/>
  <c r="AG375" i="94" s="1"/>
  <c r="AK253" i="94"/>
  <c r="AK219" i="94" s="1"/>
  <c r="AK392" i="94" s="1"/>
  <c r="AO253" i="94"/>
  <c r="AO219" i="94" s="1"/>
  <c r="AO123" i="94"/>
  <c r="AC256" i="94"/>
  <c r="AC222" i="94" s="1"/>
  <c r="AG256" i="94"/>
  <c r="AG222" i="94" s="1"/>
  <c r="AG378" i="94" s="1"/>
  <c r="AN117" i="94"/>
  <c r="AF244" i="94"/>
  <c r="AN246" i="94"/>
  <c r="AK245" i="94"/>
  <c r="AK211" i="94" s="1"/>
  <c r="AK384" i="94" s="1"/>
  <c r="Z244" i="94"/>
  <c r="AD244" i="94"/>
  <c r="AH244" i="94"/>
  <c r="AL244" i="94"/>
  <c r="T246" i="94"/>
  <c r="Z246" i="94"/>
  <c r="AD246" i="94"/>
  <c r="AH246" i="94"/>
  <c r="AL246" i="94"/>
  <c r="AA256" i="94"/>
  <c r="AE256" i="94"/>
  <c r="AE222" i="94" s="1"/>
  <c r="AI256" i="94"/>
  <c r="AI222" i="94" s="1"/>
  <c r="AI378" i="94" s="1"/>
  <c r="AN256" i="94"/>
  <c r="AN222" i="94" s="1"/>
  <c r="AN126" i="94"/>
  <c r="AN124" i="94"/>
  <c r="X246" i="94"/>
  <c r="Q245" i="94"/>
  <c r="AL256" i="94"/>
  <c r="AL222" i="94" s="1"/>
  <c r="AL395" i="94" s="1"/>
  <c r="AA244" i="94"/>
  <c r="AE244" i="94"/>
  <c r="AI244" i="94"/>
  <c r="AM244" i="94"/>
  <c r="D245" i="94"/>
  <c r="H245" i="94"/>
  <c r="L245" i="94"/>
  <c r="P245" i="94"/>
  <c r="X245" i="94"/>
  <c r="AB245" i="94"/>
  <c r="AF245" i="94"/>
  <c r="AF211" i="94" s="1"/>
  <c r="AF367" i="94" s="1"/>
  <c r="AJ245" i="94"/>
  <c r="AJ211" i="94" s="1"/>
  <c r="AJ367" i="94" s="1"/>
  <c r="AN245" i="94"/>
  <c r="AN211" i="94" s="1"/>
  <c r="AN118" i="94"/>
  <c r="E246" i="94"/>
  <c r="M246" i="94"/>
  <c r="W246" i="94"/>
  <c r="AA246" i="94"/>
  <c r="AE246" i="94"/>
  <c r="AI246" i="94"/>
  <c r="AM246" i="94"/>
  <c r="X253" i="94"/>
  <c r="AF253" i="94"/>
  <c r="AF219" i="94" s="1"/>
  <c r="AF375" i="94" s="1"/>
  <c r="AJ253" i="94"/>
  <c r="AJ219" i="94" s="1"/>
  <c r="AJ375" i="94" s="1"/>
  <c r="AN253" i="94"/>
  <c r="AN219" i="94" s="1"/>
  <c r="AN123" i="94"/>
  <c r="AB256" i="94"/>
  <c r="AF256" i="94"/>
  <c r="AF222" i="94" s="1"/>
  <c r="AF378" i="94" s="1"/>
  <c r="AK256" i="94"/>
  <c r="AK222" i="94" s="1"/>
  <c r="AK395" i="94" s="1"/>
  <c r="AO256" i="94"/>
  <c r="AO222" i="94" s="1"/>
  <c r="AF324" i="94"/>
  <c r="AF206" i="94"/>
  <c r="Q246" i="94"/>
  <c r="AC245" i="94"/>
  <c r="AC211" i="94" s="1"/>
  <c r="AC367" i="94" s="1"/>
  <c r="AB253" i="94"/>
  <c r="AE167" i="94"/>
  <c r="AJ351" i="94"/>
  <c r="AM352" i="94"/>
  <c r="AC354" i="94"/>
  <c r="AF355" i="94"/>
  <c r="AC289" i="94"/>
  <c r="AD347" i="94"/>
  <c r="AH347" i="94"/>
  <c r="AL347" i="94"/>
  <c r="AC348" i="94"/>
  <c r="AG348" i="94"/>
  <c r="AE206" i="94"/>
  <c r="AC347" i="94"/>
  <c r="AK347" i="94"/>
  <c r="AF348" i="94"/>
  <c r="AK348" i="94"/>
  <c r="AO348" i="94"/>
  <c r="AF349" i="94"/>
  <c r="AJ349" i="94"/>
  <c r="AN349" i="94"/>
  <c r="AE350" i="94"/>
  <c r="AI350" i="94"/>
  <c r="AM350" i="94"/>
  <c r="AD351" i="94"/>
  <c r="AH351" i="94"/>
  <c r="AL351" i="94"/>
  <c r="AC352" i="94"/>
  <c r="AG352" i="94"/>
  <c r="AK352" i="94"/>
  <c r="AO352" i="94"/>
  <c r="AF353" i="94"/>
  <c r="AJ353" i="94"/>
  <c r="AN353" i="94"/>
  <c r="AE354" i="94"/>
  <c r="AM354" i="94"/>
  <c r="AD355" i="94"/>
  <c r="AH355" i="94"/>
  <c r="AL355" i="94"/>
  <c r="AC356" i="94"/>
  <c r="AG356" i="94"/>
  <c r="AK356" i="94"/>
  <c r="AF357" i="94"/>
  <c r="AN357" i="94"/>
  <c r="AI349" i="94"/>
  <c r="AD350" i="94"/>
  <c r="AL350" i="94"/>
  <c r="AO351" i="94"/>
  <c r="AJ352" i="94"/>
  <c r="AE353" i="94"/>
  <c r="AH354" i="94"/>
  <c r="AC355" i="94"/>
  <c r="AK355" i="94"/>
  <c r="AO355" i="94"/>
  <c r="AG347" i="94"/>
  <c r="AO347" i="94"/>
  <c r="AJ348" i="94"/>
  <c r="AE349" i="94"/>
  <c r="AM349" i="94"/>
  <c r="AH350" i="94"/>
  <c r="AC351" i="94"/>
  <c r="AK351" i="94"/>
  <c r="AF352" i="94"/>
  <c r="AN352" i="94"/>
  <c r="AI353" i="94"/>
  <c r="AD354" i="94"/>
  <c r="AL354" i="94"/>
  <c r="AG355" i="94"/>
  <c r="AN356" i="94"/>
  <c r="AE357" i="94"/>
  <c r="AE347" i="94"/>
  <c r="AI347" i="94"/>
  <c r="AM347" i="94"/>
  <c r="AD348" i="94"/>
  <c r="AH348" i="94"/>
  <c r="AL348" i="94"/>
  <c r="AC349" i="94"/>
  <c r="AG349" i="94"/>
  <c r="AK349" i="94"/>
  <c r="AO349" i="94"/>
  <c r="AF350" i="94"/>
  <c r="AJ350" i="94"/>
  <c r="AN350" i="94"/>
  <c r="AE351" i="94"/>
  <c r="AI351" i="94"/>
  <c r="AM351" i="94"/>
  <c r="AD352" i="94"/>
  <c r="AL359" i="94"/>
  <c r="AE348" i="94"/>
  <c r="AI348" i="94"/>
  <c r="AM348" i="94"/>
  <c r="AD349" i="94"/>
  <c r="AH349" i="94"/>
  <c r="AL349" i="94"/>
  <c r="AC350" i="94"/>
  <c r="AG350" i="94"/>
  <c r="AK350" i="94"/>
  <c r="AO350" i="94"/>
  <c r="AF351" i="94"/>
  <c r="AN351" i="94"/>
  <c r="AI352" i="94"/>
  <c r="AD353" i="94"/>
  <c r="AL353" i="94"/>
  <c r="AG354" i="94"/>
  <c r="AO354" i="94"/>
  <c r="AJ355" i="94"/>
  <c r="AI359" i="94"/>
  <c r="AM359" i="94"/>
  <c r="AD359" i="94"/>
  <c r="AF356" i="94"/>
  <c r="AJ356" i="94"/>
  <c r="AI357" i="94"/>
  <c r="AM357" i="94"/>
  <c r="AH359" i="94"/>
  <c r="AJ347" i="94"/>
  <c r="AH352" i="94"/>
  <c r="AL352" i="94"/>
  <c r="AC353" i="94"/>
  <c r="AG353" i="94"/>
  <c r="AK353" i="94"/>
  <c r="AO353" i="94"/>
  <c r="AF354" i="94"/>
  <c r="AJ354" i="94"/>
  <c r="AN354" i="94"/>
  <c r="AE355" i="94"/>
  <c r="AI355" i="94"/>
  <c r="AM355" i="94"/>
  <c r="AD356" i="94"/>
  <c r="AC357" i="94"/>
  <c r="AG357" i="94"/>
  <c r="AJ359" i="94"/>
  <c r="AN359" i="94"/>
  <c r="AF347" i="94"/>
  <c r="AN347" i="94"/>
  <c r="AL356" i="94"/>
  <c r="AN355" i="94"/>
  <c r="AE356" i="94"/>
  <c r="AI356" i="94"/>
  <c r="AM356" i="94"/>
  <c r="AD357" i="94"/>
  <c r="AH357" i="94"/>
  <c r="AL357" i="94"/>
  <c r="AG359" i="94"/>
  <c r="AK359" i="94"/>
  <c r="AO359" i="94"/>
  <c r="AK357" i="94"/>
  <c r="AP526" i="111" l="1"/>
  <c r="AN525" i="111"/>
  <c r="AS527" i="111"/>
  <c r="AT526" i="111"/>
  <c r="I226" i="112"/>
  <c r="Y428" i="111"/>
  <c r="X428" i="111"/>
  <c r="N226" i="112"/>
  <c r="R226" i="112"/>
  <c r="K226" i="112"/>
  <c r="C226" i="112"/>
  <c r="O226" i="112"/>
  <c r="K428" i="111"/>
  <c r="D226" i="112"/>
  <c r="J226" i="112"/>
  <c r="P226" i="112"/>
  <c r="J428" i="111"/>
  <c r="Q226" i="112"/>
  <c r="W428" i="111"/>
  <c r="V429" i="111"/>
  <c r="B183" i="112"/>
  <c r="I238" i="112"/>
  <c r="Q438" i="111" s="1"/>
  <c r="E226" i="112"/>
  <c r="AR429" i="111"/>
  <c r="AQ429" i="111"/>
  <c r="M428" i="111"/>
  <c r="H226" i="112"/>
  <c r="F226" i="112"/>
  <c r="P183" i="112"/>
  <c r="P177" i="112"/>
  <c r="P197" i="112" s="1"/>
  <c r="O428" i="111"/>
  <c r="F183" i="112"/>
  <c r="F177" i="112"/>
  <c r="F197" i="112" s="1"/>
  <c r="Q183" i="112"/>
  <c r="Q177" i="112"/>
  <c r="Q197" i="112" s="1"/>
  <c r="G226" i="112"/>
  <c r="G183" i="112"/>
  <c r="G177" i="112"/>
  <c r="G197" i="112" s="1"/>
  <c r="O183" i="112"/>
  <c r="O177" i="112"/>
  <c r="O197" i="112" s="1"/>
  <c r="AO527" i="111"/>
  <c r="H233" i="112"/>
  <c r="D183" i="112"/>
  <c r="K183" i="112"/>
  <c r="K177" i="112"/>
  <c r="K197" i="112" s="1"/>
  <c r="M183" i="112"/>
  <c r="M177" i="112"/>
  <c r="M197" i="112" s="1"/>
  <c r="AH429" i="111"/>
  <c r="R233" i="112"/>
  <c r="R234" i="112"/>
  <c r="Q233" i="112"/>
  <c r="J183" i="112"/>
  <c r="J177" i="112"/>
  <c r="J197" i="112" s="1"/>
  <c r="E183" i="112"/>
  <c r="N183" i="112"/>
  <c r="N177" i="112"/>
  <c r="N197" i="112" s="1"/>
  <c r="L234" i="112"/>
  <c r="K233" i="112"/>
  <c r="P233" i="112"/>
  <c r="Q234" i="112"/>
  <c r="P234" i="112"/>
  <c r="I234" i="112"/>
  <c r="I233" i="112"/>
  <c r="J234" i="112"/>
  <c r="C183" i="112"/>
  <c r="AR525" i="111"/>
  <c r="P428" i="111"/>
  <c r="H183" i="112"/>
  <c r="H177" i="112"/>
  <c r="H197" i="112" s="1"/>
  <c r="E233" i="112"/>
  <c r="F234" i="112"/>
  <c r="H234" i="112"/>
  <c r="G233" i="112"/>
  <c r="F233" i="112"/>
  <c r="G234" i="112"/>
  <c r="D233" i="112"/>
  <c r="E234" i="112"/>
  <c r="C233" i="112"/>
  <c r="D234" i="112"/>
  <c r="O233" i="112"/>
  <c r="O234" i="112"/>
  <c r="N233" i="112"/>
  <c r="M234" i="112"/>
  <c r="M233" i="112"/>
  <c r="N234" i="112"/>
  <c r="AD386" i="94"/>
  <c r="L183" i="112"/>
  <c r="L177" i="112"/>
  <c r="L197" i="112" s="1"/>
  <c r="AG429" i="111"/>
  <c r="Q428" i="111"/>
  <c r="I183" i="112"/>
  <c r="I177" i="112"/>
  <c r="I197" i="112" s="1"/>
  <c r="C234" i="112"/>
  <c r="L233" i="112"/>
  <c r="J233" i="112"/>
  <c r="K234" i="112"/>
  <c r="AJ429" i="111"/>
  <c r="AI429" i="111"/>
  <c r="AP429" i="111"/>
  <c r="Z429" i="111"/>
  <c r="AK429" i="111"/>
  <c r="AN429" i="111"/>
  <c r="AM429" i="111"/>
  <c r="AD429" i="111"/>
  <c r="AO429" i="111"/>
  <c r="R429" i="111"/>
  <c r="AF429" i="111"/>
  <c r="AE429" i="111"/>
  <c r="AL429" i="111"/>
  <c r="AU526" i="111"/>
  <c r="AT524" i="111"/>
  <c r="AQ524" i="111"/>
  <c r="AR527" i="111"/>
  <c r="AQ525" i="111"/>
  <c r="AV429" i="111"/>
  <c r="AZ429" i="111"/>
  <c r="AU429" i="111"/>
  <c r="AY429" i="111"/>
  <c r="AT429" i="111"/>
  <c r="AX429" i="111"/>
  <c r="L226" i="112"/>
  <c r="T428" i="111"/>
  <c r="AQ526" i="111"/>
  <c r="AS524" i="111"/>
  <c r="AP524" i="111"/>
  <c r="AM524" i="111"/>
  <c r="AM525" i="111"/>
  <c r="M226" i="112"/>
  <c r="AS429" i="111"/>
  <c r="AW429" i="111"/>
  <c r="AV526" i="111"/>
  <c r="AW526" i="111"/>
  <c r="AM527" i="111"/>
  <c r="AP520" i="111"/>
  <c r="AV524" i="111"/>
  <c r="AW524" i="111"/>
  <c r="AN524" i="111"/>
  <c r="AU524" i="111"/>
  <c r="AO526" i="111"/>
  <c r="AP527" i="111"/>
  <c r="AV525" i="111"/>
  <c r="AW525" i="111"/>
  <c r="AV527" i="111"/>
  <c r="AW527" i="111"/>
  <c r="AU525" i="111"/>
  <c r="AQ527" i="111"/>
  <c r="AN527" i="111"/>
  <c r="AR526" i="111"/>
  <c r="AS525" i="111"/>
  <c r="AT525" i="111"/>
  <c r="AR524" i="111"/>
  <c r="AO524" i="111"/>
  <c r="AS526" i="111"/>
  <c r="AT527" i="111"/>
  <c r="AO525" i="111"/>
  <c r="AU527" i="111"/>
  <c r="AP525" i="111"/>
  <c r="AL520" i="111"/>
  <c r="AT520" i="111"/>
  <c r="AN395" i="94"/>
  <c r="AO378" i="94"/>
  <c r="AM369" i="94"/>
  <c r="AO368" i="94"/>
  <c r="AM371" i="94"/>
  <c r="AO375" i="94"/>
  <c r="AM395" i="94"/>
  <c r="AO371" i="94"/>
  <c r="AO369" i="94"/>
  <c r="AN392" i="94"/>
  <c r="AN384" i="94"/>
  <c r="AL386" i="94"/>
  <c r="AH386" i="94"/>
  <c r="AI369" i="94"/>
  <c r="AF369" i="94"/>
  <c r="AH388" i="94"/>
  <c r="AJ386" i="94"/>
  <c r="AN369" i="94"/>
  <c r="AE371" i="94"/>
  <c r="AC369" i="94"/>
  <c r="AG371" i="94"/>
  <c r="AM455" i="94"/>
  <c r="AK453" i="94"/>
  <c r="AH453" i="94"/>
  <c r="AG455" i="94"/>
  <c r="AE453" i="94"/>
  <c r="AL455" i="94"/>
  <c r="AM456" i="94"/>
  <c r="AH454" i="94"/>
  <c r="AN456" i="94"/>
  <c r="AI454" i="94"/>
  <c r="AI455" i="94"/>
  <c r="AG453" i="94"/>
  <c r="AN453" i="94"/>
  <c r="AH455" i="94"/>
  <c r="AI456" i="94"/>
  <c r="AO454" i="94"/>
  <c r="AO456" i="94"/>
  <c r="AN454" i="94"/>
  <c r="AJ456" i="94"/>
  <c r="AE454" i="94"/>
  <c r="AN455" i="94"/>
  <c r="AE455" i="94"/>
  <c r="AO455" i="94"/>
  <c r="AM453" i="94"/>
  <c r="AJ453" i="94"/>
  <c r="AE456" i="94"/>
  <c r="AL456" i="94"/>
  <c r="AK454" i="94"/>
  <c r="AK456" i="94"/>
  <c r="AJ454" i="94"/>
  <c r="AF456" i="94"/>
  <c r="AJ455" i="94"/>
  <c r="AO453" i="94"/>
  <c r="AL453" i="94"/>
  <c r="AK455" i="94"/>
  <c r="AI453" i="94"/>
  <c r="AF453" i="94"/>
  <c r="AL454" i="94"/>
  <c r="AH456" i="94"/>
  <c r="AG454" i="94"/>
  <c r="AG456" i="94"/>
  <c r="AF454" i="94"/>
  <c r="AM454" i="94"/>
  <c r="AC378" i="94"/>
  <c r="AD371" i="94"/>
  <c r="AN366" i="94"/>
  <c r="AN386" i="94"/>
  <c r="AL369" i="94"/>
  <c r="AC371" i="94"/>
  <c r="AK388" i="94"/>
  <c r="AG386" i="94"/>
  <c r="AI371" i="94"/>
  <c r="AL371" i="94"/>
  <c r="AN371" i="94"/>
  <c r="AJ371" i="94"/>
  <c r="AL441" i="94"/>
  <c r="AO343" i="94"/>
  <c r="AM386" i="94"/>
  <c r="AM388" i="94"/>
  <c r="AK369" i="94"/>
  <c r="AF371" i="94"/>
  <c r="AK371" i="94"/>
  <c r="AL388" i="94"/>
  <c r="AN388" i="94"/>
  <c r="AE369" i="94"/>
  <c r="AK386" i="94"/>
  <c r="AN383" i="94"/>
  <c r="AI212" i="94"/>
  <c r="AI368" i="94" s="1"/>
  <c r="AM210" i="94"/>
  <c r="AD210" i="94"/>
  <c r="AD366" i="94" s="1"/>
  <c r="AF210" i="94"/>
  <c r="AF366" i="94" s="1"/>
  <c r="AG212" i="94"/>
  <c r="AG368" i="94" s="1"/>
  <c r="AI210" i="94"/>
  <c r="AI366" i="94" s="1"/>
  <c r="AL212" i="94"/>
  <c r="AL385" i="94" s="1"/>
  <c r="AC212" i="94"/>
  <c r="AC368" i="94" s="1"/>
  <c r="AO210" i="94"/>
  <c r="AJ212" i="94"/>
  <c r="AJ368" i="94" s="1"/>
  <c r="AE210" i="94"/>
  <c r="AE366" i="94" s="1"/>
  <c r="AH212" i="94"/>
  <c r="AH368" i="94" s="1"/>
  <c r="AL210" i="94"/>
  <c r="AL383" i="94" s="1"/>
  <c r="AJ210" i="94"/>
  <c r="AJ366" i="94" s="1"/>
  <c r="AK210" i="94"/>
  <c r="AK383" i="94" s="1"/>
  <c r="AE212" i="94"/>
  <c r="AE368" i="94" s="1"/>
  <c r="AM212" i="94"/>
  <c r="AD212" i="94"/>
  <c r="AD368" i="94" s="1"/>
  <c r="AH210" i="94"/>
  <c r="AH366" i="94" s="1"/>
  <c r="AN212" i="94"/>
  <c r="AK212" i="94"/>
  <c r="AK385" i="94" s="1"/>
  <c r="AG210" i="94"/>
  <c r="AG366" i="94" s="1"/>
  <c r="AH441" i="94"/>
  <c r="AF212" i="94"/>
  <c r="AF368" i="94" s="1"/>
  <c r="AO441" i="94"/>
  <c r="AC441" i="94"/>
  <c r="AK441" i="94"/>
  <c r="AD441" i="94"/>
  <c r="AH384" i="94"/>
  <c r="AH395" i="94"/>
  <c r="AJ392" i="94"/>
  <c r="AD395" i="94"/>
  <c r="AF392" i="94"/>
  <c r="AE392" i="94"/>
  <c r="AE384" i="94"/>
  <c r="AI441" i="94"/>
  <c r="AE441" i="94"/>
  <c r="AG441" i="94"/>
  <c r="AN441" i="94"/>
  <c r="AM441" i="94"/>
  <c r="AJ441" i="94"/>
  <c r="AI395" i="94"/>
  <c r="AG392" i="94"/>
  <c r="AG384" i="94"/>
  <c r="AE378" i="94"/>
  <c r="AK343" i="94"/>
  <c r="AD392" i="94"/>
  <c r="AD384" i="94"/>
  <c r="AC392" i="94"/>
  <c r="AC384" i="94"/>
  <c r="AF384" i="94"/>
  <c r="AG395" i="94"/>
  <c r="AH392" i="94"/>
  <c r="AJ395" i="94"/>
  <c r="AJ384" i="94"/>
  <c r="AI392" i="94"/>
  <c r="AI384" i="94"/>
  <c r="AF326" i="94"/>
  <c r="AF343" i="94" s="1"/>
  <c r="AF395" i="94"/>
  <c r="AC395" i="94"/>
  <c r="AH293" i="94"/>
  <c r="AE395" i="94"/>
  <c r="AD343" i="94"/>
  <c r="AO384" i="94"/>
  <c r="AI343" i="94"/>
  <c r="AH343" i="94"/>
  <c r="AN343" i="94"/>
  <c r="AE343" i="94"/>
  <c r="AJ343" i="94"/>
  <c r="AC343" i="94"/>
  <c r="AM343" i="94"/>
  <c r="AL343" i="94"/>
  <c r="AF308" i="94"/>
  <c r="AK308" i="94"/>
  <c r="AI308" i="94"/>
  <c r="AH308" i="94"/>
  <c r="AG308" i="94"/>
  <c r="AD308" i="94"/>
  <c r="AN308" i="94"/>
  <c r="AL308" i="94"/>
  <c r="AD293" i="94"/>
  <c r="AJ308" i="94"/>
  <c r="AO308" i="94"/>
  <c r="AM308" i="94"/>
  <c r="AK378" i="94"/>
  <c r="AN375" i="94"/>
  <c r="AN367" i="94"/>
  <c r="AL378" i="94"/>
  <c r="AL367" i="94"/>
  <c r="AN378" i="94"/>
  <c r="AK367" i="94"/>
  <c r="AK375" i="94"/>
  <c r="AM378" i="94"/>
  <c r="AL375" i="94"/>
  <c r="AF293" i="94"/>
  <c r="AC291" i="94"/>
  <c r="AO391" i="94"/>
  <c r="AO393" i="94"/>
  <c r="AO387" i="94"/>
  <c r="AO389" i="94"/>
  <c r="AO390" i="94"/>
  <c r="AC210" i="94"/>
  <c r="P257" i="94"/>
  <c r="L412" i="94"/>
  <c r="L411" i="94"/>
  <c r="G410" i="94"/>
  <c r="O412" i="94"/>
  <c r="AK414" i="94"/>
  <c r="AG414" i="94"/>
  <c r="AC414" i="94"/>
  <c r="H412" i="94"/>
  <c r="H411" i="94"/>
  <c r="C412" i="94"/>
  <c r="C411" i="94"/>
  <c r="O410" i="94"/>
  <c r="Y414" i="94"/>
  <c r="L410" i="94"/>
  <c r="J410" i="94"/>
  <c r="F412" i="94"/>
  <c r="D412" i="94"/>
  <c r="O411" i="94"/>
  <c r="R412" i="94"/>
  <c r="R410" i="94"/>
  <c r="Q410" i="94"/>
  <c r="D411" i="94"/>
  <c r="R411" i="94"/>
  <c r="Q412" i="94"/>
  <c r="F411" i="94"/>
  <c r="Q411" i="94"/>
  <c r="AM414" i="94"/>
  <c r="AI414" i="94"/>
  <c r="AE414" i="94"/>
  <c r="AA414" i="94"/>
  <c r="W414" i="94"/>
  <c r="S414" i="94"/>
  <c r="G412" i="94"/>
  <c r="K410" i="94"/>
  <c r="AL414" i="94"/>
  <c r="AH414" i="94"/>
  <c r="AD414" i="94"/>
  <c r="Z414" i="94"/>
  <c r="V414" i="94"/>
  <c r="J412" i="94"/>
  <c r="J411" i="94"/>
  <c r="N410" i="94"/>
  <c r="I412" i="94"/>
  <c r="I411" i="94"/>
  <c r="M410" i="94"/>
  <c r="P412" i="94"/>
  <c r="P411" i="94"/>
  <c r="P410" i="94"/>
  <c r="H410" i="94"/>
  <c r="C413" i="94"/>
  <c r="F413" i="94"/>
  <c r="U414" i="94"/>
  <c r="E412" i="94"/>
  <c r="I410" i="94"/>
  <c r="E413" i="94"/>
  <c r="K412" i="94"/>
  <c r="K411" i="94"/>
  <c r="G413" i="94"/>
  <c r="N412" i="94"/>
  <c r="N411" i="94"/>
  <c r="AO414" i="94"/>
  <c r="M412" i="94"/>
  <c r="M411" i="94"/>
  <c r="E410" i="94"/>
  <c r="AN414" i="94"/>
  <c r="AJ414" i="94"/>
  <c r="AF414" i="94"/>
  <c r="AB414" i="94"/>
  <c r="X414" i="94"/>
  <c r="T414" i="94"/>
  <c r="D413" i="94"/>
  <c r="AO303" i="94"/>
  <c r="AI330" i="94"/>
  <c r="AC336" i="94"/>
  <c r="AH334" i="94"/>
  <c r="AO339" i="94"/>
  <c r="AM333" i="94"/>
  <c r="AE334" i="94"/>
  <c r="AJ332" i="94"/>
  <c r="AG331" i="94"/>
  <c r="AN336" i="94"/>
  <c r="AK331" i="94"/>
  <c r="AL334" i="94"/>
  <c r="AD330" i="94"/>
  <c r="AD305" i="94"/>
  <c r="AI298" i="94"/>
  <c r="AG307" i="94"/>
  <c r="AH298" i="94"/>
  <c r="AN298" i="94"/>
  <c r="AK305" i="94"/>
  <c r="AJ295" i="94"/>
  <c r="AL295" i="94"/>
  <c r="AM302" i="94"/>
  <c r="AF307" i="94"/>
  <c r="AE359" i="94"/>
  <c r="AF438" i="94"/>
  <c r="S257" i="94"/>
  <c r="O257" i="94"/>
  <c r="T257" i="94"/>
  <c r="G257" i="94"/>
  <c r="G263" i="94" s="1"/>
  <c r="AH340" i="94"/>
  <c r="AJ305" i="94"/>
  <c r="AH336" i="94"/>
  <c r="AJ301" i="94"/>
  <c r="AE339" i="94"/>
  <c r="AM338" i="94"/>
  <c r="AO342" i="94"/>
  <c r="AM339" i="94"/>
  <c r="AM335" i="94"/>
  <c r="AE338" i="94"/>
  <c r="AF297" i="94"/>
  <c r="AH331" i="94"/>
  <c r="AJ338" i="94"/>
  <c r="AH335" i="94"/>
  <c r="AI339" i="94"/>
  <c r="AH304" i="94"/>
  <c r="AD340" i="94"/>
  <c r="AG340" i="94"/>
  <c r="AL340" i="94"/>
  <c r="AF305" i="94"/>
  <c r="AH337" i="94"/>
  <c r="AJ300" i="94"/>
  <c r="AJ297" i="94"/>
  <c r="X257" i="94"/>
  <c r="AG300" i="94"/>
  <c r="AH307" i="94"/>
  <c r="AK303" i="94"/>
  <c r="AJ302" i="94"/>
  <c r="AJ296" i="94"/>
  <c r="AD335" i="94"/>
  <c r="AO299" i="94"/>
  <c r="AH339" i="94"/>
  <c r="AK336" i="94"/>
  <c r="AL342" i="94"/>
  <c r="AO304" i="94"/>
  <c r="AO296" i="94"/>
  <c r="AJ304" i="94"/>
  <c r="AF296" i="94"/>
  <c r="AO300" i="94"/>
  <c r="AH338" i="94"/>
  <c r="AN300" i="94"/>
  <c r="AG342" i="94"/>
  <c r="AN305" i="94"/>
  <c r="AK304" i="94"/>
  <c r="AN297" i="94"/>
  <c r="AK296" i="94"/>
  <c r="AK299" i="94"/>
  <c r="AF298" i="94"/>
  <c r="AJ299" i="94"/>
  <c r="AK337" i="94"/>
  <c r="AO340" i="94"/>
  <c r="AG336" i="94"/>
  <c r="AK302" i="94"/>
  <c r="AK342" i="94"/>
  <c r="AG337" i="94"/>
  <c r="AK340" i="94"/>
  <c r="AN301" i="94"/>
  <c r="AN296" i="94"/>
  <c r="U264" i="94"/>
  <c r="U269" i="94"/>
  <c r="U271" i="94"/>
  <c r="U270" i="94"/>
  <c r="U266" i="94"/>
  <c r="U268" i="94"/>
  <c r="U265" i="94"/>
  <c r="AC337" i="94"/>
  <c r="AC340" i="94"/>
  <c r="AI338" i="94"/>
  <c r="AD342" i="94"/>
  <c r="AO337" i="94"/>
  <c r="AL336" i="94"/>
  <c r="AI335" i="94"/>
  <c r="AJ342" i="94"/>
  <c r="AL339" i="94"/>
  <c r="AJ337" i="94"/>
  <c r="AO336" i="94"/>
  <c r="AL335" i="94"/>
  <c r="AG304" i="94"/>
  <c r="AK300" i="94"/>
  <c r="AM298" i="94"/>
  <c r="AG296" i="94"/>
  <c r="AI334" i="94"/>
  <c r="AK332" i="94"/>
  <c r="AL331" i="94"/>
  <c r="AD331" i="94"/>
  <c r="AK338" i="94"/>
  <c r="AN304" i="94"/>
  <c r="AF300" i="94"/>
  <c r="AG299" i="94"/>
  <c r="AL338" i="94"/>
  <c r="AD338" i="94"/>
  <c r="AH301" i="94"/>
  <c r="AF295" i="94"/>
  <c r="AF299" i="94"/>
  <c r="AD336" i="94"/>
  <c r="AD339" i="94"/>
  <c r="AI342" i="94"/>
  <c r="AH303" i="94"/>
  <c r="AF301" i="94"/>
  <c r="AH295" i="94"/>
  <c r="AM330" i="94"/>
  <c r="AF304" i="94"/>
  <c r="AD334" i="94"/>
  <c r="AH296" i="94"/>
  <c r="AG295" i="94"/>
  <c r="AC359" i="94"/>
  <c r="AF303" i="94"/>
  <c r="AH299" i="94"/>
  <c r="AG303" i="94"/>
  <c r="AH302" i="94"/>
  <c r="AG301" i="94"/>
  <c r="AM295" i="94"/>
  <c r="AM301" i="94"/>
  <c r="AM307" i="94"/>
  <c r="AG298" i="94"/>
  <c r="AN338" i="94"/>
  <c r="AN337" i="94"/>
  <c r="AN339" i="94"/>
  <c r="AC334" i="94"/>
  <c r="AC333" i="94"/>
  <c r="AL304" i="94"/>
  <c r="AL296" i="94"/>
  <c r="AL299" i="94"/>
  <c r="AE340" i="94"/>
  <c r="AE332" i="94"/>
  <c r="AE331" i="94"/>
  <c r="AE335" i="94"/>
  <c r="AD307" i="94"/>
  <c r="AE336" i="94"/>
  <c r="AM299" i="94"/>
  <c r="AM305" i="94"/>
  <c r="AD302" i="94"/>
  <c r="AJ340" i="94"/>
  <c r="AK339" i="94"/>
  <c r="AC339" i="94"/>
  <c r="AM337" i="94"/>
  <c r="AK335" i="94"/>
  <c r="AC335" i="94"/>
  <c r="AE333" i="94"/>
  <c r="AO331" i="94"/>
  <c r="AM303" i="94"/>
  <c r="AK301" i="94"/>
  <c r="AC342" i="94"/>
  <c r="AC331" i="94"/>
  <c r="AD337" i="94"/>
  <c r="AD333" i="94"/>
  <c r="AD361" i="94"/>
  <c r="AD332" i="94"/>
  <c r="AM304" i="94"/>
  <c r="AM300" i="94"/>
  <c r="AD297" i="94"/>
  <c r="AN302" i="94"/>
  <c r="AN307" i="94"/>
  <c r="AN303" i="94"/>
  <c r="AF359" i="94"/>
  <c r="AH257" i="94"/>
  <c r="Z257" i="94"/>
  <c r="U267" i="94"/>
  <c r="AN127" i="94"/>
  <c r="AJ257" i="94"/>
  <c r="AJ270" i="94" s="1"/>
  <c r="M257" i="94"/>
  <c r="E257" i="94"/>
  <c r="E261" i="94" s="1"/>
  <c r="AN361" i="94"/>
  <c r="AN335" i="94"/>
  <c r="AN331" i="94"/>
  <c r="AN330" i="94"/>
  <c r="AN334" i="94"/>
  <c r="AD304" i="94"/>
  <c r="AD296" i="94"/>
  <c r="AD303" i="94"/>
  <c r="AN333" i="94"/>
  <c r="AC332" i="94"/>
  <c r="AI361" i="94"/>
  <c r="AI336" i="94"/>
  <c r="AI332" i="94"/>
  <c r="AI337" i="94"/>
  <c r="AI331" i="94"/>
  <c r="AC330" i="94"/>
  <c r="AI303" i="94"/>
  <c r="AI295" i="94"/>
  <c r="AI305" i="94"/>
  <c r="AL302" i="94"/>
  <c r="AI297" i="94"/>
  <c r="AL300" i="94"/>
  <c r="AE342" i="94"/>
  <c r="AH361" i="94"/>
  <c r="AH342" i="94"/>
  <c r="AH333" i="94"/>
  <c r="AH332" i="94"/>
  <c r="AI304" i="94"/>
  <c r="AM296" i="94"/>
  <c r="AL297" i="94"/>
  <c r="AI257" i="94"/>
  <c r="AA257" i="94"/>
  <c r="U262" i="94"/>
  <c r="AO127" i="94"/>
  <c r="AK257" i="94"/>
  <c r="N257" i="94"/>
  <c r="N273" i="94" s="1"/>
  <c r="F257" i="94"/>
  <c r="F273" i="94" s="1"/>
  <c r="V257" i="94"/>
  <c r="D257" i="94"/>
  <c r="D263" i="94" s="1"/>
  <c r="AO361" i="94"/>
  <c r="AO338" i="94"/>
  <c r="AO334" i="94"/>
  <c r="AO330" i="94"/>
  <c r="AO333" i="94"/>
  <c r="AJ361" i="94"/>
  <c r="AJ339" i="94"/>
  <c r="AJ331" i="94"/>
  <c r="AJ334" i="94"/>
  <c r="AJ330" i="94"/>
  <c r="AD299" i="94"/>
  <c r="AM361" i="94"/>
  <c r="AM340" i="94"/>
  <c r="AM332" i="94"/>
  <c r="AM331" i="94"/>
  <c r="AL307" i="94"/>
  <c r="AC338" i="94"/>
  <c r="AM336" i="94"/>
  <c r="AJ335" i="94"/>
  <c r="AI301" i="94"/>
  <c r="AD298" i="94"/>
  <c r="AN340" i="94"/>
  <c r="AG339" i="94"/>
  <c r="AE337" i="94"/>
  <c r="AJ336" i="94"/>
  <c r="AO335" i="94"/>
  <c r="AG335" i="94"/>
  <c r="AI333" i="94"/>
  <c r="AN332" i="94"/>
  <c r="AD300" i="94"/>
  <c r="AK297" i="94"/>
  <c r="AK307" i="94"/>
  <c r="AO305" i="94"/>
  <c r="AO297" i="94"/>
  <c r="AO307" i="94"/>
  <c r="AO298" i="94"/>
  <c r="AK295" i="94"/>
  <c r="AL361" i="94"/>
  <c r="AL337" i="94"/>
  <c r="AL333" i="94"/>
  <c r="AL332" i="94"/>
  <c r="AH330" i="94"/>
  <c r="AL305" i="94"/>
  <c r="AO302" i="94"/>
  <c r="AL301" i="94"/>
  <c r="AI300" i="94"/>
  <c r="AH300" i="94"/>
  <c r="AJ307" i="94"/>
  <c r="AJ298" i="94"/>
  <c r="AI296" i="94"/>
  <c r="U261" i="94"/>
  <c r="AL257" i="94"/>
  <c r="AD257" i="94"/>
  <c r="AF257" i="94"/>
  <c r="Y257" i="94"/>
  <c r="Y263" i="94" s="1"/>
  <c r="AO257" i="94"/>
  <c r="AC257" i="94"/>
  <c r="U263" i="94"/>
  <c r="Q257" i="94"/>
  <c r="I257" i="94"/>
  <c r="U273" i="94"/>
  <c r="L257" i="94"/>
  <c r="W257" i="94"/>
  <c r="AN342" i="94"/>
  <c r="AI340" i="94"/>
  <c r="AG338" i="94"/>
  <c r="AG334" i="94"/>
  <c r="AG330" i="94"/>
  <c r="AG333" i="94"/>
  <c r="AG361" i="94"/>
  <c r="AI307" i="94"/>
  <c r="AL303" i="94"/>
  <c r="AI302" i="94"/>
  <c r="AD295" i="94"/>
  <c r="AM334" i="94"/>
  <c r="AJ333" i="94"/>
  <c r="AO332" i="94"/>
  <c r="AG332" i="94"/>
  <c r="AE330" i="94"/>
  <c r="AK361" i="94"/>
  <c r="AK334" i="94"/>
  <c r="AK330" i="94"/>
  <c r="AK333" i="94"/>
  <c r="AM342" i="94"/>
  <c r="AL298" i="94"/>
  <c r="AM297" i="94"/>
  <c r="AO301" i="94"/>
  <c r="AI299" i="94"/>
  <c r="AO295" i="94"/>
  <c r="AG305" i="94"/>
  <c r="AG297" i="94"/>
  <c r="AL330" i="94"/>
  <c r="AH305" i="94"/>
  <c r="AJ303" i="94"/>
  <c r="AG302" i="94"/>
  <c r="AD301" i="94"/>
  <c r="AN299" i="94"/>
  <c r="AK298" i="94"/>
  <c r="AH297" i="94"/>
  <c r="AN295" i="94"/>
  <c r="AF302" i="94"/>
  <c r="AM257" i="94"/>
  <c r="AE257" i="94"/>
  <c r="AB257" i="94"/>
  <c r="AN257" i="94"/>
  <c r="AG257" i="94"/>
  <c r="R257" i="94"/>
  <c r="J257" i="94"/>
  <c r="C257" i="94"/>
  <c r="H257" i="94"/>
  <c r="K257" i="94"/>
  <c r="AB429" i="111" l="1"/>
  <c r="Y429" i="111"/>
  <c r="S429" i="111"/>
  <c r="N429" i="111"/>
  <c r="AA429" i="111"/>
  <c r="P429" i="111"/>
  <c r="AC429" i="111"/>
  <c r="W429" i="111"/>
  <c r="O429" i="111"/>
  <c r="Q429" i="111"/>
  <c r="U429" i="111"/>
  <c r="T429" i="111"/>
  <c r="X429" i="111"/>
  <c r="AQ513" i="111"/>
  <c r="AV513" i="111"/>
  <c r="AQ516" i="111"/>
  <c r="AV518" i="111"/>
  <c r="AM510" i="111"/>
  <c r="AN513" i="111"/>
  <c r="AO388" i="94"/>
  <c r="AM517" i="111"/>
  <c r="AN517" i="111"/>
  <c r="AS517" i="111"/>
  <c r="AP516" i="111"/>
  <c r="AS516" i="111"/>
  <c r="AQ518" i="111"/>
  <c r="AU518" i="111"/>
  <c r="AQ519" i="111"/>
  <c r="AV519" i="111"/>
  <c r="AP519" i="111"/>
  <c r="AU516" i="111"/>
  <c r="AP518" i="111"/>
  <c r="AU519" i="111"/>
  <c r="AT519" i="111"/>
  <c r="AL516" i="111"/>
  <c r="AO516" i="111"/>
  <c r="AT518" i="111"/>
  <c r="AS519" i="111"/>
  <c r="AT513" i="111"/>
  <c r="AP513" i="111"/>
  <c r="AS513" i="111"/>
  <c r="AN519" i="111"/>
  <c r="AO519" i="111"/>
  <c r="AM516" i="111"/>
  <c r="AR518" i="111"/>
  <c r="AV516" i="111"/>
  <c r="AM519" i="111"/>
  <c r="AL517" i="111"/>
  <c r="AU517" i="111"/>
  <c r="AV517" i="111"/>
  <c r="AO518" i="111"/>
  <c r="AN516" i="111"/>
  <c r="AP517" i="111"/>
  <c r="AO517" i="111"/>
  <c r="AS518" i="111"/>
  <c r="AN518" i="111"/>
  <c r="AR516" i="111"/>
  <c r="AL513" i="111"/>
  <c r="AR519" i="111"/>
  <c r="AU513" i="111"/>
  <c r="AR513" i="111"/>
  <c r="AO513" i="111"/>
  <c r="AT517" i="111"/>
  <c r="AQ517" i="111"/>
  <c r="AR517" i="111"/>
  <c r="AL519" i="111"/>
  <c r="AT516" i="111"/>
  <c r="AL518" i="111"/>
  <c r="AO385" i="94"/>
  <c r="AO386" i="94"/>
  <c r="AO395" i="94"/>
  <c r="AO392" i="94"/>
  <c r="AM385" i="94"/>
  <c r="AM383" i="94"/>
  <c r="AN385" i="94"/>
  <c r="AO366" i="94"/>
  <c r="P263" i="94"/>
  <c r="AJ447" i="94"/>
  <c r="P264" i="94"/>
  <c r="AM366" i="94"/>
  <c r="AM368" i="94"/>
  <c r="P262" i="94"/>
  <c r="AF455" i="94"/>
  <c r="AI449" i="94"/>
  <c r="AI458" i="94"/>
  <c r="AL449" i="94"/>
  <c r="AL458" i="94"/>
  <c r="AN449" i="94"/>
  <c r="AN458" i="94"/>
  <c r="AK449" i="94"/>
  <c r="AK458" i="94"/>
  <c r="AH449" i="94"/>
  <c r="AH458" i="94"/>
  <c r="AG449" i="94"/>
  <c r="AG458" i="94"/>
  <c r="AM449" i="94"/>
  <c r="AM458" i="94"/>
  <c r="AD449" i="94"/>
  <c r="AD458" i="94"/>
  <c r="AJ449" i="94"/>
  <c r="AJ458" i="94"/>
  <c r="AE449" i="94"/>
  <c r="AE458" i="94"/>
  <c r="AO449" i="94"/>
  <c r="AO458" i="94"/>
  <c r="AC449" i="94"/>
  <c r="AC458" i="94"/>
  <c r="AL368" i="94"/>
  <c r="AM447" i="94"/>
  <c r="AN223" i="94"/>
  <c r="AN379" i="94" s="1"/>
  <c r="AK368" i="94"/>
  <c r="AN368" i="94"/>
  <c r="AH385" i="94"/>
  <c r="AE383" i="94"/>
  <c r="AI383" i="94"/>
  <c r="AI385" i="94"/>
  <c r="AL445" i="94"/>
  <c r="AD383" i="94"/>
  <c r="AF383" i="94"/>
  <c r="AJ383" i="94"/>
  <c r="AD385" i="94"/>
  <c r="AF385" i="94"/>
  <c r="AG385" i="94"/>
  <c r="P271" i="94"/>
  <c r="P265" i="94"/>
  <c r="P261" i="94"/>
  <c r="AI223" i="94"/>
  <c r="AI379" i="94" s="1"/>
  <c r="AI396" i="94" s="1"/>
  <c r="AK366" i="94"/>
  <c r="P267" i="94"/>
  <c r="P270" i="94"/>
  <c r="P266" i="94"/>
  <c r="AL223" i="94"/>
  <c r="AL379" i="94" s="1"/>
  <c r="AL396" i="94" s="1"/>
  <c r="AL366" i="94"/>
  <c r="AC385" i="94"/>
  <c r="P269" i="94"/>
  <c r="P268" i="94"/>
  <c r="P273" i="94"/>
  <c r="AM223" i="94"/>
  <c r="AM379" i="94" s="1"/>
  <c r="AK223" i="94"/>
  <c r="AK379" i="94" s="1"/>
  <c r="AK396" i="94" s="1"/>
  <c r="AJ385" i="94"/>
  <c r="AE385" i="94"/>
  <c r="AG383" i="94"/>
  <c r="AH383" i="94"/>
  <c r="AL344" i="94"/>
  <c r="AF441" i="94"/>
  <c r="AM513" i="111" s="1"/>
  <c r="AG344" i="94"/>
  <c r="AE344" i="94"/>
  <c r="AH344" i="94"/>
  <c r="AC366" i="94"/>
  <c r="AC383" i="94"/>
  <c r="AK309" i="94"/>
  <c r="AJ344" i="94"/>
  <c r="AN344" i="94"/>
  <c r="AC344" i="94"/>
  <c r="AO344" i="94"/>
  <c r="AM344" i="94"/>
  <c r="AD344" i="94"/>
  <c r="AI344" i="94"/>
  <c r="AK344" i="94"/>
  <c r="AN309" i="94"/>
  <c r="AD309" i="94"/>
  <c r="AI309" i="94"/>
  <c r="AM309" i="94"/>
  <c r="AH309" i="94"/>
  <c r="AE308" i="94"/>
  <c r="AO309" i="94"/>
  <c r="AL309" i="94"/>
  <c r="AJ309" i="94"/>
  <c r="AG309" i="94"/>
  <c r="AF309" i="94"/>
  <c r="AC308" i="94"/>
  <c r="AE293" i="94"/>
  <c r="AC293" i="94"/>
  <c r="AJ223" i="94"/>
  <c r="AJ379" i="94" s="1"/>
  <c r="AJ396" i="94" s="1"/>
  <c r="AO223" i="94"/>
  <c r="AE223" i="94"/>
  <c r="AE379" i="94" s="1"/>
  <c r="AE396" i="94" s="1"/>
  <c r="AF332" i="94"/>
  <c r="AG223" i="94"/>
  <c r="AG379" i="94" s="1"/>
  <c r="AG396" i="94" s="1"/>
  <c r="AH223" i="94"/>
  <c r="AH379" i="94" s="1"/>
  <c r="AH396" i="94" s="1"/>
  <c r="AD223" i="94"/>
  <c r="AD379" i="94" s="1"/>
  <c r="AD396" i="94" s="1"/>
  <c r="AC223" i="94"/>
  <c r="AF223" i="94"/>
  <c r="AF379" i="94" s="1"/>
  <c r="AF396" i="94" s="1"/>
  <c r="AF331" i="94"/>
  <c r="O414" i="94"/>
  <c r="L414" i="94"/>
  <c r="F414" i="94"/>
  <c r="G414" i="94"/>
  <c r="H414" i="94"/>
  <c r="Q414" i="94"/>
  <c r="C414" i="94"/>
  <c r="R414" i="94"/>
  <c r="D414" i="94"/>
  <c r="I414" i="94"/>
  <c r="N414" i="94"/>
  <c r="K414" i="94"/>
  <c r="J414" i="94"/>
  <c r="E414" i="94"/>
  <c r="M414" i="94"/>
  <c r="P414" i="94"/>
  <c r="AF337" i="94"/>
  <c r="AF334" i="94"/>
  <c r="AF361" i="94"/>
  <c r="AF340" i="94"/>
  <c r="AF333" i="94"/>
  <c r="AF338" i="94"/>
  <c r="AF330" i="94"/>
  <c r="AF335" i="94"/>
  <c r="AF336" i="94"/>
  <c r="AF339" i="94"/>
  <c r="AF342" i="94"/>
  <c r="AJ446" i="94"/>
  <c r="S263" i="94"/>
  <c r="S262" i="94"/>
  <c r="S271" i="94"/>
  <c r="S265" i="94"/>
  <c r="S269" i="94"/>
  <c r="S261" i="94"/>
  <c r="S273" i="94"/>
  <c r="S267" i="94"/>
  <c r="S264" i="94"/>
  <c r="G268" i="94"/>
  <c r="G262" i="94"/>
  <c r="T262" i="94"/>
  <c r="G267" i="94"/>
  <c r="T265" i="94"/>
  <c r="G273" i="94"/>
  <c r="AE303" i="94"/>
  <c r="AC302" i="94"/>
  <c r="T270" i="94"/>
  <c r="T268" i="94"/>
  <c r="T264" i="94"/>
  <c r="G269" i="94"/>
  <c r="G261" i="94"/>
  <c r="G265" i="94"/>
  <c r="G264" i="94"/>
  <c r="G270" i="94"/>
  <c r="N262" i="94"/>
  <c r="T273" i="94"/>
  <c r="G266" i="94"/>
  <c r="G271" i="94"/>
  <c r="AJ448" i="94"/>
  <c r="AJ445" i="94"/>
  <c r="AM445" i="94"/>
  <c r="O262" i="94"/>
  <c r="X264" i="94"/>
  <c r="O263" i="94"/>
  <c r="S268" i="94"/>
  <c r="AC445" i="94"/>
  <c r="AK445" i="94"/>
  <c r="AG447" i="94"/>
  <c r="AN447" i="94"/>
  <c r="AH447" i="94"/>
  <c r="AO445" i="94"/>
  <c r="AD446" i="94"/>
  <c r="AD448" i="94"/>
  <c r="AG448" i="94"/>
  <c r="AG446" i="94"/>
  <c r="AM448" i="94"/>
  <c r="AM446" i="94"/>
  <c r="AK447" i="94"/>
  <c r="AN445" i="94"/>
  <c r="AG445" i="94"/>
  <c r="AH448" i="94"/>
  <c r="AH446" i="94"/>
  <c r="AD447" i="94"/>
  <c r="AE447" i="94"/>
  <c r="AC448" i="94"/>
  <c r="AC446" i="94"/>
  <c r="AL446" i="94"/>
  <c r="AL448" i="94"/>
  <c r="AI448" i="94"/>
  <c r="AI446" i="94"/>
  <c r="AI447" i="94"/>
  <c r="AC447" i="94"/>
  <c r="AE446" i="94"/>
  <c r="AE448" i="94"/>
  <c r="AD445" i="94"/>
  <c r="AE445" i="94"/>
  <c r="AK448" i="94"/>
  <c r="AK446" i="94"/>
  <c r="AN446" i="94"/>
  <c r="AN448" i="94"/>
  <c r="AO448" i="94"/>
  <c r="AO446" i="94"/>
  <c r="AI445" i="94"/>
  <c r="AO447" i="94"/>
  <c r="AL447" i="94"/>
  <c r="AH445" i="94"/>
  <c r="AC307" i="94"/>
  <c r="AC361" i="94"/>
  <c r="AC296" i="94"/>
  <c r="AC295" i="94"/>
  <c r="AC305" i="94"/>
  <c r="AC303" i="94"/>
  <c r="T269" i="94"/>
  <c r="AC297" i="94"/>
  <c r="AC298" i="94"/>
  <c r="AC299" i="94"/>
  <c r="AC301" i="94"/>
  <c r="AC300" i="94"/>
  <c r="AC304" i="94"/>
  <c r="Y273" i="94"/>
  <c r="AE295" i="94"/>
  <c r="O261" i="94"/>
  <c r="O267" i="94"/>
  <c r="AA261" i="94"/>
  <c r="X271" i="94"/>
  <c r="O270" i="94"/>
  <c r="X265" i="94"/>
  <c r="O269" i="94"/>
  <c r="X262" i="94"/>
  <c r="O273" i="94"/>
  <c r="O271" i="94"/>
  <c r="O265" i="94"/>
  <c r="X261" i="94"/>
  <c r="X270" i="94"/>
  <c r="T261" i="94"/>
  <c r="O266" i="94"/>
  <c r="O264" i="94"/>
  <c r="T266" i="94"/>
  <c r="O268" i="94"/>
  <c r="X263" i="94"/>
  <c r="X273" i="94"/>
  <c r="K262" i="94"/>
  <c r="AB270" i="94"/>
  <c r="AE262" i="94"/>
  <c r="L263" i="94"/>
  <c r="Q261" i="94"/>
  <c r="AO261" i="94"/>
  <c r="N263" i="94"/>
  <c r="M261" i="94"/>
  <c r="T263" i="94"/>
  <c r="X269" i="94"/>
  <c r="S270" i="94"/>
  <c r="T267" i="94"/>
  <c r="AM261" i="94"/>
  <c r="AL261" i="94"/>
  <c r="AK261" i="94"/>
  <c r="Z273" i="94"/>
  <c r="R262" i="94"/>
  <c r="AL270" i="94"/>
  <c r="AI273" i="94"/>
  <c r="AJ261" i="94"/>
  <c r="AH273" i="94"/>
  <c r="S266" i="94"/>
  <c r="T271" i="94"/>
  <c r="J261" i="94"/>
  <c r="Y262" i="94"/>
  <c r="AG270" i="94"/>
  <c r="W262" i="94"/>
  <c r="I261" i="94"/>
  <c r="AC261" i="94"/>
  <c r="AF273" i="94"/>
  <c r="V273" i="94"/>
  <c r="Z263" i="94"/>
  <c r="Z262" i="94"/>
  <c r="AE299" i="94"/>
  <c r="AE300" i="94"/>
  <c r="AE301" i="94"/>
  <c r="AE361" i="94"/>
  <c r="AE302" i="94"/>
  <c r="AE307" i="94"/>
  <c r="AE296" i="94"/>
  <c r="AE297" i="94"/>
  <c r="AE298" i="94"/>
  <c r="AE304" i="94"/>
  <c r="AE305" i="94"/>
  <c r="X268" i="94"/>
  <c r="X266" i="94"/>
  <c r="AB261" i="94"/>
  <c r="AK270" i="94"/>
  <c r="AB273" i="94"/>
  <c r="X267" i="94"/>
  <c r="M273" i="94"/>
  <c r="M262" i="94"/>
  <c r="AK262" i="94"/>
  <c r="AK263" i="94"/>
  <c r="AK273" i="94"/>
  <c r="Z261" i="94"/>
  <c r="AC263" i="94"/>
  <c r="AF261" i="94"/>
  <c r="AH263" i="94"/>
  <c r="AI261" i="94"/>
  <c r="AH270" i="94"/>
  <c r="E262" i="94"/>
  <c r="AM273" i="94"/>
  <c r="AE261" i="94"/>
  <c r="R263" i="94"/>
  <c r="R265" i="94"/>
  <c r="AL263" i="94"/>
  <c r="AH261" i="94"/>
  <c r="AI262" i="94"/>
  <c r="R261" i="94"/>
  <c r="AL262" i="94"/>
  <c r="AL273" i="94"/>
  <c r="Y270" i="94"/>
  <c r="AH262" i="94"/>
  <c r="AD269" i="94"/>
  <c r="AD265" i="94"/>
  <c r="AD271" i="94"/>
  <c r="AD266" i="94"/>
  <c r="AD268" i="94"/>
  <c r="AD264" i="94"/>
  <c r="AD267" i="94"/>
  <c r="F270" i="94"/>
  <c r="F266" i="94"/>
  <c r="F265" i="94"/>
  <c r="F268" i="94"/>
  <c r="F267" i="94"/>
  <c r="F264" i="94"/>
  <c r="F269" i="94"/>
  <c r="F271" i="94"/>
  <c r="H271" i="94"/>
  <c r="H264" i="94"/>
  <c r="H268" i="94"/>
  <c r="H261" i="94"/>
  <c r="H270" i="94"/>
  <c r="H262" i="94"/>
  <c r="H269" i="94"/>
  <c r="H266" i="94"/>
  <c r="H265" i="94"/>
  <c r="H267" i="94"/>
  <c r="H273" i="94"/>
  <c r="J270" i="94"/>
  <c r="J271" i="94"/>
  <c r="J269" i="94"/>
  <c r="J268" i="94"/>
  <c r="J267" i="94"/>
  <c r="J265" i="94"/>
  <c r="J264" i="94"/>
  <c r="J266" i="94"/>
  <c r="AG261" i="94"/>
  <c r="AN268" i="94"/>
  <c r="AN264" i="94"/>
  <c r="AN271" i="94"/>
  <c r="AN261" i="94"/>
  <c r="AN269" i="94"/>
  <c r="AN266" i="94"/>
  <c r="AN265" i="94"/>
  <c r="AN267" i="94"/>
  <c r="F262" i="94"/>
  <c r="AC273" i="94"/>
  <c r="AD262" i="94"/>
  <c r="AE271" i="94"/>
  <c r="AE270" i="94"/>
  <c r="AE269" i="94"/>
  <c r="AE263" i="94"/>
  <c r="AE267" i="94"/>
  <c r="AE268" i="94"/>
  <c r="AE265" i="94"/>
  <c r="AE264" i="94"/>
  <c r="AE266" i="94"/>
  <c r="H263" i="94"/>
  <c r="L273" i="94"/>
  <c r="L267" i="94"/>
  <c r="L271" i="94"/>
  <c r="L268" i="94"/>
  <c r="L261" i="94"/>
  <c r="L270" i="94"/>
  <c r="L262" i="94"/>
  <c r="L269" i="94"/>
  <c r="L266" i="94"/>
  <c r="L264" i="94"/>
  <c r="L265" i="94"/>
  <c r="AD263" i="94"/>
  <c r="AG262" i="94"/>
  <c r="AD273" i="94"/>
  <c r="AF271" i="94"/>
  <c r="AF262" i="94"/>
  <c r="AF266" i="94"/>
  <c r="AF265" i="94"/>
  <c r="AF268" i="94"/>
  <c r="AF267" i="94"/>
  <c r="AF264" i="94"/>
  <c r="AF269" i="94"/>
  <c r="U274" i="94"/>
  <c r="V265" i="94"/>
  <c r="V269" i="94"/>
  <c r="V266" i="94"/>
  <c r="V268" i="94"/>
  <c r="V263" i="94"/>
  <c r="V264" i="94"/>
  <c r="V267" i="94"/>
  <c r="V261" i="94"/>
  <c r="V270" i="94"/>
  <c r="V262" i="94"/>
  <c r="V271" i="94"/>
  <c r="N261" i="94"/>
  <c r="AA267" i="94"/>
  <c r="AA266" i="94"/>
  <c r="AA269" i="94"/>
  <c r="AA271" i="94"/>
  <c r="AA263" i="94"/>
  <c r="AA268" i="94"/>
  <c r="AA264" i="94"/>
  <c r="AA265" i="94"/>
  <c r="AA270" i="94"/>
  <c r="AN270" i="94"/>
  <c r="Q273" i="94"/>
  <c r="M264" i="94"/>
  <c r="M269" i="94"/>
  <c r="M268" i="94"/>
  <c r="M270" i="94"/>
  <c r="M267" i="94"/>
  <c r="M266" i="94"/>
  <c r="M271" i="94"/>
  <c r="M263" i="94"/>
  <c r="M265" i="94"/>
  <c r="AC262" i="94"/>
  <c r="AG263" i="94"/>
  <c r="Z265" i="94"/>
  <c r="Z271" i="94"/>
  <c r="Z266" i="94"/>
  <c r="Z268" i="94"/>
  <c r="Z264" i="94"/>
  <c r="Z267" i="94"/>
  <c r="Z269" i="94"/>
  <c r="AA273" i="94"/>
  <c r="AJ263" i="94"/>
  <c r="AO267" i="94"/>
  <c r="AO266" i="94"/>
  <c r="AO271" i="94"/>
  <c r="AO265" i="94"/>
  <c r="AO264" i="94"/>
  <c r="AO269" i="94"/>
  <c r="AO268" i="94"/>
  <c r="AO262" i="94"/>
  <c r="D267" i="94"/>
  <c r="D270" i="94"/>
  <c r="D262" i="94"/>
  <c r="D268" i="94"/>
  <c r="D269" i="94"/>
  <c r="D266" i="94"/>
  <c r="D265" i="94"/>
  <c r="D273" i="94"/>
  <c r="D264" i="94"/>
  <c r="D261" i="94"/>
  <c r="D271" i="94"/>
  <c r="K271" i="94"/>
  <c r="K269" i="94"/>
  <c r="K266" i="94"/>
  <c r="K268" i="94"/>
  <c r="K273" i="94"/>
  <c r="K263" i="94"/>
  <c r="K264" i="94"/>
  <c r="K270" i="94"/>
  <c r="K267" i="94"/>
  <c r="K261" i="94"/>
  <c r="K265" i="94"/>
  <c r="R270" i="94"/>
  <c r="R268" i="94"/>
  <c r="R267" i="94"/>
  <c r="R264" i="94"/>
  <c r="R269" i="94"/>
  <c r="R271" i="94"/>
  <c r="R266" i="94"/>
  <c r="AB262" i="94"/>
  <c r="AB268" i="94"/>
  <c r="AB264" i="94"/>
  <c r="AB267" i="94"/>
  <c r="AB269" i="94"/>
  <c r="AB271" i="94"/>
  <c r="AB266" i="94"/>
  <c r="AB265" i="94"/>
  <c r="AC270" i="94"/>
  <c r="Q263" i="94"/>
  <c r="AM265" i="94"/>
  <c r="AM264" i="94"/>
  <c r="AM266" i="94"/>
  <c r="AM271" i="94"/>
  <c r="AM270" i="94"/>
  <c r="AM269" i="94"/>
  <c r="AM263" i="94"/>
  <c r="AM267" i="94"/>
  <c r="AM268" i="94"/>
  <c r="AD270" i="94"/>
  <c r="AG273" i="94"/>
  <c r="AD261" i="94"/>
  <c r="AE273" i="94"/>
  <c r="AF263" i="94"/>
  <c r="AM262" i="94"/>
  <c r="J273" i="94"/>
  <c r="F261" i="94"/>
  <c r="AO263" i="94"/>
  <c r="AI266" i="94"/>
  <c r="AI271" i="94"/>
  <c r="AI270" i="94"/>
  <c r="AI269" i="94"/>
  <c r="AI263" i="94"/>
  <c r="AI267" i="94"/>
  <c r="AI268" i="94"/>
  <c r="AI265" i="94"/>
  <c r="AI264" i="94"/>
  <c r="E269" i="94"/>
  <c r="E273" i="94"/>
  <c r="E263" i="94"/>
  <c r="E265" i="94"/>
  <c r="E270" i="94"/>
  <c r="E267" i="94"/>
  <c r="E264" i="94"/>
  <c r="E266" i="94"/>
  <c r="E271" i="94"/>
  <c r="E268" i="94"/>
  <c r="F263" i="94"/>
  <c r="Z270" i="94"/>
  <c r="AN262" i="94"/>
  <c r="AH268" i="94"/>
  <c r="AH267" i="94"/>
  <c r="AH264" i="94"/>
  <c r="AH265" i="94"/>
  <c r="AH271" i="94"/>
  <c r="AH266" i="94"/>
  <c r="AH269" i="94"/>
  <c r="AA262" i="94"/>
  <c r="AG269" i="94"/>
  <c r="AG265" i="94"/>
  <c r="AG264" i="94"/>
  <c r="AG267" i="94"/>
  <c r="AG266" i="94"/>
  <c r="AG271" i="94"/>
  <c r="AG268" i="94"/>
  <c r="I267" i="94"/>
  <c r="I264" i="94"/>
  <c r="I266" i="94"/>
  <c r="I271" i="94"/>
  <c r="I263" i="94"/>
  <c r="I262" i="94"/>
  <c r="I265" i="94"/>
  <c r="I269" i="94"/>
  <c r="I270" i="94"/>
  <c r="I268" i="94"/>
  <c r="C264" i="94"/>
  <c r="C267" i="94"/>
  <c r="C270" i="94"/>
  <c r="C273" i="94"/>
  <c r="C271" i="94"/>
  <c r="C265" i="94"/>
  <c r="C269" i="94"/>
  <c r="C268" i="94"/>
  <c r="C261" i="94"/>
  <c r="C263" i="94"/>
  <c r="C266" i="94"/>
  <c r="W271" i="94"/>
  <c r="W273" i="94"/>
  <c r="W267" i="94"/>
  <c r="W264" i="94"/>
  <c r="W266" i="94"/>
  <c r="W265" i="94"/>
  <c r="W270" i="94"/>
  <c r="W269" i="94"/>
  <c r="W263" i="94"/>
  <c r="W261" i="94"/>
  <c r="W268" i="94"/>
  <c r="Q269" i="94"/>
  <c r="Q268" i="94"/>
  <c r="Q264" i="94"/>
  <c r="Q270" i="94"/>
  <c r="Q267" i="94"/>
  <c r="Q266" i="94"/>
  <c r="Q271" i="94"/>
  <c r="Q265" i="94"/>
  <c r="AC268" i="94"/>
  <c r="AC264" i="94"/>
  <c r="AC267" i="94"/>
  <c r="AC266" i="94"/>
  <c r="AC265" i="94"/>
  <c r="AC271" i="94"/>
  <c r="AC269" i="94"/>
  <c r="Y269" i="94"/>
  <c r="Y267" i="94"/>
  <c r="Y266" i="94"/>
  <c r="Y265" i="94"/>
  <c r="Y271" i="94"/>
  <c r="Y268" i="94"/>
  <c r="Y261" i="94"/>
  <c r="Y264" i="94"/>
  <c r="AL265" i="94"/>
  <c r="AL264" i="94"/>
  <c r="AL268" i="94"/>
  <c r="AL269" i="94"/>
  <c r="AL267" i="94"/>
  <c r="AL266" i="94"/>
  <c r="AL271" i="94"/>
  <c r="AN273" i="94"/>
  <c r="AN263" i="94"/>
  <c r="AO273" i="94"/>
  <c r="R273" i="94"/>
  <c r="N269" i="94"/>
  <c r="N266" i="94"/>
  <c r="N265" i="94"/>
  <c r="N264" i="94"/>
  <c r="N270" i="94"/>
  <c r="N271" i="94"/>
  <c r="N268" i="94"/>
  <c r="N267" i="94"/>
  <c r="AK269" i="94"/>
  <c r="AK264" i="94"/>
  <c r="AK265" i="94"/>
  <c r="AK268" i="94"/>
  <c r="AK267" i="94"/>
  <c r="AK266" i="94"/>
  <c r="AK271" i="94"/>
  <c r="C262" i="94"/>
  <c r="J262" i="94"/>
  <c r="AO270" i="94"/>
  <c r="AF270" i="94"/>
  <c r="I273" i="94"/>
  <c r="J263" i="94"/>
  <c r="AJ267" i="94"/>
  <c r="AJ264" i="94"/>
  <c r="AJ269" i="94"/>
  <c r="AJ262" i="94"/>
  <c r="AJ266" i="94"/>
  <c r="AJ273" i="94"/>
  <c r="AJ265" i="94"/>
  <c r="AJ268" i="94"/>
  <c r="AJ271" i="94"/>
  <c r="AB263" i="94"/>
  <c r="Q262" i="94"/>
  <c r="AM529" i="111" l="1"/>
  <c r="AO529" i="111"/>
  <c r="AU529" i="111"/>
  <c r="AQ529" i="111"/>
  <c r="AM518" i="111"/>
  <c r="AR529" i="111"/>
  <c r="AN529" i="111"/>
  <c r="AV529" i="111"/>
  <c r="AW529" i="111"/>
  <c r="AV521" i="111"/>
  <c r="AQ521" i="111"/>
  <c r="AT521" i="111"/>
  <c r="AO521" i="111"/>
  <c r="AU521" i="111"/>
  <c r="AP521" i="111"/>
  <c r="AT529" i="111"/>
  <c r="AS529" i="111"/>
  <c r="AM526" i="111"/>
  <c r="AN526" i="111"/>
  <c r="AL521" i="111"/>
  <c r="AN521" i="111"/>
  <c r="AR521" i="111"/>
  <c r="AS521" i="111"/>
  <c r="AP529" i="111"/>
  <c r="AN396" i="94"/>
  <c r="AM396" i="94"/>
  <c r="AO383" i="94"/>
  <c r="AO379" i="94"/>
  <c r="P274" i="94"/>
  <c r="AF449" i="94"/>
  <c r="AF458" i="94"/>
  <c r="AC379" i="94"/>
  <c r="AC396" i="94" s="1"/>
  <c r="AF344" i="94"/>
  <c r="AE309" i="94"/>
  <c r="AC309" i="94"/>
  <c r="G274" i="94"/>
  <c r="T274" i="94"/>
  <c r="AK450" i="94"/>
  <c r="AN450" i="94"/>
  <c r="AM450" i="94"/>
  <c r="AD450" i="94"/>
  <c r="AF446" i="94"/>
  <c r="AF448" i="94"/>
  <c r="AF445" i="94"/>
  <c r="AI450" i="94"/>
  <c r="AF447" i="94"/>
  <c r="AE450" i="94"/>
  <c r="AH450" i="94"/>
  <c r="AG450" i="94"/>
  <c r="AL450" i="94"/>
  <c r="AJ450" i="94"/>
  <c r="AO450" i="94"/>
  <c r="S274" i="94"/>
  <c r="O274" i="94"/>
  <c r="X274" i="94"/>
  <c r="AJ274" i="94"/>
  <c r="Q274" i="94"/>
  <c r="AE274" i="94"/>
  <c r="AH274" i="94"/>
  <c r="M274" i="94"/>
  <c r="E274" i="94"/>
  <c r="I274" i="94"/>
  <c r="AI274" i="94"/>
  <c r="J274" i="94"/>
  <c r="R274" i="94"/>
  <c r="AK274" i="94"/>
  <c r="AM274" i="94"/>
  <c r="AO274" i="94"/>
  <c r="Z274" i="94"/>
  <c r="AC274" i="94"/>
  <c r="AL274" i="94"/>
  <c r="AA274" i="94"/>
  <c r="AB274" i="94"/>
  <c r="D274" i="94"/>
  <c r="AF274" i="94"/>
  <c r="C274" i="94"/>
  <c r="AG274" i="94"/>
  <c r="W274" i="94"/>
  <c r="F274" i="94"/>
  <c r="N274" i="94"/>
  <c r="V274" i="94"/>
  <c r="AN274" i="94"/>
  <c r="H274" i="94"/>
  <c r="Y274" i="94"/>
  <c r="AD274" i="94"/>
  <c r="L274" i="94"/>
  <c r="K274" i="94"/>
  <c r="AM521" i="111" l="1"/>
  <c r="AO396" i="94"/>
  <c r="AF450" i="94"/>
  <c r="AC450" i="94"/>
  <c r="AN70" i="8" l="1"/>
  <c r="AN60" i="8"/>
  <c r="AN50" i="8"/>
  <c r="AN34" i="8"/>
  <c r="AN29" i="8"/>
  <c r="AN18" i="8"/>
  <c r="AN8" i="8"/>
  <c r="AN100" i="2"/>
  <c r="AN95" i="2"/>
  <c r="AO92" i="2" s="1"/>
  <c r="AO93" i="2" s="1"/>
  <c r="AN80" i="2"/>
  <c r="AN60" i="2"/>
  <c r="AN30" i="2"/>
  <c r="AN4" i="2"/>
  <c r="AN3" i="2" s="1"/>
  <c r="AN194" i="8"/>
  <c r="AN172" i="8"/>
  <c r="AN174" i="8" s="1"/>
  <c r="AN43" i="2"/>
  <c r="AN104" i="4"/>
  <c r="AN98" i="4"/>
  <c r="AN97" i="4"/>
  <c r="AN96" i="4"/>
  <c r="AN95" i="4"/>
  <c r="AN15" i="2"/>
  <c r="AN77" i="4"/>
  <c r="AN75" i="4"/>
  <c r="AN48" i="2" s="1"/>
  <c r="AN74" i="4"/>
  <c r="AN41" i="2" s="1"/>
  <c r="AN73" i="4"/>
  <c r="AN70" i="4"/>
  <c r="AN8" i="2" s="1"/>
  <c r="AN69" i="4"/>
  <c r="AN6" i="2" s="1"/>
  <c r="AN68" i="4"/>
  <c r="AO137" i="4" s="1"/>
  <c r="AN66" i="4"/>
  <c r="AN52" i="4"/>
  <c r="AN50" i="4" s="1"/>
  <c r="AN48" i="4"/>
  <c r="AN47" i="4"/>
  <c r="AN45" i="4"/>
  <c r="AN311" i="112" s="1"/>
  <c r="AN43" i="4"/>
  <c r="AN42" i="4"/>
  <c r="AN41" i="4"/>
  <c r="AN40" i="4"/>
  <c r="AN27" i="4"/>
  <c r="AN26" i="4"/>
  <c r="AN25" i="4"/>
  <c r="AN17" i="4"/>
  <c r="AN14" i="4"/>
  <c r="AN15" i="4" s="1"/>
  <c r="AN5" i="4"/>
  <c r="AN160" i="2" s="1"/>
  <c r="AN4" i="4"/>
  <c r="AN3" i="4" s="1"/>
  <c r="AN149" i="8"/>
  <c r="AN141" i="8" l="1"/>
  <c r="AN7" i="8"/>
  <c r="AN116" i="2"/>
  <c r="AO111" i="2" s="1"/>
  <c r="AN123" i="112"/>
  <c r="AV495" i="111"/>
  <c r="AV500" i="111" s="1"/>
  <c r="AZ505" i="111" s="1"/>
  <c r="AN29" i="4"/>
  <c r="AN58" i="112"/>
  <c r="AV493" i="111"/>
  <c r="AN30" i="4"/>
  <c r="AN207" i="112"/>
  <c r="AV494" i="111"/>
  <c r="AV499" i="111" s="1"/>
  <c r="AZ504" i="111" s="1"/>
  <c r="AR6" i="4"/>
  <c r="AN245" i="112"/>
  <c r="AN20" i="2"/>
  <c r="AN9" i="4"/>
  <c r="AN31" i="4" s="1"/>
  <c r="BL97" i="4"/>
  <c r="BM97" i="4" s="1"/>
  <c r="BN97" i="4" s="1"/>
  <c r="BO97" i="4" s="1"/>
  <c r="BP97" i="4" s="1"/>
  <c r="BQ97" i="4" s="1"/>
  <c r="BR97" i="4" s="1"/>
  <c r="BS97" i="4" s="1"/>
  <c r="BT97" i="4" s="1"/>
  <c r="BU97" i="4" s="1"/>
  <c r="BV97" i="4" s="1"/>
  <c r="BW97" i="4" s="1"/>
  <c r="BX97" i="4" s="1"/>
  <c r="BY97" i="4" s="1"/>
  <c r="BZ97" i="4" s="1"/>
  <c r="CA97" i="4" s="1"/>
  <c r="CB97" i="4" s="1"/>
  <c r="CC97" i="4" s="1"/>
  <c r="CD97" i="4" s="1"/>
  <c r="CE97" i="4" s="1"/>
  <c r="CF97" i="4" s="1"/>
  <c r="CG97" i="4" s="1"/>
  <c r="CH97" i="4" s="1"/>
  <c r="CI97" i="4" s="1"/>
  <c r="CJ97" i="4" s="1"/>
  <c r="CK97" i="4" s="1"/>
  <c r="CL97" i="4" s="1"/>
  <c r="CM97" i="4" s="1"/>
  <c r="CN97" i="4" s="1"/>
  <c r="CO97" i="4" s="1"/>
  <c r="CP97" i="4" s="1"/>
  <c r="CQ97" i="4" s="1"/>
  <c r="CR97" i="4" s="1"/>
  <c r="CS97" i="4" s="1"/>
  <c r="CT97" i="4" s="1"/>
  <c r="CU97" i="4" s="1"/>
  <c r="CV97" i="4" s="1"/>
  <c r="CW97" i="4" s="1"/>
  <c r="BL96" i="4"/>
  <c r="BM96" i="4" s="1"/>
  <c r="BN96" i="4" s="1"/>
  <c r="BO96" i="4" s="1"/>
  <c r="BP96" i="4" s="1"/>
  <c r="BQ96" i="4" s="1"/>
  <c r="BR96" i="4" s="1"/>
  <c r="BS96" i="4" s="1"/>
  <c r="BT96" i="4" s="1"/>
  <c r="BU96" i="4" s="1"/>
  <c r="BV96" i="4" s="1"/>
  <c r="BW96" i="4" s="1"/>
  <c r="BX96" i="4" s="1"/>
  <c r="BY96" i="4" s="1"/>
  <c r="BZ96" i="4" s="1"/>
  <c r="CA96" i="4" s="1"/>
  <c r="CB96" i="4" s="1"/>
  <c r="CC96" i="4" s="1"/>
  <c r="CD96" i="4" s="1"/>
  <c r="CE96" i="4" s="1"/>
  <c r="CF96" i="4" s="1"/>
  <c r="CG96" i="4" s="1"/>
  <c r="CH96" i="4" s="1"/>
  <c r="CI96" i="4" s="1"/>
  <c r="CJ96" i="4" s="1"/>
  <c r="CK96" i="4" s="1"/>
  <c r="CL96" i="4" s="1"/>
  <c r="CM96" i="4" s="1"/>
  <c r="CN96" i="4" s="1"/>
  <c r="CO96" i="4" s="1"/>
  <c r="CP96" i="4" s="1"/>
  <c r="CQ96" i="4" s="1"/>
  <c r="CR96" i="4" s="1"/>
  <c r="CS96" i="4" s="1"/>
  <c r="CT96" i="4" s="1"/>
  <c r="CU96" i="4" s="1"/>
  <c r="CV96" i="4" s="1"/>
  <c r="CW96" i="4" s="1"/>
  <c r="AO76" i="2"/>
  <c r="AO77" i="2" s="1"/>
  <c r="AO94" i="2"/>
  <c r="AN55" i="8"/>
  <c r="AO479" i="94"/>
  <c r="AN45" i="8"/>
  <c r="AN65" i="8"/>
  <c r="AO33" i="2"/>
  <c r="AO137" i="8"/>
  <c r="AO121" i="8"/>
  <c r="AO126" i="8"/>
  <c r="AO132" i="8"/>
  <c r="AN16" i="2"/>
  <c r="AN264" i="8" s="1"/>
  <c r="AN13" i="8"/>
  <c r="AN99" i="4"/>
  <c r="AN98" i="2"/>
  <c r="AN78" i="8"/>
  <c r="AN231" i="8"/>
  <c r="AN321" i="8"/>
  <c r="AN208" i="8"/>
  <c r="AN253" i="8" s="1"/>
  <c r="AN269" i="8" s="1"/>
  <c r="AN23" i="8"/>
  <c r="AN26" i="2"/>
  <c r="AN9" i="2"/>
  <c r="AN259" i="8" s="1"/>
  <c r="AN63" i="2"/>
  <c r="AN78" i="2" s="1"/>
  <c r="AN78" i="4"/>
  <c r="AN101" i="2"/>
  <c r="AN108" i="2"/>
  <c r="AO105" i="2" s="1"/>
  <c r="AN64" i="8"/>
  <c r="AN69" i="8"/>
  <c r="AN17" i="8"/>
  <c r="AN28" i="8"/>
  <c r="AN44" i="8"/>
  <c r="AN54" i="8"/>
  <c r="AN12" i="8"/>
  <c r="AN22" i="8"/>
  <c r="AN33" i="8"/>
  <c r="AN49" i="8"/>
  <c r="AN59" i="8"/>
  <c r="AN81" i="2"/>
  <c r="AN148" i="8"/>
  <c r="AN173" i="8"/>
  <c r="AN193" i="8"/>
  <c r="AN11" i="8"/>
  <c r="AN16" i="8"/>
  <c r="AN21" i="8"/>
  <c r="AN27" i="8"/>
  <c r="AN32" i="8"/>
  <c r="AN43" i="8"/>
  <c r="AN48" i="8"/>
  <c r="AN53" i="8"/>
  <c r="AN58" i="8"/>
  <c r="AN63" i="8"/>
  <c r="AN68" i="8"/>
  <c r="AN125" i="2"/>
  <c r="AN97" i="2"/>
  <c r="AN60" i="4"/>
  <c r="AN67" i="2" l="1"/>
  <c r="AO61" i="2" s="1"/>
  <c r="AN66" i="112"/>
  <c r="AN21" i="2"/>
  <c r="AN209" i="112"/>
  <c r="AR210" i="112" s="1"/>
  <c r="AN244" i="8"/>
  <c r="AN125" i="112"/>
  <c r="AN239" i="8" s="1"/>
  <c r="AN242" i="8" s="1"/>
  <c r="AN238" i="8"/>
  <c r="AN60" i="112"/>
  <c r="AR61" i="112" s="1"/>
  <c r="AN232" i="8"/>
  <c r="AV498" i="111"/>
  <c r="AZ503" i="111" s="1"/>
  <c r="S54" i="27"/>
  <c r="S55" i="27"/>
  <c r="AN241" i="112"/>
  <c r="AN238" i="112"/>
  <c r="AN247" i="112"/>
  <c r="AN267" i="112"/>
  <c r="AN284" i="112"/>
  <c r="AN288" i="112"/>
  <c r="AN296" i="112"/>
  <c r="AN309" i="112"/>
  <c r="AV454" i="111"/>
  <c r="AR246" i="112"/>
  <c r="AS178" i="8"/>
  <c r="AN17" i="2"/>
  <c r="AN165" i="2"/>
  <c r="AN7" i="2"/>
  <c r="AO107" i="2"/>
  <c r="AO106" i="2"/>
  <c r="AO115" i="2"/>
  <c r="AO112" i="2"/>
  <c r="AO329" i="8" s="1"/>
  <c r="AO134" i="8"/>
  <c r="AO133" i="8"/>
  <c r="AN28" i="2"/>
  <c r="AO27" i="2"/>
  <c r="AO139" i="8"/>
  <c r="AO138" i="8"/>
  <c r="AO123" i="8"/>
  <c r="AO122" i="8"/>
  <c r="AO128" i="8"/>
  <c r="AO127" i="8"/>
  <c r="AN10" i="2"/>
  <c r="AN100" i="4"/>
  <c r="AN109" i="2"/>
  <c r="AN117" i="2"/>
  <c r="AN119" i="2"/>
  <c r="AN120" i="2" s="1"/>
  <c r="AN260" i="8"/>
  <c r="AN261" i="8"/>
  <c r="AN262" i="8"/>
  <c r="AN265" i="8"/>
  <c r="AN267" i="8"/>
  <c r="AN266" i="8"/>
  <c r="AV542" i="111" l="1"/>
  <c r="AN245" i="8"/>
  <c r="AN248" i="8" s="1"/>
  <c r="AN241" i="8"/>
  <c r="AR126" i="112"/>
  <c r="AN240" i="8"/>
  <c r="AN285" i="112"/>
  <c r="AN209" i="8" s="1"/>
  <c r="AN254" i="8"/>
  <c r="AN256" i="8" s="1"/>
  <c r="AV465" i="111"/>
  <c r="AV448" i="111"/>
  <c r="T55" i="27"/>
  <c r="T54" i="27"/>
  <c r="AR242" i="112"/>
  <c r="AV563" i="111"/>
  <c r="AV481" i="111"/>
  <c r="AV438" i="111"/>
  <c r="AR239" i="112"/>
  <c r="AZ456" i="111"/>
  <c r="AN297" i="112"/>
  <c r="AN302" i="112"/>
  <c r="AN251" i="8"/>
  <c r="AS179" i="8"/>
  <c r="AS180" i="8"/>
  <c r="AO123" i="2"/>
  <c r="AN246" i="8" l="1"/>
  <c r="AN247" i="8"/>
  <c r="AN210" i="8"/>
  <c r="AN211" i="8"/>
  <c r="AN212" i="8"/>
  <c r="AN257" i="8"/>
  <c r="AN255" i="8"/>
  <c r="U54" i="27"/>
  <c r="U55" i="27"/>
  <c r="AN303" i="112"/>
  <c r="AZ439" i="111"/>
  <c r="AO110" i="8"/>
  <c r="AO115" i="8"/>
  <c r="V55" i="27" l="1"/>
  <c r="V54" i="27"/>
  <c r="AO112" i="8"/>
  <c r="AO111" i="8"/>
  <c r="AO117" i="8"/>
  <c r="AO116" i="8"/>
  <c r="W54" i="27" l="1"/>
  <c r="W55" i="27"/>
  <c r="AN71" i="4"/>
  <c r="AN11" i="2" s="1"/>
  <c r="AN12" i="2" s="1"/>
  <c r="AO63" i="58"/>
  <c r="AO64" i="58"/>
  <c r="AO65" i="58"/>
  <c r="X55" i="27" l="1"/>
  <c r="X54" i="27"/>
  <c r="AN33" i="4"/>
  <c r="AN32" i="4"/>
  <c r="AN72" i="4"/>
  <c r="AN79" i="4" s="1"/>
  <c r="AO462" i="94"/>
  <c r="AO39" i="94"/>
  <c r="AO66" i="58"/>
  <c r="AO67" i="58" s="1"/>
  <c r="Y54" i="27" l="1"/>
  <c r="Y55" i="27"/>
  <c r="AO469" i="94"/>
  <c r="AO46" i="94"/>
  <c r="AO49" i="94"/>
  <c r="AO48" i="94"/>
  <c r="AO45" i="94"/>
  <c r="AO47" i="94"/>
  <c r="AO44" i="94"/>
  <c r="AO43" i="94"/>
  <c r="AO50" i="94"/>
  <c r="B9" i="4"/>
  <c r="Z55" i="27" l="1"/>
  <c r="Z54" i="27"/>
  <c r="AO51" i="94"/>
  <c r="B61" i="11"/>
  <c r="B90" i="11" s="1"/>
  <c r="C61" i="11"/>
  <c r="C90" i="11" s="1"/>
  <c r="C178" i="11" s="1"/>
  <c r="D61" i="11"/>
  <c r="D90" i="11" s="1"/>
  <c r="D178" i="11" s="1"/>
  <c r="E61" i="11"/>
  <c r="E90" i="11" s="1"/>
  <c r="E178" i="11" s="1"/>
  <c r="F61" i="11"/>
  <c r="F90" i="11" s="1"/>
  <c r="F178" i="11" s="1"/>
  <c r="G61" i="11"/>
  <c r="G90" i="11" s="1"/>
  <c r="G178" i="11" s="1"/>
  <c r="H61" i="11"/>
  <c r="H90" i="11" s="1"/>
  <c r="H178" i="11" s="1"/>
  <c r="I61" i="11"/>
  <c r="I90" i="11" s="1"/>
  <c r="I178" i="11" s="1"/>
  <c r="B22" i="11" l="1"/>
  <c r="C41" i="11"/>
  <c r="C64" i="111" s="1"/>
  <c r="C38" i="11"/>
  <c r="C61" i="111" s="1"/>
  <c r="C67" i="111" s="1"/>
  <c r="D41" i="11"/>
  <c r="D64" i="111" s="1"/>
  <c r="D38" i="11"/>
  <c r="D61" i="111" s="1"/>
  <c r="E41" i="11"/>
  <c r="E64" i="111" s="1"/>
  <c r="E38" i="11"/>
  <c r="E61" i="111" s="1"/>
  <c r="F41" i="11"/>
  <c r="F64" i="111" s="1"/>
  <c r="F38" i="11"/>
  <c r="F61" i="111" s="1"/>
  <c r="G38" i="11"/>
  <c r="G61" i="111" s="1"/>
  <c r="H38" i="11"/>
  <c r="H61" i="111" s="1"/>
  <c r="I38" i="11"/>
  <c r="I61" i="111" s="1"/>
  <c r="I13" i="11"/>
  <c r="I13" i="111" s="1"/>
  <c r="H13" i="11"/>
  <c r="H13" i="111" s="1"/>
  <c r="G13" i="11"/>
  <c r="G13" i="111" s="1"/>
  <c r="F13" i="11"/>
  <c r="F13" i="111" s="1"/>
  <c r="E13" i="11"/>
  <c r="E13" i="111" s="1"/>
  <c r="D13" i="11"/>
  <c r="D13" i="111" s="1"/>
  <c r="C13" i="11"/>
  <c r="C13" i="111" s="1"/>
  <c r="B13" i="11"/>
  <c r="B13" i="111" s="1"/>
  <c r="C9" i="11"/>
  <c r="C12" i="111" s="1"/>
  <c r="I9" i="11"/>
  <c r="I12" i="111" s="1"/>
  <c r="H9" i="11"/>
  <c r="H12" i="111" s="1"/>
  <c r="G9" i="11"/>
  <c r="G12" i="111" s="1"/>
  <c r="F9" i="11"/>
  <c r="F12" i="111" s="1"/>
  <c r="E9" i="11"/>
  <c r="E12" i="111" s="1"/>
  <c r="D9" i="11"/>
  <c r="D12" i="111" s="1"/>
  <c r="B9" i="11"/>
  <c r="B12" i="111" s="1"/>
  <c r="I7" i="11"/>
  <c r="H7" i="11"/>
  <c r="G7" i="11"/>
  <c r="F7" i="11"/>
  <c r="E7" i="11"/>
  <c r="D7" i="11"/>
  <c r="C7" i="11"/>
  <c r="B7" i="11"/>
  <c r="I8" i="11"/>
  <c r="I9" i="46" s="1"/>
  <c r="H8" i="11"/>
  <c r="H9" i="46" s="1"/>
  <c r="G8" i="11"/>
  <c r="G9" i="46" s="1"/>
  <c r="F8" i="11"/>
  <c r="F9" i="46" s="1"/>
  <c r="E8" i="11"/>
  <c r="E9" i="46" s="1"/>
  <c r="D8" i="11"/>
  <c r="D9" i="46" s="1"/>
  <c r="C8" i="11"/>
  <c r="C9" i="46" s="1"/>
  <c r="B8" i="11"/>
  <c r="B9" i="46" s="1"/>
  <c r="I6" i="11"/>
  <c r="I8" i="46" s="1"/>
  <c r="H6" i="11"/>
  <c r="H8" i="46" s="1"/>
  <c r="G6" i="11"/>
  <c r="G8" i="46" s="1"/>
  <c r="F6" i="11"/>
  <c r="F8" i="46" s="1"/>
  <c r="E6" i="11"/>
  <c r="E8" i="46" s="1"/>
  <c r="D6" i="11"/>
  <c r="D8" i="46" s="1"/>
  <c r="B6" i="11"/>
  <c r="B8" i="46" s="1"/>
  <c r="H67" i="111" l="1"/>
  <c r="E67" i="111"/>
  <c r="I67" i="111"/>
  <c r="G67" i="111"/>
  <c r="D67" i="111"/>
  <c r="F70" i="111"/>
  <c r="G70" i="111"/>
  <c r="F67" i="111"/>
  <c r="D17" i="11"/>
  <c r="G17" i="11"/>
  <c r="E17" i="11"/>
  <c r="I17" i="11"/>
  <c r="H17" i="11"/>
  <c r="F17" i="11"/>
  <c r="C17" i="11"/>
  <c r="B21" i="11"/>
  <c r="G21" i="11"/>
  <c r="I22" i="11"/>
  <c r="C22" i="11"/>
  <c r="D21" i="11"/>
  <c r="H21" i="11"/>
  <c r="H22" i="11"/>
  <c r="E22" i="11"/>
  <c r="E21" i="11"/>
  <c r="I21" i="11"/>
  <c r="G22" i="11"/>
  <c r="F21" i="11"/>
  <c r="C21" i="11"/>
  <c r="F22" i="11"/>
  <c r="D22" i="11"/>
  <c r="B23" i="11"/>
  <c r="B10" i="46"/>
  <c r="F23" i="11"/>
  <c r="F10" i="46"/>
  <c r="C23" i="11"/>
  <c r="C10" i="46"/>
  <c r="G23" i="11"/>
  <c r="G10" i="46"/>
  <c r="D23" i="11"/>
  <c r="D10" i="46"/>
  <c r="H23" i="11"/>
  <c r="H10" i="46"/>
  <c r="E23" i="11"/>
  <c r="E10" i="46"/>
  <c r="I23" i="11"/>
  <c r="I10" i="46"/>
  <c r="C6" i="11"/>
  <c r="C8" i="46" s="1"/>
  <c r="A1" i="58" l="1"/>
  <c r="AN84" i="58" l="1"/>
  <c r="I64" i="11"/>
  <c r="H64" i="11"/>
  <c r="G64" i="11"/>
  <c r="F64" i="11"/>
  <c r="E64" i="11"/>
  <c r="D64" i="11"/>
  <c r="C64" i="11"/>
  <c r="B64" i="11"/>
  <c r="AO84" i="58" l="1"/>
  <c r="BP50" i="8"/>
  <c r="BO50" i="8"/>
  <c r="BN50" i="8"/>
  <c r="BM48" i="8"/>
  <c r="BL50" i="8"/>
  <c r="BO48" i="8"/>
  <c r="BN48" i="8"/>
  <c r="AM49" i="8"/>
  <c r="AL50" i="8"/>
  <c r="AK50" i="8"/>
  <c r="AJ50" i="8"/>
  <c r="AH50" i="8"/>
  <c r="AG49" i="8"/>
  <c r="AF50" i="8"/>
  <c r="AE49" i="8"/>
  <c r="AD50" i="8"/>
  <c r="AC49" i="8"/>
  <c r="AB49" i="8"/>
  <c r="Z50" i="8"/>
  <c r="Y50" i="8"/>
  <c r="X49" i="8"/>
  <c r="W49" i="8"/>
  <c r="V50" i="8"/>
  <c r="U50" i="8"/>
  <c r="T50" i="8"/>
  <c r="R50" i="8"/>
  <c r="Q49" i="8"/>
  <c r="P50" i="8"/>
  <c r="N50" i="8"/>
  <c r="M49" i="8"/>
  <c r="L49" i="8"/>
  <c r="J50" i="8"/>
  <c r="I50" i="8"/>
  <c r="H49" i="8"/>
  <c r="G49" i="8"/>
  <c r="F50" i="8"/>
  <c r="E50" i="8"/>
  <c r="D50" i="8"/>
  <c r="B50" i="8"/>
  <c r="AP84" i="58" l="1"/>
  <c r="B60" i="8"/>
  <c r="J60" i="8"/>
  <c r="E60" i="8"/>
  <c r="I60" i="8"/>
  <c r="M60" i="8"/>
  <c r="Q60" i="8"/>
  <c r="F60" i="8"/>
  <c r="C60" i="8"/>
  <c r="G60" i="8"/>
  <c r="K60" i="8"/>
  <c r="O60" i="8"/>
  <c r="N60" i="8"/>
  <c r="D60" i="8"/>
  <c r="H60" i="8"/>
  <c r="L60" i="8"/>
  <c r="P60" i="8"/>
  <c r="Q50" i="8"/>
  <c r="Q48" i="8"/>
  <c r="AM50" i="8"/>
  <c r="T49" i="8"/>
  <c r="AB48" i="8"/>
  <c r="Y49" i="8"/>
  <c r="W50" i="8"/>
  <c r="G48" i="8"/>
  <c r="AG48" i="8"/>
  <c r="BL48" i="8"/>
  <c r="D49" i="8"/>
  <c r="G50" i="8"/>
  <c r="AB50" i="8"/>
  <c r="F58" i="8"/>
  <c r="L48" i="8"/>
  <c r="AM48" i="8"/>
  <c r="I49" i="8"/>
  <c r="AJ49" i="8"/>
  <c r="L50" i="8"/>
  <c r="AG50" i="8"/>
  <c r="F59" i="8"/>
  <c r="C49" i="8"/>
  <c r="C50" i="8"/>
  <c r="C48" i="8"/>
  <c r="K50" i="8"/>
  <c r="K48" i="8"/>
  <c r="K49" i="8"/>
  <c r="O50" i="8"/>
  <c r="O48" i="8"/>
  <c r="S49" i="8"/>
  <c r="S50" i="8"/>
  <c r="S48" i="8"/>
  <c r="AA50" i="8"/>
  <c r="AA48" i="8"/>
  <c r="AA49" i="8"/>
  <c r="AE50" i="8"/>
  <c r="AE48" i="8"/>
  <c r="AI49" i="8"/>
  <c r="AI50" i="8"/>
  <c r="AI48" i="8"/>
  <c r="W48" i="8"/>
  <c r="O49" i="8"/>
  <c r="B58" i="8"/>
  <c r="B59" i="8"/>
  <c r="BQ50" i="8"/>
  <c r="BQ48" i="8"/>
  <c r="BM50" i="8"/>
  <c r="J58" i="8"/>
  <c r="J59" i="8"/>
  <c r="N58" i="8"/>
  <c r="N59" i="8"/>
  <c r="H48" i="8"/>
  <c r="M48" i="8"/>
  <c r="X48" i="8"/>
  <c r="AC48" i="8"/>
  <c r="E49" i="8"/>
  <c r="P49" i="8"/>
  <c r="U49" i="8"/>
  <c r="AF49" i="8"/>
  <c r="AK49" i="8"/>
  <c r="H50" i="8"/>
  <c r="M50" i="8"/>
  <c r="X50" i="8"/>
  <c r="AC50" i="8"/>
  <c r="C58" i="8"/>
  <c r="G58" i="8"/>
  <c r="K58" i="8"/>
  <c r="O58" i="8"/>
  <c r="C59" i="8"/>
  <c r="G59" i="8"/>
  <c r="K59" i="8"/>
  <c r="O59" i="8"/>
  <c r="D48" i="8"/>
  <c r="I48" i="8"/>
  <c r="T48" i="8"/>
  <c r="Y48" i="8"/>
  <c r="AJ48" i="8"/>
  <c r="D58" i="8"/>
  <c r="H58" i="8"/>
  <c r="L58" i="8"/>
  <c r="P58" i="8"/>
  <c r="D59" i="8"/>
  <c r="H59" i="8"/>
  <c r="L59" i="8"/>
  <c r="P59" i="8"/>
  <c r="E48" i="8"/>
  <c r="P48" i="8"/>
  <c r="U48" i="8"/>
  <c r="AF48" i="8"/>
  <c r="AK48" i="8"/>
  <c r="E58" i="8"/>
  <c r="I58" i="8"/>
  <c r="M58" i="8"/>
  <c r="Q58" i="8"/>
  <c r="E59" i="8"/>
  <c r="I59" i="8"/>
  <c r="M59" i="8"/>
  <c r="Q59" i="8"/>
  <c r="B48" i="8"/>
  <c r="F48" i="8"/>
  <c r="J48" i="8"/>
  <c r="N48" i="8"/>
  <c r="R48" i="8"/>
  <c r="V48" i="8"/>
  <c r="Z48" i="8"/>
  <c r="AD48" i="8"/>
  <c r="AH48" i="8"/>
  <c r="AL48" i="8"/>
  <c r="B49" i="8"/>
  <c r="F49" i="8"/>
  <c r="J49" i="8"/>
  <c r="N49" i="8"/>
  <c r="R49" i="8"/>
  <c r="V49" i="8"/>
  <c r="Z49" i="8"/>
  <c r="AD49" i="8"/>
  <c r="AH49" i="8"/>
  <c r="AL49" i="8"/>
  <c r="AQ100" i="2" l="1"/>
  <c r="AZ100" i="2"/>
  <c r="BC100" i="2"/>
  <c r="BL100" i="2"/>
  <c r="BM100" i="2"/>
  <c r="BN100" i="2"/>
  <c r="BO100" i="2"/>
  <c r="BP100" i="2"/>
  <c r="BQ100" i="2"/>
  <c r="BP153" i="8"/>
  <c r="BO153" i="8"/>
  <c r="BN153" i="8"/>
  <c r="BM153" i="8"/>
  <c r="BL153" i="8"/>
  <c r="BP198" i="8"/>
  <c r="BO198" i="8"/>
  <c r="BN198" i="8"/>
  <c r="BM198" i="8"/>
  <c r="BL198" i="8"/>
  <c r="BP155" i="8"/>
  <c r="BO155" i="8"/>
  <c r="BN155" i="8"/>
  <c r="BM155" i="8"/>
  <c r="BL155" i="8"/>
  <c r="BP200" i="8"/>
  <c r="BO200" i="8"/>
  <c r="BN200" i="8"/>
  <c r="BM200" i="8"/>
  <c r="BL200" i="8"/>
  <c r="B27" i="8"/>
  <c r="C29" i="8"/>
  <c r="D27" i="8"/>
  <c r="E27" i="8"/>
  <c r="F27" i="8"/>
  <c r="G28" i="8"/>
  <c r="H28" i="8"/>
  <c r="I27" i="8"/>
  <c r="J27" i="8"/>
  <c r="K29" i="8"/>
  <c r="L27" i="8"/>
  <c r="M27" i="8"/>
  <c r="N27" i="8"/>
  <c r="O28" i="8"/>
  <c r="P28" i="8"/>
  <c r="Q27" i="8"/>
  <c r="R27" i="8"/>
  <c r="S27" i="8"/>
  <c r="T27" i="8"/>
  <c r="U27" i="8"/>
  <c r="V27" i="8"/>
  <c r="W28" i="8"/>
  <c r="X28" i="8"/>
  <c r="Y27" i="8"/>
  <c r="Z27" i="8"/>
  <c r="AA28" i="8"/>
  <c r="AB27" i="8"/>
  <c r="AC27" i="8"/>
  <c r="AD27" i="8"/>
  <c r="AE27" i="8"/>
  <c r="AF28" i="8"/>
  <c r="AG28" i="8"/>
  <c r="AH27" i="8"/>
  <c r="AI29" i="8"/>
  <c r="AJ27" i="8"/>
  <c r="AL27" i="8"/>
  <c r="AM28" i="8"/>
  <c r="BL27" i="8"/>
  <c r="BM27" i="8"/>
  <c r="BO27" i="8"/>
  <c r="BP27" i="8"/>
  <c r="BQ27" i="8"/>
  <c r="BC4" i="2"/>
  <c r="BC3" i="2" s="1"/>
  <c r="BJ4" i="2"/>
  <c r="BL4" i="2"/>
  <c r="BM4" i="2"/>
  <c r="BN4" i="2"/>
  <c r="BO4" i="2"/>
  <c r="BP4" i="2"/>
  <c r="BQ4" i="2"/>
  <c r="BC30" i="2"/>
  <c r="BL30" i="2"/>
  <c r="BM30" i="2"/>
  <c r="BN30" i="2"/>
  <c r="BO30" i="2"/>
  <c r="BP30" i="2"/>
  <c r="BQ30" i="2"/>
  <c r="BC60" i="2"/>
  <c r="BL60" i="2"/>
  <c r="BM60" i="2"/>
  <c r="BN60" i="2"/>
  <c r="BO60" i="2"/>
  <c r="BP60" i="2"/>
  <c r="BQ60" i="2"/>
  <c r="BL93" i="2"/>
  <c r="BM93" i="2"/>
  <c r="BN93" i="2"/>
  <c r="BO93" i="2"/>
  <c r="BP93" i="2"/>
  <c r="BQ93" i="2"/>
  <c r="BL94" i="2"/>
  <c r="BM94" i="2"/>
  <c r="BN94" i="2"/>
  <c r="BO94" i="2"/>
  <c r="BP94" i="2"/>
  <c r="BQ94" i="2"/>
  <c r="BQ84" i="2" l="1"/>
  <c r="BQ3" i="2"/>
  <c r="BP84" i="2"/>
  <c r="BP3" i="2"/>
  <c r="BJ3" i="2"/>
  <c r="BO84" i="2"/>
  <c r="BO3" i="2"/>
  <c r="BN84" i="2"/>
  <c r="BN3" i="2"/>
  <c r="BM84" i="2"/>
  <c r="BM3" i="2"/>
  <c r="BL84" i="2"/>
  <c r="BL3" i="2"/>
  <c r="Q28" i="8"/>
  <c r="P27" i="8"/>
  <c r="E29" i="8"/>
  <c r="Y29" i="8"/>
  <c r="Y28" i="8"/>
  <c r="O70" i="8"/>
  <c r="O69" i="8"/>
  <c r="O68" i="8"/>
  <c r="Y70" i="8"/>
  <c r="Y68" i="8"/>
  <c r="Y69" i="8"/>
  <c r="M70" i="8"/>
  <c r="M68" i="8"/>
  <c r="M69" i="8"/>
  <c r="E70" i="8"/>
  <c r="E68" i="8"/>
  <c r="E69" i="8"/>
  <c r="T70" i="8"/>
  <c r="T68" i="8"/>
  <c r="T69" i="8"/>
  <c r="S70" i="8"/>
  <c r="S68" i="8"/>
  <c r="S69" i="8"/>
  <c r="V60" i="8"/>
  <c r="V59" i="8"/>
  <c r="V58" i="8"/>
  <c r="R70" i="8"/>
  <c r="R68" i="8"/>
  <c r="R69" i="8"/>
  <c r="J70" i="8"/>
  <c r="J68" i="8"/>
  <c r="J69" i="8"/>
  <c r="B70" i="8"/>
  <c r="B68" i="8"/>
  <c r="B69" i="8"/>
  <c r="X70" i="8"/>
  <c r="X68" i="8"/>
  <c r="X69" i="8"/>
  <c r="L70" i="8"/>
  <c r="L69" i="8"/>
  <c r="L68" i="8"/>
  <c r="V70" i="8"/>
  <c r="V69" i="8"/>
  <c r="V68" i="8"/>
  <c r="O29" i="8"/>
  <c r="Y60" i="8"/>
  <c r="Y59" i="8"/>
  <c r="Y58" i="8"/>
  <c r="Q70" i="8"/>
  <c r="Q69" i="8"/>
  <c r="Q68" i="8"/>
  <c r="I70" i="8"/>
  <c r="I69" i="8"/>
  <c r="I68" i="8"/>
  <c r="W60" i="8"/>
  <c r="W58" i="8"/>
  <c r="W59" i="8"/>
  <c r="T60" i="8"/>
  <c r="T58" i="8"/>
  <c r="T59" i="8"/>
  <c r="D70" i="8"/>
  <c r="D68" i="8"/>
  <c r="D69" i="8"/>
  <c r="K70" i="8"/>
  <c r="K69" i="8"/>
  <c r="K68" i="8"/>
  <c r="N70" i="8"/>
  <c r="N68" i="8"/>
  <c r="N69" i="8"/>
  <c r="F68" i="8"/>
  <c r="F69" i="8"/>
  <c r="F70" i="8"/>
  <c r="C70" i="8"/>
  <c r="C68" i="8"/>
  <c r="C69" i="8"/>
  <c r="U60" i="8"/>
  <c r="U58" i="8"/>
  <c r="U59" i="8"/>
  <c r="U70" i="8"/>
  <c r="U68" i="8"/>
  <c r="U69" i="8"/>
  <c r="W70" i="8"/>
  <c r="W68" i="8"/>
  <c r="W69" i="8"/>
  <c r="G70" i="8"/>
  <c r="G68" i="8"/>
  <c r="G69" i="8"/>
  <c r="X60" i="8"/>
  <c r="X58" i="8"/>
  <c r="X59" i="8"/>
  <c r="P70" i="8"/>
  <c r="P68" i="8"/>
  <c r="P69" i="8"/>
  <c r="H70" i="8"/>
  <c r="H68" i="8"/>
  <c r="H69" i="8"/>
  <c r="S60" i="8"/>
  <c r="S58" i="8"/>
  <c r="S59" i="8"/>
  <c r="R60" i="8"/>
  <c r="R59" i="8"/>
  <c r="R58" i="8"/>
  <c r="Z29" i="8"/>
  <c r="Z28" i="8"/>
  <c r="N29" i="8"/>
  <c r="AE28" i="8"/>
  <c r="AA27" i="8"/>
  <c r="AE29" i="8"/>
  <c r="R29" i="8"/>
  <c r="G29" i="8"/>
  <c r="AH28" i="8"/>
  <c r="R28" i="8"/>
  <c r="AI27" i="8"/>
  <c r="K27" i="8"/>
  <c r="K28" i="8"/>
  <c r="AH29" i="8"/>
  <c r="W29" i="8"/>
  <c r="J29" i="8"/>
  <c r="F28" i="8"/>
  <c r="O27" i="8"/>
  <c r="AM29" i="8"/>
  <c r="AA29" i="8"/>
  <c r="V29" i="8"/>
  <c r="B29" i="8"/>
  <c r="AI28" i="8"/>
  <c r="S28" i="8"/>
  <c r="N28" i="8"/>
  <c r="B28" i="8"/>
  <c r="C27" i="8"/>
  <c r="AD29" i="8"/>
  <c r="AL28" i="8"/>
  <c r="AD28" i="8"/>
  <c r="V28" i="8"/>
  <c r="C28" i="8"/>
  <c r="W27" i="8"/>
  <c r="G27" i="8"/>
  <c r="AC28" i="8"/>
  <c r="I28" i="8"/>
  <c r="I29" i="8"/>
  <c r="U29" i="8"/>
  <c r="M29" i="8"/>
  <c r="M28" i="8"/>
  <c r="E28" i="8"/>
  <c r="X27" i="8"/>
  <c r="AM27" i="8"/>
  <c r="BP86" i="2"/>
  <c r="BO29" i="8"/>
  <c r="AL29" i="8"/>
  <c r="AC29" i="8"/>
  <c r="Q29" i="8"/>
  <c r="F29" i="8"/>
  <c r="U28" i="8"/>
  <c r="J28" i="8"/>
  <c r="BN27" i="8"/>
  <c r="BN29" i="8"/>
  <c r="AK27" i="8"/>
  <c r="AK29" i="8"/>
  <c r="AK28" i="8"/>
  <c r="AG27" i="8"/>
  <c r="AG29" i="8"/>
  <c r="BP29" i="8"/>
  <c r="BL29" i="8"/>
  <c r="S29" i="8"/>
  <c r="H27" i="8"/>
  <c r="BQ29" i="8"/>
  <c r="BM29" i="8"/>
  <c r="AF27" i="8"/>
  <c r="AJ29" i="8"/>
  <c r="AF29" i="8"/>
  <c r="AB29" i="8"/>
  <c r="X29" i="8"/>
  <c r="T29" i="8"/>
  <c r="P29" i="8"/>
  <c r="L29" i="8"/>
  <c r="H29" i="8"/>
  <c r="D29" i="8"/>
  <c r="AJ28" i="8"/>
  <c r="AB28" i="8"/>
  <c r="T28" i="8"/>
  <c r="L28" i="8"/>
  <c r="D28" i="8"/>
  <c r="BM86" i="2"/>
  <c r="BQ86" i="2"/>
  <c r="BL86" i="2"/>
  <c r="BN86" i="2"/>
  <c r="BO86" i="2"/>
  <c r="BQ45" i="8" l="1"/>
  <c r="BP45" i="8"/>
  <c r="BO45" i="8"/>
  <c r="BN45" i="8"/>
  <c r="BM45" i="8"/>
  <c r="BL45" i="8"/>
  <c r="BQ43" i="8"/>
  <c r="BP43" i="8"/>
  <c r="BO43" i="8"/>
  <c r="BN43" i="8"/>
  <c r="BM43" i="8"/>
  <c r="BL43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BQ55" i="8"/>
  <c r="BP55" i="8"/>
  <c r="BO55" i="8"/>
  <c r="BN55" i="8"/>
  <c r="BM55" i="8"/>
  <c r="BL55" i="8"/>
  <c r="BQ53" i="8"/>
  <c r="BP53" i="8"/>
  <c r="BO53" i="8"/>
  <c r="BN53" i="8"/>
  <c r="BM53" i="8"/>
  <c r="BL53" i="8"/>
  <c r="AM54" i="8"/>
  <c r="AL55" i="8"/>
  <c r="AK55" i="8"/>
  <c r="AJ55" i="8"/>
  <c r="AI53" i="8"/>
  <c r="AH55" i="8"/>
  <c r="AG55" i="8"/>
  <c r="AF53" i="8"/>
  <c r="AE55" i="8"/>
  <c r="AD55" i="8"/>
  <c r="AC55" i="8"/>
  <c r="AB54" i="8"/>
  <c r="AA53" i="8"/>
  <c r="Z55" i="8"/>
  <c r="Y55" i="8"/>
  <c r="X55" i="8"/>
  <c r="W55" i="8"/>
  <c r="V55" i="8"/>
  <c r="U55" i="8"/>
  <c r="T53" i="8"/>
  <c r="S54" i="8"/>
  <c r="R55" i="8"/>
  <c r="Q55" i="8"/>
  <c r="P55" i="8"/>
  <c r="O53" i="8"/>
  <c r="N55" i="8"/>
  <c r="M55" i="8"/>
  <c r="L55" i="8"/>
  <c r="K55" i="8"/>
  <c r="J55" i="8"/>
  <c r="I55" i="8"/>
  <c r="H55" i="8"/>
  <c r="G54" i="8"/>
  <c r="F55" i="8"/>
  <c r="E55" i="8"/>
  <c r="D53" i="8"/>
  <c r="C53" i="8"/>
  <c r="B55" i="8"/>
  <c r="BQ65" i="8"/>
  <c r="BP65" i="8"/>
  <c r="BO65" i="8"/>
  <c r="BN65" i="8"/>
  <c r="BM65" i="8"/>
  <c r="BL65" i="8"/>
  <c r="E65" i="8"/>
  <c r="D65" i="8"/>
  <c r="C65" i="8"/>
  <c r="B63" i="8"/>
  <c r="Z41" i="11"/>
  <c r="Z64" i="111" l="1"/>
  <c r="Z130" i="111"/>
  <c r="Z19" i="46"/>
  <c r="BM63" i="8"/>
  <c r="BN63" i="8"/>
  <c r="G65" i="8"/>
  <c r="K65" i="8"/>
  <c r="O65" i="8"/>
  <c r="S65" i="8"/>
  <c r="W65" i="8"/>
  <c r="AA65" i="8"/>
  <c r="AE65" i="8"/>
  <c r="AI65" i="8"/>
  <c r="AM65" i="8"/>
  <c r="H65" i="8"/>
  <c r="L65" i="8"/>
  <c r="P65" i="8"/>
  <c r="T65" i="8"/>
  <c r="X65" i="8"/>
  <c r="AB65" i="8"/>
  <c r="AF65" i="8"/>
  <c r="AJ65" i="8"/>
  <c r="I65" i="8"/>
  <c r="M65" i="8"/>
  <c r="Q65" i="8"/>
  <c r="U65" i="8"/>
  <c r="Y65" i="8"/>
  <c r="AC65" i="8"/>
  <c r="AG65" i="8"/>
  <c r="AK65" i="8"/>
  <c r="F65" i="8"/>
  <c r="J63" i="8"/>
  <c r="N63" i="8"/>
  <c r="R63" i="8"/>
  <c r="V65" i="8"/>
  <c r="Z63" i="8"/>
  <c r="AD63" i="8"/>
  <c r="AH63" i="8"/>
  <c r="AL65" i="8"/>
  <c r="B43" i="8"/>
  <c r="F43" i="8"/>
  <c r="J43" i="8"/>
  <c r="N43" i="8"/>
  <c r="R43" i="8"/>
  <c r="V43" i="8"/>
  <c r="Z43" i="8"/>
  <c r="AD43" i="8"/>
  <c r="AH43" i="8"/>
  <c r="AL43" i="8"/>
  <c r="B44" i="8"/>
  <c r="F44" i="8"/>
  <c r="J44" i="8"/>
  <c r="N44" i="8"/>
  <c r="R44" i="8"/>
  <c r="V44" i="8"/>
  <c r="Z44" i="8"/>
  <c r="AD44" i="8"/>
  <c r="AH44" i="8"/>
  <c r="AL44" i="8"/>
  <c r="C43" i="8"/>
  <c r="G43" i="8"/>
  <c r="K43" i="8"/>
  <c r="O43" i="8"/>
  <c r="S43" i="8"/>
  <c r="W43" i="8"/>
  <c r="AA43" i="8"/>
  <c r="AE43" i="8"/>
  <c r="AI43" i="8"/>
  <c r="AM43" i="8"/>
  <c r="C44" i="8"/>
  <c r="G44" i="8"/>
  <c r="K44" i="8"/>
  <c r="O44" i="8"/>
  <c r="S44" i="8"/>
  <c r="W44" i="8"/>
  <c r="AA44" i="8"/>
  <c r="AE44" i="8"/>
  <c r="AI44" i="8"/>
  <c r="AM44" i="8"/>
  <c r="D43" i="8"/>
  <c r="H43" i="8"/>
  <c r="L43" i="8"/>
  <c r="P43" i="8"/>
  <c r="T43" i="8"/>
  <c r="X43" i="8"/>
  <c r="AB43" i="8"/>
  <c r="AF43" i="8"/>
  <c r="AJ43" i="8"/>
  <c r="D44" i="8"/>
  <c r="H44" i="8"/>
  <c r="L44" i="8"/>
  <c r="P44" i="8"/>
  <c r="T44" i="8"/>
  <c r="X44" i="8"/>
  <c r="AB44" i="8"/>
  <c r="AF44" i="8"/>
  <c r="AJ44" i="8"/>
  <c r="BQ63" i="8"/>
  <c r="E43" i="8"/>
  <c r="I43" i="8"/>
  <c r="M43" i="8"/>
  <c r="Q43" i="8"/>
  <c r="U43" i="8"/>
  <c r="Y43" i="8"/>
  <c r="AC43" i="8"/>
  <c r="AG43" i="8"/>
  <c r="AK43" i="8"/>
  <c r="E44" i="8"/>
  <c r="I44" i="8"/>
  <c r="M44" i="8"/>
  <c r="Q44" i="8"/>
  <c r="U44" i="8"/>
  <c r="Y44" i="8"/>
  <c r="AC44" i="8"/>
  <c r="AG44" i="8"/>
  <c r="AK44" i="8"/>
  <c r="G53" i="8"/>
  <c r="S53" i="8"/>
  <c r="AE53" i="8"/>
  <c r="K54" i="8"/>
  <c r="W54" i="8"/>
  <c r="AI54" i="8"/>
  <c r="G55" i="8"/>
  <c r="O55" i="8"/>
  <c r="AA55" i="8"/>
  <c r="AM55" i="8"/>
  <c r="H53" i="8"/>
  <c r="P53" i="8"/>
  <c r="AB53" i="8"/>
  <c r="AF54" i="8"/>
  <c r="BL63" i="8"/>
  <c r="BP63" i="8"/>
  <c r="B53" i="8"/>
  <c r="F53" i="8"/>
  <c r="J53" i="8"/>
  <c r="N53" i="8"/>
  <c r="R53" i="8"/>
  <c r="V53" i="8"/>
  <c r="Z53" i="8"/>
  <c r="AD53" i="8"/>
  <c r="AH53" i="8"/>
  <c r="AL53" i="8"/>
  <c r="B54" i="8"/>
  <c r="F54" i="8"/>
  <c r="J54" i="8"/>
  <c r="N54" i="8"/>
  <c r="R54" i="8"/>
  <c r="V54" i="8"/>
  <c r="Z54" i="8"/>
  <c r="AD54" i="8"/>
  <c r="AH54" i="8"/>
  <c r="AL54" i="8"/>
  <c r="K53" i="8"/>
  <c r="W53" i="8"/>
  <c r="AM53" i="8"/>
  <c r="C54" i="8"/>
  <c r="O54" i="8"/>
  <c r="AA54" i="8"/>
  <c r="C55" i="8"/>
  <c r="S55" i="8"/>
  <c r="AI55" i="8"/>
  <c r="L53" i="8"/>
  <c r="X53" i="8"/>
  <c r="AJ53" i="8"/>
  <c r="D54" i="8"/>
  <c r="H54" i="8"/>
  <c r="L54" i="8"/>
  <c r="P54" i="8"/>
  <c r="T54" i="8"/>
  <c r="X54" i="8"/>
  <c r="AJ54" i="8"/>
  <c r="D55" i="8"/>
  <c r="T55" i="8"/>
  <c r="AB55" i="8"/>
  <c r="AF55" i="8"/>
  <c r="AE54" i="8"/>
  <c r="BO63" i="8"/>
  <c r="E53" i="8"/>
  <c r="I53" i="8"/>
  <c r="M53" i="8"/>
  <c r="Q53" i="8"/>
  <c r="U53" i="8"/>
  <c r="Y53" i="8"/>
  <c r="AC53" i="8"/>
  <c r="AG53" i="8"/>
  <c r="AK53" i="8"/>
  <c r="E54" i="8"/>
  <c r="I54" i="8"/>
  <c r="M54" i="8"/>
  <c r="Q54" i="8"/>
  <c r="U54" i="8"/>
  <c r="Y54" i="8"/>
  <c r="AC54" i="8"/>
  <c r="AG54" i="8"/>
  <c r="AK54" i="8"/>
  <c r="F63" i="8"/>
  <c r="V63" i="8"/>
  <c r="AL63" i="8"/>
  <c r="B64" i="8"/>
  <c r="F64" i="8"/>
  <c r="J64" i="8"/>
  <c r="N64" i="8"/>
  <c r="R64" i="8"/>
  <c r="V64" i="8"/>
  <c r="Z64" i="8"/>
  <c r="AD64" i="8"/>
  <c r="AH64" i="8"/>
  <c r="AL64" i="8"/>
  <c r="B65" i="8"/>
  <c r="J65" i="8"/>
  <c r="N65" i="8"/>
  <c r="R65" i="8"/>
  <c r="Z65" i="8"/>
  <c r="AD65" i="8"/>
  <c r="AH65" i="8"/>
  <c r="C63" i="8"/>
  <c r="G63" i="8"/>
  <c r="K63" i="8"/>
  <c r="O63" i="8"/>
  <c r="S63" i="8"/>
  <c r="W63" i="8"/>
  <c r="AA63" i="8"/>
  <c r="AE63" i="8"/>
  <c r="AI63" i="8"/>
  <c r="AM63" i="8"/>
  <c r="C64" i="8"/>
  <c r="G64" i="8"/>
  <c r="K64" i="8"/>
  <c r="O64" i="8"/>
  <c r="S64" i="8"/>
  <c r="W64" i="8"/>
  <c r="AA64" i="8"/>
  <c r="AE64" i="8"/>
  <c r="AI64" i="8"/>
  <c r="AM64" i="8"/>
  <c r="D63" i="8"/>
  <c r="H63" i="8"/>
  <c r="L63" i="8"/>
  <c r="P63" i="8"/>
  <c r="T63" i="8"/>
  <c r="X63" i="8"/>
  <c r="AB63" i="8"/>
  <c r="AF63" i="8"/>
  <c r="AJ63" i="8"/>
  <c r="D64" i="8"/>
  <c r="H64" i="8"/>
  <c r="L64" i="8"/>
  <c r="P64" i="8"/>
  <c r="T64" i="8"/>
  <c r="X64" i="8"/>
  <c r="AB64" i="8"/>
  <c r="AF64" i="8"/>
  <c r="AJ64" i="8"/>
  <c r="E63" i="8"/>
  <c r="I63" i="8"/>
  <c r="M63" i="8"/>
  <c r="Q63" i="8"/>
  <c r="U63" i="8"/>
  <c r="Y63" i="8"/>
  <c r="AC63" i="8"/>
  <c r="AG63" i="8"/>
  <c r="AK63" i="8"/>
  <c r="E64" i="8"/>
  <c r="I64" i="8"/>
  <c r="M64" i="8"/>
  <c r="Q64" i="8"/>
  <c r="U64" i="8"/>
  <c r="Y64" i="8"/>
  <c r="AC64" i="8"/>
  <c r="AG64" i="8"/>
  <c r="AK64" i="8"/>
  <c r="AE165" i="2" l="1"/>
  <c r="AL165" i="2"/>
  <c r="AI165" i="2"/>
  <c r="AJ165" i="2"/>
  <c r="AG165" i="2"/>
  <c r="AD165" i="2"/>
  <c r="AF165" i="2"/>
  <c r="AM165" i="2"/>
  <c r="AH165" i="2"/>
  <c r="AK165" i="2"/>
  <c r="F46" i="58"/>
  <c r="F47" i="58" s="1"/>
  <c r="B50" i="58"/>
  <c r="J46" i="58"/>
  <c r="C479" i="94"/>
  <c r="D479" i="94"/>
  <c r="E479" i="94"/>
  <c r="F479" i="94"/>
  <c r="G479" i="94"/>
  <c r="H479" i="94"/>
  <c r="I479" i="94"/>
  <c r="J479" i="94"/>
  <c r="K479" i="94"/>
  <c r="L479" i="94"/>
  <c r="M479" i="94"/>
  <c r="N479" i="94"/>
  <c r="O479" i="94"/>
  <c r="P479" i="94"/>
  <c r="Q479" i="94"/>
  <c r="R479" i="94"/>
  <c r="S479" i="94"/>
  <c r="T479" i="94"/>
  <c r="U479" i="94"/>
  <c r="V479" i="94"/>
  <c r="E46" i="58" l="1"/>
  <c r="D46" i="58" l="1"/>
  <c r="E47" i="58"/>
  <c r="C18" i="58"/>
  <c r="B308" i="112" s="1"/>
  <c r="C46" i="58" l="1"/>
  <c r="D47" i="58"/>
  <c r="C51" i="58" l="1"/>
  <c r="C47" i="58"/>
  <c r="C50" i="58" l="1"/>
  <c r="D51" i="58"/>
  <c r="D50" i="58" l="1"/>
  <c r="E51" i="58"/>
  <c r="E50" i="58" s="1"/>
  <c r="R13" i="11"/>
  <c r="Q13" i="11"/>
  <c r="P13" i="11"/>
  <c r="O13" i="11"/>
  <c r="N13" i="11"/>
  <c r="R9" i="11"/>
  <c r="Q9" i="11"/>
  <c r="P9" i="11"/>
  <c r="O9" i="11"/>
  <c r="N9" i="11"/>
  <c r="N12" i="111" s="1"/>
  <c r="M9" i="11"/>
  <c r="M12" i="111" s="1"/>
  <c r="L9" i="11"/>
  <c r="L12" i="111" s="1"/>
  <c r="K9" i="11"/>
  <c r="K12" i="111" s="1"/>
  <c r="J9" i="11"/>
  <c r="R14" i="71" l="1"/>
  <c r="R17" i="71"/>
  <c r="S14" i="71"/>
  <c r="S17" i="71"/>
  <c r="Q14" i="71"/>
  <c r="Q17" i="71"/>
  <c r="Q13" i="71"/>
  <c r="Q16" i="71"/>
  <c r="T14" i="71"/>
  <c r="T49" i="71" s="1"/>
  <c r="U52" i="71" s="1"/>
  <c r="T17" i="71"/>
  <c r="U17" i="71"/>
  <c r="R13" i="71"/>
  <c r="R16" i="71"/>
  <c r="S13" i="71"/>
  <c r="S16" i="71"/>
  <c r="T13" i="71"/>
  <c r="T48" i="71" s="1"/>
  <c r="U51" i="71" s="1"/>
  <c r="T16" i="71"/>
  <c r="U16" i="71"/>
  <c r="P12" i="111"/>
  <c r="Q12" i="111"/>
  <c r="P13" i="111"/>
  <c r="O13" i="111"/>
  <c r="R12" i="111"/>
  <c r="Q13" i="111"/>
  <c r="J12" i="111"/>
  <c r="O12" i="111"/>
  <c r="R13" i="111"/>
  <c r="N13" i="111"/>
  <c r="J17" i="11"/>
  <c r="K17" i="11"/>
  <c r="L17" i="11"/>
  <c r="M17" i="11"/>
  <c r="N17" i="11"/>
  <c r="O17" i="11"/>
  <c r="P17" i="11"/>
  <c r="Q17" i="11"/>
  <c r="R17" i="11"/>
  <c r="S17" i="11"/>
  <c r="AN33" i="2"/>
  <c r="J33" i="2"/>
  <c r="R33" i="2"/>
  <c r="Z33" i="2"/>
  <c r="AD33" i="2"/>
  <c r="AL33" i="2"/>
  <c r="Q33" i="2"/>
  <c r="AG33" i="2"/>
  <c r="AC33" i="2"/>
  <c r="D33" i="2"/>
  <c r="H33" i="2"/>
  <c r="P33" i="2"/>
  <c r="T33" i="2"/>
  <c r="X33" i="2"/>
  <c r="AB33" i="2"/>
  <c r="AF33" i="2"/>
  <c r="AJ33" i="2"/>
  <c r="E33" i="2"/>
  <c r="U33" i="2"/>
  <c r="AK33" i="2"/>
  <c r="I33" i="2"/>
  <c r="Y33" i="2"/>
  <c r="F33" i="2"/>
  <c r="N33" i="2"/>
  <c r="V33" i="2"/>
  <c r="AH33" i="2"/>
  <c r="C33" i="2"/>
  <c r="G33" i="2"/>
  <c r="K33" i="2"/>
  <c r="O33" i="2"/>
  <c r="S33" i="2"/>
  <c r="W33" i="2"/>
  <c r="AA33" i="2"/>
  <c r="AE33" i="2"/>
  <c r="AI33" i="2"/>
  <c r="AM33" i="2"/>
  <c r="R83" i="58"/>
  <c r="Q83" i="58"/>
  <c r="P83" i="58"/>
  <c r="O83" i="58"/>
  <c r="N83" i="58"/>
  <c r="M83" i="58"/>
  <c r="L83" i="58"/>
  <c r="J83" i="58"/>
  <c r="I83" i="58"/>
  <c r="H83" i="58"/>
  <c r="G83" i="58"/>
  <c r="K83" i="58"/>
  <c r="F83" i="58"/>
  <c r="E83" i="58"/>
  <c r="D83" i="58"/>
  <c r="F111" i="58"/>
  <c r="E111" i="58"/>
  <c r="D146" i="112" s="1"/>
  <c r="D111" i="58"/>
  <c r="C146" i="112" s="1"/>
  <c r="C111" i="58"/>
  <c r="B146" i="112" s="1"/>
  <c r="AF93" i="58"/>
  <c r="AE55" i="112" s="1"/>
  <c r="AB93" i="58"/>
  <c r="X93" i="58"/>
  <c r="T93" i="58"/>
  <c r="P93" i="58"/>
  <c r="O55" i="112" s="1"/>
  <c r="L93" i="58"/>
  <c r="AD75" i="58"/>
  <c r="AC75" i="58"/>
  <c r="AB75" i="58"/>
  <c r="AA18" i="112" s="1"/>
  <c r="AA75" i="58"/>
  <c r="Z18" i="112" s="1"/>
  <c r="Z75" i="58"/>
  <c r="Y18" i="112" s="1"/>
  <c r="Y75" i="58"/>
  <c r="X18" i="112" s="1"/>
  <c r="X75" i="58"/>
  <c r="W18" i="112" s="1"/>
  <c r="W75" i="58"/>
  <c r="V18" i="112" s="1"/>
  <c r="V75" i="58"/>
  <c r="U18" i="112" s="1"/>
  <c r="U75" i="58"/>
  <c r="T18" i="112" s="1"/>
  <c r="AD74" i="58"/>
  <c r="AC74" i="58"/>
  <c r="AB74" i="58"/>
  <c r="AA14" i="112" s="1"/>
  <c r="AA74" i="58"/>
  <c r="Z14" i="112" s="1"/>
  <c r="Z74" i="58"/>
  <c r="Y14" i="112" s="1"/>
  <c r="Y74" i="58"/>
  <c r="X14" i="112" s="1"/>
  <c r="X74" i="58"/>
  <c r="W14" i="112" s="1"/>
  <c r="W74" i="58"/>
  <c r="V14" i="112" s="1"/>
  <c r="V74" i="58"/>
  <c r="U14" i="112" s="1"/>
  <c r="U74" i="58"/>
  <c r="T14" i="112" s="1"/>
  <c r="T74" i="58"/>
  <c r="S14" i="112" s="1"/>
  <c r="S74" i="58"/>
  <c r="R14" i="112" s="1"/>
  <c r="R74" i="58"/>
  <c r="Q14" i="112" s="1"/>
  <c r="Q74" i="58"/>
  <c r="P14" i="112" s="1"/>
  <c r="P74" i="58"/>
  <c r="O14" i="112" s="1"/>
  <c r="O74" i="58"/>
  <c r="N14" i="112" s="1"/>
  <c r="N74" i="58"/>
  <c r="M14" i="112" s="1"/>
  <c r="M74" i="58"/>
  <c r="L14" i="112" s="1"/>
  <c r="L74" i="58"/>
  <c r="K14" i="112" s="1"/>
  <c r="K74" i="58"/>
  <c r="J14" i="112" s="1"/>
  <c r="J74" i="58"/>
  <c r="I14" i="112" s="1"/>
  <c r="I74" i="58"/>
  <c r="H14" i="112" s="1"/>
  <c r="H74" i="58"/>
  <c r="G14" i="112" s="1"/>
  <c r="G74" i="58"/>
  <c r="F14" i="112" s="1"/>
  <c r="E146" i="112" l="1"/>
  <c r="E148" i="112" s="1"/>
  <c r="F74" i="58"/>
  <c r="E14" i="112" s="1"/>
  <c r="F15" i="112" s="1"/>
  <c r="C147" i="112"/>
  <c r="D148" i="112"/>
  <c r="C148" i="112"/>
  <c r="D147" i="112"/>
  <c r="J16" i="112"/>
  <c r="I15" i="112"/>
  <c r="M15" i="112"/>
  <c r="N16" i="112"/>
  <c r="R16" i="112"/>
  <c r="Q15" i="112"/>
  <c r="V16" i="112"/>
  <c r="U15" i="112"/>
  <c r="Y15" i="112"/>
  <c r="Z16" i="112"/>
  <c r="AD15" i="94"/>
  <c r="AC14" i="112"/>
  <c r="X20" i="112"/>
  <c r="X29" i="112" s="1"/>
  <c r="W19" i="112"/>
  <c r="AA19" i="112"/>
  <c r="AE41" i="112"/>
  <c r="AE263" i="112"/>
  <c r="G16" i="112"/>
  <c r="K875" i="111"/>
  <c r="K15" i="112"/>
  <c r="K16" i="112"/>
  <c r="J15" i="112"/>
  <c r="L875" i="111"/>
  <c r="O16" i="112"/>
  <c r="N15" i="112"/>
  <c r="M875" i="111"/>
  <c r="R15" i="112"/>
  <c r="S16" i="112"/>
  <c r="N875" i="111"/>
  <c r="W16" i="112"/>
  <c r="V15" i="112"/>
  <c r="O875" i="111"/>
  <c r="Z15" i="112"/>
  <c r="AA16" i="112"/>
  <c r="U20" i="112"/>
  <c r="U29" i="112" s="1"/>
  <c r="X19" i="112"/>
  <c r="Y20" i="112"/>
  <c r="Y29" i="112" s="1"/>
  <c r="AC27" i="94"/>
  <c r="AB18" i="112"/>
  <c r="U93" i="58"/>
  <c r="S55" i="112"/>
  <c r="G15" i="112"/>
  <c r="H16" i="112"/>
  <c r="W15" i="112"/>
  <c r="X16" i="112"/>
  <c r="AD27" i="94"/>
  <c r="AC18" i="112"/>
  <c r="L16" i="112"/>
  <c r="O15" i="112"/>
  <c r="P16" i="112"/>
  <c r="T16" i="112"/>
  <c r="S15" i="112"/>
  <c r="AA15" i="112"/>
  <c r="U19" i="112"/>
  <c r="V20" i="112"/>
  <c r="Y19" i="112"/>
  <c r="Z20" i="112"/>
  <c r="Y93" i="58"/>
  <c r="W55" i="112"/>
  <c r="H15" i="112"/>
  <c r="I16" i="112"/>
  <c r="L15" i="112"/>
  <c r="M16" i="112"/>
  <c r="Q16" i="112"/>
  <c r="P15" i="112"/>
  <c r="U16" i="112"/>
  <c r="T15" i="112"/>
  <c r="X15" i="112"/>
  <c r="Y16" i="112"/>
  <c r="AC15" i="94"/>
  <c r="AB14" i="112"/>
  <c r="V19" i="112"/>
  <c r="W20" i="112"/>
  <c r="W29" i="112" s="1"/>
  <c r="AA20" i="112"/>
  <c r="AA29" i="112" s="1"/>
  <c r="Z19" i="112"/>
  <c r="M93" i="58"/>
  <c r="L55" i="112" s="1"/>
  <c r="L56" i="112" s="1"/>
  <c r="K55" i="112"/>
  <c r="AC93" i="58"/>
  <c r="AB55" i="112" s="1"/>
  <c r="AA55" i="112"/>
  <c r="D74" i="58"/>
  <c r="C14" i="112" s="1"/>
  <c r="M13" i="11"/>
  <c r="C74" i="58"/>
  <c r="B14" i="112" s="1"/>
  <c r="E74" i="58"/>
  <c r="D14" i="112" s="1"/>
  <c r="AG93" i="58"/>
  <c r="Q93" i="58"/>
  <c r="O56" i="112" l="1"/>
  <c r="J876" i="111"/>
  <c r="P875" i="111"/>
  <c r="F16" i="112"/>
  <c r="N93" i="58"/>
  <c r="M55" i="112" s="1"/>
  <c r="M56" i="112" s="1"/>
  <c r="AA30" i="112"/>
  <c r="F148" i="112"/>
  <c r="E147" i="112"/>
  <c r="F147" i="112"/>
  <c r="J12" i="11"/>
  <c r="AB16" i="112"/>
  <c r="Y30" i="112"/>
  <c r="E16" i="112"/>
  <c r="D15" i="112"/>
  <c r="AD93" i="58"/>
  <c r="AC55" i="112" s="1"/>
  <c r="C16" i="112"/>
  <c r="J875" i="111"/>
  <c r="AA33" i="112"/>
  <c r="AA56" i="112"/>
  <c r="AA41" i="112"/>
  <c r="AE42" i="112" s="1"/>
  <c r="AA263" i="112"/>
  <c r="AE264" i="112" s="1"/>
  <c r="Z93" i="58"/>
  <c r="Y55" i="112" s="1"/>
  <c r="X55" i="112"/>
  <c r="AB56" i="112" s="1"/>
  <c r="V33" i="112"/>
  <c r="V29" i="112"/>
  <c r="AB20" i="112"/>
  <c r="AB29" i="112" s="1"/>
  <c r="AB30" i="112" s="1"/>
  <c r="AC20" i="112"/>
  <c r="AC29" i="112" s="1"/>
  <c r="AC30" i="112" s="1"/>
  <c r="AB19" i="112"/>
  <c r="AB41" i="112"/>
  <c r="AB263" i="112"/>
  <c r="Z33" i="112"/>
  <c r="Z29" i="112"/>
  <c r="E15" i="112"/>
  <c r="AE250" i="112"/>
  <c r="AE266" i="112" s="1"/>
  <c r="Z25" i="112"/>
  <c r="AD44" i="112" s="1"/>
  <c r="AH93" i="58"/>
  <c r="AG55" i="112" s="1"/>
  <c r="AF55" i="112"/>
  <c r="C15" i="112"/>
  <c r="D16" i="112"/>
  <c r="K56" i="112"/>
  <c r="AB15" i="112"/>
  <c r="AC16" i="112"/>
  <c r="AC19" i="112"/>
  <c r="S56" i="112"/>
  <c r="AE56" i="112"/>
  <c r="R93" i="58"/>
  <c r="Q55" i="112" s="1"/>
  <c r="P55" i="112"/>
  <c r="W56" i="112"/>
  <c r="W33" i="112"/>
  <c r="W263" i="112"/>
  <c r="V93" i="58"/>
  <c r="U55" i="112" s="1"/>
  <c r="T55" i="112"/>
  <c r="AC15" i="112"/>
  <c r="M13" i="111"/>
  <c r="W479" i="94"/>
  <c r="Y479" i="94"/>
  <c r="Z479" i="94"/>
  <c r="AA479" i="94"/>
  <c r="AC479" i="94"/>
  <c r="AD479" i="94"/>
  <c r="AE479" i="94"/>
  <c r="AG479" i="94"/>
  <c r="AH479" i="94"/>
  <c r="AI479" i="94"/>
  <c r="AL479" i="94"/>
  <c r="AM479" i="94"/>
  <c r="Z30" i="112" l="1"/>
  <c r="J17" i="111"/>
  <c r="J20" i="11"/>
  <c r="Z34" i="112"/>
  <c r="AB33" i="112"/>
  <c r="AA34" i="112"/>
  <c r="AG56" i="112"/>
  <c r="AG41" i="112"/>
  <c r="AG263" i="112"/>
  <c r="AB25" i="112"/>
  <c r="AB250" i="112"/>
  <c r="AB265" i="112" s="1"/>
  <c r="AA25" i="112"/>
  <c r="AA250" i="112"/>
  <c r="Q56" i="112"/>
  <c r="AD49" i="112"/>
  <c r="AD253" i="112"/>
  <c r="X33" i="112"/>
  <c r="X56" i="112"/>
  <c r="X263" i="112"/>
  <c r="AB264" i="112" s="1"/>
  <c r="AC33" i="112"/>
  <c r="AC56" i="112"/>
  <c r="AC41" i="112"/>
  <c r="AC263" i="112"/>
  <c r="P56" i="112"/>
  <c r="T56" i="112"/>
  <c r="U33" i="112"/>
  <c r="U56" i="112"/>
  <c r="U263" i="112"/>
  <c r="AF56" i="112"/>
  <c r="AF41" i="112"/>
  <c r="AF263" i="112"/>
  <c r="AH469" i="111"/>
  <c r="AH440" i="111"/>
  <c r="AE265" i="112"/>
  <c r="Y33" i="112"/>
  <c r="Y56" i="112"/>
  <c r="Y263" i="112"/>
  <c r="AA264" i="112"/>
  <c r="AK479" i="94"/>
  <c r="AJ479" i="94"/>
  <c r="X479" i="94"/>
  <c r="AN479" i="94"/>
  <c r="AF479" i="94"/>
  <c r="AB479" i="94"/>
  <c r="BQ23" i="8"/>
  <c r="BP23" i="8"/>
  <c r="BQ21" i="8"/>
  <c r="BP21" i="8"/>
  <c r="BO21" i="8"/>
  <c r="BM21" i="8"/>
  <c r="BL21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B34" i="112" l="1"/>
  <c r="J141" i="111"/>
  <c r="J101" i="111"/>
  <c r="AF264" i="112"/>
  <c r="Y264" i="112"/>
  <c r="AC34" i="112"/>
  <c r="AD257" i="112"/>
  <c r="AD258" i="112" s="1"/>
  <c r="AF44" i="112"/>
  <c r="AJ440" i="111"/>
  <c r="AJ469" i="111"/>
  <c r="AG42" i="112"/>
  <c r="AG250" i="112"/>
  <c r="AG265" i="112" s="1"/>
  <c r="AC264" i="112"/>
  <c r="AI440" i="111"/>
  <c r="AI469" i="111"/>
  <c r="AI470" i="111" s="1"/>
  <c r="AE44" i="112"/>
  <c r="Y34" i="112"/>
  <c r="AF42" i="112"/>
  <c r="AF250" i="112"/>
  <c r="AF266" i="112" s="1"/>
  <c r="Q870" i="111"/>
  <c r="AC25" i="112"/>
  <c r="AC250" i="112"/>
  <c r="AC265" i="112" s="1"/>
  <c r="P870" i="111"/>
  <c r="P880" i="111" s="1"/>
  <c r="AE251" i="112"/>
  <c r="AE270" i="112" s="1"/>
  <c r="AA265" i="112"/>
  <c r="AG264" i="112"/>
  <c r="BN21" i="8"/>
  <c r="B21" i="8"/>
  <c r="F21" i="8"/>
  <c r="J21" i="8"/>
  <c r="N21" i="8"/>
  <c r="R21" i="8"/>
  <c r="V21" i="8"/>
  <c r="Z21" i="8"/>
  <c r="AD21" i="8"/>
  <c r="AH21" i="8"/>
  <c r="AL21" i="8"/>
  <c r="B22" i="8"/>
  <c r="F22" i="8"/>
  <c r="J22" i="8"/>
  <c r="N22" i="8"/>
  <c r="R22" i="8"/>
  <c r="V22" i="8"/>
  <c r="Z22" i="8"/>
  <c r="AD22" i="8"/>
  <c r="AH22" i="8"/>
  <c r="AL22" i="8"/>
  <c r="C21" i="8"/>
  <c r="G21" i="8"/>
  <c r="K21" i="8"/>
  <c r="O21" i="8"/>
  <c r="S21" i="8"/>
  <c r="W21" i="8"/>
  <c r="AA21" i="8"/>
  <c r="AE21" i="8"/>
  <c r="AI21" i="8"/>
  <c r="AM21" i="8"/>
  <c r="C22" i="8"/>
  <c r="G22" i="8"/>
  <c r="K22" i="8"/>
  <c r="O22" i="8"/>
  <c r="S22" i="8"/>
  <c r="W22" i="8"/>
  <c r="AA22" i="8"/>
  <c r="AE22" i="8"/>
  <c r="AI22" i="8"/>
  <c r="AM22" i="8"/>
  <c r="D21" i="8"/>
  <c r="H21" i="8"/>
  <c r="L21" i="8"/>
  <c r="P21" i="8"/>
  <c r="T21" i="8"/>
  <c r="X21" i="8"/>
  <c r="AB21" i="8"/>
  <c r="AF21" i="8"/>
  <c r="AJ21" i="8"/>
  <c r="D22" i="8"/>
  <c r="H22" i="8"/>
  <c r="L22" i="8"/>
  <c r="P22" i="8"/>
  <c r="T22" i="8"/>
  <c r="X22" i="8"/>
  <c r="AB22" i="8"/>
  <c r="AF22" i="8"/>
  <c r="AJ22" i="8"/>
  <c r="E21" i="8"/>
  <c r="I21" i="8"/>
  <c r="M21" i="8"/>
  <c r="Q21" i="8"/>
  <c r="U21" i="8"/>
  <c r="Y21" i="8"/>
  <c r="AC21" i="8"/>
  <c r="AG21" i="8"/>
  <c r="AK21" i="8"/>
  <c r="E22" i="8"/>
  <c r="I22" i="8"/>
  <c r="M22" i="8"/>
  <c r="Q22" i="8"/>
  <c r="U22" i="8"/>
  <c r="Y22" i="8"/>
  <c r="AC22" i="8"/>
  <c r="AG22" i="8"/>
  <c r="AK22" i="8"/>
  <c r="BQ34" i="8"/>
  <c r="BP34" i="8"/>
  <c r="BO34" i="8"/>
  <c r="BN34" i="8"/>
  <c r="BM34" i="8"/>
  <c r="BL34" i="8"/>
  <c r="BQ32" i="8"/>
  <c r="BO32" i="8"/>
  <c r="BM32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J470" i="111" l="1"/>
  <c r="AG266" i="112"/>
  <c r="AK469" i="111"/>
  <c r="AK470" i="111" s="1"/>
  <c r="AK440" i="111"/>
  <c r="AG44" i="112"/>
  <c r="AG251" i="112"/>
  <c r="AG270" i="112" s="1"/>
  <c r="AF253" i="112"/>
  <c r="AF257" i="112" s="1"/>
  <c r="AF258" i="112" s="1"/>
  <c r="AE253" i="112"/>
  <c r="AE257" i="112" s="1"/>
  <c r="AE258" i="112" s="1"/>
  <c r="AE49" i="112"/>
  <c r="AC266" i="112"/>
  <c r="AF251" i="112"/>
  <c r="AF270" i="112" s="1"/>
  <c r="AF265" i="112"/>
  <c r="AF49" i="112"/>
  <c r="BN178" i="8"/>
  <c r="BN180" i="8"/>
  <c r="BL178" i="8"/>
  <c r="BL180" i="8"/>
  <c r="BM178" i="8"/>
  <c r="BM180" i="8"/>
  <c r="BP180" i="8"/>
  <c r="BP178" i="8"/>
  <c r="BO180" i="8"/>
  <c r="BO178" i="8"/>
  <c r="BN32" i="8"/>
  <c r="BL32" i="8"/>
  <c r="BP32" i="8"/>
  <c r="B32" i="8"/>
  <c r="F32" i="8"/>
  <c r="J32" i="8"/>
  <c r="N32" i="8"/>
  <c r="R32" i="8"/>
  <c r="V32" i="8"/>
  <c r="Z32" i="8"/>
  <c r="AD32" i="8"/>
  <c r="AH32" i="8"/>
  <c r="AL32" i="8"/>
  <c r="B33" i="8"/>
  <c r="F33" i="8"/>
  <c r="J33" i="8"/>
  <c r="N33" i="8"/>
  <c r="R33" i="8"/>
  <c r="V33" i="8"/>
  <c r="Z33" i="8"/>
  <c r="AD33" i="8"/>
  <c r="AH33" i="8"/>
  <c r="AL33" i="8"/>
  <c r="C32" i="8"/>
  <c r="G32" i="8"/>
  <c r="K32" i="8"/>
  <c r="O32" i="8"/>
  <c r="S32" i="8"/>
  <c r="W32" i="8"/>
  <c r="AA32" i="8"/>
  <c r="AE32" i="8"/>
  <c r="AI32" i="8"/>
  <c r="AM32" i="8"/>
  <c r="C33" i="8"/>
  <c r="G33" i="8"/>
  <c r="K33" i="8"/>
  <c r="O33" i="8"/>
  <c r="S33" i="8"/>
  <c r="W33" i="8"/>
  <c r="AA33" i="8"/>
  <c r="AE33" i="8"/>
  <c r="AI33" i="8"/>
  <c r="AM33" i="8"/>
  <c r="D32" i="8"/>
  <c r="H32" i="8"/>
  <c r="L32" i="8"/>
  <c r="P32" i="8"/>
  <c r="T32" i="8"/>
  <c r="X32" i="8"/>
  <c r="AB32" i="8"/>
  <c r="AF32" i="8"/>
  <c r="AJ32" i="8"/>
  <c r="D33" i="8"/>
  <c r="H33" i="8"/>
  <c r="L33" i="8"/>
  <c r="P33" i="8"/>
  <c r="T33" i="8"/>
  <c r="X33" i="8"/>
  <c r="AB33" i="8"/>
  <c r="AF33" i="8"/>
  <c r="AJ33" i="8"/>
  <c r="E32" i="8"/>
  <c r="I32" i="8"/>
  <c r="M32" i="8"/>
  <c r="Q32" i="8"/>
  <c r="U32" i="8"/>
  <c r="Y32" i="8"/>
  <c r="AC32" i="8"/>
  <c r="AG32" i="8"/>
  <c r="AK32" i="8"/>
  <c r="E33" i="8"/>
  <c r="I33" i="8"/>
  <c r="M33" i="8"/>
  <c r="Q33" i="8"/>
  <c r="U33" i="8"/>
  <c r="Y33" i="8"/>
  <c r="AC33" i="8"/>
  <c r="AG33" i="8"/>
  <c r="AK33" i="8"/>
  <c r="J15" i="11"/>
  <c r="J11" i="11"/>
  <c r="AG253" i="112" l="1"/>
  <c r="AG49" i="112"/>
  <c r="J18" i="111"/>
  <c r="J23" i="111"/>
  <c r="J19" i="11"/>
  <c r="C126" i="8"/>
  <c r="C121" i="8"/>
  <c r="E126" i="8"/>
  <c r="E121" i="8"/>
  <c r="D121" i="8"/>
  <c r="D126" i="8"/>
  <c r="AG257" i="112" l="1"/>
  <c r="AG258" i="112" s="1"/>
  <c r="J102" i="111"/>
  <c r="J142" i="111"/>
  <c r="AE75" i="58"/>
  <c r="AE74" i="58"/>
  <c r="AF75" i="58"/>
  <c r="AF74" i="58"/>
  <c r="AG74" i="58"/>
  <c r="AG75" i="58"/>
  <c r="AH75" i="58"/>
  <c r="AH74" i="58"/>
  <c r="AJ93" i="58"/>
  <c r="AN93" i="58"/>
  <c r="AM55" i="112" s="1"/>
  <c r="AI75" i="58"/>
  <c r="AI74" i="58"/>
  <c r="AJ75" i="58"/>
  <c r="AJ74" i="58"/>
  <c r="AK75" i="58"/>
  <c r="AK74" i="58"/>
  <c r="AI27" i="94" l="1"/>
  <c r="AH18" i="112"/>
  <c r="AH27" i="94"/>
  <c r="AG18" i="112"/>
  <c r="AF27" i="94"/>
  <c r="AE18" i="112"/>
  <c r="AK15" i="94"/>
  <c r="AJ14" i="112"/>
  <c r="AM33" i="112"/>
  <c r="AM263" i="112"/>
  <c r="AQ56" i="112"/>
  <c r="AG27" i="94"/>
  <c r="AF18" i="112"/>
  <c r="AE15" i="94"/>
  <c r="AD14" i="112"/>
  <c r="AJ27" i="94"/>
  <c r="AI18" i="112"/>
  <c r="AK27" i="94"/>
  <c r="AJ18" i="112"/>
  <c r="AJ15" i="94"/>
  <c r="AI14" i="112"/>
  <c r="AK93" i="58"/>
  <c r="AI55" i="112"/>
  <c r="AG15" i="94"/>
  <c r="AF14" i="112"/>
  <c r="AE27" i="94"/>
  <c r="AD18" i="112"/>
  <c r="AI15" i="94"/>
  <c r="AH14" i="112"/>
  <c r="AH15" i="94"/>
  <c r="AG14" i="112"/>
  <c r="AF15" i="94"/>
  <c r="AE14" i="112"/>
  <c r="AO93" i="58"/>
  <c r="AN55" i="112" s="1"/>
  <c r="J10" i="11"/>
  <c r="C110" i="8"/>
  <c r="D110" i="8"/>
  <c r="E110" i="8"/>
  <c r="AN33" i="112" l="1"/>
  <c r="AN263" i="112"/>
  <c r="AR56" i="112"/>
  <c r="AH16" i="112"/>
  <c r="AG15" i="112"/>
  <c r="AE20" i="112"/>
  <c r="AD19" i="112"/>
  <c r="AD20" i="112"/>
  <c r="AI56" i="112"/>
  <c r="AI41" i="112"/>
  <c r="AI263" i="112"/>
  <c r="AK20" i="112"/>
  <c r="AK29" i="112" s="1"/>
  <c r="AJ19" i="112"/>
  <c r="AK19" i="112"/>
  <c r="AD15" i="112"/>
  <c r="AE16" i="112"/>
  <c r="Q875" i="111"/>
  <c r="Q880" i="111" s="1"/>
  <c r="Q885" i="111" s="1"/>
  <c r="AD16" i="112"/>
  <c r="AK16" i="112"/>
  <c r="AJ15" i="112"/>
  <c r="AK15" i="112"/>
  <c r="AG19" i="112"/>
  <c r="AH20" i="112"/>
  <c r="AL93" i="58"/>
  <c r="AK55" i="112" s="1"/>
  <c r="AJ55" i="112"/>
  <c r="AE15" i="112"/>
  <c r="AF16" i="112"/>
  <c r="AH15" i="112"/>
  <c r="AI16" i="112"/>
  <c r="R875" i="111"/>
  <c r="AG16" i="112"/>
  <c r="AF15" i="112"/>
  <c r="AI15" i="112"/>
  <c r="AJ16" i="112"/>
  <c r="AJ20" i="112"/>
  <c r="AJ29" i="112" s="1"/>
  <c r="AI19" i="112"/>
  <c r="AG20" i="112"/>
  <c r="AF19" i="112"/>
  <c r="AQ34" i="112"/>
  <c r="AF20" i="112"/>
  <c r="AE19" i="112"/>
  <c r="AI20" i="112"/>
  <c r="AI29" i="112" s="1"/>
  <c r="AH19" i="112"/>
  <c r="AQ264" i="112"/>
  <c r="AM56" i="112"/>
  <c r="J16" i="111"/>
  <c r="J18" i="11"/>
  <c r="AP93" i="58"/>
  <c r="AO55" i="112" s="1"/>
  <c r="R15" i="11"/>
  <c r="Q15" i="11"/>
  <c r="Q23" i="111" s="1"/>
  <c r="P15" i="11"/>
  <c r="O15" i="11"/>
  <c r="O23" i="111" s="1"/>
  <c r="N15" i="11"/>
  <c r="N23" i="111" s="1"/>
  <c r="M15" i="11"/>
  <c r="M23" i="111" s="1"/>
  <c r="L15" i="11"/>
  <c r="L23" i="111" s="1"/>
  <c r="K15" i="11"/>
  <c r="K23" i="111" s="1"/>
  <c r="F126" i="8"/>
  <c r="R11" i="11"/>
  <c r="Q11" i="11"/>
  <c r="Q18" i="111" s="1"/>
  <c r="P11" i="11"/>
  <c r="O11" i="11"/>
  <c r="O18" i="111" s="1"/>
  <c r="N11" i="11"/>
  <c r="N18" i="111" s="1"/>
  <c r="M11" i="11"/>
  <c r="M18" i="111" s="1"/>
  <c r="L11" i="11"/>
  <c r="L18" i="111" s="1"/>
  <c r="K11" i="11"/>
  <c r="R16" i="11"/>
  <c r="Q16" i="11"/>
  <c r="Q22" i="111" s="1"/>
  <c r="P16" i="11"/>
  <c r="O16" i="11"/>
  <c r="O22" i="111" s="1"/>
  <c r="N16" i="11"/>
  <c r="N22" i="111" s="1"/>
  <c r="R12" i="11"/>
  <c r="Q12" i="11"/>
  <c r="Q17" i="111" s="1"/>
  <c r="P12" i="11"/>
  <c r="O12" i="11"/>
  <c r="O17" i="111" s="1"/>
  <c r="N12" i="11"/>
  <c r="N17" i="111" s="1"/>
  <c r="M12" i="11"/>
  <c r="M17" i="111" s="1"/>
  <c r="L12" i="11"/>
  <c r="L17" i="111" s="1"/>
  <c r="K12" i="11"/>
  <c r="R14" i="11"/>
  <c r="Q14" i="11"/>
  <c r="Q21" i="111" s="1"/>
  <c r="P14" i="11"/>
  <c r="O14" i="11"/>
  <c r="O21" i="111" s="1"/>
  <c r="N14" i="11"/>
  <c r="N21" i="111" s="1"/>
  <c r="R10" i="11"/>
  <c r="Q10" i="11"/>
  <c r="Q16" i="111" s="1"/>
  <c r="P10" i="11"/>
  <c r="O10" i="11"/>
  <c r="O16" i="111" s="1"/>
  <c r="N10" i="11"/>
  <c r="N16" i="111" s="1"/>
  <c r="M10" i="11"/>
  <c r="M16" i="111" s="1"/>
  <c r="L10" i="11"/>
  <c r="L16" i="111" s="1"/>
  <c r="K10" i="11"/>
  <c r="F110" i="8"/>
  <c r="AM89" i="58"/>
  <c r="AL52" i="112" s="1"/>
  <c r="R18" i="111" l="1"/>
  <c r="R17" i="111"/>
  <c r="R16" i="111"/>
  <c r="R23" i="111"/>
  <c r="R21" i="111"/>
  <c r="R22" i="111"/>
  <c r="P18" i="111"/>
  <c r="P16" i="111"/>
  <c r="P17" i="111"/>
  <c r="P21" i="111"/>
  <c r="P23" i="111"/>
  <c r="P22" i="111"/>
  <c r="AL260" i="112"/>
  <c r="AL53" i="112"/>
  <c r="AL41" i="112"/>
  <c r="AL29" i="112"/>
  <c r="AP30" i="112" s="1"/>
  <c r="AP53" i="112"/>
  <c r="AI33" i="112"/>
  <c r="AM34" i="112" s="1"/>
  <c r="AO33" i="112"/>
  <c r="AO56" i="112"/>
  <c r="AS56" i="112"/>
  <c r="AO263" i="112"/>
  <c r="AH29" i="112"/>
  <c r="AH33" i="112"/>
  <c r="AD25" i="112"/>
  <c r="AD50" i="112"/>
  <c r="AE29" i="112"/>
  <c r="AE30" i="112" s="1"/>
  <c r="AE33" i="112"/>
  <c r="AE34" i="112" s="1"/>
  <c r="AI264" i="112"/>
  <c r="AD33" i="112"/>
  <c r="AD34" i="112" s="1"/>
  <c r="AD29" i="112"/>
  <c r="AR264" i="112"/>
  <c r="AM264" i="112"/>
  <c r="AG29" i="112"/>
  <c r="AG30" i="112" s="1"/>
  <c r="AG33" i="112"/>
  <c r="AG34" i="112" s="1"/>
  <c r="AF25" i="112"/>
  <c r="AF50" i="112"/>
  <c r="AJ33" i="112"/>
  <c r="AJ56" i="112"/>
  <c r="AJ41" i="112"/>
  <c r="AJ263" i="112"/>
  <c r="AE25" i="112"/>
  <c r="AI44" i="112" s="1"/>
  <c r="AE50" i="112"/>
  <c r="AI25" i="112"/>
  <c r="AI42" i="112"/>
  <c r="AI250" i="112"/>
  <c r="AN56" i="112"/>
  <c r="AF29" i="112"/>
  <c r="AF30" i="112" s="1"/>
  <c r="AF33" i="112"/>
  <c r="AF34" i="112" s="1"/>
  <c r="AG25" i="112"/>
  <c r="AK44" i="112" s="1"/>
  <c r="AG50" i="112"/>
  <c r="AK33" i="112"/>
  <c r="AK56" i="112"/>
  <c r="AK41" i="112"/>
  <c r="AK263" i="112"/>
  <c r="AH25" i="112"/>
  <c r="AL44" i="112" s="1"/>
  <c r="AR34" i="112"/>
  <c r="K20" i="11"/>
  <c r="K17" i="111"/>
  <c r="K18" i="11"/>
  <c r="K16" i="111"/>
  <c r="J140" i="111"/>
  <c r="J100" i="111"/>
  <c r="K19" i="11"/>
  <c r="K18" i="111"/>
  <c r="N18" i="11"/>
  <c r="Q18" i="11"/>
  <c r="L18" i="11"/>
  <c r="P18" i="11"/>
  <c r="N20" i="11"/>
  <c r="M18" i="11"/>
  <c r="O18" i="11"/>
  <c r="R18" i="11"/>
  <c r="S18" i="11"/>
  <c r="L20" i="11"/>
  <c r="M20" i="11"/>
  <c r="O20" i="11"/>
  <c r="P20" i="11"/>
  <c r="Q20" i="11"/>
  <c r="R20" i="11"/>
  <c r="S20" i="11"/>
  <c r="L19" i="11"/>
  <c r="M19" i="11"/>
  <c r="N19" i="11"/>
  <c r="O19" i="11"/>
  <c r="P19" i="11"/>
  <c r="Q19" i="11"/>
  <c r="R19" i="11"/>
  <c r="S19" i="11"/>
  <c r="AN462" i="94"/>
  <c r="AN39" i="94"/>
  <c r="AM462" i="94"/>
  <c r="AM39" i="94"/>
  <c r="AN89" i="58"/>
  <c r="AM52" i="112" s="1"/>
  <c r="AN132" i="8"/>
  <c r="AN115" i="8"/>
  <c r="AN121" i="8"/>
  <c r="AN110" i="8"/>
  <c r="AN137" i="8"/>
  <c r="AN126" i="8"/>
  <c r="F121" i="8"/>
  <c r="G121" i="8"/>
  <c r="K121" i="8"/>
  <c r="O121" i="8"/>
  <c r="S121" i="8"/>
  <c r="W121" i="8"/>
  <c r="AA121" i="8"/>
  <c r="AE121" i="8"/>
  <c r="AI121" i="8"/>
  <c r="J126" i="8"/>
  <c r="N126" i="8"/>
  <c r="R126" i="8"/>
  <c r="V126" i="8"/>
  <c r="Z126" i="8"/>
  <c r="AD126" i="8"/>
  <c r="AH126" i="8"/>
  <c r="AL126" i="8"/>
  <c r="H121" i="8"/>
  <c r="L121" i="8"/>
  <c r="T121" i="8"/>
  <c r="AB121" i="8"/>
  <c r="AJ121" i="8"/>
  <c r="K126" i="8"/>
  <c r="O126" i="8"/>
  <c r="S126" i="8"/>
  <c r="AA126" i="8"/>
  <c r="AE126" i="8"/>
  <c r="AI126" i="8"/>
  <c r="AM121" i="8"/>
  <c r="AM126" i="8"/>
  <c r="P121" i="8"/>
  <c r="X121" i="8"/>
  <c r="AF121" i="8"/>
  <c r="G126" i="8"/>
  <c r="W126" i="8"/>
  <c r="Q121" i="8"/>
  <c r="AG121" i="8"/>
  <c r="H126" i="8"/>
  <c r="P126" i="8"/>
  <c r="X126" i="8"/>
  <c r="AJ126" i="8"/>
  <c r="J121" i="8"/>
  <c r="N121" i="8"/>
  <c r="R121" i="8"/>
  <c r="V121" i="8"/>
  <c r="Z121" i="8"/>
  <c r="AD121" i="8"/>
  <c r="AH121" i="8"/>
  <c r="AL121" i="8"/>
  <c r="I126" i="8"/>
  <c r="M126" i="8"/>
  <c r="Q126" i="8"/>
  <c r="U126" i="8"/>
  <c r="Y126" i="8"/>
  <c r="AC126" i="8"/>
  <c r="AG126" i="8"/>
  <c r="AK126" i="8"/>
  <c r="M121" i="8"/>
  <c r="U121" i="8"/>
  <c r="AC121" i="8"/>
  <c r="L126" i="8"/>
  <c r="AB126" i="8"/>
  <c r="I121" i="8"/>
  <c r="Y121" i="8"/>
  <c r="AK121" i="8"/>
  <c r="T126" i="8"/>
  <c r="AF126" i="8"/>
  <c r="V115" i="8"/>
  <c r="Z115" i="8"/>
  <c r="AD115" i="8"/>
  <c r="AH115" i="8"/>
  <c r="AL115" i="8"/>
  <c r="U115" i="8"/>
  <c r="J110" i="8"/>
  <c r="R110" i="8"/>
  <c r="Z110" i="8"/>
  <c r="W110" i="8"/>
  <c r="AA110" i="8"/>
  <c r="N110" i="8"/>
  <c r="AL110" i="8"/>
  <c r="AM110" i="8"/>
  <c r="V110" i="8"/>
  <c r="I110" i="8"/>
  <c r="M110" i="8"/>
  <c r="Q110" i="8"/>
  <c r="U110" i="8"/>
  <c r="Y110" i="8"/>
  <c r="AC110" i="8"/>
  <c r="AI110" i="8"/>
  <c r="AD110" i="8"/>
  <c r="AE110" i="8"/>
  <c r="AH110" i="8"/>
  <c r="AG110" i="8"/>
  <c r="O110" i="8"/>
  <c r="K110" i="8"/>
  <c r="S110" i="8"/>
  <c r="Y115" i="8"/>
  <c r="AM115" i="8"/>
  <c r="G110" i="8"/>
  <c r="H110" i="8"/>
  <c r="L110" i="8"/>
  <c r="P110" i="8"/>
  <c r="T110" i="8"/>
  <c r="X110" i="8"/>
  <c r="AB110" i="8"/>
  <c r="AF110" i="8"/>
  <c r="AJ110" i="8"/>
  <c r="W115" i="8"/>
  <c r="AA115" i="8"/>
  <c r="AE115" i="8"/>
  <c r="AI115" i="8"/>
  <c r="AK110" i="8"/>
  <c r="X115" i="8"/>
  <c r="AB115" i="8"/>
  <c r="AF115" i="8"/>
  <c r="AJ115" i="8"/>
  <c r="AC115" i="8"/>
  <c r="AG115" i="8"/>
  <c r="AK115" i="8"/>
  <c r="U36" i="58"/>
  <c r="T36" i="58"/>
  <c r="S36" i="58"/>
  <c r="R36" i="58"/>
  <c r="Q36" i="58"/>
  <c r="P36" i="58"/>
  <c r="O36" i="58"/>
  <c r="N36" i="58"/>
  <c r="M36" i="58"/>
  <c r="L36" i="58"/>
  <c r="K36" i="58"/>
  <c r="J36" i="58"/>
  <c r="I36" i="58"/>
  <c r="H36" i="58"/>
  <c r="G36" i="58"/>
  <c r="F36" i="58"/>
  <c r="E36" i="58"/>
  <c r="D36" i="58"/>
  <c r="C36" i="58"/>
  <c r="AA35" i="58"/>
  <c r="R870" i="111" l="1"/>
  <c r="R880" i="111" s="1"/>
  <c r="R885" i="111" s="1"/>
  <c r="AL30" i="112"/>
  <c r="AL25" i="112"/>
  <c r="AL26" i="112" s="1"/>
  <c r="AL42" i="112"/>
  <c r="AL250" i="112"/>
  <c r="AP42" i="112"/>
  <c r="AL261" i="112"/>
  <c r="AP261" i="112"/>
  <c r="AJ34" i="112"/>
  <c r="AI34" i="112"/>
  <c r="AF159" i="8" s="1"/>
  <c r="AL49" i="112"/>
  <c r="AL50" i="112" s="1"/>
  <c r="AL253" i="112"/>
  <c r="AK46" i="112"/>
  <c r="AK253" i="112"/>
  <c r="AK254" i="112" s="1"/>
  <c r="AI251" i="112"/>
  <c r="AI270" i="112" s="1"/>
  <c r="AI271" i="112" s="1"/>
  <c r="AQ440" i="111"/>
  <c r="AQ469" i="111"/>
  <c r="AI26" i="112"/>
  <c r="AI46" i="112"/>
  <c r="AI253" i="112"/>
  <c r="AI254" i="112" s="1"/>
  <c r="AL440" i="111"/>
  <c r="AL441" i="111" s="1"/>
  <c r="AL469" i="111"/>
  <c r="AL470" i="111" s="1"/>
  <c r="AD26" i="112"/>
  <c r="AS264" i="112"/>
  <c r="AP469" i="111"/>
  <c r="AH26" i="112"/>
  <c r="AP440" i="111"/>
  <c r="AK34" i="112"/>
  <c r="AH159" i="8" s="1"/>
  <c r="AI49" i="112"/>
  <c r="AI50" i="112" s="1"/>
  <c r="AN264" i="112"/>
  <c r="AJ264" i="112"/>
  <c r="AI266" i="112"/>
  <c r="AJ30" i="112"/>
  <c r="AK30" i="112"/>
  <c r="AH34" i="112"/>
  <c r="AE159" i="8" s="1"/>
  <c r="AL34" i="112"/>
  <c r="AI159" i="8" s="1"/>
  <c r="AM53" i="112"/>
  <c r="AM260" i="112"/>
  <c r="AM29" i="112"/>
  <c r="AM41" i="112"/>
  <c r="AQ53" i="112"/>
  <c r="AO264" i="112"/>
  <c r="AK264" i="112"/>
  <c r="AJ25" i="112"/>
  <c r="AJ42" i="112"/>
  <c r="AJ250" i="112"/>
  <c r="AJ266" i="112" s="1"/>
  <c r="AJ44" i="112"/>
  <c r="AN469" i="111"/>
  <c r="AF26" i="112"/>
  <c r="AN440" i="111"/>
  <c r="AN441" i="111" s="1"/>
  <c r="AI30" i="112"/>
  <c r="AI265" i="112"/>
  <c r="AN34" i="112"/>
  <c r="AK42" i="112"/>
  <c r="AK25" i="112"/>
  <c r="AK49" i="112"/>
  <c r="AK50" i="112" s="1"/>
  <c r="AK250" i="112"/>
  <c r="AG26" i="112"/>
  <c r="AO440" i="111"/>
  <c r="AO441" i="111" s="1"/>
  <c r="AO469" i="111"/>
  <c r="AE26" i="112"/>
  <c r="AM440" i="111"/>
  <c r="AM441" i="111" s="1"/>
  <c r="AM469" i="111"/>
  <c r="AH30" i="112"/>
  <c r="AD30" i="112"/>
  <c r="AH44" i="112"/>
  <c r="AM44" i="112"/>
  <c r="AO34" i="112"/>
  <c r="AS34" i="112"/>
  <c r="N140" i="111"/>
  <c r="N100" i="111"/>
  <c r="Q142" i="111"/>
  <c r="Q102" i="111"/>
  <c r="M142" i="111"/>
  <c r="M102" i="111"/>
  <c r="Q141" i="111"/>
  <c r="Q101" i="111"/>
  <c r="L101" i="111"/>
  <c r="L141" i="111"/>
  <c r="M100" i="111"/>
  <c r="M140" i="111"/>
  <c r="Q100" i="111"/>
  <c r="Q140" i="111"/>
  <c r="P142" i="111"/>
  <c r="P102" i="111"/>
  <c r="L142" i="111"/>
  <c r="L102" i="111"/>
  <c r="P101" i="111"/>
  <c r="P141" i="111"/>
  <c r="S140" i="111"/>
  <c r="S100" i="111"/>
  <c r="N141" i="111"/>
  <c r="N101" i="111"/>
  <c r="K102" i="111"/>
  <c r="K142" i="111"/>
  <c r="S102" i="111"/>
  <c r="S142" i="111"/>
  <c r="O102" i="111"/>
  <c r="O142" i="111"/>
  <c r="S101" i="111"/>
  <c r="S141" i="111"/>
  <c r="O101" i="111"/>
  <c r="O141" i="111"/>
  <c r="R140" i="111"/>
  <c r="R100" i="111"/>
  <c r="P100" i="111"/>
  <c r="P140" i="111"/>
  <c r="K140" i="111"/>
  <c r="K100" i="111"/>
  <c r="R102" i="111"/>
  <c r="R142" i="111"/>
  <c r="N102" i="111"/>
  <c r="N142" i="111"/>
  <c r="R141" i="111"/>
  <c r="R101" i="111"/>
  <c r="M141" i="111"/>
  <c r="M101" i="111"/>
  <c r="O140" i="111"/>
  <c r="O100" i="111"/>
  <c r="L100" i="111"/>
  <c r="L140" i="111"/>
  <c r="K101" i="111"/>
  <c r="K141" i="111"/>
  <c r="AO89" i="58"/>
  <c r="AN52" i="112" s="1"/>
  <c r="AN469" i="94"/>
  <c r="AM469" i="94"/>
  <c r="AN49" i="94"/>
  <c r="AN45" i="94"/>
  <c r="AN48" i="94"/>
  <c r="AN50" i="94"/>
  <c r="AN46" i="94"/>
  <c r="AN43" i="94"/>
  <c r="AN44" i="94"/>
  <c r="AN47" i="94"/>
  <c r="AM48" i="94"/>
  <c r="AM44" i="94"/>
  <c r="AM47" i="94"/>
  <c r="AM49" i="94"/>
  <c r="AM46" i="94"/>
  <c r="AM43" i="94"/>
  <c r="AM45" i="94"/>
  <c r="AM50" i="94"/>
  <c r="AN139" i="8"/>
  <c r="AN138" i="8"/>
  <c r="AN123" i="8"/>
  <c r="AN122" i="8"/>
  <c r="AN134" i="8"/>
  <c r="AN133" i="8"/>
  <c r="AN112" i="8"/>
  <c r="AN111" i="8"/>
  <c r="AN128" i="8"/>
  <c r="AN127" i="8"/>
  <c r="AN117" i="8"/>
  <c r="AN116" i="8"/>
  <c r="AD159" i="8"/>
  <c r="AC159" i="8"/>
  <c r="X159" i="8"/>
  <c r="V159" i="8"/>
  <c r="Y159" i="8"/>
  <c r="W159" i="8"/>
  <c r="Z159" i="8"/>
  <c r="AG159" i="8"/>
  <c r="AB159" i="8"/>
  <c r="AA159" i="8"/>
  <c r="AM470" i="111" l="1"/>
  <c r="AL266" i="112"/>
  <c r="AL265" i="112"/>
  <c r="AL251" i="112"/>
  <c r="AL270" i="112" s="1"/>
  <c r="AL271" i="112" s="1"/>
  <c r="AP251" i="112"/>
  <c r="AP270" i="112" s="1"/>
  <c r="AT440" i="111"/>
  <c r="AX441" i="111" s="1"/>
  <c r="AT469" i="111"/>
  <c r="AP44" i="112"/>
  <c r="AP26" i="112"/>
  <c r="AQ470" i="111"/>
  <c r="AI257" i="112"/>
  <c r="AI258" i="112" s="1"/>
  <c r="AK251" i="112"/>
  <c r="AK270" i="112" s="1"/>
  <c r="AK271" i="112" s="1"/>
  <c r="AK257" i="112"/>
  <c r="AK258" i="112" s="1"/>
  <c r="AJ251" i="112"/>
  <c r="AJ270" i="112" s="1"/>
  <c r="AJ271" i="112" s="1"/>
  <c r="AK265" i="112"/>
  <c r="AN53" i="112"/>
  <c r="AN260" i="112"/>
  <c r="AN29" i="112"/>
  <c r="AN41" i="112"/>
  <c r="AR53" i="112"/>
  <c r="AO470" i="111"/>
  <c r="AK266" i="112"/>
  <c r="AM25" i="112"/>
  <c r="AM42" i="112"/>
  <c r="AM49" i="112"/>
  <c r="AM50" i="112" s="1"/>
  <c r="AM250" i="112"/>
  <c r="AQ42" i="112"/>
  <c r="AP441" i="111"/>
  <c r="AQ441" i="111"/>
  <c r="AM46" i="112"/>
  <c r="AM253" i="112"/>
  <c r="AK26" i="112"/>
  <c r="AS440" i="111"/>
  <c r="AS441" i="111" s="1"/>
  <c r="AS469" i="111"/>
  <c r="AO44" i="112"/>
  <c r="AN470" i="111"/>
  <c r="AM30" i="112"/>
  <c r="AQ30" i="112"/>
  <c r="AL257" i="112"/>
  <c r="AL258" i="112" s="1"/>
  <c r="AH49" i="112"/>
  <c r="AH50" i="112" s="1"/>
  <c r="AH46" i="112"/>
  <c r="AH253" i="112"/>
  <c r="AJ49" i="112"/>
  <c r="AJ50" i="112" s="1"/>
  <c r="AJ46" i="112"/>
  <c r="AJ253" i="112"/>
  <c r="AJ254" i="112" s="1"/>
  <c r="AJ26" i="112"/>
  <c r="AR440" i="111"/>
  <c r="AR469" i="111"/>
  <c r="AR470" i="111" s="1"/>
  <c r="AN44" i="112"/>
  <c r="AM261" i="112"/>
  <c r="AQ261" i="112"/>
  <c r="AJ265" i="112"/>
  <c r="AP470" i="111"/>
  <c r="AP89" i="58"/>
  <c r="AO52" i="112" s="1"/>
  <c r="AA161" i="8"/>
  <c r="AA160" i="8"/>
  <c r="Z161" i="8"/>
  <c r="Z160" i="8"/>
  <c r="V160" i="8"/>
  <c r="V161" i="8"/>
  <c r="AH161" i="8"/>
  <c r="AH160" i="8"/>
  <c r="AB161" i="8"/>
  <c r="AB160" i="8"/>
  <c r="W160" i="8"/>
  <c r="W161" i="8"/>
  <c r="X161" i="8"/>
  <c r="X160" i="8"/>
  <c r="AD161" i="8"/>
  <c r="AD160" i="8"/>
  <c r="AI161" i="8"/>
  <c r="AI160" i="8"/>
  <c r="AE161" i="8"/>
  <c r="AE160" i="8"/>
  <c r="AF161" i="8"/>
  <c r="AF160" i="8"/>
  <c r="AG160" i="8"/>
  <c r="AG161" i="8"/>
  <c r="Y160" i="8"/>
  <c r="Y161" i="8"/>
  <c r="AC160" i="8"/>
  <c r="AC161" i="8"/>
  <c r="AN51" i="94"/>
  <c r="AM51" i="94"/>
  <c r="AP271" i="112" l="1"/>
  <c r="AT271" i="112"/>
  <c r="AP46" i="112"/>
  <c r="AT46" i="112"/>
  <c r="AP49" i="112"/>
  <c r="AP50" i="112" s="1"/>
  <c r="AP253" i="112"/>
  <c r="AT441" i="111"/>
  <c r="AH257" i="112"/>
  <c r="AH258" i="112" s="1"/>
  <c r="AH254" i="112"/>
  <c r="AR441" i="111"/>
  <c r="AM265" i="112"/>
  <c r="AM251" i="112"/>
  <c r="AM270" i="112" s="1"/>
  <c r="AM271" i="112" s="1"/>
  <c r="AQ251" i="112"/>
  <c r="AQ270" i="112" s="1"/>
  <c r="AM266" i="112"/>
  <c r="AM26" i="112"/>
  <c r="AQ44" i="112"/>
  <c r="AU440" i="111"/>
  <c r="AU469" i="111"/>
  <c r="AU470" i="111" s="1"/>
  <c r="AQ26" i="112"/>
  <c r="AO29" i="112"/>
  <c r="AO53" i="112"/>
  <c r="AO260" i="112"/>
  <c r="AO41" i="112"/>
  <c r="AS53" i="112"/>
  <c r="AN46" i="112"/>
  <c r="AN253" i="112"/>
  <c r="AL254" i="112"/>
  <c r="AO46" i="112"/>
  <c r="AO253" i="112"/>
  <c r="AO254" i="112" s="1"/>
  <c r="AM257" i="112"/>
  <c r="AM258" i="112" s="1"/>
  <c r="AM254" i="112"/>
  <c r="AN30" i="112"/>
  <c r="AR30" i="112"/>
  <c r="AJ257" i="112"/>
  <c r="AJ258" i="112" s="1"/>
  <c r="AN42" i="112"/>
  <c r="AN25" i="112"/>
  <c r="AN49" i="112"/>
  <c r="AN50" i="112" s="1"/>
  <c r="AN153" i="8" s="1"/>
  <c r="AN154" i="8" s="1"/>
  <c r="AN250" i="112"/>
  <c r="AR42" i="112"/>
  <c r="AS470" i="111"/>
  <c r="AT470" i="111"/>
  <c r="AN261" i="112"/>
  <c r="AR261" i="112"/>
  <c r="A1" i="86"/>
  <c r="B4" i="27"/>
  <c r="C4" i="27"/>
  <c r="C60" i="27" s="1"/>
  <c r="D4" i="27"/>
  <c r="D60" i="27" s="1"/>
  <c r="E4" i="27"/>
  <c r="E60" i="27" s="1"/>
  <c r="F4" i="27"/>
  <c r="F36" i="27" s="1"/>
  <c r="G4" i="27"/>
  <c r="G60" i="27" s="1"/>
  <c r="H4" i="27"/>
  <c r="H60" i="27" s="1"/>
  <c r="I4" i="27"/>
  <c r="J4" i="27"/>
  <c r="J36" i="27" s="1"/>
  <c r="L4" i="27"/>
  <c r="L60" i="27" s="1"/>
  <c r="M4" i="27"/>
  <c r="M60" i="27" s="1"/>
  <c r="O4" i="27"/>
  <c r="P4" i="27"/>
  <c r="Q4" i="27"/>
  <c r="R4" i="27"/>
  <c r="A14" i="27"/>
  <c r="B24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7" i="27"/>
  <c r="A58" i="27"/>
  <c r="A61" i="27"/>
  <c r="A62" i="27"/>
  <c r="A64" i="27"/>
  <c r="A65" i="27"/>
  <c r="A66" i="27"/>
  <c r="A67" i="27"/>
  <c r="A68" i="27"/>
  <c r="A69" i="27"/>
  <c r="A70" i="27"/>
  <c r="A73" i="27"/>
  <c r="A74" i="27"/>
  <c r="A75" i="27"/>
  <c r="A76" i="27"/>
  <c r="A79" i="27"/>
  <c r="A80" i="27"/>
  <c r="A81" i="27"/>
  <c r="A82" i="27"/>
  <c r="A83" i="27"/>
  <c r="L86" i="27"/>
  <c r="M86" i="27"/>
  <c r="A1" i="55"/>
  <c r="B28" i="55"/>
  <c r="D28" i="55"/>
  <c r="A1" i="60"/>
  <c r="J3" i="60"/>
  <c r="K3" i="60"/>
  <c r="L3" i="60"/>
  <c r="M3" i="60"/>
  <c r="N3" i="60"/>
  <c r="O3" i="60"/>
  <c r="P3" i="60"/>
  <c r="Q3" i="60"/>
  <c r="R3" i="60"/>
  <c r="S3" i="60"/>
  <c r="T3" i="60"/>
  <c r="U3" i="60"/>
  <c r="V3" i="60"/>
  <c r="W3" i="60"/>
  <c r="X3" i="60"/>
  <c r="Y3" i="60"/>
  <c r="Z3" i="60"/>
  <c r="AA3" i="60"/>
  <c r="AB3" i="60"/>
  <c r="AC3" i="60"/>
  <c r="AD3" i="60"/>
  <c r="AE3" i="60"/>
  <c r="AF3" i="60"/>
  <c r="AG3" i="60"/>
  <c r="AH3" i="60"/>
  <c r="AI3" i="60"/>
  <c r="AJ3" i="60"/>
  <c r="AK3" i="60"/>
  <c r="AL3" i="60"/>
  <c r="AM3" i="60"/>
  <c r="AN3" i="60"/>
  <c r="AO3" i="60"/>
  <c r="AP3" i="60"/>
  <c r="AP47" i="60" s="1"/>
  <c r="AQ3" i="60"/>
  <c r="AQ47" i="60" s="1"/>
  <c r="AR3" i="60"/>
  <c r="AR47" i="60" s="1"/>
  <c r="AS3" i="60"/>
  <c r="AS47" i="60" s="1"/>
  <c r="AT3" i="60"/>
  <c r="AT47" i="60" s="1"/>
  <c r="AU3" i="60"/>
  <c r="AU47" i="60" s="1"/>
  <c r="AV3" i="60"/>
  <c r="AV47" i="60" s="1"/>
  <c r="AW3" i="60"/>
  <c r="AW47" i="60" s="1"/>
  <c r="AX3" i="60"/>
  <c r="AX47" i="60" s="1"/>
  <c r="AY3" i="60"/>
  <c r="AY47" i="60" s="1"/>
  <c r="AZ3" i="60"/>
  <c r="AZ47" i="60" s="1"/>
  <c r="BA3" i="60"/>
  <c r="BA47" i="60" s="1"/>
  <c r="BB3" i="60"/>
  <c r="BB47" i="60" s="1"/>
  <c r="BC3" i="60"/>
  <c r="BC47" i="60" s="1"/>
  <c r="BD3" i="60"/>
  <c r="BD47" i="60" s="1"/>
  <c r="BE3" i="60"/>
  <c r="BE47" i="60" s="1"/>
  <c r="BF3" i="60"/>
  <c r="BF47" i="60" s="1"/>
  <c r="BG3" i="60"/>
  <c r="BG47" i="60" s="1"/>
  <c r="BH3" i="60"/>
  <c r="BH47" i="60" s="1"/>
  <c r="BI3" i="60"/>
  <c r="BI47" i="60" s="1"/>
  <c r="BJ3" i="60"/>
  <c r="BJ47" i="60" s="1"/>
  <c r="BK3" i="60"/>
  <c r="BK47" i="60" s="1"/>
  <c r="BL3" i="60"/>
  <c r="BL47" i="60" s="1"/>
  <c r="BM3" i="60"/>
  <c r="BM47" i="60" s="1"/>
  <c r="BN3" i="60"/>
  <c r="BN47" i="60" s="1"/>
  <c r="BO3" i="60"/>
  <c r="BO47" i="60" s="1"/>
  <c r="BP3" i="60"/>
  <c r="BP47" i="60" s="1"/>
  <c r="BQ3" i="60"/>
  <c r="BQ47" i="60" s="1"/>
  <c r="BS3" i="60"/>
  <c r="BS47" i="60" s="1"/>
  <c r="BT3" i="60"/>
  <c r="BU3" i="60"/>
  <c r="BV3" i="60"/>
  <c r="BW3" i="60"/>
  <c r="BX3" i="60"/>
  <c r="BY3" i="60"/>
  <c r="B5" i="60"/>
  <c r="K5" i="60"/>
  <c r="L5" i="60" s="1"/>
  <c r="M5" i="60" s="1"/>
  <c r="O5" i="60"/>
  <c r="P5" i="60" s="1"/>
  <c r="S5" i="60"/>
  <c r="T5" i="60" s="1"/>
  <c r="W5" i="60"/>
  <c r="X5" i="60" s="1"/>
  <c r="AA5" i="60"/>
  <c r="AB5" i="60" s="1"/>
  <c r="AC5" i="60" s="1"/>
  <c r="AE5" i="60"/>
  <c r="AF5" i="60" s="1"/>
  <c r="AG5" i="60" s="1"/>
  <c r="AI5" i="60"/>
  <c r="AJ5" i="60" s="1"/>
  <c r="AM5" i="60"/>
  <c r="AN5" i="60" s="1"/>
  <c r="AP5" i="60"/>
  <c r="AU5" i="60"/>
  <c r="J6" i="60"/>
  <c r="J12" i="60" s="1"/>
  <c r="J18" i="60" s="1"/>
  <c r="N6" i="60"/>
  <c r="N12" i="60" s="1"/>
  <c r="N18" i="60" s="1"/>
  <c r="R6" i="60"/>
  <c r="R12" i="60" s="1"/>
  <c r="R18" i="60" s="1"/>
  <c r="V6" i="60"/>
  <c r="V12" i="60" s="1"/>
  <c r="V18" i="60" s="1"/>
  <c r="Z6" i="60"/>
  <c r="Z12" i="60" s="1"/>
  <c r="Z18" i="60" s="1"/>
  <c r="AD6" i="60"/>
  <c r="AD12" i="60" s="1"/>
  <c r="AD18" i="60" s="1"/>
  <c r="AH6" i="60"/>
  <c r="AH12" i="60" s="1"/>
  <c r="AH18" i="60" s="1"/>
  <c r="AL6" i="60"/>
  <c r="AL12" i="60" s="1"/>
  <c r="AL18" i="60" s="1"/>
  <c r="AP6" i="60"/>
  <c r="AT6" i="60"/>
  <c r="AT12" i="60" s="1"/>
  <c r="AT18" i="60" s="1"/>
  <c r="L8" i="60"/>
  <c r="O8" i="60"/>
  <c r="G107" i="4" s="1"/>
  <c r="O10" i="60"/>
  <c r="P10" i="60" s="1"/>
  <c r="Q10" i="60" s="1"/>
  <c r="O11" i="60"/>
  <c r="P11" i="60" s="1"/>
  <c r="Q11" i="60" s="1"/>
  <c r="S8" i="60"/>
  <c r="S10" i="60"/>
  <c r="T10" i="60" s="1"/>
  <c r="U10" i="60" s="1"/>
  <c r="S11" i="60"/>
  <c r="T11" i="60" s="1"/>
  <c r="U11" i="60" s="1"/>
  <c r="W8" i="60"/>
  <c r="O107" i="4" s="1"/>
  <c r="W10" i="60"/>
  <c r="X10" i="60" s="1"/>
  <c r="Y10" i="60" s="1"/>
  <c r="W11" i="60"/>
  <c r="X11" i="60" s="1"/>
  <c r="Y11" i="60" s="1"/>
  <c r="AA8" i="60"/>
  <c r="AA10" i="60"/>
  <c r="AB10" i="60" s="1"/>
  <c r="AC10" i="60" s="1"/>
  <c r="AA11" i="60"/>
  <c r="AB11" i="60" s="1"/>
  <c r="AC11" i="60" s="1"/>
  <c r="AE8" i="60"/>
  <c r="W107" i="4" s="1"/>
  <c r="AE10" i="60"/>
  <c r="AF10" i="60" s="1"/>
  <c r="AG10" i="60" s="1"/>
  <c r="AE11" i="60"/>
  <c r="AF11" i="60" s="1"/>
  <c r="AG11" i="60" s="1"/>
  <c r="AI8" i="60"/>
  <c r="AI10" i="60"/>
  <c r="AJ10" i="60" s="1"/>
  <c r="AK10" i="60" s="1"/>
  <c r="AI11" i="60"/>
  <c r="AJ11" i="60" s="1"/>
  <c r="AK11" i="60" s="1"/>
  <c r="AM8" i="60"/>
  <c r="AE107" i="4" s="1"/>
  <c r="AM10" i="60"/>
  <c r="AM11" i="60"/>
  <c r="AN11" i="60" s="1"/>
  <c r="AO11" i="60" s="1"/>
  <c r="AQ8" i="60"/>
  <c r="AI107" i="4" s="1"/>
  <c r="AQ10" i="60"/>
  <c r="AQ11" i="60"/>
  <c r="AR11" i="60" s="1"/>
  <c r="AS11" i="60" s="1"/>
  <c r="K10" i="60"/>
  <c r="K11" i="60"/>
  <c r="L11" i="60" s="1"/>
  <c r="M11" i="60" s="1"/>
  <c r="D11" i="60"/>
  <c r="D6" i="60" s="1"/>
  <c r="D12" i="60" s="1"/>
  <c r="D18" i="60" s="1"/>
  <c r="E11" i="60"/>
  <c r="E6" i="60" s="1"/>
  <c r="E12" i="60" s="1"/>
  <c r="E18" i="60" s="1"/>
  <c r="F11" i="60"/>
  <c r="F6" i="60" s="1"/>
  <c r="F12" i="60" s="1"/>
  <c r="F18" i="60" s="1"/>
  <c r="G11" i="60"/>
  <c r="G6" i="60" s="1"/>
  <c r="G12" i="60" s="1"/>
  <c r="H11" i="60"/>
  <c r="H6" i="60" s="1"/>
  <c r="H12" i="60" s="1"/>
  <c r="I11" i="60"/>
  <c r="I6" i="60" s="1"/>
  <c r="I12" i="60" s="1"/>
  <c r="I18" i="60" s="1"/>
  <c r="B11" i="60"/>
  <c r="B6" i="60" s="1"/>
  <c r="C11" i="60"/>
  <c r="C6" i="60" s="1"/>
  <c r="C12" i="60" s="1"/>
  <c r="C13" i="60"/>
  <c r="K13" i="60"/>
  <c r="L13" i="60" s="1"/>
  <c r="M13" i="60" s="1"/>
  <c r="E111" i="4" s="1"/>
  <c r="K14" i="60"/>
  <c r="L14" i="60" s="1"/>
  <c r="M14" i="60" s="1"/>
  <c r="E112" i="4" s="1"/>
  <c r="K15" i="60"/>
  <c r="L15" i="60" s="1"/>
  <c r="K16" i="60"/>
  <c r="L16" i="60" s="1"/>
  <c r="M16" i="60" s="1"/>
  <c r="E114" i="4" s="1"/>
  <c r="K17" i="60"/>
  <c r="L17" i="60" s="1"/>
  <c r="M17" i="60" s="1"/>
  <c r="E115" i="4" s="1"/>
  <c r="O13" i="60"/>
  <c r="P13" i="60" s="1"/>
  <c r="Q13" i="60" s="1"/>
  <c r="I111" i="4" s="1"/>
  <c r="O14" i="60"/>
  <c r="P14" i="60" s="1"/>
  <c r="Q14" i="60" s="1"/>
  <c r="I112" i="4" s="1"/>
  <c r="O15" i="60"/>
  <c r="P15" i="60" s="1"/>
  <c r="Q15" i="60" s="1"/>
  <c r="I113" i="4" s="1"/>
  <c r="O16" i="60"/>
  <c r="P16" i="60" s="1"/>
  <c r="Q16" i="60" s="1"/>
  <c r="I114" i="4" s="1"/>
  <c r="O17" i="60"/>
  <c r="P17" i="60" s="1"/>
  <c r="Q17" i="60" s="1"/>
  <c r="I115" i="4" s="1"/>
  <c r="S13" i="60"/>
  <c r="T13" i="60" s="1"/>
  <c r="U13" i="60" s="1"/>
  <c r="M111" i="4" s="1"/>
  <c r="S14" i="60"/>
  <c r="T14" i="60" s="1"/>
  <c r="U14" i="60" s="1"/>
  <c r="M112" i="4" s="1"/>
  <c r="S15" i="60"/>
  <c r="T15" i="60" s="1"/>
  <c r="U15" i="60" s="1"/>
  <c r="M113" i="4" s="1"/>
  <c r="S16" i="60"/>
  <c r="T16" i="60" s="1"/>
  <c r="U16" i="60" s="1"/>
  <c r="M114" i="4" s="1"/>
  <c r="S17" i="60"/>
  <c r="T17" i="60" s="1"/>
  <c r="U17" i="60" s="1"/>
  <c r="M115" i="4" s="1"/>
  <c r="W13" i="60"/>
  <c r="X13" i="60" s="1"/>
  <c r="Y13" i="60" s="1"/>
  <c r="Q111" i="4" s="1"/>
  <c r="W14" i="60"/>
  <c r="X14" i="60" s="1"/>
  <c r="Y14" i="60" s="1"/>
  <c r="Q112" i="4" s="1"/>
  <c r="W15" i="60"/>
  <c r="X15" i="60" s="1"/>
  <c r="W16" i="60"/>
  <c r="X16" i="60" s="1"/>
  <c r="Y16" i="60" s="1"/>
  <c r="Q114" i="4" s="1"/>
  <c r="W17" i="60"/>
  <c r="X17" i="60" s="1"/>
  <c r="Y17" i="60" s="1"/>
  <c r="Q115" i="4" s="1"/>
  <c r="AA13" i="60"/>
  <c r="AB13" i="60" s="1"/>
  <c r="AC13" i="60" s="1"/>
  <c r="U111" i="4" s="1"/>
  <c r="AA14" i="60"/>
  <c r="AB14" i="60" s="1"/>
  <c r="AC14" i="60" s="1"/>
  <c r="U112" i="4" s="1"/>
  <c r="AA15" i="60"/>
  <c r="AB15" i="60" s="1"/>
  <c r="AC15" i="60" s="1"/>
  <c r="U113" i="4" s="1"/>
  <c r="AA16" i="60"/>
  <c r="AB16" i="60" s="1"/>
  <c r="AC16" i="60" s="1"/>
  <c r="U114" i="4" s="1"/>
  <c r="AA17" i="60"/>
  <c r="AB17" i="60" s="1"/>
  <c r="AC17" i="60" s="1"/>
  <c r="U115" i="4" s="1"/>
  <c r="AE13" i="60"/>
  <c r="AE14" i="60"/>
  <c r="AF14" i="60" s="1"/>
  <c r="AG14" i="60" s="1"/>
  <c r="Y112" i="4" s="1"/>
  <c r="AE15" i="60"/>
  <c r="AF15" i="60" s="1"/>
  <c r="AG15" i="60" s="1"/>
  <c r="Y113" i="4" s="1"/>
  <c r="AE16" i="60"/>
  <c r="AF16" i="60" s="1"/>
  <c r="AG16" i="60" s="1"/>
  <c r="Y114" i="4" s="1"/>
  <c r="AE17" i="60"/>
  <c r="AF17" i="60" s="1"/>
  <c r="AG17" i="60" s="1"/>
  <c r="Y115" i="4" s="1"/>
  <c r="AI13" i="60"/>
  <c r="AI14" i="60"/>
  <c r="AJ14" i="60" s="1"/>
  <c r="AK14" i="60" s="1"/>
  <c r="AC112" i="4" s="1"/>
  <c r="AI15" i="60"/>
  <c r="AJ15" i="60" s="1"/>
  <c r="AK15" i="60" s="1"/>
  <c r="AC113" i="4" s="1"/>
  <c r="AI16" i="60"/>
  <c r="AJ16" i="60" s="1"/>
  <c r="AK16" i="60" s="1"/>
  <c r="AC114" i="4" s="1"/>
  <c r="AI17" i="60"/>
  <c r="AJ17" i="60" s="1"/>
  <c r="AK17" i="60" s="1"/>
  <c r="AC115" i="4" s="1"/>
  <c r="AM13" i="60"/>
  <c r="AM14" i="60"/>
  <c r="AM15" i="60"/>
  <c r="AM16" i="60"/>
  <c r="AM17" i="60"/>
  <c r="AQ13" i="60"/>
  <c r="AQ14" i="60"/>
  <c r="AQ15" i="60"/>
  <c r="AQ16" i="60"/>
  <c r="AQ17" i="60"/>
  <c r="C15" i="60"/>
  <c r="C17" i="60"/>
  <c r="G17" i="60"/>
  <c r="H17" i="60"/>
  <c r="AU8" i="60"/>
  <c r="AM107" i="4" s="1"/>
  <c r="AU10" i="60"/>
  <c r="AU11" i="60"/>
  <c r="AU13" i="60"/>
  <c r="AM111" i="4" s="1"/>
  <c r="AU14" i="60"/>
  <c r="AM112" i="4" s="1"/>
  <c r="AU15" i="60"/>
  <c r="AM113" i="4" s="1"/>
  <c r="AU16" i="60"/>
  <c r="AM114" i="4" s="1"/>
  <c r="AU17" i="60"/>
  <c r="AM115" i="4" s="1"/>
  <c r="K21" i="60"/>
  <c r="L21" i="60" s="1"/>
  <c r="M21" i="60" s="1"/>
  <c r="E119" i="4" s="1"/>
  <c r="K22" i="60"/>
  <c r="L22" i="60" s="1"/>
  <c r="M22" i="60" s="1"/>
  <c r="E120" i="4" s="1"/>
  <c r="E49" i="2" s="1"/>
  <c r="E52" i="2" s="1"/>
  <c r="K23" i="60"/>
  <c r="L23" i="60" s="1"/>
  <c r="M23" i="60" s="1"/>
  <c r="E121" i="4" s="1"/>
  <c r="E43" i="2" s="1"/>
  <c r="K24" i="60"/>
  <c r="L24" i="60" s="1"/>
  <c r="D122" i="4" s="1"/>
  <c r="O21" i="60"/>
  <c r="P21" i="60" s="1"/>
  <c r="Q21" i="60" s="1"/>
  <c r="I119" i="4" s="1"/>
  <c r="O22" i="60"/>
  <c r="P22" i="60" s="1"/>
  <c r="Q22" i="60" s="1"/>
  <c r="I120" i="4" s="1"/>
  <c r="I49" i="2" s="1"/>
  <c r="O23" i="60"/>
  <c r="P23" i="60" s="1"/>
  <c r="Q23" i="60" s="1"/>
  <c r="I121" i="4" s="1"/>
  <c r="I43" i="2" s="1"/>
  <c r="O24" i="60"/>
  <c r="P24" i="60" s="1"/>
  <c r="H122" i="4" s="1"/>
  <c r="S21" i="60"/>
  <c r="T21" i="60" s="1"/>
  <c r="U21" i="60" s="1"/>
  <c r="M119" i="4" s="1"/>
  <c r="S22" i="60"/>
  <c r="T22" i="60" s="1"/>
  <c r="U22" i="60" s="1"/>
  <c r="M120" i="4" s="1"/>
  <c r="M49" i="2" s="1"/>
  <c r="S23" i="60"/>
  <c r="T23" i="60" s="1"/>
  <c r="L121" i="4" s="1"/>
  <c r="L43" i="2" s="1"/>
  <c r="S24" i="60"/>
  <c r="T24" i="60" s="1"/>
  <c r="U24" i="60" s="1"/>
  <c r="M122" i="4" s="1"/>
  <c r="W21" i="60"/>
  <c r="X21" i="60" s="1"/>
  <c r="W22" i="60"/>
  <c r="X22" i="60" s="1"/>
  <c r="Y22" i="60" s="1"/>
  <c r="Q120" i="4" s="1"/>
  <c r="Q49" i="2" s="1"/>
  <c r="W23" i="60"/>
  <c r="X23" i="60" s="1"/>
  <c r="Y23" i="60" s="1"/>
  <c r="Q121" i="4" s="1"/>
  <c r="Q43" i="2" s="1"/>
  <c r="W24" i="60"/>
  <c r="X24" i="60" s="1"/>
  <c r="P122" i="4" s="1"/>
  <c r="AA21" i="60"/>
  <c r="AB21" i="60" s="1"/>
  <c r="AC21" i="60" s="1"/>
  <c r="U119" i="4" s="1"/>
  <c r="AA22" i="60"/>
  <c r="AB22" i="60" s="1"/>
  <c r="AC22" i="60" s="1"/>
  <c r="U120" i="4" s="1"/>
  <c r="U49" i="2" s="1"/>
  <c r="AA23" i="60"/>
  <c r="AB23" i="60" s="1"/>
  <c r="T121" i="4" s="1"/>
  <c r="T43" i="2" s="1"/>
  <c r="AA24" i="60"/>
  <c r="AB24" i="60" s="1"/>
  <c r="AE21" i="60"/>
  <c r="AF21" i="60" s="1"/>
  <c r="AG21" i="60" s="1"/>
  <c r="Y119" i="4" s="1"/>
  <c r="AE22" i="60"/>
  <c r="W120" i="4" s="1"/>
  <c r="W49" i="2" s="1"/>
  <c r="AE23" i="60"/>
  <c r="AF23" i="60" s="1"/>
  <c r="AG23" i="60" s="1"/>
  <c r="Y121" i="4" s="1"/>
  <c r="Y43" i="2" s="1"/>
  <c r="AE24" i="60"/>
  <c r="AF24" i="60" s="1"/>
  <c r="AG24" i="60" s="1"/>
  <c r="Y122" i="4" s="1"/>
  <c r="AI21" i="60"/>
  <c r="AJ21" i="60" s="1"/>
  <c r="AK21" i="60" s="1"/>
  <c r="AC119" i="4" s="1"/>
  <c r="AI22" i="60"/>
  <c r="AA120" i="4" s="1"/>
  <c r="AA49" i="2" s="1"/>
  <c r="AI23" i="60"/>
  <c r="AJ23" i="60" s="1"/>
  <c r="AI24" i="60"/>
  <c r="AJ24" i="60" s="1"/>
  <c r="AK24" i="60" s="1"/>
  <c r="AC122" i="4" s="1"/>
  <c r="AM21" i="60"/>
  <c r="AM22" i="60"/>
  <c r="AM23" i="60"/>
  <c r="AQ21" i="60"/>
  <c r="AQ22" i="60"/>
  <c r="C22" i="60"/>
  <c r="D22" i="60"/>
  <c r="F22" i="60"/>
  <c r="H22" i="60"/>
  <c r="AU21" i="60"/>
  <c r="AM119" i="4" s="1"/>
  <c r="AU22" i="60"/>
  <c r="E23" i="60"/>
  <c r="F23" i="60"/>
  <c r="I23" i="60"/>
  <c r="B24" i="60"/>
  <c r="B25" i="60" s="1"/>
  <c r="C24" i="60"/>
  <c r="D24" i="60"/>
  <c r="E24" i="60"/>
  <c r="F24" i="60"/>
  <c r="H24" i="60"/>
  <c r="I24" i="60"/>
  <c r="AS24" i="60"/>
  <c r="AK122" i="4" s="1"/>
  <c r="G25" i="60"/>
  <c r="J25" i="60"/>
  <c r="N25" i="60"/>
  <c r="R25" i="60"/>
  <c r="V25" i="60"/>
  <c r="Z25" i="60"/>
  <c r="AD25" i="60"/>
  <c r="AH25" i="60"/>
  <c r="AL25" i="60"/>
  <c r="AP25" i="60"/>
  <c r="AT25" i="60"/>
  <c r="C28" i="60"/>
  <c r="K28" i="60"/>
  <c r="K29" i="60"/>
  <c r="L29" i="60" s="1"/>
  <c r="M29" i="60" s="1"/>
  <c r="K30" i="60"/>
  <c r="L30" i="60" s="1"/>
  <c r="M30" i="60" s="1"/>
  <c r="E129" i="4" s="1"/>
  <c r="E65" i="2" s="1"/>
  <c r="E70" i="2" s="1"/>
  <c r="E318" i="112" s="1"/>
  <c r="K31" i="60"/>
  <c r="L31" i="60" s="1"/>
  <c r="M31" i="60" s="1"/>
  <c r="E126" i="4" s="1"/>
  <c r="E63" i="2" s="1"/>
  <c r="E78" i="2" s="1"/>
  <c r="K32" i="60"/>
  <c r="L32" i="60" s="1"/>
  <c r="M32" i="60" s="1"/>
  <c r="K33" i="60"/>
  <c r="L33" i="60" s="1"/>
  <c r="M33" i="60" s="1"/>
  <c r="E127" i="4" s="1"/>
  <c r="E64" i="2" s="1"/>
  <c r="E82" i="2" s="1"/>
  <c r="K35" i="60"/>
  <c r="O28" i="60"/>
  <c r="P28" i="60" s="1"/>
  <c r="Q28" i="60" s="1"/>
  <c r="O29" i="60"/>
  <c r="O30" i="60"/>
  <c r="P30" i="60" s="1"/>
  <c r="O31" i="60"/>
  <c r="P31" i="60" s="1"/>
  <c r="O32" i="60"/>
  <c r="P32" i="60" s="1"/>
  <c r="O33" i="60"/>
  <c r="P33" i="60" s="1"/>
  <c r="Q33" i="60" s="1"/>
  <c r="I127" i="4" s="1"/>
  <c r="I64" i="2" s="1"/>
  <c r="I82" i="2" s="1"/>
  <c r="O35" i="60"/>
  <c r="S28" i="60"/>
  <c r="T28" i="60" s="1"/>
  <c r="U28" i="60" s="1"/>
  <c r="S29" i="60"/>
  <c r="T29" i="60" s="1"/>
  <c r="U29" i="60" s="1"/>
  <c r="S30" i="60"/>
  <c r="K129" i="4" s="1"/>
  <c r="K65" i="2" s="1"/>
  <c r="K70" i="2" s="1"/>
  <c r="K318" i="112" s="1"/>
  <c r="S31" i="60"/>
  <c r="K126" i="4" s="1"/>
  <c r="K63" i="2" s="1"/>
  <c r="K78" i="2" s="1"/>
  <c r="S32" i="60"/>
  <c r="T32" i="60" s="1"/>
  <c r="U32" i="60" s="1"/>
  <c r="S33" i="60"/>
  <c r="T33" i="60" s="1"/>
  <c r="U33" i="60" s="1"/>
  <c r="M127" i="4" s="1"/>
  <c r="M64" i="2" s="1"/>
  <c r="M82" i="2" s="1"/>
  <c r="S35" i="60"/>
  <c r="W28" i="60"/>
  <c r="X28" i="60" s="1"/>
  <c r="W29" i="60"/>
  <c r="X29" i="60" s="1"/>
  <c r="Y29" i="60" s="1"/>
  <c r="W30" i="60"/>
  <c r="X30" i="60" s="1"/>
  <c r="Y30" i="60" s="1"/>
  <c r="Q129" i="4" s="1"/>
  <c r="Q65" i="2" s="1"/>
  <c r="Q70" i="2" s="1"/>
  <c r="Q318" i="112" s="1"/>
  <c r="W31" i="60"/>
  <c r="X31" i="60" s="1"/>
  <c r="Y31" i="60" s="1"/>
  <c r="Q126" i="4" s="1"/>
  <c r="Q63" i="2" s="1"/>
  <c r="Q78" i="2" s="1"/>
  <c r="W32" i="60"/>
  <c r="X32" i="60" s="1"/>
  <c r="Y32" i="60" s="1"/>
  <c r="W33" i="60"/>
  <c r="X33" i="60" s="1"/>
  <c r="Y33" i="60" s="1"/>
  <c r="Q127" i="4" s="1"/>
  <c r="Q64" i="2" s="1"/>
  <c r="Q82" i="2" s="1"/>
  <c r="W35" i="60"/>
  <c r="AA28" i="60"/>
  <c r="AA29" i="60"/>
  <c r="AB29" i="60" s="1"/>
  <c r="AC29" i="60" s="1"/>
  <c r="AA30" i="60"/>
  <c r="AB30" i="60" s="1"/>
  <c r="AC30" i="60" s="1"/>
  <c r="U129" i="4" s="1"/>
  <c r="U65" i="2" s="1"/>
  <c r="U70" i="2" s="1"/>
  <c r="U318" i="112" s="1"/>
  <c r="AA31" i="60"/>
  <c r="AB31" i="60" s="1"/>
  <c r="AA32" i="60"/>
  <c r="AB32" i="60" s="1"/>
  <c r="AC32" i="60" s="1"/>
  <c r="AA33" i="60"/>
  <c r="AB33" i="60" s="1"/>
  <c r="AC33" i="60" s="1"/>
  <c r="U127" i="4" s="1"/>
  <c r="U64" i="2" s="1"/>
  <c r="U82" i="2" s="1"/>
  <c r="AA35" i="60"/>
  <c r="AE28" i="60"/>
  <c r="AF28" i="60" s="1"/>
  <c r="AG28" i="60" s="1"/>
  <c r="AE29" i="60"/>
  <c r="AE30" i="60"/>
  <c r="AF30" i="60" s="1"/>
  <c r="AG30" i="60" s="1"/>
  <c r="Y129" i="4" s="1"/>
  <c r="Y65" i="2" s="1"/>
  <c r="Y70" i="2" s="1"/>
  <c r="Y318" i="112" s="1"/>
  <c r="AE31" i="60"/>
  <c r="AF31" i="60" s="1"/>
  <c r="AG31" i="60" s="1"/>
  <c r="Y126" i="4" s="1"/>
  <c r="Y63" i="2" s="1"/>
  <c r="Y78" i="2" s="1"/>
  <c r="AE32" i="60"/>
  <c r="AF32" i="60" s="1"/>
  <c r="AG32" i="60" s="1"/>
  <c r="AE33" i="60"/>
  <c r="AF33" i="60" s="1"/>
  <c r="AG33" i="60" s="1"/>
  <c r="Y127" i="4" s="1"/>
  <c r="Y64" i="2" s="1"/>
  <c r="Y82" i="2" s="1"/>
  <c r="AE35" i="60"/>
  <c r="AI28" i="60"/>
  <c r="AJ28" i="60" s="1"/>
  <c r="AK28" i="60" s="1"/>
  <c r="AI29" i="60"/>
  <c r="AJ29" i="60" s="1"/>
  <c r="AI30" i="60"/>
  <c r="AA129" i="4" s="1"/>
  <c r="AA65" i="2" s="1"/>
  <c r="AA70" i="2" s="1"/>
  <c r="AA318" i="112" s="1"/>
  <c r="AI31" i="60"/>
  <c r="AJ31" i="60" s="1"/>
  <c r="AI32" i="60"/>
  <c r="AJ32" i="60" s="1"/>
  <c r="AK32" i="60" s="1"/>
  <c r="AI33" i="60"/>
  <c r="AJ33" i="60" s="1"/>
  <c r="AK33" i="60" s="1"/>
  <c r="AC127" i="4" s="1"/>
  <c r="AC64" i="2" s="1"/>
  <c r="AC82" i="2" s="1"/>
  <c r="AI35" i="60"/>
  <c r="AM28" i="60"/>
  <c r="AN29" i="60"/>
  <c r="AO29" i="60" s="1"/>
  <c r="AQ28" i="60"/>
  <c r="AI128" i="4" s="1"/>
  <c r="AU28" i="60"/>
  <c r="AM128" i="4" s="1"/>
  <c r="AS29" i="60"/>
  <c r="AM30" i="60"/>
  <c r="AQ30" i="60"/>
  <c r="AU30" i="60"/>
  <c r="C31" i="60"/>
  <c r="AM33" i="60"/>
  <c r="AQ33" i="60"/>
  <c r="AU33" i="60"/>
  <c r="AM127" i="4" s="1"/>
  <c r="C35" i="60"/>
  <c r="B36" i="60"/>
  <c r="D36" i="60"/>
  <c r="E36" i="60"/>
  <c r="F36" i="60"/>
  <c r="G36" i="60"/>
  <c r="H36" i="60"/>
  <c r="I36" i="60"/>
  <c r="J36" i="60"/>
  <c r="N36" i="60"/>
  <c r="R36" i="60"/>
  <c r="V36" i="60"/>
  <c r="Z36" i="60"/>
  <c r="AD36" i="60"/>
  <c r="AH36" i="60"/>
  <c r="AL36" i="60"/>
  <c r="AP36" i="60"/>
  <c r="AT36" i="60"/>
  <c r="L39" i="60"/>
  <c r="M39" i="60" s="1"/>
  <c r="O39" i="60"/>
  <c r="P39" i="60" s="1"/>
  <c r="Q39" i="60" s="1"/>
  <c r="S39" i="60"/>
  <c r="T39" i="60" s="1"/>
  <c r="U39" i="60" s="1"/>
  <c r="W39" i="60"/>
  <c r="X39" i="60" s="1"/>
  <c r="Y39" i="60" s="1"/>
  <c r="AA39" i="60"/>
  <c r="AB39" i="60" s="1"/>
  <c r="AC39" i="60" s="1"/>
  <c r="AE39" i="60"/>
  <c r="AF39" i="60" s="1"/>
  <c r="AI39" i="60"/>
  <c r="AJ39" i="60" s="1"/>
  <c r="AK39" i="60" s="1"/>
  <c r="AM39" i="60"/>
  <c r="AN39" i="60" s="1"/>
  <c r="AO39" i="60" s="1"/>
  <c r="AQ39" i="60"/>
  <c r="AR39" i="60" s="1"/>
  <c r="AS39" i="60" s="1"/>
  <c r="K41" i="60"/>
  <c r="L41" i="60" s="1"/>
  <c r="M41" i="60" s="1"/>
  <c r="E138" i="4" s="1"/>
  <c r="O41" i="60"/>
  <c r="P41" i="60" s="1"/>
  <c r="Q41" i="60" s="1"/>
  <c r="I138" i="4" s="1"/>
  <c r="S41" i="60"/>
  <c r="T41" i="60" s="1"/>
  <c r="U41" i="60" s="1"/>
  <c r="M138" i="4" s="1"/>
  <c r="W41" i="60"/>
  <c r="X41" i="60" s="1"/>
  <c r="Y41" i="60" s="1"/>
  <c r="Q138" i="4" s="1"/>
  <c r="AA41" i="60"/>
  <c r="AB41" i="60" s="1"/>
  <c r="AE41" i="60"/>
  <c r="AF41" i="60" s="1"/>
  <c r="AI41" i="60"/>
  <c r="AM41" i="60"/>
  <c r="AQ41" i="60"/>
  <c r="AU39" i="60"/>
  <c r="AU41" i="60"/>
  <c r="A1" i="59"/>
  <c r="B3" i="59"/>
  <c r="C3" i="59"/>
  <c r="D3" i="59"/>
  <c r="E3" i="59"/>
  <c r="F3" i="59"/>
  <c r="G3" i="59"/>
  <c r="H3" i="59"/>
  <c r="I3" i="59"/>
  <c r="J3" i="59"/>
  <c r="K3" i="59"/>
  <c r="L3" i="59"/>
  <c r="M3" i="59"/>
  <c r="N3" i="59"/>
  <c r="O3" i="59"/>
  <c r="P3" i="59"/>
  <c r="Q3" i="59"/>
  <c r="R3" i="59"/>
  <c r="S3" i="59"/>
  <c r="T3" i="59"/>
  <c r="U3" i="59"/>
  <c r="V3" i="59"/>
  <c r="W3" i="59"/>
  <c r="X3" i="59"/>
  <c r="Y3" i="59"/>
  <c r="Z3" i="59"/>
  <c r="AA3" i="59"/>
  <c r="AB3" i="59"/>
  <c r="AC3" i="59"/>
  <c r="AD3" i="59"/>
  <c r="AE3" i="59"/>
  <c r="AF3" i="59"/>
  <c r="AG3" i="59"/>
  <c r="AH3" i="59"/>
  <c r="AI3" i="59"/>
  <c r="AJ3" i="59"/>
  <c r="AK3" i="59"/>
  <c r="AL3" i="59"/>
  <c r="AM3" i="59"/>
  <c r="AN3" i="59"/>
  <c r="AO3" i="59"/>
  <c r="AP3" i="59"/>
  <c r="AQ3" i="59"/>
  <c r="AR3" i="59"/>
  <c r="AS3" i="59"/>
  <c r="AT3" i="59"/>
  <c r="AU3" i="59"/>
  <c r="AV3" i="59"/>
  <c r="AW3" i="59"/>
  <c r="AX3" i="59"/>
  <c r="AY3" i="59"/>
  <c r="AZ3" i="59"/>
  <c r="BA3" i="59"/>
  <c r="BB3" i="59"/>
  <c r="BC3" i="59"/>
  <c r="BD3" i="59"/>
  <c r="BE3" i="59"/>
  <c r="BF3" i="59"/>
  <c r="BG3" i="59"/>
  <c r="BH3" i="59"/>
  <c r="BK3" i="59"/>
  <c r="BL3" i="59"/>
  <c r="BM3" i="59"/>
  <c r="BN3" i="59"/>
  <c r="BO3" i="59"/>
  <c r="BP3" i="59"/>
  <c r="BQ3" i="59"/>
  <c r="AI9" i="59"/>
  <c r="AI10" i="59" s="1"/>
  <c r="AJ9" i="59"/>
  <c r="AJ10" i="59" s="1"/>
  <c r="AK9" i="59"/>
  <c r="AK10" i="59" s="1"/>
  <c r="AL9" i="59"/>
  <c r="AL71" i="4" s="1"/>
  <c r="AL11" i="2" s="1"/>
  <c r="AM9" i="59"/>
  <c r="AM71" i="4" s="1"/>
  <c r="AM11" i="2" s="1"/>
  <c r="B10" i="59"/>
  <c r="C10" i="59"/>
  <c r="D10" i="59"/>
  <c r="E10" i="59"/>
  <c r="F10" i="59"/>
  <c r="G10" i="59"/>
  <c r="H10" i="59"/>
  <c r="I10" i="59"/>
  <c r="J10" i="59"/>
  <c r="K10" i="59"/>
  <c r="L10" i="59"/>
  <c r="M10" i="59"/>
  <c r="N10" i="59"/>
  <c r="O10" i="59"/>
  <c r="P10" i="59"/>
  <c r="Q10" i="59"/>
  <c r="R10" i="59"/>
  <c r="S10" i="59"/>
  <c r="T10" i="59"/>
  <c r="U10" i="59"/>
  <c r="V10" i="59"/>
  <c r="W10" i="59"/>
  <c r="X10" i="59"/>
  <c r="Y10" i="59"/>
  <c r="Z10" i="59"/>
  <c r="AA10" i="59"/>
  <c r="AB10" i="59"/>
  <c r="AC10" i="59"/>
  <c r="AD10" i="59"/>
  <c r="AE10" i="59"/>
  <c r="AF10" i="59"/>
  <c r="AG10" i="59"/>
  <c r="AH10" i="59"/>
  <c r="B13" i="59"/>
  <c r="B18" i="59" s="1"/>
  <c r="C13" i="59"/>
  <c r="C18" i="59" s="1"/>
  <c r="D13" i="59"/>
  <c r="D18" i="59" s="1"/>
  <c r="E13" i="59"/>
  <c r="E18" i="59" s="1"/>
  <c r="F13" i="59"/>
  <c r="F18" i="59" s="1"/>
  <c r="G13" i="59"/>
  <c r="G18" i="59" s="1"/>
  <c r="H13" i="59"/>
  <c r="H18" i="59" s="1"/>
  <c r="I13" i="59"/>
  <c r="I18" i="59" s="1"/>
  <c r="J13" i="59"/>
  <c r="J18" i="59" s="1"/>
  <c r="K13" i="59"/>
  <c r="K18" i="59" s="1"/>
  <c r="L13" i="59"/>
  <c r="L18" i="59" s="1"/>
  <c r="M13" i="59"/>
  <c r="M18" i="59" s="1"/>
  <c r="N13" i="59"/>
  <c r="N18" i="59" s="1"/>
  <c r="O13" i="59"/>
  <c r="O18" i="59" s="1"/>
  <c r="P13" i="59"/>
  <c r="P18" i="59" s="1"/>
  <c r="Q13" i="59"/>
  <c r="Q18" i="59" s="1"/>
  <c r="R13" i="59"/>
  <c r="R18" i="59" s="1"/>
  <c r="S13" i="59"/>
  <c r="S18" i="59" s="1"/>
  <c r="T13" i="59"/>
  <c r="T18" i="59" s="1"/>
  <c r="U13" i="59"/>
  <c r="U18" i="59" s="1"/>
  <c r="V13" i="59"/>
  <c r="V18" i="59" s="1"/>
  <c r="W13" i="59"/>
  <c r="W18" i="59" s="1"/>
  <c r="X13" i="59"/>
  <c r="X18" i="59" s="1"/>
  <c r="Y13" i="59"/>
  <c r="Y18" i="59" s="1"/>
  <c r="Z13" i="59"/>
  <c r="Z18" i="59" s="1"/>
  <c r="AA13" i="59"/>
  <c r="AA18" i="59" s="1"/>
  <c r="AB13" i="59"/>
  <c r="AB18" i="59" s="1"/>
  <c r="AC13" i="59"/>
  <c r="AC18" i="59" s="1"/>
  <c r="AD13" i="59"/>
  <c r="AD18" i="59" s="1"/>
  <c r="AE13" i="59"/>
  <c r="AE18" i="59" s="1"/>
  <c r="AF13" i="59"/>
  <c r="AF18" i="59" s="1"/>
  <c r="AG13" i="59"/>
  <c r="AG18" i="59" s="1"/>
  <c r="AH13" i="59"/>
  <c r="AH18" i="59" s="1"/>
  <c r="AI13" i="59"/>
  <c r="AI18" i="59" s="1"/>
  <c r="AJ13" i="59"/>
  <c r="AJ18" i="59" s="1"/>
  <c r="AK13" i="59"/>
  <c r="AK18" i="59" s="1"/>
  <c r="AL13" i="59"/>
  <c r="AL18" i="59" s="1"/>
  <c r="AM13" i="59"/>
  <c r="AM18" i="59" s="1"/>
  <c r="B32" i="59"/>
  <c r="C32" i="59"/>
  <c r="D32" i="59"/>
  <c r="E32" i="59"/>
  <c r="F32" i="59"/>
  <c r="G32" i="59"/>
  <c r="H32" i="59"/>
  <c r="I32" i="59"/>
  <c r="J32" i="59"/>
  <c r="K32" i="59"/>
  <c r="L32" i="59"/>
  <c r="M32" i="59"/>
  <c r="N32" i="59"/>
  <c r="O32" i="59"/>
  <c r="P32" i="59"/>
  <c r="Q32" i="59"/>
  <c r="R32" i="59"/>
  <c r="S32" i="59"/>
  <c r="T32" i="59"/>
  <c r="U32" i="59"/>
  <c r="V32" i="59"/>
  <c r="W32" i="59"/>
  <c r="X32" i="59"/>
  <c r="Y32" i="59"/>
  <c r="Z32" i="59"/>
  <c r="AA32" i="59"/>
  <c r="AB32" i="59"/>
  <c r="AC32" i="59"/>
  <c r="AD32" i="59"/>
  <c r="AE32" i="59"/>
  <c r="AF32" i="59"/>
  <c r="AG32" i="59"/>
  <c r="AH32" i="59"/>
  <c r="AI32" i="59"/>
  <c r="AJ32" i="59"/>
  <c r="AK32" i="59"/>
  <c r="AL32" i="59"/>
  <c r="AM32" i="59"/>
  <c r="B36" i="59"/>
  <c r="B90" i="4" s="1"/>
  <c r="B91" i="4" s="1"/>
  <c r="C36" i="59"/>
  <c r="C90" i="4" s="1"/>
  <c r="C91" i="4" s="1"/>
  <c r="D36" i="59"/>
  <c r="D90" i="4" s="1"/>
  <c r="D91" i="4" s="1"/>
  <c r="E36" i="59"/>
  <c r="E90" i="4" s="1"/>
  <c r="E91" i="4" s="1"/>
  <c r="F36" i="59"/>
  <c r="F90" i="4" s="1"/>
  <c r="F91" i="4" s="1"/>
  <c r="G36" i="59"/>
  <c r="G90" i="4" s="1"/>
  <c r="G91" i="4" s="1"/>
  <c r="H36" i="59"/>
  <c r="H90" i="4" s="1"/>
  <c r="H91" i="4" s="1"/>
  <c r="J36" i="59"/>
  <c r="I37" i="59"/>
  <c r="K37" i="59"/>
  <c r="L37" i="59"/>
  <c r="M37" i="59"/>
  <c r="N37" i="59"/>
  <c r="O37" i="59"/>
  <c r="P37" i="59"/>
  <c r="Q37" i="59"/>
  <c r="R37" i="59"/>
  <c r="S37" i="59"/>
  <c r="T37" i="59"/>
  <c r="U37" i="59"/>
  <c r="V37" i="59"/>
  <c r="W37" i="59"/>
  <c r="X37" i="59"/>
  <c r="Y37" i="59"/>
  <c r="Z37" i="59"/>
  <c r="AA37" i="59"/>
  <c r="AB37" i="59"/>
  <c r="AC37" i="59"/>
  <c r="AD37" i="59"/>
  <c r="AE37" i="59"/>
  <c r="AF37" i="59"/>
  <c r="AG37" i="59"/>
  <c r="AH37" i="59"/>
  <c r="AI37" i="59"/>
  <c r="AJ37" i="59"/>
  <c r="AK37" i="59"/>
  <c r="AL37" i="59"/>
  <c r="AM37" i="59"/>
  <c r="J42" i="59"/>
  <c r="J43" i="59" s="1"/>
  <c r="J45" i="59" s="1"/>
  <c r="K42" i="59"/>
  <c r="K43" i="59" s="1"/>
  <c r="K45" i="59" s="1"/>
  <c r="L42" i="59"/>
  <c r="L43" i="59" s="1"/>
  <c r="L45" i="59" s="1"/>
  <c r="B43" i="59"/>
  <c r="B45" i="59" s="1"/>
  <c r="C43" i="59"/>
  <c r="C45" i="59" s="1"/>
  <c r="D43" i="59"/>
  <c r="D45" i="59" s="1"/>
  <c r="E43" i="59"/>
  <c r="E45" i="59" s="1"/>
  <c r="F43" i="59"/>
  <c r="F45" i="59" s="1"/>
  <c r="G43" i="59"/>
  <c r="G45" i="59" s="1"/>
  <c r="H43" i="59"/>
  <c r="H45" i="59" s="1"/>
  <c r="I43" i="59"/>
  <c r="I45" i="59" s="1"/>
  <c r="M43" i="59"/>
  <c r="M45" i="59" s="1"/>
  <c r="N43" i="59"/>
  <c r="N45" i="59" s="1"/>
  <c r="O43" i="59"/>
  <c r="O45" i="59" s="1"/>
  <c r="P43" i="59"/>
  <c r="P45" i="59" s="1"/>
  <c r="Q43" i="59"/>
  <c r="Q45" i="59" s="1"/>
  <c r="R43" i="59"/>
  <c r="R45" i="59" s="1"/>
  <c r="S43" i="59"/>
  <c r="S45" i="59" s="1"/>
  <c r="T43" i="59"/>
  <c r="T45" i="59" s="1"/>
  <c r="U43" i="59"/>
  <c r="U45" i="59" s="1"/>
  <c r="V43" i="59"/>
  <c r="V45" i="59" s="1"/>
  <c r="W43" i="59"/>
  <c r="W45" i="59" s="1"/>
  <c r="X43" i="59"/>
  <c r="X45" i="59" s="1"/>
  <c r="Y43" i="59"/>
  <c r="Y45" i="59" s="1"/>
  <c r="Z43" i="59"/>
  <c r="Z45" i="59" s="1"/>
  <c r="AA43" i="59"/>
  <c r="AA45" i="59" s="1"/>
  <c r="AB43" i="59"/>
  <c r="AB45" i="59" s="1"/>
  <c r="AC43" i="59"/>
  <c r="AC45" i="59" s="1"/>
  <c r="AD43" i="59"/>
  <c r="AD45" i="59" s="1"/>
  <c r="AE43" i="59"/>
  <c r="AE45" i="59" s="1"/>
  <c r="AF43" i="59"/>
  <c r="AF45" i="59" s="1"/>
  <c r="AG43" i="59"/>
  <c r="AG45" i="59" s="1"/>
  <c r="AH43" i="59"/>
  <c r="AH45" i="59" s="1"/>
  <c r="AI43" i="59"/>
  <c r="AI45" i="59" s="1"/>
  <c r="AJ43" i="59"/>
  <c r="AJ45" i="59" s="1"/>
  <c r="AK43" i="59"/>
  <c r="AK45" i="59" s="1"/>
  <c r="AL43" i="59"/>
  <c r="AL45" i="59" s="1"/>
  <c r="AM43" i="59"/>
  <c r="AM45" i="59" s="1"/>
  <c r="C6" i="58"/>
  <c r="D6" i="58"/>
  <c r="E6" i="58"/>
  <c r="F6" i="58"/>
  <c r="G6" i="58"/>
  <c r="H6" i="58"/>
  <c r="I6" i="58"/>
  <c r="J6" i="58"/>
  <c r="K6" i="58"/>
  <c r="L6" i="58"/>
  <c r="M6" i="58"/>
  <c r="N6" i="58"/>
  <c r="O6" i="58"/>
  <c r="P6" i="58"/>
  <c r="Q6" i="58"/>
  <c r="R6" i="58"/>
  <c r="S6" i="58"/>
  <c r="T6" i="58"/>
  <c r="U6" i="58"/>
  <c r="V6" i="58"/>
  <c r="W6" i="58"/>
  <c r="X6" i="58"/>
  <c r="Y6" i="58"/>
  <c r="Z6" i="58"/>
  <c r="AA6" i="58"/>
  <c r="AB6" i="58"/>
  <c r="AC6" i="58"/>
  <c r="AD6" i="58"/>
  <c r="AE6" i="58"/>
  <c r="AF6" i="58"/>
  <c r="AG6" i="58"/>
  <c r="AH6" i="58"/>
  <c r="AI6" i="58"/>
  <c r="AJ6" i="58"/>
  <c r="AK6" i="58"/>
  <c r="AL6" i="58"/>
  <c r="AN6" i="58"/>
  <c r="D8" i="58"/>
  <c r="E8" i="58"/>
  <c r="F8" i="58"/>
  <c r="G8" i="58"/>
  <c r="H8" i="58"/>
  <c r="I8" i="58"/>
  <c r="J8" i="58"/>
  <c r="K8" i="58"/>
  <c r="L8" i="58"/>
  <c r="M8" i="58"/>
  <c r="N8" i="58"/>
  <c r="O8" i="58"/>
  <c r="P8" i="58"/>
  <c r="Q8" i="58"/>
  <c r="R8" i="58"/>
  <c r="S8" i="58"/>
  <c r="T8" i="58"/>
  <c r="U8" i="58"/>
  <c r="V8" i="58"/>
  <c r="W8" i="58"/>
  <c r="X8" i="58"/>
  <c r="Y8" i="58"/>
  <c r="Z8" i="58"/>
  <c r="AA8" i="58"/>
  <c r="AB8" i="58"/>
  <c r="AC8" i="58"/>
  <c r="AD8" i="58"/>
  <c r="AE8" i="58"/>
  <c r="AF8" i="58"/>
  <c r="AG8" i="58"/>
  <c r="AH8" i="58"/>
  <c r="AI8" i="58"/>
  <c r="AJ8" i="58"/>
  <c r="AK8" i="58"/>
  <c r="AL8" i="58"/>
  <c r="AN8" i="58"/>
  <c r="D13" i="58"/>
  <c r="E13" i="58"/>
  <c r="F13" i="58"/>
  <c r="G13" i="58"/>
  <c r="H13" i="58"/>
  <c r="I13" i="58"/>
  <c r="J13" i="58"/>
  <c r="K13" i="58"/>
  <c r="L13" i="58"/>
  <c r="M13" i="58"/>
  <c r="N13" i="58"/>
  <c r="O13" i="58"/>
  <c r="P13" i="58"/>
  <c r="Q13" i="58"/>
  <c r="R13" i="58"/>
  <c r="S13" i="58"/>
  <c r="T13" i="58"/>
  <c r="U13" i="58"/>
  <c r="V13" i="58"/>
  <c r="W13" i="58"/>
  <c r="X13" i="58"/>
  <c r="Y13" i="58"/>
  <c r="Z13" i="58"/>
  <c r="AA13" i="58"/>
  <c r="AB13" i="58"/>
  <c r="AC13" i="58"/>
  <c r="AD13" i="58"/>
  <c r="AE13" i="58"/>
  <c r="AF13" i="58"/>
  <c r="AG13" i="58"/>
  <c r="AH13" i="58"/>
  <c r="AI13" i="58"/>
  <c r="AJ13" i="58"/>
  <c r="AK13" i="58"/>
  <c r="AL13" i="58"/>
  <c r="AN13" i="58"/>
  <c r="D18" i="58"/>
  <c r="C308" i="112" s="1"/>
  <c r="E18" i="58"/>
  <c r="D308" i="112" s="1"/>
  <c r="F18" i="58"/>
  <c r="E308" i="112" s="1"/>
  <c r="G18" i="58"/>
  <c r="F308" i="112" s="1"/>
  <c r="H18" i="58"/>
  <c r="I18" i="58"/>
  <c r="H308" i="112" s="1"/>
  <c r="J18" i="58"/>
  <c r="I308" i="112" s="1"/>
  <c r="I309" i="112" s="1"/>
  <c r="V35" i="58"/>
  <c r="W35" i="58"/>
  <c r="X35" i="58"/>
  <c r="Y35" i="58"/>
  <c r="Z35" i="58"/>
  <c r="AB35" i="58"/>
  <c r="AC35" i="58"/>
  <c r="AD35" i="58"/>
  <c r="AE35" i="58"/>
  <c r="AF35" i="58"/>
  <c r="AG35" i="58"/>
  <c r="AH35" i="58"/>
  <c r="AI35" i="58"/>
  <c r="AJ35" i="58"/>
  <c r="AK35" i="58"/>
  <c r="AL35" i="58"/>
  <c r="AM35" i="58"/>
  <c r="AN35" i="58"/>
  <c r="C43" i="58"/>
  <c r="D43" i="58"/>
  <c r="E43" i="58"/>
  <c r="F43" i="58"/>
  <c r="G43" i="58"/>
  <c r="H43" i="58"/>
  <c r="I43" i="58"/>
  <c r="J43" i="58"/>
  <c r="K43" i="58"/>
  <c r="L43" i="58"/>
  <c r="M43" i="58"/>
  <c r="N43" i="58"/>
  <c r="O43" i="58"/>
  <c r="P43" i="58"/>
  <c r="Q43" i="58"/>
  <c r="R43" i="58"/>
  <c r="S43" i="58"/>
  <c r="T43" i="58"/>
  <c r="U43" i="58"/>
  <c r="V43" i="58"/>
  <c r="W43" i="58"/>
  <c r="X43" i="58"/>
  <c r="Y43" i="58"/>
  <c r="Z43" i="58"/>
  <c r="AA43" i="58"/>
  <c r="AB43" i="58"/>
  <c r="AC43" i="58"/>
  <c r="AD43" i="58"/>
  <c r="AE43" i="58"/>
  <c r="AF43" i="58"/>
  <c r="AG43" i="58"/>
  <c r="AH43" i="58"/>
  <c r="AI43" i="58"/>
  <c r="AJ43" i="58"/>
  <c r="AK43" i="58"/>
  <c r="AL43" i="58"/>
  <c r="AM43" i="58"/>
  <c r="AN43" i="58"/>
  <c r="AO43" i="58"/>
  <c r="AQ43" i="58"/>
  <c r="AS43" i="58"/>
  <c r="AT43" i="58"/>
  <c r="AU43" i="58"/>
  <c r="AV43" i="58"/>
  <c r="AW43" i="58"/>
  <c r="AX43" i="58"/>
  <c r="AY43" i="58"/>
  <c r="AZ43" i="58"/>
  <c r="BA43" i="58"/>
  <c r="BB43" i="58"/>
  <c r="BD43" i="58"/>
  <c r="BE43" i="58"/>
  <c r="BF43" i="58"/>
  <c r="BG43" i="58"/>
  <c r="BH43" i="58"/>
  <c r="BI43" i="58"/>
  <c r="BJ43" i="58"/>
  <c r="BL43" i="58"/>
  <c r="BM43" i="58"/>
  <c r="BN43" i="58"/>
  <c r="BO43" i="58"/>
  <c r="BP43" i="58"/>
  <c r="BQ43" i="58"/>
  <c r="BR43" i="58"/>
  <c r="J47" i="58"/>
  <c r="N46" i="58"/>
  <c r="N47" i="58" s="1"/>
  <c r="R46" i="58"/>
  <c r="R47" i="58" s="1"/>
  <c r="V46" i="58"/>
  <c r="V47" i="58" s="1"/>
  <c r="F50" i="58"/>
  <c r="V50" i="58"/>
  <c r="C60" i="58"/>
  <c r="D60" i="58"/>
  <c r="E60" i="58"/>
  <c r="F60" i="58"/>
  <c r="G60" i="58"/>
  <c r="H60" i="58"/>
  <c r="I60" i="58"/>
  <c r="J60" i="58"/>
  <c r="K60" i="58"/>
  <c r="L60" i="58"/>
  <c r="M60" i="58"/>
  <c r="N60" i="58"/>
  <c r="O60" i="58"/>
  <c r="P60" i="58"/>
  <c r="Q60" i="58"/>
  <c r="R60" i="58"/>
  <c r="S60" i="58"/>
  <c r="T60" i="58"/>
  <c r="U60" i="58"/>
  <c r="V60" i="58"/>
  <c r="W60" i="58"/>
  <c r="X60" i="58"/>
  <c r="Y60" i="58"/>
  <c r="Z60" i="58"/>
  <c r="AA60" i="58"/>
  <c r="AB60" i="58"/>
  <c r="AC60" i="58"/>
  <c r="AD60" i="58"/>
  <c r="AE60" i="58"/>
  <c r="AF60" i="58"/>
  <c r="AG60" i="58"/>
  <c r="AH60" i="58"/>
  <c r="AI60" i="58"/>
  <c r="AJ60" i="58"/>
  <c r="AK60" i="58"/>
  <c r="AL60" i="58"/>
  <c r="AM60" i="58"/>
  <c r="AN60" i="58"/>
  <c r="AO60" i="58"/>
  <c r="AQ60" i="58"/>
  <c r="AS60" i="58"/>
  <c r="AT60" i="58"/>
  <c r="AU60" i="58"/>
  <c r="AV60" i="58"/>
  <c r="AW60" i="58"/>
  <c r="AX60" i="58"/>
  <c r="AY60" i="58"/>
  <c r="AZ60" i="58"/>
  <c r="BA60" i="58"/>
  <c r="BB60" i="58"/>
  <c r="BD60" i="58"/>
  <c r="BE60" i="58"/>
  <c r="BF60" i="58"/>
  <c r="BG60" i="58"/>
  <c r="BH60" i="58"/>
  <c r="BI60" i="58"/>
  <c r="BJ60" i="58"/>
  <c r="BL60" i="58"/>
  <c r="BM60" i="58"/>
  <c r="BN60" i="58"/>
  <c r="BO60" i="58"/>
  <c r="BP60" i="58"/>
  <c r="BQ60" i="58"/>
  <c r="BR60" i="58"/>
  <c r="AA63" i="58"/>
  <c r="AB63" i="58"/>
  <c r="AC63" i="58"/>
  <c r="AD63" i="58"/>
  <c r="AF63" i="58"/>
  <c r="AG63" i="58"/>
  <c r="AH63" i="58"/>
  <c r="AI63" i="58"/>
  <c r="AJ63" i="58"/>
  <c r="AK63" i="58"/>
  <c r="AL63" i="58"/>
  <c r="AM63" i="58"/>
  <c r="AN63" i="58"/>
  <c r="C64" i="58"/>
  <c r="D64" i="58"/>
  <c r="E64" i="58"/>
  <c r="F64" i="58"/>
  <c r="G64" i="58"/>
  <c r="H64" i="58"/>
  <c r="I64" i="58"/>
  <c r="J64" i="58"/>
  <c r="K64" i="58"/>
  <c r="L64" i="58"/>
  <c r="M64" i="58"/>
  <c r="N64" i="58"/>
  <c r="O64" i="58"/>
  <c r="P64" i="58"/>
  <c r="Q64" i="58"/>
  <c r="R64" i="58"/>
  <c r="S64" i="58"/>
  <c r="T64" i="58"/>
  <c r="U64" i="58"/>
  <c r="V64" i="58"/>
  <c r="W64" i="58"/>
  <c r="X64" i="58"/>
  <c r="Y64" i="58"/>
  <c r="Z64" i="58"/>
  <c r="AA64" i="58"/>
  <c r="AB64" i="58"/>
  <c r="AC64" i="58"/>
  <c r="AD64" i="58"/>
  <c r="AE64" i="58"/>
  <c r="AF64" i="58"/>
  <c r="AG64" i="58"/>
  <c r="AH64" i="58"/>
  <c r="AI64" i="58"/>
  <c r="AJ64" i="58"/>
  <c r="AK64" i="58"/>
  <c r="AL64" i="58"/>
  <c r="AM64" i="58"/>
  <c r="AN64" i="58"/>
  <c r="C65" i="58"/>
  <c r="D65" i="58"/>
  <c r="E65" i="58"/>
  <c r="G65" i="58"/>
  <c r="H65" i="58"/>
  <c r="I65" i="58"/>
  <c r="J65" i="58"/>
  <c r="K65" i="58"/>
  <c r="L65" i="58"/>
  <c r="M65" i="58"/>
  <c r="N65" i="58"/>
  <c r="O65" i="58"/>
  <c r="P65" i="58"/>
  <c r="Q65" i="58"/>
  <c r="R65" i="58"/>
  <c r="S65" i="58"/>
  <c r="T65" i="58"/>
  <c r="U65" i="58"/>
  <c r="V65" i="58"/>
  <c r="W65" i="58"/>
  <c r="X65" i="58"/>
  <c r="Y65" i="58"/>
  <c r="Z65" i="58"/>
  <c r="AA65" i="58"/>
  <c r="AB65" i="58"/>
  <c r="AC65" i="58"/>
  <c r="AD65" i="58"/>
  <c r="AE65" i="58"/>
  <c r="AF65" i="58"/>
  <c r="AG65" i="58"/>
  <c r="AH65" i="58"/>
  <c r="AI65" i="58"/>
  <c r="AJ65" i="58"/>
  <c r="AK65" i="58"/>
  <c r="AL65" i="58"/>
  <c r="AM65" i="58"/>
  <c r="AN65" i="58"/>
  <c r="C72" i="58"/>
  <c r="D72" i="58"/>
  <c r="E72" i="58"/>
  <c r="F72" i="58"/>
  <c r="G72" i="58"/>
  <c r="H72" i="58"/>
  <c r="I72" i="58"/>
  <c r="J72" i="58"/>
  <c r="K72" i="58"/>
  <c r="L72" i="58"/>
  <c r="M72" i="58"/>
  <c r="N72" i="58"/>
  <c r="O72" i="58"/>
  <c r="P72" i="58"/>
  <c r="Q72" i="58"/>
  <c r="R72" i="58"/>
  <c r="S72" i="58"/>
  <c r="T72" i="58"/>
  <c r="U72" i="58"/>
  <c r="V72" i="58"/>
  <c r="W72" i="58"/>
  <c r="X72" i="58"/>
  <c r="Y72" i="58"/>
  <c r="Z72" i="58"/>
  <c r="AA72" i="58"/>
  <c r="AB72" i="58"/>
  <c r="AC72" i="58"/>
  <c r="AF72" i="58"/>
  <c r="AG72" i="58"/>
  <c r="AH72" i="58"/>
  <c r="S73" i="58"/>
  <c r="R9" i="112" s="1"/>
  <c r="T73" i="58"/>
  <c r="S9" i="112" s="1"/>
  <c r="U73" i="58"/>
  <c r="T9" i="112" s="1"/>
  <c r="V73" i="58"/>
  <c r="U9" i="112" s="1"/>
  <c r="W73" i="58"/>
  <c r="V9" i="112" s="1"/>
  <c r="X73" i="58"/>
  <c r="W9" i="112" s="1"/>
  <c r="Y73" i="58"/>
  <c r="X9" i="112" s="1"/>
  <c r="Z73" i="58"/>
  <c r="Y9" i="112" s="1"/>
  <c r="AA73" i="58"/>
  <c r="Z9" i="112" s="1"/>
  <c r="AB73" i="58"/>
  <c r="AA9" i="112" s="1"/>
  <c r="AC73" i="58"/>
  <c r="AB9" i="112" s="1"/>
  <c r="AC9" i="112"/>
  <c r="AE73" i="58"/>
  <c r="AD9" i="112" s="1"/>
  <c r="AF73" i="58"/>
  <c r="AE9" i="112" s="1"/>
  <c r="AG73" i="58"/>
  <c r="AF9" i="112" s="1"/>
  <c r="AH73" i="58"/>
  <c r="AG9" i="112" s="1"/>
  <c r="C76" i="58"/>
  <c r="B38" i="112" s="1"/>
  <c r="D76" i="58"/>
  <c r="C38" i="112" s="1"/>
  <c r="E76" i="58"/>
  <c r="D38" i="112" s="1"/>
  <c r="G76" i="58"/>
  <c r="F38" i="112" s="1"/>
  <c r="H76" i="58"/>
  <c r="G38" i="112" s="1"/>
  <c r="I76" i="58"/>
  <c r="H38" i="112" s="1"/>
  <c r="J76" i="58"/>
  <c r="I38" i="112" s="1"/>
  <c r="K76" i="58"/>
  <c r="J38" i="112" s="1"/>
  <c r="L76" i="58"/>
  <c r="K38" i="112" s="1"/>
  <c r="M76" i="58"/>
  <c r="L38" i="112" s="1"/>
  <c r="N76" i="58"/>
  <c r="M38" i="112" s="1"/>
  <c r="O76" i="58"/>
  <c r="N38" i="112" s="1"/>
  <c r="P76" i="58"/>
  <c r="O38" i="112" s="1"/>
  <c r="Q76" i="58"/>
  <c r="P38" i="112" s="1"/>
  <c r="R76" i="58"/>
  <c r="Q38" i="112" s="1"/>
  <c r="S76" i="58"/>
  <c r="R38" i="112" s="1"/>
  <c r="T76" i="58"/>
  <c r="S38" i="112" s="1"/>
  <c r="U76" i="58"/>
  <c r="T38" i="112" s="1"/>
  <c r="V76" i="58"/>
  <c r="U38" i="112" s="1"/>
  <c r="W76" i="58"/>
  <c r="V38" i="112" s="1"/>
  <c r="X76" i="58"/>
  <c r="W38" i="112" s="1"/>
  <c r="Y76" i="58"/>
  <c r="X38" i="112" s="1"/>
  <c r="Z76" i="58"/>
  <c r="Y38" i="112" s="1"/>
  <c r="B9" i="112"/>
  <c r="D73" i="58"/>
  <c r="C9" i="112" s="1"/>
  <c r="E73" i="58"/>
  <c r="D9" i="112" s="1"/>
  <c r="G73" i="58"/>
  <c r="F9" i="112" s="1"/>
  <c r="H73" i="58"/>
  <c r="G9" i="112" s="1"/>
  <c r="I73" i="58"/>
  <c r="H9" i="112" s="1"/>
  <c r="J73" i="58"/>
  <c r="I9" i="112" s="1"/>
  <c r="K73" i="58"/>
  <c r="J9" i="112" s="1"/>
  <c r="L73" i="58"/>
  <c r="K9" i="112" s="1"/>
  <c r="M73" i="58"/>
  <c r="L9" i="112" s="1"/>
  <c r="N73" i="58"/>
  <c r="M9" i="112" s="1"/>
  <c r="O73" i="58"/>
  <c r="N9" i="112" s="1"/>
  <c r="P73" i="58"/>
  <c r="O9" i="112" s="1"/>
  <c r="Q73" i="58"/>
  <c r="P9" i="112" s="1"/>
  <c r="R73" i="58"/>
  <c r="Q9" i="112" s="1"/>
  <c r="F73" i="58"/>
  <c r="E9" i="112" s="1"/>
  <c r="F84" i="58"/>
  <c r="F89" i="58"/>
  <c r="E52" i="112" s="1"/>
  <c r="S110" i="58"/>
  <c r="T110" i="58"/>
  <c r="U110" i="58"/>
  <c r="T141" i="112" s="1"/>
  <c r="V110" i="58"/>
  <c r="U141" i="112" s="1"/>
  <c r="W110" i="58"/>
  <c r="X110" i="58"/>
  <c r="Y110" i="58"/>
  <c r="X141" i="112" s="1"/>
  <c r="Z110" i="58"/>
  <c r="Y141" i="112" s="1"/>
  <c r="AA110" i="58"/>
  <c r="AB110" i="58"/>
  <c r="AC110" i="58"/>
  <c r="AB141" i="112" s="1"/>
  <c r="AD110" i="58"/>
  <c r="AC141" i="112" s="1"/>
  <c r="AE110" i="58"/>
  <c r="AF110" i="58"/>
  <c r="AE141" i="112" s="1"/>
  <c r="AG110" i="58"/>
  <c r="AF141" i="112" s="1"/>
  <c r="AH110" i="58"/>
  <c r="AG141" i="112" s="1"/>
  <c r="AI110" i="58"/>
  <c r="AJ110" i="58"/>
  <c r="AK110" i="58"/>
  <c r="AJ141" i="112" s="1"/>
  <c r="AL110" i="58"/>
  <c r="AK141" i="112" s="1"/>
  <c r="AM110" i="58"/>
  <c r="AL141" i="112" s="1"/>
  <c r="AM143" i="112" s="1"/>
  <c r="F113" i="58"/>
  <c r="E189" i="112" s="1"/>
  <c r="J13" i="11"/>
  <c r="K13" i="11"/>
  <c r="A1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D3" i="2" s="1"/>
  <c r="AE4" i="2"/>
  <c r="AE3" i="2" s="1"/>
  <c r="AF4" i="2"/>
  <c r="AF3" i="2" s="1"/>
  <c r="AG4" i="2"/>
  <c r="AH4" i="2"/>
  <c r="AH3" i="2" s="1"/>
  <c r="AI4" i="2"/>
  <c r="AJ4" i="2"/>
  <c r="AJ3" i="2" s="1"/>
  <c r="AK4" i="2"/>
  <c r="AL4" i="2"/>
  <c r="AL3" i="2" s="1"/>
  <c r="AM4" i="2"/>
  <c r="AM3" i="2" s="1"/>
  <c r="AP4" i="2"/>
  <c r="AP3" i="2" s="1"/>
  <c r="AQ4" i="2"/>
  <c r="AQ3" i="2" s="1"/>
  <c r="AS4" i="2"/>
  <c r="AX4" i="2"/>
  <c r="AX3" i="2" s="1"/>
  <c r="AZ4" i="2"/>
  <c r="AZ3" i="2" s="1"/>
  <c r="B30" i="2"/>
  <c r="C30" i="2"/>
  <c r="D30" i="2"/>
  <c r="E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Q30" i="2"/>
  <c r="AZ30" i="2"/>
  <c r="F30" i="2"/>
  <c r="H30" i="2"/>
  <c r="G30" i="2"/>
  <c r="B44" i="2"/>
  <c r="C44" i="2"/>
  <c r="D44" i="2"/>
  <c r="E44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Q60" i="2"/>
  <c r="AZ60" i="2"/>
  <c r="B76" i="2"/>
  <c r="B78" i="2"/>
  <c r="B80" i="2"/>
  <c r="B87" i="2" s="1"/>
  <c r="C80" i="2"/>
  <c r="C87" i="2" s="1"/>
  <c r="D80" i="2"/>
  <c r="D87" i="2" s="1"/>
  <c r="E80" i="2"/>
  <c r="E87" i="2" s="1"/>
  <c r="F80" i="2"/>
  <c r="F87" i="2" s="1"/>
  <c r="G80" i="2"/>
  <c r="G87" i="2" s="1"/>
  <c r="H80" i="2"/>
  <c r="H87" i="2" s="1"/>
  <c r="I80" i="2"/>
  <c r="I87" i="2" s="1"/>
  <c r="J80" i="2"/>
  <c r="J87" i="2" s="1"/>
  <c r="K80" i="2"/>
  <c r="K87" i="2" s="1"/>
  <c r="L80" i="2"/>
  <c r="L87" i="2" s="1"/>
  <c r="M80" i="2"/>
  <c r="M87" i="2" s="1"/>
  <c r="N80" i="2"/>
  <c r="N87" i="2" s="1"/>
  <c r="O80" i="2"/>
  <c r="O87" i="2" s="1"/>
  <c r="P80" i="2"/>
  <c r="P87" i="2" s="1"/>
  <c r="Q80" i="2"/>
  <c r="Q87" i="2" s="1"/>
  <c r="R80" i="2"/>
  <c r="R87" i="2" s="1"/>
  <c r="S80" i="2"/>
  <c r="S87" i="2" s="1"/>
  <c r="T80" i="2"/>
  <c r="T87" i="2" s="1"/>
  <c r="U80" i="2"/>
  <c r="U87" i="2" s="1"/>
  <c r="V80" i="2"/>
  <c r="V87" i="2" s="1"/>
  <c r="W80" i="2"/>
  <c r="W87" i="2" s="1"/>
  <c r="X80" i="2"/>
  <c r="X87" i="2" s="1"/>
  <c r="Y80" i="2"/>
  <c r="Y87" i="2" s="1"/>
  <c r="Z80" i="2"/>
  <c r="Z87" i="2" s="1"/>
  <c r="AA80" i="2"/>
  <c r="AA87" i="2" s="1"/>
  <c r="AB80" i="2"/>
  <c r="AB87" i="2" s="1"/>
  <c r="AC80" i="2"/>
  <c r="AC87" i="2" s="1"/>
  <c r="AD80" i="2"/>
  <c r="AD87" i="2" s="1"/>
  <c r="AE80" i="2"/>
  <c r="AE87" i="2" s="1"/>
  <c r="AF80" i="2"/>
  <c r="AF87" i="2" s="1"/>
  <c r="AG80" i="2"/>
  <c r="AG87" i="2" s="1"/>
  <c r="AH80" i="2"/>
  <c r="AH87" i="2" s="1"/>
  <c r="AI80" i="2"/>
  <c r="AI87" i="2" s="1"/>
  <c r="AJ80" i="2"/>
  <c r="AJ87" i="2" s="1"/>
  <c r="AK80" i="2"/>
  <c r="AK87" i="2" s="1"/>
  <c r="AL80" i="2"/>
  <c r="AL87" i="2" s="1"/>
  <c r="AM80" i="2"/>
  <c r="B82" i="2"/>
  <c r="B95" i="2"/>
  <c r="B60" i="4" s="1"/>
  <c r="C95" i="2"/>
  <c r="C60" i="4" s="1"/>
  <c r="D95" i="2"/>
  <c r="E92" i="2" s="1"/>
  <c r="E95" i="2"/>
  <c r="F92" i="2" s="1"/>
  <c r="F95" i="2"/>
  <c r="F60" i="4" s="1"/>
  <c r="G95" i="2"/>
  <c r="G60" i="4" s="1"/>
  <c r="H95" i="2"/>
  <c r="H98" i="2" s="1"/>
  <c r="I95" i="2"/>
  <c r="J92" i="2" s="1"/>
  <c r="J95" i="2"/>
  <c r="J60" i="4" s="1"/>
  <c r="K95" i="2"/>
  <c r="K60" i="4" s="1"/>
  <c r="L95" i="2"/>
  <c r="L97" i="2" s="1"/>
  <c r="M95" i="2"/>
  <c r="N92" i="2" s="1"/>
  <c r="N95" i="2"/>
  <c r="N60" i="4" s="1"/>
  <c r="O95" i="2"/>
  <c r="O60" i="4" s="1"/>
  <c r="P95" i="2"/>
  <c r="P97" i="2" s="1"/>
  <c r="Q95" i="2"/>
  <c r="R92" i="2" s="1"/>
  <c r="R95" i="2"/>
  <c r="R60" i="4" s="1"/>
  <c r="S95" i="2"/>
  <c r="S60" i="4" s="1"/>
  <c r="T95" i="2"/>
  <c r="U92" i="2" s="1"/>
  <c r="U95" i="2"/>
  <c r="V92" i="2" s="1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D97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N147" i="8"/>
  <c r="O147" i="8"/>
  <c r="O148" i="8" s="1"/>
  <c r="P147" i="8"/>
  <c r="Q147" i="8"/>
  <c r="R147" i="8"/>
  <c r="R148" i="8" s="1"/>
  <c r="S147" i="8"/>
  <c r="S149" i="8" s="1"/>
  <c r="N192" i="8"/>
  <c r="N193" i="8" s="1"/>
  <c r="O192" i="8"/>
  <c r="P192" i="8"/>
  <c r="Q192" i="8"/>
  <c r="Q193" i="8" s="1"/>
  <c r="R192" i="8"/>
  <c r="R193" i="8" s="1"/>
  <c r="S192" i="8"/>
  <c r="T192" i="8"/>
  <c r="T193" i="8" s="1"/>
  <c r="U192" i="8"/>
  <c r="U193" i="8" s="1"/>
  <c r="V192" i="8"/>
  <c r="V193" i="8" s="1"/>
  <c r="W192" i="8"/>
  <c r="X192" i="8"/>
  <c r="X193" i="8" s="1"/>
  <c r="Y192" i="8"/>
  <c r="Y193" i="8" s="1"/>
  <c r="Z192" i="8"/>
  <c r="Z193" i="8" s="1"/>
  <c r="AA192" i="8"/>
  <c r="AB192" i="8"/>
  <c r="AC192" i="8"/>
  <c r="AC193" i="8" s="1"/>
  <c r="AD192" i="8"/>
  <c r="AD193" i="8" s="1"/>
  <c r="AE192" i="8"/>
  <c r="AF192" i="8"/>
  <c r="AF193" i="8" s="1"/>
  <c r="AG192" i="8"/>
  <c r="AG193" i="8" s="1"/>
  <c r="AH192" i="8"/>
  <c r="AI192" i="8"/>
  <c r="AJ192" i="8"/>
  <c r="AK192" i="8"/>
  <c r="AK193" i="8" s="1"/>
  <c r="AL193" i="8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N172" i="8"/>
  <c r="N173" i="8" s="1"/>
  <c r="O172" i="8"/>
  <c r="P172" i="8"/>
  <c r="P173" i="8" s="1"/>
  <c r="R172" i="8"/>
  <c r="R174" i="8" s="1"/>
  <c r="S172" i="8"/>
  <c r="T172" i="8"/>
  <c r="T173" i="8" s="1"/>
  <c r="V172" i="8"/>
  <c r="V173" i="8" s="1"/>
  <c r="W172" i="8"/>
  <c r="X172" i="8"/>
  <c r="X173" i="8" s="1"/>
  <c r="Z172" i="8"/>
  <c r="AA172" i="8"/>
  <c r="AA173" i="8" s="1"/>
  <c r="AB172" i="8"/>
  <c r="AB173" i="8" s="1"/>
  <c r="AD172" i="8"/>
  <c r="AD173" i="8" s="1"/>
  <c r="AE172" i="8"/>
  <c r="AF172" i="8"/>
  <c r="AF173" i="8" s="1"/>
  <c r="AH172" i="8"/>
  <c r="AH173" i="8" s="1"/>
  <c r="AI172" i="8"/>
  <c r="AJ172" i="8"/>
  <c r="AJ173" i="8" s="1"/>
  <c r="AL172" i="8"/>
  <c r="AL173" i="8" s="1"/>
  <c r="AM172" i="8"/>
  <c r="I10" i="4"/>
  <c r="AM10" i="4"/>
  <c r="A1" i="4"/>
  <c r="B4" i="4"/>
  <c r="C4" i="4"/>
  <c r="C3" i="4" s="1"/>
  <c r="D4" i="4"/>
  <c r="D3" i="4" s="1"/>
  <c r="E4" i="4"/>
  <c r="E3" i="4" s="1"/>
  <c r="B5" i="4"/>
  <c r="B245" i="112" s="1"/>
  <c r="C5" i="4"/>
  <c r="C245" i="112" s="1"/>
  <c r="D5" i="4"/>
  <c r="E5" i="4"/>
  <c r="E245" i="112" s="1"/>
  <c r="F4" i="4"/>
  <c r="F3" i="4" s="1"/>
  <c r="G4" i="4"/>
  <c r="G3" i="4" s="1"/>
  <c r="H4" i="4"/>
  <c r="H3" i="4" s="1"/>
  <c r="I4" i="4"/>
  <c r="I3" i="4" s="1"/>
  <c r="J4" i="4"/>
  <c r="J3" i="4" s="1"/>
  <c r="K4" i="4"/>
  <c r="K3" i="4" s="1"/>
  <c r="L4" i="4"/>
  <c r="L3" i="4" s="1"/>
  <c r="M4" i="4"/>
  <c r="M3" i="4" s="1"/>
  <c r="N4" i="4"/>
  <c r="N3" i="4" s="1"/>
  <c r="O4" i="4"/>
  <c r="O3" i="4" s="1"/>
  <c r="P4" i="4"/>
  <c r="P3" i="4" s="1"/>
  <c r="Q4" i="4"/>
  <c r="Q3" i="4" s="1"/>
  <c r="R4" i="4"/>
  <c r="R3" i="4" s="1"/>
  <c r="S4" i="4"/>
  <c r="S3" i="4" s="1"/>
  <c r="T4" i="4"/>
  <c r="T3" i="4" s="1"/>
  <c r="U4" i="4"/>
  <c r="U3" i="4" s="1"/>
  <c r="V4" i="4"/>
  <c r="V3" i="4" s="1"/>
  <c r="W4" i="4"/>
  <c r="W3" i="4" s="1"/>
  <c r="X4" i="4"/>
  <c r="X3" i="4" s="1"/>
  <c r="Y4" i="4"/>
  <c r="Y3" i="4" s="1"/>
  <c r="Z4" i="4"/>
  <c r="Z3" i="4" s="1"/>
  <c r="AA4" i="4"/>
  <c r="AA3" i="4" s="1"/>
  <c r="AB4" i="4"/>
  <c r="AB3" i="4" s="1"/>
  <c r="AC4" i="4"/>
  <c r="AC3" i="4" s="1"/>
  <c r="AD4" i="4"/>
  <c r="AD3" i="4" s="1"/>
  <c r="AE4" i="4"/>
  <c r="AE3" i="4" s="1"/>
  <c r="AF4" i="4"/>
  <c r="AF3" i="4" s="1"/>
  <c r="AG4" i="4"/>
  <c r="AG3" i="4" s="1"/>
  <c r="AH4" i="4"/>
  <c r="AH3" i="4" s="1"/>
  <c r="AI4" i="4"/>
  <c r="AI3" i="4" s="1"/>
  <c r="AJ4" i="4"/>
  <c r="AJ3" i="4" s="1"/>
  <c r="AK4" i="4"/>
  <c r="AK3" i="4" s="1"/>
  <c r="AL4" i="4"/>
  <c r="AL3" i="4" s="1"/>
  <c r="AM4" i="4"/>
  <c r="AM3" i="4" s="1"/>
  <c r="AP4" i="4"/>
  <c r="AP3" i="4" s="1"/>
  <c r="AQ4" i="4"/>
  <c r="AQ3" i="4" s="1"/>
  <c r="AR4" i="4"/>
  <c r="AR3" i="4" s="1"/>
  <c r="AS4" i="4"/>
  <c r="AS3" i="4" s="1"/>
  <c r="AX4" i="4"/>
  <c r="AX3" i="4" s="1"/>
  <c r="AZ4" i="4"/>
  <c r="AZ3" i="4" s="1"/>
  <c r="BA4" i="4"/>
  <c r="BA3" i="4" s="1"/>
  <c r="BB4" i="4"/>
  <c r="BB3" i="4" s="1"/>
  <c r="BC4" i="4"/>
  <c r="BC3" i="4" s="1"/>
  <c r="BJ4" i="4"/>
  <c r="BJ3" i="4" s="1"/>
  <c r="BK3" i="4"/>
  <c r="BL3" i="4"/>
  <c r="BM3" i="4"/>
  <c r="BN3" i="4"/>
  <c r="BO3" i="4"/>
  <c r="BP3" i="4"/>
  <c r="BQ3" i="4"/>
  <c r="F5" i="4"/>
  <c r="G5" i="4"/>
  <c r="G245" i="112" s="1"/>
  <c r="H5" i="4"/>
  <c r="H245" i="112" s="1"/>
  <c r="J5" i="4"/>
  <c r="K5" i="4"/>
  <c r="K245" i="112" s="1"/>
  <c r="L5" i="4"/>
  <c r="L245" i="112" s="1"/>
  <c r="M5" i="4"/>
  <c r="M245" i="112" s="1"/>
  <c r="N5" i="4"/>
  <c r="O5" i="4"/>
  <c r="O245" i="112" s="1"/>
  <c r="P5" i="4"/>
  <c r="Q5" i="4"/>
  <c r="Q245" i="112" s="1"/>
  <c r="R5" i="4"/>
  <c r="S5" i="4"/>
  <c r="S245" i="112" s="1"/>
  <c r="T5" i="4"/>
  <c r="T245" i="112" s="1"/>
  <c r="U5" i="4"/>
  <c r="U245" i="112" s="1"/>
  <c r="V5" i="4"/>
  <c r="W5" i="4"/>
  <c r="W245" i="112" s="1"/>
  <c r="X5" i="4"/>
  <c r="Y5" i="4"/>
  <c r="Y245" i="112" s="1"/>
  <c r="Z5" i="4"/>
  <c r="AA5" i="4"/>
  <c r="AA245" i="112" s="1"/>
  <c r="AB5" i="4"/>
  <c r="AC5" i="4"/>
  <c r="AC245" i="112" s="1"/>
  <c r="AD5" i="4"/>
  <c r="AD160" i="2" s="1"/>
  <c r="AE5" i="4"/>
  <c r="AF5" i="4"/>
  <c r="AF160" i="2" s="1"/>
  <c r="AG5" i="4"/>
  <c r="AH5" i="4"/>
  <c r="AH160" i="2" s="1"/>
  <c r="AI5" i="4"/>
  <c r="AJ5" i="4"/>
  <c r="AJ160" i="2" s="1"/>
  <c r="AK5" i="4"/>
  <c r="AK160" i="2" s="1"/>
  <c r="AL5" i="4"/>
  <c r="AM5" i="4"/>
  <c r="B14" i="4"/>
  <c r="B15" i="4" s="1"/>
  <c r="C14" i="4"/>
  <c r="C15" i="4" s="1"/>
  <c r="D14" i="4"/>
  <c r="D15" i="4" s="1"/>
  <c r="E14" i="4"/>
  <c r="E15" i="4" s="1"/>
  <c r="F14" i="4"/>
  <c r="F15" i="4" s="1"/>
  <c r="G14" i="4"/>
  <c r="G15" i="4" s="1"/>
  <c r="H14" i="4"/>
  <c r="H15" i="4" s="1"/>
  <c r="J14" i="4"/>
  <c r="J15" i="4" s="1"/>
  <c r="K14" i="4"/>
  <c r="K15" i="4" s="1"/>
  <c r="L14" i="4"/>
  <c r="L15" i="4" s="1"/>
  <c r="M14" i="4"/>
  <c r="M15" i="4" s="1"/>
  <c r="N14" i="4"/>
  <c r="N15" i="4" s="1"/>
  <c r="O14" i="4"/>
  <c r="O15" i="4" s="1"/>
  <c r="P14" i="4"/>
  <c r="P15" i="4" s="1"/>
  <c r="Q14" i="4"/>
  <c r="Q15" i="4" s="1"/>
  <c r="R14" i="4"/>
  <c r="R15" i="4" s="1"/>
  <c r="S14" i="4"/>
  <c r="S15" i="4" s="1"/>
  <c r="T14" i="4"/>
  <c r="T15" i="4" s="1"/>
  <c r="U14" i="4"/>
  <c r="U15" i="4" s="1"/>
  <c r="V14" i="4"/>
  <c r="V15" i="4" s="1"/>
  <c r="W14" i="4"/>
  <c r="W15" i="4" s="1"/>
  <c r="X14" i="4"/>
  <c r="X15" i="4" s="1"/>
  <c r="Y14" i="4"/>
  <c r="Y15" i="4" s="1"/>
  <c r="Z14" i="4"/>
  <c r="Z15" i="4" s="1"/>
  <c r="AA14" i="4"/>
  <c r="AA15" i="4" s="1"/>
  <c r="AB14" i="4"/>
  <c r="AB15" i="4" s="1"/>
  <c r="AC14" i="4"/>
  <c r="AC15" i="4" s="1"/>
  <c r="AD14" i="4"/>
  <c r="AE14" i="4"/>
  <c r="AF14" i="4"/>
  <c r="AF15" i="4" s="1"/>
  <c r="AG14" i="4"/>
  <c r="AG15" i="4" s="1"/>
  <c r="AH14" i="4"/>
  <c r="AH15" i="4" s="1"/>
  <c r="AI14" i="4"/>
  <c r="AI15" i="4" s="1"/>
  <c r="AJ14" i="4"/>
  <c r="AJ15" i="4" s="1"/>
  <c r="AK14" i="4"/>
  <c r="AK15" i="4" s="1"/>
  <c r="AL14" i="4"/>
  <c r="AL15" i="4" s="1"/>
  <c r="AM14" i="4"/>
  <c r="AM15" i="4" s="1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5" i="4"/>
  <c r="V25" i="4"/>
  <c r="W25" i="4"/>
  <c r="X25" i="4"/>
  <c r="Y25" i="4"/>
  <c r="Z25" i="4"/>
  <c r="AA25" i="4"/>
  <c r="AB25" i="4"/>
  <c r="AC25" i="4"/>
  <c r="AE25" i="4"/>
  <c r="AF25" i="4"/>
  <c r="AG25" i="4"/>
  <c r="AH25" i="4"/>
  <c r="AI25" i="4"/>
  <c r="AJ25" i="4"/>
  <c r="AK25" i="4"/>
  <c r="AL25" i="4"/>
  <c r="AM25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B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B45" i="4"/>
  <c r="B311" i="112" s="1"/>
  <c r="C45" i="4"/>
  <c r="C311" i="112" s="1"/>
  <c r="D45" i="4"/>
  <c r="D311" i="112" s="1"/>
  <c r="E45" i="4"/>
  <c r="E311" i="112" s="1"/>
  <c r="F45" i="4"/>
  <c r="F311" i="112" s="1"/>
  <c r="G45" i="4"/>
  <c r="G311" i="112" s="1"/>
  <c r="H45" i="4"/>
  <c r="H311" i="112" s="1"/>
  <c r="I45" i="4"/>
  <c r="I311" i="112" s="1"/>
  <c r="J45" i="4"/>
  <c r="J311" i="112" s="1"/>
  <c r="K45" i="4"/>
  <c r="K311" i="112" s="1"/>
  <c r="L45" i="4"/>
  <c r="L311" i="112" s="1"/>
  <c r="M45" i="4"/>
  <c r="M311" i="112" s="1"/>
  <c r="N45" i="4"/>
  <c r="N311" i="112" s="1"/>
  <c r="O45" i="4"/>
  <c r="O311" i="112" s="1"/>
  <c r="P45" i="4"/>
  <c r="P311" i="112" s="1"/>
  <c r="Q45" i="4"/>
  <c r="Q311" i="112" s="1"/>
  <c r="R45" i="4"/>
  <c r="R311" i="112" s="1"/>
  <c r="S45" i="4"/>
  <c r="S311" i="112" s="1"/>
  <c r="T45" i="4"/>
  <c r="T311" i="112" s="1"/>
  <c r="U45" i="4"/>
  <c r="U311" i="112" s="1"/>
  <c r="V45" i="4"/>
  <c r="V311" i="112" s="1"/>
  <c r="W45" i="4"/>
  <c r="W311" i="112" s="1"/>
  <c r="X45" i="4"/>
  <c r="X311" i="112" s="1"/>
  <c r="Y45" i="4"/>
  <c r="Y311" i="112" s="1"/>
  <c r="Z45" i="4"/>
  <c r="Z311" i="112" s="1"/>
  <c r="AA45" i="4"/>
  <c r="AA311" i="112" s="1"/>
  <c r="AB45" i="4"/>
  <c r="AB311" i="112" s="1"/>
  <c r="AC45" i="4"/>
  <c r="AC311" i="112" s="1"/>
  <c r="AD45" i="4"/>
  <c r="AD311" i="112" s="1"/>
  <c r="AE45" i="4"/>
  <c r="AE311" i="112" s="1"/>
  <c r="AF45" i="4"/>
  <c r="AF311" i="112" s="1"/>
  <c r="AG45" i="4"/>
  <c r="AG311" i="112" s="1"/>
  <c r="AH45" i="4"/>
  <c r="AH311" i="112" s="1"/>
  <c r="AI45" i="4"/>
  <c r="AI311" i="112" s="1"/>
  <c r="AJ45" i="4"/>
  <c r="AJ311" i="112" s="1"/>
  <c r="AK45" i="4"/>
  <c r="AK311" i="112" s="1"/>
  <c r="AL45" i="4"/>
  <c r="AL311" i="112" s="1"/>
  <c r="AM45" i="4"/>
  <c r="AM311" i="112" s="1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B48" i="4"/>
  <c r="C48" i="4"/>
  <c r="D48" i="4"/>
  <c r="E48" i="4"/>
  <c r="B52" i="4"/>
  <c r="B50" i="4" s="1"/>
  <c r="C52" i="4"/>
  <c r="C50" i="4" s="1"/>
  <c r="D52" i="4"/>
  <c r="D50" i="4" s="1"/>
  <c r="E52" i="4"/>
  <c r="E50" i="4" s="1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F52" i="4"/>
  <c r="F50" i="4" s="1"/>
  <c r="G52" i="4"/>
  <c r="G50" i="4" s="1"/>
  <c r="H52" i="4"/>
  <c r="H50" i="4" s="1"/>
  <c r="I52" i="4"/>
  <c r="I50" i="4" s="1"/>
  <c r="J52" i="4"/>
  <c r="J50" i="4" s="1"/>
  <c r="K52" i="4"/>
  <c r="K50" i="4" s="1"/>
  <c r="L52" i="4"/>
  <c r="M52" i="4"/>
  <c r="M50" i="4" s="1"/>
  <c r="N52" i="4"/>
  <c r="N50" i="4" s="1"/>
  <c r="O52" i="4"/>
  <c r="O50" i="4" s="1"/>
  <c r="P52" i="4"/>
  <c r="P50" i="4" s="1"/>
  <c r="Q52" i="4"/>
  <c r="Q50" i="4" s="1"/>
  <c r="R52" i="4"/>
  <c r="R50" i="4" s="1"/>
  <c r="S52" i="4"/>
  <c r="S50" i="4" s="1"/>
  <c r="T52" i="4"/>
  <c r="T50" i="4" s="1"/>
  <c r="U52" i="4"/>
  <c r="U50" i="4" s="1"/>
  <c r="V52" i="4"/>
  <c r="V50" i="4" s="1"/>
  <c r="W52" i="4"/>
  <c r="W50" i="4" s="1"/>
  <c r="X52" i="4"/>
  <c r="X50" i="4" s="1"/>
  <c r="Y52" i="4"/>
  <c r="Y50" i="4" s="1"/>
  <c r="Z52" i="4"/>
  <c r="Z50" i="4" s="1"/>
  <c r="AA52" i="4"/>
  <c r="AA50" i="4" s="1"/>
  <c r="AB52" i="4"/>
  <c r="AB50" i="4" s="1"/>
  <c r="AC52" i="4"/>
  <c r="AC50" i="4" s="1"/>
  <c r="AD52" i="4"/>
  <c r="AD50" i="4" s="1"/>
  <c r="AE52" i="4"/>
  <c r="AE50" i="4" s="1"/>
  <c r="AF52" i="4"/>
  <c r="AF50" i="4" s="1"/>
  <c r="AG52" i="4"/>
  <c r="AG50" i="4" s="1"/>
  <c r="AH52" i="4"/>
  <c r="AH50" i="4" s="1"/>
  <c r="AI52" i="4"/>
  <c r="AI50" i="4" s="1"/>
  <c r="AJ52" i="4"/>
  <c r="AJ50" i="4" s="1"/>
  <c r="AK52" i="4"/>
  <c r="AK50" i="4" s="1"/>
  <c r="AL52" i="4"/>
  <c r="AL50" i="4" s="1"/>
  <c r="AM52" i="4"/>
  <c r="AM50" i="4" s="1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P66" i="4"/>
  <c r="AS66" i="4"/>
  <c r="BA66" i="4"/>
  <c r="BB66" i="4"/>
  <c r="BC66" i="4"/>
  <c r="B68" i="4"/>
  <c r="C137" i="4" s="1"/>
  <c r="C68" i="4"/>
  <c r="D137" i="4" s="1"/>
  <c r="D68" i="4"/>
  <c r="E68" i="4"/>
  <c r="F68" i="4"/>
  <c r="G137" i="4" s="1"/>
  <c r="G68" i="4"/>
  <c r="H137" i="4" s="1"/>
  <c r="H68" i="4"/>
  <c r="I68" i="4"/>
  <c r="J68" i="4"/>
  <c r="K137" i="4" s="1"/>
  <c r="K68" i="4"/>
  <c r="L137" i="4" s="1"/>
  <c r="L68" i="4"/>
  <c r="M68" i="4"/>
  <c r="N137" i="4" s="1"/>
  <c r="N68" i="4"/>
  <c r="O137" i="4" s="1"/>
  <c r="O68" i="4"/>
  <c r="P137" i="4" s="1"/>
  <c r="P68" i="4"/>
  <c r="Q68" i="4"/>
  <c r="R68" i="4"/>
  <c r="S137" i="4" s="1"/>
  <c r="S68" i="4"/>
  <c r="T137" i="4" s="1"/>
  <c r="T68" i="4"/>
  <c r="U68" i="4"/>
  <c r="V68" i="4"/>
  <c r="W137" i="4" s="1"/>
  <c r="W68" i="4"/>
  <c r="X137" i="4" s="1"/>
  <c r="X68" i="4"/>
  <c r="Y68" i="4"/>
  <c r="Z68" i="4"/>
  <c r="AA137" i="4" s="1"/>
  <c r="AA68" i="4"/>
  <c r="AB137" i="4" s="1"/>
  <c r="AB68" i="4"/>
  <c r="AC68" i="4"/>
  <c r="AD137" i="4" s="1"/>
  <c r="AD68" i="4"/>
  <c r="AE137" i="4" s="1"/>
  <c r="AE68" i="4"/>
  <c r="AF137" i="4" s="1"/>
  <c r="AF68" i="4"/>
  <c r="AG137" i="4" s="1"/>
  <c r="AG68" i="4"/>
  <c r="AH137" i="4" s="1"/>
  <c r="AH68" i="4"/>
  <c r="AI137" i="4" s="1"/>
  <c r="AI68" i="4"/>
  <c r="AJ137" i="4" s="1"/>
  <c r="AJ68" i="4"/>
  <c r="AK137" i="4" s="1"/>
  <c r="AK68" i="4"/>
  <c r="AL137" i="4" s="1"/>
  <c r="AL68" i="4"/>
  <c r="AM137" i="4" s="1"/>
  <c r="AM68" i="4"/>
  <c r="AN137" i="4" s="1"/>
  <c r="B69" i="4"/>
  <c r="B6" i="2" s="1"/>
  <c r="C69" i="4"/>
  <c r="C6" i="2" s="1"/>
  <c r="D69" i="4"/>
  <c r="D6" i="2" s="1"/>
  <c r="E69" i="4"/>
  <c r="E6" i="2" s="1"/>
  <c r="F69" i="4"/>
  <c r="F6" i="2" s="1"/>
  <c r="G69" i="4"/>
  <c r="G6" i="2" s="1"/>
  <c r="H69" i="4"/>
  <c r="H6" i="2" s="1"/>
  <c r="I69" i="4"/>
  <c r="I6" i="2" s="1"/>
  <c r="J69" i="4"/>
  <c r="K69" i="4"/>
  <c r="K6" i="2" s="1"/>
  <c r="L69" i="4"/>
  <c r="L6" i="2" s="1"/>
  <c r="M69" i="4"/>
  <c r="M6" i="2" s="1"/>
  <c r="N69" i="4"/>
  <c r="N6" i="2" s="1"/>
  <c r="O69" i="4"/>
  <c r="O6" i="2" s="1"/>
  <c r="P69" i="4"/>
  <c r="P6" i="2" s="1"/>
  <c r="Q69" i="4"/>
  <c r="Q6" i="2" s="1"/>
  <c r="R69" i="4"/>
  <c r="R6" i="2" s="1"/>
  <c r="S69" i="4"/>
  <c r="S6" i="2" s="1"/>
  <c r="T69" i="4"/>
  <c r="T6" i="2" s="1"/>
  <c r="U69" i="4"/>
  <c r="U6" i="2" s="1"/>
  <c r="V69" i="4"/>
  <c r="V6" i="2" s="1"/>
  <c r="W69" i="4"/>
  <c r="W6" i="2" s="1"/>
  <c r="X69" i="4"/>
  <c r="X6" i="2" s="1"/>
  <c r="Y69" i="4"/>
  <c r="Y6" i="2" s="1"/>
  <c r="Z69" i="4"/>
  <c r="Z6" i="2" s="1"/>
  <c r="AA69" i="4"/>
  <c r="AA6" i="2" s="1"/>
  <c r="AB69" i="4"/>
  <c r="AB6" i="2" s="1"/>
  <c r="AC69" i="4"/>
  <c r="AC6" i="2" s="1"/>
  <c r="AD69" i="4"/>
  <c r="AD6" i="2" s="1"/>
  <c r="AE69" i="4"/>
  <c r="AE6" i="2" s="1"/>
  <c r="AF69" i="4"/>
  <c r="AF6" i="2" s="1"/>
  <c r="AG69" i="4"/>
  <c r="AG6" i="2" s="1"/>
  <c r="AH69" i="4"/>
  <c r="AH6" i="2" s="1"/>
  <c r="AI69" i="4"/>
  <c r="AI6" i="2" s="1"/>
  <c r="AJ69" i="4"/>
  <c r="AJ6" i="2" s="1"/>
  <c r="AK69" i="4"/>
  <c r="AL69" i="4"/>
  <c r="AL6" i="2" s="1"/>
  <c r="AM69" i="4"/>
  <c r="B70" i="4"/>
  <c r="B8" i="2" s="1"/>
  <c r="C70" i="4"/>
  <c r="C8" i="2" s="1"/>
  <c r="D70" i="4"/>
  <c r="D8" i="2" s="1"/>
  <c r="E70" i="4"/>
  <c r="E8" i="2" s="1"/>
  <c r="F70" i="4"/>
  <c r="F8" i="2" s="1"/>
  <c r="G70" i="4"/>
  <c r="G8" i="2" s="1"/>
  <c r="H70" i="4"/>
  <c r="H8" i="2" s="1"/>
  <c r="I70" i="4"/>
  <c r="I8" i="2" s="1"/>
  <c r="J70" i="4"/>
  <c r="J8" i="2" s="1"/>
  <c r="K70" i="4"/>
  <c r="K8" i="2" s="1"/>
  <c r="L70" i="4"/>
  <c r="L8" i="2" s="1"/>
  <c r="M70" i="4"/>
  <c r="M8" i="2" s="1"/>
  <c r="N70" i="4"/>
  <c r="N8" i="2" s="1"/>
  <c r="O70" i="4"/>
  <c r="O8" i="2" s="1"/>
  <c r="P70" i="4"/>
  <c r="P8" i="2" s="1"/>
  <c r="Q70" i="4"/>
  <c r="Q8" i="2" s="1"/>
  <c r="R70" i="4"/>
  <c r="R8" i="2" s="1"/>
  <c r="S70" i="4"/>
  <c r="S8" i="2" s="1"/>
  <c r="T70" i="4"/>
  <c r="T8" i="2" s="1"/>
  <c r="U70" i="4"/>
  <c r="U8" i="2" s="1"/>
  <c r="V70" i="4"/>
  <c r="V8" i="2" s="1"/>
  <c r="W70" i="4"/>
  <c r="W8" i="2" s="1"/>
  <c r="X70" i="4"/>
  <c r="X8" i="2" s="1"/>
  <c r="Y70" i="4"/>
  <c r="Y8" i="2" s="1"/>
  <c r="Z70" i="4"/>
  <c r="Z8" i="2" s="1"/>
  <c r="AA70" i="4"/>
  <c r="AA8" i="2" s="1"/>
  <c r="AB70" i="4"/>
  <c r="AB8" i="2" s="1"/>
  <c r="AC70" i="4"/>
  <c r="AC8" i="2" s="1"/>
  <c r="AD70" i="4"/>
  <c r="AD8" i="2" s="1"/>
  <c r="AE70" i="4"/>
  <c r="AE8" i="2" s="1"/>
  <c r="AF70" i="4"/>
  <c r="AF8" i="2" s="1"/>
  <c r="AG70" i="4"/>
  <c r="AG8" i="2" s="1"/>
  <c r="AH70" i="4"/>
  <c r="AH8" i="2" s="1"/>
  <c r="AI70" i="4"/>
  <c r="AI8" i="2" s="1"/>
  <c r="AJ70" i="4"/>
  <c r="AJ8" i="2" s="1"/>
  <c r="AK70" i="4"/>
  <c r="AL70" i="4"/>
  <c r="AL8" i="2" s="1"/>
  <c r="AM70" i="4"/>
  <c r="B71" i="4"/>
  <c r="B11" i="2" s="1"/>
  <c r="C71" i="4"/>
  <c r="C11" i="2" s="1"/>
  <c r="D71" i="4"/>
  <c r="D11" i="2" s="1"/>
  <c r="E71" i="4"/>
  <c r="E11" i="2" s="1"/>
  <c r="F71" i="4"/>
  <c r="F11" i="2" s="1"/>
  <c r="G71" i="4"/>
  <c r="G11" i="2" s="1"/>
  <c r="H71" i="4"/>
  <c r="H11" i="2" s="1"/>
  <c r="I71" i="4"/>
  <c r="I11" i="2" s="1"/>
  <c r="J71" i="4"/>
  <c r="J11" i="2" s="1"/>
  <c r="K71" i="4"/>
  <c r="K11" i="2" s="1"/>
  <c r="L71" i="4"/>
  <c r="L11" i="2" s="1"/>
  <c r="M71" i="4"/>
  <c r="M11" i="2" s="1"/>
  <c r="N71" i="4"/>
  <c r="N11" i="2" s="1"/>
  <c r="O71" i="4"/>
  <c r="O11" i="2" s="1"/>
  <c r="P71" i="4"/>
  <c r="P11" i="2" s="1"/>
  <c r="Q71" i="4"/>
  <c r="Q11" i="2" s="1"/>
  <c r="R71" i="4"/>
  <c r="R11" i="2" s="1"/>
  <c r="S71" i="4"/>
  <c r="S11" i="2" s="1"/>
  <c r="T71" i="4"/>
  <c r="T11" i="2" s="1"/>
  <c r="U71" i="4"/>
  <c r="U11" i="2" s="1"/>
  <c r="V71" i="4"/>
  <c r="V11" i="2" s="1"/>
  <c r="W71" i="4"/>
  <c r="W11" i="2" s="1"/>
  <c r="X71" i="4"/>
  <c r="X11" i="2" s="1"/>
  <c r="Y71" i="4"/>
  <c r="Y11" i="2" s="1"/>
  <c r="Z71" i="4"/>
  <c r="Z11" i="2" s="1"/>
  <c r="AA71" i="4"/>
  <c r="AA11" i="2" s="1"/>
  <c r="AB71" i="4"/>
  <c r="AB11" i="2" s="1"/>
  <c r="AC71" i="4"/>
  <c r="AC11" i="2" s="1"/>
  <c r="AD71" i="4"/>
  <c r="AD11" i="2" s="1"/>
  <c r="AE71" i="4"/>
  <c r="AE11" i="2" s="1"/>
  <c r="AF71" i="4"/>
  <c r="AF11" i="2" s="1"/>
  <c r="AG71" i="4"/>
  <c r="AG11" i="2" s="1"/>
  <c r="AH71" i="4"/>
  <c r="AH11" i="2" s="1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B74" i="4"/>
  <c r="B41" i="2" s="1"/>
  <c r="C74" i="4"/>
  <c r="C41" i="2" s="1"/>
  <c r="D74" i="4"/>
  <c r="E74" i="4"/>
  <c r="E41" i="2" s="1"/>
  <c r="F74" i="4"/>
  <c r="F41" i="2" s="1"/>
  <c r="G74" i="4"/>
  <c r="G41" i="2" s="1"/>
  <c r="H74" i="4"/>
  <c r="I74" i="4"/>
  <c r="I41" i="2" s="1"/>
  <c r="J74" i="4"/>
  <c r="J41" i="2" s="1"/>
  <c r="K74" i="4"/>
  <c r="K41" i="2" s="1"/>
  <c r="L74" i="4"/>
  <c r="L41" i="2" s="1"/>
  <c r="M74" i="4"/>
  <c r="M41" i="2" s="1"/>
  <c r="N74" i="4"/>
  <c r="N41" i="2" s="1"/>
  <c r="O74" i="4"/>
  <c r="O41" i="2" s="1"/>
  <c r="P74" i="4"/>
  <c r="P41" i="2" s="1"/>
  <c r="Q74" i="4"/>
  <c r="Q41" i="2" s="1"/>
  <c r="R74" i="4"/>
  <c r="R41" i="2" s="1"/>
  <c r="S74" i="4"/>
  <c r="S41" i="2" s="1"/>
  <c r="T74" i="4"/>
  <c r="U74" i="4"/>
  <c r="U41" i="2" s="1"/>
  <c r="V74" i="4"/>
  <c r="V41" i="2" s="1"/>
  <c r="W74" i="4"/>
  <c r="W41" i="2" s="1"/>
  <c r="X74" i="4"/>
  <c r="X41" i="2" s="1"/>
  <c r="Y74" i="4"/>
  <c r="Y41" i="2" s="1"/>
  <c r="Z74" i="4"/>
  <c r="Z41" i="2" s="1"/>
  <c r="AA74" i="4"/>
  <c r="AA41" i="2" s="1"/>
  <c r="AB74" i="4"/>
  <c r="AC74" i="4"/>
  <c r="AC41" i="2" s="1"/>
  <c r="AD74" i="4"/>
  <c r="AD41" i="2" s="1"/>
  <c r="AE74" i="4"/>
  <c r="AE41" i="2" s="1"/>
  <c r="AF74" i="4"/>
  <c r="AF41" i="2" s="1"/>
  <c r="AG74" i="4"/>
  <c r="AG41" i="2" s="1"/>
  <c r="AH74" i="4"/>
  <c r="AH41" i="2" s="1"/>
  <c r="AI74" i="4"/>
  <c r="AI41" i="2" s="1"/>
  <c r="AJ74" i="4"/>
  <c r="AK74" i="4"/>
  <c r="AK41" i="2" s="1"/>
  <c r="AL74" i="4"/>
  <c r="AL41" i="2" s="1"/>
  <c r="AM74" i="4"/>
  <c r="AM41" i="2" s="1"/>
  <c r="B75" i="4"/>
  <c r="B48" i="2" s="1"/>
  <c r="C75" i="4"/>
  <c r="C48" i="2" s="1"/>
  <c r="D75" i="4"/>
  <c r="D48" i="2" s="1"/>
  <c r="E75" i="4"/>
  <c r="E48" i="2" s="1"/>
  <c r="F75" i="4"/>
  <c r="F48" i="2" s="1"/>
  <c r="G75" i="4"/>
  <c r="G48" i="2" s="1"/>
  <c r="H75" i="4"/>
  <c r="H48" i="2" s="1"/>
  <c r="I75" i="4"/>
  <c r="I48" i="2" s="1"/>
  <c r="J75" i="4"/>
  <c r="J48" i="2" s="1"/>
  <c r="K75" i="4"/>
  <c r="K48" i="2" s="1"/>
  <c r="L75" i="4"/>
  <c r="L48" i="2" s="1"/>
  <c r="M75" i="4"/>
  <c r="M48" i="2" s="1"/>
  <c r="N75" i="4"/>
  <c r="N48" i="2" s="1"/>
  <c r="O75" i="4"/>
  <c r="O48" i="2" s="1"/>
  <c r="P75" i="4"/>
  <c r="P48" i="2" s="1"/>
  <c r="Q75" i="4"/>
  <c r="Q48" i="2" s="1"/>
  <c r="R75" i="4"/>
  <c r="R48" i="2" s="1"/>
  <c r="S75" i="4"/>
  <c r="S48" i="2" s="1"/>
  <c r="T75" i="4"/>
  <c r="T48" i="2" s="1"/>
  <c r="U75" i="4"/>
  <c r="U48" i="2" s="1"/>
  <c r="V75" i="4"/>
  <c r="V48" i="2" s="1"/>
  <c r="W75" i="4"/>
  <c r="W48" i="2" s="1"/>
  <c r="X75" i="4"/>
  <c r="X48" i="2" s="1"/>
  <c r="Y75" i="4"/>
  <c r="Y48" i="2" s="1"/>
  <c r="Z75" i="4"/>
  <c r="Z48" i="2" s="1"/>
  <c r="AA75" i="4"/>
  <c r="AA48" i="2" s="1"/>
  <c r="AB75" i="4"/>
  <c r="AB48" i="2" s="1"/>
  <c r="AC75" i="4"/>
  <c r="AC48" i="2" s="1"/>
  <c r="AD75" i="4"/>
  <c r="AD48" i="2" s="1"/>
  <c r="AE75" i="4"/>
  <c r="AE48" i="2" s="1"/>
  <c r="AF75" i="4"/>
  <c r="AF48" i="2" s="1"/>
  <c r="AG75" i="4"/>
  <c r="AG48" i="2" s="1"/>
  <c r="AH75" i="4"/>
  <c r="AH48" i="2" s="1"/>
  <c r="AI75" i="4"/>
  <c r="AI48" i="2" s="1"/>
  <c r="AJ75" i="4"/>
  <c r="AJ48" i="2" s="1"/>
  <c r="AK75" i="4"/>
  <c r="AK48" i="2" s="1"/>
  <c r="AL75" i="4"/>
  <c r="AL48" i="2" s="1"/>
  <c r="AM75" i="4"/>
  <c r="AM48" i="2" s="1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B23" i="2"/>
  <c r="B24" i="2" s="1"/>
  <c r="C23" i="2"/>
  <c r="C24" i="2" s="1"/>
  <c r="D23" i="2"/>
  <c r="D24" i="2" s="1"/>
  <c r="E23" i="2"/>
  <c r="E24" i="2" s="1"/>
  <c r="F23" i="2"/>
  <c r="F24" i="2" s="1"/>
  <c r="G23" i="2"/>
  <c r="G24" i="2" s="1"/>
  <c r="H23" i="2"/>
  <c r="H24" i="2" s="1"/>
  <c r="I23" i="2"/>
  <c r="I24" i="2" s="1"/>
  <c r="J23" i="2"/>
  <c r="J24" i="2" s="1"/>
  <c r="K23" i="2"/>
  <c r="K24" i="2" s="1"/>
  <c r="L23" i="2"/>
  <c r="L24" i="2" s="1"/>
  <c r="M23" i="2"/>
  <c r="M24" i="2" s="1"/>
  <c r="N23" i="2"/>
  <c r="N24" i="2" s="1"/>
  <c r="O23" i="2"/>
  <c r="O24" i="2" s="1"/>
  <c r="P23" i="2"/>
  <c r="P24" i="2" s="1"/>
  <c r="Q23" i="2"/>
  <c r="R23" i="2"/>
  <c r="R24" i="2" s="1"/>
  <c r="S23" i="2"/>
  <c r="S24" i="2" s="1"/>
  <c r="T23" i="2"/>
  <c r="T24" i="2" s="1"/>
  <c r="U23" i="2"/>
  <c r="V23" i="2"/>
  <c r="V24" i="2" s="1"/>
  <c r="W23" i="2"/>
  <c r="W24" i="2" s="1"/>
  <c r="X23" i="2"/>
  <c r="X24" i="2" s="1"/>
  <c r="Y23" i="2"/>
  <c r="Z23" i="2"/>
  <c r="Z24" i="2" s="1"/>
  <c r="AA23" i="2"/>
  <c r="AA24" i="2" s="1"/>
  <c r="AB23" i="2"/>
  <c r="AB24" i="2" s="1"/>
  <c r="AC23" i="2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B95" i="4"/>
  <c r="C95" i="4"/>
  <c r="D95" i="4"/>
  <c r="E95" i="4"/>
  <c r="B53" i="27" s="1"/>
  <c r="F95" i="4"/>
  <c r="G95" i="4"/>
  <c r="H95" i="4"/>
  <c r="I95" i="4"/>
  <c r="C53" i="27" s="1"/>
  <c r="J95" i="4"/>
  <c r="K95" i="4"/>
  <c r="L95" i="4"/>
  <c r="M95" i="4"/>
  <c r="D53" i="27" s="1"/>
  <c r="N95" i="4"/>
  <c r="O95" i="4"/>
  <c r="P95" i="4"/>
  <c r="Q95" i="4"/>
  <c r="E53" i="27" s="1"/>
  <c r="R95" i="4"/>
  <c r="S95" i="4"/>
  <c r="T95" i="4"/>
  <c r="U95" i="4"/>
  <c r="F53" i="27" s="1"/>
  <c r="V95" i="4"/>
  <c r="W95" i="4"/>
  <c r="X95" i="4"/>
  <c r="Y95" i="4"/>
  <c r="G53" i="27" s="1"/>
  <c r="Z95" i="4"/>
  <c r="AA95" i="4"/>
  <c r="AB95" i="4"/>
  <c r="AC95" i="4"/>
  <c r="H53" i="27" s="1"/>
  <c r="AD95" i="4"/>
  <c r="AE95" i="4"/>
  <c r="AF95" i="4"/>
  <c r="AG95" i="4"/>
  <c r="I53" i="27" s="1"/>
  <c r="AH95" i="4"/>
  <c r="AI95" i="4"/>
  <c r="AJ95" i="4"/>
  <c r="AK95" i="4"/>
  <c r="J53" i="27" s="1"/>
  <c r="AL95" i="4"/>
  <c r="AM95" i="4"/>
  <c r="B96" i="4"/>
  <c r="C96" i="4"/>
  <c r="D96" i="4"/>
  <c r="E96" i="4"/>
  <c r="B54" i="27" s="1"/>
  <c r="F96" i="4"/>
  <c r="G96" i="4"/>
  <c r="H96" i="4"/>
  <c r="I96" i="4"/>
  <c r="C54" i="27" s="1"/>
  <c r="J96" i="4"/>
  <c r="K96" i="4"/>
  <c r="L96" i="4"/>
  <c r="M96" i="4"/>
  <c r="D54" i="27" s="1"/>
  <c r="N96" i="4"/>
  <c r="O96" i="4"/>
  <c r="P96" i="4"/>
  <c r="Q96" i="4"/>
  <c r="E54" i="27" s="1"/>
  <c r="R96" i="4"/>
  <c r="S96" i="4"/>
  <c r="T96" i="4"/>
  <c r="U96" i="4"/>
  <c r="F54" i="27" s="1"/>
  <c r="V96" i="4"/>
  <c r="W96" i="4"/>
  <c r="X96" i="4"/>
  <c r="Y96" i="4"/>
  <c r="G54" i="27" s="1"/>
  <c r="Z96" i="4"/>
  <c r="AA96" i="4"/>
  <c r="AB96" i="4"/>
  <c r="AC96" i="4"/>
  <c r="H54" i="27" s="1"/>
  <c r="AD96" i="4"/>
  <c r="AE96" i="4"/>
  <c r="AF96" i="4"/>
  <c r="AG96" i="4"/>
  <c r="I54" i="27" s="1"/>
  <c r="AH96" i="4"/>
  <c r="AI96" i="4"/>
  <c r="AJ96" i="4"/>
  <c r="AK96" i="4"/>
  <c r="J54" i="27" s="1"/>
  <c r="AL96" i="4"/>
  <c r="AM96" i="4"/>
  <c r="B97" i="4"/>
  <c r="C97" i="4"/>
  <c r="D97" i="4"/>
  <c r="E97" i="4"/>
  <c r="B55" i="27" s="1"/>
  <c r="F97" i="4"/>
  <c r="G97" i="4"/>
  <c r="H97" i="4"/>
  <c r="I97" i="4"/>
  <c r="C55" i="27" s="1"/>
  <c r="J97" i="4"/>
  <c r="K97" i="4"/>
  <c r="L97" i="4"/>
  <c r="M97" i="4"/>
  <c r="D55" i="27" s="1"/>
  <c r="N97" i="4"/>
  <c r="O97" i="4"/>
  <c r="P97" i="4"/>
  <c r="Q97" i="4"/>
  <c r="E55" i="27" s="1"/>
  <c r="R97" i="4"/>
  <c r="S97" i="4"/>
  <c r="T97" i="4"/>
  <c r="U97" i="4"/>
  <c r="F55" i="27" s="1"/>
  <c r="V97" i="4"/>
  <c r="W97" i="4"/>
  <c r="X97" i="4"/>
  <c r="Y97" i="4"/>
  <c r="G55" i="27" s="1"/>
  <c r="Z97" i="4"/>
  <c r="AA97" i="4"/>
  <c r="AB97" i="4"/>
  <c r="AC97" i="4"/>
  <c r="H55" i="27" s="1"/>
  <c r="AD97" i="4"/>
  <c r="AE97" i="4"/>
  <c r="AF97" i="4"/>
  <c r="AG97" i="4"/>
  <c r="I55" i="27" s="1"/>
  <c r="AH97" i="4"/>
  <c r="AI97" i="4"/>
  <c r="AJ97" i="4"/>
  <c r="AK97" i="4"/>
  <c r="J55" i="27" s="1"/>
  <c r="AL97" i="4"/>
  <c r="AM97" i="4"/>
  <c r="B98" i="4"/>
  <c r="C98" i="4"/>
  <c r="D98" i="4"/>
  <c r="E98" i="4"/>
  <c r="B56" i="27" s="1"/>
  <c r="F98" i="4"/>
  <c r="G98" i="4"/>
  <c r="H98" i="4"/>
  <c r="I98" i="4"/>
  <c r="C56" i="27" s="1"/>
  <c r="M98" i="4"/>
  <c r="D56" i="27" s="1"/>
  <c r="N98" i="4"/>
  <c r="O98" i="4"/>
  <c r="P98" i="4"/>
  <c r="Q98" i="4"/>
  <c r="E56" i="27" s="1"/>
  <c r="R98" i="4"/>
  <c r="S98" i="4"/>
  <c r="T98" i="4"/>
  <c r="U98" i="4"/>
  <c r="F56" i="27" s="1"/>
  <c r="V98" i="4"/>
  <c r="W98" i="4"/>
  <c r="X98" i="4"/>
  <c r="Y98" i="4"/>
  <c r="G56" i="27" s="1"/>
  <c r="Z98" i="4"/>
  <c r="AA98" i="4"/>
  <c r="AB98" i="4"/>
  <c r="AC98" i="4"/>
  <c r="H56" i="27" s="1"/>
  <c r="AD98" i="4"/>
  <c r="AE98" i="4"/>
  <c r="AF98" i="4"/>
  <c r="AG98" i="4"/>
  <c r="I56" i="27" s="1"/>
  <c r="AH98" i="4"/>
  <c r="AI98" i="4"/>
  <c r="AJ98" i="4"/>
  <c r="AK98" i="4"/>
  <c r="J56" i="27" s="1"/>
  <c r="AL98" i="4"/>
  <c r="AM98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P104" i="4"/>
  <c r="AQ104" i="4"/>
  <c r="AS104" i="4"/>
  <c r="BA104" i="4"/>
  <c r="BB104" i="4"/>
  <c r="BC104" i="4"/>
  <c r="B111" i="4"/>
  <c r="F111" i="4"/>
  <c r="J111" i="4"/>
  <c r="N111" i="4"/>
  <c r="R111" i="4"/>
  <c r="V111" i="4"/>
  <c r="Z111" i="4"/>
  <c r="B112" i="4"/>
  <c r="F112" i="4"/>
  <c r="J112" i="4"/>
  <c r="N112" i="4"/>
  <c r="R112" i="4"/>
  <c r="V112" i="4"/>
  <c r="Z112" i="4"/>
  <c r="B113" i="4"/>
  <c r="F113" i="4"/>
  <c r="J113" i="4"/>
  <c r="N113" i="4"/>
  <c r="R113" i="4"/>
  <c r="V113" i="4"/>
  <c r="Z113" i="4"/>
  <c r="B114" i="4"/>
  <c r="F114" i="4"/>
  <c r="J114" i="4"/>
  <c r="N114" i="4"/>
  <c r="R114" i="4"/>
  <c r="V114" i="4"/>
  <c r="Z114" i="4"/>
  <c r="B115" i="4"/>
  <c r="F115" i="4"/>
  <c r="J115" i="4"/>
  <c r="N115" i="4"/>
  <c r="R115" i="4"/>
  <c r="V115" i="4"/>
  <c r="Z115" i="4"/>
  <c r="B119" i="4"/>
  <c r="F119" i="4"/>
  <c r="J119" i="4"/>
  <c r="N119" i="4"/>
  <c r="R119" i="4"/>
  <c r="V119" i="4"/>
  <c r="Z119" i="4"/>
  <c r="B120" i="4"/>
  <c r="F120" i="4"/>
  <c r="J120" i="4"/>
  <c r="N120" i="4"/>
  <c r="R120" i="4"/>
  <c r="V120" i="4"/>
  <c r="Z120" i="4"/>
  <c r="B121" i="4"/>
  <c r="B43" i="2" s="1"/>
  <c r="F121" i="4"/>
  <c r="F43" i="2" s="1"/>
  <c r="J121" i="4"/>
  <c r="J43" i="2" s="1"/>
  <c r="N121" i="4"/>
  <c r="N43" i="2" s="1"/>
  <c r="R121" i="4"/>
  <c r="R43" i="2" s="1"/>
  <c r="V121" i="4"/>
  <c r="V43" i="2" s="1"/>
  <c r="Z121" i="4"/>
  <c r="Z43" i="2" s="1"/>
  <c r="AD43" i="2"/>
  <c r="AH43" i="2"/>
  <c r="AI43" i="2"/>
  <c r="AJ43" i="2"/>
  <c r="AK43" i="2"/>
  <c r="AM43" i="2"/>
  <c r="B122" i="4"/>
  <c r="F122" i="4"/>
  <c r="J122" i="4"/>
  <c r="N122" i="4"/>
  <c r="R122" i="4"/>
  <c r="V122" i="4"/>
  <c r="Z122" i="4"/>
  <c r="B126" i="4"/>
  <c r="F126" i="4"/>
  <c r="J126" i="4"/>
  <c r="N126" i="4"/>
  <c r="R126" i="4"/>
  <c r="V126" i="4"/>
  <c r="Z126" i="4"/>
  <c r="AE63" i="2"/>
  <c r="AE78" i="2" s="1"/>
  <c r="AF63" i="2"/>
  <c r="AF78" i="2" s="1"/>
  <c r="AG63" i="2"/>
  <c r="AG78" i="2" s="1"/>
  <c r="AI63" i="2"/>
  <c r="AI78" i="2" s="1"/>
  <c r="AJ63" i="2"/>
  <c r="AJ78" i="2" s="1"/>
  <c r="AK63" i="2"/>
  <c r="AK78" i="2" s="1"/>
  <c r="AM63" i="2"/>
  <c r="AM78" i="2" s="1"/>
  <c r="B127" i="4"/>
  <c r="F127" i="4"/>
  <c r="J127" i="4"/>
  <c r="N127" i="4"/>
  <c r="R127" i="4"/>
  <c r="V127" i="4"/>
  <c r="Z127" i="4"/>
  <c r="B128" i="4"/>
  <c r="F128" i="4"/>
  <c r="J128" i="4"/>
  <c r="N128" i="4"/>
  <c r="R128" i="4"/>
  <c r="V128" i="4"/>
  <c r="Z128" i="4"/>
  <c r="B129" i="4"/>
  <c r="F129" i="4"/>
  <c r="J129" i="4"/>
  <c r="N129" i="4"/>
  <c r="R129" i="4"/>
  <c r="V129" i="4"/>
  <c r="Z129" i="4"/>
  <c r="B137" i="4"/>
  <c r="B89" i="27" s="1"/>
  <c r="B138" i="4"/>
  <c r="F138" i="4"/>
  <c r="J138" i="4"/>
  <c r="N138" i="4"/>
  <c r="R138" i="4"/>
  <c r="V138" i="4"/>
  <c r="Z138" i="4"/>
  <c r="A1" i="8"/>
  <c r="BR336" i="8"/>
  <c r="B8" i="8"/>
  <c r="B7" i="8" s="1"/>
  <c r="C8" i="8"/>
  <c r="D8" i="8"/>
  <c r="D7" i="8" s="1"/>
  <c r="E8" i="8"/>
  <c r="E7" i="8" s="1"/>
  <c r="F8" i="8"/>
  <c r="F7" i="8" s="1"/>
  <c r="G8" i="8"/>
  <c r="H8" i="8"/>
  <c r="H7" i="8" s="1"/>
  <c r="I8" i="8"/>
  <c r="J8" i="8"/>
  <c r="J7" i="8" s="1"/>
  <c r="K8" i="8"/>
  <c r="K7" i="8" s="1"/>
  <c r="L8" i="8"/>
  <c r="M8" i="8"/>
  <c r="N8" i="8"/>
  <c r="N7" i="8" s="1"/>
  <c r="O8" i="8"/>
  <c r="P8" i="8"/>
  <c r="Q8" i="8"/>
  <c r="Q7" i="8" s="1"/>
  <c r="R8" i="8"/>
  <c r="R7" i="8" s="1"/>
  <c r="S8" i="8"/>
  <c r="T8" i="8"/>
  <c r="T7" i="8" s="1"/>
  <c r="U8" i="8"/>
  <c r="U7" i="8" s="1"/>
  <c r="V8" i="8"/>
  <c r="V7" i="8" s="1"/>
  <c r="W8" i="8"/>
  <c r="X8" i="8"/>
  <c r="X7" i="8" s="1"/>
  <c r="Y8" i="8"/>
  <c r="Y7" i="8" s="1"/>
  <c r="Z8" i="8"/>
  <c r="Z7" i="8" s="1"/>
  <c r="AA8" i="8"/>
  <c r="AA7" i="8" s="1"/>
  <c r="AB8" i="8"/>
  <c r="AB7" i="8" s="1"/>
  <c r="AC8" i="8"/>
  <c r="AD8" i="8"/>
  <c r="AD7" i="8" s="1"/>
  <c r="AE8" i="8"/>
  <c r="AF8" i="8"/>
  <c r="AG8" i="8"/>
  <c r="AH8" i="8"/>
  <c r="AH7" i="8" s="1"/>
  <c r="AI8" i="8"/>
  <c r="AJ8" i="8"/>
  <c r="AJ7" i="8" s="1"/>
  <c r="AK8" i="8"/>
  <c r="AK7" i="8" s="1"/>
  <c r="AL8" i="8"/>
  <c r="AM8" i="8"/>
  <c r="AP8" i="8"/>
  <c r="AP7" i="8" s="1"/>
  <c r="AR8" i="8"/>
  <c r="AR7" i="8" s="1"/>
  <c r="AX8" i="8"/>
  <c r="AX7" i="8" s="1"/>
  <c r="AZ8" i="8"/>
  <c r="AZ7" i="8" s="1"/>
  <c r="BA8" i="8"/>
  <c r="BB8" i="8"/>
  <c r="BC8" i="8"/>
  <c r="BJ8" i="8"/>
  <c r="BL8" i="8"/>
  <c r="BM8" i="8"/>
  <c r="BM7" i="8" s="1"/>
  <c r="BN8" i="8"/>
  <c r="BN7" i="8" s="1"/>
  <c r="BO8" i="8"/>
  <c r="BP8" i="8"/>
  <c r="BP7" i="8" s="1"/>
  <c r="BQ8" i="8"/>
  <c r="BQ7" i="8" s="1"/>
  <c r="B11" i="8"/>
  <c r="C11" i="8"/>
  <c r="D11" i="8"/>
  <c r="E11" i="8"/>
  <c r="F11" i="8"/>
  <c r="G12" i="8"/>
  <c r="H11" i="8"/>
  <c r="I12" i="8"/>
  <c r="J11" i="8"/>
  <c r="K12" i="8"/>
  <c r="L11" i="8"/>
  <c r="M11" i="8"/>
  <c r="N11" i="8"/>
  <c r="O11" i="8"/>
  <c r="P11" i="8"/>
  <c r="Q11" i="8"/>
  <c r="R11" i="8"/>
  <c r="S13" i="8"/>
  <c r="T11" i="8"/>
  <c r="U11" i="8"/>
  <c r="V11" i="8"/>
  <c r="W13" i="8"/>
  <c r="X11" i="8"/>
  <c r="Y12" i="8"/>
  <c r="G11" i="8"/>
  <c r="BM13" i="8"/>
  <c r="BO13" i="8"/>
  <c r="BQ13" i="8"/>
  <c r="G13" i="8"/>
  <c r="O13" i="8"/>
  <c r="B17" i="8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BL18" i="8"/>
  <c r="BM18" i="8"/>
  <c r="BO18" i="8"/>
  <c r="BP18" i="8"/>
  <c r="BQ18" i="8"/>
  <c r="CY261" i="8"/>
  <c r="F270" i="8"/>
  <c r="F271" i="8" s="1"/>
  <c r="H270" i="8"/>
  <c r="H272" i="8" s="1"/>
  <c r="A1" i="92"/>
  <c r="AM138" i="4" l="1"/>
  <c r="AJ41" i="60"/>
  <c r="AB138" i="4" s="1"/>
  <c r="AG41" i="60"/>
  <c r="AQ271" i="112"/>
  <c r="Z24" i="76"/>
  <c r="AA47" i="76"/>
  <c r="Z47" i="76"/>
  <c r="AA24" i="76"/>
  <c r="AI3" i="2"/>
  <c r="X47" i="76"/>
  <c r="Y47" i="76"/>
  <c r="Y24" i="76"/>
  <c r="G21" i="2"/>
  <c r="H21" i="2"/>
  <c r="AM245" i="112"/>
  <c r="AM160" i="2"/>
  <c r="AG245" i="112"/>
  <c r="AG160" i="2"/>
  <c r="AL245" i="112"/>
  <c r="AL160" i="2"/>
  <c r="AE245" i="112"/>
  <c r="AE160" i="2"/>
  <c r="AI245" i="112"/>
  <c r="AI160" i="2"/>
  <c r="J37" i="59"/>
  <c r="J46" i="59" s="1"/>
  <c r="J90" i="4"/>
  <c r="J91" i="4" s="1"/>
  <c r="T21" i="2"/>
  <c r="AI7" i="8"/>
  <c r="Q24" i="2"/>
  <c r="AS3" i="2"/>
  <c r="U24" i="2"/>
  <c r="B3" i="4"/>
  <c r="AC24" i="2"/>
  <c r="AK3" i="2"/>
  <c r="Y24" i="2"/>
  <c r="AG3" i="2"/>
  <c r="I21" i="2"/>
  <c r="BR36" i="8"/>
  <c r="BR10" i="8"/>
  <c r="BR272" i="8" s="1"/>
  <c r="BR15" i="8"/>
  <c r="BR26" i="8"/>
  <c r="BR173" i="8" s="1"/>
  <c r="BR20" i="8"/>
  <c r="BR31" i="8"/>
  <c r="AF13" i="60"/>
  <c r="X111" i="4" s="1"/>
  <c r="AJ13" i="60"/>
  <c r="AB111" i="4" s="1"/>
  <c r="AR41" i="60"/>
  <c r="AI138" i="4"/>
  <c r="AN41" i="60"/>
  <c r="AE138" i="4"/>
  <c r="AR33" i="60"/>
  <c r="AI127" i="4"/>
  <c r="AI64" i="2" s="1"/>
  <c r="AI82" i="2" s="1"/>
  <c r="AN33" i="60"/>
  <c r="AE127" i="4"/>
  <c r="AE64" i="2" s="1"/>
  <c r="AE82" i="2" s="1"/>
  <c r="AM129" i="4"/>
  <c r="AM132" i="4" s="1"/>
  <c r="AR30" i="60"/>
  <c r="AI129" i="4"/>
  <c r="AI65" i="2" s="1"/>
  <c r="AI70" i="2" s="1"/>
  <c r="AI318" i="112" s="1"/>
  <c r="AN30" i="60"/>
  <c r="AE129" i="4"/>
  <c r="AE65" i="2" s="1"/>
  <c r="AE70" i="2" s="1"/>
  <c r="AE318" i="112" s="1"/>
  <c r="AN28" i="60"/>
  <c r="AF128" i="4" s="1"/>
  <c r="AE128" i="4"/>
  <c r="AM120" i="4"/>
  <c r="AM123" i="4" s="1"/>
  <c r="AR22" i="60"/>
  <c r="AS22" i="60" s="1"/>
  <c r="AI120" i="4"/>
  <c r="AI49" i="2" s="1"/>
  <c r="AR21" i="60"/>
  <c r="AI119" i="4"/>
  <c r="AN23" i="60"/>
  <c r="AE121" i="4"/>
  <c r="AE43" i="2" s="1"/>
  <c r="AE120" i="4"/>
  <c r="AE49" i="2" s="1"/>
  <c r="AN21" i="60"/>
  <c r="AE119" i="4"/>
  <c r="AR17" i="60"/>
  <c r="AI115" i="4"/>
  <c r="AR16" i="60"/>
  <c r="AI114" i="4"/>
  <c r="AR15" i="60"/>
  <c r="AI113" i="4"/>
  <c r="AR14" i="60"/>
  <c r="AJ112" i="4" s="1"/>
  <c r="AI112" i="4"/>
  <c r="AR13" i="60"/>
  <c r="AI111" i="4"/>
  <c r="AN17" i="60"/>
  <c r="AE115" i="4"/>
  <c r="AN16" i="60"/>
  <c r="AE114" i="4"/>
  <c r="AN15" i="60"/>
  <c r="AE113" i="4"/>
  <c r="AN14" i="60"/>
  <c r="AE112" i="4"/>
  <c r="AN13" i="60"/>
  <c r="AE111" i="4"/>
  <c r="BJ7" i="8"/>
  <c r="BJ78" i="8"/>
  <c r="BJ208" i="8"/>
  <c r="BJ253" i="8" s="1"/>
  <c r="BJ269" i="8" s="1"/>
  <c r="BJ141" i="8"/>
  <c r="BJ231" i="8"/>
  <c r="BJ321" i="8"/>
  <c r="BJ171" i="8"/>
  <c r="BJ175" i="8" s="1"/>
  <c r="BJ136" i="8"/>
  <c r="BJ114" i="8"/>
  <c r="BJ131" i="8"/>
  <c r="BJ120" i="8"/>
  <c r="BJ109" i="8"/>
  <c r="BJ125" i="8"/>
  <c r="BJ163" i="8"/>
  <c r="BJ152" i="8"/>
  <c r="BJ146" i="8"/>
  <c r="BJ150" i="8" s="1"/>
  <c r="BJ183" i="8"/>
  <c r="BJ203" i="8"/>
  <c r="BJ191" i="8"/>
  <c r="E21" i="2"/>
  <c r="AC21" i="2"/>
  <c r="W21" i="2"/>
  <c r="Q21" i="2"/>
  <c r="K21" i="2"/>
  <c r="AA21" i="2"/>
  <c r="U21" i="2"/>
  <c r="O21" i="2"/>
  <c r="AN10" i="60"/>
  <c r="AQ5" i="60"/>
  <c r="AR5" i="60" s="1"/>
  <c r="AS5" i="60" s="1"/>
  <c r="AR10" i="60"/>
  <c r="C21" i="2"/>
  <c r="B21" i="2"/>
  <c r="Y21" i="2"/>
  <c r="S21" i="2"/>
  <c r="M21" i="2"/>
  <c r="L21" i="2"/>
  <c r="BO141" i="8"/>
  <c r="BO7" i="8"/>
  <c r="BL208" i="8"/>
  <c r="BL253" i="8" s="1"/>
  <c r="BL269" i="8" s="1"/>
  <c r="BL7" i="8"/>
  <c r="BK7" i="8"/>
  <c r="BC321" i="8"/>
  <c r="BC7" i="8"/>
  <c r="BB208" i="8"/>
  <c r="BB253" i="8" s="1"/>
  <c r="BB269" i="8" s="1"/>
  <c r="BB7" i="8"/>
  <c r="BA141" i="8"/>
  <c r="BA7" i="8"/>
  <c r="AM321" i="8"/>
  <c r="AM7" i="8"/>
  <c r="AL208" i="8"/>
  <c r="AL253" i="8" s="1"/>
  <c r="AL269" i="8" s="1"/>
  <c r="AL7" i="8"/>
  <c r="AG231" i="8"/>
  <c r="AG7" i="8"/>
  <c r="AF208" i="8"/>
  <c r="AF253" i="8" s="1"/>
  <c r="AF269" i="8" s="1"/>
  <c r="AF7" i="8"/>
  <c r="AE208" i="8"/>
  <c r="AE253" i="8" s="1"/>
  <c r="AE269" i="8" s="1"/>
  <c r="AE7" i="8"/>
  <c r="AC321" i="8"/>
  <c r="AC7" i="8"/>
  <c r="W321" i="8"/>
  <c r="W7" i="8"/>
  <c r="S141" i="8"/>
  <c r="S7" i="8"/>
  <c r="P141" i="8"/>
  <c r="P7" i="8"/>
  <c r="O208" i="8"/>
  <c r="O253" i="8" s="1"/>
  <c r="O269" i="8" s="1"/>
  <c r="O7" i="8"/>
  <c r="M321" i="8"/>
  <c r="M7" i="8"/>
  <c r="L321" i="8"/>
  <c r="L7" i="8"/>
  <c r="I208" i="8"/>
  <c r="I253" i="8" s="1"/>
  <c r="I269" i="8" s="1"/>
  <c r="I7" i="8"/>
  <c r="G321" i="8"/>
  <c r="G7" i="8"/>
  <c r="C141" i="8"/>
  <c r="C7" i="8"/>
  <c r="BI114" i="8"/>
  <c r="BI109" i="8"/>
  <c r="BI120" i="8"/>
  <c r="BI131" i="8"/>
  <c r="BI136" i="8"/>
  <c r="BI152" i="8"/>
  <c r="BI171" i="8"/>
  <c r="BI175" i="8" s="1"/>
  <c r="BI146" i="8"/>
  <c r="BI150" i="8" s="1"/>
  <c r="BI125" i="8"/>
  <c r="BI203" i="8"/>
  <c r="BI191" i="8"/>
  <c r="BI195" i="8" s="1"/>
  <c r="BI197" i="8"/>
  <c r="AL116" i="2"/>
  <c r="AF116" i="2"/>
  <c r="AI116" i="2"/>
  <c r="AH116" i="2"/>
  <c r="AK116" i="2"/>
  <c r="AE116" i="2"/>
  <c r="AJ116" i="2"/>
  <c r="AD116" i="2"/>
  <c r="AM116" i="2"/>
  <c r="AN111" i="2" s="1"/>
  <c r="AG116" i="2"/>
  <c r="BM20" i="8"/>
  <c r="BL20" i="8"/>
  <c r="CV197" i="8"/>
  <c r="CV201" i="112" s="1"/>
  <c r="CV177" i="8"/>
  <c r="CV117" i="112" s="1"/>
  <c r="CV152" i="8"/>
  <c r="CV50" i="112" s="1"/>
  <c r="CK73" i="8"/>
  <c r="CW177" i="8"/>
  <c r="CW117" i="112" s="1"/>
  <c r="CW197" i="8"/>
  <c r="CW201" i="112" s="1"/>
  <c r="CW152" i="8"/>
  <c r="CW50" i="112" s="1"/>
  <c r="CL73" i="8"/>
  <c r="CM73" i="8"/>
  <c r="CN73" i="8"/>
  <c r="CO73" i="8"/>
  <c r="CP73" i="8"/>
  <c r="CQ73" i="8"/>
  <c r="CR73" i="8"/>
  <c r="CS73" i="8"/>
  <c r="CT73" i="8"/>
  <c r="CU73" i="8"/>
  <c r="CV73" i="8"/>
  <c r="CW73" i="8"/>
  <c r="CV47" i="8"/>
  <c r="CV184" i="112" s="1"/>
  <c r="CV42" i="8"/>
  <c r="CW47" i="8"/>
  <c r="CW184" i="112" s="1"/>
  <c r="CW42" i="8"/>
  <c r="CV26" i="8"/>
  <c r="CV173" i="8" s="1"/>
  <c r="CW26" i="8"/>
  <c r="CW173" i="8" s="1"/>
  <c r="CV36" i="8"/>
  <c r="CV31" i="8"/>
  <c r="CW36" i="8"/>
  <c r="CW31" i="8"/>
  <c r="CV57" i="8"/>
  <c r="CV185" i="112" s="1"/>
  <c r="CV52" i="8"/>
  <c r="CW57" i="8"/>
  <c r="CW185" i="112" s="1"/>
  <c r="CW52" i="8"/>
  <c r="CV10" i="8"/>
  <c r="CV148" i="8" s="1"/>
  <c r="CV15" i="8"/>
  <c r="CW10" i="8"/>
  <c r="CW148" i="8" s="1"/>
  <c r="CW15" i="8"/>
  <c r="CV67" i="8"/>
  <c r="CV186" i="112" s="1"/>
  <c r="CV62" i="8"/>
  <c r="CW67" i="8"/>
  <c r="CW186" i="112" s="1"/>
  <c r="CW62" i="8"/>
  <c r="CV136" i="8"/>
  <c r="CV151" i="112" s="1"/>
  <c r="CV125" i="8"/>
  <c r="CV86" i="112" s="1"/>
  <c r="CW136" i="8"/>
  <c r="CW151" i="112" s="1"/>
  <c r="CW125" i="8"/>
  <c r="CW86" i="112" s="1"/>
  <c r="CV120" i="8"/>
  <c r="CV82" i="112" s="1"/>
  <c r="CV114" i="8"/>
  <c r="CV19" i="112" s="1"/>
  <c r="CW120" i="8"/>
  <c r="CW82" i="112" s="1"/>
  <c r="CW114" i="8"/>
  <c r="CW19" i="112" s="1"/>
  <c r="CV131" i="8"/>
  <c r="CV147" i="112" s="1"/>
  <c r="CW109" i="8"/>
  <c r="CW15" i="112" s="1"/>
  <c r="CW131" i="8"/>
  <c r="CW147" i="112" s="1"/>
  <c r="CV109" i="8"/>
  <c r="CV15" i="112" s="1"/>
  <c r="CV20" i="8"/>
  <c r="CW20" i="8"/>
  <c r="CQ322" i="8"/>
  <c r="CQ72" i="2" s="1"/>
  <c r="CT197" i="8"/>
  <c r="CT201" i="112" s="1"/>
  <c r="CT177" i="8"/>
  <c r="CT117" i="112" s="1"/>
  <c r="CU152" i="8"/>
  <c r="CU50" i="112" s="1"/>
  <c r="CS67" i="8"/>
  <c r="CS186" i="112" s="1"/>
  <c r="CS57" i="8"/>
  <c r="CS185" i="112" s="1"/>
  <c r="CS47" i="8"/>
  <c r="CS184" i="112" s="1"/>
  <c r="CU197" i="8"/>
  <c r="CU201" i="112" s="1"/>
  <c r="CU177" i="8"/>
  <c r="CU117" i="112" s="1"/>
  <c r="CQ52" i="8"/>
  <c r="CQ42" i="8"/>
  <c r="CQ15" i="8"/>
  <c r="CS197" i="8"/>
  <c r="CS201" i="112" s="1"/>
  <c r="CS177" i="8"/>
  <c r="CS117" i="112" s="1"/>
  <c r="CT152" i="8"/>
  <c r="CT50" i="112" s="1"/>
  <c r="CR67" i="8"/>
  <c r="CR186" i="112" s="1"/>
  <c r="CR57" i="8"/>
  <c r="CR185" i="112" s="1"/>
  <c r="CR47" i="8"/>
  <c r="CR184" i="112" s="1"/>
  <c r="CQ62" i="8"/>
  <c r="CR197" i="8"/>
  <c r="CR201" i="112" s="1"/>
  <c r="CR177" i="8"/>
  <c r="CR117" i="112" s="1"/>
  <c r="CS152" i="8"/>
  <c r="CS50" i="112" s="1"/>
  <c r="CQ67" i="8"/>
  <c r="CQ186" i="112" s="1"/>
  <c r="CQ57" i="8"/>
  <c r="CQ185" i="112" s="1"/>
  <c r="CQ47" i="8"/>
  <c r="CQ184" i="112" s="1"/>
  <c r="CQ36" i="8"/>
  <c r="CQ26" i="8"/>
  <c r="CQ173" i="8" s="1"/>
  <c r="CQ10" i="8"/>
  <c r="CQ148" i="8" s="1"/>
  <c r="CQ152" i="8"/>
  <c r="CQ50" i="112" s="1"/>
  <c r="CR62" i="8"/>
  <c r="CR52" i="8"/>
  <c r="CQ197" i="8"/>
  <c r="CQ201" i="112" s="1"/>
  <c r="CQ177" i="8"/>
  <c r="CQ117" i="112" s="1"/>
  <c r="CR152" i="8"/>
  <c r="CR50" i="112" s="1"/>
  <c r="CS62" i="8"/>
  <c r="CS52" i="8"/>
  <c r="CS42" i="8"/>
  <c r="CR42" i="8"/>
  <c r="CQ31" i="8"/>
  <c r="CU47" i="8"/>
  <c r="CU184" i="112" s="1"/>
  <c r="CR15" i="8"/>
  <c r="CR26" i="8"/>
  <c r="CR173" i="8" s="1"/>
  <c r="CT67" i="8"/>
  <c r="CT186" i="112" s="1"/>
  <c r="CR36" i="8"/>
  <c r="CR10" i="8"/>
  <c r="CR148" i="8" s="1"/>
  <c r="CU322" i="8"/>
  <c r="CU72" i="2" s="1"/>
  <c r="CT47" i="8"/>
  <c r="CT184" i="112" s="1"/>
  <c r="CT57" i="8"/>
  <c r="CT185" i="112" s="1"/>
  <c r="CS36" i="8"/>
  <c r="CU42" i="8"/>
  <c r="CS15" i="8"/>
  <c r="CS26" i="8"/>
  <c r="CT52" i="8"/>
  <c r="CU67" i="8"/>
  <c r="CU186" i="112" s="1"/>
  <c r="CR20" i="8"/>
  <c r="CQ20" i="8"/>
  <c r="CS10" i="8"/>
  <c r="CS148" i="8" s="1"/>
  <c r="CR31" i="8"/>
  <c r="CU57" i="8"/>
  <c r="CU185" i="112" s="1"/>
  <c r="CT62" i="8"/>
  <c r="CT42" i="8"/>
  <c r="CS125" i="8"/>
  <c r="CS86" i="112" s="1"/>
  <c r="CQ120" i="8"/>
  <c r="CQ82" i="112" s="1"/>
  <c r="CT26" i="8"/>
  <c r="CQ125" i="8"/>
  <c r="CQ86" i="112" s="1"/>
  <c r="CU62" i="8"/>
  <c r="CR109" i="8"/>
  <c r="CR15" i="112" s="1"/>
  <c r="CS120" i="8"/>
  <c r="CS82" i="112" s="1"/>
  <c r="CQ109" i="8"/>
  <c r="CQ15" i="112" s="1"/>
  <c r="CS31" i="8"/>
  <c r="CQ131" i="8"/>
  <c r="CQ147" i="112" s="1"/>
  <c r="CT15" i="8"/>
  <c r="CQ136" i="8"/>
  <c r="CQ151" i="112" s="1"/>
  <c r="CR114" i="8"/>
  <c r="CR19" i="112" s="1"/>
  <c r="CR120" i="8"/>
  <c r="CR82" i="112" s="1"/>
  <c r="CU52" i="8"/>
  <c r="CR125" i="8"/>
  <c r="CR86" i="112" s="1"/>
  <c r="CT10" i="8"/>
  <c r="CT148" i="8" s="1"/>
  <c r="CT36" i="8"/>
  <c r="CQ114" i="8"/>
  <c r="CQ19" i="112" s="1"/>
  <c r="CS20" i="8"/>
  <c r="CU15" i="8"/>
  <c r="CT109" i="8"/>
  <c r="CT15" i="112" s="1"/>
  <c r="CT131" i="8"/>
  <c r="CT147" i="112" s="1"/>
  <c r="CS131" i="8"/>
  <c r="CS147" i="112" s="1"/>
  <c r="CT125" i="8"/>
  <c r="CT86" i="112" s="1"/>
  <c r="CT31" i="8"/>
  <c r="CT120" i="8"/>
  <c r="CT82" i="112" s="1"/>
  <c r="CR131" i="8"/>
  <c r="CR147" i="112" s="1"/>
  <c r="CU26" i="8"/>
  <c r="CU173" i="8" s="1"/>
  <c r="CR136" i="8"/>
  <c r="CR151" i="112" s="1"/>
  <c r="CS114" i="8"/>
  <c r="CS19" i="112" s="1"/>
  <c r="CU120" i="8"/>
  <c r="CU82" i="112" s="1"/>
  <c r="CS109" i="8"/>
  <c r="CS15" i="112" s="1"/>
  <c r="CU125" i="8"/>
  <c r="CU86" i="112" s="1"/>
  <c r="CU10" i="8"/>
  <c r="CU148" i="8" s="1"/>
  <c r="CU36" i="8"/>
  <c r="CT20" i="8"/>
  <c r="CS136" i="8"/>
  <c r="CS151" i="112" s="1"/>
  <c r="CU131" i="8"/>
  <c r="CU147" i="112" s="1"/>
  <c r="CU114" i="8"/>
  <c r="CU19" i="112" s="1"/>
  <c r="CU109" i="8"/>
  <c r="CU15" i="112" s="1"/>
  <c r="CT136" i="8"/>
  <c r="CT151" i="112" s="1"/>
  <c r="CU136" i="8"/>
  <c r="CU151" i="112" s="1"/>
  <c r="CU20" i="8"/>
  <c r="CU31" i="8"/>
  <c r="CT114" i="8"/>
  <c r="CT19" i="112" s="1"/>
  <c r="CO197" i="8"/>
  <c r="CO201" i="112" s="1"/>
  <c r="CO152" i="8"/>
  <c r="CO50" i="112" s="1"/>
  <c r="CM36" i="8"/>
  <c r="CM57" i="8"/>
  <c r="CM185" i="112" s="1"/>
  <c r="CN26" i="8"/>
  <c r="AI73" i="76" s="1"/>
  <c r="CL36" i="8"/>
  <c r="CM322" i="8"/>
  <c r="CM72" i="2" s="1"/>
  <c r="CN197" i="8"/>
  <c r="CN201" i="112" s="1"/>
  <c r="CN152" i="8"/>
  <c r="CN50" i="112" s="1"/>
  <c r="CM10" i="8"/>
  <c r="CM148" i="8" s="1"/>
  <c r="CL197" i="8"/>
  <c r="CL201" i="112" s="1"/>
  <c r="CL152" i="8"/>
  <c r="CL50" i="112" s="1"/>
  <c r="CM197" i="8"/>
  <c r="CM201" i="112" s="1"/>
  <c r="CP177" i="8"/>
  <c r="CP117" i="112" s="1"/>
  <c r="CM152" i="8"/>
  <c r="CM50" i="112" s="1"/>
  <c r="CO177" i="8"/>
  <c r="CO117" i="112" s="1"/>
  <c r="CM26" i="8"/>
  <c r="CM177" i="8"/>
  <c r="CM117" i="112" s="1"/>
  <c r="CP197" i="8"/>
  <c r="CP201" i="112" s="1"/>
  <c r="CN177" i="8"/>
  <c r="CN117" i="112" s="1"/>
  <c r="CM67" i="8"/>
  <c r="CM186" i="112" s="1"/>
  <c r="CP152" i="8"/>
  <c r="CP50" i="112" s="1"/>
  <c r="CL67" i="8"/>
  <c r="CL186" i="112" s="1"/>
  <c r="CL177" i="8"/>
  <c r="CL117" i="112" s="1"/>
  <c r="CN62" i="8"/>
  <c r="CN67" i="8"/>
  <c r="CN186" i="112" s="1"/>
  <c r="CL57" i="8"/>
  <c r="CL185" i="112" s="1"/>
  <c r="CN31" i="8"/>
  <c r="CN10" i="8"/>
  <c r="CN148" i="8" s="1"/>
  <c r="CL15" i="8"/>
  <c r="CL31" i="8"/>
  <c r="CN36" i="8"/>
  <c r="CL47" i="8"/>
  <c r="CL184" i="112" s="1"/>
  <c r="CM15" i="8"/>
  <c r="CL42" i="8"/>
  <c r="CM31" i="8"/>
  <c r="CL10" i="8"/>
  <c r="CL148" i="8" s="1"/>
  <c r="CL62" i="8"/>
  <c r="CN57" i="8"/>
  <c r="CN185" i="112" s="1"/>
  <c r="CN15" i="8"/>
  <c r="CM62" i="8"/>
  <c r="CL26" i="8"/>
  <c r="CM47" i="8"/>
  <c r="CM184" i="112" s="1"/>
  <c r="CM20" i="8"/>
  <c r="CO26" i="8"/>
  <c r="CN47" i="8"/>
  <c r="CN184" i="112" s="1"/>
  <c r="CL20" i="8"/>
  <c r="CO15" i="8"/>
  <c r="CL52" i="8"/>
  <c r="CN52" i="8"/>
  <c r="CO67" i="8"/>
  <c r="CO186" i="112" s="1"/>
  <c r="CO10" i="8"/>
  <c r="CO148" i="8" s="1"/>
  <c r="CN20" i="8"/>
  <c r="CO36" i="8"/>
  <c r="CO57" i="8"/>
  <c r="CO185" i="112" s="1"/>
  <c r="CM42" i="8"/>
  <c r="CM131" i="8"/>
  <c r="CM147" i="112" s="1"/>
  <c r="CO47" i="8"/>
  <c r="CO184" i="112" s="1"/>
  <c r="CP67" i="8"/>
  <c r="CP186" i="112" s="1"/>
  <c r="CO31" i="8"/>
  <c r="CP36" i="8"/>
  <c r="CM136" i="8"/>
  <c r="CM151" i="112" s="1"/>
  <c r="CM125" i="8"/>
  <c r="CM86" i="112" s="1"/>
  <c r="CO62" i="8"/>
  <c r="CL131" i="8"/>
  <c r="CL147" i="112" s="1"/>
  <c r="CL114" i="8"/>
  <c r="CL19" i="112" s="1"/>
  <c r="CL125" i="8"/>
  <c r="CL86" i="112" s="1"/>
  <c r="CM120" i="8"/>
  <c r="CM82" i="112" s="1"/>
  <c r="CL109" i="8"/>
  <c r="CL15" i="112" s="1"/>
  <c r="CM109" i="8"/>
  <c r="CM15" i="112" s="1"/>
  <c r="CM114" i="8"/>
  <c r="CM19" i="112" s="1"/>
  <c r="CP15" i="8"/>
  <c r="CP10" i="8"/>
  <c r="CP148" i="8" s="1"/>
  <c r="CP57" i="8"/>
  <c r="CP185" i="112" s="1"/>
  <c r="CO20" i="8"/>
  <c r="CP26" i="8"/>
  <c r="CO52" i="8"/>
  <c r="CN42" i="8"/>
  <c r="CL120" i="8"/>
  <c r="CL82" i="112" s="1"/>
  <c r="CL136" i="8"/>
  <c r="CL151" i="112" s="1"/>
  <c r="CN109" i="8"/>
  <c r="CN15" i="112" s="1"/>
  <c r="CN114" i="8"/>
  <c r="CN19" i="112" s="1"/>
  <c r="CP52" i="8"/>
  <c r="CP62" i="8"/>
  <c r="CN125" i="8"/>
  <c r="CN86" i="112" s="1"/>
  <c r="CO120" i="8"/>
  <c r="CO82" i="112" s="1"/>
  <c r="CP31" i="8"/>
  <c r="CO42" i="8"/>
  <c r="CN120" i="8"/>
  <c r="CN82" i="112" s="1"/>
  <c r="CP20" i="8"/>
  <c r="CN131" i="8"/>
  <c r="CN147" i="112" s="1"/>
  <c r="CN136" i="8"/>
  <c r="CN151" i="112" s="1"/>
  <c r="CP47" i="8"/>
  <c r="CP184" i="112" s="1"/>
  <c r="CO109" i="8"/>
  <c r="CO15" i="112" s="1"/>
  <c r="CO125" i="8"/>
  <c r="CO86" i="112" s="1"/>
  <c r="CP120" i="8"/>
  <c r="CP82" i="112" s="1"/>
  <c r="CO131" i="8"/>
  <c r="CO147" i="112" s="1"/>
  <c r="CO136" i="8"/>
  <c r="CO151" i="112" s="1"/>
  <c r="CP42" i="8"/>
  <c r="CP125" i="8"/>
  <c r="CP86" i="112" s="1"/>
  <c r="CO114" i="8"/>
  <c r="CO19" i="112" s="1"/>
  <c r="CP136" i="8"/>
  <c r="CP151" i="112" s="1"/>
  <c r="CP114" i="8"/>
  <c r="CP19" i="112" s="1"/>
  <c r="CP109" i="8"/>
  <c r="CP15" i="112" s="1"/>
  <c r="CP131" i="8"/>
  <c r="CP147" i="112" s="1"/>
  <c r="CM52" i="8"/>
  <c r="BH114" i="8"/>
  <c r="BH109" i="8"/>
  <c r="BH125" i="8"/>
  <c r="BH131" i="8"/>
  <c r="BH136" i="8"/>
  <c r="BG131" i="8"/>
  <c r="BG136" i="8"/>
  <c r="BG171" i="8"/>
  <c r="BG175" i="8" s="1"/>
  <c r="BG120" i="8"/>
  <c r="BG109" i="8"/>
  <c r="BG114" i="8"/>
  <c r="BG125" i="8"/>
  <c r="BF171" i="8"/>
  <c r="BF175" i="8" s="1"/>
  <c r="BF114" i="8"/>
  <c r="BF125" i="8"/>
  <c r="BF136" i="8"/>
  <c r="BF131" i="8"/>
  <c r="BF120" i="8"/>
  <c r="BF109" i="8"/>
  <c r="BF183" i="8"/>
  <c r="BF203" i="8"/>
  <c r="BF191" i="8"/>
  <c r="BF195" i="8" s="1"/>
  <c r="BF197" i="8"/>
  <c r="BF163" i="8"/>
  <c r="BF146" i="8"/>
  <c r="BF150" i="8" s="1"/>
  <c r="BF152" i="8"/>
  <c r="BL73" i="8"/>
  <c r="BO73" i="8"/>
  <c r="BQ73" i="8"/>
  <c r="BR73" i="8"/>
  <c r="BP73" i="8"/>
  <c r="BM73" i="8"/>
  <c r="BN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CG73" i="8"/>
  <c r="CH73" i="8"/>
  <c r="CI73" i="8"/>
  <c r="CJ73" i="8"/>
  <c r="R36" i="27"/>
  <c r="G11" i="112"/>
  <c r="D11" i="112"/>
  <c r="AQ144" i="112"/>
  <c r="AG143" i="112"/>
  <c r="U143" i="112"/>
  <c r="AL143" i="112"/>
  <c r="AF143" i="112"/>
  <c r="AK143" i="112"/>
  <c r="Y143" i="112"/>
  <c r="C11" i="112"/>
  <c r="AC143" i="112"/>
  <c r="J11" i="112"/>
  <c r="F11" i="112"/>
  <c r="L11" i="112"/>
  <c r="I11" i="112"/>
  <c r="AA11" i="112"/>
  <c r="M11" i="112"/>
  <c r="AE11" i="112"/>
  <c r="Y11" i="112"/>
  <c r="S11" i="112"/>
  <c r="R11" i="112"/>
  <c r="E11" i="112"/>
  <c r="AD11" i="112"/>
  <c r="X11" i="112"/>
  <c r="O11" i="112"/>
  <c r="AG11" i="112"/>
  <c r="Q11" i="112"/>
  <c r="K11" i="112"/>
  <c r="AC11" i="112"/>
  <c r="W11" i="112"/>
  <c r="P11" i="112"/>
  <c r="AH11" i="112"/>
  <c r="AB11" i="112"/>
  <c r="V11" i="112"/>
  <c r="U11" i="112"/>
  <c r="N11" i="112"/>
  <c r="H11" i="112"/>
  <c r="AF11" i="112"/>
  <c r="Z11" i="112"/>
  <c r="T11" i="112"/>
  <c r="U898" i="111"/>
  <c r="U897" i="111"/>
  <c r="U899" i="111"/>
  <c r="T899" i="111"/>
  <c r="T898" i="111"/>
  <c r="T897" i="111"/>
  <c r="BE171" i="8"/>
  <c r="BE175" i="8" s="1"/>
  <c r="BE125" i="8"/>
  <c r="BE114" i="8"/>
  <c r="BE131" i="8"/>
  <c r="BE136" i="8"/>
  <c r="BE120" i="8"/>
  <c r="BE109" i="8"/>
  <c r="BE203" i="8"/>
  <c r="BE191" i="8"/>
  <c r="BE195" i="8" s="1"/>
  <c r="BE146" i="8"/>
  <c r="BE150" i="8" s="1"/>
  <c r="BE152" i="8"/>
  <c r="L50" i="4"/>
  <c r="AK8" i="2"/>
  <c r="AK6" i="2"/>
  <c r="AL130" i="8"/>
  <c r="BD136" i="8"/>
  <c r="BD120" i="8"/>
  <c r="BD125" i="8"/>
  <c r="BD109" i="8"/>
  <c r="BD131" i="8"/>
  <c r="BD114" i="8"/>
  <c r="BC120" i="8"/>
  <c r="BC109" i="8"/>
  <c r="BC131" i="8"/>
  <c r="BC136" i="8"/>
  <c r="BC114" i="8"/>
  <c r="BC125" i="8"/>
  <c r="Q36" i="27"/>
  <c r="BA146" i="8"/>
  <c r="BA150" i="8" s="1"/>
  <c r="BB125" i="8"/>
  <c r="BB120" i="8"/>
  <c r="BB163" i="8"/>
  <c r="BB171" i="8"/>
  <c r="BB175" i="8" s="1"/>
  <c r="BB114" i="8"/>
  <c r="BB109" i="8"/>
  <c r="BA125" i="8"/>
  <c r="BA131" i="8"/>
  <c r="BB131" i="8"/>
  <c r="BA136" i="8"/>
  <c r="BA171" i="8"/>
  <c r="BA175" i="8" s="1"/>
  <c r="BB152" i="8"/>
  <c r="BA120" i="8"/>
  <c r="BA163" i="8"/>
  <c r="BA114" i="8"/>
  <c r="BA109" i="8"/>
  <c r="BA152" i="8"/>
  <c r="BB136" i="8"/>
  <c r="BB146" i="8"/>
  <c r="BB150" i="8" s="1"/>
  <c r="BA183" i="8"/>
  <c r="BB183" i="8"/>
  <c r="BB203" i="8"/>
  <c r="BB191" i="8"/>
  <c r="BB195" i="8" s="1"/>
  <c r="E42" i="2"/>
  <c r="M560" i="111" s="1"/>
  <c r="AZ136" i="8"/>
  <c r="AZ131" i="8"/>
  <c r="AZ125" i="8"/>
  <c r="AZ120" i="8"/>
  <c r="AZ114" i="8"/>
  <c r="AZ109" i="8"/>
  <c r="AY171" i="8"/>
  <c r="AY175" i="8" s="1"/>
  <c r="AY109" i="8"/>
  <c r="AY120" i="8"/>
  <c r="AY125" i="8"/>
  <c r="AY131" i="8"/>
  <c r="AY136" i="8"/>
  <c r="AY114" i="8"/>
  <c r="AY183" i="8"/>
  <c r="AY203" i="8"/>
  <c r="AY191" i="8"/>
  <c r="AY195" i="8" s="1"/>
  <c r="AY197" i="8"/>
  <c r="CG197" i="8"/>
  <c r="CG201" i="112" s="1"/>
  <c r="CA197" i="8"/>
  <c r="CA201" i="112" s="1"/>
  <c r="BU197" i="8"/>
  <c r="BU201" i="112" s="1"/>
  <c r="CI177" i="8"/>
  <c r="CI117" i="112" s="1"/>
  <c r="CC177" i="8"/>
  <c r="CC117" i="112" s="1"/>
  <c r="BW177" i="8"/>
  <c r="BW117" i="112" s="1"/>
  <c r="CK152" i="8"/>
  <c r="CK50" i="112" s="1"/>
  <c r="CE152" i="8"/>
  <c r="CE50" i="112" s="1"/>
  <c r="BY152" i="8"/>
  <c r="BY50" i="112" s="1"/>
  <c r="BS152" i="8"/>
  <c r="BS50" i="112" s="1"/>
  <c r="CA131" i="8"/>
  <c r="CA147" i="112" s="1"/>
  <c r="BW136" i="8"/>
  <c r="BW151" i="112" s="1"/>
  <c r="CF197" i="8"/>
  <c r="CF201" i="112" s="1"/>
  <c r="BZ197" i="8"/>
  <c r="BZ201" i="112" s="1"/>
  <c r="BT197" i="8"/>
  <c r="BT201" i="112" s="1"/>
  <c r="CH177" i="8"/>
  <c r="CH117" i="112" s="1"/>
  <c r="CH125" i="8"/>
  <c r="CH86" i="112" s="1"/>
  <c r="CH197" i="8"/>
  <c r="CH201" i="112" s="1"/>
  <c r="CD197" i="8"/>
  <c r="CD201" i="112" s="1"/>
  <c r="BV197" i="8"/>
  <c r="BV201" i="112" s="1"/>
  <c r="CF177" i="8"/>
  <c r="CF117" i="112" s="1"/>
  <c r="BY177" i="8"/>
  <c r="BY117" i="112" s="1"/>
  <c r="BR177" i="8"/>
  <c r="BR117" i="112" s="1"/>
  <c r="CD152" i="8"/>
  <c r="CD50" i="112" s="1"/>
  <c r="BW152" i="8"/>
  <c r="BW50" i="112" s="1"/>
  <c r="BS197" i="8"/>
  <c r="BS201" i="112" s="1"/>
  <c r="CJ152" i="8"/>
  <c r="CJ50" i="112" s="1"/>
  <c r="CJ177" i="8"/>
  <c r="CJ117" i="112" s="1"/>
  <c r="BR152" i="8"/>
  <c r="BR50" i="112" s="1"/>
  <c r="CK197" i="8"/>
  <c r="CK201" i="112" s="1"/>
  <c r="CB197" i="8"/>
  <c r="CB201" i="112" s="1"/>
  <c r="BR197" i="8"/>
  <c r="BR201" i="112" s="1"/>
  <c r="CD177" i="8"/>
  <c r="CD117" i="112" s="1"/>
  <c r="BV177" i="8"/>
  <c r="BV117" i="112" s="1"/>
  <c r="CI152" i="8"/>
  <c r="CI50" i="112" s="1"/>
  <c r="CB152" i="8"/>
  <c r="CB50" i="112" s="1"/>
  <c r="BU152" i="8"/>
  <c r="BU50" i="112" s="1"/>
  <c r="BR125" i="8"/>
  <c r="BR86" i="112" s="1"/>
  <c r="CJ197" i="8"/>
  <c r="CJ201" i="112" s="1"/>
  <c r="BY197" i="8"/>
  <c r="BY201" i="112" s="1"/>
  <c r="CK177" i="8"/>
  <c r="CK117" i="112" s="1"/>
  <c r="CB177" i="8"/>
  <c r="CB117" i="112" s="1"/>
  <c r="BU177" i="8"/>
  <c r="BU117" i="112" s="1"/>
  <c r="CH152" i="8"/>
  <c r="CH50" i="112" s="1"/>
  <c r="CA152" i="8"/>
  <c r="CA50" i="112" s="1"/>
  <c r="BT152" i="8"/>
  <c r="BT50" i="112" s="1"/>
  <c r="CI197" i="8"/>
  <c r="CI201" i="112" s="1"/>
  <c r="BT177" i="8"/>
  <c r="BT117" i="112" s="1"/>
  <c r="BZ152" i="8"/>
  <c r="BZ50" i="112" s="1"/>
  <c r="CE197" i="8"/>
  <c r="CE201" i="112" s="1"/>
  <c r="BW197" i="8"/>
  <c r="BW201" i="112" s="1"/>
  <c r="CG177" i="8"/>
  <c r="CG117" i="112" s="1"/>
  <c r="BZ177" i="8"/>
  <c r="BZ117" i="112" s="1"/>
  <c r="BS177" i="8"/>
  <c r="BS117" i="112" s="1"/>
  <c r="CF152" i="8"/>
  <c r="CF50" i="112" s="1"/>
  <c r="BX152" i="8"/>
  <c r="BX50" i="112" s="1"/>
  <c r="CC197" i="8"/>
  <c r="CC201" i="112" s="1"/>
  <c r="CE177" i="8"/>
  <c r="CE117" i="112" s="1"/>
  <c r="BX177" i="8"/>
  <c r="BX117" i="112" s="1"/>
  <c r="CC152" i="8"/>
  <c r="CC50" i="112" s="1"/>
  <c r="BV152" i="8"/>
  <c r="BV50" i="112" s="1"/>
  <c r="BX197" i="8"/>
  <c r="BX201" i="112" s="1"/>
  <c r="CA177" i="8"/>
  <c r="CA117" i="112" s="1"/>
  <c r="CG152" i="8"/>
  <c r="CG50" i="112" s="1"/>
  <c r="BS322" i="8"/>
  <c r="BS72" i="2" s="1"/>
  <c r="BZ125" i="8"/>
  <c r="BZ86" i="112" s="1"/>
  <c r="CJ120" i="8"/>
  <c r="CJ82" i="112" s="1"/>
  <c r="CA120" i="8"/>
  <c r="CA82" i="112" s="1"/>
  <c r="CJ131" i="8"/>
  <c r="CJ147" i="112" s="1"/>
  <c r="BZ109" i="8"/>
  <c r="BZ15" i="112" s="1"/>
  <c r="BT114" i="8"/>
  <c r="BT19" i="112" s="1"/>
  <c r="BX131" i="8"/>
  <c r="BX147" i="112" s="1"/>
  <c r="CA136" i="8"/>
  <c r="CA151" i="112" s="1"/>
  <c r="BS109" i="8"/>
  <c r="BS15" i="112" s="1"/>
  <c r="BT109" i="8"/>
  <c r="BT15" i="112" s="1"/>
  <c r="CB136" i="8"/>
  <c r="CB151" i="112" s="1"/>
  <c r="BY109" i="8"/>
  <c r="BY15" i="112" s="1"/>
  <c r="CA114" i="8"/>
  <c r="CA19" i="112" s="1"/>
  <c r="CI114" i="8"/>
  <c r="CI19" i="112" s="1"/>
  <c r="CF109" i="8"/>
  <c r="CF15" i="112" s="1"/>
  <c r="CD136" i="8"/>
  <c r="CD151" i="112" s="1"/>
  <c r="CF120" i="8"/>
  <c r="CF82" i="112" s="1"/>
  <c r="CC114" i="8"/>
  <c r="CC19" i="112" s="1"/>
  <c r="BZ136" i="8"/>
  <c r="BZ151" i="112" s="1"/>
  <c r="BV136" i="8"/>
  <c r="BV151" i="112" s="1"/>
  <c r="BS131" i="8"/>
  <c r="BS147" i="112" s="1"/>
  <c r="CI109" i="8"/>
  <c r="CI15" i="112" s="1"/>
  <c r="BT26" i="8"/>
  <c r="BT173" i="8" s="1"/>
  <c r="BZ131" i="8"/>
  <c r="BZ147" i="112" s="1"/>
  <c r="CJ114" i="8"/>
  <c r="CJ19" i="112" s="1"/>
  <c r="BZ114" i="8"/>
  <c r="BZ19" i="112" s="1"/>
  <c r="CI136" i="8"/>
  <c r="CI151" i="112" s="1"/>
  <c r="CI131" i="8"/>
  <c r="CI147" i="112" s="1"/>
  <c r="CD131" i="8"/>
  <c r="CD147" i="112" s="1"/>
  <c r="CA125" i="8"/>
  <c r="CA86" i="112" s="1"/>
  <c r="BW109" i="8"/>
  <c r="BW15" i="112" s="1"/>
  <c r="BR136" i="8"/>
  <c r="BR151" i="112" s="1"/>
  <c r="BR114" i="8"/>
  <c r="BR19" i="112" s="1"/>
  <c r="BX136" i="8"/>
  <c r="BX151" i="112" s="1"/>
  <c r="CB131" i="8"/>
  <c r="CB147" i="112" s="1"/>
  <c r="BV114" i="8"/>
  <c r="BV19" i="112" s="1"/>
  <c r="CE125" i="8"/>
  <c r="CE86" i="112" s="1"/>
  <c r="CK136" i="8"/>
  <c r="CK151" i="112" s="1"/>
  <c r="CD120" i="8"/>
  <c r="CD82" i="112" s="1"/>
  <c r="CG109" i="8"/>
  <c r="CG15" i="112" s="1"/>
  <c r="CF136" i="8"/>
  <c r="CF151" i="112" s="1"/>
  <c r="CC131" i="8"/>
  <c r="CC147" i="112" s="1"/>
  <c r="BW114" i="8"/>
  <c r="BW19" i="112" s="1"/>
  <c r="BT120" i="8"/>
  <c r="BT82" i="112" s="1"/>
  <c r="BS114" i="8"/>
  <c r="BS19" i="112" s="1"/>
  <c r="CB120" i="8"/>
  <c r="CB82" i="112" s="1"/>
  <c r="CE131" i="8"/>
  <c r="CE147" i="112" s="1"/>
  <c r="CJ125" i="8"/>
  <c r="CJ86" i="112" s="1"/>
  <c r="BV109" i="8"/>
  <c r="BV15" i="112" s="1"/>
  <c r="BX114" i="8"/>
  <c r="BX19" i="112" s="1"/>
  <c r="CE136" i="8"/>
  <c r="CE151" i="112" s="1"/>
  <c r="CB125" i="8"/>
  <c r="CB86" i="112" s="1"/>
  <c r="BW131" i="8"/>
  <c r="BW147" i="112" s="1"/>
  <c r="BS136" i="8"/>
  <c r="BS151" i="112" s="1"/>
  <c r="BT125" i="8"/>
  <c r="BT86" i="112" s="1"/>
  <c r="CD109" i="8"/>
  <c r="CD15" i="112" s="1"/>
  <c r="BS125" i="8"/>
  <c r="BS86" i="112" s="1"/>
  <c r="CH131" i="8"/>
  <c r="CH147" i="112" s="1"/>
  <c r="CD114" i="8"/>
  <c r="CD19" i="112" s="1"/>
  <c r="BR131" i="8"/>
  <c r="BR147" i="112" s="1"/>
  <c r="CD125" i="8"/>
  <c r="CD86" i="112" s="1"/>
  <c r="CJ109" i="8"/>
  <c r="CJ15" i="112" s="1"/>
  <c r="CH120" i="8"/>
  <c r="CH82" i="112" s="1"/>
  <c r="CJ136" i="8"/>
  <c r="CJ151" i="112" s="1"/>
  <c r="CF125" i="8"/>
  <c r="CF86" i="112" s="1"/>
  <c r="BW125" i="8"/>
  <c r="BW86" i="112" s="1"/>
  <c r="BX109" i="8"/>
  <c r="BX15" i="112" s="1"/>
  <c r="BT136" i="8"/>
  <c r="BT151" i="112" s="1"/>
  <c r="CE114" i="8"/>
  <c r="CE19" i="112" s="1"/>
  <c r="CE109" i="8"/>
  <c r="CE15" i="112" s="1"/>
  <c r="CF114" i="8"/>
  <c r="CF19" i="112" s="1"/>
  <c r="CH114" i="8"/>
  <c r="CH19" i="112" s="1"/>
  <c r="CA109" i="8"/>
  <c r="CA15" i="112" s="1"/>
  <c r="BV120" i="8"/>
  <c r="BV82" i="112" s="1"/>
  <c r="CA322" i="8"/>
  <c r="CA72" i="2" s="1"/>
  <c r="CI125" i="8"/>
  <c r="CI86" i="112" s="1"/>
  <c r="BS26" i="8"/>
  <c r="BS173" i="8" s="1"/>
  <c r="CH136" i="8"/>
  <c r="CH151" i="112" s="1"/>
  <c r="BV131" i="8"/>
  <c r="BV147" i="112" s="1"/>
  <c r="BR120" i="8"/>
  <c r="BR82" i="112" s="1"/>
  <c r="BV125" i="8"/>
  <c r="BV86" i="112" s="1"/>
  <c r="CB109" i="8"/>
  <c r="CB15" i="112" s="1"/>
  <c r="BX125" i="8"/>
  <c r="BX86" i="112" s="1"/>
  <c r="BW322" i="8"/>
  <c r="BW72" i="2" s="1"/>
  <c r="CB114" i="8"/>
  <c r="CB19" i="112" s="1"/>
  <c r="BW120" i="8"/>
  <c r="BW82" i="112" s="1"/>
  <c r="BR109" i="8"/>
  <c r="BR15" i="112" s="1"/>
  <c r="CE120" i="8"/>
  <c r="CE82" i="112" s="1"/>
  <c r="BZ120" i="8"/>
  <c r="BZ82" i="112" s="1"/>
  <c r="BY120" i="8"/>
  <c r="BY82" i="112" s="1"/>
  <c r="BT36" i="8"/>
  <c r="BU136" i="8"/>
  <c r="BU151" i="112" s="1"/>
  <c r="BY131" i="8"/>
  <c r="BY147" i="112" s="1"/>
  <c r="CG125" i="8"/>
  <c r="CG86" i="112" s="1"/>
  <c r="CK114" i="8"/>
  <c r="CK19" i="112" s="1"/>
  <c r="CG131" i="8"/>
  <c r="CG147" i="112" s="1"/>
  <c r="CG114" i="8"/>
  <c r="CG19" i="112" s="1"/>
  <c r="BU131" i="8"/>
  <c r="BU147" i="112" s="1"/>
  <c r="BS36" i="8"/>
  <c r="BS120" i="8"/>
  <c r="BS82" i="112" s="1"/>
  <c r="CI120" i="8"/>
  <c r="CI82" i="112" s="1"/>
  <c r="BY125" i="8"/>
  <c r="BY86" i="112" s="1"/>
  <c r="CF131" i="8"/>
  <c r="CF147" i="112" s="1"/>
  <c r="CK125" i="8"/>
  <c r="CK86" i="112" s="1"/>
  <c r="CK120" i="8"/>
  <c r="CK82" i="112" s="1"/>
  <c r="CG136" i="8"/>
  <c r="CG151" i="112" s="1"/>
  <c r="CG120" i="8"/>
  <c r="CG82" i="112" s="1"/>
  <c r="CC136" i="8"/>
  <c r="CC151" i="112" s="1"/>
  <c r="BY136" i="8"/>
  <c r="BY151" i="112" s="1"/>
  <c r="BU125" i="8"/>
  <c r="BU86" i="112" s="1"/>
  <c r="BT131" i="8"/>
  <c r="BT147" i="112" s="1"/>
  <c r="CC109" i="8"/>
  <c r="CC15" i="112" s="1"/>
  <c r="BU109" i="8"/>
  <c r="BU15" i="112" s="1"/>
  <c r="CK131" i="8"/>
  <c r="CK147" i="112" s="1"/>
  <c r="BU114" i="8"/>
  <c r="BU19" i="112" s="1"/>
  <c r="CH109" i="8"/>
  <c r="CH15" i="112" s="1"/>
  <c r="CC125" i="8"/>
  <c r="CC86" i="112" s="1"/>
  <c r="BX120" i="8"/>
  <c r="BX82" i="112" s="1"/>
  <c r="CE322" i="8"/>
  <c r="CE72" i="2" s="1"/>
  <c r="BY114" i="8"/>
  <c r="BY19" i="112" s="1"/>
  <c r="CC120" i="8"/>
  <c r="CC82" i="112" s="1"/>
  <c r="CI322" i="8"/>
  <c r="CI72" i="2" s="1"/>
  <c r="BU120" i="8"/>
  <c r="BU82" i="112" s="1"/>
  <c r="BU26" i="8"/>
  <c r="BU36" i="8"/>
  <c r="BV36" i="8"/>
  <c r="CK109" i="8"/>
  <c r="CK15" i="112" s="1"/>
  <c r="BV26" i="8"/>
  <c r="BV173" i="8" s="1"/>
  <c r="BW36" i="8"/>
  <c r="BW26" i="8"/>
  <c r="BW173" i="8" s="1"/>
  <c r="BX36" i="8"/>
  <c r="BX26" i="8"/>
  <c r="BX173" i="8" s="1"/>
  <c r="BY36" i="8"/>
  <c r="BZ36" i="8"/>
  <c r="BY26" i="8"/>
  <c r="BZ26" i="8"/>
  <c r="BZ173" i="8" s="1"/>
  <c r="CA36" i="8"/>
  <c r="CB36" i="8"/>
  <c r="CA26" i="8"/>
  <c r="CA173" i="8" s="1"/>
  <c r="CB26" i="8"/>
  <c r="CB173" i="8" s="1"/>
  <c r="CC36" i="8"/>
  <c r="CD36" i="8"/>
  <c r="CC26" i="8"/>
  <c r="CD26" i="8"/>
  <c r="CD173" i="8" s="1"/>
  <c r="CE36" i="8"/>
  <c r="CF36" i="8"/>
  <c r="CE26" i="8"/>
  <c r="CE173" i="8" s="1"/>
  <c r="CF26" i="8"/>
  <c r="CF173" i="8" s="1"/>
  <c r="CG36" i="8"/>
  <c r="CG26" i="8"/>
  <c r="CH36" i="8"/>
  <c r="CH26" i="8"/>
  <c r="CH173" i="8" s="1"/>
  <c r="CI36" i="8"/>
  <c r="CI26" i="8"/>
  <c r="CI173" i="8" s="1"/>
  <c r="CJ36" i="8"/>
  <c r="CK36" i="8"/>
  <c r="CJ26" i="8"/>
  <c r="CJ173" i="8" s="1"/>
  <c r="CK26" i="8"/>
  <c r="BV57" i="8"/>
  <c r="BV185" i="112" s="1"/>
  <c r="BS57" i="8"/>
  <c r="BS185" i="112" s="1"/>
  <c r="BR57" i="8"/>
  <c r="BR185" i="112" s="1"/>
  <c r="BW57" i="8"/>
  <c r="BW185" i="112" s="1"/>
  <c r="BU57" i="8"/>
  <c r="BU185" i="112" s="1"/>
  <c r="BT57" i="8"/>
  <c r="BT185" i="112" s="1"/>
  <c r="BX57" i="8"/>
  <c r="BX185" i="112" s="1"/>
  <c r="BY57" i="8"/>
  <c r="BY185" i="112" s="1"/>
  <c r="BZ57" i="8"/>
  <c r="BZ185" i="112" s="1"/>
  <c r="CA57" i="8"/>
  <c r="CA185" i="112" s="1"/>
  <c r="CB57" i="8"/>
  <c r="CB185" i="112" s="1"/>
  <c r="CC57" i="8"/>
  <c r="CC185" i="112" s="1"/>
  <c r="CD57" i="8"/>
  <c r="CD185" i="112" s="1"/>
  <c r="CE57" i="8"/>
  <c r="CE185" i="112" s="1"/>
  <c r="CF57" i="8"/>
  <c r="CF185" i="112" s="1"/>
  <c r="CG57" i="8"/>
  <c r="CG185" i="112" s="1"/>
  <c r="CH57" i="8"/>
  <c r="CH185" i="112" s="1"/>
  <c r="CI57" i="8"/>
  <c r="CI185" i="112" s="1"/>
  <c r="CJ57" i="8"/>
  <c r="CJ185" i="112" s="1"/>
  <c r="CK57" i="8"/>
  <c r="CK185" i="112" s="1"/>
  <c r="BT10" i="8"/>
  <c r="BT272" i="8" s="1"/>
  <c r="BS15" i="8"/>
  <c r="BS10" i="8"/>
  <c r="BS272" i="8" s="1"/>
  <c r="BU10" i="8"/>
  <c r="BU272" i="8" s="1"/>
  <c r="BT15" i="8"/>
  <c r="BV10" i="8"/>
  <c r="BV148" i="8" s="1"/>
  <c r="BU15" i="8"/>
  <c r="BW10" i="8"/>
  <c r="BW148" i="8" s="1"/>
  <c r="BV15" i="8"/>
  <c r="BW15" i="8"/>
  <c r="BX10" i="8"/>
  <c r="BX148" i="8" s="1"/>
  <c r="BY10" i="8"/>
  <c r="BY148" i="8" s="1"/>
  <c r="BX15" i="8"/>
  <c r="BY15" i="8"/>
  <c r="BZ10" i="8"/>
  <c r="BZ148" i="8" s="1"/>
  <c r="CA10" i="8"/>
  <c r="CA148" i="8" s="1"/>
  <c r="BZ15" i="8"/>
  <c r="CB10" i="8"/>
  <c r="CB148" i="8" s="1"/>
  <c r="CA15" i="8"/>
  <c r="CB15" i="8"/>
  <c r="CC10" i="8"/>
  <c r="CC148" i="8" s="1"/>
  <c r="CC15" i="8"/>
  <c r="CD10" i="8"/>
  <c r="CD148" i="8" s="1"/>
  <c r="CD15" i="8"/>
  <c r="CE10" i="8"/>
  <c r="CE148" i="8" s="1"/>
  <c r="CF10" i="8"/>
  <c r="CF148" i="8" s="1"/>
  <c r="CE15" i="8"/>
  <c r="CF15" i="8"/>
  <c r="CG10" i="8"/>
  <c r="CG148" i="8" s="1"/>
  <c r="CG15" i="8"/>
  <c r="CH10" i="8"/>
  <c r="CH148" i="8" s="1"/>
  <c r="CH15" i="8"/>
  <c r="CI10" i="8"/>
  <c r="CI148" i="8" s="1"/>
  <c r="BS67" i="8"/>
  <c r="BS186" i="112" s="1"/>
  <c r="BR67" i="8"/>
  <c r="BR186" i="112" s="1"/>
  <c r="CJ10" i="8"/>
  <c r="CJ148" i="8" s="1"/>
  <c r="CI15" i="8"/>
  <c r="BT67" i="8"/>
  <c r="BT186" i="112" s="1"/>
  <c r="CJ15" i="8"/>
  <c r="BU67" i="8"/>
  <c r="BU186" i="112" s="1"/>
  <c r="CK10" i="8"/>
  <c r="CK148" i="8" s="1"/>
  <c r="BV67" i="8"/>
  <c r="BV186" i="112" s="1"/>
  <c r="CK15" i="8"/>
  <c r="BW67" i="8"/>
  <c r="BW186" i="112" s="1"/>
  <c r="BX67" i="8"/>
  <c r="BX186" i="112" s="1"/>
  <c r="BY67" i="8"/>
  <c r="BY186" i="112" s="1"/>
  <c r="BZ67" i="8"/>
  <c r="BZ186" i="112" s="1"/>
  <c r="CA67" i="8"/>
  <c r="CA186" i="112" s="1"/>
  <c r="CB67" i="8"/>
  <c r="CB186" i="112" s="1"/>
  <c r="CC67" i="8"/>
  <c r="CC186" i="112" s="1"/>
  <c r="CD67" i="8"/>
  <c r="CD186" i="112" s="1"/>
  <c r="CE67" i="8"/>
  <c r="CE186" i="112" s="1"/>
  <c r="CF67" i="8"/>
  <c r="CF186" i="112" s="1"/>
  <c r="CG67" i="8"/>
  <c r="CG186" i="112" s="1"/>
  <c r="CH67" i="8"/>
  <c r="CH186" i="112" s="1"/>
  <c r="CI67" i="8"/>
  <c r="CI186" i="112" s="1"/>
  <c r="CJ67" i="8"/>
  <c r="CJ186" i="112" s="1"/>
  <c r="CK67" i="8"/>
  <c r="CK186" i="112" s="1"/>
  <c r="BR47" i="8"/>
  <c r="BR184" i="112" s="1"/>
  <c r="BR42" i="8"/>
  <c r="BS47" i="8"/>
  <c r="BS184" i="112" s="1"/>
  <c r="BT47" i="8"/>
  <c r="BT184" i="112" s="1"/>
  <c r="BT42" i="8"/>
  <c r="BS42" i="8"/>
  <c r="BU47" i="8"/>
  <c r="BU184" i="112" s="1"/>
  <c r="BV47" i="8"/>
  <c r="BV184" i="112" s="1"/>
  <c r="BU42" i="8"/>
  <c r="BW47" i="8"/>
  <c r="BW184" i="112" s="1"/>
  <c r="BV42" i="8"/>
  <c r="BW42" i="8"/>
  <c r="BX47" i="8"/>
  <c r="BX184" i="112" s="1"/>
  <c r="BY47" i="8"/>
  <c r="BY184" i="112" s="1"/>
  <c r="BX42" i="8"/>
  <c r="BY42" i="8"/>
  <c r="BZ47" i="8"/>
  <c r="BZ184" i="112" s="1"/>
  <c r="BZ42" i="8"/>
  <c r="CA47" i="8"/>
  <c r="CA184" i="112" s="1"/>
  <c r="CA42" i="8"/>
  <c r="CB47" i="8"/>
  <c r="CB184" i="112" s="1"/>
  <c r="CC47" i="8"/>
  <c r="CC184" i="112" s="1"/>
  <c r="CB42" i="8"/>
  <c r="CC42" i="8"/>
  <c r="CD47" i="8"/>
  <c r="CD184" i="112" s="1"/>
  <c r="CD42" i="8"/>
  <c r="CE47" i="8"/>
  <c r="CE184" i="112" s="1"/>
  <c r="CF47" i="8"/>
  <c r="CF184" i="112" s="1"/>
  <c r="CE42" i="8"/>
  <c r="CG47" i="8"/>
  <c r="CG184" i="112" s="1"/>
  <c r="CF42" i="8"/>
  <c r="CG42" i="8"/>
  <c r="CH47" i="8"/>
  <c r="CH184" i="112" s="1"/>
  <c r="CH42" i="8"/>
  <c r="CI47" i="8"/>
  <c r="CI184" i="112" s="1"/>
  <c r="CJ47" i="8"/>
  <c r="CJ184" i="112" s="1"/>
  <c r="CI42" i="8"/>
  <c r="CJ42" i="8"/>
  <c r="CK47" i="8"/>
  <c r="CK184" i="112" s="1"/>
  <c r="CK42" i="8"/>
  <c r="BT20" i="8"/>
  <c r="BT31" i="8"/>
  <c r="BU31" i="8"/>
  <c r="BS20" i="8"/>
  <c r="BS31" i="8"/>
  <c r="BU20" i="8"/>
  <c r="BV20" i="8"/>
  <c r="BS62" i="8"/>
  <c r="BW20" i="8"/>
  <c r="BT52" i="8"/>
  <c r="BV31" i="8"/>
  <c r="BY20" i="8"/>
  <c r="BX20" i="8"/>
  <c r="BS52" i="8"/>
  <c r="BU52" i="8"/>
  <c r="BW31" i="8"/>
  <c r="BU62" i="8"/>
  <c r="BY31" i="8"/>
  <c r="BT62" i="8"/>
  <c r="BR62" i="8"/>
  <c r="BR52" i="8"/>
  <c r="BX31" i="8"/>
  <c r="BZ31" i="8"/>
  <c r="CA20" i="8"/>
  <c r="BW52" i="8"/>
  <c r="BV52" i="8"/>
  <c r="CB31" i="8"/>
  <c r="BW62" i="8"/>
  <c r="BY62" i="8"/>
  <c r="BY52" i="8"/>
  <c r="CC20" i="8"/>
  <c r="BX62" i="8"/>
  <c r="CC31" i="8"/>
  <c r="CA31" i="8"/>
  <c r="BV62" i="8"/>
  <c r="BX52" i="8"/>
  <c r="BZ20" i="8"/>
  <c r="CB20" i="8"/>
  <c r="CD20" i="8"/>
  <c r="CA52" i="8"/>
  <c r="BZ62" i="8"/>
  <c r="CD31" i="8"/>
  <c r="CA62" i="8"/>
  <c r="CG20" i="8"/>
  <c r="CC62" i="8"/>
  <c r="CC52" i="8"/>
  <c r="CG31" i="8"/>
  <c r="CB62" i="8"/>
  <c r="CF20" i="8"/>
  <c r="CE31" i="8"/>
  <c r="CE20" i="8"/>
  <c r="BZ52" i="8"/>
  <c r="CB52" i="8"/>
  <c r="CF31" i="8"/>
  <c r="CH31" i="8"/>
  <c r="CF52" i="8"/>
  <c r="CG52" i="8"/>
  <c r="CE62" i="8"/>
  <c r="CJ31" i="8"/>
  <c r="CK31" i="8"/>
  <c r="CG62" i="8"/>
  <c r="CD52" i="8"/>
  <c r="CH20" i="8"/>
  <c r="CJ20" i="8"/>
  <c r="CI31" i="8"/>
  <c r="CD62" i="8"/>
  <c r="CE52" i="8"/>
  <c r="CK20" i="8"/>
  <c r="CF62" i="8"/>
  <c r="CI20" i="8"/>
  <c r="CH62" i="8"/>
  <c r="CJ52" i="8"/>
  <c r="CI62" i="8"/>
  <c r="CK62" i="8"/>
  <c r="CK52" i="8"/>
  <c r="CI52" i="8"/>
  <c r="CH52" i="8"/>
  <c r="CJ62" i="8"/>
  <c r="AX109" i="8"/>
  <c r="AX183" i="8"/>
  <c r="AX163" i="8"/>
  <c r="AX146" i="8"/>
  <c r="AX150" i="8" s="1"/>
  <c r="AX114" i="8"/>
  <c r="AX131" i="8"/>
  <c r="AX152" i="8"/>
  <c r="AX125" i="8"/>
  <c r="AX136" i="8"/>
  <c r="AX120" i="8"/>
  <c r="AX171" i="8"/>
  <c r="AX175" i="8" s="1"/>
  <c r="AX203" i="8"/>
  <c r="AX191" i="8"/>
  <c r="AX195" i="8" s="1"/>
  <c r="AX197" i="8"/>
  <c r="AX177" i="8"/>
  <c r="AX321" i="8"/>
  <c r="AX141" i="8"/>
  <c r="AX231" i="8"/>
  <c r="AX208" i="8"/>
  <c r="AX253" i="8" s="1"/>
  <c r="AX269" i="8" s="1"/>
  <c r="P60" i="27"/>
  <c r="AW125" i="8"/>
  <c r="AW131" i="8"/>
  <c r="AW114" i="8"/>
  <c r="AW109" i="8"/>
  <c r="AW136" i="8"/>
  <c r="AW120" i="8"/>
  <c r="AW171" i="8"/>
  <c r="AW175" i="8" s="1"/>
  <c r="AW183" i="8"/>
  <c r="AW197" i="8"/>
  <c r="AW177" i="8"/>
  <c r="AW163" i="8"/>
  <c r="AW146" i="8"/>
  <c r="AW150" i="8" s="1"/>
  <c r="AW152" i="8"/>
  <c r="AV191" i="8"/>
  <c r="AV195" i="8" s="1"/>
  <c r="AV109" i="8"/>
  <c r="AV125" i="8"/>
  <c r="AV114" i="8"/>
  <c r="AV163" i="8"/>
  <c r="AV131" i="8"/>
  <c r="AV120" i="8"/>
  <c r="AV136" i="8"/>
  <c r="AV146" i="8"/>
  <c r="AV150" i="8" s="1"/>
  <c r="AV152" i="8"/>
  <c r="AV177" i="8"/>
  <c r="AV203" i="8"/>
  <c r="AV197" i="8"/>
  <c r="AU125" i="8"/>
  <c r="AU191" i="8"/>
  <c r="AU171" i="8"/>
  <c r="AU175" i="8" s="1"/>
  <c r="AU114" i="8"/>
  <c r="AU109" i="8"/>
  <c r="AU131" i="8"/>
  <c r="AU120" i="8"/>
  <c r="AU136" i="8"/>
  <c r="AU183" i="8"/>
  <c r="AU203" i="8"/>
  <c r="AN155" i="8"/>
  <c r="AN152" i="8" s="1"/>
  <c r="AQ46" i="112"/>
  <c r="AU46" i="112"/>
  <c r="G43" i="4"/>
  <c r="G308" i="112"/>
  <c r="G309" i="112" s="1"/>
  <c r="AP257" i="112"/>
  <c r="AP258" i="112" s="1"/>
  <c r="AT254" i="112"/>
  <c r="AP254" i="112"/>
  <c r="AI103" i="94"/>
  <c r="AI118" i="94" s="1"/>
  <c r="AH141" i="112"/>
  <c r="AA103" i="94"/>
  <c r="AA121" i="94" s="1"/>
  <c r="Z141" i="112"/>
  <c r="Z143" i="112" s="1"/>
  <c r="Q10" i="112"/>
  <c r="Y430" i="111"/>
  <c r="E10" i="112"/>
  <c r="D10" i="112"/>
  <c r="L430" i="111"/>
  <c r="T39" i="112"/>
  <c r="T41" i="112"/>
  <c r="AB459" i="111"/>
  <c r="H39" i="112"/>
  <c r="H41" i="112"/>
  <c r="P459" i="111"/>
  <c r="AA10" i="112"/>
  <c r="AI430" i="111"/>
  <c r="AT120" i="8"/>
  <c r="AT114" i="8"/>
  <c r="AT191" i="8"/>
  <c r="AT195" i="8" s="1"/>
  <c r="AT171" i="8"/>
  <c r="AT175" i="8" s="1"/>
  <c r="AT146" i="8"/>
  <c r="AT150" i="8" s="1"/>
  <c r="AT125" i="8"/>
  <c r="AT136" i="8"/>
  <c r="AT131" i="8"/>
  <c r="AT152" i="8"/>
  <c r="AT109" i="8"/>
  <c r="AT163" i="8"/>
  <c r="AT183" i="8"/>
  <c r="AT177" i="8"/>
  <c r="AT203" i="8"/>
  <c r="AT197" i="8"/>
  <c r="AR432" i="111"/>
  <c r="AN201" i="112"/>
  <c r="AF142" i="112"/>
  <c r="AN432" i="111"/>
  <c r="AJ201" i="112"/>
  <c r="AJ432" i="111"/>
  <c r="AF201" i="112"/>
  <c r="AF432" i="111"/>
  <c r="AB201" i="112"/>
  <c r="AB432" i="111"/>
  <c r="O10" i="112"/>
  <c r="W430" i="111"/>
  <c r="K10" i="112"/>
  <c r="S430" i="111"/>
  <c r="G10" i="112"/>
  <c r="O430" i="111"/>
  <c r="J430" i="111"/>
  <c r="V39" i="112"/>
  <c r="V41" i="112"/>
  <c r="Z39" i="112"/>
  <c r="AD459" i="111"/>
  <c r="R39" i="112"/>
  <c r="Z459" i="111"/>
  <c r="R41" i="112"/>
  <c r="N39" i="112"/>
  <c r="N41" i="112"/>
  <c r="V459" i="111"/>
  <c r="J39" i="112"/>
  <c r="J41" i="112"/>
  <c r="R459" i="111"/>
  <c r="F39" i="112"/>
  <c r="N459" i="111"/>
  <c r="F41" i="112"/>
  <c r="AH10" i="112"/>
  <c r="AO430" i="111"/>
  <c r="AC10" i="112"/>
  <c r="AK430" i="111"/>
  <c r="AG430" i="111"/>
  <c r="AC430" i="111"/>
  <c r="AN254" i="112"/>
  <c r="AO261" i="112"/>
  <c r="AS261" i="112"/>
  <c r="AE103" i="94"/>
  <c r="AE122" i="94" s="1"/>
  <c r="AD141" i="112"/>
  <c r="AE143" i="112" s="1"/>
  <c r="W103" i="94"/>
  <c r="W126" i="94" s="1"/>
  <c r="V141" i="112"/>
  <c r="U430" i="111"/>
  <c r="AB39" i="112"/>
  <c r="X39" i="112"/>
  <c r="X41" i="112"/>
  <c r="AF459" i="111"/>
  <c r="P39" i="112"/>
  <c r="P41" i="112"/>
  <c r="X459" i="111"/>
  <c r="C41" i="112"/>
  <c r="C25" i="112" s="1"/>
  <c r="K459" i="111"/>
  <c r="W10" i="112"/>
  <c r="AE430" i="111"/>
  <c r="M461" i="111"/>
  <c r="I190" i="112"/>
  <c r="AJ103" i="94"/>
  <c r="AJ119" i="94" s="1"/>
  <c r="AI141" i="112"/>
  <c r="AJ143" i="112" s="1"/>
  <c r="AM432" i="111"/>
  <c r="AI201" i="112"/>
  <c r="AB103" i="94"/>
  <c r="AB122" i="94" s="1"/>
  <c r="AA141" i="112"/>
  <c r="AB143" i="112" s="1"/>
  <c r="X103" i="94"/>
  <c r="X126" i="94" s="1"/>
  <c r="W141" i="112"/>
  <c r="T103" i="94"/>
  <c r="T123" i="94" s="1"/>
  <c r="S141" i="112"/>
  <c r="T143" i="112" s="1"/>
  <c r="M430" i="111"/>
  <c r="N10" i="112"/>
  <c r="V430" i="111"/>
  <c r="J10" i="112"/>
  <c r="R430" i="111"/>
  <c r="F10" i="112"/>
  <c r="N430" i="111"/>
  <c r="Y39" i="112"/>
  <c r="AC39" i="112"/>
  <c r="Y41" i="112"/>
  <c r="AG459" i="111"/>
  <c r="U39" i="112"/>
  <c r="U41" i="112"/>
  <c r="AC459" i="111"/>
  <c r="Q39" i="112"/>
  <c r="Y459" i="111"/>
  <c r="Q41" i="112"/>
  <c r="M39" i="112"/>
  <c r="M41" i="112"/>
  <c r="U459" i="111"/>
  <c r="I41" i="112"/>
  <c r="Q459" i="111"/>
  <c r="I267" i="112"/>
  <c r="Q465" i="111" s="1"/>
  <c r="I247" i="112"/>
  <c r="Q448" i="111" s="1"/>
  <c r="D41" i="112"/>
  <c r="D25" i="112" s="1"/>
  <c r="L459" i="111"/>
  <c r="AG10" i="112"/>
  <c r="AN430" i="111"/>
  <c r="AF10" i="112"/>
  <c r="AB10" i="112"/>
  <c r="AJ430" i="111"/>
  <c r="Y10" i="112"/>
  <c r="X10" i="112"/>
  <c r="AF430" i="111"/>
  <c r="U10" i="112"/>
  <c r="T10" i="112"/>
  <c r="AB430" i="111"/>
  <c r="AM64" i="2"/>
  <c r="AM82" i="2" s="1"/>
  <c r="AR44" i="112"/>
  <c r="AV440" i="111"/>
  <c r="AV469" i="111"/>
  <c r="AV470" i="111" s="1"/>
  <c r="AN26" i="112"/>
  <c r="AR26" i="112"/>
  <c r="AU441" i="111"/>
  <c r="AY441" i="111"/>
  <c r="AO30" i="112"/>
  <c r="AO164" i="8" s="1"/>
  <c r="AS30" i="112"/>
  <c r="AQ49" i="112"/>
  <c r="AQ50" i="112" s="1"/>
  <c r="AQ253" i="112"/>
  <c r="AL142" i="112"/>
  <c r="AM142" i="112"/>
  <c r="AT432" i="111"/>
  <c r="AP201" i="112"/>
  <c r="S103" i="94"/>
  <c r="S124" i="94" s="1"/>
  <c r="R141" i="112"/>
  <c r="I10" i="112"/>
  <c r="Q430" i="111"/>
  <c r="L39" i="112"/>
  <c r="L41" i="112"/>
  <c r="T459" i="111"/>
  <c r="AE10" i="112"/>
  <c r="AM430" i="111"/>
  <c r="S10" i="112"/>
  <c r="AA430" i="111"/>
  <c r="AK142" i="112"/>
  <c r="AS432" i="111"/>
  <c r="AO201" i="112"/>
  <c r="AG142" i="112"/>
  <c r="AO432" i="111"/>
  <c r="AK201" i="112"/>
  <c r="AC142" i="112"/>
  <c r="AK432" i="111"/>
  <c r="AG201" i="112"/>
  <c r="Y142" i="112"/>
  <c r="AG432" i="111"/>
  <c r="AC201" i="112"/>
  <c r="U142" i="112"/>
  <c r="AC432" i="111"/>
  <c r="Y201" i="112"/>
  <c r="E260" i="112"/>
  <c r="I261" i="112" s="1"/>
  <c r="I53" i="112"/>
  <c r="P10" i="112"/>
  <c r="X430" i="111"/>
  <c r="M10" i="112"/>
  <c r="T430" i="111"/>
  <c r="L10" i="112"/>
  <c r="H10" i="112"/>
  <c r="P430" i="111"/>
  <c r="C10" i="112"/>
  <c r="K430" i="111"/>
  <c r="W39" i="112"/>
  <c r="AA39" i="112"/>
  <c r="W41" i="112"/>
  <c r="AE459" i="111"/>
  <c r="S39" i="112"/>
  <c r="S41" i="112"/>
  <c r="AA459" i="111"/>
  <c r="O39" i="112"/>
  <c r="O41" i="112"/>
  <c r="W459" i="111"/>
  <c r="K39" i="112"/>
  <c r="K41" i="112"/>
  <c r="S459" i="111"/>
  <c r="G39" i="112"/>
  <c r="G41" i="112"/>
  <c r="O459" i="111"/>
  <c r="B41" i="112"/>
  <c r="J459" i="111"/>
  <c r="AD10" i="112"/>
  <c r="AL430" i="111"/>
  <c r="Z10" i="112"/>
  <c r="AH430" i="111"/>
  <c r="V10" i="112"/>
  <c r="AD430" i="111"/>
  <c r="R10" i="112"/>
  <c r="Z430" i="111"/>
  <c r="AN257" i="112"/>
  <c r="AN258" i="112" s="1"/>
  <c r="AR251" i="112"/>
  <c r="AR270" i="112" s="1"/>
  <c r="AN266" i="112"/>
  <c r="AN265" i="112"/>
  <c r="AN251" i="112"/>
  <c r="AN270" i="112" s="1"/>
  <c r="AN271" i="112" s="1"/>
  <c r="AO25" i="112"/>
  <c r="AO42" i="112"/>
  <c r="AO49" i="112"/>
  <c r="AO50" i="112" s="1"/>
  <c r="AO153" i="8" s="1"/>
  <c r="AO155" i="8" s="1"/>
  <c r="AS42" i="112"/>
  <c r="AO250" i="112"/>
  <c r="S870" i="111"/>
  <c r="S880" i="111" s="1"/>
  <c r="AH123" i="112"/>
  <c r="AH125" i="112" s="1"/>
  <c r="AP495" i="111"/>
  <c r="AP500" i="111" s="1"/>
  <c r="V123" i="112"/>
  <c r="V125" i="112" s="1"/>
  <c r="V239" i="8" s="1"/>
  <c r="AD495" i="111"/>
  <c r="AC207" i="112"/>
  <c r="AC209" i="112" s="1"/>
  <c r="AK494" i="111"/>
  <c r="AK499" i="111" s="1"/>
  <c r="AJ58" i="112"/>
  <c r="AJ60" i="112" s="1"/>
  <c r="AR493" i="111"/>
  <c r="AB58" i="112"/>
  <c r="AB60" i="112" s="1"/>
  <c r="AJ493" i="111"/>
  <c r="AK123" i="112"/>
  <c r="AK125" i="112" s="1"/>
  <c r="AS495" i="111"/>
  <c r="AS500" i="111" s="1"/>
  <c r="AW505" i="111" s="1"/>
  <c r="AG123" i="112"/>
  <c r="AG125" i="112" s="1"/>
  <c r="AO495" i="111"/>
  <c r="AO500" i="111" s="1"/>
  <c r="AC123" i="112"/>
  <c r="AC125" i="112" s="1"/>
  <c r="AK495" i="111"/>
  <c r="AK500" i="111" s="1"/>
  <c r="Y123" i="112"/>
  <c r="Y125" i="112" s="1"/>
  <c r="AG495" i="111"/>
  <c r="AG500" i="111" s="1"/>
  <c r="U123" i="112"/>
  <c r="U125" i="112" s="1"/>
  <c r="U239" i="8" s="1"/>
  <c r="AC495" i="111"/>
  <c r="AJ207" i="112"/>
  <c r="AJ209" i="112" s="1"/>
  <c r="AR494" i="111"/>
  <c r="AR499" i="111" s="1"/>
  <c r="AF207" i="112"/>
  <c r="AF209" i="112" s="1"/>
  <c r="AN494" i="111"/>
  <c r="AN499" i="111" s="1"/>
  <c r="AB207" i="112"/>
  <c r="AB209" i="112" s="1"/>
  <c r="AB245" i="8" s="1"/>
  <c r="AJ494" i="111"/>
  <c r="AJ499" i="111" s="1"/>
  <c r="X207" i="112"/>
  <c r="X209" i="112" s="1"/>
  <c r="X245" i="8" s="1"/>
  <c r="AF494" i="111"/>
  <c r="AF499" i="111" s="1"/>
  <c r="AM58" i="112"/>
  <c r="AU493" i="111"/>
  <c r="AI29" i="4"/>
  <c r="AI58" i="112"/>
  <c r="AI60" i="112" s="1"/>
  <c r="AQ493" i="111"/>
  <c r="AE29" i="4"/>
  <c r="AE58" i="112"/>
  <c r="AE60" i="112" s="1"/>
  <c r="AM493" i="111"/>
  <c r="AA29" i="4"/>
  <c r="AA58" i="112"/>
  <c r="AA60" i="112" s="1"/>
  <c r="AI493" i="111"/>
  <c r="W58" i="112"/>
  <c r="W60" i="112" s="1"/>
  <c r="W233" i="8" s="1"/>
  <c r="AE493" i="111"/>
  <c r="Y207" i="112"/>
  <c r="Y209" i="112" s="1"/>
  <c r="Y245" i="8" s="1"/>
  <c r="AG494" i="111"/>
  <c r="AG499" i="111" s="1"/>
  <c r="AL123" i="112"/>
  <c r="AT495" i="111"/>
  <c r="AT500" i="111" s="1"/>
  <c r="AD123" i="112"/>
  <c r="AD125" i="112" s="1"/>
  <c r="AL495" i="111"/>
  <c r="AL500" i="111" s="1"/>
  <c r="Z123" i="112"/>
  <c r="Z125" i="112" s="1"/>
  <c r="AH495" i="111"/>
  <c r="AH500" i="111" s="1"/>
  <c r="AK207" i="112"/>
  <c r="AK209" i="112" s="1"/>
  <c r="AS494" i="111"/>
  <c r="AS499" i="111" s="1"/>
  <c r="AG30" i="4"/>
  <c r="AG207" i="112"/>
  <c r="AG209" i="112" s="1"/>
  <c r="AO494" i="111"/>
  <c r="AO499" i="111" s="1"/>
  <c r="U207" i="112"/>
  <c r="U209" i="112" s="1"/>
  <c r="U245" i="8" s="1"/>
  <c r="AC494" i="111"/>
  <c r="AC499" i="111" s="1"/>
  <c r="AF58" i="112"/>
  <c r="AF60" i="112" s="1"/>
  <c r="AN493" i="111"/>
  <c r="X58" i="112"/>
  <c r="X60" i="112" s="1"/>
  <c r="AF493" i="111"/>
  <c r="AJ123" i="112"/>
  <c r="AJ125" i="112" s="1"/>
  <c r="AR495" i="111"/>
  <c r="AR500" i="111" s="1"/>
  <c r="AF123" i="112"/>
  <c r="AF125" i="112" s="1"/>
  <c r="AN495" i="111"/>
  <c r="AN500" i="111" s="1"/>
  <c r="AB123" i="112"/>
  <c r="AB125" i="112" s="1"/>
  <c r="AJ495" i="111"/>
  <c r="AJ500" i="111" s="1"/>
  <c r="X123" i="112"/>
  <c r="X125" i="112" s="1"/>
  <c r="X239" i="8" s="1"/>
  <c r="AF495" i="111"/>
  <c r="AM30" i="4"/>
  <c r="AM207" i="112"/>
  <c r="AU494" i="111"/>
  <c r="AU499" i="111" s="1"/>
  <c r="AI207" i="112"/>
  <c r="AI209" i="112" s="1"/>
  <c r="AQ494" i="111"/>
  <c r="AQ499" i="111" s="1"/>
  <c r="AE207" i="112"/>
  <c r="AE209" i="112" s="1"/>
  <c r="AM494" i="111"/>
  <c r="AM499" i="111" s="1"/>
  <c r="AA207" i="112"/>
  <c r="AA209" i="112" s="1"/>
  <c r="AA245" i="8" s="1"/>
  <c r="AI494" i="111"/>
  <c r="AI499" i="111" s="1"/>
  <c r="W207" i="112"/>
  <c r="W209" i="112" s="1"/>
  <c r="W245" i="8" s="1"/>
  <c r="AE494" i="111"/>
  <c r="AE499" i="111" s="1"/>
  <c r="AL58" i="112"/>
  <c r="AT493" i="111"/>
  <c r="AH29" i="4"/>
  <c r="AH58" i="112"/>
  <c r="AH60" i="112" s="1"/>
  <c r="AP493" i="111"/>
  <c r="AD58" i="112"/>
  <c r="AD60" i="112" s="1"/>
  <c r="AL493" i="111"/>
  <c r="Z58" i="112"/>
  <c r="Z60" i="112" s="1"/>
  <c r="AH493" i="111"/>
  <c r="V58" i="112"/>
  <c r="V60" i="112" s="1"/>
  <c r="AD493" i="111"/>
  <c r="AM123" i="112"/>
  <c r="AU495" i="111"/>
  <c r="AU500" i="111" s="1"/>
  <c r="AI123" i="112"/>
  <c r="AI125" i="112" s="1"/>
  <c r="AQ495" i="111"/>
  <c r="AQ500" i="111" s="1"/>
  <c r="AE123" i="112"/>
  <c r="AE125" i="112" s="1"/>
  <c r="AM495" i="111"/>
  <c r="AM500" i="111" s="1"/>
  <c r="AA123" i="112"/>
  <c r="AA125" i="112" s="1"/>
  <c r="AI495" i="111"/>
  <c r="AI500" i="111" s="1"/>
  <c r="W123" i="112"/>
  <c r="W125" i="112" s="1"/>
  <c r="W239" i="8" s="1"/>
  <c r="AE495" i="111"/>
  <c r="AL30" i="4"/>
  <c r="AL207" i="112"/>
  <c r="AT494" i="111"/>
  <c r="AT499" i="111" s="1"/>
  <c r="AH30" i="4"/>
  <c r="AH207" i="112"/>
  <c r="AH209" i="112" s="1"/>
  <c r="AP494" i="111"/>
  <c r="AP499" i="111" s="1"/>
  <c r="AD30" i="4"/>
  <c r="AD207" i="112"/>
  <c r="AD209" i="112" s="1"/>
  <c r="AL494" i="111"/>
  <c r="AL499" i="111" s="1"/>
  <c r="Z30" i="4"/>
  <c r="Z207" i="112"/>
  <c r="Z209" i="112" s="1"/>
  <c r="Z245" i="8" s="1"/>
  <c r="AH494" i="111"/>
  <c r="AH499" i="111" s="1"/>
  <c r="V30" i="4"/>
  <c r="V207" i="112"/>
  <c r="V209" i="112" s="1"/>
  <c r="V245" i="8" s="1"/>
  <c r="AD494" i="111"/>
  <c r="AD499" i="111" s="1"/>
  <c r="AK58" i="112"/>
  <c r="AK60" i="112" s="1"/>
  <c r="AS493" i="111"/>
  <c r="AG58" i="112"/>
  <c r="AG60" i="112" s="1"/>
  <c r="AO493" i="111"/>
  <c r="AC58" i="112"/>
  <c r="AC60" i="112" s="1"/>
  <c r="AK493" i="111"/>
  <c r="Y58" i="112"/>
  <c r="Y60" i="112" s="1"/>
  <c r="AG493" i="111"/>
  <c r="U58" i="112"/>
  <c r="U60" i="112" s="1"/>
  <c r="AC493" i="111"/>
  <c r="J13" i="111"/>
  <c r="O60" i="27"/>
  <c r="BO322" i="8"/>
  <c r="AH245" i="112"/>
  <c r="AD245" i="112"/>
  <c r="Z245" i="112"/>
  <c r="V245" i="112"/>
  <c r="R245" i="112"/>
  <c r="N245" i="112"/>
  <c r="J245" i="112"/>
  <c r="J21" i="2" s="1"/>
  <c r="C241" i="112"/>
  <c r="C238" i="112"/>
  <c r="K438" i="111" s="1"/>
  <c r="C247" i="112"/>
  <c r="K448" i="111" s="1"/>
  <c r="C267" i="112"/>
  <c r="K465" i="111" s="1"/>
  <c r="C284" i="112"/>
  <c r="C288" i="112"/>
  <c r="C296" i="112"/>
  <c r="C302" i="112" s="1"/>
  <c r="C309" i="112"/>
  <c r="K454" i="111"/>
  <c r="AO6" i="4"/>
  <c r="AK245" i="112"/>
  <c r="AG241" i="112"/>
  <c r="AG288" i="112"/>
  <c r="AG247" i="112"/>
  <c r="AC238" i="112"/>
  <c r="AC241" i="112"/>
  <c r="AC267" i="112"/>
  <c r="AC284" i="112"/>
  <c r="AC288" i="112"/>
  <c r="AC296" i="112"/>
  <c r="AC246" i="112"/>
  <c r="AC247" i="112"/>
  <c r="AC309" i="112"/>
  <c r="AK454" i="111"/>
  <c r="Y238" i="112"/>
  <c r="Y241" i="112"/>
  <c r="Y267" i="112"/>
  <c r="Y284" i="112"/>
  <c r="Y288" i="112"/>
  <c r="Y296" i="112"/>
  <c r="Y246" i="112"/>
  <c r="Y247" i="112"/>
  <c r="Y309" i="112"/>
  <c r="AG454" i="111"/>
  <c r="U238" i="112"/>
  <c r="U241" i="112"/>
  <c r="U267" i="112"/>
  <c r="U284" i="112"/>
  <c r="U288" i="112"/>
  <c r="U296" i="112"/>
  <c r="U247" i="112"/>
  <c r="U246" i="112"/>
  <c r="U309" i="112"/>
  <c r="AC454" i="111"/>
  <c r="Q238" i="112"/>
  <c r="Q241" i="112"/>
  <c r="Q246" i="112"/>
  <c r="Q267" i="112"/>
  <c r="Q284" i="112"/>
  <c r="Q288" i="112"/>
  <c r="Q296" i="112"/>
  <c r="Q302" i="112" s="1"/>
  <c r="Q247" i="112"/>
  <c r="Q309" i="112"/>
  <c r="Y454" i="111"/>
  <c r="M238" i="112"/>
  <c r="M241" i="112"/>
  <c r="M242" i="112" s="1"/>
  <c r="M267" i="112"/>
  <c r="U465" i="111" s="1"/>
  <c r="M284" i="112"/>
  <c r="M288" i="112"/>
  <c r="M296" i="112"/>
  <c r="M302" i="112" s="1"/>
  <c r="M246" i="112"/>
  <c r="M247" i="112"/>
  <c r="U448" i="111" s="1"/>
  <c r="M309" i="112"/>
  <c r="U454" i="111"/>
  <c r="H241" i="112"/>
  <c r="H238" i="112"/>
  <c r="H247" i="112"/>
  <c r="P448" i="111" s="1"/>
  <c r="H267" i="112"/>
  <c r="P465" i="111" s="1"/>
  <c r="H284" i="112"/>
  <c r="H288" i="112"/>
  <c r="H296" i="112"/>
  <c r="H302" i="112" s="1"/>
  <c r="H309" i="112"/>
  <c r="P454" i="111"/>
  <c r="B238" i="112"/>
  <c r="J438" i="111" s="1"/>
  <c r="B247" i="112"/>
  <c r="J448" i="111" s="1"/>
  <c r="B267" i="112"/>
  <c r="J465" i="111" s="1"/>
  <c r="B284" i="112"/>
  <c r="B288" i="112"/>
  <c r="B296" i="112"/>
  <c r="B302" i="112" s="1"/>
  <c r="B309" i="112"/>
  <c r="J454" i="111"/>
  <c r="AJ245" i="112"/>
  <c r="AF245" i="112"/>
  <c r="AB245" i="112"/>
  <c r="X245" i="112"/>
  <c r="T241" i="112"/>
  <c r="T238" i="112"/>
  <c r="T247" i="112"/>
  <c r="T267" i="112"/>
  <c r="T284" i="112"/>
  <c r="T288" i="112"/>
  <c r="T296" i="112"/>
  <c r="T302" i="112" s="1"/>
  <c r="T309" i="112"/>
  <c r="AB454" i="111"/>
  <c r="P245" i="112"/>
  <c r="L246" i="112"/>
  <c r="L241" i="112"/>
  <c r="L238" i="112"/>
  <c r="L247" i="112"/>
  <c r="T448" i="111" s="1"/>
  <c r="L267" i="112"/>
  <c r="T465" i="111" s="1"/>
  <c r="L284" i="112"/>
  <c r="L288" i="112"/>
  <c r="L296" i="112"/>
  <c r="L302" i="112" s="1"/>
  <c r="L309" i="112"/>
  <c r="T454" i="111"/>
  <c r="G241" i="112"/>
  <c r="G238" i="112"/>
  <c r="G247" i="112"/>
  <c r="O448" i="111" s="1"/>
  <c r="G246" i="112"/>
  <c r="G267" i="112"/>
  <c r="O465" i="111" s="1"/>
  <c r="G284" i="112"/>
  <c r="G288" i="112"/>
  <c r="G296" i="112"/>
  <c r="G302" i="112" s="1"/>
  <c r="O454" i="111"/>
  <c r="E238" i="112"/>
  <c r="E241" i="112"/>
  <c r="I242" i="112" s="1"/>
  <c r="E284" i="112"/>
  <c r="E288" i="112"/>
  <c r="E296" i="112"/>
  <c r="E302" i="112" s="1"/>
  <c r="E309" i="112"/>
  <c r="M454" i="111"/>
  <c r="I246" i="112"/>
  <c r="K13" i="111"/>
  <c r="AI241" i="112"/>
  <c r="AI247" i="112"/>
  <c r="AI296" i="112"/>
  <c r="AQ454" i="111"/>
  <c r="AA241" i="112"/>
  <c r="AA238" i="112"/>
  <c r="AA246" i="112"/>
  <c r="AA247" i="112"/>
  <c r="AA267" i="112"/>
  <c r="AA284" i="112"/>
  <c r="AA288" i="112"/>
  <c r="AA296" i="112"/>
  <c r="AA309" i="112"/>
  <c r="AI454" i="111"/>
  <c r="W241" i="112"/>
  <c r="W238" i="112"/>
  <c r="W247" i="112"/>
  <c r="W246" i="112"/>
  <c r="W267" i="112"/>
  <c r="W284" i="112"/>
  <c r="W288" i="112"/>
  <c r="W296" i="112"/>
  <c r="W309" i="112"/>
  <c r="AE454" i="111"/>
  <c r="S241" i="112"/>
  <c r="S238" i="112"/>
  <c r="S247" i="112"/>
  <c r="S246" i="112"/>
  <c r="S267" i="112"/>
  <c r="S284" i="112"/>
  <c r="S288" i="112"/>
  <c r="S296" i="112"/>
  <c r="S302" i="112" s="1"/>
  <c r="S309" i="112"/>
  <c r="AA454" i="111"/>
  <c r="O241" i="112"/>
  <c r="O238" i="112"/>
  <c r="O247" i="112"/>
  <c r="O267" i="112"/>
  <c r="O284" i="112"/>
  <c r="O288" i="112"/>
  <c r="O296" i="112"/>
  <c r="O302" i="112" s="1"/>
  <c r="O246" i="112"/>
  <c r="O309" i="112"/>
  <c r="W454" i="111"/>
  <c r="K241" i="112"/>
  <c r="K238" i="112"/>
  <c r="K246" i="112"/>
  <c r="K247" i="112"/>
  <c r="S448" i="111" s="1"/>
  <c r="K267" i="112"/>
  <c r="S465" i="111" s="1"/>
  <c r="K284" i="112"/>
  <c r="K288" i="112"/>
  <c r="K296" i="112"/>
  <c r="K302" i="112" s="1"/>
  <c r="K309" i="112"/>
  <c r="S454" i="111"/>
  <c r="F245" i="112"/>
  <c r="F21" i="2" s="1"/>
  <c r="D245" i="112"/>
  <c r="D21" i="2" s="1"/>
  <c r="BL336" i="8"/>
  <c r="AS120" i="8"/>
  <c r="AS109" i="8"/>
  <c r="AS136" i="8"/>
  <c r="AS125" i="8"/>
  <c r="AS114" i="8"/>
  <c r="AS131" i="8"/>
  <c r="AS171" i="8"/>
  <c r="AS175" i="8" s="1"/>
  <c r="AS146" i="8"/>
  <c r="AS150" i="8" s="1"/>
  <c r="AS191" i="8"/>
  <c r="AS195" i="8" s="1"/>
  <c r="AS177" i="8"/>
  <c r="AG31" i="4"/>
  <c r="AC31" i="4"/>
  <c r="Y31" i="4"/>
  <c r="U31" i="4"/>
  <c r="AF31" i="4"/>
  <c r="AB31" i="4"/>
  <c r="X31" i="4"/>
  <c r="AI30" i="4"/>
  <c r="AE30" i="4"/>
  <c r="AA30" i="4"/>
  <c r="W30" i="4"/>
  <c r="AL29" i="4"/>
  <c r="AD29" i="4"/>
  <c r="Z29" i="4"/>
  <c r="AM9" i="4"/>
  <c r="AM31" i="4" s="1"/>
  <c r="B7" i="4"/>
  <c r="AI31" i="4"/>
  <c r="AE31" i="4"/>
  <c r="AA31" i="4"/>
  <c r="W31" i="4"/>
  <c r="AK29" i="4"/>
  <c r="AG29" i="4"/>
  <c r="AC29" i="4"/>
  <c r="AL9" i="4"/>
  <c r="AL31" i="4" s="1"/>
  <c r="V7" i="4"/>
  <c r="V29" i="4" s="1"/>
  <c r="F7" i="4"/>
  <c r="AH31" i="4"/>
  <c r="AD31" i="4"/>
  <c r="Z31" i="4"/>
  <c r="V31" i="4"/>
  <c r="AK30" i="4"/>
  <c r="AC30" i="4"/>
  <c r="Y30" i="4"/>
  <c r="U30" i="4"/>
  <c r="AJ29" i="4"/>
  <c r="AF29" i="4"/>
  <c r="AB29" i="4"/>
  <c r="AK9" i="4"/>
  <c r="AK31" i="4" s="1"/>
  <c r="D7" i="4"/>
  <c r="AJ30" i="4"/>
  <c r="AF30" i="4"/>
  <c r="AB30" i="4"/>
  <c r="X30" i="4"/>
  <c r="AM29" i="4"/>
  <c r="AJ9" i="4"/>
  <c r="AJ31" i="4" s="1"/>
  <c r="C7" i="4"/>
  <c r="AR321" i="8"/>
  <c r="AR78" i="8"/>
  <c r="AR231" i="8"/>
  <c r="AR208" i="8"/>
  <c r="AR253" i="8" s="1"/>
  <c r="AR269" i="8" s="1"/>
  <c r="AR141" i="8"/>
  <c r="K65" i="11"/>
  <c r="O65" i="11"/>
  <c r="AB35" i="60"/>
  <c r="S131" i="4"/>
  <c r="L35" i="60"/>
  <c r="C131" i="4"/>
  <c r="AN8" i="60"/>
  <c r="AF107" i="4" s="1"/>
  <c r="AF35" i="60"/>
  <c r="W131" i="4"/>
  <c r="P35" i="60"/>
  <c r="G131" i="4"/>
  <c r="AR8" i="60"/>
  <c r="AB8" i="60"/>
  <c r="T107" i="4" s="1"/>
  <c r="T38" i="2" s="1"/>
  <c r="T39" i="2" s="1"/>
  <c r="S107" i="4"/>
  <c r="F65" i="58"/>
  <c r="E8" i="4"/>
  <c r="AJ35" i="60"/>
  <c r="AA131" i="4"/>
  <c r="T35" i="60"/>
  <c r="K131" i="4"/>
  <c r="S65" i="11"/>
  <c r="R65" i="11"/>
  <c r="Q65" i="11"/>
  <c r="P65" i="11"/>
  <c r="N65" i="11"/>
  <c r="M65" i="11"/>
  <c r="L65" i="11"/>
  <c r="J65" i="11"/>
  <c r="X35" i="60"/>
  <c r="X36" i="60" s="1"/>
  <c r="O131" i="4"/>
  <c r="AJ8" i="60"/>
  <c r="AB107" i="4" s="1"/>
  <c r="AB38" i="2" s="1"/>
  <c r="AB39" i="2" s="1"/>
  <c r="AA107" i="4"/>
  <c r="T8" i="60"/>
  <c r="L107" i="4" s="1"/>
  <c r="L38" i="2" s="1"/>
  <c r="L39" i="2" s="1"/>
  <c r="K107" i="4"/>
  <c r="M8" i="60"/>
  <c r="E107" i="4" s="1"/>
  <c r="E38" i="2" s="1"/>
  <c r="E39" i="2" s="1"/>
  <c r="D107" i="4"/>
  <c r="AA51" i="2"/>
  <c r="AA50" i="2"/>
  <c r="W51" i="2"/>
  <c r="W50" i="2"/>
  <c r="U51" i="2"/>
  <c r="U50" i="2"/>
  <c r="Q51" i="2"/>
  <c r="Q50" i="2"/>
  <c r="M51" i="2"/>
  <c r="M50" i="2"/>
  <c r="I50" i="2"/>
  <c r="I51" i="2"/>
  <c r="E51" i="2"/>
  <c r="E50" i="2"/>
  <c r="AI141" i="8"/>
  <c r="AU101" i="112"/>
  <c r="AY113" i="112" s="1"/>
  <c r="BL31" i="8"/>
  <c r="BM31" i="8"/>
  <c r="BN31" i="8"/>
  <c r="BO31" i="8"/>
  <c r="BP31" i="8"/>
  <c r="BQ31" i="8"/>
  <c r="AP6" i="4"/>
  <c r="AQ6" i="4"/>
  <c r="S63" i="11"/>
  <c r="AJ10" i="4"/>
  <c r="AJ11" i="4" s="1"/>
  <c r="AJ20" i="4" s="1"/>
  <c r="AF10" i="4"/>
  <c r="AF11" i="4" s="1"/>
  <c r="AF20" i="4" s="1"/>
  <c r="AB10" i="4"/>
  <c r="AB11" i="4" s="1"/>
  <c r="AB20" i="4" s="1"/>
  <c r="X10" i="4"/>
  <c r="X11" i="4" s="1"/>
  <c r="X20" i="4" s="1"/>
  <c r="T10" i="4"/>
  <c r="T11" i="4" s="1"/>
  <c r="T20" i="4" s="1"/>
  <c r="P10" i="4"/>
  <c r="P11" i="4" s="1"/>
  <c r="L10" i="4"/>
  <c r="L11" i="4" s="1"/>
  <c r="L20" i="4" s="1"/>
  <c r="H10" i="4"/>
  <c r="H11" i="4" s="1"/>
  <c r="H20" i="4" s="1"/>
  <c r="D10" i="4"/>
  <c r="D11" i="4" s="1"/>
  <c r="D20" i="4" s="1"/>
  <c r="AI10" i="4"/>
  <c r="AI11" i="4" s="1"/>
  <c r="AI20" i="4" s="1"/>
  <c r="AE10" i="4"/>
  <c r="AE11" i="4" s="1"/>
  <c r="AE20" i="4" s="1"/>
  <c r="AA10" i="4"/>
  <c r="AA11" i="4" s="1"/>
  <c r="AA20" i="4" s="1"/>
  <c r="W10" i="4"/>
  <c r="W11" i="4" s="1"/>
  <c r="S10" i="4"/>
  <c r="S11" i="4" s="1"/>
  <c r="S20" i="4" s="1"/>
  <c r="O10" i="4"/>
  <c r="O11" i="4" s="1"/>
  <c r="O20" i="4" s="1"/>
  <c r="K10" i="4"/>
  <c r="K11" i="4" s="1"/>
  <c r="K20" i="4" s="1"/>
  <c r="G10" i="4"/>
  <c r="G11" i="4" s="1"/>
  <c r="C10" i="4"/>
  <c r="C11" i="4" s="1"/>
  <c r="C20" i="4" s="1"/>
  <c r="AK10" i="4"/>
  <c r="AK11" i="4" s="1"/>
  <c r="AK20" i="4" s="1"/>
  <c r="AG10" i="4"/>
  <c r="AG11" i="4" s="1"/>
  <c r="AG20" i="4" s="1"/>
  <c r="AC10" i="4"/>
  <c r="AC11" i="4" s="1"/>
  <c r="AC20" i="4" s="1"/>
  <c r="Y10" i="4"/>
  <c r="Y11" i="4" s="1"/>
  <c r="U10" i="4"/>
  <c r="U11" i="4" s="1"/>
  <c r="U20" i="4" s="1"/>
  <c r="Q10" i="4"/>
  <c r="Q11" i="4" s="1"/>
  <c r="Q20" i="4" s="1"/>
  <c r="M10" i="4"/>
  <c r="M11" i="4" s="1"/>
  <c r="M20" i="4" s="1"/>
  <c r="E10" i="4"/>
  <c r="E11" i="4" s="1"/>
  <c r="E20" i="4" s="1"/>
  <c r="AQ109" i="8"/>
  <c r="AQ171" i="8"/>
  <c r="AQ175" i="8" s="1"/>
  <c r="AQ120" i="8"/>
  <c r="AQ114" i="8"/>
  <c r="AQ131" i="8"/>
  <c r="AQ191" i="8"/>
  <c r="AQ195" i="8" s="1"/>
  <c r="AQ146" i="8"/>
  <c r="AQ150" i="8" s="1"/>
  <c r="AQ125" i="8"/>
  <c r="AQ136" i="8"/>
  <c r="K79" i="27"/>
  <c r="W38" i="2"/>
  <c r="W39" i="2" s="1"/>
  <c r="G38" i="2"/>
  <c r="G39" i="2" s="1"/>
  <c r="K76" i="27"/>
  <c r="AL43" i="2"/>
  <c r="K75" i="27"/>
  <c r="C38" i="2"/>
  <c r="C39" i="2" s="1"/>
  <c r="O38" i="2"/>
  <c r="O39" i="2" s="1"/>
  <c r="AM38" i="2"/>
  <c r="AM39" i="2" s="1"/>
  <c r="K71" i="11"/>
  <c r="M71" i="11"/>
  <c r="J71" i="11"/>
  <c r="R63" i="11"/>
  <c r="Q63" i="11"/>
  <c r="P63" i="11"/>
  <c r="O63" i="11"/>
  <c r="N63" i="11"/>
  <c r="M63" i="11"/>
  <c r="L63" i="11"/>
  <c r="K63" i="11"/>
  <c r="J63" i="11"/>
  <c r="L71" i="11"/>
  <c r="AP191" i="8"/>
  <c r="AP195" i="8" s="1"/>
  <c r="AP171" i="8"/>
  <c r="AP175" i="8" s="1"/>
  <c r="AP146" i="8"/>
  <c r="AP150" i="8" s="1"/>
  <c r="AP136" i="8"/>
  <c r="AP131" i="8"/>
  <c r="AP125" i="8"/>
  <c r="AP120" i="8"/>
  <c r="AP114" i="8"/>
  <c r="AP109" i="8"/>
  <c r="E36" i="27"/>
  <c r="S122" i="4"/>
  <c r="B37" i="59"/>
  <c r="B46" i="59" s="1"/>
  <c r="D37" i="59"/>
  <c r="D46" i="59" s="1"/>
  <c r="AK71" i="4"/>
  <c r="AJ71" i="4"/>
  <c r="AJ11" i="2" s="1"/>
  <c r="C37" i="59"/>
  <c r="C46" i="59" s="1"/>
  <c r="H37" i="59"/>
  <c r="H46" i="59" s="1"/>
  <c r="F37" i="59"/>
  <c r="F46" i="59" s="1"/>
  <c r="G37" i="59"/>
  <c r="G46" i="59" s="1"/>
  <c r="E37" i="59"/>
  <c r="E46" i="59" s="1"/>
  <c r="H127" i="4"/>
  <c r="H64" i="2" s="1"/>
  <c r="H82" i="2" s="1"/>
  <c r="H81" i="2" s="1"/>
  <c r="P126" i="4"/>
  <c r="P63" i="2" s="1"/>
  <c r="P78" i="2" s="1"/>
  <c r="K113" i="4"/>
  <c r="L122" i="4"/>
  <c r="X127" i="4"/>
  <c r="X64" i="2" s="1"/>
  <c r="X82" i="2" s="1"/>
  <c r="X81" i="2" s="1"/>
  <c r="G122" i="4"/>
  <c r="AA112" i="4"/>
  <c r="S120" i="4"/>
  <c r="S49" i="2" s="1"/>
  <c r="K120" i="4"/>
  <c r="K49" i="2" s="1"/>
  <c r="C120" i="4"/>
  <c r="C49" i="2" s="1"/>
  <c r="C52" i="2" s="1"/>
  <c r="K115" i="4"/>
  <c r="S113" i="4"/>
  <c r="G112" i="4"/>
  <c r="S129" i="4"/>
  <c r="S65" i="2" s="1"/>
  <c r="S70" i="2" s="1"/>
  <c r="S318" i="112" s="1"/>
  <c r="G126" i="4"/>
  <c r="G63" i="2" s="1"/>
  <c r="G78" i="2" s="1"/>
  <c r="O120" i="4"/>
  <c r="O49" i="2" s="1"/>
  <c r="G120" i="4"/>
  <c r="G49" i="2" s="1"/>
  <c r="L111" i="4"/>
  <c r="H115" i="4"/>
  <c r="L138" i="4"/>
  <c r="X126" i="4"/>
  <c r="X63" i="2" s="1"/>
  <c r="X78" i="2" s="1"/>
  <c r="W112" i="4"/>
  <c r="K111" i="4"/>
  <c r="K138" i="4"/>
  <c r="P127" i="4"/>
  <c r="P64" i="2" s="1"/>
  <c r="P82" i="2" s="1"/>
  <c r="P81" i="2" s="1"/>
  <c r="W126" i="4"/>
  <c r="W63" i="2" s="1"/>
  <c r="W78" i="2" s="1"/>
  <c r="AB115" i="4"/>
  <c r="C113" i="4"/>
  <c r="AA138" i="4"/>
  <c r="T129" i="4"/>
  <c r="T65" i="2" s="1"/>
  <c r="T70" i="2" s="1"/>
  <c r="T318" i="112" s="1"/>
  <c r="O127" i="4"/>
  <c r="O64" i="2" s="1"/>
  <c r="O82" i="2" s="1"/>
  <c r="O81" i="2" s="1"/>
  <c r="T120" i="4"/>
  <c r="T49" i="2" s="1"/>
  <c r="P120" i="4"/>
  <c r="P49" i="2" s="1"/>
  <c r="L120" i="4"/>
  <c r="L49" i="2" s="1"/>
  <c r="H120" i="4"/>
  <c r="H49" i="2" s="1"/>
  <c r="D120" i="4"/>
  <c r="D49" i="2" s="1"/>
  <c r="D52" i="2" s="1"/>
  <c r="AA115" i="4"/>
  <c r="H112" i="4"/>
  <c r="W138" i="4"/>
  <c r="G111" i="4"/>
  <c r="X115" i="4"/>
  <c r="D112" i="4"/>
  <c r="P128" i="4"/>
  <c r="X138" i="4"/>
  <c r="S127" i="4"/>
  <c r="S64" i="2" s="1"/>
  <c r="S82" i="2" s="1"/>
  <c r="S81" i="2" s="1"/>
  <c r="S112" i="4"/>
  <c r="H111" i="4"/>
  <c r="H138" i="4"/>
  <c r="X129" i="4"/>
  <c r="X65" i="2" s="1"/>
  <c r="X70" i="2" s="1"/>
  <c r="X318" i="112" s="1"/>
  <c r="D127" i="4"/>
  <c r="D64" i="2" s="1"/>
  <c r="D82" i="2" s="1"/>
  <c r="D81" i="2" s="1"/>
  <c r="AB119" i="4"/>
  <c r="X119" i="4"/>
  <c r="T119" i="4"/>
  <c r="W115" i="4"/>
  <c r="G115" i="4"/>
  <c r="L114" i="4"/>
  <c r="C112" i="4"/>
  <c r="G138" i="4"/>
  <c r="W129" i="4"/>
  <c r="W65" i="2" s="1"/>
  <c r="W70" i="2" s="1"/>
  <c r="W318" i="112" s="1"/>
  <c r="O128" i="4"/>
  <c r="T127" i="4"/>
  <c r="T64" i="2" s="1"/>
  <c r="T82" i="2" s="1"/>
  <c r="T81" i="2" s="1"/>
  <c r="C127" i="4"/>
  <c r="C64" i="2" s="1"/>
  <c r="C82" i="2" s="1"/>
  <c r="C81" i="2" s="1"/>
  <c r="AA126" i="4"/>
  <c r="AA63" i="2" s="1"/>
  <c r="AA78" i="2" s="1"/>
  <c r="AA119" i="4"/>
  <c r="W119" i="4"/>
  <c r="S119" i="4"/>
  <c r="AA114" i="4"/>
  <c r="K114" i="4"/>
  <c r="O113" i="4"/>
  <c r="T112" i="4"/>
  <c r="W111" i="4"/>
  <c r="L98" i="4"/>
  <c r="L99" i="4" s="1"/>
  <c r="L67" i="2" s="1"/>
  <c r="M61" i="2" s="1"/>
  <c r="S128" i="4"/>
  <c r="C128" i="4"/>
  <c r="G127" i="4"/>
  <c r="G64" i="2" s="1"/>
  <c r="G82" i="2" s="1"/>
  <c r="G81" i="2" s="1"/>
  <c r="AB122" i="4"/>
  <c r="X122" i="4"/>
  <c r="K122" i="4"/>
  <c r="W114" i="4"/>
  <c r="AA113" i="4"/>
  <c r="P112" i="4"/>
  <c r="AA122" i="4"/>
  <c r="W122" i="4"/>
  <c r="C122" i="4"/>
  <c r="C115" i="4"/>
  <c r="M128" i="4"/>
  <c r="G128" i="4"/>
  <c r="AA127" i="4"/>
  <c r="AA64" i="2" s="1"/>
  <c r="AA82" i="2" s="1"/>
  <c r="AA81" i="2" s="1"/>
  <c r="K121" i="4"/>
  <c r="K43" i="2" s="1"/>
  <c r="O111" i="4"/>
  <c r="C121" i="4"/>
  <c r="C43" i="2" s="1"/>
  <c r="O115" i="4"/>
  <c r="W121" i="4"/>
  <c r="W43" i="2" s="1"/>
  <c r="P115" i="4"/>
  <c r="AB112" i="4"/>
  <c r="P111" i="4"/>
  <c r="J98" i="4"/>
  <c r="J99" i="4" s="1"/>
  <c r="J67" i="2" s="1"/>
  <c r="K61" i="2" s="1"/>
  <c r="D126" i="4"/>
  <c r="D63" i="2" s="1"/>
  <c r="D78" i="2" s="1"/>
  <c r="T114" i="4"/>
  <c r="X113" i="4"/>
  <c r="P138" i="4"/>
  <c r="O129" i="4"/>
  <c r="O65" i="2" s="1"/>
  <c r="O70" i="2" s="1"/>
  <c r="AA128" i="4"/>
  <c r="S126" i="4"/>
  <c r="S63" i="2" s="1"/>
  <c r="S78" i="2" s="1"/>
  <c r="P121" i="4"/>
  <c r="P43" i="2" s="1"/>
  <c r="G121" i="4"/>
  <c r="G43" i="2" s="1"/>
  <c r="S114" i="4"/>
  <c r="W113" i="4"/>
  <c r="K112" i="4"/>
  <c r="AD19" i="59"/>
  <c r="N19" i="59"/>
  <c r="AJ46" i="59"/>
  <c r="AF46" i="59"/>
  <c r="AB46" i="59"/>
  <c r="X46" i="59"/>
  <c r="T46" i="59"/>
  <c r="P46" i="59"/>
  <c r="I46" i="59"/>
  <c r="W46" i="59"/>
  <c r="AE19" i="59"/>
  <c r="S19" i="59"/>
  <c r="O19" i="59"/>
  <c r="C19" i="59"/>
  <c r="H19" i="59"/>
  <c r="P129" i="4"/>
  <c r="P65" i="2" s="1"/>
  <c r="P70" i="2" s="1"/>
  <c r="P318" i="112" s="1"/>
  <c r="AB127" i="4"/>
  <c r="AB64" i="2" s="1"/>
  <c r="AB82" i="2" s="1"/>
  <c r="AB81" i="2" s="1"/>
  <c r="H121" i="4"/>
  <c r="H43" i="2" s="1"/>
  <c r="D121" i="4"/>
  <c r="D43" i="2" s="1"/>
  <c r="D115" i="4"/>
  <c r="X114" i="4"/>
  <c r="AB113" i="4"/>
  <c r="L113" i="4"/>
  <c r="S111" i="4"/>
  <c r="C111" i="4"/>
  <c r="O138" i="4"/>
  <c r="L128" i="4"/>
  <c r="L127" i="4"/>
  <c r="L64" i="2" s="1"/>
  <c r="L82" i="2" s="1"/>
  <c r="L81" i="2" s="1"/>
  <c r="C126" i="4"/>
  <c r="C63" i="2" s="1"/>
  <c r="C78" i="2" s="1"/>
  <c r="O121" i="4"/>
  <c r="O43" i="2" s="1"/>
  <c r="T115" i="4"/>
  <c r="H114" i="4"/>
  <c r="O112" i="4"/>
  <c r="K128" i="4"/>
  <c r="K127" i="4"/>
  <c r="K64" i="2" s="1"/>
  <c r="K82" i="2" s="1"/>
  <c r="K81" i="2" s="1"/>
  <c r="AA121" i="4"/>
  <c r="AA43" i="2" s="1"/>
  <c r="S115" i="4"/>
  <c r="G114" i="4"/>
  <c r="T111" i="4"/>
  <c r="D111" i="4"/>
  <c r="AG46" i="59"/>
  <c r="Z38" i="60"/>
  <c r="AL10" i="59"/>
  <c r="AF19" i="59"/>
  <c r="AB19" i="59"/>
  <c r="X19" i="59"/>
  <c r="T19" i="59"/>
  <c r="P19" i="59"/>
  <c r="L19" i="59"/>
  <c r="D19" i="59"/>
  <c r="AV14" i="60"/>
  <c r="AN112" i="4" s="1"/>
  <c r="AV8" i="60"/>
  <c r="AN107" i="4" s="1"/>
  <c r="AV5" i="60"/>
  <c r="AW5" i="60" s="1"/>
  <c r="AG19" i="59"/>
  <c r="AC19" i="59"/>
  <c r="Y19" i="59"/>
  <c r="U19" i="59"/>
  <c r="Q19" i="59"/>
  <c r="M19" i="59"/>
  <c r="I19" i="59"/>
  <c r="E19" i="59"/>
  <c r="AM10" i="59"/>
  <c r="AV33" i="60"/>
  <c r="AV30" i="60"/>
  <c r="AV28" i="60"/>
  <c r="AV22" i="60"/>
  <c r="AV17" i="60"/>
  <c r="AN115" i="4" s="1"/>
  <c r="AV13" i="60"/>
  <c r="AN111" i="4" s="1"/>
  <c r="AV41" i="60"/>
  <c r="AV21" i="60"/>
  <c r="AV16" i="60"/>
  <c r="AN114" i="4" s="1"/>
  <c r="AV11" i="60"/>
  <c r="AW11" i="60" s="1"/>
  <c r="AV39" i="60"/>
  <c r="AW39" i="60" s="1"/>
  <c r="W128" i="4"/>
  <c r="AV15" i="60"/>
  <c r="AN113" i="4" s="1"/>
  <c r="AV10" i="60"/>
  <c r="AP12" i="60"/>
  <c r="AP18" i="60" s="1"/>
  <c r="AM20" i="2"/>
  <c r="AI20" i="2"/>
  <c r="AE20" i="2"/>
  <c r="AA20" i="2"/>
  <c r="W20" i="2"/>
  <c r="S20" i="2"/>
  <c r="O20" i="2"/>
  <c r="K20" i="2"/>
  <c r="G20" i="2"/>
  <c r="C20" i="2"/>
  <c r="AJ20" i="2"/>
  <c r="AF20" i="2"/>
  <c r="AB20" i="2"/>
  <c r="X20" i="2"/>
  <c r="T20" i="2"/>
  <c r="P20" i="2"/>
  <c r="L20" i="2"/>
  <c r="H20" i="2"/>
  <c r="D20" i="2"/>
  <c r="AO146" i="8"/>
  <c r="AO150" i="8" s="1"/>
  <c r="AO171" i="8"/>
  <c r="AO175" i="8" s="1"/>
  <c r="AO191" i="8"/>
  <c r="AO195" i="8" s="1"/>
  <c r="AO109" i="8"/>
  <c r="AO114" i="8"/>
  <c r="AO120" i="8"/>
  <c r="AO131" i="8"/>
  <c r="AO125" i="8"/>
  <c r="AO136" i="8"/>
  <c r="AG20" i="2"/>
  <c r="AC20" i="2"/>
  <c r="Y20" i="2"/>
  <c r="U20" i="2"/>
  <c r="Q20" i="2"/>
  <c r="M20" i="2"/>
  <c r="I20" i="2"/>
  <c r="E20" i="2"/>
  <c r="AL20" i="2"/>
  <c r="AH20" i="2"/>
  <c r="AD20" i="2"/>
  <c r="Z20" i="2"/>
  <c r="V20" i="2"/>
  <c r="R20" i="2"/>
  <c r="N20" i="2"/>
  <c r="J20" i="2"/>
  <c r="F20" i="2"/>
  <c r="B20" i="2"/>
  <c r="C12" i="2"/>
  <c r="AI7" i="2"/>
  <c r="AK16" i="2"/>
  <c r="AG16" i="2"/>
  <c r="AC16" i="2"/>
  <c r="Y16" i="2"/>
  <c r="U16" i="2"/>
  <c r="Q16" i="2"/>
  <c r="M16" i="2"/>
  <c r="M264" i="8" s="1"/>
  <c r="M265" i="8" s="1"/>
  <c r="L347" i="111" s="1"/>
  <c r="I16" i="2"/>
  <c r="I264" i="8" s="1"/>
  <c r="I266" i="8" s="1"/>
  <c r="K346" i="111" s="1"/>
  <c r="K324" i="111" s="1"/>
  <c r="E16" i="2"/>
  <c r="AJ16" i="2"/>
  <c r="AJ264" i="8" s="1"/>
  <c r="AJ265" i="8" s="1"/>
  <c r="AF16" i="2"/>
  <c r="AF264" i="8" s="1"/>
  <c r="AF267" i="8" s="1"/>
  <c r="AB16" i="2"/>
  <c r="AB264" i="8" s="1"/>
  <c r="X16" i="2"/>
  <c r="X264" i="8" s="1"/>
  <c r="X266" i="8" s="1"/>
  <c r="T16" i="2"/>
  <c r="T264" i="8" s="1"/>
  <c r="P16" i="2"/>
  <c r="P264" i="8" s="1"/>
  <c r="L16" i="2"/>
  <c r="L264" i="8" s="1"/>
  <c r="H16" i="2"/>
  <c r="H264" i="8" s="1"/>
  <c r="D16" i="2"/>
  <c r="AM16" i="2"/>
  <c r="AM264" i="8" s="1"/>
  <c r="AM265" i="8" s="1"/>
  <c r="AI16" i="2"/>
  <c r="AI264" i="8" s="1"/>
  <c r="AI265" i="8" s="1"/>
  <c r="AE16" i="2"/>
  <c r="AE264" i="8" s="1"/>
  <c r="AE265" i="8" s="1"/>
  <c r="AA16" i="2"/>
  <c r="AA264" i="8" s="1"/>
  <c r="AA265" i="8" s="1"/>
  <c r="W16" i="2"/>
  <c r="W264" i="8" s="1"/>
  <c r="W265" i="8" s="1"/>
  <c r="S16" i="2"/>
  <c r="S264" i="8" s="1"/>
  <c r="S265" i="8" s="1"/>
  <c r="O16" i="2"/>
  <c r="O264" i="8" s="1"/>
  <c r="O265" i="8" s="1"/>
  <c r="K16" i="2"/>
  <c r="K264" i="8" s="1"/>
  <c r="K265" i="8" s="1"/>
  <c r="G16" i="2"/>
  <c r="G264" i="8" s="1"/>
  <c r="G265" i="8" s="1"/>
  <c r="C16" i="2"/>
  <c r="AL16" i="2"/>
  <c r="AL264" i="8" s="1"/>
  <c r="AL265" i="8" s="1"/>
  <c r="AH16" i="2"/>
  <c r="AH264" i="8" s="1"/>
  <c r="AH266" i="8" s="1"/>
  <c r="AD16" i="2"/>
  <c r="AD264" i="8" s="1"/>
  <c r="Z16" i="2"/>
  <c r="Z264" i="8" s="1"/>
  <c r="Z266" i="8" s="1"/>
  <c r="V16" i="2"/>
  <c r="V264" i="8" s="1"/>
  <c r="V265" i="8" s="1"/>
  <c r="R16" i="2"/>
  <c r="R264" i="8" s="1"/>
  <c r="R266" i="8" s="1"/>
  <c r="N16" i="2"/>
  <c r="N264" i="8" s="1"/>
  <c r="N265" i="8" s="1"/>
  <c r="J16" i="2"/>
  <c r="J264" i="8" s="1"/>
  <c r="J265" i="8" s="1"/>
  <c r="F16" i="2"/>
  <c r="F264" i="8" s="1"/>
  <c r="F265" i="8" s="1"/>
  <c r="B16" i="2"/>
  <c r="AM13" i="8"/>
  <c r="K73" i="2"/>
  <c r="AD158" i="8"/>
  <c r="AC158" i="8"/>
  <c r="AF158" i="8"/>
  <c r="AB158" i="8"/>
  <c r="X158" i="8"/>
  <c r="Z158" i="8"/>
  <c r="Y158" i="8"/>
  <c r="AI158" i="8"/>
  <c r="AE158" i="8"/>
  <c r="AA158" i="8"/>
  <c r="W158" i="8"/>
  <c r="AH158" i="8"/>
  <c r="V158" i="8"/>
  <c r="AG158" i="8"/>
  <c r="I60" i="27"/>
  <c r="I36" i="27"/>
  <c r="Q60" i="27"/>
  <c r="AK46" i="59"/>
  <c r="AC46" i="59"/>
  <c r="U46" i="59"/>
  <c r="Q46" i="59"/>
  <c r="M46" i="59"/>
  <c r="AM46" i="59"/>
  <c r="AI46" i="59"/>
  <c r="AE46" i="59"/>
  <c r="AA46" i="59"/>
  <c r="S46" i="59"/>
  <c r="O46" i="59"/>
  <c r="AI71" i="4"/>
  <c r="AI11" i="2" s="1"/>
  <c r="K46" i="59"/>
  <c r="AI19" i="59"/>
  <c r="BQ36" i="8"/>
  <c r="BM36" i="8"/>
  <c r="BL36" i="8"/>
  <c r="BP36" i="8"/>
  <c r="BO36" i="8"/>
  <c r="BN36" i="8"/>
  <c r="Y21" i="60"/>
  <c r="Q119" i="4" s="1"/>
  <c r="P119" i="4"/>
  <c r="AC41" i="60"/>
  <c r="U138" i="4" s="1"/>
  <c r="T138" i="4"/>
  <c r="AK31" i="60"/>
  <c r="AC126" i="4" s="1"/>
  <c r="AC63" i="2" s="1"/>
  <c r="AC78" i="2" s="1"/>
  <c r="AB126" i="4"/>
  <c r="AB63" i="2" s="1"/>
  <c r="AB78" i="2" s="1"/>
  <c r="AL92" i="2"/>
  <c r="AL93" i="2" s="1"/>
  <c r="AL94" i="2" s="1"/>
  <c r="S138" i="4"/>
  <c r="G129" i="4"/>
  <c r="G65" i="2" s="1"/>
  <c r="G70" i="2" s="1"/>
  <c r="G318" i="112" s="1"/>
  <c r="C129" i="4"/>
  <c r="C65" i="2" s="1"/>
  <c r="C70" i="2" s="1"/>
  <c r="C318" i="112" s="1"/>
  <c r="X121" i="4"/>
  <c r="X43" i="2" s="1"/>
  <c r="S121" i="4"/>
  <c r="S43" i="2" s="1"/>
  <c r="O119" i="4"/>
  <c r="K119" i="4"/>
  <c r="G119" i="4"/>
  <c r="C119" i="4"/>
  <c r="L115" i="4"/>
  <c r="T113" i="4"/>
  <c r="X112" i="4"/>
  <c r="L112" i="4"/>
  <c r="AL60" i="4"/>
  <c r="AI92" i="2"/>
  <c r="AI93" i="2" s="1"/>
  <c r="AI94" i="2" s="1"/>
  <c r="AD60" i="4"/>
  <c r="Z97" i="2"/>
  <c r="V60" i="4"/>
  <c r="V93" i="2"/>
  <c r="V94" i="2" s="1"/>
  <c r="N46" i="59"/>
  <c r="AK19" i="59"/>
  <c r="T31" i="60"/>
  <c r="H25" i="60"/>
  <c r="AD92" i="2"/>
  <c r="AD93" i="2" s="1"/>
  <c r="AD94" i="2" s="1"/>
  <c r="W127" i="4"/>
  <c r="W64" i="2" s="1"/>
  <c r="W82" i="2" s="1"/>
  <c r="W81" i="2" s="1"/>
  <c r="O126" i="4"/>
  <c r="O63" i="2" s="1"/>
  <c r="O78" i="2" s="1"/>
  <c r="AB114" i="4"/>
  <c r="P114" i="4"/>
  <c r="D114" i="4"/>
  <c r="H113" i="4"/>
  <c r="K98" i="4"/>
  <c r="K99" i="4" s="1"/>
  <c r="K67" i="2" s="1"/>
  <c r="L61" i="2" s="1"/>
  <c r="AJ97" i="2"/>
  <c r="AF97" i="2"/>
  <c r="AB97" i="2"/>
  <c r="Y92" i="2"/>
  <c r="Y93" i="2" s="1"/>
  <c r="Y94" i="2" s="1"/>
  <c r="Y46" i="59"/>
  <c r="AA19" i="59"/>
  <c r="W19" i="59"/>
  <c r="K19" i="59"/>
  <c r="G19" i="59"/>
  <c r="AQ25" i="60"/>
  <c r="AH92" i="2"/>
  <c r="AH93" i="2" s="1"/>
  <c r="AH94" i="2" s="1"/>
  <c r="Z92" i="2"/>
  <c r="Z93" i="2" s="1"/>
  <c r="Z94" i="2" s="1"/>
  <c r="D129" i="4"/>
  <c r="D65" i="2" s="1"/>
  <c r="D70" i="2" s="1"/>
  <c r="D318" i="112" s="1"/>
  <c r="O122" i="4"/>
  <c r="L119" i="4"/>
  <c r="H119" i="4"/>
  <c r="D119" i="4"/>
  <c r="O114" i="4"/>
  <c r="C114" i="4"/>
  <c r="G113" i="4"/>
  <c r="AA111" i="4"/>
  <c r="R72" i="4"/>
  <c r="AI60" i="4"/>
  <c r="AE60" i="4"/>
  <c r="AA60" i="4"/>
  <c r="AA73" i="2" s="1"/>
  <c r="W60" i="4"/>
  <c r="R46" i="59"/>
  <c r="AJ19" i="59"/>
  <c r="I43" i="4"/>
  <c r="AF103" i="94"/>
  <c r="F462" i="94"/>
  <c r="F469" i="94" s="1"/>
  <c r="F39" i="94"/>
  <c r="O462" i="94"/>
  <c r="O469" i="94" s="1"/>
  <c r="O39" i="94"/>
  <c r="K462" i="94"/>
  <c r="K469" i="94" s="1"/>
  <c r="K39" i="94"/>
  <c r="G462" i="94"/>
  <c r="G469" i="94" s="1"/>
  <c r="G39" i="94"/>
  <c r="AK462" i="94"/>
  <c r="AK469" i="94" s="1"/>
  <c r="AK39" i="94"/>
  <c r="AG462" i="94"/>
  <c r="AG469" i="94" s="1"/>
  <c r="AG39" i="94"/>
  <c r="AC462" i="94"/>
  <c r="AC469" i="94" s="1"/>
  <c r="AC39" i="94"/>
  <c r="Y462" i="94"/>
  <c r="Y469" i="94" s="1"/>
  <c r="Y39" i="94"/>
  <c r="U462" i="94"/>
  <c r="U469" i="94" s="1"/>
  <c r="U39" i="94"/>
  <c r="AM103" i="94"/>
  <c r="R462" i="94"/>
  <c r="R469" i="94" s="1"/>
  <c r="R39" i="94"/>
  <c r="N462" i="94"/>
  <c r="N469" i="94" s="1"/>
  <c r="N39" i="94"/>
  <c r="J462" i="94"/>
  <c r="J469" i="94" s="1"/>
  <c r="J39" i="94"/>
  <c r="E462" i="94"/>
  <c r="E469" i="94" s="1"/>
  <c r="E39" i="94"/>
  <c r="AJ462" i="94"/>
  <c r="AJ469" i="94" s="1"/>
  <c r="AJ39" i="94"/>
  <c r="AF462" i="94"/>
  <c r="AF469" i="94" s="1"/>
  <c r="AF39" i="94"/>
  <c r="AB462" i="94"/>
  <c r="AB469" i="94" s="1"/>
  <c r="AB39" i="94"/>
  <c r="X462" i="94"/>
  <c r="X469" i="94" s="1"/>
  <c r="X39" i="94"/>
  <c r="T462" i="94"/>
  <c r="T469" i="94" s="1"/>
  <c r="T39" i="94"/>
  <c r="AL103" i="94"/>
  <c r="AH103" i="94"/>
  <c r="AD103" i="94"/>
  <c r="Z103" i="94"/>
  <c r="V103" i="94"/>
  <c r="Q462" i="94"/>
  <c r="Q469" i="94" s="1"/>
  <c r="Q39" i="94"/>
  <c r="M462" i="94"/>
  <c r="M469" i="94" s="1"/>
  <c r="M39" i="94"/>
  <c r="I462" i="94"/>
  <c r="I469" i="94" s="1"/>
  <c r="I39" i="94"/>
  <c r="D462" i="94"/>
  <c r="D469" i="94" s="1"/>
  <c r="D39" i="94"/>
  <c r="AI462" i="94"/>
  <c r="AI469" i="94" s="1"/>
  <c r="AI39" i="94"/>
  <c r="AE462" i="94"/>
  <c r="AE469" i="94" s="1"/>
  <c r="AE39" i="94"/>
  <c r="AA462" i="94"/>
  <c r="AA469" i="94" s="1"/>
  <c r="AA39" i="94"/>
  <c r="W462" i="94"/>
  <c r="W469" i="94" s="1"/>
  <c r="W39" i="94"/>
  <c r="S462" i="94"/>
  <c r="S469" i="94" s="1"/>
  <c r="S39" i="94"/>
  <c r="AK103" i="94"/>
  <c r="AG103" i="94"/>
  <c r="AC103" i="94"/>
  <c r="Y103" i="94"/>
  <c r="U103" i="94"/>
  <c r="P462" i="94"/>
  <c r="P469" i="94" s="1"/>
  <c r="P39" i="94"/>
  <c r="L462" i="94"/>
  <c r="L469" i="94" s="1"/>
  <c r="L39" i="94"/>
  <c r="H462" i="94"/>
  <c r="H469" i="94" s="1"/>
  <c r="H39" i="94"/>
  <c r="C462" i="94"/>
  <c r="C469" i="94" s="1"/>
  <c r="C39" i="94"/>
  <c r="AL462" i="94"/>
  <c r="AL39" i="94"/>
  <c r="AH462" i="94"/>
  <c r="AH469" i="94" s="1"/>
  <c r="AH39" i="94"/>
  <c r="AD462" i="94"/>
  <c r="AD469" i="94" s="1"/>
  <c r="AD39" i="94"/>
  <c r="Z462" i="94"/>
  <c r="Z469" i="94" s="1"/>
  <c r="Z39" i="94"/>
  <c r="V462" i="94"/>
  <c r="V469" i="94" s="1"/>
  <c r="V39" i="94"/>
  <c r="U44" i="2"/>
  <c r="U45" i="2" s="1"/>
  <c r="F43" i="4"/>
  <c r="AN12" i="58"/>
  <c r="AJ12" i="58"/>
  <c r="AF12" i="58"/>
  <c r="E43" i="4"/>
  <c r="R12" i="58"/>
  <c r="C43" i="4"/>
  <c r="AH12" i="58"/>
  <c r="AN146" i="8"/>
  <c r="AN150" i="8" s="1"/>
  <c r="AN191" i="8"/>
  <c r="AN195" i="8" s="1"/>
  <c r="AN171" i="8"/>
  <c r="AN175" i="8" s="1"/>
  <c r="AN114" i="8"/>
  <c r="AN131" i="8"/>
  <c r="AN109" i="8"/>
  <c r="AN136" i="8"/>
  <c r="AN120" i="8"/>
  <c r="AN125" i="8"/>
  <c r="AM60" i="4"/>
  <c r="AN92" i="2"/>
  <c r="AN93" i="2" s="1"/>
  <c r="AN94" i="2" s="1"/>
  <c r="AN6" i="4"/>
  <c r="R60" i="11"/>
  <c r="AD10" i="4"/>
  <c r="Q60" i="11"/>
  <c r="P60" i="11"/>
  <c r="O60" i="11"/>
  <c r="N60" i="11"/>
  <c r="N10" i="4"/>
  <c r="N11" i="4" s="1"/>
  <c r="M60" i="11"/>
  <c r="L60" i="11"/>
  <c r="F10" i="4"/>
  <c r="F11" i="4" s="1"/>
  <c r="F20" i="4" s="1"/>
  <c r="K60" i="11"/>
  <c r="J60" i="11"/>
  <c r="R60" i="27"/>
  <c r="M36" i="27"/>
  <c r="O36" i="27"/>
  <c r="AC31" i="60"/>
  <c r="U126" i="4" s="1"/>
  <c r="U63" i="2" s="1"/>
  <c r="U78" i="2" s="1"/>
  <c r="T126" i="4"/>
  <c r="T63" i="2" s="1"/>
  <c r="T78" i="2" s="1"/>
  <c r="Y15" i="60"/>
  <c r="Q113" i="4" s="1"/>
  <c r="P113" i="4"/>
  <c r="M15" i="60"/>
  <c r="E113" i="4" s="1"/>
  <c r="D113" i="4"/>
  <c r="Q32" i="60"/>
  <c r="Q31" i="60"/>
  <c r="I126" i="4" s="1"/>
  <c r="I63" i="2" s="1"/>
  <c r="I78" i="2" s="1"/>
  <c r="H126" i="4"/>
  <c r="H63" i="2" s="1"/>
  <c r="H78" i="2" s="1"/>
  <c r="AC24" i="60"/>
  <c r="U122" i="4" s="1"/>
  <c r="T122" i="4"/>
  <c r="AK29" i="60"/>
  <c r="AC128" i="4" s="1"/>
  <c r="AB128" i="4"/>
  <c r="Q30" i="60"/>
  <c r="I129" i="4" s="1"/>
  <c r="I65" i="2" s="1"/>
  <c r="I70" i="2" s="1"/>
  <c r="I318" i="112" s="1"/>
  <c r="H129" i="4"/>
  <c r="H65" i="2" s="1"/>
  <c r="H70" i="2" s="1"/>
  <c r="H318" i="112" s="1"/>
  <c r="AK23" i="60"/>
  <c r="AC121" i="4" s="1"/>
  <c r="AC43" i="2" s="1"/>
  <c r="AB121" i="4"/>
  <c r="AB43" i="2" s="1"/>
  <c r="E25" i="60"/>
  <c r="E38" i="60" s="1"/>
  <c r="AT38" i="60"/>
  <c r="M44" i="2"/>
  <c r="M45" i="2" s="1"/>
  <c r="AK12" i="58"/>
  <c r="AG12" i="58"/>
  <c r="AC12" i="58"/>
  <c r="Y12" i="58"/>
  <c r="U12" i="58"/>
  <c r="U19" i="58" s="1"/>
  <c r="U22" i="58" s="1"/>
  <c r="U38" i="58" s="1"/>
  <c r="Q12" i="58"/>
  <c r="Q19" i="58" s="1"/>
  <c r="Q22" i="58" s="1"/>
  <c r="Q38" i="58" s="1"/>
  <c r="M12" i="58"/>
  <c r="M19" i="58" s="1"/>
  <c r="M22" i="58" s="1"/>
  <c r="M38" i="58" s="1"/>
  <c r="I12" i="58"/>
  <c r="E12" i="58"/>
  <c r="X63" i="58"/>
  <c r="X66" i="58" s="1"/>
  <c r="T63" i="58"/>
  <c r="T66" i="58" s="1"/>
  <c r="T67" i="58" s="1"/>
  <c r="P63" i="58"/>
  <c r="P66" i="58" s="1"/>
  <c r="P67" i="58" s="1"/>
  <c r="L63" i="58"/>
  <c r="L66" i="58" s="1"/>
  <c r="L67" i="58" s="1"/>
  <c r="H63" i="58"/>
  <c r="H66" i="58" s="1"/>
  <c r="C66" i="58"/>
  <c r="C67" i="58" s="1"/>
  <c r="AB12" i="58"/>
  <c r="X12" i="58"/>
  <c r="T12" i="58"/>
  <c r="T19" i="58" s="1"/>
  <c r="T22" i="58" s="1"/>
  <c r="T38" i="58" s="1"/>
  <c r="T40" i="58" s="1"/>
  <c r="P12" i="58"/>
  <c r="L12" i="58"/>
  <c r="H12" i="58"/>
  <c r="D12" i="58"/>
  <c r="S63" i="58"/>
  <c r="S66" i="58" s="1"/>
  <c r="S67" i="58" s="1"/>
  <c r="O63" i="58"/>
  <c r="O66" i="58" s="1"/>
  <c r="K63" i="58"/>
  <c r="K66" i="58" s="1"/>
  <c r="G63" i="58"/>
  <c r="G66" i="58" s="1"/>
  <c r="G67" i="58" s="1"/>
  <c r="Z63" i="58"/>
  <c r="Z66" i="58" s="1"/>
  <c r="Z67" i="58" s="1"/>
  <c r="V63" i="58"/>
  <c r="V66" i="58" s="1"/>
  <c r="V67" i="58" s="1"/>
  <c r="R63" i="58"/>
  <c r="R66" i="58" s="1"/>
  <c r="R67" i="58" s="1"/>
  <c r="N63" i="58"/>
  <c r="N66" i="58" s="1"/>
  <c r="N67" i="58" s="1"/>
  <c r="J63" i="58"/>
  <c r="J66" i="58" s="1"/>
  <c r="J67" i="58" s="1"/>
  <c r="E63" i="58"/>
  <c r="E66" i="58" s="1"/>
  <c r="E67" i="58" s="1"/>
  <c r="Y63" i="58"/>
  <c r="Y66" i="58" s="1"/>
  <c r="Y67" i="58" s="1"/>
  <c r="U63" i="58"/>
  <c r="U66" i="58" s="1"/>
  <c r="U67" i="58" s="1"/>
  <c r="Q63" i="58"/>
  <c r="Q66" i="58" s="1"/>
  <c r="Q67" i="58" s="1"/>
  <c r="M63" i="58"/>
  <c r="M66" i="58" s="1"/>
  <c r="M67" i="58" s="1"/>
  <c r="I63" i="58"/>
  <c r="I66" i="58" s="1"/>
  <c r="I67" i="58" s="1"/>
  <c r="D63" i="58"/>
  <c r="D66" i="58" s="1"/>
  <c r="Y81" i="2"/>
  <c r="Q81" i="2"/>
  <c r="AH60" i="4"/>
  <c r="Z60" i="4"/>
  <c r="U81" i="2"/>
  <c r="AG12" i="8"/>
  <c r="AL11" i="8"/>
  <c r="AH11" i="8"/>
  <c r="AD11" i="8"/>
  <c r="Z11" i="8"/>
  <c r="AC11" i="8"/>
  <c r="AJ11" i="8"/>
  <c r="AF11" i="8"/>
  <c r="AB11" i="8"/>
  <c r="AK11" i="8"/>
  <c r="AM11" i="8"/>
  <c r="AI11" i="8"/>
  <c r="AE11" i="8"/>
  <c r="AA11" i="8"/>
  <c r="J60" i="27"/>
  <c r="B60" i="27"/>
  <c r="B36" i="27"/>
  <c r="F60" i="27"/>
  <c r="AA13" i="8"/>
  <c r="AE13" i="8"/>
  <c r="BQ47" i="8"/>
  <c r="BQ184" i="112" s="1"/>
  <c r="BM47" i="8"/>
  <c r="BM184" i="112" s="1"/>
  <c r="BP47" i="8"/>
  <c r="BP184" i="112" s="1"/>
  <c r="BL47" i="8"/>
  <c r="BL184" i="112" s="1"/>
  <c r="AZ184" i="112"/>
  <c r="BO47" i="8"/>
  <c r="BO184" i="112" s="1"/>
  <c r="BG184" i="112"/>
  <c r="BC184" i="112"/>
  <c r="AU184" i="112"/>
  <c r="BN47" i="8"/>
  <c r="BN184" i="112" s="1"/>
  <c r="BJ184" i="112"/>
  <c r="BO62" i="8"/>
  <c r="BG181" i="112"/>
  <c r="AU181" i="112"/>
  <c r="BN62" i="8"/>
  <c r="BJ181" i="112"/>
  <c r="BQ62" i="8"/>
  <c r="BM62" i="8"/>
  <c r="BP62" i="8"/>
  <c r="BL62" i="8"/>
  <c r="AZ181" i="112"/>
  <c r="S11" i="8"/>
  <c r="AE17" i="8"/>
  <c r="S17" i="8"/>
  <c r="G18" i="8"/>
  <c r="AL16" i="8"/>
  <c r="AH18" i="8"/>
  <c r="AD17" i="8"/>
  <c r="Z16" i="8"/>
  <c r="V16" i="8"/>
  <c r="R18" i="8"/>
  <c r="N18" i="8"/>
  <c r="J16" i="8"/>
  <c r="F16" i="8"/>
  <c r="AM17" i="8"/>
  <c r="AA16" i="8"/>
  <c r="O18" i="8"/>
  <c r="C18" i="8"/>
  <c r="C125" i="2"/>
  <c r="AG16" i="8"/>
  <c r="Q18" i="8"/>
  <c r="AI17" i="8"/>
  <c r="W17" i="8"/>
  <c r="K16" i="8"/>
  <c r="AJ17" i="8"/>
  <c r="AF16" i="8"/>
  <c r="AB17" i="8"/>
  <c r="X17" i="8"/>
  <c r="T17" i="8"/>
  <c r="P16" i="8"/>
  <c r="L17" i="8"/>
  <c r="H17" i="8"/>
  <c r="D17" i="8"/>
  <c r="D125" i="2"/>
  <c r="B77" i="2"/>
  <c r="BN26" i="8"/>
  <c r="BN173" i="8" s="1"/>
  <c r="BO26" i="8"/>
  <c r="BO173" i="8" s="1"/>
  <c r="BL26" i="8"/>
  <c r="BP26" i="8"/>
  <c r="BP173" i="8" s="1"/>
  <c r="BM26" i="8"/>
  <c r="BM173" i="8" s="1"/>
  <c r="BQ26" i="8"/>
  <c r="O12" i="8"/>
  <c r="BQ42" i="8"/>
  <c r="BM42" i="8"/>
  <c r="BP42" i="8"/>
  <c r="BL42" i="8"/>
  <c r="AZ179" i="112"/>
  <c r="BO42" i="8"/>
  <c r="BG179" i="112"/>
  <c r="AU179" i="112"/>
  <c r="BN42" i="8"/>
  <c r="BJ179" i="112"/>
  <c r="BQ52" i="8"/>
  <c r="BM52" i="8"/>
  <c r="BG180" i="112"/>
  <c r="AU180" i="112"/>
  <c r="BL52" i="8"/>
  <c r="BO52" i="8"/>
  <c r="BN52" i="8"/>
  <c r="BJ180" i="112"/>
  <c r="BP52" i="8"/>
  <c r="AZ180" i="112"/>
  <c r="W63" i="58"/>
  <c r="W66" i="58" s="1"/>
  <c r="W67" i="58" s="1"/>
  <c r="AF60" i="4"/>
  <c r="P60" i="4"/>
  <c r="AJ60" i="4"/>
  <c r="T60" i="4"/>
  <c r="D60" i="4"/>
  <c r="X60" i="4"/>
  <c r="H60" i="4"/>
  <c r="AB60" i="4"/>
  <c r="L60" i="4"/>
  <c r="C78" i="4"/>
  <c r="Z132" i="4"/>
  <c r="R132" i="4"/>
  <c r="F132" i="4"/>
  <c r="X78" i="4"/>
  <c r="C36" i="27"/>
  <c r="G36" i="27"/>
  <c r="N132" i="4"/>
  <c r="J132" i="4"/>
  <c r="V132" i="4"/>
  <c r="B132" i="4"/>
  <c r="G116" i="2"/>
  <c r="H111" i="2" s="1"/>
  <c r="R12" i="8"/>
  <c r="W99" i="4"/>
  <c r="W67" i="2" s="1"/>
  <c r="X61" i="2" s="1"/>
  <c r="G99" i="4"/>
  <c r="G67" i="2" s="1"/>
  <c r="H61" i="2" s="1"/>
  <c r="AI78" i="4"/>
  <c r="W12" i="8"/>
  <c r="C12" i="8"/>
  <c r="F110" i="58"/>
  <c r="C34" i="2"/>
  <c r="E110" i="58"/>
  <c r="T112" i="58"/>
  <c r="S150" i="112" s="1"/>
  <c r="D110" i="58"/>
  <c r="S112" i="58"/>
  <c r="R150" i="112" s="1"/>
  <c r="L33" i="2"/>
  <c r="M33" i="2"/>
  <c r="G110" i="58"/>
  <c r="C110" i="58"/>
  <c r="L78" i="4"/>
  <c r="AM99" i="4"/>
  <c r="AE78" i="4"/>
  <c r="S78" i="4"/>
  <c r="J75" i="27"/>
  <c r="L116" i="2"/>
  <c r="AC72" i="4"/>
  <c r="W11" i="8"/>
  <c r="BQ20" i="8"/>
  <c r="AP479" i="94"/>
  <c r="BP20" i="8"/>
  <c r="BO20" i="8"/>
  <c r="AR479" i="94"/>
  <c r="BN20" i="8"/>
  <c r="BC479" i="94"/>
  <c r="AE12" i="8"/>
  <c r="E78" i="8"/>
  <c r="C78" i="8"/>
  <c r="U78" i="8"/>
  <c r="M78" i="8"/>
  <c r="K78" i="8"/>
  <c r="S78" i="8"/>
  <c r="G78" i="8"/>
  <c r="O78" i="8"/>
  <c r="Q78" i="8"/>
  <c r="I78" i="8"/>
  <c r="F272" i="8"/>
  <c r="H78" i="8"/>
  <c r="L78" i="8"/>
  <c r="P78" i="8"/>
  <c r="T78" i="8"/>
  <c r="D78" i="8"/>
  <c r="V78" i="8"/>
  <c r="R78" i="8"/>
  <c r="N78" i="8"/>
  <c r="J78" i="8"/>
  <c r="F78" i="8"/>
  <c r="B78" i="8"/>
  <c r="AM12" i="8"/>
  <c r="AI12" i="8"/>
  <c r="A5" i="8"/>
  <c r="BM78" i="8"/>
  <c r="AG78" i="8"/>
  <c r="AM231" i="8"/>
  <c r="AC78" i="8"/>
  <c r="Y78" i="8"/>
  <c r="BQ78" i="8"/>
  <c r="BA78" i="8"/>
  <c r="AK78" i="8"/>
  <c r="BO78" i="8"/>
  <c r="BO133" i="8" s="1"/>
  <c r="AI78" i="8"/>
  <c r="BP78" i="8"/>
  <c r="AZ78" i="8"/>
  <c r="AF78" i="8"/>
  <c r="X78" i="8"/>
  <c r="AJ78" i="8"/>
  <c r="BL78" i="8"/>
  <c r="AB78" i="8"/>
  <c r="C208" i="8"/>
  <c r="C253" i="8" s="1"/>
  <c r="C269" i="8" s="1"/>
  <c r="AE78" i="8"/>
  <c r="BC78" i="8"/>
  <c r="AM78" i="8"/>
  <c r="AA78" i="8"/>
  <c r="AK147" i="8"/>
  <c r="AK148" i="8" s="1"/>
  <c r="AG147" i="8"/>
  <c r="AG148" i="8" s="1"/>
  <c r="AC147" i="8"/>
  <c r="AC149" i="8" s="1"/>
  <c r="Y147" i="8"/>
  <c r="Y148" i="8" s="1"/>
  <c r="U147" i="8"/>
  <c r="U149" i="8" s="1"/>
  <c r="AJ147" i="8"/>
  <c r="AJ148" i="8" s="1"/>
  <c r="AF147" i="8"/>
  <c r="AF149" i="8" s="1"/>
  <c r="AB147" i="8"/>
  <c r="AB149" i="8" s="1"/>
  <c r="X147" i="8"/>
  <c r="X149" i="8" s="1"/>
  <c r="T147" i="8"/>
  <c r="T149" i="8" s="1"/>
  <c r="AM148" i="8"/>
  <c r="AI147" i="8"/>
  <c r="AI148" i="8" s="1"/>
  <c r="AE147" i="8"/>
  <c r="AE148" i="8" s="1"/>
  <c r="AA147" i="8"/>
  <c r="AA148" i="8" s="1"/>
  <c r="W147" i="8"/>
  <c r="W148" i="8" s="1"/>
  <c r="AL149" i="8"/>
  <c r="AH147" i="8"/>
  <c r="AH148" i="8" s="1"/>
  <c r="AD147" i="8"/>
  <c r="AD149" i="8" s="1"/>
  <c r="Z147" i="8"/>
  <c r="Z148" i="8" s="1"/>
  <c r="V147" i="8"/>
  <c r="V149" i="8" s="1"/>
  <c r="BN78" i="8"/>
  <c r="BB78" i="8"/>
  <c r="AX78" i="8"/>
  <c r="AP78" i="8"/>
  <c r="AL78" i="8"/>
  <c r="AH78" i="8"/>
  <c r="AD78" i="8"/>
  <c r="Z78" i="8"/>
  <c r="AA321" i="8"/>
  <c r="W231" i="8"/>
  <c r="G141" i="8"/>
  <c r="W141" i="8"/>
  <c r="W78" i="8"/>
  <c r="K321" i="8"/>
  <c r="G231" i="8"/>
  <c r="AI208" i="8"/>
  <c r="AI253" i="8" s="1"/>
  <c r="AI269" i="8" s="1"/>
  <c r="S208" i="8"/>
  <c r="S253" i="8" s="1"/>
  <c r="S269" i="8" s="1"/>
  <c r="AM141" i="8"/>
  <c r="BC231" i="8"/>
  <c r="BC141" i="8"/>
  <c r="BO208" i="8"/>
  <c r="BO253" i="8" s="1"/>
  <c r="BO269" i="8" s="1"/>
  <c r="BO321" i="8"/>
  <c r="AI321" i="8"/>
  <c r="S321" i="8"/>
  <c r="C321" i="8"/>
  <c r="AE231" i="8"/>
  <c r="O231" i="8"/>
  <c r="AA208" i="8"/>
  <c r="AA253" i="8" s="1"/>
  <c r="AA269" i="8" s="1"/>
  <c r="K208" i="8"/>
  <c r="K253" i="8" s="1"/>
  <c r="K269" i="8" s="1"/>
  <c r="AE141" i="8"/>
  <c r="O141" i="8"/>
  <c r="AE321" i="8"/>
  <c r="O321" i="8"/>
  <c r="AA231" i="8"/>
  <c r="K231" i="8"/>
  <c r="BC208" i="8"/>
  <c r="BC253" i="8" s="1"/>
  <c r="BC269" i="8" s="1"/>
  <c r="AM208" i="8"/>
  <c r="AM253" i="8" s="1"/>
  <c r="AM269" i="8" s="1"/>
  <c r="W208" i="8"/>
  <c r="W253" i="8" s="1"/>
  <c r="W269" i="8" s="1"/>
  <c r="G208" i="8"/>
  <c r="G253" i="8" s="1"/>
  <c r="G269" i="8" s="1"/>
  <c r="AA141" i="8"/>
  <c r="K141" i="8"/>
  <c r="BO231" i="8"/>
  <c r="AI231" i="8"/>
  <c r="S231" i="8"/>
  <c r="C231" i="8"/>
  <c r="K147" i="8"/>
  <c r="K148" i="8" s="1"/>
  <c r="I147" i="8"/>
  <c r="I149" i="8" s="1"/>
  <c r="P321" i="8"/>
  <c r="D321" i="8"/>
  <c r="J172" i="8"/>
  <c r="J174" i="8" s="1"/>
  <c r="L172" i="8"/>
  <c r="L173" i="8" s="1"/>
  <c r="F172" i="8"/>
  <c r="F173" i="8" s="1"/>
  <c r="BP321" i="8"/>
  <c r="M192" i="8"/>
  <c r="M193" i="8" s="1"/>
  <c r="G192" i="8"/>
  <c r="G193" i="8" s="1"/>
  <c r="I6" i="4"/>
  <c r="AM38" i="58"/>
  <c r="AM41" i="58" s="1"/>
  <c r="AI12" i="58"/>
  <c r="W12" i="58"/>
  <c r="S12" i="58"/>
  <c r="S19" i="58" s="1"/>
  <c r="S22" i="58" s="1"/>
  <c r="S38" i="58" s="1"/>
  <c r="S40" i="58" s="1"/>
  <c r="G12" i="58"/>
  <c r="AK60" i="4"/>
  <c r="AG60" i="4"/>
  <c r="AC60" i="4"/>
  <c r="Y60" i="4"/>
  <c r="Y73" i="2" s="1"/>
  <c r="U60" i="4"/>
  <c r="U73" i="2" s="1"/>
  <c r="Q60" i="4"/>
  <c r="Q73" i="2" s="1"/>
  <c r="M60" i="4"/>
  <c r="I60" i="4"/>
  <c r="E60" i="4"/>
  <c r="E73" i="2" s="1"/>
  <c r="AM6" i="4"/>
  <c r="AK97" i="2"/>
  <c r="AA6" i="4"/>
  <c r="Q44" i="2"/>
  <c r="Q45" i="2" s="1"/>
  <c r="G6" i="4"/>
  <c r="I44" i="2"/>
  <c r="I45" i="2" s="1"/>
  <c r="AM66" i="58"/>
  <c r="AM67" i="58" s="1"/>
  <c r="AE66" i="58"/>
  <c r="AE67" i="58" s="1"/>
  <c r="Q46" i="58"/>
  <c r="Q47" i="58" s="1"/>
  <c r="H43" i="4"/>
  <c r="D43" i="4"/>
  <c r="AG98" i="2"/>
  <c r="X321" i="8"/>
  <c r="AZ321" i="8"/>
  <c r="AF321" i="8"/>
  <c r="AF231" i="8"/>
  <c r="I321" i="8"/>
  <c r="BL141" i="8"/>
  <c r="L98" i="2"/>
  <c r="Q6" i="4"/>
  <c r="AF98" i="2"/>
  <c r="H97" i="2"/>
  <c r="Y6" i="4"/>
  <c r="T97" i="2"/>
  <c r="AB66" i="58"/>
  <c r="AB67" i="58" s="1"/>
  <c r="AE12" i="58"/>
  <c r="AA12" i="58"/>
  <c r="O12" i="58"/>
  <c r="O19" i="58" s="1"/>
  <c r="O22" i="58" s="1"/>
  <c r="O38" i="58" s="1"/>
  <c r="K12" i="58"/>
  <c r="AL12" i="58"/>
  <c r="AD12" i="58"/>
  <c r="Z12" i="58"/>
  <c r="V12" i="58"/>
  <c r="N12" i="58"/>
  <c r="J12" i="58"/>
  <c r="F12" i="58"/>
  <c r="AI6" i="4"/>
  <c r="O6" i="4"/>
  <c r="AG97" i="2"/>
  <c r="I11" i="4"/>
  <c r="Q98" i="2"/>
  <c r="U97" i="2"/>
  <c r="Y321" i="8"/>
  <c r="BM231" i="8"/>
  <c r="M231" i="8"/>
  <c r="I141" i="8"/>
  <c r="U231" i="8"/>
  <c r="H192" i="8"/>
  <c r="H194" i="8" s="1"/>
  <c r="AG141" i="8"/>
  <c r="AG208" i="8"/>
  <c r="AG253" i="8" s="1"/>
  <c r="AG269" i="8" s="1"/>
  <c r="O149" i="8"/>
  <c r="AI173" i="8"/>
  <c r="AI174" i="8"/>
  <c r="S173" i="8"/>
  <c r="S174" i="8"/>
  <c r="R149" i="8"/>
  <c r="R146" i="8" s="1"/>
  <c r="BL321" i="8"/>
  <c r="AJ321" i="8"/>
  <c r="AB321" i="8"/>
  <c r="H321" i="8"/>
  <c r="AC231" i="8"/>
  <c r="Q208" i="8"/>
  <c r="Q253" i="8" s="1"/>
  <c r="Q269" i="8" s="1"/>
  <c r="L192" i="8"/>
  <c r="G147" i="8"/>
  <c r="G148" i="8" s="1"/>
  <c r="Q141" i="8"/>
  <c r="AG6" i="4"/>
  <c r="W6" i="4"/>
  <c r="K6" i="4"/>
  <c r="AM11" i="4"/>
  <c r="AQ13" i="4" s="1"/>
  <c r="F163" i="8"/>
  <c r="T321" i="8"/>
  <c r="E231" i="8"/>
  <c r="BQ208" i="8"/>
  <c r="BQ253" i="8" s="1"/>
  <c r="BQ269" i="8" s="1"/>
  <c r="Y208" i="8"/>
  <c r="Y253" i="8" s="1"/>
  <c r="Y269" i="8" s="1"/>
  <c r="P208" i="8"/>
  <c r="P253" i="8" s="1"/>
  <c r="P269" i="8" s="1"/>
  <c r="K172" i="8"/>
  <c r="K173" i="8" s="1"/>
  <c r="M147" i="8"/>
  <c r="M148" i="8" s="1"/>
  <c r="BQ141" i="8"/>
  <c r="Y141" i="8"/>
  <c r="AE6" i="4"/>
  <c r="S6" i="4"/>
  <c r="S148" i="8"/>
  <c r="BM321" i="8"/>
  <c r="AG321" i="8"/>
  <c r="Q321" i="8"/>
  <c r="BQ231" i="8"/>
  <c r="BA231" i="8"/>
  <c r="Y231" i="8"/>
  <c r="Q231" i="8"/>
  <c r="I231" i="8"/>
  <c r="BM208" i="8"/>
  <c r="BM253" i="8" s="1"/>
  <c r="BM269" i="8" s="1"/>
  <c r="AK208" i="8"/>
  <c r="AK253" i="8" s="1"/>
  <c r="AK269" i="8" s="1"/>
  <c r="AC208" i="8"/>
  <c r="AC253" i="8" s="1"/>
  <c r="AC269" i="8" s="1"/>
  <c r="U208" i="8"/>
  <c r="U253" i="8" s="1"/>
  <c r="U269" i="8" s="1"/>
  <c r="M172" i="8"/>
  <c r="M173" i="8" s="1"/>
  <c r="G172" i="8"/>
  <c r="BM141" i="8"/>
  <c r="AK141" i="8"/>
  <c r="AC141" i="8"/>
  <c r="U141" i="8"/>
  <c r="M141" i="8"/>
  <c r="E141" i="8"/>
  <c r="AC6" i="4"/>
  <c r="U6" i="4"/>
  <c r="M6" i="4"/>
  <c r="BQ321" i="8"/>
  <c r="BA321" i="8"/>
  <c r="AK321" i="8"/>
  <c r="U321" i="8"/>
  <c r="E321" i="8"/>
  <c r="AK231" i="8"/>
  <c r="M208" i="8"/>
  <c r="M253" i="8" s="1"/>
  <c r="M269" i="8" s="1"/>
  <c r="E208" i="8"/>
  <c r="E253" i="8" s="1"/>
  <c r="E269" i="8" s="1"/>
  <c r="BA208" i="8"/>
  <c r="BA253" i="8" s="1"/>
  <c r="BA269" i="8" s="1"/>
  <c r="N148" i="8"/>
  <c r="N149" i="8"/>
  <c r="AM193" i="8"/>
  <c r="AM194" i="8"/>
  <c r="AI193" i="8"/>
  <c r="AI194" i="8"/>
  <c r="AE194" i="8"/>
  <c r="AE193" i="8"/>
  <c r="AA194" i="8"/>
  <c r="AA193" i="8"/>
  <c r="W193" i="8"/>
  <c r="W194" i="8"/>
  <c r="S193" i="8"/>
  <c r="S194" i="8"/>
  <c r="O194" i="8"/>
  <c r="O193" i="8"/>
  <c r="AP208" i="8"/>
  <c r="AP253" i="8" s="1"/>
  <c r="AP269" i="8" s="1"/>
  <c r="AH174" i="8"/>
  <c r="R173" i="8"/>
  <c r="R171" i="8" s="1"/>
  <c r="I192" i="8"/>
  <c r="I193" i="8" s="1"/>
  <c r="H147" i="8"/>
  <c r="AK6" i="4"/>
  <c r="BN321" i="8"/>
  <c r="BB321" i="8"/>
  <c r="AP321" i="8"/>
  <c r="AL321" i="8"/>
  <c r="AH321" i="8"/>
  <c r="AD321" i="8"/>
  <c r="Z321" i="8"/>
  <c r="V321" i="8"/>
  <c r="R321" i="8"/>
  <c r="N321" i="8"/>
  <c r="J321" i="8"/>
  <c r="F321" i="8"/>
  <c r="B321" i="8"/>
  <c r="BN208" i="8"/>
  <c r="BN253" i="8" s="1"/>
  <c r="BN269" i="8" s="1"/>
  <c r="K192" i="8"/>
  <c r="AJ193" i="8"/>
  <c r="AJ194" i="8"/>
  <c r="AB194" i="8"/>
  <c r="AB193" i="8"/>
  <c r="P193" i="8"/>
  <c r="P194" i="8"/>
  <c r="BP141" i="8"/>
  <c r="BP208" i="8"/>
  <c r="BP253" i="8" s="1"/>
  <c r="BP269" i="8" s="1"/>
  <c r="BP231" i="8"/>
  <c r="AZ141" i="8"/>
  <c r="AZ208" i="8"/>
  <c r="AZ253" i="8" s="1"/>
  <c r="AZ269" i="8" s="1"/>
  <c r="AZ231" i="8"/>
  <c r="AJ141" i="8"/>
  <c r="AJ208" i="8"/>
  <c r="AJ253" i="8" s="1"/>
  <c r="AJ269" i="8" s="1"/>
  <c r="AJ231" i="8"/>
  <c r="AB141" i="8"/>
  <c r="AB208" i="8"/>
  <c r="AB253" i="8" s="1"/>
  <c r="AB269" i="8" s="1"/>
  <c r="AB231" i="8"/>
  <c r="X141" i="8"/>
  <c r="X208" i="8"/>
  <c r="X253" i="8" s="1"/>
  <c r="X269" i="8" s="1"/>
  <c r="X231" i="8"/>
  <c r="T141" i="8"/>
  <c r="T208" i="8"/>
  <c r="T253" i="8" s="1"/>
  <c r="T269" i="8" s="1"/>
  <c r="T231" i="8"/>
  <c r="L141" i="8"/>
  <c r="L208" i="8"/>
  <c r="L253" i="8" s="1"/>
  <c r="L269" i="8" s="1"/>
  <c r="L231" i="8"/>
  <c r="H141" i="8"/>
  <c r="H208" i="8"/>
  <c r="H253" i="8" s="1"/>
  <c r="H269" i="8" s="1"/>
  <c r="H231" i="8"/>
  <c r="D141" i="8"/>
  <c r="D208" i="8"/>
  <c r="D253" i="8" s="1"/>
  <c r="D269" i="8" s="1"/>
  <c r="D231" i="8"/>
  <c r="J192" i="8"/>
  <c r="F192" i="8"/>
  <c r="F193" i="8" s="1"/>
  <c r="J147" i="8"/>
  <c r="F147" i="8"/>
  <c r="P148" i="8"/>
  <c r="P149" i="8"/>
  <c r="L147" i="8"/>
  <c r="Q148" i="8"/>
  <c r="Q149" i="8"/>
  <c r="AL6" i="4"/>
  <c r="AH6" i="4"/>
  <c r="Z6" i="4"/>
  <c r="V6" i="4"/>
  <c r="R6" i="4"/>
  <c r="J6" i="4"/>
  <c r="F6" i="4"/>
  <c r="H172" i="8"/>
  <c r="H173" i="8" s="1"/>
  <c r="Z173" i="8"/>
  <c r="Z174" i="8"/>
  <c r="P231" i="8"/>
  <c r="T194" i="8"/>
  <c r="T191" i="8" s="1"/>
  <c r="AF141" i="8"/>
  <c r="BL231" i="8"/>
  <c r="N6" i="4"/>
  <c r="Z13" i="8"/>
  <c r="AH12" i="8"/>
  <c r="AL13" i="8"/>
  <c r="J13" i="8"/>
  <c r="V13" i="8"/>
  <c r="F12" i="8"/>
  <c r="R13" i="8"/>
  <c r="F13" i="8"/>
  <c r="N12" i="8"/>
  <c r="AH13" i="8"/>
  <c r="B13" i="8"/>
  <c r="V12" i="8"/>
  <c r="J12" i="8"/>
  <c r="B12" i="8"/>
  <c r="AL12" i="8"/>
  <c r="AD12" i="8"/>
  <c r="Z12" i="8"/>
  <c r="K13" i="8"/>
  <c r="S12" i="8"/>
  <c r="S16" i="8"/>
  <c r="O17" i="8"/>
  <c r="AB16" i="8"/>
  <c r="R17" i="8"/>
  <c r="O16" i="8"/>
  <c r="B18" i="8"/>
  <c r="AE16" i="8"/>
  <c r="G16" i="8"/>
  <c r="AA18" i="8"/>
  <c r="C17" i="8"/>
  <c r="W16" i="8"/>
  <c r="L16" i="8"/>
  <c r="BP13" i="8"/>
  <c r="D18" i="8"/>
  <c r="AH17" i="8"/>
  <c r="AM16" i="8"/>
  <c r="T16" i="8"/>
  <c r="H16" i="8"/>
  <c r="O146" i="8"/>
  <c r="AH171" i="8"/>
  <c r="AH175" i="8" s="1"/>
  <c r="K17" i="8"/>
  <c r="C16" i="8"/>
  <c r="AI18" i="8"/>
  <c r="J17" i="8"/>
  <c r="BL13" i="8"/>
  <c r="AI13" i="8"/>
  <c r="C13" i="8"/>
  <c r="S18" i="8"/>
  <c r="K18" i="8"/>
  <c r="AI16" i="8"/>
  <c r="N16" i="8"/>
  <c r="AD13" i="8"/>
  <c r="N13" i="8"/>
  <c r="K11" i="8"/>
  <c r="AD16" i="8"/>
  <c r="BN13" i="8"/>
  <c r="AA12" i="8"/>
  <c r="AG11" i="8"/>
  <c r="J18" i="8"/>
  <c r="Z18" i="8"/>
  <c r="F18" i="8"/>
  <c r="N17" i="8"/>
  <c r="AH16" i="8"/>
  <c r="R16" i="8"/>
  <c r="B16" i="8"/>
  <c r="AG13" i="8"/>
  <c r="Y13" i="8"/>
  <c r="Q13" i="8"/>
  <c r="I13" i="8"/>
  <c r="AK12" i="8"/>
  <c r="AC12" i="8"/>
  <c r="U12" i="8"/>
  <c r="M12" i="8"/>
  <c r="E12" i="8"/>
  <c r="Y11" i="8"/>
  <c r="I11" i="8"/>
  <c r="AD18" i="8"/>
  <c r="V18" i="8"/>
  <c r="AL17" i="8"/>
  <c r="AF13" i="8"/>
  <c r="X13" i="8"/>
  <c r="P13" i="8"/>
  <c r="H13" i="8"/>
  <c r="AJ12" i="8"/>
  <c r="AB12" i="8"/>
  <c r="T12" i="8"/>
  <c r="L12" i="8"/>
  <c r="D12" i="8"/>
  <c r="F17" i="8"/>
  <c r="Z17" i="8"/>
  <c r="AK13" i="8"/>
  <c r="AC13" i="8"/>
  <c r="U13" i="8"/>
  <c r="M13" i="8"/>
  <c r="E13" i="8"/>
  <c r="Q12" i="8"/>
  <c r="AL18" i="8"/>
  <c r="V17" i="8"/>
  <c r="AJ13" i="8"/>
  <c r="AB13" i="8"/>
  <c r="T13" i="8"/>
  <c r="L13" i="8"/>
  <c r="D13" i="8"/>
  <c r="AF12" i="8"/>
  <c r="X12" i="8"/>
  <c r="P12" i="8"/>
  <c r="H12" i="8"/>
  <c r="AH193" i="8"/>
  <c r="AH194" i="8"/>
  <c r="AK16" i="8"/>
  <c r="AK18" i="8"/>
  <c r="AC16" i="8"/>
  <c r="AC18" i="8"/>
  <c r="Y16" i="8"/>
  <c r="Y18" i="8"/>
  <c r="U16" i="8"/>
  <c r="U18" i="8"/>
  <c r="Q16" i="8"/>
  <c r="Q17" i="8"/>
  <c r="M16" i="8"/>
  <c r="M18" i="8"/>
  <c r="I16" i="8"/>
  <c r="I18" i="8"/>
  <c r="E16" i="8"/>
  <c r="E17" i="8"/>
  <c r="E18" i="8"/>
  <c r="AD49" i="2"/>
  <c r="V49" i="2"/>
  <c r="R49" i="2"/>
  <c r="N49" i="2"/>
  <c r="J49" i="2"/>
  <c r="F49" i="2"/>
  <c r="B49" i="2"/>
  <c r="B50" i="2" s="1"/>
  <c r="AM6" i="2"/>
  <c r="AI26" i="2"/>
  <c r="AE26" i="2"/>
  <c r="AA26" i="2"/>
  <c r="W26" i="2"/>
  <c r="S26" i="2"/>
  <c r="O26" i="2"/>
  <c r="K26" i="2"/>
  <c r="G26" i="2"/>
  <c r="C26" i="2"/>
  <c r="AK101" i="2"/>
  <c r="AG101" i="2"/>
  <c r="AG72" i="4"/>
  <c r="AC101" i="2"/>
  <c r="Y72" i="4"/>
  <c r="Y101" i="2"/>
  <c r="Z137" i="4"/>
  <c r="U101" i="2"/>
  <c r="V137" i="4"/>
  <c r="U72" i="4"/>
  <c r="Q72" i="4"/>
  <c r="Q101" i="2"/>
  <c r="R137" i="4"/>
  <c r="M72" i="4"/>
  <c r="M101" i="2"/>
  <c r="I101" i="2"/>
  <c r="I72" i="4"/>
  <c r="J137" i="4"/>
  <c r="E72" i="4"/>
  <c r="E101" i="2"/>
  <c r="F137" i="4"/>
  <c r="AL10" i="4"/>
  <c r="AL11" i="4" s="1"/>
  <c r="AL20" i="4" s="1"/>
  <c r="AH10" i="4"/>
  <c r="AH11" i="4" s="1"/>
  <c r="AH20" i="4" s="1"/>
  <c r="Z10" i="4"/>
  <c r="Z11" i="4" s="1"/>
  <c r="Z20" i="4" s="1"/>
  <c r="V10" i="4"/>
  <c r="V11" i="4" s="1"/>
  <c r="V20" i="4" s="1"/>
  <c r="R10" i="4"/>
  <c r="R11" i="4" s="1"/>
  <c r="R20" i="4" s="1"/>
  <c r="J10" i="4"/>
  <c r="J11" i="4" s="1"/>
  <c r="J20" i="4" s="1"/>
  <c r="B10" i="4"/>
  <c r="B11" i="4" s="1"/>
  <c r="B20" i="4" s="1"/>
  <c r="AA174" i="8"/>
  <c r="AA171" i="8" s="1"/>
  <c r="AA175" i="8" s="1"/>
  <c r="AE173" i="8"/>
  <c r="AE174" i="8"/>
  <c r="O173" i="8"/>
  <c r="O174" i="8"/>
  <c r="AG18" i="8"/>
  <c r="AL42" i="2"/>
  <c r="AT560" i="111" s="1"/>
  <c r="AH42" i="2"/>
  <c r="AP560" i="111" s="1"/>
  <c r="AD42" i="2"/>
  <c r="AL560" i="111" s="1"/>
  <c r="Z42" i="2"/>
  <c r="AH560" i="111" s="1"/>
  <c r="V42" i="2"/>
  <c r="AD560" i="111" s="1"/>
  <c r="R42" i="2"/>
  <c r="Z560" i="111" s="1"/>
  <c r="N42" i="2"/>
  <c r="V560" i="111" s="1"/>
  <c r="J42" i="2"/>
  <c r="R560" i="111" s="1"/>
  <c r="F42" i="2"/>
  <c r="N560" i="111" s="1"/>
  <c r="B42" i="2"/>
  <c r="J560" i="111" s="1"/>
  <c r="AM108" i="2"/>
  <c r="AN105" i="2" s="1"/>
  <c r="AI108" i="2"/>
  <c r="AJ105" i="2" s="1"/>
  <c r="AE108" i="2"/>
  <c r="AF105" i="2" s="1"/>
  <c r="AA108" i="2"/>
  <c r="AB105" i="2" s="1"/>
  <c r="W108" i="2"/>
  <c r="X105" i="2" s="1"/>
  <c r="S108" i="2"/>
  <c r="T105" i="2" s="1"/>
  <c r="O108" i="2"/>
  <c r="P105" i="2" s="1"/>
  <c r="K108" i="2"/>
  <c r="L105" i="2" s="1"/>
  <c r="G108" i="2"/>
  <c r="H105" i="2" s="1"/>
  <c r="C108" i="2"/>
  <c r="D105" i="2" s="1"/>
  <c r="I172" i="8"/>
  <c r="I173" i="8" s="1"/>
  <c r="AH49" i="2"/>
  <c r="Z49" i="2"/>
  <c r="AJ6" i="4"/>
  <c r="AF6" i="4"/>
  <c r="AB6" i="4"/>
  <c r="X6" i="4"/>
  <c r="T6" i="4"/>
  <c r="P6" i="4"/>
  <c r="L6" i="4"/>
  <c r="H6" i="4"/>
  <c r="AM173" i="8"/>
  <c r="AM174" i="8"/>
  <c r="W173" i="8"/>
  <c r="W174" i="8"/>
  <c r="BN18" i="8"/>
  <c r="I17" i="8"/>
  <c r="BN231" i="8"/>
  <c r="BN141" i="8"/>
  <c r="BB231" i="8"/>
  <c r="BB141" i="8"/>
  <c r="AP231" i="8"/>
  <c r="AP141" i="8"/>
  <c r="AL231" i="8"/>
  <c r="AL141" i="8"/>
  <c r="AH231" i="8"/>
  <c r="AH141" i="8"/>
  <c r="AH208" i="8"/>
  <c r="AH253" i="8" s="1"/>
  <c r="AH269" i="8" s="1"/>
  <c r="AD231" i="8"/>
  <c r="AD141" i="8"/>
  <c r="AD208" i="8"/>
  <c r="AD253" i="8" s="1"/>
  <c r="AD269" i="8" s="1"/>
  <c r="Z231" i="8"/>
  <c r="Z141" i="8"/>
  <c r="Z208" i="8"/>
  <c r="Z253" i="8" s="1"/>
  <c r="Z269" i="8" s="1"/>
  <c r="V231" i="8"/>
  <c r="V141" i="8"/>
  <c r="V208" i="8"/>
  <c r="V253" i="8" s="1"/>
  <c r="V269" i="8" s="1"/>
  <c r="R231" i="8"/>
  <c r="R141" i="8"/>
  <c r="R208" i="8"/>
  <c r="R253" i="8" s="1"/>
  <c r="R269" i="8" s="1"/>
  <c r="N231" i="8"/>
  <c r="N141" i="8"/>
  <c r="N208" i="8"/>
  <c r="N253" i="8" s="1"/>
  <c r="N269" i="8" s="1"/>
  <c r="J231" i="8"/>
  <c r="J141" i="8"/>
  <c r="J208" i="8"/>
  <c r="J253" i="8" s="1"/>
  <c r="J269" i="8" s="1"/>
  <c r="F231" i="8"/>
  <c r="F141" i="8"/>
  <c r="F208" i="8"/>
  <c r="F253" i="8" s="1"/>
  <c r="F269" i="8" s="1"/>
  <c r="B231" i="8"/>
  <c r="B141" i="8"/>
  <c r="B208" i="8"/>
  <c r="B253" i="8" s="1"/>
  <c r="B269" i="8" s="1"/>
  <c r="AL49" i="2"/>
  <c r="AB116" i="2"/>
  <c r="X116" i="2"/>
  <c r="T116" i="2"/>
  <c r="P116" i="2"/>
  <c r="H116" i="2"/>
  <c r="D116" i="2"/>
  <c r="AM8" i="2"/>
  <c r="AI9" i="2"/>
  <c r="AI259" i="8" s="1"/>
  <c r="AE9" i="2"/>
  <c r="AE259" i="8" s="1"/>
  <c r="AA9" i="2"/>
  <c r="AA259" i="8" s="1"/>
  <c r="W9" i="2"/>
  <c r="W259" i="8" s="1"/>
  <c r="S9" i="2"/>
  <c r="S259" i="8" s="1"/>
  <c r="O9" i="2"/>
  <c r="O259" i="8" s="1"/>
  <c r="K9" i="2"/>
  <c r="K259" i="8" s="1"/>
  <c r="G9" i="2"/>
  <c r="G259" i="8" s="1"/>
  <c r="C9" i="2"/>
  <c r="AK172" i="8"/>
  <c r="AK173" i="8" s="1"/>
  <c r="AG172" i="8"/>
  <c r="AG173" i="8" s="1"/>
  <c r="AC172" i="8"/>
  <c r="Y172" i="8"/>
  <c r="Y173" i="8" s="1"/>
  <c r="U172" i="8"/>
  <c r="U173" i="8" s="1"/>
  <c r="Q172" i="8"/>
  <c r="Q173" i="8" s="1"/>
  <c r="F123" i="8"/>
  <c r="AE101" i="2"/>
  <c r="O101" i="2"/>
  <c r="AE18" i="8"/>
  <c r="AA17" i="8"/>
  <c r="G17" i="8"/>
  <c r="AL65" i="2"/>
  <c r="AL70" i="2" s="1"/>
  <c r="AL318" i="112" s="1"/>
  <c r="AH65" i="2"/>
  <c r="AH70" i="2" s="1"/>
  <c r="AH318" i="112" s="1"/>
  <c r="AD65" i="2"/>
  <c r="AD70" i="2" s="1"/>
  <c r="AD318" i="112" s="1"/>
  <c r="Z65" i="2"/>
  <c r="Z70" i="2" s="1"/>
  <c r="Z318" i="112" s="1"/>
  <c r="V65" i="2"/>
  <c r="V70" i="2" s="1"/>
  <c r="V318" i="112" s="1"/>
  <c r="R65" i="2"/>
  <c r="R70" i="2" s="1"/>
  <c r="R318" i="112" s="1"/>
  <c r="N65" i="2"/>
  <c r="N70" i="2" s="1"/>
  <c r="N318" i="112" s="1"/>
  <c r="J70" i="2"/>
  <c r="J318" i="112" s="1"/>
  <c r="F65" i="2"/>
  <c r="F70" i="2" s="1"/>
  <c r="F318" i="112" s="1"/>
  <c r="AL64" i="2"/>
  <c r="AL82" i="2" s="1"/>
  <c r="AH64" i="2"/>
  <c r="AH82" i="2" s="1"/>
  <c r="AD64" i="2"/>
  <c r="AD82" i="2" s="1"/>
  <c r="Z64" i="2"/>
  <c r="Z82" i="2" s="1"/>
  <c r="Z81" i="2" s="1"/>
  <c r="V64" i="2"/>
  <c r="V82" i="2" s="1"/>
  <c r="V81" i="2" s="1"/>
  <c r="R64" i="2"/>
  <c r="R82" i="2" s="1"/>
  <c r="R81" i="2" s="1"/>
  <c r="N64" i="2"/>
  <c r="N82" i="2" s="1"/>
  <c r="N81" i="2" s="1"/>
  <c r="J64" i="2"/>
  <c r="J82" i="2" s="1"/>
  <c r="J81" i="2" s="1"/>
  <c r="F64" i="2"/>
  <c r="F82" i="2" s="1"/>
  <c r="F81" i="2" s="1"/>
  <c r="AL63" i="2"/>
  <c r="AL78" i="2" s="1"/>
  <c r="J79" i="27"/>
  <c r="AH63" i="2"/>
  <c r="AH78" i="2" s="1"/>
  <c r="I79" i="27"/>
  <c r="AD63" i="2"/>
  <c r="AD78" i="2" s="1"/>
  <c r="Z63" i="2"/>
  <c r="Z78" i="2" s="1"/>
  <c r="V63" i="2"/>
  <c r="V78" i="2" s="1"/>
  <c r="R63" i="2"/>
  <c r="R78" i="2" s="1"/>
  <c r="N63" i="2"/>
  <c r="N78" i="2" s="1"/>
  <c r="J63" i="2"/>
  <c r="J78" i="2" s="1"/>
  <c r="F63" i="2"/>
  <c r="F78" i="2" s="1"/>
  <c r="AC42" i="2"/>
  <c r="AK560" i="111" s="1"/>
  <c r="Y42" i="2"/>
  <c r="AG560" i="111" s="1"/>
  <c r="U42" i="2"/>
  <c r="AC560" i="111" s="1"/>
  <c r="M42" i="2"/>
  <c r="U560" i="111" s="1"/>
  <c r="I42" i="2"/>
  <c r="Q560" i="111" s="1"/>
  <c r="AL38" i="2"/>
  <c r="AL39" i="2" s="1"/>
  <c r="AH38" i="2"/>
  <c r="AH39" i="2" s="1"/>
  <c r="AD38" i="2"/>
  <c r="AD39" i="2" s="1"/>
  <c r="Z38" i="2"/>
  <c r="Z39" i="2" s="1"/>
  <c r="V38" i="2"/>
  <c r="V39" i="2" s="1"/>
  <c r="R38" i="2"/>
  <c r="N38" i="2"/>
  <c r="J38" i="2"/>
  <c r="F38" i="2"/>
  <c r="B38" i="2"/>
  <c r="B39" i="2" s="1"/>
  <c r="AI99" i="4"/>
  <c r="AE99" i="4"/>
  <c r="AA99" i="4"/>
  <c r="S99" i="4"/>
  <c r="S67" i="2" s="1"/>
  <c r="T61" i="2" s="1"/>
  <c r="O99" i="4"/>
  <c r="O67" i="2" s="1"/>
  <c r="P61" i="2" s="1"/>
  <c r="C99" i="4"/>
  <c r="C67" i="2" s="1"/>
  <c r="D61" i="2" s="1"/>
  <c r="AA116" i="2"/>
  <c r="W116" i="2"/>
  <c r="S116" i="2"/>
  <c r="O116" i="2"/>
  <c r="K116" i="2"/>
  <c r="C116" i="2"/>
  <c r="AL108" i="2"/>
  <c r="AH108" i="2"/>
  <c r="AI105" i="2" s="1"/>
  <c r="AD108" i="2"/>
  <c r="AE105" i="2" s="1"/>
  <c r="Z108" i="2"/>
  <c r="AA105" i="2" s="1"/>
  <c r="V108" i="2"/>
  <c r="W105" i="2" s="1"/>
  <c r="R108" i="2"/>
  <c r="N108" i="2"/>
  <c r="O105" i="2" s="1"/>
  <c r="J108" i="2"/>
  <c r="K105" i="2" s="1"/>
  <c r="F108" i="2"/>
  <c r="G105" i="2" s="1"/>
  <c r="B108" i="2"/>
  <c r="C105" i="2" s="1"/>
  <c r="AL9" i="2"/>
  <c r="AL259" i="8" s="1"/>
  <c r="AL260" i="8" s="1"/>
  <c r="AH9" i="2"/>
  <c r="AH259" i="8" s="1"/>
  <c r="AH261" i="8" s="1"/>
  <c r="AD9" i="2"/>
  <c r="AD259" i="8" s="1"/>
  <c r="AD262" i="8" s="1"/>
  <c r="Z9" i="2"/>
  <c r="Z259" i="8" s="1"/>
  <c r="Z262" i="8" s="1"/>
  <c r="V9" i="2"/>
  <c r="V259" i="8" s="1"/>
  <c r="V261" i="8" s="1"/>
  <c r="R9" i="2"/>
  <c r="R259" i="8" s="1"/>
  <c r="N9" i="2"/>
  <c r="N259" i="8" s="1"/>
  <c r="N261" i="8" s="1"/>
  <c r="J9" i="2"/>
  <c r="J259" i="8" s="1"/>
  <c r="J262" i="8" s="1"/>
  <c r="F9" i="2"/>
  <c r="F259" i="8" s="1"/>
  <c r="F260" i="8" s="1"/>
  <c r="B9" i="2"/>
  <c r="AL26" i="2"/>
  <c r="AH26" i="2"/>
  <c r="AD26" i="2"/>
  <c r="Z26" i="2"/>
  <c r="V26" i="2"/>
  <c r="R26" i="2"/>
  <c r="N26" i="2"/>
  <c r="J72" i="4"/>
  <c r="J6" i="2"/>
  <c r="F26" i="2"/>
  <c r="B26" i="2"/>
  <c r="AJ101" i="2"/>
  <c r="AF101" i="2"/>
  <c r="AC137" i="4"/>
  <c r="AB101" i="2"/>
  <c r="Y137" i="4"/>
  <c r="X101" i="2"/>
  <c r="U137" i="4"/>
  <c r="T101" i="2"/>
  <c r="Q137" i="4"/>
  <c r="P101" i="2"/>
  <c r="M137" i="4"/>
  <c r="L101" i="2"/>
  <c r="I137" i="4"/>
  <c r="H101" i="2"/>
  <c r="E137" i="4"/>
  <c r="D101" i="2"/>
  <c r="AA101" i="2"/>
  <c r="K101" i="2"/>
  <c r="Z98" i="2"/>
  <c r="J76" i="27"/>
  <c r="I76" i="27"/>
  <c r="AJ99" i="4"/>
  <c r="AF99" i="4"/>
  <c r="AB99" i="4"/>
  <c r="X99" i="4"/>
  <c r="T99" i="4"/>
  <c r="T67" i="2" s="1"/>
  <c r="U61" i="2" s="1"/>
  <c r="P99" i="4"/>
  <c r="P67" i="2" s="1"/>
  <c r="Q61" i="2" s="1"/>
  <c r="H99" i="4"/>
  <c r="H67" i="2" s="1"/>
  <c r="I61" i="2" s="1"/>
  <c r="D99" i="4"/>
  <c r="D67" i="2" s="1"/>
  <c r="E61" i="2" s="1"/>
  <c r="AL99" i="4"/>
  <c r="AH99" i="4"/>
  <c r="AD99" i="4"/>
  <c r="Z99" i="4"/>
  <c r="V99" i="4"/>
  <c r="V67" i="2" s="1"/>
  <c r="W61" i="2" s="1"/>
  <c r="R99" i="4"/>
  <c r="R67" i="2" s="1"/>
  <c r="S61" i="2" s="1"/>
  <c r="N99" i="4"/>
  <c r="N67" i="2" s="1"/>
  <c r="O61" i="2" s="1"/>
  <c r="F99" i="4"/>
  <c r="F67" i="2" s="1"/>
  <c r="G61" i="2" s="1"/>
  <c r="B99" i="4"/>
  <c r="B67" i="2" s="1"/>
  <c r="C61" i="2" s="1"/>
  <c r="Z116" i="2"/>
  <c r="V116" i="2"/>
  <c r="R116" i="2"/>
  <c r="N116" i="2"/>
  <c r="J116" i="2"/>
  <c r="F116" i="2"/>
  <c r="B116" i="2"/>
  <c r="AK108" i="2"/>
  <c r="AL105" i="2" s="1"/>
  <c r="AG108" i="2"/>
  <c r="AH105" i="2" s="1"/>
  <c r="AC108" i="2"/>
  <c r="AD105" i="2" s="1"/>
  <c r="Y108" i="2"/>
  <c r="Z105" i="2" s="1"/>
  <c r="U108" i="2"/>
  <c r="V105" i="2" s="1"/>
  <c r="Q108" i="2"/>
  <c r="R105" i="2" s="1"/>
  <c r="M108" i="2"/>
  <c r="I108" i="2"/>
  <c r="J105" i="2" s="1"/>
  <c r="E108" i="2"/>
  <c r="F105" i="2" s="1"/>
  <c r="AJ78" i="4"/>
  <c r="AJ41" i="2"/>
  <c r="AB78" i="4"/>
  <c r="AB41" i="2"/>
  <c r="T78" i="4"/>
  <c r="T41" i="2"/>
  <c r="H78" i="4"/>
  <c r="H41" i="2"/>
  <c r="D78" i="4"/>
  <c r="D41" i="2"/>
  <c r="AD78" i="4"/>
  <c r="Z78" i="4"/>
  <c r="N78" i="4"/>
  <c r="J78" i="4"/>
  <c r="AG9" i="2"/>
  <c r="AC9" i="2"/>
  <c r="Y9" i="2"/>
  <c r="U9" i="2"/>
  <c r="Q9" i="2"/>
  <c r="M9" i="2"/>
  <c r="M259" i="8" s="1"/>
  <c r="M262" i="8" s="1"/>
  <c r="L343" i="111" s="1"/>
  <c r="I9" i="2"/>
  <c r="I259" i="8" s="1"/>
  <c r="I261" i="8" s="1"/>
  <c r="K341" i="111" s="1"/>
  <c r="K323" i="111" s="1"/>
  <c r="E9" i="2"/>
  <c r="AG26" i="2"/>
  <c r="AC26" i="2"/>
  <c r="Y26" i="2"/>
  <c r="U26" i="2"/>
  <c r="Q26" i="2"/>
  <c r="M26" i="2"/>
  <c r="I26" i="2"/>
  <c r="E26" i="2"/>
  <c r="E34" i="2"/>
  <c r="AM101" i="2"/>
  <c r="W101" i="2"/>
  <c r="G101" i="2"/>
  <c r="AH98" i="2"/>
  <c r="AL174" i="8"/>
  <c r="AL171" i="8" s="1"/>
  <c r="AL175" i="8" s="1"/>
  <c r="AD174" i="8"/>
  <c r="AD171" i="8" s="1"/>
  <c r="AD175" i="8" s="1"/>
  <c r="V174" i="8"/>
  <c r="V171" i="8" s="1"/>
  <c r="N174" i="8"/>
  <c r="N171" i="8" s="1"/>
  <c r="AF194" i="8"/>
  <c r="AF191" i="8" s="1"/>
  <c r="AM18" i="8"/>
  <c r="W18" i="8"/>
  <c r="AJ16" i="8"/>
  <c r="X16" i="8"/>
  <c r="D16" i="8"/>
  <c r="AM42" i="2"/>
  <c r="AU560" i="111" s="1"/>
  <c r="AC116" i="2"/>
  <c r="Y116" i="2"/>
  <c r="U116" i="2"/>
  <c r="Q116" i="2"/>
  <c r="M116" i="2"/>
  <c r="I116" i="2"/>
  <c r="E116" i="2"/>
  <c r="AJ108" i="2"/>
  <c r="AF108" i="2"/>
  <c r="AG105" i="2" s="1"/>
  <c r="AB108" i="2"/>
  <c r="X108" i="2"/>
  <c r="Y105" i="2" s="1"/>
  <c r="T108" i="2"/>
  <c r="U105" i="2" s="1"/>
  <c r="P108" i="2"/>
  <c r="Q105" i="2" s="1"/>
  <c r="L108" i="2"/>
  <c r="M105" i="2" s="1"/>
  <c r="H108" i="2"/>
  <c r="I105" i="2" s="1"/>
  <c r="D108" i="2"/>
  <c r="E105" i="2" s="1"/>
  <c r="O78" i="4"/>
  <c r="AJ9" i="2"/>
  <c r="AJ259" i="8" s="1"/>
  <c r="AF9" i="2"/>
  <c r="AF259" i="8" s="1"/>
  <c r="AF261" i="8" s="1"/>
  <c r="AB9" i="2"/>
  <c r="AB259" i="8" s="1"/>
  <c r="X9" i="2"/>
  <c r="X259" i="8" s="1"/>
  <c r="X261" i="8" s="1"/>
  <c r="T9" i="2"/>
  <c r="T259" i="8" s="1"/>
  <c r="T262" i="8" s="1"/>
  <c r="P9" i="2"/>
  <c r="P259" i="8" s="1"/>
  <c r="P260" i="8" s="1"/>
  <c r="L9" i="2"/>
  <c r="L259" i="8" s="1"/>
  <c r="H9" i="2"/>
  <c r="H259" i="8" s="1"/>
  <c r="H261" i="8" s="1"/>
  <c r="D9" i="2"/>
  <c r="AJ26" i="2"/>
  <c r="AF26" i="2"/>
  <c r="AB26" i="2"/>
  <c r="X26" i="2"/>
  <c r="T26" i="2"/>
  <c r="P26" i="2"/>
  <c r="L26" i="2"/>
  <c r="H26" i="2"/>
  <c r="D26" i="2"/>
  <c r="AL101" i="2"/>
  <c r="AH101" i="2"/>
  <c r="AD101" i="2"/>
  <c r="Z101" i="2"/>
  <c r="V101" i="2"/>
  <c r="R101" i="2"/>
  <c r="N101" i="2"/>
  <c r="J101" i="2"/>
  <c r="F101" i="2"/>
  <c r="B101" i="2"/>
  <c r="AI101" i="2"/>
  <c r="S101" i="2"/>
  <c r="C101" i="2"/>
  <c r="AM92" i="2"/>
  <c r="AM93" i="2" s="1"/>
  <c r="AM94" i="2" s="1"/>
  <c r="AL97" i="2"/>
  <c r="AE92" i="2"/>
  <c r="AE93" i="2" s="1"/>
  <c r="AE94" i="2" s="1"/>
  <c r="AD97" i="2"/>
  <c r="V98" i="2"/>
  <c r="V97" i="2"/>
  <c r="R97" i="2"/>
  <c r="R98" i="2"/>
  <c r="N98" i="2"/>
  <c r="N97" i="2"/>
  <c r="J97" i="2"/>
  <c r="J98" i="2"/>
  <c r="F98" i="2"/>
  <c r="F97" i="2"/>
  <c r="C92" i="2"/>
  <c r="C93" i="2" s="1"/>
  <c r="B98" i="2"/>
  <c r="AD38" i="60"/>
  <c r="AK132" i="8"/>
  <c r="AG132" i="8"/>
  <c r="AG133" i="8" s="1"/>
  <c r="AC132" i="8"/>
  <c r="Y132" i="8"/>
  <c r="Y133" i="8" s="1"/>
  <c r="U137" i="8"/>
  <c r="B81" i="2"/>
  <c r="F76" i="58"/>
  <c r="E38" i="112" s="1"/>
  <c r="E267" i="112" s="1"/>
  <c r="M465" i="111" s="1"/>
  <c r="AL46" i="59"/>
  <c r="AH46" i="59"/>
  <c r="AD46" i="59"/>
  <c r="Z46" i="59"/>
  <c r="V46" i="59"/>
  <c r="L46" i="59"/>
  <c r="AH19" i="59"/>
  <c r="R19" i="59"/>
  <c r="B19" i="59"/>
  <c r="J38" i="60"/>
  <c r="J44" i="60" s="1"/>
  <c r="AJ137" i="8"/>
  <c r="AF137" i="8"/>
  <c r="AB132" i="8"/>
  <c r="AB134" i="8" s="1"/>
  <c r="X137" i="8"/>
  <c r="X138" i="8" s="1"/>
  <c r="T132" i="8"/>
  <c r="T133" i="8" s="1"/>
  <c r="AK66" i="58"/>
  <c r="AK67" i="58" s="1"/>
  <c r="AG66" i="58"/>
  <c r="AG67" i="58" s="1"/>
  <c r="AC66" i="58"/>
  <c r="AC67" i="58" s="1"/>
  <c r="V19" i="59"/>
  <c r="F19" i="59"/>
  <c r="AM123" i="8"/>
  <c r="G122" i="8"/>
  <c r="AI137" i="8"/>
  <c r="AI138" i="8" s="1"/>
  <c r="AE132" i="8"/>
  <c r="AA137" i="8"/>
  <c r="AA138" i="8" s="1"/>
  <c r="W137" i="8"/>
  <c r="AB98" i="2"/>
  <c r="P98" i="2"/>
  <c r="M97" i="2"/>
  <c r="AN66" i="58"/>
  <c r="AN67" i="58" s="1"/>
  <c r="AJ66" i="58"/>
  <c r="AJ67" i="58" s="1"/>
  <c r="AF66" i="58"/>
  <c r="AF67" i="58" s="1"/>
  <c r="Z19" i="59"/>
  <c r="J19" i="59"/>
  <c r="K6" i="60"/>
  <c r="K12" i="60" s="1"/>
  <c r="K18" i="60" s="1"/>
  <c r="AU25" i="60"/>
  <c r="AU6" i="60"/>
  <c r="AU12" i="60" s="1"/>
  <c r="AU18" i="60" s="1"/>
  <c r="D25" i="60"/>
  <c r="D38" i="60" s="1"/>
  <c r="AH38" i="60"/>
  <c r="R38" i="60"/>
  <c r="I25" i="60"/>
  <c r="I38" i="60" s="1"/>
  <c r="C25" i="60"/>
  <c r="N38" i="60"/>
  <c r="C36" i="60"/>
  <c r="O25" i="60"/>
  <c r="AL38" i="60"/>
  <c r="B12" i="60"/>
  <c r="B18" i="60" s="1"/>
  <c r="B38" i="60" s="1"/>
  <c r="B44" i="60" s="1"/>
  <c r="R110" i="58"/>
  <c r="M110" i="58"/>
  <c r="AI66" i="58"/>
  <c r="AI67" i="58" s="1"/>
  <c r="AA66" i="58"/>
  <c r="AA67" i="58" s="1"/>
  <c r="O110" i="58"/>
  <c r="AL98" i="2"/>
  <c r="AK98" i="2"/>
  <c r="AD98" i="2"/>
  <c r="U98" i="2"/>
  <c r="E98" i="2"/>
  <c r="AH97" i="2"/>
  <c r="Y97" i="2"/>
  <c r="I97" i="2"/>
  <c r="B97" i="2"/>
  <c r="AK78" i="4"/>
  <c r="AM78" i="4"/>
  <c r="AA78" i="4"/>
  <c r="W78" i="4"/>
  <c r="K78" i="4"/>
  <c r="G78" i="4"/>
  <c r="AM72" i="4"/>
  <c r="AE72" i="4"/>
  <c r="AA72" i="4"/>
  <c r="W72" i="4"/>
  <c r="S72" i="4"/>
  <c r="O72" i="4"/>
  <c r="K72" i="4"/>
  <c r="G72" i="4"/>
  <c r="AH72" i="4"/>
  <c r="Z72" i="4"/>
  <c r="B72" i="4"/>
  <c r="Z123" i="4"/>
  <c r="V123" i="4"/>
  <c r="R123" i="4"/>
  <c r="N123" i="4"/>
  <c r="J123" i="4"/>
  <c r="F123" i="4"/>
  <c r="B123" i="4"/>
  <c r="C72" i="4"/>
  <c r="AL78" i="4"/>
  <c r="AH78" i="4"/>
  <c r="R78" i="4"/>
  <c r="B78" i="4"/>
  <c r="V78" i="4"/>
  <c r="F78" i="4"/>
  <c r="AF78" i="4"/>
  <c r="P78" i="4"/>
  <c r="AL72" i="4"/>
  <c r="AD72" i="4"/>
  <c r="V72" i="4"/>
  <c r="N72" i="4"/>
  <c r="F72" i="4"/>
  <c r="F273" i="8"/>
  <c r="R194" i="8"/>
  <c r="R191" i="8" s="1"/>
  <c r="V194" i="8"/>
  <c r="V191" i="8" s="1"/>
  <c r="AL194" i="8"/>
  <c r="AL191" i="8" s="1"/>
  <c r="Z194" i="8"/>
  <c r="Z191" i="8" s="1"/>
  <c r="AK17" i="8"/>
  <c r="AG17" i="8"/>
  <c r="AC17" i="8"/>
  <c r="Y17" i="8"/>
  <c r="U17" i="8"/>
  <c r="M17" i="8"/>
  <c r="AJ18" i="8"/>
  <c r="AF18" i="8"/>
  <c r="AB18" i="8"/>
  <c r="X18" i="8"/>
  <c r="T18" i="8"/>
  <c r="P18" i="8"/>
  <c r="L18" i="8"/>
  <c r="H18" i="8"/>
  <c r="AF17" i="8"/>
  <c r="P17" i="8"/>
  <c r="M24" i="60"/>
  <c r="E122" i="4" s="1"/>
  <c r="E123" i="4" s="1"/>
  <c r="L25" i="60"/>
  <c r="V38" i="60"/>
  <c r="C18" i="60"/>
  <c r="W6" i="60"/>
  <c r="W12" i="60" s="1"/>
  <c r="W18" i="60" s="1"/>
  <c r="AM36" i="60"/>
  <c r="H18" i="60"/>
  <c r="AE6" i="60"/>
  <c r="AE12" i="60" s="1"/>
  <c r="AE18" i="60" s="1"/>
  <c r="AU36" i="60"/>
  <c r="F25" i="60"/>
  <c r="F38" i="60" s="1"/>
  <c r="S25" i="60"/>
  <c r="G18" i="60"/>
  <c r="G38" i="60" s="1"/>
  <c r="AQ6" i="60"/>
  <c r="O6" i="60"/>
  <c r="O12" i="60" s="1"/>
  <c r="O18" i="60" s="1"/>
  <c r="AA25" i="60"/>
  <c r="AM6" i="60"/>
  <c r="AM12" i="60" s="1"/>
  <c r="AM18" i="60" s="1"/>
  <c r="AA6" i="60"/>
  <c r="AA12" i="60" s="1"/>
  <c r="AA18" i="60" s="1"/>
  <c r="X8" i="60"/>
  <c r="P107" i="4" s="1"/>
  <c r="AL66" i="58"/>
  <c r="AL67" i="58" s="1"/>
  <c r="AH66" i="58"/>
  <c r="AH67" i="58" s="1"/>
  <c r="AD66" i="58"/>
  <c r="AD67" i="58" s="1"/>
  <c r="M46" i="58"/>
  <c r="L44" i="2" s="1"/>
  <c r="K110" i="58"/>
  <c r="N110" i="58"/>
  <c r="J110" i="58"/>
  <c r="I46" i="58"/>
  <c r="H44" i="2" s="1"/>
  <c r="Q110" i="58"/>
  <c r="I110" i="58"/>
  <c r="U46" i="58"/>
  <c r="T44" i="2" s="1"/>
  <c r="AK92" i="2"/>
  <c r="AK93" i="2" s="1"/>
  <c r="AK94" i="2" s="1"/>
  <c r="Q92" i="2"/>
  <c r="Q93" i="2" s="1"/>
  <c r="AG92" i="2"/>
  <c r="AG93" i="2" s="1"/>
  <c r="AG94" i="2" s="1"/>
  <c r="M92" i="2"/>
  <c r="M93" i="2" s="1"/>
  <c r="AJ98" i="2"/>
  <c r="Y98" i="2"/>
  <c r="T98" i="2"/>
  <c r="I98" i="2"/>
  <c r="D98" i="2"/>
  <c r="AC97" i="2"/>
  <c r="X97" i="2"/>
  <c r="AC92" i="2"/>
  <c r="AC93" i="2" s="1"/>
  <c r="AC94" i="2" s="1"/>
  <c r="I92" i="2"/>
  <c r="I93" i="2" s="1"/>
  <c r="AC98" i="2"/>
  <c r="X98" i="2"/>
  <c r="M98" i="2"/>
  <c r="Q97" i="2"/>
  <c r="E97" i="2"/>
  <c r="M81" i="2"/>
  <c r="I81" i="2"/>
  <c r="E81" i="2"/>
  <c r="AD122" i="8"/>
  <c r="Z127" i="8"/>
  <c r="AL122" i="8"/>
  <c r="AK99" i="4"/>
  <c r="AG99" i="4"/>
  <c r="AC99" i="4"/>
  <c r="Y99" i="4"/>
  <c r="U99" i="4"/>
  <c r="U67" i="2" s="1"/>
  <c r="V61" i="2" s="1"/>
  <c r="Q99" i="4"/>
  <c r="M99" i="4"/>
  <c r="I99" i="4"/>
  <c r="I67" i="2" s="1"/>
  <c r="J61" i="2" s="1"/>
  <c r="E99" i="4"/>
  <c r="E67" i="2" s="1"/>
  <c r="F61" i="2" s="1"/>
  <c r="AG78" i="4"/>
  <c r="AC78" i="4"/>
  <c r="Y78" i="4"/>
  <c r="U78" i="4"/>
  <c r="Q78" i="4"/>
  <c r="M78" i="4"/>
  <c r="I78" i="4"/>
  <c r="E78" i="4"/>
  <c r="AF72" i="4"/>
  <c r="AB72" i="4"/>
  <c r="X72" i="4"/>
  <c r="T72" i="4"/>
  <c r="P72" i="4"/>
  <c r="L72" i="4"/>
  <c r="H72" i="4"/>
  <c r="D72" i="4"/>
  <c r="H271" i="8"/>
  <c r="H273" i="8"/>
  <c r="AJ174" i="8"/>
  <c r="AJ171" i="8" s="1"/>
  <c r="AJ175" i="8" s="1"/>
  <c r="AF174" i="8"/>
  <c r="AF171" i="8" s="1"/>
  <c r="AF175" i="8" s="1"/>
  <c r="AB174" i="8"/>
  <c r="AB171" i="8" s="1"/>
  <c r="AB175" i="8" s="1"/>
  <c r="X174" i="8"/>
  <c r="X171" i="8" s="1"/>
  <c r="T174" i="8"/>
  <c r="T171" i="8" s="1"/>
  <c r="P174" i="8"/>
  <c r="P171" i="8" s="1"/>
  <c r="AD194" i="8"/>
  <c r="AD191" i="8" s="1"/>
  <c r="X194" i="8"/>
  <c r="X191" i="8" s="1"/>
  <c r="N194" i="8"/>
  <c r="N191" i="8" s="1"/>
  <c r="P36" i="27"/>
  <c r="L36" i="27"/>
  <c r="H36" i="27"/>
  <c r="D36" i="27"/>
  <c r="AF29" i="60"/>
  <c r="X128" i="4" s="1"/>
  <c r="AE36" i="60"/>
  <c r="AG39" i="60"/>
  <c r="W36" i="60"/>
  <c r="P29" i="60"/>
  <c r="H128" i="4" s="1"/>
  <c r="O36" i="60"/>
  <c r="AF22" i="60"/>
  <c r="X120" i="4" s="1"/>
  <c r="X49" i="2" s="1"/>
  <c r="AE25" i="60"/>
  <c r="AK5" i="60"/>
  <c r="Q5" i="60"/>
  <c r="AR28" i="60"/>
  <c r="AJ128" i="4" s="1"/>
  <c r="AQ36" i="60"/>
  <c r="T30" i="60"/>
  <c r="L129" i="4" s="1"/>
  <c r="S36" i="60"/>
  <c r="L28" i="60"/>
  <c r="D128" i="4" s="1"/>
  <c r="K36" i="60"/>
  <c r="AN22" i="60"/>
  <c r="AM25" i="60"/>
  <c r="Y24" i="60"/>
  <c r="X25" i="60"/>
  <c r="U23" i="60"/>
  <c r="T25" i="60"/>
  <c r="Q24" i="60"/>
  <c r="P25" i="60"/>
  <c r="AJ30" i="60"/>
  <c r="AB129" i="4" s="1"/>
  <c r="AI36" i="60"/>
  <c r="AB28" i="60"/>
  <c r="T128" i="4" s="1"/>
  <c r="AA36" i="60"/>
  <c r="Y28" i="60"/>
  <c r="AJ22" i="60"/>
  <c r="AB120" i="4" s="1"/>
  <c r="AB49" i="2" s="1"/>
  <c r="AI25" i="60"/>
  <c r="AC23" i="60"/>
  <c r="AB25" i="60"/>
  <c r="W25" i="60"/>
  <c r="K25" i="60"/>
  <c r="Y5" i="60"/>
  <c r="AO5" i="60"/>
  <c r="U5" i="60"/>
  <c r="L10" i="60"/>
  <c r="M10" i="60" s="1"/>
  <c r="AF8" i="60"/>
  <c r="X107" i="4" s="1"/>
  <c r="P8" i="60"/>
  <c r="H107" i="4" s="1"/>
  <c r="AI6" i="60"/>
  <c r="AI12" i="60" s="1"/>
  <c r="AI18" i="60" s="1"/>
  <c r="S6" i="60"/>
  <c r="S12" i="60" s="1"/>
  <c r="S18" i="60" s="1"/>
  <c r="P110" i="58"/>
  <c r="H110" i="58"/>
  <c r="L110" i="58"/>
  <c r="AM97" i="2"/>
  <c r="AM98" i="2"/>
  <c r="AI97" i="2"/>
  <c r="AJ92" i="2"/>
  <c r="AJ93" i="2" s="1"/>
  <c r="AJ94" i="2" s="1"/>
  <c r="AI98" i="2"/>
  <c r="AE97" i="2"/>
  <c r="AE98" i="2"/>
  <c r="AF92" i="2"/>
  <c r="AF93" i="2" s="1"/>
  <c r="AF94" i="2" s="1"/>
  <c r="AA97" i="2"/>
  <c r="AB92" i="2"/>
  <c r="AB93" i="2" s="1"/>
  <c r="AB94" i="2" s="1"/>
  <c r="AA98" i="2"/>
  <c r="W97" i="2"/>
  <c r="W98" i="2"/>
  <c r="X92" i="2"/>
  <c r="X93" i="2" s="1"/>
  <c r="X94" i="2" s="1"/>
  <c r="S97" i="2"/>
  <c r="T92" i="2"/>
  <c r="T93" i="2" s="1"/>
  <c r="S98" i="2"/>
  <c r="O97" i="2"/>
  <c r="O98" i="2"/>
  <c r="P92" i="2"/>
  <c r="P93" i="2" s="1"/>
  <c r="K97" i="2"/>
  <c r="L92" i="2"/>
  <c r="L93" i="2" s="1"/>
  <c r="K98" i="2"/>
  <c r="G97" i="2"/>
  <c r="G98" i="2"/>
  <c r="H92" i="2"/>
  <c r="H93" i="2" s="1"/>
  <c r="C97" i="2"/>
  <c r="D92" i="2"/>
  <c r="D93" i="2" s="1"/>
  <c r="C98" i="2"/>
  <c r="AA92" i="2"/>
  <c r="AA93" i="2" s="1"/>
  <c r="AA94" i="2" s="1"/>
  <c r="W92" i="2"/>
  <c r="W93" i="2" s="1"/>
  <c r="W94" i="2" s="1"/>
  <c r="S92" i="2"/>
  <c r="S93" i="2" s="1"/>
  <c r="R93" i="2"/>
  <c r="O92" i="2"/>
  <c r="O93" i="2" s="1"/>
  <c r="N93" i="2"/>
  <c r="K92" i="2"/>
  <c r="K93" i="2" s="1"/>
  <c r="J93" i="2"/>
  <c r="G92" i="2"/>
  <c r="G93" i="2" s="1"/>
  <c r="F93" i="2"/>
  <c r="U93" i="2"/>
  <c r="E93" i="2"/>
  <c r="AF123" i="8"/>
  <c r="P127" i="8"/>
  <c r="L128" i="8"/>
  <c r="H123" i="8"/>
  <c r="M128" i="8"/>
  <c r="D122" i="8"/>
  <c r="AL132" i="8"/>
  <c r="AL133" i="8" s="1"/>
  <c r="AH132" i="8"/>
  <c r="AD137" i="8"/>
  <c r="AD139" i="8" s="1"/>
  <c r="Z137" i="8"/>
  <c r="Z139" i="8" s="1"/>
  <c r="AM137" i="8"/>
  <c r="AM139" i="8" s="1"/>
  <c r="AH117" i="8"/>
  <c r="Z117" i="8"/>
  <c r="AK117" i="8"/>
  <c r="U117" i="8"/>
  <c r="AK194" i="8"/>
  <c r="AK191" i="8" s="1"/>
  <c r="AG194" i="8"/>
  <c r="AG191" i="8" s="1"/>
  <c r="AC194" i="8"/>
  <c r="AC191" i="8" s="1"/>
  <c r="Y194" i="8"/>
  <c r="Y191" i="8" s="1"/>
  <c r="U194" i="8"/>
  <c r="U191" i="8" s="1"/>
  <c r="Q194" i="8"/>
  <c r="Q191" i="8" s="1"/>
  <c r="BQ16" i="8"/>
  <c r="BQ15" i="8" s="1"/>
  <c r="BQ163" i="2" s="1"/>
  <c r="BM16" i="8"/>
  <c r="BM15" i="8" s="1"/>
  <c r="BN16" i="8"/>
  <c r="BN11" i="8"/>
  <c r="BQ11" i="8"/>
  <c r="BQ10" i="8" s="1"/>
  <c r="BM338" i="8" s="1"/>
  <c r="BM11" i="8"/>
  <c r="BM10" i="8" s="1"/>
  <c r="BM148" i="8" s="1"/>
  <c r="BP16" i="8"/>
  <c r="BP15" i="8" s="1"/>
  <c r="BL16" i="8"/>
  <c r="BL15" i="8" s="1"/>
  <c r="BP11" i="8"/>
  <c r="BL11" i="8"/>
  <c r="AZ47" i="112"/>
  <c r="BO16" i="8"/>
  <c r="BO15" i="8" s="1"/>
  <c r="BO11" i="8"/>
  <c r="BO10" i="8" s="1"/>
  <c r="BO148" i="8" s="1"/>
  <c r="BG47" i="112"/>
  <c r="BC47" i="112"/>
  <c r="AG67" i="2" l="1"/>
  <c r="AH61" i="2" s="1"/>
  <c r="AJ67" i="2"/>
  <c r="AK61" i="2" s="1"/>
  <c r="AK67" i="2"/>
  <c r="AL61" i="2" s="1"/>
  <c r="Z67" i="2"/>
  <c r="AA61" i="2" s="1"/>
  <c r="AA67" i="2"/>
  <c r="AB61" i="2" s="1"/>
  <c r="AD67" i="2"/>
  <c r="AE61" i="2" s="1"/>
  <c r="AE67" i="2"/>
  <c r="AF61" i="2" s="1"/>
  <c r="Y138" i="4"/>
  <c r="G86" i="27" s="1"/>
  <c r="AH67" i="2"/>
  <c r="AI61" i="2" s="1"/>
  <c r="X67" i="2"/>
  <c r="Y61" i="2" s="1"/>
  <c r="AI67" i="2"/>
  <c r="AJ61" i="2" s="1"/>
  <c r="AM67" i="2"/>
  <c r="AN61" i="2" s="1"/>
  <c r="Y67" i="2"/>
  <c r="Z61" i="2" s="1"/>
  <c r="AL67" i="2"/>
  <c r="AM61" i="2" s="1"/>
  <c r="AB67" i="2"/>
  <c r="AC61" i="2" s="1"/>
  <c r="AK41" i="60"/>
  <c r="AF67" i="2"/>
  <c r="AG61" i="2" s="1"/>
  <c r="AN138" i="4"/>
  <c r="AI288" i="112"/>
  <c r="AG284" i="112"/>
  <c r="AI284" i="112"/>
  <c r="AO454" i="111"/>
  <c r="AG267" i="112"/>
  <c r="AI267" i="112"/>
  <c r="AG309" i="112"/>
  <c r="AG246" i="112"/>
  <c r="AI309" i="112"/>
  <c r="AI238" i="112"/>
  <c r="AQ438" i="111" s="1"/>
  <c r="AG296" i="112"/>
  <c r="AG302" i="112" s="1"/>
  <c r="AG238" i="112"/>
  <c r="AG239" i="112" s="1"/>
  <c r="AR271" i="112"/>
  <c r="AV271" i="112"/>
  <c r="AG21" i="2"/>
  <c r="AB66" i="112"/>
  <c r="AD66" i="112"/>
  <c r="AJ66" i="112"/>
  <c r="U66" i="112"/>
  <c r="AA66" i="112"/>
  <c r="AM66" i="112"/>
  <c r="Y66" i="112"/>
  <c r="AE66" i="112"/>
  <c r="Z66" i="112"/>
  <c r="AH66" i="112"/>
  <c r="V66" i="112"/>
  <c r="AC66" i="112"/>
  <c r="AI66" i="112"/>
  <c r="X66" i="112"/>
  <c r="AK66" i="112"/>
  <c r="AL66" i="112"/>
  <c r="AF66" i="112"/>
  <c r="W66" i="112"/>
  <c r="AG66" i="112"/>
  <c r="X15" i="76"/>
  <c r="X29" i="76"/>
  <c r="U95" i="11"/>
  <c r="W95" i="11"/>
  <c r="T95" i="11"/>
  <c r="S95" i="11"/>
  <c r="M95" i="11"/>
  <c r="T93" i="11"/>
  <c r="X93" i="11"/>
  <c r="X95" i="11"/>
  <c r="R95" i="11"/>
  <c r="L95" i="11"/>
  <c r="S93" i="11"/>
  <c r="W93" i="11"/>
  <c r="Q95" i="11"/>
  <c r="R93" i="11"/>
  <c r="V95" i="11"/>
  <c r="P95" i="11"/>
  <c r="J95" i="11"/>
  <c r="Q93" i="11"/>
  <c r="O95" i="11"/>
  <c r="V93" i="11"/>
  <c r="P93" i="11"/>
  <c r="N95" i="11"/>
  <c r="U93" i="11"/>
  <c r="O93" i="11"/>
  <c r="K95" i="11"/>
  <c r="AM309" i="112"/>
  <c r="AE288" i="112"/>
  <c r="AM247" i="112"/>
  <c r="AU448" i="111" s="1"/>
  <c r="AI246" i="112"/>
  <c r="AE284" i="112"/>
  <c r="AM296" i="112"/>
  <c r="AM297" i="112" s="1"/>
  <c r="AM238" i="112"/>
  <c r="AM454" i="111"/>
  <c r="AE267" i="112"/>
  <c r="AM465" i="111" s="1"/>
  <c r="AM288" i="112"/>
  <c r="AM241" i="112"/>
  <c r="AM242" i="112" s="1"/>
  <c r="AE309" i="112"/>
  <c r="AE247" i="112"/>
  <c r="AM448" i="111" s="1"/>
  <c r="AM284" i="112"/>
  <c r="AE246" i="112"/>
  <c r="AE238" i="112"/>
  <c r="AE239" i="112" s="1"/>
  <c r="AQ246" i="112"/>
  <c r="AM267" i="112"/>
  <c r="AU465" i="111" s="1"/>
  <c r="AE296" i="112"/>
  <c r="AE297" i="112" s="1"/>
  <c r="AE241" i="112"/>
  <c r="AE242" i="112" s="1"/>
  <c r="AU454" i="111"/>
  <c r="AM246" i="112"/>
  <c r="AE21" i="2"/>
  <c r="X56" i="76"/>
  <c r="X57" i="76" s="1"/>
  <c r="Z56" i="76"/>
  <c r="Z57" i="76" s="1"/>
  <c r="AD56" i="76"/>
  <c r="AD57" i="76" s="1"/>
  <c r="AF56" i="76"/>
  <c r="AF57" i="76" s="1"/>
  <c r="AH56" i="76"/>
  <c r="AH57" i="76" s="1"/>
  <c r="AE56" i="76"/>
  <c r="AE57" i="76" s="1"/>
  <c r="AC56" i="76"/>
  <c r="AC57" i="76" s="1"/>
  <c r="AA56" i="76"/>
  <c r="AA57" i="76" s="1"/>
  <c r="AI56" i="76"/>
  <c r="AI57" i="76" s="1"/>
  <c r="AG56" i="76"/>
  <c r="AG57" i="76" s="1"/>
  <c r="AB56" i="76"/>
  <c r="AB57" i="76" s="1"/>
  <c r="Y56" i="76"/>
  <c r="Y57" i="76" s="1"/>
  <c r="BM185" i="8"/>
  <c r="A11" i="76"/>
  <c r="A4" i="76"/>
  <c r="A8" i="76"/>
  <c r="AM21" i="2"/>
  <c r="AL21" i="2"/>
  <c r="X153" i="11"/>
  <c r="V153" i="11"/>
  <c r="U153" i="11"/>
  <c r="AP246" i="112"/>
  <c r="AT454" i="111"/>
  <c r="AL284" i="112"/>
  <c r="AL267" i="112"/>
  <c r="AL309" i="112"/>
  <c r="AL241" i="112"/>
  <c r="AP242" i="112" s="1"/>
  <c r="AL247" i="112"/>
  <c r="AT448" i="111" s="1"/>
  <c r="AL238" i="112"/>
  <c r="AP255" i="112" s="1"/>
  <c r="AL296" i="112"/>
  <c r="AL297" i="112" s="1"/>
  <c r="AL288" i="112"/>
  <c r="AI21" i="2"/>
  <c r="BN107" i="2"/>
  <c r="BM107" i="2"/>
  <c r="BM337" i="8"/>
  <c r="BM339" i="8"/>
  <c r="Y139" i="11"/>
  <c r="V12" i="112"/>
  <c r="X162" i="11"/>
  <c r="K12" i="112"/>
  <c r="AD158" i="11"/>
  <c r="AE158" i="11"/>
  <c r="V162" i="11"/>
  <c r="AF158" i="11"/>
  <c r="U152" i="11"/>
  <c r="AG158" i="11"/>
  <c r="U158" i="11"/>
  <c r="X152" i="11"/>
  <c r="V161" i="11"/>
  <c r="V159" i="11"/>
  <c r="AC158" i="11"/>
  <c r="U157" i="11"/>
  <c r="V152" i="11"/>
  <c r="X158" i="11"/>
  <c r="X157" i="11"/>
  <c r="AB158" i="11"/>
  <c r="U156" i="11"/>
  <c r="V157" i="11"/>
  <c r="X161" i="11"/>
  <c r="X156" i="11"/>
  <c r="AA158" i="11"/>
  <c r="U159" i="11"/>
  <c r="V156" i="11"/>
  <c r="X159" i="11"/>
  <c r="U161" i="11"/>
  <c r="U162" i="11"/>
  <c r="V158" i="11"/>
  <c r="AH158" i="11"/>
  <c r="U259" i="8"/>
  <c r="U261" i="8" s="1"/>
  <c r="N341" i="111" s="1"/>
  <c r="N323" i="111" s="1"/>
  <c r="AC264" i="8"/>
  <c r="AC265" i="8" s="1"/>
  <c r="P347" i="111" s="1"/>
  <c r="AC259" i="8"/>
  <c r="AC262" i="8" s="1"/>
  <c r="P343" i="111" s="1"/>
  <c r="Y259" i="8"/>
  <c r="Y262" i="8" s="1"/>
  <c r="O343" i="111" s="1"/>
  <c r="AG264" i="8"/>
  <c r="AG265" i="8" s="1"/>
  <c r="Q347" i="111" s="1"/>
  <c r="AK9" i="2"/>
  <c r="AK264" i="8"/>
  <c r="AK267" i="8" s="1"/>
  <c r="R348" i="111" s="1"/>
  <c r="AG259" i="8"/>
  <c r="AG261" i="8" s="1"/>
  <c r="Q341" i="111" s="1"/>
  <c r="Q323" i="111" s="1"/>
  <c r="Q264" i="8"/>
  <c r="Q265" i="8" s="1"/>
  <c r="M347" i="111" s="1"/>
  <c r="U264" i="8"/>
  <c r="U267" i="8" s="1"/>
  <c r="N348" i="111" s="1"/>
  <c r="Q259" i="8"/>
  <c r="Q261" i="8" s="1"/>
  <c r="M341" i="111" s="1"/>
  <c r="M323" i="111" s="1"/>
  <c r="Y264" i="8"/>
  <c r="Y265" i="8" s="1"/>
  <c r="O347" i="111" s="1"/>
  <c r="AR25" i="60"/>
  <c r="AO28" i="60"/>
  <c r="AG128" i="4" s="1"/>
  <c r="AS14" i="60"/>
  <c r="AK112" i="4" s="1"/>
  <c r="J67" i="27" s="1"/>
  <c r="AN36" i="60"/>
  <c r="AE51" i="2"/>
  <c r="AE50" i="2"/>
  <c r="AA19" i="58"/>
  <c r="AA22" i="58" s="1"/>
  <c r="W19" i="58"/>
  <c r="W22" i="58" s="1"/>
  <c r="AE19" i="58"/>
  <c r="AE22" i="58" s="1"/>
  <c r="X19" i="58"/>
  <c r="X22" i="58" s="1"/>
  <c r="X131" i="4"/>
  <c r="X132" i="4" s="1"/>
  <c r="AB19" i="58"/>
  <c r="AB22" i="58" s="1"/>
  <c r="AC19" i="58"/>
  <c r="AC22" i="58" s="1"/>
  <c r="AK13" i="60"/>
  <c r="AJ19" i="58"/>
  <c r="AJ22" i="58" s="1"/>
  <c r="AP38" i="60"/>
  <c r="AI123" i="4"/>
  <c r="AM65" i="2"/>
  <c r="AM70" i="2" s="1"/>
  <c r="AM318" i="112" s="1"/>
  <c r="AG13" i="60"/>
  <c r="AM19" i="59"/>
  <c r="AL19" i="59"/>
  <c r="AI132" i="4"/>
  <c r="AM49" i="2"/>
  <c r="F69" i="27"/>
  <c r="AE123" i="4"/>
  <c r="AE132" i="4"/>
  <c r="AF120" i="4"/>
  <c r="AF49" i="2" s="1"/>
  <c r="AK120" i="4"/>
  <c r="AW21" i="60"/>
  <c r="AO119" i="4" s="1"/>
  <c r="AN119" i="4"/>
  <c r="AN120" i="4"/>
  <c r="AN49" i="2" s="1"/>
  <c r="AW28" i="60"/>
  <c r="AO128" i="4" s="1"/>
  <c r="AN128" i="4"/>
  <c r="AN129" i="4"/>
  <c r="AN65" i="2" s="1"/>
  <c r="AN70" i="2" s="1"/>
  <c r="AN73" i="2" s="1"/>
  <c r="AN127" i="4"/>
  <c r="AJ107" i="4"/>
  <c r="AJ38" i="2" s="1"/>
  <c r="AJ39" i="2" s="1"/>
  <c r="AO13" i="60"/>
  <c r="AF111" i="4"/>
  <c r="AO14" i="60"/>
  <c r="AG112" i="4" s="1"/>
  <c r="AF112" i="4"/>
  <c r="AO15" i="60"/>
  <c r="AG113" i="4" s="1"/>
  <c r="AF113" i="4"/>
  <c r="AO16" i="60"/>
  <c r="AG114" i="4" s="1"/>
  <c r="AF114" i="4"/>
  <c r="AO17" i="60"/>
  <c r="AG115" i="4" s="1"/>
  <c r="AF115" i="4"/>
  <c r="AS13" i="60"/>
  <c r="AK111" i="4" s="1"/>
  <c r="AJ111" i="4"/>
  <c r="AS15" i="60"/>
  <c r="AK113" i="4" s="1"/>
  <c r="AJ113" i="4"/>
  <c r="AS16" i="60"/>
  <c r="AK114" i="4" s="1"/>
  <c r="AJ114" i="4"/>
  <c r="AS17" i="60"/>
  <c r="AK115" i="4" s="1"/>
  <c r="AJ115" i="4"/>
  <c r="AO21" i="60"/>
  <c r="AG119" i="4" s="1"/>
  <c r="AF119" i="4"/>
  <c r="AF42" i="2" s="1"/>
  <c r="AN560" i="111" s="1"/>
  <c r="AO23" i="60"/>
  <c r="AF121" i="4"/>
  <c r="AF43" i="2" s="1"/>
  <c r="AS21" i="60"/>
  <c r="AK119" i="4" s="1"/>
  <c r="AJ119" i="4"/>
  <c r="AJ120" i="4"/>
  <c r="AJ49" i="2" s="1"/>
  <c r="AO30" i="60"/>
  <c r="AF129" i="4"/>
  <c r="AF65" i="2" s="1"/>
  <c r="AF70" i="2" s="1"/>
  <c r="AF318" i="112" s="1"/>
  <c r="AS30" i="60"/>
  <c r="AJ129" i="4"/>
  <c r="AJ65" i="2" s="1"/>
  <c r="AJ70" i="2" s="1"/>
  <c r="AJ318" i="112" s="1"/>
  <c r="AO33" i="60"/>
  <c r="AF127" i="4"/>
  <c r="AS33" i="60"/>
  <c r="AJ127" i="4"/>
  <c r="AO41" i="60"/>
  <c r="AF138" i="4"/>
  <c r="AS41" i="60"/>
  <c r="AJ138" i="4"/>
  <c r="BJ164" i="2"/>
  <c r="BJ126" i="2"/>
  <c r="BJ101" i="112"/>
  <c r="BJ178" i="112"/>
  <c r="BJ177" i="112" s="1"/>
  <c r="E69" i="27"/>
  <c r="AQ12" i="60"/>
  <c r="AQ18" i="60" s="1"/>
  <c r="CV10" i="112"/>
  <c r="D69" i="27"/>
  <c r="H69" i="27"/>
  <c r="C69" i="27"/>
  <c r="G69" i="27"/>
  <c r="BU148" i="8"/>
  <c r="BU147" i="8" s="1"/>
  <c r="BS148" i="8"/>
  <c r="BS147" i="8" s="1"/>
  <c r="BT148" i="8"/>
  <c r="BT149" i="8" s="1"/>
  <c r="BR148" i="8"/>
  <c r="BR147" i="8" s="1"/>
  <c r="M154" i="11"/>
  <c r="M27" i="76" s="1"/>
  <c r="N154" i="11"/>
  <c r="N27" i="76" s="1"/>
  <c r="M156" i="11"/>
  <c r="N156" i="11"/>
  <c r="M158" i="11"/>
  <c r="N158" i="11"/>
  <c r="AS10" i="60"/>
  <c r="AW10" i="60"/>
  <c r="AO10" i="60"/>
  <c r="AJ21" i="2"/>
  <c r="AH21" i="2"/>
  <c r="N21" i="2"/>
  <c r="P21" i="2"/>
  <c r="Z21" i="2"/>
  <c r="AB21" i="2"/>
  <c r="AF21" i="2"/>
  <c r="AD21" i="2"/>
  <c r="R21" i="2"/>
  <c r="X21" i="2"/>
  <c r="V21" i="2"/>
  <c r="AK20" i="2"/>
  <c r="AK21" i="2"/>
  <c r="BY147" i="8"/>
  <c r="BY149" i="8"/>
  <c r="BV147" i="8"/>
  <c r="BV149" i="8"/>
  <c r="BX174" i="8"/>
  <c r="BX172" i="8"/>
  <c r="BR174" i="8"/>
  <c r="BR172" i="8"/>
  <c r="BX149" i="8"/>
  <c r="BX147" i="8"/>
  <c r="BW174" i="8"/>
  <c r="BW172" i="8"/>
  <c r="BU173" i="8"/>
  <c r="BS174" i="8"/>
  <c r="BS172" i="8"/>
  <c r="BQ148" i="8"/>
  <c r="BQ160" i="8" s="1"/>
  <c r="BY173" i="8"/>
  <c r="BT174" i="8"/>
  <c r="BT172" i="8"/>
  <c r="BW149" i="8"/>
  <c r="BW147" i="8"/>
  <c r="BV174" i="8"/>
  <c r="BV172" i="8"/>
  <c r="BQ173" i="8"/>
  <c r="CW142" i="112"/>
  <c r="CL179" i="112"/>
  <c r="CV179" i="112"/>
  <c r="CV142" i="112"/>
  <c r="CV101" i="112"/>
  <c r="CL173" i="8"/>
  <c r="CL185" i="8" s="1"/>
  <c r="CN173" i="8"/>
  <c r="CN185" i="8" s="1"/>
  <c r="CM173" i="8"/>
  <c r="CM185" i="8" s="1"/>
  <c r="CV77" i="112"/>
  <c r="CW10" i="112"/>
  <c r="CV178" i="112"/>
  <c r="CQ178" i="112"/>
  <c r="CN101" i="112"/>
  <c r="CU101" i="112"/>
  <c r="CL178" i="112"/>
  <c r="CP173" i="8"/>
  <c r="CP172" i="8" s="1"/>
  <c r="CO47" i="112"/>
  <c r="CM180" i="112"/>
  <c r="CM47" i="112"/>
  <c r="CL164" i="2"/>
  <c r="CL126" i="2"/>
  <c r="CT178" i="112"/>
  <c r="CS178" i="112"/>
  <c r="CR126" i="2"/>
  <c r="CR164" i="2"/>
  <c r="CR163" i="2"/>
  <c r="CR125" i="2"/>
  <c r="CQ47" i="112"/>
  <c r="CQ163" i="2"/>
  <c r="CQ125" i="2"/>
  <c r="CW47" i="112"/>
  <c r="CP178" i="112"/>
  <c r="CO163" i="2"/>
  <c r="CO125" i="2"/>
  <c r="CL47" i="112"/>
  <c r="CN164" i="2"/>
  <c r="CN126" i="2"/>
  <c r="CU126" i="2"/>
  <c r="CU164" i="2"/>
  <c r="CS164" i="2"/>
  <c r="CS126" i="2"/>
  <c r="CV163" i="2"/>
  <c r="CV125" i="2"/>
  <c r="CN180" i="112"/>
  <c r="CM178" i="112"/>
  <c r="CU47" i="112"/>
  <c r="CU149" i="8"/>
  <c r="CT173" i="8"/>
  <c r="CT172" i="8" s="1"/>
  <c r="CR47" i="112"/>
  <c r="CR149" i="8"/>
  <c r="CQ164" i="2"/>
  <c r="CQ126" i="2"/>
  <c r="CV47" i="112"/>
  <c r="CW164" i="2"/>
  <c r="CW126" i="2"/>
  <c r="CK173" i="8"/>
  <c r="CQ180" i="112"/>
  <c r="CP47" i="112"/>
  <c r="CP164" i="2"/>
  <c r="CP126" i="2"/>
  <c r="CN181" i="112"/>
  <c r="CT126" i="2"/>
  <c r="CT164" i="2"/>
  <c r="CS101" i="112"/>
  <c r="CR101" i="112"/>
  <c r="CW163" i="2"/>
  <c r="CW125" i="2"/>
  <c r="CW185" i="8"/>
  <c r="CW174" i="8"/>
  <c r="CW172" i="8"/>
  <c r="CL180" i="112"/>
  <c r="CQ179" i="112"/>
  <c r="CP163" i="2"/>
  <c r="CP125" i="2"/>
  <c r="CP101" i="112"/>
  <c r="CO126" i="2"/>
  <c r="CO164" i="2"/>
  <c r="CO173" i="8"/>
  <c r="CO185" i="8" s="1"/>
  <c r="CN163" i="2"/>
  <c r="CN125" i="2"/>
  <c r="CM179" i="112"/>
  <c r="CL163" i="2"/>
  <c r="CL125" i="2"/>
  <c r="CT165" i="8"/>
  <c r="CT47" i="112"/>
  <c r="CS47" i="112"/>
  <c r="CS147" i="8"/>
  <c r="CS173" i="8"/>
  <c r="CS174" i="8" s="1"/>
  <c r="CT181" i="112"/>
  <c r="CW178" i="112"/>
  <c r="CW101" i="112"/>
  <c r="CW77" i="112"/>
  <c r="CV185" i="8"/>
  <c r="CV172" i="8"/>
  <c r="CV174" i="8"/>
  <c r="CL181" i="112"/>
  <c r="CO178" i="112"/>
  <c r="CN178" i="112"/>
  <c r="CM163" i="2"/>
  <c r="CM125" i="2"/>
  <c r="CN47" i="112"/>
  <c r="CM164" i="2"/>
  <c r="CM126" i="2"/>
  <c r="CU178" i="112"/>
  <c r="CU163" i="2"/>
  <c r="CU125" i="2"/>
  <c r="CT125" i="2"/>
  <c r="CT163" i="2"/>
  <c r="CR178" i="112"/>
  <c r="CS125" i="2"/>
  <c r="CS163" i="2"/>
  <c r="CV126" i="2"/>
  <c r="CV164" i="2"/>
  <c r="CO142" i="112"/>
  <c r="CO10" i="112"/>
  <c r="CN77" i="112"/>
  <c r="CP10" i="112"/>
  <c r="CT10" i="112"/>
  <c r="CS10" i="112"/>
  <c r="CU10" i="112"/>
  <c r="CQ77" i="112"/>
  <c r="CT77" i="112"/>
  <c r="CS77" i="112"/>
  <c r="CM77" i="112"/>
  <c r="CT142" i="112"/>
  <c r="CP142" i="112"/>
  <c r="CR142" i="112"/>
  <c r="CL142" i="112"/>
  <c r="CU142" i="112"/>
  <c r="CN10" i="112"/>
  <c r="CR10" i="112"/>
  <c r="CN142" i="112"/>
  <c r="CO77" i="112"/>
  <c r="CM10" i="112"/>
  <c r="CU77" i="112"/>
  <c r="CQ142" i="112"/>
  <c r="CP77" i="112"/>
  <c r="CL10" i="112"/>
  <c r="CM142" i="112"/>
  <c r="CS142" i="112"/>
  <c r="CR77" i="112"/>
  <c r="CQ10" i="112"/>
  <c r="CL77" i="112"/>
  <c r="CP179" i="112"/>
  <c r="CP180" i="112"/>
  <c r="CO181" i="112"/>
  <c r="CS181" i="112"/>
  <c r="CW181" i="112"/>
  <c r="CR181" i="112"/>
  <c r="CM101" i="112"/>
  <c r="CT180" i="112"/>
  <c r="CQ101" i="112"/>
  <c r="CO180" i="112"/>
  <c r="CS179" i="112"/>
  <c r="CW179" i="112"/>
  <c r="CP181" i="112"/>
  <c r="CM181" i="112"/>
  <c r="CO101" i="112"/>
  <c r="CV181" i="112"/>
  <c r="CU179" i="112"/>
  <c r="CL101" i="112"/>
  <c r="CV180" i="112"/>
  <c r="CT101" i="112"/>
  <c r="CU181" i="112"/>
  <c r="CR179" i="112"/>
  <c r="CU180" i="112"/>
  <c r="CS180" i="112"/>
  <c r="CW180" i="112"/>
  <c r="CQ181" i="112"/>
  <c r="CO179" i="112"/>
  <c r="CN179" i="112"/>
  <c r="CT179" i="112"/>
  <c r="CR180" i="112"/>
  <c r="CR174" i="8"/>
  <c r="CR172" i="8"/>
  <c r="CR185" i="8"/>
  <c r="CU185" i="8"/>
  <c r="CU174" i="8"/>
  <c r="CU172" i="8"/>
  <c r="CQ172" i="8"/>
  <c r="CQ174" i="8"/>
  <c r="CQ185" i="8"/>
  <c r="BG177" i="112"/>
  <c r="BG163" i="2"/>
  <c r="BG125" i="2"/>
  <c r="BG164" i="2"/>
  <c r="BG126" i="2"/>
  <c r="AM209" i="112"/>
  <c r="AQ210" i="112" s="1"/>
  <c r="AM244" i="8"/>
  <c r="AL125" i="112"/>
  <c r="AP126" i="112" s="1"/>
  <c r="AL238" i="8"/>
  <c r="AL60" i="112"/>
  <c r="AL61" i="112" s="1"/>
  <c r="AL232" i="8"/>
  <c r="AM125" i="112"/>
  <c r="AM126" i="112" s="1"/>
  <c r="AM238" i="8"/>
  <c r="AL209" i="112"/>
  <c r="AL245" i="8" s="1"/>
  <c r="AL244" i="8"/>
  <c r="AM60" i="112"/>
  <c r="AM61" i="112" s="1"/>
  <c r="AM232" i="8"/>
  <c r="G12" i="112"/>
  <c r="AC12" i="112"/>
  <c r="H12" i="112"/>
  <c r="W12" i="112"/>
  <c r="N12" i="112"/>
  <c r="AG144" i="112"/>
  <c r="J12" i="112"/>
  <c r="AC144" i="112"/>
  <c r="P12" i="112"/>
  <c r="AD143" i="112"/>
  <c r="AD144" i="112" s="1"/>
  <c r="S143" i="112"/>
  <c r="W143" i="112"/>
  <c r="AI143" i="112"/>
  <c r="AK144" i="112"/>
  <c r="AO144" i="112"/>
  <c r="AP144" i="112"/>
  <c r="AJ144" i="112"/>
  <c r="AN144" i="112"/>
  <c r="T12" i="112"/>
  <c r="V143" i="112"/>
  <c r="E31" i="2"/>
  <c r="Z12" i="112"/>
  <c r="U12" i="112"/>
  <c r="AH143" i="112"/>
  <c r="X143" i="112"/>
  <c r="X144" i="112" s="1"/>
  <c r="AA143" i="112"/>
  <c r="Y144" i="112"/>
  <c r="AF144" i="112"/>
  <c r="AB12" i="112"/>
  <c r="S12" i="112"/>
  <c r="M12" i="112"/>
  <c r="AG12" i="112"/>
  <c r="AK12" i="112"/>
  <c r="AD12" i="112"/>
  <c r="AA12" i="112"/>
  <c r="AH12" i="112"/>
  <c r="AL12" i="112"/>
  <c r="Y12" i="112"/>
  <c r="O12" i="112"/>
  <c r="I12" i="112"/>
  <c r="AF12" i="112"/>
  <c r="AJ12" i="112"/>
  <c r="R12" i="112"/>
  <c r="AE12" i="112"/>
  <c r="AI12" i="112"/>
  <c r="Q12" i="112"/>
  <c r="X12" i="112"/>
  <c r="L12" i="112"/>
  <c r="AE191" i="8"/>
  <c r="BJ47" i="112"/>
  <c r="AK26" i="2"/>
  <c r="W124" i="94"/>
  <c r="BO160" i="8"/>
  <c r="BM160" i="8"/>
  <c r="AK11" i="2"/>
  <c r="M6" i="60"/>
  <c r="M12" i="60" s="1"/>
  <c r="M18" i="60" s="1"/>
  <c r="AY111" i="112"/>
  <c r="AY116" i="112" s="1"/>
  <c r="AY117" i="112" s="1"/>
  <c r="AY178" i="8" s="1"/>
  <c r="W123" i="94"/>
  <c r="W119" i="94"/>
  <c r="W117" i="94"/>
  <c r="AJ6" i="60"/>
  <c r="AJ12" i="60" s="1"/>
  <c r="AJ18" i="60" s="1"/>
  <c r="AE117" i="94"/>
  <c r="AJ118" i="94"/>
  <c r="AC8" i="60"/>
  <c r="U107" i="4" s="1"/>
  <c r="N152" i="11" s="1"/>
  <c r="AJ121" i="94"/>
  <c r="AB6" i="60"/>
  <c r="AB12" i="60" s="1"/>
  <c r="AB18" i="60" s="1"/>
  <c r="T117" i="94"/>
  <c r="AK8" i="60"/>
  <c r="AC107" i="4" s="1"/>
  <c r="T121" i="94"/>
  <c r="AN6" i="60"/>
  <c r="AN12" i="60" s="1"/>
  <c r="AN18" i="60" s="1"/>
  <c r="BC179" i="112"/>
  <c r="BC181" i="112"/>
  <c r="BC180" i="112"/>
  <c r="AC431" i="111"/>
  <c r="AA431" i="111"/>
  <c r="CE77" i="112"/>
  <c r="BC126" i="2"/>
  <c r="BC164" i="2"/>
  <c r="BC178" i="112"/>
  <c r="BC113" i="112"/>
  <c r="BN10" i="8"/>
  <c r="BN148" i="8" s="1"/>
  <c r="AH191" i="8"/>
  <c r="AI191" i="8"/>
  <c r="O191" i="8"/>
  <c r="BL10" i="8"/>
  <c r="BL148" i="8" s="1"/>
  <c r="BP10" i="8"/>
  <c r="BP148" i="8" s="1"/>
  <c r="S191" i="8"/>
  <c r="BN15" i="8"/>
  <c r="BN125" i="2" s="1"/>
  <c r="S171" i="8"/>
  <c r="O171" i="8"/>
  <c r="BB180" i="112"/>
  <c r="BA180" i="112"/>
  <c r="BB178" i="112"/>
  <c r="BA101" i="112"/>
  <c r="BE113" i="112" s="1"/>
  <c r="BB101" i="112"/>
  <c r="BA178" i="112"/>
  <c r="AO8" i="60"/>
  <c r="AC537" i="111"/>
  <c r="AC538" i="111" s="1"/>
  <c r="AS537" i="111"/>
  <c r="W537" i="111"/>
  <c r="W538" i="111" s="1"/>
  <c r="AM537" i="111"/>
  <c r="AJ537" i="111"/>
  <c r="W285" i="112"/>
  <c r="W209" i="8" s="1"/>
  <c r="G285" i="112"/>
  <c r="Y285" i="112"/>
  <c r="Y209" i="8" s="1"/>
  <c r="AO498" i="111"/>
  <c r="AQ498" i="111"/>
  <c r="Z537" i="111"/>
  <c r="H42" i="2"/>
  <c r="P560" i="111" s="1"/>
  <c r="Q42" i="2"/>
  <c r="Y560" i="111" s="1"/>
  <c r="AL537" i="111"/>
  <c r="G42" i="2"/>
  <c r="O560" i="111" s="1"/>
  <c r="U8" i="60"/>
  <c r="M107" i="4" s="1"/>
  <c r="AH537" i="111"/>
  <c r="AA42" i="2"/>
  <c r="AI560" i="111" s="1"/>
  <c r="AA537" i="111"/>
  <c r="AA538" i="111" s="1"/>
  <c r="AQ537" i="111"/>
  <c r="AQ538" i="111" s="1"/>
  <c r="AN537" i="111"/>
  <c r="O285" i="112"/>
  <c r="AL498" i="111"/>
  <c r="AN498" i="111"/>
  <c r="AM498" i="111"/>
  <c r="AR498" i="111"/>
  <c r="AE142" i="112"/>
  <c r="BX10" i="112"/>
  <c r="AD537" i="111"/>
  <c r="T6" i="60"/>
  <c r="T12" i="60" s="1"/>
  <c r="T18" i="60" s="1"/>
  <c r="AP537" i="111"/>
  <c r="D42" i="2"/>
  <c r="L560" i="111" s="1"/>
  <c r="AK537" i="111"/>
  <c r="AK538" i="111" s="1"/>
  <c r="AB537" i="111"/>
  <c r="AB538" i="111" s="1"/>
  <c r="AR537" i="111"/>
  <c r="K285" i="112"/>
  <c r="S285" i="112"/>
  <c r="AA285" i="112"/>
  <c r="AA209" i="8" s="1"/>
  <c r="AI285" i="112"/>
  <c r="AI209" i="8" s="1"/>
  <c r="E285" i="112"/>
  <c r="L285" i="112"/>
  <c r="T285" i="112"/>
  <c r="M285" i="112"/>
  <c r="U285" i="112"/>
  <c r="U209" i="8" s="1"/>
  <c r="AC285" i="112"/>
  <c r="AC209" i="8" s="1"/>
  <c r="C285" i="112"/>
  <c r="AK498" i="111"/>
  <c r="AS498" i="111"/>
  <c r="AT498" i="111"/>
  <c r="AX503" i="111" s="1"/>
  <c r="AI498" i="111"/>
  <c r="AJ142" i="112"/>
  <c r="H70" i="27"/>
  <c r="Y537" i="111"/>
  <c r="Y538" i="111" s="1"/>
  <c r="AO537" i="111"/>
  <c r="AI537" i="111"/>
  <c r="AI538" i="111" s="1"/>
  <c r="AF537" i="111"/>
  <c r="B285" i="112"/>
  <c r="H285" i="112"/>
  <c r="Q285" i="112"/>
  <c r="AG285" i="112"/>
  <c r="AG209" i="8" s="1"/>
  <c r="AH498" i="111"/>
  <c r="AP498" i="111"/>
  <c r="AU498" i="111"/>
  <c r="AJ498" i="111"/>
  <c r="T142" i="112"/>
  <c r="AB142" i="112"/>
  <c r="AZ125" i="2"/>
  <c r="AZ163" i="2"/>
  <c r="AZ164" i="2"/>
  <c r="AZ126" i="2"/>
  <c r="AZ101" i="112"/>
  <c r="BD113" i="112" s="1"/>
  <c r="AZ178" i="112"/>
  <c r="AZ177" i="112" s="1"/>
  <c r="AB465" i="111"/>
  <c r="AG465" i="111"/>
  <c r="W465" i="111"/>
  <c r="AI448" i="111"/>
  <c r="AB448" i="111"/>
  <c r="AG448" i="111"/>
  <c r="AO465" i="111"/>
  <c r="Q462" i="111"/>
  <c r="W448" i="111"/>
  <c r="AE465" i="111"/>
  <c r="AC465" i="111"/>
  <c r="Y465" i="111"/>
  <c r="AO448" i="111"/>
  <c r="AA448" i="111"/>
  <c r="AI465" i="111"/>
  <c r="AA465" i="111"/>
  <c r="AE448" i="111"/>
  <c r="AQ448" i="111"/>
  <c r="AC448" i="111"/>
  <c r="AK465" i="111"/>
  <c r="Y448" i="111"/>
  <c r="AK448" i="111"/>
  <c r="BN127" i="8"/>
  <c r="BN138" i="8"/>
  <c r="BN116" i="8"/>
  <c r="BN133" i="8"/>
  <c r="BN122" i="8"/>
  <c r="BN111" i="8"/>
  <c r="BN110" i="8" s="1"/>
  <c r="BL127" i="8"/>
  <c r="BL138" i="8"/>
  <c r="BL116" i="8"/>
  <c r="BL133" i="8"/>
  <c r="BL122" i="8"/>
  <c r="BP138" i="8"/>
  <c r="BP127" i="8"/>
  <c r="BP116" i="8"/>
  <c r="BP133" i="8"/>
  <c r="BP122" i="8"/>
  <c r="BP111" i="8"/>
  <c r="BP112" i="8" s="1"/>
  <c r="BO127" i="8"/>
  <c r="BO138" i="8"/>
  <c r="BO116" i="8"/>
  <c r="BO122" i="8"/>
  <c r="BO111" i="8"/>
  <c r="BO112" i="8" s="1"/>
  <c r="CC10" i="112"/>
  <c r="BZ77" i="112"/>
  <c r="CJ10" i="112"/>
  <c r="CG77" i="112"/>
  <c r="BR142" i="112"/>
  <c r="BW142" i="112"/>
  <c r="BX77" i="112"/>
  <c r="BU77" i="112"/>
  <c r="CH10" i="112"/>
  <c r="BW77" i="112"/>
  <c r="BR77" i="112"/>
  <c r="CC77" i="112"/>
  <c r="CD10" i="112"/>
  <c r="BS180" i="112"/>
  <c r="CK10" i="112"/>
  <c r="CI10" i="112"/>
  <c r="BU10" i="112"/>
  <c r="CI180" i="112"/>
  <c r="CA181" i="112"/>
  <c r="BW181" i="112"/>
  <c r="BS181" i="112"/>
  <c r="CB142" i="112"/>
  <c r="BS178" i="112"/>
  <c r="BU142" i="112"/>
  <c r="CD142" i="112"/>
  <c r="CK142" i="112"/>
  <c r="CE142" i="112"/>
  <c r="CF179" i="112"/>
  <c r="CA180" i="112"/>
  <c r="BX181" i="112"/>
  <c r="CK179" i="112"/>
  <c r="BU178" i="112"/>
  <c r="CJ180" i="112"/>
  <c r="BZ179" i="112"/>
  <c r="CF142" i="112"/>
  <c r="BR10" i="112"/>
  <c r="CI181" i="112"/>
  <c r="BT178" i="112"/>
  <c r="BS179" i="112"/>
  <c r="BT179" i="112"/>
  <c r="BU181" i="112"/>
  <c r="CK180" i="112"/>
  <c r="BY179" i="112"/>
  <c r="BT142" i="112"/>
  <c r="CC180" i="112"/>
  <c r="BW179" i="112"/>
  <c r="BS77" i="112"/>
  <c r="BY142" i="112"/>
  <c r="CA10" i="112"/>
  <c r="BV101" i="112"/>
  <c r="BV142" i="112"/>
  <c r="CJ181" i="112"/>
  <c r="CB181" i="112"/>
  <c r="BX180" i="112"/>
  <c r="CJ179" i="112"/>
  <c r="CG179" i="112"/>
  <c r="CH77" i="112"/>
  <c r="CG181" i="112"/>
  <c r="BY77" i="112"/>
  <c r="BU101" i="112"/>
  <c r="BZ181" i="112"/>
  <c r="CK125" i="2"/>
  <c r="CK163" i="2"/>
  <c r="CK147" i="8"/>
  <c r="CK47" i="112"/>
  <c r="CI125" i="2"/>
  <c r="CI163" i="2"/>
  <c r="CD125" i="2"/>
  <c r="CD163" i="2"/>
  <c r="CD47" i="112"/>
  <c r="BZ163" i="2"/>
  <c r="BZ125" i="2"/>
  <c r="BW163" i="2"/>
  <c r="BW125" i="2"/>
  <c r="BV125" i="2"/>
  <c r="BV163" i="2"/>
  <c r="BV47" i="112"/>
  <c r="BS125" i="2"/>
  <c r="BS163" i="2"/>
  <c r="CJ174" i="8"/>
  <c r="CJ185" i="8"/>
  <c r="CJ172" i="8"/>
  <c r="CD164" i="2"/>
  <c r="CD126" i="2"/>
  <c r="CB172" i="8"/>
  <c r="CB185" i="8"/>
  <c r="CB174" i="8"/>
  <c r="BZ164" i="2"/>
  <c r="BZ126" i="2"/>
  <c r="BX164" i="2"/>
  <c r="BX126" i="2"/>
  <c r="BV126" i="2"/>
  <c r="BV164" i="2"/>
  <c r="CB10" i="112"/>
  <c r="BS185" i="8"/>
  <c r="BV77" i="112"/>
  <c r="CI142" i="112"/>
  <c r="CA142" i="112"/>
  <c r="BU180" i="112"/>
  <c r="CJ178" i="112"/>
  <c r="CJ101" i="112"/>
  <c r="CK101" i="112"/>
  <c r="CK178" i="112"/>
  <c r="CF181" i="112"/>
  <c r="CD180" i="112"/>
  <c r="CB180" i="112"/>
  <c r="CI179" i="112"/>
  <c r="CJ47" i="112"/>
  <c r="CI47" i="112"/>
  <c r="CG125" i="2"/>
  <c r="CG163" i="2"/>
  <c r="CF125" i="2"/>
  <c r="CF163" i="2"/>
  <c r="CB125" i="2"/>
  <c r="CB163" i="2"/>
  <c r="BX125" i="2"/>
  <c r="BX163" i="2"/>
  <c r="BR125" i="2"/>
  <c r="BR163" i="2"/>
  <c r="CK126" i="2"/>
  <c r="CK164" i="2"/>
  <c r="CI185" i="8"/>
  <c r="CI172" i="8"/>
  <c r="CI174" i="8"/>
  <c r="CH126" i="2"/>
  <c r="CH164" i="2"/>
  <c r="CF185" i="8"/>
  <c r="CF174" i="8"/>
  <c r="CF172" i="8"/>
  <c r="CE126" i="2"/>
  <c r="CE164" i="2"/>
  <c r="CA126" i="2"/>
  <c r="CA164" i="2"/>
  <c r="BW185" i="8"/>
  <c r="BW164" i="2"/>
  <c r="BW126" i="2"/>
  <c r="BU126" i="2"/>
  <c r="BU164" i="2"/>
  <c r="CK77" i="112"/>
  <c r="BS126" i="2"/>
  <c r="BS164" i="2"/>
  <c r="CG10" i="112"/>
  <c r="BZ10" i="112"/>
  <c r="CI101" i="112"/>
  <c r="CI178" i="112"/>
  <c r="CH180" i="112"/>
  <c r="CF178" i="112"/>
  <c r="CF101" i="112"/>
  <c r="CD181" i="112"/>
  <c r="CE178" i="112"/>
  <c r="CE101" i="112"/>
  <c r="BX101" i="112"/>
  <c r="BX178" i="112"/>
  <c r="BT101" i="112"/>
  <c r="BZ47" i="112"/>
  <c r="BY47" i="112"/>
  <c r="BT47" i="112"/>
  <c r="CD185" i="8"/>
  <c r="CD174" i="8"/>
  <c r="CD172" i="8"/>
  <c r="CA172" i="8"/>
  <c r="CA174" i="8"/>
  <c r="CA185" i="8"/>
  <c r="BT126" i="2"/>
  <c r="BT164" i="2"/>
  <c r="BR185" i="8"/>
  <c r="CD77" i="112"/>
  <c r="BY10" i="112"/>
  <c r="BX142" i="112"/>
  <c r="CJ142" i="112"/>
  <c r="CE180" i="112"/>
  <c r="CG180" i="112"/>
  <c r="CH178" i="112"/>
  <c r="CH101" i="112"/>
  <c r="CC178" i="112"/>
  <c r="CC101" i="112"/>
  <c r="BY181" i="112"/>
  <c r="BW180" i="112"/>
  <c r="BS101" i="112"/>
  <c r="CH179" i="112"/>
  <c r="CE179" i="112"/>
  <c r="CB179" i="112"/>
  <c r="CJ125" i="2"/>
  <c r="CJ163" i="2"/>
  <c r="CH125" i="2"/>
  <c r="CH163" i="2"/>
  <c r="CG47" i="112"/>
  <c r="CE125" i="2"/>
  <c r="CE163" i="2"/>
  <c r="CC125" i="2"/>
  <c r="CC163" i="2"/>
  <c r="CA125" i="2"/>
  <c r="CA163" i="2"/>
  <c r="CA47" i="112"/>
  <c r="BY125" i="2"/>
  <c r="BY163" i="2"/>
  <c r="BW47" i="112"/>
  <c r="BT163" i="2"/>
  <c r="BT125" i="2"/>
  <c r="BR47" i="112"/>
  <c r="CI164" i="2"/>
  <c r="CI126" i="2"/>
  <c r="CG173" i="8"/>
  <c r="CE185" i="8"/>
  <c r="CE174" i="8"/>
  <c r="CE172" i="8"/>
  <c r="CB126" i="2"/>
  <c r="CB164" i="2"/>
  <c r="CG142" i="112"/>
  <c r="CB77" i="112"/>
  <c r="BT77" i="112"/>
  <c r="BW10" i="112"/>
  <c r="CF77" i="112"/>
  <c r="CA77" i="112"/>
  <c r="CF180" i="112"/>
  <c r="CH181" i="112"/>
  <c r="CG178" i="112"/>
  <c r="CG101" i="112"/>
  <c r="BZ101" i="112"/>
  <c r="CA178" i="112"/>
  <c r="CA101" i="112"/>
  <c r="CD101" i="112"/>
  <c r="CD178" i="112"/>
  <c r="BY178" i="112"/>
  <c r="BY101" i="112"/>
  <c r="BW178" i="112"/>
  <c r="BW101" i="112"/>
  <c r="CF47" i="112"/>
  <c r="CC47" i="112"/>
  <c r="BX47" i="112"/>
  <c r="BU47" i="112"/>
  <c r="CH185" i="8"/>
  <c r="CH172" i="8"/>
  <c r="CH174" i="8"/>
  <c r="CF164" i="2"/>
  <c r="CF126" i="2"/>
  <c r="CC164" i="2"/>
  <c r="CC126" i="2"/>
  <c r="BZ185" i="8"/>
  <c r="BZ172" i="8"/>
  <c r="BZ174" i="8"/>
  <c r="BY126" i="2"/>
  <c r="BY164" i="2"/>
  <c r="BX185" i="8"/>
  <c r="BZ142" i="112"/>
  <c r="BT10" i="112"/>
  <c r="BT181" i="112"/>
  <c r="CK181" i="112"/>
  <c r="CE181" i="112"/>
  <c r="CC181" i="112"/>
  <c r="BY180" i="112"/>
  <c r="BZ180" i="112"/>
  <c r="CB178" i="112"/>
  <c r="CB101" i="112"/>
  <c r="BZ178" i="112"/>
  <c r="CC179" i="112"/>
  <c r="CD179" i="112"/>
  <c r="CA179" i="112"/>
  <c r="BX179" i="112"/>
  <c r="CH47" i="112"/>
  <c r="CE47" i="112"/>
  <c r="CB47" i="112"/>
  <c r="BU125" i="2"/>
  <c r="BU163" i="2"/>
  <c r="BS47" i="112"/>
  <c r="CJ164" i="2"/>
  <c r="CJ126" i="2"/>
  <c r="CG126" i="2"/>
  <c r="CG164" i="2"/>
  <c r="CC173" i="8"/>
  <c r="BV185" i="8"/>
  <c r="CI77" i="112"/>
  <c r="BR164" i="2"/>
  <c r="BR126" i="2"/>
  <c r="CE10" i="112"/>
  <c r="CH142" i="112"/>
  <c r="BV10" i="112"/>
  <c r="CC142" i="112"/>
  <c r="BT185" i="8"/>
  <c r="BS142" i="112"/>
  <c r="CF10" i="112"/>
  <c r="BS10" i="112"/>
  <c r="CJ77" i="112"/>
  <c r="BU179" i="112"/>
  <c r="BR179" i="112"/>
  <c r="BV179" i="112"/>
  <c r="BR178" i="112"/>
  <c r="BR101" i="112"/>
  <c r="BV178" i="112"/>
  <c r="BT180" i="112"/>
  <c r="BR181" i="112"/>
  <c r="BV181" i="112"/>
  <c r="BR180" i="112"/>
  <c r="BV180" i="112"/>
  <c r="BR479" i="94"/>
  <c r="AG498" i="111"/>
  <c r="AR46" i="112"/>
  <c r="AV46" i="112"/>
  <c r="AD498" i="111"/>
  <c r="AE498" i="111"/>
  <c r="AU113" i="112"/>
  <c r="AU111" i="112" s="1"/>
  <c r="AU114" i="112" s="1"/>
  <c r="AU94" i="112"/>
  <c r="AY95" i="112" s="1"/>
  <c r="Z431" i="111"/>
  <c r="AG35" i="60"/>
  <c r="BM47" i="112"/>
  <c r="BP172" i="8"/>
  <c r="BP174" i="8"/>
  <c r="BL172" i="8"/>
  <c r="BL174" i="8"/>
  <c r="BO47" i="112"/>
  <c r="BO172" i="8"/>
  <c r="BO174" i="8"/>
  <c r="BN174" i="8"/>
  <c r="BN172" i="8"/>
  <c r="AU177" i="112"/>
  <c r="AU197" i="112" s="1"/>
  <c r="AU195" i="112" s="1"/>
  <c r="AU198" i="112" s="1"/>
  <c r="AU164" i="2"/>
  <c r="AU126" i="2"/>
  <c r="S117" i="94"/>
  <c r="W118" i="94"/>
  <c r="AA124" i="94"/>
  <c r="S122" i="94"/>
  <c r="S121" i="94"/>
  <c r="W122" i="94"/>
  <c r="AE121" i="94"/>
  <c r="AB119" i="94"/>
  <c r="S123" i="94"/>
  <c r="AA126" i="94"/>
  <c r="S126" i="94"/>
  <c r="W121" i="94"/>
  <c r="AB118" i="94"/>
  <c r="S118" i="94"/>
  <c r="AA117" i="94"/>
  <c r="S119" i="94"/>
  <c r="AI121" i="94"/>
  <c r="AA123" i="94"/>
  <c r="AE118" i="94"/>
  <c r="AE123" i="94"/>
  <c r="AE124" i="94"/>
  <c r="AF498" i="111"/>
  <c r="T460" i="111"/>
  <c r="AA118" i="94"/>
  <c r="AA122" i="94"/>
  <c r="AE119" i="94"/>
  <c r="AO154" i="8"/>
  <c r="AO152" i="8" s="1"/>
  <c r="AA119" i="94"/>
  <c r="AE126" i="94"/>
  <c r="Z126" i="112"/>
  <c r="AI61" i="112"/>
  <c r="AC460" i="111"/>
  <c r="AW33" i="60"/>
  <c r="AO127" i="4" s="1"/>
  <c r="X119" i="94"/>
  <c r="N431" i="111"/>
  <c r="X118" i="94"/>
  <c r="P431" i="111"/>
  <c r="W431" i="111"/>
  <c r="X123" i="94"/>
  <c r="X117" i="94"/>
  <c r="K154" i="11"/>
  <c r="K27" i="76" s="1"/>
  <c r="AD142" i="112"/>
  <c r="X124" i="94"/>
  <c r="L154" i="11"/>
  <c r="L27" i="76" s="1"/>
  <c r="X122" i="94"/>
  <c r="J154" i="11"/>
  <c r="J27" i="76" s="1"/>
  <c r="AR6" i="60"/>
  <c r="AR12" i="60" s="1"/>
  <c r="AR18" i="60" s="1"/>
  <c r="X121" i="94"/>
  <c r="O460" i="111"/>
  <c r="AS8" i="60"/>
  <c r="AK107" i="4" s="1"/>
  <c r="AN433" i="111"/>
  <c r="Q466" i="111"/>
  <c r="U466" i="111"/>
  <c r="Y126" i="112"/>
  <c r="AG126" i="112"/>
  <c r="AF433" i="111"/>
  <c r="E247" i="112"/>
  <c r="M448" i="111" s="1"/>
  <c r="X431" i="111"/>
  <c r="R460" i="111"/>
  <c r="AO433" i="111"/>
  <c r="AC61" i="112"/>
  <c r="AM505" i="111"/>
  <c r="AN505" i="111"/>
  <c r="AG431" i="111"/>
  <c r="K103" i="94"/>
  <c r="K126" i="94" s="1"/>
  <c r="J141" i="112"/>
  <c r="R103" i="94"/>
  <c r="R124" i="94" s="1"/>
  <c r="Q141" i="112"/>
  <c r="R143" i="112" s="1"/>
  <c r="S152" i="112"/>
  <c r="S203" i="112" s="1"/>
  <c r="E103" i="94"/>
  <c r="E123" i="94" s="1"/>
  <c r="D141" i="112"/>
  <c r="O73" i="2"/>
  <c r="O318" i="112"/>
  <c r="Q103" i="94"/>
  <c r="Q122" i="94" s="1"/>
  <c r="P141" i="112"/>
  <c r="M103" i="94"/>
  <c r="M123" i="94" s="1"/>
  <c r="L141" i="112"/>
  <c r="C103" i="94"/>
  <c r="C121" i="94" s="1"/>
  <c r="B141" i="112"/>
  <c r="AI119" i="94"/>
  <c r="AI122" i="94"/>
  <c r="T124" i="94"/>
  <c r="T122" i="94"/>
  <c r="AB117" i="94"/>
  <c r="AB121" i="94"/>
  <c r="AJ123" i="94"/>
  <c r="AJ122" i="94"/>
  <c r="K242" i="112"/>
  <c r="AP505" i="111"/>
  <c r="S885" i="111"/>
  <c r="T885" i="111"/>
  <c r="AD431" i="111"/>
  <c r="S460" i="111"/>
  <c r="W460" i="111"/>
  <c r="AA460" i="111"/>
  <c r="AE460" i="111"/>
  <c r="AI460" i="111"/>
  <c r="AG433" i="111"/>
  <c r="AM431" i="111"/>
  <c r="AQ431" i="111"/>
  <c r="AR253" i="112"/>
  <c r="AV254" i="112" s="1"/>
  <c r="AR49" i="112"/>
  <c r="AR50" i="112" s="1"/>
  <c r="L469" i="111"/>
  <c r="L440" i="111"/>
  <c r="H44" i="112"/>
  <c r="H49" i="112" s="1"/>
  <c r="H50" i="112" s="1"/>
  <c r="R431" i="111"/>
  <c r="S142" i="112"/>
  <c r="AA432" i="111"/>
  <c r="AA142" i="112"/>
  <c r="AI432" i="111"/>
  <c r="AM433" i="111" s="1"/>
  <c r="AE201" i="112"/>
  <c r="AI142" i="112"/>
  <c r="AQ432" i="111"/>
  <c r="AM201" i="112"/>
  <c r="AE431" i="111"/>
  <c r="P42" i="112"/>
  <c r="P25" i="112"/>
  <c r="X25" i="112"/>
  <c r="X42" i="112"/>
  <c r="X250" i="112"/>
  <c r="AB42" i="112"/>
  <c r="O870" i="111"/>
  <c r="O880" i="111" s="1"/>
  <c r="V42" i="112"/>
  <c r="Z42" i="112"/>
  <c r="V25" i="112"/>
  <c r="V250" i="112"/>
  <c r="O431" i="111"/>
  <c r="AI431" i="111"/>
  <c r="P460" i="111"/>
  <c r="AB460" i="111"/>
  <c r="AH142" i="112"/>
  <c r="AP432" i="111"/>
  <c r="AT433" i="111" s="1"/>
  <c r="AL201" i="112"/>
  <c r="L103" i="94"/>
  <c r="L121" i="94" s="1"/>
  <c r="K141" i="112"/>
  <c r="O103" i="94"/>
  <c r="O122" i="94" s="1"/>
  <c r="N141" i="112"/>
  <c r="G103" i="94"/>
  <c r="G124" i="94" s="1"/>
  <c r="F141" i="112"/>
  <c r="AO265" i="112"/>
  <c r="AO257" i="112"/>
  <c r="AO258" i="112" s="1"/>
  <c r="AS251" i="112"/>
  <c r="AS270" i="112" s="1"/>
  <c r="AO266" i="112"/>
  <c r="AO251" i="112"/>
  <c r="AO270" i="112" s="1"/>
  <c r="AO271" i="112" s="1"/>
  <c r="K42" i="112"/>
  <c r="K25" i="112"/>
  <c r="O25" i="112"/>
  <c r="O42" i="112"/>
  <c r="W42" i="112"/>
  <c r="W25" i="112"/>
  <c r="W250" i="112"/>
  <c r="AA42" i="112"/>
  <c r="L25" i="112"/>
  <c r="L42" i="112"/>
  <c r="U460" i="111"/>
  <c r="Q42" i="112"/>
  <c r="Q25" i="112"/>
  <c r="AG460" i="111"/>
  <c r="AK460" i="111"/>
  <c r="K440" i="111"/>
  <c r="K469" i="111"/>
  <c r="K470" i="111" s="1"/>
  <c r="G44" i="112"/>
  <c r="G49" i="112" s="1"/>
  <c r="G50" i="112" s="1"/>
  <c r="V142" i="112"/>
  <c r="AD432" i="111"/>
  <c r="Z201" i="112"/>
  <c r="H42" i="112"/>
  <c r="H25" i="112"/>
  <c r="T25" i="112"/>
  <c r="T42" i="112"/>
  <c r="H103" i="94"/>
  <c r="H126" i="94" s="1"/>
  <c r="G141" i="112"/>
  <c r="J103" i="94"/>
  <c r="J121" i="94" s="1"/>
  <c r="I141" i="112"/>
  <c r="AI117" i="94"/>
  <c r="AI126" i="94"/>
  <c r="AI124" i="94"/>
  <c r="T119" i="94"/>
  <c r="T118" i="94"/>
  <c r="T126" i="94"/>
  <c r="AB126" i="94"/>
  <c r="AB124" i="94"/>
  <c r="AJ117" i="94"/>
  <c r="AJ124" i="94"/>
  <c r="AJ126" i="94"/>
  <c r="AK505" i="111"/>
  <c r="AO26" i="112"/>
  <c r="AS44" i="112"/>
  <c r="AW440" i="111"/>
  <c r="AW469" i="111"/>
  <c r="AS26" i="112"/>
  <c r="AP431" i="111"/>
  <c r="AL431" i="111"/>
  <c r="B250" i="112"/>
  <c r="B265" i="112" s="1"/>
  <c r="AK433" i="111"/>
  <c r="Z432" i="111"/>
  <c r="AX433" i="111"/>
  <c r="AQ254" i="112"/>
  <c r="AQ257" i="112"/>
  <c r="AQ258" i="112" s="1"/>
  <c r="I25" i="112"/>
  <c r="M25" i="112"/>
  <c r="M42" i="112"/>
  <c r="Y460" i="111"/>
  <c r="U25" i="112"/>
  <c r="U42" i="112"/>
  <c r="U250" i="112"/>
  <c r="Y42" i="112"/>
  <c r="Y25" i="112"/>
  <c r="Y250" i="112"/>
  <c r="AC42" i="112"/>
  <c r="W142" i="112"/>
  <c r="AE432" i="111"/>
  <c r="AA201" i="112"/>
  <c r="AO431" i="111"/>
  <c r="AS431" i="111"/>
  <c r="K870" i="111"/>
  <c r="K880" i="111" s="1"/>
  <c r="F25" i="112"/>
  <c r="F42" i="112"/>
  <c r="V460" i="111"/>
  <c r="N870" i="111"/>
  <c r="N880" i="111" s="1"/>
  <c r="R25" i="112"/>
  <c r="R42" i="112"/>
  <c r="AD460" i="111"/>
  <c r="AH460" i="111"/>
  <c r="AJ433" i="111"/>
  <c r="AR433" i="111"/>
  <c r="AV433" i="111"/>
  <c r="Z142" i="112"/>
  <c r="AH432" i="111"/>
  <c r="AD201" i="112"/>
  <c r="S151" i="112"/>
  <c r="T152" i="112"/>
  <c r="T203" i="112" s="1"/>
  <c r="T151" i="112"/>
  <c r="AB61" i="112"/>
  <c r="G25" i="112"/>
  <c r="G42" i="112"/>
  <c r="S42" i="112"/>
  <c r="S25" i="112"/>
  <c r="P103" i="94"/>
  <c r="P118" i="94" s="1"/>
  <c r="O141" i="112"/>
  <c r="I103" i="94"/>
  <c r="I124" i="94" s="1"/>
  <c r="H141" i="112"/>
  <c r="N103" i="94"/>
  <c r="N121" i="94" s="1"/>
  <c r="M141" i="112"/>
  <c r="E41" i="112"/>
  <c r="E25" i="112" s="1"/>
  <c r="M459" i="111"/>
  <c r="D103" i="94"/>
  <c r="D117" i="94" s="1"/>
  <c r="C141" i="112"/>
  <c r="F103" i="94"/>
  <c r="E141" i="112"/>
  <c r="AI123" i="94"/>
  <c r="AB123" i="94"/>
  <c r="AC498" i="111"/>
  <c r="AA126" i="112"/>
  <c r="AI126" i="112"/>
  <c r="AD61" i="112"/>
  <c r="AB126" i="112"/>
  <c r="AF61" i="112"/>
  <c r="AH431" i="111"/>
  <c r="T431" i="111"/>
  <c r="AS433" i="111"/>
  <c r="AW433" i="111"/>
  <c r="Q431" i="111"/>
  <c r="AV441" i="111"/>
  <c r="AZ441" i="111"/>
  <c r="AB431" i="111"/>
  <c r="AF431" i="111"/>
  <c r="AJ431" i="111"/>
  <c r="AN431" i="111"/>
  <c r="AR431" i="111"/>
  <c r="I39" i="112"/>
  <c r="V431" i="111"/>
  <c r="X460" i="111"/>
  <c r="AF460" i="111"/>
  <c r="AJ460" i="111"/>
  <c r="U431" i="111"/>
  <c r="AL432" i="111"/>
  <c r="AH201" i="112"/>
  <c r="AK431" i="111"/>
  <c r="N460" i="111"/>
  <c r="L870" i="111"/>
  <c r="L880" i="111" s="1"/>
  <c r="J42" i="112"/>
  <c r="J25" i="112"/>
  <c r="M870" i="111"/>
  <c r="M880" i="111" s="1"/>
  <c r="N25" i="112"/>
  <c r="N42" i="112"/>
  <c r="Z460" i="111"/>
  <c r="S431" i="111"/>
  <c r="X142" i="112"/>
  <c r="Y431" i="111"/>
  <c r="AI210" i="112"/>
  <c r="AB210" i="112"/>
  <c r="AI245" i="8"/>
  <c r="AA210" i="112"/>
  <c r="AO504" i="111"/>
  <c r="AH504" i="111"/>
  <c r="AD210" i="112"/>
  <c r="AC210" i="112"/>
  <c r="AN504" i="111"/>
  <c r="AL504" i="111"/>
  <c r="AH210" i="112"/>
  <c r="AI504" i="111"/>
  <c r="AQ504" i="111"/>
  <c r="AG210" i="112"/>
  <c r="AG245" i="8"/>
  <c r="AH245" i="8"/>
  <c r="L242" i="112"/>
  <c r="AG242" i="112"/>
  <c r="Y61" i="112"/>
  <c r="AG61" i="112"/>
  <c r="AP504" i="111"/>
  <c r="AQ505" i="111"/>
  <c r="AE210" i="112"/>
  <c r="AV505" i="111"/>
  <c r="AR505" i="111"/>
  <c r="AK210" i="112"/>
  <c r="AO210" i="112"/>
  <c r="AD126" i="112"/>
  <c r="AA61" i="112"/>
  <c r="AJ504" i="111"/>
  <c r="AV504" i="111"/>
  <c r="AR504" i="111"/>
  <c r="AS505" i="111"/>
  <c r="AO505" i="111"/>
  <c r="AK504" i="111"/>
  <c r="AJ126" i="112"/>
  <c r="AN126" i="112"/>
  <c r="AT505" i="111"/>
  <c r="AX505" i="111"/>
  <c r="AN210" i="112"/>
  <c r="AJ210" i="112"/>
  <c r="AH126" i="112"/>
  <c r="AK61" i="112"/>
  <c r="AO61" i="112"/>
  <c r="AU505" i="111"/>
  <c r="AY505" i="111"/>
  <c r="AG504" i="111"/>
  <c r="G242" i="112"/>
  <c r="Z210" i="112"/>
  <c r="AT504" i="111"/>
  <c r="AX504" i="111"/>
  <c r="AE126" i="112"/>
  <c r="Z61" i="112"/>
  <c r="AH61" i="112"/>
  <c r="AM504" i="111"/>
  <c r="AU504" i="111"/>
  <c r="AY504" i="111"/>
  <c r="AF126" i="112"/>
  <c r="AS504" i="111"/>
  <c r="AW504" i="111"/>
  <c r="AL505" i="111"/>
  <c r="Y210" i="112"/>
  <c r="AE61" i="112"/>
  <c r="AF210" i="112"/>
  <c r="AC126" i="112"/>
  <c r="AK126" i="112"/>
  <c r="AO126" i="112"/>
  <c r="AJ61" i="112"/>
  <c r="AN61" i="112"/>
  <c r="O466" i="111"/>
  <c r="S466" i="111"/>
  <c r="AM171" i="8"/>
  <c r="AM175" i="8" s="1"/>
  <c r="W171" i="8"/>
  <c r="AE171" i="8"/>
  <c r="AE175" i="8" s="1"/>
  <c r="P191" i="8"/>
  <c r="AJ191" i="8"/>
  <c r="W191" i="8"/>
  <c r="AM191" i="8"/>
  <c r="AI171" i="8"/>
  <c r="AI175" i="8" s="1"/>
  <c r="Z171" i="8"/>
  <c r="Z175" i="8" s="1"/>
  <c r="AB191" i="8"/>
  <c r="AA191" i="8"/>
  <c r="BN181" i="112"/>
  <c r="BO179" i="112"/>
  <c r="BQ179" i="112"/>
  <c r="BQ180" i="112"/>
  <c r="BM180" i="112"/>
  <c r="BM181" i="112"/>
  <c r="BO181" i="112"/>
  <c r="BL180" i="112"/>
  <c r="BP179" i="112"/>
  <c r="BQ181" i="112"/>
  <c r="BQ101" i="112"/>
  <c r="BQ178" i="112"/>
  <c r="BP180" i="112"/>
  <c r="BL101" i="112"/>
  <c r="BL178" i="112"/>
  <c r="BL179" i="112"/>
  <c r="BN179" i="112"/>
  <c r="BP101" i="112"/>
  <c r="BP178" i="112"/>
  <c r="BN101" i="112"/>
  <c r="BN178" i="112"/>
  <c r="BO180" i="112"/>
  <c r="BN180" i="112"/>
  <c r="BL181" i="112"/>
  <c r="BQ47" i="112"/>
  <c r="BO101" i="112"/>
  <c r="BO178" i="112"/>
  <c r="BM101" i="112"/>
  <c r="BM178" i="112"/>
  <c r="BM179" i="112"/>
  <c r="BP181" i="112"/>
  <c r="T466" i="111"/>
  <c r="AG456" i="111"/>
  <c r="AC242" i="112"/>
  <c r="B21" i="4"/>
  <c r="J537" i="111"/>
  <c r="J538" i="111" s="1"/>
  <c r="L21" i="4"/>
  <c r="T537" i="111"/>
  <c r="T538" i="111" s="1"/>
  <c r="O242" i="112"/>
  <c r="S242" i="112"/>
  <c r="AA297" i="112"/>
  <c r="AA302" i="112"/>
  <c r="AM255" i="112"/>
  <c r="G239" i="112"/>
  <c r="O438" i="111"/>
  <c r="O439" i="111" s="1"/>
  <c r="X246" i="112"/>
  <c r="X241" i="112"/>
  <c r="X242" i="112" s="1"/>
  <c r="X238" i="112"/>
  <c r="X247" i="112"/>
  <c r="X267" i="112"/>
  <c r="X284" i="112"/>
  <c r="X288" i="112"/>
  <c r="X296" i="112"/>
  <c r="X309" i="112"/>
  <c r="AF454" i="111"/>
  <c r="AF246" i="112"/>
  <c r="AF241" i="112"/>
  <c r="AF238" i="112"/>
  <c r="AF247" i="112"/>
  <c r="AF267" i="112"/>
  <c r="AF284" i="112"/>
  <c r="AF288" i="112"/>
  <c r="AF296" i="112"/>
  <c r="AF309" i="112"/>
  <c r="AN454" i="111"/>
  <c r="Y563" i="111"/>
  <c r="Y481" i="111"/>
  <c r="Q242" i="112"/>
  <c r="Y239" i="112"/>
  <c r="AG438" i="111"/>
  <c r="AC302" i="112"/>
  <c r="AC297" i="112"/>
  <c r="J238" i="112"/>
  <c r="J241" i="112"/>
  <c r="J267" i="112"/>
  <c r="R465" i="111" s="1"/>
  <c r="J284" i="112"/>
  <c r="J288" i="112"/>
  <c r="J296" i="112"/>
  <c r="J302" i="112" s="1"/>
  <c r="J246" i="112"/>
  <c r="J247" i="112"/>
  <c r="R448" i="111" s="1"/>
  <c r="J309" i="112"/>
  <c r="R454" i="111"/>
  <c r="R238" i="112"/>
  <c r="R241" i="112"/>
  <c r="R246" i="112"/>
  <c r="R267" i="112"/>
  <c r="R284" i="112"/>
  <c r="R288" i="112"/>
  <c r="R296" i="112"/>
  <c r="R302" i="112" s="1"/>
  <c r="R247" i="112"/>
  <c r="R309" i="112"/>
  <c r="Z454" i="111"/>
  <c r="Z238" i="112"/>
  <c r="Z241" i="112"/>
  <c r="Z267" i="112"/>
  <c r="Z284" i="112"/>
  <c r="Z288" i="112"/>
  <c r="Z296" i="112"/>
  <c r="Z246" i="112"/>
  <c r="Z247" i="112"/>
  <c r="Z309" i="112"/>
  <c r="AH454" i="111"/>
  <c r="AH238" i="112"/>
  <c r="AH241" i="112"/>
  <c r="AH246" i="112"/>
  <c r="AH267" i="112"/>
  <c r="AH284" i="112"/>
  <c r="AH288" i="112"/>
  <c r="AH296" i="112"/>
  <c r="AH247" i="112"/>
  <c r="AH309" i="112"/>
  <c r="AP454" i="111"/>
  <c r="J21" i="4"/>
  <c r="R537" i="111"/>
  <c r="F21" i="4"/>
  <c r="N537" i="111"/>
  <c r="E21" i="4"/>
  <c r="M537" i="111"/>
  <c r="M538" i="111" s="1"/>
  <c r="C21" i="4"/>
  <c r="K537" i="111"/>
  <c r="K538" i="111" s="1"/>
  <c r="D247" i="112"/>
  <c r="L448" i="111" s="1"/>
  <c r="D241" i="112"/>
  <c r="H242" i="112" s="1"/>
  <c r="D238" i="112"/>
  <c r="L438" i="111" s="1"/>
  <c r="D267" i="112"/>
  <c r="L465" i="111" s="1"/>
  <c r="D284" i="112"/>
  <c r="D288" i="112"/>
  <c r="D296" i="112"/>
  <c r="D302" i="112" s="1"/>
  <c r="D309" i="112"/>
  <c r="L454" i="111"/>
  <c r="S456" i="111"/>
  <c r="W456" i="111"/>
  <c r="AA456" i="111"/>
  <c r="AE456" i="111"/>
  <c r="W239" i="112"/>
  <c r="AE438" i="111"/>
  <c r="AI563" i="111"/>
  <c r="AI481" i="111"/>
  <c r="M563" i="111"/>
  <c r="M481" i="111"/>
  <c r="M438" i="111"/>
  <c r="Q439" i="111" s="1"/>
  <c r="I239" i="112"/>
  <c r="AB563" i="111"/>
  <c r="AB481" i="111"/>
  <c r="AB438" i="111"/>
  <c r="J481" i="111"/>
  <c r="J563" i="111"/>
  <c r="H246" i="112"/>
  <c r="U563" i="111"/>
  <c r="U481" i="111"/>
  <c r="M239" i="112"/>
  <c r="U438" i="111"/>
  <c r="U439" i="111" s="1"/>
  <c r="Q239" i="112"/>
  <c r="Y438" i="111"/>
  <c r="U297" i="112"/>
  <c r="U302" i="112"/>
  <c r="U242" i="112"/>
  <c r="AK456" i="111"/>
  <c r="AK563" i="111"/>
  <c r="AK481" i="111"/>
  <c r="AC239" i="112"/>
  <c r="AK438" i="111"/>
  <c r="AG255" i="112"/>
  <c r="AO563" i="111"/>
  <c r="AO481" i="111"/>
  <c r="AL246" i="112"/>
  <c r="M21" i="4"/>
  <c r="U537" i="111"/>
  <c r="U538" i="111" s="1"/>
  <c r="S563" i="111"/>
  <c r="S481" i="111"/>
  <c r="AA563" i="111"/>
  <c r="AA481" i="111"/>
  <c r="W297" i="112"/>
  <c r="W302" i="112"/>
  <c r="W242" i="112"/>
  <c r="AA239" i="112"/>
  <c r="AI438" i="111"/>
  <c r="AE255" i="112"/>
  <c r="AI297" i="112"/>
  <c r="AI302" i="112"/>
  <c r="O456" i="111"/>
  <c r="T456" i="111"/>
  <c r="P246" i="112"/>
  <c r="P241" i="112"/>
  <c r="P242" i="112" s="1"/>
  <c r="P238" i="112"/>
  <c r="P247" i="112"/>
  <c r="P267" i="112"/>
  <c r="P284" i="112"/>
  <c r="P288" i="112"/>
  <c r="P296" i="112"/>
  <c r="P302" i="112" s="1"/>
  <c r="P309" i="112"/>
  <c r="X454" i="111"/>
  <c r="AB246" i="112"/>
  <c r="AB241" i="112"/>
  <c r="AB238" i="112"/>
  <c r="AB247" i="112"/>
  <c r="AB267" i="112"/>
  <c r="AB284" i="112"/>
  <c r="AB288" i="112"/>
  <c r="AB296" i="112"/>
  <c r="AB309" i="112"/>
  <c r="AJ454" i="111"/>
  <c r="AJ246" i="112"/>
  <c r="AJ241" i="112"/>
  <c r="AJ238" i="112"/>
  <c r="AJ247" i="112"/>
  <c r="AJ267" i="112"/>
  <c r="AJ284" i="112"/>
  <c r="AJ288" i="112"/>
  <c r="AJ296" i="112"/>
  <c r="AJ309" i="112"/>
  <c r="AR454" i="111"/>
  <c r="AN246" i="112"/>
  <c r="U456" i="111"/>
  <c r="Y456" i="111"/>
  <c r="AC456" i="111"/>
  <c r="AC563" i="111"/>
  <c r="AC481" i="111"/>
  <c r="U239" i="112"/>
  <c r="AC438" i="111"/>
  <c r="Y302" i="112"/>
  <c r="Y297" i="112"/>
  <c r="Y242" i="112"/>
  <c r="K563" i="111"/>
  <c r="K481" i="111"/>
  <c r="N238" i="112"/>
  <c r="N241" i="112"/>
  <c r="N267" i="112"/>
  <c r="N284" i="112"/>
  <c r="N288" i="112"/>
  <c r="N296" i="112"/>
  <c r="N302" i="112" s="1"/>
  <c r="N246" i="112"/>
  <c r="N247" i="112"/>
  <c r="N309" i="112"/>
  <c r="V454" i="111"/>
  <c r="V238" i="112"/>
  <c r="V241" i="112"/>
  <c r="V246" i="112"/>
  <c r="V267" i="112"/>
  <c r="V284" i="112"/>
  <c r="V288" i="112"/>
  <c r="V296" i="112"/>
  <c r="V247" i="112"/>
  <c r="V309" i="112"/>
  <c r="AD454" i="111"/>
  <c r="AD238" i="112"/>
  <c r="AD241" i="112"/>
  <c r="AD267" i="112"/>
  <c r="AD284" i="112"/>
  <c r="AD288" i="112"/>
  <c r="AD296" i="112"/>
  <c r="AD246" i="112"/>
  <c r="AD247" i="112"/>
  <c r="AD309" i="112"/>
  <c r="AL454" i="111"/>
  <c r="D21" i="4"/>
  <c r="L537" i="111"/>
  <c r="K21" i="4"/>
  <c r="S537" i="111"/>
  <c r="S538" i="111" s="1"/>
  <c r="H21" i="4"/>
  <c r="P537" i="111"/>
  <c r="P538" i="111" s="1"/>
  <c r="F238" i="112"/>
  <c r="N438" i="111" s="1"/>
  <c r="N439" i="111" s="1"/>
  <c r="F241" i="112"/>
  <c r="F246" i="112"/>
  <c r="F267" i="112"/>
  <c r="N465" i="111" s="1"/>
  <c r="F284" i="112"/>
  <c r="F288" i="112"/>
  <c r="F296" i="112"/>
  <c r="F302" i="112" s="1"/>
  <c r="F247" i="112"/>
  <c r="N448" i="111" s="1"/>
  <c r="F309" i="112"/>
  <c r="N454" i="111"/>
  <c r="K239" i="112"/>
  <c r="S438" i="111"/>
  <c r="W563" i="111"/>
  <c r="W481" i="111"/>
  <c r="O239" i="112"/>
  <c r="W438" i="111"/>
  <c r="S239" i="112"/>
  <c r="AA438" i="111"/>
  <c r="AE563" i="111"/>
  <c r="AE481" i="111"/>
  <c r="AI456" i="111"/>
  <c r="AA242" i="112"/>
  <c r="AQ563" i="111"/>
  <c r="AQ481" i="111"/>
  <c r="Q456" i="111"/>
  <c r="O563" i="111"/>
  <c r="O481" i="111"/>
  <c r="T563" i="111"/>
  <c r="T481" i="111"/>
  <c r="L239" i="112"/>
  <c r="T438" i="111"/>
  <c r="T246" i="112"/>
  <c r="P563" i="111"/>
  <c r="P481" i="111"/>
  <c r="P438" i="111"/>
  <c r="AG563" i="111"/>
  <c r="AG481" i="111"/>
  <c r="AK238" i="112"/>
  <c r="AK241" i="112"/>
  <c r="AK267" i="112"/>
  <c r="AK284" i="112"/>
  <c r="AK288" i="112"/>
  <c r="AK296" i="112"/>
  <c r="AK247" i="112"/>
  <c r="AK246" i="112"/>
  <c r="AK309" i="112"/>
  <c r="AS454" i="111"/>
  <c r="AO246" i="112"/>
  <c r="V21" i="4"/>
  <c r="U21" i="4"/>
  <c r="AK21" i="4"/>
  <c r="O21" i="4"/>
  <c r="AE21" i="4"/>
  <c r="AB21" i="4"/>
  <c r="J7" i="4"/>
  <c r="R7" i="4"/>
  <c r="Z21" i="4"/>
  <c r="S21" i="4"/>
  <c r="AI21" i="4"/>
  <c r="AF21" i="4"/>
  <c r="H7" i="4"/>
  <c r="P7" i="4"/>
  <c r="X7" i="4"/>
  <c r="X29" i="4" s="1"/>
  <c r="I7" i="4"/>
  <c r="Q7" i="4"/>
  <c r="Y7" i="4"/>
  <c r="Y29" i="4" s="1"/>
  <c r="G7" i="4"/>
  <c r="O7" i="4"/>
  <c r="W7" i="4"/>
  <c r="W29" i="4" s="1"/>
  <c r="AH21" i="4"/>
  <c r="AC21" i="4"/>
  <c r="T21" i="4"/>
  <c r="AJ21" i="4"/>
  <c r="N7" i="4"/>
  <c r="E7" i="4"/>
  <c r="R21" i="4"/>
  <c r="AD21" i="4"/>
  <c r="Q21" i="4"/>
  <c r="AG21" i="4"/>
  <c r="AA21" i="4"/>
  <c r="X21" i="4"/>
  <c r="L7" i="4"/>
  <c r="T7" i="4"/>
  <c r="M7" i="4"/>
  <c r="U7" i="4"/>
  <c r="U29" i="4" s="1"/>
  <c r="K7" i="4"/>
  <c r="S7" i="4"/>
  <c r="Y35" i="60"/>
  <c r="Q131" i="4" s="1"/>
  <c r="P131" i="4"/>
  <c r="P132" i="4" s="1"/>
  <c r="U35" i="60"/>
  <c r="M131" i="4" s="1"/>
  <c r="L131" i="4"/>
  <c r="Q35" i="60"/>
  <c r="I131" i="4" s="1"/>
  <c r="H131" i="4"/>
  <c r="M35" i="60"/>
  <c r="E131" i="4" s="1"/>
  <c r="D131" i="4"/>
  <c r="AW8" i="60"/>
  <c r="AO107" i="4" s="1"/>
  <c r="AK35" i="60"/>
  <c r="AB131" i="4"/>
  <c r="AC35" i="60"/>
  <c r="U131" i="4" s="1"/>
  <c r="T131" i="4"/>
  <c r="T132" i="4" s="1"/>
  <c r="X50" i="2"/>
  <c r="X51" i="2"/>
  <c r="AL51" i="2"/>
  <c r="AL50" i="2"/>
  <c r="J51" i="2"/>
  <c r="J50" i="2"/>
  <c r="AD51" i="2"/>
  <c r="AD50" i="2"/>
  <c r="H50" i="2"/>
  <c r="H51" i="2"/>
  <c r="Z51" i="2"/>
  <c r="Z50" i="2"/>
  <c r="N51" i="2"/>
  <c r="N50" i="2"/>
  <c r="AI51" i="2"/>
  <c r="AI50" i="2"/>
  <c r="L50" i="2"/>
  <c r="L51" i="2"/>
  <c r="C51" i="2"/>
  <c r="C50" i="2"/>
  <c r="AB50" i="2"/>
  <c r="AB51" i="2"/>
  <c r="AH51" i="2"/>
  <c r="AH50" i="2"/>
  <c r="R51" i="2"/>
  <c r="R50" i="2"/>
  <c r="P50" i="2"/>
  <c r="P51" i="2"/>
  <c r="G51" i="2"/>
  <c r="G50" i="2"/>
  <c r="K51" i="2"/>
  <c r="K50" i="2"/>
  <c r="F51" i="2"/>
  <c r="F50" i="2"/>
  <c r="V51" i="2"/>
  <c r="V50" i="2"/>
  <c r="D50" i="2"/>
  <c r="D51" i="2"/>
  <c r="T50" i="2"/>
  <c r="T51" i="2"/>
  <c r="O51" i="2"/>
  <c r="O50" i="2"/>
  <c r="S51" i="2"/>
  <c r="S50" i="2"/>
  <c r="K9" i="27"/>
  <c r="H12" i="2"/>
  <c r="T12" i="2"/>
  <c r="M12" i="2"/>
  <c r="U12" i="2"/>
  <c r="B12" i="2"/>
  <c r="K12" i="2"/>
  <c r="S12" i="2"/>
  <c r="C7" i="2"/>
  <c r="L12" i="2"/>
  <c r="Q17" i="2"/>
  <c r="E12" i="2"/>
  <c r="G12" i="2"/>
  <c r="O12" i="2"/>
  <c r="W12" i="2"/>
  <c r="AE12" i="2"/>
  <c r="AG12" i="2"/>
  <c r="AA17" i="2"/>
  <c r="AI17" i="2"/>
  <c r="AC12" i="2"/>
  <c r="AK17" i="2"/>
  <c r="BP185" i="8"/>
  <c r="BO185" i="8"/>
  <c r="BL185" i="8"/>
  <c r="AJ159" i="8"/>
  <c r="AJ160" i="8" s="1"/>
  <c r="AQ178" i="8"/>
  <c r="K42" i="60"/>
  <c r="AM17" i="2"/>
  <c r="I17" i="2"/>
  <c r="AY479" i="94"/>
  <c r="BO479" i="94"/>
  <c r="BI479" i="94"/>
  <c r="AT479" i="94"/>
  <c r="BJ479" i="94"/>
  <c r="BH479" i="94"/>
  <c r="AW479" i="94"/>
  <c r="BM479" i="94"/>
  <c r="AX479" i="94"/>
  <c r="BN479" i="94"/>
  <c r="BG479" i="94"/>
  <c r="AV479" i="94"/>
  <c r="BL479" i="94"/>
  <c r="BA479" i="94"/>
  <c r="BB479" i="94"/>
  <c r="AU479" i="94"/>
  <c r="AZ479" i="94"/>
  <c r="BP479" i="94"/>
  <c r="BE479" i="94"/>
  <c r="BF479" i="94"/>
  <c r="U33" i="58"/>
  <c r="U35" i="58" s="1"/>
  <c r="T18" i="4"/>
  <c r="W33" i="58"/>
  <c r="W34" i="58" s="1"/>
  <c r="W36" i="58" s="1"/>
  <c r="V18" i="4"/>
  <c r="Y33" i="58"/>
  <c r="Y34" i="58" s="1"/>
  <c r="X22" i="4" s="1"/>
  <c r="X18" i="4"/>
  <c r="Y12" i="4"/>
  <c r="AG477" i="111" s="1"/>
  <c r="Y20" i="4"/>
  <c r="L33" i="58"/>
  <c r="L35" i="58" s="1"/>
  <c r="K18" i="4"/>
  <c r="AB33" i="58"/>
  <c r="AB34" i="58" s="1"/>
  <c r="AB36" i="58" s="1"/>
  <c r="AA18" i="4"/>
  <c r="AH33" i="58"/>
  <c r="AH34" i="58" s="1"/>
  <c r="AG22" i="4" s="1"/>
  <c r="AG18" i="4"/>
  <c r="N12" i="4"/>
  <c r="V477" i="111" s="1"/>
  <c r="N20" i="4"/>
  <c r="S38" i="2"/>
  <c r="S39" i="2" s="1"/>
  <c r="AE38" i="2"/>
  <c r="AE39" i="2" s="1"/>
  <c r="P38" i="2"/>
  <c r="P39" i="2" s="1"/>
  <c r="AA33" i="58"/>
  <c r="AA34" i="58" s="1"/>
  <c r="AA36" i="58" s="1"/>
  <c r="Z18" i="4"/>
  <c r="F33" i="58"/>
  <c r="F35" i="58" s="1"/>
  <c r="E18" i="4"/>
  <c r="P33" i="58"/>
  <c r="P35" i="58" s="1"/>
  <c r="O18" i="4"/>
  <c r="AF33" i="58"/>
  <c r="AF34" i="58" s="1"/>
  <c r="AE18" i="4"/>
  <c r="G33" i="58"/>
  <c r="G35" i="58" s="1"/>
  <c r="F18" i="4"/>
  <c r="AE33" i="58"/>
  <c r="AE34" i="58" s="1"/>
  <c r="AE36" i="58" s="1"/>
  <c r="K38" i="2"/>
  <c r="K39" i="2" s="1"/>
  <c r="X38" i="2"/>
  <c r="X39" i="2" s="1"/>
  <c r="P12" i="4"/>
  <c r="X477" i="111" s="1"/>
  <c r="P20" i="4"/>
  <c r="C33" i="58"/>
  <c r="C35" i="58" s="1"/>
  <c r="B18" i="4"/>
  <c r="AC33" i="58"/>
  <c r="AC34" i="58" s="1"/>
  <c r="AC36" i="58" s="1"/>
  <c r="AB18" i="4"/>
  <c r="AI33" i="58"/>
  <c r="AI34" i="58" s="1"/>
  <c r="AH18" i="4"/>
  <c r="N33" i="58"/>
  <c r="N35" i="58" s="1"/>
  <c r="M18" i="4"/>
  <c r="D33" i="58"/>
  <c r="D35" i="58" s="1"/>
  <c r="C18" i="4"/>
  <c r="AA38" i="2"/>
  <c r="AA39" i="2" s="1"/>
  <c r="AK33" i="58"/>
  <c r="AK34" i="58" s="1"/>
  <c r="AK36" i="58" s="1"/>
  <c r="AJ18" i="4"/>
  <c r="E33" i="58"/>
  <c r="E35" i="58" s="1"/>
  <c r="D18" i="4"/>
  <c r="AG33" i="58"/>
  <c r="AG34" i="58" s="1"/>
  <c r="AF18" i="4"/>
  <c r="K33" i="58"/>
  <c r="K35" i="58" s="1"/>
  <c r="J18" i="4"/>
  <c r="I33" i="58"/>
  <c r="I35" i="58" s="1"/>
  <c r="H18" i="4"/>
  <c r="AD33" i="58"/>
  <c r="AD34" i="58" s="1"/>
  <c r="AC18" i="4"/>
  <c r="T33" i="58"/>
  <c r="T35" i="58" s="1"/>
  <c r="S18" i="4"/>
  <c r="AJ33" i="58"/>
  <c r="AJ34" i="58" s="1"/>
  <c r="AJ36" i="58" s="1"/>
  <c r="AI18" i="4"/>
  <c r="H38" i="2"/>
  <c r="H53" i="2" s="1"/>
  <c r="S33" i="58"/>
  <c r="S35" i="58" s="1"/>
  <c r="R18" i="4"/>
  <c r="AP13" i="4"/>
  <c r="R33" i="58"/>
  <c r="R35" i="58" s="1"/>
  <c r="Q18" i="4"/>
  <c r="M33" i="58"/>
  <c r="M35" i="58" s="1"/>
  <c r="L18" i="4"/>
  <c r="V33" i="58"/>
  <c r="V34" i="58" s="1"/>
  <c r="U22" i="4" s="1"/>
  <c r="N71" i="11" s="1"/>
  <c r="U18" i="4"/>
  <c r="AL33" i="58"/>
  <c r="AL34" i="58" s="1"/>
  <c r="AK22" i="4" s="1"/>
  <c r="AK18" i="4"/>
  <c r="G12" i="4"/>
  <c r="O477" i="111" s="1"/>
  <c r="G20" i="4"/>
  <c r="W12" i="4"/>
  <c r="AE477" i="111" s="1"/>
  <c r="W20" i="4"/>
  <c r="AM12" i="4"/>
  <c r="AM20" i="4"/>
  <c r="I12" i="4"/>
  <c r="Q477" i="111" s="1"/>
  <c r="I20" i="4"/>
  <c r="AF38" i="2"/>
  <c r="AF39" i="2" s="1"/>
  <c r="AI38" i="2"/>
  <c r="AI39" i="2" s="1"/>
  <c r="D38" i="2"/>
  <c r="D39" i="2" s="1"/>
  <c r="BM125" i="2"/>
  <c r="BM163" i="2"/>
  <c r="BO125" i="2"/>
  <c r="BO163" i="2"/>
  <c r="BL125" i="2"/>
  <c r="BL163" i="2"/>
  <c r="BP125" i="2"/>
  <c r="BP163" i="2"/>
  <c r="BQ126" i="2"/>
  <c r="BQ164" i="2"/>
  <c r="BO126" i="2"/>
  <c r="BO164" i="2"/>
  <c r="BL126" i="2"/>
  <c r="BL164" i="2"/>
  <c r="BN126" i="2"/>
  <c r="BN164" i="2"/>
  <c r="BP126" i="2"/>
  <c r="BP164" i="2"/>
  <c r="BM126" i="2"/>
  <c r="BM164" i="2"/>
  <c r="AL79" i="4"/>
  <c r="H67" i="27"/>
  <c r="E80" i="27"/>
  <c r="AK72" i="4"/>
  <c r="AK79" i="4" s="1"/>
  <c r="AJ72" i="4"/>
  <c r="AJ79" i="4" s="1"/>
  <c r="AI42" i="2"/>
  <c r="D68" i="27"/>
  <c r="D76" i="27"/>
  <c r="C66" i="27"/>
  <c r="D86" i="27"/>
  <c r="AE42" i="2"/>
  <c r="AM560" i="111" s="1"/>
  <c r="F68" i="27"/>
  <c r="C67" i="27"/>
  <c r="C74" i="27"/>
  <c r="F74" i="27"/>
  <c r="G67" i="27"/>
  <c r="D70" i="27"/>
  <c r="D66" i="27"/>
  <c r="B74" i="27"/>
  <c r="S73" i="2"/>
  <c r="T73" i="2"/>
  <c r="AE73" i="2"/>
  <c r="H19" i="58"/>
  <c r="H22" i="58" s="1"/>
  <c r="H38" i="58" s="1"/>
  <c r="H40" i="58" s="1"/>
  <c r="F82" i="27"/>
  <c r="C70" i="27"/>
  <c r="AB42" i="2"/>
  <c r="AJ560" i="111" s="1"/>
  <c r="E74" i="27"/>
  <c r="G79" i="27"/>
  <c r="D74" i="27"/>
  <c r="E82" i="27"/>
  <c r="B67" i="27"/>
  <c r="G70" i="27"/>
  <c r="T42" i="2"/>
  <c r="F73" i="27"/>
  <c r="S42" i="2"/>
  <c r="AA560" i="111" s="1"/>
  <c r="X42" i="2"/>
  <c r="AF560" i="111" s="1"/>
  <c r="F70" i="27"/>
  <c r="B66" i="27"/>
  <c r="G76" i="27"/>
  <c r="G73" i="27"/>
  <c r="W42" i="2"/>
  <c r="AE560" i="111" s="1"/>
  <c r="H80" i="27"/>
  <c r="G82" i="27"/>
  <c r="X73" i="2"/>
  <c r="B62" i="27"/>
  <c r="D80" i="27"/>
  <c r="C19" i="58"/>
  <c r="C22" i="58" s="1"/>
  <c r="C38" i="58" s="1"/>
  <c r="C41" i="58" s="1"/>
  <c r="E70" i="27"/>
  <c r="C86" i="27"/>
  <c r="I10" i="2"/>
  <c r="B80" i="27"/>
  <c r="H73" i="27"/>
  <c r="B79" i="27"/>
  <c r="F80" i="27"/>
  <c r="E67" i="27"/>
  <c r="F67" i="27"/>
  <c r="P73" i="2"/>
  <c r="W73" i="2"/>
  <c r="P123" i="4"/>
  <c r="K123" i="4"/>
  <c r="B70" i="27"/>
  <c r="D123" i="4"/>
  <c r="H38" i="60"/>
  <c r="C80" i="27"/>
  <c r="D44" i="60"/>
  <c r="F66" i="27"/>
  <c r="E86" i="27"/>
  <c r="H68" i="27"/>
  <c r="H76" i="27"/>
  <c r="K42" i="2"/>
  <c r="S560" i="111" s="1"/>
  <c r="AA123" i="4"/>
  <c r="B75" i="27"/>
  <c r="AV25" i="60"/>
  <c r="K132" i="4"/>
  <c r="AF19" i="58"/>
  <c r="AF22" i="58" s="1"/>
  <c r="G68" i="27"/>
  <c r="E66" i="27"/>
  <c r="D67" i="27"/>
  <c r="C123" i="4"/>
  <c r="C75" i="27"/>
  <c r="AK7" i="2"/>
  <c r="W123" i="4"/>
  <c r="E75" i="27"/>
  <c r="D73" i="27"/>
  <c r="AI73" i="2"/>
  <c r="H123" i="4"/>
  <c r="D81" i="27"/>
  <c r="K10" i="2"/>
  <c r="W132" i="4"/>
  <c r="AV6" i="60"/>
  <c r="AV12" i="60" s="1"/>
  <c r="AV18" i="60" s="1"/>
  <c r="AV36" i="60"/>
  <c r="E44" i="60"/>
  <c r="AM38" i="60"/>
  <c r="K43" i="60"/>
  <c r="L43" i="60" s="1"/>
  <c r="D138" i="4" s="1"/>
  <c r="L17" i="2"/>
  <c r="E17" i="2"/>
  <c r="AW41" i="60"/>
  <c r="AW17" i="60"/>
  <c r="AW14" i="60"/>
  <c r="I44" i="60"/>
  <c r="AU38" i="60"/>
  <c r="C132" i="4"/>
  <c r="AA38" i="60"/>
  <c r="F86" i="27"/>
  <c r="AW15" i="60"/>
  <c r="AW16" i="60"/>
  <c r="AO114" i="4" s="1"/>
  <c r="AW13" i="60"/>
  <c r="AW22" i="60"/>
  <c r="AW30" i="60"/>
  <c r="M7" i="2"/>
  <c r="S17" i="2"/>
  <c r="AE17" i="2"/>
  <c r="K7" i="2"/>
  <c r="B17" i="2"/>
  <c r="H7" i="2"/>
  <c r="U7" i="2"/>
  <c r="U10" i="2"/>
  <c r="S10" i="2"/>
  <c r="AE10" i="2"/>
  <c r="K28" i="2"/>
  <c r="S7" i="2"/>
  <c r="AE7" i="2"/>
  <c r="H10" i="2"/>
  <c r="T10" i="2"/>
  <c r="M10" i="2"/>
  <c r="AK10" i="2"/>
  <c r="B7" i="2"/>
  <c r="K17" i="2"/>
  <c r="M17" i="2"/>
  <c r="T7" i="2"/>
  <c r="Y10" i="2"/>
  <c r="B28" i="2"/>
  <c r="B10" i="2"/>
  <c r="G7" i="2"/>
  <c r="O7" i="2"/>
  <c r="W7" i="2"/>
  <c r="E7" i="2"/>
  <c r="Q10" i="2"/>
  <c r="G10" i="2"/>
  <c r="O10" i="2"/>
  <c r="W10" i="2"/>
  <c r="G17" i="2"/>
  <c r="O17" i="2"/>
  <c r="W17" i="2"/>
  <c r="L7" i="2"/>
  <c r="L10" i="2"/>
  <c r="I7" i="2"/>
  <c r="Q7" i="2"/>
  <c r="E10" i="2"/>
  <c r="C10" i="2"/>
  <c r="AA28" i="2"/>
  <c r="C17" i="2"/>
  <c r="AO166" i="8"/>
  <c r="AO165" i="8"/>
  <c r="H17" i="2"/>
  <c r="T17" i="2"/>
  <c r="U17" i="2"/>
  <c r="AG17" i="2"/>
  <c r="S34" i="4"/>
  <c r="S36" i="4" s="1"/>
  <c r="I12" i="2"/>
  <c r="R34" i="4"/>
  <c r="Q12" i="2"/>
  <c r="T34" i="4"/>
  <c r="T36" i="4" s="1"/>
  <c r="B34" i="4"/>
  <c r="D34" i="4"/>
  <c r="O34" i="4"/>
  <c r="G80" i="27"/>
  <c r="B82" i="27"/>
  <c r="Y17" i="2"/>
  <c r="P42" i="2"/>
  <c r="S123" i="4"/>
  <c r="C42" i="2"/>
  <c r="S132" i="4"/>
  <c r="B69" i="27"/>
  <c r="AC7" i="2"/>
  <c r="AC10" i="2"/>
  <c r="E79" i="27"/>
  <c r="AA10" i="2"/>
  <c r="H75" i="27"/>
  <c r="AC17" i="2"/>
  <c r="O123" i="4"/>
  <c r="H79" i="27"/>
  <c r="O132" i="4"/>
  <c r="AH34" i="4"/>
  <c r="AA7" i="2"/>
  <c r="AD34" i="4"/>
  <c r="AD36" i="4" s="1"/>
  <c r="AA12" i="2"/>
  <c r="Y12" i="2"/>
  <c r="AG34" i="4"/>
  <c r="O42" i="2"/>
  <c r="Y7" i="2"/>
  <c r="AG7" i="2"/>
  <c r="AA132" i="4"/>
  <c r="B73" i="27"/>
  <c r="E73" i="27"/>
  <c r="AI12" i="2"/>
  <c r="I79" i="4"/>
  <c r="Y79" i="4"/>
  <c r="AG10" i="2"/>
  <c r="AI10" i="2"/>
  <c r="AI34" i="4"/>
  <c r="AI36" i="4" s="1"/>
  <c r="AM12" i="2"/>
  <c r="R79" i="4"/>
  <c r="AM100" i="4"/>
  <c r="L123" i="4"/>
  <c r="AI72" i="4"/>
  <c r="AI79" i="4" s="1"/>
  <c r="L42" i="2"/>
  <c r="C68" i="27"/>
  <c r="X100" i="4"/>
  <c r="N117" i="2"/>
  <c r="C79" i="27"/>
  <c r="G132" i="4"/>
  <c r="J17" i="2"/>
  <c r="R17" i="2"/>
  <c r="Z17" i="2"/>
  <c r="AH17" i="2"/>
  <c r="D17" i="2"/>
  <c r="AB17" i="2"/>
  <c r="AJ17" i="2"/>
  <c r="F17" i="2"/>
  <c r="N17" i="2"/>
  <c r="V17" i="2"/>
  <c r="AD17" i="2"/>
  <c r="AL17" i="2"/>
  <c r="P17" i="2"/>
  <c r="X17" i="2"/>
  <c r="AF17" i="2"/>
  <c r="H81" i="27"/>
  <c r="AH73" i="2"/>
  <c r="I73" i="2"/>
  <c r="X12" i="2"/>
  <c r="R12" i="2"/>
  <c r="AH12" i="2"/>
  <c r="F73" i="2"/>
  <c r="R73" i="2"/>
  <c r="Z73" i="2"/>
  <c r="F76" i="27"/>
  <c r="G73" i="2"/>
  <c r="AL12" i="2"/>
  <c r="AB12" i="2"/>
  <c r="F12" i="2"/>
  <c r="V12" i="2"/>
  <c r="J73" i="2"/>
  <c r="AD73" i="2"/>
  <c r="AL73" i="2"/>
  <c r="D12" i="2"/>
  <c r="AF12" i="2"/>
  <c r="J12" i="2"/>
  <c r="Z12" i="2"/>
  <c r="N73" i="2"/>
  <c r="V73" i="2"/>
  <c r="H73" i="2"/>
  <c r="AJ12" i="2"/>
  <c r="P12" i="2"/>
  <c r="N12" i="2"/>
  <c r="AD12" i="2"/>
  <c r="Q79" i="4"/>
  <c r="AJ107" i="2"/>
  <c r="Z100" i="4"/>
  <c r="E79" i="4"/>
  <c r="R100" i="4"/>
  <c r="Z79" i="4"/>
  <c r="P79" i="4"/>
  <c r="U79" i="4"/>
  <c r="AL100" i="4"/>
  <c r="G106" i="2"/>
  <c r="M79" i="4"/>
  <c r="O79" i="4"/>
  <c r="V107" i="2"/>
  <c r="AH100" i="4"/>
  <c r="B68" i="27"/>
  <c r="AJ100" i="4"/>
  <c r="E68" i="27"/>
  <c r="AI100" i="4"/>
  <c r="C73" i="27"/>
  <c r="G75" i="27"/>
  <c r="U31" i="60"/>
  <c r="M126" i="4" s="1"/>
  <c r="M63" i="2" s="1"/>
  <c r="M78" i="2" s="1"/>
  <c r="L126" i="4"/>
  <c r="L100" i="4"/>
  <c r="J100" i="4"/>
  <c r="T123" i="4"/>
  <c r="C38" i="60"/>
  <c r="V79" i="4"/>
  <c r="G123" i="4"/>
  <c r="W107" i="2"/>
  <c r="V233" i="8"/>
  <c r="M107" i="2"/>
  <c r="AI117" i="2"/>
  <c r="F106" i="2"/>
  <c r="K107" i="2"/>
  <c r="AL469" i="94"/>
  <c r="BQ479" i="94"/>
  <c r="J19" i="58"/>
  <c r="J22" i="58" s="1"/>
  <c r="J38" i="58" s="1"/>
  <c r="J41" i="58" s="1"/>
  <c r="AD19" i="58"/>
  <c r="AD22" i="58" s="1"/>
  <c r="M46" i="2"/>
  <c r="M285" i="8" s="1"/>
  <c r="M286" i="8" s="1"/>
  <c r="AN19" i="58"/>
  <c r="AN22" i="58" s="1"/>
  <c r="I19" i="58"/>
  <c r="I22" i="58" s="1"/>
  <c r="I38" i="58" s="1"/>
  <c r="I41" i="58" s="1"/>
  <c r="Y19" i="58"/>
  <c r="Y22" i="58" s="1"/>
  <c r="F19" i="58"/>
  <c r="F22" i="58" s="1"/>
  <c r="F38" i="58" s="1"/>
  <c r="F41" i="58" s="1"/>
  <c r="N19" i="58"/>
  <c r="N22" i="58" s="1"/>
  <c r="N38" i="58" s="1"/>
  <c r="N40" i="58" s="1"/>
  <c r="D19" i="58"/>
  <c r="D22" i="58" s="1"/>
  <c r="D38" i="58" s="1"/>
  <c r="R19" i="58"/>
  <c r="R22" i="58" s="1"/>
  <c r="R38" i="58" s="1"/>
  <c r="R41" i="58" s="1"/>
  <c r="P19" i="58"/>
  <c r="P22" i="58" s="1"/>
  <c r="P38" i="58" s="1"/>
  <c r="P40" i="58" s="1"/>
  <c r="AG122" i="94"/>
  <c r="AG124" i="94"/>
  <c r="AG121" i="94"/>
  <c r="AG126" i="94"/>
  <c r="AG118" i="94"/>
  <c r="AG117" i="94"/>
  <c r="AG119" i="94"/>
  <c r="AG123" i="94"/>
  <c r="V47" i="94"/>
  <c r="V43" i="94"/>
  <c r="V48" i="94"/>
  <c r="V44" i="94"/>
  <c r="V49" i="94"/>
  <c r="V45" i="94"/>
  <c r="V46" i="94"/>
  <c r="V50" i="94"/>
  <c r="Z47" i="94"/>
  <c r="Z43" i="94"/>
  <c r="Z45" i="94"/>
  <c r="Z49" i="94"/>
  <c r="Z44" i="94"/>
  <c r="Z48" i="94"/>
  <c r="Z46" i="94"/>
  <c r="Z50" i="94"/>
  <c r="AD47" i="94"/>
  <c r="AD43" i="94"/>
  <c r="AD48" i="94"/>
  <c r="AD46" i="94"/>
  <c r="AD49" i="94"/>
  <c r="AD45" i="94"/>
  <c r="AD44" i="94"/>
  <c r="AD50" i="94"/>
  <c r="AA48" i="94"/>
  <c r="AA44" i="94"/>
  <c r="AA47" i="94"/>
  <c r="AA45" i="94"/>
  <c r="AA50" i="94"/>
  <c r="AA49" i="94"/>
  <c r="AA46" i="94"/>
  <c r="AA43" i="94"/>
  <c r="D49" i="94"/>
  <c r="D45" i="94"/>
  <c r="D48" i="94"/>
  <c r="D46" i="94"/>
  <c r="D43" i="94"/>
  <c r="D47" i="94"/>
  <c r="D44" i="94"/>
  <c r="D50" i="94"/>
  <c r="V123" i="94"/>
  <c r="V118" i="94"/>
  <c r="V124" i="94"/>
  <c r="V119" i="94"/>
  <c r="V126" i="94"/>
  <c r="V121" i="94"/>
  <c r="V117" i="94"/>
  <c r="V122" i="94"/>
  <c r="AD124" i="94"/>
  <c r="AD121" i="94"/>
  <c r="AD122" i="94"/>
  <c r="AD118" i="94"/>
  <c r="AD119" i="94"/>
  <c r="AD123" i="94"/>
  <c r="AD126" i="94"/>
  <c r="AD117" i="94"/>
  <c r="AL124" i="94"/>
  <c r="AL121" i="94"/>
  <c r="AL122" i="94"/>
  <c r="AL118" i="94"/>
  <c r="AL117" i="94"/>
  <c r="AL119" i="94"/>
  <c r="AL123" i="94"/>
  <c r="AL126" i="94"/>
  <c r="X49" i="94"/>
  <c r="X45" i="94"/>
  <c r="X48" i="94"/>
  <c r="X50" i="94"/>
  <c r="X46" i="94"/>
  <c r="X43" i="94"/>
  <c r="X44" i="94"/>
  <c r="X47" i="94"/>
  <c r="R46" i="94"/>
  <c r="R48" i="94"/>
  <c r="R45" i="94"/>
  <c r="R49" i="94"/>
  <c r="R44" i="94"/>
  <c r="R43" i="94"/>
  <c r="R50" i="94"/>
  <c r="R47" i="94"/>
  <c r="AM124" i="94"/>
  <c r="AM121" i="94"/>
  <c r="AM122" i="94"/>
  <c r="AM118" i="94"/>
  <c r="AM123" i="94"/>
  <c r="AM117" i="94"/>
  <c r="AM126" i="94"/>
  <c r="AM119" i="94"/>
  <c r="AC46" i="94"/>
  <c r="AC49" i="94"/>
  <c r="AC47" i="94"/>
  <c r="AC43" i="94"/>
  <c r="AC48" i="94"/>
  <c r="AC44" i="94"/>
  <c r="AC45" i="94"/>
  <c r="AC50" i="94"/>
  <c r="G48" i="94"/>
  <c r="G44" i="94"/>
  <c r="G49" i="94"/>
  <c r="G47" i="94"/>
  <c r="G46" i="94"/>
  <c r="G45" i="94"/>
  <c r="G43" i="94"/>
  <c r="G50" i="94"/>
  <c r="F47" i="94"/>
  <c r="F48" i="94"/>
  <c r="F44" i="94"/>
  <c r="F49" i="94"/>
  <c r="F45" i="94"/>
  <c r="F46" i="94"/>
  <c r="F50" i="94"/>
  <c r="F43" i="94"/>
  <c r="Y122" i="94"/>
  <c r="Y117" i="94"/>
  <c r="Y124" i="94"/>
  <c r="Y126" i="94"/>
  <c r="Y121" i="94"/>
  <c r="Y118" i="94"/>
  <c r="Y119" i="94"/>
  <c r="Y123" i="94"/>
  <c r="T49" i="94"/>
  <c r="T45" i="94"/>
  <c r="T48" i="94"/>
  <c r="T46" i="94"/>
  <c r="T43" i="94"/>
  <c r="T47" i="94"/>
  <c r="T44" i="94"/>
  <c r="T50" i="94"/>
  <c r="AF121" i="94"/>
  <c r="AF122" i="94"/>
  <c r="AF124" i="94"/>
  <c r="AF119" i="94"/>
  <c r="AF117" i="94"/>
  <c r="AF118" i="94"/>
  <c r="AF123" i="94"/>
  <c r="AF126" i="94"/>
  <c r="AH47" i="94"/>
  <c r="AH43" i="94"/>
  <c r="AH46" i="94"/>
  <c r="AH49" i="94"/>
  <c r="AH48" i="94"/>
  <c r="AH45" i="94"/>
  <c r="AH44" i="94"/>
  <c r="AH50" i="94"/>
  <c r="H49" i="94"/>
  <c r="H45" i="94"/>
  <c r="H48" i="94"/>
  <c r="H46" i="94"/>
  <c r="H43" i="94"/>
  <c r="H47" i="94"/>
  <c r="H44" i="94"/>
  <c r="H50" i="94"/>
  <c r="S48" i="94"/>
  <c r="S44" i="94"/>
  <c r="S46" i="94"/>
  <c r="S43" i="94"/>
  <c r="S50" i="94"/>
  <c r="S47" i="94"/>
  <c r="S45" i="94"/>
  <c r="S49" i="94"/>
  <c r="AI48" i="94"/>
  <c r="AI44" i="94"/>
  <c r="AI47" i="94"/>
  <c r="AI46" i="94"/>
  <c r="AI43" i="94"/>
  <c r="AI45" i="94"/>
  <c r="AI49" i="94"/>
  <c r="AI50" i="94"/>
  <c r="M46" i="94"/>
  <c r="M49" i="94"/>
  <c r="M48" i="94"/>
  <c r="M47" i="94"/>
  <c r="M44" i="94"/>
  <c r="M45" i="94"/>
  <c r="M50" i="94"/>
  <c r="M43" i="94"/>
  <c r="Q46" i="94"/>
  <c r="Q49" i="94"/>
  <c r="Q44" i="94"/>
  <c r="Q48" i="94"/>
  <c r="Q45" i="94"/>
  <c r="Q50" i="94"/>
  <c r="Q43" i="94"/>
  <c r="Q47" i="94"/>
  <c r="Z124" i="94"/>
  <c r="Z121" i="94"/>
  <c r="Z122" i="94"/>
  <c r="Z117" i="94"/>
  <c r="Z123" i="94"/>
  <c r="Z126" i="94"/>
  <c r="Z118" i="94"/>
  <c r="Z119" i="94"/>
  <c r="AH124" i="94"/>
  <c r="AH121" i="94"/>
  <c r="AH122" i="94"/>
  <c r="AH117" i="94"/>
  <c r="AH123" i="94"/>
  <c r="AH126" i="94"/>
  <c r="AH118" i="94"/>
  <c r="AH119" i="94"/>
  <c r="AF49" i="94"/>
  <c r="AF45" i="94"/>
  <c r="AF48" i="94"/>
  <c r="AF50" i="94"/>
  <c r="AF47" i="94"/>
  <c r="AF44" i="94"/>
  <c r="AF46" i="94"/>
  <c r="AF43" i="94"/>
  <c r="J47" i="94"/>
  <c r="J45" i="94"/>
  <c r="J44" i="94"/>
  <c r="J49" i="94"/>
  <c r="J48" i="94"/>
  <c r="J46" i="94"/>
  <c r="J43" i="94"/>
  <c r="J50" i="94"/>
  <c r="U46" i="94"/>
  <c r="U49" i="94"/>
  <c r="U45" i="94"/>
  <c r="U48" i="94"/>
  <c r="U47" i="94"/>
  <c r="U44" i="94"/>
  <c r="U43" i="94"/>
  <c r="U50" i="94"/>
  <c r="AK46" i="94"/>
  <c r="AK49" i="94"/>
  <c r="AK47" i="94"/>
  <c r="AK45" i="94"/>
  <c r="AK48" i="94"/>
  <c r="AK44" i="94"/>
  <c r="AK43" i="94"/>
  <c r="AK50" i="94"/>
  <c r="O48" i="94"/>
  <c r="O44" i="94"/>
  <c r="O49" i="94"/>
  <c r="O45" i="94"/>
  <c r="O46" i="94"/>
  <c r="O47" i="94"/>
  <c r="O43" i="94"/>
  <c r="O50" i="94"/>
  <c r="L49" i="94"/>
  <c r="L45" i="94"/>
  <c r="L48" i="94"/>
  <c r="L47" i="94"/>
  <c r="L44" i="94"/>
  <c r="L46" i="94"/>
  <c r="L43" i="94"/>
  <c r="L50" i="94"/>
  <c r="P49" i="94"/>
  <c r="P45" i="94"/>
  <c r="P48" i="94"/>
  <c r="P47" i="94"/>
  <c r="P44" i="94"/>
  <c r="P46" i="94"/>
  <c r="P43" i="94"/>
  <c r="P50" i="94"/>
  <c r="W48" i="94"/>
  <c r="W44" i="94"/>
  <c r="W49" i="94"/>
  <c r="W47" i="94"/>
  <c r="W46" i="94"/>
  <c r="W43" i="94"/>
  <c r="W45" i="94"/>
  <c r="W50" i="94"/>
  <c r="AJ49" i="94"/>
  <c r="AJ45" i="94"/>
  <c r="AJ48" i="94"/>
  <c r="AJ47" i="94"/>
  <c r="AJ46" i="94"/>
  <c r="AJ43" i="94"/>
  <c r="AJ50" i="94"/>
  <c r="AJ44" i="94"/>
  <c r="N47" i="94"/>
  <c r="N48" i="94"/>
  <c r="N46" i="94"/>
  <c r="N49" i="94"/>
  <c r="N45" i="94"/>
  <c r="N44" i="94"/>
  <c r="N50" i="94"/>
  <c r="N43" i="94"/>
  <c r="Y46" i="94"/>
  <c r="Y49" i="94"/>
  <c r="Y45" i="94"/>
  <c r="Y48" i="94"/>
  <c r="Y47" i="94"/>
  <c r="Y44" i="94"/>
  <c r="Y43" i="94"/>
  <c r="Y50" i="94"/>
  <c r="AH19" i="58"/>
  <c r="AH22" i="58" s="1"/>
  <c r="AL47" i="94"/>
  <c r="AL43" i="94"/>
  <c r="AL48" i="94"/>
  <c r="AL44" i="94"/>
  <c r="AL49" i="94"/>
  <c r="AL45" i="94"/>
  <c r="AL46" i="94"/>
  <c r="AL50" i="94"/>
  <c r="C48" i="94"/>
  <c r="C44" i="94"/>
  <c r="C46" i="94"/>
  <c r="C45" i="94"/>
  <c r="C49" i="94"/>
  <c r="C47" i="94"/>
  <c r="C50" i="94"/>
  <c r="C43" i="94"/>
  <c r="U122" i="94"/>
  <c r="U117" i="94"/>
  <c r="U123" i="94"/>
  <c r="U118" i="94"/>
  <c r="U124" i="94"/>
  <c r="U119" i="94"/>
  <c r="U126" i="94"/>
  <c r="U121" i="94"/>
  <c r="AC122" i="94"/>
  <c r="AC124" i="94"/>
  <c r="AC121" i="94"/>
  <c r="AC126" i="94"/>
  <c r="AC119" i="94"/>
  <c r="AC123" i="94"/>
  <c r="AC117" i="94"/>
  <c r="AC118" i="94"/>
  <c r="AK122" i="94"/>
  <c r="AK124" i="94"/>
  <c r="AK121" i="94"/>
  <c r="AK119" i="94"/>
  <c r="AK118" i="94"/>
  <c r="AK123" i="94"/>
  <c r="AK126" i="94"/>
  <c r="AK117" i="94"/>
  <c r="AE48" i="94"/>
  <c r="AE44" i="94"/>
  <c r="AE47" i="94"/>
  <c r="AE49" i="94"/>
  <c r="AE45" i="94"/>
  <c r="AE46" i="94"/>
  <c r="AE43" i="94"/>
  <c r="AE50" i="94"/>
  <c r="I46" i="94"/>
  <c r="I49" i="94"/>
  <c r="I45" i="94"/>
  <c r="I47" i="94"/>
  <c r="I44" i="94"/>
  <c r="I48" i="94"/>
  <c r="I43" i="94"/>
  <c r="I50" i="94"/>
  <c r="AB49" i="94"/>
  <c r="AB45" i="94"/>
  <c r="AB48" i="94"/>
  <c r="AB44" i="94"/>
  <c r="AB47" i="94"/>
  <c r="AB46" i="94"/>
  <c r="AB43" i="94"/>
  <c r="AB50" i="94"/>
  <c r="E50" i="94"/>
  <c r="E46" i="94"/>
  <c r="E49" i="94"/>
  <c r="E45" i="94"/>
  <c r="E48" i="94"/>
  <c r="E47" i="94"/>
  <c r="E44" i="94"/>
  <c r="E43" i="94"/>
  <c r="AG46" i="94"/>
  <c r="AG49" i="94"/>
  <c r="AG44" i="94"/>
  <c r="AG43" i="94"/>
  <c r="AG47" i="94"/>
  <c r="AG48" i="94"/>
  <c r="AG45" i="94"/>
  <c r="AG50" i="94"/>
  <c r="K48" i="94"/>
  <c r="K44" i="94"/>
  <c r="K47" i="94"/>
  <c r="K50" i="94"/>
  <c r="K49" i="94"/>
  <c r="K46" i="94"/>
  <c r="K45" i="94"/>
  <c r="K43" i="94"/>
  <c r="K67" i="58"/>
  <c r="T41" i="58"/>
  <c r="D67" i="58"/>
  <c r="Z19" i="58"/>
  <c r="Z22" i="58" s="1"/>
  <c r="V19" i="58"/>
  <c r="V22" i="58" s="1"/>
  <c r="V38" i="58" s="1"/>
  <c r="V40" i="58" s="1"/>
  <c r="AL19" i="58"/>
  <c r="AL22" i="58" s="1"/>
  <c r="AL38" i="58" s="1"/>
  <c r="AL41" i="58" s="1"/>
  <c r="AI19" i="58"/>
  <c r="AI22" i="58" s="1"/>
  <c r="Q40" i="58"/>
  <c r="Q41" i="58"/>
  <c r="AJ10" i="2"/>
  <c r="AG19" i="58"/>
  <c r="AG22" i="58" s="1"/>
  <c r="L19" i="58"/>
  <c r="L22" i="58" s="1"/>
  <c r="L38" i="58" s="1"/>
  <c r="AJ7" i="2"/>
  <c r="O40" i="58"/>
  <c r="O41" i="58"/>
  <c r="X67" i="58"/>
  <c r="AM40" i="58"/>
  <c r="H67" i="58"/>
  <c r="O67" i="58"/>
  <c r="K19" i="58"/>
  <c r="K22" i="58" s="1"/>
  <c r="K38" i="58" s="1"/>
  <c r="K41" i="58" s="1"/>
  <c r="E19" i="58"/>
  <c r="E22" i="58" s="1"/>
  <c r="E38" i="58" s="1"/>
  <c r="E40" i="58" s="1"/>
  <c r="AK19" i="58"/>
  <c r="AK22" i="58" s="1"/>
  <c r="G19" i="58"/>
  <c r="G22" i="58" s="1"/>
  <c r="G38" i="58" s="1"/>
  <c r="AK245" i="8"/>
  <c r="BQ125" i="2"/>
  <c r="N111" i="2"/>
  <c r="N112" i="2" s="1"/>
  <c r="N329" i="8" s="1"/>
  <c r="H79" i="4"/>
  <c r="X79" i="4"/>
  <c r="B100" i="4"/>
  <c r="AD79" i="4"/>
  <c r="F79" i="4"/>
  <c r="AN112" i="2"/>
  <c r="AN329" i="8" s="1"/>
  <c r="AN115" i="2"/>
  <c r="AA100" i="4"/>
  <c r="C79" i="4"/>
  <c r="F100" i="4"/>
  <c r="AE79" i="4"/>
  <c r="F79" i="27"/>
  <c r="C82" i="27"/>
  <c r="AN107" i="2"/>
  <c r="AN106" i="2"/>
  <c r="AJ245" i="8"/>
  <c r="G109" i="2"/>
  <c r="G117" i="2"/>
  <c r="AD245" i="8"/>
  <c r="AE245" i="8"/>
  <c r="AF245" i="8"/>
  <c r="AC245" i="8"/>
  <c r="AG239" i="8"/>
  <c r="AF239" i="8"/>
  <c r="AD239" i="8"/>
  <c r="AE239" i="8"/>
  <c r="AC239" i="8"/>
  <c r="Y239" i="8"/>
  <c r="AB239" i="8"/>
  <c r="AJ239" i="8"/>
  <c r="Z239" i="8"/>
  <c r="AH239" i="8"/>
  <c r="AA239" i="8"/>
  <c r="AI239" i="8"/>
  <c r="AK239" i="8"/>
  <c r="U233" i="8"/>
  <c r="M40" i="58"/>
  <c r="M41" i="58"/>
  <c r="S41" i="58"/>
  <c r="X233" i="8"/>
  <c r="Q46" i="2"/>
  <c r="Q285" i="8" s="1"/>
  <c r="Q287" i="8" s="1"/>
  <c r="AA70" i="8"/>
  <c r="AA69" i="8"/>
  <c r="AA68" i="8"/>
  <c r="AE70" i="8"/>
  <c r="AE69" i="8"/>
  <c r="AE68" i="8"/>
  <c r="AI70" i="8"/>
  <c r="AI68" i="8"/>
  <c r="AI69" i="8"/>
  <c r="AM70" i="8"/>
  <c r="AM68" i="8"/>
  <c r="AM69" i="8"/>
  <c r="Z70" i="8"/>
  <c r="Z68" i="8"/>
  <c r="Z69" i="8"/>
  <c r="AD70" i="8"/>
  <c r="AD68" i="8"/>
  <c r="AD69" i="8"/>
  <c r="AL68" i="8"/>
  <c r="AL70" i="8"/>
  <c r="AL69" i="8"/>
  <c r="AA60" i="8"/>
  <c r="AA59" i="8"/>
  <c r="AA58" i="8"/>
  <c r="AE60" i="8"/>
  <c r="AE59" i="8"/>
  <c r="AE58" i="8"/>
  <c r="AI60" i="8"/>
  <c r="AI58" i="8"/>
  <c r="AI59" i="8"/>
  <c r="AM60" i="8"/>
  <c r="AM58" i="8"/>
  <c r="AM59" i="8"/>
  <c r="AK70" i="8"/>
  <c r="AK68" i="8"/>
  <c r="AK69" i="8"/>
  <c r="AB70" i="8"/>
  <c r="AB69" i="8"/>
  <c r="AB68" i="8"/>
  <c r="AF70" i="8"/>
  <c r="AF68" i="8"/>
  <c r="AF69" i="8"/>
  <c r="AJ70" i="8"/>
  <c r="AJ69" i="8"/>
  <c r="AJ68" i="8"/>
  <c r="AC70" i="8"/>
  <c r="AC68" i="8"/>
  <c r="AC69" i="8"/>
  <c r="Z60" i="8"/>
  <c r="Z58" i="8"/>
  <c r="Z59" i="8"/>
  <c r="AD60" i="8"/>
  <c r="AD58" i="8"/>
  <c r="AD59" i="8"/>
  <c r="AH60" i="8"/>
  <c r="AH58" i="8"/>
  <c r="AH59" i="8"/>
  <c r="AL60" i="8"/>
  <c r="AL58" i="8"/>
  <c r="AL59" i="8"/>
  <c r="AG70" i="8"/>
  <c r="AG69" i="8"/>
  <c r="AG68" i="8"/>
  <c r="AK60" i="8"/>
  <c r="AK58" i="8"/>
  <c r="AK59" i="8"/>
  <c r="AB60" i="8"/>
  <c r="AB59" i="8"/>
  <c r="AB58" i="8"/>
  <c r="AF60" i="8"/>
  <c r="AF58" i="8"/>
  <c r="AF59" i="8"/>
  <c r="AJ60" i="8"/>
  <c r="AJ58" i="8"/>
  <c r="AJ59" i="8"/>
  <c r="AC60" i="8"/>
  <c r="AC58" i="8"/>
  <c r="AC59" i="8"/>
  <c r="AG60" i="8"/>
  <c r="AG59" i="8"/>
  <c r="AG58" i="8"/>
  <c r="AH70" i="8"/>
  <c r="AH68" i="8"/>
  <c r="AH69" i="8"/>
  <c r="L13" i="11"/>
  <c r="C106" i="2"/>
  <c r="Y119" i="2"/>
  <c r="Y120" i="2" s="1"/>
  <c r="AG542" i="111" s="1"/>
  <c r="O107" i="2"/>
  <c r="W119" i="2"/>
  <c r="W120" i="2" s="1"/>
  <c r="AE542" i="111" s="1"/>
  <c r="AE109" i="2"/>
  <c r="I111" i="2"/>
  <c r="I112" i="2" s="1"/>
  <c r="I329" i="8" s="1"/>
  <c r="AC119" i="2"/>
  <c r="AC120" i="2" s="1"/>
  <c r="AK542" i="111" s="1"/>
  <c r="M119" i="2"/>
  <c r="M120" i="2" s="1"/>
  <c r="U542" i="111" s="1"/>
  <c r="AI119" i="2"/>
  <c r="AI120" i="2" s="1"/>
  <c r="AJ111" i="2"/>
  <c r="AJ112" i="2" s="1"/>
  <c r="AJ329" i="8" s="1"/>
  <c r="AH106" i="2"/>
  <c r="AD111" i="2"/>
  <c r="AD112" i="2" s="1"/>
  <c r="AD329" i="8" s="1"/>
  <c r="U46" i="2"/>
  <c r="U285" i="8" s="1"/>
  <c r="U286" i="8" s="1"/>
  <c r="E117" i="2"/>
  <c r="E119" i="2"/>
  <c r="E120" i="2" s="1"/>
  <c r="M542" i="111" s="1"/>
  <c r="K111" i="2"/>
  <c r="K112" i="2" s="1"/>
  <c r="K329" i="8" s="1"/>
  <c r="J119" i="2"/>
  <c r="J120" i="2" s="1"/>
  <c r="R542" i="111" s="1"/>
  <c r="S111" i="2"/>
  <c r="S112" i="2" s="1"/>
  <c r="S329" i="8" s="1"/>
  <c r="R119" i="2"/>
  <c r="R120" i="2" s="1"/>
  <c r="Z542" i="111" s="1"/>
  <c r="AA111" i="2"/>
  <c r="AA115" i="2" s="1"/>
  <c r="Z119" i="2"/>
  <c r="Z120" i="2" s="1"/>
  <c r="AH542" i="111" s="1"/>
  <c r="T111" i="2"/>
  <c r="T112" i="2" s="1"/>
  <c r="T329" i="8" s="1"/>
  <c r="S119" i="2"/>
  <c r="S120" i="2" s="1"/>
  <c r="AA542" i="111" s="1"/>
  <c r="AE117" i="2"/>
  <c r="AE119" i="2"/>
  <c r="AE120" i="2" s="1"/>
  <c r="Q111" i="2"/>
  <c r="Q112" i="2" s="1"/>
  <c r="Q329" i="8" s="1"/>
  <c r="P119" i="2"/>
  <c r="P120" i="2" s="1"/>
  <c r="X542" i="111" s="1"/>
  <c r="AK111" i="2"/>
  <c r="AK115" i="2" s="1"/>
  <c r="AJ119" i="2"/>
  <c r="AJ120" i="2" s="1"/>
  <c r="I117" i="2"/>
  <c r="I119" i="2"/>
  <c r="I120" i="2" s="1"/>
  <c r="Q542" i="111" s="1"/>
  <c r="U117" i="2"/>
  <c r="U119" i="2"/>
  <c r="U120" i="2" s="1"/>
  <c r="AC542" i="111" s="1"/>
  <c r="AK117" i="2"/>
  <c r="AK119" i="2"/>
  <c r="AK120" i="2" s="1"/>
  <c r="AI111" i="2"/>
  <c r="AH119" i="2"/>
  <c r="AH120" i="2" s="1"/>
  <c r="C117" i="2"/>
  <c r="C119" i="2"/>
  <c r="C120" i="2" s="1"/>
  <c r="K542" i="111" s="1"/>
  <c r="O117" i="2"/>
  <c r="O119" i="2"/>
  <c r="O120" i="2" s="1"/>
  <c r="W542" i="111" s="1"/>
  <c r="AA119" i="2"/>
  <c r="AA120" i="2" s="1"/>
  <c r="AI542" i="111" s="1"/>
  <c r="AM117" i="2"/>
  <c r="AM119" i="2"/>
  <c r="AM120" i="2" s="1"/>
  <c r="H119" i="2"/>
  <c r="H120" i="2" s="1"/>
  <c r="P542" i="111" s="1"/>
  <c r="Y111" i="2"/>
  <c r="Y112" i="2" s="1"/>
  <c r="Y329" i="8" s="1"/>
  <c r="X119" i="2"/>
  <c r="X120" i="2" s="1"/>
  <c r="AF542" i="111" s="1"/>
  <c r="AG111" i="2"/>
  <c r="AG112" i="2" s="1"/>
  <c r="AG329" i="8" s="1"/>
  <c r="AF119" i="2"/>
  <c r="AF120" i="2" s="1"/>
  <c r="O111" i="2"/>
  <c r="O115" i="2" s="1"/>
  <c r="N119" i="2"/>
  <c r="N120" i="2" s="1"/>
  <c r="V542" i="111" s="1"/>
  <c r="W111" i="2"/>
  <c r="W112" i="2" s="1"/>
  <c r="W329" i="8" s="1"/>
  <c r="V119" i="2"/>
  <c r="V120" i="2" s="1"/>
  <c r="AD542" i="111" s="1"/>
  <c r="T119" i="2"/>
  <c r="T120" i="2" s="1"/>
  <c r="AB542" i="111" s="1"/>
  <c r="G119" i="2"/>
  <c r="G120" i="2" s="1"/>
  <c r="O542" i="111" s="1"/>
  <c r="Q119" i="2"/>
  <c r="Q120" i="2" s="1"/>
  <c r="Y542" i="111" s="1"/>
  <c r="AG119" i="2"/>
  <c r="AG120" i="2" s="1"/>
  <c r="G111" i="2"/>
  <c r="G112" i="2" s="1"/>
  <c r="G329" i="8" s="1"/>
  <c r="F119" i="2"/>
  <c r="F120" i="2" s="1"/>
  <c r="AE111" i="2"/>
  <c r="AE112" i="2" s="1"/>
  <c r="AE329" i="8" s="1"/>
  <c r="AD119" i="2"/>
  <c r="AD120" i="2" s="1"/>
  <c r="AM111" i="2"/>
  <c r="AM115" i="2" s="1"/>
  <c r="AL119" i="2"/>
  <c r="AL120" i="2" s="1"/>
  <c r="K109" i="2"/>
  <c r="K119" i="2"/>
  <c r="K120" i="2" s="1"/>
  <c r="S542" i="111" s="1"/>
  <c r="D119" i="2"/>
  <c r="D120" i="2" s="1"/>
  <c r="L542" i="111" s="1"/>
  <c r="AC111" i="2"/>
  <c r="AC112" i="2" s="1"/>
  <c r="AC329" i="8" s="1"/>
  <c r="AB119" i="2"/>
  <c r="AB120" i="2" s="1"/>
  <c r="AJ542" i="111" s="1"/>
  <c r="M111" i="2"/>
  <c r="M112" i="2" s="1"/>
  <c r="M329" i="8" s="1"/>
  <c r="L119" i="2"/>
  <c r="L120" i="2" s="1"/>
  <c r="T542" i="111" s="1"/>
  <c r="C111" i="2"/>
  <c r="C115" i="2" s="1"/>
  <c r="B119" i="2"/>
  <c r="B120" i="2" s="1"/>
  <c r="J542" i="111" s="1"/>
  <c r="AE106" i="2"/>
  <c r="AE107" i="2"/>
  <c r="AB107" i="2"/>
  <c r="M109" i="2"/>
  <c r="AD106" i="2"/>
  <c r="P106" i="2"/>
  <c r="X107" i="2"/>
  <c r="F111" i="2"/>
  <c r="F112" i="2" s="1"/>
  <c r="F329" i="8" s="1"/>
  <c r="AF111" i="2"/>
  <c r="AF112" i="2" s="1"/>
  <c r="AF329" i="8" s="1"/>
  <c r="E109" i="2"/>
  <c r="Q117" i="2"/>
  <c r="AG117" i="2"/>
  <c r="J107" i="2"/>
  <c r="D111" i="2"/>
  <c r="D112" i="2" s="1"/>
  <c r="W106" i="2"/>
  <c r="AH117" i="2"/>
  <c r="I109" i="2"/>
  <c r="AL111" i="2"/>
  <c r="AL112" i="2" s="1"/>
  <c r="AL329" i="8" s="1"/>
  <c r="H117" i="2"/>
  <c r="Z107" i="2"/>
  <c r="I46" i="2"/>
  <c r="I285" i="8" s="1"/>
  <c r="I287" i="8" s="1"/>
  <c r="N105" i="2"/>
  <c r="N106" i="2" s="1"/>
  <c r="H112" i="2"/>
  <c r="H329" i="8" s="1"/>
  <c r="M117" i="2"/>
  <c r="AJ117" i="2"/>
  <c r="T107" i="2"/>
  <c r="W117" i="2"/>
  <c r="S109" i="2"/>
  <c r="AH109" i="2"/>
  <c r="S117" i="2"/>
  <c r="W109" i="2"/>
  <c r="F117" i="2"/>
  <c r="R111" i="2"/>
  <c r="R112" i="2" s="1"/>
  <c r="R329" i="8" s="1"/>
  <c r="AD117" i="2"/>
  <c r="F109" i="2"/>
  <c r="L109" i="2"/>
  <c r="E111" i="2"/>
  <c r="E112" i="2" s="1"/>
  <c r="AH111" i="2"/>
  <c r="AH112" i="2" s="1"/>
  <c r="AH329" i="8" s="1"/>
  <c r="L117" i="2"/>
  <c r="AD109" i="2"/>
  <c r="N100" i="4"/>
  <c r="AD100" i="4"/>
  <c r="AL117" i="2"/>
  <c r="T100" i="4"/>
  <c r="D100" i="4"/>
  <c r="C100" i="4"/>
  <c r="E106" i="2"/>
  <c r="E107" i="2"/>
  <c r="U106" i="2"/>
  <c r="U107" i="2"/>
  <c r="X111" i="2"/>
  <c r="X112" i="2" s="1"/>
  <c r="X329" i="8" s="1"/>
  <c r="S105" i="2"/>
  <c r="S106" i="2" s="1"/>
  <c r="AA107" i="2"/>
  <c r="AM105" i="2"/>
  <c r="AM106" i="2" s="1"/>
  <c r="J111" i="2"/>
  <c r="J112" i="2" s="1"/>
  <c r="J329" i="8" s="1"/>
  <c r="D79" i="4"/>
  <c r="T79" i="4"/>
  <c r="V100" i="4"/>
  <c r="T106" i="2"/>
  <c r="AC105" i="2"/>
  <c r="AB117" i="2"/>
  <c r="N79" i="4"/>
  <c r="AB106" i="2"/>
  <c r="V109" i="2"/>
  <c r="D107" i="2"/>
  <c r="N109" i="2"/>
  <c r="AA109" i="2"/>
  <c r="L111" i="2"/>
  <c r="L112" i="2" s="1"/>
  <c r="L329" i="8" s="1"/>
  <c r="AC117" i="2"/>
  <c r="V117" i="2"/>
  <c r="V111" i="2"/>
  <c r="V112" i="2" s="1"/>
  <c r="V329" i="8" s="1"/>
  <c r="AC109" i="2"/>
  <c r="AK109" i="2"/>
  <c r="L79" i="4"/>
  <c r="AH79" i="4"/>
  <c r="P100" i="4"/>
  <c r="K117" i="2"/>
  <c r="B109" i="2"/>
  <c r="AL109" i="2"/>
  <c r="R107" i="2"/>
  <c r="AL107" i="2"/>
  <c r="B117" i="2"/>
  <c r="U109" i="2"/>
  <c r="AF79" i="4"/>
  <c r="AC79" i="4"/>
  <c r="D106" i="2"/>
  <c r="AF100" i="4"/>
  <c r="AK105" i="2"/>
  <c r="I106" i="2"/>
  <c r="Y106" i="2"/>
  <c r="Y117" i="2"/>
  <c r="G100" i="4"/>
  <c r="AA117" i="2"/>
  <c r="AG106" i="2"/>
  <c r="J79" i="4"/>
  <c r="T117" i="2"/>
  <c r="L106" i="2"/>
  <c r="O100" i="4"/>
  <c r="AJ106" i="2"/>
  <c r="H100" i="4"/>
  <c r="AB100" i="4"/>
  <c r="Y100" i="4"/>
  <c r="AE100" i="4"/>
  <c r="AF106" i="2"/>
  <c r="AF107" i="2"/>
  <c r="I107" i="2"/>
  <c r="Y107" i="2"/>
  <c r="M106" i="2"/>
  <c r="O109" i="2"/>
  <c r="J109" i="2"/>
  <c r="R117" i="2"/>
  <c r="Q109" i="2"/>
  <c r="AG109" i="2"/>
  <c r="AB79" i="4"/>
  <c r="L107" i="2"/>
  <c r="H107" i="2"/>
  <c r="U111" i="2"/>
  <c r="U115" i="2" s="1"/>
  <c r="C109" i="2"/>
  <c r="AI109" i="2"/>
  <c r="AB111" i="2"/>
  <c r="AB112" i="2" s="1"/>
  <c r="AB329" i="8" s="1"/>
  <c r="Z109" i="2"/>
  <c r="AI106" i="2"/>
  <c r="Z111" i="2"/>
  <c r="Z112" i="2" s="1"/>
  <c r="Z329" i="8" s="1"/>
  <c r="K100" i="4"/>
  <c r="W100" i="4"/>
  <c r="S79" i="4"/>
  <c r="AF117" i="2"/>
  <c r="P107" i="2"/>
  <c r="Q107" i="2"/>
  <c r="AG107" i="2"/>
  <c r="Q106" i="2"/>
  <c r="AM109" i="2"/>
  <c r="P111" i="2"/>
  <c r="P112" i="2" s="1"/>
  <c r="P329" i="8" s="1"/>
  <c r="J117" i="2"/>
  <c r="Z117" i="2"/>
  <c r="Y109" i="2"/>
  <c r="AG79" i="4"/>
  <c r="X106" i="2"/>
  <c r="H106" i="2"/>
  <c r="AA106" i="2"/>
  <c r="D23" i="4"/>
  <c r="S23" i="4"/>
  <c r="R23" i="4"/>
  <c r="T23" i="4"/>
  <c r="B23" i="4"/>
  <c r="J487" i="111" s="1"/>
  <c r="M23" i="4"/>
  <c r="O23" i="4"/>
  <c r="P10" i="2"/>
  <c r="D7" i="2"/>
  <c r="X10" i="2"/>
  <c r="G112" i="58"/>
  <c r="S75" i="58"/>
  <c r="R18" i="112" s="1"/>
  <c r="T75" i="58"/>
  <c r="S18" i="112" s="1"/>
  <c r="E112" i="58"/>
  <c r="C112" i="58"/>
  <c r="D112" i="58"/>
  <c r="F112" i="58"/>
  <c r="C107" i="2"/>
  <c r="I100" i="4"/>
  <c r="AD7" i="2"/>
  <c r="AQ204" i="8"/>
  <c r="AN204" i="8"/>
  <c r="AO184" i="8"/>
  <c r="AQ184" i="8"/>
  <c r="AD204" i="8"/>
  <c r="AN184" i="8"/>
  <c r="AA204" i="8"/>
  <c r="I194" i="8"/>
  <c r="I191" i="8" s="1"/>
  <c r="P146" i="8"/>
  <c r="Q146" i="8"/>
  <c r="N146" i="8"/>
  <c r="S146" i="8"/>
  <c r="R112" i="58"/>
  <c r="Q150" i="112" s="1"/>
  <c r="Q112" i="58"/>
  <c r="P150" i="112" s="1"/>
  <c r="P112" i="58"/>
  <c r="O150" i="112" s="1"/>
  <c r="O112" i="58"/>
  <c r="N150" i="112" s="1"/>
  <c r="N112" i="58"/>
  <c r="M112" i="58"/>
  <c r="L112" i="58"/>
  <c r="K112" i="58"/>
  <c r="J112" i="58"/>
  <c r="I112" i="58"/>
  <c r="H112" i="58"/>
  <c r="AB148" i="8"/>
  <c r="AC148" i="8"/>
  <c r="AA149" i="8"/>
  <c r="AA146" i="8" s="1"/>
  <c r="AA150" i="8" s="1"/>
  <c r="U148" i="8"/>
  <c r="T148" i="8"/>
  <c r="AJ149" i="8"/>
  <c r="AJ146" i="8" s="1"/>
  <c r="AJ150" i="8" s="1"/>
  <c r="AA164" i="8"/>
  <c r="AA165" i="8" s="1"/>
  <c r="AD148" i="8"/>
  <c r="V148" i="8"/>
  <c r="AL148" i="8"/>
  <c r="AF148" i="8"/>
  <c r="X148" i="8"/>
  <c r="K149" i="8"/>
  <c r="K146" i="8" s="1"/>
  <c r="AK149" i="8"/>
  <c r="AK146" i="8" s="1"/>
  <c r="AK150" i="8" s="1"/>
  <c r="Z149" i="8"/>
  <c r="Z146" i="8" s="1"/>
  <c r="Z150" i="8" s="1"/>
  <c r="AI149" i="8"/>
  <c r="AI146" i="8" s="1"/>
  <c r="AI150" i="8" s="1"/>
  <c r="U127" i="8"/>
  <c r="W149" i="8"/>
  <c r="W146" i="8" s="1"/>
  <c r="W150" i="8" s="1"/>
  <c r="AH149" i="8"/>
  <c r="AH146" i="8" s="1"/>
  <c r="AH150" i="8" s="1"/>
  <c r="AE149" i="8"/>
  <c r="AE146" i="8" s="1"/>
  <c r="AE150" i="8" s="1"/>
  <c r="L174" i="8"/>
  <c r="L171" i="8" s="1"/>
  <c r="Y149" i="8"/>
  <c r="Y146" i="8" s="1"/>
  <c r="Y150" i="8" s="1"/>
  <c r="AG149" i="8"/>
  <c r="AG146" i="8" s="1"/>
  <c r="AG150" i="8" s="1"/>
  <c r="AM149" i="8"/>
  <c r="AM146" i="8" s="1"/>
  <c r="AM150" i="8" s="1"/>
  <c r="AI12" i="4"/>
  <c r="AQ477" i="111" s="1"/>
  <c r="S12" i="4"/>
  <c r="AA477" i="111" s="1"/>
  <c r="AG164" i="8"/>
  <c r="AG166" i="8" s="1"/>
  <c r="AE164" i="8"/>
  <c r="AE166" i="8" s="1"/>
  <c r="AF12" i="4"/>
  <c r="AN477" i="111" s="1"/>
  <c r="AB7" i="2"/>
  <c r="AK164" i="8"/>
  <c r="AK165" i="8" s="1"/>
  <c r="AI164" i="8"/>
  <c r="AI165" i="8" s="1"/>
  <c r="AD164" i="8"/>
  <c r="AD165" i="8" s="1"/>
  <c r="AB164" i="8"/>
  <c r="AB166" i="8" s="1"/>
  <c r="Y164" i="8"/>
  <c r="Y166" i="8" s="1"/>
  <c r="AL164" i="8"/>
  <c r="AL165" i="8" s="1"/>
  <c r="Z265" i="8"/>
  <c r="F127" i="8"/>
  <c r="X132" i="8"/>
  <c r="X134" i="8" s="1"/>
  <c r="AB112" i="8"/>
  <c r="W112" i="8"/>
  <c r="J111" i="8"/>
  <c r="O111" i="8"/>
  <c r="L111" i="8"/>
  <c r="AL112" i="8"/>
  <c r="K111" i="8"/>
  <c r="I148" i="8"/>
  <c r="AL7" i="2"/>
  <c r="AL10" i="2"/>
  <c r="U174" i="8"/>
  <c r="U171" i="8" s="1"/>
  <c r="J173" i="8"/>
  <c r="J171" i="8" s="1"/>
  <c r="Y174" i="8"/>
  <c r="Y171" i="8" s="1"/>
  <c r="Y175" i="8" s="1"/>
  <c r="AB137" i="8"/>
  <c r="AB138" i="8" s="1"/>
  <c r="AG137" i="8"/>
  <c r="AG139" i="8" s="1"/>
  <c r="AM127" i="8"/>
  <c r="AE137" i="8"/>
  <c r="AE139" i="8" s="1"/>
  <c r="AJ13" i="4"/>
  <c r="AE112" i="8"/>
  <c r="M111" i="8"/>
  <c r="H174" i="8"/>
  <c r="H171" i="8" s="1"/>
  <c r="AD127" i="8"/>
  <c r="W127" i="8"/>
  <c r="F174" i="8"/>
  <c r="F171" i="8" s="1"/>
  <c r="AL28" i="2"/>
  <c r="AH10" i="2"/>
  <c r="F27" i="2"/>
  <c r="AH28" i="2"/>
  <c r="AB133" i="8"/>
  <c r="AB131" i="8" s="1"/>
  <c r="AB12" i="4"/>
  <c r="AJ477" i="111" s="1"/>
  <c r="X112" i="8"/>
  <c r="M261" i="8"/>
  <c r="L341" i="111" s="1"/>
  <c r="L323" i="111" s="1"/>
  <c r="AH7" i="2"/>
  <c r="AD261" i="8"/>
  <c r="AC137" i="8"/>
  <c r="AC139" i="8" s="1"/>
  <c r="I174" i="8"/>
  <c r="I171" i="8" s="1"/>
  <c r="M194" i="8"/>
  <c r="M191" i="8" s="1"/>
  <c r="AD260" i="8"/>
  <c r="AC134" i="8"/>
  <c r="AC133" i="8"/>
  <c r="K112" i="8"/>
  <c r="AK174" i="8"/>
  <c r="AK171" i="8" s="1"/>
  <c r="AK175" i="8" s="1"/>
  <c r="Z267" i="8"/>
  <c r="N262" i="8"/>
  <c r="AB10" i="2"/>
  <c r="V7" i="2"/>
  <c r="Q174" i="8"/>
  <c r="Q171" i="8" s="1"/>
  <c r="AH27" i="2"/>
  <c r="V10" i="2"/>
  <c r="R28" i="2"/>
  <c r="R10" i="2"/>
  <c r="R7" i="2"/>
  <c r="AD28" i="2"/>
  <c r="AD10" i="2"/>
  <c r="V28" i="2"/>
  <c r="G194" i="8"/>
  <c r="G191" i="8" s="1"/>
  <c r="S13" i="4"/>
  <c r="P27" i="2"/>
  <c r="AM116" i="8"/>
  <c r="AF116" i="8"/>
  <c r="AF13" i="4"/>
  <c r="R132" i="8"/>
  <c r="R134" i="8" s="1"/>
  <c r="T13" i="4"/>
  <c r="AG127" i="8"/>
  <c r="AA111" i="8"/>
  <c r="AF27" i="2"/>
  <c r="AG12" i="4"/>
  <c r="AO477" i="111" s="1"/>
  <c r="G149" i="8"/>
  <c r="G146" i="8" s="1"/>
  <c r="C12" i="4"/>
  <c r="K477" i="111" s="1"/>
  <c r="AK13" i="4"/>
  <c r="P46" i="58"/>
  <c r="P44" i="2"/>
  <c r="M260" i="8"/>
  <c r="L342" i="111" s="1"/>
  <c r="AA132" i="8"/>
  <c r="AA134" i="8" s="1"/>
  <c r="AL127" i="8"/>
  <c r="AI122" i="8"/>
  <c r="M174" i="8"/>
  <c r="M171" i="8" s="1"/>
  <c r="F266" i="8"/>
  <c r="N128" i="8"/>
  <c r="N260" i="8"/>
  <c r="E12" i="4"/>
  <c r="M477" i="111" s="1"/>
  <c r="AM13" i="4"/>
  <c r="K174" i="8"/>
  <c r="K171" i="8" s="1"/>
  <c r="T134" i="8"/>
  <c r="T131" i="8" s="1"/>
  <c r="W116" i="8"/>
  <c r="Y137" i="8"/>
  <c r="Y139" i="8" s="1"/>
  <c r="F267" i="8"/>
  <c r="W13" i="4"/>
  <c r="I13" i="4"/>
  <c r="AJ132" i="8"/>
  <c r="G127" i="8"/>
  <c r="S122" i="8"/>
  <c r="G13" i="4"/>
  <c r="Z27" i="2"/>
  <c r="U13" i="4"/>
  <c r="P13" i="4"/>
  <c r="K128" i="8"/>
  <c r="P28" i="2"/>
  <c r="O12" i="4"/>
  <c r="AK12" i="4"/>
  <c r="M149" i="8"/>
  <c r="M146" i="8" s="1"/>
  <c r="L12" i="4"/>
  <c r="T477" i="111" s="1"/>
  <c r="AI132" i="8"/>
  <c r="AI134" i="8" s="1"/>
  <c r="AA128" i="8"/>
  <c r="H193" i="8"/>
  <c r="H191" i="8" s="1"/>
  <c r="F194" i="8"/>
  <c r="F191" i="8" s="1"/>
  <c r="Q12" i="4"/>
  <c r="Y477" i="111" s="1"/>
  <c r="AE116" i="8"/>
  <c r="S132" i="8"/>
  <c r="S134" i="8" s="1"/>
  <c r="AI13" i="4"/>
  <c r="AE12" i="4"/>
  <c r="AM477" i="111" s="1"/>
  <c r="O13" i="4"/>
  <c r="Z128" i="8"/>
  <c r="Z125" i="8" s="1"/>
  <c r="X13" i="4"/>
  <c r="X12" i="4"/>
  <c r="AK127" i="8"/>
  <c r="W132" i="8"/>
  <c r="W134" i="8" s="1"/>
  <c r="U132" i="8"/>
  <c r="U134" i="8" s="1"/>
  <c r="AK137" i="8"/>
  <c r="AK139" i="8" s="1"/>
  <c r="J122" i="8"/>
  <c r="AA27" i="2"/>
  <c r="Q13" i="4"/>
  <c r="AC13" i="4"/>
  <c r="X139" i="8"/>
  <c r="X136" i="8" s="1"/>
  <c r="AB13" i="4"/>
  <c r="E132" i="8"/>
  <c r="E134" i="8" s="1"/>
  <c r="AG174" i="8"/>
  <c r="AG171" i="8" s="1"/>
  <c r="AG175" i="8" s="1"/>
  <c r="Z260" i="8"/>
  <c r="Y13" i="4"/>
  <c r="AF132" i="8"/>
  <c r="AF133" i="8" s="1"/>
  <c r="Z261" i="8"/>
  <c r="R27" i="2"/>
  <c r="X7" i="2"/>
  <c r="AJ28" i="2"/>
  <c r="AJ27" i="2"/>
  <c r="Y123" i="8"/>
  <c r="Y127" i="8"/>
  <c r="J193" i="8"/>
  <c r="J194" i="8"/>
  <c r="O127" i="8"/>
  <c r="O122" i="8"/>
  <c r="AE127" i="8"/>
  <c r="AE123" i="8"/>
  <c r="AK134" i="8"/>
  <c r="AK133" i="8"/>
  <c r="D10" i="2"/>
  <c r="AF10" i="2"/>
  <c r="AF28" i="2"/>
  <c r="AF7" i="2"/>
  <c r="K13" i="4"/>
  <c r="AA12" i="4"/>
  <c r="AA13" i="4"/>
  <c r="AE13" i="4"/>
  <c r="AB128" i="8"/>
  <c r="AB127" i="8"/>
  <c r="V122" i="8"/>
  <c r="V127" i="8"/>
  <c r="R123" i="8"/>
  <c r="R127" i="8"/>
  <c r="J266" i="8"/>
  <c r="J267" i="8"/>
  <c r="AL267" i="8"/>
  <c r="AL266" i="8"/>
  <c r="AJ12" i="4"/>
  <c r="AR477" i="111" s="1"/>
  <c r="Z7" i="2"/>
  <c r="H12" i="4"/>
  <c r="P477" i="111" s="1"/>
  <c r="L13" i="4"/>
  <c r="AG13" i="4"/>
  <c r="AC12" i="4"/>
  <c r="G173" i="8"/>
  <c r="G174" i="8"/>
  <c r="K12" i="4"/>
  <c r="P262" i="8"/>
  <c r="P261" i="8"/>
  <c r="X260" i="8"/>
  <c r="X262" i="8"/>
  <c r="R261" i="8"/>
  <c r="R260" i="8"/>
  <c r="R262" i="8"/>
  <c r="F28" i="2"/>
  <c r="V27" i="2"/>
  <c r="AD27" i="2"/>
  <c r="L193" i="8"/>
  <c r="L194" i="8"/>
  <c r="AH137" i="8"/>
  <c r="AH139" i="8" s="1"/>
  <c r="M13" i="4"/>
  <c r="M12" i="4"/>
  <c r="U12" i="4"/>
  <c r="AH123" i="8"/>
  <c r="AH128" i="8"/>
  <c r="S111" i="8"/>
  <c r="AI111" i="8"/>
  <c r="AI117" i="8"/>
  <c r="X267" i="8"/>
  <c r="X265" i="8"/>
  <c r="AF266" i="8"/>
  <c r="AF265" i="8"/>
  <c r="AC122" i="8"/>
  <c r="AC128" i="8"/>
  <c r="AD267" i="8"/>
  <c r="AD266" i="8"/>
  <c r="AD265" i="8"/>
  <c r="AC173" i="8"/>
  <c r="AC174" i="8"/>
  <c r="N27" i="2"/>
  <c r="J260" i="8"/>
  <c r="J261" i="8"/>
  <c r="V262" i="8"/>
  <c r="V260" i="8"/>
  <c r="V266" i="8"/>
  <c r="V267" i="8"/>
  <c r="T12" i="4"/>
  <c r="AB477" i="111" s="1"/>
  <c r="D123" i="8"/>
  <c r="D120" i="8" s="1"/>
  <c r="I262" i="8"/>
  <c r="K343" i="111" s="1"/>
  <c r="I260" i="8"/>
  <c r="K342" i="111" s="1"/>
  <c r="AH260" i="8"/>
  <c r="AH262" i="8"/>
  <c r="P7" i="2"/>
  <c r="V132" i="8"/>
  <c r="V134" i="8" s="1"/>
  <c r="V137" i="8"/>
  <c r="V139" i="8" s="1"/>
  <c r="T265" i="8"/>
  <c r="T267" i="8"/>
  <c r="T266" i="8"/>
  <c r="F262" i="8"/>
  <c r="F261" i="8"/>
  <c r="AL477" i="111"/>
  <c r="F10" i="2"/>
  <c r="F7" i="2"/>
  <c r="Z10" i="2"/>
  <c r="H149" i="8"/>
  <c r="H148" i="8"/>
  <c r="F12" i="4"/>
  <c r="N477" i="111" s="1"/>
  <c r="J10" i="2"/>
  <c r="P267" i="8"/>
  <c r="P266" i="8"/>
  <c r="P265" i="8"/>
  <c r="M267" i="8"/>
  <c r="L348" i="111" s="1"/>
  <c r="M266" i="8"/>
  <c r="L346" i="111" s="1"/>
  <c r="L324" i="111" s="1"/>
  <c r="Z28" i="2"/>
  <c r="K194" i="8"/>
  <c r="K193" i="8"/>
  <c r="L149" i="8"/>
  <c r="L148" i="8"/>
  <c r="F148" i="8"/>
  <c r="F149" i="8"/>
  <c r="AL137" i="8"/>
  <c r="AL139" i="8" s="1"/>
  <c r="J148" i="8"/>
  <c r="J149" i="8"/>
  <c r="S127" i="8"/>
  <c r="S128" i="8"/>
  <c r="AI127" i="8"/>
  <c r="AI128" i="8"/>
  <c r="W111" i="8"/>
  <c r="F44" i="60"/>
  <c r="U122" i="8"/>
  <c r="U123" i="8"/>
  <c r="AK122" i="8"/>
  <c r="AK123" i="8"/>
  <c r="O112" i="8"/>
  <c r="AG122" i="8"/>
  <c r="AG123" i="8"/>
  <c r="Q122" i="8"/>
  <c r="Q123" i="8"/>
  <c r="U116" i="8"/>
  <c r="U114" i="8" s="1"/>
  <c r="AK116" i="8"/>
  <c r="L127" i="8"/>
  <c r="L125" i="8" s="1"/>
  <c r="Y134" i="8"/>
  <c r="Y131" i="8" s="1"/>
  <c r="AG134" i="8"/>
  <c r="AG131" i="8" s="1"/>
  <c r="E112" i="8"/>
  <c r="E111" i="8"/>
  <c r="W139" i="8"/>
  <c r="W138" i="8"/>
  <c r="U139" i="8"/>
  <c r="U138" i="8"/>
  <c r="W123" i="8"/>
  <c r="W122" i="8"/>
  <c r="E122" i="8"/>
  <c r="E123" i="8"/>
  <c r="O106" i="2"/>
  <c r="K38" i="60"/>
  <c r="AC25" i="60"/>
  <c r="U121" i="4"/>
  <c r="U43" i="2" s="1"/>
  <c r="Q128" i="4"/>
  <c r="M161" i="11" s="1"/>
  <c r="AB65" i="2"/>
  <c r="AB70" i="2" s="1"/>
  <c r="AE38" i="60"/>
  <c r="AH116" i="8"/>
  <c r="AH114" i="8" s="1"/>
  <c r="Z138" i="8"/>
  <c r="Z136" i="8" s="1"/>
  <c r="AD123" i="8"/>
  <c r="AD120" i="8" s="1"/>
  <c r="AD138" i="8"/>
  <c r="AD136" i="8" s="1"/>
  <c r="H122" i="8"/>
  <c r="H120" i="8" s="1"/>
  <c r="P128" i="8"/>
  <c r="P125" i="8" s="1"/>
  <c r="W79" i="4"/>
  <c r="D28" i="2"/>
  <c r="D27" i="2"/>
  <c r="L28" i="2"/>
  <c r="L27" i="2"/>
  <c r="T28" i="2"/>
  <c r="T27" i="2"/>
  <c r="AB28" i="2"/>
  <c r="AB27" i="2"/>
  <c r="H260" i="8"/>
  <c r="H262" i="8"/>
  <c r="AF262" i="8"/>
  <c r="AF260" i="8"/>
  <c r="I27" i="2"/>
  <c r="I28" i="2"/>
  <c r="Q27" i="2"/>
  <c r="Q28" i="2"/>
  <c r="Y28" i="2"/>
  <c r="Y27" i="2"/>
  <c r="AG27" i="2"/>
  <c r="AG28" i="2"/>
  <c r="N267" i="8"/>
  <c r="N266" i="8"/>
  <c r="U31" i="2"/>
  <c r="G260" i="8"/>
  <c r="G261" i="8"/>
  <c r="G262" i="8"/>
  <c r="O262" i="8"/>
  <c r="O261" i="8"/>
  <c r="O260" i="8"/>
  <c r="W260" i="8"/>
  <c r="W261" i="8"/>
  <c r="W262" i="8"/>
  <c r="AE260" i="8"/>
  <c r="AE261" i="8"/>
  <c r="AE262" i="8"/>
  <c r="AM9" i="2"/>
  <c r="AM259" i="8" s="1"/>
  <c r="AM10" i="2"/>
  <c r="X109" i="2"/>
  <c r="X117" i="2"/>
  <c r="AF109" i="2"/>
  <c r="J31" i="2"/>
  <c r="J13" i="4"/>
  <c r="J12" i="4"/>
  <c r="V13" i="4"/>
  <c r="V12" i="4"/>
  <c r="AH13" i="4"/>
  <c r="AH12" i="4"/>
  <c r="C27" i="2"/>
  <c r="C28" i="2"/>
  <c r="S28" i="2"/>
  <c r="S27" i="2"/>
  <c r="AI28" i="2"/>
  <c r="AI27" i="2"/>
  <c r="K266" i="8"/>
  <c r="K267" i="8"/>
  <c r="AA266" i="8"/>
  <c r="AA267" i="8"/>
  <c r="AA117" i="8"/>
  <c r="AA116" i="8"/>
  <c r="AL111" i="8"/>
  <c r="C123" i="8"/>
  <c r="C122" i="8"/>
  <c r="U25" i="60"/>
  <c r="M121" i="4"/>
  <c r="M43" i="2" s="1"/>
  <c r="L65" i="2"/>
  <c r="L70" i="2" s="1"/>
  <c r="Z116" i="8"/>
  <c r="Z114" i="8" s="1"/>
  <c r="AL123" i="8"/>
  <c r="AL120" i="8" s="1"/>
  <c r="M100" i="4"/>
  <c r="M67" i="2"/>
  <c r="AC100" i="4"/>
  <c r="AC67" i="2"/>
  <c r="X123" i="4"/>
  <c r="AG100" i="4"/>
  <c r="N122" i="8"/>
  <c r="N123" i="8"/>
  <c r="T45" i="2"/>
  <c r="T46" i="2"/>
  <c r="T285" i="8" s="1"/>
  <c r="M25" i="60"/>
  <c r="U128" i="8"/>
  <c r="AL134" i="8"/>
  <c r="AL131" i="8" s="1"/>
  <c r="H28" i="2"/>
  <c r="H27" i="2"/>
  <c r="H266" i="8"/>
  <c r="H267" i="8"/>
  <c r="H265" i="8"/>
  <c r="T53" i="2"/>
  <c r="AM31" i="2"/>
  <c r="U40" i="58"/>
  <c r="U41" i="58"/>
  <c r="N28" i="2"/>
  <c r="AH267" i="8"/>
  <c r="AH265" i="8"/>
  <c r="J39" i="2"/>
  <c r="R39" i="2"/>
  <c r="I31" i="2"/>
  <c r="AA262" i="8"/>
  <c r="AA260" i="8"/>
  <c r="AA261" i="8"/>
  <c r="D109" i="2"/>
  <c r="D117" i="2"/>
  <c r="T109" i="2"/>
  <c r="F31" i="2"/>
  <c r="N13" i="4"/>
  <c r="S266" i="8"/>
  <c r="S267" i="8"/>
  <c r="AI266" i="8"/>
  <c r="AI267" i="8"/>
  <c r="T128" i="8"/>
  <c r="T127" i="8"/>
  <c r="AF138" i="8"/>
  <c r="AF139" i="8"/>
  <c r="AE133" i="8"/>
  <c r="AE134" i="8"/>
  <c r="AA122" i="8"/>
  <c r="AA123" i="8"/>
  <c r="Q100" i="4"/>
  <c r="Q67" i="2"/>
  <c r="AB123" i="4"/>
  <c r="J127" i="8"/>
  <c r="J128" i="8"/>
  <c r="L46" i="2"/>
  <c r="L285" i="8" s="1"/>
  <c r="L45" i="2"/>
  <c r="AI139" i="8"/>
  <c r="AI136" i="8" s="1"/>
  <c r="AM138" i="8"/>
  <c r="G123" i="8"/>
  <c r="G120" i="8" s="1"/>
  <c r="F122" i="8"/>
  <c r="F120" i="8" s="1"/>
  <c r="AM122" i="8"/>
  <c r="G79" i="4"/>
  <c r="AM79" i="4"/>
  <c r="X28" i="2"/>
  <c r="X27" i="2"/>
  <c r="L262" i="8"/>
  <c r="L260" i="8"/>
  <c r="L261" i="8"/>
  <c r="T260" i="8"/>
  <c r="T261" i="8"/>
  <c r="AB262" i="8"/>
  <c r="AB261" i="8"/>
  <c r="AB260" i="8"/>
  <c r="AJ260" i="8"/>
  <c r="AJ261" i="8"/>
  <c r="AJ262" i="8"/>
  <c r="L265" i="8"/>
  <c r="L266" i="8"/>
  <c r="L267" i="8"/>
  <c r="E27" i="2"/>
  <c r="E28" i="2"/>
  <c r="M27" i="2"/>
  <c r="M28" i="2"/>
  <c r="U27" i="2"/>
  <c r="U28" i="2"/>
  <c r="AC27" i="2"/>
  <c r="AC28" i="2"/>
  <c r="I267" i="8"/>
  <c r="K348" i="111" s="1"/>
  <c r="I265" i="8"/>
  <c r="K347" i="111" s="1"/>
  <c r="B76" i="27"/>
  <c r="AE204" i="8"/>
  <c r="N7" i="2"/>
  <c r="N10" i="2"/>
  <c r="AL261" i="8"/>
  <c r="AL262" i="8"/>
  <c r="R109" i="2"/>
  <c r="R267" i="8"/>
  <c r="R265" i="8"/>
  <c r="AC31" i="2"/>
  <c r="K260" i="8"/>
  <c r="K262" i="8"/>
  <c r="K261" i="8"/>
  <c r="S260" i="8"/>
  <c r="S261" i="8"/>
  <c r="S262" i="8"/>
  <c r="AI260" i="8"/>
  <c r="AI261" i="8"/>
  <c r="AI262" i="8"/>
  <c r="AB109" i="2"/>
  <c r="R31" i="2"/>
  <c r="V31" i="2"/>
  <c r="Z31" i="2"/>
  <c r="AD31" i="2"/>
  <c r="AH31" i="2"/>
  <c r="AL31" i="2"/>
  <c r="R13" i="4"/>
  <c r="R12" i="4"/>
  <c r="Z12" i="4"/>
  <c r="Z13" i="4"/>
  <c r="AL13" i="4"/>
  <c r="AL12" i="4"/>
  <c r="H13" i="4"/>
  <c r="D12" i="4"/>
  <c r="L477" i="111" s="1"/>
  <c r="G27" i="2"/>
  <c r="G28" i="2"/>
  <c r="O28" i="2"/>
  <c r="O27" i="2"/>
  <c r="W27" i="2"/>
  <c r="W28" i="2"/>
  <c r="AE28" i="2"/>
  <c r="AE27" i="2"/>
  <c r="G266" i="8"/>
  <c r="G267" i="8"/>
  <c r="W266" i="8"/>
  <c r="W267" i="8"/>
  <c r="AJ128" i="8"/>
  <c r="AJ127" i="8"/>
  <c r="K123" i="8"/>
  <c r="K122" i="8"/>
  <c r="M112" i="8"/>
  <c r="AD117" i="8"/>
  <c r="AD116" i="8"/>
  <c r="AJ138" i="8"/>
  <c r="AJ139" i="8"/>
  <c r="AH133" i="8"/>
  <c r="AH134" i="8"/>
  <c r="I122" i="8"/>
  <c r="I123" i="8"/>
  <c r="X123" i="8"/>
  <c r="X122" i="8"/>
  <c r="AI107" i="2"/>
  <c r="Q25" i="60"/>
  <c r="I122" i="4"/>
  <c r="Y25" i="60"/>
  <c r="Q122" i="4"/>
  <c r="M157" i="11" s="1"/>
  <c r="M28" i="76" s="1"/>
  <c r="J112" i="8"/>
  <c r="M127" i="8"/>
  <c r="M125" i="8" s="1"/>
  <c r="H46" i="2"/>
  <c r="H285" i="8" s="1"/>
  <c r="H45" i="2"/>
  <c r="AF122" i="8"/>
  <c r="AF120" i="8" s="1"/>
  <c r="AA139" i="8"/>
  <c r="AA136" i="8" s="1"/>
  <c r="K79" i="4"/>
  <c r="F63" i="58"/>
  <c r="AB266" i="8"/>
  <c r="AB265" i="8"/>
  <c r="AB267" i="8"/>
  <c r="AJ267" i="8"/>
  <c r="AJ266" i="8"/>
  <c r="L53" i="2"/>
  <c r="J7" i="2"/>
  <c r="J26" i="2"/>
  <c r="F39" i="2"/>
  <c r="N39" i="2"/>
  <c r="M31" i="2"/>
  <c r="Y31" i="2"/>
  <c r="H109" i="2"/>
  <c r="P109" i="2"/>
  <c r="P117" i="2"/>
  <c r="AJ109" i="2"/>
  <c r="S100" i="4"/>
  <c r="B31" i="2"/>
  <c r="N31" i="2"/>
  <c r="F13" i="4"/>
  <c r="B12" i="4"/>
  <c r="J477" i="111" s="1"/>
  <c r="AM7" i="2"/>
  <c r="AM26" i="2"/>
  <c r="AN27" i="2" s="1"/>
  <c r="O266" i="8"/>
  <c r="O267" i="8"/>
  <c r="AE266" i="8"/>
  <c r="AE267" i="8"/>
  <c r="AM266" i="8"/>
  <c r="AM267" i="8"/>
  <c r="O38" i="60"/>
  <c r="AI38" i="60"/>
  <c r="W38" i="60"/>
  <c r="G107" i="2"/>
  <c r="AH107" i="2"/>
  <c r="AD132" i="8"/>
  <c r="Z132" i="8"/>
  <c r="E100" i="4"/>
  <c r="U100" i="4"/>
  <c r="AK100" i="4"/>
  <c r="B79" i="4"/>
  <c r="AA79" i="4"/>
  <c r="S38" i="60"/>
  <c r="G44" i="60"/>
  <c r="X6" i="60"/>
  <c r="X12" i="60" s="1"/>
  <c r="X18" i="60" s="1"/>
  <c r="X38" i="60" s="1"/>
  <c r="Y8" i="60"/>
  <c r="Q107" i="4" s="1"/>
  <c r="M152" i="11" s="1"/>
  <c r="H46" i="58"/>
  <c r="G44" i="2" s="1"/>
  <c r="I47" i="58"/>
  <c r="L46" i="58"/>
  <c r="K44" i="2" s="1"/>
  <c r="M47" i="58"/>
  <c r="T46" i="58"/>
  <c r="S44" i="2" s="1"/>
  <c r="U47" i="58"/>
  <c r="K106" i="2"/>
  <c r="AK22" i="60"/>
  <c r="AJ25" i="60"/>
  <c r="AC28" i="60"/>
  <c r="AB36" i="60"/>
  <c r="M28" i="60"/>
  <c r="L36" i="60"/>
  <c r="AS28" i="60"/>
  <c r="AK128" i="4" s="1"/>
  <c r="AR36" i="60"/>
  <c r="Q29" i="60"/>
  <c r="P36" i="60"/>
  <c r="AF6" i="60"/>
  <c r="AF12" i="60" s="1"/>
  <c r="AF18" i="60" s="1"/>
  <c r="AG8" i="60"/>
  <c r="Y107" i="4" s="1"/>
  <c r="L6" i="60"/>
  <c r="L12" i="60" s="1"/>
  <c r="L18" i="60" s="1"/>
  <c r="AK30" i="60"/>
  <c r="AJ36" i="60"/>
  <c r="AO22" i="60"/>
  <c r="AG120" i="4" s="1"/>
  <c r="AN25" i="60"/>
  <c r="U30" i="60"/>
  <c r="T36" i="60"/>
  <c r="AG22" i="60"/>
  <c r="AF25" i="60"/>
  <c r="P6" i="60"/>
  <c r="P12" i="60" s="1"/>
  <c r="P18" i="60" s="1"/>
  <c r="Q8" i="60"/>
  <c r="I107" i="4" s="1"/>
  <c r="AG29" i="60"/>
  <c r="AF36" i="60"/>
  <c r="G76" i="2"/>
  <c r="G77" i="2" s="1"/>
  <c r="G94" i="2"/>
  <c r="O76" i="2"/>
  <c r="O77" i="2" s="1"/>
  <c r="O94" i="2"/>
  <c r="W76" i="2"/>
  <c r="W77" i="2" s="1"/>
  <c r="E94" i="2"/>
  <c r="E76" i="2"/>
  <c r="E77" i="2" s="1"/>
  <c r="U94" i="2"/>
  <c r="U76" i="2"/>
  <c r="U77" i="2" s="1"/>
  <c r="D76" i="2"/>
  <c r="D77" i="2" s="1"/>
  <c r="D94" i="2"/>
  <c r="L76" i="2"/>
  <c r="L94" i="2"/>
  <c r="T76" i="2"/>
  <c r="T77" i="2" s="1"/>
  <c r="T94" i="2"/>
  <c r="AB76" i="2"/>
  <c r="AB77" i="2" s="1"/>
  <c r="R106" i="2"/>
  <c r="Z106" i="2"/>
  <c r="AL106" i="2"/>
  <c r="I76" i="2"/>
  <c r="I77" i="2" s="1"/>
  <c r="I94" i="2"/>
  <c r="Y76" i="2"/>
  <c r="Y77" i="2" s="1"/>
  <c r="F76" i="2"/>
  <c r="F77" i="2" s="1"/>
  <c r="F94" i="2"/>
  <c r="N76" i="2"/>
  <c r="N77" i="2" s="1"/>
  <c r="N94" i="2"/>
  <c r="V76" i="2"/>
  <c r="V77" i="2" s="1"/>
  <c r="H115" i="2"/>
  <c r="F107" i="2"/>
  <c r="J106" i="2"/>
  <c r="V106" i="2"/>
  <c r="AD107" i="2"/>
  <c r="M94" i="2"/>
  <c r="M76" i="2"/>
  <c r="C76" i="2"/>
  <c r="C77" i="2" s="1"/>
  <c r="C94" i="2"/>
  <c r="H76" i="2"/>
  <c r="H77" i="2" s="1"/>
  <c r="H94" i="2"/>
  <c r="K76" i="2"/>
  <c r="K77" i="2" s="1"/>
  <c r="K94" i="2"/>
  <c r="P76" i="2"/>
  <c r="P77" i="2" s="1"/>
  <c r="P94" i="2"/>
  <c r="S76" i="2"/>
  <c r="S77" i="2" s="1"/>
  <c r="S94" i="2"/>
  <c r="X76" i="2"/>
  <c r="X77" i="2" s="1"/>
  <c r="AA76" i="2"/>
  <c r="AA77" i="2" s="1"/>
  <c r="Q94" i="2"/>
  <c r="Q76" i="2"/>
  <c r="Q77" i="2" s="1"/>
  <c r="J76" i="2"/>
  <c r="J77" i="2" s="1"/>
  <c r="J94" i="2"/>
  <c r="R76" i="2"/>
  <c r="R77" i="2" s="1"/>
  <c r="R94" i="2"/>
  <c r="Z76" i="2"/>
  <c r="Z77" i="2" s="1"/>
  <c r="AM132" i="8"/>
  <c r="AU456" i="111" l="1"/>
  <c r="AO456" i="111"/>
  <c r="AO538" i="111"/>
  <c r="AM239" i="112"/>
  <c r="AC138" i="4"/>
  <c r="H86" i="27" s="1"/>
  <c r="AK138" i="4"/>
  <c r="J86" i="27" s="1"/>
  <c r="AG138" i="4"/>
  <c r="I86" i="27" s="1"/>
  <c r="AK255" i="112"/>
  <c r="AQ465" i="111"/>
  <c r="AG297" i="112"/>
  <c r="AO438" i="111"/>
  <c r="AQ239" i="112"/>
  <c r="AQ255" i="112"/>
  <c r="AU438" i="111"/>
  <c r="AX456" i="111"/>
  <c r="AS271" i="112"/>
  <c r="AW271" i="112"/>
  <c r="AV455" i="111"/>
  <c r="AW455" i="111"/>
  <c r="AU481" i="111"/>
  <c r="AY456" i="111"/>
  <c r="AU563" i="111"/>
  <c r="AT455" i="111"/>
  <c r="AU455" i="111"/>
  <c r="AI239" i="112"/>
  <c r="AM456" i="111"/>
  <c r="AC19" i="4"/>
  <c r="AF19" i="4"/>
  <c r="V19" i="4"/>
  <c r="AB19" i="4"/>
  <c r="AM491" i="111"/>
  <c r="AE19" i="4"/>
  <c r="Z19" i="4"/>
  <c r="AK19" i="4"/>
  <c r="Q19" i="4"/>
  <c r="AQ491" i="111"/>
  <c r="AI19" i="4"/>
  <c r="AG19" i="4"/>
  <c r="T19" i="4"/>
  <c r="O19" i="4"/>
  <c r="AC491" i="111"/>
  <c r="U19" i="4"/>
  <c r="S19" i="4"/>
  <c r="AJ19" i="4"/>
  <c r="AA19" i="4"/>
  <c r="X19" i="4"/>
  <c r="R19" i="4"/>
  <c r="AH19" i="4"/>
  <c r="AM438" i="111"/>
  <c r="AT438" i="111"/>
  <c r="AX439" i="111" s="1"/>
  <c r="AE302" i="112"/>
  <c r="AE303" i="112" s="1"/>
  <c r="AM538" i="111"/>
  <c r="AQ539" i="111" s="1"/>
  <c r="AQ456" i="111"/>
  <c r="AP239" i="112"/>
  <c r="AM481" i="111"/>
  <c r="AL239" i="112"/>
  <c r="AM563" i="111"/>
  <c r="AI242" i="112"/>
  <c r="AM285" i="112"/>
  <c r="AM209" i="8" s="1"/>
  <c r="AM212" i="8" s="1"/>
  <c r="V28" i="76"/>
  <c r="U28" i="76"/>
  <c r="X28" i="76"/>
  <c r="AI255" i="112"/>
  <c r="AE285" i="112"/>
  <c r="AE209" i="8" s="1"/>
  <c r="AE211" i="8" s="1"/>
  <c r="AQ242" i="112"/>
  <c r="AT563" i="111"/>
  <c r="AT481" i="111"/>
  <c r="AM302" i="112"/>
  <c r="AT465" i="111"/>
  <c r="AL285" i="112"/>
  <c r="AL209" i="8" s="1"/>
  <c r="AL211" i="8" s="1"/>
  <c r="AL242" i="112"/>
  <c r="K29" i="76"/>
  <c r="L29" i="76"/>
  <c r="N29" i="76"/>
  <c r="M29" i="76"/>
  <c r="X16" i="76"/>
  <c r="X17" i="76" s="1"/>
  <c r="AL302" i="112"/>
  <c r="AL303" i="112" s="1"/>
  <c r="I17" i="71"/>
  <c r="I48" i="71" s="1"/>
  <c r="X36" i="71"/>
  <c r="K17" i="71"/>
  <c r="K48" i="71" s="1"/>
  <c r="Z36" i="71"/>
  <c r="H17" i="71"/>
  <c r="H48" i="71" s="1"/>
  <c r="W36" i="71"/>
  <c r="Z139" i="11"/>
  <c r="AC261" i="8"/>
  <c r="P341" i="111" s="1"/>
  <c r="P323" i="111" s="1"/>
  <c r="U262" i="8"/>
  <c r="N343" i="111" s="1"/>
  <c r="U266" i="8"/>
  <c r="N346" i="111" s="1"/>
  <c r="N324" i="111" s="1"/>
  <c r="U260" i="8"/>
  <c r="N342" i="111" s="1"/>
  <c r="U265" i="8"/>
  <c r="N347" i="111" s="1"/>
  <c r="AG260" i="8"/>
  <c r="Q342" i="111" s="1"/>
  <c r="Q266" i="8"/>
  <c r="M346" i="111" s="1"/>
  <c r="M324" i="111" s="1"/>
  <c r="AG266" i="8"/>
  <c r="Q346" i="111" s="1"/>
  <c r="Q324" i="111" s="1"/>
  <c r="Q267" i="8"/>
  <c r="M348" i="111" s="1"/>
  <c r="AG267" i="8"/>
  <c r="Q348" i="111" s="1"/>
  <c r="Y261" i="8"/>
  <c r="O341" i="111" s="1"/>
  <c r="O323" i="111" s="1"/>
  <c r="AG262" i="8"/>
  <c r="Q343" i="111" s="1"/>
  <c r="Y260" i="8"/>
  <c r="O342" i="111" s="1"/>
  <c r="Q262" i="8"/>
  <c r="M343" i="111" s="1"/>
  <c r="Y266" i="8"/>
  <c r="O346" i="111" s="1"/>
  <c r="O324" i="111" s="1"/>
  <c r="Q260" i="8"/>
  <c r="M342" i="111" s="1"/>
  <c r="Y267" i="8"/>
  <c r="O348" i="111" s="1"/>
  <c r="AC260" i="8"/>
  <c r="P342" i="111" s="1"/>
  <c r="AC267" i="8"/>
  <c r="P348" i="111" s="1"/>
  <c r="AK265" i="8"/>
  <c r="R347" i="111" s="1"/>
  <c r="AK266" i="8"/>
  <c r="R346" i="111" s="1"/>
  <c r="R324" i="111" s="1"/>
  <c r="AS25" i="60"/>
  <c r="AC266" i="8"/>
  <c r="P346" i="111" s="1"/>
  <c r="P324" i="111" s="1"/>
  <c r="J70" i="27"/>
  <c r="AJ73" i="2"/>
  <c r="AK259" i="8"/>
  <c r="AK12" i="2"/>
  <c r="AK28" i="2"/>
  <c r="I73" i="27"/>
  <c r="AF73" i="2"/>
  <c r="AQ38" i="60"/>
  <c r="J73" i="27"/>
  <c r="AJ123" i="4"/>
  <c r="J66" i="27"/>
  <c r="I68" i="27"/>
  <c r="AO36" i="60"/>
  <c r="I70" i="27"/>
  <c r="I67" i="27"/>
  <c r="AF123" i="4"/>
  <c r="AG38" i="58"/>
  <c r="AG40" i="58" s="1"/>
  <c r="AK38" i="58"/>
  <c r="AK41" i="58" s="1"/>
  <c r="AI38" i="58"/>
  <c r="AI41" i="58" s="1"/>
  <c r="AC38" i="58"/>
  <c r="X38" i="58"/>
  <c r="W38" i="58"/>
  <c r="AH38" i="58"/>
  <c r="AH41" i="58" s="1"/>
  <c r="AN38" i="58"/>
  <c r="AN41" i="58" s="1"/>
  <c r="AF38" i="58"/>
  <c r="AF40" i="58" s="1"/>
  <c r="AG111" i="4"/>
  <c r="I66" i="27" s="1"/>
  <c r="Y111" i="4"/>
  <c r="G66" i="27" s="1"/>
  <c r="AJ38" i="58"/>
  <c r="Z38" i="58"/>
  <c r="Z40" i="58" s="1"/>
  <c r="AN318" i="112"/>
  <c r="AB38" i="58"/>
  <c r="AE38" i="58"/>
  <c r="AA38" i="58"/>
  <c r="Y38" i="58"/>
  <c r="Y40" i="58" s="1"/>
  <c r="AD38" i="58"/>
  <c r="AD40" i="58" s="1"/>
  <c r="AC131" i="4"/>
  <c r="P29" i="76" s="1"/>
  <c r="Y131" i="4"/>
  <c r="O29" i="76" s="1"/>
  <c r="AC111" i="4"/>
  <c r="H66" i="27" s="1"/>
  <c r="AM73" i="2"/>
  <c r="J74" i="27"/>
  <c r="AN50" i="2"/>
  <c r="AN51" i="2"/>
  <c r="AF50" i="2"/>
  <c r="AF51" i="2"/>
  <c r="AJ42" i="2"/>
  <c r="AJ31" i="2" s="1"/>
  <c r="AK123" i="4"/>
  <c r="AK42" i="2"/>
  <c r="AK49" i="2"/>
  <c r="AJ132" i="4"/>
  <c r="AJ64" i="2"/>
  <c r="AJ82" i="2" s="1"/>
  <c r="AN132" i="4"/>
  <c r="AM51" i="2"/>
  <c r="AM50" i="2"/>
  <c r="AN64" i="2"/>
  <c r="AN82" i="2" s="1"/>
  <c r="AF132" i="4"/>
  <c r="AF64" i="2"/>
  <c r="AF82" i="2" s="1"/>
  <c r="J68" i="27"/>
  <c r="AN123" i="4"/>
  <c r="AJ50" i="2"/>
  <c r="AJ51" i="2"/>
  <c r="AG42" i="2"/>
  <c r="AO129" i="4"/>
  <c r="AO132" i="4" s="1"/>
  <c r="AO120" i="4"/>
  <c r="AO123" i="4" s="1"/>
  <c r="AO111" i="4"/>
  <c r="K66" i="27" s="1"/>
  <c r="AO113" i="4"/>
  <c r="K68" i="27" s="1"/>
  <c r="AO112" i="4"/>
  <c r="K67" i="27" s="1"/>
  <c r="AO115" i="4"/>
  <c r="K70" i="27" s="1"/>
  <c r="AO138" i="4"/>
  <c r="AG107" i="4"/>
  <c r="AG38" i="2" s="1"/>
  <c r="AG39" i="2" s="1"/>
  <c r="AK127" i="4"/>
  <c r="AK64" i="2" s="1"/>
  <c r="AK82" i="2" s="1"/>
  <c r="AG127" i="4"/>
  <c r="AG64" i="2" s="1"/>
  <c r="AG82" i="2" s="1"/>
  <c r="AK129" i="4"/>
  <c r="J82" i="27" s="1"/>
  <c r="AG129" i="4"/>
  <c r="I82" i="27" s="1"/>
  <c r="AG121" i="4"/>
  <c r="AG43" i="2" s="1"/>
  <c r="BJ200" i="112"/>
  <c r="BJ201" i="112" s="1"/>
  <c r="BK198" i="8" s="1"/>
  <c r="BJ198" i="112"/>
  <c r="BJ163" i="2"/>
  <c r="BJ125" i="2"/>
  <c r="BJ113" i="112"/>
  <c r="BJ111" i="112" s="1"/>
  <c r="BJ253" i="112" s="1"/>
  <c r="BJ94" i="112"/>
  <c r="BJ95" i="112" s="1"/>
  <c r="AJ251" i="8"/>
  <c r="AH251" i="8"/>
  <c r="AA539" i="111"/>
  <c r="Z32" i="2"/>
  <c r="Z35" i="2" s="1"/>
  <c r="B35" i="2"/>
  <c r="B36" i="2" s="1"/>
  <c r="F32" i="2"/>
  <c r="E35" i="2"/>
  <c r="E36" i="2" s="1"/>
  <c r="F143" i="112"/>
  <c r="BS149" i="8"/>
  <c r="BT147" i="8"/>
  <c r="D143" i="112"/>
  <c r="BR149" i="8"/>
  <c r="BU149" i="8"/>
  <c r="M159" i="11"/>
  <c r="N157" i="11"/>
  <c r="N28" i="76" s="1"/>
  <c r="N159" i="11"/>
  <c r="AS542" i="111"/>
  <c r="AR542" i="111"/>
  <c r="AT542" i="111"/>
  <c r="AO542" i="111"/>
  <c r="AQ542" i="111"/>
  <c r="AN542" i="111"/>
  <c r="AP542" i="111"/>
  <c r="AM542" i="111"/>
  <c r="AL542" i="111"/>
  <c r="BQ174" i="8"/>
  <c r="BQ172" i="8"/>
  <c r="BQ147" i="8"/>
  <c r="BQ149" i="8"/>
  <c r="BY174" i="8"/>
  <c r="BY172" i="8"/>
  <c r="BU174" i="8"/>
  <c r="BU172" i="8"/>
  <c r="BX186" i="8"/>
  <c r="BX184" i="8"/>
  <c r="BQ159" i="8"/>
  <c r="BQ161" i="8"/>
  <c r="BV184" i="8"/>
  <c r="BV186" i="8"/>
  <c r="BR186" i="8"/>
  <c r="BR184" i="8"/>
  <c r="BS186" i="8"/>
  <c r="BS184" i="8"/>
  <c r="BT184" i="8"/>
  <c r="BT186" i="8"/>
  <c r="BW186" i="8"/>
  <c r="BW184" i="8"/>
  <c r="AL126" i="112"/>
  <c r="AL239" i="8"/>
  <c r="AP210" i="112"/>
  <c r="AL210" i="112"/>
  <c r="CT174" i="8"/>
  <c r="CT171" i="8" s="1"/>
  <c r="CM174" i="8"/>
  <c r="CT160" i="8"/>
  <c r="CT161" i="8" s="1"/>
  <c r="CT113" i="112"/>
  <c r="CV113" i="112"/>
  <c r="CM172" i="8"/>
  <c r="CR171" i="8"/>
  <c r="CN174" i="8"/>
  <c r="CN172" i="8"/>
  <c r="CT185" i="8"/>
  <c r="CT186" i="8" s="1"/>
  <c r="CW113" i="112"/>
  <c r="CL172" i="8"/>
  <c r="CU113" i="112"/>
  <c r="CL174" i="8"/>
  <c r="CS172" i="8"/>
  <c r="CS171" i="8" s="1"/>
  <c r="CW171" i="8"/>
  <c r="CQ171" i="8"/>
  <c r="CU171" i="8"/>
  <c r="CV171" i="8"/>
  <c r="CR113" i="112"/>
  <c r="CN113" i="112"/>
  <c r="CP185" i="8"/>
  <c r="CP184" i="8" s="1"/>
  <c r="CR165" i="8"/>
  <c r="CR166" i="8" s="1"/>
  <c r="CU165" i="8"/>
  <c r="CU164" i="8" s="1"/>
  <c r="CP174" i="8"/>
  <c r="CP171" i="8" s="1"/>
  <c r="CR147" i="8"/>
  <c r="CR146" i="8" s="1"/>
  <c r="CT149" i="8"/>
  <c r="CS165" i="8"/>
  <c r="CS164" i="8" s="1"/>
  <c r="CR160" i="8"/>
  <c r="CR161" i="8" s="1"/>
  <c r="CU147" i="8"/>
  <c r="CU146" i="8" s="1"/>
  <c r="CS160" i="8"/>
  <c r="CS161" i="8" s="1"/>
  <c r="CU160" i="8"/>
  <c r="CU161" i="8" s="1"/>
  <c r="CS149" i="8"/>
  <c r="CS146" i="8" s="1"/>
  <c r="CO172" i="8"/>
  <c r="CT147" i="8"/>
  <c r="CW184" i="8"/>
  <c r="CW186" i="8"/>
  <c r="CV147" i="8"/>
  <c r="CV149" i="8"/>
  <c r="CV160" i="8"/>
  <c r="CV165" i="8"/>
  <c r="CV186" i="8"/>
  <c r="CV184" i="8"/>
  <c r="CW149" i="8"/>
  <c r="CW165" i="8"/>
  <c r="CW160" i="8"/>
  <c r="CW147" i="8"/>
  <c r="CO174" i="8"/>
  <c r="CS185" i="8"/>
  <c r="CS186" i="8" s="1"/>
  <c r="CL113" i="112"/>
  <c r="CP113" i="112"/>
  <c r="CM113" i="112"/>
  <c r="CO113" i="112"/>
  <c r="CQ113" i="112"/>
  <c r="CS113" i="112"/>
  <c r="CQ149" i="8"/>
  <c r="CQ147" i="8"/>
  <c r="CQ165" i="8"/>
  <c r="CQ160" i="8"/>
  <c r="CU186" i="8"/>
  <c r="CU184" i="8"/>
  <c r="CT166" i="8"/>
  <c r="CT164" i="8"/>
  <c r="CR184" i="8"/>
  <c r="CR186" i="8"/>
  <c r="CQ184" i="8"/>
  <c r="CQ186" i="8"/>
  <c r="CO184" i="8"/>
  <c r="CO186" i="8"/>
  <c r="CL160" i="8"/>
  <c r="CL149" i="8"/>
  <c r="CL165" i="8"/>
  <c r="CL147" i="8"/>
  <c r="CN165" i="8"/>
  <c r="CN160" i="8"/>
  <c r="CN147" i="8"/>
  <c r="CN149" i="8"/>
  <c r="CM165" i="8"/>
  <c r="CM147" i="8"/>
  <c r="CM149" i="8"/>
  <c r="CM160" i="8"/>
  <c r="CN186" i="8"/>
  <c r="CN184" i="8"/>
  <c r="CL186" i="8"/>
  <c r="CL184" i="8"/>
  <c r="CM186" i="8"/>
  <c r="CM184" i="8"/>
  <c r="CP147" i="8"/>
  <c r="CP165" i="8"/>
  <c r="CP160" i="8"/>
  <c r="CP149" i="8"/>
  <c r="CO149" i="8"/>
  <c r="CO147" i="8"/>
  <c r="CO160" i="8"/>
  <c r="CO165" i="8"/>
  <c r="AP61" i="112"/>
  <c r="BE111" i="112"/>
  <c r="AQ61" i="112"/>
  <c r="AQ126" i="112"/>
  <c r="AM245" i="8"/>
  <c r="AM210" i="112"/>
  <c r="BG162" i="2"/>
  <c r="AK27" i="2"/>
  <c r="AL27" i="2"/>
  <c r="C123" i="94"/>
  <c r="BF113" i="112"/>
  <c r="I143" i="112"/>
  <c r="N143" i="112"/>
  <c r="R144" i="112" s="1"/>
  <c r="L143" i="112"/>
  <c r="AH144" i="112"/>
  <c r="J143" i="112"/>
  <c r="O143" i="112"/>
  <c r="S144" i="112" s="1"/>
  <c r="M143" i="112"/>
  <c r="E143" i="112"/>
  <c r="W144" i="112"/>
  <c r="V144" i="112"/>
  <c r="AL144" i="112"/>
  <c r="P143" i="112"/>
  <c r="Q143" i="112"/>
  <c r="AA144" i="112"/>
  <c r="AB144" i="112"/>
  <c r="C143" i="112"/>
  <c r="H143" i="112"/>
  <c r="G143" i="112"/>
  <c r="AI144" i="112"/>
  <c r="AM144" i="112"/>
  <c r="K143" i="112"/>
  <c r="AE144" i="112"/>
  <c r="Z144" i="112"/>
  <c r="O119" i="94"/>
  <c r="K191" i="8"/>
  <c r="AF31" i="2"/>
  <c r="BN160" i="8"/>
  <c r="BN159" i="8" s="1"/>
  <c r="BL160" i="8"/>
  <c r="BL159" i="8" s="1"/>
  <c r="R122" i="94"/>
  <c r="F118" i="94"/>
  <c r="G122" i="94"/>
  <c r="G123" i="94"/>
  <c r="R118" i="94"/>
  <c r="R123" i="94"/>
  <c r="C119" i="94"/>
  <c r="C126" i="94"/>
  <c r="G117" i="94"/>
  <c r="R117" i="94"/>
  <c r="C118" i="94"/>
  <c r="C124" i="94"/>
  <c r="N126" i="94"/>
  <c r="G118" i="94"/>
  <c r="G121" i="94"/>
  <c r="R121" i="94"/>
  <c r="C117" i="94"/>
  <c r="N124" i="94"/>
  <c r="G119" i="94"/>
  <c r="G126" i="94"/>
  <c r="R119" i="94"/>
  <c r="R126" i="94"/>
  <c r="C122" i="94"/>
  <c r="BL109" i="8"/>
  <c r="BL15" i="112" s="1"/>
  <c r="BL14" i="112" s="1"/>
  <c r="BL16" i="112" s="1"/>
  <c r="H123" i="94"/>
  <c r="AS503" i="111"/>
  <c r="AO503" i="111"/>
  <c r="AH503" i="111"/>
  <c r="J119" i="94"/>
  <c r="J126" i="94"/>
  <c r="W127" i="94"/>
  <c r="AZ195" i="112"/>
  <c r="AZ198" i="112" s="1"/>
  <c r="BC111" i="112"/>
  <c r="BC116" i="112" s="1"/>
  <c r="BC117" i="112" s="1"/>
  <c r="BC178" i="8" s="1"/>
  <c r="AL503" i="111"/>
  <c r="D31" i="2"/>
  <c r="AQ503" i="111"/>
  <c r="K117" i="94"/>
  <c r="O121" i="94"/>
  <c r="K124" i="94"/>
  <c r="N123" i="94"/>
  <c r="AW503" i="111"/>
  <c r="AO6" i="60"/>
  <c r="AO12" i="60" s="1"/>
  <c r="AO18" i="60" s="1"/>
  <c r="N118" i="94"/>
  <c r="L126" i="94"/>
  <c r="AN38" i="60"/>
  <c r="N119" i="94"/>
  <c r="AR503" i="111"/>
  <c r="J118" i="94"/>
  <c r="J123" i="94"/>
  <c r="AP503" i="111"/>
  <c r="J124" i="94"/>
  <c r="M117" i="94"/>
  <c r="H31" i="2"/>
  <c r="J117" i="94"/>
  <c r="AB38" i="60"/>
  <c r="J122" i="94"/>
  <c r="AE466" i="111"/>
  <c r="E117" i="94"/>
  <c r="L118" i="94"/>
  <c r="D123" i="94"/>
  <c r="I123" i="94"/>
  <c r="AT503" i="111"/>
  <c r="D122" i="94"/>
  <c r="D121" i="94"/>
  <c r="D119" i="94"/>
  <c r="AU503" i="111"/>
  <c r="AM503" i="111"/>
  <c r="AO539" i="111"/>
  <c r="AA466" i="111"/>
  <c r="AC6" i="60"/>
  <c r="AC12" i="60" s="1"/>
  <c r="AC18" i="60" s="1"/>
  <c r="N122" i="94"/>
  <c r="L124" i="94"/>
  <c r="AY503" i="111"/>
  <c r="L117" i="94"/>
  <c r="N117" i="94"/>
  <c r="L123" i="94"/>
  <c r="AK6" i="60"/>
  <c r="AK12" i="60" s="1"/>
  <c r="AK18" i="60" s="1"/>
  <c r="L122" i="94"/>
  <c r="H119" i="94"/>
  <c r="AV503" i="111"/>
  <c r="AJ503" i="111"/>
  <c r="AS6" i="60"/>
  <c r="AS12" i="60" s="1"/>
  <c r="AS18" i="60" s="1"/>
  <c r="L119" i="94"/>
  <c r="Y539" i="111"/>
  <c r="AN503" i="111"/>
  <c r="K119" i="94"/>
  <c r="AC539" i="111"/>
  <c r="AR38" i="60"/>
  <c r="AK503" i="111"/>
  <c r="T38" i="60"/>
  <c r="AG503" i="111"/>
  <c r="AI503" i="111"/>
  <c r="P119" i="94"/>
  <c r="U6" i="60"/>
  <c r="U12" i="60" s="1"/>
  <c r="U18" i="60" s="1"/>
  <c r="W466" i="111"/>
  <c r="BN47" i="112"/>
  <c r="BC177" i="112"/>
  <c r="AZ113" i="112"/>
  <c r="BC125" i="2"/>
  <c r="BC163" i="2"/>
  <c r="BC162" i="2" s="1"/>
  <c r="BP47" i="112"/>
  <c r="BL47" i="112"/>
  <c r="BN163" i="2"/>
  <c r="BQ116" i="8"/>
  <c r="AA31" i="2"/>
  <c r="Q31" i="2"/>
  <c r="G31" i="2"/>
  <c r="Y210" i="8"/>
  <c r="Y211" i="8"/>
  <c r="Y212" i="8"/>
  <c r="AA212" i="8"/>
  <c r="AA211" i="8"/>
  <c r="AA210" i="8"/>
  <c r="U211" i="8"/>
  <c r="U210" i="8"/>
  <c r="U212" i="8"/>
  <c r="J191" i="8"/>
  <c r="W212" i="8"/>
  <c r="W210" i="8"/>
  <c r="W211" i="8"/>
  <c r="AG211" i="8"/>
  <c r="AG210" i="8"/>
  <c r="AG212" i="8"/>
  <c r="AI212" i="8"/>
  <c r="AI210" i="8"/>
  <c r="AI211" i="8"/>
  <c r="AD114" i="8"/>
  <c r="AO163" i="8"/>
  <c r="AC212" i="8"/>
  <c r="AC210" i="8"/>
  <c r="AC211" i="8"/>
  <c r="AA114" i="8"/>
  <c r="AC171" i="8"/>
  <c r="AC175" i="8" s="1"/>
  <c r="BA113" i="112"/>
  <c r="BA94" i="112"/>
  <c r="BA95" i="112" s="1"/>
  <c r="BA177" i="112"/>
  <c r="BB113" i="112"/>
  <c r="BB94" i="112"/>
  <c r="BB177" i="112"/>
  <c r="AE537" i="111"/>
  <c r="AE538" i="111" s="1"/>
  <c r="AE539" i="111" s="1"/>
  <c r="X537" i="111"/>
  <c r="X538" i="111" s="1"/>
  <c r="V285" i="112"/>
  <c r="V209" i="8" s="1"/>
  <c r="AJ285" i="112"/>
  <c r="AJ209" i="8" s="1"/>
  <c r="P285" i="112"/>
  <c r="AH538" i="111"/>
  <c r="U455" i="111"/>
  <c r="Y254" i="8"/>
  <c r="Y255" i="8" s="1"/>
  <c r="O337" i="111" s="1"/>
  <c r="AA254" i="8"/>
  <c r="AA257" i="8" s="1"/>
  <c r="I254" i="8"/>
  <c r="I256" i="8" s="1"/>
  <c r="K336" i="111" s="1"/>
  <c r="K322" i="111" s="1"/>
  <c r="O455" i="111"/>
  <c r="AD242" i="112"/>
  <c r="L455" i="111"/>
  <c r="AN538" i="111"/>
  <c r="AF285" i="112"/>
  <c r="AF209" i="8" s="1"/>
  <c r="AH433" i="111"/>
  <c r="G254" i="8"/>
  <c r="G257" i="8" s="1"/>
  <c r="AK254" i="8"/>
  <c r="AK255" i="8" s="1"/>
  <c r="R337" i="111" s="1"/>
  <c r="AU537" i="111"/>
  <c r="AU538" i="111" s="1"/>
  <c r="AY539" i="111" s="1"/>
  <c r="F285" i="112"/>
  <c r="AB285" i="112"/>
  <c r="AB209" i="8" s="1"/>
  <c r="AP538" i="111"/>
  <c r="Z285" i="112"/>
  <c r="Z209" i="8" s="1"/>
  <c r="AA455" i="111"/>
  <c r="J285" i="112"/>
  <c r="BP110" i="8"/>
  <c r="L254" i="8"/>
  <c r="L255" i="8" s="1"/>
  <c r="AD285" i="112"/>
  <c r="AD209" i="8" s="1"/>
  <c r="AD538" i="111"/>
  <c r="N285" i="112"/>
  <c r="AH285" i="112"/>
  <c r="AH209" i="8" s="1"/>
  <c r="R285" i="112"/>
  <c r="AF538" i="111"/>
  <c r="AF539" i="111" s="1"/>
  <c r="X285" i="112"/>
  <c r="X209" i="8" s="1"/>
  <c r="Q460" i="111"/>
  <c r="R142" i="112"/>
  <c r="CI171" i="8"/>
  <c r="BT113" i="112"/>
  <c r="AZ162" i="2"/>
  <c r="BQ111" i="8"/>
  <c r="BQ110" i="8" s="1"/>
  <c r="AK466" i="111"/>
  <c r="AG466" i="111"/>
  <c r="AI466" i="111"/>
  <c r="BO110" i="8"/>
  <c r="N466" i="111"/>
  <c r="AD465" i="111"/>
  <c r="AR448" i="111"/>
  <c r="AC466" i="111"/>
  <c r="AS448" i="111"/>
  <c r="Y466" i="111"/>
  <c r="X465" i="111"/>
  <c r="AN448" i="111"/>
  <c r="AD448" i="111"/>
  <c r="X448" i="111"/>
  <c r="Z448" i="111"/>
  <c r="V448" i="111"/>
  <c r="AP448" i="111"/>
  <c r="Z465" i="111"/>
  <c r="AN465" i="111"/>
  <c r="AL465" i="111"/>
  <c r="AJ465" i="111"/>
  <c r="AH465" i="111"/>
  <c r="AL448" i="111"/>
  <c r="AJ448" i="111"/>
  <c r="P466" i="111"/>
  <c r="AP465" i="111"/>
  <c r="AH448" i="111"/>
  <c r="AF465" i="111"/>
  <c r="AS465" i="111"/>
  <c r="V465" i="111"/>
  <c r="AR465" i="111"/>
  <c r="AF448" i="111"/>
  <c r="BQ122" i="8"/>
  <c r="BQ133" i="8"/>
  <c r="AK251" i="8"/>
  <c r="AK285" i="112"/>
  <c r="AK209" i="8" s="1"/>
  <c r="BQ127" i="8"/>
  <c r="BQ138" i="8"/>
  <c r="D285" i="112"/>
  <c r="CA171" i="8"/>
  <c r="BZ113" i="112"/>
  <c r="BU113" i="112"/>
  <c r="CJ171" i="8"/>
  <c r="CB171" i="8"/>
  <c r="BR171" i="8"/>
  <c r="CD171" i="8"/>
  <c r="CF171" i="8"/>
  <c r="CH171" i="8"/>
  <c r="BW171" i="8"/>
  <c r="BV171" i="8"/>
  <c r="AY179" i="8"/>
  <c r="AY180" i="8"/>
  <c r="AY114" i="112"/>
  <c r="CB113" i="112"/>
  <c r="BY113" i="112"/>
  <c r="BZ171" i="8"/>
  <c r="BQ185" i="8"/>
  <c r="BT171" i="8"/>
  <c r="BX171" i="8"/>
  <c r="CE171" i="8"/>
  <c r="CI113" i="112"/>
  <c r="BS171" i="8"/>
  <c r="BS112" i="112" s="1"/>
  <c r="CG113" i="112"/>
  <c r="BU160" i="8"/>
  <c r="BU165" i="8"/>
  <c r="CA113" i="112"/>
  <c r="CE186" i="8"/>
  <c r="CE184" i="8"/>
  <c r="CK172" i="8"/>
  <c r="CK174" i="8"/>
  <c r="CK185" i="8"/>
  <c r="BW160" i="8"/>
  <c r="BW165" i="8"/>
  <c r="CE113" i="112"/>
  <c r="CF186" i="8"/>
  <c r="CF184" i="8"/>
  <c r="CI160" i="8"/>
  <c r="CI165" i="8"/>
  <c r="CI147" i="8"/>
  <c r="CI149" i="8"/>
  <c r="CC185" i="8"/>
  <c r="CC174" i="8"/>
  <c r="CC172" i="8"/>
  <c r="BS165" i="8"/>
  <c r="BS160" i="8"/>
  <c r="CE160" i="8"/>
  <c r="CE147" i="8"/>
  <c r="CE165" i="8"/>
  <c r="CE149" i="8"/>
  <c r="BX165" i="8"/>
  <c r="BX160" i="8"/>
  <c r="CG172" i="8"/>
  <c r="CG185" i="8"/>
  <c r="CG174" i="8"/>
  <c r="CG147" i="8"/>
  <c r="CG149" i="8"/>
  <c r="CG165" i="8"/>
  <c r="CG160" i="8"/>
  <c r="CA186" i="8"/>
  <c r="CA184" i="8"/>
  <c r="CD186" i="8"/>
  <c r="CD184" i="8"/>
  <c r="BY160" i="8"/>
  <c r="BY165" i="8"/>
  <c r="CK113" i="112"/>
  <c r="BV165" i="8"/>
  <c r="BV160" i="8"/>
  <c r="BR160" i="8"/>
  <c r="BR165" i="8"/>
  <c r="CC113" i="112"/>
  <c r="BZ147" i="8"/>
  <c r="BZ165" i="8"/>
  <c r="BZ149" i="8"/>
  <c r="BZ160" i="8"/>
  <c r="CJ149" i="8"/>
  <c r="CJ147" i="8"/>
  <c r="CJ165" i="8"/>
  <c r="CJ160" i="8"/>
  <c r="CJ113" i="112"/>
  <c r="CJ184" i="8"/>
  <c r="CJ186" i="8"/>
  <c r="CD165" i="8"/>
  <c r="CD160" i="8"/>
  <c r="CD149" i="8"/>
  <c r="CD147" i="8"/>
  <c r="BY185" i="8"/>
  <c r="CH149" i="8"/>
  <c r="CH147" i="8"/>
  <c r="CH160" i="8"/>
  <c r="CH165" i="8"/>
  <c r="BZ184" i="8"/>
  <c r="BZ186" i="8"/>
  <c r="CF113" i="112"/>
  <c r="CB186" i="8"/>
  <c r="CB184" i="8"/>
  <c r="CK160" i="8"/>
  <c r="CK149" i="8"/>
  <c r="CK165" i="8"/>
  <c r="CH184" i="8"/>
  <c r="CH186" i="8"/>
  <c r="CC160" i="8"/>
  <c r="CC149" i="8"/>
  <c r="CC165" i="8"/>
  <c r="CC147" i="8"/>
  <c r="CA160" i="8"/>
  <c r="CA149" i="8"/>
  <c r="CA165" i="8"/>
  <c r="CA147" i="8"/>
  <c r="CH113" i="112"/>
  <c r="BT165" i="8"/>
  <c r="BT160" i="8"/>
  <c r="BU185" i="8"/>
  <c r="CB147" i="8"/>
  <c r="CB149" i="8"/>
  <c r="CB160" i="8"/>
  <c r="CB165" i="8"/>
  <c r="CF149" i="8"/>
  <c r="CF160" i="8"/>
  <c r="CF165" i="8"/>
  <c r="CF147" i="8"/>
  <c r="CD113" i="112"/>
  <c r="BX113" i="112"/>
  <c r="CI186" i="8"/>
  <c r="CI184" i="8"/>
  <c r="AU253" i="112"/>
  <c r="BR113" i="112"/>
  <c r="BV113" i="112"/>
  <c r="BO137" i="8"/>
  <c r="BO139" i="8"/>
  <c r="BO115" i="8"/>
  <c r="BO117" i="8"/>
  <c r="BP137" i="8"/>
  <c r="BP139" i="8"/>
  <c r="BL126" i="8"/>
  <c r="BL128" i="8"/>
  <c r="BN137" i="8"/>
  <c r="BN139" i="8"/>
  <c r="BP128" i="8"/>
  <c r="BP126" i="8"/>
  <c r="BO121" i="8"/>
  <c r="BO123" i="8"/>
  <c r="BP134" i="8"/>
  <c r="BP132" i="8"/>
  <c r="BL132" i="8"/>
  <c r="BL134" i="8"/>
  <c r="BN115" i="8"/>
  <c r="BN117" i="8"/>
  <c r="BO128" i="8"/>
  <c r="BO126" i="8"/>
  <c r="BP115" i="8"/>
  <c r="BP117" i="8"/>
  <c r="BN121" i="8"/>
  <c r="BN123" i="8"/>
  <c r="BO134" i="8"/>
  <c r="BO132" i="8"/>
  <c r="BP121" i="8"/>
  <c r="BP123" i="8"/>
  <c r="BL137" i="8"/>
  <c r="BL139" i="8"/>
  <c r="BN128" i="8"/>
  <c r="BN126" i="8"/>
  <c r="BL121" i="8"/>
  <c r="BL123" i="8"/>
  <c r="BL115" i="8"/>
  <c r="BL117" i="8"/>
  <c r="BN134" i="8"/>
  <c r="BN132" i="8"/>
  <c r="AU95" i="112"/>
  <c r="AI455" i="111"/>
  <c r="AU116" i="112"/>
  <c r="AU117" i="112" s="1"/>
  <c r="AU178" i="8" s="1"/>
  <c r="AU180" i="8" s="1"/>
  <c r="AS46" i="112"/>
  <c r="AW46" i="112"/>
  <c r="L159" i="11"/>
  <c r="BM172" i="8"/>
  <c r="BM174" i="8"/>
  <c r="BP149" i="8"/>
  <c r="BP147" i="8"/>
  <c r="BO149" i="8"/>
  <c r="BO147" i="8"/>
  <c r="BM149" i="8"/>
  <c r="BM147" i="8"/>
  <c r="AE127" i="94"/>
  <c r="S127" i="94"/>
  <c r="AU200" i="112"/>
  <c r="AU201" i="112" s="1"/>
  <c r="AU198" i="8" s="1"/>
  <c r="F122" i="94"/>
  <c r="E118" i="94"/>
  <c r="F117" i="94"/>
  <c r="I118" i="94"/>
  <c r="I122" i="94"/>
  <c r="F121" i="94"/>
  <c r="D118" i="94"/>
  <c r="D126" i="94"/>
  <c r="I119" i="94"/>
  <c r="E121" i="94"/>
  <c r="M126" i="94"/>
  <c r="F126" i="94"/>
  <c r="F124" i="94"/>
  <c r="I126" i="94"/>
  <c r="E126" i="94"/>
  <c r="E119" i="94"/>
  <c r="I121" i="94"/>
  <c r="F119" i="94"/>
  <c r="F123" i="94"/>
  <c r="D124" i="94"/>
  <c r="E124" i="94"/>
  <c r="I117" i="94"/>
  <c r="E122" i="94"/>
  <c r="N242" i="112"/>
  <c r="K122" i="94"/>
  <c r="O123" i="94"/>
  <c r="O126" i="94"/>
  <c r="H122" i="94"/>
  <c r="AJ127" i="94"/>
  <c r="AA127" i="94"/>
  <c r="K123" i="94"/>
  <c r="K121" i="94"/>
  <c r="O118" i="94"/>
  <c r="O117" i="94"/>
  <c r="O124" i="94"/>
  <c r="H117" i="94"/>
  <c r="H121" i="94"/>
  <c r="K118" i="94"/>
  <c r="H118" i="94"/>
  <c r="H124" i="94"/>
  <c r="AB127" i="94"/>
  <c r="M119" i="94"/>
  <c r="M121" i="94"/>
  <c r="M122" i="94"/>
  <c r="M118" i="94"/>
  <c r="M124" i="94"/>
  <c r="T127" i="94"/>
  <c r="P439" i="111"/>
  <c r="AB242" i="112"/>
  <c r="X127" i="94"/>
  <c r="AI127" i="94"/>
  <c r="AB132" i="4"/>
  <c r="Q118" i="94"/>
  <c r="P117" i="94"/>
  <c r="S439" i="111"/>
  <c r="T455" i="111"/>
  <c r="P124" i="94"/>
  <c r="R538" i="111"/>
  <c r="Q119" i="94"/>
  <c r="P123" i="94"/>
  <c r="Y36" i="60"/>
  <c r="Q126" i="94"/>
  <c r="P122" i="94"/>
  <c r="Q121" i="94"/>
  <c r="P121" i="94"/>
  <c r="Q124" i="94"/>
  <c r="P126" i="94"/>
  <c r="Q123" i="94"/>
  <c r="AK439" i="111"/>
  <c r="Q117" i="94"/>
  <c r="H239" i="112"/>
  <c r="AL433" i="111"/>
  <c r="AE433" i="111"/>
  <c r="Y244" i="112"/>
  <c r="L538" i="111"/>
  <c r="M885" i="111"/>
  <c r="AD433" i="111"/>
  <c r="W244" i="112"/>
  <c r="G150" i="112"/>
  <c r="I150" i="112"/>
  <c r="M150" i="112"/>
  <c r="L16" i="11" s="1"/>
  <c r="L22" i="111" s="1"/>
  <c r="Q151" i="112"/>
  <c r="R152" i="112"/>
  <c r="R203" i="112" s="1"/>
  <c r="C150" i="112"/>
  <c r="S20" i="112"/>
  <c r="AI31" i="2"/>
  <c r="AQ560" i="111"/>
  <c r="V242" i="112"/>
  <c r="K159" i="11"/>
  <c r="H142" i="112"/>
  <c r="P432" i="111"/>
  <c r="U26" i="112"/>
  <c r="AC440" i="111"/>
  <c r="AC469" i="111"/>
  <c r="Y44" i="112"/>
  <c r="M26" i="112"/>
  <c r="U440" i="111"/>
  <c r="U469" i="111"/>
  <c r="Q44" i="112"/>
  <c r="AW441" i="111"/>
  <c r="BA441" i="111"/>
  <c r="T469" i="111"/>
  <c r="L26" i="112"/>
  <c r="T440" i="111"/>
  <c r="P44" i="112"/>
  <c r="W26" i="112"/>
  <c r="AE440" i="111"/>
  <c r="AE469" i="111"/>
  <c r="AA44" i="112"/>
  <c r="AA26" i="112"/>
  <c r="O26" i="112"/>
  <c r="W440" i="111"/>
  <c r="W469" i="111"/>
  <c r="S44" i="112"/>
  <c r="F142" i="112"/>
  <c r="N432" i="111"/>
  <c r="K142" i="112"/>
  <c r="S432" i="111"/>
  <c r="AP433" i="111"/>
  <c r="X265" i="112"/>
  <c r="AB251" i="112"/>
  <c r="AB270" i="112" s="1"/>
  <c r="P142" i="112"/>
  <c r="X432" i="111"/>
  <c r="D142" i="112"/>
  <c r="L432" i="111"/>
  <c r="R151" i="112"/>
  <c r="O151" i="112"/>
  <c r="P152" i="112"/>
  <c r="P203" i="112" s="1"/>
  <c r="T204" i="112" s="1"/>
  <c r="L73" i="2"/>
  <c r="L318" i="112"/>
  <c r="J150" i="112"/>
  <c r="O152" i="112"/>
  <c r="O203" i="112" s="1"/>
  <c r="S204" i="112" s="1"/>
  <c r="B150" i="112"/>
  <c r="F150" i="112"/>
  <c r="L31" i="2"/>
  <c r="T560" i="111"/>
  <c r="D132" i="4"/>
  <c r="O31" i="2"/>
  <c r="W560" i="111"/>
  <c r="P31" i="2"/>
  <c r="X560" i="111"/>
  <c r="T31" i="2"/>
  <c r="AB560" i="111"/>
  <c r="V440" i="111"/>
  <c r="V469" i="111"/>
  <c r="N26" i="112"/>
  <c r="R44" i="112"/>
  <c r="C142" i="112"/>
  <c r="K432" i="111"/>
  <c r="M440" i="111"/>
  <c r="M469" i="111"/>
  <c r="M470" i="111" s="1"/>
  <c r="I44" i="112"/>
  <c r="I49" i="112" s="1"/>
  <c r="I50" i="112" s="1"/>
  <c r="G26" i="112"/>
  <c r="O440" i="111"/>
  <c r="O441" i="111" s="1"/>
  <c r="O469" i="111"/>
  <c r="K44" i="112"/>
  <c r="T192" i="112"/>
  <c r="T174" i="112"/>
  <c r="X204" i="112"/>
  <c r="T263" i="112"/>
  <c r="Y251" i="112"/>
  <c r="Y270" i="112" s="1"/>
  <c r="Y265" i="112"/>
  <c r="AC251" i="112"/>
  <c r="AC270" i="112" s="1"/>
  <c r="U265" i="112"/>
  <c r="I42" i="112"/>
  <c r="AS49" i="112"/>
  <c r="AS50" i="112" s="1"/>
  <c r="AS153" i="8" s="1"/>
  <c r="AS154" i="8" s="1"/>
  <c r="AS253" i="112"/>
  <c r="AW254" i="112" s="1"/>
  <c r="G142" i="112"/>
  <c r="O432" i="111"/>
  <c r="AB440" i="111"/>
  <c r="AB469" i="111"/>
  <c r="T26" i="112"/>
  <c r="X44" i="112"/>
  <c r="V265" i="112"/>
  <c r="Z251" i="112"/>
  <c r="Z270" i="112" s="1"/>
  <c r="P26" i="112"/>
  <c r="X440" i="111"/>
  <c r="X469" i="111"/>
  <c r="T44" i="112"/>
  <c r="T49" i="112" s="1"/>
  <c r="T50" i="112" s="1"/>
  <c r="T153" i="8" s="1"/>
  <c r="AI433" i="111"/>
  <c r="L470" i="111"/>
  <c r="Q142" i="112"/>
  <c r="Y432" i="111"/>
  <c r="K150" i="112"/>
  <c r="D150" i="112"/>
  <c r="C31" i="2"/>
  <c r="K560" i="111"/>
  <c r="N142" i="112"/>
  <c r="M142" i="112"/>
  <c r="U432" i="111"/>
  <c r="O142" i="112"/>
  <c r="W432" i="111"/>
  <c r="AA440" i="111"/>
  <c r="AA469" i="111"/>
  <c r="S26" i="112"/>
  <c r="W44" i="112"/>
  <c r="Z469" i="111"/>
  <c r="R26" i="112"/>
  <c r="Z440" i="111"/>
  <c r="V44" i="112"/>
  <c r="N440" i="111"/>
  <c r="N469" i="111"/>
  <c r="J44" i="112"/>
  <c r="J49" i="112" s="1"/>
  <c r="J50" i="112" s="1"/>
  <c r="Q469" i="111"/>
  <c r="Q440" i="111"/>
  <c r="I26" i="112"/>
  <c r="M44" i="112"/>
  <c r="P440" i="111"/>
  <c r="P441" i="111" s="1"/>
  <c r="P469" i="111"/>
  <c r="H26" i="112"/>
  <c r="L44" i="112"/>
  <c r="AA251" i="112"/>
  <c r="AA270" i="112" s="1"/>
  <c r="W265" i="112"/>
  <c r="S440" i="111"/>
  <c r="K26" i="112"/>
  <c r="S469" i="111"/>
  <c r="O44" i="112"/>
  <c r="V432" i="111"/>
  <c r="P885" i="111"/>
  <c r="O885" i="111"/>
  <c r="AQ433" i="111"/>
  <c r="AU433" i="111"/>
  <c r="L142" i="112"/>
  <c r="T432" i="111"/>
  <c r="S192" i="112"/>
  <c r="W204" i="112"/>
  <c r="S263" i="112"/>
  <c r="S174" i="112"/>
  <c r="AB73" i="2"/>
  <c r="AB318" i="112"/>
  <c r="H150" i="112"/>
  <c r="L150" i="112"/>
  <c r="P151" i="112"/>
  <c r="Q152" i="112"/>
  <c r="Q203" i="112" s="1"/>
  <c r="E150" i="112"/>
  <c r="T20" i="112"/>
  <c r="S19" i="112"/>
  <c r="T19" i="112"/>
  <c r="AT456" i="111"/>
  <c r="AC455" i="111"/>
  <c r="R469" i="111"/>
  <c r="J26" i="112"/>
  <c r="R440" i="111"/>
  <c r="N44" i="112"/>
  <c r="E142" i="112"/>
  <c r="M432" i="111"/>
  <c r="N885" i="111"/>
  <c r="L885" i="111"/>
  <c r="AC44" i="112"/>
  <c r="AG469" i="111"/>
  <c r="Y26" i="112"/>
  <c r="AG440" i="111"/>
  <c r="AC26" i="112"/>
  <c r="J870" i="111"/>
  <c r="J880" i="111" s="1"/>
  <c r="K885" i="111" s="1"/>
  <c r="AW470" i="111"/>
  <c r="AX470" i="111"/>
  <c r="I142" i="112"/>
  <c r="Q432" i="111"/>
  <c r="U44" i="112"/>
  <c r="Y440" i="111"/>
  <c r="Y469" i="111"/>
  <c r="Q26" i="112"/>
  <c r="AD440" i="111"/>
  <c r="AD469" i="111"/>
  <c r="V26" i="112"/>
  <c r="Z44" i="112"/>
  <c r="Z26" i="112"/>
  <c r="X26" i="112"/>
  <c r="AF440" i="111"/>
  <c r="AF469" i="111"/>
  <c r="AB44" i="112"/>
  <c r="AB26" i="112"/>
  <c r="AR257" i="112"/>
  <c r="AR258" i="112" s="1"/>
  <c r="AR255" i="112"/>
  <c r="AR254" i="112"/>
  <c r="J432" i="111"/>
  <c r="J142" i="112"/>
  <c r="R432" i="111"/>
  <c r="T242" i="112"/>
  <c r="G123" i="2"/>
  <c r="N542" i="111"/>
  <c r="AN123" i="2"/>
  <c r="AU542" i="111"/>
  <c r="AB478" i="111"/>
  <c r="AR478" i="111"/>
  <c r="M455" i="111"/>
  <c r="AI439" i="111"/>
  <c r="G171" i="8"/>
  <c r="L191" i="8"/>
  <c r="Y439" i="111"/>
  <c r="BN113" i="112"/>
  <c r="BO113" i="112"/>
  <c r="BL113" i="112"/>
  <c r="BP113" i="112"/>
  <c r="BM113" i="112"/>
  <c r="BQ113" i="112"/>
  <c r="W439" i="111"/>
  <c r="AH477" i="111"/>
  <c r="AL478" i="111" s="1"/>
  <c r="AD477" i="111"/>
  <c r="P478" i="111"/>
  <c r="AI477" i="111"/>
  <c r="AI478" i="111" s="1"/>
  <c r="AF477" i="111"/>
  <c r="AF478" i="111" s="1"/>
  <c r="AS477" i="111"/>
  <c r="AS478" i="111" s="1"/>
  <c r="M28" i="4"/>
  <c r="U487" i="111"/>
  <c r="R28" i="4"/>
  <c r="Z487" i="111"/>
  <c r="Q537" i="111"/>
  <c r="Q538" i="111" s="1"/>
  <c r="Q539" i="111" s="1"/>
  <c r="AS491" i="111"/>
  <c r="T491" i="111"/>
  <c r="AT537" i="111"/>
  <c r="AT538" i="111" s="1"/>
  <c r="U491" i="111"/>
  <c r="AJ491" i="111"/>
  <c r="AL491" i="111"/>
  <c r="V537" i="111"/>
  <c r="V538" i="111" s="1"/>
  <c r="AK297" i="112"/>
  <c r="AK302" i="112"/>
  <c r="AK242" i="112"/>
  <c r="AO242" i="112"/>
  <c r="AL456" i="111"/>
  <c r="AL455" i="111"/>
  <c r="AL481" i="111"/>
  <c r="AL563" i="111"/>
  <c r="AD239" i="112"/>
  <c r="AL438" i="111"/>
  <c r="AH255" i="112"/>
  <c r="AD481" i="111"/>
  <c r="AD563" i="111"/>
  <c r="AJ242" i="112"/>
  <c r="AN242" i="112"/>
  <c r="AJ563" i="111"/>
  <c r="AJ481" i="111"/>
  <c r="AB239" i="112"/>
  <c r="AJ438" i="111"/>
  <c r="AF255" i="112"/>
  <c r="Y455" i="111"/>
  <c r="X455" i="111"/>
  <c r="X456" i="111"/>
  <c r="AY439" i="111"/>
  <c r="AK455" i="111"/>
  <c r="AL538" i="111"/>
  <c r="AH297" i="112"/>
  <c r="AH302" i="112"/>
  <c r="Z456" i="111"/>
  <c r="Z455" i="111"/>
  <c r="R456" i="111"/>
  <c r="R455" i="111"/>
  <c r="AN563" i="111"/>
  <c r="AN481" i="111"/>
  <c r="AF239" i="112"/>
  <c r="AN438" i="111"/>
  <c r="AJ255" i="112"/>
  <c r="X297" i="112"/>
  <c r="X302" i="112"/>
  <c r="X244" i="112"/>
  <c r="AM455" i="111"/>
  <c r="AT477" i="111"/>
  <c r="Z477" i="111"/>
  <c r="Z478" i="111" s="1"/>
  <c r="AC477" i="111"/>
  <c r="AC478" i="111" s="1"/>
  <c r="AK477" i="111"/>
  <c r="AK478" i="111" s="1"/>
  <c r="W477" i="111"/>
  <c r="AA478" i="111" s="1"/>
  <c r="J490" i="111"/>
  <c r="AA487" i="111"/>
  <c r="Q478" i="111"/>
  <c r="AE478" i="111"/>
  <c r="AK491" i="111"/>
  <c r="R491" i="111"/>
  <c r="L491" i="111"/>
  <c r="X478" i="111"/>
  <c r="M491" i="111"/>
  <c r="AI491" i="111"/>
  <c r="AG537" i="111"/>
  <c r="AG538" i="111" s="1"/>
  <c r="AD491" i="111"/>
  <c r="AS455" i="111"/>
  <c r="AS456" i="111"/>
  <c r="AW456" i="111"/>
  <c r="AS563" i="111"/>
  <c r="AS481" i="111"/>
  <c r="AK239" i="112"/>
  <c r="AS438" i="111"/>
  <c r="AO255" i="112"/>
  <c r="AO239" i="112"/>
  <c r="N456" i="111"/>
  <c r="N455" i="111"/>
  <c r="AD456" i="111"/>
  <c r="AD455" i="111"/>
  <c r="V244" i="112"/>
  <c r="AC439" i="111"/>
  <c r="P456" i="111"/>
  <c r="AR455" i="111"/>
  <c r="AR456" i="111"/>
  <c r="AV456" i="111"/>
  <c r="X563" i="111"/>
  <c r="X481" i="111"/>
  <c r="P239" i="112"/>
  <c r="X438" i="111"/>
  <c r="X439" i="111" s="1"/>
  <c r="AR538" i="111"/>
  <c r="AQ455" i="111"/>
  <c r="AE455" i="111"/>
  <c r="L563" i="111"/>
  <c r="L481" i="111"/>
  <c r="N538" i="111"/>
  <c r="N539" i="111" s="1"/>
  <c r="AP481" i="111"/>
  <c r="AP563" i="111"/>
  <c r="AH242" i="112"/>
  <c r="R466" i="111"/>
  <c r="AG303" i="112"/>
  <c r="AG439" i="111"/>
  <c r="J455" i="111"/>
  <c r="AF242" i="112"/>
  <c r="AF563" i="111"/>
  <c r="AF481" i="111"/>
  <c r="X239" i="112"/>
  <c r="AF438" i="111"/>
  <c r="AF439" i="111" s="1"/>
  <c r="AP477" i="111"/>
  <c r="AP478" i="111" s="1"/>
  <c r="R477" i="111"/>
  <c r="R478" i="111" s="1"/>
  <c r="U477" i="111"/>
  <c r="U478" i="111" s="1"/>
  <c r="S477" i="111"/>
  <c r="S478" i="111" s="1"/>
  <c r="T478" i="111"/>
  <c r="AN478" i="111"/>
  <c r="AQ478" i="111"/>
  <c r="T28" i="4"/>
  <c r="AB487" i="111"/>
  <c r="G21" i="4"/>
  <c r="O537" i="111"/>
  <c r="O538" i="111" s="1"/>
  <c r="O539" i="111" s="1"/>
  <c r="Y491" i="111"/>
  <c r="Z491" i="111"/>
  <c r="K491" i="111"/>
  <c r="AP491" i="111"/>
  <c r="J491" i="111"/>
  <c r="N491" i="111"/>
  <c r="AA439" i="111"/>
  <c r="V239" i="112"/>
  <c r="AD438" i="111"/>
  <c r="V481" i="111"/>
  <c r="V563" i="111"/>
  <c r="N239" i="112"/>
  <c r="V438" i="111"/>
  <c r="AO455" i="111"/>
  <c r="Y303" i="112"/>
  <c r="P455" i="111"/>
  <c r="AJ297" i="112"/>
  <c r="AJ302" i="112"/>
  <c r="AJ455" i="111"/>
  <c r="AJ456" i="111"/>
  <c r="AI303" i="112"/>
  <c r="W303" i="112"/>
  <c r="Z538" i="111"/>
  <c r="U303" i="112"/>
  <c r="AE439" i="111"/>
  <c r="S455" i="111"/>
  <c r="AP456" i="111"/>
  <c r="AP455" i="111"/>
  <c r="AH239" i="112"/>
  <c r="AP438" i="111"/>
  <c r="AL255" i="112"/>
  <c r="Z297" i="112"/>
  <c r="Z302" i="112"/>
  <c r="Z242" i="112"/>
  <c r="Z481" i="111"/>
  <c r="Z563" i="111"/>
  <c r="R242" i="112"/>
  <c r="J242" i="112"/>
  <c r="AN455" i="111"/>
  <c r="AN456" i="111"/>
  <c r="AB456" i="111"/>
  <c r="AA303" i="112"/>
  <c r="AJ538" i="111"/>
  <c r="W539" i="111"/>
  <c r="N478" i="111"/>
  <c r="W487" i="111"/>
  <c r="D28" i="4"/>
  <c r="L487" i="111"/>
  <c r="L13" i="111"/>
  <c r="AU477" i="111"/>
  <c r="O478" i="111"/>
  <c r="AA491" i="111"/>
  <c r="P491" i="111"/>
  <c r="AN491" i="111"/>
  <c r="AR491" i="111"/>
  <c r="W491" i="111"/>
  <c r="AH491" i="111"/>
  <c r="AO491" i="111"/>
  <c r="S491" i="111"/>
  <c r="AF491" i="111"/>
  <c r="AB491" i="111"/>
  <c r="T439" i="111"/>
  <c r="N481" i="111"/>
  <c r="N563" i="111"/>
  <c r="AD297" i="112"/>
  <c r="AD302" i="112"/>
  <c r="V297" i="112"/>
  <c r="V302" i="112"/>
  <c r="V456" i="111"/>
  <c r="V455" i="111"/>
  <c r="Q455" i="111"/>
  <c r="AR563" i="111"/>
  <c r="AR481" i="111"/>
  <c r="AJ239" i="112"/>
  <c r="AR438" i="111"/>
  <c r="AN255" i="112"/>
  <c r="AN239" i="112"/>
  <c r="AB297" i="112"/>
  <c r="AB302" i="112"/>
  <c r="K455" i="111"/>
  <c r="T239" i="112"/>
  <c r="W455" i="111"/>
  <c r="AH456" i="111"/>
  <c r="AH455" i="111"/>
  <c r="AH481" i="111"/>
  <c r="AH563" i="111"/>
  <c r="Z239" i="112"/>
  <c r="AH438" i="111"/>
  <c r="AD255" i="112"/>
  <c r="R239" i="112"/>
  <c r="Z438" i="111"/>
  <c r="R481" i="111"/>
  <c r="R563" i="111"/>
  <c r="J239" i="112"/>
  <c r="R438" i="111"/>
  <c r="AC303" i="112"/>
  <c r="AF297" i="112"/>
  <c r="AF302" i="112"/>
  <c r="AG455" i="111"/>
  <c r="AF455" i="111"/>
  <c r="AF456" i="111"/>
  <c r="AB455" i="111"/>
  <c r="T539" i="111"/>
  <c r="AS538" i="111"/>
  <c r="AS539" i="111" s="1"/>
  <c r="AI251" i="8"/>
  <c r="AL251" i="8"/>
  <c r="AM251" i="8"/>
  <c r="BN112" i="8"/>
  <c r="AW6" i="60"/>
  <c r="AW12" i="60" s="1"/>
  <c r="AW18" i="60" s="1"/>
  <c r="W21" i="4"/>
  <c r="P21" i="4"/>
  <c r="Y21" i="4"/>
  <c r="AL21" i="4"/>
  <c r="N21" i="4"/>
  <c r="AM21" i="4"/>
  <c r="AN178" i="8"/>
  <c r="E83" i="27"/>
  <c r="B83" i="27"/>
  <c r="F83" i="27"/>
  <c r="C83" i="27"/>
  <c r="H52" i="2"/>
  <c r="H280" i="8" s="1"/>
  <c r="H132" i="4"/>
  <c r="D83" i="27"/>
  <c r="T52" i="2"/>
  <c r="T280" i="8" s="1"/>
  <c r="L52" i="2"/>
  <c r="L280" i="8" s="1"/>
  <c r="N41" i="11"/>
  <c r="O41" i="11"/>
  <c r="K41" i="11"/>
  <c r="J41" i="11"/>
  <c r="L41" i="11"/>
  <c r="M41" i="11"/>
  <c r="W120" i="8"/>
  <c r="W136" i="8"/>
  <c r="AJ161" i="8"/>
  <c r="AJ158" i="8" s="1"/>
  <c r="AI36" i="58"/>
  <c r="AH22" i="4"/>
  <c r="AH23" i="4" s="1"/>
  <c r="H39" i="2"/>
  <c r="AQ186" i="8"/>
  <c r="AQ185" i="8"/>
  <c r="AQ205" i="8"/>
  <c r="AQ206" i="8"/>
  <c r="AQ180" i="8"/>
  <c r="AQ179" i="8"/>
  <c r="I21" i="4"/>
  <c r="AF36" i="58"/>
  <c r="AE22" i="4"/>
  <c r="AE23" i="4" s="1"/>
  <c r="AC22" i="4"/>
  <c r="AC23" i="4" s="1"/>
  <c r="AD36" i="58"/>
  <c r="P53" i="2"/>
  <c r="AF22" i="4"/>
  <c r="AF23" i="4" s="1"/>
  <c r="AG36" i="58"/>
  <c r="M34" i="4"/>
  <c r="M36" i="4" s="1"/>
  <c r="X33" i="58"/>
  <c r="X34" i="58" s="1"/>
  <c r="X36" i="58" s="1"/>
  <c r="W18" i="4"/>
  <c r="J67" i="11"/>
  <c r="AH36" i="58"/>
  <c r="AO38" i="2"/>
  <c r="AO39" i="2" s="1"/>
  <c r="AM33" i="58"/>
  <c r="AL18" i="4"/>
  <c r="R67" i="11"/>
  <c r="O33" i="58"/>
  <c r="O35" i="58" s="1"/>
  <c r="N18" i="4"/>
  <c r="Y36" i="58"/>
  <c r="V36" i="58"/>
  <c r="U34" i="4"/>
  <c r="U36" i="4" s="1"/>
  <c r="K81" i="27"/>
  <c r="AN33" i="58"/>
  <c r="AM18" i="4"/>
  <c r="H33" i="58"/>
  <c r="H35" i="58" s="1"/>
  <c r="G18" i="4"/>
  <c r="N67" i="11"/>
  <c r="L67" i="11"/>
  <c r="P88" i="11"/>
  <c r="Q33" i="58"/>
  <c r="Q35" i="58" s="1"/>
  <c r="P18" i="4"/>
  <c r="Q67" i="11"/>
  <c r="J33" i="58"/>
  <c r="J35" i="58" s="1"/>
  <c r="I18" i="4"/>
  <c r="AO64" i="2"/>
  <c r="AO82" i="2" s="1"/>
  <c r="K80" i="27"/>
  <c r="AN38" i="2"/>
  <c r="AN39" i="2" s="1"/>
  <c r="K62" i="27"/>
  <c r="AN42" i="2"/>
  <c r="K73" i="27"/>
  <c r="R88" i="11"/>
  <c r="P67" i="11"/>
  <c r="Q88" i="11"/>
  <c r="Z33" i="58"/>
  <c r="Z34" i="58" s="1"/>
  <c r="Y18" i="4"/>
  <c r="S31" i="2"/>
  <c r="AE31" i="2"/>
  <c r="H41" i="58"/>
  <c r="AB31" i="2"/>
  <c r="Z22" i="4"/>
  <c r="W31" i="2"/>
  <c r="X31" i="2"/>
  <c r="AL36" i="58"/>
  <c r="C40" i="58"/>
  <c r="AB22" i="4"/>
  <c r="AB23" i="4" s="1"/>
  <c r="K31" i="2"/>
  <c r="U254" i="8"/>
  <c r="U256" i="8" s="1"/>
  <c r="N336" i="111" s="1"/>
  <c r="N322" i="111" s="1"/>
  <c r="W254" i="8"/>
  <c r="W255" i="8" s="1"/>
  <c r="K254" i="8"/>
  <c r="K255" i="8" s="1"/>
  <c r="H44" i="60"/>
  <c r="K44" i="60"/>
  <c r="C138" i="4"/>
  <c r="J29" i="76" s="1"/>
  <c r="AE254" i="8"/>
  <c r="AE257" i="8" s="1"/>
  <c r="M254" i="8"/>
  <c r="M255" i="8" s="1"/>
  <c r="L337" i="111" s="1"/>
  <c r="H254" i="8"/>
  <c r="H255" i="8" s="1"/>
  <c r="J337" i="111" s="1"/>
  <c r="S254" i="8"/>
  <c r="S255" i="8" s="1"/>
  <c r="AJ22" i="4"/>
  <c r="AJ23" i="4" s="1"/>
  <c r="O254" i="8"/>
  <c r="O255" i="8" s="1"/>
  <c r="J40" i="58"/>
  <c r="T254" i="8"/>
  <c r="T255" i="8" s="1"/>
  <c r="AV38" i="60"/>
  <c r="Q254" i="8"/>
  <c r="Q256" i="8" s="1"/>
  <c r="M336" i="111" s="1"/>
  <c r="M322" i="111" s="1"/>
  <c r="E123" i="2"/>
  <c r="AJ38" i="60"/>
  <c r="AW36" i="60"/>
  <c r="AW25" i="60"/>
  <c r="AO42" i="2"/>
  <c r="AW560" i="111" s="1"/>
  <c r="AG254" i="8"/>
  <c r="AG255" i="8" s="1"/>
  <c r="Q337" i="111" s="1"/>
  <c r="AO185" i="8"/>
  <c r="AO186" i="8"/>
  <c r="AM123" i="2"/>
  <c r="J178" i="8"/>
  <c r="AO178" i="8"/>
  <c r="K34" i="4"/>
  <c r="P34" i="4"/>
  <c r="P36" i="4" s="1"/>
  <c r="V34" i="4"/>
  <c r="H34" i="4"/>
  <c r="H36" i="4" s="1"/>
  <c r="N34" i="4"/>
  <c r="N36" i="4" s="1"/>
  <c r="E34" i="4"/>
  <c r="E36" i="4" s="1"/>
  <c r="L34" i="4"/>
  <c r="C34" i="4"/>
  <c r="W34" i="4"/>
  <c r="W36" i="4" s="1"/>
  <c r="J34" i="4"/>
  <c r="G34" i="4"/>
  <c r="G36" i="4" s="1"/>
  <c r="AC254" i="8"/>
  <c r="AC256" i="8" s="1"/>
  <c r="P336" i="111" s="1"/>
  <c r="P322" i="111" s="1"/>
  <c r="Y123" i="2"/>
  <c r="F34" i="4"/>
  <c r="F36" i="4" s="1"/>
  <c r="AG120" i="8"/>
  <c r="B77" i="27"/>
  <c r="AI254" i="8"/>
  <c r="AI257" i="8" s="1"/>
  <c r="F115" i="2"/>
  <c r="X34" i="4"/>
  <c r="X36" i="4" s="1"/>
  <c r="AF34" i="4"/>
  <c r="AC34" i="4"/>
  <c r="AE34" i="4"/>
  <c r="AB34" i="4"/>
  <c r="Z34" i="4"/>
  <c r="Z36" i="4" s="1"/>
  <c r="AA34" i="4"/>
  <c r="AA36" i="4" s="1"/>
  <c r="AK34" i="4"/>
  <c r="AK35" i="4" s="1"/>
  <c r="AL34" i="4"/>
  <c r="AP35" i="4" s="1"/>
  <c r="AJ34" i="4"/>
  <c r="AM34" i="4"/>
  <c r="AM36" i="4" s="1"/>
  <c r="AK131" i="8"/>
  <c r="V254" i="8"/>
  <c r="V257" i="8" s="1"/>
  <c r="P254" i="8"/>
  <c r="P255" i="8" s="1"/>
  <c r="Z254" i="8"/>
  <c r="Z257" i="8" s="1"/>
  <c r="X254" i="8"/>
  <c r="X257" i="8" s="1"/>
  <c r="AL254" i="8"/>
  <c r="AL255" i="8" s="1"/>
  <c r="W109" i="8"/>
  <c r="W195" i="8" s="1"/>
  <c r="AC131" i="8"/>
  <c r="BM159" i="8"/>
  <c r="BM161" i="8"/>
  <c r="BP160" i="8"/>
  <c r="BO161" i="8"/>
  <c r="BO159" i="8"/>
  <c r="AB125" i="8"/>
  <c r="BP171" i="8"/>
  <c r="BP112" i="112" s="1"/>
  <c r="T125" i="8"/>
  <c r="I120" i="8"/>
  <c r="AA120" i="8"/>
  <c r="AF136" i="8"/>
  <c r="M77" i="2"/>
  <c r="N115" i="2"/>
  <c r="Q115" i="2"/>
  <c r="AE123" i="2"/>
  <c r="AH123" i="2"/>
  <c r="AJ123" i="2"/>
  <c r="AM107" i="2"/>
  <c r="H123" i="2"/>
  <c r="M123" i="2"/>
  <c r="U123" i="2"/>
  <c r="O123" i="2"/>
  <c r="J123" i="2"/>
  <c r="AH115" i="2"/>
  <c r="AC123" i="2"/>
  <c r="AC115" i="2"/>
  <c r="M287" i="8"/>
  <c r="I115" i="2"/>
  <c r="AL123" i="2"/>
  <c r="Q123" i="2"/>
  <c r="F123" i="2"/>
  <c r="S123" i="2"/>
  <c r="N123" i="2"/>
  <c r="L63" i="2"/>
  <c r="L78" i="2" s="1"/>
  <c r="L77" i="2" s="1"/>
  <c r="D79" i="27"/>
  <c r="U112" i="2"/>
  <c r="U329" i="8" s="1"/>
  <c r="C44" i="60"/>
  <c r="AI22" i="4"/>
  <c r="AI23" i="4" s="1"/>
  <c r="D123" i="2"/>
  <c r="X123" i="2"/>
  <c r="N107" i="2"/>
  <c r="L132" i="4"/>
  <c r="L123" i="2"/>
  <c r="AB123" i="2"/>
  <c r="N41" i="58"/>
  <c r="I40" i="58"/>
  <c r="T123" i="2"/>
  <c r="C123" i="2"/>
  <c r="R123" i="2"/>
  <c r="W123" i="2"/>
  <c r="AG123" i="2"/>
  <c r="I123" i="2"/>
  <c r="P123" i="2"/>
  <c r="AI123" i="2"/>
  <c r="U121" i="2"/>
  <c r="V123" i="2"/>
  <c r="AK123" i="2"/>
  <c r="AF123" i="2"/>
  <c r="AA123" i="2"/>
  <c r="K123" i="2"/>
  <c r="AD123" i="2"/>
  <c r="Z123" i="2"/>
  <c r="AE131" i="8"/>
  <c r="J125" i="8"/>
  <c r="AI125" i="8"/>
  <c r="X120" i="8"/>
  <c r="E120" i="8"/>
  <c r="U120" i="8"/>
  <c r="M288" i="8"/>
  <c r="F40" i="58"/>
  <c r="AA22" i="4"/>
  <c r="AA23" i="4" s="1"/>
  <c r="P41" i="58"/>
  <c r="AD22" i="4"/>
  <c r="V41" i="58"/>
  <c r="E41" i="58"/>
  <c r="R40" i="58"/>
  <c r="D40" i="58"/>
  <c r="D41" i="58"/>
  <c r="Y51" i="94"/>
  <c r="O51" i="94"/>
  <c r="G51" i="94"/>
  <c r="AM127" i="94"/>
  <c r="R51" i="94"/>
  <c r="X51" i="94"/>
  <c r="Z127" i="94"/>
  <c r="U127" i="94"/>
  <c r="C51" i="94"/>
  <c r="AL51" i="94"/>
  <c r="N51" i="94"/>
  <c r="L51" i="94"/>
  <c r="AF51" i="94"/>
  <c r="AH127" i="94"/>
  <c r="AI51" i="94"/>
  <c r="S51" i="94"/>
  <c r="H51" i="94"/>
  <c r="AH51" i="94"/>
  <c r="T51" i="94"/>
  <c r="F51" i="94"/>
  <c r="AD127" i="94"/>
  <c r="AA51" i="94"/>
  <c r="AG127" i="94"/>
  <c r="E51" i="94"/>
  <c r="AB51" i="94"/>
  <c r="AE51" i="94"/>
  <c r="AC127" i="94"/>
  <c r="U51" i="94"/>
  <c r="M51" i="94"/>
  <c r="AF127" i="94"/>
  <c r="Y127" i="94"/>
  <c r="V127" i="94"/>
  <c r="Z51" i="94"/>
  <c r="AD51" i="94"/>
  <c r="K51" i="94"/>
  <c r="AG51" i="94"/>
  <c r="I51" i="94"/>
  <c r="AK127" i="94"/>
  <c r="AJ51" i="94"/>
  <c r="W51" i="94"/>
  <c r="P51" i="94"/>
  <c r="AK51" i="94"/>
  <c r="J51" i="94"/>
  <c r="Q51" i="94"/>
  <c r="AC51" i="94"/>
  <c r="AL127" i="94"/>
  <c r="D51" i="94"/>
  <c r="V51" i="94"/>
  <c r="AJ254" i="8"/>
  <c r="AJ255" i="8" s="1"/>
  <c r="AL40" i="58"/>
  <c r="K40" i="58"/>
  <c r="V22" i="4"/>
  <c r="L41" i="58"/>
  <c r="L40" i="58"/>
  <c r="G40" i="58"/>
  <c r="G41" i="58"/>
  <c r="AN186" i="8"/>
  <c r="AN185" i="8"/>
  <c r="AN206" i="8"/>
  <c r="AN205" i="8"/>
  <c r="Y115" i="2"/>
  <c r="S115" i="2"/>
  <c r="AF115" i="2"/>
  <c r="T115" i="2"/>
  <c r="P115" i="2"/>
  <c r="V115" i="2"/>
  <c r="S107" i="2"/>
  <c r="G115" i="2"/>
  <c r="R115" i="2"/>
  <c r="AB115" i="2"/>
  <c r="L115" i="2"/>
  <c r="AM112" i="2"/>
  <c r="AM329" i="8" s="1"/>
  <c r="W115" i="2"/>
  <c r="E115" i="2"/>
  <c r="Q286" i="8"/>
  <c r="M115" i="2"/>
  <c r="AM239" i="8"/>
  <c r="Y233" i="8"/>
  <c r="BP165" i="8"/>
  <c r="BP166" i="8" s="1"/>
  <c r="Q288" i="8"/>
  <c r="I286" i="8"/>
  <c r="N32" i="2"/>
  <c r="AH32" i="2"/>
  <c r="R32" i="2"/>
  <c r="J32" i="2"/>
  <c r="AD32" i="2"/>
  <c r="V32" i="2"/>
  <c r="R75" i="58"/>
  <c r="Q18" i="112" s="1"/>
  <c r="L121" i="2"/>
  <c r="G121" i="2"/>
  <c r="AF121" i="2"/>
  <c r="H121" i="2"/>
  <c r="O121" i="2"/>
  <c r="AH121" i="2"/>
  <c r="AJ121" i="2"/>
  <c r="AE121" i="2"/>
  <c r="Z121" i="2"/>
  <c r="J121" i="2"/>
  <c r="K121" i="2"/>
  <c r="AD121" i="2"/>
  <c r="AG121" i="2"/>
  <c r="T121" i="2"/>
  <c r="N121" i="2"/>
  <c r="AM121" i="2"/>
  <c r="AC121" i="2"/>
  <c r="W121" i="2"/>
  <c r="AB121" i="2"/>
  <c r="Y121" i="2"/>
  <c r="AI121" i="2"/>
  <c r="X121" i="2"/>
  <c r="AK121" i="2"/>
  <c r="I121" i="2"/>
  <c r="P121" i="2"/>
  <c r="S121" i="2"/>
  <c r="R121" i="2"/>
  <c r="AL121" i="2"/>
  <c r="F121" i="2"/>
  <c r="Q121" i="2"/>
  <c r="V121" i="2"/>
  <c r="M121" i="2"/>
  <c r="AA121" i="2"/>
  <c r="AH131" i="8"/>
  <c r="C120" i="8"/>
  <c r="K109" i="8"/>
  <c r="O109" i="8"/>
  <c r="N120" i="8"/>
  <c r="M109" i="8"/>
  <c r="J109" i="8"/>
  <c r="K120" i="8"/>
  <c r="Q120" i="8"/>
  <c r="S125" i="8"/>
  <c r="U125" i="8"/>
  <c r="U136" i="8"/>
  <c r="E109" i="8"/>
  <c r="BP60" i="8"/>
  <c r="BP58" i="8"/>
  <c r="BO60" i="8"/>
  <c r="BO58" i="8"/>
  <c r="BQ68" i="8"/>
  <c r="BQ70" i="8"/>
  <c r="BM58" i="8"/>
  <c r="BM60" i="8"/>
  <c r="BP70" i="8"/>
  <c r="BP68" i="8"/>
  <c r="BO70" i="8"/>
  <c r="BO68" i="8"/>
  <c r="AZ186" i="112"/>
  <c r="BQ60" i="8"/>
  <c r="BQ58" i="8"/>
  <c r="BM68" i="8"/>
  <c r="BM70" i="8"/>
  <c r="BL60" i="8"/>
  <c r="BL58" i="8"/>
  <c r="BN60" i="8"/>
  <c r="BN58" i="8"/>
  <c r="BN57" i="8" s="1"/>
  <c r="BN185" i="112" s="1"/>
  <c r="AU185" i="112"/>
  <c r="BL70" i="8"/>
  <c r="BL68" i="8"/>
  <c r="BN70" i="8"/>
  <c r="BN68" i="8"/>
  <c r="AA195" i="8"/>
  <c r="H184" i="8"/>
  <c r="H185" i="8" s="1"/>
  <c r="BM184" i="8"/>
  <c r="BM186" i="8"/>
  <c r="BL186" i="8"/>
  <c r="BL184" i="8"/>
  <c r="BP184" i="8"/>
  <c r="BP186" i="8"/>
  <c r="I288" i="8"/>
  <c r="U287" i="8"/>
  <c r="BO186" i="8"/>
  <c r="BO184" i="8"/>
  <c r="AA112" i="2"/>
  <c r="AA329" i="8" s="1"/>
  <c r="AG115" i="2"/>
  <c r="K115" i="2"/>
  <c r="AJ115" i="2"/>
  <c r="AL115" i="2"/>
  <c r="AD254" i="8"/>
  <c r="AD255" i="8" s="1"/>
  <c r="U288" i="8"/>
  <c r="O112" i="2"/>
  <c r="O329" i="8" s="1"/>
  <c r="AK112" i="2"/>
  <c r="AK329" i="8" s="1"/>
  <c r="AE115" i="2"/>
  <c r="X115" i="2"/>
  <c r="C112" i="2"/>
  <c r="AD115" i="2"/>
  <c r="S28" i="4"/>
  <c r="AI112" i="2"/>
  <c r="AI329" i="8" s="1"/>
  <c r="AI115" i="2"/>
  <c r="D115" i="2"/>
  <c r="Z115" i="2"/>
  <c r="I184" i="8"/>
  <c r="I185" i="8" s="1"/>
  <c r="O28" i="4"/>
  <c r="AH184" i="8"/>
  <c r="AH185" i="8" s="1"/>
  <c r="J115" i="2"/>
  <c r="AK106" i="2"/>
  <c r="AK107" i="2"/>
  <c r="AC106" i="2"/>
  <c r="AC107" i="2"/>
  <c r="S24" i="4"/>
  <c r="U23" i="4"/>
  <c r="AG23" i="4"/>
  <c r="Q23" i="4"/>
  <c r="I23" i="4"/>
  <c r="J23" i="4"/>
  <c r="R487" i="111" s="1"/>
  <c r="H23" i="4"/>
  <c r="P487" i="111" s="1"/>
  <c r="X23" i="4"/>
  <c r="G23" i="4"/>
  <c r="O487" i="111" s="1"/>
  <c r="C23" i="4"/>
  <c r="K487" i="111" s="1"/>
  <c r="F23" i="4"/>
  <c r="N487" i="111" s="1"/>
  <c r="P23" i="4"/>
  <c r="B28" i="4"/>
  <c r="K23" i="4"/>
  <c r="S487" i="111" s="1"/>
  <c r="AK23" i="4"/>
  <c r="L23" i="4"/>
  <c r="T487" i="111" s="1"/>
  <c r="N23" i="4"/>
  <c r="E23" i="4"/>
  <c r="M487" i="111" s="1"/>
  <c r="AB184" i="8"/>
  <c r="AB185" i="8" s="1"/>
  <c r="D75" i="58"/>
  <c r="C18" i="112" s="1"/>
  <c r="C75" i="58"/>
  <c r="B18" i="112" s="1"/>
  <c r="T137" i="8"/>
  <c r="T139" i="8" s="1"/>
  <c r="S137" i="8"/>
  <c r="F75" i="58"/>
  <c r="E18" i="112" s="1"/>
  <c r="E75" i="58"/>
  <c r="D18" i="112" s="1"/>
  <c r="G75" i="58"/>
  <c r="F18" i="112" s="1"/>
  <c r="AC184" i="8"/>
  <c r="AC185" i="8" s="1"/>
  <c r="AM184" i="8"/>
  <c r="AM185" i="8" s="1"/>
  <c r="AG184" i="8"/>
  <c r="AG185" i="8" s="1"/>
  <c r="P184" i="8"/>
  <c r="P185" i="8" s="1"/>
  <c r="AF204" i="8"/>
  <c r="W184" i="8"/>
  <c r="W185" i="8" s="1"/>
  <c r="AA184" i="8"/>
  <c r="AA185" i="8" s="1"/>
  <c r="BO165" i="8"/>
  <c r="BQ165" i="8"/>
  <c r="BM165" i="8"/>
  <c r="H178" i="8"/>
  <c r="H179" i="8" s="1"/>
  <c r="AL204" i="8"/>
  <c r="L146" i="8"/>
  <c r="AL146" i="8"/>
  <c r="AL150" i="8" s="1"/>
  <c r="U146" i="8"/>
  <c r="U150" i="8" s="1"/>
  <c r="AB146" i="8"/>
  <c r="AB150" i="8" s="1"/>
  <c r="AK204" i="8"/>
  <c r="V146" i="8"/>
  <c r="V150" i="8" s="1"/>
  <c r="T146" i="8"/>
  <c r="AC204" i="8"/>
  <c r="AG204" i="8"/>
  <c r="AM204" i="8"/>
  <c r="AI204" i="8"/>
  <c r="AI206" i="8" s="1"/>
  <c r="AB204" i="8"/>
  <c r="I146" i="8"/>
  <c r="X146" i="8"/>
  <c r="X150" i="8" s="1"/>
  <c r="AD146" i="8"/>
  <c r="AD150" i="8" s="1"/>
  <c r="AC146" i="8"/>
  <c r="AC150" i="8" s="1"/>
  <c r="AJ204" i="8"/>
  <c r="J146" i="8"/>
  <c r="F146" i="8"/>
  <c r="H146" i="8"/>
  <c r="AH204" i="8"/>
  <c r="AF146" i="8"/>
  <c r="AF150" i="8" s="1"/>
  <c r="T184" i="8"/>
  <c r="T185" i="8" s="1"/>
  <c r="AE184" i="8"/>
  <c r="AE185" i="8" s="1"/>
  <c r="L184" i="8"/>
  <c r="L185" i="8" s="1"/>
  <c r="U184" i="8"/>
  <c r="U185" i="8" s="1"/>
  <c r="AJ184" i="8"/>
  <c r="AJ185" i="8" s="1"/>
  <c r="G184" i="8"/>
  <c r="G185" i="8" s="1"/>
  <c r="AK166" i="8"/>
  <c r="AK163" i="8" s="1"/>
  <c r="AL184" i="8"/>
  <c r="AL185" i="8" s="1"/>
  <c r="AK184" i="8"/>
  <c r="AK185" i="8" s="1"/>
  <c r="J132" i="8"/>
  <c r="J133" i="8" s="1"/>
  <c r="AI184" i="8"/>
  <c r="AI185" i="8" s="1"/>
  <c r="AF184" i="8"/>
  <c r="AF185" i="8" s="1"/>
  <c r="N132" i="8"/>
  <c r="N133" i="8" s="1"/>
  <c r="M16" i="11"/>
  <c r="M22" i="111" s="1"/>
  <c r="Q75" i="58"/>
  <c r="P18" i="112" s="1"/>
  <c r="P75" i="58"/>
  <c r="O18" i="112" s="1"/>
  <c r="O75" i="58"/>
  <c r="N18" i="112" s="1"/>
  <c r="N75" i="58"/>
  <c r="M18" i="112" s="1"/>
  <c r="M75" i="58"/>
  <c r="L18" i="112" s="1"/>
  <c r="L75" i="58"/>
  <c r="K18" i="112" s="1"/>
  <c r="K75" i="58"/>
  <c r="J18" i="112" s="1"/>
  <c r="J75" i="58"/>
  <c r="I18" i="112" s="1"/>
  <c r="I75" i="58"/>
  <c r="H18" i="112" s="1"/>
  <c r="H75" i="58"/>
  <c r="G18" i="112" s="1"/>
  <c r="N184" i="8"/>
  <c r="N185" i="8" s="1"/>
  <c r="X184" i="8"/>
  <c r="X185" i="8" s="1"/>
  <c r="AD184" i="8"/>
  <c r="AD185" i="8" s="1"/>
  <c r="K184" i="8"/>
  <c r="K185" i="8" s="1"/>
  <c r="F184" i="8"/>
  <c r="F185" i="8" s="1"/>
  <c r="V184" i="8"/>
  <c r="V185" i="8" s="1"/>
  <c r="Q184" i="8"/>
  <c r="Q185" i="8" s="1"/>
  <c r="Y184" i="8"/>
  <c r="Y185" i="8" s="1"/>
  <c r="O184" i="8"/>
  <c r="O185" i="8" s="1"/>
  <c r="M184" i="8"/>
  <c r="M185" i="8" s="1"/>
  <c r="S184" i="8"/>
  <c r="S185" i="8" s="1"/>
  <c r="R184" i="8"/>
  <c r="R185" i="8" s="1"/>
  <c r="AA166" i="8"/>
  <c r="AA163" i="8" s="1"/>
  <c r="BN185" i="8"/>
  <c r="Z184" i="8"/>
  <c r="Z185" i="8" s="1"/>
  <c r="J184" i="8"/>
  <c r="J185" i="8" s="1"/>
  <c r="I178" i="8"/>
  <c r="AG165" i="8"/>
  <c r="Y165" i="8"/>
  <c r="AD166" i="8"/>
  <c r="AD163" i="8" s="1"/>
  <c r="AL166" i="8"/>
  <c r="AL163" i="8" s="1"/>
  <c r="AB165" i="8"/>
  <c r="AB163" i="8" s="1"/>
  <c r="AB254" i="8"/>
  <c r="AB256" i="8" s="1"/>
  <c r="AI166" i="8"/>
  <c r="AI163" i="8" s="1"/>
  <c r="AE165" i="8"/>
  <c r="X133" i="8"/>
  <c r="X131" i="8" s="1"/>
  <c r="AH164" i="8"/>
  <c r="AM164" i="8"/>
  <c r="Z164" i="8"/>
  <c r="AC164" i="8"/>
  <c r="AF164" i="8"/>
  <c r="F128" i="8"/>
  <c r="F125" i="8" s="1"/>
  <c r="K127" i="8"/>
  <c r="K125" i="8" s="1"/>
  <c r="Y128" i="8"/>
  <c r="Y125" i="8" s="1"/>
  <c r="AK138" i="8"/>
  <c r="AK136" i="8" s="1"/>
  <c r="L112" i="8"/>
  <c r="L109" i="8" s="1"/>
  <c r="AD128" i="8"/>
  <c r="AD125" i="8" s="1"/>
  <c r="AG138" i="8"/>
  <c r="AG136" i="8" s="1"/>
  <c r="V111" i="8"/>
  <c r="V112" i="8"/>
  <c r="AJ111" i="8"/>
  <c r="AJ112" i="8"/>
  <c r="H112" i="8"/>
  <c r="H111" i="8"/>
  <c r="T111" i="8"/>
  <c r="T112" i="8"/>
  <c r="AM111" i="8"/>
  <c r="AM112" i="8"/>
  <c r="AC112" i="8"/>
  <c r="Y117" i="8"/>
  <c r="R133" i="8"/>
  <c r="R131" i="8" s="1"/>
  <c r="V128" i="8"/>
  <c r="V125" i="8" s="1"/>
  <c r="F254" i="8"/>
  <c r="F257" i="8" s="1"/>
  <c r="AC117" i="8"/>
  <c r="X111" i="8"/>
  <c r="X109" i="8" s="1"/>
  <c r="AE138" i="8"/>
  <c r="AE136" i="8" s="1"/>
  <c r="AE122" i="8"/>
  <c r="AE120" i="8" s="1"/>
  <c r="AC111" i="8"/>
  <c r="AA133" i="8"/>
  <c r="AA131" i="8" s="1"/>
  <c r="G128" i="8"/>
  <c r="G125" i="8" s="1"/>
  <c r="R254" i="8"/>
  <c r="R256" i="8" s="1"/>
  <c r="R122" i="8"/>
  <c r="R120" i="8" s="1"/>
  <c r="V123" i="8"/>
  <c r="V120" i="8" s="1"/>
  <c r="AB111" i="8"/>
  <c r="AB109" i="8" s="1"/>
  <c r="AB195" i="8" s="1"/>
  <c r="AM128" i="8"/>
  <c r="AM125" i="8" s="1"/>
  <c r="U133" i="8"/>
  <c r="U131" i="8" s="1"/>
  <c r="AA112" i="8"/>
  <c r="AA109" i="8" s="1"/>
  <c r="AH122" i="8"/>
  <c r="AH120" i="8" s="1"/>
  <c r="AK114" i="8"/>
  <c r="AB139" i="8"/>
  <c r="AB136" i="8" s="1"/>
  <c r="S123" i="8"/>
  <c r="S120" i="8" s="1"/>
  <c r="AE111" i="8"/>
  <c r="AE109" i="8" s="1"/>
  <c r="AE195" i="8" s="1"/>
  <c r="O128" i="8"/>
  <c r="O125" i="8" s="1"/>
  <c r="AF117" i="8"/>
  <c r="AF114" i="8" s="1"/>
  <c r="AH138" i="8"/>
  <c r="AH136" i="8" s="1"/>
  <c r="Y112" i="8"/>
  <c r="W117" i="8"/>
  <c r="W114" i="8" s="1"/>
  <c r="Y122" i="8"/>
  <c r="Y120" i="8" s="1"/>
  <c r="Y138" i="8"/>
  <c r="Y136" i="8" s="1"/>
  <c r="AH254" i="8"/>
  <c r="AH257" i="8" s="1"/>
  <c r="S133" i="8"/>
  <c r="S131" i="8" s="1"/>
  <c r="AC138" i="8"/>
  <c r="AC136" i="8" s="1"/>
  <c r="AC127" i="8"/>
  <c r="AC125" i="8" s="1"/>
  <c r="W128" i="8"/>
  <c r="W125" i="8" s="1"/>
  <c r="AG112" i="8"/>
  <c r="AM117" i="8"/>
  <c r="AM114" i="8" s="1"/>
  <c r="AF153" i="8"/>
  <c r="V133" i="8"/>
  <c r="V131" i="8" s="1"/>
  <c r="AI133" i="8"/>
  <c r="AI131" i="8" s="1"/>
  <c r="AG36" i="4"/>
  <c r="AA127" i="8"/>
  <c r="AA125" i="8" s="1"/>
  <c r="J123" i="8"/>
  <c r="J120" i="8" s="1"/>
  <c r="S35" i="4"/>
  <c r="AH127" i="8"/>
  <c r="AH125" i="8" s="1"/>
  <c r="AG128" i="8"/>
  <c r="AG125" i="8" s="1"/>
  <c r="O36" i="4"/>
  <c r="AG117" i="8"/>
  <c r="AG116" i="8"/>
  <c r="D36" i="4"/>
  <c r="R128" i="8"/>
  <c r="R125" i="8" s="1"/>
  <c r="N127" i="8"/>
  <c r="N125" i="8" s="1"/>
  <c r="AI123" i="8"/>
  <c r="AI120" i="8" s="1"/>
  <c r="W133" i="8"/>
  <c r="W131" i="8" s="1"/>
  <c r="E133" i="8"/>
  <c r="E131" i="8" s="1"/>
  <c r="AI112" i="8"/>
  <c r="AI109" i="8" s="1"/>
  <c r="AE128" i="8"/>
  <c r="AE125" i="8" s="1"/>
  <c r="P45" i="2"/>
  <c r="P46" i="2"/>
  <c r="P285" i="8" s="1"/>
  <c r="O46" i="58"/>
  <c r="O44" i="2"/>
  <c r="P47" i="58"/>
  <c r="AK128" i="8"/>
  <c r="AK125" i="8" s="1"/>
  <c r="S112" i="8"/>
  <c r="S109" i="8" s="1"/>
  <c r="AL128" i="8"/>
  <c r="AL125" i="8" s="1"/>
  <c r="AJ133" i="8"/>
  <c r="AJ134" i="8"/>
  <c r="AE117" i="8"/>
  <c r="AE114" i="8" s="1"/>
  <c r="C111" i="8"/>
  <c r="C112" i="8"/>
  <c r="AF134" i="8"/>
  <c r="AF131" i="8" s="1"/>
  <c r="O123" i="8"/>
  <c r="O120" i="8" s="1"/>
  <c r="AF254" i="8"/>
  <c r="AF257" i="8" s="1"/>
  <c r="AL138" i="8"/>
  <c r="AC123" i="8"/>
  <c r="AC120" i="8" s="1"/>
  <c r="AI116" i="8"/>
  <c r="AI114" i="8" s="1"/>
  <c r="V138" i="8"/>
  <c r="V136" i="8" s="1"/>
  <c r="D132" i="8"/>
  <c r="G111" i="8"/>
  <c r="G112" i="8"/>
  <c r="Z123" i="8"/>
  <c r="Z122" i="8"/>
  <c r="BN171" i="8"/>
  <c r="BN112" i="112" s="1"/>
  <c r="BL171" i="8"/>
  <c r="BL112" i="112" s="1"/>
  <c r="AH111" i="8"/>
  <c r="AH112" i="8"/>
  <c r="AG6" i="60"/>
  <c r="AG12" i="60" s="1"/>
  <c r="AG18" i="60" s="1"/>
  <c r="O88" i="11"/>
  <c r="AF111" i="8"/>
  <c r="AF112" i="8"/>
  <c r="AB123" i="8"/>
  <c r="AB122" i="8"/>
  <c r="Y6" i="60"/>
  <c r="Y12" i="60" s="1"/>
  <c r="Y18" i="60" s="1"/>
  <c r="Z134" i="8"/>
  <c r="Z133" i="8"/>
  <c r="I127" i="8"/>
  <c r="I128" i="8"/>
  <c r="AM254" i="8"/>
  <c r="B36" i="4"/>
  <c r="J254" i="8"/>
  <c r="L54" i="2"/>
  <c r="L55" i="2"/>
  <c r="L290" i="8" s="1"/>
  <c r="C76" i="27"/>
  <c r="C77" i="27" s="1"/>
  <c r="I123" i="4"/>
  <c r="E128" i="8"/>
  <c r="E127" i="8"/>
  <c r="AJ136" i="8"/>
  <c r="R36" i="4"/>
  <c r="I81" i="27"/>
  <c r="T55" i="2"/>
  <c r="T290" i="8" s="1"/>
  <c r="T54" i="2"/>
  <c r="M123" i="4"/>
  <c r="D75" i="27"/>
  <c r="D77" i="27" s="1"/>
  <c r="AJ123" i="8"/>
  <c r="AJ122" i="8"/>
  <c r="AK120" i="8"/>
  <c r="X116" i="8"/>
  <c r="X117" i="8"/>
  <c r="U36" i="60"/>
  <c r="M129" i="4"/>
  <c r="AK36" i="60"/>
  <c r="AC129" i="4"/>
  <c r="AS36" i="60"/>
  <c r="AC36" i="60"/>
  <c r="U128" i="4"/>
  <c r="N161" i="11" s="1"/>
  <c r="L123" i="8"/>
  <c r="L122" i="8"/>
  <c r="Q111" i="8"/>
  <c r="Q112" i="8"/>
  <c r="Z111" i="8"/>
  <c r="Z112" i="8"/>
  <c r="H128" i="8"/>
  <c r="H127" i="8"/>
  <c r="AL117" i="8"/>
  <c r="AL116" i="8"/>
  <c r="F66" i="58"/>
  <c r="F67" i="58" s="1"/>
  <c r="H286" i="8"/>
  <c r="H288" i="8"/>
  <c r="H287" i="8"/>
  <c r="C132" i="8"/>
  <c r="R61" i="2"/>
  <c r="AK112" i="8"/>
  <c r="AK111" i="8"/>
  <c r="M132" i="8"/>
  <c r="T286" i="8"/>
  <c r="T288" i="8"/>
  <c r="T287" i="8"/>
  <c r="AD61" i="2"/>
  <c r="Q132" i="4"/>
  <c r="E81" i="27"/>
  <c r="M38" i="2"/>
  <c r="D62" i="27"/>
  <c r="U38" i="2"/>
  <c r="F62" i="27"/>
  <c r="K132" i="8"/>
  <c r="F132" i="8"/>
  <c r="P123" i="8"/>
  <c r="P122" i="8"/>
  <c r="D112" i="8"/>
  <c r="D111" i="8"/>
  <c r="D128" i="8"/>
  <c r="D127" i="8"/>
  <c r="X128" i="8"/>
  <c r="X127" i="8"/>
  <c r="AM134" i="8"/>
  <c r="AM133" i="8"/>
  <c r="AG25" i="60"/>
  <c r="Y120" i="4"/>
  <c r="V117" i="8"/>
  <c r="V116" i="8"/>
  <c r="AD134" i="8"/>
  <c r="AD133" i="8"/>
  <c r="Q123" i="4"/>
  <c r="E76" i="27"/>
  <c r="E77" i="27" s="1"/>
  <c r="G132" i="8"/>
  <c r="AJ125" i="8"/>
  <c r="N254" i="8"/>
  <c r="AM120" i="8"/>
  <c r="AM136" i="8"/>
  <c r="L286" i="8"/>
  <c r="L288" i="8"/>
  <c r="L287" i="8"/>
  <c r="AC38" i="2"/>
  <c r="AC39" i="2" s="1"/>
  <c r="H62" i="27"/>
  <c r="AL109" i="8"/>
  <c r="AL195" i="8" s="1"/>
  <c r="AM261" i="8"/>
  <c r="AM262" i="8"/>
  <c r="AM260" i="8"/>
  <c r="T123" i="8"/>
  <c r="T122" i="8"/>
  <c r="M122" i="8"/>
  <c r="M123" i="8"/>
  <c r="AF128" i="8"/>
  <c r="AF127" i="8"/>
  <c r="AB116" i="8"/>
  <c r="AB117" i="8"/>
  <c r="AD111" i="8"/>
  <c r="AD112" i="8"/>
  <c r="AG36" i="60"/>
  <c r="Y128" i="4"/>
  <c r="Q6" i="60"/>
  <c r="Q12" i="60" s="1"/>
  <c r="Q18" i="60" s="1"/>
  <c r="AO25" i="60"/>
  <c r="Q36" i="60"/>
  <c r="I128" i="4"/>
  <c r="M36" i="60"/>
  <c r="M38" i="60" s="1"/>
  <c r="E128" i="4"/>
  <c r="AK25" i="60"/>
  <c r="AC120" i="4"/>
  <c r="C127" i="8"/>
  <c r="C128" i="8"/>
  <c r="I111" i="8"/>
  <c r="I112" i="8"/>
  <c r="S45" i="2"/>
  <c r="S46" i="2"/>
  <c r="S285" i="8" s="1"/>
  <c r="S53" i="2"/>
  <c r="K45" i="2"/>
  <c r="K53" i="2"/>
  <c r="K46" i="2"/>
  <c r="K285" i="8" s="1"/>
  <c r="G45" i="2"/>
  <c r="G53" i="2"/>
  <c r="G46" i="2"/>
  <c r="G285" i="8" s="1"/>
  <c r="AJ116" i="8"/>
  <c r="AJ117" i="8"/>
  <c r="U111" i="8"/>
  <c r="U112" i="8"/>
  <c r="AM27" i="2"/>
  <c r="AM28" i="2"/>
  <c r="J28" i="2"/>
  <c r="K27" i="2"/>
  <c r="J27" i="2"/>
  <c r="H55" i="2"/>
  <c r="H290" i="8" s="1"/>
  <c r="H54" i="2"/>
  <c r="P112" i="8"/>
  <c r="P111" i="8"/>
  <c r="AK38" i="2"/>
  <c r="AK39" i="2" s="1"/>
  <c r="J62" i="27"/>
  <c r="N61" i="2"/>
  <c r="AH36" i="4"/>
  <c r="AH35" i="4"/>
  <c r="F75" i="27"/>
  <c r="F77" i="27" s="1"/>
  <c r="U123" i="4"/>
  <c r="P132" i="8"/>
  <c r="O132" i="8"/>
  <c r="Q128" i="8"/>
  <c r="Q127" i="8"/>
  <c r="L38" i="60"/>
  <c r="P38" i="60"/>
  <c r="S46" i="58"/>
  <c r="R44" i="2" s="1"/>
  <c r="T47" i="58"/>
  <c r="L47" i="58"/>
  <c r="K46" i="58"/>
  <c r="J44" i="2" s="1"/>
  <c r="G46" i="58"/>
  <c r="F44" i="2" s="1"/>
  <c r="H47" i="58"/>
  <c r="AF38" i="60"/>
  <c r="AG153" i="8"/>
  <c r="AH153" i="8"/>
  <c r="AL153" i="8"/>
  <c r="AO439" i="111" l="1"/>
  <c r="R29" i="76"/>
  <c r="Q29" i="76"/>
  <c r="BX175" i="8"/>
  <c r="BX112" i="112"/>
  <c r="CF170" i="8"/>
  <c r="CF112" i="112"/>
  <c r="CP175" i="8"/>
  <c r="CP112" i="112"/>
  <c r="CV175" i="8"/>
  <c r="CV112" i="112"/>
  <c r="CR175" i="8"/>
  <c r="CR112" i="112"/>
  <c r="CT175" i="8"/>
  <c r="CT112" i="112"/>
  <c r="BT175" i="8"/>
  <c r="BT112" i="112"/>
  <c r="CD175" i="8"/>
  <c r="CD112" i="112"/>
  <c r="CA170" i="8"/>
  <c r="CA112" i="112"/>
  <c r="CI170" i="8"/>
  <c r="CI112" i="112"/>
  <c r="CU150" i="8"/>
  <c r="CU45" i="112"/>
  <c r="CU175" i="8"/>
  <c r="CU112" i="112"/>
  <c r="BR175" i="8"/>
  <c r="BR112" i="112"/>
  <c r="CQ175" i="8"/>
  <c r="CQ112" i="112"/>
  <c r="BZ170" i="8"/>
  <c r="BZ112" i="112"/>
  <c r="BV175" i="8"/>
  <c r="BV112" i="112"/>
  <c r="CB175" i="8"/>
  <c r="CB112" i="112"/>
  <c r="CW175" i="8"/>
  <c r="CW112" i="112"/>
  <c r="BW175" i="8"/>
  <c r="BW112" i="112"/>
  <c r="CJ175" i="8"/>
  <c r="CJ112" i="112"/>
  <c r="CS150" i="8"/>
  <c r="CS45" i="112"/>
  <c r="CS175" i="8"/>
  <c r="CS112" i="112"/>
  <c r="CE170" i="8"/>
  <c r="CE112" i="112"/>
  <c r="CH175" i="8"/>
  <c r="CH112" i="112"/>
  <c r="CR150" i="8"/>
  <c r="CR45" i="112"/>
  <c r="BK200" i="8"/>
  <c r="BK199" i="8"/>
  <c r="BK197" i="8" s="1"/>
  <c r="AU439" i="111"/>
  <c r="AC271" i="112"/>
  <c r="AG271" i="112"/>
  <c r="AE271" i="112"/>
  <c r="AD271" i="112"/>
  <c r="AF271" i="112"/>
  <c r="AQ439" i="111"/>
  <c r="AM439" i="111"/>
  <c r="AE210" i="8"/>
  <c r="AM539" i="111"/>
  <c r="AE212" i="8"/>
  <c r="Y19" i="4"/>
  <c r="AL19" i="4"/>
  <c r="X491" i="111"/>
  <c r="P19" i="4"/>
  <c r="AM19" i="4"/>
  <c r="V491" i="111"/>
  <c r="N19" i="4"/>
  <c r="AE491" i="111"/>
  <c r="W19" i="4"/>
  <c r="AM303" i="112"/>
  <c r="AM210" i="8"/>
  <c r="AM211" i="8"/>
  <c r="AL212" i="8"/>
  <c r="AL210" i="8"/>
  <c r="S29" i="76"/>
  <c r="AR560" i="111"/>
  <c r="AI12" i="71"/>
  <c r="C10" i="71"/>
  <c r="C40" i="71" s="1"/>
  <c r="E10" i="71"/>
  <c r="E40" i="71" s="1"/>
  <c r="AK12" i="71"/>
  <c r="D10" i="71"/>
  <c r="D40" i="71" s="1"/>
  <c r="AJ12" i="71"/>
  <c r="AH139" i="11"/>
  <c r="AG41" i="58"/>
  <c r="AN40" i="58"/>
  <c r="H83" i="27"/>
  <c r="AK261" i="8"/>
  <c r="R341" i="111" s="1"/>
  <c r="R323" i="111" s="1"/>
  <c r="AK260" i="8"/>
  <c r="R342" i="111" s="1"/>
  <c r="AK262" i="8"/>
  <c r="R343" i="111" s="1"/>
  <c r="J77" i="27"/>
  <c r="AF41" i="58"/>
  <c r="G83" i="27"/>
  <c r="Y41" i="58"/>
  <c r="AK40" i="58"/>
  <c r="I62" i="27"/>
  <c r="AH40" i="58"/>
  <c r="K74" i="27"/>
  <c r="K77" i="27" s="1"/>
  <c r="AI40" i="58"/>
  <c r="AD41" i="58"/>
  <c r="Z41" i="58"/>
  <c r="AK65" i="2"/>
  <c r="AK70" i="2" s="1"/>
  <c r="AK318" i="112" s="1"/>
  <c r="AE40" i="58"/>
  <c r="AE41" i="58"/>
  <c r="X41" i="58"/>
  <c r="X40" i="58"/>
  <c r="AB41" i="58"/>
  <c r="AB40" i="58"/>
  <c r="AJ41" i="58"/>
  <c r="AJ40" i="58"/>
  <c r="AC40" i="58"/>
  <c r="AC41" i="58"/>
  <c r="AA40" i="58"/>
  <c r="AA41" i="58"/>
  <c r="W40" i="58"/>
  <c r="W41" i="58"/>
  <c r="AO49" i="2"/>
  <c r="AG65" i="2"/>
  <c r="AG70" i="2" s="1"/>
  <c r="AG73" i="2" s="1"/>
  <c r="AS560" i="111"/>
  <c r="AK31" i="2"/>
  <c r="K86" i="27"/>
  <c r="AO65" i="2"/>
  <c r="AO70" i="2" s="1"/>
  <c r="AK132" i="4"/>
  <c r="J80" i="27"/>
  <c r="AG123" i="4"/>
  <c r="I75" i="27"/>
  <c r="K82" i="27"/>
  <c r="K84" i="27" s="1"/>
  <c r="AG318" i="112"/>
  <c r="AO560" i="111"/>
  <c r="AG31" i="2"/>
  <c r="AG132" i="4"/>
  <c r="I80" i="27"/>
  <c r="I84" i="27" s="1"/>
  <c r="AK51" i="2"/>
  <c r="AK50" i="2"/>
  <c r="BJ198" i="8"/>
  <c r="BJ200" i="8" s="1"/>
  <c r="BL201" i="112"/>
  <c r="BJ257" i="112"/>
  <c r="BJ258" i="112" s="1"/>
  <c r="BJ116" i="112"/>
  <c r="BJ117" i="112" s="1"/>
  <c r="BJ178" i="8" s="1"/>
  <c r="C35" i="2"/>
  <c r="C36" i="2" s="1"/>
  <c r="G32" i="2"/>
  <c r="H32" i="2" s="1"/>
  <c r="I32" i="2" s="1"/>
  <c r="I34" i="2" s="1"/>
  <c r="I270" i="8" s="1"/>
  <c r="I272" i="8" s="1"/>
  <c r="D35" i="2"/>
  <c r="D36" i="2" s="1"/>
  <c r="AA32" i="2"/>
  <c r="AB32" i="2" s="1"/>
  <c r="AC32" i="2" s="1"/>
  <c r="AC34" i="2" s="1"/>
  <c r="AC270" i="8" s="1"/>
  <c r="AC273" i="8" s="1"/>
  <c r="J144" i="112"/>
  <c r="H144" i="112"/>
  <c r="BE116" i="112"/>
  <c r="BE117" i="112" s="1"/>
  <c r="BE178" i="8" s="1"/>
  <c r="BE179" i="8" s="1"/>
  <c r="BV161" i="8"/>
  <c r="BV159" i="8"/>
  <c r="BU166" i="8"/>
  <c r="BU164" i="8"/>
  <c r="BV166" i="8"/>
  <c r="BV164" i="8"/>
  <c r="BU161" i="8"/>
  <c r="BU159" i="8"/>
  <c r="BQ166" i="8"/>
  <c r="BQ164" i="8"/>
  <c r="BQ186" i="8"/>
  <c r="BQ184" i="8"/>
  <c r="BU184" i="8"/>
  <c r="BU186" i="8"/>
  <c r="BY164" i="8"/>
  <c r="BY166" i="8"/>
  <c r="BT159" i="8"/>
  <c r="BT161" i="8"/>
  <c r="BR164" i="8"/>
  <c r="BR166" i="8"/>
  <c r="BY159" i="8"/>
  <c r="BY161" i="8"/>
  <c r="BX159" i="8"/>
  <c r="BX161" i="8"/>
  <c r="BS159" i="8"/>
  <c r="BS161" i="8"/>
  <c r="BW164" i="8"/>
  <c r="BW166" i="8"/>
  <c r="BT166" i="8"/>
  <c r="BT164" i="8"/>
  <c r="BY186" i="8"/>
  <c r="BY184" i="8"/>
  <c r="BR159" i="8"/>
  <c r="BR161" i="8"/>
  <c r="BX164" i="8"/>
  <c r="BX166" i="8"/>
  <c r="BS164" i="8"/>
  <c r="BS166" i="8"/>
  <c r="BW159" i="8"/>
  <c r="BW161" i="8"/>
  <c r="CM171" i="8"/>
  <c r="CV183" i="8"/>
  <c r="CV99" i="112" s="1"/>
  <c r="CT184" i="8"/>
  <c r="CT183" i="8" s="1"/>
  <c r="CT99" i="112" s="1"/>
  <c r="CT159" i="8"/>
  <c r="CT158" i="8" s="1"/>
  <c r="CT34" i="112" s="1"/>
  <c r="CL171" i="8"/>
  <c r="CN171" i="8"/>
  <c r="CM183" i="8"/>
  <c r="CM99" i="112" s="1"/>
  <c r="CN146" i="8"/>
  <c r="CR183" i="8"/>
  <c r="CR99" i="112" s="1"/>
  <c r="CR170" i="8"/>
  <c r="CL183" i="8"/>
  <c r="CL99" i="112" s="1"/>
  <c r="CV146" i="8"/>
  <c r="CU183" i="8"/>
  <c r="CU99" i="112" s="1"/>
  <c r="CO146" i="8"/>
  <c r="CP146" i="8"/>
  <c r="CS166" i="8"/>
  <c r="CS163" i="8" s="1"/>
  <c r="CS30" i="112" s="1"/>
  <c r="CS144" i="8"/>
  <c r="CM146" i="8"/>
  <c r="CP186" i="8"/>
  <c r="CP183" i="8" s="1"/>
  <c r="CP99" i="112" s="1"/>
  <c r="CW183" i="8"/>
  <c r="CW99" i="112" s="1"/>
  <c r="CN183" i="8"/>
  <c r="CN99" i="112" s="1"/>
  <c r="CO183" i="8"/>
  <c r="CO99" i="112" s="1"/>
  <c r="CT163" i="8"/>
  <c r="CT30" i="112" s="1"/>
  <c r="CU159" i="8"/>
  <c r="CU158" i="8" s="1"/>
  <c r="CU34" i="112" s="1"/>
  <c r="CT146" i="8"/>
  <c r="CL146" i="8"/>
  <c r="CW170" i="8"/>
  <c r="CQ146" i="8"/>
  <c r="CP170" i="8"/>
  <c r="CS159" i="8"/>
  <c r="CS158" i="8" s="1"/>
  <c r="CS34" i="112" s="1"/>
  <c r="CS184" i="8"/>
  <c r="CS183" i="8" s="1"/>
  <c r="CS99" i="112" s="1"/>
  <c r="CR144" i="8"/>
  <c r="CO171" i="8"/>
  <c r="CW146" i="8"/>
  <c r="CU144" i="8"/>
  <c r="CQ183" i="8"/>
  <c r="CQ99" i="112" s="1"/>
  <c r="CQ170" i="8"/>
  <c r="CU170" i="8"/>
  <c r="CV170" i="8"/>
  <c r="CT170" i="8"/>
  <c r="CS170" i="8"/>
  <c r="CU166" i="8"/>
  <c r="CU163" i="8" s="1"/>
  <c r="CU30" i="112" s="1"/>
  <c r="CR159" i="8"/>
  <c r="CR158" i="8" s="1"/>
  <c r="CR34" i="112" s="1"/>
  <c r="CR164" i="8"/>
  <c r="CR163" i="8" s="1"/>
  <c r="CR30" i="112" s="1"/>
  <c r="CW159" i="8"/>
  <c r="CW161" i="8"/>
  <c r="CV166" i="8"/>
  <c r="CV164" i="8"/>
  <c r="CW166" i="8"/>
  <c r="CW164" i="8"/>
  <c r="CV161" i="8"/>
  <c r="CV159" i="8"/>
  <c r="CQ164" i="8"/>
  <c r="CQ166" i="8"/>
  <c r="CQ161" i="8"/>
  <c r="CQ159" i="8"/>
  <c r="CM166" i="8"/>
  <c r="CM164" i="8"/>
  <c r="CL166" i="8"/>
  <c r="CL164" i="8"/>
  <c r="CO166" i="8"/>
  <c r="CO164" i="8"/>
  <c r="CP161" i="8"/>
  <c r="CP159" i="8"/>
  <c r="CO159" i="8"/>
  <c r="CO161" i="8"/>
  <c r="CP166" i="8"/>
  <c r="CP164" i="8"/>
  <c r="CL161" i="8"/>
  <c r="CL159" i="8"/>
  <c r="CM159" i="8"/>
  <c r="CM161" i="8"/>
  <c r="CN161" i="8"/>
  <c r="CN159" i="8"/>
  <c r="CN164" i="8"/>
  <c r="CN166" i="8"/>
  <c r="BF111" i="112"/>
  <c r="BF253" i="112" s="1"/>
  <c r="BJ254" i="112" s="1"/>
  <c r="CJ170" i="8"/>
  <c r="BW170" i="8"/>
  <c r="BV170" i="8"/>
  <c r="CD170" i="8"/>
  <c r="CB170" i="8"/>
  <c r="CH170" i="8"/>
  <c r="BX170" i="8"/>
  <c r="I144" i="112"/>
  <c r="M144" i="112"/>
  <c r="BB95" i="112"/>
  <c r="BF95" i="112"/>
  <c r="N144" i="112"/>
  <c r="K144" i="112"/>
  <c r="L144" i="112"/>
  <c r="P144" i="112"/>
  <c r="T144" i="112"/>
  <c r="G144" i="112"/>
  <c r="O144" i="112"/>
  <c r="Q144" i="112"/>
  <c r="U144" i="112"/>
  <c r="U38" i="60"/>
  <c r="T433" i="111"/>
  <c r="C127" i="94"/>
  <c r="AS38" i="60"/>
  <c r="R127" i="94"/>
  <c r="G127" i="94"/>
  <c r="BL161" i="8"/>
  <c r="BL158" i="8" s="1"/>
  <c r="BL34" i="112" s="1"/>
  <c r="AU539" i="111"/>
  <c r="AI539" i="111"/>
  <c r="I257" i="8"/>
  <c r="K338" i="111" s="1"/>
  <c r="BN161" i="8"/>
  <c r="BN158" i="8" s="1"/>
  <c r="BN34" i="112" s="1"/>
  <c r="BN165" i="8"/>
  <c r="BN166" i="8" s="1"/>
  <c r="BL165" i="8"/>
  <c r="BL164" i="8" s="1"/>
  <c r="BN147" i="8"/>
  <c r="BN149" i="8"/>
  <c r="BL149" i="8"/>
  <c r="BL147" i="8"/>
  <c r="AZ200" i="112"/>
  <c r="AZ201" i="112" s="1"/>
  <c r="AZ198" i="8" s="1"/>
  <c r="AZ200" i="8" s="1"/>
  <c r="AO38" i="60"/>
  <c r="AJ539" i="111"/>
  <c r="AR539" i="111"/>
  <c r="BB195" i="112"/>
  <c r="BB198" i="112" s="1"/>
  <c r="BC195" i="112"/>
  <c r="BC114" i="112"/>
  <c r="BB111" i="112"/>
  <c r="BA111" i="112"/>
  <c r="Y256" i="8"/>
  <c r="O336" i="111" s="1"/>
  <c r="O322" i="111" s="1"/>
  <c r="Y38" i="60"/>
  <c r="AC38" i="60"/>
  <c r="Y257" i="8"/>
  <c r="O338" i="111" s="1"/>
  <c r="N127" i="94"/>
  <c r="J127" i="94"/>
  <c r="P539" i="111"/>
  <c r="L127" i="94"/>
  <c r="E84" i="27"/>
  <c r="AL539" i="111"/>
  <c r="AA255" i="8"/>
  <c r="I255" i="8"/>
  <c r="K337" i="111" s="1"/>
  <c r="V539" i="111"/>
  <c r="AH539" i="111"/>
  <c r="AF470" i="111"/>
  <c r="N470" i="111"/>
  <c r="BC179" i="8"/>
  <c r="BC180" i="8"/>
  <c r="G255" i="8"/>
  <c r="L257" i="8"/>
  <c r="AK256" i="8"/>
  <c r="R336" i="111" s="1"/>
  <c r="R322" i="111" s="1"/>
  <c r="L256" i="8"/>
  <c r="AK257" i="8"/>
  <c r="R338" i="111" s="1"/>
  <c r="G256" i="8"/>
  <c r="X212" i="8"/>
  <c r="X210" i="8"/>
  <c r="X211" i="8"/>
  <c r="AB212" i="8"/>
  <c r="AB211" i="8"/>
  <c r="AB210" i="8"/>
  <c r="AF210" i="8"/>
  <c r="AF212" i="8"/>
  <c r="AF211" i="8"/>
  <c r="V212" i="8"/>
  <c r="V211" i="8"/>
  <c r="V210" i="8"/>
  <c r="AK212" i="8"/>
  <c r="AK210" i="8"/>
  <c r="AK211" i="8"/>
  <c r="AH212" i="8"/>
  <c r="AH210" i="8"/>
  <c r="AH211" i="8"/>
  <c r="AJ212" i="8"/>
  <c r="AJ210" i="8"/>
  <c r="AJ211" i="8"/>
  <c r="AD212" i="8"/>
  <c r="AD211" i="8"/>
  <c r="AD210" i="8"/>
  <c r="Z212" i="8"/>
  <c r="Z211" i="8"/>
  <c r="Z210" i="8"/>
  <c r="BQ57" i="8"/>
  <c r="BQ185" i="112" s="1"/>
  <c r="BL57" i="8"/>
  <c r="BL185" i="112" s="1"/>
  <c r="BJ186" i="112"/>
  <c r="BL67" i="8"/>
  <c r="BL186" i="112" s="1"/>
  <c r="AA256" i="8"/>
  <c r="BC185" i="112"/>
  <c r="AG114" i="8"/>
  <c r="BJ185" i="112"/>
  <c r="AN183" i="8"/>
  <c r="CI175" i="8"/>
  <c r="J16" i="11"/>
  <c r="J22" i="111" s="1"/>
  <c r="F127" i="94"/>
  <c r="E127" i="94"/>
  <c r="X539" i="111"/>
  <c r="AB539" i="111"/>
  <c r="V487" i="111"/>
  <c r="AJ466" i="111"/>
  <c r="X487" i="111"/>
  <c r="Y487" i="111"/>
  <c r="AB466" i="111"/>
  <c r="BS146" i="8"/>
  <c r="BS45" i="112" s="1"/>
  <c r="BQ112" i="8"/>
  <c r="AH466" i="111"/>
  <c r="AL466" i="111"/>
  <c r="AD466" i="111"/>
  <c r="CA175" i="8"/>
  <c r="Z466" i="111"/>
  <c r="V466" i="111"/>
  <c r="X466" i="111"/>
  <c r="AF466" i="111"/>
  <c r="CC146" i="8"/>
  <c r="CF175" i="8"/>
  <c r="CF183" i="8"/>
  <c r="CF99" i="112" s="1"/>
  <c r="CE183" i="8"/>
  <c r="CE99" i="112" s="1"/>
  <c r="CB183" i="8"/>
  <c r="CB99" i="112" s="1"/>
  <c r="AY177" i="8"/>
  <c r="BX146" i="8"/>
  <c r="BX45" i="112" s="1"/>
  <c r="BW183" i="8"/>
  <c r="BW99" i="112" s="1"/>
  <c r="CD183" i="8"/>
  <c r="CD99" i="112" s="1"/>
  <c r="CI146" i="8"/>
  <c r="CC171" i="8"/>
  <c r="BR183" i="8"/>
  <c r="BR99" i="112" s="1"/>
  <c r="BS183" i="8"/>
  <c r="BS99" i="112" s="1"/>
  <c r="BY171" i="8"/>
  <c r="CJ183" i="8"/>
  <c r="CJ99" i="112" s="1"/>
  <c r="CK171" i="8"/>
  <c r="BX183" i="8"/>
  <c r="BX99" i="112" s="1"/>
  <c r="BW146" i="8"/>
  <c r="BW45" i="112" s="1"/>
  <c r="CB146" i="8"/>
  <c r="CA146" i="8"/>
  <c r="BY146" i="8"/>
  <c r="BY45" i="112" s="1"/>
  <c r="BV183" i="8"/>
  <c r="BV99" i="112" s="1"/>
  <c r="CH183" i="8"/>
  <c r="CH99" i="112" s="1"/>
  <c r="BZ183" i="8"/>
  <c r="BZ99" i="112" s="1"/>
  <c r="CH146" i="8"/>
  <c r="CH45" i="112" s="1"/>
  <c r="BZ146" i="8"/>
  <c r="BZ45" i="112" s="1"/>
  <c r="CK146" i="8"/>
  <c r="CK45" i="112" s="1"/>
  <c r="CG146" i="8"/>
  <c r="CG45" i="112" s="1"/>
  <c r="BU171" i="8"/>
  <c r="BU112" i="112" s="1"/>
  <c r="CD146" i="8"/>
  <c r="CD45" i="112" s="1"/>
  <c r="CA183" i="8"/>
  <c r="CA99" i="112" s="1"/>
  <c r="CE146" i="8"/>
  <c r="CE45" i="112" s="1"/>
  <c r="CI183" i="8"/>
  <c r="CI99" i="112" s="1"/>
  <c r="BT183" i="8"/>
  <c r="BT99" i="112" s="1"/>
  <c r="CF146" i="8"/>
  <c r="CJ146" i="8"/>
  <c r="BU146" i="8"/>
  <c r="BU45" i="112" s="1"/>
  <c r="AU254" i="112"/>
  <c r="BZ175" i="8"/>
  <c r="CE175" i="8"/>
  <c r="CG171" i="8"/>
  <c r="BT146" i="8"/>
  <c r="BT45" i="112" s="1"/>
  <c r="BR146" i="8"/>
  <c r="BR45" i="112" s="1"/>
  <c r="BV146" i="8"/>
  <c r="BV45" i="112" s="1"/>
  <c r="BS175" i="8"/>
  <c r="CB166" i="8"/>
  <c r="CB164" i="8"/>
  <c r="CA164" i="8"/>
  <c r="CA166" i="8"/>
  <c r="CK164" i="8"/>
  <c r="CK166" i="8"/>
  <c r="CD159" i="8"/>
  <c r="CD161" i="8"/>
  <c r="BZ159" i="8"/>
  <c r="BZ161" i="8"/>
  <c r="CI161" i="8"/>
  <c r="CI159" i="8"/>
  <c r="CB161" i="8"/>
  <c r="CB159" i="8"/>
  <c r="CC161" i="8"/>
  <c r="CC159" i="8"/>
  <c r="CH164" i="8"/>
  <c r="CH166" i="8"/>
  <c r="CD164" i="8"/>
  <c r="CD166" i="8"/>
  <c r="CJ161" i="8"/>
  <c r="CJ159" i="8"/>
  <c r="CE161" i="8"/>
  <c r="CE159" i="8"/>
  <c r="CF164" i="8"/>
  <c r="CF166" i="8"/>
  <c r="CA161" i="8"/>
  <c r="CA159" i="8"/>
  <c r="CH161" i="8"/>
  <c r="CH159" i="8"/>
  <c r="CJ164" i="8"/>
  <c r="CJ166" i="8"/>
  <c r="BZ166" i="8"/>
  <c r="BZ164" i="8"/>
  <c r="CG161" i="8"/>
  <c r="CG159" i="8"/>
  <c r="CG186" i="8"/>
  <c r="CG184" i="8"/>
  <c r="CK186" i="8"/>
  <c r="CK184" i="8"/>
  <c r="CF159" i="8"/>
  <c r="CF161" i="8"/>
  <c r="CK161" i="8"/>
  <c r="CK159" i="8"/>
  <c r="CG166" i="8"/>
  <c r="CG164" i="8"/>
  <c r="CC184" i="8"/>
  <c r="CC186" i="8"/>
  <c r="CC164" i="8"/>
  <c r="CC166" i="8"/>
  <c r="CE164" i="8"/>
  <c r="CE166" i="8"/>
  <c r="CI164" i="8"/>
  <c r="CI166" i="8"/>
  <c r="AU255" i="112"/>
  <c r="BQ128" i="8"/>
  <c r="BQ126" i="8"/>
  <c r="BH449" i="111"/>
  <c r="BQ137" i="8"/>
  <c r="BQ139" i="8"/>
  <c r="BQ115" i="8"/>
  <c r="BQ117" i="8"/>
  <c r="BQ123" i="8"/>
  <c r="BQ121" i="8"/>
  <c r="BQ132" i="8"/>
  <c r="BQ134" i="8"/>
  <c r="AU179" i="8"/>
  <c r="AU177" i="8" s="1"/>
  <c r="AS155" i="8"/>
  <c r="AS152" i="8" s="1"/>
  <c r="BM171" i="8"/>
  <c r="BQ171" i="8"/>
  <c r="I127" i="94"/>
  <c r="R470" i="111"/>
  <c r="D127" i="94"/>
  <c r="AU200" i="8"/>
  <c r="AU199" i="8"/>
  <c r="K127" i="94"/>
  <c r="O127" i="94"/>
  <c r="H127" i="94"/>
  <c r="K16" i="11"/>
  <c r="K22" i="111" s="1"/>
  <c r="AD470" i="111"/>
  <c r="Z441" i="111"/>
  <c r="W433" i="111"/>
  <c r="V470" i="111"/>
  <c r="M127" i="94"/>
  <c r="P127" i="94"/>
  <c r="AB470" i="111"/>
  <c r="Q127" i="94"/>
  <c r="AP539" i="111"/>
  <c r="P470" i="111"/>
  <c r="R433" i="111"/>
  <c r="R441" i="111"/>
  <c r="X470" i="111"/>
  <c r="X441" i="111"/>
  <c r="Q433" i="111"/>
  <c r="N151" i="112"/>
  <c r="N137" i="8" s="1"/>
  <c r="N139" i="8" s="1"/>
  <c r="Z539" i="111"/>
  <c r="AA441" i="111"/>
  <c r="S441" i="111"/>
  <c r="O433" i="111"/>
  <c r="Y470" i="111"/>
  <c r="Y441" i="111"/>
  <c r="AB441" i="111"/>
  <c r="AA470" i="111"/>
  <c r="M19" i="112"/>
  <c r="N20" i="112"/>
  <c r="AF441" i="111"/>
  <c r="AJ441" i="111"/>
  <c r="AC49" i="112"/>
  <c r="AC50" i="112" s="1"/>
  <c r="AC153" i="8" s="1"/>
  <c r="AC155" i="8" s="1"/>
  <c r="AC46" i="112"/>
  <c r="AC253" i="112"/>
  <c r="AG46" i="112"/>
  <c r="M151" i="112"/>
  <c r="M137" i="8" s="1"/>
  <c r="M138" i="8" s="1"/>
  <c r="L151" i="112"/>
  <c r="L137" i="8" s="1"/>
  <c r="M152" i="112"/>
  <c r="M203" i="112" s="1"/>
  <c r="Q204" i="112" s="1"/>
  <c r="W175" i="112"/>
  <c r="W204" i="8" s="1"/>
  <c r="S170" i="112"/>
  <c r="S250" i="112"/>
  <c r="S265" i="112" s="1"/>
  <c r="W193" i="112"/>
  <c r="V433" i="111"/>
  <c r="S470" i="111"/>
  <c r="M46" i="112"/>
  <c r="M49" i="112"/>
  <c r="M50" i="112" s="1"/>
  <c r="D151" i="112"/>
  <c r="D137" i="8" s="1"/>
  <c r="D138" i="8" s="1"/>
  <c r="E152" i="112"/>
  <c r="E203" i="112" s="1"/>
  <c r="AS254" i="112"/>
  <c r="AS257" i="112"/>
  <c r="AS258" i="112" s="1"/>
  <c r="AS255" i="112"/>
  <c r="X264" i="112"/>
  <c r="T250" i="112"/>
  <c r="T170" i="112"/>
  <c r="X193" i="112"/>
  <c r="O470" i="111"/>
  <c r="V441" i="111"/>
  <c r="G152" i="112"/>
  <c r="G203" i="112" s="1"/>
  <c r="F151" i="112"/>
  <c r="F137" i="8" s="1"/>
  <c r="F138" i="8" s="1"/>
  <c r="N433" i="111"/>
  <c r="S46" i="112"/>
  <c r="S49" i="112"/>
  <c r="S50" i="112" s="1"/>
  <c r="S153" i="8" s="1"/>
  <c r="T470" i="111"/>
  <c r="Z433" i="111"/>
  <c r="P433" i="111"/>
  <c r="C151" i="112"/>
  <c r="C137" i="8" s="1"/>
  <c r="C138" i="8" s="1"/>
  <c r="D152" i="112"/>
  <c r="D203" i="112" s="1"/>
  <c r="I20" i="112"/>
  <c r="H19" i="112"/>
  <c r="K19" i="112"/>
  <c r="L20" i="112"/>
  <c r="O20" i="112"/>
  <c r="N19" i="112"/>
  <c r="E19" i="112"/>
  <c r="F20" i="112"/>
  <c r="Q19" i="112"/>
  <c r="R20" i="112"/>
  <c r="AM478" i="111"/>
  <c r="AG441" i="111"/>
  <c r="AK441" i="111"/>
  <c r="N46" i="112"/>
  <c r="N49" i="112"/>
  <c r="N50" i="112" s="1"/>
  <c r="W264" i="112"/>
  <c r="U433" i="111"/>
  <c r="R46" i="112"/>
  <c r="R49" i="112"/>
  <c r="R50" i="112" s="1"/>
  <c r="R153" i="8" s="1"/>
  <c r="R155" i="8" s="1"/>
  <c r="O192" i="112"/>
  <c r="O263" i="112"/>
  <c r="O174" i="112"/>
  <c r="W470" i="111"/>
  <c r="AA46" i="112"/>
  <c r="AA253" i="112"/>
  <c r="AA49" i="112"/>
  <c r="AA50" i="112" s="1"/>
  <c r="AA153" i="8" s="1"/>
  <c r="AA154" i="8" s="1"/>
  <c r="AE46" i="112"/>
  <c r="T46" i="112"/>
  <c r="P46" i="112"/>
  <c r="P49" i="112"/>
  <c r="P50" i="112" s="1"/>
  <c r="Q49" i="112"/>
  <c r="Q50" i="112" s="1"/>
  <c r="Q46" i="112"/>
  <c r="Y46" i="112"/>
  <c r="Y253" i="112"/>
  <c r="Y49" i="112"/>
  <c r="Y50" i="112" s="1"/>
  <c r="Y153" i="8" s="1"/>
  <c r="Y154" i="8" s="1"/>
  <c r="N152" i="112"/>
  <c r="N203" i="112" s="1"/>
  <c r="R204" i="112" s="1"/>
  <c r="G151" i="112"/>
  <c r="G137" i="8" s="1"/>
  <c r="G139" i="8" s="1"/>
  <c r="H152" i="112"/>
  <c r="H203" i="112" s="1"/>
  <c r="H20" i="112"/>
  <c r="G19" i="112"/>
  <c r="L19" i="112"/>
  <c r="M20" i="112"/>
  <c r="P20" i="112"/>
  <c r="O19" i="112"/>
  <c r="G20" i="112"/>
  <c r="F19" i="112"/>
  <c r="C20" i="112"/>
  <c r="AN31" i="2"/>
  <c r="AV560" i="111"/>
  <c r="AB46" i="112"/>
  <c r="AB253" i="112"/>
  <c r="AB49" i="112"/>
  <c r="AB50" i="112" s="1"/>
  <c r="AF46" i="112"/>
  <c r="AD441" i="111"/>
  <c r="AH441" i="111"/>
  <c r="U46" i="112"/>
  <c r="U49" i="112"/>
  <c r="U50" i="112" s="1"/>
  <c r="U153" i="8" s="1"/>
  <c r="U154" i="8" s="1"/>
  <c r="T29" i="112"/>
  <c r="T33" i="112"/>
  <c r="U204" i="112"/>
  <c r="Q192" i="112"/>
  <c r="Q263" i="112"/>
  <c r="Q174" i="112"/>
  <c r="H151" i="112"/>
  <c r="H137" i="8" s="1"/>
  <c r="H139" i="8" s="1"/>
  <c r="I152" i="112"/>
  <c r="I203" i="112" s="1"/>
  <c r="AA433" i="111"/>
  <c r="L46" i="112"/>
  <c r="L49" i="112"/>
  <c r="L50" i="112" s="1"/>
  <c r="L153" i="8" s="1"/>
  <c r="L155" i="8" s="1"/>
  <c r="Q441" i="111"/>
  <c r="Z470" i="111"/>
  <c r="K151" i="112"/>
  <c r="K137" i="8" s="1"/>
  <c r="K138" i="8" s="1"/>
  <c r="L152" i="112"/>
  <c r="L203" i="112" s="1"/>
  <c r="P204" i="112" s="1"/>
  <c r="Y433" i="111"/>
  <c r="AC433" i="111"/>
  <c r="X46" i="112"/>
  <c r="X49" i="112"/>
  <c r="X50" i="112" s="1"/>
  <c r="X153" i="8" s="1"/>
  <c r="X154" i="8" s="1"/>
  <c r="C152" i="112"/>
  <c r="C203" i="112" s="1"/>
  <c r="X433" i="111"/>
  <c r="AB433" i="111"/>
  <c r="W441" i="111"/>
  <c r="AE470" i="111"/>
  <c r="T441" i="111"/>
  <c r="U470" i="111"/>
  <c r="AC470" i="111"/>
  <c r="R19" i="112"/>
  <c r="K20" i="112"/>
  <c r="J19" i="112"/>
  <c r="I19" i="112"/>
  <c r="J20" i="112"/>
  <c r="Q20" i="112"/>
  <c r="P19" i="112"/>
  <c r="E20" i="112"/>
  <c r="D19" i="112"/>
  <c r="D20" i="112"/>
  <c r="C19" i="112"/>
  <c r="Z49" i="112"/>
  <c r="Z50" i="112" s="1"/>
  <c r="Z153" i="8" s="1"/>
  <c r="Z155" i="8" s="1"/>
  <c r="Z46" i="112"/>
  <c r="Z253" i="112"/>
  <c r="AD46" i="112"/>
  <c r="AG470" i="111"/>
  <c r="AH470" i="111"/>
  <c r="E151" i="112"/>
  <c r="E137" i="8" s="1"/>
  <c r="F152" i="112"/>
  <c r="F203" i="112" s="1"/>
  <c r="O46" i="112"/>
  <c r="O49" i="112"/>
  <c r="O50" i="112" s="1"/>
  <c r="Q470" i="111"/>
  <c r="V46" i="112"/>
  <c r="V49" i="112"/>
  <c r="V50" i="112" s="1"/>
  <c r="V153" i="8" s="1"/>
  <c r="W46" i="112"/>
  <c r="W49" i="112"/>
  <c r="W50" i="112" s="1"/>
  <c r="X175" i="112"/>
  <c r="K46" i="112"/>
  <c r="K49" i="112"/>
  <c r="K50" i="112" s="1"/>
  <c r="K153" i="8" s="1"/>
  <c r="K154" i="8" s="1"/>
  <c r="J151" i="112"/>
  <c r="J137" i="8" s="1"/>
  <c r="J138" i="8" s="1"/>
  <c r="K152" i="112"/>
  <c r="K203" i="112" s="1"/>
  <c r="P192" i="112"/>
  <c r="T193" i="112" s="1"/>
  <c r="P263" i="112"/>
  <c r="P174" i="112"/>
  <c r="S433" i="111"/>
  <c r="AE441" i="111"/>
  <c r="AI441" i="111"/>
  <c r="U441" i="111"/>
  <c r="AC441" i="111"/>
  <c r="S29" i="112"/>
  <c r="S33" i="112"/>
  <c r="R192" i="112"/>
  <c r="R263" i="112"/>
  <c r="R174" i="112"/>
  <c r="V204" i="112"/>
  <c r="J152" i="112"/>
  <c r="J203" i="112" s="1"/>
  <c r="I151" i="112"/>
  <c r="I137" i="8" s="1"/>
  <c r="J159" i="11"/>
  <c r="AN439" i="111"/>
  <c r="Z439" i="111"/>
  <c r="V114" i="8"/>
  <c r="X114" i="8"/>
  <c r="BM67" i="8"/>
  <c r="BM186" i="112" s="1"/>
  <c r="BQ67" i="8"/>
  <c r="BQ186" i="112" s="1"/>
  <c r="BG186" i="112"/>
  <c r="BM57" i="8"/>
  <c r="BM185" i="112" s="1"/>
  <c r="AB114" i="8"/>
  <c r="BO57" i="8"/>
  <c r="BO185" i="112" s="1"/>
  <c r="AD539" i="111"/>
  <c r="AH439" i="111"/>
  <c r="AB439" i="111"/>
  <c r="AG478" i="111"/>
  <c r="BF451" i="111"/>
  <c r="BP175" i="8"/>
  <c r="BL451" i="111"/>
  <c r="BN175" i="8"/>
  <c r="BL175" i="8"/>
  <c r="U539" i="111"/>
  <c r="AJ478" i="111"/>
  <c r="J488" i="111"/>
  <c r="AK305" i="112"/>
  <c r="AS487" i="111"/>
  <c r="J532" i="111"/>
  <c r="O489" i="111"/>
  <c r="O490" i="111"/>
  <c r="M24" i="4"/>
  <c r="Q487" i="111"/>
  <c r="N488" i="111" s="1"/>
  <c r="AA305" i="112"/>
  <c r="AI487" i="111"/>
  <c r="AU491" i="111"/>
  <c r="AF305" i="112"/>
  <c r="AN487" i="111"/>
  <c r="AC305" i="112"/>
  <c r="AK487" i="111"/>
  <c r="L64" i="111"/>
  <c r="L130" i="111"/>
  <c r="K64" i="111"/>
  <c r="K130" i="111"/>
  <c r="AB303" i="112"/>
  <c r="AR439" i="111"/>
  <c r="AV439" i="111"/>
  <c r="L532" i="111"/>
  <c r="AJ303" i="112"/>
  <c r="AS439" i="111"/>
  <c r="AW439" i="111"/>
  <c r="AJ439" i="111"/>
  <c r="Z532" i="111"/>
  <c r="AO478" i="111"/>
  <c r="AD478" i="111"/>
  <c r="M490" i="111"/>
  <c r="M488" i="111"/>
  <c r="S488" i="111"/>
  <c r="S490" i="111"/>
  <c r="S489" i="111"/>
  <c r="X305" i="112"/>
  <c r="AF487" i="111"/>
  <c r="Q491" i="111"/>
  <c r="AE305" i="112"/>
  <c r="AM487" i="111"/>
  <c r="AH28" i="4"/>
  <c r="AH305" i="112"/>
  <c r="AP487" i="111"/>
  <c r="J64" i="111"/>
  <c r="J70" i="111" s="1"/>
  <c r="J130" i="111"/>
  <c r="O64" i="111"/>
  <c r="O130" i="111"/>
  <c r="AF303" i="112"/>
  <c r="R439" i="111"/>
  <c r="AD303" i="112"/>
  <c r="W490" i="111"/>
  <c r="W489" i="111"/>
  <c r="Z303" i="112"/>
  <c r="AP439" i="111"/>
  <c r="AB490" i="111"/>
  <c r="Y478" i="111"/>
  <c r="AT478" i="111"/>
  <c r="AX478" i="111"/>
  <c r="X303" i="112"/>
  <c r="AH303" i="112"/>
  <c r="AL439" i="111"/>
  <c r="AT439" i="111"/>
  <c r="U488" i="111"/>
  <c r="U490" i="111"/>
  <c r="N489" i="111"/>
  <c r="N490" i="111"/>
  <c r="P489" i="111"/>
  <c r="P490" i="111"/>
  <c r="AG305" i="112"/>
  <c r="AO487" i="111"/>
  <c r="W532" i="111"/>
  <c r="AA532" i="111"/>
  <c r="AI305" i="112"/>
  <c r="AQ487" i="111"/>
  <c r="AJ305" i="112"/>
  <c r="AR487" i="111"/>
  <c r="AB305" i="112"/>
  <c r="AJ487" i="111"/>
  <c r="AG491" i="111"/>
  <c r="O491" i="111"/>
  <c r="AT491" i="111"/>
  <c r="V439" i="111"/>
  <c r="AB532" i="111"/>
  <c r="AG539" i="111"/>
  <c r="AK539" i="111"/>
  <c r="V478" i="111"/>
  <c r="AA489" i="111"/>
  <c r="AA490" i="111"/>
  <c r="AK303" i="112"/>
  <c r="AT539" i="111"/>
  <c r="AX539" i="111"/>
  <c r="U532" i="111"/>
  <c r="AH478" i="111"/>
  <c r="T490" i="111"/>
  <c r="T489" i="111"/>
  <c r="T488" i="111"/>
  <c r="K488" i="111"/>
  <c r="K490" i="111"/>
  <c r="R489" i="111"/>
  <c r="R490" i="111"/>
  <c r="R488" i="111"/>
  <c r="U305" i="112"/>
  <c r="AC487" i="111"/>
  <c r="M130" i="111"/>
  <c r="M64" i="111"/>
  <c r="N64" i="111"/>
  <c r="N130" i="111"/>
  <c r="AN539" i="111"/>
  <c r="V303" i="112"/>
  <c r="AU478" i="111"/>
  <c r="AY478" i="111"/>
  <c r="L488" i="111"/>
  <c r="L490" i="111"/>
  <c r="AD439" i="111"/>
  <c r="S539" i="111"/>
  <c r="W478" i="111"/>
  <c r="R539" i="111"/>
  <c r="Z490" i="111"/>
  <c r="G11" i="27"/>
  <c r="J11" i="27"/>
  <c r="B10" i="27"/>
  <c r="I10" i="27"/>
  <c r="H11" i="27"/>
  <c r="I11" i="27"/>
  <c r="D10" i="27"/>
  <c r="H10" i="27"/>
  <c r="F10" i="27"/>
  <c r="J10" i="27"/>
  <c r="L282" i="8"/>
  <c r="L283" i="8"/>
  <c r="L281" i="8"/>
  <c r="T283" i="8"/>
  <c r="T281" i="8"/>
  <c r="T282" i="8"/>
  <c r="K52" i="2"/>
  <c r="K280" i="8" s="1"/>
  <c r="G52" i="2"/>
  <c r="G280" i="8" s="1"/>
  <c r="S52" i="2"/>
  <c r="S280" i="8" s="1"/>
  <c r="P52" i="2"/>
  <c r="P280" i="8" s="1"/>
  <c r="H283" i="8"/>
  <c r="H282" i="8"/>
  <c r="H281" i="8"/>
  <c r="AQ177" i="8"/>
  <c r="AC109" i="8"/>
  <c r="AQ203" i="8"/>
  <c r="AN203" i="8"/>
  <c r="AQ183" i="8"/>
  <c r="W22" i="4"/>
  <c r="W23" i="4" s="1"/>
  <c r="B86" i="27"/>
  <c r="O67" i="11"/>
  <c r="P54" i="2"/>
  <c r="P55" i="2"/>
  <c r="P290" i="8" s="1"/>
  <c r="P293" i="8" s="1"/>
  <c r="AM34" i="58"/>
  <c r="AM36" i="58" s="1"/>
  <c r="S88" i="11"/>
  <c r="K67" i="11"/>
  <c r="M67" i="11"/>
  <c r="I34" i="4"/>
  <c r="I35" i="4" s="1"/>
  <c r="Y34" i="4"/>
  <c r="Y35" i="4" s="1"/>
  <c r="Q34" i="4"/>
  <c r="Q35" i="4" s="1"/>
  <c r="Y22" i="4"/>
  <c r="Y23" i="4" s="1"/>
  <c r="Z36" i="58"/>
  <c r="AN34" i="58"/>
  <c r="Q71" i="11"/>
  <c r="V23" i="4"/>
  <c r="Z23" i="4"/>
  <c r="P71" i="11"/>
  <c r="R71" i="11"/>
  <c r="AB35" i="4"/>
  <c r="K257" i="8"/>
  <c r="W256" i="8"/>
  <c r="U257" i="8"/>
  <c r="N338" i="111" s="1"/>
  <c r="U255" i="8"/>
  <c r="N337" i="111" s="1"/>
  <c r="Q257" i="8"/>
  <c r="M338" i="111" s="1"/>
  <c r="K256" i="8"/>
  <c r="L42" i="60"/>
  <c r="L44" i="60" s="1"/>
  <c r="W257" i="8"/>
  <c r="AE255" i="8"/>
  <c r="S257" i="8"/>
  <c r="H257" i="8"/>
  <c r="J338" i="111" s="1"/>
  <c r="AE256" i="8"/>
  <c r="S256" i="8"/>
  <c r="M256" i="8"/>
  <c r="L336" i="111" s="1"/>
  <c r="L322" i="111" s="1"/>
  <c r="H256" i="8"/>
  <c r="J336" i="111" s="1"/>
  <c r="J322" i="111" s="1"/>
  <c r="AK38" i="60"/>
  <c r="M257" i="8"/>
  <c r="L338" i="111" s="1"/>
  <c r="AL35" i="4"/>
  <c r="V35" i="4"/>
  <c r="AC255" i="8"/>
  <c r="P337" i="111" s="1"/>
  <c r="AG38" i="60"/>
  <c r="AG256" i="8"/>
  <c r="Q336" i="111" s="1"/>
  <c r="Q322" i="111" s="1"/>
  <c r="X35" i="4"/>
  <c r="T257" i="8"/>
  <c r="Q255" i="8"/>
  <c r="M337" i="111" s="1"/>
  <c r="O257" i="8"/>
  <c r="T256" i="8"/>
  <c r="O256" i="8"/>
  <c r="Q38" i="60"/>
  <c r="BP146" i="8"/>
  <c r="BP45" i="112" s="1"/>
  <c r="BO67" i="8"/>
  <c r="BO186" i="112" s="1"/>
  <c r="BC186" i="112"/>
  <c r="BP67" i="8"/>
  <c r="BP186" i="112" s="1"/>
  <c r="BP57" i="8"/>
  <c r="BP185" i="112" s="1"/>
  <c r="BG185" i="112"/>
  <c r="AO31" i="2"/>
  <c r="AW38" i="60"/>
  <c r="BQ146" i="8"/>
  <c r="BQ45" i="112" s="1"/>
  <c r="AZ185" i="112"/>
  <c r="AZ183" i="112" s="1"/>
  <c r="O35" i="4"/>
  <c r="AJ35" i="4"/>
  <c r="K36" i="4"/>
  <c r="X256" i="8"/>
  <c r="Z35" i="4"/>
  <c r="AL256" i="8"/>
  <c r="AM35" i="4"/>
  <c r="K35" i="4"/>
  <c r="AL36" i="4"/>
  <c r="V36" i="4"/>
  <c r="AC257" i="8"/>
  <c r="P338" i="111" s="1"/>
  <c r="R35" i="4"/>
  <c r="P256" i="8"/>
  <c r="L36" i="4"/>
  <c r="N35" i="4"/>
  <c r="J36" i="4"/>
  <c r="AD35" i="4"/>
  <c r="L35" i="4"/>
  <c r="H35" i="4"/>
  <c r="G35" i="4"/>
  <c r="F35" i="4"/>
  <c r="AC36" i="4"/>
  <c r="P35" i="4"/>
  <c r="J35" i="4"/>
  <c r="AI256" i="8"/>
  <c r="AG257" i="8"/>
  <c r="Q338" i="111" s="1"/>
  <c r="W35" i="4"/>
  <c r="AG35" i="4"/>
  <c r="T35" i="4"/>
  <c r="AO183" i="8"/>
  <c r="BM146" i="8"/>
  <c r="BM45" i="112" s="1"/>
  <c r="AO180" i="8"/>
  <c r="AO179" i="8"/>
  <c r="W32" i="2"/>
  <c r="X32" i="2" s="1"/>
  <c r="Y32" i="2" s="1"/>
  <c r="Y34" i="2" s="1"/>
  <c r="Y270" i="8" s="1"/>
  <c r="Y273" i="8" s="1"/>
  <c r="AE32" i="2"/>
  <c r="AF32" i="2" s="1"/>
  <c r="K32" i="2"/>
  <c r="L32" i="2" s="1"/>
  <c r="M32" i="2" s="1"/>
  <c r="M34" i="2" s="1"/>
  <c r="M270" i="8" s="1"/>
  <c r="M271" i="8" s="1"/>
  <c r="O32" i="2"/>
  <c r="P32" i="2" s="1"/>
  <c r="Q32" i="2" s="1"/>
  <c r="Q34" i="2" s="1"/>
  <c r="Q270" i="8" s="1"/>
  <c r="Q272" i="8" s="1"/>
  <c r="S32" i="2"/>
  <c r="T32" i="2" s="1"/>
  <c r="U32" i="2" s="1"/>
  <c r="U34" i="2" s="1"/>
  <c r="U270" i="8" s="1"/>
  <c r="U271" i="8" s="1"/>
  <c r="C36" i="4"/>
  <c r="AI255" i="8"/>
  <c r="P257" i="8"/>
  <c r="AL257" i="8"/>
  <c r="X255" i="8"/>
  <c r="R34" i="2"/>
  <c r="R270" i="8" s="1"/>
  <c r="R273" i="8" s="1"/>
  <c r="Z255" i="8"/>
  <c r="Z256" i="8"/>
  <c r="AE35" i="4"/>
  <c r="V255" i="8"/>
  <c r="AA35" i="4"/>
  <c r="AJ36" i="4"/>
  <c r="AI35" i="4"/>
  <c r="V256" i="8"/>
  <c r="AF35" i="4"/>
  <c r="AF36" i="4"/>
  <c r="AE36" i="4"/>
  <c r="AB36" i="4"/>
  <c r="AK36" i="4"/>
  <c r="BM158" i="8"/>
  <c r="BM34" i="112" s="1"/>
  <c r="BM183" i="8"/>
  <c r="BM99" i="112" s="1"/>
  <c r="BO158" i="8"/>
  <c r="BO34" i="112" s="1"/>
  <c r="BQ158" i="8"/>
  <c r="BQ34" i="112" s="1"/>
  <c r="BP161" i="8"/>
  <c r="BP159" i="8"/>
  <c r="U109" i="8"/>
  <c r="AD131" i="8"/>
  <c r="BK449" i="111"/>
  <c r="BO183" i="8"/>
  <c r="BO99" i="112" s="1"/>
  <c r="BP183" i="8"/>
  <c r="BP99" i="112" s="1"/>
  <c r="AJ257" i="8"/>
  <c r="Z120" i="8"/>
  <c r="T120" i="8"/>
  <c r="Q109" i="8"/>
  <c r="P120" i="8"/>
  <c r="E125" i="8"/>
  <c r="D109" i="8"/>
  <c r="C109" i="8"/>
  <c r="AM109" i="8"/>
  <c r="AM195" i="8" s="1"/>
  <c r="V109" i="8"/>
  <c r="AF109" i="8"/>
  <c r="G109" i="8"/>
  <c r="AJ256" i="8"/>
  <c r="AA198" i="8"/>
  <c r="AA200" i="8" s="1"/>
  <c r="AK198" i="8"/>
  <c r="BP164" i="8"/>
  <c r="AN180" i="8"/>
  <c r="AN179" i="8"/>
  <c r="J34" i="2"/>
  <c r="J270" i="8" s="1"/>
  <c r="J271" i="8" s="1"/>
  <c r="V34" i="2"/>
  <c r="V270" i="8" s="1"/>
  <c r="V271" i="8" s="1"/>
  <c r="N34" i="2"/>
  <c r="N270" i="8" s="1"/>
  <c r="N273" i="8" s="1"/>
  <c r="AH34" i="2"/>
  <c r="AH270" i="8" s="1"/>
  <c r="AH272" i="8" s="1"/>
  <c r="AD34" i="2"/>
  <c r="AD270" i="8" s="1"/>
  <c r="AD273" i="8" s="1"/>
  <c r="AD256" i="8"/>
  <c r="AD257" i="8"/>
  <c r="N35" i="2"/>
  <c r="V35" i="2"/>
  <c r="J35" i="2"/>
  <c r="R35" i="2"/>
  <c r="AD35" i="2"/>
  <c r="AH35" i="2"/>
  <c r="C125" i="8"/>
  <c r="AD109" i="8"/>
  <c r="X125" i="8"/>
  <c r="L120" i="8"/>
  <c r="AB120" i="8"/>
  <c r="AU186" i="112"/>
  <c r="AU183" i="112" s="1"/>
  <c r="AU195" i="8" s="1"/>
  <c r="M120" i="8"/>
  <c r="T109" i="8"/>
  <c r="AJ109" i="8"/>
  <c r="BF449" i="111"/>
  <c r="Q125" i="8"/>
  <c r="P109" i="8"/>
  <c r="I109" i="8"/>
  <c r="AF125" i="8"/>
  <c r="D125" i="8"/>
  <c r="Z109" i="8"/>
  <c r="Z195" i="8" s="1"/>
  <c r="I125" i="8"/>
  <c r="Z131" i="8"/>
  <c r="AH109" i="8"/>
  <c r="H109" i="8"/>
  <c r="H125" i="8"/>
  <c r="BN67" i="8"/>
  <c r="BN186" i="112" s="1"/>
  <c r="AF195" i="8"/>
  <c r="X195" i="8"/>
  <c r="AI195" i="8"/>
  <c r="AH195" i="8"/>
  <c r="AD195" i="8"/>
  <c r="AJ195" i="8"/>
  <c r="AB186" i="8"/>
  <c r="AB183" i="8" s="1"/>
  <c r="BM164" i="8"/>
  <c r="BM166" i="8"/>
  <c r="BO164" i="8"/>
  <c r="BO166" i="8"/>
  <c r="BN184" i="8"/>
  <c r="BN186" i="8"/>
  <c r="AI28" i="4"/>
  <c r="U28" i="4"/>
  <c r="AG28" i="4"/>
  <c r="AG24" i="4"/>
  <c r="U24" i="4"/>
  <c r="AE24" i="4"/>
  <c r="AE28" i="4"/>
  <c r="AJ24" i="4"/>
  <c r="AJ28" i="4"/>
  <c r="AI24" i="4"/>
  <c r="J24" i="4"/>
  <c r="J28" i="4"/>
  <c r="E28" i="4"/>
  <c r="AB24" i="4"/>
  <c r="AB28" i="4"/>
  <c r="I28" i="4"/>
  <c r="I24" i="4"/>
  <c r="R24" i="4"/>
  <c r="N28" i="4"/>
  <c r="N24" i="4"/>
  <c r="AK24" i="4"/>
  <c r="AK28" i="4"/>
  <c r="P28" i="4"/>
  <c r="P24" i="4"/>
  <c r="T24" i="4"/>
  <c r="AA28" i="4"/>
  <c r="G24" i="4"/>
  <c r="G28" i="4"/>
  <c r="AC28" i="4"/>
  <c r="AF28" i="4"/>
  <c r="AF24" i="4"/>
  <c r="L24" i="4"/>
  <c r="L28" i="4"/>
  <c r="K28" i="4"/>
  <c r="O24" i="4"/>
  <c r="K24" i="4"/>
  <c r="F24" i="4"/>
  <c r="F28" i="4"/>
  <c r="C28" i="4"/>
  <c r="X28" i="4"/>
  <c r="X24" i="4"/>
  <c r="H28" i="4"/>
  <c r="H24" i="4"/>
  <c r="Q28" i="4"/>
  <c r="Q24" i="4"/>
  <c r="J14" i="11"/>
  <c r="S138" i="8"/>
  <c r="S139" i="8"/>
  <c r="S115" i="8"/>
  <c r="T115" i="8"/>
  <c r="T138" i="8"/>
  <c r="T136" i="8" s="1"/>
  <c r="AG186" i="8"/>
  <c r="AG183" i="8" s="1"/>
  <c r="Z178" i="8"/>
  <c r="AM186" i="8"/>
  <c r="AM183" i="8" s="1"/>
  <c r="H180" i="8"/>
  <c r="H177" i="8" s="1"/>
  <c r="AI205" i="8"/>
  <c r="AI203" i="8" s="1"/>
  <c r="AA206" i="8"/>
  <c r="AA205" i="8"/>
  <c r="AE206" i="8"/>
  <c r="AE205" i="8"/>
  <c r="AK206" i="8"/>
  <c r="AK205" i="8"/>
  <c r="AC206" i="8"/>
  <c r="AC205" i="8"/>
  <c r="AJ205" i="8"/>
  <c r="AJ206" i="8"/>
  <c r="AG206" i="8"/>
  <c r="AG205" i="8"/>
  <c r="AH205" i="8"/>
  <c r="AH206" i="8"/>
  <c r="AL186" i="8"/>
  <c r="AL183" i="8" s="1"/>
  <c r="AE163" i="8"/>
  <c r="AG163" i="8"/>
  <c r="Y163" i="8"/>
  <c r="Z204" i="8"/>
  <c r="Z205" i="8" s="1"/>
  <c r="J134" i="8"/>
  <c r="J131" i="8" s="1"/>
  <c r="U186" i="8"/>
  <c r="U183" i="8" s="1"/>
  <c r="N134" i="8"/>
  <c r="N131" i="8" s="1"/>
  <c r="P137" i="8"/>
  <c r="G186" i="8"/>
  <c r="G183" i="8" s="1"/>
  <c r="O137" i="8"/>
  <c r="O139" i="8" s="1"/>
  <c r="Q137" i="8"/>
  <c r="R137" i="8"/>
  <c r="R139" i="8" s="1"/>
  <c r="I186" i="8"/>
  <c r="I183" i="8" s="1"/>
  <c r="AF186" i="8"/>
  <c r="AF183" i="8" s="1"/>
  <c r="AA186" i="8"/>
  <c r="AA183" i="8" s="1"/>
  <c r="K186" i="8"/>
  <c r="K183" i="8" s="1"/>
  <c r="AJ186" i="8"/>
  <c r="AJ183" i="8" s="1"/>
  <c r="S186" i="8"/>
  <c r="S183" i="8" s="1"/>
  <c r="W186" i="8"/>
  <c r="W183" i="8" s="1"/>
  <c r="F183" i="8"/>
  <c r="AI186" i="8"/>
  <c r="AI183" i="8" s="1"/>
  <c r="AH186" i="8"/>
  <c r="AH183" i="8" s="1"/>
  <c r="AK186" i="8"/>
  <c r="AK183" i="8" s="1"/>
  <c r="H186" i="8"/>
  <c r="H183" i="8" s="1"/>
  <c r="P186" i="8"/>
  <c r="P183" i="8" s="1"/>
  <c r="L186" i="8"/>
  <c r="L183" i="8" s="1"/>
  <c r="G178" i="8"/>
  <c r="J180" i="8"/>
  <c r="J179" i="8"/>
  <c r="I179" i="8"/>
  <c r="I180" i="8"/>
  <c r="W178" i="8"/>
  <c r="M178" i="8"/>
  <c r="N178" i="8"/>
  <c r="O178" i="8"/>
  <c r="AH178" i="8"/>
  <c r="S178" i="8"/>
  <c r="AC178" i="8"/>
  <c r="L178" i="8"/>
  <c r="K178" i="8"/>
  <c r="AI178" i="8"/>
  <c r="X178" i="8"/>
  <c r="AE178" i="8"/>
  <c r="AA178" i="8"/>
  <c r="P178" i="8"/>
  <c r="V178" i="8"/>
  <c r="R178" i="8"/>
  <c r="BL183" i="8"/>
  <c r="BL99" i="112" s="1"/>
  <c r="AB257" i="8"/>
  <c r="AB255" i="8"/>
  <c r="AH255" i="8"/>
  <c r="Z166" i="8"/>
  <c r="Z165" i="8"/>
  <c r="AM165" i="8"/>
  <c r="AM166" i="8"/>
  <c r="AF165" i="8"/>
  <c r="AF166" i="8"/>
  <c r="AC166" i="8"/>
  <c r="AC165" i="8"/>
  <c r="AH165" i="8"/>
  <c r="AH166" i="8"/>
  <c r="AJ164" i="8"/>
  <c r="AH256" i="8"/>
  <c r="AJ153" i="8"/>
  <c r="AJ154" i="8" s="1"/>
  <c r="F255" i="8"/>
  <c r="AL136" i="8"/>
  <c r="AI153" i="8"/>
  <c r="AI154" i="8" s="1"/>
  <c r="AD153" i="8"/>
  <c r="AD155" i="8" s="1"/>
  <c r="R112" i="8"/>
  <c r="R111" i="8"/>
  <c r="N111" i="8"/>
  <c r="N112" i="8"/>
  <c r="F111" i="8"/>
  <c r="F112" i="8"/>
  <c r="Y116" i="8"/>
  <c r="Y114" i="8" s="1"/>
  <c r="F256" i="8"/>
  <c r="Y111" i="8"/>
  <c r="Y109" i="8" s="1"/>
  <c r="R257" i="8"/>
  <c r="AC116" i="8"/>
  <c r="AC114" i="8" s="1"/>
  <c r="R255" i="8"/>
  <c r="AG111" i="8"/>
  <c r="AG109" i="8" s="1"/>
  <c r="AF256" i="8"/>
  <c r="O46" i="2"/>
  <c r="O285" i="8" s="1"/>
  <c r="O45" i="2"/>
  <c r="O53" i="2"/>
  <c r="N44" i="2"/>
  <c r="O47" i="58"/>
  <c r="O51" i="58"/>
  <c r="P286" i="8"/>
  <c r="P287" i="8"/>
  <c r="P288" i="8"/>
  <c r="AJ131" i="8"/>
  <c r="AF255" i="8"/>
  <c r="D134" i="8"/>
  <c r="D133" i="8"/>
  <c r="H132" i="8"/>
  <c r="H134" i="8" s="1"/>
  <c r="BO171" i="8"/>
  <c r="BO112" i="112" s="1"/>
  <c r="BO146" i="8"/>
  <c r="BO45" i="112" s="1"/>
  <c r="P133" i="8"/>
  <c r="P134" i="8"/>
  <c r="Z36" i="2"/>
  <c r="Z275" i="8" s="1"/>
  <c r="T155" i="8"/>
  <c r="T154" i="8"/>
  <c r="AJ114" i="8"/>
  <c r="K287" i="8"/>
  <c r="K288" i="8"/>
  <c r="K286" i="8"/>
  <c r="S287" i="8"/>
  <c r="S288" i="8"/>
  <c r="S286" i="8"/>
  <c r="Y132" i="4"/>
  <c r="G81" i="27"/>
  <c r="Y49" i="2"/>
  <c r="Y123" i="4"/>
  <c r="G74" i="27"/>
  <c r="G77" i="27" s="1"/>
  <c r="AM131" i="8"/>
  <c r="F133" i="8"/>
  <c r="F134" i="8"/>
  <c r="C133" i="8"/>
  <c r="C134" i="8"/>
  <c r="Q132" i="8"/>
  <c r="AL154" i="8"/>
  <c r="AL155" i="8"/>
  <c r="AF155" i="8"/>
  <c r="AF154" i="8"/>
  <c r="AG155" i="8"/>
  <c r="AG154" i="8"/>
  <c r="F45" i="2"/>
  <c r="F46" i="2"/>
  <c r="F285" i="8" s="1"/>
  <c r="F53" i="2"/>
  <c r="R45" i="2"/>
  <c r="R46" i="2"/>
  <c r="R53" i="2"/>
  <c r="G286" i="8"/>
  <c r="G288" i="8"/>
  <c r="G287" i="8"/>
  <c r="K54" i="2"/>
  <c r="K55" i="2"/>
  <c r="K290" i="8" s="1"/>
  <c r="AC49" i="2"/>
  <c r="AC123" i="4"/>
  <c r="H74" i="27"/>
  <c r="H77" i="27" s="1"/>
  <c r="I132" i="4"/>
  <c r="C81" i="27"/>
  <c r="C84" i="27" s="1"/>
  <c r="K134" i="8"/>
  <c r="K133" i="8"/>
  <c r="U53" i="2"/>
  <c r="U39" i="2"/>
  <c r="U132" i="4"/>
  <c r="F81" i="27"/>
  <c r="F84" i="27" s="1"/>
  <c r="AC65" i="2"/>
  <c r="AC70" i="2" s="1"/>
  <c r="AC318" i="112" s="1"/>
  <c r="AC132" i="4"/>
  <c r="H82" i="27"/>
  <c r="L292" i="8"/>
  <c r="L291" i="8"/>
  <c r="L293" i="8"/>
  <c r="AM255" i="8"/>
  <c r="AM257" i="8"/>
  <c r="AM256" i="8"/>
  <c r="J45" i="2"/>
  <c r="J46" i="2"/>
  <c r="J285" i="8" s="1"/>
  <c r="J53" i="2"/>
  <c r="O134" i="8"/>
  <c r="O133" i="8"/>
  <c r="H292" i="8"/>
  <c r="H293" i="8"/>
  <c r="H291" i="8"/>
  <c r="G55" i="2"/>
  <c r="G290" i="8" s="1"/>
  <c r="G54" i="2"/>
  <c r="I38" i="2"/>
  <c r="C62" i="27"/>
  <c r="N255" i="8"/>
  <c r="N257" i="8"/>
  <c r="N256" i="8"/>
  <c r="I132" i="8"/>
  <c r="M133" i="8"/>
  <c r="M134" i="8"/>
  <c r="AJ120" i="8"/>
  <c r="T292" i="8"/>
  <c r="T291" i="8"/>
  <c r="T293" i="8"/>
  <c r="F35" i="2"/>
  <c r="J255" i="8"/>
  <c r="J257" i="8"/>
  <c r="J256" i="8"/>
  <c r="AH154" i="8"/>
  <c r="AH155" i="8"/>
  <c r="S54" i="2"/>
  <c r="S55" i="2"/>
  <c r="S290" i="8" s="1"/>
  <c r="E132" i="4"/>
  <c r="B81" i="27"/>
  <c r="B84" i="27" s="1"/>
  <c r="AG49" i="2"/>
  <c r="I74" i="27"/>
  <c r="G134" i="8"/>
  <c r="G133" i="8"/>
  <c r="L132" i="8"/>
  <c r="M53" i="2"/>
  <c r="M39" i="2"/>
  <c r="AK109" i="8"/>
  <c r="AL114" i="8"/>
  <c r="J81" i="27"/>
  <c r="M65" i="2"/>
  <c r="M70" i="2" s="1"/>
  <c r="M318" i="112" s="1"/>
  <c r="M132" i="4"/>
  <c r="D82" i="27"/>
  <c r="D84" i="27" s="1"/>
  <c r="Z34" i="2"/>
  <c r="Z270" i="8" s="1"/>
  <c r="Q38" i="2"/>
  <c r="E62" i="27"/>
  <c r="Y38" i="2"/>
  <c r="Y39" i="2" s="1"/>
  <c r="G62" i="27"/>
  <c r="G47" i="58"/>
  <c r="G51" i="58"/>
  <c r="K47" i="58"/>
  <c r="K51" i="58"/>
  <c r="S47" i="58"/>
  <c r="S51" i="58"/>
  <c r="BQ175" i="8" l="1"/>
  <c r="BQ112" i="112"/>
  <c r="CG175" i="8"/>
  <c r="CG112" i="112"/>
  <c r="CJ144" i="8"/>
  <c r="CJ45" i="112"/>
  <c r="CL150" i="8"/>
  <c r="CL45" i="112"/>
  <c r="CO150" i="8"/>
  <c r="CO45" i="112"/>
  <c r="CN150" i="8"/>
  <c r="CN45" i="112"/>
  <c r="CT144" i="8"/>
  <c r="CT45" i="112"/>
  <c r="BM175" i="8"/>
  <c r="BM112" i="112"/>
  <c r="CK175" i="8"/>
  <c r="CK112" i="112"/>
  <c r="CI144" i="8"/>
  <c r="CI45" i="112"/>
  <c r="CM150" i="8"/>
  <c r="CM45" i="112"/>
  <c r="CV150" i="8"/>
  <c r="CV45" i="112"/>
  <c r="CN175" i="8"/>
  <c r="CN112" i="112"/>
  <c r="CM175" i="8"/>
  <c r="CM112" i="112"/>
  <c r="CL175" i="8"/>
  <c r="CL112" i="112"/>
  <c r="CA144" i="8"/>
  <c r="CA45" i="112"/>
  <c r="BY170" i="8"/>
  <c r="BY112" i="112"/>
  <c r="CW144" i="8"/>
  <c r="CW45" i="112"/>
  <c r="CQ150" i="8"/>
  <c r="CQ45" i="112"/>
  <c r="CF144" i="8"/>
  <c r="CF45" i="112"/>
  <c r="CC175" i="8"/>
  <c r="CC112" i="112"/>
  <c r="CB144" i="8"/>
  <c r="CB45" i="112"/>
  <c r="CC144" i="8"/>
  <c r="CC45" i="112"/>
  <c r="CO175" i="8"/>
  <c r="CO112" i="112"/>
  <c r="CP144" i="8"/>
  <c r="CP45" i="112"/>
  <c r="H84" i="27"/>
  <c r="AJ42" i="71"/>
  <c r="AH12" i="71"/>
  <c r="B10" i="71"/>
  <c r="B40" i="71" s="1"/>
  <c r="AK42" i="71"/>
  <c r="AH60" i="71"/>
  <c r="AH62" i="71" s="1"/>
  <c r="AI42" i="71"/>
  <c r="AA139" i="11"/>
  <c r="CM170" i="8"/>
  <c r="G84" i="27"/>
  <c r="J84" i="27"/>
  <c r="AG32" i="2"/>
  <c r="AG34" i="2" s="1"/>
  <c r="AG270" i="8" s="1"/>
  <c r="AG272" i="8" s="1"/>
  <c r="I77" i="27"/>
  <c r="AK73" i="2"/>
  <c r="G35" i="2"/>
  <c r="G36" i="2" s="1"/>
  <c r="G275" i="8" s="1"/>
  <c r="G277" i="8" s="1"/>
  <c r="G34" i="2"/>
  <c r="G270" i="8" s="1"/>
  <c r="G271" i="8" s="1"/>
  <c r="BJ199" i="8"/>
  <c r="BJ197" i="8" s="1"/>
  <c r="AO51" i="2"/>
  <c r="AO50" i="2"/>
  <c r="AO73" i="2"/>
  <c r="AO318" i="112"/>
  <c r="AA35" i="2"/>
  <c r="AA36" i="2" s="1"/>
  <c r="AA275" i="8" s="1"/>
  <c r="AA276" i="8" s="1"/>
  <c r="AA34" i="2"/>
  <c r="AA270" i="8" s="1"/>
  <c r="AA271" i="8" s="1"/>
  <c r="BJ114" i="112"/>
  <c r="BJ180" i="8"/>
  <c r="BJ179" i="8"/>
  <c r="BJ177" i="8" s="1"/>
  <c r="BJ183" i="112"/>
  <c r="BJ195" i="8" s="1"/>
  <c r="BE180" i="8"/>
  <c r="BQ183" i="8"/>
  <c r="BQ99" i="112" s="1"/>
  <c r="CL170" i="8"/>
  <c r="CN170" i="8"/>
  <c r="CL158" i="8"/>
  <c r="CL34" i="112" s="1"/>
  <c r="CN144" i="8"/>
  <c r="CV144" i="8"/>
  <c r="CP150" i="8"/>
  <c r="CM144" i="8"/>
  <c r="CO144" i="8"/>
  <c r="CQ144" i="8"/>
  <c r="CT150" i="8"/>
  <c r="CL144" i="8"/>
  <c r="CV158" i="8"/>
  <c r="CV34" i="112" s="1"/>
  <c r="CP158" i="8"/>
  <c r="CP34" i="112" s="1"/>
  <c r="CW163" i="8"/>
  <c r="CW30" i="112" s="1"/>
  <c r="CL163" i="8"/>
  <c r="CL30" i="112" s="1"/>
  <c r="CW150" i="8"/>
  <c r="CW158" i="8"/>
  <c r="CW34" i="112" s="1"/>
  <c r="CO158" i="8"/>
  <c r="CO34" i="112" s="1"/>
  <c r="CQ158" i="8"/>
  <c r="CQ34" i="112" s="1"/>
  <c r="CV163" i="8"/>
  <c r="CV30" i="112" s="1"/>
  <c r="CP163" i="8"/>
  <c r="CP30" i="112" s="1"/>
  <c r="CO163" i="8"/>
  <c r="CO30" i="112" s="1"/>
  <c r="CN158" i="8"/>
  <c r="CN34" i="112" s="1"/>
  <c r="CO170" i="8"/>
  <c r="CM163" i="8"/>
  <c r="CM30" i="112" s="1"/>
  <c r="CM158" i="8"/>
  <c r="CM34" i="112" s="1"/>
  <c r="CN163" i="8"/>
  <c r="CN30" i="112" s="1"/>
  <c r="CQ163" i="8"/>
  <c r="CQ30" i="112" s="1"/>
  <c r="BF114" i="112"/>
  <c r="BF116" i="112"/>
  <c r="BF117" i="112" s="1"/>
  <c r="BF178" i="8" s="1"/>
  <c r="BF180" i="8" s="1"/>
  <c r="BN33" i="112"/>
  <c r="CK170" i="8"/>
  <c r="CG170" i="8"/>
  <c r="CC170" i="8"/>
  <c r="BG183" i="112"/>
  <c r="BO449" i="111"/>
  <c r="BO451" i="111"/>
  <c r="CK150" i="8"/>
  <c r="CK144" i="8"/>
  <c r="BY150" i="8"/>
  <c r="BY144" i="8"/>
  <c r="BV150" i="8"/>
  <c r="BV144" i="8"/>
  <c r="CE150" i="8"/>
  <c r="CE144" i="8"/>
  <c r="BZ150" i="8"/>
  <c r="BZ144" i="8"/>
  <c r="BR150" i="8"/>
  <c r="BU150" i="8"/>
  <c r="CH150" i="8"/>
  <c r="CH144" i="8"/>
  <c r="BX150" i="8"/>
  <c r="BX144" i="8"/>
  <c r="BT150" i="8"/>
  <c r="CD150" i="8"/>
  <c r="CD144" i="8"/>
  <c r="BW150" i="8"/>
  <c r="BW144" i="8"/>
  <c r="CG150" i="8"/>
  <c r="CG144" i="8"/>
  <c r="BS150" i="8"/>
  <c r="BF257" i="112"/>
  <c r="BF258" i="112" s="1"/>
  <c r="BN449" i="111"/>
  <c r="BN451" i="111"/>
  <c r="BN146" i="8"/>
  <c r="I273" i="8"/>
  <c r="BC200" i="112"/>
  <c r="BC201" i="112" s="1"/>
  <c r="BC198" i="8" s="1"/>
  <c r="BC199" i="8" s="1"/>
  <c r="BC198" i="112"/>
  <c r="BB114" i="112"/>
  <c r="I271" i="8"/>
  <c r="BE177" i="8"/>
  <c r="BL146" i="8"/>
  <c r="BL45" i="112" s="1"/>
  <c r="BA116" i="112"/>
  <c r="BA117" i="112" s="1"/>
  <c r="BA178" i="8" s="1"/>
  <c r="BA179" i="8" s="1"/>
  <c r="BE114" i="112"/>
  <c r="BN164" i="8"/>
  <c r="BL166" i="8"/>
  <c r="BC177" i="8"/>
  <c r="AZ199" i="8"/>
  <c r="AZ197" i="8" s="1"/>
  <c r="BB200" i="112"/>
  <c r="BB201" i="112" s="1"/>
  <c r="BB198" i="8" s="1"/>
  <c r="BB199" i="8" s="1"/>
  <c r="BA114" i="112"/>
  <c r="BB253" i="112"/>
  <c r="BB116" i="112"/>
  <c r="BC253" i="112"/>
  <c r="I35" i="2"/>
  <c r="I36" i="2" s="1"/>
  <c r="I275" i="8" s="1"/>
  <c r="I278" i="8" s="1"/>
  <c r="H35" i="2"/>
  <c r="H36" i="2" s="1"/>
  <c r="H275" i="8" s="1"/>
  <c r="H277" i="8" s="1"/>
  <c r="K281" i="111"/>
  <c r="K284" i="111" s="1"/>
  <c r="BM449" i="111"/>
  <c r="Y490" i="111"/>
  <c r="Y489" i="111"/>
  <c r="V490" i="111"/>
  <c r="Z489" i="111"/>
  <c r="V489" i="111"/>
  <c r="Y488" i="111"/>
  <c r="BL449" i="111"/>
  <c r="BC183" i="112"/>
  <c r="AF152" i="8"/>
  <c r="AL152" i="8"/>
  <c r="AN177" i="8"/>
  <c r="AS532" i="111"/>
  <c r="Z488" i="111"/>
  <c r="W488" i="111"/>
  <c r="X490" i="111"/>
  <c r="AI532" i="111"/>
  <c r="X532" i="111"/>
  <c r="V532" i="111"/>
  <c r="AM532" i="111"/>
  <c r="BJ449" i="111"/>
  <c r="Y532" i="111"/>
  <c r="AN532" i="111"/>
  <c r="AJ532" i="111"/>
  <c r="AR532" i="111"/>
  <c r="V488" i="111"/>
  <c r="X489" i="111"/>
  <c r="O488" i="111"/>
  <c r="BJ451" i="111"/>
  <c r="AF532" i="111"/>
  <c r="AK532" i="111"/>
  <c r="W28" i="4"/>
  <c r="AB489" i="111"/>
  <c r="X488" i="111"/>
  <c r="BY175" i="8"/>
  <c r="CC150" i="8"/>
  <c r="BX163" i="8"/>
  <c r="BX30" i="112" s="1"/>
  <c r="J177" i="8"/>
  <c r="CB150" i="8"/>
  <c r="CG163" i="8"/>
  <c r="CG30" i="112" s="1"/>
  <c r="CK158" i="8"/>
  <c r="CK34" i="112" s="1"/>
  <c r="CJ163" i="8"/>
  <c r="CJ30" i="112" s="1"/>
  <c r="BU158" i="8"/>
  <c r="BU34" i="112" s="1"/>
  <c r="CI150" i="8"/>
  <c r="BX158" i="8"/>
  <c r="BX34" i="112" s="1"/>
  <c r="CK183" i="8"/>
  <c r="CK99" i="112" s="1"/>
  <c r="CA150" i="8"/>
  <c r="CD163" i="8"/>
  <c r="CD30" i="112" s="1"/>
  <c r="BZ163" i="8"/>
  <c r="BZ30" i="112" s="1"/>
  <c r="CJ158" i="8"/>
  <c r="CJ34" i="112" s="1"/>
  <c r="CI158" i="8"/>
  <c r="CI34" i="112" s="1"/>
  <c r="CC158" i="8"/>
  <c r="CC34" i="112" s="1"/>
  <c r="BZ158" i="8"/>
  <c r="BZ34" i="112" s="1"/>
  <c r="CJ150" i="8"/>
  <c r="CF163" i="8"/>
  <c r="CF30" i="112" s="1"/>
  <c r="BS163" i="8"/>
  <c r="BS30" i="112" s="1"/>
  <c r="BR163" i="8"/>
  <c r="BR30" i="112" s="1"/>
  <c r="CE158" i="8"/>
  <c r="CE34" i="112" s="1"/>
  <c r="CD158" i="8"/>
  <c r="CD34" i="112" s="1"/>
  <c r="CH163" i="8"/>
  <c r="CH30" i="112" s="1"/>
  <c r="CA158" i="8"/>
  <c r="CA34" i="112" s="1"/>
  <c r="BY158" i="8"/>
  <c r="BY34" i="112" s="1"/>
  <c r="BY163" i="8"/>
  <c r="BY30" i="112" s="1"/>
  <c r="CI163" i="8"/>
  <c r="CI30" i="112" s="1"/>
  <c r="CF158" i="8"/>
  <c r="CF34" i="112" s="1"/>
  <c r="CB158" i="8"/>
  <c r="CB34" i="112" s="1"/>
  <c r="CK163" i="8"/>
  <c r="CK30" i="112" s="1"/>
  <c r="BT158" i="8"/>
  <c r="BT34" i="112" s="1"/>
  <c r="BW158" i="8"/>
  <c r="BW34" i="112" s="1"/>
  <c r="CF150" i="8"/>
  <c r="CA163" i="8"/>
  <c r="CA30" i="112" s="1"/>
  <c r="CC163" i="8"/>
  <c r="CC30" i="112" s="1"/>
  <c r="BU175" i="8"/>
  <c r="CG183" i="8"/>
  <c r="CG99" i="112" s="1"/>
  <c r="BW163" i="8"/>
  <c r="BW30" i="112" s="1"/>
  <c r="BS158" i="8"/>
  <c r="BS34" i="112" s="1"/>
  <c r="CB163" i="8"/>
  <c r="CB30" i="112" s="1"/>
  <c r="CC183" i="8"/>
  <c r="CC99" i="112" s="1"/>
  <c r="BT163" i="8"/>
  <c r="BT30" i="112" s="1"/>
  <c r="BU163" i="8"/>
  <c r="BU30" i="112" s="1"/>
  <c r="BV158" i="8"/>
  <c r="BV34" i="112" s="1"/>
  <c r="BY183" i="8"/>
  <c r="BY99" i="112" s="1"/>
  <c r="CE163" i="8"/>
  <c r="CE30" i="112" s="1"/>
  <c r="BR158" i="8"/>
  <c r="BR34" i="112" s="1"/>
  <c r="BU183" i="8"/>
  <c r="BU99" i="112" s="1"/>
  <c r="CG158" i="8"/>
  <c r="CG34" i="112" s="1"/>
  <c r="CH158" i="8"/>
  <c r="CH34" i="112" s="1"/>
  <c r="BV163" i="8"/>
  <c r="BV30" i="112" s="1"/>
  <c r="L154" i="8"/>
  <c r="L152" i="8" s="1"/>
  <c r="BI451" i="111"/>
  <c r="BH451" i="111"/>
  <c r="BG451" i="111"/>
  <c r="BI449" i="111"/>
  <c r="AU197" i="8"/>
  <c r="V154" i="8"/>
  <c r="V155" i="8"/>
  <c r="K155" i="8"/>
  <c r="K152" i="8" s="1"/>
  <c r="AC154" i="8"/>
  <c r="AC152" i="8" s="1"/>
  <c r="AA24" i="4"/>
  <c r="W24" i="4"/>
  <c r="U489" i="111"/>
  <c r="P488" i="111"/>
  <c r="X155" i="8"/>
  <c r="X152" i="8" s="1"/>
  <c r="W34" i="112"/>
  <c r="T159" i="8" s="1"/>
  <c r="C29" i="112"/>
  <c r="C33" i="112"/>
  <c r="M29" i="112"/>
  <c r="M33" i="112"/>
  <c r="H29" i="112"/>
  <c r="H33" i="112"/>
  <c r="AE254" i="112"/>
  <c r="AA257" i="112"/>
  <c r="AA258" i="112" s="1"/>
  <c r="AA255" i="112"/>
  <c r="L33" i="112"/>
  <c r="L29" i="112"/>
  <c r="I33" i="112"/>
  <c r="I29" i="112"/>
  <c r="G192" i="112"/>
  <c r="G263" i="112"/>
  <c r="G174" i="112"/>
  <c r="G204" i="112"/>
  <c r="X251" i="112"/>
  <c r="X270" i="112" s="1"/>
  <c r="AB271" i="112" s="1"/>
  <c r="E192" i="112"/>
  <c r="E263" i="112"/>
  <c r="E174" i="112"/>
  <c r="AA442" i="111"/>
  <c r="AA471" i="111"/>
  <c r="W195" i="112"/>
  <c r="W198" i="112" s="1"/>
  <c r="W171" i="112"/>
  <c r="AC254" i="112"/>
  <c r="AC257" i="112"/>
  <c r="AC258" i="112" s="1"/>
  <c r="AG254" i="112"/>
  <c r="AC255" i="112"/>
  <c r="V175" i="112"/>
  <c r="V204" i="8" s="1"/>
  <c r="W30" i="112"/>
  <c r="W164" i="8" s="1"/>
  <c r="K192" i="112"/>
  <c r="O193" i="112" s="1"/>
  <c r="K204" i="112"/>
  <c r="K263" i="112"/>
  <c r="O264" i="112" s="1"/>
  <c r="K174" i="112"/>
  <c r="F192" i="112"/>
  <c r="F263" i="112"/>
  <c r="F174" i="112"/>
  <c r="Q29" i="112"/>
  <c r="Q33" i="112"/>
  <c r="L192" i="112"/>
  <c r="P193" i="112" s="1"/>
  <c r="L263" i="112"/>
  <c r="P264" i="112" s="1"/>
  <c r="L174" i="112"/>
  <c r="P175" i="112" s="1"/>
  <c r="L204" i="112"/>
  <c r="U175" i="112"/>
  <c r="U204" i="8" s="1"/>
  <c r="H192" i="112"/>
  <c r="H204" i="112"/>
  <c r="H263" i="112"/>
  <c r="H174" i="112"/>
  <c r="N192" i="112"/>
  <c r="R193" i="112" s="1"/>
  <c r="N204" i="112"/>
  <c r="N263" i="112"/>
  <c r="N174" i="112"/>
  <c r="D192" i="112"/>
  <c r="D174" i="112"/>
  <c r="D263" i="112"/>
  <c r="W251" i="112"/>
  <c r="W270" i="112" s="1"/>
  <c r="AA271" i="112" s="1"/>
  <c r="S175" i="112"/>
  <c r="S204" i="8" s="1"/>
  <c r="J263" i="112"/>
  <c r="J174" i="112"/>
  <c r="J192" i="112"/>
  <c r="J204" i="112"/>
  <c r="V264" i="112"/>
  <c r="Z257" i="112"/>
  <c r="Z258" i="112" s="1"/>
  <c r="AD254" i="112"/>
  <c r="Z255" i="112"/>
  <c r="E33" i="112"/>
  <c r="E34" i="112" s="1"/>
  <c r="E29" i="112"/>
  <c r="I192" i="112"/>
  <c r="I263" i="112"/>
  <c r="I174" i="112"/>
  <c r="I204" i="112"/>
  <c r="U264" i="112"/>
  <c r="X34" i="112"/>
  <c r="U159" i="8" s="1"/>
  <c r="AB257" i="112"/>
  <c r="AB258" i="112" s="1"/>
  <c r="AF254" i="112"/>
  <c r="AB255" i="112"/>
  <c r="P29" i="112"/>
  <c r="P33" i="112"/>
  <c r="O250" i="112"/>
  <c r="O170" i="112"/>
  <c r="S171" i="112" s="1"/>
  <c r="F29" i="112"/>
  <c r="F33" i="112"/>
  <c r="F34" i="112" s="1"/>
  <c r="O29" i="112"/>
  <c r="O33" i="112"/>
  <c r="T265" i="112"/>
  <c r="S193" i="112"/>
  <c r="N33" i="112"/>
  <c r="N29" i="112"/>
  <c r="R170" i="112"/>
  <c r="V193" i="112"/>
  <c r="R250" i="112"/>
  <c r="N871" i="111"/>
  <c r="N881" i="111" s="1"/>
  <c r="P170" i="112"/>
  <c r="P250" i="112"/>
  <c r="T175" i="112"/>
  <c r="T204" i="8" s="1"/>
  <c r="D33" i="112"/>
  <c r="D29" i="112"/>
  <c r="J33" i="112"/>
  <c r="J29" i="112"/>
  <c r="K29" i="112"/>
  <c r="K33" i="112"/>
  <c r="C192" i="112"/>
  <c r="C174" i="112"/>
  <c r="C263" i="112"/>
  <c r="U193" i="112"/>
  <c r="Q250" i="112"/>
  <c r="Q170" i="112"/>
  <c r="X30" i="112"/>
  <c r="X164" i="8" s="1"/>
  <c r="G33" i="112"/>
  <c r="G29" i="112"/>
  <c r="Y255" i="112"/>
  <c r="Y257" i="112"/>
  <c r="Y258" i="112" s="1"/>
  <c r="O204" i="112"/>
  <c r="S264" i="112"/>
  <c r="R29" i="112"/>
  <c r="R33" i="112"/>
  <c r="X195" i="112"/>
  <c r="X198" i="112" s="1"/>
  <c r="X171" i="112"/>
  <c r="AB471" i="111"/>
  <c r="AB442" i="111"/>
  <c r="T264" i="112"/>
  <c r="M192" i="112"/>
  <c r="Q193" i="112" s="1"/>
  <c r="M263" i="112"/>
  <c r="M174" i="112"/>
  <c r="M204" i="112"/>
  <c r="J21" i="111"/>
  <c r="M70" i="111"/>
  <c r="AH152" i="8"/>
  <c r="AG152" i="8"/>
  <c r="T152" i="8"/>
  <c r="I177" i="8"/>
  <c r="L70" i="111"/>
  <c r="BD449" i="111"/>
  <c r="BC449" i="111"/>
  <c r="BB449" i="111"/>
  <c r="BD451" i="111"/>
  <c r="BC451" i="111"/>
  <c r="BE449" i="111"/>
  <c r="BB451" i="111"/>
  <c r="BO175" i="8"/>
  <c r="BK451" i="111"/>
  <c r="N70" i="111"/>
  <c r="K532" i="111"/>
  <c r="AO532" i="111"/>
  <c r="R36" i="2"/>
  <c r="R275" i="8" s="1"/>
  <c r="R277" i="8" s="1"/>
  <c r="Y24" i="4"/>
  <c r="Y305" i="112"/>
  <c r="AG487" i="111"/>
  <c r="W305" i="112"/>
  <c r="AE487" i="111"/>
  <c r="O281" i="111"/>
  <c r="O284" i="111" s="1"/>
  <c r="AJ490" i="111"/>
  <c r="AJ489" i="111"/>
  <c r="AQ489" i="111"/>
  <c r="AQ488" i="111"/>
  <c r="AQ490" i="111"/>
  <c r="AG59" i="112"/>
  <c r="AG124" i="112"/>
  <c r="AG208" i="112"/>
  <c r="AG293" i="112"/>
  <c r="AG306" i="112"/>
  <c r="AP532" i="111"/>
  <c r="AF59" i="112"/>
  <c r="AF124" i="112"/>
  <c r="AF293" i="112"/>
  <c r="AF306" i="112"/>
  <c r="AF208" i="112"/>
  <c r="AA59" i="112"/>
  <c r="AA124" i="112"/>
  <c r="AA208" i="112"/>
  <c r="AA293" i="112"/>
  <c r="AA306" i="112"/>
  <c r="N532" i="111"/>
  <c r="T532" i="111"/>
  <c r="AQ532" i="111"/>
  <c r="AH36" i="2"/>
  <c r="AH275" i="8" s="1"/>
  <c r="AH277" i="8" s="1"/>
  <c r="J36" i="2"/>
  <c r="J275" i="8" s="1"/>
  <c r="J277" i="8" s="1"/>
  <c r="AD305" i="112"/>
  <c r="AL487" i="111"/>
  <c r="AC489" i="111"/>
  <c r="AC490" i="111"/>
  <c r="AC488" i="111"/>
  <c r="AA488" i="111"/>
  <c r="AB59" i="112"/>
  <c r="AB293" i="112"/>
  <c r="AB306" i="112"/>
  <c r="AB208" i="112"/>
  <c r="AB124" i="112"/>
  <c r="AI59" i="112"/>
  <c r="AI124" i="112"/>
  <c r="AI208" i="112"/>
  <c r="AI293" i="112"/>
  <c r="AI306" i="112"/>
  <c r="AM489" i="111"/>
  <c r="AM490" i="111"/>
  <c r="M281" i="111"/>
  <c r="M284" i="111" s="1"/>
  <c r="AK490" i="111"/>
  <c r="AS488" i="111"/>
  <c r="AS490" i="111"/>
  <c r="AS489" i="111"/>
  <c r="P532" i="111"/>
  <c r="S532" i="111"/>
  <c r="O532" i="111"/>
  <c r="M532" i="111"/>
  <c r="AD36" i="2"/>
  <c r="AD275" i="8" s="1"/>
  <c r="AD278" i="8" s="1"/>
  <c r="V36" i="2"/>
  <c r="V275" i="8" s="1"/>
  <c r="V276" i="8" s="1"/>
  <c r="Z305" i="112"/>
  <c r="AH487" i="111"/>
  <c r="U59" i="112"/>
  <c r="U124" i="112"/>
  <c r="U208" i="112"/>
  <c r="U293" i="112"/>
  <c r="U306" i="112"/>
  <c r="AR488" i="111"/>
  <c r="AR489" i="111"/>
  <c r="AR490" i="111"/>
  <c r="N281" i="111"/>
  <c r="N284" i="111" s="1"/>
  <c r="AP490" i="111"/>
  <c r="AP488" i="111"/>
  <c r="AE59" i="112"/>
  <c r="AE124" i="112"/>
  <c r="AE208" i="112"/>
  <c r="AE293" i="112"/>
  <c r="AE306" i="112"/>
  <c r="L281" i="111"/>
  <c r="L284" i="111" s="1"/>
  <c r="AF490" i="111"/>
  <c r="AF489" i="111"/>
  <c r="K70" i="111"/>
  <c r="AC59" i="112"/>
  <c r="AC124" i="112"/>
  <c r="AC208" i="112"/>
  <c r="AC293" i="112"/>
  <c r="AC306" i="112"/>
  <c r="Q489" i="111"/>
  <c r="Q490" i="111"/>
  <c r="Q488" i="111"/>
  <c r="AK59" i="112"/>
  <c r="AK124" i="112"/>
  <c r="AK208" i="112"/>
  <c r="AK293" i="112"/>
  <c r="AK306" i="112"/>
  <c r="Q532" i="111"/>
  <c r="R532" i="111"/>
  <c r="AC532" i="111"/>
  <c r="N36" i="2"/>
  <c r="N275" i="8" s="1"/>
  <c r="N277" i="8" s="1"/>
  <c r="V305" i="112"/>
  <c r="AD487" i="111"/>
  <c r="AJ59" i="112"/>
  <c r="AJ124" i="112"/>
  <c r="AJ293" i="112"/>
  <c r="AJ306" i="112"/>
  <c r="AJ208" i="112"/>
  <c r="AA533" i="111"/>
  <c r="AO490" i="111"/>
  <c r="AO489" i="111"/>
  <c r="AB488" i="111"/>
  <c r="O70" i="111"/>
  <c r="AH124" i="112"/>
  <c r="AH208" i="112"/>
  <c r="AH293" i="112"/>
  <c r="AH306" i="112"/>
  <c r="AH59" i="112"/>
  <c r="X59" i="112"/>
  <c r="X124" i="112"/>
  <c r="X293" i="112"/>
  <c r="X306" i="112"/>
  <c r="X208" i="112"/>
  <c r="AN490" i="111"/>
  <c r="AN489" i="111"/>
  <c r="AI490" i="111"/>
  <c r="P281" i="111"/>
  <c r="P284" i="111" s="1"/>
  <c r="AK195" i="8"/>
  <c r="U195" i="8"/>
  <c r="AG195" i="8"/>
  <c r="Y195" i="8"/>
  <c r="E10" i="27"/>
  <c r="G10" i="27"/>
  <c r="AA155" i="8"/>
  <c r="AA152" i="8" s="1"/>
  <c r="Y155" i="8"/>
  <c r="Y152" i="8" s="1"/>
  <c r="O153" i="8"/>
  <c r="Q153" i="8"/>
  <c r="W153" i="8"/>
  <c r="P153" i="8"/>
  <c r="AN198" i="8"/>
  <c r="R52" i="2"/>
  <c r="R280" i="8" s="1"/>
  <c r="O52" i="2"/>
  <c r="O280" i="8" s="1"/>
  <c r="U52" i="2"/>
  <c r="U280" i="8" s="1"/>
  <c r="S282" i="8"/>
  <c r="S283" i="8"/>
  <c r="S281" i="8"/>
  <c r="M52" i="2"/>
  <c r="M280" i="8" s="1"/>
  <c r="J52" i="2"/>
  <c r="J280" i="8" s="1"/>
  <c r="F52" i="2"/>
  <c r="F280" i="8" s="1"/>
  <c r="P283" i="8"/>
  <c r="P282" i="8"/>
  <c r="P281" i="8"/>
  <c r="G282" i="8"/>
  <c r="G283" i="8"/>
  <c r="G281" i="8"/>
  <c r="K282" i="8"/>
  <c r="K283" i="8"/>
  <c r="K281" i="8"/>
  <c r="Y50" i="2"/>
  <c r="Y51" i="2"/>
  <c r="AG51" i="2"/>
  <c r="AG50" i="2"/>
  <c r="AC50" i="2"/>
  <c r="AC51" i="2"/>
  <c r="K11" i="27"/>
  <c r="AO198" i="8"/>
  <c r="AO200" i="8" s="1"/>
  <c r="BM150" i="8"/>
  <c r="BP150" i="8"/>
  <c r="BO150" i="8"/>
  <c r="BQ150" i="8"/>
  <c r="AG203" i="8"/>
  <c r="AC203" i="8"/>
  <c r="AE203" i="8"/>
  <c r="AH203" i="8"/>
  <c r="AJ203" i="8"/>
  <c r="P292" i="8"/>
  <c r="P291" i="8"/>
  <c r="M42" i="60"/>
  <c r="M44" i="60" s="1"/>
  <c r="C10" i="27"/>
  <c r="AL22" i="4"/>
  <c r="AL23" i="4" s="1"/>
  <c r="Z28" i="4"/>
  <c r="I36" i="4"/>
  <c r="M35" i="4"/>
  <c r="U35" i="4"/>
  <c r="Q36" i="4"/>
  <c r="V28" i="4"/>
  <c r="V24" i="4"/>
  <c r="Y36" i="4"/>
  <c r="AC35" i="4"/>
  <c r="Z24" i="4"/>
  <c r="AH24" i="4"/>
  <c r="AD28" i="4"/>
  <c r="O71" i="11"/>
  <c r="Y28" i="4"/>
  <c r="AC24" i="4"/>
  <c r="AN36" i="58"/>
  <c r="AM22" i="4"/>
  <c r="AM23" i="4" s="1"/>
  <c r="AO177" i="8"/>
  <c r="AC271" i="8"/>
  <c r="AB35" i="2"/>
  <c r="AB36" i="2" s="1"/>
  <c r="AB275" i="8" s="1"/>
  <c r="AB277" i="8" s="1"/>
  <c r="AC272" i="8"/>
  <c r="AC35" i="2"/>
  <c r="AC36" i="2" s="1"/>
  <c r="AC275" i="8" s="1"/>
  <c r="AC277" i="8" s="1"/>
  <c r="AB34" i="2"/>
  <c r="AB270" i="8" s="1"/>
  <c r="AB271" i="8" s="1"/>
  <c r="Q273" i="8"/>
  <c r="U35" i="2"/>
  <c r="U36" i="2" s="1"/>
  <c r="U275" i="8" s="1"/>
  <c r="U276" i="8" s="1"/>
  <c r="K34" i="2"/>
  <c r="K270" i="8" s="1"/>
  <c r="K271" i="8" s="1"/>
  <c r="K35" i="2"/>
  <c r="K36" i="2" s="1"/>
  <c r="K275" i="8" s="1"/>
  <c r="K277" i="8" s="1"/>
  <c r="O34" i="2"/>
  <c r="O270" i="8" s="1"/>
  <c r="O271" i="8" s="1"/>
  <c r="Y272" i="8"/>
  <c r="Y35" i="2"/>
  <c r="Y36" i="2" s="1"/>
  <c r="Y275" i="8" s="1"/>
  <c r="M273" i="8"/>
  <c r="U273" i="8"/>
  <c r="T34" i="2"/>
  <c r="T270" i="8" s="1"/>
  <c r="T273" i="8" s="1"/>
  <c r="S34" i="2"/>
  <c r="S270" i="8" s="1"/>
  <c r="S272" i="8" s="1"/>
  <c r="L34" i="2"/>
  <c r="L270" i="8" s="1"/>
  <c r="L273" i="8" s="1"/>
  <c r="R272" i="8"/>
  <c r="T35" i="2"/>
  <c r="T36" i="2" s="1"/>
  <c r="T275" i="8" s="1"/>
  <c r="T277" i="8" s="1"/>
  <c r="AE34" i="2"/>
  <c r="AE270" i="8" s="1"/>
  <c r="AE271" i="8" s="1"/>
  <c r="M272" i="8"/>
  <c r="M35" i="2"/>
  <c r="M36" i="2" s="1"/>
  <c r="M275" i="8" s="1"/>
  <c r="M277" i="8" s="1"/>
  <c r="R271" i="8"/>
  <c r="U272" i="8"/>
  <c r="L35" i="2"/>
  <c r="L36" i="2" s="1"/>
  <c r="L275" i="8" s="1"/>
  <c r="S35" i="2"/>
  <c r="S36" i="2" s="1"/>
  <c r="S275" i="8" s="1"/>
  <c r="AF34" i="2"/>
  <c r="AF270" i="8" s="1"/>
  <c r="AF272" i="8" s="1"/>
  <c r="AF35" i="2"/>
  <c r="AF36" i="2" s="1"/>
  <c r="AF275" i="8" s="1"/>
  <c r="AF276" i="8" s="1"/>
  <c r="AE35" i="2"/>
  <c r="AE36" i="2" s="1"/>
  <c r="AE275" i="8" s="1"/>
  <c r="AE278" i="8" s="1"/>
  <c r="Y271" i="8"/>
  <c r="W35" i="2"/>
  <c r="W36" i="2" s="1"/>
  <c r="W275" i="8" s="1"/>
  <c r="W276" i="8" s="1"/>
  <c r="W34" i="2"/>
  <c r="W270" i="8" s="1"/>
  <c r="W272" i="8" s="1"/>
  <c r="X35" i="2"/>
  <c r="X36" i="2" s="1"/>
  <c r="X275" i="8" s="1"/>
  <c r="X277" i="8" s="1"/>
  <c r="Q271" i="8"/>
  <c r="Q35" i="2"/>
  <c r="Q36" i="2" s="1"/>
  <c r="Q275" i="8" s="1"/>
  <c r="O35" i="2"/>
  <c r="O36" i="2" s="1"/>
  <c r="O275" i="8" s="1"/>
  <c r="O276" i="8" s="1"/>
  <c r="X34" i="2"/>
  <c r="X270" i="8" s="1"/>
  <c r="X272" i="8" s="1"/>
  <c r="P35" i="2"/>
  <c r="P36" i="2" s="1"/>
  <c r="P275" i="8" s="1"/>
  <c r="P276" i="8" s="1"/>
  <c r="P34" i="2"/>
  <c r="P270" i="8" s="1"/>
  <c r="P272" i="8" s="1"/>
  <c r="BP158" i="8"/>
  <c r="BP34" i="112" s="1"/>
  <c r="BN183" i="8"/>
  <c r="BN99" i="112" s="1"/>
  <c r="M73" i="2"/>
  <c r="P117" i="11"/>
  <c r="AC73" i="2"/>
  <c r="O131" i="8"/>
  <c r="M131" i="8"/>
  <c r="C131" i="8"/>
  <c r="R109" i="8"/>
  <c r="S136" i="8"/>
  <c r="K131" i="8"/>
  <c r="P131" i="8"/>
  <c r="D131" i="8"/>
  <c r="AD271" i="8"/>
  <c r="J272" i="8"/>
  <c r="J273" i="8"/>
  <c r="AD272" i="8"/>
  <c r="AK199" i="8"/>
  <c r="AK200" i="8"/>
  <c r="AG198" i="8"/>
  <c r="AB198" i="8"/>
  <c r="AB200" i="8" s="1"/>
  <c r="AL198" i="8"/>
  <c r="Z198" i="8"/>
  <c r="Z199" i="8" s="1"/>
  <c r="Y198" i="8"/>
  <c r="Y199" i="8" s="1"/>
  <c r="AH198" i="8"/>
  <c r="AI198" i="8"/>
  <c r="AC198" i="8"/>
  <c r="V273" i="8"/>
  <c r="V272" i="8"/>
  <c r="N272" i="8"/>
  <c r="N271" i="8"/>
  <c r="AH273" i="8"/>
  <c r="AH271" i="8"/>
  <c r="AD247" i="8"/>
  <c r="AD248" i="8"/>
  <c r="AD246" i="8"/>
  <c r="U248" i="8"/>
  <c r="U246" i="8"/>
  <c r="U247" i="8"/>
  <c r="AI246" i="8"/>
  <c r="AI248" i="8"/>
  <c r="AI247" i="8"/>
  <c r="AA199" i="8"/>
  <c r="AA197" i="8" s="1"/>
  <c r="C139" i="8"/>
  <c r="C136" i="8" s="1"/>
  <c r="L14" i="11"/>
  <c r="L21" i="111" s="1"/>
  <c r="K14" i="11"/>
  <c r="K21" i="111" s="1"/>
  <c r="M14" i="11"/>
  <c r="M21" i="111" s="1"/>
  <c r="F109" i="8"/>
  <c r="G131" i="8"/>
  <c r="F131" i="8"/>
  <c r="N109" i="8"/>
  <c r="AK203" i="8"/>
  <c r="AA203" i="8"/>
  <c r="V195" i="8"/>
  <c r="AH242" i="8"/>
  <c r="F139" i="8"/>
  <c r="F136" i="8" s="1"/>
  <c r="AG242" i="8"/>
  <c r="AI241" i="8"/>
  <c r="AI242" i="8"/>
  <c r="AI240" i="8"/>
  <c r="D139" i="8"/>
  <c r="D136" i="8" s="1"/>
  <c r="AD242" i="8"/>
  <c r="AD240" i="8"/>
  <c r="AD241" i="8"/>
  <c r="U241" i="8"/>
  <c r="U242" i="8"/>
  <c r="U240" i="8"/>
  <c r="U234" i="8"/>
  <c r="U235" i="8"/>
  <c r="U236" i="8"/>
  <c r="O138" i="8"/>
  <c r="O136" i="8" s="1"/>
  <c r="E138" i="8"/>
  <c r="E139" i="8"/>
  <c r="T117" i="8"/>
  <c r="T116" i="8"/>
  <c r="D115" i="8"/>
  <c r="F204" i="8"/>
  <c r="F205" i="8" s="1"/>
  <c r="F203" i="8" s="1"/>
  <c r="C115" i="8"/>
  <c r="S116" i="8"/>
  <c r="S117" i="8"/>
  <c r="E115" i="8"/>
  <c r="F115" i="8"/>
  <c r="AJ198" i="8"/>
  <c r="AJ200" i="8" s="1"/>
  <c r="J139" i="8"/>
  <c r="J136" i="8" s="1"/>
  <c r="G138" i="8"/>
  <c r="G136" i="8" s="1"/>
  <c r="Z206" i="8"/>
  <c r="Z203" i="8" s="1"/>
  <c r="W206" i="8"/>
  <c r="W205" i="8"/>
  <c r="AM206" i="8"/>
  <c r="AM205" i="8"/>
  <c r="Y178" i="8"/>
  <c r="Y180" i="8" s="1"/>
  <c r="AF178" i="8"/>
  <c r="AF179" i="8" s="1"/>
  <c r="AD178" i="8"/>
  <c r="AD180" i="8" s="1"/>
  <c r="AB178" i="8"/>
  <c r="AB179" i="8" s="1"/>
  <c r="AL178" i="8"/>
  <c r="AL180" i="8" s="1"/>
  <c r="Y204" i="8"/>
  <c r="X204" i="8"/>
  <c r="AH163" i="8"/>
  <c r="AF163" i="8"/>
  <c r="Z163" i="8"/>
  <c r="AC163" i="8"/>
  <c r="M139" i="8"/>
  <c r="M136" i="8" s="1"/>
  <c r="H138" i="8"/>
  <c r="H136" i="8" s="1"/>
  <c r="R138" i="8"/>
  <c r="R136" i="8" s="1"/>
  <c r="K139" i="8"/>
  <c r="K136" i="8" s="1"/>
  <c r="N138" i="8"/>
  <c r="N136" i="8" s="1"/>
  <c r="Q186" i="8"/>
  <c r="Q183" i="8" s="1"/>
  <c r="AD186" i="8"/>
  <c r="AD183" i="8" s="1"/>
  <c r="V186" i="8"/>
  <c r="V183" i="8" s="1"/>
  <c r="AE186" i="8"/>
  <c r="AE183" i="8" s="1"/>
  <c r="X186" i="8"/>
  <c r="X183" i="8" s="1"/>
  <c r="M186" i="8"/>
  <c r="M183" i="8" s="1"/>
  <c r="Z186" i="8"/>
  <c r="Z183" i="8" s="1"/>
  <c r="R186" i="8"/>
  <c r="R183" i="8" s="1"/>
  <c r="T186" i="8"/>
  <c r="T183" i="8" s="1"/>
  <c r="AC186" i="8"/>
  <c r="AC183" i="8" s="1"/>
  <c r="N186" i="8"/>
  <c r="N183" i="8" s="1"/>
  <c r="O186" i="8"/>
  <c r="O183" i="8" s="1"/>
  <c r="Y186" i="8"/>
  <c r="Y183" i="8" s="1"/>
  <c r="J186" i="8"/>
  <c r="J183" i="8" s="1"/>
  <c r="R115" i="8"/>
  <c r="Q115" i="8"/>
  <c r="P115" i="8"/>
  <c r="O115" i="8"/>
  <c r="N115" i="8"/>
  <c r="M115" i="8"/>
  <c r="L115" i="8"/>
  <c r="K115" i="8"/>
  <c r="J115" i="8"/>
  <c r="I115" i="8"/>
  <c r="H115" i="8"/>
  <c r="G115" i="8"/>
  <c r="S154" i="8"/>
  <c r="S155" i="8"/>
  <c r="H153" i="8"/>
  <c r="G153" i="8"/>
  <c r="G180" i="8"/>
  <c r="G179" i="8"/>
  <c r="I153" i="8"/>
  <c r="AM178" i="8"/>
  <c r="J153" i="8"/>
  <c r="N153" i="8"/>
  <c r="S179" i="8"/>
  <c r="S180" i="8"/>
  <c r="R180" i="8"/>
  <c r="R179" i="8"/>
  <c r="X179" i="8"/>
  <c r="X180" i="8"/>
  <c r="L179" i="8"/>
  <c r="L180" i="8"/>
  <c r="AH179" i="8"/>
  <c r="AH180" i="8"/>
  <c r="W180" i="8"/>
  <c r="W179" i="8"/>
  <c r="AA180" i="8"/>
  <c r="AA179" i="8"/>
  <c r="AI179" i="8"/>
  <c r="AI180" i="8"/>
  <c r="O179" i="8"/>
  <c r="O180" i="8"/>
  <c r="Z180" i="8"/>
  <c r="Z179" i="8"/>
  <c r="V180" i="8"/>
  <c r="V179" i="8"/>
  <c r="AE180" i="8"/>
  <c r="AE179" i="8"/>
  <c r="AC179" i="8"/>
  <c r="AC180" i="8"/>
  <c r="N179" i="8"/>
  <c r="N180" i="8"/>
  <c r="P180" i="8"/>
  <c r="P179" i="8"/>
  <c r="K180" i="8"/>
  <c r="K179" i="8"/>
  <c r="M179" i="8"/>
  <c r="M180" i="8"/>
  <c r="AG178" i="8"/>
  <c r="U178" i="8"/>
  <c r="T178" i="8"/>
  <c r="AK178" i="8"/>
  <c r="Q178" i="8"/>
  <c r="AJ178" i="8"/>
  <c r="R154" i="8"/>
  <c r="R152" i="8" s="1"/>
  <c r="AJ166" i="8"/>
  <c r="AJ165" i="8"/>
  <c r="AM163" i="8"/>
  <c r="AJ155" i="8"/>
  <c r="AJ152" i="8" s="1"/>
  <c r="AD154" i="8"/>
  <c r="AD152" i="8" s="1"/>
  <c r="AI155" i="8"/>
  <c r="AI152" i="8" s="1"/>
  <c r="U155" i="8"/>
  <c r="U152" i="8" s="1"/>
  <c r="AB153" i="8"/>
  <c r="Z154" i="8"/>
  <c r="Z152" i="8" s="1"/>
  <c r="M153" i="8"/>
  <c r="AE153" i="8"/>
  <c r="AK153" i="8"/>
  <c r="H133" i="8"/>
  <c r="H131" i="8" s="1"/>
  <c r="N45" i="2"/>
  <c r="N46" i="2"/>
  <c r="N285" i="8" s="1"/>
  <c r="N53" i="2"/>
  <c r="O55" i="2"/>
  <c r="O290" i="8" s="1"/>
  <c r="O54" i="2"/>
  <c r="O50" i="58"/>
  <c r="P51" i="58"/>
  <c r="O287" i="8"/>
  <c r="O286" i="8"/>
  <c r="O288" i="8"/>
  <c r="U54" i="2"/>
  <c r="U55" i="2"/>
  <c r="U290" i="8" s="1"/>
  <c r="K292" i="8"/>
  <c r="K293" i="8"/>
  <c r="K291" i="8"/>
  <c r="R285" i="8"/>
  <c r="Q139" i="8"/>
  <c r="Q138" i="8"/>
  <c r="M54" i="2"/>
  <c r="M55" i="2"/>
  <c r="M290" i="8" s="1"/>
  <c r="I53" i="2"/>
  <c r="I39" i="2"/>
  <c r="J54" i="2"/>
  <c r="J55" i="2"/>
  <c r="J290" i="8" s="1"/>
  <c r="Q134" i="8"/>
  <c r="Q133" i="8"/>
  <c r="Z277" i="8"/>
  <c r="Z276" i="8"/>
  <c r="Z278" i="8"/>
  <c r="Q53" i="2"/>
  <c r="Q39" i="2"/>
  <c r="L133" i="8"/>
  <c r="L134" i="8"/>
  <c r="F36" i="2"/>
  <c r="F275" i="8" s="1"/>
  <c r="I139" i="8"/>
  <c r="I138" i="8"/>
  <c r="J286" i="8"/>
  <c r="J287" i="8"/>
  <c r="J288" i="8"/>
  <c r="BO72" i="2"/>
  <c r="F55" i="2"/>
  <c r="F290" i="8" s="1"/>
  <c r="F54" i="2"/>
  <c r="P139" i="8"/>
  <c r="P138" i="8"/>
  <c r="Z271" i="8"/>
  <c r="Z273" i="8"/>
  <c r="Z272" i="8"/>
  <c r="L138" i="8"/>
  <c r="L139" i="8"/>
  <c r="S292" i="8"/>
  <c r="S293" i="8"/>
  <c r="S291" i="8"/>
  <c r="I133" i="8"/>
  <c r="I134" i="8"/>
  <c r="G292" i="8"/>
  <c r="G291" i="8"/>
  <c r="G293" i="8"/>
  <c r="R54" i="2"/>
  <c r="R55" i="2"/>
  <c r="R290" i="8" s="1"/>
  <c r="F288" i="8"/>
  <c r="F286" i="8"/>
  <c r="F287" i="8"/>
  <c r="K50" i="58"/>
  <c r="L51" i="58"/>
  <c r="S50" i="58"/>
  <c r="T51" i="58"/>
  <c r="G50" i="58"/>
  <c r="H51" i="58"/>
  <c r="A1" i="11"/>
  <c r="J5" i="11"/>
  <c r="K5" i="11"/>
  <c r="L5" i="11"/>
  <c r="M5" i="11"/>
  <c r="J6" i="11"/>
  <c r="K6" i="11"/>
  <c r="K7" i="111" s="1"/>
  <c r="L6" i="11"/>
  <c r="L7" i="111" s="1"/>
  <c r="M6" i="11"/>
  <c r="M7" i="111" s="1"/>
  <c r="J8" i="11"/>
  <c r="K8" i="11"/>
  <c r="K8" i="111" s="1"/>
  <c r="L8" i="11"/>
  <c r="L8" i="111" s="1"/>
  <c r="M8" i="11"/>
  <c r="M8" i="111" s="1"/>
  <c r="J7" i="11"/>
  <c r="K7" i="11"/>
  <c r="L7" i="11"/>
  <c r="M7" i="11"/>
  <c r="N5" i="11"/>
  <c r="O5" i="11"/>
  <c r="P5" i="11"/>
  <c r="Q5" i="11"/>
  <c r="R5" i="11"/>
  <c r="N6" i="11"/>
  <c r="N7" i="111" s="1"/>
  <c r="O6" i="11"/>
  <c r="O7" i="111" s="1"/>
  <c r="P6" i="11"/>
  <c r="Q6" i="11"/>
  <c r="Q7" i="111" s="1"/>
  <c r="R6" i="11"/>
  <c r="N8" i="11"/>
  <c r="N8" i="111" s="1"/>
  <c r="O8" i="11"/>
  <c r="O8" i="111" s="1"/>
  <c r="P8" i="11"/>
  <c r="Q8" i="11"/>
  <c r="Q8" i="111" s="1"/>
  <c r="R8" i="11"/>
  <c r="N7" i="11"/>
  <c r="O7" i="11"/>
  <c r="O9" i="111" s="1"/>
  <c r="P7" i="11"/>
  <c r="Q7" i="11"/>
  <c r="Q9" i="111" s="1"/>
  <c r="R7" i="11"/>
  <c r="A22" i="11"/>
  <c r="A24" i="11"/>
  <c r="A23" i="11"/>
  <c r="K25" i="11"/>
  <c r="C135" i="27" s="1"/>
  <c r="L25" i="11"/>
  <c r="D135" i="27" s="1"/>
  <c r="M25" i="11"/>
  <c r="E135" i="27" s="1"/>
  <c r="N25" i="11"/>
  <c r="F135" i="27" s="1"/>
  <c r="O25" i="11"/>
  <c r="Q8" i="71" s="1"/>
  <c r="P25" i="11"/>
  <c r="R8" i="71" s="1"/>
  <c r="Q25" i="11"/>
  <c r="S8" i="71" s="1"/>
  <c r="R25" i="11"/>
  <c r="T8" i="71" s="1"/>
  <c r="P26" i="11"/>
  <c r="Q26" i="11"/>
  <c r="R26" i="11"/>
  <c r="T9" i="71" s="1"/>
  <c r="P28" i="11"/>
  <c r="Q28" i="11"/>
  <c r="R28" i="11"/>
  <c r="T10" i="71" s="1"/>
  <c r="P27" i="11"/>
  <c r="Q27" i="11"/>
  <c r="R27" i="11"/>
  <c r="T11" i="71" s="1"/>
  <c r="B35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J38" i="11"/>
  <c r="K38" i="11"/>
  <c r="L38" i="11"/>
  <c r="M38" i="11"/>
  <c r="N38" i="11"/>
  <c r="J40" i="11"/>
  <c r="K40" i="11"/>
  <c r="L40" i="11"/>
  <c r="M40" i="11"/>
  <c r="N40" i="11"/>
  <c r="J39" i="11"/>
  <c r="K39" i="11"/>
  <c r="L39" i="11"/>
  <c r="M39" i="11"/>
  <c r="N39" i="11"/>
  <c r="J19" i="46"/>
  <c r="K19" i="46"/>
  <c r="L19" i="46"/>
  <c r="N19" i="46"/>
  <c r="J69" i="11"/>
  <c r="J21" i="76" s="1"/>
  <c r="K69" i="11"/>
  <c r="K21" i="76" s="1"/>
  <c r="L69" i="11"/>
  <c r="L21" i="76" s="1"/>
  <c r="M69" i="11"/>
  <c r="M21" i="76" s="1"/>
  <c r="N69" i="11"/>
  <c r="N21" i="76" s="1"/>
  <c r="O35" i="11"/>
  <c r="P35" i="11"/>
  <c r="Q35" i="11"/>
  <c r="R35" i="11"/>
  <c r="S35" i="11"/>
  <c r="U35" i="11"/>
  <c r="W35" i="11"/>
  <c r="Y35" i="11"/>
  <c r="Z35" i="11"/>
  <c r="O38" i="11"/>
  <c r="Q20" i="71" s="1"/>
  <c r="O40" i="11"/>
  <c r="Q22" i="71" s="1"/>
  <c r="P40" i="11"/>
  <c r="R22" i="71" s="1"/>
  <c r="Q40" i="11"/>
  <c r="S22" i="71" s="1"/>
  <c r="R40" i="11"/>
  <c r="T22" i="71" s="1"/>
  <c r="O39" i="11"/>
  <c r="Q21" i="71" s="1"/>
  <c r="P39" i="11"/>
  <c r="R21" i="71" s="1"/>
  <c r="Q39" i="11"/>
  <c r="S21" i="71" s="1"/>
  <c r="R39" i="11"/>
  <c r="T21" i="71" s="1"/>
  <c r="O19" i="46"/>
  <c r="O69" i="11"/>
  <c r="P69" i="11"/>
  <c r="Q69" i="11"/>
  <c r="R69" i="11"/>
  <c r="O73" i="11"/>
  <c r="Q24" i="71" s="1"/>
  <c r="P73" i="11"/>
  <c r="R24" i="71" s="1"/>
  <c r="Q73" i="11"/>
  <c r="S24" i="71" s="1"/>
  <c r="R73" i="11"/>
  <c r="O75" i="11"/>
  <c r="Q26" i="71" s="1"/>
  <c r="P75" i="11"/>
  <c r="R26" i="71" s="1"/>
  <c r="Q75" i="11"/>
  <c r="S26" i="71" s="1"/>
  <c r="R75" i="11"/>
  <c r="O74" i="11"/>
  <c r="Q25" i="71" s="1"/>
  <c r="P74" i="11"/>
  <c r="R25" i="71" s="1"/>
  <c r="Q74" i="11"/>
  <c r="S25" i="71" s="1"/>
  <c r="R74" i="11"/>
  <c r="C37" i="11"/>
  <c r="D37" i="11"/>
  <c r="E37" i="11"/>
  <c r="F37" i="11"/>
  <c r="G37" i="11"/>
  <c r="H37" i="11"/>
  <c r="I37" i="11"/>
  <c r="B62" i="11"/>
  <c r="B249" i="111" s="1"/>
  <c r="C62" i="11"/>
  <c r="C249" i="111" s="1"/>
  <c r="D62" i="11"/>
  <c r="D249" i="111" s="1"/>
  <c r="E62" i="11"/>
  <c r="E249" i="111" s="1"/>
  <c r="F62" i="11"/>
  <c r="F249" i="111" s="1"/>
  <c r="G62" i="11"/>
  <c r="G249" i="111" s="1"/>
  <c r="H62" i="11"/>
  <c r="H249" i="111" s="1"/>
  <c r="I62" i="11"/>
  <c r="I249" i="111" s="1"/>
  <c r="B69" i="11"/>
  <c r="C69" i="11"/>
  <c r="D69" i="11"/>
  <c r="E69" i="11"/>
  <c r="F69" i="11"/>
  <c r="G69" i="11"/>
  <c r="H69" i="11"/>
  <c r="I69" i="11"/>
  <c r="J89" i="11"/>
  <c r="J22" i="76" s="1"/>
  <c r="J26" i="76" s="1"/>
  <c r="K89" i="11"/>
  <c r="K22" i="76" s="1"/>
  <c r="K26" i="76" s="1"/>
  <c r="L89" i="11"/>
  <c r="L22" i="76" s="1"/>
  <c r="M89" i="11"/>
  <c r="M22" i="76" s="1"/>
  <c r="M26" i="76" s="1"/>
  <c r="N89" i="11"/>
  <c r="N22" i="76" s="1"/>
  <c r="N26" i="76" s="1"/>
  <c r="O89" i="11"/>
  <c r="O22" i="76" s="1"/>
  <c r="O26" i="76" s="1"/>
  <c r="P89" i="11"/>
  <c r="Q89" i="11"/>
  <c r="R89" i="11"/>
  <c r="J94" i="11"/>
  <c r="K94" i="11"/>
  <c r="L94" i="11"/>
  <c r="M94" i="11"/>
  <c r="N94" i="11"/>
  <c r="O94" i="11"/>
  <c r="P94" i="11"/>
  <c r="Q94" i="11"/>
  <c r="R94" i="11"/>
  <c r="J97" i="11"/>
  <c r="K97" i="11"/>
  <c r="L97" i="11"/>
  <c r="M97" i="11"/>
  <c r="N97" i="11"/>
  <c r="O97" i="11"/>
  <c r="P97" i="11"/>
  <c r="Q97" i="11"/>
  <c r="R97" i="11"/>
  <c r="J100" i="11"/>
  <c r="K100" i="11"/>
  <c r="L100" i="11"/>
  <c r="M100" i="11"/>
  <c r="N100" i="11"/>
  <c r="O100" i="11"/>
  <c r="P100" i="11"/>
  <c r="Q100" i="11"/>
  <c r="R100" i="11"/>
  <c r="J101" i="11"/>
  <c r="K101" i="11"/>
  <c r="L101" i="11"/>
  <c r="M101" i="11"/>
  <c r="N101" i="11"/>
  <c r="O101" i="11"/>
  <c r="P101" i="11"/>
  <c r="Q101" i="11"/>
  <c r="R101" i="11"/>
  <c r="S101" i="11"/>
  <c r="J105" i="11"/>
  <c r="K105" i="11"/>
  <c r="L105" i="11"/>
  <c r="M105" i="11"/>
  <c r="N105" i="11"/>
  <c r="O105" i="11"/>
  <c r="P105" i="11"/>
  <c r="Q105" i="11"/>
  <c r="R105" i="11"/>
  <c r="S105" i="11"/>
  <c r="J111" i="11"/>
  <c r="K111" i="11"/>
  <c r="L111" i="11"/>
  <c r="M111" i="11"/>
  <c r="N111" i="11"/>
  <c r="O111" i="11"/>
  <c r="P111" i="11"/>
  <c r="Q111" i="11"/>
  <c r="R111" i="11"/>
  <c r="S111" i="11"/>
  <c r="T112" i="11" s="1"/>
  <c r="J113" i="11"/>
  <c r="K113" i="11"/>
  <c r="L113" i="11"/>
  <c r="M113" i="11"/>
  <c r="N113" i="11"/>
  <c r="O113" i="11"/>
  <c r="P113" i="11"/>
  <c r="Q113" i="11"/>
  <c r="R113" i="11"/>
  <c r="J117" i="11"/>
  <c r="K117" i="11"/>
  <c r="M117" i="11"/>
  <c r="N117" i="11"/>
  <c r="O117" i="11"/>
  <c r="Q117" i="11"/>
  <c r="R117" i="11"/>
  <c r="D118" i="11"/>
  <c r="D302" i="111" s="1"/>
  <c r="E118" i="11"/>
  <c r="E302" i="111" s="1"/>
  <c r="F118" i="11"/>
  <c r="F302" i="111" s="1"/>
  <c r="G118" i="11"/>
  <c r="G302" i="111" s="1"/>
  <c r="H118" i="11"/>
  <c r="H302" i="111" s="1"/>
  <c r="I118" i="11"/>
  <c r="I302" i="111" s="1"/>
  <c r="J121" i="11"/>
  <c r="K121" i="11"/>
  <c r="L121" i="11"/>
  <c r="M121" i="11"/>
  <c r="N121" i="11"/>
  <c r="O121" i="11"/>
  <c r="P121" i="11"/>
  <c r="Q121" i="11"/>
  <c r="R121" i="11"/>
  <c r="S121" i="11"/>
  <c r="T121" i="11"/>
  <c r="W121" i="11"/>
  <c r="Y121" i="11"/>
  <c r="Z121" i="11"/>
  <c r="J123" i="11"/>
  <c r="K123" i="11"/>
  <c r="L123" i="11"/>
  <c r="M123" i="11"/>
  <c r="N123" i="11"/>
  <c r="O123" i="11"/>
  <c r="P123" i="11"/>
  <c r="Q123" i="11"/>
  <c r="R123" i="11"/>
  <c r="J124" i="11"/>
  <c r="K124" i="11"/>
  <c r="L124" i="11"/>
  <c r="M124" i="11"/>
  <c r="N124" i="11"/>
  <c r="O124" i="11"/>
  <c r="P124" i="11"/>
  <c r="Q124" i="11"/>
  <c r="R124" i="11"/>
  <c r="J125" i="11"/>
  <c r="K125" i="11"/>
  <c r="L125" i="11"/>
  <c r="M125" i="11"/>
  <c r="N125" i="11"/>
  <c r="O125" i="11"/>
  <c r="P125" i="11"/>
  <c r="Q125" i="11"/>
  <c r="R125" i="11"/>
  <c r="S125" i="11"/>
  <c r="J127" i="11"/>
  <c r="B41" i="27" s="1"/>
  <c r="K127" i="11"/>
  <c r="C41" i="27" s="1"/>
  <c r="L127" i="11"/>
  <c r="D41" i="27" s="1"/>
  <c r="M127" i="11"/>
  <c r="E41" i="27" s="1"/>
  <c r="N127" i="11"/>
  <c r="F41" i="27" s="1"/>
  <c r="O127" i="11"/>
  <c r="P127" i="11"/>
  <c r="Q127" i="11"/>
  <c r="R127" i="11"/>
  <c r="S127" i="11"/>
  <c r="J129" i="11"/>
  <c r="J381" i="111" s="1"/>
  <c r="K129" i="11"/>
  <c r="K381" i="111" s="1"/>
  <c r="L129" i="11"/>
  <c r="L381" i="111" s="1"/>
  <c r="M129" i="11"/>
  <c r="M381" i="111" s="1"/>
  <c r="N129" i="11"/>
  <c r="N381" i="111" s="1"/>
  <c r="O129" i="11"/>
  <c r="P129" i="11"/>
  <c r="Q129" i="11"/>
  <c r="R129" i="11"/>
  <c r="J130" i="11"/>
  <c r="J382" i="111" s="1"/>
  <c r="K130" i="11"/>
  <c r="K382" i="111" s="1"/>
  <c r="L130" i="11"/>
  <c r="L382" i="111" s="1"/>
  <c r="M130" i="11"/>
  <c r="M382" i="111" s="1"/>
  <c r="N130" i="11"/>
  <c r="N382" i="111" s="1"/>
  <c r="O130" i="11"/>
  <c r="P130" i="11"/>
  <c r="Q130" i="11"/>
  <c r="R130" i="11"/>
  <c r="J131" i="11"/>
  <c r="K131" i="11"/>
  <c r="L131" i="11"/>
  <c r="M131" i="11"/>
  <c r="N131" i="11"/>
  <c r="O131" i="11"/>
  <c r="P131" i="11"/>
  <c r="Q131" i="11"/>
  <c r="R131" i="11"/>
  <c r="J132" i="11"/>
  <c r="K132" i="11"/>
  <c r="L132" i="11"/>
  <c r="M132" i="11"/>
  <c r="N132" i="11"/>
  <c r="O132" i="11"/>
  <c r="P132" i="11"/>
  <c r="Q132" i="11"/>
  <c r="R132" i="11"/>
  <c r="J135" i="11"/>
  <c r="K135" i="11"/>
  <c r="L135" i="11"/>
  <c r="M135" i="11"/>
  <c r="N135" i="11"/>
  <c r="O135" i="11"/>
  <c r="P135" i="11"/>
  <c r="Q135" i="11"/>
  <c r="J136" i="11"/>
  <c r="K136" i="11"/>
  <c r="L136" i="11"/>
  <c r="M136" i="11"/>
  <c r="N136" i="11"/>
  <c r="O136" i="11"/>
  <c r="P136" i="11"/>
  <c r="Q136" i="11"/>
  <c r="J138" i="11"/>
  <c r="B51" i="27" s="1"/>
  <c r="K138" i="11"/>
  <c r="C51" i="27" s="1"/>
  <c r="L138" i="11"/>
  <c r="D51" i="27" s="1"/>
  <c r="M138" i="11"/>
  <c r="E51" i="27" s="1"/>
  <c r="N138" i="11"/>
  <c r="F51" i="27" s="1"/>
  <c r="O138" i="11"/>
  <c r="G51" i="27" s="1"/>
  <c r="P138" i="11"/>
  <c r="H51" i="27" s="1"/>
  <c r="J140" i="11"/>
  <c r="J388" i="111" s="1"/>
  <c r="K140" i="11"/>
  <c r="K388" i="111" s="1"/>
  <c r="L140" i="11"/>
  <c r="L388" i="111" s="1"/>
  <c r="M140" i="11"/>
  <c r="M388" i="111" s="1"/>
  <c r="N140" i="11"/>
  <c r="N388" i="111" s="1"/>
  <c r="O140" i="11"/>
  <c r="O388" i="111" s="1"/>
  <c r="P140" i="11"/>
  <c r="P388" i="111" s="1"/>
  <c r="Q140" i="11"/>
  <c r="J141" i="11"/>
  <c r="K141" i="11"/>
  <c r="L141" i="11"/>
  <c r="M141" i="11"/>
  <c r="N141" i="11"/>
  <c r="O141" i="11"/>
  <c r="P141" i="11"/>
  <c r="Q141" i="11"/>
  <c r="Q172" i="11" s="1"/>
  <c r="S141" i="11"/>
  <c r="R135" i="11"/>
  <c r="R136" i="11"/>
  <c r="R140" i="11"/>
  <c r="R141" i="11"/>
  <c r="J150" i="11"/>
  <c r="K150" i="11"/>
  <c r="L150" i="11"/>
  <c r="M150" i="11"/>
  <c r="N150" i="11"/>
  <c r="O150" i="11"/>
  <c r="P150" i="11"/>
  <c r="Q150" i="11"/>
  <c r="R150" i="11"/>
  <c r="S150" i="11"/>
  <c r="T150" i="11"/>
  <c r="W150" i="11"/>
  <c r="Y150" i="11"/>
  <c r="Z150" i="11"/>
  <c r="J152" i="11"/>
  <c r="K152" i="11"/>
  <c r="L152" i="11"/>
  <c r="J156" i="11"/>
  <c r="K156" i="11"/>
  <c r="L156" i="11"/>
  <c r="J157" i="11"/>
  <c r="J28" i="76" s="1"/>
  <c r="K157" i="11"/>
  <c r="K28" i="76" s="1"/>
  <c r="L157" i="11"/>
  <c r="L28" i="76" s="1"/>
  <c r="J158" i="11"/>
  <c r="K158" i="11"/>
  <c r="L158" i="11"/>
  <c r="J161" i="11"/>
  <c r="K161" i="11"/>
  <c r="L161" i="11"/>
  <c r="B160" i="11"/>
  <c r="B163" i="11" s="1"/>
  <c r="C160" i="11"/>
  <c r="C163" i="11" s="1"/>
  <c r="D160" i="11"/>
  <c r="D163" i="11" s="1"/>
  <c r="E160" i="11"/>
  <c r="E163" i="11" s="1"/>
  <c r="F160" i="11"/>
  <c r="F163" i="11" s="1"/>
  <c r="G160" i="11"/>
  <c r="G163" i="11" s="1"/>
  <c r="H160" i="11"/>
  <c r="H163" i="11" s="1"/>
  <c r="I160" i="11"/>
  <c r="I163" i="11" s="1"/>
  <c r="J165" i="11"/>
  <c r="K165" i="11"/>
  <c r="L165" i="11"/>
  <c r="M165" i="11"/>
  <c r="N165" i="11"/>
  <c r="O165" i="11"/>
  <c r="P165" i="11"/>
  <c r="Q165" i="11"/>
  <c r="R165" i="11"/>
  <c r="S165" i="11"/>
  <c r="T165" i="11"/>
  <c r="W165" i="11"/>
  <c r="Y165" i="11"/>
  <c r="Z165" i="11"/>
  <c r="F32" i="46"/>
  <c r="H32" i="46"/>
  <c r="C167" i="11"/>
  <c r="D167" i="11"/>
  <c r="E167" i="11"/>
  <c r="F167" i="11"/>
  <c r="G167" i="11"/>
  <c r="H167" i="11"/>
  <c r="I167" i="11"/>
  <c r="C172" i="11"/>
  <c r="D172" i="11"/>
  <c r="E172" i="11"/>
  <c r="F172" i="11"/>
  <c r="G172" i="11"/>
  <c r="H172" i="11"/>
  <c r="I172" i="11"/>
  <c r="B167" i="11"/>
  <c r="B172" i="11"/>
  <c r="B183" i="11"/>
  <c r="C183" i="11"/>
  <c r="D183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J187" i="11"/>
  <c r="K187" i="11"/>
  <c r="L187" i="11"/>
  <c r="M187" i="11"/>
  <c r="N187" i="11"/>
  <c r="O187" i="11"/>
  <c r="P187" i="11"/>
  <c r="Q187" i="11"/>
  <c r="R187" i="11"/>
  <c r="S187" i="11"/>
  <c r="V187" i="11"/>
  <c r="W187" i="11"/>
  <c r="Y187" i="11"/>
  <c r="Z187" i="11"/>
  <c r="D189" i="11"/>
  <c r="D200" i="11" s="1"/>
  <c r="D71" i="46" s="1"/>
  <c r="E189" i="11"/>
  <c r="E200" i="11" s="1"/>
  <c r="E71" i="46" s="1"/>
  <c r="F189" i="11"/>
  <c r="G189" i="11"/>
  <c r="G200" i="11" s="1"/>
  <c r="G71" i="46" s="1"/>
  <c r="H189" i="11"/>
  <c r="H200" i="11" s="1"/>
  <c r="H71" i="46" s="1"/>
  <c r="I189" i="11"/>
  <c r="I200" i="11" s="1"/>
  <c r="I71" i="46" s="1"/>
  <c r="D198" i="11"/>
  <c r="E198" i="11"/>
  <c r="F198" i="11"/>
  <c r="G198" i="11"/>
  <c r="G69" i="46" s="1"/>
  <c r="H198" i="11"/>
  <c r="I198" i="11"/>
  <c r="J202" i="11"/>
  <c r="K202" i="11"/>
  <c r="L202" i="11"/>
  <c r="M202" i="11"/>
  <c r="N202" i="11"/>
  <c r="O202" i="11"/>
  <c r="P202" i="11"/>
  <c r="Q202" i="11"/>
  <c r="R202" i="11"/>
  <c r="S202" i="11"/>
  <c r="U202" i="11"/>
  <c r="V202" i="11"/>
  <c r="W202" i="11"/>
  <c r="Y202" i="11"/>
  <c r="Z202" i="11"/>
  <c r="K203" i="11"/>
  <c r="L203" i="11"/>
  <c r="M203" i="11"/>
  <c r="N203" i="11"/>
  <c r="O203" i="11"/>
  <c r="P203" i="11"/>
  <c r="B203" i="11"/>
  <c r="C203" i="11"/>
  <c r="D203" i="11"/>
  <c r="E203" i="11"/>
  <c r="F203" i="11"/>
  <c r="G203" i="11"/>
  <c r="H203" i="11"/>
  <c r="I203" i="11"/>
  <c r="J203" i="11"/>
  <c r="A1" i="36"/>
  <c r="A1" i="46"/>
  <c r="B4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Q4" i="46"/>
  <c r="R4" i="46"/>
  <c r="V4" i="46"/>
  <c r="V64" i="46" s="1"/>
  <c r="W4" i="46"/>
  <c r="W64" i="46" s="1"/>
  <c r="Y4" i="46"/>
  <c r="Z4" i="46"/>
  <c r="A6" i="46"/>
  <c r="AB6" i="46" s="1"/>
  <c r="AC6" i="46"/>
  <c r="F52" i="71" s="1"/>
  <c r="C16" i="46"/>
  <c r="D16" i="46"/>
  <c r="E16" i="46"/>
  <c r="F16" i="46"/>
  <c r="G16" i="46"/>
  <c r="H16" i="46"/>
  <c r="I16" i="46"/>
  <c r="C18" i="46"/>
  <c r="D18" i="46"/>
  <c r="E18" i="46"/>
  <c r="F18" i="46"/>
  <c r="G18" i="46"/>
  <c r="H18" i="46"/>
  <c r="I18" i="46"/>
  <c r="C17" i="46"/>
  <c r="D17" i="46"/>
  <c r="E17" i="46"/>
  <c r="F17" i="46"/>
  <c r="G17" i="46"/>
  <c r="H17" i="46"/>
  <c r="I17" i="46"/>
  <c r="C19" i="46"/>
  <c r="D19" i="46"/>
  <c r="E19" i="46"/>
  <c r="F19" i="46"/>
  <c r="G19" i="46"/>
  <c r="H19" i="46"/>
  <c r="I19" i="46"/>
  <c r="C15" i="46"/>
  <c r="D15" i="46"/>
  <c r="E15" i="46"/>
  <c r="F15" i="46"/>
  <c r="G15" i="46"/>
  <c r="H15" i="46"/>
  <c r="I15" i="46"/>
  <c r="B16" i="46"/>
  <c r="B18" i="46"/>
  <c r="B17" i="46"/>
  <c r="B19" i="46"/>
  <c r="B15" i="46"/>
  <c r="B30" i="46"/>
  <c r="C30" i="46"/>
  <c r="AB16" i="46"/>
  <c r="AB32" i="46" s="1"/>
  <c r="AB18" i="46"/>
  <c r="AB44" i="46" s="1"/>
  <c r="AB17" i="46"/>
  <c r="AB19" i="46"/>
  <c r="AB15" i="46"/>
  <c r="AB20" i="46"/>
  <c r="AB24" i="46"/>
  <c r="A34" i="46"/>
  <c r="A35" i="46"/>
  <c r="B35" i="46"/>
  <c r="C35" i="46"/>
  <c r="D35" i="46"/>
  <c r="E35" i="46"/>
  <c r="F35" i="46"/>
  <c r="G35" i="46"/>
  <c r="H35" i="46"/>
  <c r="I35" i="46"/>
  <c r="AC35" i="46"/>
  <c r="AC39" i="46"/>
  <c r="AC41" i="46"/>
  <c r="AC45" i="46"/>
  <c r="AC47" i="46"/>
  <c r="B68" i="46"/>
  <c r="B69" i="46"/>
  <c r="AC50" i="46"/>
  <c r="AC51" i="46"/>
  <c r="A70" i="46"/>
  <c r="A71" i="46"/>
  <c r="B77" i="46"/>
  <c r="C77" i="46"/>
  <c r="AC54" i="46"/>
  <c r="AC55" i="46"/>
  <c r="AC57" i="46"/>
  <c r="AC58" i="46" s="1"/>
  <c r="AC66" i="46" s="1"/>
  <c r="AC59" i="46"/>
  <c r="AC60" i="46"/>
  <c r="P382" i="111" l="1"/>
  <c r="I41" i="27"/>
  <c r="H41" i="27"/>
  <c r="Q381" i="111"/>
  <c r="G41" i="27"/>
  <c r="O382" i="111"/>
  <c r="P381" i="111"/>
  <c r="O381" i="111"/>
  <c r="BN150" i="8"/>
  <c r="BN45" i="112"/>
  <c r="J23" i="76"/>
  <c r="C12" i="71"/>
  <c r="C42" i="71" s="1"/>
  <c r="P22" i="76"/>
  <c r="P26" i="76" s="1"/>
  <c r="T25" i="71"/>
  <c r="Q31" i="71"/>
  <c r="O21" i="76"/>
  <c r="K23" i="76"/>
  <c r="T24" i="71"/>
  <c r="T31" i="71"/>
  <c r="R21" i="76"/>
  <c r="E12" i="71"/>
  <c r="R22" i="76"/>
  <c r="L23" i="76"/>
  <c r="L26" i="76"/>
  <c r="T26" i="71"/>
  <c r="S31" i="71"/>
  <c r="Q21" i="76"/>
  <c r="N23" i="76"/>
  <c r="D12" i="71"/>
  <c r="Q22" i="76"/>
  <c r="Q26" i="76" s="1"/>
  <c r="R31" i="71"/>
  <c r="P21" i="76"/>
  <c r="M23" i="76"/>
  <c r="T154" i="11"/>
  <c r="R154" i="11"/>
  <c r="W153" i="11"/>
  <c r="T39" i="71"/>
  <c r="S39" i="71"/>
  <c r="G278" i="8"/>
  <c r="G276" i="8"/>
  <c r="Q39" i="71"/>
  <c r="Q12" i="71"/>
  <c r="Q15" i="71"/>
  <c r="B12" i="71"/>
  <c r="B42" i="71" s="1"/>
  <c r="T12" i="71"/>
  <c r="T47" i="71" s="1"/>
  <c r="U50" i="71" s="1"/>
  <c r="T15" i="71"/>
  <c r="U15" i="71"/>
  <c r="AH42" i="71"/>
  <c r="S12" i="71"/>
  <c r="S15" i="71"/>
  <c r="R39" i="71"/>
  <c r="R12" i="71"/>
  <c r="R15" i="71"/>
  <c r="AB139" i="11"/>
  <c r="G272" i="8"/>
  <c r="AG35" i="2"/>
  <c r="AG36" i="2" s="1"/>
  <c r="AG275" i="8" s="1"/>
  <c r="AG276" i="8" s="1"/>
  <c r="AC61" i="46"/>
  <c r="AC64" i="46"/>
  <c r="AG271" i="8"/>
  <c r="AI32" i="2" a="1"/>
  <c r="AI32" i="2" s="1"/>
  <c r="AI35" i="2" s="1"/>
  <c r="AG273" i="8"/>
  <c r="Q281" i="111"/>
  <c r="Q284" i="111" s="1"/>
  <c r="G273" i="8"/>
  <c r="AA273" i="8"/>
  <c r="AA272" i="8"/>
  <c r="AA278" i="8"/>
  <c r="AA277" i="8"/>
  <c r="H29" i="27"/>
  <c r="G29" i="27"/>
  <c r="J29" i="27"/>
  <c r="I29" i="27"/>
  <c r="P162" i="11"/>
  <c r="P159" i="11"/>
  <c r="P157" i="11"/>
  <c r="P154" i="11"/>
  <c r="P27" i="76" s="1"/>
  <c r="P152" i="11"/>
  <c r="P161" i="11"/>
  <c r="P158" i="11"/>
  <c r="P156" i="11"/>
  <c r="O152" i="11"/>
  <c r="O154" i="11"/>
  <c r="O27" i="76" s="1"/>
  <c r="O157" i="11"/>
  <c r="O28" i="76" s="1"/>
  <c r="O159" i="11"/>
  <c r="O156" i="11"/>
  <c r="O158" i="11"/>
  <c r="O161" i="11"/>
  <c r="O162" i="11"/>
  <c r="T161" i="11"/>
  <c r="T158" i="11"/>
  <c r="T156" i="11"/>
  <c r="T162" i="11"/>
  <c r="T159" i="11"/>
  <c r="T157" i="11"/>
  <c r="T152" i="11"/>
  <c r="S161" i="11"/>
  <c r="S158" i="11"/>
  <c r="S156" i="11"/>
  <c r="S162" i="11"/>
  <c r="S159" i="11"/>
  <c r="S157" i="11"/>
  <c r="S152" i="11"/>
  <c r="R161" i="11"/>
  <c r="R158" i="11"/>
  <c r="R162" i="11"/>
  <c r="R159" i="11"/>
  <c r="R156" i="11"/>
  <c r="R157" i="11"/>
  <c r="R152" i="11"/>
  <c r="W162" i="11"/>
  <c r="W159" i="11"/>
  <c r="W157" i="11"/>
  <c r="W152" i="11"/>
  <c r="W161" i="11"/>
  <c r="W158" i="11"/>
  <c r="W156" i="11"/>
  <c r="Q162" i="11"/>
  <c r="Q159" i="11"/>
  <c r="Q157" i="11"/>
  <c r="Q154" i="11"/>
  <c r="Q152" i="11"/>
  <c r="Q161" i="11"/>
  <c r="Q158" i="11"/>
  <c r="Q156" i="11"/>
  <c r="F29" i="27"/>
  <c r="E29" i="27"/>
  <c r="D29" i="27"/>
  <c r="C29" i="27"/>
  <c r="B29" i="27"/>
  <c r="C191" i="11"/>
  <c r="C193" i="11" s="1"/>
  <c r="B191" i="11"/>
  <c r="B195" i="11" s="1"/>
  <c r="B104" i="11"/>
  <c r="Q388" i="111"/>
  <c r="Q382" i="111"/>
  <c r="BF179" i="8"/>
  <c r="BF177" i="8" s="1"/>
  <c r="BB254" i="112"/>
  <c r="BF254" i="112"/>
  <c r="C25" i="27"/>
  <c r="G25" i="27"/>
  <c r="J25" i="27"/>
  <c r="J112" i="27" s="1"/>
  <c r="F25" i="27"/>
  <c r="F112" i="27" s="1"/>
  <c r="I25" i="27"/>
  <c r="E25" i="27"/>
  <c r="H25" i="27"/>
  <c r="H112" i="27" s="1"/>
  <c r="D25" i="27"/>
  <c r="D112" i="27" s="1"/>
  <c r="BC200" i="8"/>
  <c r="BC197" i="8" s="1"/>
  <c r="BB117" i="112"/>
  <c r="BB178" i="8" s="1"/>
  <c r="BB179" i="8" s="1"/>
  <c r="T114" i="8"/>
  <c r="BL150" i="8"/>
  <c r="BA180" i="8"/>
  <c r="BA177" i="8" s="1"/>
  <c r="H278" i="8"/>
  <c r="I276" i="8"/>
  <c r="I277" i="8"/>
  <c r="BB200" i="8"/>
  <c r="BB197" i="8" s="1"/>
  <c r="R388" i="111"/>
  <c r="R382" i="111"/>
  <c r="R381" i="111"/>
  <c r="H276" i="8"/>
  <c r="BB257" i="112"/>
  <c r="BB258" i="112" s="1"/>
  <c r="K282" i="111"/>
  <c r="K285" i="111" s="1"/>
  <c r="BM451" i="111"/>
  <c r="Z533" i="111"/>
  <c r="AJ533" i="111"/>
  <c r="AN533" i="111"/>
  <c r="R7" i="111"/>
  <c r="R8" i="111"/>
  <c r="R9" i="111"/>
  <c r="V152" i="8"/>
  <c r="M177" i="8"/>
  <c r="N177" i="8"/>
  <c r="AI177" i="8"/>
  <c r="AH177" i="8"/>
  <c r="S152" i="8"/>
  <c r="AL532" i="111"/>
  <c r="AR533" i="111"/>
  <c r="W534" i="111"/>
  <c r="X534" i="111"/>
  <c r="AK489" i="111"/>
  <c r="AO533" i="111"/>
  <c r="AE532" i="111"/>
  <c r="Y534" i="111"/>
  <c r="W533" i="111"/>
  <c r="V534" i="111"/>
  <c r="AO488" i="111"/>
  <c r="X533" i="111"/>
  <c r="N42" i="60"/>
  <c r="N44" i="60" s="1"/>
  <c r="AB533" i="111"/>
  <c r="AC533" i="111"/>
  <c r="AF533" i="111"/>
  <c r="AM533" i="111"/>
  <c r="AI489" i="111"/>
  <c r="Y533" i="111"/>
  <c r="O177" i="8"/>
  <c r="X177" i="8"/>
  <c r="AC177" i="8"/>
  <c r="L177" i="8"/>
  <c r="BR33" i="112"/>
  <c r="BV33" i="112" s="1"/>
  <c r="N276" i="8"/>
  <c r="N278" i="8"/>
  <c r="P7" i="111"/>
  <c r="P9" i="111"/>
  <c r="P8" i="111"/>
  <c r="R278" i="8"/>
  <c r="V278" i="8"/>
  <c r="V277" i="8"/>
  <c r="L34" i="112"/>
  <c r="AN488" i="111"/>
  <c r="P34" i="112"/>
  <c r="M159" i="8" s="1"/>
  <c r="AS533" i="111"/>
  <c r="AP489" i="111"/>
  <c r="N34" i="112"/>
  <c r="K175" i="112"/>
  <c r="K204" i="8" s="1"/>
  <c r="K205" i="8" s="1"/>
  <c r="H213" i="11"/>
  <c r="H69" i="46"/>
  <c r="AC534" i="111"/>
  <c r="J30" i="112"/>
  <c r="F213" i="11"/>
  <c r="F69" i="46"/>
  <c r="G34" i="112"/>
  <c r="E213" i="11"/>
  <c r="E69" i="46"/>
  <c r="I213" i="11"/>
  <c r="I69" i="46"/>
  <c r="D213" i="11"/>
  <c r="D69" i="46"/>
  <c r="AM488" i="111"/>
  <c r="AH278" i="8"/>
  <c r="AH276" i="8"/>
  <c r="N30" i="112"/>
  <c r="K30" i="112"/>
  <c r="L30" i="112"/>
  <c r="H30" i="112"/>
  <c r="M34" i="112"/>
  <c r="M175" i="112"/>
  <c r="M204" i="8" s="1"/>
  <c r="M205" i="8" s="1"/>
  <c r="I175" i="112"/>
  <c r="I204" i="8" s="1"/>
  <c r="I205" i="8" s="1"/>
  <c r="N175" i="112"/>
  <c r="N204" i="8" s="1"/>
  <c r="N205" i="8" s="1"/>
  <c r="N264" i="112"/>
  <c r="L250" i="112"/>
  <c r="L265" i="112" s="1"/>
  <c r="L170" i="112"/>
  <c r="P171" i="112" s="1"/>
  <c r="L193" i="112"/>
  <c r="X200" i="112"/>
  <c r="X201" i="112" s="1"/>
  <c r="X253" i="112"/>
  <c r="G30" i="112"/>
  <c r="U195" i="112"/>
  <c r="U198" i="112" s="1"/>
  <c r="U171" i="112"/>
  <c r="Y442" i="111"/>
  <c r="Y471" i="111"/>
  <c r="K34" i="112"/>
  <c r="P265" i="112"/>
  <c r="O34" i="112"/>
  <c r="T34" i="112"/>
  <c r="Q159" i="8" s="1"/>
  <c r="J264" i="112"/>
  <c r="H175" i="112"/>
  <c r="H204" i="8" s="1"/>
  <c r="H206" i="8" s="1"/>
  <c r="Q175" i="112"/>
  <c r="Q204" i="8" s="1"/>
  <c r="Q205" i="8" s="1"/>
  <c r="L264" i="112"/>
  <c r="K250" i="112"/>
  <c r="K265" i="112" s="1"/>
  <c r="K170" i="112"/>
  <c r="K193" i="112"/>
  <c r="R175" i="112"/>
  <c r="R204" i="8" s="1"/>
  <c r="R206" i="8" s="1"/>
  <c r="G175" i="112"/>
  <c r="G204" i="8" s="1"/>
  <c r="G205" i="8" s="1"/>
  <c r="I34" i="112"/>
  <c r="H34" i="112"/>
  <c r="Q265" i="112"/>
  <c r="U251" i="112"/>
  <c r="U270" i="112" s="1"/>
  <c r="Y271" i="112" s="1"/>
  <c r="Z471" i="111"/>
  <c r="AA472" i="111" s="1"/>
  <c r="V171" i="112"/>
  <c r="V195" i="112"/>
  <c r="V198" i="112" s="1"/>
  <c r="Z442" i="111"/>
  <c r="W253" i="112"/>
  <c r="W200" i="112"/>
  <c r="W201" i="112" s="1"/>
  <c r="G264" i="112"/>
  <c r="M264" i="112"/>
  <c r="AB472" i="111"/>
  <c r="AC472" i="111"/>
  <c r="R30" i="112"/>
  <c r="V30" i="112"/>
  <c r="V164" i="8" s="1"/>
  <c r="V251" i="112"/>
  <c r="V270" i="112" s="1"/>
  <c r="Z271" i="112" s="1"/>
  <c r="P30" i="112"/>
  <c r="Q264" i="112"/>
  <c r="I193" i="112"/>
  <c r="I250" i="112"/>
  <c r="I265" i="112" s="1"/>
  <c r="I170" i="112"/>
  <c r="R264" i="112"/>
  <c r="L871" i="111"/>
  <c r="L881" i="111" s="1"/>
  <c r="J193" i="112"/>
  <c r="J250" i="112"/>
  <c r="J170" i="112"/>
  <c r="S251" i="112"/>
  <c r="Q34" i="112"/>
  <c r="U34" i="112"/>
  <c r="R159" i="8" s="1"/>
  <c r="K871" i="111"/>
  <c r="K881" i="111" s="1"/>
  <c r="F193" i="112"/>
  <c r="F250" i="112"/>
  <c r="F170" i="112"/>
  <c r="K264" i="112"/>
  <c r="E250" i="112"/>
  <c r="E170" i="112"/>
  <c r="T251" i="112"/>
  <c r="G170" i="112"/>
  <c r="G193" i="112"/>
  <c r="G250" i="112"/>
  <c r="G265" i="112" s="1"/>
  <c r="AF443" i="111"/>
  <c r="R34" i="112"/>
  <c r="V34" i="112"/>
  <c r="S159" i="8" s="1"/>
  <c r="O886" i="111"/>
  <c r="O30" i="112"/>
  <c r="I264" i="112"/>
  <c r="D250" i="112"/>
  <c r="D170" i="112"/>
  <c r="H264" i="112"/>
  <c r="F264" i="112"/>
  <c r="R276" i="8"/>
  <c r="M170" i="112"/>
  <c r="M193" i="112"/>
  <c r="M250" i="112"/>
  <c r="Q251" i="112" s="1"/>
  <c r="T30" i="112"/>
  <c r="T164" i="8" s="1"/>
  <c r="C170" i="112"/>
  <c r="C250" i="112"/>
  <c r="J871" i="111"/>
  <c r="J881" i="111" s="1"/>
  <c r="J34" i="112"/>
  <c r="T171" i="112"/>
  <c r="X471" i="111"/>
  <c r="X442" i="111"/>
  <c r="AB443" i="111" s="1"/>
  <c r="T195" i="112"/>
  <c r="W471" i="111"/>
  <c r="S195" i="112"/>
  <c r="W442" i="111"/>
  <c r="AA443" i="111" s="1"/>
  <c r="R265" i="112"/>
  <c r="J175" i="112"/>
  <c r="J204" i="8" s="1"/>
  <c r="J206" i="8" s="1"/>
  <c r="O265" i="112"/>
  <c r="N250" i="112"/>
  <c r="N170" i="112"/>
  <c r="M871" i="111"/>
  <c r="M881" i="111" s="1"/>
  <c r="N193" i="112"/>
  <c r="H170" i="112"/>
  <c r="H193" i="112"/>
  <c r="H250" i="112"/>
  <c r="H265" i="112" s="1"/>
  <c r="L175" i="112"/>
  <c r="L204" i="8" s="1"/>
  <c r="L205" i="8" s="1"/>
  <c r="Q30" i="112"/>
  <c r="U30" i="112"/>
  <c r="U164" i="8" s="1"/>
  <c r="S30" i="112"/>
  <c r="S164" i="8" s="1"/>
  <c r="AE443" i="111"/>
  <c r="I30" i="112"/>
  <c r="O175" i="112"/>
  <c r="O204" i="8" s="1"/>
  <c r="M30" i="112"/>
  <c r="S34" i="112"/>
  <c r="P159" i="8" s="1"/>
  <c r="F180" i="11"/>
  <c r="F104" i="11"/>
  <c r="I180" i="11"/>
  <c r="I104" i="11"/>
  <c r="E180" i="11"/>
  <c r="E104" i="11"/>
  <c r="H180" i="11"/>
  <c r="H104" i="11"/>
  <c r="D180" i="11"/>
  <c r="D104" i="11"/>
  <c r="G180" i="11"/>
  <c r="G104" i="11"/>
  <c r="C180" i="11"/>
  <c r="C104" i="11"/>
  <c r="Q384" i="111"/>
  <c r="M384" i="111"/>
  <c r="Q166" i="11"/>
  <c r="Q387" i="111"/>
  <c r="M166" i="11"/>
  <c r="M387" i="111"/>
  <c r="O384" i="111"/>
  <c r="K384" i="111"/>
  <c r="R275" i="111"/>
  <c r="N275" i="111"/>
  <c r="J275" i="111"/>
  <c r="R196" i="111"/>
  <c r="R195" i="111"/>
  <c r="R194" i="111"/>
  <c r="J8" i="111"/>
  <c r="J7" i="111"/>
  <c r="P166" i="11"/>
  <c r="P387" i="111"/>
  <c r="L166" i="11"/>
  <c r="L387" i="111"/>
  <c r="R384" i="111"/>
  <c r="N384" i="111"/>
  <c r="J384" i="111"/>
  <c r="Q275" i="111"/>
  <c r="M275" i="111"/>
  <c r="Q196" i="111"/>
  <c r="Q195" i="111"/>
  <c r="Q194" i="111"/>
  <c r="O166" i="11"/>
  <c r="O387" i="111"/>
  <c r="K166" i="11"/>
  <c r="K387" i="111"/>
  <c r="P275" i="111"/>
  <c r="L275" i="111"/>
  <c r="P196" i="111"/>
  <c r="P195" i="111"/>
  <c r="P194" i="111"/>
  <c r="R387" i="111"/>
  <c r="N166" i="11"/>
  <c r="N387" i="111"/>
  <c r="J166" i="11"/>
  <c r="J387" i="111"/>
  <c r="P384" i="111"/>
  <c r="L384" i="111"/>
  <c r="O275" i="111"/>
  <c r="K275" i="111"/>
  <c r="O196" i="111"/>
  <c r="O195" i="111"/>
  <c r="O194" i="111"/>
  <c r="AR534" i="111"/>
  <c r="K177" i="8"/>
  <c r="AE177" i="8"/>
  <c r="Z177" i="8"/>
  <c r="W177" i="8"/>
  <c r="R177" i="8"/>
  <c r="G177" i="8"/>
  <c r="J276" i="8"/>
  <c r="P177" i="8"/>
  <c r="V177" i="8"/>
  <c r="AA177" i="8"/>
  <c r="S114" i="8"/>
  <c r="J278" i="8"/>
  <c r="AD277" i="8"/>
  <c r="AD276" i="8"/>
  <c r="S177" i="8"/>
  <c r="M534" i="111"/>
  <c r="AF488" i="111"/>
  <c r="BN98" i="112"/>
  <c r="BE451" i="111"/>
  <c r="AA534" i="111"/>
  <c r="Z534" i="111"/>
  <c r="AB534" i="111"/>
  <c r="O129" i="111"/>
  <c r="O62" i="111"/>
  <c r="K63" i="111"/>
  <c r="K128" i="111"/>
  <c r="R129" i="111"/>
  <c r="R62" i="111"/>
  <c r="R63" i="111"/>
  <c r="R128" i="111"/>
  <c r="O61" i="111"/>
  <c r="O127" i="111"/>
  <c r="M62" i="111"/>
  <c r="M129" i="111"/>
  <c r="N63" i="111"/>
  <c r="N128" i="111"/>
  <c r="J63" i="111"/>
  <c r="J69" i="111" s="1"/>
  <c r="J128" i="111"/>
  <c r="K61" i="111"/>
  <c r="K127" i="111"/>
  <c r="X290" i="112"/>
  <c r="X294" i="112"/>
  <c r="X219" i="8" s="1"/>
  <c r="M282" i="111"/>
  <c r="M285" i="111" s="1"/>
  <c r="U534" i="111"/>
  <c r="R533" i="111"/>
  <c r="V533" i="111"/>
  <c r="AE294" i="112"/>
  <c r="AE290" i="112"/>
  <c r="U294" i="112"/>
  <c r="U290" i="112"/>
  <c r="AH489" i="111"/>
  <c r="AH490" i="111"/>
  <c r="AH488" i="111"/>
  <c r="N534" i="111"/>
  <c r="O533" i="111"/>
  <c r="O534" i="111"/>
  <c r="AI294" i="112"/>
  <c r="AI290" i="112"/>
  <c r="L282" i="111"/>
  <c r="L285" i="111" s="1"/>
  <c r="AP534" i="111"/>
  <c r="AQ534" i="111"/>
  <c r="AQ533" i="111"/>
  <c r="AF290" i="112"/>
  <c r="AF294" i="112"/>
  <c r="AF219" i="8" s="1"/>
  <c r="AS534" i="111"/>
  <c r="Y59" i="112"/>
  <c r="Y124" i="112"/>
  <c r="Y208" i="112"/>
  <c r="Y293" i="112"/>
  <c r="Y306" i="112"/>
  <c r="O63" i="111"/>
  <c r="O128" i="111"/>
  <c r="N129" i="111"/>
  <c r="N62" i="111"/>
  <c r="L127" i="111"/>
  <c r="L61" i="111"/>
  <c r="Q62" i="111"/>
  <c r="Q129" i="111"/>
  <c r="Q63" i="111"/>
  <c r="Q128" i="111"/>
  <c r="L62" i="111"/>
  <c r="L129" i="111"/>
  <c r="M63" i="111"/>
  <c r="M128" i="111"/>
  <c r="N61" i="111"/>
  <c r="N127" i="111"/>
  <c r="J61" i="111"/>
  <c r="J67" i="111" s="1"/>
  <c r="J127" i="111"/>
  <c r="AH532" i="111"/>
  <c r="AH294" i="112"/>
  <c r="AH219" i="8" s="1"/>
  <c r="AH290" i="112"/>
  <c r="AD489" i="111"/>
  <c r="AD488" i="111"/>
  <c r="AD490" i="111"/>
  <c r="Z208" i="112"/>
  <c r="Z293" i="112"/>
  <c r="Z306" i="112"/>
  <c r="Z124" i="112"/>
  <c r="Z59" i="112"/>
  <c r="T533" i="111"/>
  <c r="T534" i="111"/>
  <c r="AE489" i="111"/>
  <c r="AE490" i="111"/>
  <c r="AE488" i="111"/>
  <c r="P62" i="111"/>
  <c r="P129" i="111"/>
  <c r="P63" i="111"/>
  <c r="P128" i="111"/>
  <c r="K129" i="111"/>
  <c r="K62" i="111"/>
  <c r="L63" i="111"/>
  <c r="L128" i="111"/>
  <c r="M61" i="111"/>
  <c r="M127" i="111"/>
  <c r="AQ24" i="4"/>
  <c r="AM305" i="112"/>
  <c r="AU487" i="111"/>
  <c r="AG532" i="111"/>
  <c r="AP24" i="4"/>
  <c r="AL305" i="112"/>
  <c r="AT487" i="111"/>
  <c r="AI488" i="111"/>
  <c r="AJ290" i="112"/>
  <c r="AJ294" i="112"/>
  <c r="V208" i="112"/>
  <c r="V293" i="112"/>
  <c r="V306" i="112"/>
  <c r="V124" i="112"/>
  <c r="V59" i="112"/>
  <c r="Q533" i="111"/>
  <c r="L534" i="111"/>
  <c r="AK488" i="111"/>
  <c r="AL489" i="111"/>
  <c r="AL488" i="111"/>
  <c r="AL490" i="111"/>
  <c r="AA294" i="112"/>
  <c r="AA219" i="8" s="1"/>
  <c r="AA290" i="112"/>
  <c r="W59" i="112"/>
  <c r="W124" i="112"/>
  <c r="W208" i="112"/>
  <c r="W293" i="112"/>
  <c r="W306" i="112"/>
  <c r="N282" i="111"/>
  <c r="N285" i="111" s="1"/>
  <c r="J534" i="111"/>
  <c r="K534" i="111"/>
  <c r="J129" i="111"/>
  <c r="J62" i="111"/>
  <c r="AD532" i="111"/>
  <c r="AK294" i="112"/>
  <c r="AK290" i="112"/>
  <c r="AC294" i="112"/>
  <c r="AC219" i="8" s="1"/>
  <c r="AC290" i="112"/>
  <c r="O282" i="111"/>
  <c r="O285" i="111" s="1"/>
  <c r="R534" i="111"/>
  <c r="S534" i="111"/>
  <c r="S533" i="111"/>
  <c r="P533" i="111"/>
  <c r="P534" i="111"/>
  <c r="AB290" i="112"/>
  <c r="AB294" i="112"/>
  <c r="AD208" i="112"/>
  <c r="AD293" i="112"/>
  <c r="AD306" i="112"/>
  <c r="AD124" i="112"/>
  <c r="AD59" i="112"/>
  <c r="Q534" i="111"/>
  <c r="N533" i="111"/>
  <c r="P282" i="111"/>
  <c r="P285" i="111" s="1"/>
  <c r="AG294" i="112"/>
  <c r="AG290" i="112"/>
  <c r="AJ488" i="111"/>
  <c r="U533" i="111"/>
  <c r="AG490" i="111"/>
  <c r="AG489" i="111"/>
  <c r="AG488" i="111"/>
  <c r="AC195" i="8"/>
  <c r="R166" i="11"/>
  <c r="K40" i="27"/>
  <c r="K180" i="11"/>
  <c r="C133" i="27"/>
  <c r="C134" i="27"/>
  <c r="B133" i="27"/>
  <c r="B134" i="27"/>
  <c r="G133" i="27"/>
  <c r="G134" i="27"/>
  <c r="J180" i="11"/>
  <c r="Q180" i="11"/>
  <c r="M180" i="11"/>
  <c r="I133" i="27"/>
  <c r="I134" i="27"/>
  <c r="E133" i="27"/>
  <c r="E134" i="27"/>
  <c r="O180" i="11"/>
  <c r="R180" i="11"/>
  <c r="N180" i="11"/>
  <c r="J133" i="27"/>
  <c r="J134" i="27"/>
  <c r="F133" i="27"/>
  <c r="F134" i="27"/>
  <c r="P180" i="11"/>
  <c r="L180" i="11"/>
  <c r="H133" i="27"/>
  <c r="H134" i="27"/>
  <c r="D133" i="27"/>
  <c r="D134" i="27"/>
  <c r="Z64" i="46"/>
  <c r="Y64" i="46"/>
  <c r="L41" i="27"/>
  <c r="K41" i="27"/>
  <c r="R172" i="11"/>
  <c r="J41" i="27"/>
  <c r="H135" i="27"/>
  <c r="G135" i="27"/>
  <c r="R23" i="46"/>
  <c r="R24" i="46"/>
  <c r="R22" i="46"/>
  <c r="J135" i="27"/>
  <c r="K23" i="27"/>
  <c r="I135" i="27"/>
  <c r="P155" i="8"/>
  <c r="P154" i="8"/>
  <c r="W154" i="8"/>
  <c r="W152" i="8" s="1"/>
  <c r="W155" i="8"/>
  <c r="Q154" i="8"/>
  <c r="Q155" i="8"/>
  <c r="O155" i="8"/>
  <c r="O154" i="8"/>
  <c r="Q23" i="46"/>
  <c r="Q24" i="46"/>
  <c r="Q22" i="46"/>
  <c r="P23" i="46"/>
  <c r="P24" i="46"/>
  <c r="P22" i="46"/>
  <c r="O23" i="46"/>
  <c r="O24" i="46"/>
  <c r="O22" i="46"/>
  <c r="AC67" i="46"/>
  <c r="AC63" i="46"/>
  <c r="AC65" i="46"/>
  <c r="Q64" i="46"/>
  <c r="M64" i="46"/>
  <c r="I64" i="46"/>
  <c r="E64" i="46"/>
  <c r="U64" i="46"/>
  <c r="P64" i="46"/>
  <c r="L64" i="46"/>
  <c r="H64" i="46"/>
  <c r="D64" i="46"/>
  <c r="O64" i="46"/>
  <c r="K64" i="46"/>
  <c r="G64" i="46"/>
  <c r="C64" i="46"/>
  <c r="R64" i="46"/>
  <c r="N64" i="46"/>
  <c r="J64" i="46"/>
  <c r="F64" i="46"/>
  <c r="B64" i="46"/>
  <c r="J283" i="8"/>
  <c r="J281" i="8"/>
  <c r="J282" i="8"/>
  <c r="O283" i="8"/>
  <c r="O282" i="8"/>
  <c r="O281" i="8"/>
  <c r="Q52" i="2"/>
  <c r="Q280" i="8" s="1"/>
  <c r="U283" i="8"/>
  <c r="U282" i="8"/>
  <c r="U281" i="8"/>
  <c r="I52" i="2"/>
  <c r="I280" i="8" s="1"/>
  <c r="N52" i="2"/>
  <c r="N280" i="8" s="1"/>
  <c r="F281" i="8"/>
  <c r="F283" i="8"/>
  <c r="F282" i="8"/>
  <c r="M281" i="8"/>
  <c r="M283" i="8"/>
  <c r="M282" i="8"/>
  <c r="R282" i="8"/>
  <c r="R283" i="8"/>
  <c r="R281" i="8"/>
  <c r="J7" i="46"/>
  <c r="F191" i="11"/>
  <c r="F193" i="11" s="1"/>
  <c r="F200" i="11"/>
  <c r="F71" i="46" s="1"/>
  <c r="AO199" i="8"/>
  <c r="AO197" i="8" s="1"/>
  <c r="W203" i="8"/>
  <c r="AK197" i="8"/>
  <c r="I191" i="11"/>
  <c r="I193" i="11" s="1"/>
  <c r="E191" i="11"/>
  <c r="E193" i="11" s="1"/>
  <c r="H191" i="11"/>
  <c r="H193" i="11" s="1"/>
  <c r="D191" i="11"/>
  <c r="D195" i="11" s="1"/>
  <c r="D67" i="46" s="1"/>
  <c r="F171" i="11"/>
  <c r="F168" i="11"/>
  <c r="G191" i="11"/>
  <c r="G171" i="11"/>
  <c r="G168" i="11"/>
  <c r="C171" i="11"/>
  <c r="C168" i="11"/>
  <c r="B171" i="11"/>
  <c r="B168" i="11"/>
  <c r="I171" i="11"/>
  <c r="I168" i="11"/>
  <c r="E171" i="11"/>
  <c r="E168" i="11"/>
  <c r="H171" i="11"/>
  <c r="H168" i="11"/>
  <c r="D171" i="11"/>
  <c r="D168" i="11"/>
  <c r="O36" i="11"/>
  <c r="O12" i="76" s="1"/>
  <c r="K113" i="27"/>
  <c r="R170" i="11"/>
  <c r="R169" i="11"/>
  <c r="E18" i="71" s="1"/>
  <c r="E45" i="71" s="1"/>
  <c r="O170" i="11"/>
  <c r="O169" i="11"/>
  <c r="B18" i="71" s="1"/>
  <c r="B45" i="71" s="1"/>
  <c r="K169" i="11"/>
  <c r="N169" i="11"/>
  <c r="J169" i="11"/>
  <c r="Q170" i="11"/>
  <c r="Q169" i="11"/>
  <c r="D18" i="71" s="1"/>
  <c r="D45" i="71" s="1"/>
  <c r="M169" i="11"/>
  <c r="E31" i="27" s="1"/>
  <c r="P170" i="11"/>
  <c r="P169" i="11"/>
  <c r="C18" i="71" s="1"/>
  <c r="C45" i="71" s="1"/>
  <c r="L169" i="11"/>
  <c r="N172" i="11"/>
  <c r="J172" i="11"/>
  <c r="M172" i="11"/>
  <c r="K172" i="11"/>
  <c r="AL24" i="4"/>
  <c r="AM24" i="4"/>
  <c r="AM28" i="4"/>
  <c r="F67" i="11"/>
  <c r="B67" i="11"/>
  <c r="F204" i="11"/>
  <c r="I67" i="11"/>
  <c r="E67" i="11"/>
  <c r="I204" i="11"/>
  <c r="E204" i="11"/>
  <c r="H67" i="11"/>
  <c r="D67" i="11"/>
  <c r="H204" i="11"/>
  <c r="G67" i="11"/>
  <c r="C67" i="11"/>
  <c r="S172" i="11"/>
  <c r="K57" i="27"/>
  <c r="N88" i="11"/>
  <c r="J88" i="11"/>
  <c r="M88" i="11"/>
  <c r="L88" i="11"/>
  <c r="K19" i="27"/>
  <c r="K88" i="11"/>
  <c r="R167" i="11"/>
  <c r="O167" i="11"/>
  <c r="Q167" i="11"/>
  <c r="P167" i="11"/>
  <c r="AL28" i="4"/>
  <c r="L142" i="11"/>
  <c r="B70" i="11"/>
  <c r="AC278" i="8"/>
  <c r="C70" i="11"/>
  <c r="AC276" i="8"/>
  <c r="AB278" i="8"/>
  <c r="AB272" i="8"/>
  <c r="AB276" i="8"/>
  <c r="AB273" i="8"/>
  <c r="O273" i="8"/>
  <c r="F70" i="11"/>
  <c r="U278" i="8"/>
  <c r="G70" i="11"/>
  <c r="E70" i="11"/>
  <c r="D70" i="11"/>
  <c r="U277" i="8"/>
  <c r="K276" i="8"/>
  <c r="O272" i="8"/>
  <c r="K278" i="8"/>
  <c r="K273" i="8"/>
  <c r="K272" i="8"/>
  <c r="L272" i="8"/>
  <c r="AE273" i="8"/>
  <c r="L117" i="11"/>
  <c r="T278" i="8"/>
  <c r="X278" i="8"/>
  <c r="M276" i="8"/>
  <c r="AC36" i="46"/>
  <c r="AC42" i="46"/>
  <c r="AC48" i="46"/>
  <c r="T272" i="8"/>
  <c r="W277" i="8"/>
  <c r="T271" i="8"/>
  <c r="S271" i="8"/>
  <c r="O278" i="8"/>
  <c r="M278" i="8"/>
  <c r="T276" i="8"/>
  <c r="AF278" i="8"/>
  <c r="S273" i="8"/>
  <c r="O277" i="8"/>
  <c r="AF277" i="8"/>
  <c r="X276" i="8"/>
  <c r="AF273" i="8"/>
  <c r="P273" i="8"/>
  <c r="W271" i="8"/>
  <c r="AF271" i="8"/>
  <c r="P271" i="8"/>
  <c r="W273" i="8"/>
  <c r="W278" i="8"/>
  <c r="P278" i="8"/>
  <c r="AE276" i="8"/>
  <c r="AE272" i="8"/>
  <c r="P277" i="8"/>
  <c r="AE277" i="8"/>
  <c r="L271" i="8"/>
  <c r="X273" i="8"/>
  <c r="X271" i="8"/>
  <c r="K142" i="11"/>
  <c r="J142" i="11"/>
  <c r="L18" i="46"/>
  <c r="O8" i="46"/>
  <c r="L8" i="46"/>
  <c r="N11" i="46"/>
  <c r="J8" i="46"/>
  <c r="L17" i="46"/>
  <c r="N16" i="46"/>
  <c r="M11" i="46"/>
  <c r="R10" i="46"/>
  <c r="K17" i="46"/>
  <c r="L16" i="46"/>
  <c r="K11" i="46"/>
  <c r="P10" i="46"/>
  <c r="R8" i="46"/>
  <c r="L11" i="46"/>
  <c r="N18" i="46"/>
  <c r="K16" i="46"/>
  <c r="O10" i="46"/>
  <c r="Q8" i="46"/>
  <c r="K18" i="46"/>
  <c r="N8" i="46"/>
  <c r="K8" i="46"/>
  <c r="M16" i="46"/>
  <c r="Q10" i="46"/>
  <c r="M18" i="46"/>
  <c r="P8" i="46"/>
  <c r="M8" i="46"/>
  <c r="I14" i="27"/>
  <c r="E14" i="27"/>
  <c r="I9" i="27"/>
  <c r="D9" i="27"/>
  <c r="H14" i="27"/>
  <c r="D14" i="27"/>
  <c r="H9" i="27"/>
  <c r="C9" i="27"/>
  <c r="G14" i="27"/>
  <c r="C14" i="27"/>
  <c r="G9" i="27"/>
  <c r="F9" i="27"/>
  <c r="B9" i="27"/>
  <c r="J14" i="27"/>
  <c r="F14" i="27"/>
  <c r="B14" i="27"/>
  <c r="J9" i="27"/>
  <c r="E9" i="27"/>
  <c r="P9" i="46"/>
  <c r="N7" i="46"/>
  <c r="J9" i="46"/>
  <c r="O9" i="46"/>
  <c r="M9" i="46"/>
  <c r="M7" i="46"/>
  <c r="R9" i="46"/>
  <c r="N9" i="46"/>
  <c r="L9" i="46"/>
  <c r="L7" i="46"/>
  <c r="T161" i="8"/>
  <c r="T160" i="8"/>
  <c r="Q9" i="46"/>
  <c r="K9" i="46"/>
  <c r="K7" i="46"/>
  <c r="U160" i="8"/>
  <c r="U161" i="8"/>
  <c r="O189" i="11"/>
  <c r="K189" i="11"/>
  <c r="K204" i="11" s="1"/>
  <c r="J189" i="11"/>
  <c r="J200" i="11" s="1"/>
  <c r="J71" i="46" s="1"/>
  <c r="G96" i="11"/>
  <c r="C96" i="11"/>
  <c r="F91" i="11"/>
  <c r="F251" i="111" s="1"/>
  <c r="O7" i="46"/>
  <c r="R7" i="46"/>
  <c r="Q7" i="46"/>
  <c r="L131" i="8"/>
  <c r="I131" i="8"/>
  <c r="Q131" i="8"/>
  <c r="P136" i="8"/>
  <c r="E136" i="8"/>
  <c r="R14" i="46"/>
  <c r="Q13" i="46"/>
  <c r="P12" i="46"/>
  <c r="O11" i="46"/>
  <c r="K10" i="46"/>
  <c r="Q14" i="46"/>
  <c r="P13" i="46"/>
  <c r="R11" i="46"/>
  <c r="J10" i="46"/>
  <c r="P14" i="46"/>
  <c r="R12" i="46"/>
  <c r="Q11" i="46"/>
  <c r="N10" i="46"/>
  <c r="M10" i="46"/>
  <c r="R13" i="46"/>
  <c r="Q12" i="46"/>
  <c r="P11" i="46"/>
  <c r="L10" i="46"/>
  <c r="P7" i="46"/>
  <c r="AH200" i="8"/>
  <c r="AH199" i="8"/>
  <c r="AC199" i="8"/>
  <c r="AC200" i="8"/>
  <c r="P82" i="11"/>
  <c r="R29" i="71" s="1"/>
  <c r="P83" i="11"/>
  <c r="R30" i="71" s="1"/>
  <c r="O82" i="11"/>
  <c r="Q29" i="71" s="1"/>
  <c r="O83" i="11"/>
  <c r="Q30" i="71" s="1"/>
  <c r="O81" i="11"/>
  <c r="Q28" i="71" s="1"/>
  <c r="P17" i="46"/>
  <c r="P18" i="46"/>
  <c r="R82" i="11"/>
  <c r="T29" i="71" s="1"/>
  <c r="R83" i="11"/>
  <c r="T30" i="71" s="1"/>
  <c r="O17" i="46"/>
  <c r="O18" i="46"/>
  <c r="O16" i="46"/>
  <c r="Q82" i="11"/>
  <c r="S29" i="71" s="1"/>
  <c r="Q83" i="11"/>
  <c r="S30" i="71" s="1"/>
  <c r="AG199" i="8"/>
  <c r="AG200" i="8"/>
  <c r="AN200" i="8"/>
  <c r="AN199" i="8"/>
  <c r="AE246" i="8"/>
  <c r="AE248" i="8"/>
  <c r="AE247" i="8"/>
  <c r="AF247" i="8"/>
  <c r="AF248" i="8"/>
  <c r="AF246" i="8"/>
  <c r="AK248" i="8"/>
  <c r="AK247" i="8"/>
  <c r="AK246" i="8"/>
  <c r="V247" i="8"/>
  <c r="V248" i="8"/>
  <c r="V246" i="8"/>
  <c r="Z248" i="8"/>
  <c r="Z247" i="8"/>
  <c r="Z246" i="8"/>
  <c r="AB247" i="8"/>
  <c r="AB246" i="8"/>
  <c r="AB248" i="8"/>
  <c r="AG248" i="8"/>
  <c r="AG247" i="8"/>
  <c r="AG246" i="8"/>
  <c r="AM246" i="8"/>
  <c r="AM248" i="8"/>
  <c r="AM247" i="8"/>
  <c r="AL247" i="8"/>
  <c r="AL248" i="8"/>
  <c r="AL246" i="8"/>
  <c r="Y248" i="8"/>
  <c r="Y247" i="8"/>
  <c r="Y246" i="8"/>
  <c r="AJ247" i="8"/>
  <c r="AJ246" i="8"/>
  <c r="AJ248" i="8"/>
  <c r="X247" i="8"/>
  <c r="X246" i="8"/>
  <c r="X248" i="8"/>
  <c r="AC248" i="8"/>
  <c r="AC246" i="8"/>
  <c r="AC247" i="8"/>
  <c r="W246" i="8"/>
  <c r="W248" i="8"/>
  <c r="W247" i="8"/>
  <c r="AH248" i="8"/>
  <c r="AH247" i="8"/>
  <c r="AH246" i="8"/>
  <c r="AA246" i="8"/>
  <c r="AA247" i="8"/>
  <c r="AA248" i="8"/>
  <c r="E72" i="11"/>
  <c r="E80" i="11" s="1"/>
  <c r="E250" i="111" s="1"/>
  <c r="D72" i="11"/>
  <c r="D80" i="11" s="1"/>
  <c r="D250" i="111" s="1"/>
  <c r="G72" i="11"/>
  <c r="G80" i="11" s="1"/>
  <c r="I72" i="11"/>
  <c r="I80" i="11" s="1"/>
  <c r="I250" i="111" s="1"/>
  <c r="H72" i="11"/>
  <c r="H80" i="11" s="1"/>
  <c r="H250" i="111" s="1"/>
  <c r="Z200" i="8"/>
  <c r="Z197" i="8" s="1"/>
  <c r="Y200" i="8"/>
  <c r="Y197" i="8" s="1"/>
  <c r="I136" i="8"/>
  <c r="Q136" i="8"/>
  <c r="L136" i="8"/>
  <c r="R17" i="46"/>
  <c r="R18" i="46"/>
  <c r="AB199" i="8"/>
  <c r="AB197" i="8" s="1"/>
  <c r="AG241" i="8"/>
  <c r="BO77" i="2"/>
  <c r="BO78" i="2" s="1"/>
  <c r="BO63" i="2" s="1"/>
  <c r="BO126" i="4" s="1"/>
  <c r="BN81" i="2"/>
  <c r="BN82" i="2" s="1"/>
  <c r="BN64" i="2" s="1"/>
  <c r="BN127" i="4" s="1"/>
  <c r="BP85" i="2"/>
  <c r="BL77" i="2"/>
  <c r="BL78" i="2" s="1"/>
  <c r="BL63" i="2" s="1"/>
  <c r="BL126" i="4" s="1"/>
  <c r="BP77" i="2"/>
  <c r="BP78" i="2" s="1"/>
  <c r="BP63" i="2" s="1"/>
  <c r="BP126" i="4" s="1"/>
  <c r="BO81" i="2"/>
  <c r="BO82" i="2" s="1"/>
  <c r="BO64" i="2" s="1"/>
  <c r="BO127" i="4" s="1"/>
  <c r="BM77" i="2"/>
  <c r="BM78" i="2" s="1"/>
  <c r="BM63" i="2" s="1"/>
  <c r="BM126" i="4" s="1"/>
  <c r="BQ77" i="2"/>
  <c r="BQ78" i="2" s="1"/>
  <c r="BQ63" i="2" s="1"/>
  <c r="BQ126" i="4" s="1"/>
  <c r="BL81" i="2"/>
  <c r="BL82" i="2" s="1"/>
  <c r="BL64" i="2" s="1"/>
  <c r="BL127" i="4" s="1"/>
  <c r="BP81" i="2"/>
  <c r="BP82" i="2" s="1"/>
  <c r="BP64" i="2" s="1"/>
  <c r="BP127" i="4" s="1"/>
  <c r="BL85" i="2"/>
  <c r="BN85" i="2"/>
  <c r="BM81" i="2"/>
  <c r="BM82" i="2" s="1"/>
  <c r="BM64" i="2" s="1"/>
  <c r="BM127" i="4" s="1"/>
  <c r="BQ81" i="2"/>
  <c r="BQ82" i="2" s="1"/>
  <c r="BQ64" i="2" s="1"/>
  <c r="BQ127" i="4" s="1"/>
  <c r="BN77" i="2"/>
  <c r="BN78" i="2" s="1"/>
  <c r="BN63" i="2" s="1"/>
  <c r="BN126" i="4" s="1"/>
  <c r="BO85" i="2"/>
  <c r="BQ85" i="2"/>
  <c r="BM85" i="2"/>
  <c r="AH240" i="8"/>
  <c r="AG240" i="8"/>
  <c r="AH241" i="8"/>
  <c r="G190" i="11"/>
  <c r="C32" i="46"/>
  <c r="F72" i="11"/>
  <c r="F80" i="11" s="1"/>
  <c r="F250" i="111" s="1"/>
  <c r="E190" i="11"/>
  <c r="B72" i="11"/>
  <c r="B80" i="11" s="1"/>
  <c r="D204" i="11"/>
  <c r="H20" i="46"/>
  <c r="D20" i="46"/>
  <c r="C72" i="11"/>
  <c r="B32" i="46"/>
  <c r="F96" i="11"/>
  <c r="N167" i="11"/>
  <c r="J167" i="11"/>
  <c r="N142" i="11"/>
  <c r="O142" i="11"/>
  <c r="B91" i="11"/>
  <c r="B251" i="111" s="1"/>
  <c r="D32" i="46"/>
  <c r="G91" i="11"/>
  <c r="G251" i="111" s="1"/>
  <c r="F190" i="11"/>
  <c r="N198" i="11"/>
  <c r="N69" i="46" s="1"/>
  <c r="G213" i="11"/>
  <c r="B96" i="11"/>
  <c r="C91" i="11"/>
  <c r="C251" i="111" s="1"/>
  <c r="I70" i="11"/>
  <c r="G32" i="46"/>
  <c r="F20" i="46"/>
  <c r="C190" i="11"/>
  <c r="Q142" i="11"/>
  <c r="AK241" i="8"/>
  <c r="AK242" i="8"/>
  <c r="AK240" i="8"/>
  <c r="V234" i="8"/>
  <c r="V236" i="8"/>
  <c r="V235" i="8"/>
  <c r="Z241" i="8"/>
  <c r="Z242" i="8"/>
  <c r="Z240" i="8"/>
  <c r="Y236" i="8"/>
  <c r="Y234" i="8"/>
  <c r="Y235" i="8"/>
  <c r="V241" i="8"/>
  <c r="V240" i="8"/>
  <c r="V242" i="8"/>
  <c r="AM241" i="8"/>
  <c r="AM240" i="8"/>
  <c r="AM242" i="8"/>
  <c r="AA240" i="8"/>
  <c r="AA242" i="8"/>
  <c r="AA241" i="8"/>
  <c r="AC242" i="8"/>
  <c r="AC240" i="8"/>
  <c r="AC241" i="8"/>
  <c r="AE240" i="8"/>
  <c r="AE241" i="8"/>
  <c r="AE242" i="8"/>
  <c r="AB240" i="8"/>
  <c r="AB241" i="8"/>
  <c r="AB242" i="8"/>
  <c r="X235" i="8"/>
  <c r="X236" i="8"/>
  <c r="X234" i="8"/>
  <c r="W242" i="8"/>
  <c r="W241" i="8"/>
  <c r="W240" i="8"/>
  <c r="AF241" i="8"/>
  <c r="AF240" i="8"/>
  <c r="AF242" i="8"/>
  <c r="AJ242" i="8"/>
  <c r="AJ240" i="8"/>
  <c r="AJ241" i="8"/>
  <c r="X240" i="8"/>
  <c r="X242" i="8"/>
  <c r="X241" i="8"/>
  <c r="W234" i="8"/>
  <c r="W236" i="8"/>
  <c r="W235" i="8"/>
  <c r="AL241" i="8"/>
  <c r="AL242" i="8"/>
  <c r="AL240" i="8"/>
  <c r="Y242" i="8"/>
  <c r="Y241" i="8"/>
  <c r="Y240" i="8"/>
  <c r="AB180" i="8"/>
  <c r="AB177" i="8" s="1"/>
  <c r="E117" i="8"/>
  <c r="E116" i="8"/>
  <c r="D116" i="8"/>
  <c r="D117" i="8"/>
  <c r="W165" i="8"/>
  <c r="W166" i="8"/>
  <c r="C117" i="8"/>
  <c r="C116" i="8"/>
  <c r="X166" i="8"/>
  <c r="X165" i="8"/>
  <c r="F116" i="8"/>
  <c r="F117" i="8"/>
  <c r="Q198" i="11"/>
  <c r="Q69" i="46" s="1"/>
  <c r="P112" i="11"/>
  <c r="M142" i="11"/>
  <c r="P142" i="11"/>
  <c r="AJ142" i="11" s="1"/>
  <c r="M198" i="11"/>
  <c r="M69" i="46" s="1"/>
  <c r="M167" i="11"/>
  <c r="AJ199" i="8"/>
  <c r="AJ197" i="8" s="1"/>
  <c r="AI199" i="8"/>
  <c r="AI200" i="8"/>
  <c r="AF180" i="8"/>
  <c r="AF177" i="8" s="1"/>
  <c r="AL179" i="8"/>
  <c r="AL177" i="8" s="1"/>
  <c r="AL200" i="8"/>
  <c r="AL199" i="8"/>
  <c r="AD198" i="8"/>
  <c r="AF198" i="8"/>
  <c r="AE198" i="8"/>
  <c r="AD179" i="8"/>
  <c r="AD177" i="8" s="1"/>
  <c r="Y179" i="8"/>
  <c r="Y177" i="8" s="1"/>
  <c r="T205" i="8"/>
  <c r="T206" i="8"/>
  <c r="V206" i="8"/>
  <c r="V205" i="8"/>
  <c r="X205" i="8"/>
  <c r="X206" i="8"/>
  <c r="P204" i="8"/>
  <c r="U206" i="8"/>
  <c r="U205" i="8"/>
  <c r="AM203" i="8"/>
  <c r="S206" i="8"/>
  <c r="S205" i="8"/>
  <c r="AB205" i="8"/>
  <c r="AB206" i="8"/>
  <c r="AD205" i="8"/>
  <c r="AD206" i="8"/>
  <c r="AL205" i="8"/>
  <c r="AL206" i="8"/>
  <c r="AF205" i="8"/>
  <c r="AF206" i="8"/>
  <c r="Y206" i="8"/>
  <c r="Y205" i="8"/>
  <c r="AJ163" i="8"/>
  <c r="R117" i="8"/>
  <c r="R116" i="8"/>
  <c r="Q116" i="8"/>
  <c r="Q117" i="8"/>
  <c r="P117" i="8"/>
  <c r="P116" i="8"/>
  <c r="O116" i="8"/>
  <c r="O117" i="8"/>
  <c r="N117" i="8"/>
  <c r="N116" i="8"/>
  <c r="M117" i="8"/>
  <c r="M116" i="8"/>
  <c r="L116" i="8"/>
  <c r="L117" i="8"/>
  <c r="K117" i="8"/>
  <c r="K116" i="8"/>
  <c r="J117" i="8"/>
  <c r="J116" i="8"/>
  <c r="I117" i="8"/>
  <c r="I116" i="8"/>
  <c r="G116" i="8"/>
  <c r="G117" i="8"/>
  <c r="H116" i="8"/>
  <c r="H117" i="8"/>
  <c r="H155" i="8"/>
  <c r="H154" i="8"/>
  <c r="I154" i="8"/>
  <c r="I155" i="8"/>
  <c r="J154" i="8"/>
  <c r="J155" i="8"/>
  <c r="G155" i="8"/>
  <c r="G154" i="8"/>
  <c r="AM180" i="8"/>
  <c r="AM179" i="8"/>
  <c r="AK180" i="8"/>
  <c r="AK179" i="8"/>
  <c r="AJ179" i="8"/>
  <c r="AJ180" i="8"/>
  <c r="U179" i="8"/>
  <c r="U180" i="8"/>
  <c r="Q179" i="8"/>
  <c r="Q180" i="8"/>
  <c r="T179" i="8"/>
  <c r="T180" i="8"/>
  <c r="AG179" i="8"/>
  <c r="AG180" i="8"/>
  <c r="Z188" i="11"/>
  <c r="N155" i="8"/>
  <c r="N154" i="8"/>
  <c r="AB155" i="8"/>
  <c r="AB154" i="8"/>
  <c r="M155" i="8"/>
  <c r="M154" i="8"/>
  <c r="AK154" i="8"/>
  <c r="AK155" i="8"/>
  <c r="AE154" i="8"/>
  <c r="AE155" i="8"/>
  <c r="K118" i="11"/>
  <c r="O112" i="11"/>
  <c r="O72" i="11"/>
  <c r="Q23" i="71" s="1"/>
  <c r="O292" i="8"/>
  <c r="O291" i="8"/>
  <c r="O293" i="8"/>
  <c r="P50" i="58"/>
  <c r="Q51" i="58"/>
  <c r="Q50" i="58" s="1"/>
  <c r="N55" i="2"/>
  <c r="N290" i="8" s="1"/>
  <c r="N54" i="2"/>
  <c r="N287" i="8"/>
  <c r="N288" i="8"/>
  <c r="N286" i="8"/>
  <c r="N189" i="11"/>
  <c r="N200" i="11" s="1"/>
  <c r="N71" i="46" s="1"/>
  <c r="J198" i="11"/>
  <c r="R72" i="11"/>
  <c r="T23" i="71" s="1"/>
  <c r="P198" i="11"/>
  <c r="K72" i="11"/>
  <c r="N118" i="11"/>
  <c r="N302" i="111" s="1"/>
  <c r="J16" i="46"/>
  <c r="Q72" i="11"/>
  <c r="S23" i="71" s="1"/>
  <c r="J118" i="11"/>
  <c r="J302" i="111" s="1"/>
  <c r="R118" i="11"/>
  <c r="T40" i="71" s="1"/>
  <c r="L72" i="11"/>
  <c r="M72" i="11"/>
  <c r="P72" i="11"/>
  <c r="R23" i="71" s="1"/>
  <c r="I96" i="11"/>
  <c r="I91" i="11"/>
  <c r="I251" i="111" s="1"/>
  <c r="L40" i="27"/>
  <c r="E91" i="11"/>
  <c r="E251" i="111" s="1"/>
  <c r="E96" i="11"/>
  <c r="H182" i="11"/>
  <c r="H57" i="27"/>
  <c r="D52" i="27"/>
  <c r="D129" i="27" s="1"/>
  <c r="H50" i="27"/>
  <c r="D50" i="27"/>
  <c r="H49" i="27"/>
  <c r="D49" i="27"/>
  <c r="I46" i="27"/>
  <c r="E46" i="27"/>
  <c r="J45" i="27"/>
  <c r="F45" i="27"/>
  <c r="B45" i="27"/>
  <c r="G44" i="27"/>
  <c r="C44" i="27"/>
  <c r="H43" i="27"/>
  <c r="D43" i="27"/>
  <c r="Q128" i="11"/>
  <c r="M128" i="11"/>
  <c r="J40" i="27"/>
  <c r="F40" i="27"/>
  <c r="B40" i="27"/>
  <c r="G39" i="27"/>
  <c r="C39" i="27"/>
  <c r="H38" i="27"/>
  <c r="D38" i="27"/>
  <c r="P118" i="11"/>
  <c r="I23" i="27"/>
  <c r="E23" i="27"/>
  <c r="J113" i="27"/>
  <c r="F113" i="27"/>
  <c r="B113" i="27"/>
  <c r="O19" i="27"/>
  <c r="G19" i="27"/>
  <c r="C19" i="27"/>
  <c r="H18" i="27"/>
  <c r="D18" i="27"/>
  <c r="J16" i="27"/>
  <c r="J69" i="27" s="1"/>
  <c r="F16" i="27"/>
  <c r="B16" i="27"/>
  <c r="I7" i="27"/>
  <c r="D7" i="27"/>
  <c r="G98" i="27"/>
  <c r="C98" i="27"/>
  <c r="Y278" i="8"/>
  <c r="Y276" i="8"/>
  <c r="Y277" i="8"/>
  <c r="J292" i="8"/>
  <c r="J291" i="8"/>
  <c r="J293" i="8"/>
  <c r="M291" i="8"/>
  <c r="M293" i="8"/>
  <c r="M292" i="8"/>
  <c r="L277" i="8"/>
  <c r="L276" i="8"/>
  <c r="L278" i="8"/>
  <c r="D57" i="27"/>
  <c r="Y188" i="11"/>
  <c r="G184" i="11"/>
  <c r="L172" i="11"/>
  <c r="J50" i="27"/>
  <c r="G52" i="27"/>
  <c r="G129" i="27" s="1"/>
  <c r="C52" i="27"/>
  <c r="C129" i="27" s="1"/>
  <c r="G50" i="27"/>
  <c r="C50" i="27"/>
  <c r="F44" i="27"/>
  <c r="E40" i="27"/>
  <c r="J39" i="27"/>
  <c r="C38" i="27"/>
  <c r="E113" i="27"/>
  <c r="J19" i="27"/>
  <c r="E16" i="27"/>
  <c r="F98" i="27"/>
  <c r="I55" i="2"/>
  <c r="I290" i="8" s="1"/>
  <c r="I54" i="2"/>
  <c r="V285" i="8"/>
  <c r="V44" i="2"/>
  <c r="W46" i="2"/>
  <c r="H52" i="27"/>
  <c r="H129" i="27" s="1"/>
  <c r="L198" i="11"/>
  <c r="L69" i="46" s="1"/>
  <c r="C184" i="11"/>
  <c r="P172" i="11"/>
  <c r="G57" i="27"/>
  <c r="C49" i="27"/>
  <c r="D46" i="27"/>
  <c r="I45" i="27"/>
  <c r="B44" i="27"/>
  <c r="G43" i="27"/>
  <c r="B39" i="27"/>
  <c r="M112" i="11"/>
  <c r="D23" i="27"/>
  <c r="R19" i="27"/>
  <c r="B19" i="27"/>
  <c r="G18" i="27"/>
  <c r="H70" i="11"/>
  <c r="B98" i="27"/>
  <c r="Y74" i="46"/>
  <c r="Y66" i="46"/>
  <c r="N17" i="46"/>
  <c r="J17" i="46"/>
  <c r="J18" i="46"/>
  <c r="O198" i="11"/>
  <c r="O69" i="46" s="1"/>
  <c r="K198" i="11"/>
  <c r="K69" i="46" s="1"/>
  <c r="Q189" i="11"/>
  <c r="M189" i="11"/>
  <c r="M200" i="11" s="1"/>
  <c r="M71" i="46" s="1"/>
  <c r="F182" i="11"/>
  <c r="B182" i="11"/>
  <c r="O172" i="11"/>
  <c r="K167" i="11"/>
  <c r="J57" i="27"/>
  <c r="J49" i="27"/>
  <c r="F57" i="27"/>
  <c r="B57" i="27"/>
  <c r="F52" i="27"/>
  <c r="F129" i="27" s="1"/>
  <c r="B52" i="27"/>
  <c r="B129" i="27" s="1"/>
  <c r="F50" i="27"/>
  <c r="B50" i="27"/>
  <c r="F49" i="27"/>
  <c r="B49" i="27"/>
  <c r="G46" i="27"/>
  <c r="C46" i="27"/>
  <c r="H45" i="27"/>
  <c r="D45" i="27"/>
  <c r="I44" i="27"/>
  <c r="E44" i="27"/>
  <c r="J43" i="27"/>
  <c r="F43" i="27"/>
  <c r="B43" i="27"/>
  <c r="H40" i="27"/>
  <c r="D40" i="27"/>
  <c r="I39" i="27"/>
  <c r="E39" i="27"/>
  <c r="J38" i="27"/>
  <c r="F38" i="27"/>
  <c r="B38" i="27"/>
  <c r="G23" i="27"/>
  <c r="C23" i="27"/>
  <c r="H113" i="27"/>
  <c r="D113" i="27"/>
  <c r="Q19" i="27"/>
  <c r="M19" i="27"/>
  <c r="I19" i="27"/>
  <c r="E19" i="27"/>
  <c r="J18" i="27"/>
  <c r="F18" i="27"/>
  <c r="B18" i="27"/>
  <c r="H16" i="27"/>
  <c r="D16" i="27"/>
  <c r="G7" i="27"/>
  <c r="F7" i="27"/>
  <c r="B7" i="27"/>
  <c r="I98" i="27"/>
  <c r="E98" i="27"/>
  <c r="F292" i="8"/>
  <c r="F293" i="8"/>
  <c r="F291" i="8"/>
  <c r="Q276" i="8"/>
  <c r="Q277" i="8"/>
  <c r="Q278" i="8"/>
  <c r="S277" i="8"/>
  <c r="S278" i="8"/>
  <c r="S276" i="8"/>
  <c r="F276" i="8"/>
  <c r="F278" i="8"/>
  <c r="F277" i="8"/>
  <c r="Q55" i="2"/>
  <c r="Q290" i="8" s="1"/>
  <c r="Q54" i="2"/>
  <c r="R286" i="8"/>
  <c r="R288" i="8"/>
  <c r="R287" i="8"/>
  <c r="D182" i="11"/>
  <c r="AF81" i="2"/>
  <c r="AJ81" i="2"/>
  <c r="AC81" i="2"/>
  <c r="AG81" i="2"/>
  <c r="AK81" i="2"/>
  <c r="AD81" i="2"/>
  <c r="AH81" i="2"/>
  <c r="AL81" i="2"/>
  <c r="AE81" i="2"/>
  <c r="AI81" i="2"/>
  <c r="AM81" i="2"/>
  <c r="BP338" i="8"/>
  <c r="BP339" i="8"/>
  <c r="BP337" i="8"/>
  <c r="L167" i="11"/>
  <c r="C57" i="27"/>
  <c r="G49" i="27"/>
  <c r="H46" i="27"/>
  <c r="E45" i="27"/>
  <c r="J44" i="27"/>
  <c r="C43" i="27"/>
  <c r="I40" i="27"/>
  <c r="F39" i="27"/>
  <c r="G38" i="27"/>
  <c r="Q112" i="11"/>
  <c r="H23" i="27"/>
  <c r="I113" i="27"/>
  <c r="N19" i="27"/>
  <c r="F19" i="27"/>
  <c r="C18" i="27"/>
  <c r="I16" i="27"/>
  <c r="I69" i="27" s="1"/>
  <c r="H7" i="27"/>
  <c r="C7" i="27"/>
  <c r="J98" i="27"/>
  <c r="I32" i="46"/>
  <c r="E32" i="46"/>
  <c r="C20" i="46"/>
  <c r="M19" i="46"/>
  <c r="Q17" i="46"/>
  <c r="M17" i="46"/>
  <c r="Q18" i="46"/>
  <c r="G204" i="11"/>
  <c r="P189" i="11"/>
  <c r="L189" i="11"/>
  <c r="L200" i="11" s="1"/>
  <c r="L71" i="46" s="1"/>
  <c r="I182" i="11"/>
  <c r="E182" i="11"/>
  <c r="J52" i="27"/>
  <c r="J129" i="27" s="1"/>
  <c r="I57" i="27"/>
  <c r="E57" i="27"/>
  <c r="I52" i="27"/>
  <c r="I129" i="27" s="1"/>
  <c r="E52" i="27"/>
  <c r="E129" i="27" s="1"/>
  <c r="I50" i="27"/>
  <c r="E50" i="27"/>
  <c r="I49" i="27"/>
  <c r="E49" i="27"/>
  <c r="J46" i="27"/>
  <c r="F46" i="27"/>
  <c r="B46" i="27"/>
  <c r="G45" i="27"/>
  <c r="C45" i="27"/>
  <c r="H44" i="27"/>
  <c r="D44" i="27"/>
  <c r="I43" i="27"/>
  <c r="E43" i="27"/>
  <c r="G40" i="27"/>
  <c r="C40" i="27"/>
  <c r="H39" i="27"/>
  <c r="D39" i="27"/>
  <c r="I38" i="27"/>
  <c r="E38" i="27"/>
  <c r="O118" i="11"/>
  <c r="Q118" i="11"/>
  <c r="S40" i="71" s="1"/>
  <c r="M118" i="11"/>
  <c r="B25" i="27"/>
  <c r="B112" i="27" s="1"/>
  <c r="J23" i="27"/>
  <c r="F23" i="27"/>
  <c r="B23" i="27"/>
  <c r="G113" i="27"/>
  <c r="C113" i="27"/>
  <c r="P19" i="27"/>
  <c r="H19" i="27"/>
  <c r="D19" i="27"/>
  <c r="I18" i="27"/>
  <c r="E18" i="27"/>
  <c r="G16" i="27"/>
  <c r="C16" i="27"/>
  <c r="N72" i="11"/>
  <c r="J72" i="11"/>
  <c r="J7" i="27"/>
  <c r="E7" i="27"/>
  <c r="H98" i="27"/>
  <c r="D98" i="27"/>
  <c r="R292" i="8"/>
  <c r="R291" i="8"/>
  <c r="R293" i="8"/>
  <c r="U293" i="8"/>
  <c r="U291" i="8"/>
  <c r="U292" i="8"/>
  <c r="H91" i="11"/>
  <c r="H251" i="111" s="1"/>
  <c r="H96" i="11"/>
  <c r="D91" i="11"/>
  <c r="D251" i="111" s="1"/>
  <c r="D96" i="11"/>
  <c r="R142" i="11"/>
  <c r="E184" i="11"/>
  <c r="L112" i="11"/>
  <c r="I190" i="11"/>
  <c r="D184" i="11"/>
  <c r="S112" i="11"/>
  <c r="K112" i="11"/>
  <c r="G20" i="46"/>
  <c r="I20" i="46"/>
  <c r="E20" i="46"/>
  <c r="U51" i="58"/>
  <c r="U50" i="58" s="1"/>
  <c r="T50" i="58"/>
  <c r="I51" i="58"/>
  <c r="I50" i="58" s="1"/>
  <c r="H50" i="58"/>
  <c r="M51" i="58"/>
  <c r="M50" i="58" s="1"/>
  <c r="L50" i="58"/>
  <c r="H190" i="11"/>
  <c r="D190" i="11"/>
  <c r="H184" i="11"/>
  <c r="C182" i="11"/>
  <c r="O128" i="11"/>
  <c r="O383" i="111" s="1"/>
  <c r="K128" i="11"/>
  <c r="K383" i="111" s="1"/>
  <c r="K36" i="11"/>
  <c r="K12" i="76" s="1"/>
  <c r="K20" i="76" s="1"/>
  <c r="R128" i="11"/>
  <c r="N128" i="11"/>
  <c r="N383" i="111" s="1"/>
  <c r="J128" i="11"/>
  <c r="J383" i="111" s="1"/>
  <c r="J36" i="11"/>
  <c r="J12" i="76" s="1"/>
  <c r="J20" i="76" s="1"/>
  <c r="G182" i="11"/>
  <c r="I184" i="11"/>
  <c r="P128" i="11"/>
  <c r="P383" i="111" s="1"/>
  <c r="L128" i="11"/>
  <c r="L383" i="111" s="1"/>
  <c r="R112" i="11"/>
  <c r="N112" i="11"/>
  <c r="F184" i="11"/>
  <c r="B184" i="11"/>
  <c r="B190" i="11"/>
  <c r="M36" i="11"/>
  <c r="M12" i="76" s="1"/>
  <c r="M20" i="76" s="1"/>
  <c r="L36" i="11"/>
  <c r="L12" i="76" s="1"/>
  <c r="L20" i="76" s="1"/>
  <c r="N36" i="11"/>
  <c r="N12" i="76" s="1"/>
  <c r="N20" i="76" s="1"/>
  <c r="BK96" i="2" l="1"/>
  <c r="E42" i="71"/>
  <c r="D42" i="71"/>
  <c r="C173" i="11"/>
  <c r="G173" i="11"/>
  <c r="D173" i="11"/>
  <c r="H173" i="11"/>
  <c r="E173" i="11"/>
  <c r="I173" i="11"/>
  <c r="B173" i="11"/>
  <c r="F173" i="11"/>
  <c r="T27" i="76"/>
  <c r="T173" i="11"/>
  <c r="R27" i="76"/>
  <c r="R28" i="76"/>
  <c r="Q28" i="76"/>
  <c r="S28" i="76"/>
  <c r="W28" i="76"/>
  <c r="T28" i="76"/>
  <c r="P28" i="76"/>
  <c r="R63" i="76"/>
  <c r="P23" i="76"/>
  <c r="Q23" i="76"/>
  <c r="R23" i="76"/>
  <c r="R26" i="76"/>
  <c r="Q27" i="76"/>
  <c r="R64" i="76"/>
  <c r="O20" i="76"/>
  <c r="O23" i="76"/>
  <c r="R62" i="76"/>
  <c r="AG277" i="8"/>
  <c r="Q282" i="111"/>
  <c r="Q285" i="111" s="1"/>
  <c r="AG278" i="8"/>
  <c r="AJ18" i="71"/>
  <c r="AJ48" i="71" s="1"/>
  <c r="S37" i="71"/>
  <c r="AH11" i="71"/>
  <c r="B9" i="71"/>
  <c r="B39" i="71" s="1"/>
  <c r="Q18" i="71"/>
  <c r="AK18" i="71"/>
  <c r="AK48" i="71" s="1"/>
  <c r="T37" i="71"/>
  <c r="AI18" i="71"/>
  <c r="AI48" i="71" s="1"/>
  <c r="R37" i="71"/>
  <c r="AH18" i="71"/>
  <c r="AH48" i="71" s="1"/>
  <c r="Q37" i="71"/>
  <c r="D17" i="71"/>
  <c r="S36" i="71"/>
  <c r="J17" i="71"/>
  <c r="J48" i="71" s="1"/>
  <c r="Y36" i="71"/>
  <c r="E17" i="71"/>
  <c r="T36" i="71"/>
  <c r="F17" i="71"/>
  <c r="U36" i="71"/>
  <c r="G17" i="71"/>
  <c r="G48" i="71" s="1"/>
  <c r="V36" i="71"/>
  <c r="B17" i="71"/>
  <c r="Q36" i="71"/>
  <c r="C17" i="71"/>
  <c r="R36" i="71"/>
  <c r="AC139" i="11"/>
  <c r="T215" i="11"/>
  <c r="AI34" i="2"/>
  <c r="AI270" i="8" s="1"/>
  <c r="AI272" i="8" s="1"/>
  <c r="AJ32" i="2" a="1"/>
  <c r="AJ32" i="2" s="1"/>
  <c r="AJ35" i="2" s="1"/>
  <c r="AJ36" i="2" s="1"/>
  <c r="AJ275" i="8" s="1"/>
  <c r="C195" i="11"/>
  <c r="C67" i="46" s="1"/>
  <c r="BJ96" i="2"/>
  <c r="BJ97" i="2" s="1"/>
  <c r="G31" i="27"/>
  <c r="I31" i="27"/>
  <c r="J31" i="27"/>
  <c r="H31" i="27"/>
  <c r="J15" i="92"/>
  <c r="P200" i="11"/>
  <c r="P71" i="46" s="1"/>
  <c r="O200" i="11"/>
  <c r="O71" i="46" s="1"/>
  <c r="Z158" i="11"/>
  <c r="T200" i="11"/>
  <c r="T71" i="46" s="1"/>
  <c r="D31" i="27"/>
  <c r="B31" i="27"/>
  <c r="F31" i="27"/>
  <c r="C31" i="27"/>
  <c r="B193" i="11"/>
  <c r="G34" i="46"/>
  <c r="C34" i="46"/>
  <c r="F34" i="46"/>
  <c r="H33" i="46"/>
  <c r="I33" i="46"/>
  <c r="C33" i="46"/>
  <c r="E77" i="46"/>
  <c r="H34" i="46"/>
  <c r="F33" i="46"/>
  <c r="H77" i="46"/>
  <c r="D77" i="46"/>
  <c r="E34" i="46"/>
  <c r="D34" i="46"/>
  <c r="D33" i="46"/>
  <c r="E33" i="46"/>
  <c r="B33" i="46"/>
  <c r="G33" i="46"/>
  <c r="F77" i="46"/>
  <c r="I34" i="46"/>
  <c r="I77" i="46"/>
  <c r="B34" i="46"/>
  <c r="G77" i="46"/>
  <c r="Q200" i="11"/>
  <c r="Q71" i="46" s="1"/>
  <c r="BH96" i="2"/>
  <c r="BI96" i="2"/>
  <c r="CS96" i="2"/>
  <c r="CL96" i="2"/>
  <c r="CW96" i="2"/>
  <c r="CR96" i="2"/>
  <c r="CV96" i="2"/>
  <c r="CQ96" i="2"/>
  <c r="CP96" i="2"/>
  <c r="CU96" i="2"/>
  <c r="CO96" i="2"/>
  <c r="CT96" i="2"/>
  <c r="CN96" i="2"/>
  <c r="CM96" i="2"/>
  <c r="AJ166" i="11"/>
  <c r="BR98" i="112"/>
  <c r="BV98" i="112" s="1"/>
  <c r="AJ169" i="11"/>
  <c r="BG96" i="2"/>
  <c r="BF96" i="2"/>
  <c r="BE96" i="2"/>
  <c r="BB180" i="8"/>
  <c r="BB177" i="8" s="1"/>
  <c r="D114" i="8"/>
  <c r="T158" i="8"/>
  <c r="O42" i="60"/>
  <c r="O44" i="60" s="1"/>
  <c r="R383" i="111"/>
  <c r="AM534" i="111"/>
  <c r="AN534" i="111"/>
  <c r="AP533" i="111"/>
  <c r="AL534" i="111"/>
  <c r="AO534" i="111"/>
  <c r="AK152" i="8"/>
  <c r="P114" i="8"/>
  <c r="K114" i="8"/>
  <c r="Q114" i="8"/>
  <c r="Q152" i="8"/>
  <c r="G152" i="8"/>
  <c r="I114" i="8"/>
  <c r="R114" i="8"/>
  <c r="Q177" i="8"/>
  <c r="J152" i="8"/>
  <c r="N114" i="8"/>
  <c r="N152" i="8"/>
  <c r="G114" i="8"/>
  <c r="C114" i="8"/>
  <c r="E114" i="8"/>
  <c r="M152" i="8"/>
  <c r="O114" i="8"/>
  <c r="U158" i="8"/>
  <c r="AL533" i="111"/>
  <c r="AE533" i="111"/>
  <c r="AI533" i="111"/>
  <c r="AT532" i="111"/>
  <c r="AU532" i="111"/>
  <c r="R79" i="27"/>
  <c r="AJ177" i="8"/>
  <c r="AG177" i="8"/>
  <c r="R80" i="27"/>
  <c r="CK96" i="2"/>
  <c r="CE96" i="2"/>
  <c r="BY96" i="2"/>
  <c r="BS96" i="2"/>
  <c r="BM96" i="2"/>
  <c r="CJ96" i="2"/>
  <c r="CD96" i="2"/>
  <c r="BX96" i="2"/>
  <c r="BR96" i="2"/>
  <c r="BL96" i="2"/>
  <c r="CI96" i="2"/>
  <c r="CC96" i="2"/>
  <c r="BW96" i="2"/>
  <c r="BQ96" i="2"/>
  <c r="CH96" i="2"/>
  <c r="CB96" i="2"/>
  <c r="BV96" i="2"/>
  <c r="BP96" i="2"/>
  <c r="CG96" i="2"/>
  <c r="CA96" i="2"/>
  <c r="BU96" i="2"/>
  <c r="BO96" i="2"/>
  <c r="CF96" i="2"/>
  <c r="BZ96" i="2"/>
  <c r="BT96" i="2"/>
  <c r="BN96" i="2"/>
  <c r="BZ33" i="112"/>
  <c r="P389" i="111"/>
  <c r="R389" i="111"/>
  <c r="O69" i="111"/>
  <c r="AJ484" i="111"/>
  <c r="AI484" i="111"/>
  <c r="AB219" i="8"/>
  <c r="AB222" i="8" s="1"/>
  <c r="AO484" i="111"/>
  <c r="AR484" i="111"/>
  <c r="AM484" i="111"/>
  <c r="AS484" i="111"/>
  <c r="P69" i="46"/>
  <c r="AK219" i="8"/>
  <c r="AK222" i="8" s="1"/>
  <c r="AP484" i="111"/>
  <c r="J69" i="46"/>
  <c r="O389" i="111"/>
  <c r="AN484" i="111"/>
  <c r="AF484" i="111"/>
  <c r="AK484" i="111"/>
  <c r="P251" i="112"/>
  <c r="D265" i="112"/>
  <c r="M886" i="111"/>
  <c r="U200" i="112"/>
  <c r="U201" i="112" s="1"/>
  <c r="U253" i="112"/>
  <c r="N251" i="112"/>
  <c r="M171" i="112"/>
  <c r="Q195" i="112"/>
  <c r="U442" i="111"/>
  <c r="Y443" i="111" s="1"/>
  <c r="U471" i="111"/>
  <c r="N886" i="111"/>
  <c r="O442" i="111"/>
  <c r="O471" i="111"/>
  <c r="K195" i="112"/>
  <c r="G171" i="112"/>
  <c r="K886" i="111"/>
  <c r="J265" i="112"/>
  <c r="J251" i="112"/>
  <c r="M265" i="112"/>
  <c r="AD443" i="111"/>
  <c r="L251" i="112"/>
  <c r="L195" i="112"/>
  <c r="P471" i="111"/>
  <c r="P442" i="111"/>
  <c r="H171" i="112"/>
  <c r="T253" i="112"/>
  <c r="X254" i="112" s="1"/>
  <c r="T200" i="112"/>
  <c r="T201" i="112" s="1"/>
  <c r="K471" i="111"/>
  <c r="K472" i="111" s="1"/>
  <c r="G195" i="112"/>
  <c r="K442" i="111"/>
  <c r="N471" i="111"/>
  <c r="N442" i="111"/>
  <c r="J195" i="112"/>
  <c r="Q442" i="111"/>
  <c r="I171" i="112"/>
  <c r="Q471" i="111"/>
  <c r="M195" i="112"/>
  <c r="V253" i="112"/>
  <c r="V200" i="112"/>
  <c r="V201" i="112" s="1"/>
  <c r="K171" i="112"/>
  <c r="S442" i="111"/>
  <c r="O195" i="112"/>
  <c r="S471" i="111"/>
  <c r="Z472" i="111"/>
  <c r="Y472" i="111"/>
  <c r="AJ219" i="8"/>
  <c r="AJ221" i="8" s="1"/>
  <c r="V471" i="111"/>
  <c r="R195" i="112"/>
  <c r="V442" i="111"/>
  <c r="O171" i="112"/>
  <c r="M251" i="112"/>
  <c r="L442" i="111"/>
  <c r="H195" i="112"/>
  <c r="L471" i="111"/>
  <c r="C265" i="112"/>
  <c r="G251" i="112"/>
  <c r="F251" i="112"/>
  <c r="F257" i="112"/>
  <c r="F258" i="112" s="1"/>
  <c r="L886" i="111"/>
  <c r="R251" i="112"/>
  <c r="R171" i="112"/>
  <c r="K251" i="112"/>
  <c r="AC443" i="111"/>
  <c r="AG219" i="8"/>
  <c r="AG220" i="8" s="1"/>
  <c r="H251" i="112"/>
  <c r="S253" i="112"/>
  <c r="W254" i="112" s="1"/>
  <c r="S200" i="112"/>
  <c r="S201" i="112" s="1"/>
  <c r="X472" i="111"/>
  <c r="F265" i="112"/>
  <c r="M442" i="111"/>
  <c r="M471" i="111"/>
  <c r="I195" i="112"/>
  <c r="N171" i="112"/>
  <c r="R471" i="111"/>
  <c r="N195" i="112"/>
  <c r="J171" i="112"/>
  <c r="R442" i="111"/>
  <c r="I251" i="112"/>
  <c r="E265" i="112"/>
  <c r="W257" i="112"/>
  <c r="W258" i="112" s="1"/>
  <c r="AA254" i="112"/>
  <c r="O251" i="112"/>
  <c r="Q171" i="112"/>
  <c r="X257" i="112"/>
  <c r="X258" i="112" s="1"/>
  <c r="AB254" i="112"/>
  <c r="T442" i="111"/>
  <c r="T471" i="111"/>
  <c r="L171" i="112"/>
  <c r="P195" i="112"/>
  <c r="N265" i="112"/>
  <c r="Q389" i="111"/>
  <c r="U105" i="11"/>
  <c r="Q168" i="11"/>
  <c r="P168" i="11"/>
  <c r="F194" i="11"/>
  <c r="F209" i="11" s="1"/>
  <c r="O168" i="11"/>
  <c r="L67" i="111"/>
  <c r="O199" i="111"/>
  <c r="O201" i="111"/>
  <c r="O276" i="111"/>
  <c r="O279" i="111"/>
  <c r="P214" i="111"/>
  <c r="P199" i="111"/>
  <c r="P201" i="111"/>
  <c r="P216" i="111"/>
  <c r="P279" i="111"/>
  <c r="P276" i="111"/>
  <c r="Q214" i="111"/>
  <c r="Q216" i="111"/>
  <c r="Q201" i="111"/>
  <c r="Q279" i="111"/>
  <c r="Q276" i="111"/>
  <c r="R214" i="111"/>
  <c r="R199" i="111"/>
  <c r="R216" i="111"/>
  <c r="R201" i="111"/>
  <c r="N276" i="111"/>
  <c r="N279" i="111"/>
  <c r="O200" i="111"/>
  <c r="K279" i="111"/>
  <c r="K276" i="111"/>
  <c r="P200" i="111"/>
  <c r="P215" i="111"/>
  <c r="L276" i="111"/>
  <c r="L279" i="111"/>
  <c r="Q199" i="111"/>
  <c r="Q215" i="111"/>
  <c r="Q200" i="111"/>
  <c r="M279" i="111"/>
  <c r="M276" i="111"/>
  <c r="R200" i="111"/>
  <c r="R215" i="111"/>
  <c r="J279" i="111"/>
  <c r="J276" i="111"/>
  <c r="R276" i="111"/>
  <c r="R279" i="111"/>
  <c r="L69" i="111"/>
  <c r="P68" i="111"/>
  <c r="AB152" i="8"/>
  <c r="AM177" i="8"/>
  <c r="H152" i="8"/>
  <c r="J114" i="8"/>
  <c r="X163" i="8"/>
  <c r="P152" i="8"/>
  <c r="L114" i="8"/>
  <c r="AE152" i="8"/>
  <c r="T177" i="8"/>
  <c r="U177" i="8"/>
  <c r="I152" i="8"/>
  <c r="H114" i="8"/>
  <c r="M114" i="8"/>
  <c r="F114" i="8"/>
  <c r="W163" i="8"/>
  <c r="O152" i="8"/>
  <c r="P69" i="111"/>
  <c r="Q133" i="11"/>
  <c r="Q383" i="111"/>
  <c r="J389" i="111"/>
  <c r="K69" i="111"/>
  <c r="N389" i="111"/>
  <c r="G25" i="46"/>
  <c r="G250" i="111"/>
  <c r="K389" i="111"/>
  <c r="M133" i="11"/>
  <c r="M383" i="111"/>
  <c r="H289" i="111"/>
  <c r="N67" i="111"/>
  <c r="M389" i="111"/>
  <c r="B25" i="46"/>
  <c r="B250" i="111"/>
  <c r="L389" i="111"/>
  <c r="R302" i="111"/>
  <c r="K302" i="111"/>
  <c r="Q206" i="111"/>
  <c r="R205" i="111"/>
  <c r="O204" i="111"/>
  <c r="O209" i="111" s="1"/>
  <c r="P206" i="111"/>
  <c r="AT489" i="111"/>
  <c r="AT490" i="111"/>
  <c r="AX489" i="111"/>
  <c r="Z294" i="112"/>
  <c r="Z290" i="112"/>
  <c r="Y294" i="112"/>
  <c r="Y290" i="112"/>
  <c r="AE291" i="112"/>
  <c r="AE214" i="8" s="1"/>
  <c r="AE215" i="8" s="1"/>
  <c r="R68" i="111"/>
  <c r="N332" i="111"/>
  <c r="N333" i="111"/>
  <c r="O850" i="111"/>
  <c r="L332" i="111"/>
  <c r="L333" i="111"/>
  <c r="M850" i="111"/>
  <c r="K332" i="111"/>
  <c r="K333" i="111"/>
  <c r="L850" i="111"/>
  <c r="M302" i="111"/>
  <c r="P302" i="111"/>
  <c r="R206" i="111"/>
  <c r="O205" i="111"/>
  <c r="AC291" i="112"/>
  <c r="AC214" i="8" s="1"/>
  <c r="AC215" i="8" s="1"/>
  <c r="AG534" i="111"/>
  <c r="AD533" i="111"/>
  <c r="AE534" i="111"/>
  <c r="AF534" i="111"/>
  <c r="AD534" i="111"/>
  <c r="AL124" i="112"/>
  <c r="AL159" i="8" s="1"/>
  <c r="AL160" i="8" s="1"/>
  <c r="AL208" i="112"/>
  <c r="AL293" i="112"/>
  <c r="AL306" i="112"/>
  <c r="AL59" i="112"/>
  <c r="AU489" i="111"/>
  <c r="AU490" i="111"/>
  <c r="AY489" i="111"/>
  <c r="AH291" i="112"/>
  <c r="AH214" i="8" s="1"/>
  <c r="AH217" i="8" s="1"/>
  <c r="AI291" i="112"/>
  <c r="AI214" i="8" s="1"/>
  <c r="M333" i="111"/>
  <c r="M332" i="111"/>
  <c r="N850" i="111"/>
  <c r="Q302" i="111"/>
  <c r="O206" i="111"/>
  <c r="O211" i="111" s="1"/>
  <c r="AI36" i="2"/>
  <c r="AI275" i="8" s="1"/>
  <c r="AI276" i="8" s="1"/>
  <c r="AG291" i="112"/>
  <c r="AG214" i="8" s="1"/>
  <c r="AG217" i="8" s="1"/>
  <c r="AB291" i="112"/>
  <c r="AB214" i="8" s="1"/>
  <c r="AB216" i="8" s="1"/>
  <c r="AJ291" i="112"/>
  <c r="AJ214" i="8" s="1"/>
  <c r="AJ215" i="8" s="1"/>
  <c r="AM59" i="112"/>
  <c r="AM124" i="112"/>
  <c r="AM159" i="8" s="1"/>
  <c r="AM208" i="112"/>
  <c r="AM293" i="112"/>
  <c r="AM306" i="112"/>
  <c r="M67" i="111"/>
  <c r="Q68" i="111"/>
  <c r="AQ484" i="111"/>
  <c r="AI219" i="8"/>
  <c r="U291" i="112"/>
  <c r="U214" i="8" s="1"/>
  <c r="U217" i="8" s="1"/>
  <c r="R69" i="111"/>
  <c r="J332" i="111"/>
  <c r="J333" i="111"/>
  <c r="K850" i="111"/>
  <c r="O302" i="111"/>
  <c r="Q205" i="111"/>
  <c r="P205" i="111"/>
  <c r="O332" i="111"/>
  <c r="O333" i="111"/>
  <c r="P850" i="111"/>
  <c r="AD294" i="112"/>
  <c r="AD290" i="112"/>
  <c r="AK291" i="112"/>
  <c r="AK214" i="8" s="1"/>
  <c r="AK217" i="8" s="1"/>
  <c r="W294" i="112"/>
  <c r="W290" i="112"/>
  <c r="AA291" i="112"/>
  <c r="AA214" i="8" s="1"/>
  <c r="AA215" i="8" s="1"/>
  <c r="V294" i="112"/>
  <c r="V290" i="112"/>
  <c r="AG533" i="111"/>
  <c r="AK533" i="111"/>
  <c r="AK534" i="111"/>
  <c r="AH533" i="111"/>
  <c r="AI534" i="111"/>
  <c r="AJ534" i="111"/>
  <c r="AH534" i="111"/>
  <c r="M69" i="111"/>
  <c r="Q69" i="111"/>
  <c r="AF291" i="112"/>
  <c r="AF214" i="8" s="1"/>
  <c r="AF216" i="8" s="1"/>
  <c r="AC484" i="111"/>
  <c r="U219" i="8"/>
  <c r="X291" i="112"/>
  <c r="X214" i="8" s="1"/>
  <c r="X216" i="8" s="1"/>
  <c r="K67" i="111"/>
  <c r="N69" i="111"/>
  <c r="O67" i="111"/>
  <c r="F195" i="11"/>
  <c r="F67" i="46" s="1"/>
  <c r="R27" i="46"/>
  <c r="Q27" i="46"/>
  <c r="O26" i="46"/>
  <c r="O27" i="46"/>
  <c r="H195" i="11"/>
  <c r="H67" i="46" s="1"/>
  <c r="I195" i="11"/>
  <c r="I67" i="46" s="1"/>
  <c r="F206" i="11"/>
  <c r="P28" i="46"/>
  <c r="R28" i="46"/>
  <c r="L171" i="11"/>
  <c r="J168" i="11"/>
  <c r="N171" i="11"/>
  <c r="K171" i="11"/>
  <c r="L168" i="11"/>
  <c r="M168" i="11"/>
  <c r="J171" i="11"/>
  <c r="K168" i="11"/>
  <c r="N168" i="11"/>
  <c r="R168" i="11"/>
  <c r="AK19" i="71" s="1"/>
  <c r="AK49" i="71" s="1"/>
  <c r="O28" i="46"/>
  <c r="Q28" i="46"/>
  <c r="P27" i="46"/>
  <c r="N282" i="8"/>
  <c r="N281" i="8"/>
  <c r="N283" i="8"/>
  <c r="I283" i="8"/>
  <c r="I281" i="8"/>
  <c r="I282" i="8"/>
  <c r="Q281" i="8"/>
  <c r="Q283" i="8"/>
  <c r="Q282" i="8"/>
  <c r="AE219" i="8"/>
  <c r="AE221" i="8" s="1"/>
  <c r="P171" i="11"/>
  <c r="C19" i="71" s="1"/>
  <c r="C46" i="71" s="1"/>
  <c r="H194" i="11"/>
  <c r="H209" i="11" s="1"/>
  <c r="E194" i="11"/>
  <c r="E209" i="11" s="1"/>
  <c r="O66" i="11"/>
  <c r="N66" i="11"/>
  <c r="J66" i="11"/>
  <c r="L66" i="11"/>
  <c r="M66" i="11"/>
  <c r="K66" i="11"/>
  <c r="K200" i="11"/>
  <c r="AL197" i="8"/>
  <c r="Y203" i="8"/>
  <c r="AB203" i="8"/>
  <c r="T203" i="8"/>
  <c r="AD203" i="8"/>
  <c r="AG197" i="8"/>
  <c r="AH197" i="8"/>
  <c r="D193" i="11"/>
  <c r="E195" i="11"/>
  <c r="E67" i="46" s="1"/>
  <c r="I194" i="11"/>
  <c r="D194" i="11"/>
  <c r="D209" i="11" s="1"/>
  <c r="G194" i="11"/>
  <c r="G195" i="11"/>
  <c r="G67" i="46" s="1"/>
  <c r="G193" i="11"/>
  <c r="C192" i="11"/>
  <c r="C194" i="11"/>
  <c r="C209" i="11" s="1"/>
  <c r="P191" i="11"/>
  <c r="R171" i="11"/>
  <c r="B194" i="11"/>
  <c r="N32" i="46"/>
  <c r="O171" i="11"/>
  <c r="B19" i="71" s="1"/>
  <c r="B46" i="71" s="1"/>
  <c r="Q171" i="11"/>
  <c r="D19" i="71" s="1"/>
  <c r="D46" i="71" s="1"/>
  <c r="L191" i="11"/>
  <c r="N191" i="11"/>
  <c r="K191" i="11"/>
  <c r="M191" i="11"/>
  <c r="M171" i="11"/>
  <c r="J191" i="11"/>
  <c r="I106" i="11"/>
  <c r="I107" i="11" s="1"/>
  <c r="I108" i="11"/>
  <c r="I102" i="11"/>
  <c r="I211" i="11" s="1"/>
  <c r="I845" i="111"/>
  <c r="B106" i="11"/>
  <c r="B107" i="11" s="1"/>
  <c r="B108" i="11"/>
  <c r="B175" i="11"/>
  <c r="B102" i="11"/>
  <c r="F102" i="11"/>
  <c r="F211" i="11" s="1"/>
  <c r="F106" i="11"/>
  <c r="F107" i="11" s="1"/>
  <c r="F108" i="11"/>
  <c r="F109" i="11" s="1"/>
  <c r="F252" i="111" s="1"/>
  <c r="F845" i="111"/>
  <c r="D106" i="11"/>
  <c r="D107" i="11" s="1"/>
  <c r="D108" i="11"/>
  <c r="D845" i="111"/>
  <c r="D102" i="11"/>
  <c r="D211" i="11" s="1"/>
  <c r="C102" i="11"/>
  <c r="C106" i="11"/>
  <c r="C107" i="11" s="1"/>
  <c r="C108" i="11"/>
  <c r="C29" i="46" s="1"/>
  <c r="C845" i="111"/>
  <c r="G102" i="11"/>
  <c r="G211" i="11" s="1"/>
  <c r="G106" i="11"/>
  <c r="G107" i="11" s="1"/>
  <c r="G108" i="11"/>
  <c r="G29" i="46" s="1"/>
  <c r="G845" i="111"/>
  <c r="H106" i="11"/>
  <c r="H107" i="11" s="1"/>
  <c r="H108" i="11"/>
  <c r="H845" i="111"/>
  <c r="H102" i="11"/>
  <c r="H211" i="11" s="1"/>
  <c r="E106" i="11"/>
  <c r="E107" i="11" s="1"/>
  <c r="E108" i="11"/>
  <c r="E102" i="11"/>
  <c r="E211" i="11" s="1"/>
  <c r="E845" i="111"/>
  <c r="X221" i="8"/>
  <c r="X220" i="8"/>
  <c r="X222" i="8"/>
  <c r="AA221" i="8"/>
  <c r="AA222" i="8"/>
  <c r="AA220" i="8"/>
  <c r="AF221" i="8"/>
  <c r="AF222" i="8"/>
  <c r="AF220" i="8"/>
  <c r="AH222" i="8"/>
  <c r="AH221" i="8"/>
  <c r="AH220" i="8"/>
  <c r="AC221" i="8"/>
  <c r="AC222" i="8"/>
  <c r="AC220" i="8"/>
  <c r="H215" i="11"/>
  <c r="I215" i="11"/>
  <c r="E215" i="11"/>
  <c r="F215" i="11"/>
  <c r="C68" i="11"/>
  <c r="D68" i="11"/>
  <c r="E68" i="11"/>
  <c r="F68" i="11"/>
  <c r="G215" i="11"/>
  <c r="D215" i="11"/>
  <c r="G68" i="11"/>
  <c r="H68" i="11"/>
  <c r="I68" i="11"/>
  <c r="B68" i="11"/>
  <c r="F11" i="27"/>
  <c r="O68" i="11"/>
  <c r="B11" i="27"/>
  <c r="D11" i="27"/>
  <c r="K24" i="27"/>
  <c r="C11" i="27"/>
  <c r="E11" i="27"/>
  <c r="B210" i="11"/>
  <c r="F192" i="11"/>
  <c r="D205" i="11"/>
  <c r="I192" i="11"/>
  <c r="G192" i="11"/>
  <c r="Q191" i="11"/>
  <c r="O204" i="11"/>
  <c r="O191" i="11"/>
  <c r="J170" i="11"/>
  <c r="K170" i="11"/>
  <c r="M170" i="11"/>
  <c r="N170" i="11"/>
  <c r="L170" i="11"/>
  <c r="M68" i="11"/>
  <c r="K68" i="11"/>
  <c r="L68" i="11"/>
  <c r="J68" i="11"/>
  <c r="J70" i="11"/>
  <c r="N68" i="11"/>
  <c r="N159" i="8"/>
  <c r="N161" i="8" s="1"/>
  <c r="L159" i="8"/>
  <c r="L160" i="8" s="1"/>
  <c r="D21" i="46"/>
  <c r="J204" i="11"/>
  <c r="I21" i="46"/>
  <c r="L118" i="11"/>
  <c r="L302" i="111" s="1"/>
  <c r="E25" i="46"/>
  <c r="E21" i="46"/>
  <c r="I25" i="46"/>
  <c r="H25" i="46"/>
  <c r="D25" i="46"/>
  <c r="H21" i="46"/>
  <c r="C98" i="11"/>
  <c r="C179" i="11" s="1"/>
  <c r="K190" i="11"/>
  <c r="K194" i="11" s="1"/>
  <c r="K21" i="46"/>
  <c r="L21" i="46"/>
  <c r="P161" i="8"/>
  <c r="P160" i="8"/>
  <c r="R161" i="8"/>
  <c r="R160" i="8"/>
  <c r="S161" i="8"/>
  <c r="S160" i="8"/>
  <c r="M160" i="8"/>
  <c r="M161" i="8"/>
  <c r="Q160" i="8"/>
  <c r="Q161" i="8"/>
  <c r="G24" i="27"/>
  <c r="AN197" i="8"/>
  <c r="G99" i="11"/>
  <c r="E205" i="11"/>
  <c r="G98" i="11"/>
  <c r="G179" i="11" s="1"/>
  <c r="H205" i="11"/>
  <c r="C99" i="11"/>
  <c r="G21" i="46"/>
  <c r="Q164" i="8"/>
  <c r="Q165" i="8" s="1"/>
  <c r="AC197" i="8"/>
  <c r="W198" i="8"/>
  <c r="W199" i="8" s="1"/>
  <c r="X198" i="8"/>
  <c r="X199" i="8" s="1"/>
  <c r="Q32" i="46"/>
  <c r="H192" i="11"/>
  <c r="F21" i="46"/>
  <c r="G205" i="11"/>
  <c r="E192" i="11"/>
  <c r="C205" i="11"/>
  <c r="F98" i="11"/>
  <c r="F179" i="11" s="1"/>
  <c r="D192" i="11"/>
  <c r="F205" i="11"/>
  <c r="M32" i="46"/>
  <c r="F99" i="11"/>
  <c r="M190" i="11"/>
  <c r="M194" i="11" s="1"/>
  <c r="N61" i="11"/>
  <c r="N90" i="11" s="1"/>
  <c r="L61" i="11"/>
  <c r="L90" i="11" s="1"/>
  <c r="O64" i="11"/>
  <c r="O61" i="11"/>
  <c r="O90" i="11" s="1"/>
  <c r="K61" i="11"/>
  <c r="M61" i="11"/>
  <c r="M90" i="11" s="1"/>
  <c r="J61" i="11"/>
  <c r="J90" i="11" s="1"/>
  <c r="O190" i="11"/>
  <c r="O164" i="8"/>
  <c r="O166" i="8" s="1"/>
  <c r="N213" i="11"/>
  <c r="V203" i="8"/>
  <c r="AI197" i="8"/>
  <c r="AF203" i="8"/>
  <c r="S203" i="8"/>
  <c r="U203" i="8"/>
  <c r="X203" i="8"/>
  <c r="J213" i="11"/>
  <c r="H24" i="27"/>
  <c r="M213" i="11"/>
  <c r="K64" i="11"/>
  <c r="J64" i="11"/>
  <c r="L64" i="11"/>
  <c r="M64" i="11"/>
  <c r="N64" i="11"/>
  <c r="J190" i="11"/>
  <c r="J194" i="11" s="1"/>
  <c r="C58" i="27"/>
  <c r="J32" i="46"/>
  <c r="L190" i="11"/>
  <c r="L194" i="11" s="1"/>
  <c r="B21" i="46"/>
  <c r="H205" i="8"/>
  <c r="H203" i="8" s="1"/>
  <c r="BM90" i="2"/>
  <c r="BM66" i="2" s="1"/>
  <c r="BM88" i="2"/>
  <c r="BQ88" i="2"/>
  <c r="BQ90" i="2"/>
  <c r="BQ66" i="2" s="1"/>
  <c r="BL90" i="2"/>
  <c r="BL66" i="2" s="1"/>
  <c r="BL88" i="2"/>
  <c r="BO88" i="2"/>
  <c r="BO90" i="2"/>
  <c r="BO66" i="2" s="1"/>
  <c r="BN88" i="2"/>
  <c r="BN90" i="2"/>
  <c r="BN66" i="2" s="1"/>
  <c r="BP90" i="2"/>
  <c r="BP66" i="2" s="1"/>
  <c r="BP88" i="2"/>
  <c r="I206" i="8"/>
  <c r="I203" i="8" s="1"/>
  <c r="J205" i="8"/>
  <c r="J203" i="8" s="1"/>
  <c r="F25" i="46"/>
  <c r="C80" i="11"/>
  <c r="C250" i="111" s="1"/>
  <c r="C21" i="46"/>
  <c r="P190" i="11"/>
  <c r="D58" i="27"/>
  <c r="R32" i="46"/>
  <c r="O32" i="46"/>
  <c r="B99" i="11"/>
  <c r="B98" i="11"/>
  <c r="N204" i="11"/>
  <c r="R205" i="8"/>
  <c r="R203" i="8" s="1"/>
  <c r="G206" i="8"/>
  <c r="G203" i="8" s="1"/>
  <c r="N190" i="11"/>
  <c r="N194" i="11" s="1"/>
  <c r="Q213" i="11"/>
  <c r="Q206" i="8"/>
  <c r="Q203" i="8" s="1"/>
  <c r="M206" i="8"/>
  <c r="M203" i="8" s="1"/>
  <c r="N206" i="8"/>
  <c r="N203" i="8" s="1"/>
  <c r="AF200" i="8"/>
  <c r="AF199" i="8"/>
  <c r="AE200" i="8"/>
  <c r="AE199" i="8"/>
  <c r="AD199" i="8"/>
  <c r="AD200" i="8"/>
  <c r="L206" i="8"/>
  <c r="L203" i="8" s="1"/>
  <c r="K206" i="8"/>
  <c r="K203" i="8" s="1"/>
  <c r="O206" i="8"/>
  <c r="O205" i="8"/>
  <c r="AL203" i="8"/>
  <c r="P206" i="8"/>
  <c r="P205" i="8"/>
  <c r="R164" i="8"/>
  <c r="R165" i="8" s="1"/>
  <c r="O159" i="8"/>
  <c r="V165" i="8"/>
  <c r="V166" i="8"/>
  <c r="P164" i="8"/>
  <c r="P166" i="8" s="1"/>
  <c r="U166" i="8"/>
  <c r="U165" i="8"/>
  <c r="T166" i="8"/>
  <c r="T165" i="8"/>
  <c r="S166" i="8"/>
  <c r="S165" i="8"/>
  <c r="J164" i="8"/>
  <c r="N164" i="8"/>
  <c r="G159" i="8"/>
  <c r="K159" i="8"/>
  <c r="I164" i="8"/>
  <c r="M164" i="8"/>
  <c r="F159" i="8"/>
  <c r="F160" i="8" s="1"/>
  <c r="F158" i="8" s="1"/>
  <c r="J159" i="8"/>
  <c r="K164" i="8"/>
  <c r="G164" i="8"/>
  <c r="H159" i="8"/>
  <c r="H164" i="8"/>
  <c r="L164" i="8"/>
  <c r="I159" i="8"/>
  <c r="R198" i="11"/>
  <c r="R69" i="46" s="1"/>
  <c r="R189" i="11"/>
  <c r="AK177" i="8"/>
  <c r="B27" i="27"/>
  <c r="C27" i="27"/>
  <c r="O21" i="46"/>
  <c r="M21" i="46"/>
  <c r="L204" i="11"/>
  <c r="N292" i="8"/>
  <c r="N291" i="8"/>
  <c r="N293" i="8"/>
  <c r="R21" i="46"/>
  <c r="J27" i="27"/>
  <c r="J80" i="11"/>
  <c r="J250" i="111" s="1"/>
  <c r="J37" i="11"/>
  <c r="J184" i="11"/>
  <c r="K80" i="11"/>
  <c r="P213" i="11"/>
  <c r="F27" i="27"/>
  <c r="K37" i="11"/>
  <c r="Q21" i="46"/>
  <c r="P21" i="46"/>
  <c r="O184" i="11"/>
  <c r="G6" i="27"/>
  <c r="G8" i="27" s="1"/>
  <c r="G126" i="27" s="1"/>
  <c r="O15" i="46"/>
  <c r="P133" i="11"/>
  <c r="N133" i="11"/>
  <c r="K70" i="11"/>
  <c r="C6" i="27"/>
  <c r="C8" i="27" s="1"/>
  <c r="C126" i="27" s="1"/>
  <c r="K15" i="46"/>
  <c r="D24" i="27"/>
  <c r="I27" i="27"/>
  <c r="E58" i="27"/>
  <c r="P204" i="11"/>
  <c r="I24" i="27"/>
  <c r="G42" i="27"/>
  <c r="G47" i="27" s="1"/>
  <c r="P32" i="46"/>
  <c r="C112" i="27"/>
  <c r="B42" i="27"/>
  <c r="B47" i="27" s="1"/>
  <c r="J42" i="27"/>
  <c r="J47" i="27" s="1"/>
  <c r="F58" i="27"/>
  <c r="M204" i="11"/>
  <c r="L213" i="11"/>
  <c r="V286" i="8"/>
  <c r="V287" i="8"/>
  <c r="V288" i="8"/>
  <c r="I292" i="8"/>
  <c r="I293" i="8"/>
  <c r="I291" i="8"/>
  <c r="H27" i="27"/>
  <c r="I42" i="27"/>
  <c r="I47" i="27" s="1"/>
  <c r="R133" i="11"/>
  <c r="G27" i="27"/>
  <c r="Q204" i="11"/>
  <c r="Q190" i="11"/>
  <c r="E112" i="27"/>
  <c r="H42" i="27"/>
  <c r="H47" i="27" s="1"/>
  <c r="E42" i="27"/>
  <c r="E47" i="27" s="1"/>
  <c r="H58" i="27"/>
  <c r="M182" i="11"/>
  <c r="E6" i="27"/>
  <c r="E8" i="27" s="1"/>
  <c r="E126" i="27" s="1"/>
  <c r="M15" i="46"/>
  <c r="F24" i="27"/>
  <c r="B6" i="27"/>
  <c r="B8" i="27" s="1"/>
  <c r="B126" i="27" s="1"/>
  <c r="J15" i="46"/>
  <c r="J20" i="46" s="1"/>
  <c r="K133" i="11"/>
  <c r="C24" i="27"/>
  <c r="J21" i="46"/>
  <c r="E27" i="27"/>
  <c r="I58" i="27"/>
  <c r="K215" i="11"/>
  <c r="G112" i="27"/>
  <c r="F42" i="27"/>
  <c r="F47" i="27" s="1"/>
  <c r="B58" i="27"/>
  <c r="K213" i="11"/>
  <c r="W285" i="8"/>
  <c r="W44" i="2"/>
  <c r="X46" i="2"/>
  <c r="I98" i="11"/>
  <c r="I179" i="11" s="1"/>
  <c r="I99" i="11"/>
  <c r="N182" i="11"/>
  <c r="F6" i="27"/>
  <c r="F8" i="27" s="1"/>
  <c r="F126" i="27" s="1"/>
  <c r="N15" i="46"/>
  <c r="D6" i="27"/>
  <c r="D8" i="27" s="1"/>
  <c r="D126" i="27" s="1"/>
  <c r="L15" i="46"/>
  <c r="J24" i="27"/>
  <c r="L133" i="11"/>
  <c r="J182" i="11"/>
  <c r="J133" i="11"/>
  <c r="J847" i="111" s="1"/>
  <c r="O133" i="11"/>
  <c r="N21" i="46"/>
  <c r="L32" i="46"/>
  <c r="Q292" i="8"/>
  <c r="Q291" i="8"/>
  <c r="Q293" i="8"/>
  <c r="J58" i="27"/>
  <c r="K32" i="46"/>
  <c r="O213" i="11"/>
  <c r="E24" i="27"/>
  <c r="G58" i="27"/>
  <c r="W46" i="58"/>
  <c r="V45" i="2"/>
  <c r="V53" i="2"/>
  <c r="C42" i="27"/>
  <c r="C47" i="27" s="1"/>
  <c r="I112" i="27"/>
  <c r="D42" i="27"/>
  <c r="D47" i="27" s="1"/>
  <c r="E98" i="11"/>
  <c r="E179" i="11" s="1"/>
  <c r="E99" i="11"/>
  <c r="I205" i="11"/>
  <c r="H98" i="11"/>
  <c r="H179" i="11" s="1"/>
  <c r="H99" i="11"/>
  <c r="D98" i="11"/>
  <c r="D179" i="11" s="1"/>
  <c r="D99" i="11"/>
  <c r="K181" i="11"/>
  <c r="K182" i="11"/>
  <c r="K184" i="11"/>
  <c r="J181" i="11"/>
  <c r="N37" i="11"/>
  <c r="N80" i="11"/>
  <c r="N181" i="11"/>
  <c r="L80" i="11"/>
  <c r="L37" i="11"/>
  <c r="L184" i="11"/>
  <c r="L181" i="11"/>
  <c r="L182" i="11"/>
  <c r="L70" i="11"/>
  <c r="O37" i="11"/>
  <c r="Q19" i="71" s="1"/>
  <c r="O70" i="11"/>
  <c r="Q32" i="71" s="1"/>
  <c r="O80" i="11"/>
  <c r="Q27" i="71" s="1"/>
  <c r="O181" i="11"/>
  <c r="O182" i="11"/>
  <c r="N70" i="11"/>
  <c r="M37" i="11"/>
  <c r="M80" i="11"/>
  <c r="M70" i="11"/>
  <c r="M184" i="11"/>
  <c r="M181" i="11"/>
  <c r="B205" i="11"/>
  <c r="B192" i="11"/>
  <c r="N184" i="11"/>
  <c r="D304" i="111" l="1"/>
  <c r="I304" i="111"/>
  <c r="BK98" i="2"/>
  <c r="BK97" i="2"/>
  <c r="E206" i="11"/>
  <c r="G289" i="111"/>
  <c r="G304" i="111"/>
  <c r="F289" i="111"/>
  <c r="F304" i="111"/>
  <c r="G206" i="11"/>
  <c r="E304" i="111"/>
  <c r="E289" i="111"/>
  <c r="AH14" i="71"/>
  <c r="AH44" i="71" s="1"/>
  <c r="I289" i="111"/>
  <c r="D206" i="11"/>
  <c r="D289" i="111"/>
  <c r="C289" i="111"/>
  <c r="B206" i="11"/>
  <c r="H304" i="111"/>
  <c r="I206" i="11"/>
  <c r="C206" i="11"/>
  <c r="H206" i="11"/>
  <c r="B289" i="111"/>
  <c r="R71" i="76"/>
  <c r="R66" i="76"/>
  <c r="AJ34" i="2"/>
  <c r="AJ270" i="8" s="1"/>
  <c r="AJ273" i="8" s="1"/>
  <c r="AK32" i="2" a="1"/>
  <c r="AK32" i="2" s="1"/>
  <c r="R281" i="111" s="1"/>
  <c r="R284" i="111" s="1"/>
  <c r="AI19" i="71"/>
  <c r="AI49" i="71" s="1"/>
  <c r="R38" i="71"/>
  <c r="B11" i="71"/>
  <c r="B41" i="71" s="1"/>
  <c r="AH41" i="71"/>
  <c r="AH13" i="71"/>
  <c r="AH43" i="71" s="1"/>
  <c r="AI271" i="8"/>
  <c r="AH19" i="71"/>
  <c r="AH49" i="71" s="1"/>
  <c r="Q38" i="71"/>
  <c r="AJ19" i="71"/>
  <c r="AJ49" i="71" s="1"/>
  <c r="S38" i="71"/>
  <c r="AI273" i="8"/>
  <c r="E19" i="71"/>
  <c r="E46" i="71" s="1"/>
  <c r="T38" i="71"/>
  <c r="AD139" i="11"/>
  <c r="BJ98" i="2"/>
  <c r="T210" i="11"/>
  <c r="Q77" i="46"/>
  <c r="J77" i="46"/>
  <c r="H394" i="111"/>
  <c r="G394" i="111"/>
  <c r="I394" i="111"/>
  <c r="C394" i="111"/>
  <c r="B75" i="46"/>
  <c r="B392" i="111"/>
  <c r="E394" i="111"/>
  <c r="P77" i="46"/>
  <c r="M77" i="46"/>
  <c r="D394" i="111"/>
  <c r="F394" i="111"/>
  <c r="B137" i="27"/>
  <c r="B207" i="11"/>
  <c r="I207" i="11"/>
  <c r="F207" i="11"/>
  <c r="C207" i="11"/>
  <c r="G207" i="11"/>
  <c r="H207" i="11"/>
  <c r="E207" i="11"/>
  <c r="D207" i="11"/>
  <c r="F208" i="11"/>
  <c r="R200" i="11"/>
  <c r="R71" i="46" s="1"/>
  <c r="BI98" i="2"/>
  <c r="BI97" i="2"/>
  <c r="X113" i="11" s="1"/>
  <c r="BH98" i="2"/>
  <c r="BH97" i="2"/>
  <c r="BG98" i="2"/>
  <c r="BG97" i="2"/>
  <c r="P42" i="60"/>
  <c r="P44" i="60" s="1"/>
  <c r="BF98" i="2"/>
  <c r="BF97" i="2"/>
  <c r="P198" i="112"/>
  <c r="F137" i="27"/>
  <c r="G137" i="27"/>
  <c r="D137" i="27"/>
  <c r="E137" i="27"/>
  <c r="C137" i="27"/>
  <c r="N198" i="112"/>
  <c r="O198" i="112"/>
  <c r="Q198" i="112"/>
  <c r="L198" i="112"/>
  <c r="R198" i="112"/>
  <c r="T198" i="112"/>
  <c r="M198" i="112"/>
  <c r="S198" i="112"/>
  <c r="BE97" i="2"/>
  <c r="BE98" i="2"/>
  <c r="AK221" i="8"/>
  <c r="AK220" i="8"/>
  <c r="AX533" i="111"/>
  <c r="AT533" i="111"/>
  <c r="AU533" i="111"/>
  <c r="AG221" i="8"/>
  <c r="Q158" i="8"/>
  <c r="R158" i="8"/>
  <c r="AY533" i="111"/>
  <c r="BZ98" i="112"/>
  <c r="CD33" i="112"/>
  <c r="AJ220" i="8"/>
  <c r="AJ222" i="8"/>
  <c r="AB221" i="8"/>
  <c r="V472" i="111"/>
  <c r="P472" i="111"/>
  <c r="AG222" i="8"/>
  <c r="AB220" i="8"/>
  <c r="E848" i="111"/>
  <c r="C848" i="111"/>
  <c r="AE484" i="111"/>
  <c r="K71" i="46"/>
  <c r="AG484" i="111"/>
  <c r="I848" i="111"/>
  <c r="AH484" i="111"/>
  <c r="H848" i="111"/>
  <c r="D848" i="111"/>
  <c r="G848" i="111"/>
  <c r="F848" i="111"/>
  <c r="AD484" i="111"/>
  <c r="R443" i="111"/>
  <c r="AK215" i="8"/>
  <c r="Q472" i="111"/>
  <c r="T472" i="111"/>
  <c r="T443" i="111"/>
  <c r="R472" i="111"/>
  <c r="S443" i="111"/>
  <c r="Q443" i="111"/>
  <c r="V443" i="111"/>
  <c r="I253" i="112"/>
  <c r="I200" i="112"/>
  <c r="I201" i="112" s="1"/>
  <c r="I198" i="8" s="1"/>
  <c r="I199" i="8" s="1"/>
  <c r="S472" i="111"/>
  <c r="N472" i="111"/>
  <c r="W443" i="111"/>
  <c r="L253" i="112"/>
  <c r="L200" i="112"/>
  <c r="L201" i="112" s="1"/>
  <c r="O443" i="111"/>
  <c r="Q200" i="112"/>
  <c r="Q201" i="112" s="1"/>
  <c r="Q198" i="8" s="1"/>
  <c r="Q200" i="8" s="1"/>
  <c r="Q253" i="112"/>
  <c r="U254" i="112" s="1"/>
  <c r="U257" i="112"/>
  <c r="U258" i="112" s="1"/>
  <c r="Y254" i="112"/>
  <c r="N253" i="112"/>
  <c r="N200" i="112"/>
  <c r="N201" i="112" s="1"/>
  <c r="M472" i="111"/>
  <c r="L472" i="111"/>
  <c r="O253" i="112"/>
  <c r="S254" i="112" s="1"/>
  <c r="O200" i="112"/>
  <c r="O201" i="112" s="1"/>
  <c r="O198" i="8" s="1"/>
  <c r="O199" i="8" s="1"/>
  <c r="W219" i="8"/>
  <c r="W221" i="8" s="1"/>
  <c r="V219" i="8"/>
  <c r="V220" i="8" s="1"/>
  <c r="H253" i="112"/>
  <c r="H200" i="112"/>
  <c r="H201" i="112" s="1"/>
  <c r="H198" i="8" s="1"/>
  <c r="H200" i="8" s="1"/>
  <c r="R253" i="112"/>
  <c r="V254" i="112" s="1"/>
  <c r="R200" i="112"/>
  <c r="R201" i="112" s="1"/>
  <c r="R198" i="8" s="1"/>
  <c r="M253" i="112"/>
  <c r="M200" i="112"/>
  <c r="M201" i="112" s="1"/>
  <c r="J253" i="112"/>
  <c r="J200" i="112"/>
  <c r="J201" i="112" s="1"/>
  <c r="J198" i="8" s="1"/>
  <c r="J199" i="8" s="1"/>
  <c r="G253" i="112"/>
  <c r="G200" i="112"/>
  <c r="G201" i="112" s="1"/>
  <c r="G198" i="8" s="1"/>
  <c r="G199" i="8" s="1"/>
  <c r="T257" i="112"/>
  <c r="T258" i="112" s="1"/>
  <c r="P443" i="111"/>
  <c r="Z443" i="111"/>
  <c r="K198" i="112"/>
  <c r="K253" i="112"/>
  <c r="K200" i="112"/>
  <c r="K201" i="112" s="1"/>
  <c r="U472" i="111"/>
  <c r="W472" i="111"/>
  <c r="P253" i="112"/>
  <c r="P200" i="112"/>
  <c r="P201" i="112" s="1"/>
  <c r="P198" i="8" s="1"/>
  <c r="P199" i="8" s="1"/>
  <c r="S257" i="112"/>
  <c r="S258" i="112" s="1"/>
  <c r="X443" i="111"/>
  <c r="V257" i="112"/>
  <c r="V258" i="112" s="1"/>
  <c r="Z254" i="112"/>
  <c r="O472" i="111"/>
  <c r="U443" i="111"/>
  <c r="N847" i="111"/>
  <c r="Z219" i="8"/>
  <c r="Z222" i="8" s="1"/>
  <c r="AE216" i="8"/>
  <c r="AK216" i="8"/>
  <c r="AI277" i="8"/>
  <c r="U216" i="8"/>
  <c r="AI278" i="8"/>
  <c r="AE217" i="8"/>
  <c r="U215" i="8"/>
  <c r="R847" i="111"/>
  <c r="L847" i="111"/>
  <c r="O847" i="111"/>
  <c r="K846" i="111"/>
  <c r="Q211" i="111"/>
  <c r="S158" i="8"/>
  <c r="P158" i="8"/>
  <c r="AF215" i="8"/>
  <c r="M158" i="8"/>
  <c r="AF217" i="8"/>
  <c r="P847" i="111"/>
  <c r="M846" i="111"/>
  <c r="L846" i="111"/>
  <c r="J846" i="111"/>
  <c r="M847" i="111"/>
  <c r="K847" i="111"/>
  <c r="O846" i="111"/>
  <c r="N846" i="111"/>
  <c r="Q847" i="111"/>
  <c r="M250" i="111"/>
  <c r="K250" i="111"/>
  <c r="Q210" i="111"/>
  <c r="Y291" i="112"/>
  <c r="Y214" i="8" s="1"/>
  <c r="Y217" i="8" s="1"/>
  <c r="O250" i="111"/>
  <c r="AD291" i="112"/>
  <c r="AD214" i="8" s="1"/>
  <c r="AD217" i="8" s="1"/>
  <c r="AI221" i="8"/>
  <c r="AI220" i="8"/>
  <c r="AI222" i="8"/>
  <c r="AI217" i="8"/>
  <c r="AI216" i="8"/>
  <c r="AI215" i="8"/>
  <c r="P210" i="111"/>
  <c r="O210" i="111"/>
  <c r="U220" i="8"/>
  <c r="U222" i="8"/>
  <c r="U221" i="8"/>
  <c r="AL484" i="111"/>
  <c r="AD219" i="8"/>
  <c r="AM294" i="112"/>
  <c r="AM219" i="8" s="1"/>
  <c r="AM222" i="8" s="1"/>
  <c r="AM290" i="112"/>
  <c r="Z291" i="112"/>
  <c r="Z214" i="8" s="1"/>
  <c r="Z215" i="8" s="1"/>
  <c r="L250" i="111"/>
  <c r="N250" i="111"/>
  <c r="V291" i="112"/>
  <c r="V214" i="8" s="1"/>
  <c r="V215" i="8" s="1"/>
  <c r="W291" i="112"/>
  <c r="W214" i="8" s="1"/>
  <c r="W215" i="8" s="1"/>
  <c r="AL294" i="112"/>
  <c r="AL219" i="8" s="1"/>
  <c r="AL222" i="8" s="1"/>
  <c r="AL290" i="112"/>
  <c r="R211" i="111"/>
  <c r="P211" i="111"/>
  <c r="R210" i="111"/>
  <c r="K90" i="11"/>
  <c r="AH216" i="8"/>
  <c r="AH215" i="8"/>
  <c r="AE220" i="8"/>
  <c r="AE222" i="8"/>
  <c r="AA216" i="8"/>
  <c r="AA217" i="8"/>
  <c r="O25" i="46"/>
  <c r="V52" i="2"/>
  <c r="V280" i="8" s="1"/>
  <c r="AB215" i="8"/>
  <c r="AB217" i="8"/>
  <c r="AG216" i="8"/>
  <c r="Y219" i="8"/>
  <c r="Y222" i="8" s="1"/>
  <c r="AG215" i="8"/>
  <c r="AJ216" i="8"/>
  <c r="AJ217" i="8"/>
  <c r="AE197" i="8"/>
  <c r="E177" i="11"/>
  <c r="E176" i="11"/>
  <c r="E175" i="11"/>
  <c r="E212" i="11"/>
  <c r="E197" i="11"/>
  <c r="E68" i="46" s="1"/>
  <c r="G114" i="11"/>
  <c r="G175" i="11"/>
  <c r="G212" i="11"/>
  <c r="G197" i="11"/>
  <c r="G68" i="46" s="1"/>
  <c r="G177" i="11"/>
  <c r="G176" i="11"/>
  <c r="C175" i="11"/>
  <c r="C177" i="11"/>
  <c r="C176" i="11"/>
  <c r="F175" i="11"/>
  <c r="F212" i="11"/>
  <c r="F197" i="11"/>
  <c r="F68" i="46" s="1"/>
  <c r="F176" i="11"/>
  <c r="F177" i="11"/>
  <c r="I177" i="11"/>
  <c r="I176" i="11"/>
  <c r="I175" i="11"/>
  <c r="I212" i="11"/>
  <c r="I197" i="11"/>
  <c r="I68" i="46" s="1"/>
  <c r="H176" i="11"/>
  <c r="H177" i="11"/>
  <c r="H175" i="11"/>
  <c r="H212" i="11"/>
  <c r="H197" i="11"/>
  <c r="H68" i="46" s="1"/>
  <c r="D176" i="11"/>
  <c r="D177" i="11"/>
  <c r="D175" i="11"/>
  <c r="D212" i="11"/>
  <c r="D197" i="11"/>
  <c r="D68" i="46" s="1"/>
  <c r="P195" i="11"/>
  <c r="O194" i="11"/>
  <c r="P194" i="11"/>
  <c r="Q194" i="11"/>
  <c r="M193" i="11"/>
  <c r="M195" i="11"/>
  <c r="N195" i="11"/>
  <c r="N193" i="11"/>
  <c r="J195" i="11"/>
  <c r="J193" i="11"/>
  <c r="K195" i="11"/>
  <c r="K193" i="11"/>
  <c r="L195" i="11"/>
  <c r="L193" i="11"/>
  <c r="C174" i="11"/>
  <c r="G109" i="11"/>
  <c r="G252" i="111" s="1"/>
  <c r="C109" i="11"/>
  <c r="C252" i="111" s="1"/>
  <c r="AC217" i="8"/>
  <c r="AC216" i="8"/>
  <c r="X217" i="8"/>
  <c r="X215" i="8"/>
  <c r="AL161" i="8"/>
  <c r="AL158" i="8" s="1"/>
  <c r="AM160" i="8"/>
  <c r="AM161" i="8"/>
  <c r="O195" i="11"/>
  <c r="O193" i="11"/>
  <c r="R191" i="11"/>
  <c r="Q195" i="11"/>
  <c r="J215" i="11"/>
  <c r="O215" i="11"/>
  <c r="G210" i="11"/>
  <c r="E210" i="11"/>
  <c r="D210" i="11"/>
  <c r="F210" i="11"/>
  <c r="H210" i="11"/>
  <c r="I210" i="11"/>
  <c r="C210" i="11"/>
  <c r="J209" i="11"/>
  <c r="M209" i="11"/>
  <c r="N160" i="8"/>
  <c r="N158" i="8" s="1"/>
  <c r="L161" i="8"/>
  <c r="L158" i="8" s="1"/>
  <c r="R204" i="11"/>
  <c r="R213" i="11"/>
  <c r="D27" i="27"/>
  <c r="F196" i="11"/>
  <c r="F174" i="11"/>
  <c r="F116" i="11"/>
  <c r="F114" i="11"/>
  <c r="G174" i="11"/>
  <c r="K192" i="11"/>
  <c r="K205" i="11"/>
  <c r="R33" i="46"/>
  <c r="J25" i="46"/>
  <c r="Q33" i="46"/>
  <c r="G160" i="8"/>
  <c r="G161" i="8"/>
  <c r="O161" i="8"/>
  <c r="O160" i="8"/>
  <c r="I160" i="8"/>
  <c r="I161" i="8"/>
  <c r="H161" i="8"/>
  <c r="H160" i="8"/>
  <c r="J161" i="8"/>
  <c r="J160" i="8"/>
  <c r="K161" i="8"/>
  <c r="K160" i="8"/>
  <c r="G116" i="11"/>
  <c r="G196" i="11"/>
  <c r="AJ276" i="8"/>
  <c r="AJ277" i="8"/>
  <c r="AJ278" i="8"/>
  <c r="G209" i="11"/>
  <c r="Q166" i="8"/>
  <c r="Q163" i="8" s="1"/>
  <c r="S198" i="8"/>
  <c r="S199" i="8" s="1"/>
  <c r="U198" i="8"/>
  <c r="V198" i="8"/>
  <c r="V199" i="8" s="1"/>
  <c r="F29" i="46"/>
  <c r="M192" i="11"/>
  <c r="J62" i="11"/>
  <c r="J249" i="111" s="1"/>
  <c r="M205" i="11"/>
  <c r="M33" i="46"/>
  <c r="N33" i="46"/>
  <c r="O192" i="11"/>
  <c r="O205" i="11"/>
  <c r="G12" i="27"/>
  <c r="D12" i="27"/>
  <c r="F12" i="27"/>
  <c r="B12" i="27"/>
  <c r="E12" i="27"/>
  <c r="C12" i="27"/>
  <c r="O165" i="8"/>
  <c r="O163" i="8" s="1"/>
  <c r="N77" i="46"/>
  <c r="L192" i="11"/>
  <c r="L205" i="11"/>
  <c r="AF197" i="8"/>
  <c r="P203" i="8"/>
  <c r="O203" i="8"/>
  <c r="AD197" i="8"/>
  <c r="P205" i="11"/>
  <c r="J192" i="11"/>
  <c r="L215" i="11"/>
  <c r="J205" i="11"/>
  <c r="J33" i="46"/>
  <c r="I196" i="11"/>
  <c r="D196" i="11"/>
  <c r="E196" i="11"/>
  <c r="H196" i="11"/>
  <c r="BN120" i="8"/>
  <c r="BN82" i="112" s="1"/>
  <c r="X200" i="8"/>
  <c r="X197" i="8" s="1"/>
  <c r="N215" i="11"/>
  <c r="N192" i="11"/>
  <c r="N209" i="11"/>
  <c r="N205" i="11"/>
  <c r="O33" i="46"/>
  <c r="C25" i="46"/>
  <c r="B174" i="11"/>
  <c r="B109" i="11"/>
  <c r="B252" i="111" s="1"/>
  <c r="B29" i="46"/>
  <c r="W200" i="8"/>
  <c r="W197" i="8" s="1"/>
  <c r="T163" i="8"/>
  <c r="S163" i="8"/>
  <c r="U163" i="8"/>
  <c r="V163" i="8"/>
  <c r="R166" i="8"/>
  <c r="R163" i="8" s="1"/>
  <c r="P165" i="8"/>
  <c r="N165" i="8"/>
  <c r="N166" i="8"/>
  <c r="J165" i="8"/>
  <c r="J166" i="8"/>
  <c r="M166" i="8"/>
  <c r="M165" i="8"/>
  <c r="I166" i="8"/>
  <c r="I165" i="8"/>
  <c r="L165" i="8"/>
  <c r="L166" i="8"/>
  <c r="G165" i="8"/>
  <c r="G166" i="8"/>
  <c r="H166" i="8"/>
  <c r="H165" i="8"/>
  <c r="K166" i="8"/>
  <c r="K165" i="8"/>
  <c r="R190" i="11"/>
  <c r="R194" i="11" s="1"/>
  <c r="K25" i="46"/>
  <c r="K62" i="11"/>
  <c r="L20" i="46"/>
  <c r="K35" i="46"/>
  <c r="I209" i="11"/>
  <c r="E109" i="11"/>
  <c r="E252" i="111" s="1"/>
  <c r="E29" i="46"/>
  <c r="O77" i="46"/>
  <c r="K33" i="46"/>
  <c r="J34" i="46"/>
  <c r="N34" i="46"/>
  <c r="I116" i="11"/>
  <c r="I174" i="11"/>
  <c r="I114" i="11"/>
  <c r="W287" i="8"/>
  <c r="W286" i="8"/>
  <c r="W288" i="8"/>
  <c r="M20" i="46"/>
  <c r="Q205" i="11"/>
  <c r="P33" i="46"/>
  <c r="M35" i="46"/>
  <c r="L34" i="46"/>
  <c r="L25" i="46"/>
  <c r="W47" i="58"/>
  <c r="V55" i="2"/>
  <c r="V290" i="8" s="1"/>
  <c r="V54" i="2"/>
  <c r="L33" i="46"/>
  <c r="O20" i="46"/>
  <c r="N20" i="46"/>
  <c r="I109" i="11"/>
  <c r="I252" i="111" s="1"/>
  <c r="I29" i="46"/>
  <c r="M113" i="27"/>
  <c r="B209" i="11"/>
  <c r="B67" i="46"/>
  <c r="L35" i="46"/>
  <c r="N35" i="46"/>
  <c r="K34" i="46"/>
  <c r="D109" i="11"/>
  <c r="D252" i="111" s="1"/>
  <c r="D29" i="46"/>
  <c r="E116" i="11"/>
  <c r="E174" i="11"/>
  <c r="E114" i="11"/>
  <c r="X285" i="8"/>
  <c r="X44" i="2"/>
  <c r="Y46" i="2"/>
  <c r="Q215" i="11"/>
  <c r="M215" i="11"/>
  <c r="P215" i="11"/>
  <c r="O35" i="46"/>
  <c r="N25" i="46"/>
  <c r="M25" i="46"/>
  <c r="O34" i="46"/>
  <c r="J35" i="46"/>
  <c r="H109" i="11"/>
  <c r="H252" i="111" s="1"/>
  <c r="H29" i="46"/>
  <c r="W51" i="58"/>
  <c r="X46" i="58"/>
  <c r="W45" i="2"/>
  <c r="W53" i="2"/>
  <c r="K77" i="46"/>
  <c r="S113" i="11"/>
  <c r="M34" i="46"/>
  <c r="L77" i="46"/>
  <c r="BE87" i="2"/>
  <c r="K20" i="46"/>
  <c r="D114" i="11"/>
  <c r="D116" i="11"/>
  <c r="D174" i="11"/>
  <c r="H114" i="11"/>
  <c r="H116" i="11"/>
  <c r="H174" i="11"/>
  <c r="O62" i="11"/>
  <c r="M62" i="11"/>
  <c r="M249" i="111" s="1"/>
  <c r="L62" i="11"/>
  <c r="L249" i="111" s="1"/>
  <c r="N62" i="11"/>
  <c r="N249" i="111" s="1"/>
  <c r="G208" i="11" l="1"/>
  <c r="E208" i="11"/>
  <c r="AJ272" i="8"/>
  <c r="AJ271" i="8"/>
  <c r="D208" i="11"/>
  <c r="C208" i="11"/>
  <c r="I208" i="11"/>
  <c r="B208" i="11"/>
  <c r="H208" i="11"/>
  <c r="AK35" i="2"/>
  <c r="AK36" i="2" s="1"/>
  <c r="AK275" i="8" s="1"/>
  <c r="AK276" i="8" s="1"/>
  <c r="AL32" i="2" a="1"/>
  <c r="AL32" i="2" s="1"/>
  <c r="AL35" i="2" s="1"/>
  <c r="AK34" i="2"/>
  <c r="AK270" i="8" s="1"/>
  <c r="AK272" i="8" s="1"/>
  <c r="AE139" i="11"/>
  <c r="R206" i="11"/>
  <c r="R215" i="11"/>
  <c r="T75" i="46"/>
  <c r="F303" i="111"/>
  <c r="E75" i="46"/>
  <c r="D392" i="111"/>
  <c r="H393" i="111"/>
  <c r="F392" i="111"/>
  <c r="E392" i="111"/>
  <c r="D30" i="46"/>
  <c r="F30" i="46"/>
  <c r="C75" i="46"/>
  <c r="G75" i="46"/>
  <c r="D393" i="111"/>
  <c r="I393" i="111"/>
  <c r="G76" i="46"/>
  <c r="D303" i="111"/>
  <c r="E30" i="46"/>
  <c r="I303" i="111"/>
  <c r="I75" i="46"/>
  <c r="F393" i="111"/>
  <c r="C393" i="111"/>
  <c r="G392" i="111"/>
  <c r="E393" i="111"/>
  <c r="H30" i="46"/>
  <c r="H75" i="46"/>
  <c r="C392" i="111"/>
  <c r="G303" i="111"/>
  <c r="H303" i="111"/>
  <c r="G30" i="46"/>
  <c r="F75" i="46"/>
  <c r="H76" i="46"/>
  <c r="I76" i="46"/>
  <c r="E303" i="111"/>
  <c r="I30" i="46"/>
  <c r="D75" i="46"/>
  <c r="D76" i="46"/>
  <c r="H392" i="111"/>
  <c r="I392" i="111"/>
  <c r="F76" i="46"/>
  <c r="G393" i="111"/>
  <c r="E76" i="46"/>
  <c r="Q209" i="11"/>
  <c r="P209" i="11"/>
  <c r="O209" i="11"/>
  <c r="K207" i="11"/>
  <c r="X198" i="11"/>
  <c r="Y7" i="76" s="1"/>
  <c r="X204" i="11"/>
  <c r="X189" i="11"/>
  <c r="X213" i="11"/>
  <c r="Q42" i="60"/>
  <c r="Q44" i="60" s="1"/>
  <c r="L25" i="27"/>
  <c r="K25" i="27"/>
  <c r="K112" i="27" s="1"/>
  <c r="BL89" i="2"/>
  <c r="BL87" i="2" s="1"/>
  <c r="BM89" i="2" s="1"/>
  <c r="BM87" i="2" s="1"/>
  <c r="BN89" i="2" s="1"/>
  <c r="BN87" i="2" s="1"/>
  <c r="BO89" i="2" s="1"/>
  <c r="BO87" i="2" s="1"/>
  <c r="BP89" i="2" s="1"/>
  <c r="BP87" i="2" s="1"/>
  <c r="BQ89" i="2" s="1"/>
  <c r="BQ87" i="2" s="1"/>
  <c r="BR89" i="2" s="1"/>
  <c r="BR87" i="2" s="1"/>
  <c r="BS89" i="2" s="1"/>
  <c r="BS87" i="2" s="1"/>
  <c r="BT89" i="2" s="1"/>
  <c r="BT87" i="2" s="1"/>
  <c r="BU89" i="2" s="1"/>
  <c r="BU87" i="2" s="1"/>
  <c r="BV89" i="2" s="1"/>
  <c r="BV87" i="2" s="1"/>
  <c r="BW89" i="2" s="1"/>
  <c r="BW87" i="2" s="1"/>
  <c r="BX89" i="2" s="1"/>
  <c r="BX87" i="2" s="1"/>
  <c r="BY89" i="2" s="1"/>
  <c r="BY87" i="2" s="1"/>
  <c r="BZ89" i="2" s="1"/>
  <c r="BZ87" i="2" s="1"/>
  <c r="CA89" i="2" s="1"/>
  <c r="CA87" i="2" s="1"/>
  <c r="CB89" i="2" s="1"/>
  <c r="CB87" i="2" s="1"/>
  <c r="CC89" i="2" s="1"/>
  <c r="CC87" i="2" s="1"/>
  <c r="CD89" i="2" s="1"/>
  <c r="CD87" i="2" s="1"/>
  <c r="CE89" i="2" s="1"/>
  <c r="CE87" i="2" s="1"/>
  <c r="CF89" i="2" s="1"/>
  <c r="CF87" i="2" s="1"/>
  <c r="CG89" i="2" s="1"/>
  <c r="CG87" i="2" s="1"/>
  <c r="CH89" i="2" s="1"/>
  <c r="CH87" i="2" s="1"/>
  <c r="CI89" i="2" s="1"/>
  <c r="CI87" i="2" s="1"/>
  <c r="CJ89" i="2" s="1"/>
  <c r="CJ87" i="2" s="1"/>
  <c r="CK89" i="2" s="1"/>
  <c r="CK87" i="2" s="1"/>
  <c r="CL89" i="2" s="1"/>
  <c r="CL87" i="2" s="1"/>
  <c r="CM89" i="2" s="1"/>
  <c r="CM87" i="2" s="1"/>
  <c r="CN89" i="2" s="1"/>
  <c r="CN87" i="2" s="1"/>
  <c r="CO89" i="2" s="1"/>
  <c r="CO87" i="2" s="1"/>
  <c r="CP89" i="2" s="1"/>
  <c r="CP87" i="2" s="1"/>
  <c r="CQ89" i="2" s="1"/>
  <c r="CQ87" i="2" s="1"/>
  <c r="CR89" i="2" s="1"/>
  <c r="CR87" i="2" s="1"/>
  <c r="CS89" i="2" s="1"/>
  <c r="CS87" i="2" s="1"/>
  <c r="CT89" i="2" s="1"/>
  <c r="CT87" i="2" s="1"/>
  <c r="CU89" i="2" s="1"/>
  <c r="CU87" i="2" s="1"/>
  <c r="CV89" i="2" s="1"/>
  <c r="CV87" i="2" s="1"/>
  <c r="CW89" i="2" s="1"/>
  <c r="CW87" i="2" s="1"/>
  <c r="G158" i="8"/>
  <c r="I158" i="8"/>
  <c r="AM158" i="8"/>
  <c r="V221" i="8"/>
  <c r="CH33" i="112"/>
  <c r="CL33" i="112" s="1"/>
  <c r="CD98" i="112"/>
  <c r="V222" i="8"/>
  <c r="W222" i="8"/>
  <c r="W220" i="8"/>
  <c r="AD216" i="8"/>
  <c r="AD215" i="8"/>
  <c r="V217" i="8"/>
  <c r="AT484" i="111"/>
  <c r="AU484" i="111"/>
  <c r="L67" i="46"/>
  <c r="W216" i="8"/>
  <c r="Q67" i="46"/>
  <c r="M67" i="46"/>
  <c r="Z220" i="8"/>
  <c r="K67" i="46"/>
  <c r="Z221" i="8"/>
  <c r="O67" i="46"/>
  <c r="J67" i="46"/>
  <c r="P67" i="46"/>
  <c r="N67" i="46"/>
  <c r="Y216" i="8"/>
  <c r="Y220" i="8"/>
  <c r="Y215" i="8"/>
  <c r="W217" i="8"/>
  <c r="I200" i="8"/>
  <c r="H199" i="8"/>
  <c r="H197" i="8" s="1"/>
  <c r="P257" i="112"/>
  <c r="P258" i="112" s="1"/>
  <c r="P254" i="112"/>
  <c r="K254" i="112"/>
  <c r="K257" i="112"/>
  <c r="K258" i="112" s="1"/>
  <c r="M254" i="112"/>
  <c r="M257" i="112"/>
  <c r="M258" i="112" s="1"/>
  <c r="O254" i="112"/>
  <c r="O257" i="112"/>
  <c r="O258" i="112" s="1"/>
  <c r="Q254" i="112"/>
  <c r="Q257" i="112"/>
  <c r="Q258" i="112" s="1"/>
  <c r="L254" i="112"/>
  <c r="L257" i="112"/>
  <c r="L258" i="112" s="1"/>
  <c r="T254" i="112"/>
  <c r="J254" i="112"/>
  <c r="J257" i="112"/>
  <c r="J258" i="112" s="1"/>
  <c r="H254" i="112"/>
  <c r="H257" i="112"/>
  <c r="H258" i="112" s="1"/>
  <c r="AU33" i="2"/>
  <c r="N254" i="112"/>
  <c r="N257" i="112"/>
  <c r="N258" i="112" s="1"/>
  <c r="G254" i="112"/>
  <c r="G257" i="112"/>
  <c r="G258" i="112" s="1"/>
  <c r="R254" i="112"/>
  <c r="R257" i="112"/>
  <c r="R258" i="112" s="1"/>
  <c r="I254" i="112"/>
  <c r="I257" i="112"/>
  <c r="I258" i="112" s="1"/>
  <c r="K158" i="8"/>
  <c r="H158" i="8"/>
  <c r="O158" i="8"/>
  <c r="J158" i="8"/>
  <c r="V216" i="8"/>
  <c r="BB434" i="111"/>
  <c r="BB435" i="111" s="1"/>
  <c r="BB432" i="111"/>
  <c r="BB433" i="111" s="1"/>
  <c r="AM291" i="112"/>
  <c r="AM214" i="8" s="1"/>
  <c r="AM215" i="8" s="1"/>
  <c r="G136" i="27"/>
  <c r="O249" i="111"/>
  <c r="C136" i="27"/>
  <c r="K249" i="111"/>
  <c r="AL291" i="112"/>
  <c r="AL214" i="8" s="1"/>
  <c r="AL216" i="8" s="1"/>
  <c r="AD220" i="8"/>
  <c r="AD221" i="8"/>
  <c r="AD222" i="8"/>
  <c r="D136" i="27"/>
  <c r="B136" i="27"/>
  <c r="F136" i="27"/>
  <c r="E136" i="27"/>
  <c r="W52" i="2"/>
  <c r="W280" i="8" s="1"/>
  <c r="V282" i="8"/>
  <c r="V281" i="8"/>
  <c r="V283" i="8"/>
  <c r="Z217" i="8"/>
  <c r="Z216" i="8"/>
  <c r="Y221" i="8"/>
  <c r="I197" i="8"/>
  <c r="AL220" i="8"/>
  <c r="AL221" i="8"/>
  <c r="AM220" i="8"/>
  <c r="AM221" i="8"/>
  <c r="K209" i="11"/>
  <c r="O207" i="11"/>
  <c r="R195" i="11"/>
  <c r="S189" i="11"/>
  <c r="R205" i="11"/>
  <c r="J91" i="11"/>
  <c r="J251" i="111" s="1"/>
  <c r="L207" i="11"/>
  <c r="J200" i="8"/>
  <c r="J197" i="8" s="1"/>
  <c r="M207" i="11"/>
  <c r="L209" i="11"/>
  <c r="S200" i="8"/>
  <c r="S197" i="8" s="1"/>
  <c r="J207" i="11"/>
  <c r="G200" i="8"/>
  <c r="G197" i="8" s="1"/>
  <c r="BN131" i="8"/>
  <c r="BN147" i="112" s="1"/>
  <c r="Q199" i="8"/>
  <c r="Q197" i="8" s="1"/>
  <c r="O200" i="8"/>
  <c r="O197" i="8" s="1"/>
  <c r="P200" i="8"/>
  <c r="P197" i="8" s="1"/>
  <c r="V200" i="8"/>
  <c r="V197" i="8" s="1"/>
  <c r="N207" i="11"/>
  <c r="U199" i="8"/>
  <c r="U200" i="8"/>
  <c r="R200" i="8"/>
  <c r="R199" i="8"/>
  <c r="N198" i="8"/>
  <c r="M198" i="8"/>
  <c r="K198" i="8"/>
  <c r="L198" i="8"/>
  <c r="T198" i="8"/>
  <c r="K163" i="8"/>
  <c r="I163" i="8"/>
  <c r="P163" i="8"/>
  <c r="G163" i="8"/>
  <c r="J163" i="8"/>
  <c r="H163" i="8"/>
  <c r="M163" i="8"/>
  <c r="L163" i="8"/>
  <c r="N163" i="8"/>
  <c r="K91" i="11"/>
  <c r="K251" i="111" s="1"/>
  <c r="X47" i="58"/>
  <c r="W54" i="2"/>
  <c r="W55" i="2"/>
  <c r="W290" i="8" s="1"/>
  <c r="X286" i="8"/>
  <c r="X288" i="8"/>
  <c r="X287" i="8"/>
  <c r="Y285" i="8"/>
  <c r="Z46" i="2"/>
  <c r="Y44" i="2"/>
  <c r="V292" i="8"/>
  <c r="V293" i="8"/>
  <c r="V291" i="8"/>
  <c r="X51" i="58"/>
  <c r="W50" i="58"/>
  <c r="Y46" i="58"/>
  <c r="X53" i="2"/>
  <c r="X45" i="2"/>
  <c r="U125" i="11"/>
  <c r="M91" i="11"/>
  <c r="M251" i="111" s="1"/>
  <c r="O91" i="11"/>
  <c r="O251" i="111" s="1"/>
  <c r="L91" i="11"/>
  <c r="L251" i="111" s="1"/>
  <c r="N91" i="11"/>
  <c r="N251" i="111" s="1"/>
  <c r="AL34" i="2" l="1"/>
  <c r="AL270" i="8" s="1"/>
  <c r="AL273" i="8" s="1"/>
  <c r="AK271" i="8"/>
  <c r="R282" i="111"/>
  <c r="R285" i="111" s="1"/>
  <c r="AM32" i="2" a="1"/>
  <c r="AM32" i="2" s="1"/>
  <c r="AM35" i="2" s="1"/>
  <c r="AM36" i="2" s="1"/>
  <c r="AM275" i="8" s="1"/>
  <c r="AM278" i="8" s="1"/>
  <c r="Y8" i="76"/>
  <c r="AK273" i="8"/>
  <c r="AF139" i="11"/>
  <c r="X206" i="11"/>
  <c r="X215" i="11"/>
  <c r="R209" i="11"/>
  <c r="X77" i="46"/>
  <c r="X200" i="11"/>
  <c r="X71" i="46" s="1"/>
  <c r="X190" i="11"/>
  <c r="X191" i="11"/>
  <c r="X205" i="11"/>
  <c r="X69" i="46"/>
  <c r="CP33" i="112"/>
  <c r="R42" i="60"/>
  <c r="R44" i="60" s="1"/>
  <c r="AK277" i="8"/>
  <c r="CH98" i="112"/>
  <c r="CL98" i="112" s="1"/>
  <c r="R67" i="46"/>
  <c r="AK278" i="8"/>
  <c r="U876" i="111"/>
  <c r="BC434" i="111"/>
  <c r="BC435" i="111" s="1"/>
  <c r="AL36" i="2"/>
  <c r="AL275" i="8" s="1"/>
  <c r="AL277" i="8" s="1"/>
  <c r="BC432" i="111"/>
  <c r="BC433" i="111" s="1"/>
  <c r="W283" i="8"/>
  <c r="W282" i="8"/>
  <c r="W281" i="8"/>
  <c r="X52" i="2"/>
  <c r="X280" i="8" s="1"/>
  <c r="AM216" i="8"/>
  <c r="AM217" i="8"/>
  <c r="AL215" i="8"/>
  <c r="AL217" i="8"/>
  <c r="R197" i="8"/>
  <c r="BL136" i="8"/>
  <c r="BL151" i="112" s="1"/>
  <c r="BL131" i="8"/>
  <c r="BL147" i="112" s="1"/>
  <c r="U197" i="8"/>
  <c r="BN125" i="8"/>
  <c r="BN86" i="112" s="1"/>
  <c r="BN77" i="112" s="1"/>
  <c r="T200" i="8"/>
  <c r="T199" i="8"/>
  <c r="M200" i="8"/>
  <c r="M199" i="8"/>
  <c r="N200" i="8"/>
  <c r="N199" i="8"/>
  <c r="L199" i="8"/>
  <c r="L200" i="8"/>
  <c r="K200" i="8"/>
  <c r="K199" i="8"/>
  <c r="Y51" i="58"/>
  <c r="X50" i="58"/>
  <c r="Y286" i="8"/>
  <c r="Y287" i="8"/>
  <c r="Y288" i="8"/>
  <c r="M40" i="27"/>
  <c r="W292" i="8"/>
  <c r="W291" i="8"/>
  <c r="W293" i="8"/>
  <c r="Z46" i="58"/>
  <c r="Y53" i="2"/>
  <c r="Y45" i="2"/>
  <c r="Y47" i="58"/>
  <c r="X54" i="2"/>
  <c r="X55" i="2"/>
  <c r="X290" i="8" s="1"/>
  <c r="Z285" i="8"/>
  <c r="AA46" i="2"/>
  <c r="Z44" i="2"/>
  <c r="AL272" i="8" l="1"/>
  <c r="AL271" i="8"/>
  <c r="AM34" i="2"/>
  <c r="AM270" i="8" s="1"/>
  <c r="AM273" i="8" s="1"/>
  <c r="AN32" i="2" a="1"/>
  <c r="AN32" i="2" s="1"/>
  <c r="AO32" i="2" s="1" a="1"/>
  <c r="AO32" i="2" s="1"/>
  <c r="AG139" i="11"/>
  <c r="CT33" i="112"/>
  <c r="CP98" i="112"/>
  <c r="S42" i="60"/>
  <c r="S44" i="60" s="1"/>
  <c r="AL278" i="8"/>
  <c r="AL276" i="8"/>
  <c r="BD432" i="111"/>
  <c r="BD433" i="111" s="1"/>
  <c r="BL142" i="112"/>
  <c r="Y52" i="2"/>
  <c r="Y280" i="8" s="1"/>
  <c r="X283" i="8"/>
  <c r="X282" i="8"/>
  <c r="X281" i="8"/>
  <c r="M197" i="8"/>
  <c r="BO136" i="8"/>
  <c r="BO151" i="112" s="1"/>
  <c r="K197" i="8"/>
  <c r="N197" i="8"/>
  <c r="T197" i="8"/>
  <c r="BL114" i="8"/>
  <c r="BL19" i="112" s="1"/>
  <c r="AM277" i="8"/>
  <c r="AM276" i="8"/>
  <c r="BO114" i="8"/>
  <c r="BO19" i="112" s="1"/>
  <c r="BN136" i="8"/>
  <c r="BN151" i="112" s="1"/>
  <c r="BN142" i="112" s="1"/>
  <c r="BO120" i="8"/>
  <c r="BO82" i="112" s="1"/>
  <c r="BO125" i="8"/>
  <c r="BO86" i="112" s="1"/>
  <c r="L197" i="8"/>
  <c r="BP136" i="8"/>
  <c r="BP151" i="112" s="1"/>
  <c r="BN114" i="8"/>
  <c r="BN19" i="112" s="1"/>
  <c r="BO131" i="8"/>
  <c r="BO147" i="112" s="1"/>
  <c r="BO109" i="8"/>
  <c r="BO15" i="112" s="1"/>
  <c r="AA46" i="58"/>
  <c r="Z45" i="2"/>
  <c r="Z53" i="2"/>
  <c r="V105" i="11"/>
  <c r="Z51" i="58"/>
  <c r="Y50" i="58"/>
  <c r="AA285" i="8"/>
  <c r="AA44" i="2"/>
  <c r="AB46" i="2"/>
  <c r="Z287" i="8"/>
  <c r="Z286" i="8"/>
  <c r="Z288" i="8"/>
  <c r="X292" i="8"/>
  <c r="X293" i="8"/>
  <c r="X291" i="8"/>
  <c r="Z47" i="58"/>
  <c r="Y55" i="2"/>
  <c r="Y290" i="8" s="1"/>
  <c r="Y54" i="2"/>
  <c r="BL18" i="112" l="1"/>
  <c r="BL9" i="112" s="1"/>
  <c r="BL11" i="112" s="1"/>
  <c r="BL12" i="112" s="1"/>
  <c r="BL10" i="112"/>
  <c r="AM271" i="8"/>
  <c r="AM272" i="8"/>
  <c r="AN34" i="2"/>
  <c r="AN270" i="8" s="1"/>
  <c r="AN273" i="8" s="1"/>
  <c r="AN35" i="2"/>
  <c r="AN36" i="2" s="1"/>
  <c r="AN275" i="8" s="1"/>
  <c r="AN277" i="8" s="1"/>
  <c r="CT98" i="112"/>
  <c r="T42" i="60"/>
  <c r="T44" i="60" s="1"/>
  <c r="AP32" i="2" a="1"/>
  <c r="AP32" i="2" s="1"/>
  <c r="AP34" i="2" s="1"/>
  <c r="J29" i="11"/>
  <c r="BO142" i="112"/>
  <c r="BO10" i="112"/>
  <c r="S281" i="111"/>
  <c r="S284" i="111" s="1"/>
  <c r="BO77" i="112"/>
  <c r="BE432" i="111"/>
  <c r="BE433" i="111" s="1"/>
  <c r="Z52" i="2"/>
  <c r="Z280" i="8" s="1"/>
  <c r="Y282" i="8"/>
  <c r="Y283" i="8"/>
  <c r="Y281" i="8"/>
  <c r="BQ136" i="8"/>
  <c r="BQ151" i="112" s="1"/>
  <c r="AO35" i="2"/>
  <c r="AO34" i="2"/>
  <c r="AO270" i="8" s="1"/>
  <c r="AO271" i="8" s="1"/>
  <c r="BP109" i="8"/>
  <c r="BP15" i="112" s="1"/>
  <c r="M54" i="27"/>
  <c r="BP131" i="8"/>
  <c r="BP147" i="112" s="1"/>
  <c r="Y292" i="8"/>
  <c r="Y293" i="8"/>
  <c r="Y291" i="8"/>
  <c r="AB46" i="58"/>
  <c r="AA53" i="2"/>
  <c r="AA45" i="2"/>
  <c r="BD52" i="4"/>
  <c r="AB285" i="8"/>
  <c r="AC46" i="2"/>
  <c r="AB44" i="2"/>
  <c r="AA287" i="8"/>
  <c r="AA288" i="8"/>
  <c r="AA286" i="8"/>
  <c r="AA51" i="58"/>
  <c r="Z50" i="58"/>
  <c r="N113" i="27"/>
  <c r="AA47" i="58"/>
  <c r="Z54" i="2"/>
  <c r="Z55" i="2"/>
  <c r="Z290" i="8" s="1"/>
  <c r="S282" i="111" l="1"/>
  <c r="S285" i="111" s="1"/>
  <c r="AN271" i="8"/>
  <c r="AN276" i="8"/>
  <c r="AN272" i="8"/>
  <c r="AN278" i="8"/>
  <c r="U42" i="60"/>
  <c r="U44" i="60" s="1"/>
  <c r="BD55" i="4"/>
  <c r="BE52" i="4"/>
  <c r="AP35" i="2"/>
  <c r="AP36" i="2" s="1"/>
  <c r="AQ32" i="2" a="1"/>
  <c r="AQ32" i="2" s="1"/>
  <c r="L29" i="11" s="1"/>
  <c r="K29" i="11"/>
  <c r="BP142" i="112"/>
  <c r="BF432" i="111"/>
  <c r="BF433" i="111" s="1"/>
  <c r="Z282" i="8"/>
  <c r="Z283" i="8"/>
  <c r="Z281" i="8"/>
  <c r="AA52" i="2"/>
  <c r="AA280" i="8" s="1"/>
  <c r="AO273" i="8"/>
  <c r="AO272" i="8"/>
  <c r="BP114" i="8"/>
  <c r="BP19" i="112" s="1"/>
  <c r="BP10" i="112" s="1"/>
  <c r="N54" i="27"/>
  <c r="BQ114" i="8"/>
  <c r="BQ19" i="112" s="1"/>
  <c r="BQ131" i="8"/>
  <c r="BQ147" i="112" s="1"/>
  <c r="Z292" i="8"/>
  <c r="Z291" i="8"/>
  <c r="Z293" i="8"/>
  <c r="AB286" i="8"/>
  <c r="AB287" i="8"/>
  <c r="AB288" i="8"/>
  <c r="AB47" i="58"/>
  <c r="AA54" i="2"/>
  <c r="AA55" i="2"/>
  <c r="AA290" i="8" s="1"/>
  <c r="AB51" i="58"/>
  <c r="AA50" i="58"/>
  <c r="AC285" i="8"/>
  <c r="AD46" i="2"/>
  <c r="AC44" i="2"/>
  <c r="AC46" i="58"/>
  <c r="AB53" i="2"/>
  <c r="AB45" i="2"/>
  <c r="V125" i="11"/>
  <c r="BD61" i="4" l="1"/>
  <c r="BE55" i="4"/>
  <c r="V42" i="60"/>
  <c r="V44" i="60" s="1"/>
  <c r="BF52" i="4"/>
  <c r="BD57" i="4"/>
  <c r="W105" i="11"/>
  <c r="AV165" i="2"/>
  <c r="AQ35" i="2"/>
  <c r="AQ34" i="2"/>
  <c r="AQ270" i="8" s="1"/>
  <c r="AQ271" i="8" s="1"/>
  <c r="BQ142" i="112"/>
  <c r="BB463" i="111"/>
  <c r="V876" i="111"/>
  <c r="BG432" i="111"/>
  <c r="BG433" i="111" s="1"/>
  <c r="AB52" i="2"/>
  <c r="AB280" i="8" s="1"/>
  <c r="AA281" i="8"/>
  <c r="AA282" i="8"/>
  <c r="AA283" i="8"/>
  <c r="O54" i="27"/>
  <c r="N40" i="27"/>
  <c r="AD285" i="8"/>
  <c r="AE46" i="2"/>
  <c r="AD44" i="2"/>
  <c r="AC287" i="8"/>
  <c r="AC286" i="8"/>
  <c r="AC288" i="8"/>
  <c r="AC51" i="58"/>
  <c r="AB50" i="58"/>
  <c r="AA292" i="8"/>
  <c r="AA293" i="8"/>
  <c r="AA291" i="8"/>
  <c r="AC47" i="58"/>
  <c r="AB54" i="2"/>
  <c r="AB55" i="2"/>
  <c r="AB290" i="8" s="1"/>
  <c r="AD46" i="58"/>
  <c r="AC53" i="2"/>
  <c r="AC45" i="2"/>
  <c r="BE57" i="4" l="1"/>
  <c r="BE56" i="4"/>
  <c r="W42" i="60"/>
  <c r="W44" i="60" s="1"/>
  <c r="BF55" i="4"/>
  <c r="BG52" i="4"/>
  <c r="O113" i="27"/>
  <c r="W103" i="11"/>
  <c r="AQ273" i="8"/>
  <c r="AW165" i="2"/>
  <c r="AQ272" i="8"/>
  <c r="BB464" i="111"/>
  <c r="BC463" i="111"/>
  <c r="BB444" i="111"/>
  <c r="BB445" i="111" s="1"/>
  <c r="BH432" i="111"/>
  <c r="BH433" i="111" s="1"/>
  <c r="AC52" i="2"/>
  <c r="AC280" i="8" s="1"/>
  <c r="AB283" i="8"/>
  <c r="AB281" i="8"/>
  <c r="AB282" i="8"/>
  <c r="P54" i="27"/>
  <c r="AD286" i="8"/>
  <c r="AD287" i="8"/>
  <c r="AD288" i="8"/>
  <c r="AD47" i="58"/>
  <c r="AC55" i="2"/>
  <c r="AC290" i="8" s="1"/>
  <c r="AC54" i="2"/>
  <c r="AD51" i="58"/>
  <c r="AC50" i="58"/>
  <c r="AE46" i="58"/>
  <c r="AD45" i="2"/>
  <c r="AD53" i="2"/>
  <c r="AB292" i="8"/>
  <c r="AB291" i="8"/>
  <c r="AB293" i="8"/>
  <c r="AE285" i="8"/>
  <c r="AE44" i="2"/>
  <c r="AF46" i="2"/>
  <c r="BH52" i="4" l="1"/>
  <c r="BF57" i="4"/>
  <c r="X42" i="60"/>
  <c r="X44" i="60" s="1"/>
  <c r="BF61" i="4"/>
  <c r="BC464" i="111"/>
  <c r="BC473" i="111"/>
  <c r="BC444" i="111"/>
  <c r="BC445" i="111" s="1"/>
  <c r="BI432" i="111"/>
  <c r="BI433" i="111" s="1"/>
  <c r="AD52" i="2"/>
  <c r="AD280" i="8" s="1"/>
  <c r="AC282" i="8"/>
  <c r="AC281" i="8"/>
  <c r="AC283" i="8"/>
  <c r="Q54" i="27"/>
  <c r="R54" i="27"/>
  <c r="AF46" i="58"/>
  <c r="AE53" i="2"/>
  <c r="AE45" i="2"/>
  <c r="AF285" i="8"/>
  <c r="AF44" i="2"/>
  <c r="AG46" i="2"/>
  <c r="AE51" i="58"/>
  <c r="AD50" i="58"/>
  <c r="AE287" i="8"/>
  <c r="AE288" i="8"/>
  <c r="AE286" i="8"/>
  <c r="AE47" i="58"/>
  <c r="AD54" i="2"/>
  <c r="AD55" i="2"/>
  <c r="AD290" i="8" s="1"/>
  <c r="AC292" i="8"/>
  <c r="AC293" i="8"/>
  <c r="AC291" i="8"/>
  <c r="BI52" i="4" l="1"/>
  <c r="BH55" i="4"/>
  <c r="Y42" i="60"/>
  <c r="Y44" i="60" s="1"/>
  <c r="AY165" i="2"/>
  <c r="BC474" i="111"/>
  <c r="BJ432" i="111"/>
  <c r="BJ433" i="111" s="1"/>
  <c r="AE52" i="2"/>
  <c r="AE280" i="8" s="1"/>
  <c r="AD282" i="8"/>
  <c r="AD281" i="8"/>
  <c r="AD283" i="8"/>
  <c r="AG46" i="58"/>
  <c r="AF45" i="2"/>
  <c r="AF53" i="2"/>
  <c r="AF286" i="8"/>
  <c r="AF288" i="8"/>
  <c r="AF287" i="8"/>
  <c r="AF47" i="58"/>
  <c r="AE55" i="2"/>
  <c r="AE290" i="8" s="1"/>
  <c r="AE54" i="2"/>
  <c r="AD292" i="8"/>
  <c r="AD293" i="8"/>
  <c r="AD291" i="8"/>
  <c r="AE50" i="58"/>
  <c r="AF51" i="58"/>
  <c r="AG285" i="8"/>
  <c r="AG44" i="2"/>
  <c r="AH46" i="2"/>
  <c r="W125" i="11"/>
  <c r="BI55" i="4" l="1"/>
  <c r="X105" i="11"/>
  <c r="X103" i="11" s="1"/>
  <c r="BH61" i="4"/>
  <c r="BJ52" i="4"/>
  <c r="BK52" i="4" s="1"/>
  <c r="BH56" i="4"/>
  <c r="BH57" i="4"/>
  <c r="Z42" i="60"/>
  <c r="Z44" i="60" s="1"/>
  <c r="W876" i="111"/>
  <c r="BK432" i="111"/>
  <c r="BK433" i="111" s="1"/>
  <c r="AE281" i="8"/>
  <c r="AE283" i="8"/>
  <c r="AE282" i="8"/>
  <c r="AF52" i="2"/>
  <c r="AF280" i="8" s="1"/>
  <c r="O40" i="27"/>
  <c r="AG287" i="8"/>
  <c r="AG286" i="8"/>
  <c r="AG288" i="8"/>
  <c r="AG51" i="58"/>
  <c r="AF50" i="58"/>
  <c r="AH285" i="8"/>
  <c r="AI46" i="2"/>
  <c r="AH44" i="2"/>
  <c r="AH46" i="58"/>
  <c r="AG45" i="2"/>
  <c r="AG53" i="2"/>
  <c r="AE292" i="8"/>
  <c r="AE291" i="8"/>
  <c r="AE293" i="8"/>
  <c r="AG47" i="58"/>
  <c r="AF54" i="2"/>
  <c r="AF55" i="2"/>
  <c r="AF290" i="8" s="1"/>
  <c r="BI57" i="4" l="1"/>
  <c r="BI61" i="4"/>
  <c r="P113" i="27"/>
  <c r="BI56" i="4"/>
  <c r="BJ55" i="4"/>
  <c r="AA42" i="60"/>
  <c r="AA44" i="60" s="1"/>
  <c r="BL432" i="111"/>
  <c r="AG52" i="2"/>
  <c r="AG280" i="8" s="1"/>
  <c r="AF282" i="8"/>
  <c r="AF283" i="8"/>
  <c r="AF281" i="8"/>
  <c r="AH286" i="8"/>
  <c r="AH288" i="8"/>
  <c r="AH287" i="8"/>
  <c r="AG50" i="58"/>
  <c r="AH51" i="58"/>
  <c r="AI46" i="58"/>
  <c r="AH45" i="2"/>
  <c r="AH53" i="2"/>
  <c r="AF292" i="8"/>
  <c r="AF293" i="8"/>
  <c r="AF291" i="8"/>
  <c r="AH47" i="58"/>
  <c r="AG54" i="2"/>
  <c r="AG55" i="2"/>
  <c r="AG290" i="8" s="1"/>
  <c r="AI285" i="8"/>
  <c r="AI44" i="2"/>
  <c r="AJ46" i="2"/>
  <c r="BJ57" i="4" l="1"/>
  <c r="BJ61" i="4"/>
  <c r="BJ56" i="4"/>
  <c r="AB42" i="60"/>
  <c r="AB44" i="60" s="1"/>
  <c r="BL433" i="111"/>
  <c r="BP433" i="111"/>
  <c r="BM432" i="111"/>
  <c r="BM433" i="111" s="1"/>
  <c r="AH52" i="2"/>
  <c r="AH280" i="8" s="1"/>
  <c r="AG283" i="8"/>
  <c r="AG281" i="8"/>
  <c r="AG282" i="8"/>
  <c r="AJ46" i="58"/>
  <c r="AI45" i="2"/>
  <c r="AI53" i="2"/>
  <c r="AG292" i="8"/>
  <c r="AG291" i="8"/>
  <c r="AG293" i="8"/>
  <c r="AJ285" i="8"/>
  <c r="AJ44" i="2"/>
  <c r="AK46" i="2"/>
  <c r="AI287" i="8"/>
  <c r="AI288" i="8"/>
  <c r="AI286" i="8"/>
  <c r="AI47" i="58"/>
  <c r="AH55" i="2"/>
  <c r="AH290" i="8" s="1"/>
  <c r="AH54" i="2"/>
  <c r="AI51" i="58"/>
  <c r="AH50" i="58"/>
  <c r="AC42" i="60" l="1"/>
  <c r="AC44" i="60" s="1"/>
  <c r="BN432" i="111"/>
  <c r="BN433" i="111" s="1"/>
  <c r="AI52" i="2"/>
  <c r="AI280" i="8" s="1"/>
  <c r="AH282" i="8"/>
  <c r="AH283" i="8"/>
  <c r="AH281" i="8"/>
  <c r="AJ51" i="58"/>
  <c r="AI50" i="58"/>
  <c r="AH292" i="8"/>
  <c r="AH291" i="8"/>
  <c r="AH293" i="8"/>
  <c r="AK46" i="58"/>
  <c r="AJ53" i="2"/>
  <c r="AJ45" i="2"/>
  <c r="AJ286" i="8"/>
  <c r="AJ288" i="8"/>
  <c r="AJ287" i="8"/>
  <c r="AJ47" i="58"/>
  <c r="AI54" i="2"/>
  <c r="AI55" i="2"/>
  <c r="AI290" i="8" s="1"/>
  <c r="AK285" i="8"/>
  <c r="AK44" i="2"/>
  <c r="AL46" i="2"/>
  <c r="P40" i="27" l="1"/>
  <c r="AD42" i="60"/>
  <c r="AD44" i="60" s="1"/>
  <c r="BO432" i="111"/>
  <c r="BO433" i="111" s="1"/>
  <c r="AJ52" i="2"/>
  <c r="AJ280" i="8" s="1"/>
  <c r="AI281" i="8"/>
  <c r="AI283" i="8"/>
  <c r="AI282" i="8"/>
  <c r="AI292" i="8"/>
  <c r="AI293" i="8"/>
  <c r="AI291" i="8"/>
  <c r="AJ50" i="58"/>
  <c r="AK51" i="58"/>
  <c r="AL285" i="8"/>
  <c r="AM46" i="2"/>
  <c r="AN46" i="2" s="1"/>
  <c r="AO46" i="2" s="1"/>
  <c r="AP46" i="2" s="1"/>
  <c r="AL44" i="2"/>
  <c r="AK47" i="58"/>
  <c r="AJ54" i="2"/>
  <c r="AJ55" i="2"/>
  <c r="AJ290" i="8" s="1"/>
  <c r="AL46" i="58"/>
  <c r="AK45" i="2"/>
  <c r="AK53" i="2"/>
  <c r="AK288" i="8"/>
  <c r="AK287" i="8"/>
  <c r="AK286" i="8"/>
  <c r="AE42" i="60" l="1"/>
  <c r="AE44" i="60" s="1"/>
  <c r="AJ282" i="8"/>
  <c r="AJ281" i="8"/>
  <c r="AJ283" i="8"/>
  <c r="AK52" i="2"/>
  <c r="AK280" i="8" s="1"/>
  <c r="AP44" i="2"/>
  <c r="AP45" i="2" s="1"/>
  <c r="AQ46" i="2"/>
  <c r="AR46" i="2" s="1"/>
  <c r="AP285" i="8"/>
  <c r="AO285" i="8"/>
  <c r="AO44" i="2"/>
  <c r="AN44" i="2"/>
  <c r="AN285" i="8"/>
  <c r="AL47" i="58"/>
  <c r="AK55" i="2"/>
  <c r="AK290" i="8" s="1"/>
  <c r="AK54" i="2"/>
  <c r="AJ292" i="8"/>
  <c r="AJ291" i="8"/>
  <c r="AJ293" i="8"/>
  <c r="AL286" i="8"/>
  <c r="AL287" i="8"/>
  <c r="AL288" i="8"/>
  <c r="AM46" i="58"/>
  <c r="AL45" i="2"/>
  <c r="AL53" i="2"/>
  <c r="AM44" i="2"/>
  <c r="AM285" i="8"/>
  <c r="AK50" i="58"/>
  <c r="AL51" i="58"/>
  <c r="BL73" i="4"/>
  <c r="BM73" i="4" s="1"/>
  <c r="BN73" i="4" s="1"/>
  <c r="BO73" i="4" s="1"/>
  <c r="BP73" i="4" s="1"/>
  <c r="BQ73" i="4" s="1"/>
  <c r="BR73" i="4" s="1"/>
  <c r="BS73" i="4" s="1"/>
  <c r="BT73" i="4" s="1"/>
  <c r="BU73" i="4" s="1"/>
  <c r="BV73" i="4" s="1"/>
  <c r="BW73" i="4" s="1"/>
  <c r="BX73" i="4" s="1"/>
  <c r="BY73" i="4" s="1"/>
  <c r="BZ73" i="4" s="1"/>
  <c r="CA73" i="4" s="1"/>
  <c r="CB73" i="4" s="1"/>
  <c r="CC73" i="4" s="1"/>
  <c r="CD73" i="4" s="1"/>
  <c r="CE73" i="4" s="1"/>
  <c r="CF73" i="4" s="1"/>
  <c r="CG73" i="4" s="1"/>
  <c r="CH73" i="4" s="1"/>
  <c r="CI73" i="4" s="1"/>
  <c r="CJ73" i="4" s="1"/>
  <c r="CK73" i="4" s="1"/>
  <c r="CL73" i="4" s="1"/>
  <c r="CM73" i="4" s="1"/>
  <c r="CN73" i="4" s="1"/>
  <c r="CO73" i="4" s="1"/>
  <c r="CP73" i="4" s="1"/>
  <c r="CQ73" i="4" s="1"/>
  <c r="CR73" i="4" s="1"/>
  <c r="CS73" i="4" s="1"/>
  <c r="CT73" i="4" s="1"/>
  <c r="CU73" i="4" s="1"/>
  <c r="CV73" i="4" s="1"/>
  <c r="CW73" i="4" s="1"/>
  <c r="AF42" i="60" l="1"/>
  <c r="AR44" i="2"/>
  <c r="AS46" i="2"/>
  <c r="AT46" i="2" s="1"/>
  <c r="AU46" i="2" s="1"/>
  <c r="AL52" i="2"/>
  <c r="AL280" i="8" s="1"/>
  <c r="AK283" i="8"/>
  <c r="AK281" i="8"/>
  <c r="AK282" i="8"/>
  <c r="AP53" i="2"/>
  <c r="AQ285" i="8"/>
  <c r="AQ44" i="2"/>
  <c r="AR46" i="58" s="1"/>
  <c r="AP286" i="8"/>
  <c r="AP287" i="8"/>
  <c r="AP288" i="8"/>
  <c r="AO45" i="2"/>
  <c r="AO53" i="2"/>
  <c r="AO52" i="2" s="1"/>
  <c r="AO280" i="8" s="1"/>
  <c r="AO287" i="8"/>
  <c r="AO286" i="8"/>
  <c r="AO288" i="8"/>
  <c r="AN288" i="8"/>
  <c r="AN286" i="8"/>
  <c r="AN287" i="8"/>
  <c r="AN45" i="2"/>
  <c r="AN53" i="2"/>
  <c r="AN52" i="2" s="1"/>
  <c r="AN280" i="8" s="1"/>
  <c r="AM287" i="8"/>
  <c r="AM286" i="8"/>
  <c r="AM288" i="8"/>
  <c r="AN46" i="58"/>
  <c r="AM53" i="2"/>
  <c r="AM45" i="2"/>
  <c r="AM47" i="58"/>
  <c r="AL54" i="2"/>
  <c r="AL55" i="2"/>
  <c r="AL290" i="8" s="1"/>
  <c r="AM51" i="58"/>
  <c r="AL50" i="58"/>
  <c r="AK293" i="8"/>
  <c r="AK291" i="8"/>
  <c r="AK292" i="8"/>
  <c r="AF44" i="60" l="1"/>
  <c r="AG42" i="60" s="1"/>
  <c r="AU285" i="8"/>
  <c r="AU288" i="8" s="1"/>
  <c r="AV46" i="2"/>
  <c r="AT285" i="8"/>
  <c r="AT44" i="2"/>
  <c r="AT45" i="2" s="1"/>
  <c r="AS285" i="8"/>
  <c r="AM52" i="2"/>
  <c r="AM280" i="8" s="1"/>
  <c r="AO281" i="8"/>
  <c r="AO283" i="8"/>
  <c r="AO282" i="8"/>
  <c r="AN283" i="8"/>
  <c r="AN282" i="8"/>
  <c r="AN281" i="8"/>
  <c r="AL283" i="8"/>
  <c r="AL282" i="8"/>
  <c r="AL281" i="8"/>
  <c r="AP54" i="2"/>
  <c r="AP52" i="2"/>
  <c r="AP280" i="8" s="1"/>
  <c r="AP55" i="2"/>
  <c r="AP290" i="8" s="1"/>
  <c r="AQ45" i="2"/>
  <c r="AQ53" i="2"/>
  <c r="AR47" i="58" s="1"/>
  <c r="AQ288" i="8"/>
  <c r="AQ287" i="8"/>
  <c r="AQ286" i="8"/>
  <c r="AO55" i="2"/>
  <c r="AO290" i="8" s="1"/>
  <c r="AO54" i="2"/>
  <c r="AN55" i="2"/>
  <c r="AN290" i="8" s="1"/>
  <c r="AN54" i="2"/>
  <c r="AO46" i="58"/>
  <c r="AN51" i="58"/>
  <c r="AM50" i="58"/>
  <c r="AL292" i="8"/>
  <c r="AL293" i="8"/>
  <c r="AL291" i="8"/>
  <c r="AN47" i="58"/>
  <c r="AM55" i="2"/>
  <c r="AM290" i="8" s="1"/>
  <c r="AM54" i="2"/>
  <c r="Y125" i="11"/>
  <c r="AG44" i="60" l="1"/>
  <c r="AH42" i="60"/>
  <c r="AU287" i="8"/>
  <c r="AU286" i="8"/>
  <c r="AW46" i="2"/>
  <c r="AV285" i="8"/>
  <c r="AQ52" i="2"/>
  <c r="AQ280" i="8" s="1"/>
  <c r="AQ283" i="8" s="1"/>
  <c r="AT288" i="8"/>
  <c r="AT286" i="8"/>
  <c r="AT287" i="8"/>
  <c r="AS288" i="8"/>
  <c r="AS286" i="8"/>
  <c r="AS287" i="8"/>
  <c r="AM281" i="8"/>
  <c r="AM283" i="8"/>
  <c r="AM282" i="8"/>
  <c r="AP283" i="8"/>
  <c r="AP281" i="8"/>
  <c r="AP282" i="8"/>
  <c r="AQ55" i="2"/>
  <c r="AQ290" i="8" s="1"/>
  <c r="AQ54" i="2"/>
  <c r="AP292" i="8"/>
  <c r="AP291" i="8"/>
  <c r="AP293" i="8"/>
  <c r="AO293" i="8"/>
  <c r="AO292" i="8"/>
  <c r="AO291" i="8"/>
  <c r="AN291" i="8"/>
  <c r="AN293" i="8"/>
  <c r="AN292" i="8"/>
  <c r="AN50" i="58"/>
  <c r="AO51" i="58"/>
  <c r="Q40" i="27"/>
  <c r="AM292" i="8"/>
  <c r="AM291" i="8"/>
  <c r="AM293" i="8"/>
  <c r="AH44" i="60" l="1"/>
  <c r="AI42" i="60"/>
  <c r="AV288" i="8"/>
  <c r="AV286" i="8"/>
  <c r="AV287" i="8"/>
  <c r="AX46" i="2"/>
  <c r="AW285" i="8"/>
  <c r="AQ282" i="8"/>
  <c r="AQ281" i="8"/>
  <c r="AQ291" i="8"/>
  <c r="AQ292" i="8"/>
  <c r="AQ293" i="8"/>
  <c r="AO50" i="58"/>
  <c r="AI44" i="60" l="1"/>
  <c r="AJ42" i="60"/>
  <c r="BQ451" i="111"/>
  <c r="BQ449" i="111"/>
  <c r="AW286" i="8"/>
  <c r="AW288" i="8"/>
  <c r="AW287" i="8"/>
  <c r="AY46" i="2"/>
  <c r="AX285" i="8"/>
  <c r="BL163" i="8"/>
  <c r="BL30" i="112" s="1"/>
  <c r="AJ44" i="60" l="1"/>
  <c r="AK42" i="60"/>
  <c r="AY285" i="8"/>
  <c r="AY287" i="8" s="1"/>
  <c r="AZ46" i="2"/>
  <c r="AX286" i="8"/>
  <c r="AX287" i="8"/>
  <c r="AX288" i="8"/>
  <c r="AO47" i="58"/>
  <c r="BM163" i="8"/>
  <c r="BM30" i="112" s="1"/>
  <c r="AK44" i="60" l="1"/>
  <c r="AL42" i="60"/>
  <c r="BA46" i="2"/>
  <c r="AY286" i="8"/>
  <c r="AY288" i="8"/>
  <c r="AZ285" i="8"/>
  <c r="AA125" i="11"/>
  <c r="BL177" i="112"/>
  <c r="BL197" i="112" s="1"/>
  <c r="BL183" i="112"/>
  <c r="BL193" i="8" s="1"/>
  <c r="Z125" i="11"/>
  <c r="BL152" i="8"/>
  <c r="BL50" i="112" s="1"/>
  <c r="BL177" i="8"/>
  <c r="BL117" i="112" s="1"/>
  <c r="BN163" i="8"/>
  <c r="BN30" i="112" s="1"/>
  <c r="BN29" i="112" s="1"/>
  <c r="AL44" i="60" l="1"/>
  <c r="S40" i="27"/>
  <c r="BA285" i="8"/>
  <c r="BB46" i="2"/>
  <c r="BA44" i="2"/>
  <c r="AZ286" i="8"/>
  <c r="AZ288" i="8"/>
  <c r="AZ287" i="8"/>
  <c r="AB125" i="11"/>
  <c r="BR29" i="112"/>
  <c r="BL194" i="8"/>
  <c r="BL192" i="8"/>
  <c r="BM177" i="112"/>
  <c r="BM197" i="112" s="1"/>
  <c r="BM183" i="112"/>
  <c r="BM193" i="8" s="1"/>
  <c r="R40" i="27"/>
  <c r="BO163" i="8"/>
  <c r="BO30" i="112" s="1"/>
  <c r="BM152" i="8"/>
  <c r="BM50" i="112" s="1"/>
  <c r="BM177" i="8"/>
  <c r="BM117" i="112" s="1"/>
  <c r="AM42" i="60" l="1"/>
  <c r="AM44" i="60"/>
  <c r="AN42" i="60"/>
  <c r="T40" i="27"/>
  <c r="BB285" i="8"/>
  <c r="BB287" i="8" s="1"/>
  <c r="BC46" i="2"/>
  <c r="BD46" i="2" s="1"/>
  <c r="BE46" i="2" s="1"/>
  <c r="BF46" i="2" s="1"/>
  <c r="BG46" i="2" s="1"/>
  <c r="BH46" i="2" s="1"/>
  <c r="BA286" i="8"/>
  <c r="BA288" i="8"/>
  <c r="BA287" i="8"/>
  <c r="AC125" i="11"/>
  <c r="BV29" i="112"/>
  <c r="BN177" i="112"/>
  <c r="BN183" i="112"/>
  <c r="BN193" i="8" s="1"/>
  <c r="BL197" i="8"/>
  <c r="BN152" i="8"/>
  <c r="BN50" i="112" s="1"/>
  <c r="BN177" i="8"/>
  <c r="BN117" i="112" s="1"/>
  <c r="BP163" i="8"/>
  <c r="BP30" i="112" s="1"/>
  <c r="AN44" i="60" l="1"/>
  <c r="AO42" i="60"/>
  <c r="BI46" i="2"/>
  <c r="BJ46" i="2" s="1"/>
  <c r="BH44" i="2"/>
  <c r="BG285" i="8"/>
  <c r="BG286" i="8" s="1"/>
  <c r="BF44" i="2"/>
  <c r="BF285" i="8"/>
  <c r="U40" i="27"/>
  <c r="BD44" i="2"/>
  <c r="BE46" i="58" s="1"/>
  <c r="BN197" i="112"/>
  <c r="BD285" i="8"/>
  <c r="BC285" i="8"/>
  <c r="BC288" i="8" s="1"/>
  <c r="BC44" i="2"/>
  <c r="BB288" i="8"/>
  <c r="BB286" i="8"/>
  <c r="AD125" i="11"/>
  <c r="BZ29" i="112"/>
  <c r="BN194" i="8"/>
  <c r="BN192" i="8"/>
  <c r="BM192" i="8"/>
  <c r="BM194" i="8"/>
  <c r="BO183" i="112"/>
  <c r="BO193" i="8" s="1"/>
  <c r="BO177" i="112"/>
  <c r="BO197" i="112" s="1"/>
  <c r="BM197" i="8"/>
  <c r="BQ163" i="8"/>
  <c r="BQ30" i="112" s="1"/>
  <c r="BO152" i="8"/>
  <c r="BO50" i="112" s="1"/>
  <c r="BO177" i="8"/>
  <c r="BO117" i="112" s="1"/>
  <c r="AO44" i="60" l="1"/>
  <c r="BJ285" i="8"/>
  <c r="BJ286" i="8" s="1"/>
  <c r="BK46" i="2"/>
  <c r="BK285" i="8" s="1"/>
  <c r="AP42" i="60"/>
  <c r="BG46" i="58"/>
  <c r="BH45" i="2"/>
  <c r="BH53" i="2"/>
  <c r="BI285" i="8"/>
  <c r="BI44" i="2"/>
  <c r="AE125" i="11"/>
  <c r="BG287" i="8"/>
  <c r="BG288" i="8"/>
  <c r="BH285" i="8"/>
  <c r="BF288" i="8"/>
  <c r="BF287" i="8"/>
  <c r="BF286" i="8"/>
  <c r="V40" i="27"/>
  <c r="BD288" i="8"/>
  <c r="BD286" i="8"/>
  <c r="BD287" i="8"/>
  <c r="BC287" i="8"/>
  <c r="BC286" i="8"/>
  <c r="CD29" i="112"/>
  <c r="BO194" i="8"/>
  <c r="BO192" i="8"/>
  <c r="BP177" i="112"/>
  <c r="BP197" i="112" s="1"/>
  <c r="BP183" i="112"/>
  <c r="BP193" i="8" s="1"/>
  <c r="BN197" i="8"/>
  <c r="BN201" i="112" s="1"/>
  <c r="BP177" i="8"/>
  <c r="BP117" i="112" s="1"/>
  <c r="BP152" i="8"/>
  <c r="BP50" i="112" s="1"/>
  <c r="AP44" i="60" l="1"/>
  <c r="BJ288" i="8"/>
  <c r="BJ287" i="8"/>
  <c r="BK287" i="8"/>
  <c r="BL287" i="8" s="1"/>
  <c r="BM287" i="8" s="1"/>
  <c r="BN287" i="8" s="1"/>
  <c r="BO287" i="8" s="1"/>
  <c r="BP287" i="8" s="1"/>
  <c r="BQ287" i="8" s="1"/>
  <c r="BR287" i="8" s="1"/>
  <c r="BS287" i="8" s="1"/>
  <c r="BT287" i="8" s="1"/>
  <c r="BU287" i="8" s="1"/>
  <c r="BK286" i="8"/>
  <c r="BK288" i="8"/>
  <c r="AQ42" i="60"/>
  <c r="BJ46" i="58"/>
  <c r="BI45" i="2"/>
  <c r="BH54" i="2"/>
  <c r="BH55" i="2"/>
  <c r="BH52" i="2"/>
  <c r="BI287" i="8"/>
  <c r="BI288" i="8"/>
  <c r="BI286" i="8"/>
  <c r="AF125" i="11"/>
  <c r="X40" i="27" s="1"/>
  <c r="W40" i="27"/>
  <c r="BH288" i="8"/>
  <c r="BH287" i="8"/>
  <c r="BH286" i="8"/>
  <c r="BP194" i="8"/>
  <c r="CH29" i="112"/>
  <c r="CL29" i="112" s="1"/>
  <c r="BQ177" i="112"/>
  <c r="BQ197" i="112" s="1"/>
  <c r="BQ183" i="112"/>
  <c r="BQ193" i="8" s="1"/>
  <c r="BO197" i="8"/>
  <c r="BO201" i="112" s="1"/>
  <c r="BQ152" i="8"/>
  <c r="BQ50" i="112" s="1"/>
  <c r="BQ177" i="8"/>
  <c r="BQ117" i="112" s="1"/>
  <c r="AQ44" i="60" l="1"/>
  <c r="BQ288" i="8"/>
  <c r="BQ286" i="8"/>
  <c r="BQ194" i="8"/>
  <c r="BQ192" i="8"/>
  <c r="AG125" i="11"/>
  <c r="Y40" i="27" s="1"/>
  <c r="AH125" i="11"/>
  <c r="Z40" i="27" s="1"/>
  <c r="CP29" i="112"/>
  <c r="BP192" i="8"/>
  <c r="BR183" i="112"/>
  <c r="BR193" i="8" s="1"/>
  <c r="BR177" i="112"/>
  <c r="BP197" i="8"/>
  <c r="BP201" i="112" s="1"/>
  <c r="AR42" i="60" l="1"/>
  <c r="BR192" i="8"/>
  <c r="BR194" i="8"/>
  <c r="CT29" i="112"/>
  <c r="BR205" i="8"/>
  <c r="BR197" i="112"/>
  <c r="BS177" i="112"/>
  <c r="BS183" i="112"/>
  <c r="BS193" i="8" s="1"/>
  <c r="BQ197" i="8"/>
  <c r="BQ201" i="112" s="1"/>
  <c r="AR44" i="60" l="1"/>
  <c r="BS194" i="8"/>
  <c r="BS192" i="8"/>
  <c r="BR204" i="8"/>
  <c r="BR206" i="8"/>
  <c r="BR191" i="8"/>
  <c r="BT183" i="112"/>
  <c r="BT193" i="8" s="1"/>
  <c r="BT177" i="112"/>
  <c r="BT197" i="112" s="1"/>
  <c r="BS197" i="112"/>
  <c r="AS42" i="60" l="1"/>
  <c r="BT194" i="8"/>
  <c r="BT192" i="8"/>
  <c r="BR203" i="8"/>
  <c r="BR175" i="112" s="1"/>
  <c r="BS191" i="8"/>
  <c r="BS205" i="8"/>
  <c r="BR195" i="8"/>
  <c r="BU177" i="112"/>
  <c r="BU197" i="112" s="1"/>
  <c r="BU183" i="112"/>
  <c r="BU193" i="8" s="1"/>
  <c r="BT205" i="8"/>
  <c r="AS44" i="60" l="1"/>
  <c r="BU192" i="8"/>
  <c r="BU194" i="8"/>
  <c r="BT204" i="8"/>
  <c r="BT206" i="8"/>
  <c r="BS204" i="8"/>
  <c r="BS206" i="8"/>
  <c r="BS195" i="8"/>
  <c r="BT191" i="8"/>
  <c r="BU205" i="8"/>
  <c r="BV183" i="112"/>
  <c r="BV193" i="8" s="1"/>
  <c r="BV177" i="112"/>
  <c r="BV197" i="112" s="1"/>
  <c r="AT42" i="60" l="1"/>
  <c r="BS203" i="8"/>
  <c r="BS175" i="112" s="1"/>
  <c r="BV194" i="8"/>
  <c r="BV192" i="8"/>
  <c r="BU204" i="8"/>
  <c r="BU206" i="8"/>
  <c r="BT195" i="8"/>
  <c r="BT203" i="8"/>
  <c r="BT175" i="112" s="1"/>
  <c r="BW183" i="112"/>
  <c r="BW193" i="8" s="1"/>
  <c r="BW177" i="112"/>
  <c r="BW197" i="112" s="1"/>
  <c r="BV205" i="8"/>
  <c r="AT44" i="60" l="1"/>
  <c r="BW194" i="8"/>
  <c r="BW192" i="8"/>
  <c r="BV206" i="8"/>
  <c r="BV204" i="8"/>
  <c r="BV191" i="8"/>
  <c r="BU191" i="8"/>
  <c r="BU203" i="8"/>
  <c r="BU175" i="112" s="1"/>
  <c r="BX177" i="112"/>
  <c r="BX197" i="112" s="1"/>
  <c r="BX183" i="112"/>
  <c r="BX193" i="8" s="1"/>
  <c r="BW205" i="8"/>
  <c r="AU42" i="60" l="1"/>
  <c r="BX194" i="8"/>
  <c r="BX192" i="8"/>
  <c r="BW206" i="8"/>
  <c r="BW204" i="8"/>
  <c r="BV190" i="8"/>
  <c r="BU195" i="8"/>
  <c r="BV195" i="8"/>
  <c r="BW191" i="8"/>
  <c r="BW190" i="8" s="1"/>
  <c r="BV203" i="8"/>
  <c r="BV175" i="112" s="1"/>
  <c r="BY177" i="112"/>
  <c r="BY197" i="112" s="1"/>
  <c r="BY183" i="112"/>
  <c r="BY193" i="8" s="1"/>
  <c r="BX205" i="8"/>
  <c r="AU44" i="60" l="1"/>
  <c r="BY194" i="8"/>
  <c r="BY192" i="8"/>
  <c r="BX206" i="8"/>
  <c r="BX204" i="8"/>
  <c r="BX191" i="8"/>
  <c r="BW195" i="8"/>
  <c r="BW203" i="8"/>
  <c r="BW175" i="112" s="1"/>
  <c r="BZ177" i="112"/>
  <c r="BZ197" i="112" s="1"/>
  <c r="BZ183" i="112"/>
  <c r="BZ193" i="8" s="1"/>
  <c r="AV42" i="60" l="1"/>
  <c r="BX190" i="8"/>
  <c r="BX195" i="8"/>
  <c r="BX203" i="8"/>
  <c r="BX175" i="112" s="1"/>
  <c r="BY205" i="8"/>
  <c r="CA177" i="112"/>
  <c r="CA197" i="112" s="1"/>
  <c r="CA183" i="112"/>
  <c r="CA193" i="8" s="1"/>
  <c r="BZ194" i="8"/>
  <c r="BZ192" i="8"/>
  <c r="BZ205" i="8"/>
  <c r="AV44" i="60" l="1"/>
  <c r="BY204" i="8"/>
  <c r="BY206" i="8"/>
  <c r="BY191" i="8"/>
  <c r="BZ191" i="8"/>
  <c r="BZ190" i="8" s="1"/>
  <c r="CB183" i="112"/>
  <c r="CB193" i="8" s="1"/>
  <c r="CB177" i="112"/>
  <c r="CB197" i="112" s="1"/>
  <c r="BZ206" i="8"/>
  <c r="BZ204" i="8"/>
  <c r="CA194" i="8"/>
  <c r="CA192" i="8"/>
  <c r="CA205" i="8"/>
  <c r="AW42" i="60" l="1"/>
  <c r="BY203" i="8"/>
  <c r="BY175" i="112" s="1"/>
  <c r="BY190" i="8"/>
  <c r="BY195" i="8"/>
  <c r="BZ195" i="8"/>
  <c r="BZ203" i="8"/>
  <c r="BZ175" i="112" s="1"/>
  <c r="CA191" i="8"/>
  <c r="CA190" i="8" s="1"/>
  <c r="CC177" i="112"/>
  <c r="CC197" i="112" s="1"/>
  <c r="CC183" i="112"/>
  <c r="CA206" i="8"/>
  <c r="CA204" i="8"/>
  <c r="CB194" i="8"/>
  <c r="CB192" i="8"/>
  <c r="CB205" i="8"/>
  <c r="AW44" i="60" l="1"/>
  <c r="CA195" i="8"/>
  <c r="CA203" i="8"/>
  <c r="CA175" i="112" s="1"/>
  <c r="CC193" i="8"/>
  <c r="CC194" i="8" s="1"/>
  <c r="CB191" i="8"/>
  <c r="CB190" i="8" s="1"/>
  <c r="CD177" i="112"/>
  <c r="CD197" i="112" s="1"/>
  <c r="CD183" i="112"/>
  <c r="CD193" i="8" s="1"/>
  <c r="CB204" i="8"/>
  <c r="CB206" i="8"/>
  <c r="AX42" i="60" l="1"/>
  <c r="CB195" i="8"/>
  <c r="CB203" i="8"/>
  <c r="CB175" i="112" s="1"/>
  <c r="CC205" i="8"/>
  <c r="CC206" i="8" s="1"/>
  <c r="CC192" i="8"/>
  <c r="CE183" i="112"/>
  <c r="CE193" i="8" s="1"/>
  <c r="CE177" i="112"/>
  <c r="CE197" i="112" s="1"/>
  <c r="CD205" i="8"/>
  <c r="CD192" i="8"/>
  <c r="CD194" i="8"/>
  <c r="AX44" i="60" l="1"/>
  <c r="CC191" i="8"/>
  <c r="CC195" i="8" s="1"/>
  <c r="CC204" i="8"/>
  <c r="CC203" i="8" s="1"/>
  <c r="CC175" i="112" s="1"/>
  <c r="CD191" i="8"/>
  <c r="CD190" i="8" s="1"/>
  <c r="CF183" i="112"/>
  <c r="CF193" i="8" s="1"/>
  <c r="CF177" i="112"/>
  <c r="CF197" i="112" s="1"/>
  <c r="CD206" i="8"/>
  <c r="CD204" i="8"/>
  <c r="CE192" i="8"/>
  <c r="CE194" i="8"/>
  <c r="CE205" i="8"/>
  <c r="AY42" i="60" l="1"/>
  <c r="CC190" i="8"/>
  <c r="CD195" i="8"/>
  <c r="CD203" i="8"/>
  <c r="CD175" i="112" s="1"/>
  <c r="CE191" i="8"/>
  <c r="CE190" i="8" s="1"/>
  <c r="CG177" i="112"/>
  <c r="CG197" i="112" s="1"/>
  <c r="CG183" i="112"/>
  <c r="CF192" i="8"/>
  <c r="CF194" i="8"/>
  <c r="CF205" i="8"/>
  <c r="CE204" i="8"/>
  <c r="CE206" i="8"/>
  <c r="AY44" i="60" l="1"/>
  <c r="CE195" i="8"/>
  <c r="CF191" i="8"/>
  <c r="CF190" i="8" s="1"/>
  <c r="CE203" i="8"/>
  <c r="CE175" i="112" s="1"/>
  <c r="CG193" i="8"/>
  <c r="CG205" i="8" s="1"/>
  <c r="CH177" i="112"/>
  <c r="CH197" i="112" s="1"/>
  <c r="CH183" i="112"/>
  <c r="CH193" i="8" s="1"/>
  <c r="CF206" i="8"/>
  <c r="CF204" i="8"/>
  <c r="AZ42" i="60" l="1"/>
  <c r="CF195" i="8"/>
  <c r="CF203" i="8"/>
  <c r="CF175" i="112" s="1"/>
  <c r="CG194" i="8"/>
  <c r="CG192" i="8"/>
  <c r="CI177" i="112"/>
  <c r="CI197" i="112" s="1"/>
  <c r="CI183" i="112"/>
  <c r="CI193" i="8" s="1"/>
  <c r="CG204" i="8"/>
  <c r="CG206" i="8"/>
  <c r="CH194" i="8"/>
  <c r="CH192" i="8"/>
  <c r="CH205" i="8"/>
  <c r="AZ44" i="60" l="1"/>
  <c r="CH191" i="8"/>
  <c r="CH190" i="8" s="1"/>
  <c r="CG191" i="8"/>
  <c r="CG190" i="8" s="1"/>
  <c r="CG203" i="8"/>
  <c r="CG175" i="112" s="1"/>
  <c r="CJ183" i="112"/>
  <c r="CJ193" i="8" s="1"/>
  <c r="CJ177" i="112"/>
  <c r="CJ197" i="112" s="1"/>
  <c r="CI194" i="8"/>
  <c r="CI205" i="8"/>
  <c r="CI192" i="8"/>
  <c r="CH206" i="8"/>
  <c r="CH204" i="8"/>
  <c r="BA42" i="60" l="1"/>
  <c r="CH195" i="8"/>
  <c r="CG195" i="8"/>
  <c r="CH203" i="8"/>
  <c r="CH175" i="112" s="1"/>
  <c r="CI191" i="8"/>
  <c r="CI190" i="8" s="1"/>
  <c r="CK183" i="112"/>
  <c r="CK193" i="8" s="1"/>
  <c r="CK177" i="112"/>
  <c r="CK197" i="112" s="1"/>
  <c r="CI204" i="8"/>
  <c r="CI206" i="8"/>
  <c r="CJ205" i="8"/>
  <c r="CJ192" i="8"/>
  <c r="CJ194" i="8"/>
  <c r="BA44" i="60" l="1"/>
  <c r="CL183" i="112"/>
  <c r="CL177" i="112"/>
  <c r="CL197" i="112" s="1"/>
  <c r="CI195" i="8"/>
  <c r="CK205" i="8"/>
  <c r="CI203" i="8"/>
  <c r="CI175" i="112" s="1"/>
  <c r="CJ191" i="8"/>
  <c r="CJ190" i="8" s="1"/>
  <c r="CJ204" i="8"/>
  <c r="CJ206" i="8"/>
  <c r="BB42" i="60" l="1"/>
  <c r="CL193" i="8"/>
  <c r="CM183" i="112"/>
  <c r="CM177" i="112"/>
  <c r="CM197" i="112" s="1"/>
  <c r="CJ195" i="8"/>
  <c r="CJ203" i="8"/>
  <c r="CJ175" i="112" s="1"/>
  <c r="CK192" i="8"/>
  <c r="CK194" i="8"/>
  <c r="CK204" i="8"/>
  <c r="CK206" i="8"/>
  <c r="BB44" i="60" l="1"/>
  <c r="CN183" i="112"/>
  <c r="CN193" i="8" s="1"/>
  <c r="CN194" i="8" s="1"/>
  <c r="CL194" i="8"/>
  <c r="CL205" i="8"/>
  <c r="CM193" i="8"/>
  <c r="CM205" i="8" s="1"/>
  <c r="CL192" i="8"/>
  <c r="CN177" i="112"/>
  <c r="CN197" i="112" s="1"/>
  <c r="CK191" i="8"/>
  <c r="CK190" i="8" s="1"/>
  <c r="CK203" i="8"/>
  <c r="CK175" i="112" s="1"/>
  <c r="BC42" i="60" l="1"/>
  <c r="CN205" i="8"/>
  <c r="CN206" i="8" s="1"/>
  <c r="CN192" i="8"/>
  <c r="CL191" i="8"/>
  <c r="CM206" i="8"/>
  <c r="CM192" i="8"/>
  <c r="CL206" i="8"/>
  <c r="CL204" i="8"/>
  <c r="CM194" i="8"/>
  <c r="CM204" i="8"/>
  <c r="CO183" i="112"/>
  <c r="CO177" i="112"/>
  <c r="CO197" i="112" s="1"/>
  <c r="CK195" i="8"/>
  <c r="BC44" i="60" l="1"/>
  <c r="CL203" i="8"/>
  <c r="CL175" i="112" s="1"/>
  <c r="CM203" i="8"/>
  <c r="CM175" i="112" s="1"/>
  <c r="CN204" i="8"/>
  <c r="CN203" i="8" s="1"/>
  <c r="CN175" i="112" s="1"/>
  <c r="CM191" i="8"/>
  <c r="CN191" i="8"/>
  <c r="CL195" i="8"/>
  <c r="CL190" i="8"/>
  <c r="CO193" i="8"/>
  <c r="CO205" i="8" s="1"/>
  <c r="CP183" i="112"/>
  <c r="CP177" i="112"/>
  <c r="CP197" i="112" s="1"/>
  <c r="BD42" i="60" l="1"/>
  <c r="CM190" i="8"/>
  <c r="CO192" i="8"/>
  <c r="CO194" i="8"/>
  <c r="CM195" i="8"/>
  <c r="CN195" i="8"/>
  <c r="CN190" i="8"/>
  <c r="CO204" i="8"/>
  <c r="CO206" i="8"/>
  <c r="CP193" i="8"/>
  <c r="CP194" i="8" s="1"/>
  <c r="CQ183" i="112"/>
  <c r="CQ193" i="8" s="1"/>
  <c r="CQ177" i="112"/>
  <c r="CQ197" i="112" s="1"/>
  <c r="BD44" i="60" l="1"/>
  <c r="CO191" i="8"/>
  <c r="CO195" i="8" s="1"/>
  <c r="CO203" i="8"/>
  <c r="CO175" i="112" s="1"/>
  <c r="CO190" i="8"/>
  <c r="CP192" i="8"/>
  <c r="CP191" i="8" s="1"/>
  <c r="CP205" i="8"/>
  <c r="CP204" i="8" s="1"/>
  <c r="CR183" i="112"/>
  <c r="CR193" i="8" s="1"/>
  <c r="CR177" i="112"/>
  <c r="CR197" i="112" s="1"/>
  <c r="CQ194" i="8"/>
  <c r="CQ205" i="8"/>
  <c r="CQ192" i="8"/>
  <c r="BE42" i="60" l="1"/>
  <c r="CQ191" i="8"/>
  <c r="CP190" i="8"/>
  <c r="CP206" i="8"/>
  <c r="CP203" i="8" s="1"/>
  <c r="CP175" i="112" s="1"/>
  <c r="CP195" i="8"/>
  <c r="CS183" i="112"/>
  <c r="CS193" i="8" s="1"/>
  <c r="CS177" i="112"/>
  <c r="CS197" i="112" s="1"/>
  <c r="CR205" i="8"/>
  <c r="CR194" i="8"/>
  <c r="CR192" i="8"/>
  <c r="CQ206" i="8"/>
  <c r="CQ204" i="8"/>
  <c r="AQ153" i="8"/>
  <c r="AM153" i="8"/>
  <c r="BE44" i="60" l="1"/>
  <c r="CQ195" i="8"/>
  <c r="CQ190" i="8"/>
  <c r="CR191" i="8"/>
  <c r="CR190" i="8" s="1"/>
  <c r="CQ203" i="8"/>
  <c r="CQ175" i="112" s="1"/>
  <c r="CT183" i="112"/>
  <c r="CT193" i="8" s="1"/>
  <c r="CT177" i="112"/>
  <c r="CT197" i="112" s="1"/>
  <c r="CR206" i="8"/>
  <c r="CR204" i="8"/>
  <c r="CS205" i="8"/>
  <c r="CS194" i="8"/>
  <c r="CS192" i="8"/>
  <c r="AQ154" i="8"/>
  <c r="AQ155" i="8"/>
  <c r="AP153" i="8"/>
  <c r="AM154" i="8"/>
  <c r="AM155" i="8"/>
  <c r="BF42" i="60" l="1"/>
  <c r="CR195" i="8"/>
  <c r="CS191" i="8"/>
  <c r="CR203" i="8"/>
  <c r="CR175" i="112" s="1"/>
  <c r="CU183" i="112"/>
  <c r="CU193" i="8" s="1"/>
  <c r="CU177" i="112"/>
  <c r="CU197" i="112" s="1"/>
  <c r="CS206" i="8"/>
  <c r="CS204" i="8"/>
  <c r="CT205" i="8"/>
  <c r="CT194" i="8"/>
  <c r="CT192" i="8"/>
  <c r="AQ152" i="8"/>
  <c r="AM152" i="8"/>
  <c r="AP155" i="8"/>
  <c r="AP154" i="8"/>
  <c r="BF44" i="60" l="1"/>
  <c r="CS195" i="8"/>
  <c r="CS190" i="8"/>
  <c r="CT191" i="8"/>
  <c r="CT190" i="8" s="1"/>
  <c r="CS203" i="8"/>
  <c r="CS175" i="112" s="1"/>
  <c r="CV183" i="112"/>
  <c r="CV193" i="8" s="1"/>
  <c r="CV177" i="112"/>
  <c r="CV197" i="112" s="1"/>
  <c r="CU205" i="8"/>
  <c r="CU194" i="8"/>
  <c r="CU192" i="8"/>
  <c r="CT206" i="8"/>
  <c r="CT204" i="8"/>
  <c r="AP152" i="8"/>
  <c r="BG42" i="60" l="1"/>
  <c r="CT195" i="8"/>
  <c r="CT203" i="8"/>
  <c r="CT175" i="112" s="1"/>
  <c r="CU191" i="8"/>
  <c r="CW183" i="112"/>
  <c r="CW193" i="8" s="1"/>
  <c r="CW192" i="8" s="1"/>
  <c r="CW177" i="112"/>
  <c r="CW197" i="112" s="1"/>
  <c r="CV205" i="8"/>
  <c r="CV192" i="8"/>
  <c r="CV194" i="8"/>
  <c r="CU206" i="8"/>
  <c r="CU204" i="8"/>
  <c r="BG44" i="60" l="1"/>
  <c r="CU203" i="8"/>
  <c r="CU175" i="112" s="1"/>
  <c r="CV191" i="8"/>
  <c r="CU195" i="8"/>
  <c r="CU190" i="8"/>
  <c r="CW194" i="8"/>
  <c r="CW191" i="8" s="1"/>
  <c r="CW205" i="8"/>
  <c r="CW204" i="8" s="1"/>
  <c r="CV204" i="8"/>
  <c r="CV206" i="8"/>
  <c r="BH42" i="60" l="1"/>
  <c r="CV190" i="8"/>
  <c r="CV195" i="8"/>
  <c r="CV203" i="8"/>
  <c r="CV175" i="112" s="1"/>
  <c r="CW190" i="8"/>
  <c r="CW206" i="8"/>
  <c r="CW203" i="8" s="1"/>
  <c r="CW175" i="112" s="1"/>
  <c r="CW195" i="8"/>
  <c r="BH44" i="60" l="1"/>
  <c r="BI42" i="60" l="1"/>
  <c r="BI44" i="60" l="1"/>
  <c r="BJ42" i="60" l="1"/>
  <c r="BJ44" i="60" l="1"/>
  <c r="BK42" i="60" l="1"/>
  <c r="BK44" i="60" l="1"/>
  <c r="BL42" i="60" l="1"/>
  <c r="BL44" i="60" l="1"/>
  <c r="B37" i="46"/>
  <c r="C37" i="46"/>
  <c r="D37" i="46"/>
  <c r="E37" i="46"/>
  <c r="F37" i="46"/>
  <c r="G37" i="46"/>
  <c r="H37" i="46"/>
  <c r="I37" i="46"/>
  <c r="BM42" i="60" l="1"/>
  <c r="AM198" i="8"/>
  <c r="AM200" i="8" s="1"/>
  <c r="BM44" i="60" l="1"/>
  <c r="AM199" i="8"/>
  <c r="AM197" i="8" s="1"/>
  <c r="BN42" i="60" l="1"/>
  <c r="AQ198" i="8"/>
  <c r="BN44" i="60" l="1"/>
  <c r="AQ200" i="8"/>
  <c r="AQ199" i="8"/>
  <c r="BO42" i="60" l="1"/>
  <c r="AQ197" i="8"/>
  <c r="BO44" i="60" l="1"/>
  <c r="BP42" i="60" l="1"/>
  <c r="BP44" i="60" l="1"/>
  <c r="BQ42" i="60" l="1"/>
  <c r="BQ44" i="60" l="1"/>
  <c r="BR42" i="60" l="1"/>
  <c r="BR44" i="60" l="1"/>
  <c r="AP47" i="58"/>
  <c r="BS42" i="60" l="1"/>
  <c r="BS44" i="60" s="1"/>
  <c r="AN164" i="8"/>
  <c r="AN165" i="8" s="1"/>
  <c r="AK159" i="8"/>
  <c r="AN166" i="8" l="1"/>
  <c r="AN163" i="8" s="1"/>
  <c r="AK160" i="8"/>
  <c r="AK161" i="8"/>
  <c r="AK158" i="8" l="1"/>
  <c r="S135" i="11" l="1"/>
  <c r="S387" i="111" l="1"/>
  <c r="K49" i="27"/>
  <c r="S39" i="11" l="1"/>
  <c r="U21" i="71" s="1"/>
  <c r="S129" i="111" l="1"/>
  <c r="S62" i="111"/>
  <c r="S17" i="46"/>
  <c r="S68" i="111" l="1"/>
  <c r="T68" i="111"/>
  <c r="AN10" i="4"/>
  <c r="AN11" i="4" s="1"/>
  <c r="AN20" i="4" l="1"/>
  <c r="AR13" i="4"/>
  <c r="AN12" i="4"/>
  <c r="AN13" i="4"/>
  <c r="AO33" i="58" l="1"/>
  <c r="AO34" i="58" s="1"/>
  <c r="AO36" i="58" s="1"/>
  <c r="AV537" i="111"/>
  <c r="AV538" i="111" s="1"/>
  <c r="AV477" i="111"/>
  <c r="AN18" i="4"/>
  <c r="AN21" i="4"/>
  <c r="AN34" i="4"/>
  <c r="AN121" i="2"/>
  <c r="AP46" i="58"/>
  <c r="AN19" i="4" l="1"/>
  <c r="AP51" i="58"/>
  <c r="AV491" i="111"/>
  <c r="AV539" i="111"/>
  <c r="AZ539" i="111"/>
  <c r="AV478" i="111"/>
  <c r="AZ478" i="111"/>
  <c r="AN35" i="4"/>
  <c r="AR35" i="4"/>
  <c r="AN22" i="4"/>
  <c r="AN36" i="4"/>
  <c r="AP50" i="58" l="1"/>
  <c r="AN23" i="4"/>
  <c r="AN305" i="112" l="1"/>
  <c r="AV487" i="111"/>
  <c r="AN28" i="4"/>
  <c r="AN24" i="4"/>
  <c r="AV532" i="111" l="1"/>
  <c r="AV489" i="111"/>
  <c r="AV490" i="111"/>
  <c r="AN59" i="112"/>
  <c r="AN124" i="112"/>
  <c r="AN159" i="8" s="1"/>
  <c r="AN293" i="112"/>
  <c r="AN306" i="112"/>
  <c r="AN208" i="112"/>
  <c r="S89" i="11"/>
  <c r="S22" i="76" s="1"/>
  <c r="S26" i="76" s="1"/>
  <c r="AV533" i="111" l="1"/>
  <c r="S275" i="111"/>
  <c r="AN290" i="112"/>
  <c r="AN294" i="112"/>
  <c r="AN161" i="8"/>
  <c r="AN160" i="8"/>
  <c r="AV484" i="111" l="1"/>
  <c r="S279" i="111"/>
  <c r="S276" i="111"/>
  <c r="AN158" i="8"/>
  <c r="AN219" i="8"/>
  <c r="AN220" i="8" s="1"/>
  <c r="AN291" i="112"/>
  <c r="AN214" i="8" s="1"/>
  <c r="AN217" i="8" s="1"/>
  <c r="AN222" i="8" l="1"/>
  <c r="AN221" i="8"/>
  <c r="AN216" i="8"/>
  <c r="AN215" i="8"/>
  <c r="M55" i="27" l="1"/>
  <c r="N55" i="27" l="1"/>
  <c r="O55" i="27" l="1"/>
  <c r="P55" i="27" l="1"/>
  <c r="Q55" i="27" l="1"/>
  <c r="R55" i="27"/>
  <c r="L76" i="27"/>
  <c r="U877" i="111" l="1"/>
  <c r="BL120" i="8"/>
  <c r="BL82" i="112" s="1"/>
  <c r="U872" i="111" l="1"/>
  <c r="U882" i="111" s="1"/>
  <c r="U887" i="111" s="1"/>
  <c r="BP120" i="8" l="1"/>
  <c r="BP82" i="112" s="1"/>
  <c r="V877" i="111" l="1"/>
  <c r="BQ120" i="8"/>
  <c r="BQ82" i="112" s="1"/>
  <c r="BD434" i="111" l="1"/>
  <c r="BD435" i="111" s="1"/>
  <c r="W877" i="111" l="1"/>
  <c r="BL125" i="8"/>
  <c r="BL86" i="112" s="1"/>
  <c r="BL77" i="112" l="1"/>
  <c r="BE434" i="111"/>
  <c r="BE435" i="111" s="1"/>
  <c r="BP125" i="8"/>
  <c r="BP86" i="112" s="1"/>
  <c r="BP77" i="112" s="1"/>
  <c r="BE463" i="111" l="1"/>
  <c r="BE473" i="111"/>
  <c r="BF463" i="111"/>
  <c r="BF434" i="111"/>
  <c r="BF435" i="111" s="1"/>
  <c r="BQ125" i="8"/>
  <c r="BQ86" i="112" s="1"/>
  <c r="BQ77" i="112" l="1"/>
  <c r="BE464" i="111"/>
  <c r="BF464" i="111"/>
  <c r="BF473" i="111"/>
  <c r="BE474" i="111"/>
  <c r="BG434" i="111"/>
  <c r="BG435" i="111" s="1"/>
  <c r="BE444" i="111"/>
  <c r="BE445" i="111" s="1"/>
  <c r="BF444" i="111"/>
  <c r="BF445" i="111" s="1"/>
  <c r="BG463" i="111"/>
  <c r="BG464" i="111" l="1"/>
  <c r="BF474" i="111"/>
  <c r="BG473" i="111"/>
  <c r="BG474" i="111" s="1"/>
  <c r="BG444" i="111"/>
  <c r="BG445" i="111" s="1"/>
  <c r="BH434" i="111"/>
  <c r="BH435" i="111" s="1"/>
  <c r="BI434" i="111" l="1"/>
  <c r="BI435" i="111" s="1"/>
  <c r="BJ463" i="111" l="1"/>
  <c r="BI463" i="111"/>
  <c r="BJ434" i="111"/>
  <c r="BJ435" i="111" s="1"/>
  <c r="BJ464" i="111" l="1"/>
  <c r="BI464" i="111"/>
  <c r="BJ473" i="111"/>
  <c r="BJ474" i="111" s="1"/>
  <c r="BI473" i="111"/>
  <c r="BI474" i="111" s="1"/>
  <c r="BK434" i="111"/>
  <c r="BK435" i="111" s="1"/>
  <c r="BI444" i="111"/>
  <c r="BI445" i="111" s="1"/>
  <c r="BJ444" i="111"/>
  <c r="BJ445" i="111" s="1"/>
  <c r="BL434" i="111" l="1"/>
  <c r="BL435" i="111" l="1"/>
  <c r="BP435" i="111"/>
  <c r="BM434" i="111"/>
  <c r="BM435" i="111" s="1"/>
  <c r="BN434" i="111" l="1"/>
  <c r="BN435" i="111" s="1"/>
  <c r="AI76" i="2"/>
  <c r="AI77" i="2" s="1"/>
  <c r="AM76" i="2"/>
  <c r="AM77" i="2" s="1"/>
  <c r="AH76" i="2"/>
  <c r="AH77" i="2" s="1"/>
  <c r="AG76" i="2"/>
  <c r="AG77" i="2" s="1"/>
  <c r="AL76" i="2"/>
  <c r="AL77" i="2" s="1"/>
  <c r="AK76" i="2"/>
  <c r="AK77" i="2" s="1"/>
  <c r="AD76" i="2"/>
  <c r="AD77" i="2" s="1"/>
  <c r="AJ76" i="2"/>
  <c r="AJ77" i="2" s="1"/>
  <c r="AF76" i="2"/>
  <c r="AF77" i="2" s="1"/>
  <c r="AC76" i="2"/>
  <c r="AC77" i="2" s="1"/>
  <c r="AE76" i="2"/>
  <c r="AE77" i="2" s="1"/>
  <c r="AN76" i="2"/>
  <c r="AN77" i="2" s="1"/>
  <c r="BO434" i="111" l="1"/>
  <c r="BO435" i="111" s="1"/>
  <c r="BN463" i="111"/>
  <c r="BR464" i="111" s="1"/>
  <c r="S204" i="11"/>
  <c r="S215" i="11" s="1"/>
  <c r="BN464" i="111" l="1"/>
  <c r="BN473" i="111"/>
  <c r="BN444" i="111"/>
  <c r="BN445" i="111" s="1"/>
  <c r="BN474" i="111" l="1"/>
  <c r="BR474" i="111"/>
  <c r="S40" i="11"/>
  <c r="U22" i="71" s="1"/>
  <c r="S63" i="111" l="1"/>
  <c r="S128" i="111"/>
  <c r="S18" i="46"/>
  <c r="AO204" i="8"/>
  <c r="S69" i="111" l="1"/>
  <c r="T69" i="111"/>
  <c r="AO206" i="8"/>
  <c r="AO205" i="8"/>
  <c r="AO203" i="8" l="1"/>
  <c r="S94" i="11" l="1"/>
  <c r="K14" i="27" l="1"/>
  <c r="S73" i="11"/>
  <c r="S74" i="11"/>
  <c r="S75" i="11"/>
  <c r="S97" i="11"/>
  <c r="S154" i="11" s="1"/>
  <c r="S100" i="11"/>
  <c r="S27" i="76" l="1"/>
  <c r="U24" i="71"/>
  <c r="U26" i="71"/>
  <c r="U25" i="71"/>
  <c r="S196" i="111"/>
  <c r="S194" i="111"/>
  <c r="S195" i="111"/>
  <c r="S24" i="46"/>
  <c r="S28" i="46" s="1"/>
  <c r="S22" i="46"/>
  <c r="S23" i="46"/>
  <c r="S27" i="46" s="1"/>
  <c r="K18" i="27"/>
  <c r="K16" i="27"/>
  <c r="K69" i="27" s="1"/>
  <c r="AO245" i="8"/>
  <c r="AO246" i="8" s="1"/>
  <c r="S82" i="11"/>
  <c r="U29" i="71" s="1"/>
  <c r="S83" i="11"/>
  <c r="U30" i="71" s="1"/>
  <c r="AO12" i="2"/>
  <c r="AO10" i="2"/>
  <c r="AO17" i="2"/>
  <c r="AO7" i="2"/>
  <c r="AO28" i="2"/>
  <c r="AO36" i="2"/>
  <c r="AO275" i="8" s="1"/>
  <c r="AO16" i="2"/>
  <c r="AO20" i="2"/>
  <c r="AO9" i="2"/>
  <c r="S123" i="11"/>
  <c r="AO10" i="4"/>
  <c r="AO11" i="4" s="1"/>
  <c r="S60" i="11"/>
  <c r="AQ47" i="58"/>
  <c r="AO259" i="8" l="1"/>
  <c r="AO260" i="8" s="1"/>
  <c r="S342" i="111" s="1"/>
  <c r="AO264" i="8"/>
  <c r="AO267" i="8" s="1"/>
  <c r="S348" i="111" s="1"/>
  <c r="S214" i="111"/>
  <c r="S199" i="111"/>
  <c r="T214" i="111"/>
  <c r="S215" i="111"/>
  <c r="S200" i="111"/>
  <c r="T215" i="111"/>
  <c r="S216" i="111"/>
  <c r="S201" i="111"/>
  <c r="T216" i="111"/>
  <c r="S205" i="111"/>
  <c r="S206" i="111"/>
  <c r="AO239" i="8"/>
  <c r="AO240" i="8" s="1"/>
  <c r="AO251" i="8"/>
  <c r="AO20" i="4"/>
  <c r="AS13" i="4"/>
  <c r="K38" i="27"/>
  <c r="K7" i="27"/>
  <c r="AO247" i="8"/>
  <c r="AO248" i="8"/>
  <c r="AO276" i="8"/>
  <c r="AO278" i="8"/>
  <c r="AO277" i="8"/>
  <c r="AO254" i="8"/>
  <c r="AO261" i="8"/>
  <c r="S132" i="11"/>
  <c r="AO12" i="4"/>
  <c r="AO13" i="4"/>
  <c r="AO262" i="8" l="1"/>
  <c r="S343" i="111" s="1"/>
  <c r="AO265" i="8"/>
  <c r="S347" i="111" s="1"/>
  <c r="AO266" i="8"/>
  <c r="S346" i="111" s="1"/>
  <c r="S324" i="111" s="1"/>
  <c r="AO241" i="8"/>
  <c r="AP33" i="58"/>
  <c r="AP34" i="58" s="1"/>
  <c r="AO242" i="8"/>
  <c r="AO18" i="4"/>
  <c r="AP121" i="2"/>
  <c r="AW537" i="111"/>
  <c r="AW538" i="111" s="1"/>
  <c r="T211" i="111"/>
  <c r="S211" i="111"/>
  <c r="AW477" i="111"/>
  <c r="S341" i="111"/>
  <c r="S323" i="111" s="1"/>
  <c r="AQ121" i="2"/>
  <c r="T210" i="111"/>
  <c r="S210" i="111"/>
  <c r="AO21" i="4"/>
  <c r="K46" i="27"/>
  <c r="AO256" i="8"/>
  <c r="S336" i="111" s="1"/>
  <c r="S322" i="111" s="1"/>
  <c r="AO257" i="8"/>
  <c r="S338" i="111" s="1"/>
  <c r="AO255" i="8"/>
  <c r="S337" i="111" s="1"/>
  <c r="AO121" i="2"/>
  <c r="AO34" i="4"/>
  <c r="S69" i="11"/>
  <c r="S21" i="76" s="1"/>
  <c r="S136" i="11"/>
  <c r="S130" i="11"/>
  <c r="S131" i="11"/>
  <c r="S67" i="11" l="1"/>
  <c r="AO19" i="4"/>
  <c r="S23" i="76"/>
  <c r="U31" i="71"/>
  <c r="U39" i="71"/>
  <c r="F10" i="71"/>
  <c r="F40" i="71" s="1"/>
  <c r="AL12" i="71"/>
  <c r="K29" i="27"/>
  <c r="S382" i="111"/>
  <c r="S384" i="111"/>
  <c r="AW491" i="111"/>
  <c r="AS35" i="4"/>
  <c r="AW478" i="111"/>
  <c r="BA478" i="111"/>
  <c r="AW539" i="111"/>
  <c r="BA539" i="111"/>
  <c r="K50" i="27"/>
  <c r="K45" i="27"/>
  <c r="K44" i="27"/>
  <c r="S180" i="11"/>
  <c r="K10" i="27"/>
  <c r="AO22" i="4"/>
  <c r="AP36" i="58"/>
  <c r="AO36" i="4"/>
  <c r="AO35" i="4"/>
  <c r="AL42" i="71" l="1"/>
  <c r="AI60" i="71"/>
  <c r="AI62" i="71" s="1"/>
  <c r="F12" i="71"/>
  <c r="F42" i="71" s="1"/>
  <c r="S71" i="11"/>
  <c r="AO23" i="4"/>
  <c r="AQ46" i="58"/>
  <c r="S124" i="11"/>
  <c r="AQ51" i="58" l="1"/>
  <c r="AR51" i="58" s="1"/>
  <c r="AR50" i="58" s="1"/>
  <c r="AO305" i="112"/>
  <c r="AW487" i="111"/>
  <c r="K39" i="27"/>
  <c r="K42" i="27" s="1"/>
  <c r="AO28" i="4"/>
  <c r="AO24" i="4"/>
  <c r="S72" i="11"/>
  <c r="S128" i="11"/>
  <c r="U23" i="71" l="1"/>
  <c r="S62" i="76"/>
  <c r="S64" i="76"/>
  <c r="S63" i="76"/>
  <c r="S383" i="111"/>
  <c r="AW532" i="111"/>
  <c r="AQ50" i="58"/>
  <c r="AW489" i="111"/>
  <c r="AW490" i="111"/>
  <c r="AW488" i="111"/>
  <c r="AU488" i="111"/>
  <c r="AV488" i="111"/>
  <c r="AT488" i="111"/>
  <c r="AO59" i="112"/>
  <c r="AO124" i="112"/>
  <c r="AO159" i="8" s="1"/>
  <c r="AO208" i="112"/>
  <c r="AO293" i="112"/>
  <c r="AO306" i="112"/>
  <c r="S21" i="46"/>
  <c r="S71" i="76" l="1"/>
  <c r="S66" i="76"/>
  <c r="AW533" i="111"/>
  <c r="AU534" i="111"/>
  <c r="AT534" i="111"/>
  <c r="AV534" i="111"/>
  <c r="AW534" i="111"/>
  <c r="AO294" i="112"/>
  <c r="AO219" i="8" s="1"/>
  <c r="AO221" i="8" s="1"/>
  <c r="AO290" i="112"/>
  <c r="AO161" i="8"/>
  <c r="AO160" i="8"/>
  <c r="S117" i="11"/>
  <c r="AO158" i="8" l="1"/>
  <c r="AW484" i="111"/>
  <c r="AO291" i="112"/>
  <c r="AO214" i="8" s="1"/>
  <c r="AO216" i="8" s="1"/>
  <c r="AO222" i="8"/>
  <c r="AO220" i="8"/>
  <c r="AO217" i="8" l="1"/>
  <c r="AO215" i="8"/>
  <c r="S118" i="11"/>
  <c r="U40" i="71" s="1"/>
  <c r="S302" i="111" l="1"/>
  <c r="S200" i="11"/>
  <c r="S71" i="46" s="1"/>
  <c r="K27" i="27"/>
  <c r="S140" i="11"/>
  <c r="S388" i="111" l="1"/>
  <c r="T176" i="11"/>
  <c r="K52" i="27"/>
  <c r="K129" i="27" s="1"/>
  <c r="S170" i="11"/>
  <c r="S167" i="11"/>
  <c r="S198" i="11"/>
  <c r="S69" i="46" s="1"/>
  <c r="S213" i="11"/>
  <c r="S142" i="11"/>
  <c r="T36" i="46" l="1"/>
  <c r="S425" i="111"/>
  <c r="S389" i="111"/>
  <c r="S77" i="46"/>
  <c r="K58" i="27"/>
  <c r="S129" i="11"/>
  <c r="S381" i="111" l="1"/>
  <c r="S166" i="11"/>
  <c r="K43" i="27"/>
  <c r="K47" i="27" s="1"/>
  <c r="S169" i="11"/>
  <c r="S133" i="11"/>
  <c r="AL18" i="71" l="1"/>
  <c r="AL48" i="71" s="1"/>
  <c r="U37" i="71"/>
  <c r="S206" i="11"/>
  <c r="F18" i="71"/>
  <c r="F45" i="71" s="1"/>
  <c r="K31" i="27"/>
  <c r="S847" i="111"/>
  <c r="T847" i="111"/>
  <c r="S168" i="11"/>
  <c r="AL19" i="71" s="1"/>
  <c r="AL49" i="71" s="1"/>
  <c r="S190" i="11"/>
  <c r="S194" i="11" s="1"/>
  <c r="S32" i="46"/>
  <c r="S171" i="11"/>
  <c r="S191" i="11"/>
  <c r="S205" i="11"/>
  <c r="F19" i="71" l="1"/>
  <c r="F46" i="71" s="1"/>
  <c r="U38" i="71"/>
  <c r="S209" i="11"/>
  <c r="S33" i="46"/>
  <c r="S195" i="11"/>
  <c r="S67" i="46" l="1"/>
  <c r="S415" i="111"/>
  <c r="R77" i="46" l="1"/>
  <c r="BB430" i="111" l="1"/>
  <c r="BB431" i="111" s="1"/>
  <c r="BC430" i="111" l="1"/>
  <c r="BC431" i="111" s="1"/>
  <c r="BB428" i="111"/>
  <c r="BB429" i="111" l="1"/>
  <c r="BB440" i="111"/>
  <c r="BB441" i="111" s="1"/>
  <c r="BB459" i="111"/>
  <c r="U875" i="111"/>
  <c r="BD430" i="111"/>
  <c r="BD431" i="111" s="1"/>
  <c r="BC428" i="111"/>
  <c r="BD469" i="111"/>
  <c r="BN109" i="8"/>
  <c r="BN15" i="112" s="1"/>
  <c r="BC429" i="111" l="1"/>
  <c r="AV33" i="2"/>
  <c r="BB460" i="111"/>
  <c r="BN10" i="112"/>
  <c r="BD470" i="111"/>
  <c r="BE469" i="111"/>
  <c r="BE430" i="111"/>
  <c r="BE431" i="111" s="1"/>
  <c r="BD428" i="111"/>
  <c r="BD440" i="111"/>
  <c r="BD441" i="111" s="1"/>
  <c r="BQ109" i="8"/>
  <c r="BQ15" i="112" s="1"/>
  <c r="BD429" i="111" l="1"/>
  <c r="AW33" i="2"/>
  <c r="BE470" i="111"/>
  <c r="BQ10" i="112"/>
  <c r="BE440" i="111"/>
  <c r="BE441" i="111" s="1"/>
  <c r="BE428" i="111"/>
  <c r="BF430" i="111"/>
  <c r="BF431" i="111" s="1"/>
  <c r="AP164" i="8"/>
  <c r="BE429" i="111" l="1"/>
  <c r="BF469" i="111"/>
  <c r="BF470" i="111" s="1"/>
  <c r="BG430" i="111"/>
  <c r="BG431" i="111" s="1"/>
  <c r="BF459" i="111"/>
  <c r="BF428" i="111"/>
  <c r="BF440" i="111"/>
  <c r="BF441" i="111" s="1"/>
  <c r="AP166" i="8"/>
  <c r="AP165" i="8"/>
  <c r="AP163" i="8" s="1"/>
  <c r="AY33" i="2" l="1"/>
  <c r="BF460" i="111"/>
  <c r="BF429" i="111"/>
  <c r="BG428" i="111"/>
  <c r="BH430" i="111"/>
  <c r="BH431" i="111" s="1"/>
  <c r="V875" i="111"/>
  <c r="BG429" i="111" l="1"/>
  <c r="BI430" i="111"/>
  <c r="BI431" i="111" s="1"/>
  <c r="BH428" i="111"/>
  <c r="BH429" i="111" l="1"/>
  <c r="BI469" i="111"/>
  <c r="BI470" i="111" s="1"/>
  <c r="BI440" i="111"/>
  <c r="BI441" i="111" s="1"/>
  <c r="BJ430" i="111"/>
  <c r="BJ431" i="111" s="1"/>
  <c r="BI428" i="111"/>
  <c r="BI429" i="111" l="1"/>
  <c r="BJ469" i="111"/>
  <c r="BJ470" i="111" s="1"/>
  <c r="BK430" i="111"/>
  <c r="BK431" i="111" s="1"/>
  <c r="BJ440" i="111"/>
  <c r="BJ441" i="111" s="1"/>
  <c r="BJ459" i="111"/>
  <c r="BJ428" i="111"/>
  <c r="W875" i="111" l="1"/>
  <c r="BJ429" i="111"/>
  <c r="BJ460" i="111"/>
  <c r="BL430" i="111"/>
  <c r="BK428" i="111"/>
  <c r="BL431" i="111" l="1"/>
  <c r="BP431" i="111"/>
  <c r="BK429" i="111"/>
  <c r="BM430" i="111"/>
  <c r="BM431" i="111" s="1"/>
  <c r="BL428" i="111"/>
  <c r="BP429" i="111" s="1"/>
  <c r="BL429" i="111" l="1"/>
  <c r="BM428" i="111"/>
  <c r="BM429" i="111" s="1"/>
  <c r="BN430" i="111"/>
  <c r="BN431" i="111" s="1"/>
  <c r="BN469" i="111"/>
  <c r="BR470" i="111" s="1"/>
  <c r="BM469" i="111" l="1"/>
  <c r="BN470" i="111"/>
  <c r="BN428" i="111"/>
  <c r="BN440" i="111"/>
  <c r="BN441" i="111" s="1"/>
  <c r="BN459" i="111"/>
  <c r="BR460" i="111" s="1"/>
  <c r="BM440" i="111"/>
  <c r="BM441" i="111" s="1"/>
  <c r="BO430" i="111"/>
  <c r="BO431" i="111" s="1"/>
  <c r="BN460" i="111" l="1"/>
  <c r="BN429" i="111"/>
  <c r="BM470" i="111"/>
  <c r="BO428" i="111"/>
  <c r="BT449" i="111" l="1"/>
  <c r="BO429" i="111"/>
  <c r="AP219" i="8" l="1"/>
  <c r="AP214" i="8" l="1"/>
  <c r="AP216" i="8" s="1"/>
  <c r="AP222" i="8"/>
  <c r="AP220" i="8"/>
  <c r="AP221" i="8"/>
  <c r="AP215" i="8" l="1"/>
  <c r="AP217" i="8"/>
  <c r="AP184" i="8" l="1"/>
  <c r="AP178" i="8" l="1"/>
  <c r="AP180" i="8" s="1"/>
  <c r="AP186" i="8"/>
  <c r="AP185" i="8"/>
  <c r="AP183" i="8" l="1"/>
  <c r="AP179" i="8"/>
  <c r="AP177" i="8" s="1"/>
  <c r="AP239" i="8" l="1"/>
  <c r="AP241" i="8" l="1"/>
  <c r="AP240" i="8"/>
  <c r="AP242" i="8"/>
  <c r="AP270" i="8" l="1"/>
  <c r="AP271" i="8" l="1"/>
  <c r="AP273" i="8"/>
  <c r="AP272" i="8"/>
  <c r="AP73" i="2" l="1"/>
  <c r="AP159" i="8" l="1"/>
  <c r="AP275" i="8"/>
  <c r="AP254" i="8"/>
  <c r="AP161" i="8" l="1"/>
  <c r="AP160" i="8"/>
  <c r="AP255" i="8"/>
  <c r="AP257" i="8"/>
  <c r="AP256" i="8"/>
  <c r="AP276" i="8"/>
  <c r="AP278" i="8"/>
  <c r="AP277" i="8"/>
  <c r="AP158" i="8" l="1"/>
  <c r="AP198" i="8" l="1"/>
  <c r="AP200" i="8" s="1"/>
  <c r="AP204" i="8"/>
  <c r="AP199" i="8" l="1"/>
  <c r="AP197" i="8" s="1"/>
  <c r="AP206" i="8"/>
  <c r="AP205" i="8"/>
  <c r="AP203" i="8" l="1"/>
  <c r="B132" i="2" l="1"/>
  <c r="C124" i="2"/>
  <c r="D124" i="2"/>
  <c r="E124" i="2"/>
  <c r="G124" i="2"/>
  <c r="H124" i="2"/>
  <c r="I124" i="2"/>
  <c r="K124" i="2"/>
  <c r="L124" i="2"/>
  <c r="M124" i="2"/>
  <c r="O124" i="2"/>
  <c r="P124" i="2"/>
  <c r="Q124" i="2"/>
  <c r="S124" i="2"/>
  <c r="T124" i="2"/>
  <c r="U124" i="2"/>
  <c r="W124" i="2"/>
  <c r="X124" i="2"/>
  <c r="Y124" i="2"/>
  <c r="AA124" i="2"/>
  <c r="AB124" i="2"/>
  <c r="AC124" i="2"/>
  <c r="AE124" i="2"/>
  <c r="AF124" i="2"/>
  <c r="AG124" i="2"/>
  <c r="AI124" i="2"/>
  <c r="AJ124" i="2"/>
  <c r="AK124" i="2"/>
  <c r="AM124" i="2"/>
  <c r="AN124" i="2"/>
  <c r="AO124" i="2"/>
  <c r="B37" i="4"/>
  <c r="C37" i="4"/>
  <c r="K545" i="111" s="1"/>
  <c r="D37" i="4"/>
  <c r="L545" i="111" s="1"/>
  <c r="E37" i="4"/>
  <c r="M545" i="111" s="1"/>
  <c r="F37" i="4"/>
  <c r="G37" i="4"/>
  <c r="O545" i="111" s="1"/>
  <c r="H37" i="4"/>
  <c r="P545" i="111" s="1"/>
  <c r="I37" i="4"/>
  <c r="Q545" i="111" s="1"/>
  <c r="J37" i="4"/>
  <c r="K37" i="4"/>
  <c r="S545" i="111" s="1"/>
  <c r="L37" i="4"/>
  <c r="T545" i="111" s="1"/>
  <c r="M37" i="4"/>
  <c r="U545" i="111" s="1"/>
  <c r="N37" i="4"/>
  <c r="O37" i="4"/>
  <c r="W545" i="111" s="1"/>
  <c r="P37" i="4"/>
  <c r="X545" i="111" s="1"/>
  <c r="Q37" i="4"/>
  <c r="Y545" i="111" s="1"/>
  <c r="R37" i="4"/>
  <c r="S37" i="4"/>
  <c r="AA545" i="111" s="1"/>
  <c r="T37" i="4"/>
  <c r="AB545" i="111" s="1"/>
  <c r="U37" i="4"/>
  <c r="AC545" i="111" s="1"/>
  <c r="V37" i="4"/>
  <c r="W37" i="4"/>
  <c r="AE545" i="111" s="1"/>
  <c r="X37" i="4"/>
  <c r="AF545" i="111" s="1"/>
  <c r="Y37" i="4"/>
  <c r="AG545" i="111" s="1"/>
  <c r="Z37" i="4"/>
  <c r="AH545" i="111" s="1"/>
  <c r="AA37" i="4"/>
  <c r="AI545" i="111" s="1"/>
  <c r="AB37" i="4"/>
  <c r="AJ545" i="111" s="1"/>
  <c r="AC37" i="4"/>
  <c r="AK545" i="111" s="1"/>
  <c r="AD37" i="4"/>
  <c r="AE37" i="4"/>
  <c r="AM545" i="111" s="1"/>
  <c r="AF37" i="4"/>
  <c r="AN545" i="111" s="1"/>
  <c r="AG37" i="4"/>
  <c r="AO545" i="111" s="1"/>
  <c r="AH37" i="4"/>
  <c r="AI37" i="4"/>
  <c r="AQ545" i="111" s="1"/>
  <c r="AJ37" i="4"/>
  <c r="AR545" i="111" s="1"/>
  <c r="AK37" i="4"/>
  <c r="AS545" i="111" s="1"/>
  <c r="AL37" i="4"/>
  <c r="AM37" i="4"/>
  <c r="AU545" i="111" s="1"/>
  <c r="AN37" i="4"/>
  <c r="AV545" i="111" s="1"/>
  <c r="AO37" i="4"/>
  <c r="AW545" i="111" s="1"/>
  <c r="N93" i="11" l="1"/>
  <c r="K93" i="11"/>
  <c r="L93" i="11"/>
  <c r="M93" i="11"/>
  <c r="J545" i="111"/>
  <c r="J93" i="11"/>
  <c r="B44" i="4"/>
  <c r="B312" i="112" s="1"/>
  <c r="B313" i="112" s="1"/>
  <c r="B229" i="8" s="1"/>
  <c r="AT545" i="111"/>
  <c r="S92" i="11"/>
  <c r="R44" i="4"/>
  <c r="R312" i="112" s="1"/>
  <c r="R313" i="112" s="1"/>
  <c r="R229" i="8" s="1"/>
  <c r="Z545" i="111"/>
  <c r="AP545" i="111"/>
  <c r="R92" i="11"/>
  <c r="AL545" i="111"/>
  <c r="Q92" i="11"/>
  <c r="V44" i="4"/>
  <c r="V312" i="112" s="1"/>
  <c r="V313" i="112" s="1"/>
  <c r="V229" i="8" s="1"/>
  <c r="AD545" i="111"/>
  <c r="N44" i="4"/>
  <c r="N312" i="112" s="1"/>
  <c r="N313" i="112" s="1"/>
  <c r="N229" i="8" s="1"/>
  <c r="V545" i="111"/>
  <c r="J44" i="4"/>
  <c r="J312" i="112" s="1"/>
  <c r="J313" i="112" s="1"/>
  <c r="J229" i="8" s="1"/>
  <c r="R545" i="111"/>
  <c r="F44" i="4"/>
  <c r="F312" i="112" s="1"/>
  <c r="F313" i="112" s="1"/>
  <c r="F229" i="8" s="1"/>
  <c r="N545" i="111"/>
  <c r="AL44" i="4"/>
  <c r="AL312" i="112" s="1"/>
  <c r="AL313" i="112" s="1"/>
  <c r="AH44" i="4"/>
  <c r="AH312" i="112" s="1"/>
  <c r="AH313" i="112" s="1"/>
  <c r="AD44" i="4"/>
  <c r="AD312" i="112" s="1"/>
  <c r="AD313" i="112" s="1"/>
  <c r="P44" i="4"/>
  <c r="P312" i="112" s="1"/>
  <c r="P313" i="112" s="1"/>
  <c r="AA132" i="2"/>
  <c r="K132" i="2"/>
  <c r="H44" i="4"/>
  <c r="H312" i="112" s="1"/>
  <c r="H313" i="112" s="1"/>
  <c r="G132" i="2"/>
  <c r="Z44" i="4"/>
  <c r="Z312" i="112" s="1"/>
  <c r="Z313" i="112" s="1"/>
  <c r="C132" i="2"/>
  <c r="AO132" i="2"/>
  <c r="AG132" i="2"/>
  <c r="I132" i="2"/>
  <c r="X44" i="4"/>
  <c r="X312" i="112" s="1"/>
  <c r="X313" i="112" s="1"/>
  <c r="D44" i="4"/>
  <c r="D312" i="112" s="1"/>
  <c r="D313" i="112" s="1"/>
  <c r="AF44" i="4"/>
  <c r="AF312" i="112" s="1"/>
  <c r="AF313" i="112" s="1"/>
  <c r="W132" i="2"/>
  <c r="AM132" i="2"/>
  <c r="S132" i="2"/>
  <c r="AE132" i="2"/>
  <c r="Q132" i="2"/>
  <c r="AN44" i="4"/>
  <c r="AN312" i="112" s="1"/>
  <c r="AN313" i="112" s="1"/>
  <c r="AB44" i="4"/>
  <c r="AB312" i="112" s="1"/>
  <c r="AB313" i="112" s="1"/>
  <c r="T44" i="4"/>
  <c r="T312" i="112" s="1"/>
  <c r="T313" i="112" s="1"/>
  <c r="L44" i="4"/>
  <c r="L312" i="112" s="1"/>
  <c r="L313" i="112" s="1"/>
  <c r="AI132" i="2"/>
  <c r="Y132" i="2"/>
  <c r="O132" i="2"/>
  <c r="AK128" i="2"/>
  <c r="AK227" i="8" s="1"/>
  <c r="AK129" i="2"/>
  <c r="M128" i="2"/>
  <c r="M227" i="8" s="1"/>
  <c r="M129" i="2"/>
  <c r="AG128" i="2"/>
  <c r="AG227" i="8" s="1"/>
  <c r="AG129" i="2"/>
  <c r="AC128" i="2"/>
  <c r="AC227" i="8" s="1"/>
  <c r="AC129" i="2"/>
  <c r="Y129" i="2"/>
  <c r="Y128" i="2"/>
  <c r="Y227" i="8" s="1"/>
  <c r="U128" i="2"/>
  <c r="U227" i="8" s="1"/>
  <c r="U129" i="2"/>
  <c r="Q128" i="2"/>
  <c r="Q227" i="8" s="1"/>
  <c r="Q129" i="2"/>
  <c r="I129" i="2"/>
  <c r="I128" i="2"/>
  <c r="I227" i="8" s="1"/>
  <c r="E128" i="2"/>
  <c r="E129" i="2"/>
  <c r="AI128" i="2"/>
  <c r="AI227" i="8" s="1"/>
  <c r="AI129" i="2"/>
  <c r="AE128" i="2"/>
  <c r="AE227" i="8" s="1"/>
  <c r="AE129" i="2"/>
  <c r="AA128" i="2"/>
  <c r="AA227" i="8" s="1"/>
  <c r="AA129" i="2"/>
  <c r="W128" i="2"/>
  <c r="W227" i="8" s="1"/>
  <c r="W129" i="2"/>
  <c r="S128" i="2"/>
  <c r="S227" i="8" s="1"/>
  <c r="S129" i="2"/>
  <c r="O128" i="2"/>
  <c r="O227" i="8" s="1"/>
  <c r="O129" i="2"/>
  <c r="K128" i="2"/>
  <c r="K227" i="8" s="1"/>
  <c r="K129" i="2"/>
  <c r="G128" i="2"/>
  <c r="G227" i="8" s="1"/>
  <c r="G129" i="2"/>
  <c r="C128" i="2"/>
  <c r="C129" i="2"/>
  <c r="AJ44" i="4"/>
  <c r="AJ312" i="112" s="1"/>
  <c r="AJ313" i="112" s="1"/>
  <c r="AK132" i="2"/>
  <c r="AC132" i="2"/>
  <c r="U132" i="2"/>
  <c r="M132" i="2"/>
  <c r="E132" i="2"/>
  <c r="AP102" i="2"/>
  <c r="AO44" i="4"/>
  <c r="AO312" i="112" s="1"/>
  <c r="AO313" i="112" s="1"/>
  <c r="AK44" i="4"/>
  <c r="AK312" i="112" s="1"/>
  <c r="AK313" i="112" s="1"/>
  <c r="AG44" i="4"/>
  <c r="AG312" i="112" s="1"/>
  <c r="AG313" i="112" s="1"/>
  <c r="AC44" i="4"/>
  <c r="AC312" i="112" s="1"/>
  <c r="AC313" i="112" s="1"/>
  <c r="Y44" i="4"/>
  <c r="Y312" i="112" s="1"/>
  <c r="Y313" i="112" s="1"/>
  <c r="U44" i="4"/>
  <c r="U312" i="112" s="1"/>
  <c r="U313" i="112" s="1"/>
  <c r="Q44" i="4"/>
  <c r="Q312" i="112" s="1"/>
  <c r="Q313" i="112" s="1"/>
  <c r="M44" i="4"/>
  <c r="M312" i="112" s="1"/>
  <c r="M313" i="112" s="1"/>
  <c r="I44" i="4"/>
  <c r="I312" i="112" s="1"/>
  <c r="I313" i="112" s="1"/>
  <c r="AM44" i="4"/>
  <c r="AM312" i="112" s="1"/>
  <c r="AM313" i="112" s="1"/>
  <c r="AI44" i="4"/>
  <c r="AI312" i="112" s="1"/>
  <c r="AI313" i="112" s="1"/>
  <c r="AE44" i="4"/>
  <c r="AE312" i="112" s="1"/>
  <c r="AE313" i="112" s="1"/>
  <c r="AA44" i="4"/>
  <c r="AA312" i="112" s="1"/>
  <c r="AA313" i="112" s="1"/>
  <c r="W44" i="4"/>
  <c r="W312" i="112" s="1"/>
  <c r="W313" i="112" s="1"/>
  <c r="S44" i="4"/>
  <c r="S312" i="112" s="1"/>
  <c r="S313" i="112" s="1"/>
  <c r="O44" i="4"/>
  <c r="O312" i="112" s="1"/>
  <c r="O313" i="112" s="1"/>
  <c r="K44" i="4"/>
  <c r="K312" i="112" s="1"/>
  <c r="K313" i="112" s="1"/>
  <c r="G44" i="4"/>
  <c r="G312" i="112" s="1"/>
  <c r="G313" i="112" s="1"/>
  <c r="AJ128" i="2"/>
  <c r="AJ227" i="8" s="1"/>
  <c r="AJ129" i="2"/>
  <c r="AF128" i="2"/>
  <c r="AF227" i="8" s="1"/>
  <c r="AF129" i="2"/>
  <c r="AB128" i="2"/>
  <c r="AB227" i="8" s="1"/>
  <c r="AB129" i="2"/>
  <c r="X128" i="2"/>
  <c r="X227" i="8" s="1"/>
  <c r="X129" i="2"/>
  <c r="T128" i="2"/>
  <c r="T227" i="8" s="1"/>
  <c r="T129" i="2"/>
  <c r="P128" i="2"/>
  <c r="P227" i="8" s="1"/>
  <c r="P129" i="2"/>
  <c r="L128" i="2"/>
  <c r="L227" i="8" s="1"/>
  <c r="L129" i="2"/>
  <c r="H128" i="2"/>
  <c r="H227" i="8" s="1"/>
  <c r="H129" i="2"/>
  <c r="D128" i="2"/>
  <c r="D129" i="2"/>
  <c r="E44" i="4"/>
  <c r="E312" i="112" s="1"/>
  <c r="E313" i="112" s="1"/>
  <c r="AL124" i="2"/>
  <c r="AL132" i="2"/>
  <c r="AH124" i="2"/>
  <c r="AH132" i="2"/>
  <c r="AD124" i="2"/>
  <c r="AD132" i="2"/>
  <c r="Z124" i="2"/>
  <c r="Z132" i="2"/>
  <c r="V124" i="2"/>
  <c r="V132" i="2"/>
  <c r="R124" i="2"/>
  <c r="R132" i="2"/>
  <c r="N124" i="2"/>
  <c r="N132" i="2"/>
  <c r="J124" i="2"/>
  <c r="J132" i="2"/>
  <c r="F124" i="2"/>
  <c r="F132" i="2"/>
  <c r="C44" i="4"/>
  <c r="C312" i="112" s="1"/>
  <c r="C313" i="112" s="1"/>
  <c r="AN132" i="2"/>
  <c r="AJ132" i="2"/>
  <c r="AF132" i="2"/>
  <c r="AB132" i="2"/>
  <c r="X132" i="2"/>
  <c r="T132" i="2"/>
  <c r="P132" i="2"/>
  <c r="L132" i="2"/>
  <c r="H132" i="2"/>
  <c r="D132" i="2"/>
  <c r="R173" i="11" l="1"/>
  <c r="E15" i="71" s="1"/>
  <c r="Q173" i="11"/>
  <c r="D15" i="71" s="1"/>
  <c r="S173" i="11"/>
  <c r="F15" i="71" s="1"/>
  <c r="S104" i="11"/>
  <c r="R104" i="11"/>
  <c r="Q104" i="11"/>
  <c r="B51" i="4"/>
  <c r="B105" i="4" s="1"/>
  <c r="B109" i="4" s="1"/>
  <c r="B46" i="4"/>
  <c r="J548" i="111" s="1"/>
  <c r="R46" i="4"/>
  <c r="Z548" i="111" s="1"/>
  <c r="F46" i="4"/>
  <c r="N548" i="111" s="1"/>
  <c r="R51" i="4"/>
  <c r="R62" i="2" s="1"/>
  <c r="R66" i="2" s="1"/>
  <c r="J51" i="4"/>
  <c r="J46" i="4"/>
  <c r="R548" i="111" s="1"/>
  <c r="V51" i="4"/>
  <c r="V49" i="4" s="1"/>
  <c r="V46" i="4"/>
  <c r="AD548" i="111" s="1"/>
  <c r="F51" i="4"/>
  <c r="F49" i="4" s="1"/>
  <c r="N51" i="4"/>
  <c r="V554" i="111" s="1"/>
  <c r="N46" i="4"/>
  <c r="V548" i="111" s="1"/>
  <c r="L104" i="11"/>
  <c r="M104" i="11"/>
  <c r="J104" i="11"/>
  <c r="N104" i="11"/>
  <c r="P104" i="11"/>
  <c r="K104" i="11"/>
  <c r="O104" i="11"/>
  <c r="AM51" i="4"/>
  <c r="AM49" i="4" s="1"/>
  <c r="P92" i="11"/>
  <c r="P173" i="11" s="1"/>
  <c r="C15" i="71" s="1"/>
  <c r="K92" i="11"/>
  <c r="K173" i="11" s="1"/>
  <c r="M92" i="11"/>
  <c r="M173" i="11" s="1"/>
  <c r="O92" i="11"/>
  <c r="O173" i="11" s="1"/>
  <c r="B15" i="71" s="1"/>
  <c r="J92" i="11"/>
  <c r="J173" i="11" s="1"/>
  <c r="L92" i="11"/>
  <c r="L173" i="11" s="1"/>
  <c r="N92" i="11"/>
  <c r="AF51" i="4"/>
  <c r="H46" i="4"/>
  <c r="P548" i="111" s="1"/>
  <c r="P46" i="4"/>
  <c r="X548" i="111" s="1"/>
  <c r="AH46" i="4"/>
  <c r="AP548" i="111" s="1"/>
  <c r="Z46" i="4"/>
  <c r="AH548" i="111" s="1"/>
  <c r="AD229" i="8"/>
  <c r="AL46" i="4"/>
  <c r="AT548" i="111" s="1"/>
  <c r="AL229" i="8"/>
  <c r="AH51" i="4"/>
  <c r="AH229" i="8"/>
  <c r="S102" i="11"/>
  <c r="S106" i="11"/>
  <c r="AL15" i="71" s="1"/>
  <c r="AL45" i="71" s="1"/>
  <c r="S108" i="11"/>
  <c r="F13" i="71" s="1"/>
  <c r="F43" i="71" s="1"/>
  <c r="AD51" i="4"/>
  <c r="AD46" i="4"/>
  <c r="AL548" i="111" s="1"/>
  <c r="P51" i="4"/>
  <c r="AL51" i="4"/>
  <c r="H51" i="4"/>
  <c r="P229" i="8"/>
  <c r="J13" i="27"/>
  <c r="I13" i="27"/>
  <c r="K13" i="27"/>
  <c r="Z51" i="4"/>
  <c r="Z229" i="8"/>
  <c r="H229" i="8"/>
  <c r="D229" i="8"/>
  <c r="D46" i="4"/>
  <c r="L548" i="111" s="1"/>
  <c r="D51" i="4"/>
  <c r="X51" i="4"/>
  <c r="X229" i="8"/>
  <c r="X46" i="4"/>
  <c r="AF548" i="111" s="1"/>
  <c r="AF46" i="4"/>
  <c r="AN548" i="111" s="1"/>
  <c r="AF229" i="8"/>
  <c r="L46" i="4"/>
  <c r="T548" i="111" s="1"/>
  <c r="L51" i="4"/>
  <c r="L229" i="8"/>
  <c r="T229" i="8"/>
  <c r="T46" i="4"/>
  <c r="AB548" i="111" s="1"/>
  <c r="T51" i="4"/>
  <c r="AB229" i="8"/>
  <c r="AB46" i="4"/>
  <c r="AJ548" i="111" s="1"/>
  <c r="AB51" i="4"/>
  <c r="AN46" i="4"/>
  <c r="AV548" i="111" s="1"/>
  <c r="AN229" i="8"/>
  <c r="AN51" i="4"/>
  <c r="AJ51" i="4"/>
  <c r="AJ229" i="8"/>
  <c r="AJ46" i="4"/>
  <c r="AR548" i="111" s="1"/>
  <c r="M96" i="11"/>
  <c r="O96" i="11"/>
  <c r="F128" i="2"/>
  <c r="F227" i="8" s="1"/>
  <c r="F129" i="2"/>
  <c r="N128" i="2"/>
  <c r="N227" i="8" s="1"/>
  <c r="N129" i="2"/>
  <c r="V128" i="2"/>
  <c r="V227" i="8" s="1"/>
  <c r="V129" i="2"/>
  <c r="AD128" i="2"/>
  <c r="AD227" i="8" s="1"/>
  <c r="AD129" i="2"/>
  <c r="AL128" i="2"/>
  <c r="AL227" i="8" s="1"/>
  <c r="AL129" i="2"/>
  <c r="I46" i="4"/>
  <c r="Q548" i="111" s="1"/>
  <c r="I51" i="4"/>
  <c r="I229" i="8"/>
  <c r="Q46" i="4"/>
  <c r="Y548" i="111" s="1"/>
  <c r="Q51" i="4"/>
  <c r="Q229" i="8"/>
  <c r="Y51" i="4"/>
  <c r="Y46" i="4"/>
  <c r="AG548" i="111" s="1"/>
  <c r="Y229" i="8"/>
  <c r="AG46" i="4"/>
  <c r="AO548" i="111" s="1"/>
  <c r="AG51" i="4"/>
  <c r="AG229" i="8"/>
  <c r="AO51" i="4"/>
  <c r="AO46" i="4"/>
  <c r="AW548" i="111" s="1"/>
  <c r="AO229" i="8"/>
  <c r="K96" i="11"/>
  <c r="G46" i="4"/>
  <c r="O548" i="111" s="1"/>
  <c r="G229" i="8"/>
  <c r="G51" i="4"/>
  <c r="O46" i="4"/>
  <c r="W548" i="111" s="1"/>
  <c r="O229" i="8"/>
  <c r="O51" i="4"/>
  <c r="W46" i="4"/>
  <c r="AE548" i="111" s="1"/>
  <c r="W229" i="8"/>
  <c r="W51" i="4"/>
  <c r="AE46" i="4"/>
  <c r="AM548" i="111" s="1"/>
  <c r="AE51" i="4"/>
  <c r="AE229" i="8"/>
  <c r="AM46" i="4"/>
  <c r="AU548" i="111" s="1"/>
  <c r="AM229" i="8"/>
  <c r="J96" i="11"/>
  <c r="L96" i="11"/>
  <c r="N96" i="11"/>
  <c r="C46" i="4"/>
  <c r="K548" i="111" s="1"/>
  <c r="C229" i="8"/>
  <c r="C51" i="4"/>
  <c r="J128" i="2"/>
  <c r="J227" i="8" s="1"/>
  <c r="J129" i="2"/>
  <c r="R128" i="2"/>
  <c r="R227" i="8" s="1"/>
  <c r="R129" i="2"/>
  <c r="Z128" i="2"/>
  <c r="Z227" i="8" s="1"/>
  <c r="Z129" i="2"/>
  <c r="AH128" i="2"/>
  <c r="AH227" i="8" s="1"/>
  <c r="AH129" i="2"/>
  <c r="M51" i="4"/>
  <c r="M229" i="8"/>
  <c r="M46" i="4"/>
  <c r="U548" i="111" s="1"/>
  <c r="U51" i="4"/>
  <c r="U229" i="8"/>
  <c r="U46" i="4"/>
  <c r="AC548" i="111" s="1"/>
  <c r="AC46" i="4"/>
  <c r="AK548" i="111" s="1"/>
  <c r="AC51" i="4"/>
  <c r="AC229" i="8"/>
  <c r="AK51" i="4"/>
  <c r="AK46" i="4"/>
  <c r="AS548" i="111" s="1"/>
  <c r="AK229" i="8"/>
  <c r="E46" i="4"/>
  <c r="M548" i="111" s="1"/>
  <c r="E51" i="4"/>
  <c r="E229" i="8"/>
  <c r="K46" i="4"/>
  <c r="S548" i="111" s="1"/>
  <c r="K51" i="4"/>
  <c r="K229" i="8"/>
  <c r="S46" i="4"/>
  <c r="AA548" i="111" s="1"/>
  <c r="S229" i="8"/>
  <c r="S51" i="4"/>
  <c r="AA229" i="8"/>
  <c r="AA46" i="4"/>
  <c r="AI548" i="111" s="1"/>
  <c r="AA51" i="4"/>
  <c r="AI46" i="4"/>
  <c r="AQ548" i="111" s="1"/>
  <c r="AI229" i="8"/>
  <c r="AI51" i="4"/>
  <c r="AM62" i="2" l="1"/>
  <c r="N173" i="11"/>
  <c r="N304" i="111" s="1"/>
  <c r="F16" i="71"/>
  <c r="F44" i="71"/>
  <c r="D16" i="71"/>
  <c r="D44" i="71"/>
  <c r="E16" i="71"/>
  <c r="E44" i="71"/>
  <c r="B16" i="71"/>
  <c r="B44" i="71"/>
  <c r="C16" i="71"/>
  <c r="C44" i="71"/>
  <c r="K30" i="27"/>
  <c r="L289" i="111"/>
  <c r="M304" i="111"/>
  <c r="K289" i="111"/>
  <c r="J289" i="111"/>
  <c r="B49" i="4"/>
  <c r="B55" i="4"/>
  <c r="J551" i="111" s="1"/>
  <c r="J554" i="111"/>
  <c r="B62" i="4"/>
  <c r="F105" i="4"/>
  <c r="F109" i="4" s="1"/>
  <c r="F55" i="4"/>
  <c r="N551" i="111" s="1"/>
  <c r="J49" i="4"/>
  <c r="F62" i="2"/>
  <c r="F66" i="2" s="1"/>
  <c r="F62" i="4"/>
  <c r="N62" i="4"/>
  <c r="R55" i="4"/>
  <c r="R105" i="4"/>
  <c r="R49" i="4"/>
  <c r="N62" i="2"/>
  <c r="N66" i="2" s="1"/>
  <c r="V55" i="4"/>
  <c r="V105" i="4"/>
  <c r="V62" i="2"/>
  <c r="V66" i="2" s="1"/>
  <c r="V62" i="4"/>
  <c r="J105" i="4"/>
  <c r="J109" i="4" s="1"/>
  <c r="J62" i="4"/>
  <c r="J62" i="2"/>
  <c r="J66" i="2" s="1"/>
  <c r="R62" i="4"/>
  <c r="Z554" i="111"/>
  <c r="AD554" i="111"/>
  <c r="J55" i="4"/>
  <c r="R551" i="111" s="1"/>
  <c r="R554" i="111"/>
  <c r="L304" i="111"/>
  <c r="M289" i="111"/>
  <c r="L206" i="11"/>
  <c r="M206" i="11"/>
  <c r="N554" i="111"/>
  <c r="N49" i="4"/>
  <c r="F13" i="27"/>
  <c r="F15" i="27" s="1"/>
  <c r="F17" i="27" s="1"/>
  <c r="K206" i="11"/>
  <c r="N55" i="4"/>
  <c r="K304" i="111"/>
  <c r="N105" i="4"/>
  <c r="O206" i="11"/>
  <c r="O289" i="111"/>
  <c r="P289" i="111"/>
  <c r="J206" i="11"/>
  <c r="J304" i="111"/>
  <c r="P206" i="11"/>
  <c r="O304" i="111"/>
  <c r="P304" i="111"/>
  <c r="AB49" i="4"/>
  <c r="AE319" i="112"/>
  <c r="AJ554" i="111"/>
  <c r="S289" i="111"/>
  <c r="S304" i="111"/>
  <c r="S49" i="4"/>
  <c r="V319" i="112"/>
  <c r="AA554" i="111"/>
  <c r="K49" i="4"/>
  <c r="N319" i="112"/>
  <c r="S554" i="111"/>
  <c r="AK49" i="4"/>
  <c r="AN319" i="112"/>
  <c r="AS554" i="111"/>
  <c r="R319" i="112"/>
  <c r="W554" i="111"/>
  <c r="T49" i="4"/>
  <c r="W319" i="112"/>
  <c r="AB554" i="111"/>
  <c r="L49" i="4"/>
  <c r="O319" i="112"/>
  <c r="T554" i="111"/>
  <c r="Q319" i="112"/>
  <c r="M319" i="112"/>
  <c r="AA49" i="4"/>
  <c r="AD319" i="112"/>
  <c r="AI554" i="111"/>
  <c r="M49" i="4"/>
  <c r="P319" i="112"/>
  <c r="U554" i="111"/>
  <c r="Y49" i="4"/>
  <c r="AB319" i="112"/>
  <c r="AG554" i="111"/>
  <c r="AJ49" i="4"/>
  <c r="AM319" i="112"/>
  <c r="AR554" i="111"/>
  <c r="AI49" i="4"/>
  <c r="AL319" i="112"/>
  <c r="AQ554" i="111"/>
  <c r="AC49" i="4"/>
  <c r="AF319" i="112"/>
  <c r="AK554" i="111"/>
  <c r="U49" i="4"/>
  <c r="X319" i="112"/>
  <c r="AC554" i="111"/>
  <c r="C49" i="4"/>
  <c r="F319" i="112"/>
  <c r="K554" i="111"/>
  <c r="I49" i="4"/>
  <c r="L319" i="112"/>
  <c r="Q554" i="111"/>
  <c r="AN49" i="4"/>
  <c r="AV554" i="111"/>
  <c r="X49" i="4"/>
  <c r="AA319" i="112"/>
  <c r="AF554" i="111"/>
  <c r="AL49" i="4"/>
  <c r="AO319" i="112"/>
  <c r="AT554" i="111"/>
  <c r="AK319" i="112"/>
  <c r="AP554" i="111"/>
  <c r="AF49" i="4"/>
  <c r="AI319" i="112"/>
  <c r="AN554" i="111"/>
  <c r="W49" i="4"/>
  <c r="Z319" i="112"/>
  <c r="AE554" i="111"/>
  <c r="AG49" i="4"/>
  <c r="AJ319" i="112"/>
  <c r="AO554" i="111"/>
  <c r="K319" i="112"/>
  <c r="P554" i="111"/>
  <c r="AD49" i="4"/>
  <c r="AG319" i="112"/>
  <c r="AL554" i="111"/>
  <c r="R289" i="111"/>
  <c r="R304" i="111"/>
  <c r="E49" i="4"/>
  <c r="H319" i="112"/>
  <c r="M554" i="111"/>
  <c r="AE49" i="4"/>
  <c r="AH319" i="112"/>
  <c r="AM554" i="111"/>
  <c r="G49" i="4"/>
  <c r="J319" i="112"/>
  <c r="O554" i="111"/>
  <c r="AO49" i="4"/>
  <c r="AW554" i="111"/>
  <c r="Q49" i="4"/>
  <c r="T319" i="112"/>
  <c r="Y554" i="111"/>
  <c r="D49" i="4"/>
  <c r="G319" i="112"/>
  <c r="L554" i="111"/>
  <c r="Z55" i="4"/>
  <c r="AC319" i="112"/>
  <c r="AH554" i="111"/>
  <c r="P49" i="4"/>
  <c r="S319" i="112"/>
  <c r="X554" i="111"/>
  <c r="Q289" i="111"/>
  <c r="Q304" i="111"/>
  <c r="AP319" i="112"/>
  <c r="AU554" i="111"/>
  <c r="U319" i="112"/>
  <c r="Y319" i="112"/>
  <c r="I319" i="112"/>
  <c r="G13" i="27"/>
  <c r="G15" i="27" s="1"/>
  <c r="G17" i="27" s="1"/>
  <c r="Q206" i="11"/>
  <c r="D13" i="27"/>
  <c r="D15" i="27" s="1"/>
  <c r="D17" i="27" s="1"/>
  <c r="C13" i="27"/>
  <c r="C15" i="27" s="1"/>
  <c r="C17" i="27" s="1"/>
  <c r="B13" i="27"/>
  <c r="B15" i="27" s="1"/>
  <c r="B17" i="27" s="1"/>
  <c r="E13" i="27"/>
  <c r="E15" i="27" s="1"/>
  <c r="E17" i="27" s="1"/>
  <c r="H13" i="27"/>
  <c r="S196" i="11"/>
  <c r="Z105" i="4"/>
  <c r="S29" i="46"/>
  <c r="Z62" i="2"/>
  <c r="Z66" i="2" s="1"/>
  <c r="AH55" i="4"/>
  <c r="AF55" i="4"/>
  <c r="AH105" i="4"/>
  <c r="AF105" i="4"/>
  <c r="AF62" i="4"/>
  <c r="AH62" i="4"/>
  <c r="AH49" i="4"/>
  <c r="S115" i="11"/>
  <c r="S211" i="11"/>
  <c r="AD55" i="4"/>
  <c r="AD62" i="4"/>
  <c r="AD105" i="4"/>
  <c r="AD109" i="4" s="1"/>
  <c r="AD116" i="4" s="1"/>
  <c r="AD134" i="4" s="1"/>
  <c r="AD139" i="4" s="1"/>
  <c r="AD140" i="4" s="1"/>
  <c r="B116" i="4"/>
  <c r="P55" i="4"/>
  <c r="M102" i="11"/>
  <c r="M108" i="11"/>
  <c r="E30" i="27" s="1"/>
  <c r="M106" i="11"/>
  <c r="N108" i="11"/>
  <c r="F30" i="27" s="1"/>
  <c r="N106" i="11"/>
  <c r="N102" i="11"/>
  <c r="O102" i="11"/>
  <c r="O108" i="11"/>
  <c r="B13" i="71" s="1"/>
  <c r="B43" i="71" s="1"/>
  <c r="O845" i="111"/>
  <c r="O106" i="11"/>
  <c r="AH15" i="71" s="1"/>
  <c r="AH45" i="71" s="1"/>
  <c r="J108" i="11"/>
  <c r="B30" i="27" s="1"/>
  <c r="J106" i="11"/>
  <c r="J102" i="11"/>
  <c r="L106" i="11"/>
  <c r="L108" i="11"/>
  <c r="D30" i="27" s="1"/>
  <c r="L102" i="11"/>
  <c r="K102" i="11"/>
  <c r="K108" i="11"/>
  <c r="C30" i="27" s="1"/>
  <c r="K106" i="11"/>
  <c r="P62" i="4"/>
  <c r="P62" i="2"/>
  <c r="P66" i="2" s="1"/>
  <c r="P105" i="4"/>
  <c r="P109" i="4" s="1"/>
  <c r="AL55" i="4"/>
  <c r="AL62" i="4"/>
  <c r="AL105" i="4"/>
  <c r="H105" i="4"/>
  <c r="H109" i="4" s="1"/>
  <c r="H55" i="4"/>
  <c r="H62" i="4"/>
  <c r="O49" i="4"/>
  <c r="Z49" i="4"/>
  <c r="H62" i="2"/>
  <c r="H66" i="2" s="1"/>
  <c r="H49" i="4"/>
  <c r="S212" i="11"/>
  <c r="S197" i="11"/>
  <c r="S68" i="46" s="1"/>
  <c r="K20" i="27"/>
  <c r="K111" i="27" s="1"/>
  <c r="S176" i="11"/>
  <c r="S174" i="11"/>
  <c r="K21" i="27"/>
  <c r="S177" i="11"/>
  <c r="S175" i="11"/>
  <c r="Z62" i="4"/>
  <c r="X62" i="2"/>
  <c r="X66" i="2" s="1"/>
  <c r="X55" i="4"/>
  <c r="X105" i="4"/>
  <c r="X109" i="4" s="1"/>
  <c r="X62" i="4"/>
  <c r="D55" i="4"/>
  <c r="L551" i="111" s="1"/>
  <c r="D62" i="4"/>
  <c r="D105" i="4"/>
  <c r="D109" i="4" s="1"/>
  <c r="D62" i="2"/>
  <c r="D66" i="2" s="1"/>
  <c r="AB55" i="4"/>
  <c r="AB105" i="4"/>
  <c r="AB109" i="4" s="1"/>
  <c r="AB62" i="4"/>
  <c r="AB62" i="2"/>
  <c r="AB66" i="2" s="1"/>
  <c r="L55" i="4"/>
  <c r="T551" i="111" s="1"/>
  <c r="L105" i="4"/>
  <c r="L109" i="4" s="1"/>
  <c r="L62" i="4"/>
  <c r="L62" i="2"/>
  <c r="L66" i="2" s="1"/>
  <c r="AN55" i="4"/>
  <c r="AN105" i="4"/>
  <c r="AN62" i="4"/>
  <c r="T105" i="4"/>
  <c r="T109" i="4" s="1"/>
  <c r="T62" i="2"/>
  <c r="T66" i="2" s="1"/>
  <c r="T55" i="4"/>
  <c r="T62" i="4"/>
  <c r="AJ55" i="4"/>
  <c r="AJ62" i="4"/>
  <c r="AJ105" i="4"/>
  <c r="AJ109" i="4" s="1"/>
  <c r="AJ116" i="4" s="1"/>
  <c r="AJ134" i="4" s="1"/>
  <c r="AJ139" i="4" s="1"/>
  <c r="AJ140" i="4" s="1"/>
  <c r="S62" i="2"/>
  <c r="S105" i="4"/>
  <c r="S55" i="4"/>
  <c r="S62" i="4"/>
  <c r="K62" i="2"/>
  <c r="K105" i="4"/>
  <c r="K109" i="4" s="1"/>
  <c r="K55" i="4"/>
  <c r="K62" i="4"/>
  <c r="AC62" i="2"/>
  <c r="AC105" i="4"/>
  <c r="AC109" i="4" s="1"/>
  <c r="AC55" i="4"/>
  <c r="AC62" i="4"/>
  <c r="U62" i="2"/>
  <c r="U105" i="4"/>
  <c r="U109" i="4" s="1"/>
  <c r="U55" i="4"/>
  <c r="U62" i="4"/>
  <c r="W62" i="2"/>
  <c r="W105" i="4"/>
  <c r="W55" i="4"/>
  <c r="W62" i="4"/>
  <c r="AA62" i="2"/>
  <c r="AA105" i="4"/>
  <c r="AA109" i="4" s="1"/>
  <c r="AA55" i="4"/>
  <c r="AA62" i="4"/>
  <c r="C62" i="2"/>
  <c r="C105" i="4"/>
  <c r="C55" i="4"/>
  <c r="C62" i="4"/>
  <c r="N98" i="11"/>
  <c r="N24" i="76" s="1"/>
  <c r="N99" i="11"/>
  <c r="K99" i="11"/>
  <c r="K98" i="11"/>
  <c r="K24" i="76" s="1"/>
  <c r="AG105" i="4"/>
  <c r="AG55" i="4"/>
  <c r="AG62" i="4"/>
  <c r="Y62" i="2"/>
  <c r="Y105" i="4"/>
  <c r="Y109" i="4" s="1"/>
  <c r="Y55" i="4"/>
  <c r="Y62" i="4"/>
  <c r="M98" i="11"/>
  <c r="M24" i="76" s="1"/>
  <c r="M99" i="11"/>
  <c r="AK105" i="4"/>
  <c r="AK55" i="4"/>
  <c r="AK62" i="4"/>
  <c r="S116" i="11"/>
  <c r="AL16" i="71" s="1"/>
  <c r="AM105" i="4"/>
  <c r="AM55" i="4"/>
  <c r="AM62" i="4"/>
  <c r="AE105" i="4"/>
  <c r="AE55" i="4"/>
  <c r="AE62" i="4"/>
  <c r="G62" i="2"/>
  <c r="G105" i="4"/>
  <c r="G109" i="4" s="1"/>
  <c r="G55" i="4"/>
  <c r="G62" i="4"/>
  <c r="I62" i="2"/>
  <c r="I105" i="4"/>
  <c r="I109" i="4" s="1"/>
  <c r="I55" i="4"/>
  <c r="I62" i="4"/>
  <c r="O99" i="11"/>
  <c r="O98" i="11"/>
  <c r="O24" i="76" s="1"/>
  <c r="AI105" i="4"/>
  <c r="AI55" i="4"/>
  <c r="AI62" i="4"/>
  <c r="E62" i="2"/>
  <c r="E105" i="4"/>
  <c r="E109" i="4" s="1"/>
  <c r="E55" i="4"/>
  <c r="E62" i="4"/>
  <c r="M62" i="2"/>
  <c r="M105" i="4"/>
  <c r="M109" i="4" s="1"/>
  <c r="M55" i="4"/>
  <c r="M62" i="4"/>
  <c r="L98" i="11"/>
  <c r="L24" i="76" s="1"/>
  <c r="L99" i="11"/>
  <c r="J98" i="11"/>
  <c r="J24" i="76" s="1"/>
  <c r="J99" i="11"/>
  <c r="AP229" i="8"/>
  <c r="AQ229" i="8" s="1"/>
  <c r="O62" i="2"/>
  <c r="O105" i="4"/>
  <c r="O55" i="4"/>
  <c r="O62" i="4"/>
  <c r="AO105" i="4"/>
  <c r="AO55" i="4"/>
  <c r="AO62" i="4"/>
  <c r="Q62" i="2"/>
  <c r="Q105" i="4"/>
  <c r="Q109" i="4" s="1"/>
  <c r="Q55" i="4"/>
  <c r="Q62" i="4"/>
  <c r="J25" i="76" l="1"/>
  <c r="J30" i="76" s="1"/>
  <c r="B32" i="27" s="1"/>
  <c r="J178" i="11"/>
  <c r="O25" i="76"/>
  <c r="O30" i="76" s="1"/>
  <c r="O178" i="11"/>
  <c r="M25" i="76"/>
  <c r="M30" i="76" s="1"/>
  <c r="M178" i="11"/>
  <c r="N25" i="76"/>
  <c r="N30" i="76" s="1"/>
  <c r="F32" i="27" s="1"/>
  <c r="N178" i="11"/>
  <c r="K25" i="76"/>
  <c r="K30" i="76" s="1"/>
  <c r="K178" i="11"/>
  <c r="L25" i="76"/>
  <c r="L30" i="76" s="1"/>
  <c r="L178" i="11"/>
  <c r="N206" i="11"/>
  <c r="N289" i="111"/>
  <c r="AL62" i="2"/>
  <c r="AL66" i="2" s="1"/>
  <c r="AG62" i="2"/>
  <c r="AG66" i="2" s="1"/>
  <c r="AF62" i="2"/>
  <c r="AF66" i="2" s="1"/>
  <c r="AH62" i="2"/>
  <c r="AH66" i="2" s="1"/>
  <c r="AD62" i="2"/>
  <c r="AD66" i="2" s="1"/>
  <c r="AI62" i="2"/>
  <c r="AK62" i="2"/>
  <c r="AK66" i="2" s="1"/>
  <c r="AO62" i="2"/>
  <c r="AO66" i="2" s="1"/>
  <c r="AE62" i="2"/>
  <c r="AE66" i="2" s="1"/>
  <c r="AN62" i="2"/>
  <c r="AN66" i="2" s="1"/>
  <c r="AJ62" i="2"/>
  <c r="AJ66" i="2" s="1"/>
  <c r="K33" i="27"/>
  <c r="F14" i="71"/>
  <c r="U33" i="71"/>
  <c r="AN109" i="4"/>
  <c r="AN116" i="4" s="1"/>
  <c r="AG109" i="4"/>
  <c r="AG116" i="4" s="1"/>
  <c r="AF109" i="4"/>
  <c r="AF116" i="4" s="1"/>
  <c r="AF134" i="4" s="1"/>
  <c r="AF139" i="4" s="1"/>
  <c r="AF140" i="4" s="1"/>
  <c r="AE109" i="4"/>
  <c r="AE116" i="4" s="1"/>
  <c r="AE134" i="4" s="1"/>
  <c r="AE139" i="4" s="1"/>
  <c r="AE140" i="4" s="1"/>
  <c r="AM109" i="4"/>
  <c r="AM116" i="4" s="1"/>
  <c r="AM134" i="4" s="1"/>
  <c r="AM139" i="4" s="1"/>
  <c r="AM140" i="4" s="1"/>
  <c r="AO109" i="4"/>
  <c r="AO116" i="4" s="1"/>
  <c r="AO134" i="4" s="1"/>
  <c r="AO139" i="4" s="1"/>
  <c r="AO140" i="4" s="1"/>
  <c r="AK109" i="4"/>
  <c r="AK116" i="4" s="1"/>
  <c r="AK134" i="4" s="1"/>
  <c r="AK139" i="4" s="1"/>
  <c r="AK140" i="4" s="1"/>
  <c r="AH109" i="4"/>
  <c r="AI109" i="4"/>
  <c r="AI116" i="4" s="1"/>
  <c r="AL109" i="4"/>
  <c r="I61" i="27"/>
  <c r="H61" i="27"/>
  <c r="K61" i="27"/>
  <c r="J61" i="27"/>
  <c r="N109" i="4"/>
  <c r="N116" i="4" s="1"/>
  <c r="M151" i="11"/>
  <c r="Q151" i="11"/>
  <c r="Z109" i="4"/>
  <c r="P153" i="11" s="1"/>
  <c r="P151" i="11"/>
  <c r="S151" i="11"/>
  <c r="V109" i="4"/>
  <c r="V116" i="4" s="1"/>
  <c r="O151" i="11"/>
  <c r="R109" i="4"/>
  <c r="R116" i="4" s="1"/>
  <c r="N151" i="11"/>
  <c r="R151" i="11"/>
  <c r="G30" i="27"/>
  <c r="S392" i="111"/>
  <c r="S393" i="111"/>
  <c r="S76" i="46"/>
  <c r="S420" i="111"/>
  <c r="O210" i="11"/>
  <c r="B61" i="4"/>
  <c r="J557" i="111" s="1"/>
  <c r="B53" i="4"/>
  <c r="B317" i="112" s="1"/>
  <c r="B57" i="4"/>
  <c r="B54" i="4" s="1"/>
  <c r="F116" i="4"/>
  <c r="F53" i="4"/>
  <c r="F317" i="112" s="1"/>
  <c r="F61" i="4"/>
  <c r="N557" i="111" s="1"/>
  <c r="F57" i="4"/>
  <c r="F54" i="4" s="1"/>
  <c r="F56" i="4"/>
  <c r="R57" i="4"/>
  <c r="R54" i="4" s="1"/>
  <c r="R61" i="4"/>
  <c r="Z557" i="111" s="1"/>
  <c r="Z551" i="111"/>
  <c r="R53" i="4"/>
  <c r="R317" i="112" s="1"/>
  <c r="R56" i="4"/>
  <c r="J56" i="4"/>
  <c r="V61" i="4"/>
  <c r="AD557" i="111" s="1"/>
  <c r="V57" i="4"/>
  <c r="V54" i="4" s="1"/>
  <c r="V56" i="4"/>
  <c r="N56" i="4"/>
  <c r="J61" i="4"/>
  <c r="R557" i="111" s="1"/>
  <c r="J53" i="4"/>
  <c r="J317" i="112" s="1"/>
  <c r="AD551" i="111"/>
  <c r="J57" i="4"/>
  <c r="J54" i="4" s="1"/>
  <c r="V53" i="4"/>
  <c r="V317" i="112" s="1"/>
  <c r="V551" i="111"/>
  <c r="N61" i="4"/>
  <c r="V557" i="111" s="1"/>
  <c r="N57" i="4"/>
  <c r="N54" i="4" s="1"/>
  <c r="N53" i="4"/>
  <c r="N317" i="112" s="1"/>
  <c r="AV551" i="111"/>
  <c r="Z61" i="4"/>
  <c r="AH557" i="111" s="1"/>
  <c r="AW551" i="111"/>
  <c r="O208" i="11"/>
  <c r="O848" i="111"/>
  <c r="K153" i="11"/>
  <c r="L153" i="11"/>
  <c r="P210" i="11"/>
  <c r="I53" i="4"/>
  <c r="I317" i="112" s="1"/>
  <c r="Q551" i="111"/>
  <c r="K53" i="4"/>
  <c r="K317" i="112" s="1"/>
  <c r="S551" i="111"/>
  <c r="AJ53" i="4"/>
  <c r="AJ317" i="112" s="1"/>
  <c r="AR551" i="111"/>
  <c r="AF53" i="4"/>
  <c r="AF317" i="112" s="1"/>
  <c r="AN551" i="111"/>
  <c r="O53" i="4"/>
  <c r="O317" i="112" s="1"/>
  <c r="W551" i="111"/>
  <c r="G53" i="4"/>
  <c r="G317" i="112" s="1"/>
  <c r="O551" i="111"/>
  <c r="AK53" i="4"/>
  <c r="AK317" i="112" s="1"/>
  <c r="AS551" i="111"/>
  <c r="S53" i="4"/>
  <c r="S317" i="112" s="1"/>
  <c r="AA551" i="111"/>
  <c r="AB551" i="111"/>
  <c r="X53" i="4"/>
  <c r="X317" i="112" s="1"/>
  <c r="AF551" i="111"/>
  <c r="J845" i="111"/>
  <c r="N845" i="111"/>
  <c r="E53" i="4"/>
  <c r="E317" i="112" s="1"/>
  <c r="M551" i="111"/>
  <c r="AD53" i="4"/>
  <c r="AD317" i="112" s="1"/>
  <c r="AL551" i="111"/>
  <c r="Z53" i="4"/>
  <c r="Z317" i="112" s="1"/>
  <c r="AH551" i="111"/>
  <c r="Q53" i="4"/>
  <c r="Q317" i="112" s="1"/>
  <c r="Y551" i="111"/>
  <c r="M53" i="4"/>
  <c r="M317" i="112" s="1"/>
  <c r="U551" i="111"/>
  <c r="AI53" i="4"/>
  <c r="AI317" i="112" s="1"/>
  <c r="AQ551" i="111"/>
  <c r="AM53" i="4"/>
  <c r="AM317" i="112" s="1"/>
  <c r="AU551" i="111"/>
  <c r="AG53" i="4"/>
  <c r="AG317" i="112" s="1"/>
  <c r="AO551" i="111"/>
  <c r="AA53" i="4"/>
  <c r="AA317" i="112" s="1"/>
  <c r="AI551" i="111"/>
  <c r="W53" i="4"/>
  <c r="W317" i="112" s="1"/>
  <c r="AE551" i="111"/>
  <c r="AC53" i="4"/>
  <c r="AC317" i="112" s="1"/>
  <c r="AK551" i="111"/>
  <c r="Z57" i="4"/>
  <c r="Z54" i="4" s="1"/>
  <c r="AP56" i="4"/>
  <c r="AT551" i="111"/>
  <c r="P53" i="4"/>
  <c r="P317" i="112" s="1"/>
  <c r="X551" i="111"/>
  <c r="AB53" i="4"/>
  <c r="AJ551" i="111"/>
  <c r="Z56" i="4"/>
  <c r="AE53" i="4"/>
  <c r="AE317" i="112" s="1"/>
  <c r="AM551" i="111"/>
  <c r="Y53" i="4"/>
  <c r="Y317" i="112" s="1"/>
  <c r="AG551" i="111"/>
  <c r="C53" i="4"/>
  <c r="C317" i="112" s="1"/>
  <c r="K551" i="111"/>
  <c r="U53" i="4"/>
  <c r="U317" i="112" s="1"/>
  <c r="AC551" i="111"/>
  <c r="H53" i="4"/>
  <c r="H317" i="112" s="1"/>
  <c r="P551" i="111"/>
  <c r="K845" i="111"/>
  <c r="L845" i="111"/>
  <c r="M845" i="111"/>
  <c r="AH53" i="4"/>
  <c r="AP551" i="111"/>
  <c r="AO53" i="4"/>
  <c r="AO317" i="112" s="1"/>
  <c r="AS56" i="4"/>
  <c r="R210" i="11"/>
  <c r="Q210" i="11"/>
  <c r="S36" i="46"/>
  <c r="C21" i="27"/>
  <c r="C26" i="27" s="1"/>
  <c r="O107" i="11"/>
  <c r="M107" i="11"/>
  <c r="B21" i="27"/>
  <c r="B26" i="27" s="1"/>
  <c r="F21" i="27"/>
  <c r="F26" i="27" s="1"/>
  <c r="D21" i="27"/>
  <c r="D26" i="27" s="1"/>
  <c r="AN53" i="4"/>
  <c r="AN317" i="112" s="1"/>
  <c r="AR56" i="4"/>
  <c r="H57" i="4"/>
  <c r="H54" i="4" s="1"/>
  <c r="O196" i="11"/>
  <c r="AH57" i="4"/>
  <c r="AH54" i="4" s="1"/>
  <c r="AH61" i="4"/>
  <c r="AP557" i="111" s="1"/>
  <c r="K179" i="11"/>
  <c r="O179" i="11"/>
  <c r="L179" i="11"/>
  <c r="M179" i="11"/>
  <c r="N179" i="11"/>
  <c r="J179" i="11"/>
  <c r="P116" i="4"/>
  <c r="B134" i="4"/>
  <c r="B139" i="4" s="1"/>
  <c r="B140" i="4" s="1"/>
  <c r="AD57" i="4"/>
  <c r="AD54" i="4" s="1"/>
  <c r="AD61" i="4"/>
  <c r="AL557" i="111" s="1"/>
  <c r="B102" i="2"/>
  <c r="AF61" i="4"/>
  <c r="AN557" i="111" s="1"/>
  <c r="AH56" i="4"/>
  <c r="AD56" i="4"/>
  <c r="AF57" i="4"/>
  <c r="AF54" i="4" s="1"/>
  <c r="S30" i="46"/>
  <c r="J197" i="11"/>
  <c r="J177" i="11"/>
  <c r="J176" i="11"/>
  <c r="J175" i="11"/>
  <c r="J212" i="11"/>
  <c r="N197" i="11"/>
  <c r="N177" i="11"/>
  <c r="N176" i="11"/>
  <c r="N212" i="11"/>
  <c r="N175" i="11"/>
  <c r="S109" i="4"/>
  <c r="K177" i="11"/>
  <c r="K175" i="11"/>
  <c r="K197" i="11"/>
  <c r="K176" i="11"/>
  <c r="K212" i="11"/>
  <c r="L175" i="11"/>
  <c r="L212" i="11"/>
  <c r="L197" i="11"/>
  <c r="L177" i="11"/>
  <c r="L176" i="11"/>
  <c r="M176" i="11"/>
  <c r="M212" i="11"/>
  <c r="M175" i="11"/>
  <c r="M197" i="11"/>
  <c r="M177" i="11"/>
  <c r="C109" i="4"/>
  <c r="J153" i="11" s="1"/>
  <c r="O109" i="4"/>
  <c r="W109" i="4"/>
  <c r="C20" i="27"/>
  <c r="K211" i="11"/>
  <c r="O115" i="11"/>
  <c r="O211" i="11"/>
  <c r="E20" i="27"/>
  <c r="M211" i="11"/>
  <c r="D20" i="27"/>
  <c r="L211" i="11"/>
  <c r="B20" i="27"/>
  <c r="B127" i="27" s="1"/>
  <c r="J211" i="11"/>
  <c r="F20" i="27"/>
  <c r="N211" i="11"/>
  <c r="J116" i="4"/>
  <c r="D64" i="27"/>
  <c r="N107" i="11"/>
  <c r="G21" i="27"/>
  <c r="G26" i="27" s="1"/>
  <c r="E21" i="27"/>
  <c r="E26" i="27" s="1"/>
  <c r="J107" i="11"/>
  <c r="P61" i="4"/>
  <c r="X557" i="111" s="1"/>
  <c r="K107" i="11"/>
  <c r="P57" i="4"/>
  <c r="P54" i="4" s="1"/>
  <c r="O174" i="11"/>
  <c r="O176" i="11"/>
  <c r="L107" i="11"/>
  <c r="G20" i="27"/>
  <c r="AB116" i="4"/>
  <c r="H116" i="4"/>
  <c r="K26" i="27"/>
  <c r="AL57" i="4"/>
  <c r="AL54" i="4" s="1"/>
  <c r="AL61" i="4"/>
  <c r="AT557" i="111" s="1"/>
  <c r="AL56" i="4"/>
  <c r="AL53" i="4"/>
  <c r="AL317" i="112" s="1"/>
  <c r="H61" i="4"/>
  <c r="P557" i="111" s="1"/>
  <c r="K127" i="27"/>
  <c r="P56" i="4"/>
  <c r="L53" i="4"/>
  <c r="L317" i="112" s="1"/>
  <c r="H56" i="4"/>
  <c r="D53" i="4"/>
  <c r="D317" i="112" s="1"/>
  <c r="T56" i="4"/>
  <c r="T53" i="4"/>
  <c r="O212" i="11"/>
  <c r="O197" i="11"/>
  <c r="O177" i="11"/>
  <c r="O175" i="11"/>
  <c r="Y71" i="2"/>
  <c r="Y72" i="2" s="1"/>
  <c r="Y322" i="8" s="1"/>
  <c r="L56" i="4"/>
  <c r="I71" i="2"/>
  <c r="I72" i="2" s="1"/>
  <c r="I322" i="8" s="1"/>
  <c r="X61" i="4"/>
  <c r="AF557" i="111" s="1"/>
  <c r="X57" i="4"/>
  <c r="X54" i="4" s="1"/>
  <c r="D116" i="4"/>
  <c r="D57" i="4"/>
  <c r="D54" i="4" s="1"/>
  <c r="D61" i="4"/>
  <c r="L557" i="111" s="1"/>
  <c r="X116" i="4"/>
  <c r="L116" i="4"/>
  <c r="AB61" i="4"/>
  <c r="AJ557" i="111" s="1"/>
  <c r="AB57" i="4"/>
  <c r="AB54" i="4" s="1"/>
  <c r="AB56" i="4"/>
  <c r="AF56" i="4"/>
  <c r="G61" i="27"/>
  <c r="T57" i="4"/>
  <c r="T54" i="4" s="1"/>
  <c r="X56" i="4"/>
  <c r="T61" i="4"/>
  <c r="AB557" i="111" s="1"/>
  <c r="L57" i="4"/>
  <c r="L54" i="4" s="1"/>
  <c r="L61" i="4"/>
  <c r="T557" i="111" s="1"/>
  <c r="T116" i="4"/>
  <c r="AN57" i="4"/>
  <c r="AN54" i="4" s="1"/>
  <c r="AN61" i="4"/>
  <c r="AV557" i="111" s="1"/>
  <c r="Q71" i="2"/>
  <c r="Q72" i="2" s="1"/>
  <c r="Q322" i="8" s="1"/>
  <c r="AJ57" i="4"/>
  <c r="AJ54" i="4" s="1"/>
  <c r="AJ56" i="4"/>
  <c r="AJ61" i="4"/>
  <c r="AR557" i="111" s="1"/>
  <c r="AN56" i="4"/>
  <c r="E57" i="4"/>
  <c r="E54" i="4" s="1"/>
  <c r="E61" i="4"/>
  <c r="M557" i="111" s="1"/>
  <c r="Q116" i="4"/>
  <c r="T71" i="2"/>
  <c r="T72" i="2" s="1"/>
  <c r="T322" i="8" s="1"/>
  <c r="Q66" i="2"/>
  <c r="S71" i="2"/>
  <c r="S72" i="2" s="1"/>
  <c r="S322" i="8" s="1"/>
  <c r="J109" i="11"/>
  <c r="J29" i="46"/>
  <c r="M56" i="4"/>
  <c r="M57" i="4"/>
  <c r="M54" i="4" s="1"/>
  <c r="M61" i="4"/>
  <c r="U557" i="111" s="1"/>
  <c r="E116" i="4"/>
  <c r="O109" i="11"/>
  <c r="O252" i="111" s="1"/>
  <c r="O29" i="46"/>
  <c r="I56" i="4"/>
  <c r="I57" i="4"/>
  <c r="I54" i="4" s="1"/>
  <c r="I61" i="4"/>
  <c r="Q557" i="111" s="1"/>
  <c r="G116" i="4"/>
  <c r="C61" i="27"/>
  <c r="S114" i="11"/>
  <c r="AK56" i="4"/>
  <c r="AK57" i="4"/>
  <c r="AK54" i="4" s="1"/>
  <c r="AK61" i="4"/>
  <c r="AS557" i="111" s="1"/>
  <c r="K109" i="11"/>
  <c r="K29" i="46"/>
  <c r="J151" i="11"/>
  <c r="B61" i="27"/>
  <c r="AA66" i="2"/>
  <c r="AC71" i="2"/>
  <c r="AC72" i="2" s="1"/>
  <c r="AC322" i="8" s="1"/>
  <c r="W56" i="4"/>
  <c r="W57" i="4"/>
  <c r="W54" i="4" s="1"/>
  <c r="W61" i="4"/>
  <c r="AE557" i="111" s="1"/>
  <c r="AC66" i="2"/>
  <c r="V71" i="2"/>
  <c r="V72" i="2" s="1"/>
  <c r="V322" i="8" s="1"/>
  <c r="S66" i="2"/>
  <c r="U71" i="2"/>
  <c r="U72" i="2" s="1"/>
  <c r="U322" i="8" s="1"/>
  <c r="M116" i="4"/>
  <c r="P71" i="2"/>
  <c r="P72" i="2" s="1"/>
  <c r="P322" i="8" s="1"/>
  <c r="M66" i="2"/>
  <c r="O71" i="2"/>
  <c r="O72" i="2" s="1"/>
  <c r="O322" i="8" s="1"/>
  <c r="Q56" i="4"/>
  <c r="Q57" i="4"/>
  <c r="Q54" i="4" s="1"/>
  <c r="Q61" i="4"/>
  <c r="Y557" i="111" s="1"/>
  <c r="AO56" i="4"/>
  <c r="AO57" i="4"/>
  <c r="AO54" i="4" s="1"/>
  <c r="AO61" i="4"/>
  <c r="AW557" i="111" s="1"/>
  <c r="O56" i="4"/>
  <c r="O57" i="4"/>
  <c r="O54" i="4" s="1"/>
  <c r="O61" i="4"/>
  <c r="W557" i="111" s="1"/>
  <c r="J114" i="11"/>
  <c r="J116" i="11"/>
  <c r="J174" i="11"/>
  <c r="J196" i="11"/>
  <c r="H71" i="2"/>
  <c r="H72" i="2" s="1"/>
  <c r="H322" i="8" s="1"/>
  <c r="E66" i="2"/>
  <c r="G71" i="2"/>
  <c r="G72" i="2" s="1"/>
  <c r="G322" i="8" s="1"/>
  <c r="O114" i="11"/>
  <c r="O116" i="11"/>
  <c r="AH16" i="71" s="1"/>
  <c r="G56" i="4"/>
  <c r="G57" i="4"/>
  <c r="G54" i="4" s="1"/>
  <c r="G61" i="4"/>
  <c r="O557" i="111" s="1"/>
  <c r="J71" i="2"/>
  <c r="J72" i="2" s="1"/>
  <c r="J322" i="8" s="1"/>
  <c r="G66" i="2"/>
  <c r="Y116" i="4"/>
  <c r="AG56" i="4"/>
  <c r="AG57" i="4"/>
  <c r="AG54" i="4" s="1"/>
  <c r="AG61" i="4"/>
  <c r="AO557" i="111" s="1"/>
  <c r="K114" i="11"/>
  <c r="K116" i="11"/>
  <c r="K174" i="11"/>
  <c r="K196" i="11"/>
  <c r="N109" i="11"/>
  <c r="N29" i="46"/>
  <c r="E71" i="2"/>
  <c r="E72" i="2" s="1"/>
  <c r="F71" i="2"/>
  <c r="F72" i="2" s="1"/>
  <c r="F322" i="8" s="1"/>
  <c r="C66" i="2"/>
  <c r="U116" i="4"/>
  <c r="AC56" i="4"/>
  <c r="AC57" i="4"/>
  <c r="AC54" i="4" s="1"/>
  <c r="AC61" i="4"/>
  <c r="AK557" i="111" s="1"/>
  <c r="K116" i="4"/>
  <c r="L151" i="11"/>
  <c r="D61" i="27"/>
  <c r="AE56" i="4"/>
  <c r="AE61" i="4"/>
  <c r="AM557" i="111" s="1"/>
  <c r="AE57" i="4"/>
  <c r="AE54" i="4" s="1"/>
  <c r="M109" i="11"/>
  <c r="M29" i="46"/>
  <c r="AB71" i="2"/>
  <c r="AB72" i="2" s="1"/>
  <c r="AB322" i="8" s="1"/>
  <c r="Y66" i="2"/>
  <c r="AA71" i="2"/>
  <c r="AA72" i="2" s="1"/>
  <c r="AA322" i="8" s="1"/>
  <c r="N114" i="11"/>
  <c r="N116" i="11"/>
  <c r="AG16" i="71" s="1"/>
  <c r="N196" i="11"/>
  <c r="N174" i="11"/>
  <c r="C57" i="4"/>
  <c r="C54" i="4" s="1"/>
  <c r="C61" i="4"/>
  <c r="K557" i="111" s="1"/>
  <c r="AA57" i="4"/>
  <c r="AA54" i="4" s="1"/>
  <c r="AA56" i="4"/>
  <c r="AA61" i="4"/>
  <c r="AI557" i="111" s="1"/>
  <c r="X71" i="2"/>
  <c r="X72" i="2" s="1"/>
  <c r="X322" i="8" s="1"/>
  <c r="U66" i="2"/>
  <c r="W71" i="2"/>
  <c r="W72" i="2" s="1"/>
  <c r="W322" i="8" s="1"/>
  <c r="K61" i="4"/>
  <c r="S557" i="111" s="1"/>
  <c r="K56" i="4"/>
  <c r="K57" i="4"/>
  <c r="K54" i="4" s="1"/>
  <c r="N71" i="2"/>
  <c r="N72" i="2" s="1"/>
  <c r="N322" i="8" s="1"/>
  <c r="K66" i="2"/>
  <c r="M71" i="2"/>
  <c r="M72" i="2" s="1"/>
  <c r="M322" i="8" s="1"/>
  <c r="R71" i="2"/>
  <c r="R72" i="2" s="1"/>
  <c r="R322" i="8" s="1"/>
  <c r="O66" i="2"/>
  <c r="L109" i="11"/>
  <c r="L29" i="46"/>
  <c r="AI56" i="4"/>
  <c r="AI57" i="4"/>
  <c r="AI54" i="4" s="1"/>
  <c r="AI61" i="4"/>
  <c r="AQ557" i="111" s="1"/>
  <c r="L174" i="11"/>
  <c r="L114" i="11"/>
  <c r="L116" i="11"/>
  <c r="L196" i="11"/>
  <c r="E61" i="27"/>
  <c r="L71" i="2"/>
  <c r="L72" i="2" s="1"/>
  <c r="L322" i="8" s="1"/>
  <c r="I66" i="2"/>
  <c r="K71" i="2"/>
  <c r="K72" i="2" s="1"/>
  <c r="K322" i="8" s="1"/>
  <c r="AM56" i="4"/>
  <c r="AM57" i="4"/>
  <c r="AM54" i="4" s="1"/>
  <c r="AM61" i="4"/>
  <c r="AU557" i="111" s="1"/>
  <c r="AM66" i="2"/>
  <c r="K151" i="11"/>
  <c r="M116" i="11"/>
  <c r="M114" i="11"/>
  <c r="M174" i="11"/>
  <c r="M196" i="11"/>
  <c r="Y56" i="4"/>
  <c r="Y57" i="4"/>
  <c r="Y54" i="4" s="1"/>
  <c r="Y61" i="4"/>
  <c r="AG557" i="111" s="1"/>
  <c r="AA116" i="4"/>
  <c r="Z71" i="2"/>
  <c r="Z72" i="2" s="1"/>
  <c r="Z322" i="8" s="1"/>
  <c r="W66" i="2"/>
  <c r="U56" i="4"/>
  <c r="U57" i="4"/>
  <c r="U54" i="4" s="1"/>
  <c r="U61" i="4"/>
  <c r="AC557" i="111" s="1"/>
  <c r="AC116" i="4"/>
  <c r="S57" i="4"/>
  <c r="S54" i="4" s="1"/>
  <c r="S61" i="4"/>
  <c r="AA557" i="111" s="1"/>
  <c r="S56" i="4"/>
  <c r="F61" i="27"/>
  <c r="K31" i="76" l="1"/>
  <c r="C32" i="27"/>
  <c r="N31" i="76"/>
  <c r="O31" i="76"/>
  <c r="E32" i="27"/>
  <c r="AM71" i="2"/>
  <c r="AM72" i="2" s="1"/>
  <c r="AM322" i="8" s="1"/>
  <c r="AM323" i="8" s="1"/>
  <c r="L31" i="76"/>
  <c r="AN71" i="2"/>
  <c r="AN72" i="2" s="1"/>
  <c r="AN322" i="8" s="1"/>
  <c r="AN325" i="8" s="1"/>
  <c r="M31" i="76"/>
  <c r="AP71" i="2"/>
  <c r="AP72" i="2" s="1"/>
  <c r="AP322" i="8" s="1"/>
  <c r="AP324" i="8" s="1"/>
  <c r="D32" i="27"/>
  <c r="AO71" i="2"/>
  <c r="AO72" i="2" s="1"/>
  <c r="AO322" i="8" s="1"/>
  <c r="AO325" i="8" s="1"/>
  <c r="AL71" i="2"/>
  <c r="AL72" i="2" s="1"/>
  <c r="AL322" i="8" s="1"/>
  <c r="AL325" i="8" s="1"/>
  <c r="AD71" i="2"/>
  <c r="AD72" i="2" s="1"/>
  <c r="AD322" i="8" s="1"/>
  <c r="AD325" i="8" s="1"/>
  <c r="AJ71" i="2"/>
  <c r="AJ72" i="2" s="1"/>
  <c r="AJ322" i="8" s="1"/>
  <c r="AJ325" i="8" s="1"/>
  <c r="AH71" i="2"/>
  <c r="AH72" i="2" s="1"/>
  <c r="AH322" i="8" s="1"/>
  <c r="AH325" i="8" s="1"/>
  <c r="AF71" i="2"/>
  <c r="AF72" i="2" s="1"/>
  <c r="AF322" i="8" s="1"/>
  <c r="AF325" i="8" s="1"/>
  <c r="AI71" i="2"/>
  <c r="AI72" i="2" s="1"/>
  <c r="AI322" i="8" s="1"/>
  <c r="AI325" i="8" s="1"/>
  <c r="AG71" i="2"/>
  <c r="AG72" i="2" s="1"/>
  <c r="AG322" i="8" s="1"/>
  <c r="AG325" i="8" s="1"/>
  <c r="AK71" i="2"/>
  <c r="AK72" i="2" s="1"/>
  <c r="AK322" i="8" s="1"/>
  <c r="AK325" i="8" s="1"/>
  <c r="AE71" i="2"/>
  <c r="AE72" i="2" s="1"/>
  <c r="AE322" i="8" s="1"/>
  <c r="AE323" i="8" s="1"/>
  <c r="AI66" i="2"/>
  <c r="AH116" i="4"/>
  <c r="AH134" i="4" s="1"/>
  <c r="AH139" i="4" s="1"/>
  <c r="AH140" i="4" s="1"/>
  <c r="R153" i="11"/>
  <c r="R155" i="11" s="1"/>
  <c r="AL116" i="4"/>
  <c r="AL134" i="4" s="1"/>
  <c r="AL139" i="4" s="1"/>
  <c r="AL140" i="4" s="1"/>
  <c r="S153" i="11"/>
  <c r="S155" i="11" s="1"/>
  <c r="AL46" i="71"/>
  <c r="AL63" i="71"/>
  <c r="AL65" i="71" s="1"/>
  <c r="G33" i="27"/>
  <c r="B14" i="71"/>
  <c r="Q33" i="71"/>
  <c r="AH46" i="71"/>
  <c r="G32" i="27"/>
  <c r="AH17" i="71"/>
  <c r="AH47" i="71" s="1"/>
  <c r="Q34" i="71"/>
  <c r="Q35" i="71"/>
  <c r="AN134" i="4"/>
  <c r="AN139" i="4" s="1"/>
  <c r="AN140" i="4" s="1"/>
  <c r="E33" i="27"/>
  <c r="D33" i="27"/>
  <c r="F33" i="27"/>
  <c r="C33" i="27"/>
  <c r="B33" i="27"/>
  <c r="Q153" i="11"/>
  <c r="Q155" i="11" s="1"/>
  <c r="AG134" i="4"/>
  <c r="AG139" i="4" s="1"/>
  <c r="AG140" i="4" s="1"/>
  <c r="AI134" i="4"/>
  <c r="AI139" i="4" s="1"/>
  <c r="AI140" i="4" s="1"/>
  <c r="J64" i="27"/>
  <c r="J71" i="27" s="1"/>
  <c r="J88" i="27" s="1"/>
  <c r="J131" i="27" s="1"/>
  <c r="I64" i="27"/>
  <c r="Z116" i="4"/>
  <c r="Z102" i="2" s="1"/>
  <c r="P155" i="11"/>
  <c r="N153" i="11"/>
  <c r="N155" i="11" s="1"/>
  <c r="N160" i="11" s="1"/>
  <c r="N163" i="11" s="1"/>
  <c r="O153" i="11"/>
  <c r="O155" i="11" s="1"/>
  <c r="M153" i="11"/>
  <c r="M155" i="11" s="1"/>
  <c r="M160" i="11" s="1"/>
  <c r="M163" i="11" s="1"/>
  <c r="J303" i="111"/>
  <c r="L392" i="111"/>
  <c r="K393" i="111"/>
  <c r="J392" i="111"/>
  <c r="M394" i="111"/>
  <c r="K394" i="111"/>
  <c r="M303" i="111"/>
  <c r="N303" i="111"/>
  <c r="M393" i="111"/>
  <c r="L303" i="111"/>
  <c r="O303" i="111"/>
  <c r="L393" i="111"/>
  <c r="N393" i="111"/>
  <c r="J393" i="111"/>
  <c r="J394" i="111"/>
  <c r="L394" i="111"/>
  <c r="S303" i="111"/>
  <c r="K392" i="111"/>
  <c r="O393" i="111"/>
  <c r="N392" i="111"/>
  <c r="K303" i="111"/>
  <c r="O392" i="111"/>
  <c r="M392" i="111"/>
  <c r="N394" i="111"/>
  <c r="O394" i="111"/>
  <c r="O75" i="46"/>
  <c r="T317" i="112"/>
  <c r="AB317" i="112"/>
  <c r="AH317" i="112"/>
  <c r="F134" i="4"/>
  <c r="F139" i="4" s="1"/>
  <c r="F140" i="4" s="1"/>
  <c r="F102" i="2"/>
  <c r="R102" i="2"/>
  <c r="R134" i="4"/>
  <c r="R139" i="4" s="1"/>
  <c r="R140" i="4" s="1"/>
  <c r="J134" i="4"/>
  <c r="J139" i="4" s="1"/>
  <c r="J140" i="4" s="1"/>
  <c r="P102" i="2"/>
  <c r="N134" i="4"/>
  <c r="N139" i="4" s="1"/>
  <c r="N140" i="4" s="1"/>
  <c r="N102" i="2"/>
  <c r="K76" i="46"/>
  <c r="M68" i="46"/>
  <c r="K68" i="46"/>
  <c r="P75" i="46"/>
  <c r="N76" i="46"/>
  <c r="O76" i="46"/>
  <c r="J76" i="46"/>
  <c r="Q75" i="46"/>
  <c r="M76" i="46"/>
  <c r="R75" i="46"/>
  <c r="N68" i="46"/>
  <c r="O68" i="46"/>
  <c r="L68" i="46"/>
  <c r="J68" i="46"/>
  <c r="L76" i="46"/>
  <c r="L848" i="111"/>
  <c r="N848" i="111"/>
  <c r="M848" i="111"/>
  <c r="K848" i="111"/>
  <c r="J848" i="111"/>
  <c r="E64" i="27"/>
  <c r="E71" i="27" s="1"/>
  <c r="E88" i="27" s="1"/>
  <c r="E131" i="27" s="1"/>
  <c r="M325" i="8"/>
  <c r="M324" i="8"/>
  <c r="M323" i="8"/>
  <c r="X325" i="8"/>
  <c r="X324" i="8"/>
  <c r="X323" i="8"/>
  <c r="J325" i="8"/>
  <c r="J324" i="8"/>
  <c r="J323" i="8"/>
  <c r="G323" i="8"/>
  <c r="G325" i="8"/>
  <c r="G324" i="8"/>
  <c r="P325" i="8"/>
  <c r="P324" i="8"/>
  <c r="P323" i="8"/>
  <c r="K324" i="8"/>
  <c r="K323" i="8"/>
  <c r="K325" i="8"/>
  <c r="AA323" i="8"/>
  <c r="AA325" i="8"/>
  <c r="AA324" i="8"/>
  <c r="V325" i="8"/>
  <c r="V324" i="8"/>
  <c r="V323" i="8"/>
  <c r="T325" i="8"/>
  <c r="T324" i="8"/>
  <c r="T323" i="8"/>
  <c r="Z325" i="8"/>
  <c r="Z324" i="8"/>
  <c r="Z323" i="8"/>
  <c r="R325" i="8"/>
  <c r="R324" i="8"/>
  <c r="R323" i="8"/>
  <c r="N325" i="8"/>
  <c r="N324" i="8"/>
  <c r="N323" i="8"/>
  <c r="W323" i="8"/>
  <c r="W325" i="8"/>
  <c r="W324" i="8"/>
  <c r="F325" i="8"/>
  <c r="F324" i="8"/>
  <c r="F323" i="8"/>
  <c r="H325" i="8"/>
  <c r="H324" i="8"/>
  <c r="H323" i="8"/>
  <c r="O325" i="8"/>
  <c r="O324" i="8"/>
  <c r="O323" i="8"/>
  <c r="AC325" i="8"/>
  <c r="AC324" i="8"/>
  <c r="AC323" i="8"/>
  <c r="I325" i="8"/>
  <c r="I324" i="8"/>
  <c r="I323" i="8"/>
  <c r="Y325" i="8"/>
  <c r="Y324" i="8"/>
  <c r="Y323" i="8"/>
  <c r="L325" i="8"/>
  <c r="L324" i="8"/>
  <c r="L323" i="8"/>
  <c r="AB325" i="8"/>
  <c r="AB324" i="8"/>
  <c r="AB323" i="8"/>
  <c r="U325" i="8"/>
  <c r="U324" i="8"/>
  <c r="U323" i="8"/>
  <c r="S324" i="8"/>
  <c r="S323" i="8"/>
  <c r="S325" i="8"/>
  <c r="Q325" i="8"/>
  <c r="Q324" i="8"/>
  <c r="Q323" i="8"/>
  <c r="L252" i="111"/>
  <c r="M252" i="111"/>
  <c r="N252" i="111"/>
  <c r="K252" i="111"/>
  <c r="J252" i="111"/>
  <c r="AF102" i="2"/>
  <c r="P134" i="4"/>
  <c r="P139" i="4" s="1"/>
  <c r="P140" i="4" s="1"/>
  <c r="J102" i="2"/>
  <c r="B64" i="27"/>
  <c r="B71" i="27" s="1"/>
  <c r="B88" i="27" s="1"/>
  <c r="B90" i="27" s="1"/>
  <c r="C89" i="27" s="1"/>
  <c r="G64" i="27"/>
  <c r="G71" i="27" s="1"/>
  <c r="G88" i="27" s="1"/>
  <c r="G131" i="27" s="1"/>
  <c r="F64" i="27"/>
  <c r="F71" i="27" s="1"/>
  <c r="F88" i="27" s="1"/>
  <c r="F131" i="27" s="1"/>
  <c r="H64" i="27"/>
  <c r="H71" i="27" s="1"/>
  <c r="H88" i="27" s="1"/>
  <c r="H131" i="27" s="1"/>
  <c r="K64" i="27"/>
  <c r="K71" i="27" s="1"/>
  <c r="K88" i="27" s="1"/>
  <c r="K131" i="27" s="1"/>
  <c r="K155" i="11"/>
  <c r="K288" i="111" s="1"/>
  <c r="C64" i="27"/>
  <c r="C71" i="27" s="1"/>
  <c r="C88" i="27" s="1"/>
  <c r="C131" i="27" s="1"/>
  <c r="H134" i="4"/>
  <c r="H139" i="4" s="1"/>
  <c r="H140" i="4" s="1"/>
  <c r="H102" i="2"/>
  <c r="AB102" i="2"/>
  <c r="AB134" i="4"/>
  <c r="AB139" i="4" s="1"/>
  <c r="AB140" i="4" s="1"/>
  <c r="AN102" i="2"/>
  <c r="X102" i="2"/>
  <c r="X134" i="4"/>
  <c r="X139" i="4" s="1"/>
  <c r="X140" i="4" s="1"/>
  <c r="D134" i="4"/>
  <c r="D139" i="4" s="1"/>
  <c r="D140" i="4" s="1"/>
  <c r="D102" i="2"/>
  <c r="T102" i="2"/>
  <c r="T134" i="4"/>
  <c r="T139" i="4" s="1"/>
  <c r="T140" i="4" s="1"/>
  <c r="L102" i="2"/>
  <c r="L134" i="4"/>
  <c r="L139" i="4" s="1"/>
  <c r="L140" i="4" s="1"/>
  <c r="AJ102" i="2"/>
  <c r="O116" i="4"/>
  <c r="I116" i="4"/>
  <c r="AC102" i="2"/>
  <c r="AC134" i="4"/>
  <c r="AA102" i="2"/>
  <c r="AA134" i="4"/>
  <c r="AK102" i="2"/>
  <c r="K102" i="2"/>
  <c r="K134" i="4"/>
  <c r="AI102" i="2"/>
  <c r="M102" i="2"/>
  <c r="M134" i="4"/>
  <c r="E102" i="2"/>
  <c r="E134" i="4"/>
  <c r="AG102" i="2"/>
  <c r="D111" i="27"/>
  <c r="D127" i="27"/>
  <c r="U102" i="2"/>
  <c r="U134" i="4"/>
  <c r="V102" i="2"/>
  <c r="V134" i="4"/>
  <c r="C111" i="27"/>
  <c r="C127" i="27"/>
  <c r="K30" i="46"/>
  <c r="G111" i="27"/>
  <c r="G127" i="27"/>
  <c r="O30" i="46"/>
  <c r="L37" i="46"/>
  <c r="Q102" i="2"/>
  <c r="Q134" i="4"/>
  <c r="K37" i="46"/>
  <c r="E111" i="27"/>
  <c r="E127" i="27"/>
  <c r="M30" i="46"/>
  <c r="S116" i="4"/>
  <c r="O37" i="46"/>
  <c r="W116" i="4"/>
  <c r="F111" i="27"/>
  <c r="F127" i="27"/>
  <c r="N30" i="46"/>
  <c r="M37" i="46"/>
  <c r="C116" i="4"/>
  <c r="L36" i="46"/>
  <c r="AD102" i="2"/>
  <c r="K36" i="46"/>
  <c r="O36" i="46"/>
  <c r="J37" i="46"/>
  <c r="N37" i="46"/>
  <c r="G102" i="2"/>
  <c r="G134" i="4"/>
  <c r="M36" i="46"/>
  <c r="L30" i="46"/>
  <c r="N36" i="46"/>
  <c r="D71" i="27"/>
  <c r="D88" i="27" s="1"/>
  <c r="D131" i="27" s="1"/>
  <c r="Y102" i="2"/>
  <c r="Y134" i="4"/>
  <c r="J30" i="46"/>
  <c r="AM324" i="8" l="1"/>
  <c r="AL323" i="8"/>
  <c r="AM325" i="8"/>
  <c r="AI323" i="8"/>
  <c r="AO323" i="8"/>
  <c r="AI324" i="8"/>
  <c r="AO324" i="8"/>
  <c r="AN323" i="8"/>
  <c r="AK323" i="8"/>
  <c r="AD323" i="8"/>
  <c r="AN324" i="8"/>
  <c r="AK324" i="8"/>
  <c r="AD324" i="8"/>
  <c r="AE324" i="8"/>
  <c r="AJ323" i="8"/>
  <c r="AH323" i="8"/>
  <c r="AE325" i="8"/>
  <c r="AP323" i="8"/>
  <c r="AJ324" i="8"/>
  <c r="AP325" i="8"/>
  <c r="AL324" i="8"/>
  <c r="AH324" i="8"/>
  <c r="AF323" i="8"/>
  <c r="AF324" i="8"/>
  <c r="AL102" i="2"/>
  <c r="AG323" i="8"/>
  <c r="AG324" i="8"/>
  <c r="P160" i="11"/>
  <c r="P163" i="11" s="1"/>
  <c r="Q160" i="11"/>
  <c r="Q163" i="11" s="1"/>
  <c r="S160" i="11"/>
  <c r="S163" i="11" s="1"/>
  <c r="O160" i="11"/>
  <c r="O163" i="11" s="1"/>
  <c r="R160" i="11"/>
  <c r="R163" i="11" s="1"/>
  <c r="I71" i="27"/>
  <c r="I88" i="27" s="1"/>
  <c r="I131" i="27" s="1"/>
  <c r="AH102" i="2"/>
  <c r="Z134" i="4"/>
  <c r="Z139" i="4" s="1"/>
  <c r="Z140" i="4" s="1"/>
  <c r="M208" i="11"/>
  <c r="AO102" i="2"/>
  <c r="K208" i="11"/>
  <c r="I102" i="2"/>
  <c r="J155" i="11"/>
  <c r="L155" i="11"/>
  <c r="G97" i="27"/>
  <c r="O288" i="111"/>
  <c r="O199" i="11"/>
  <c r="O70" i="46" s="1"/>
  <c r="O134" i="4"/>
  <c r="O139" i="4" s="1"/>
  <c r="O140" i="4" s="1"/>
  <c r="O102" i="2"/>
  <c r="I134" i="4"/>
  <c r="I139" i="4" s="1"/>
  <c r="I140" i="4" s="1"/>
  <c r="Y139" i="4"/>
  <c r="Y140" i="4" s="1"/>
  <c r="U139" i="4"/>
  <c r="U140" i="4" s="1"/>
  <c r="M199" i="11"/>
  <c r="M70" i="46" s="1"/>
  <c r="M214" i="11"/>
  <c r="AA139" i="4"/>
  <c r="AA140" i="4" s="1"/>
  <c r="G139" i="4"/>
  <c r="G140" i="4" s="1"/>
  <c r="N208" i="11"/>
  <c r="Q139" i="4"/>
  <c r="Q140" i="4" s="1"/>
  <c r="E139" i="4"/>
  <c r="E140" i="4" s="1"/>
  <c r="W102" i="2"/>
  <c r="W134" i="4"/>
  <c r="M139" i="4"/>
  <c r="M140" i="4" s="1"/>
  <c r="AC139" i="4"/>
  <c r="AC140" i="4" s="1"/>
  <c r="L208" i="11"/>
  <c r="AE102" i="2"/>
  <c r="C90" i="27"/>
  <c r="D89" i="27" s="1"/>
  <c r="D90" i="27" s="1"/>
  <c r="E89" i="27" s="1"/>
  <c r="E90" i="27" s="1"/>
  <c r="F89" i="27" s="1"/>
  <c r="F90" i="27" s="1"/>
  <c r="G89" i="27" s="1"/>
  <c r="G90" i="27" s="1"/>
  <c r="H89" i="27" s="1"/>
  <c r="H90" i="27" s="1"/>
  <c r="I89" i="27" s="1"/>
  <c r="K160" i="11"/>
  <c r="C97" i="27"/>
  <c r="V139" i="4"/>
  <c r="V140" i="4" s="1"/>
  <c r="K139" i="4"/>
  <c r="K140" i="4" s="1"/>
  <c r="AM102" i="2"/>
  <c r="E97" i="27"/>
  <c r="C102" i="2"/>
  <c r="C134" i="4"/>
  <c r="S102" i="2"/>
  <c r="S134" i="4"/>
  <c r="I90" i="27" l="1"/>
  <c r="J89" i="27" s="1"/>
  <c r="J90" i="27" s="1"/>
  <c r="K89" i="27" s="1"/>
  <c r="K90" i="27" s="1"/>
  <c r="L89" i="27" s="1"/>
  <c r="N288" i="111"/>
  <c r="P288" i="111"/>
  <c r="L160" i="11"/>
  <c r="L288" i="111"/>
  <c r="M288" i="111"/>
  <c r="Q288" i="111"/>
  <c r="J160" i="11"/>
  <c r="J288" i="111"/>
  <c r="M210" i="11"/>
  <c r="S210" i="11"/>
  <c r="K214" i="11"/>
  <c r="K199" i="11"/>
  <c r="K70" i="46" s="1"/>
  <c r="S199" i="11"/>
  <c r="S70" i="46" s="1"/>
  <c r="S214" i="11"/>
  <c r="J208" i="11"/>
  <c r="O214" i="11"/>
  <c r="S139" i="4"/>
  <c r="S140" i="4" s="1"/>
  <c r="L199" i="11"/>
  <c r="L70" i="46" s="1"/>
  <c r="L214" i="11"/>
  <c r="F97" i="27"/>
  <c r="K163" i="11"/>
  <c r="B97" i="27"/>
  <c r="C139" i="4"/>
  <c r="C140" i="4" s="1"/>
  <c r="Q199" i="11"/>
  <c r="Q70" i="46" s="1"/>
  <c r="Q214" i="11"/>
  <c r="R214" i="11"/>
  <c r="R199" i="11"/>
  <c r="R70" i="46" s="1"/>
  <c r="P199" i="11"/>
  <c r="P70" i="46" s="1"/>
  <c r="P214" i="11"/>
  <c r="D97" i="27"/>
  <c r="W139" i="4"/>
  <c r="W140" i="4" s="1"/>
  <c r="N214" i="11"/>
  <c r="N199" i="11"/>
  <c r="N70" i="46" s="1"/>
  <c r="S75" i="46" l="1"/>
  <c r="M75" i="46"/>
  <c r="J163" i="11"/>
  <c r="L163" i="11"/>
  <c r="L210" i="11"/>
  <c r="N210" i="11"/>
  <c r="K210" i="11"/>
  <c r="L75" i="46" l="1"/>
  <c r="K75" i="46"/>
  <c r="N75" i="46"/>
  <c r="J210" i="11"/>
  <c r="J75" i="46" l="1"/>
  <c r="AP128" i="2"/>
  <c r="AP227" i="8" s="1"/>
  <c r="AP129" i="2"/>
  <c r="AO128" i="2"/>
  <c r="AO227" i="8" s="1"/>
  <c r="AO129" i="2"/>
  <c r="AN128" i="2"/>
  <c r="AN227" i="8" s="1"/>
  <c r="AN129" i="2"/>
  <c r="AM128" i="2"/>
  <c r="AM227" i="8" s="1"/>
  <c r="AM129" i="2"/>
  <c r="AQ49" i="4" l="1"/>
  <c r="AQ62" i="2" l="1"/>
  <c r="AQ105" i="4"/>
  <c r="AQ239" i="8"/>
  <c r="AQ12" i="2"/>
  <c r="AQ17" i="2"/>
  <c r="AQ7" i="2"/>
  <c r="AQ10" i="2"/>
  <c r="AQ28" i="2"/>
  <c r="AQ36" i="2"/>
  <c r="AQ275" i="8" s="1"/>
  <c r="AQ51" i="4"/>
  <c r="AQ159" i="8"/>
  <c r="AQ245" i="8"/>
  <c r="L61" i="27" l="1"/>
  <c r="AQ109" i="4"/>
  <c r="T151" i="11"/>
  <c r="AQ254" i="8"/>
  <c r="AQ256" i="8" s="1"/>
  <c r="AY554" i="111"/>
  <c r="AS319" i="112"/>
  <c r="AQ319" i="112"/>
  <c r="AQ251" i="8"/>
  <c r="AQ240" i="8"/>
  <c r="AQ242" i="8"/>
  <c r="AQ241" i="8"/>
  <c r="AQ246" i="8"/>
  <c r="AQ248" i="8"/>
  <c r="AQ247" i="8"/>
  <c r="AQ278" i="8"/>
  <c r="AQ276" i="8"/>
  <c r="AQ277" i="8"/>
  <c r="AQ219" i="8"/>
  <c r="AQ160" i="8"/>
  <c r="AQ161" i="8"/>
  <c r="AQ55" i="4"/>
  <c r="AQ34" i="4"/>
  <c r="AU35" i="4" s="1"/>
  <c r="AQ116" i="4" l="1"/>
  <c r="AQ134" i="4" s="1"/>
  <c r="AQ139" i="4" s="1"/>
  <c r="AQ140" i="4" s="1"/>
  <c r="T153" i="11"/>
  <c r="T155" i="11" s="1"/>
  <c r="AQ255" i="8"/>
  <c r="AU56" i="4"/>
  <c r="AQ257" i="8"/>
  <c r="AY551" i="111"/>
  <c r="AQ214" i="8"/>
  <c r="AQ216" i="8" s="1"/>
  <c r="AQ158" i="8"/>
  <c r="AQ220" i="8"/>
  <c r="AQ222" i="8"/>
  <c r="AQ221" i="8"/>
  <c r="AQ66" i="2"/>
  <c r="AQ71" i="2"/>
  <c r="AQ72" i="2" s="1"/>
  <c r="AQ322" i="8" s="1"/>
  <c r="AQ53" i="4"/>
  <c r="AQ317" i="112" s="1"/>
  <c r="AQ57" i="4"/>
  <c r="AQ56" i="4"/>
  <c r="AQ44" i="4"/>
  <c r="AQ312" i="112" s="1"/>
  <c r="AQ313" i="112" s="1"/>
  <c r="AQ36" i="4"/>
  <c r="AQ35" i="4"/>
  <c r="T160" i="11" l="1"/>
  <c r="T163" i="11" s="1"/>
  <c r="AQ102" i="2"/>
  <c r="AQ323" i="8"/>
  <c r="AQ325" i="8"/>
  <c r="AQ324" i="8"/>
  <c r="AQ54" i="4"/>
  <c r="AQ217" i="8"/>
  <c r="AQ215" i="8"/>
  <c r="AQ46" i="4"/>
  <c r="AY548" i="111" s="1"/>
  <c r="AQ76" i="2" l="1"/>
  <c r="AQ77" i="2" s="1"/>
  <c r="AQ60" i="4"/>
  <c r="AQ73" i="2" l="1"/>
  <c r="AQ61" i="4"/>
  <c r="AY557" i="111" s="1"/>
  <c r="AQ62" i="4"/>
  <c r="L23" i="27" l="1"/>
  <c r="L112" i="27"/>
  <c r="L24" i="27" l="1"/>
  <c r="R75" i="27" l="1"/>
  <c r="AQ164" i="8"/>
  <c r="AQ166" i="8" s="1"/>
  <c r="AQ165" i="8" l="1"/>
  <c r="AQ163" i="8" s="1"/>
  <c r="P41" i="11" l="1"/>
  <c r="Q41" i="11"/>
  <c r="R41" i="11"/>
  <c r="S41" i="11"/>
  <c r="Z233" i="8"/>
  <c r="AA233" i="8"/>
  <c r="AB233" i="8"/>
  <c r="AC233" i="8"/>
  <c r="AD233" i="8"/>
  <c r="AE233" i="8"/>
  <c r="AF233" i="8"/>
  <c r="AG233" i="8"/>
  <c r="AH233" i="8"/>
  <c r="AI233" i="8"/>
  <c r="AJ233" i="8"/>
  <c r="AK233" i="8"/>
  <c r="AL233" i="8"/>
  <c r="AM233" i="8"/>
  <c r="AN233" i="8"/>
  <c r="AO233" i="8"/>
  <c r="AP233" i="8"/>
  <c r="Q19" i="46" l="1"/>
  <c r="Q130" i="111"/>
  <c r="Q64" i="111"/>
  <c r="S64" i="111"/>
  <c r="S130" i="111"/>
  <c r="P19" i="46"/>
  <c r="P64" i="111"/>
  <c r="P70" i="111" s="1"/>
  <c r="P130" i="111"/>
  <c r="R19" i="46"/>
  <c r="R64" i="111"/>
  <c r="R130" i="111"/>
  <c r="S19" i="46"/>
  <c r="AO234" i="8"/>
  <c r="AO235" i="8"/>
  <c r="AO236" i="8"/>
  <c r="AK234" i="8"/>
  <c r="AK235" i="8"/>
  <c r="AK236" i="8"/>
  <c r="AG234" i="8"/>
  <c r="AG235" i="8"/>
  <c r="AG236" i="8"/>
  <c r="AC234" i="8"/>
  <c r="AC235" i="8"/>
  <c r="AC236" i="8"/>
  <c r="AO162" i="2"/>
  <c r="AK162" i="2"/>
  <c r="AG162" i="2"/>
  <c r="AN234" i="8"/>
  <c r="AN235" i="8"/>
  <c r="AN236" i="8"/>
  <c r="AJ234" i="8"/>
  <c r="AJ235" i="8"/>
  <c r="AJ236" i="8"/>
  <c r="AF234" i="8"/>
  <c r="AF235" i="8"/>
  <c r="AF236" i="8"/>
  <c r="AB234" i="8"/>
  <c r="AB235" i="8"/>
  <c r="AB236" i="8"/>
  <c r="AN162" i="2"/>
  <c r="AJ162" i="2"/>
  <c r="AF162" i="2"/>
  <c r="AM234" i="8"/>
  <c r="AM235" i="8"/>
  <c r="AM236" i="8"/>
  <c r="AI234" i="8"/>
  <c r="AI235" i="8"/>
  <c r="AI236" i="8"/>
  <c r="AE234" i="8"/>
  <c r="AE235" i="8"/>
  <c r="AE236" i="8"/>
  <c r="AA234" i="8"/>
  <c r="AA235" i="8"/>
  <c r="AA236" i="8"/>
  <c r="AM162" i="2"/>
  <c r="AI162" i="2"/>
  <c r="AE162" i="2"/>
  <c r="AP234" i="8"/>
  <c r="AP235" i="8"/>
  <c r="AP236" i="8"/>
  <c r="AL234" i="8"/>
  <c r="AL235" i="8"/>
  <c r="AL236" i="8"/>
  <c r="AH234" i="8"/>
  <c r="AH235" i="8"/>
  <c r="AH236" i="8"/>
  <c r="AD234" i="8"/>
  <c r="AD235" i="8"/>
  <c r="AD236" i="8"/>
  <c r="Z234" i="8"/>
  <c r="Z235" i="8"/>
  <c r="Z236" i="8"/>
  <c r="AP162" i="2"/>
  <c r="S38" i="11"/>
  <c r="U20" i="71" s="1"/>
  <c r="AL162" i="2"/>
  <c r="R38" i="11"/>
  <c r="T20" i="71" s="1"/>
  <c r="AH162" i="2"/>
  <c r="Q38" i="11"/>
  <c r="S20" i="71" s="1"/>
  <c r="AD162" i="2"/>
  <c r="P38" i="11"/>
  <c r="R20" i="71" s="1"/>
  <c r="S70" i="111" l="1"/>
  <c r="Q61" i="111"/>
  <c r="Q127" i="111"/>
  <c r="R61" i="111"/>
  <c r="R127" i="111"/>
  <c r="Q70" i="111"/>
  <c r="P127" i="111"/>
  <c r="P61" i="111"/>
  <c r="P67" i="111" s="1"/>
  <c r="R70" i="111"/>
  <c r="S61" i="111"/>
  <c r="S127" i="111"/>
  <c r="P36" i="11"/>
  <c r="P12" i="76" s="1"/>
  <c r="P20" i="76" s="1"/>
  <c r="P81" i="11"/>
  <c r="R28" i="71" s="1"/>
  <c r="P16" i="46"/>
  <c r="P26" i="46" s="1"/>
  <c r="Q36" i="11"/>
  <c r="Q12" i="76" s="1"/>
  <c r="Q20" i="76" s="1"/>
  <c r="Q81" i="11"/>
  <c r="S28" i="71" s="1"/>
  <c r="Q16" i="46"/>
  <c r="Q26" i="46" s="1"/>
  <c r="R36" i="11"/>
  <c r="R12" i="76" s="1"/>
  <c r="R20" i="76" s="1"/>
  <c r="R81" i="11"/>
  <c r="T28" i="71" s="1"/>
  <c r="R16" i="46"/>
  <c r="R26" i="46" s="1"/>
  <c r="S36" i="11"/>
  <c r="S12" i="76" s="1"/>
  <c r="S20" i="76" s="1"/>
  <c r="S81" i="11"/>
  <c r="U28" i="71" s="1"/>
  <c r="S16" i="46"/>
  <c r="S26" i="46" s="1"/>
  <c r="F9" i="71" l="1"/>
  <c r="F39" i="71" s="1"/>
  <c r="AL11" i="71"/>
  <c r="U18" i="71"/>
  <c r="U53" i="71" s="1"/>
  <c r="C9" i="71"/>
  <c r="C39" i="71" s="1"/>
  <c r="AI11" i="71"/>
  <c r="R18" i="71"/>
  <c r="AJ11" i="71"/>
  <c r="D9" i="71"/>
  <c r="D39" i="71" s="1"/>
  <c r="S18" i="71"/>
  <c r="E9" i="71"/>
  <c r="E39" i="71" s="1"/>
  <c r="AK11" i="71"/>
  <c r="T18" i="71"/>
  <c r="R332" i="111"/>
  <c r="R333" i="111"/>
  <c r="R845" i="111"/>
  <c r="R846" i="111"/>
  <c r="S850" i="111"/>
  <c r="Q204" i="111"/>
  <c r="S204" i="111"/>
  <c r="Q333" i="111"/>
  <c r="Q332" i="111"/>
  <c r="Q846" i="111"/>
  <c r="R850" i="111"/>
  <c r="P204" i="111"/>
  <c r="P332" i="111"/>
  <c r="P333" i="111"/>
  <c r="Q850" i="111"/>
  <c r="P846" i="111"/>
  <c r="Q67" i="111"/>
  <c r="S332" i="111"/>
  <c r="S333" i="111"/>
  <c r="S846" i="111"/>
  <c r="T850" i="111"/>
  <c r="S845" i="111"/>
  <c r="R204" i="111"/>
  <c r="S67" i="111"/>
  <c r="T67" i="111"/>
  <c r="R67" i="111"/>
  <c r="Q66" i="11"/>
  <c r="R66" i="11"/>
  <c r="P66" i="11"/>
  <c r="S66" i="11"/>
  <c r="R61" i="11"/>
  <c r="R90" i="11" s="1"/>
  <c r="R37" i="11"/>
  <c r="T19" i="71" s="1"/>
  <c r="R64" i="11"/>
  <c r="R68" i="11"/>
  <c r="R80" i="11"/>
  <c r="T27" i="71" s="1"/>
  <c r="R207" i="11"/>
  <c r="R184" i="11"/>
  <c r="R193" i="11"/>
  <c r="R181" i="11"/>
  <c r="R192" i="11"/>
  <c r="R70" i="11"/>
  <c r="T32" i="71" s="1"/>
  <c r="R182" i="11"/>
  <c r="J6" i="27"/>
  <c r="J8" i="27" s="1"/>
  <c r="R208" i="11"/>
  <c r="R15" i="46"/>
  <c r="R25" i="46" s="1"/>
  <c r="Q61" i="11"/>
  <c r="Q90" i="11" s="1"/>
  <c r="Q37" i="11"/>
  <c r="S19" i="71" s="1"/>
  <c r="Q64" i="11"/>
  <c r="Q68" i="11"/>
  <c r="Q184" i="11"/>
  <c r="Q193" i="11"/>
  <c r="Q181" i="11"/>
  <c r="Q192" i="11"/>
  <c r="Q70" i="11"/>
  <c r="S32" i="71" s="1"/>
  <c r="Q182" i="11"/>
  <c r="Q80" i="11"/>
  <c r="S27" i="71" s="1"/>
  <c r="Q207" i="11"/>
  <c r="Q208" i="11"/>
  <c r="I6" i="27"/>
  <c r="I8" i="27" s="1"/>
  <c r="Q15" i="46"/>
  <c r="Q25" i="46" s="1"/>
  <c r="P37" i="11"/>
  <c r="R19" i="71" s="1"/>
  <c r="P64" i="11"/>
  <c r="P68" i="11"/>
  <c r="P61" i="11"/>
  <c r="P90" i="11" s="1"/>
  <c r="P181" i="11"/>
  <c r="P192" i="11"/>
  <c r="P70" i="11"/>
  <c r="R32" i="71" s="1"/>
  <c r="P182" i="11"/>
  <c r="P80" i="11"/>
  <c r="R27" i="71" s="1"/>
  <c r="P184" i="11"/>
  <c r="P193" i="11"/>
  <c r="P207" i="11"/>
  <c r="P208" i="11"/>
  <c r="H6" i="27"/>
  <c r="H8" i="27" s="1"/>
  <c r="P15" i="46"/>
  <c r="S64" i="11"/>
  <c r="S68" i="11"/>
  <c r="S61" i="11"/>
  <c r="S90" i="11" s="1"/>
  <c r="S37" i="11"/>
  <c r="U19" i="71" s="1"/>
  <c r="S70" i="11"/>
  <c r="U32" i="71" s="1"/>
  <c r="S107" i="11"/>
  <c r="S182" i="11"/>
  <c r="S80" i="11"/>
  <c r="U27" i="71" s="1"/>
  <c r="S109" i="11"/>
  <c r="S252" i="111" s="1"/>
  <c r="S184" i="11"/>
  <c r="S193" i="11"/>
  <c r="S181" i="11"/>
  <c r="S192" i="11"/>
  <c r="K6" i="27"/>
  <c r="K8" i="27" s="1"/>
  <c r="S207" i="11"/>
  <c r="S208" i="11"/>
  <c r="S15" i="46"/>
  <c r="AL14" i="71" l="1"/>
  <c r="AL44" i="71" s="1"/>
  <c r="AI14" i="71"/>
  <c r="AI44" i="71" s="1"/>
  <c r="AJ14" i="71"/>
  <c r="AJ44" i="71" s="1"/>
  <c r="AK14" i="71"/>
  <c r="AK44" i="71" s="1"/>
  <c r="D11" i="71"/>
  <c r="D41" i="71" s="1"/>
  <c r="AJ41" i="71"/>
  <c r="AJ13" i="71"/>
  <c r="AJ43" i="71" s="1"/>
  <c r="AK41" i="71"/>
  <c r="AH57" i="71"/>
  <c r="AH59" i="71" s="1"/>
  <c r="AK13" i="71"/>
  <c r="AK43" i="71" s="1"/>
  <c r="AL41" i="71"/>
  <c r="AI57" i="71"/>
  <c r="AI59" i="71" s="1"/>
  <c r="AL13" i="71"/>
  <c r="AL43" i="71" s="1"/>
  <c r="E11" i="71"/>
  <c r="E41" i="71" s="1"/>
  <c r="F11" i="71"/>
  <c r="F41" i="71" s="1"/>
  <c r="C11" i="71"/>
  <c r="C41" i="71" s="1"/>
  <c r="AI41" i="71"/>
  <c r="AI13" i="71"/>
  <c r="AI43" i="71" s="1"/>
  <c r="J137" i="27"/>
  <c r="K137" i="27"/>
  <c r="I137" i="27"/>
  <c r="H137" i="27"/>
  <c r="R209" i="111"/>
  <c r="R848" i="111"/>
  <c r="S250" i="111"/>
  <c r="P250" i="111"/>
  <c r="R250" i="111"/>
  <c r="S848" i="111"/>
  <c r="S209" i="111"/>
  <c r="T209" i="111"/>
  <c r="Q250" i="111"/>
  <c r="Q209" i="111"/>
  <c r="P209" i="111"/>
  <c r="S25" i="46"/>
  <c r="P20" i="46"/>
  <c r="P25" i="46"/>
  <c r="S20" i="46"/>
  <c r="R20" i="46"/>
  <c r="K126" i="27"/>
  <c r="K12" i="27"/>
  <c r="K15" i="27" s="1"/>
  <c r="K17" i="27" s="1"/>
  <c r="R35" i="46"/>
  <c r="R62" i="11"/>
  <c r="S35" i="46"/>
  <c r="Q35" i="46"/>
  <c r="R34" i="46"/>
  <c r="S34" i="46"/>
  <c r="S62" i="11"/>
  <c r="H12" i="27"/>
  <c r="H15" i="27" s="1"/>
  <c r="H17" i="27" s="1"/>
  <c r="H126" i="27"/>
  <c r="P35" i="46"/>
  <c r="Q34" i="46"/>
  <c r="J126" i="27"/>
  <c r="J12" i="27"/>
  <c r="J15" i="27" s="1"/>
  <c r="J17" i="27" s="1"/>
  <c r="P34" i="46"/>
  <c r="P62" i="11"/>
  <c r="Q20" i="46"/>
  <c r="I126" i="27"/>
  <c r="I12" i="27"/>
  <c r="I15" i="27" s="1"/>
  <c r="I17" i="27" s="1"/>
  <c r="Q62" i="11"/>
  <c r="K136" i="27" l="1"/>
  <c r="S249" i="111"/>
  <c r="J136" i="27"/>
  <c r="R249" i="111"/>
  <c r="I136" i="27"/>
  <c r="Q249" i="111"/>
  <c r="H136" i="27"/>
  <c r="P249" i="111"/>
  <c r="S91" i="11"/>
  <c r="S251" i="111" s="1"/>
  <c r="S96" i="11"/>
  <c r="P96" i="11"/>
  <c r="P91" i="11"/>
  <c r="P251" i="111" s="1"/>
  <c r="Q91" i="11"/>
  <c r="Q251" i="111" s="1"/>
  <c r="Q96" i="11"/>
  <c r="R91" i="11"/>
  <c r="R251" i="111" s="1"/>
  <c r="R96" i="11"/>
  <c r="R98" i="11" l="1"/>
  <c r="R24" i="76" s="1"/>
  <c r="R102" i="11"/>
  <c r="R106" i="11"/>
  <c r="AK15" i="71" s="1"/>
  <c r="AK45" i="71" s="1"/>
  <c r="R108" i="11"/>
  <c r="E13" i="71" s="1"/>
  <c r="E43" i="71" s="1"/>
  <c r="R99" i="11"/>
  <c r="S99" i="11"/>
  <c r="S98" i="11"/>
  <c r="S24" i="76" s="1"/>
  <c r="Q102" i="11"/>
  <c r="Q106" i="11"/>
  <c r="AJ15" i="71" s="1"/>
  <c r="AJ45" i="71" s="1"/>
  <c r="Q108" i="11"/>
  <c r="D13" i="71" s="1"/>
  <c r="D43" i="71" s="1"/>
  <c r="Q99" i="11"/>
  <c r="Q845" i="111"/>
  <c r="Q98" i="11"/>
  <c r="Q24" i="76" s="1"/>
  <c r="P108" i="11"/>
  <c r="C13" i="71" s="1"/>
  <c r="C43" i="71" s="1"/>
  <c r="P99" i="11"/>
  <c r="P845" i="111"/>
  <c r="P98" i="11"/>
  <c r="P24" i="76" s="1"/>
  <c r="P102" i="11"/>
  <c r="P106" i="11"/>
  <c r="AI15" i="71" s="1"/>
  <c r="AI45" i="71" s="1"/>
  <c r="Q25" i="76" l="1"/>
  <c r="Q30" i="76" s="1"/>
  <c r="Q178" i="11"/>
  <c r="R25" i="76"/>
  <c r="R30" i="76" s="1"/>
  <c r="R178" i="11"/>
  <c r="P25" i="76"/>
  <c r="P30" i="76" s="1"/>
  <c r="P178" i="11"/>
  <c r="S25" i="76"/>
  <c r="S30" i="76" s="1"/>
  <c r="S178" i="11"/>
  <c r="R179" i="11"/>
  <c r="S179" i="11"/>
  <c r="J30" i="27"/>
  <c r="I30" i="27"/>
  <c r="H30" i="27"/>
  <c r="P848" i="111"/>
  <c r="Q848" i="111"/>
  <c r="P196" i="11"/>
  <c r="Q196" i="11"/>
  <c r="R196" i="11"/>
  <c r="P179" i="11"/>
  <c r="Q179" i="11"/>
  <c r="R107" i="11"/>
  <c r="J21" i="27"/>
  <c r="J26" i="27" s="1"/>
  <c r="R197" i="11"/>
  <c r="R116" i="11"/>
  <c r="AK16" i="71" s="1"/>
  <c r="R175" i="11"/>
  <c r="R177" i="11"/>
  <c r="R114" i="11"/>
  <c r="R212" i="11"/>
  <c r="R174" i="11"/>
  <c r="R176" i="11"/>
  <c r="R115" i="11"/>
  <c r="J20" i="27"/>
  <c r="R211" i="11"/>
  <c r="P174" i="11"/>
  <c r="P176" i="11"/>
  <c r="P115" i="11"/>
  <c r="P211" i="11"/>
  <c r="H20" i="27"/>
  <c r="P109" i="11"/>
  <c r="P252" i="111" s="1"/>
  <c r="P29" i="46"/>
  <c r="Q109" i="11"/>
  <c r="Q252" i="111" s="1"/>
  <c r="Q29" i="46"/>
  <c r="P116" i="11"/>
  <c r="AI16" i="71" s="1"/>
  <c r="P175" i="11"/>
  <c r="P177" i="11"/>
  <c r="P114" i="11"/>
  <c r="P197" i="11"/>
  <c r="P212" i="11"/>
  <c r="Q107" i="11"/>
  <c r="I21" i="27"/>
  <c r="I26" i="27" s="1"/>
  <c r="P107" i="11"/>
  <c r="H21" i="27"/>
  <c r="H26" i="27" s="1"/>
  <c r="Q197" i="11"/>
  <c r="Q116" i="11"/>
  <c r="AJ16" i="71" s="1"/>
  <c r="Q175" i="11"/>
  <c r="Q177" i="11"/>
  <c r="Q114" i="11"/>
  <c r="Q212" i="11"/>
  <c r="Q115" i="11"/>
  <c r="Q174" i="11"/>
  <c r="Q176" i="11"/>
  <c r="Q211" i="11"/>
  <c r="I20" i="27"/>
  <c r="R109" i="11"/>
  <c r="R252" i="111" s="1"/>
  <c r="R29" i="46"/>
  <c r="S31" i="76" l="1"/>
  <c r="Q31" i="76"/>
  <c r="R31" i="76"/>
  <c r="P31" i="76"/>
  <c r="R394" i="111"/>
  <c r="S394" i="111"/>
  <c r="K32" i="27"/>
  <c r="AL17" i="71"/>
  <c r="AL47" i="71" s="1"/>
  <c r="U34" i="71"/>
  <c r="U35" i="71"/>
  <c r="K97" i="27"/>
  <c r="T35" i="71"/>
  <c r="J32" i="27"/>
  <c r="AK17" i="71"/>
  <c r="AK47" i="71" s="1"/>
  <c r="T34" i="71"/>
  <c r="J97" i="27"/>
  <c r="I33" i="27"/>
  <c r="D14" i="71"/>
  <c r="S33" i="71"/>
  <c r="H33" i="27"/>
  <c r="C14" i="71"/>
  <c r="R33" i="71"/>
  <c r="J33" i="27"/>
  <c r="E14" i="71"/>
  <c r="T33" i="71"/>
  <c r="I32" i="27"/>
  <c r="AJ17" i="71"/>
  <c r="AJ47" i="71" s="1"/>
  <c r="S34" i="71"/>
  <c r="S35" i="71"/>
  <c r="H32" i="27"/>
  <c r="AI17" i="71"/>
  <c r="AI47" i="71" s="1"/>
  <c r="R34" i="71"/>
  <c r="R35" i="71"/>
  <c r="R393" i="111"/>
  <c r="Q392" i="111"/>
  <c r="Q303" i="111"/>
  <c r="Q393" i="111"/>
  <c r="P394" i="111"/>
  <c r="P303" i="111"/>
  <c r="P393" i="111"/>
  <c r="R392" i="111"/>
  <c r="P392" i="111"/>
  <c r="R303" i="111"/>
  <c r="Q394" i="111"/>
  <c r="Q76" i="46"/>
  <c r="P68" i="46"/>
  <c r="P76" i="46"/>
  <c r="R68" i="46"/>
  <c r="Q68" i="46"/>
  <c r="R76" i="46"/>
  <c r="Q37" i="46"/>
  <c r="P36" i="46"/>
  <c r="R36" i="46"/>
  <c r="R30" i="46"/>
  <c r="H97" i="27"/>
  <c r="Q36" i="46"/>
  <c r="P30" i="46"/>
  <c r="H111" i="27"/>
  <c r="H127" i="27"/>
  <c r="P37" i="46"/>
  <c r="Q30" i="46"/>
  <c r="R37" i="46"/>
  <c r="J127" i="27"/>
  <c r="J111" i="27"/>
  <c r="S37" i="46"/>
  <c r="I111" i="27"/>
  <c r="I127" i="27"/>
  <c r="I97" i="27"/>
  <c r="AK46" i="71" l="1"/>
  <c r="AH63" i="71"/>
  <c r="AH65" i="71" s="1"/>
  <c r="AK63" i="71"/>
  <c r="AK65" i="71" s="1"/>
  <c r="AJ46" i="71"/>
  <c r="AJ63" i="71"/>
  <c r="AJ65" i="71" s="1"/>
  <c r="AI46" i="71"/>
  <c r="AI63" i="71"/>
  <c r="AI65" i="71" s="1"/>
  <c r="AQ233" i="8"/>
  <c r="AQ235" i="8" l="1"/>
  <c r="AQ234" i="8"/>
  <c r="AQ236" i="8"/>
  <c r="AQ162" i="2"/>
  <c r="L19" i="27" l="1"/>
  <c r="L113" i="27"/>
  <c r="BM336" i="8" l="1"/>
  <c r="AI38" i="76" s="1"/>
  <c r="AR285" i="8" l="1"/>
  <c r="AR287" i="8" s="1"/>
  <c r="AS46" i="58"/>
  <c r="AS51" i="58" l="1"/>
  <c r="AS50" i="58" s="1"/>
  <c r="AR286" i="8"/>
  <c r="AR288" i="8"/>
  <c r="AR110" i="8" l="1"/>
  <c r="AR111" i="8" s="1"/>
  <c r="AR115" i="8"/>
  <c r="AR116" i="8" s="1"/>
  <c r="AR121" i="8"/>
  <c r="AR122" i="8" s="1"/>
  <c r="AR126" i="8"/>
  <c r="AR127" i="8" s="1"/>
  <c r="AR132" i="8"/>
  <c r="AR133" i="8" s="1"/>
  <c r="AR137" i="8"/>
  <c r="AR138" i="8" s="1"/>
  <c r="AR148" i="8"/>
  <c r="AR153" i="8"/>
  <c r="AR154" i="8" s="1"/>
  <c r="AR164" i="8"/>
  <c r="AR165" i="8" s="1"/>
  <c r="AR172" i="8"/>
  <c r="AR173" i="8" s="1"/>
  <c r="AR178" i="8"/>
  <c r="AR180" i="8" s="1"/>
  <c r="AR184" i="8"/>
  <c r="AR186" i="8" s="1"/>
  <c r="AR193" i="8"/>
  <c r="AR198" i="8"/>
  <c r="AR200" i="8" s="1"/>
  <c r="AR204" i="8"/>
  <c r="AR206" i="8" s="1"/>
  <c r="AR33" i="2"/>
  <c r="AR165" i="2"/>
  <c r="AR162" i="2" s="1"/>
  <c r="AR166" i="8" l="1"/>
  <c r="AR163" i="8" s="1"/>
  <c r="AR179" i="8"/>
  <c r="AR177" i="8" s="1"/>
  <c r="AR194" i="8"/>
  <c r="AR191" i="8" s="1"/>
  <c r="AR195" i="8" s="1"/>
  <c r="AR205" i="8"/>
  <c r="AR203" i="8" s="1"/>
  <c r="AR199" i="8"/>
  <c r="AR197" i="8" s="1"/>
  <c r="AR149" i="8"/>
  <c r="AR146" i="8" s="1"/>
  <c r="AR150" i="8" s="1"/>
  <c r="AR139" i="8"/>
  <c r="AR136" i="8" s="1"/>
  <c r="AR134" i="8"/>
  <c r="AR131" i="8" s="1"/>
  <c r="AR128" i="8"/>
  <c r="AR125" i="8" s="1"/>
  <c r="AR123" i="8"/>
  <c r="AR120" i="8" s="1"/>
  <c r="AR117" i="8"/>
  <c r="AR114" i="8" s="1"/>
  <c r="AR112" i="8"/>
  <c r="AR109" i="8" s="1"/>
  <c r="AR185" i="8"/>
  <c r="AR183" i="8" s="1"/>
  <c r="AR174" i="8"/>
  <c r="AR171" i="8" s="1"/>
  <c r="AR175" i="8" s="1"/>
  <c r="AR155" i="8"/>
  <c r="AR152" i="8" s="1"/>
  <c r="L9" i="27" l="1"/>
  <c r="L83" i="27" l="1"/>
  <c r="L46" i="27" l="1"/>
  <c r="L44" i="27"/>
  <c r="AS33" i="58" l="1"/>
  <c r="L75" i="27"/>
  <c r="L79" i="27"/>
  <c r="L80" i="27"/>
  <c r="AR6" i="2"/>
  <c r="AR8" i="2"/>
  <c r="AR11" i="2"/>
  <c r="AR15" i="2"/>
  <c r="AR16" i="2" s="1"/>
  <c r="AR264" i="8" s="1"/>
  <c r="AR38" i="2"/>
  <c r="AR39" i="2" s="1"/>
  <c r="AR41" i="2"/>
  <c r="AS44" i="2" s="1"/>
  <c r="AR42" i="2"/>
  <c r="AZ560" i="111" s="1"/>
  <c r="AR43" i="2"/>
  <c r="AR45" i="2"/>
  <c r="AR48" i="2"/>
  <c r="AR49" i="2"/>
  <c r="AR51" i="2" s="1"/>
  <c r="AR63" i="2"/>
  <c r="AR78" i="2" s="1"/>
  <c r="AR77" i="2" s="1"/>
  <c r="AR64" i="2"/>
  <c r="AR82" i="2" s="1"/>
  <c r="AR65" i="2"/>
  <c r="AR70" i="2" s="1"/>
  <c r="AR67" i="2"/>
  <c r="AS61" i="2" s="1"/>
  <c r="AS66" i="2" s="1"/>
  <c r="AR101" i="2"/>
  <c r="AR102" i="2"/>
  <c r="AR108" i="2"/>
  <c r="AS105" i="2" s="1"/>
  <c r="AR130" i="2"/>
  <c r="L70" i="27"/>
  <c r="AR20" i="2" l="1"/>
  <c r="AR21" i="2"/>
  <c r="AR73" i="2"/>
  <c r="AR318" i="112"/>
  <c r="AR319" i="112" s="1"/>
  <c r="AS51" i="2"/>
  <c r="AS53" i="2"/>
  <c r="AS45" i="2"/>
  <c r="AR112" i="2"/>
  <c r="AR329" i="8" s="1"/>
  <c r="AS111" i="2"/>
  <c r="AS106" i="2"/>
  <c r="AS107" i="2"/>
  <c r="AR71" i="2"/>
  <c r="AR72" i="2" s="1"/>
  <c r="AR322" i="8" s="1"/>
  <c r="AS71" i="2"/>
  <c r="AS72" i="2" s="1"/>
  <c r="AS322" i="8" s="1"/>
  <c r="AR115" i="2"/>
  <c r="AR119" i="2"/>
  <c r="AR120" i="2" s="1"/>
  <c r="AT46" i="58"/>
  <c r="AR7" i="2"/>
  <c r="AS34" i="58"/>
  <c r="AR22" i="4" s="1"/>
  <c r="AR239" i="8"/>
  <c r="AR50" i="2"/>
  <c r="AR233" i="8"/>
  <c r="AR229" i="8"/>
  <c r="AR245" i="8"/>
  <c r="AR66" i="2"/>
  <c r="AR53" i="2"/>
  <c r="AR54" i="2" s="1"/>
  <c r="AR132" i="2"/>
  <c r="L66" i="27"/>
  <c r="AR12" i="2"/>
  <c r="AR17" i="2"/>
  <c r="AR107" i="2"/>
  <c r="AR10" i="2"/>
  <c r="AR117" i="2"/>
  <c r="AR106" i="2"/>
  <c r="AR265" i="8"/>
  <c r="AR267" i="8"/>
  <c r="AR266" i="8"/>
  <c r="AR109" i="2"/>
  <c r="AR9" i="2"/>
  <c r="AR259" i="8" s="1"/>
  <c r="AR31" i="2"/>
  <c r="AR26" i="2"/>
  <c r="AS27" i="2" s="1"/>
  <c r="AT51" i="58" l="1"/>
  <c r="AS123" i="2"/>
  <c r="AS124" i="2" s="1"/>
  <c r="AS129" i="2" s="1"/>
  <c r="AZ542" i="111"/>
  <c r="AR325" i="8"/>
  <c r="AR324" i="8"/>
  <c r="AR323" i="8"/>
  <c r="AS325" i="8"/>
  <c r="AS324" i="8"/>
  <c r="AS323" i="8"/>
  <c r="AR123" i="2"/>
  <c r="AR124" i="2" s="1"/>
  <c r="AR129" i="2" s="1"/>
  <c r="AR121" i="2"/>
  <c r="AS52" i="2"/>
  <c r="AS280" i="8" s="1"/>
  <c r="AS54" i="2"/>
  <c r="AS55" i="2"/>
  <c r="AS290" i="8" s="1"/>
  <c r="AS112" i="2"/>
  <c r="AS329" i="8" s="1"/>
  <c r="AS115" i="2"/>
  <c r="AT47" i="58"/>
  <c r="AR251" i="8"/>
  <c r="AR23" i="4"/>
  <c r="L81" i="27"/>
  <c r="L74" i="27"/>
  <c r="AS36" i="58"/>
  <c r="AR52" i="2"/>
  <c r="AR280" i="8" s="1"/>
  <c r="AR282" i="8" s="1"/>
  <c r="AS47" i="58"/>
  <c r="AR55" i="2"/>
  <c r="AR290" i="8" s="1"/>
  <c r="AR235" i="8"/>
  <c r="AR234" i="8"/>
  <c r="AR236" i="8"/>
  <c r="AR260" i="8"/>
  <c r="AR262" i="8"/>
  <c r="AR261" i="8"/>
  <c r="AR254" i="8"/>
  <c r="AR246" i="8"/>
  <c r="AR248" i="8"/>
  <c r="AR247" i="8"/>
  <c r="AR28" i="2"/>
  <c r="AR27" i="2"/>
  <c r="AR240" i="8"/>
  <c r="AR242" i="8"/>
  <c r="AR241" i="8"/>
  <c r="AR32" i="2" a="1"/>
  <c r="AR32" i="2" s="1"/>
  <c r="L14" i="27"/>
  <c r="AT50" i="58" l="1"/>
  <c r="M29" i="11"/>
  <c r="AS128" i="2"/>
  <c r="AS227" i="8" s="1"/>
  <c r="AR128" i="2"/>
  <c r="AR227" i="8" s="1"/>
  <c r="AR305" i="112"/>
  <c r="AZ487" i="111"/>
  <c r="AS32" i="2" a="1"/>
  <c r="AS32" i="2" s="1"/>
  <c r="AS293" i="8"/>
  <c r="AS292" i="8"/>
  <c r="AS291" i="8"/>
  <c r="AS283" i="8"/>
  <c r="AS282" i="8"/>
  <c r="AS281" i="8"/>
  <c r="AR35" i="2"/>
  <c r="AR36" i="2" s="1"/>
  <c r="AR275" i="8" s="1"/>
  <c r="AR28" i="4"/>
  <c r="AR24" i="4"/>
  <c r="AR283" i="8"/>
  <c r="AR281" i="8"/>
  <c r="AR291" i="8"/>
  <c r="AR293" i="8"/>
  <c r="AR292" i="8"/>
  <c r="L62" i="27"/>
  <c r="AR255" i="8"/>
  <c r="AR257" i="8"/>
  <c r="AR256" i="8"/>
  <c r="AR34" i="2"/>
  <c r="AR270" i="8" s="1"/>
  <c r="AZ532" i="111" l="1"/>
  <c r="N29" i="11"/>
  <c r="AZ489" i="111"/>
  <c r="AZ490" i="111"/>
  <c r="AR59" i="112"/>
  <c r="AR124" i="112"/>
  <c r="AR159" i="8" s="1"/>
  <c r="AR160" i="8" s="1"/>
  <c r="AR293" i="112"/>
  <c r="AR306" i="112"/>
  <c r="AR208" i="112"/>
  <c r="T281" i="111"/>
  <c r="T284" i="111" s="1"/>
  <c r="AS34" i="2"/>
  <c r="AS270" i="8" s="1"/>
  <c r="AS35" i="2"/>
  <c r="T282" i="111" s="1"/>
  <c r="T285" i="111" s="1"/>
  <c r="AR278" i="8"/>
  <c r="AR276" i="8"/>
  <c r="AR277" i="8"/>
  <c r="AR273" i="8"/>
  <c r="AR271" i="8"/>
  <c r="AR272" i="8"/>
  <c r="L38" i="27"/>
  <c r="AZ533" i="111" l="1"/>
  <c r="AR290" i="112"/>
  <c r="AR294" i="112"/>
  <c r="AS271" i="8"/>
  <c r="AS273" i="8"/>
  <c r="AS272" i="8"/>
  <c r="AR161" i="8"/>
  <c r="AR158" i="8" s="1"/>
  <c r="AS36" i="2"/>
  <c r="AS275" i="8" s="1"/>
  <c r="AZ484" i="111" l="1"/>
  <c r="AR219" i="8"/>
  <c r="AR221" i="8" s="1"/>
  <c r="AR291" i="112"/>
  <c r="AR214" i="8" s="1"/>
  <c r="AR216" i="8" s="1"/>
  <c r="AS278" i="8"/>
  <c r="AS276" i="8"/>
  <c r="AS277" i="8"/>
  <c r="L11" i="27"/>
  <c r="AR217" i="8" l="1"/>
  <c r="AR222" i="8"/>
  <c r="AR220" i="8"/>
  <c r="AR215" i="8"/>
  <c r="AS204" i="8" l="1"/>
  <c r="AS206" i="8" l="1"/>
  <c r="AS205" i="8"/>
  <c r="AS198" i="8"/>
  <c r="AS203" i="8" l="1"/>
  <c r="AS200" i="8"/>
  <c r="AS199" i="8"/>
  <c r="U15" i="11"/>
  <c r="AJ15" i="11" s="1"/>
  <c r="U23" i="111" l="1"/>
  <c r="AS197" i="8"/>
  <c r="V15" i="11" l="1"/>
  <c r="V23" i="111" l="1"/>
  <c r="W15" i="11" l="1"/>
  <c r="W23" i="111" l="1"/>
  <c r="AK15" i="11" l="1"/>
  <c r="X23" i="111"/>
  <c r="U16" i="11" l="1"/>
  <c r="AJ16" i="11" s="1"/>
  <c r="U22" i="111" l="1"/>
  <c r="V16" i="11" l="1"/>
  <c r="V22" i="111" l="1"/>
  <c r="W16" i="11" l="1"/>
  <c r="W22" i="111" l="1"/>
  <c r="AK16" i="11" l="1"/>
  <c r="X22" i="111"/>
  <c r="U11" i="11" l="1"/>
  <c r="AJ11" i="11" s="1"/>
  <c r="U18" i="111" l="1"/>
  <c r="U7" i="11"/>
  <c r="AJ7" i="11" s="1"/>
  <c r="U19" i="11"/>
  <c r="AJ19" i="11" s="1"/>
  <c r="U9" i="111" l="1"/>
  <c r="U142" i="111"/>
  <c r="U102" i="111"/>
  <c r="U10" i="46"/>
  <c r="V11" i="11" l="1"/>
  <c r="V18" i="111" l="1"/>
  <c r="V19" i="11"/>
  <c r="V7" i="11"/>
  <c r="V9" i="111" l="1"/>
  <c r="V102" i="111"/>
  <c r="V142" i="111"/>
  <c r="V10" i="46"/>
  <c r="W11" i="11" l="1"/>
  <c r="X19" i="11" l="1"/>
  <c r="W18" i="111"/>
  <c r="W7" i="11"/>
  <c r="W19" i="11"/>
  <c r="W9" i="111" l="1"/>
  <c r="W102" i="111"/>
  <c r="W142" i="111"/>
  <c r="W10" i="46"/>
  <c r="U14" i="11" l="1"/>
  <c r="AJ14" i="11" s="1"/>
  <c r="U21" i="111" l="1"/>
  <c r="U13" i="11"/>
  <c r="W14" i="71" l="1"/>
  <c r="W17" i="71"/>
  <c r="AJ13" i="11"/>
  <c r="U13" i="111"/>
  <c r="W49" i="71" l="1"/>
  <c r="W52" i="71" s="1"/>
  <c r="V14" i="11"/>
  <c r="V21" i="111" l="1"/>
  <c r="V13" i="11"/>
  <c r="X14" i="71" l="1"/>
  <c r="X17" i="71"/>
  <c r="V13" i="111"/>
  <c r="X49" i="71" l="1"/>
  <c r="X52" i="71" s="1"/>
  <c r="W14" i="11"/>
  <c r="W21" i="111" l="1"/>
  <c r="W13" i="11"/>
  <c r="Y14" i="71" l="1"/>
  <c r="Y17" i="71"/>
  <c r="Z17" i="71"/>
  <c r="W13" i="111"/>
  <c r="Y49" i="71" l="1"/>
  <c r="Y52" i="71" l="1"/>
  <c r="Z49" i="71"/>
  <c r="AK14" i="11" l="1"/>
  <c r="X21" i="111"/>
  <c r="AK13" i="11" l="1"/>
  <c r="X13" i="111"/>
  <c r="U12" i="11" l="1"/>
  <c r="AJ12" i="11" s="1"/>
  <c r="U17" i="111" l="1"/>
  <c r="U20" i="11"/>
  <c r="AJ20" i="11" s="1"/>
  <c r="U8" i="11"/>
  <c r="AJ8" i="11" s="1"/>
  <c r="U8" i="111" l="1"/>
  <c r="U141" i="111"/>
  <c r="U101" i="111"/>
  <c r="U9" i="46"/>
  <c r="BB450" i="111" l="1"/>
  <c r="BC450" i="111"/>
  <c r="V12" i="11"/>
  <c r="L133" i="27"/>
  <c r="V17" i="111" l="1"/>
  <c r="L134" i="27"/>
  <c r="V20" i="11"/>
  <c r="L98" i="27"/>
  <c r="V8" i="11"/>
  <c r="V8" i="111" l="1"/>
  <c r="BD450" i="111"/>
  <c r="BE450" i="111"/>
  <c r="AT8" i="4"/>
  <c r="BB442" i="111"/>
  <c r="BB443" i="111" s="1"/>
  <c r="V141" i="111"/>
  <c r="V101" i="111"/>
  <c r="AU46" i="58"/>
  <c r="L73" i="27"/>
  <c r="L77" i="27" s="1"/>
  <c r="U10" i="11"/>
  <c r="AJ10" i="11" s="1"/>
  <c r="V9" i="46"/>
  <c r="AT30" i="4" l="1"/>
  <c r="AT66" i="112" s="1"/>
  <c r="AX70" i="112" s="1"/>
  <c r="U16" i="111"/>
  <c r="AU51" i="58"/>
  <c r="AU50" i="58" s="1"/>
  <c r="BC471" i="111"/>
  <c r="BC461" i="111"/>
  <c r="AW170" i="112"/>
  <c r="BB461" i="111"/>
  <c r="BC442" i="111"/>
  <c r="BC443" i="111" s="1"/>
  <c r="U6" i="11"/>
  <c r="AJ6" i="11" s="1"/>
  <c r="U18" i="11"/>
  <c r="AJ18" i="11" s="1"/>
  <c r="U9" i="11"/>
  <c r="W13" i="71" l="1"/>
  <c r="W16" i="71"/>
  <c r="AJ9" i="11"/>
  <c r="U7" i="111"/>
  <c r="AW171" i="112"/>
  <c r="AW194" i="8" s="1"/>
  <c r="BA171" i="112"/>
  <c r="BA195" i="112"/>
  <c r="BA198" i="112" s="1"/>
  <c r="BC462" i="111"/>
  <c r="BG450" i="111"/>
  <c r="BB462" i="111"/>
  <c r="BC472" i="111"/>
  <c r="U12" i="111"/>
  <c r="BE471" i="111"/>
  <c r="BF450" i="111"/>
  <c r="BB454" i="111"/>
  <c r="BD471" i="111"/>
  <c r="U871" i="111"/>
  <c r="U881" i="111" s="1"/>
  <c r="U886" i="111" s="1"/>
  <c r="U100" i="111"/>
  <c r="U140" i="111"/>
  <c r="U17" i="11"/>
  <c r="AJ17" i="11" s="1"/>
  <c r="U8" i="46"/>
  <c r="L39" i="27"/>
  <c r="L42" i="27" s="1"/>
  <c r="W12" i="11"/>
  <c r="U5" i="11"/>
  <c r="W12" i="71" l="1"/>
  <c r="W15" i="71"/>
  <c r="W48" i="71"/>
  <c r="W51" i="71" s="1"/>
  <c r="AJ5" i="11"/>
  <c r="X20" i="11"/>
  <c r="AW193" i="8"/>
  <c r="AW191" i="8" s="1"/>
  <c r="AW195" i="8" s="1"/>
  <c r="BA253" i="112"/>
  <c r="BA200" i="112"/>
  <c r="BA201" i="112" s="1"/>
  <c r="BA198" i="8" s="1"/>
  <c r="BA193" i="8"/>
  <c r="BA194" i="8"/>
  <c r="BD472" i="111"/>
  <c r="BE472" i="111"/>
  <c r="W17" i="111"/>
  <c r="BB438" i="111"/>
  <c r="BB439" i="111" s="1"/>
  <c r="BD461" i="111"/>
  <c r="BE442" i="111"/>
  <c r="BE443" i="111" s="1"/>
  <c r="BD442" i="111"/>
  <c r="BD443" i="111" s="1"/>
  <c r="BB448" i="111"/>
  <c r="BB456" i="111"/>
  <c r="M133" i="27"/>
  <c r="M134" i="27"/>
  <c r="W8" i="11"/>
  <c r="M98" i="27"/>
  <c r="U7" i="46"/>
  <c r="W20" i="11"/>
  <c r="W47" i="71" l="1"/>
  <c r="W50" i="71" s="1"/>
  <c r="BA191" i="8"/>
  <c r="BA195" i="8" s="1"/>
  <c r="BA200" i="8"/>
  <c r="BA199" i="8"/>
  <c r="BA254" i="112"/>
  <c r="BA257" i="112"/>
  <c r="BA258" i="112" s="1"/>
  <c r="BH450" i="111"/>
  <c r="BI450" i="111"/>
  <c r="BD462" i="111"/>
  <c r="W8" i="111"/>
  <c r="W101" i="111"/>
  <c r="W141" i="111"/>
  <c r="V10" i="11"/>
  <c r="W9" i="46"/>
  <c r="BA197" i="8" l="1"/>
  <c r="AY162" i="2"/>
  <c r="BF471" i="111"/>
  <c r="BF472" i="111" s="1"/>
  <c r="BG471" i="111"/>
  <c r="V16" i="111"/>
  <c r="BG461" i="111"/>
  <c r="AZ170" i="112"/>
  <c r="BD195" i="112" s="1"/>
  <c r="BF461" i="111"/>
  <c r="BG442" i="111"/>
  <c r="BG443" i="111" s="1"/>
  <c r="BF442" i="111"/>
  <c r="BF443" i="111" s="1"/>
  <c r="V6" i="11"/>
  <c r="V9" i="11"/>
  <c r="V18" i="11"/>
  <c r="X13" i="71" l="1"/>
  <c r="X16" i="71"/>
  <c r="BD198" i="112"/>
  <c r="BD200" i="112"/>
  <c r="BD201" i="112" s="1"/>
  <c r="BD198" i="8" s="1"/>
  <c r="AZ171" i="112"/>
  <c r="AZ193" i="8" s="1"/>
  <c r="BF462" i="111"/>
  <c r="BG462" i="111"/>
  <c r="BG472" i="111"/>
  <c r="V12" i="111"/>
  <c r="V7" i="111"/>
  <c r="V871" i="111"/>
  <c r="V881" i="111" s="1"/>
  <c r="V886" i="111" s="1"/>
  <c r="V140" i="111"/>
  <c r="V100" i="111"/>
  <c r="V5" i="11"/>
  <c r="V17" i="11"/>
  <c r="V8" i="46"/>
  <c r="X12" i="71" l="1"/>
  <c r="X15" i="71"/>
  <c r="X48" i="71"/>
  <c r="X51" i="71" s="1"/>
  <c r="BD200" i="8"/>
  <c r="BD199" i="8"/>
  <c r="BD170" i="112"/>
  <c r="AZ194" i="8"/>
  <c r="AZ191" i="8" s="1"/>
  <c r="AZ195" i="8" s="1"/>
  <c r="BH471" i="111"/>
  <c r="BI471" i="111"/>
  <c r="BI472" i="111" s="1"/>
  <c r="BH442" i="111"/>
  <c r="BH443" i="111" s="1"/>
  <c r="BI442" i="111"/>
  <c r="BI443" i="111" s="1"/>
  <c r="BK450" i="111"/>
  <c r="BJ450" i="111"/>
  <c r="N133" i="27"/>
  <c r="N134" i="27"/>
  <c r="N98" i="27"/>
  <c r="V7" i="46"/>
  <c r="X47" i="71" l="1"/>
  <c r="BH195" i="112"/>
  <c r="BH171" i="112"/>
  <c r="BD171" i="112"/>
  <c r="BD193" i="8" s="1"/>
  <c r="BD197" i="8"/>
  <c r="BH472" i="111"/>
  <c r="BL450" i="111"/>
  <c r="BC170" i="112"/>
  <c r="W10" i="11"/>
  <c r="X50" i="71" l="1"/>
  <c r="X18" i="11"/>
  <c r="BH194" i="8"/>
  <c r="BH193" i="8"/>
  <c r="BH191" i="8" s="1"/>
  <c r="BH195" i="8" s="1"/>
  <c r="BH198" i="112"/>
  <c r="BH200" i="112"/>
  <c r="BH201" i="112" s="1"/>
  <c r="BD194" i="8"/>
  <c r="BD191" i="8" s="1"/>
  <c r="BD195" i="8" s="1"/>
  <c r="BC171" i="112"/>
  <c r="BC194" i="8" s="1"/>
  <c r="BG195" i="112"/>
  <c r="BG171" i="112"/>
  <c r="W16" i="111"/>
  <c r="BM450" i="111"/>
  <c r="W6" i="11"/>
  <c r="W9" i="11"/>
  <c r="W18" i="11"/>
  <c r="Y13" i="71" l="1"/>
  <c r="Y16" i="71"/>
  <c r="Z16" i="71"/>
  <c r="X17" i="11"/>
  <c r="BC193" i="8"/>
  <c r="BC191" i="8" s="1"/>
  <c r="BC195" i="8" s="1"/>
  <c r="BG194" i="8"/>
  <c r="BG193" i="8"/>
  <c r="BG200" i="112"/>
  <c r="BG201" i="112" s="1"/>
  <c r="BG198" i="8" s="1"/>
  <c r="BG198" i="112"/>
  <c r="BK471" i="111"/>
  <c r="BK472" i="111" s="1"/>
  <c r="BJ471" i="111"/>
  <c r="BJ472" i="111" s="1"/>
  <c r="W7" i="111"/>
  <c r="W12" i="111"/>
  <c r="BJ442" i="111"/>
  <c r="BK442" i="111"/>
  <c r="BK443" i="111" s="1"/>
  <c r="W140" i="111"/>
  <c r="W100" i="111"/>
  <c r="BJ461" i="111"/>
  <c r="W17" i="11"/>
  <c r="W5" i="11"/>
  <c r="W8" i="46"/>
  <c r="Y12" i="71" l="1"/>
  <c r="Y15" i="71"/>
  <c r="Z15" i="71"/>
  <c r="Y48" i="71"/>
  <c r="BG200" i="8"/>
  <c r="BG199" i="8"/>
  <c r="BG197" i="8" s="1"/>
  <c r="BG191" i="8"/>
  <c r="BG195" i="8" s="1"/>
  <c r="BN450" i="111"/>
  <c r="BJ462" i="111"/>
  <c r="BL471" i="111"/>
  <c r="BL442" i="111"/>
  <c r="BJ443" i="111"/>
  <c r="W871" i="111"/>
  <c r="W881" i="111" s="1"/>
  <c r="W886" i="111" s="1"/>
  <c r="O133" i="27"/>
  <c r="O134" i="27"/>
  <c r="W7" i="46"/>
  <c r="O98" i="27"/>
  <c r="Y47" i="71" l="1"/>
  <c r="Y50" i="71" s="1"/>
  <c r="Z48" i="71"/>
  <c r="Y51" i="71"/>
  <c r="BP472" i="111"/>
  <c r="BL443" i="111"/>
  <c r="BP443" i="111"/>
  <c r="BL472" i="111"/>
  <c r="BM471" i="111"/>
  <c r="BM472" i="111" s="1"/>
  <c r="BO450" i="111"/>
  <c r="BM442" i="111"/>
  <c r="BM443" i="111" s="1"/>
  <c r="Z47" i="71" l="1"/>
  <c r="BQ450" i="111"/>
  <c r="BN471" i="111"/>
  <c r="BN442" i="111"/>
  <c r="BN443" i="111" s="1"/>
  <c r="BN472" i="111" l="1"/>
  <c r="BR472" i="111"/>
  <c r="BN461" i="111"/>
  <c r="BR462" i="111" s="1"/>
  <c r="BN462" i="111" l="1"/>
  <c r="BO471" i="111"/>
  <c r="BO442" i="111"/>
  <c r="BO443" i="111" s="1"/>
  <c r="BM205" i="8"/>
  <c r="BL205" i="8"/>
  <c r="BL191" i="8"/>
  <c r="BL196" i="112" s="1"/>
  <c r="BO472" i="111" l="1"/>
  <c r="BT450" i="111"/>
  <c r="BM191" i="8"/>
  <c r="BM196" i="112" s="1"/>
  <c r="BM204" i="8"/>
  <c r="BM206" i="8"/>
  <c r="BL195" i="8"/>
  <c r="BL204" i="8"/>
  <c r="BL206" i="8"/>
  <c r="BM195" i="8" l="1"/>
  <c r="BL203" i="8"/>
  <c r="BL175" i="112" s="1"/>
  <c r="BO205" i="8"/>
  <c r="BM203" i="8"/>
  <c r="BM175" i="112" s="1"/>
  <c r="BN191" i="8"/>
  <c r="BN205" i="8"/>
  <c r="BO191" i="8" l="1"/>
  <c r="BP205" i="8"/>
  <c r="BO206" i="8"/>
  <c r="BO204" i="8"/>
  <c r="BN195" i="8"/>
  <c r="BN204" i="8"/>
  <c r="BN206" i="8"/>
  <c r="BO195" i="8" l="1"/>
  <c r="BO203" i="8"/>
  <c r="BO175" i="112" s="1"/>
  <c r="BP191" i="8"/>
  <c r="BN203" i="8"/>
  <c r="BN175" i="112" s="1"/>
  <c r="BN174" i="112" s="1"/>
  <c r="BP204" i="8"/>
  <c r="BP206" i="8"/>
  <c r="BR174" i="112" l="1"/>
  <c r="BP195" i="8"/>
  <c r="BP203" i="8"/>
  <c r="BP175" i="112" s="1"/>
  <c r="BQ191" i="8"/>
  <c r="BQ205" i="8"/>
  <c r="BQ206" i="8" l="1"/>
  <c r="BQ204" i="8"/>
  <c r="BV174" i="112"/>
  <c r="BQ195" i="8"/>
  <c r="BZ174" i="112" l="1"/>
  <c r="BQ203" i="8"/>
  <c r="CD174" i="112" l="1"/>
  <c r="BQ175" i="112"/>
  <c r="CH174" i="112" l="1"/>
  <c r="CL174" i="112" s="1"/>
  <c r="CP174" i="112" l="1"/>
  <c r="CT174" i="112" l="1"/>
  <c r="AS245" i="8" l="1"/>
  <c r="AS248" i="8" l="1"/>
  <c r="AS246" i="8"/>
  <c r="AS247" i="8"/>
  <c r="AS164" i="8" l="1"/>
  <c r="AS166" i="8" l="1"/>
  <c r="AS165" i="8"/>
  <c r="AS163" i="8" l="1"/>
  <c r="AS233" i="8" l="1"/>
  <c r="AS236" i="8" l="1"/>
  <c r="AS235" i="8"/>
  <c r="AS234" i="8"/>
  <c r="T41" i="11" l="1"/>
  <c r="T64" i="111" l="1"/>
  <c r="T130" i="111"/>
  <c r="T19" i="46"/>
  <c r="T36" i="11"/>
  <c r="T12" i="76" s="1"/>
  <c r="T20" i="76" l="1"/>
  <c r="AM11" i="71"/>
  <c r="G9" i="71"/>
  <c r="V18" i="71"/>
  <c r="T64" i="11"/>
  <c r="T332" i="111"/>
  <c r="T333" i="111"/>
  <c r="U850" i="111"/>
  <c r="T846" i="111"/>
  <c r="T15" i="46"/>
  <c r="T20" i="46" s="1"/>
  <c r="T182" i="11"/>
  <c r="T184" i="11"/>
  <c r="T181" i="11"/>
  <c r="T61" i="11"/>
  <c r="T68" i="11"/>
  <c r="T193" i="11"/>
  <c r="T192" i="11"/>
  <c r="T207" i="11"/>
  <c r="T66" i="11"/>
  <c r="T107" i="11"/>
  <c r="T70" i="11"/>
  <c r="V32" i="71" s="1"/>
  <c r="T208" i="11"/>
  <c r="T37" i="11"/>
  <c r="V19" i="71" s="1"/>
  <c r="V53" i="71" l="1"/>
  <c r="G39" i="71"/>
  <c r="G11" i="71"/>
  <c r="G41" i="71" s="1"/>
  <c r="AM41" i="71"/>
  <c r="AJ57" i="71"/>
  <c r="AJ59" i="71" s="1"/>
  <c r="AM13" i="71"/>
  <c r="AM43" i="71" s="1"/>
  <c r="T34" i="46"/>
  <c r="T35" i="46"/>
  <c r="L137" i="27"/>
  <c r="T90" i="11"/>
  <c r="T62" i="11"/>
  <c r="T249" i="111" s="1"/>
  <c r="L13" i="27"/>
  <c r="AM14" i="71" l="1"/>
  <c r="AM44" i="71" s="1"/>
  <c r="W53" i="71"/>
  <c r="T91" i="11"/>
  <c r="T251" i="111" s="1"/>
  <c r="X53" i="71" l="1"/>
  <c r="L6" i="27"/>
  <c r="L135" i="27" l="1"/>
  <c r="AS184" i="8" l="1"/>
  <c r="AS185" i="8" l="1"/>
  <c r="AS186" i="8"/>
  <c r="AS183" i="8" l="1"/>
  <c r="L7" i="27" l="1"/>
  <c r="L8" i="27" s="1"/>
  <c r="L12" i="27" l="1"/>
  <c r="L15" i="27" s="1"/>
  <c r="L68" i="27"/>
  <c r="L45" i="27" l="1"/>
  <c r="AT34" i="58"/>
  <c r="AS22" i="4" s="1"/>
  <c r="L10" i="27"/>
  <c r="L67" i="27"/>
  <c r="L136" i="27"/>
  <c r="AS23" i="4" l="1"/>
  <c r="T71" i="11"/>
  <c r="AT36" i="58"/>
  <c r="L126" i="27"/>
  <c r="T72" i="11" l="1"/>
  <c r="AS24" i="4"/>
  <c r="AS305" i="112"/>
  <c r="BA487" i="111"/>
  <c r="AS28" i="4"/>
  <c r="V23" i="71" l="1"/>
  <c r="T63" i="76"/>
  <c r="T64" i="76"/>
  <c r="T62" i="76"/>
  <c r="T21" i="46"/>
  <c r="T25" i="46" s="1"/>
  <c r="T80" i="11"/>
  <c r="V27" i="71" s="1"/>
  <c r="BA532" i="111"/>
  <c r="AS59" i="112"/>
  <c r="AS124" i="112"/>
  <c r="AS208" i="112"/>
  <c r="AS293" i="112"/>
  <c r="AS306" i="112"/>
  <c r="BA489" i="111"/>
  <c r="BA488" i="111"/>
  <c r="BA490" i="111"/>
  <c r="AY488" i="111"/>
  <c r="AZ488" i="111"/>
  <c r="AX488" i="111"/>
  <c r="T71" i="76" l="1"/>
  <c r="T66" i="76"/>
  <c r="T250" i="111"/>
  <c r="AZ534" i="111"/>
  <c r="BA534" i="111"/>
  <c r="AX534" i="111"/>
  <c r="BA533" i="111"/>
  <c r="AY534" i="111"/>
  <c r="AS294" i="112"/>
  <c r="AS290" i="112"/>
  <c r="BA484" i="111" l="1"/>
  <c r="AS291" i="112"/>
  <c r="L64" i="27" l="1"/>
  <c r="L18" i="27"/>
  <c r="AS229" i="8" l="1"/>
  <c r="L20" i="27" l="1"/>
  <c r="L16" i="27"/>
  <c r="L69" i="27" s="1"/>
  <c r="L71" i="27" l="1"/>
  <c r="L21" i="27"/>
  <c r="L26" i="27" s="1"/>
  <c r="L127" i="27"/>
  <c r="L17" i="27"/>
  <c r="T117" i="11"/>
  <c r="AJ117" i="11" l="1"/>
  <c r="T118" i="11"/>
  <c r="V40" i="71" s="1"/>
  <c r="T302" i="111" l="1"/>
  <c r="L82" i="27"/>
  <c r="L84" i="27" s="1"/>
  <c r="L88" i="27" s="1"/>
  <c r="L111" i="27"/>
  <c r="L90" i="27" l="1"/>
  <c r="M89" i="27" s="1"/>
  <c r="L27" i="27"/>
  <c r="L129" i="27" l="1"/>
  <c r="L43" i="27" l="1"/>
  <c r="L47" i="27" l="1"/>
  <c r="L131" i="27"/>
  <c r="AS159" i="8" l="1"/>
  <c r="AS161" i="8" l="1"/>
  <c r="AS160" i="8"/>
  <c r="AS158" i="8" l="1"/>
  <c r="AS219" i="8"/>
  <c r="AS214" i="8"/>
  <c r="AS216" i="8" l="1"/>
  <c r="AS217" i="8"/>
  <c r="AS215" i="8"/>
  <c r="AS221" i="8"/>
  <c r="AS222" i="8"/>
  <c r="AS220" i="8"/>
  <c r="BB545" i="111" l="1"/>
  <c r="U137" i="11" l="1"/>
  <c r="M51" i="27" l="1"/>
  <c r="AZ16" i="4" l="1"/>
  <c r="AZ15" i="4" l="1"/>
  <c r="V899" i="111"/>
  <c r="V897" i="111"/>
  <c r="V898" i="111"/>
  <c r="V137" i="11" l="1"/>
  <c r="N51" i="27" l="1"/>
  <c r="W137" i="11" l="1"/>
  <c r="O51" i="27" l="1"/>
  <c r="AS57" i="2" l="1"/>
  <c r="AS151" i="2"/>
  <c r="BH494" i="111" l="1"/>
  <c r="U126" i="11" l="1"/>
  <c r="V126" i="11"/>
  <c r="W126" i="11"/>
  <c r="AY57" i="2" l="1"/>
  <c r="M76" i="27" l="1"/>
  <c r="BB481" i="111" l="1"/>
  <c r="BB563" i="111"/>
  <c r="BB493" i="111" l="1"/>
  <c r="BB495" i="111"/>
  <c r="BB494" i="111"/>
  <c r="AT10" i="4" l="1"/>
  <c r="BB499" i="111"/>
  <c r="BB500" i="111"/>
  <c r="BB498" i="111"/>
  <c r="AT11" i="4" l="1"/>
  <c r="AT13" i="4" s="1"/>
  <c r="AT20" i="4"/>
  <c r="AT12" i="4"/>
  <c r="AT18" i="4"/>
  <c r="BB505" i="111"/>
  <c r="BB503" i="111"/>
  <c r="BB504" i="111"/>
  <c r="BB477" i="111" l="1"/>
  <c r="BB478" i="111" s="1"/>
  <c r="AX13" i="4"/>
  <c r="AT49" i="4"/>
  <c r="AU33" i="58"/>
  <c r="AT19" i="4"/>
  <c r="AT34" i="4"/>
  <c r="AT51" i="4"/>
  <c r="AT21" i="4"/>
  <c r="BB537" i="111"/>
  <c r="BB491" i="111"/>
  <c r="AX35" i="4" l="1"/>
  <c r="AT62" i="2"/>
  <c r="AT71" i="2" s="1"/>
  <c r="AT105" i="4"/>
  <c r="AU34" i="58"/>
  <c r="AU36" i="58" s="1"/>
  <c r="AT55" i="4"/>
  <c r="AT62" i="4"/>
  <c r="AT35" i="4"/>
  <c r="AT44" i="4"/>
  <c r="AT36" i="4"/>
  <c r="AT53" i="4"/>
  <c r="BB538" i="111"/>
  <c r="AT317" i="112" l="1"/>
  <c r="AT109" i="4"/>
  <c r="U151" i="11"/>
  <c r="M61" i="27"/>
  <c r="AX56" i="4"/>
  <c r="AT54" i="4"/>
  <c r="AT57" i="4"/>
  <c r="AT22" i="4"/>
  <c r="AT46" i="4"/>
  <c r="AT312" i="112"/>
  <c r="AT313" i="112" s="1"/>
  <c r="AT229" i="8" s="1"/>
  <c r="AT61" i="4"/>
  <c r="AT56" i="4"/>
  <c r="BB539" i="111"/>
  <c r="AT23" i="4" l="1"/>
  <c r="AT116" i="4"/>
  <c r="U154" i="11"/>
  <c r="BB548" i="111"/>
  <c r="BB487" i="111" l="1"/>
  <c r="AT305" i="112"/>
  <c r="AT134" i="4"/>
  <c r="AT139" i="4" s="1"/>
  <c r="AT140" i="4" s="1"/>
  <c r="AT28" i="4"/>
  <c r="AT24" i="4"/>
  <c r="U27" i="76"/>
  <c r="AT306" i="112" l="1"/>
  <c r="BB532" i="111"/>
  <c r="BB533" i="111" s="1"/>
  <c r="BB489" i="111"/>
  <c r="AT124" i="112"/>
  <c r="AT159" i="8" s="1"/>
  <c r="AT161" i="8" s="1"/>
  <c r="AT208" i="112"/>
  <c r="AT293" i="112"/>
  <c r="AT294" i="112" s="1"/>
  <c r="AT219" i="8" s="1"/>
  <c r="AT222" i="8" s="1"/>
  <c r="AT59" i="112"/>
  <c r="BB554" i="111"/>
  <c r="BB484" i="111" l="1"/>
  <c r="AT160" i="8"/>
  <c r="AT158" i="8" s="1"/>
  <c r="AT290" i="112"/>
  <c r="AT221" i="8"/>
  <c r="AT220" i="8"/>
  <c r="BB551" i="111"/>
  <c r="BB557" i="111"/>
  <c r="AT291" i="112" l="1"/>
  <c r="AT214" i="8" s="1"/>
  <c r="AT216" i="8" s="1"/>
  <c r="AT215" i="8" l="1"/>
  <c r="AT217" i="8"/>
  <c r="AT38" i="2"/>
  <c r="AT39" i="2" s="1"/>
  <c r="AT42" i="2"/>
  <c r="BB560" i="111" s="1"/>
  <c r="AT43" i="2"/>
  <c r="AT49" i="2"/>
  <c r="AT50" i="2" s="1"/>
  <c r="AT63" i="2"/>
  <c r="AT78" i="2" s="1"/>
  <c r="AT77" i="2" s="1"/>
  <c r="AT64" i="2"/>
  <c r="AT82" i="2" s="1"/>
  <c r="AT65" i="2"/>
  <c r="AT102" i="2"/>
  <c r="AT101" i="2"/>
  <c r="AT72" i="4"/>
  <c r="AT31" i="2" l="1"/>
  <c r="AT32" i="2" s="1" a="1"/>
  <c r="AT32" i="2" s="1"/>
  <c r="AT51" i="2"/>
  <c r="AT53" i="2"/>
  <c r="AT52" i="2" s="1"/>
  <c r="AT280" i="8" s="1"/>
  <c r="AT70" i="2"/>
  <c r="O29" i="11" l="1"/>
  <c r="AT283" i="8"/>
  <c r="AT282" i="8"/>
  <c r="AT281" i="8"/>
  <c r="AU47" i="58"/>
  <c r="AT54" i="2"/>
  <c r="AT55" i="2"/>
  <c r="AT290" i="8" s="1"/>
  <c r="AT34" i="2"/>
  <c r="AT270" i="8" s="1"/>
  <c r="AT35" i="2"/>
  <c r="AT73" i="2"/>
  <c r="AT72" i="2"/>
  <c r="AT322" i="8" s="1"/>
  <c r="AT318" i="112"/>
  <c r="AT293" i="8" l="1"/>
  <c r="AT291" i="8"/>
  <c r="AT292" i="8"/>
  <c r="AT273" i="8"/>
  <c r="AT271" i="8"/>
  <c r="AT272" i="8"/>
  <c r="AT325" i="8"/>
  <c r="AT323" i="8"/>
  <c r="AT324" i="8"/>
  <c r="AT319" i="112"/>
  <c r="AT36" i="2"/>
  <c r="AT275" i="8" s="1"/>
  <c r="AT278" i="8" l="1"/>
  <c r="AT276" i="8"/>
  <c r="AT277" i="8"/>
  <c r="AT41" i="2" l="1"/>
  <c r="AU44" i="2" s="1"/>
  <c r="AT48" i="2"/>
  <c r="AT78" i="4"/>
  <c r="AT79" i="4" l="1"/>
  <c r="AV46" i="58"/>
  <c r="AV51" i="58" l="1"/>
  <c r="AV50" i="58" s="1"/>
  <c r="AT108" i="2"/>
  <c r="AT107" i="2" l="1"/>
  <c r="AU105" i="2"/>
  <c r="AT106" i="2"/>
  <c r="AT115" i="2" l="1"/>
  <c r="AU111" i="2"/>
  <c r="AT119" i="2"/>
  <c r="AT120" i="2" s="1"/>
  <c r="AT117" i="2"/>
  <c r="AT109" i="2"/>
  <c r="AT112" i="2"/>
  <c r="AT329" i="8" s="1"/>
  <c r="BB542" i="111" l="1"/>
  <c r="AT121" i="2"/>
  <c r="AT123" i="2"/>
  <c r="AT124" i="2" s="1"/>
  <c r="AT129" i="2" s="1"/>
  <c r="AT128" i="2" l="1"/>
  <c r="AT227" i="8" s="1"/>
  <c r="AT99" i="4" l="1"/>
  <c r="AT67" i="2" l="1"/>
  <c r="AU61" i="2" s="1"/>
  <c r="AT100" i="4"/>
  <c r="AT66" i="2"/>
  <c r="AU76" i="2" l="1"/>
  <c r="BC459" i="111" l="1"/>
  <c r="BC460" i="111" l="1"/>
  <c r="AU162" i="2"/>
  <c r="AU29" i="112" l="1"/>
  <c r="AY30" i="112" s="1"/>
  <c r="AY164" i="8" s="1"/>
  <c r="AU33" i="112"/>
  <c r="AY34" i="112" s="1"/>
  <c r="AU41" i="112"/>
  <c r="AU30" i="112" l="1"/>
  <c r="AU164" i="8" s="1"/>
  <c r="AU165" i="8" s="1"/>
  <c r="AY166" i="8"/>
  <c r="AY165" i="8"/>
  <c r="AU250" i="112"/>
  <c r="AY251" i="112" s="1"/>
  <c r="AY42" i="112"/>
  <c r="AU25" i="112"/>
  <c r="AU34" i="112"/>
  <c r="AU49" i="112"/>
  <c r="AU50" i="112" s="1"/>
  <c r="AU153" i="8" s="1"/>
  <c r="U870" i="111"/>
  <c r="U880" i="111" s="1"/>
  <c r="U885" i="111" s="1"/>
  <c r="AU42" i="112"/>
  <c r="AY163" i="8" l="1"/>
  <c r="AU166" i="8"/>
  <c r="AU163" i="8"/>
  <c r="AU257" i="112"/>
  <c r="AU258" i="112" s="1"/>
  <c r="AU251" i="112"/>
  <c r="AU270" i="112" s="1"/>
  <c r="AU271" i="112" s="1"/>
  <c r="AU266" i="112"/>
  <c r="AU265" i="112"/>
  <c r="AY27" i="112"/>
  <c r="AY26" i="112"/>
  <c r="AY44" i="112"/>
  <c r="BC46" i="112" s="1"/>
  <c r="BC469" i="111"/>
  <c r="BC470" i="111" s="1"/>
  <c r="AU27" i="112"/>
  <c r="AU26" i="112"/>
  <c r="BC440" i="111"/>
  <c r="AU155" i="8"/>
  <c r="AU154" i="8"/>
  <c r="AU152" i="8" s="1"/>
  <c r="BD459" i="111"/>
  <c r="AY46" i="112" l="1"/>
  <c r="AY49" i="112"/>
  <c r="AY50" i="112" s="1"/>
  <c r="AY153" i="8" s="1"/>
  <c r="AY253" i="112"/>
  <c r="BC254" i="112" s="1"/>
  <c r="AY149" i="8"/>
  <c r="AY148" i="8"/>
  <c r="AY146" i="8" s="1"/>
  <c r="AY150" i="8" s="1"/>
  <c r="AU148" i="8"/>
  <c r="AU149" i="8"/>
  <c r="BC441" i="111"/>
  <c r="BD460" i="111"/>
  <c r="AY257" i="112" l="1"/>
  <c r="AY258" i="112" s="1"/>
  <c r="AY254" i="112"/>
  <c r="AY155" i="8"/>
  <c r="AY154" i="8"/>
  <c r="AY152" i="8" s="1"/>
  <c r="AU146" i="8"/>
  <c r="AU150" i="8" s="1"/>
  <c r="BE459" i="111"/>
  <c r="U38" i="11"/>
  <c r="W20" i="71" s="1"/>
  <c r="AJ38" i="11" l="1"/>
  <c r="BH493" i="111"/>
  <c r="BI459" i="111"/>
  <c r="BE460" i="111"/>
  <c r="U127" i="111"/>
  <c r="U61" i="111"/>
  <c r="U67" i="111" s="1"/>
  <c r="U16" i="46"/>
  <c r="U12" i="46" l="1"/>
  <c r="BI460" i="111"/>
  <c r="BE560" i="111"/>
  <c r="BG449" i="111" l="1"/>
  <c r="BG469" i="111" l="1"/>
  <c r="BG440" i="111"/>
  <c r="BG459" i="111"/>
  <c r="BG460" i="111" l="1"/>
  <c r="BG441" i="111"/>
  <c r="BG470" i="111"/>
  <c r="BW113" i="112" l="1"/>
  <c r="BS113" i="112"/>
  <c r="BC477" i="111" l="1"/>
  <c r="BC491" i="111"/>
  <c r="BC493" i="111"/>
  <c r="BC494" i="111"/>
  <c r="BC495" i="111"/>
  <c r="BC500" i="111" s="1"/>
  <c r="BC537" i="111"/>
  <c r="BC545" i="111"/>
  <c r="BC548" i="111"/>
  <c r="BC551" i="111"/>
  <c r="BC554" i="111"/>
  <c r="AV33" i="58"/>
  <c r="BC498" i="111" l="1"/>
  <c r="BC503" i="111" s="1"/>
  <c r="BC499" i="111"/>
  <c r="AV34" i="58"/>
  <c r="AU22" i="4" s="1"/>
  <c r="BC478" i="111"/>
  <c r="BC505" i="111"/>
  <c r="AU45" i="2"/>
  <c r="AU71" i="2"/>
  <c r="AU130" i="2"/>
  <c r="BC557" i="111"/>
  <c r="AU58" i="112"/>
  <c r="AU232" i="8" s="1"/>
  <c r="AU123" i="112"/>
  <c r="AU238" i="8" s="1"/>
  <c r="AU207" i="112"/>
  <c r="AU245" i="112"/>
  <c r="AU311" i="112"/>
  <c r="AU312" i="112"/>
  <c r="AU23" i="4" l="1"/>
  <c r="AU305" i="112" s="1"/>
  <c r="AU209" i="112"/>
  <c r="AU245" i="8" s="1"/>
  <c r="AU248" i="8" s="1"/>
  <c r="AU244" i="8"/>
  <c r="AU125" i="112"/>
  <c r="AU239" i="8" s="1"/>
  <c r="AU60" i="112"/>
  <c r="AU61" i="112" s="1"/>
  <c r="BC504" i="111"/>
  <c r="AU296" i="112"/>
  <c r="AU302" i="112" s="1"/>
  <c r="AU313" i="112"/>
  <c r="AU229" i="8" s="1"/>
  <c r="AU288" i="112"/>
  <c r="AU300" i="112"/>
  <c r="AU224" i="8" s="1"/>
  <c r="AU238" i="112"/>
  <c r="AY255" i="112" s="1"/>
  <c r="BC454" i="111"/>
  <c r="AU246" i="112"/>
  <c r="AU309" i="112"/>
  <c r="AU247" i="112"/>
  <c r="AU241" i="112"/>
  <c r="AU267" i="112"/>
  <c r="AU284" i="112"/>
  <c r="AU132" i="2"/>
  <c r="BC487" i="111" l="1"/>
  <c r="AU124" i="112"/>
  <c r="AU159" i="8" s="1"/>
  <c r="AU160" i="8" s="1"/>
  <c r="AU24" i="4"/>
  <c r="AU28" i="4"/>
  <c r="AU210" i="112"/>
  <c r="AU246" i="8"/>
  <c r="AU247" i="8"/>
  <c r="AU126" i="112"/>
  <c r="AU233" i="8"/>
  <c r="AU234" i="8" s="1"/>
  <c r="AU285" i="112"/>
  <c r="AU209" i="8" s="1"/>
  <c r="AU297" i="112"/>
  <c r="BC563" i="111"/>
  <c r="AU251" i="8"/>
  <c r="BC481" i="111"/>
  <c r="AU241" i="8"/>
  <c r="AU240" i="8"/>
  <c r="AU242" i="8"/>
  <c r="AU59" i="112"/>
  <c r="AU208" i="112"/>
  <c r="AU306" i="112"/>
  <c r="BC448" i="111"/>
  <c r="AU293" i="112"/>
  <c r="AU303" i="112"/>
  <c r="BC465" i="111"/>
  <c r="AU242" i="112"/>
  <c r="BC538" i="111"/>
  <c r="BC456" i="111"/>
  <c r="BC438" i="111"/>
  <c r="AU239" i="112"/>
  <c r="BC489" i="111" l="1"/>
  <c r="BC532" i="111"/>
  <c r="AU161" i="8"/>
  <c r="AU236" i="8"/>
  <c r="AU235" i="8"/>
  <c r="AU158" i="8"/>
  <c r="AU211" i="8"/>
  <c r="AU210" i="8"/>
  <c r="AU212" i="8"/>
  <c r="BC539" i="111"/>
  <c r="BC439" i="111"/>
  <c r="AU294" i="112"/>
  <c r="AU219" i="8" s="1"/>
  <c r="AU290" i="112"/>
  <c r="BC533" i="111"/>
  <c r="AU220" i="8" l="1"/>
  <c r="AU221" i="8"/>
  <c r="AU222" i="8"/>
  <c r="BC484" i="111"/>
  <c r="AU291" i="112"/>
  <c r="AU214" i="8" s="1"/>
  <c r="AU215" i="8" l="1"/>
  <c r="AU216" i="8"/>
  <c r="AU217" i="8"/>
  <c r="AU6" i="2" l="1"/>
  <c r="AU7" i="2" s="1"/>
  <c r="AU8" i="2"/>
  <c r="AU11" i="2"/>
  <c r="AU12" i="2" s="1"/>
  <c r="AU15" i="2"/>
  <c r="AU16" i="2" s="1"/>
  <c r="AU264" i="8" s="1"/>
  <c r="AU41" i="2"/>
  <c r="AV44" i="2" s="1"/>
  <c r="AW46" i="58" s="1"/>
  <c r="AU48" i="2"/>
  <c r="AU101" i="2"/>
  <c r="AU108" i="2"/>
  <c r="AV111" i="2"/>
  <c r="AU20" i="2" l="1"/>
  <c r="AU21" i="2"/>
  <c r="AW51" i="58"/>
  <c r="AW50" i="58" s="1"/>
  <c r="AU107" i="2"/>
  <c r="AV105" i="2"/>
  <c r="AU267" i="8"/>
  <c r="AU265" i="8"/>
  <c r="AU266" i="8"/>
  <c r="AU26" i="2"/>
  <c r="AU28" i="2" s="1"/>
  <c r="AU106" i="2"/>
  <c r="AU254" i="8"/>
  <c r="AU117" i="2"/>
  <c r="AU109" i="2"/>
  <c r="AU17" i="2"/>
  <c r="AU9" i="2"/>
  <c r="AU259" i="8" s="1"/>
  <c r="AU112" i="2"/>
  <c r="AU329" i="8" s="1"/>
  <c r="AU119" i="2"/>
  <c r="AU120" i="2" s="1"/>
  <c r="AU115" i="2"/>
  <c r="AU10" i="2"/>
  <c r="AU262" i="8" l="1"/>
  <c r="AU260" i="8"/>
  <c r="AU261" i="8"/>
  <c r="AU257" i="8"/>
  <c r="AU255" i="8"/>
  <c r="AU256" i="8"/>
  <c r="AU27" i="2"/>
  <c r="BC542" i="111"/>
  <c r="AU123" i="2"/>
  <c r="AU124" i="2" s="1"/>
  <c r="AU121" i="2"/>
  <c r="AU129" i="2" l="1"/>
  <c r="AU128" i="2"/>
  <c r="AU227" i="8" s="1"/>
  <c r="AU67" i="2" l="1"/>
  <c r="AV61" i="2" s="1"/>
  <c r="AU38" i="2" l="1"/>
  <c r="AU39" i="2" s="1"/>
  <c r="AU42" i="2"/>
  <c r="BC560" i="111" s="1"/>
  <c r="AU43" i="2"/>
  <c r="AU49" i="2"/>
  <c r="AU50" i="2" s="1"/>
  <c r="AU63" i="2"/>
  <c r="AU78" i="2" s="1"/>
  <c r="AU77" i="2" s="1"/>
  <c r="AU64" i="2"/>
  <c r="AU65" i="2"/>
  <c r="AU70" i="2" s="1"/>
  <c r="AU102" i="2"/>
  <c r="AU53" i="2" l="1"/>
  <c r="AV47" i="58" s="1"/>
  <c r="AU66" i="2"/>
  <c r="AU82" i="2"/>
  <c r="AU31" i="2"/>
  <c r="AU73" i="2"/>
  <c r="AU318" i="112"/>
  <c r="AU72" i="2"/>
  <c r="AU322" i="8" s="1"/>
  <c r="AU51" i="2"/>
  <c r="AU55" i="2" l="1"/>
  <c r="AU290" i="8" s="1"/>
  <c r="AU293" i="8" s="1"/>
  <c r="AU54" i="2"/>
  <c r="AU52" i="2"/>
  <c r="AU280" i="8" s="1"/>
  <c r="AU283" i="8" s="1"/>
  <c r="AU32" i="2" a="1"/>
  <c r="AU32" i="2" s="1"/>
  <c r="AU34" i="2" s="1"/>
  <c r="AU270" i="8" s="1"/>
  <c r="AU325" i="8"/>
  <c r="AU323" i="8"/>
  <c r="AU324" i="8"/>
  <c r="AU319" i="112"/>
  <c r="AU291" i="8" l="1"/>
  <c r="AU292" i="8"/>
  <c r="AU281" i="8"/>
  <c r="AU282" i="8"/>
  <c r="AU271" i="8"/>
  <c r="AU273" i="8"/>
  <c r="AU272" i="8"/>
  <c r="P29" i="11"/>
  <c r="AU35" i="2"/>
  <c r="AU36" i="2" s="1"/>
  <c r="AU275" i="8" s="1"/>
  <c r="AU278" i="8" l="1"/>
  <c r="AU276" i="8"/>
  <c r="AU277" i="8"/>
  <c r="AV76" i="2" l="1"/>
  <c r="BD463" i="111" l="1"/>
  <c r="BD464" i="111" s="1"/>
  <c r="U39" i="11"/>
  <c r="W21" i="71" s="1"/>
  <c r="AJ39" i="11" l="1"/>
  <c r="U62" i="111"/>
  <c r="U68" i="111" s="1"/>
  <c r="U129" i="111"/>
  <c r="AV162" i="2"/>
  <c r="AV92" i="112"/>
  <c r="AZ111" i="112" s="1"/>
  <c r="AV98" i="112"/>
  <c r="AV99" i="112" s="1"/>
  <c r="AV184" i="8" s="1"/>
  <c r="U17" i="46"/>
  <c r="AV93" i="112" l="1"/>
  <c r="AZ116" i="112"/>
  <c r="AZ117" i="112" s="1"/>
  <c r="AZ178" i="8" s="1"/>
  <c r="AZ253" i="112"/>
  <c r="AZ114" i="112"/>
  <c r="AV94" i="112"/>
  <c r="AV95" i="112" s="1"/>
  <c r="AV167" i="8"/>
  <c r="V872" i="111"/>
  <c r="V882" i="111" s="1"/>
  <c r="V887" i="111" s="1"/>
  <c r="AV186" i="8"/>
  <c r="AV185" i="8"/>
  <c r="U14" i="46"/>
  <c r="BD444" i="111"/>
  <c r="BD473" i="111"/>
  <c r="AV183" i="8" l="1"/>
  <c r="AV173" i="8"/>
  <c r="AZ180" i="8"/>
  <c r="AZ179" i="8"/>
  <c r="AZ254" i="112"/>
  <c r="BD474" i="111"/>
  <c r="BD445" i="111"/>
  <c r="AV174" i="8" l="1"/>
  <c r="AZ177" i="8"/>
  <c r="AV171" i="8"/>
  <c r="AV175" i="8" s="1"/>
  <c r="BH495" i="111" l="1"/>
  <c r="BD477" i="111" l="1"/>
  <c r="BD478" i="111" s="1"/>
  <c r="BD491" i="111"/>
  <c r="BD493" i="111"/>
  <c r="BD494" i="111"/>
  <c r="BD499" i="111" s="1"/>
  <c r="BD495" i="111"/>
  <c r="BD537" i="111"/>
  <c r="BD545" i="111"/>
  <c r="BD548" i="111"/>
  <c r="BD551" i="111"/>
  <c r="BD554" i="111"/>
  <c r="AW33" i="58"/>
  <c r="BD498" i="111" l="1"/>
  <c r="BD500" i="111"/>
  <c r="AW34" i="58"/>
  <c r="AV22" i="4" s="1"/>
  <c r="BD504" i="111"/>
  <c r="AV45" i="2"/>
  <c r="AV71" i="2"/>
  <c r="AV130" i="2"/>
  <c r="AV132" i="2" s="1"/>
  <c r="BD557" i="111"/>
  <c r="AV58" i="112"/>
  <c r="AV232" i="8" s="1"/>
  <c r="AV123" i="112"/>
  <c r="AV238" i="8" s="1"/>
  <c r="AV207" i="112"/>
  <c r="AV245" i="112"/>
  <c r="AV246" i="112" s="1"/>
  <c r="AV311" i="112"/>
  <c r="AV312" i="112"/>
  <c r="AV23" i="4" l="1"/>
  <c r="AV28" i="4" s="1"/>
  <c r="AV209" i="112"/>
  <c r="AV245" i="8" s="1"/>
  <c r="AV247" i="8" s="1"/>
  <c r="AV244" i="8"/>
  <c r="BD503" i="111"/>
  <c r="AZ246" i="112"/>
  <c r="AV313" i="112"/>
  <c r="AV229" i="8" s="1"/>
  <c r="BD505" i="111"/>
  <c r="AV296" i="112"/>
  <c r="AV125" i="112"/>
  <c r="AV288" i="112"/>
  <c r="AV284" i="112"/>
  <c r="AV267" i="112"/>
  <c r="AV309" i="112"/>
  <c r="AV241" i="112"/>
  <c r="AV300" i="112"/>
  <c r="AV224" i="8" s="1"/>
  <c r="AV247" i="112"/>
  <c r="AV60" i="112"/>
  <c r="BD454" i="111"/>
  <c r="AV238" i="112"/>
  <c r="AV305" i="112" l="1"/>
  <c r="AV59" i="112" s="1"/>
  <c r="AV24" i="4"/>
  <c r="BD487" i="111"/>
  <c r="AZ210" i="112"/>
  <c r="AV210" i="112"/>
  <c r="AV246" i="8"/>
  <c r="AV233" i="8"/>
  <c r="AV234" i="8" s="1"/>
  <c r="AZ61" i="112"/>
  <c r="AZ239" i="112"/>
  <c r="AZ255" i="112"/>
  <c r="AV248" i="8"/>
  <c r="AV242" i="112"/>
  <c r="AZ242" i="112"/>
  <c r="AV126" i="112"/>
  <c r="AZ126" i="112"/>
  <c r="AV285" i="112"/>
  <c r="AV209" i="8" s="1"/>
  <c r="AV239" i="8"/>
  <c r="AV240" i="8" s="1"/>
  <c r="BD481" i="111"/>
  <c r="BD563" i="111"/>
  <c r="BD465" i="111"/>
  <c r="AV302" i="112"/>
  <c r="AV297" i="112"/>
  <c r="BD448" i="111"/>
  <c r="AV251" i="8"/>
  <c r="BD489" i="111"/>
  <c r="BD438" i="111"/>
  <c r="AV239" i="112"/>
  <c r="AV61" i="112"/>
  <c r="BD532" i="111"/>
  <c r="BD538" i="111"/>
  <c r="BD456" i="111"/>
  <c r="AV306" i="112" l="1"/>
  <c r="AV124" i="112"/>
  <c r="AV159" i="8" s="1"/>
  <c r="AV208" i="112"/>
  <c r="AV235" i="8"/>
  <c r="AV236" i="8"/>
  <c r="AV211" i="8"/>
  <c r="AV210" i="8"/>
  <c r="AV212" i="8"/>
  <c r="AV241" i="8"/>
  <c r="AV242" i="8"/>
  <c r="AV303" i="112"/>
  <c r="AV293" i="112"/>
  <c r="BD539" i="111"/>
  <c r="BD533" i="111"/>
  <c r="BD439" i="111"/>
  <c r="AV161" i="8" l="1"/>
  <c r="AV160" i="8"/>
  <c r="AV158" i="8" s="1"/>
  <c r="AV290" i="112"/>
  <c r="AV294" i="112"/>
  <c r="AV219" i="8" l="1"/>
  <c r="BD484" i="111"/>
  <c r="AV291" i="112"/>
  <c r="AV214" i="8" s="1"/>
  <c r="AV215" i="8" l="1"/>
  <c r="AV217" i="8"/>
  <c r="AV216" i="8"/>
  <c r="AV220" i="8"/>
  <c r="AV222" i="8"/>
  <c r="AV221" i="8"/>
  <c r="AV6" i="2" l="1"/>
  <c r="AV7" i="2" s="1"/>
  <c r="AV8" i="2"/>
  <c r="AV10" i="2" s="1"/>
  <c r="AV11" i="2"/>
  <c r="AV12" i="2" s="1"/>
  <c r="AV15" i="2"/>
  <c r="AV41" i="2"/>
  <c r="AW44" i="2" s="1"/>
  <c r="AX46" i="58" s="1"/>
  <c r="AV48" i="2"/>
  <c r="AV67" i="2"/>
  <c r="AW61" i="2" s="1"/>
  <c r="AV101" i="2"/>
  <c r="AV108" i="2"/>
  <c r="AW105" i="2" s="1"/>
  <c r="AW111" i="2"/>
  <c r="AV20" i="2" l="1"/>
  <c r="AV21" i="2"/>
  <c r="AX51" i="58"/>
  <c r="AV9" i="2"/>
  <c r="AV259" i="8" s="1"/>
  <c r="AV260" i="8" s="1"/>
  <c r="AV106" i="2"/>
  <c r="AV254" i="8"/>
  <c r="AV119" i="2"/>
  <c r="AV120" i="2" s="1"/>
  <c r="AV109" i="2"/>
  <c r="AV112" i="2"/>
  <c r="AV329" i="8" s="1"/>
  <c r="AV117" i="2"/>
  <c r="AV115" i="2"/>
  <c r="AV16" i="2"/>
  <c r="AV264" i="8" s="1"/>
  <c r="AV17" i="2"/>
  <c r="AV26" i="2"/>
  <c r="AV107" i="2"/>
  <c r="AX50" i="58" l="1"/>
  <c r="AV262" i="8"/>
  <c r="AV261" i="8"/>
  <c r="AV257" i="8"/>
  <c r="AV255" i="8"/>
  <c r="AV256" i="8"/>
  <c r="AV267" i="8"/>
  <c r="AV266" i="8"/>
  <c r="AV265" i="8"/>
  <c r="BD542" i="111"/>
  <c r="AV123" i="2"/>
  <c r="AV124" i="2" s="1"/>
  <c r="AV121" i="2"/>
  <c r="AV27" i="2"/>
  <c r="AV28" i="2"/>
  <c r="AV128" i="2" l="1"/>
  <c r="AV227" i="8" s="1"/>
  <c r="AV129" i="2"/>
  <c r="M73" i="27" l="1"/>
  <c r="AV38" i="2" l="1"/>
  <c r="AV53" i="2" s="1"/>
  <c r="AW47" i="58" s="1"/>
  <c r="AV42" i="2"/>
  <c r="BD560" i="111" s="1"/>
  <c r="AV43" i="2"/>
  <c r="AV49" i="2"/>
  <c r="AV50" i="2" s="1"/>
  <c r="AV63" i="2"/>
  <c r="AV78" i="2" s="1"/>
  <c r="AV77" i="2" s="1"/>
  <c r="AV64" i="2"/>
  <c r="AV82" i="2" s="1"/>
  <c r="AV65" i="2"/>
  <c r="AV70" i="2" s="1"/>
  <c r="AV102" i="2"/>
  <c r="AV66" i="2" l="1"/>
  <c r="AV39" i="2"/>
  <c r="AV51" i="2"/>
  <c r="AV72" i="2"/>
  <c r="AV322" i="8" s="1"/>
  <c r="AV73" i="2"/>
  <c r="AV318" i="112"/>
  <c r="AV31" i="2"/>
  <c r="AV52" i="2"/>
  <c r="AV280" i="8" s="1"/>
  <c r="AV55" i="2"/>
  <c r="AV290" i="8" s="1"/>
  <c r="AV54" i="2"/>
  <c r="AV292" i="8" l="1"/>
  <c r="AV291" i="8"/>
  <c r="AV293" i="8"/>
  <c r="AV282" i="8"/>
  <c r="AV281" i="8"/>
  <c r="AV283" i="8"/>
  <c r="AV325" i="8"/>
  <c r="AV323" i="8"/>
  <c r="AV324" i="8"/>
  <c r="AV319" i="112"/>
  <c r="AV32" i="2" a="1"/>
  <c r="AV32" i="2" s="1"/>
  <c r="AW32" i="2" l="1" a="1"/>
  <c r="AW32" i="2" s="1"/>
  <c r="Q29" i="11"/>
  <c r="AV34" i="2"/>
  <c r="AV270" i="8" s="1"/>
  <c r="AV35" i="2"/>
  <c r="R29" i="11" l="1"/>
  <c r="U281" i="111"/>
  <c r="U284" i="111" s="1"/>
  <c r="AW35" i="2"/>
  <c r="U282" i="111" s="1"/>
  <c r="U285" i="111" s="1"/>
  <c r="AW34" i="2"/>
  <c r="AW270" i="8" s="1"/>
  <c r="AW271" i="8" s="1"/>
  <c r="AV273" i="8"/>
  <c r="AV271" i="8"/>
  <c r="AV272" i="8"/>
  <c r="AV36" i="2"/>
  <c r="AV275" i="8" s="1"/>
  <c r="AW272" i="8" l="1"/>
  <c r="AW273" i="8"/>
  <c r="AV278" i="8"/>
  <c r="AV277" i="8"/>
  <c r="AV276" i="8"/>
  <c r="U113" i="11" l="1"/>
  <c r="M25" i="27" l="1"/>
  <c r="M112" i="27" s="1"/>
  <c r="U189" i="11"/>
  <c r="AW76" i="2"/>
  <c r="U111" i="11"/>
  <c r="U112" i="11" l="1"/>
  <c r="M23" i="27"/>
  <c r="M24" i="27" l="1"/>
  <c r="BE461" i="111" l="1"/>
  <c r="U40" i="11"/>
  <c r="W22" i="71" s="1"/>
  <c r="AJ40" i="11" l="1"/>
  <c r="BE462" i="111"/>
  <c r="U63" i="111"/>
  <c r="U69" i="111" s="1"/>
  <c r="U128" i="111"/>
  <c r="AW162" i="2"/>
  <c r="AW174" i="112"/>
  <c r="U18" i="46"/>
  <c r="AW175" i="112" l="1"/>
  <c r="AW204" i="8" s="1"/>
  <c r="AW205" i="8" s="1"/>
  <c r="BA175" i="112"/>
  <c r="BA204" i="8" s="1"/>
  <c r="U13" i="46"/>
  <c r="AW206" i="8" l="1"/>
  <c r="AW203" i="8" s="1"/>
  <c r="BA205" i="8"/>
  <c r="BA206" i="8"/>
  <c r="BA203" i="8" l="1"/>
  <c r="BI461" i="111"/>
  <c r="BM174" i="112"/>
  <c r="BI462" i="111" l="1"/>
  <c r="BQ174" i="112"/>
  <c r="BU174" i="112" l="1"/>
  <c r="BM461" i="111"/>
  <c r="BM462" i="111" l="1"/>
  <c r="BY174" i="112"/>
  <c r="CC174" i="112" l="1"/>
  <c r="CG174" i="112" l="1"/>
  <c r="CK174" i="112" l="1"/>
  <c r="CO174" i="112" s="1"/>
  <c r="CS174" i="112" l="1"/>
  <c r="CW174" i="112" l="1"/>
  <c r="U60" i="11" l="1"/>
  <c r="M7" i="27" l="1"/>
  <c r="U63" i="11"/>
  <c r="U94" i="11"/>
  <c r="AJ63" i="11" l="1"/>
  <c r="AK63" i="11"/>
  <c r="M14" i="27"/>
  <c r="M9" i="27"/>
  <c r="BE477" i="111"/>
  <c r="BE478" i="111" s="1"/>
  <c r="BE491" i="111"/>
  <c r="BE493" i="111"/>
  <c r="BE494" i="111"/>
  <c r="BE499" i="111" s="1"/>
  <c r="BE495" i="111"/>
  <c r="BE537" i="111"/>
  <c r="BE545" i="111"/>
  <c r="BE548" i="111"/>
  <c r="BE551" i="111"/>
  <c r="BE554" i="111"/>
  <c r="U65" i="11"/>
  <c r="AJ65" i="11" s="1"/>
  <c r="U67" i="11"/>
  <c r="U69" i="11"/>
  <c r="U73" i="11"/>
  <c r="U74" i="11"/>
  <c r="U75" i="11"/>
  <c r="U88" i="11"/>
  <c r="U89" i="11"/>
  <c r="U22" i="76" s="1"/>
  <c r="U26" i="76" s="1"/>
  <c r="U92" i="11"/>
  <c r="U97" i="11"/>
  <c r="U155" i="11" s="1"/>
  <c r="U100" i="11"/>
  <c r="AX33" i="58"/>
  <c r="U173" i="11" l="1"/>
  <c r="U160" i="11"/>
  <c r="U163" i="11" s="1"/>
  <c r="W26" i="71"/>
  <c r="W24" i="71"/>
  <c r="W25" i="71"/>
  <c r="W31" i="71"/>
  <c r="U21" i="76"/>
  <c r="AJ92" i="11"/>
  <c r="AK92" i="11"/>
  <c r="AJ95" i="11"/>
  <c r="AK95" i="11"/>
  <c r="AJ89" i="11"/>
  <c r="AK89" i="11"/>
  <c r="AJ88" i="11"/>
  <c r="AK88" i="11"/>
  <c r="AN12" i="71"/>
  <c r="H10" i="71"/>
  <c r="M29" i="27"/>
  <c r="AJ67" i="11"/>
  <c r="AJ75" i="11"/>
  <c r="AJ74" i="11"/>
  <c r="AJ73" i="11"/>
  <c r="AJ69" i="11"/>
  <c r="M18" i="27"/>
  <c r="M16" i="27"/>
  <c r="M69" i="27" s="1"/>
  <c r="U106" i="11"/>
  <c r="AJ106" i="11" s="1"/>
  <c r="M10" i="27"/>
  <c r="M13" i="27"/>
  <c r="BE500" i="111"/>
  <c r="BE505" i="111" s="1"/>
  <c r="M11" i="27"/>
  <c r="BE498" i="111"/>
  <c r="U81" i="11"/>
  <c r="W28" i="71" s="1"/>
  <c r="AX34" i="58"/>
  <c r="AW22" i="4" s="1"/>
  <c r="BE504" i="111"/>
  <c r="U102" i="11"/>
  <c r="AJ102" i="11" s="1"/>
  <c r="U195" i="111"/>
  <c r="U275" i="111"/>
  <c r="U196" i="111"/>
  <c r="U83" i="11"/>
  <c r="W30" i="71" s="1"/>
  <c r="U194" i="111"/>
  <c r="U82" i="11"/>
  <c r="W29" i="71" s="1"/>
  <c r="AW45" i="2"/>
  <c r="AW130" i="2"/>
  <c r="BE557" i="111"/>
  <c r="U141" i="11"/>
  <c r="AW58" i="112"/>
  <c r="AW232" i="8" s="1"/>
  <c r="AW123" i="112"/>
  <c r="AW238" i="8" s="1"/>
  <c r="AW207" i="112"/>
  <c r="AW245" i="112"/>
  <c r="AW311" i="112"/>
  <c r="AW312" i="112"/>
  <c r="U22" i="46"/>
  <c r="U26" i="46" s="1"/>
  <c r="U23" i="46"/>
  <c r="U27" i="46" s="1"/>
  <c r="U24" i="46"/>
  <c r="U28" i="46" s="1"/>
  <c r="AW23" i="4" l="1"/>
  <c r="U23" i="76"/>
  <c r="H13" i="71"/>
  <c r="H43" i="71" s="1"/>
  <c r="AN15" i="71"/>
  <c r="AN45" i="71" s="1"/>
  <c r="H12" i="71"/>
  <c r="H42" i="71" s="1"/>
  <c r="H40" i="71"/>
  <c r="AN42" i="71"/>
  <c r="AK60" i="71"/>
  <c r="AK62" i="71" s="1"/>
  <c r="AW209" i="112"/>
  <c r="AW245" i="8" s="1"/>
  <c r="AW247" i="8" s="1"/>
  <c r="AW244" i="8"/>
  <c r="AW246" i="112"/>
  <c r="AW71" i="2"/>
  <c r="AW284" i="112"/>
  <c r="AW251" i="8" s="1"/>
  <c r="U204" i="111"/>
  <c r="U209" i="111" s="1"/>
  <c r="AW313" i="112"/>
  <c r="AW229" i="8" s="1"/>
  <c r="AW60" i="112"/>
  <c r="M21" i="27"/>
  <c r="BE503" i="111"/>
  <c r="U71" i="11"/>
  <c r="AW305" i="112"/>
  <c r="AW300" i="112"/>
  <c r="AW224" i="8" s="1"/>
  <c r="AW296" i="112"/>
  <c r="AW302" i="112" s="1"/>
  <c r="U115" i="11"/>
  <c r="U196" i="11"/>
  <c r="M20" i="27"/>
  <c r="M127" i="27" s="1"/>
  <c r="AW125" i="112"/>
  <c r="AW239" i="8" s="1"/>
  <c r="U276" i="111"/>
  <c r="U279" i="111"/>
  <c r="AW288" i="112"/>
  <c r="M64" i="27"/>
  <c r="U172" i="11"/>
  <c r="M57" i="27"/>
  <c r="BE454" i="111"/>
  <c r="AW36" i="2"/>
  <c r="AW275" i="8" s="1"/>
  <c r="AW238" i="112"/>
  <c r="BA255" i="112" s="1"/>
  <c r="AW132" i="2"/>
  <c r="U199" i="111"/>
  <c r="U214" i="111"/>
  <c r="AW267" i="112"/>
  <c r="U127" i="11"/>
  <c r="AW309" i="112"/>
  <c r="AW247" i="112"/>
  <c r="AW241" i="112"/>
  <c r="AW24" i="4"/>
  <c r="AW28" i="4"/>
  <c r="BE487" i="111"/>
  <c r="U206" i="111"/>
  <c r="U215" i="111"/>
  <c r="U200" i="111"/>
  <c r="U205" i="111"/>
  <c r="U201" i="111"/>
  <c r="U216" i="111"/>
  <c r="AW59" i="112" l="1"/>
  <c r="AJ115" i="11"/>
  <c r="AW246" i="8"/>
  <c r="AW210" i="112"/>
  <c r="AW248" i="8"/>
  <c r="AW285" i="112"/>
  <c r="AW209" i="8" s="1"/>
  <c r="AW124" i="112"/>
  <c r="AW159" i="8" s="1"/>
  <c r="AW160" i="8" s="1"/>
  <c r="AW297" i="112"/>
  <c r="M26" i="27"/>
  <c r="AW233" i="8"/>
  <c r="AW61" i="112"/>
  <c r="AW208" i="112"/>
  <c r="AW306" i="112"/>
  <c r="AW293" i="112"/>
  <c r="U72" i="11"/>
  <c r="AW242" i="8"/>
  <c r="AW240" i="8"/>
  <c r="AW241" i="8"/>
  <c r="AW278" i="8"/>
  <c r="AW277" i="8"/>
  <c r="AW276" i="8"/>
  <c r="U210" i="111"/>
  <c r="U211" i="111"/>
  <c r="BE488" i="111"/>
  <c r="BE490" i="111"/>
  <c r="BE489" i="111"/>
  <c r="BB488" i="111"/>
  <c r="BC488" i="111"/>
  <c r="BD488" i="111"/>
  <c r="BE532" i="111"/>
  <c r="AW242" i="112"/>
  <c r="BE448" i="111"/>
  <c r="BE465" i="111"/>
  <c r="U41" i="11"/>
  <c r="BE438" i="111"/>
  <c r="AW239" i="112"/>
  <c r="AW303" i="112"/>
  <c r="BE481" i="111"/>
  <c r="BE563" i="111"/>
  <c r="AW126" i="112"/>
  <c r="M41" i="27"/>
  <c r="BE456" i="111"/>
  <c r="BB455" i="111"/>
  <c r="BC455" i="111"/>
  <c r="BB490" i="111"/>
  <c r="BD455" i="111"/>
  <c r="BC490" i="111"/>
  <c r="BE455" i="111"/>
  <c r="BD490" i="111"/>
  <c r="BE538" i="111"/>
  <c r="W23" i="71" l="1"/>
  <c r="U64" i="76"/>
  <c r="U62" i="76"/>
  <c r="U63" i="76"/>
  <c r="AJ72" i="11"/>
  <c r="AW212" i="8"/>
  <c r="AW210" i="8"/>
  <c r="AW211" i="8"/>
  <c r="AW290" i="112"/>
  <c r="AW291" i="112" s="1"/>
  <c r="AW214" i="8" s="1"/>
  <c r="AW294" i="112"/>
  <c r="AW219" i="8" s="1"/>
  <c r="AW222" i="8" s="1"/>
  <c r="AW161" i="8"/>
  <c r="AW158" i="8" s="1"/>
  <c r="AW234" i="8"/>
  <c r="AW236" i="8"/>
  <c r="AW235" i="8"/>
  <c r="U21" i="46"/>
  <c r="BC534" i="111"/>
  <c r="BD534" i="111"/>
  <c r="BE534" i="111"/>
  <c r="BE533" i="111"/>
  <c r="BB534" i="111"/>
  <c r="U130" i="111"/>
  <c r="U64" i="111"/>
  <c r="U36" i="11"/>
  <c r="U12" i="76" s="1"/>
  <c r="U19" i="46"/>
  <c r="BE539" i="111"/>
  <c r="BE439" i="111"/>
  <c r="U20" i="76" l="1"/>
  <c r="U71" i="76"/>
  <c r="U66" i="76"/>
  <c r="AN11" i="71"/>
  <c r="H9" i="71"/>
  <c r="W18" i="71"/>
  <c r="AJ36" i="11"/>
  <c r="AW220" i="8"/>
  <c r="AW221" i="8"/>
  <c r="BE484" i="111"/>
  <c r="AW217" i="8"/>
  <c r="AW216" i="8"/>
  <c r="AW215" i="8"/>
  <c r="U64" i="11"/>
  <c r="U37" i="11"/>
  <c r="W19" i="71" s="1"/>
  <c r="U66" i="11"/>
  <c r="U68" i="11"/>
  <c r="M6" i="27"/>
  <c r="M8" i="27" s="1"/>
  <c r="U61" i="11"/>
  <c r="AJ61" i="11" s="1"/>
  <c r="U70" i="11"/>
  <c r="W32" i="71" s="1"/>
  <c r="U107" i="11"/>
  <c r="V850" i="111"/>
  <c r="U15" i="46"/>
  <c r="U80" i="11"/>
  <c r="W27" i="71" s="1"/>
  <c r="H39" i="71" l="1"/>
  <c r="H11" i="71"/>
  <c r="H41" i="71" s="1"/>
  <c r="AN41" i="71"/>
  <c r="AK57" i="71"/>
  <c r="AK59" i="71" s="1"/>
  <c r="AN13" i="71"/>
  <c r="AN43" i="71" s="1"/>
  <c r="M137" i="27"/>
  <c r="U90" i="11"/>
  <c r="U62" i="11"/>
  <c r="M12" i="27"/>
  <c r="M15" i="27" s="1"/>
  <c r="M17" i="27" s="1"/>
  <c r="M126" i="27"/>
  <c r="M135" i="27"/>
  <c r="U11" i="46"/>
  <c r="U250" i="111"/>
  <c r="U20" i="46"/>
  <c r="U25" i="46"/>
  <c r="AN14" i="71" l="1"/>
  <c r="AN44" i="71" s="1"/>
  <c r="AJ90" i="11"/>
  <c r="U91" i="11"/>
  <c r="U96" i="11"/>
  <c r="AJ96" i="11" s="1"/>
  <c r="U249" i="111"/>
  <c r="M136" i="27"/>
  <c r="U251" i="111" l="1"/>
  <c r="U98" i="11"/>
  <c r="U24" i="76" s="1"/>
  <c r="U99" i="11"/>
  <c r="AJ99" i="11" s="1"/>
  <c r="U25" i="76" l="1"/>
  <c r="U30" i="76" s="1"/>
  <c r="U123" i="11" l="1"/>
  <c r="U124" i="11"/>
  <c r="U129" i="11"/>
  <c r="U130" i="11"/>
  <c r="U131" i="11"/>
  <c r="U132" i="11"/>
  <c r="M44" i="27" l="1"/>
  <c r="M43" i="27"/>
  <c r="M46" i="27"/>
  <c r="M39" i="27"/>
  <c r="U128" i="11"/>
  <c r="M38" i="27"/>
  <c r="U384" i="111"/>
  <c r="M45" i="27"/>
  <c r="U332" i="111"/>
  <c r="U333" i="111"/>
  <c r="U382" i="111"/>
  <c r="U381" i="111"/>
  <c r="AW6" i="2"/>
  <c r="AW8" i="2"/>
  <c r="AW11" i="2"/>
  <c r="AW41" i="2"/>
  <c r="AW48" i="2"/>
  <c r="AW101" i="2"/>
  <c r="M67" i="27"/>
  <c r="AW7" i="2" l="1"/>
  <c r="AW254" i="8" s="1"/>
  <c r="AW12" i="2"/>
  <c r="AW10" i="2"/>
  <c r="AX44" i="2"/>
  <c r="AW9" i="2"/>
  <c r="M42" i="27"/>
  <c r="M47" i="27" s="1"/>
  <c r="M70" i="27"/>
  <c r="M66" i="27"/>
  <c r="U383" i="111"/>
  <c r="U133" i="11"/>
  <c r="AW259" i="8" l="1"/>
  <c r="AW262" i="8" s="1"/>
  <c r="U343" i="111" s="1"/>
  <c r="AY46" i="58"/>
  <c r="AY51" i="58" s="1"/>
  <c r="AY50" i="58" s="1"/>
  <c r="AW256" i="8"/>
  <c r="AW257" i="8"/>
  <c r="AW255" i="8"/>
  <c r="U846" i="111"/>
  <c r="U174" i="11"/>
  <c r="AW261" i="8" l="1"/>
  <c r="U341" i="111" s="1"/>
  <c r="U323" i="111" s="1"/>
  <c r="AW260" i="8"/>
  <c r="U342" i="111" s="1"/>
  <c r="U338" i="111"/>
  <c r="U336" i="111"/>
  <c r="U337" i="111"/>
  <c r="U322" i="111" l="1"/>
  <c r="W341" i="111"/>
  <c r="W323" i="111" s="1"/>
  <c r="W342" i="111"/>
  <c r="W343" i="111"/>
  <c r="U135" i="11" l="1"/>
  <c r="U136" i="11"/>
  <c r="W39" i="71" l="1"/>
  <c r="U179" i="11"/>
  <c r="M49" i="27"/>
  <c r="M50" i="27"/>
  <c r="U169" i="11"/>
  <c r="U180" i="11"/>
  <c r="U166" i="11"/>
  <c r="U387" i="111"/>
  <c r="AW15" i="2"/>
  <c r="AW108" i="2"/>
  <c r="W37" i="71" l="1"/>
  <c r="AN18" i="71"/>
  <c r="AN48" i="71" s="1"/>
  <c r="H18" i="71"/>
  <c r="H45" i="71" s="1"/>
  <c r="AW26" i="2"/>
  <c r="M31" i="27"/>
  <c r="AW20" i="2"/>
  <c r="AW21" i="2"/>
  <c r="AW117" i="2"/>
  <c r="AW16" i="2"/>
  <c r="U32" i="46"/>
  <c r="U394" i="111"/>
  <c r="AW107" i="2"/>
  <c r="AX105" i="2"/>
  <c r="U191" i="11"/>
  <c r="AW106" i="2"/>
  <c r="U171" i="11"/>
  <c r="AW115" i="2"/>
  <c r="AX111" i="2"/>
  <c r="U168" i="11"/>
  <c r="U190" i="11"/>
  <c r="AW119" i="2"/>
  <c r="AW120" i="2" s="1"/>
  <c r="AW17" i="2"/>
  <c r="M68" i="27"/>
  <c r="AW109" i="2"/>
  <c r="AW112" i="2"/>
  <c r="AW329" i="8" s="1"/>
  <c r="H19" i="71" l="1"/>
  <c r="H46" i="71" s="1"/>
  <c r="AN19" i="71"/>
  <c r="AN49" i="71" s="1"/>
  <c r="W38" i="71"/>
  <c r="U183" i="11"/>
  <c r="AW27" i="2"/>
  <c r="AW28" i="2"/>
  <c r="AW264" i="8"/>
  <c r="AW265" i="8" s="1"/>
  <c r="U347" i="111" s="1"/>
  <c r="AW123" i="2"/>
  <c r="AW124" i="2" s="1"/>
  <c r="AW129" i="2" s="1"/>
  <c r="BE542" i="111"/>
  <c r="U195" i="11"/>
  <c r="U193" i="11"/>
  <c r="U192" i="11"/>
  <c r="U194" i="11"/>
  <c r="AW121" i="2"/>
  <c r="U33" i="46"/>
  <c r="M81" i="27"/>
  <c r="U182" i="11" l="1"/>
  <c r="U184" i="11"/>
  <c r="AW267" i="8"/>
  <c r="U348" i="111" s="1"/>
  <c r="AW266" i="8"/>
  <c r="U346" i="111" s="1"/>
  <c r="U324" i="111" s="1"/>
  <c r="AW128" i="2"/>
  <c r="AW227" i="8" s="1"/>
  <c r="U67" i="46"/>
  <c r="U34" i="46" l="1"/>
  <c r="U140" i="11"/>
  <c r="U178" i="11" s="1"/>
  <c r="M53" i="27"/>
  <c r="M56" i="27"/>
  <c r="U142" i="11" l="1"/>
  <c r="U176" i="11"/>
  <c r="U167" i="11"/>
  <c r="U170" i="11"/>
  <c r="M52" i="27"/>
  <c r="M58" i="27" s="1"/>
  <c r="U198" i="11"/>
  <c r="U69" i="46" s="1"/>
  <c r="M111" i="27"/>
  <c r="U388" i="111"/>
  <c r="U847" i="111"/>
  <c r="AW67" i="2"/>
  <c r="AX61" i="2" s="1"/>
  <c r="U36" i="46" l="1"/>
  <c r="U37" i="46"/>
  <c r="M129" i="27"/>
  <c r="U389" i="111"/>
  <c r="U204" i="11" l="1"/>
  <c r="U211" i="11"/>
  <c r="U213" i="11"/>
  <c r="U206" i="11" l="1"/>
  <c r="U215" i="11"/>
  <c r="U420" i="111"/>
  <c r="U205" i="11"/>
  <c r="U425" i="111"/>
  <c r="U77" i="46"/>
  <c r="U207" i="11" l="1"/>
  <c r="U209" i="11"/>
  <c r="U415" i="111" l="1"/>
  <c r="M62" i="27"/>
  <c r="M71" i="27" s="1"/>
  <c r="AW38" i="2" l="1"/>
  <c r="AW39" i="2" s="1"/>
  <c r="AW53" i="2" l="1"/>
  <c r="AX47" i="58" s="1"/>
  <c r="M74" i="27"/>
  <c r="M75" i="27"/>
  <c r="M79" i="27"/>
  <c r="M80" i="27"/>
  <c r="M82" i="27"/>
  <c r="M83" i="27"/>
  <c r="AW55" i="2" l="1"/>
  <c r="AW290" i="8" s="1"/>
  <c r="AW293" i="8" s="1"/>
  <c r="AW54" i="2"/>
  <c r="U181" i="11"/>
  <c r="M77" i="27"/>
  <c r="U200" i="11"/>
  <c r="M84" i="27"/>
  <c r="AW43" i="2"/>
  <c r="AW49" i="2"/>
  <c r="AW52" i="2" s="1"/>
  <c r="AW280" i="8" s="1"/>
  <c r="AW63" i="2"/>
  <c r="AW78" i="2" s="1"/>
  <c r="AW77" i="2" s="1"/>
  <c r="AW64" i="2"/>
  <c r="AW82" i="2" s="1"/>
  <c r="AW65" i="2"/>
  <c r="AW70" i="2" s="1"/>
  <c r="AW102" i="2"/>
  <c r="M32" i="27" l="1"/>
  <c r="AN17" i="71"/>
  <c r="AN47" i="71" s="1"/>
  <c r="W34" i="71"/>
  <c r="W35" i="71"/>
  <c r="U35" i="46"/>
  <c r="AW292" i="8"/>
  <c r="AW291" i="8"/>
  <c r="U71" i="46"/>
  <c r="M88" i="27"/>
  <c r="AW51" i="2"/>
  <c r="AW50" i="2"/>
  <c r="M97" i="27"/>
  <c r="AW73" i="2"/>
  <c r="AW72" i="2"/>
  <c r="AW322" i="8" s="1"/>
  <c r="AW323" i="8" s="1"/>
  <c r="AW283" i="8"/>
  <c r="AW281" i="8"/>
  <c r="AW282" i="8"/>
  <c r="AW318" i="112"/>
  <c r="U117" i="11" s="1"/>
  <c r="AW66" i="2"/>
  <c r="M90" i="27" l="1"/>
  <c r="N89" i="27" s="1"/>
  <c r="M131" i="27"/>
  <c r="U210" i="11"/>
  <c r="U208" i="11"/>
  <c r="AW319" i="112"/>
  <c r="AW324" i="8"/>
  <c r="AW325" i="8"/>
  <c r="U118" i="11"/>
  <c r="W40" i="71" s="1"/>
  <c r="U75" i="46" l="1"/>
  <c r="M27" i="27"/>
  <c r="U302" i="111"/>
  <c r="AV324" i="94" l="1"/>
  <c r="AV326" i="94" s="1"/>
  <c r="AV438" i="94" l="1"/>
  <c r="AV333" i="94"/>
  <c r="AV341" i="94"/>
  <c r="AV339" i="94"/>
  <c r="AV330" i="94"/>
  <c r="AV332" i="94"/>
  <c r="AV334" i="94"/>
  <c r="AV336" i="94"/>
  <c r="AV338" i="94"/>
  <c r="AV340" i="94"/>
  <c r="AV361" i="94"/>
  <c r="AV335" i="94"/>
  <c r="AV331" i="94"/>
  <c r="AV337" i="94"/>
  <c r="AV343" i="94"/>
  <c r="AV359" i="94"/>
  <c r="AV395" i="94" s="1"/>
  <c r="AV396" i="94"/>
  <c r="AV342" i="94"/>
  <c r="AV441" i="94" l="1"/>
  <c r="AV446" i="94" s="1"/>
  <c r="AV455" i="94"/>
  <c r="AV344" i="94"/>
  <c r="AV447" i="94" l="1"/>
  <c r="AV449" i="94"/>
  <c r="AV445" i="94"/>
  <c r="AV458" i="94"/>
  <c r="AV448" i="94"/>
  <c r="AU206" i="94"/>
  <c r="AU324" i="94"/>
  <c r="AU326" i="94" s="1"/>
  <c r="AV450" i="94" l="1"/>
  <c r="AU396" i="94"/>
  <c r="AU359" i="94"/>
  <c r="AU395" i="94" s="1"/>
  <c r="AU331" i="94"/>
  <c r="AU334" i="94"/>
  <c r="AU337" i="94"/>
  <c r="AU340" i="94"/>
  <c r="AU343" i="94"/>
  <c r="AU361" i="94"/>
  <c r="AU333" i="94"/>
  <c r="AU339" i="94"/>
  <c r="AU332" i="94"/>
  <c r="AU335" i="94"/>
  <c r="AU338" i="94"/>
  <c r="AU341" i="94"/>
  <c r="AU336" i="94"/>
  <c r="AU342" i="94"/>
  <c r="AU330" i="94"/>
  <c r="AU438" i="94"/>
  <c r="AU344" i="94" l="1"/>
  <c r="BB510" i="111"/>
  <c r="AU455" i="94"/>
  <c r="BB518" i="111" s="1"/>
  <c r="AU441" i="94"/>
  <c r="AU447" i="94" s="1"/>
  <c r="BB513" i="111" l="1"/>
  <c r="AU445" i="94"/>
  <c r="AU448" i="94"/>
  <c r="AU446" i="94"/>
  <c r="AU449" i="94"/>
  <c r="AU458" i="94"/>
  <c r="BB521" i="111" s="1"/>
  <c r="AU450" i="94" l="1"/>
  <c r="BF477" i="111" l="1"/>
  <c r="BF491" i="111"/>
  <c r="BF493" i="111"/>
  <c r="BF494" i="111"/>
  <c r="BF499" i="111" s="1"/>
  <c r="BF495" i="111"/>
  <c r="BF500" i="111" s="1"/>
  <c r="BF537" i="111"/>
  <c r="BF545" i="111"/>
  <c r="BF548" i="111"/>
  <c r="BF551" i="111"/>
  <c r="BF554" i="111"/>
  <c r="BF557" i="111"/>
  <c r="AY33" i="58"/>
  <c r="BF498" i="111" l="1"/>
  <c r="BF503" i="111" s="1"/>
  <c r="AY34" i="58"/>
  <c r="AX22" i="4" s="1"/>
  <c r="BF505" i="111"/>
  <c r="BF504" i="111"/>
  <c r="BF478" i="111"/>
  <c r="AX6" i="2"/>
  <c r="AX8" i="2"/>
  <c r="AX9" i="2" s="1"/>
  <c r="AX11" i="2"/>
  <c r="AX15" i="2"/>
  <c r="AX16" i="2" s="1"/>
  <c r="AX38" i="2"/>
  <c r="AX41" i="2"/>
  <c r="AY44" i="2" s="1"/>
  <c r="AX42" i="2"/>
  <c r="AX43" i="2"/>
  <c r="AX45" i="2"/>
  <c r="AX48" i="2"/>
  <c r="AX49" i="2"/>
  <c r="AX63" i="2"/>
  <c r="AX78" i="2" s="1"/>
  <c r="AX77" i="2" s="1"/>
  <c r="AX64" i="2"/>
  <c r="AX82" i="2" s="1"/>
  <c r="AX65" i="2"/>
  <c r="AX70" i="2" s="1"/>
  <c r="AX318" i="112" s="1"/>
  <c r="AX319" i="112" s="1"/>
  <c r="AX67" i="2"/>
  <c r="AY61" i="2" s="1"/>
  <c r="AX102" i="2"/>
  <c r="AX108" i="2"/>
  <c r="AX130" i="2"/>
  <c r="AX132" i="2" s="1"/>
  <c r="AX58" i="112"/>
  <c r="AX123" i="112"/>
  <c r="AX128" i="112" s="1"/>
  <c r="AX129" i="112" s="1"/>
  <c r="AX207" i="112"/>
  <c r="AX212" i="112" s="1"/>
  <c r="AX213" i="112" s="1"/>
  <c r="AX245" i="112"/>
  <c r="AX278" i="112" s="1"/>
  <c r="AX279" i="112" s="1"/>
  <c r="AX311" i="112"/>
  <c r="AX315" i="112" s="1"/>
  <c r="AX312" i="112"/>
  <c r="AX63" i="112" l="1"/>
  <c r="AX64" i="112" s="1"/>
  <c r="AX269" i="112"/>
  <c r="AX272" i="112" s="1"/>
  <c r="AX23" i="4"/>
  <c r="BF487" i="111" s="1"/>
  <c r="AX264" i="8"/>
  <c r="AX267" i="8" s="1"/>
  <c r="AX259" i="8"/>
  <c r="AX261" i="8" s="1"/>
  <c r="AZ46" i="58"/>
  <c r="AZ51" i="58" s="1"/>
  <c r="AX20" i="2"/>
  <c r="AX21" i="2"/>
  <c r="AX51" i="2"/>
  <c r="BF560" i="111"/>
  <c r="AX244" i="8"/>
  <c r="AX238" i="8"/>
  <c r="AX232" i="8"/>
  <c r="AX39" i="2"/>
  <c r="AX241" i="112"/>
  <c r="AX242" i="112" s="1"/>
  <c r="AX209" i="112"/>
  <c r="AX210" i="112" s="1"/>
  <c r="AX71" i="2"/>
  <c r="AX72" i="2" s="1"/>
  <c r="AX322" i="8" s="1"/>
  <c r="AX50" i="2"/>
  <c r="AX106" i="2"/>
  <c r="AY105" i="2"/>
  <c r="AX115" i="2"/>
  <c r="AY111" i="2"/>
  <c r="AX117" i="2"/>
  <c r="AX305" i="112"/>
  <c r="AX53" i="2"/>
  <c r="AX26" i="2"/>
  <c r="AX27" i="2" s="1"/>
  <c r="AX300" i="112"/>
  <c r="AX224" i="8" s="1"/>
  <c r="AX284" i="112"/>
  <c r="AX313" i="112"/>
  <c r="AX229" i="8" s="1"/>
  <c r="AX288" i="112"/>
  <c r="AX119" i="2"/>
  <c r="AX120" i="2" s="1"/>
  <c r="AX309" i="112"/>
  <c r="AX267" i="112"/>
  <c r="AX73" i="2"/>
  <c r="AX296" i="112"/>
  <c r="AX247" i="112"/>
  <c r="AX238" i="112"/>
  <c r="BB255" i="112" s="1"/>
  <c r="AX125" i="112"/>
  <c r="AX239" i="8" s="1"/>
  <c r="AX17" i="2"/>
  <c r="AX7" i="2"/>
  <c r="AX246" i="112"/>
  <c r="AX60" i="112"/>
  <c r="AX233" i="8" s="1"/>
  <c r="BF454" i="111"/>
  <c r="AX12" i="2"/>
  <c r="AX10" i="2"/>
  <c r="AX31" i="2"/>
  <c r="AX28" i="4"/>
  <c r="AX24" i="4"/>
  <c r="AX109" i="2"/>
  <c r="AX112" i="2"/>
  <c r="AX329" i="8" s="1"/>
  <c r="AX107" i="2"/>
  <c r="AX66" i="2"/>
  <c r="AX270" i="112" l="1"/>
  <c r="AX271" i="112" s="1"/>
  <c r="AX274" i="112"/>
  <c r="AX275" i="112" s="1"/>
  <c r="AX208" i="112"/>
  <c r="AX262" i="8"/>
  <c r="AX265" i="8"/>
  <c r="AX266" i="8"/>
  <c r="AX260" i="8"/>
  <c r="AX52" i="2"/>
  <c r="AX280" i="8" s="1"/>
  <c r="AX281" i="8" s="1"/>
  <c r="AX245" i="8"/>
  <c r="AX247" i="8" s="1"/>
  <c r="AX254" i="8"/>
  <c r="AX256" i="8" s="1"/>
  <c r="AX28" i="2"/>
  <c r="BF481" i="111"/>
  <c r="AZ50" i="58"/>
  <c r="AX251" i="8"/>
  <c r="AX285" i="112"/>
  <c r="AX209" i="8" s="1"/>
  <c r="AX59" i="112"/>
  <c r="AX124" i="112"/>
  <c r="AX159" i="8" s="1"/>
  <c r="AX161" i="8" s="1"/>
  <c r="AX306" i="112"/>
  <c r="BF448" i="111"/>
  <c r="AY47" i="58"/>
  <c r="AX55" i="2"/>
  <c r="AX290" i="8" s="1"/>
  <c r="AX54" i="2"/>
  <c r="BF563" i="111"/>
  <c r="AX235" i="8"/>
  <c r="AX236" i="8"/>
  <c r="AX234" i="8"/>
  <c r="AX241" i="8"/>
  <c r="AX242" i="8"/>
  <c r="AX240" i="8"/>
  <c r="BF465" i="111"/>
  <c r="AX324" i="8"/>
  <c r="AX325" i="8"/>
  <c r="AX323" i="8"/>
  <c r="AX297" i="112"/>
  <c r="AX302" i="112"/>
  <c r="BF542" i="111"/>
  <c r="AX121" i="2"/>
  <c r="AX123" i="2"/>
  <c r="AX124" i="2" s="1"/>
  <c r="BF532" i="111"/>
  <c r="AX61" i="112"/>
  <c r="BF489" i="111"/>
  <c r="AX32" i="2" a="1"/>
  <c r="AX32" i="2" s="1"/>
  <c r="BF456" i="111"/>
  <c r="BF538" i="111"/>
  <c r="AX126" i="112"/>
  <c r="BF438" i="111"/>
  <c r="AX239" i="112"/>
  <c r="AX282" i="8" l="1"/>
  <c r="AX283" i="8"/>
  <c r="AX246" i="8"/>
  <c r="AX248" i="8"/>
  <c r="AX255" i="8"/>
  <c r="AX257" i="8"/>
  <c r="AX212" i="8"/>
  <c r="AX210" i="8"/>
  <c r="AX211" i="8"/>
  <c r="AX35" i="2"/>
  <c r="AX160" i="8"/>
  <c r="AX158" i="8" s="1"/>
  <c r="AX291" i="8"/>
  <c r="AX292" i="8"/>
  <c r="AX293" i="8"/>
  <c r="AX129" i="2"/>
  <c r="AX128" i="2"/>
  <c r="AX227" i="8" s="1"/>
  <c r="AX303" i="112"/>
  <c r="AX293" i="112"/>
  <c r="S29" i="11"/>
  <c r="AX34" i="2"/>
  <c r="AX270" i="8" s="1"/>
  <c r="BF533" i="111"/>
  <c r="BF539" i="111"/>
  <c r="BF439" i="111"/>
  <c r="AX36" i="2" l="1"/>
  <c r="AX275" i="8" s="1"/>
  <c r="AX276" i="8" s="1"/>
  <c r="AX271" i="8"/>
  <c r="AX272" i="8"/>
  <c r="AX273" i="8"/>
  <c r="AX290" i="112"/>
  <c r="AX294" i="112"/>
  <c r="AX219" i="8" s="1"/>
  <c r="AX278" i="8" l="1"/>
  <c r="AX277" i="8"/>
  <c r="AX221" i="8"/>
  <c r="AX222" i="8"/>
  <c r="AX220" i="8"/>
  <c r="BF484" i="111"/>
  <c r="AX291" i="112"/>
  <c r="AX214" i="8" s="1"/>
  <c r="AX216" i="8" l="1"/>
  <c r="AX217" i="8"/>
  <c r="AX215" i="8"/>
  <c r="V63" i="11" l="1"/>
  <c r="N9" i="27" l="1"/>
  <c r="BG477" i="111"/>
  <c r="BG491" i="111"/>
  <c r="BG493" i="111"/>
  <c r="BG494" i="111"/>
  <c r="BG499" i="111" s="1"/>
  <c r="BG495" i="111"/>
  <c r="BG500" i="111" s="1"/>
  <c r="BG537" i="111"/>
  <c r="BG545" i="111"/>
  <c r="BG548" i="111"/>
  <c r="BG551" i="111"/>
  <c r="BG554" i="111"/>
  <c r="AZ33" i="58"/>
  <c r="BG498" i="111" l="1"/>
  <c r="AZ34" i="58"/>
  <c r="AY22" i="4" s="1"/>
  <c r="BG504" i="111"/>
  <c r="BG505" i="111"/>
  <c r="BG478" i="111"/>
  <c r="AY45" i="2"/>
  <c r="AY130" i="2"/>
  <c r="AY132" i="2" s="1"/>
  <c r="BG557" i="111"/>
  <c r="AY58" i="112"/>
  <c r="AY123" i="112"/>
  <c r="AY128" i="112" s="1"/>
  <c r="AY129" i="112" s="1"/>
  <c r="AY207" i="112"/>
  <c r="AY212" i="112" s="1"/>
  <c r="AY213" i="112" s="1"/>
  <c r="AY245" i="112"/>
  <c r="AY311" i="112"/>
  <c r="AY315" i="112" s="1"/>
  <c r="AY312" i="112"/>
  <c r="BC246" i="112" l="1"/>
  <c r="AY278" i="112"/>
  <c r="AY63" i="112"/>
  <c r="AY64" i="112" s="1"/>
  <c r="AY269" i="112"/>
  <c r="AY23" i="4"/>
  <c r="AY244" i="8"/>
  <c r="AY238" i="8"/>
  <c r="AY232" i="8"/>
  <c r="AY313" i="112"/>
  <c r="AY229" i="8" s="1"/>
  <c r="BG503" i="111"/>
  <c r="AY300" i="112"/>
  <c r="AY224" i="8" s="1"/>
  <c r="AY60" i="112"/>
  <c r="AY284" i="112"/>
  <c r="AY238" i="112"/>
  <c r="AY209" i="112"/>
  <c r="BC210" i="112" s="1"/>
  <c r="AY309" i="112"/>
  <c r="AY125" i="112"/>
  <c r="BG454" i="111"/>
  <c r="AY246" i="112"/>
  <c r="AY288" i="112"/>
  <c r="AY296" i="112"/>
  <c r="AY267" i="112"/>
  <c r="AY241" i="112"/>
  <c r="BC242" i="112" s="1"/>
  <c r="AY247" i="112"/>
  <c r="AY71" i="2"/>
  <c r="AY272" i="112" l="1"/>
  <c r="BC272" i="112"/>
  <c r="AY270" i="112"/>
  <c r="AY274" i="112"/>
  <c r="AY275" i="112" s="1"/>
  <c r="AY279" i="112"/>
  <c r="BC279" i="112"/>
  <c r="BG487" i="111"/>
  <c r="AY28" i="4"/>
  <c r="AY305" i="112"/>
  <c r="AY306" i="112" s="1"/>
  <c r="AY24" i="4"/>
  <c r="AY251" i="8"/>
  <c r="AY126" i="112"/>
  <c r="BC126" i="112"/>
  <c r="AY233" i="8"/>
  <c r="AY234" i="8" s="1"/>
  <c r="BC61" i="112"/>
  <c r="BG438" i="111"/>
  <c r="BG439" i="111" s="1"/>
  <c r="BC239" i="112"/>
  <c r="BC255" i="112"/>
  <c r="AY61" i="112"/>
  <c r="AY239" i="8"/>
  <c r="AY242" i="8" s="1"/>
  <c r="AY239" i="112"/>
  <c r="AY285" i="112"/>
  <c r="AY209" i="8" s="1"/>
  <c r="AY210" i="112"/>
  <c r="AY245" i="8"/>
  <c r="AY247" i="8" s="1"/>
  <c r="BG448" i="111"/>
  <c r="BG481" i="111"/>
  <c r="BG563" i="111"/>
  <c r="AY242" i="112"/>
  <c r="BG465" i="111"/>
  <c r="BG456" i="111"/>
  <c r="BG538" i="111"/>
  <c r="AY297" i="112"/>
  <c r="AY302" i="112"/>
  <c r="V94" i="11"/>
  <c r="AY59" i="112" l="1"/>
  <c r="AY124" i="112"/>
  <c r="AY159" i="8" s="1"/>
  <c r="AY161" i="8" s="1"/>
  <c r="BG489" i="111"/>
  <c r="BG532" i="111"/>
  <c r="AY271" i="112"/>
  <c r="BC271" i="112"/>
  <c r="AY208" i="112"/>
  <c r="AY235" i="8"/>
  <c r="AY236" i="8"/>
  <c r="AY240" i="8"/>
  <c r="AY241" i="8"/>
  <c r="AY212" i="8"/>
  <c r="AY210" i="8"/>
  <c r="AY211" i="8"/>
  <c r="AY248" i="8"/>
  <c r="AY246" i="8"/>
  <c r="AY160" i="8"/>
  <c r="AY158" i="8" s="1"/>
  <c r="N14" i="27"/>
  <c r="BG539" i="111"/>
  <c r="BG533" i="111"/>
  <c r="AY303" i="112"/>
  <c r="AY293" i="112"/>
  <c r="AY294" i="112" l="1"/>
  <c r="AY219" i="8" s="1"/>
  <c r="AY290" i="112"/>
  <c r="AY221" i="8" l="1"/>
  <c r="AY222" i="8"/>
  <c r="AY220" i="8"/>
  <c r="BG484" i="111"/>
  <c r="AY291" i="112"/>
  <c r="AY214" i="8" s="1"/>
  <c r="AY217" i="8" l="1"/>
  <c r="AY216" i="8"/>
  <c r="AY215" i="8"/>
  <c r="AY6" i="2" l="1"/>
  <c r="AY7" i="2" s="1"/>
  <c r="AY8" i="2"/>
  <c r="AY10" i="2" s="1"/>
  <c r="AY11" i="2"/>
  <c r="AY12" i="2" s="1"/>
  <c r="AY41" i="2"/>
  <c r="AZ44" i="2" s="1"/>
  <c r="AY48" i="2"/>
  <c r="AY101" i="2"/>
  <c r="AZ51" i="2" l="1"/>
  <c r="BA46" i="58"/>
  <c r="BA51" i="58" s="1"/>
  <c r="AY9" i="2"/>
  <c r="AY254" i="8"/>
  <c r="AY259" i="8" l="1"/>
  <c r="AY262" i="8" s="1"/>
  <c r="AZ45" i="2"/>
  <c r="AZ53" i="2"/>
  <c r="BA50" i="58"/>
  <c r="AY257" i="8"/>
  <c r="AY256" i="8"/>
  <c r="AY255" i="8"/>
  <c r="AY260" i="8" l="1"/>
  <c r="AY261" i="8"/>
  <c r="AZ55" i="2"/>
  <c r="AZ290" i="8" s="1"/>
  <c r="AZ54" i="2"/>
  <c r="AZ52" i="2"/>
  <c r="AZ280" i="8" s="1"/>
  <c r="AZ283" i="8" l="1"/>
  <c r="AZ282" i="8"/>
  <c r="AZ281" i="8"/>
  <c r="AZ292" i="8"/>
  <c r="AZ293" i="8"/>
  <c r="AZ291" i="8"/>
  <c r="AY15" i="2" l="1"/>
  <c r="AY16" i="2" s="1"/>
  <c r="AY108" i="2"/>
  <c r="AY264" i="8" l="1"/>
  <c r="AY267" i="8" s="1"/>
  <c r="AY20" i="2"/>
  <c r="AY21" i="2"/>
  <c r="AY26" i="2"/>
  <c r="AZ27" i="2" s="1"/>
  <c r="AY17" i="2"/>
  <c r="AY106" i="2"/>
  <c r="AZ105" i="2"/>
  <c r="AY112" i="2"/>
  <c r="AY329" i="8" s="1"/>
  <c r="AZ111" i="2"/>
  <c r="AY115" i="2"/>
  <c r="AY107" i="2"/>
  <c r="AY119" i="2"/>
  <c r="AY120" i="2" s="1"/>
  <c r="AY109" i="2"/>
  <c r="AY117" i="2"/>
  <c r="AY266" i="8" l="1"/>
  <c r="AY265" i="8"/>
  <c r="AZ123" i="2"/>
  <c r="AZ124" i="2" s="1"/>
  <c r="AZ128" i="2" s="1"/>
  <c r="AZ227" i="8" s="1"/>
  <c r="AY28" i="2"/>
  <c r="AY27" i="2"/>
  <c r="AZ107" i="2"/>
  <c r="AZ106" i="2"/>
  <c r="AZ112" i="2"/>
  <c r="AZ329" i="8" s="1"/>
  <c r="AZ115" i="2"/>
  <c r="BG542" i="111"/>
  <c r="AY121" i="2"/>
  <c r="AY123" i="2"/>
  <c r="AY124" i="2" s="1"/>
  <c r="AZ129" i="2" l="1"/>
  <c r="AY128" i="2"/>
  <c r="AY227" i="8" s="1"/>
  <c r="AY129" i="2"/>
  <c r="BH545" i="111" l="1"/>
  <c r="AY67" i="2" l="1"/>
  <c r="AZ61" i="2" s="1"/>
  <c r="AY38" i="2" l="1"/>
  <c r="AY42" i="2"/>
  <c r="AY43" i="2"/>
  <c r="AY49" i="2"/>
  <c r="AY63" i="2"/>
  <c r="AY78" i="2" s="1"/>
  <c r="AY77" i="2" s="1"/>
  <c r="AY64" i="2"/>
  <c r="AY82" i="2" s="1"/>
  <c r="AY65" i="2"/>
  <c r="AY70" i="2" s="1"/>
  <c r="AY73" i="2" s="1"/>
  <c r="AY102" i="2"/>
  <c r="AY50" i="2" l="1"/>
  <c r="BG560" i="111"/>
  <c r="AY39" i="2"/>
  <c r="AY72" i="2"/>
  <c r="AY322" i="8" s="1"/>
  <c r="AY323" i="8" s="1"/>
  <c r="AY53" i="2"/>
  <c r="AY66" i="2"/>
  <c r="AY51" i="2"/>
  <c r="AY31" i="2"/>
  <c r="AY318" i="112"/>
  <c r="AZ47" i="58" l="1"/>
  <c r="AY52" i="2"/>
  <c r="AY280" i="8" s="1"/>
  <c r="AY281" i="8" s="1"/>
  <c r="AY325" i="8"/>
  <c r="AY324" i="8"/>
  <c r="AY54" i="2"/>
  <c r="AY55" i="2"/>
  <c r="AY290" i="8" s="1"/>
  <c r="AY291" i="8" s="1"/>
  <c r="AY319" i="112"/>
  <c r="AY32" i="2" a="1"/>
  <c r="AY32" i="2" s="1"/>
  <c r="AY283" i="8" l="1"/>
  <c r="AY282" i="8"/>
  <c r="AY292" i="8"/>
  <c r="AY293" i="8"/>
  <c r="AY35" i="2"/>
  <c r="AZ32" i="2" a="1"/>
  <c r="AZ32" i="2" s="1"/>
  <c r="T29" i="11"/>
  <c r="AY34" i="2"/>
  <c r="AY270" i="8" s="1"/>
  <c r="AY36" i="2" l="1"/>
  <c r="AY275" i="8" s="1"/>
  <c r="AY277" i="8" s="1"/>
  <c r="U29" i="11"/>
  <c r="AZ34" i="2"/>
  <c r="AZ270" i="8" s="1"/>
  <c r="AZ35" i="2"/>
  <c r="AZ36" i="2" s="1"/>
  <c r="AZ275" i="8" s="1"/>
  <c r="AY273" i="8"/>
  <c r="AY271" i="8"/>
  <c r="AY272" i="8"/>
  <c r="BA47" i="58"/>
  <c r="AK29" i="11"/>
  <c r="AJ29" i="11"/>
  <c r="AY278" i="8" l="1"/>
  <c r="AY276" i="8"/>
  <c r="AZ272" i="8"/>
  <c r="AZ271" i="8"/>
  <c r="AZ273" i="8"/>
  <c r="AZ276" i="8"/>
  <c r="AZ277" i="8"/>
  <c r="AZ278" i="8"/>
  <c r="AT206" i="94" l="1"/>
  <c r="AT324" i="94"/>
  <c r="AT359" i="94" l="1"/>
  <c r="AT395" i="94" s="1"/>
  <c r="AT326" i="94"/>
  <c r="AT396" i="94"/>
  <c r="AT438" i="94"/>
  <c r="AT455" i="94" l="1"/>
  <c r="BA518" i="111" s="1"/>
  <c r="BA510" i="111"/>
  <c r="AT441" i="94"/>
  <c r="AT447" i="94" s="1"/>
  <c r="AT338" i="94"/>
  <c r="AT334" i="94"/>
  <c r="AT335" i="94"/>
  <c r="AT361" i="94"/>
  <c r="AT336" i="94"/>
  <c r="AT341" i="94"/>
  <c r="AT339" i="94"/>
  <c r="AT340" i="94"/>
  <c r="AT330" i="94"/>
  <c r="AT333" i="94"/>
  <c r="AT343" i="94"/>
  <c r="AT332" i="94"/>
  <c r="AT337" i="94"/>
  <c r="AT331" i="94"/>
  <c r="AT342" i="94"/>
  <c r="BA526" i="111" l="1"/>
  <c r="BB526" i="111"/>
  <c r="BA513" i="111"/>
  <c r="AT458" i="94"/>
  <c r="BA521" i="111" s="1"/>
  <c r="AT446" i="94"/>
  <c r="AT445" i="94"/>
  <c r="AT449" i="94"/>
  <c r="AT448" i="94"/>
  <c r="AT344" i="94"/>
  <c r="BB529" i="111" l="1"/>
  <c r="BA529" i="111"/>
  <c r="AT450" i="94"/>
  <c r="BH542" i="111" l="1"/>
  <c r="BH459" i="111" l="1"/>
  <c r="V38" i="11"/>
  <c r="X20" i="71" s="1"/>
  <c r="BH460" i="111" l="1"/>
  <c r="BH498" i="111"/>
  <c r="V127" i="111"/>
  <c r="V61" i="111"/>
  <c r="V67" i="111" s="1"/>
  <c r="AZ7" i="4"/>
  <c r="V16" i="46"/>
  <c r="AZ29" i="4" l="1"/>
  <c r="V12" i="46"/>
  <c r="BH503" i="111"/>
  <c r="AZ29" i="112" l="1"/>
  <c r="AZ33" i="112"/>
  <c r="AZ41" i="112"/>
  <c r="AZ250" i="112" l="1"/>
  <c r="BD251" i="112" s="1"/>
  <c r="BD42" i="112"/>
  <c r="AZ34" i="112"/>
  <c r="AZ30" i="112"/>
  <c r="AZ164" i="8" s="1"/>
  <c r="AZ49" i="112"/>
  <c r="AZ50" i="112" s="1"/>
  <c r="AZ153" i="8" s="1"/>
  <c r="V870" i="111"/>
  <c r="V880" i="111" s="1"/>
  <c r="V885" i="111" s="1"/>
  <c r="AZ42" i="112"/>
  <c r="AZ25" i="112"/>
  <c r="BD26" i="112" l="1"/>
  <c r="BD27" i="112"/>
  <c r="BD44" i="112"/>
  <c r="BH46" i="112" s="1"/>
  <c r="AZ257" i="112"/>
  <c r="AZ258" i="112" s="1"/>
  <c r="AZ265" i="112"/>
  <c r="AZ251" i="112"/>
  <c r="AZ266" i="112"/>
  <c r="AZ165" i="8"/>
  <c r="AZ166" i="8"/>
  <c r="AZ154" i="8"/>
  <c r="AZ155" i="8"/>
  <c r="BH469" i="111"/>
  <c r="BH440" i="111"/>
  <c r="AZ27" i="112"/>
  <c r="AZ26" i="112"/>
  <c r="AZ152" i="8" l="1"/>
  <c r="BD149" i="8"/>
  <c r="BD148" i="8"/>
  <c r="BD46" i="112"/>
  <c r="BD49" i="112"/>
  <c r="BD50" i="112" s="1"/>
  <c r="BD153" i="8" s="1"/>
  <c r="AZ163" i="8"/>
  <c r="AZ148" i="8"/>
  <c r="AZ149" i="8"/>
  <c r="BH441" i="111"/>
  <c r="BH470" i="111"/>
  <c r="BD146" i="8" l="1"/>
  <c r="BD150" i="8" s="1"/>
  <c r="BD155" i="8"/>
  <c r="BD154" i="8"/>
  <c r="AZ146" i="8"/>
  <c r="AZ150" i="8" s="1"/>
  <c r="BD152" i="8" l="1"/>
  <c r="BH463" i="111" l="1"/>
  <c r="V39" i="11"/>
  <c r="X21" i="71" s="1"/>
  <c r="BH464" i="111" l="1"/>
  <c r="BH500" i="111"/>
  <c r="V62" i="111"/>
  <c r="V68" i="111" s="1"/>
  <c r="V129" i="111"/>
  <c r="AZ9" i="4"/>
  <c r="AZ92" i="112"/>
  <c r="BD111" i="112" s="1"/>
  <c r="AZ98" i="112"/>
  <c r="V17" i="46"/>
  <c r="AZ31" i="4" l="1"/>
  <c r="BD116" i="112"/>
  <c r="BD253" i="112"/>
  <c r="BD114" i="112"/>
  <c r="AZ93" i="112"/>
  <c r="AZ167" i="8"/>
  <c r="V14" i="46"/>
  <c r="BH505" i="111"/>
  <c r="AZ94" i="112"/>
  <c r="AZ95" i="112" s="1"/>
  <c r="AZ99" i="112"/>
  <c r="AZ184" i="8" s="1"/>
  <c r="BH473" i="111"/>
  <c r="BH444" i="111"/>
  <c r="BD117" i="112" l="1"/>
  <c r="BD178" i="8" s="1"/>
  <c r="BD179" i="8" s="1"/>
  <c r="BD255" i="112"/>
  <c r="BD257" i="112"/>
  <c r="BD258" i="112" s="1"/>
  <c r="BD254" i="112"/>
  <c r="AZ186" i="8"/>
  <c r="AZ185" i="8"/>
  <c r="AZ183" i="8" s="1"/>
  <c r="AZ173" i="8"/>
  <c r="AZ174" i="8"/>
  <c r="BH445" i="111"/>
  <c r="BH474" i="111"/>
  <c r="BD180" i="8" l="1"/>
  <c r="BD177" i="8"/>
  <c r="AZ171" i="8"/>
  <c r="AZ175" i="8" s="1"/>
  <c r="BH461" i="111" l="1"/>
  <c r="V40" i="11"/>
  <c r="X22" i="71" s="1"/>
  <c r="BH462" i="111" l="1"/>
  <c r="BH499" i="111"/>
  <c r="V63" i="111"/>
  <c r="V69" i="111" s="1"/>
  <c r="V128" i="111"/>
  <c r="AZ8" i="4"/>
  <c r="AZ174" i="112"/>
  <c r="V18" i="46"/>
  <c r="AZ30" i="4" l="1"/>
  <c r="V13" i="46"/>
  <c r="AZ175" i="112"/>
  <c r="AZ204" i="8" s="1"/>
  <c r="BH504" i="111"/>
  <c r="BH481" i="111"/>
  <c r="BH563" i="111"/>
  <c r="BH454" i="111"/>
  <c r="BH448" i="111"/>
  <c r="AZ205" i="8" l="1"/>
  <c r="AZ206" i="8"/>
  <c r="AZ10" i="4"/>
  <c r="V60" i="11"/>
  <c r="BH438" i="111"/>
  <c r="BH456" i="111"/>
  <c r="AZ251" i="8"/>
  <c r="AZ11" i="4" l="1"/>
  <c r="AZ203" i="8"/>
  <c r="N7" i="27"/>
  <c r="BH439" i="111"/>
  <c r="BH560" i="111"/>
  <c r="AZ13" i="4" l="1"/>
  <c r="AZ12" i="4"/>
  <c r="AZ20" i="4"/>
  <c r="BD13" i="4"/>
  <c r="AZ18" i="4"/>
  <c r="BB46" i="58"/>
  <c r="AZ19" i="4" l="1"/>
  <c r="AZ34" i="4"/>
  <c r="AZ44" i="4" s="1"/>
  <c r="BH537" i="111"/>
  <c r="BH538" i="111" s="1"/>
  <c r="AZ21" i="4"/>
  <c r="BH491" i="111"/>
  <c r="AZ49" i="4"/>
  <c r="AZ62" i="2" s="1"/>
  <c r="AZ71" i="2" s="1"/>
  <c r="AZ72" i="2" s="1"/>
  <c r="AZ322" i="8" s="1"/>
  <c r="AZ121" i="2"/>
  <c r="BA33" i="58"/>
  <c r="BA34" i="58" s="1"/>
  <c r="AZ22" i="4" s="1"/>
  <c r="AZ51" i="4"/>
  <c r="BH477" i="111"/>
  <c r="BB51" i="58"/>
  <c r="AZ318" i="112"/>
  <c r="AZ35" i="4" l="1"/>
  <c r="BD35" i="4"/>
  <c r="AZ36" i="4"/>
  <c r="AZ55" i="4"/>
  <c r="BD56" i="4" s="1"/>
  <c r="AZ105" i="4"/>
  <c r="V151" i="11" s="1"/>
  <c r="AZ319" i="112"/>
  <c r="BH554" i="111"/>
  <c r="BH539" i="111"/>
  <c r="AZ23" i="4"/>
  <c r="AZ53" i="4"/>
  <c r="BH478" i="111"/>
  <c r="AZ312" i="112"/>
  <c r="AZ313" i="112" s="1"/>
  <c r="AZ229" i="8" s="1"/>
  <c r="AZ314" i="112"/>
  <c r="AZ315" i="112" s="1"/>
  <c r="AZ46" i="4"/>
  <c r="AZ66" i="2"/>
  <c r="BB50" i="58"/>
  <c r="AZ323" i="8"/>
  <c r="AZ324" i="8"/>
  <c r="AZ325" i="8"/>
  <c r="BH551" i="111" l="1"/>
  <c r="N61" i="27"/>
  <c r="AZ109" i="4"/>
  <c r="AZ56" i="4"/>
  <c r="AZ57" i="4"/>
  <c r="BH487" i="111"/>
  <c r="AZ305" i="112"/>
  <c r="BD24" i="4"/>
  <c r="AZ24" i="4"/>
  <c r="AZ28" i="4"/>
  <c r="AZ317" i="112"/>
  <c r="AZ54" i="4"/>
  <c r="BH548" i="111"/>
  <c r="AZ59" i="112" l="1"/>
  <c r="AZ116" i="4"/>
  <c r="V154" i="11"/>
  <c r="V27" i="76" s="1"/>
  <c r="AZ124" i="112"/>
  <c r="AZ159" i="8" s="1"/>
  <c r="BH489" i="111"/>
  <c r="AZ293" i="112"/>
  <c r="AZ208" i="112"/>
  <c r="AZ306" i="112"/>
  <c r="BH532" i="111"/>
  <c r="AZ134" i="4" l="1"/>
  <c r="AZ139" i="4" s="1"/>
  <c r="AZ140" i="4" s="1"/>
  <c r="AZ102" i="2"/>
  <c r="AZ160" i="8"/>
  <c r="AZ161" i="8"/>
  <c r="AZ290" i="112"/>
  <c r="AZ294" i="112"/>
  <c r="BH533" i="111"/>
  <c r="AZ158" i="8" l="1"/>
  <c r="AZ219" i="8"/>
  <c r="BH484" i="111"/>
  <c r="AZ291" i="112"/>
  <c r="AZ214" i="8" s="1"/>
  <c r="AZ215" i="8" l="1"/>
  <c r="AZ216" i="8"/>
  <c r="AZ217" i="8"/>
  <c r="AZ221" i="8"/>
  <c r="AZ220" i="8"/>
  <c r="AZ222" i="8"/>
  <c r="AZ76" i="2" l="1"/>
  <c r="AZ77" i="2" s="1"/>
  <c r="AZ60" i="4"/>
  <c r="AZ73" i="2" l="1"/>
  <c r="AZ61" i="4"/>
  <c r="BH557" i="111" s="1"/>
  <c r="AZ62" i="4"/>
  <c r="V113" i="11"/>
  <c r="N25" i="27" s="1"/>
  <c r="N112" i="27" l="1"/>
  <c r="V189" i="11"/>
  <c r="V204" i="11"/>
  <c r="V215" i="11" s="1"/>
  <c r="V111" i="11"/>
  <c r="V112" i="11" l="1"/>
  <c r="N23" i="27"/>
  <c r="N24" i="27" l="1"/>
  <c r="BI477" i="111" l="1"/>
  <c r="BI478" i="111" s="1"/>
  <c r="BI491" i="111"/>
  <c r="BI493" i="111"/>
  <c r="BJ493" i="111"/>
  <c r="BI494" i="111"/>
  <c r="BJ494" i="111"/>
  <c r="BI495" i="111"/>
  <c r="BJ495" i="111"/>
  <c r="BI537" i="111"/>
  <c r="BI545" i="111"/>
  <c r="BJ545" i="111"/>
  <c r="BI548" i="111"/>
  <c r="V65" i="11"/>
  <c r="V67" i="11"/>
  <c r="V69" i="11"/>
  <c r="V73" i="11"/>
  <c r="V74" i="11"/>
  <c r="V75" i="11"/>
  <c r="V88" i="11"/>
  <c r="N11" i="27" s="1"/>
  <c r="V89" i="11"/>
  <c r="V22" i="76" s="1"/>
  <c r="V26" i="76" s="1"/>
  <c r="V92" i="11"/>
  <c r="V97" i="11"/>
  <c r="V155" i="11" s="1"/>
  <c r="V100" i="11"/>
  <c r="N18" i="27" s="1"/>
  <c r="BB33" i="58"/>
  <c r="V173" i="11" l="1"/>
  <c r="V160" i="11"/>
  <c r="V163" i="11" s="1"/>
  <c r="X24" i="71"/>
  <c r="X26" i="71"/>
  <c r="X31" i="71"/>
  <c r="V21" i="76"/>
  <c r="X25" i="71"/>
  <c r="AO12" i="71"/>
  <c r="I10" i="71"/>
  <c r="N16" i="27"/>
  <c r="N69" i="27" s="1"/>
  <c r="N29" i="27"/>
  <c r="BI499" i="111"/>
  <c r="BI504" i="111" s="1"/>
  <c r="BI498" i="111"/>
  <c r="BI503" i="111" s="1"/>
  <c r="BJ500" i="111"/>
  <c r="BJ505" i="111" s="1"/>
  <c r="BI500" i="111"/>
  <c r="BI505" i="111" s="1"/>
  <c r="BJ499" i="111"/>
  <c r="BJ504" i="111" s="1"/>
  <c r="V82" i="11"/>
  <c r="X29" i="71" s="1"/>
  <c r="N10" i="27"/>
  <c r="V81" i="11"/>
  <c r="X28" i="71" s="1"/>
  <c r="N13" i="27"/>
  <c r="BB34" i="58"/>
  <c r="BA22" i="4" s="1"/>
  <c r="BJ498" i="111"/>
  <c r="V106" i="11"/>
  <c r="V83" i="11"/>
  <c r="X30" i="71" s="1"/>
  <c r="V196" i="111"/>
  <c r="V275" i="111"/>
  <c r="V102" i="11"/>
  <c r="V195" i="111"/>
  <c r="V194" i="111"/>
  <c r="BA45" i="2"/>
  <c r="BA130" i="2"/>
  <c r="BA132" i="2" s="1"/>
  <c r="BB130" i="2"/>
  <c r="V127" i="11"/>
  <c r="V141" i="11"/>
  <c r="BA58" i="112"/>
  <c r="BB58" i="112"/>
  <c r="BA123" i="112"/>
  <c r="BA128" i="112" s="1"/>
  <c r="BA129" i="112" s="1"/>
  <c r="BB123" i="112"/>
  <c r="BA207" i="112"/>
  <c r="BA212" i="112" s="1"/>
  <c r="BA213" i="112" s="1"/>
  <c r="BB207" i="112"/>
  <c r="BA245" i="112"/>
  <c r="BA278" i="112" s="1"/>
  <c r="BA279" i="112" s="1"/>
  <c r="BB245" i="112"/>
  <c r="BB278" i="112" s="1"/>
  <c r="BB279" i="112" s="1"/>
  <c r="BA311" i="112"/>
  <c r="BA315" i="112" s="1"/>
  <c r="BB311" i="112"/>
  <c r="BA312" i="112"/>
  <c r="V22" i="46"/>
  <c r="V26" i="46" s="1"/>
  <c r="V23" i="46"/>
  <c r="V27" i="46" s="1"/>
  <c r="V24" i="46"/>
  <c r="V28" i="46" s="1"/>
  <c r="BB269" i="112" l="1"/>
  <c r="BB272" i="112" s="1"/>
  <c r="BA63" i="112"/>
  <c r="BA64" i="112" s="1"/>
  <c r="BA269" i="112"/>
  <c r="BA272" i="112" s="1"/>
  <c r="BB244" i="8"/>
  <c r="BB212" i="112"/>
  <c r="BB213" i="112" s="1"/>
  <c r="BB238" i="8"/>
  <c r="BB128" i="112"/>
  <c r="BB129" i="112" s="1"/>
  <c r="BB232" i="8"/>
  <c r="BB63" i="112"/>
  <c r="BB64" i="112" s="1"/>
  <c r="BA23" i="4"/>
  <c r="BA24" i="4" s="1"/>
  <c r="V23" i="76"/>
  <c r="I13" i="71"/>
  <c r="I43" i="71" s="1"/>
  <c r="AO15" i="71"/>
  <c r="AO45" i="71" s="1"/>
  <c r="I12" i="71"/>
  <c r="I42" i="71" s="1"/>
  <c r="I40" i="71"/>
  <c r="AO42" i="71"/>
  <c r="AL60" i="71"/>
  <c r="AL62" i="71" s="1"/>
  <c r="BB132" i="2"/>
  <c r="BB246" i="112"/>
  <c r="BA232" i="8"/>
  <c r="BA238" i="8"/>
  <c r="BA244" i="8"/>
  <c r="V204" i="111"/>
  <c r="V209" i="111" s="1"/>
  <c r="BB209" i="112"/>
  <c r="BB245" i="8" s="1"/>
  <c r="BB246" i="8" s="1"/>
  <c r="BB125" i="112"/>
  <c r="BB239" i="8" s="1"/>
  <c r="BB241" i="8" s="1"/>
  <c r="BB60" i="112"/>
  <c r="BB233" i="8" s="1"/>
  <c r="BB234" i="8" s="1"/>
  <c r="V206" i="111"/>
  <c r="V211" i="111" s="1"/>
  <c r="V71" i="11"/>
  <c r="BA241" i="112"/>
  <c r="BA60" i="112"/>
  <c r="BA233" i="8" s="1"/>
  <c r="BA234" i="8" s="1"/>
  <c r="BA209" i="112"/>
  <c r="BA245" i="8" s="1"/>
  <c r="BA246" i="8" s="1"/>
  <c r="BA125" i="112"/>
  <c r="BA239" i="8" s="1"/>
  <c r="BA242" i="8" s="1"/>
  <c r="BJ503" i="111"/>
  <c r="BB300" i="112"/>
  <c r="BB224" i="8" s="1"/>
  <c r="BB288" i="112"/>
  <c r="BB267" i="112"/>
  <c r="BB247" i="112"/>
  <c r="BB309" i="112"/>
  <c r="BA313" i="112"/>
  <c r="BA229" i="8" s="1"/>
  <c r="BA300" i="112"/>
  <c r="BA224" i="8" s="1"/>
  <c r="BA296" i="112"/>
  <c r="BA297" i="112" s="1"/>
  <c r="V196" i="11"/>
  <c r="V211" i="11"/>
  <c r="V205" i="111"/>
  <c r="V210" i="111" s="1"/>
  <c r="BA309" i="112"/>
  <c r="BA288" i="112"/>
  <c r="BI481" i="111" s="1"/>
  <c r="BA284" i="112"/>
  <c r="BA285" i="112" s="1"/>
  <c r="BA209" i="8" s="1"/>
  <c r="BA267" i="112"/>
  <c r="BA247" i="112"/>
  <c r="BA246" i="112"/>
  <c r="N41" i="27"/>
  <c r="BJ454" i="111"/>
  <c r="BB238" i="112"/>
  <c r="BF255" i="112" s="1"/>
  <c r="BI551" i="111"/>
  <c r="BI554" i="111"/>
  <c r="BI454" i="111"/>
  <c r="BA238" i="112"/>
  <c r="BI557" i="111"/>
  <c r="BB241" i="112"/>
  <c r="N64" i="27"/>
  <c r="V172" i="11"/>
  <c r="N57" i="27"/>
  <c r="V276" i="111"/>
  <c r="V279" i="111"/>
  <c r="V115" i="11"/>
  <c r="N20" i="27"/>
  <c r="N127" i="27" s="1"/>
  <c r="V214" i="111"/>
  <c r="V199" i="111"/>
  <c r="V200" i="111"/>
  <c r="V215" i="111"/>
  <c r="N21" i="27"/>
  <c r="N26" i="27" s="1"/>
  <c r="V216" i="111"/>
  <c r="V201" i="111"/>
  <c r="BA305" i="112" l="1"/>
  <c r="BI487" i="111"/>
  <c r="BA270" i="112"/>
  <c r="BA271" i="112" s="1"/>
  <c r="BA274" i="112"/>
  <c r="BA275" i="112" s="1"/>
  <c r="BB270" i="112"/>
  <c r="BB271" i="112" s="1"/>
  <c r="BB274" i="112"/>
  <c r="BB275" i="112" s="1"/>
  <c r="BA208" i="112"/>
  <c r="BA28" i="4"/>
  <c r="BB126" i="112"/>
  <c r="BB236" i="8"/>
  <c r="BB235" i="8"/>
  <c r="BB247" i="8"/>
  <c r="BB210" i="112"/>
  <c r="BB248" i="8"/>
  <c r="BB61" i="112"/>
  <c r="BA236" i="8"/>
  <c r="BA210" i="112"/>
  <c r="BA248" i="8"/>
  <c r="BA247" i="8"/>
  <c r="BB242" i="8"/>
  <c r="BB240" i="8"/>
  <c r="BA242" i="112"/>
  <c r="BJ563" i="111"/>
  <c r="BA306" i="112"/>
  <c r="BA59" i="112"/>
  <c r="BA124" i="112"/>
  <c r="BA159" i="8" s="1"/>
  <c r="BA160" i="8" s="1"/>
  <c r="BJ481" i="111"/>
  <c r="V72" i="11"/>
  <c r="BA126" i="112"/>
  <c r="BA235" i="8"/>
  <c r="BJ465" i="111"/>
  <c r="BA61" i="112"/>
  <c r="BI563" i="111"/>
  <c r="BJ448" i="111"/>
  <c r="BA251" i="8"/>
  <c r="BA240" i="8"/>
  <c r="BA302" i="112"/>
  <c r="BA293" i="112" s="1"/>
  <c r="BA294" i="112" s="1"/>
  <c r="BA210" i="8"/>
  <c r="BA211" i="8"/>
  <c r="BA212" i="8"/>
  <c r="BA241" i="8"/>
  <c r="BB242" i="112"/>
  <c r="BI438" i="111"/>
  <c r="BA239" i="112"/>
  <c r="BI465" i="111"/>
  <c r="V41" i="11"/>
  <c r="BH488" i="111"/>
  <c r="BI490" i="111"/>
  <c r="BI488" i="111"/>
  <c r="BF488" i="111"/>
  <c r="BI489" i="111"/>
  <c r="BG488" i="111"/>
  <c r="BG455" i="111"/>
  <c r="BH455" i="111"/>
  <c r="BI455" i="111"/>
  <c r="BI456" i="111"/>
  <c r="BF490" i="111"/>
  <c r="BF455" i="111"/>
  <c r="BG490" i="111"/>
  <c r="BH490" i="111"/>
  <c r="BI538" i="111"/>
  <c r="BA71" i="2"/>
  <c r="BJ456" i="111"/>
  <c r="BJ438" i="111"/>
  <c r="BB239" i="112"/>
  <c r="BI448" i="111"/>
  <c r="BI532" i="111" l="1"/>
  <c r="X23" i="71"/>
  <c r="V62" i="76"/>
  <c r="V63" i="76"/>
  <c r="V64" i="76"/>
  <c r="BA161" i="8"/>
  <c r="V21" i="46"/>
  <c r="BA290" i="112"/>
  <c r="BA303" i="112"/>
  <c r="BA158" i="8"/>
  <c r="BJ439" i="111"/>
  <c r="BI539" i="111"/>
  <c r="V64" i="111"/>
  <c r="V130" i="111"/>
  <c r="V36" i="11"/>
  <c r="V12" i="76" s="1"/>
  <c r="V19" i="46"/>
  <c r="BI439" i="111"/>
  <c r="BI484" i="111"/>
  <c r="BA219" i="8"/>
  <c r="BI533" i="111"/>
  <c r="BG534" i="111"/>
  <c r="BH534" i="111"/>
  <c r="BI534" i="111"/>
  <c r="BF534" i="111"/>
  <c r="V20" i="76" l="1"/>
  <c r="V71" i="76"/>
  <c r="V66" i="76"/>
  <c r="AO11" i="71"/>
  <c r="I9" i="71"/>
  <c r="X18" i="71"/>
  <c r="BA291" i="112"/>
  <c r="BA214" i="8" s="1"/>
  <c r="BA216" i="8" s="1"/>
  <c r="BA221" i="8"/>
  <c r="BA220" i="8"/>
  <c r="BA222" i="8"/>
  <c r="V61" i="11"/>
  <c r="V64" i="11"/>
  <c r="V66" i="11"/>
  <c r="V68" i="11"/>
  <c r="V70" i="11"/>
  <c r="X32" i="71" s="1"/>
  <c r="V37" i="11"/>
  <c r="X19" i="71" s="1"/>
  <c r="N6" i="27"/>
  <c r="N8" i="27" s="1"/>
  <c r="W850" i="111"/>
  <c r="V15" i="46"/>
  <c r="V107" i="11"/>
  <c r="V80" i="11"/>
  <c r="X27" i="71" s="1"/>
  <c r="Y54" i="71" l="1"/>
  <c r="I39" i="71"/>
  <c r="I11" i="71"/>
  <c r="I41" i="71" s="1"/>
  <c r="AO41" i="71"/>
  <c r="AL57" i="71"/>
  <c r="AL59" i="71" s="1"/>
  <c r="AO13" i="71"/>
  <c r="AO43" i="71" s="1"/>
  <c r="N137" i="27"/>
  <c r="BA217" i="8"/>
  <c r="BA215" i="8"/>
  <c r="N135" i="27"/>
  <c r="V11" i="46"/>
  <c r="V250" i="111"/>
  <c r="V20" i="46"/>
  <c r="V25" i="46"/>
  <c r="N12" i="27"/>
  <c r="N15" i="27" s="1"/>
  <c r="N17" i="27" s="1"/>
  <c r="N126" i="27"/>
  <c r="V62" i="11"/>
  <c r="V90" i="11"/>
  <c r="AO14" i="71" l="1"/>
  <c r="AO44" i="71" s="1"/>
  <c r="V91" i="11"/>
  <c r="V96" i="11"/>
  <c r="V249" i="111"/>
  <c r="N136" i="27"/>
  <c r="V99" i="11" l="1"/>
  <c r="V98" i="11"/>
  <c r="V24" i="76" s="1"/>
  <c r="V251" i="111"/>
  <c r="V25" i="76" l="1"/>
  <c r="V30" i="76" s="1"/>
  <c r="V31" i="76" s="1"/>
  <c r="V123" i="11" l="1"/>
  <c r="V124" i="11"/>
  <c r="V129" i="11"/>
  <c r="V130" i="11"/>
  <c r="V131" i="11"/>
  <c r="V132" i="11"/>
  <c r="V135" i="11"/>
  <c r="V136" i="11"/>
  <c r="V140" i="11"/>
  <c r="N53" i="27"/>
  <c r="N56" i="27"/>
  <c r="X39" i="71" l="1"/>
  <c r="V179" i="11"/>
  <c r="N44" i="27"/>
  <c r="N43" i="27"/>
  <c r="N45" i="27"/>
  <c r="N52" i="27"/>
  <c r="N129" i="27" s="1"/>
  <c r="N50" i="27"/>
  <c r="N46" i="27"/>
  <c r="V166" i="11"/>
  <c r="N38" i="27"/>
  <c r="N49" i="27"/>
  <c r="V142" i="11"/>
  <c r="N39" i="27"/>
  <c r="V176" i="11"/>
  <c r="V213" i="11"/>
  <c r="V198" i="11"/>
  <c r="V169" i="11"/>
  <c r="V170" i="11"/>
  <c r="V167" i="11"/>
  <c r="N111" i="27"/>
  <c r="V180" i="11"/>
  <c r="V128" i="11"/>
  <c r="V388" i="111"/>
  <c r="V332" i="111"/>
  <c r="V333" i="111"/>
  <c r="V382" i="111"/>
  <c r="V387" i="111"/>
  <c r="V381" i="111"/>
  <c r="V384" i="111"/>
  <c r="BA6" i="2"/>
  <c r="BB6" i="2"/>
  <c r="BB7" i="2" s="1"/>
  <c r="BA8" i="2"/>
  <c r="BB8" i="2"/>
  <c r="BB10" i="2" s="1"/>
  <c r="BA11" i="2"/>
  <c r="BB11" i="2"/>
  <c r="BB12" i="2" s="1"/>
  <c r="BA15" i="2"/>
  <c r="BB15" i="2"/>
  <c r="BB21" i="2"/>
  <c r="BA41" i="2"/>
  <c r="BB44" i="2" s="1"/>
  <c r="BA48" i="2"/>
  <c r="BB48" i="2"/>
  <c r="BC51" i="2" s="1"/>
  <c r="BA67" i="2"/>
  <c r="BB61" i="2" s="1"/>
  <c r="BB67" i="2"/>
  <c r="BC61" i="2" s="1"/>
  <c r="BA101" i="2"/>
  <c r="BB101" i="2"/>
  <c r="BA108" i="2"/>
  <c r="BB105" i="2" s="1"/>
  <c r="BB108" i="2"/>
  <c r="BC105" i="2" s="1"/>
  <c r="BC111" i="2"/>
  <c r="N67" i="27"/>
  <c r="N68" i="27"/>
  <c r="X37" i="71" l="1"/>
  <c r="V178" i="11"/>
  <c r="V206" i="11"/>
  <c r="AO18" i="71"/>
  <c r="AO48" i="71" s="1"/>
  <c r="I18" i="71"/>
  <c r="I45" i="71" s="1"/>
  <c r="BA7" i="2"/>
  <c r="BA16" i="2"/>
  <c r="BA12" i="2"/>
  <c r="BA10" i="2"/>
  <c r="N31" i="27"/>
  <c r="BA20" i="2"/>
  <c r="BA21" i="2"/>
  <c r="V394" i="111"/>
  <c r="V36" i="46"/>
  <c r="V32" i="46"/>
  <c r="V383" i="111"/>
  <c r="V190" i="11"/>
  <c r="N58" i="27"/>
  <c r="V168" i="11"/>
  <c r="V205" i="11"/>
  <c r="N42" i="27"/>
  <c r="N47" i="27" s="1"/>
  <c r="BC106" i="2"/>
  <c r="BC107" i="2"/>
  <c r="BC45" i="2"/>
  <c r="BC53" i="2"/>
  <c r="BB119" i="2"/>
  <c r="BB120" i="2" s="1"/>
  <c r="BC115" i="2"/>
  <c r="BC112" i="2"/>
  <c r="BC329" i="8" s="1"/>
  <c r="V69" i="46"/>
  <c r="BD46" i="58"/>
  <c r="BA17" i="2"/>
  <c r="BA9" i="2"/>
  <c r="BA26" i="2"/>
  <c r="BB17" i="2"/>
  <c r="BB117" i="2"/>
  <c r="BB26" i="2"/>
  <c r="BC27" i="2" s="1"/>
  <c r="BB109" i="2"/>
  <c r="V191" i="11"/>
  <c r="V133" i="11"/>
  <c r="V171" i="11"/>
  <c r="N66" i="27"/>
  <c r="N70" i="27"/>
  <c r="BA109" i="2"/>
  <c r="BB111" i="2"/>
  <c r="BB115" i="2" s="1"/>
  <c r="BA112" i="2"/>
  <c r="BA329" i="8" s="1"/>
  <c r="BC46" i="58"/>
  <c r="BB45" i="2"/>
  <c r="BA119" i="2"/>
  <c r="BA120" i="2" s="1"/>
  <c r="BA115" i="2"/>
  <c r="BA117" i="2"/>
  <c r="BB107" i="2"/>
  <c r="BA107" i="2"/>
  <c r="BB106" i="2"/>
  <c r="BA106" i="2"/>
  <c r="BB254" i="8"/>
  <c r="V389" i="111"/>
  <c r="AO19" i="71" l="1"/>
  <c r="AO49" i="71" s="1"/>
  <c r="I19" i="71"/>
  <c r="I46" i="71" s="1"/>
  <c r="X38" i="71"/>
  <c r="BA254" i="8"/>
  <c r="BA257" i="8" s="1"/>
  <c r="BA264" i="8"/>
  <c r="BA259" i="8"/>
  <c r="BA261" i="8" s="1"/>
  <c r="V341" i="111" s="1"/>
  <c r="V323" i="111" s="1"/>
  <c r="V183" i="11"/>
  <c r="V184" i="11" s="1"/>
  <c r="V37" i="46"/>
  <c r="V209" i="11"/>
  <c r="V194" i="11"/>
  <c r="V192" i="11"/>
  <c r="V33" i="46"/>
  <c r="V207" i="11"/>
  <c r="BA28" i="2"/>
  <c r="BJ542" i="111"/>
  <c r="BC123" i="2"/>
  <c r="BC124" i="2" s="1"/>
  <c r="BC54" i="2"/>
  <c r="BC52" i="2"/>
  <c r="BC280" i="8" s="1"/>
  <c r="BC55" i="2"/>
  <c r="BC290" i="8" s="1"/>
  <c r="BA27" i="2"/>
  <c r="BB27" i="2"/>
  <c r="BB112" i="2"/>
  <c r="BB329" i="8" s="1"/>
  <c r="BB28" i="2"/>
  <c r="V195" i="11"/>
  <c r="V193" i="11"/>
  <c r="V174" i="11"/>
  <c r="V846" i="111"/>
  <c r="V847" i="111"/>
  <c r="BC51" i="58"/>
  <c r="BB255" i="8"/>
  <c r="BB257" i="8"/>
  <c r="BB256" i="8"/>
  <c r="BI542" i="111"/>
  <c r="BA123" i="2"/>
  <c r="BA124" i="2" s="1"/>
  <c r="BB123" i="2"/>
  <c r="BB124" i="2" s="1"/>
  <c r="BA121" i="2"/>
  <c r="BA255" i="8" l="1"/>
  <c r="BA256" i="8"/>
  <c r="V336" i="111" s="1"/>
  <c r="V182" i="11"/>
  <c r="BA262" i="8"/>
  <c r="V343" i="111" s="1"/>
  <c r="BA267" i="8"/>
  <c r="V348" i="111" s="1"/>
  <c r="BA266" i="8"/>
  <c r="V346" i="111" s="1"/>
  <c r="V324" i="111" s="1"/>
  <c r="BA265" i="8"/>
  <c r="V347" i="111" s="1"/>
  <c r="BA260" i="8"/>
  <c r="V342" i="111" s="1"/>
  <c r="BC292" i="8"/>
  <c r="BC291" i="8"/>
  <c r="BC293" i="8"/>
  <c r="BC281" i="8"/>
  <c r="BC282" i="8"/>
  <c r="BC283" i="8"/>
  <c r="BC129" i="2"/>
  <c r="BC128" i="2"/>
  <c r="BC227" i="8" s="1"/>
  <c r="BC50" i="58"/>
  <c r="BD51" i="58"/>
  <c r="V67" i="46"/>
  <c r="BA129" i="2"/>
  <c r="BA128" i="2"/>
  <c r="BA227" i="8" s="1"/>
  <c r="N81" i="27"/>
  <c r="BK545" i="111"/>
  <c r="V338" i="111"/>
  <c r="BB129" i="2"/>
  <c r="BB128" i="2"/>
  <c r="BB227" i="8" s="1"/>
  <c r="V337" i="111"/>
  <c r="W346" i="111"/>
  <c r="W324" i="111" s="1"/>
  <c r="W348" i="111"/>
  <c r="W347" i="111"/>
  <c r="V34" i="46" l="1"/>
  <c r="BE51" i="58"/>
  <c r="BD50" i="58"/>
  <c r="V322" i="111"/>
  <c r="BE50" i="58" l="1"/>
  <c r="N62" i="27" l="1"/>
  <c r="N71" i="27" s="1"/>
  <c r="N73" i="27"/>
  <c r="N74" i="27"/>
  <c r="N75" i="27"/>
  <c r="N79" i="27"/>
  <c r="N80" i="27"/>
  <c r="N82" i="27"/>
  <c r="N83" i="27"/>
  <c r="V200" i="11" l="1"/>
  <c r="N77" i="27"/>
  <c r="N84" i="27"/>
  <c r="V181" i="11"/>
  <c r="BA38" i="2"/>
  <c r="BB38" i="2"/>
  <c r="BA42" i="2"/>
  <c r="BB42" i="2"/>
  <c r="BA43" i="2"/>
  <c r="BB43" i="2"/>
  <c r="BA49" i="2"/>
  <c r="BB49" i="2"/>
  <c r="BA63" i="2"/>
  <c r="BA78" i="2" s="1"/>
  <c r="BA77" i="2" s="1"/>
  <c r="BB63" i="2"/>
  <c r="BB78" i="2" s="1"/>
  <c r="BB77" i="2" s="1"/>
  <c r="BA64" i="2"/>
  <c r="BA82" i="2" s="1"/>
  <c r="BB64" i="2"/>
  <c r="BB82" i="2" s="1"/>
  <c r="BA65" i="2"/>
  <c r="BA70" i="2" s="1"/>
  <c r="BB65" i="2"/>
  <c r="BB70" i="2" s="1"/>
  <c r="BA102" i="2"/>
  <c r="N32" i="27" l="1"/>
  <c r="AO17" i="71"/>
  <c r="AO47" i="71" s="1"/>
  <c r="X34" i="71"/>
  <c r="X35" i="71"/>
  <c r="BA50" i="2"/>
  <c r="BJ560" i="111"/>
  <c r="BB51" i="2"/>
  <c r="V35" i="46"/>
  <c r="V71" i="46"/>
  <c r="BA39" i="2"/>
  <c r="BB53" i="2"/>
  <c r="N88" i="27"/>
  <c r="BA51" i="2"/>
  <c r="BB73" i="2"/>
  <c r="BB318" i="112"/>
  <c r="BB39" i="2"/>
  <c r="BA66" i="2"/>
  <c r="BA72" i="2"/>
  <c r="BA322" i="8" s="1"/>
  <c r="BA323" i="8" s="1"/>
  <c r="BA73" i="2"/>
  <c r="BA318" i="112"/>
  <c r="BA53" i="2"/>
  <c r="BI560" i="111"/>
  <c r="BA31" i="2"/>
  <c r="BB50" i="2"/>
  <c r="BB31" i="2"/>
  <c r="N97" i="27"/>
  <c r="N90" i="27" l="1"/>
  <c r="O89" i="27" s="1"/>
  <c r="N131" i="27"/>
  <c r="BC47" i="58"/>
  <c r="V210" i="11"/>
  <c r="BB54" i="2"/>
  <c r="BB55" i="2"/>
  <c r="BB290" i="8" s="1"/>
  <c r="BB293" i="8" s="1"/>
  <c r="BB52" i="2"/>
  <c r="BB280" i="8" s="1"/>
  <c r="BB283" i="8" s="1"/>
  <c r="V208" i="11"/>
  <c r="BA325" i="8"/>
  <c r="BA324" i="8"/>
  <c r="V117" i="11"/>
  <c r="BA319" i="112"/>
  <c r="BB47" i="58"/>
  <c r="BA54" i="2"/>
  <c r="BA55" i="2"/>
  <c r="BA290" i="8" s="1"/>
  <c r="BA52" i="2"/>
  <c r="BA280" i="8" s="1"/>
  <c r="BA32" i="2" a="1"/>
  <c r="BA32" i="2" s="1"/>
  <c r="BB292" i="8" l="1"/>
  <c r="BB291" i="8"/>
  <c r="BB282" i="8"/>
  <c r="BB281" i="8"/>
  <c r="BB32" i="2" a="1"/>
  <c r="BB32" i="2" s="1"/>
  <c r="V29" i="11"/>
  <c r="V118" i="11"/>
  <c r="X40" i="71" s="1"/>
  <c r="BA282" i="8"/>
  <c r="BA283" i="8"/>
  <c r="BA281" i="8"/>
  <c r="BA293" i="8"/>
  <c r="BA292" i="8"/>
  <c r="BA291" i="8"/>
  <c r="V281" i="111"/>
  <c r="V284" i="111" s="1"/>
  <c r="BA34" i="2"/>
  <c r="BA270" i="8" s="1"/>
  <c r="BA35" i="2"/>
  <c r="BB34" i="2" l="1"/>
  <c r="BB270" i="8" s="1"/>
  <c r="BB273" i="8" s="1"/>
  <c r="BB35" i="2"/>
  <c r="V302" i="111"/>
  <c r="N27" i="27"/>
  <c r="BA271" i="8"/>
  <c r="BA272" i="8"/>
  <c r="BA273" i="8"/>
  <c r="V282" i="111"/>
  <c r="V285" i="111" s="1"/>
  <c r="BA36" i="2"/>
  <c r="BA275" i="8" s="1"/>
  <c r="BB271" i="8" l="1"/>
  <c r="BB272" i="8"/>
  <c r="BB36" i="2"/>
  <c r="BB275" i="8" s="1"/>
  <c r="BB276" i="8" s="1"/>
  <c r="BD47" i="58"/>
  <c r="BA276" i="8"/>
  <c r="BA277" i="8"/>
  <c r="BA278" i="8"/>
  <c r="BB277" i="8" l="1"/>
  <c r="BB278" i="8"/>
  <c r="V425" i="111" l="1"/>
  <c r="V77" i="46"/>
  <c r="V420" i="111"/>
  <c r="V75" i="46" l="1"/>
  <c r="V415" i="111"/>
  <c r="BB20" i="2" l="1"/>
  <c r="BB16" i="2"/>
  <c r="BB9" i="2"/>
  <c r="BB259" i="8" l="1"/>
  <c r="BB261" i="8" s="1"/>
  <c r="BB264" i="8"/>
  <c r="BB265" i="8" s="1"/>
  <c r="BB262" i="8" l="1"/>
  <c r="BB260" i="8"/>
  <c r="BB266" i="8"/>
  <c r="BB267" i="8"/>
  <c r="BB284" i="112"/>
  <c r="BB285" i="112" s="1"/>
  <c r="BB209" i="8" s="1"/>
  <c r="BB296" i="112"/>
  <c r="BB10" i="4"/>
  <c r="BB11" i="4" l="1"/>
  <c r="BB302" i="112"/>
  <c r="BB12" i="4"/>
  <c r="BB251" i="8"/>
  <c r="BB210" i="8"/>
  <c r="BB211" i="8"/>
  <c r="BB212" i="8"/>
  <c r="BB297" i="112"/>
  <c r="BB20" i="4" l="1"/>
  <c r="BJ537" i="111" s="1"/>
  <c r="BJ538" i="111" s="1"/>
  <c r="BB13" i="4"/>
  <c r="BB18" i="4"/>
  <c r="BJ477" i="111"/>
  <c r="BF13" i="4"/>
  <c r="BB303" i="112"/>
  <c r="BB49" i="4" l="1"/>
  <c r="BB121" i="2"/>
  <c r="BB51" i="4"/>
  <c r="BB55" i="4" s="1"/>
  <c r="BB21" i="4"/>
  <c r="BJ478" i="111"/>
  <c r="BC33" i="58"/>
  <c r="BC34" i="58" s="1"/>
  <c r="BB22" i="4" s="1"/>
  <c r="BJ491" i="111"/>
  <c r="BB19" i="4"/>
  <c r="BB34" i="4"/>
  <c r="BF35" i="4" s="1"/>
  <c r="BJ539" i="111"/>
  <c r="BB62" i="2" l="1"/>
  <c r="BB105" i="4"/>
  <c r="BB109" i="4" s="1"/>
  <c r="BB53" i="4"/>
  <c r="BB54" i="4" s="1"/>
  <c r="BJ554" i="111"/>
  <c r="BB36" i="4"/>
  <c r="BB319" i="112"/>
  <c r="BB61" i="4"/>
  <c r="BJ557" i="111" s="1"/>
  <c r="BB57" i="4"/>
  <c r="BB35" i="4"/>
  <c r="BB44" i="4"/>
  <c r="BB46" i="4" s="1"/>
  <c r="BB62" i="4"/>
  <c r="BB56" i="4"/>
  <c r="BJ551" i="111"/>
  <c r="BF56" i="4"/>
  <c r="BB23" i="4"/>
  <c r="BB116" i="4"/>
  <c r="BB71" i="2"/>
  <c r="BB72" i="2" s="1"/>
  <c r="BB322" i="8" s="1"/>
  <c r="BB324" i="8" s="1"/>
  <c r="BB66" i="2"/>
  <c r="BB317" i="112" l="1"/>
  <c r="BB314" i="112"/>
  <c r="BB315" i="112" s="1"/>
  <c r="BB312" i="112"/>
  <c r="BB313" i="112" s="1"/>
  <c r="BB229" i="8" s="1"/>
  <c r="BB305" i="112"/>
  <c r="BB306" i="112" s="1"/>
  <c r="BB28" i="4"/>
  <c r="BB134" i="4"/>
  <c r="BB139" i="4" s="1"/>
  <c r="BB140" i="4" s="1"/>
  <c r="BJ487" i="111"/>
  <c r="BB24" i="4"/>
  <c r="BJ548" i="111"/>
  <c r="BB325" i="8"/>
  <c r="BB323" i="8"/>
  <c r="BB293" i="112" l="1"/>
  <c r="BB290" i="112" s="1"/>
  <c r="BB208" i="112"/>
  <c r="BJ532" i="111"/>
  <c r="BB124" i="112"/>
  <c r="BB159" i="8" s="1"/>
  <c r="BB160" i="8" s="1"/>
  <c r="BB59" i="112"/>
  <c r="BJ489" i="111"/>
  <c r="BB102" i="2"/>
  <c r="BJ533" i="111" l="1"/>
  <c r="BB294" i="112"/>
  <c r="BJ484" i="111" s="1"/>
  <c r="BB161" i="8"/>
  <c r="BB158" i="8"/>
  <c r="BB219" i="8"/>
  <c r="BB291" i="112"/>
  <c r="BB214" i="8" s="1"/>
  <c r="BB221" i="8" l="1"/>
  <c r="BB222" i="8"/>
  <c r="BB220" i="8"/>
  <c r="BB215" i="8"/>
  <c r="BB217" i="8"/>
  <c r="BB216" i="8"/>
  <c r="BK495" i="111" l="1"/>
  <c r="BK493" i="111" l="1"/>
  <c r="BK494" i="111" l="1"/>
  <c r="BK542" i="111" l="1"/>
  <c r="BC7" i="4" l="1"/>
  <c r="BC29" i="4" l="1"/>
  <c r="BK459" i="111"/>
  <c r="BK498" i="111" l="1"/>
  <c r="BK503" i="111" s="1"/>
  <c r="BK460" i="111"/>
  <c r="BC29" i="112" l="1"/>
  <c r="BG30" i="112" s="1"/>
  <c r="BG164" i="8" s="1"/>
  <c r="BC41" i="112"/>
  <c r="BG42" i="112" l="1"/>
  <c r="BG166" i="8"/>
  <c r="BG165" i="8"/>
  <c r="BG163" i="8" s="1"/>
  <c r="BC25" i="112"/>
  <c r="BC42" i="112"/>
  <c r="BC250" i="112"/>
  <c r="BC49" i="112"/>
  <c r="BC30" i="112"/>
  <c r="BC164" i="8" s="1"/>
  <c r="BG251" i="112" l="1"/>
  <c r="BG26" i="112"/>
  <c r="BG27" i="112"/>
  <c r="BG44" i="112"/>
  <c r="BK46" i="112" s="1"/>
  <c r="BC50" i="112"/>
  <c r="BC153" i="8" s="1"/>
  <c r="BC155" i="8" s="1"/>
  <c r="BC251" i="112"/>
  <c r="BC266" i="112"/>
  <c r="BC265" i="112"/>
  <c r="BC257" i="112"/>
  <c r="BC258" i="112" s="1"/>
  <c r="BC166" i="8"/>
  <c r="BC165" i="8"/>
  <c r="BC26" i="112"/>
  <c r="BK469" i="111"/>
  <c r="BC27" i="112"/>
  <c r="BK440" i="111"/>
  <c r="BG149" i="8" l="1"/>
  <c r="BG148" i="8"/>
  <c r="BG46" i="112"/>
  <c r="BG49" i="112"/>
  <c r="BG50" i="112" s="1"/>
  <c r="BG153" i="8" s="1"/>
  <c r="BC154" i="8"/>
  <c r="BC152" i="8" s="1"/>
  <c r="BC163" i="8"/>
  <c r="BC148" i="8"/>
  <c r="BC149" i="8"/>
  <c r="BK441" i="111"/>
  <c r="BK470" i="111"/>
  <c r="BG146" i="8" l="1"/>
  <c r="BG150" i="8" s="1"/>
  <c r="BG155" i="8"/>
  <c r="BG154" i="8"/>
  <c r="BC146" i="8"/>
  <c r="BC150" i="8" s="1"/>
  <c r="BG152" i="8" l="1"/>
  <c r="BO440" i="111"/>
  <c r="BO469" i="111"/>
  <c r="BO459" i="111"/>
  <c r="BO470" i="111" l="1"/>
  <c r="BO460" i="111"/>
  <c r="BO441" i="111"/>
  <c r="BO493" i="111" l="1"/>
  <c r="BO498" i="111" l="1"/>
  <c r="BO503" i="111" l="1"/>
  <c r="BC9" i="4" l="1"/>
  <c r="BC31" i="4" l="1"/>
  <c r="BK463" i="111" l="1"/>
  <c r="BC92" i="112"/>
  <c r="BC98" i="112"/>
  <c r="BG99" i="112" s="1"/>
  <c r="BG184" i="8" s="1"/>
  <c r="BG185" i="8" l="1"/>
  <c r="BG186" i="8"/>
  <c r="BC93" i="112"/>
  <c r="BG93" i="112"/>
  <c r="BG111" i="112"/>
  <c r="BK114" i="112" s="1"/>
  <c r="BK500" i="111"/>
  <c r="BK464" i="111"/>
  <c r="BC94" i="112"/>
  <c r="BC167" i="8"/>
  <c r="BC173" i="8"/>
  <c r="BC174" i="8"/>
  <c r="BC99" i="112"/>
  <c r="BC184" i="8" s="1"/>
  <c r="BK473" i="111"/>
  <c r="BK444" i="111"/>
  <c r="BG183" i="8" l="1"/>
  <c r="BC95" i="112"/>
  <c r="BG95" i="112"/>
  <c r="BG114" i="112"/>
  <c r="BG116" i="112"/>
  <c r="BG117" i="112" s="1"/>
  <c r="BG178" i="8" s="1"/>
  <c r="BG253" i="112"/>
  <c r="BK254" i="112" s="1"/>
  <c r="BC171" i="8"/>
  <c r="BK505" i="111"/>
  <c r="BC186" i="8"/>
  <c r="BC185" i="8"/>
  <c r="BK445" i="111"/>
  <c r="BK474" i="111"/>
  <c r="BG180" i="8" l="1"/>
  <c r="BG179" i="8"/>
  <c r="BG177" i="8" s="1"/>
  <c r="BG255" i="112"/>
  <c r="BG254" i="112"/>
  <c r="BG257" i="112"/>
  <c r="BG258" i="112" s="1"/>
  <c r="BC183" i="8"/>
  <c r="BO444" i="111" l="1"/>
  <c r="BO463" i="111"/>
  <c r="BO473" i="111" l="1"/>
  <c r="BO464" i="111"/>
  <c r="BO445" i="111"/>
  <c r="BO495" i="111" l="1"/>
  <c r="BO500" i="111" s="1"/>
  <c r="BO474" i="111"/>
  <c r="BO505" i="111" l="1"/>
  <c r="BK454" i="111" l="1"/>
  <c r="BK456" i="111" l="1"/>
  <c r="BK448" i="111"/>
  <c r="BC8" i="4"/>
  <c r="BC30" i="4" l="1"/>
  <c r="BC10" i="4"/>
  <c r="BK438" i="111"/>
  <c r="BC11" i="4" l="1"/>
  <c r="BK439" i="111"/>
  <c r="BC16" i="4"/>
  <c r="BC12" i="4" l="1"/>
  <c r="BC13" i="4"/>
  <c r="BC18" i="4"/>
  <c r="BC15" i="4"/>
  <c r="BK477" i="111"/>
  <c r="BK478" i="111" s="1"/>
  <c r="W899" i="111"/>
  <c r="W897" i="111"/>
  <c r="W898" i="111"/>
  <c r="BC20" i="4"/>
  <c r="BK481" i="111"/>
  <c r="BK563" i="111"/>
  <c r="BC34" i="4"/>
  <c r="BC49" i="4"/>
  <c r="BC19" i="4"/>
  <c r="BK491" i="111"/>
  <c r="BC62" i="2" l="1"/>
  <c r="BE121" i="2"/>
  <c r="BC121" i="2"/>
  <c r="BC105" i="4"/>
  <c r="BC53" i="4"/>
  <c r="BC44" i="4"/>
  <c r="BC36" i="4"/>
  <c r="BC35" i="4"/>
  <c r="BC21" i="4"/>
  <c r="BD33" i="58"/>
  <c r="BK537" i="111"/>
  <c r="BC51" i="4"/>
  <c r="BC317" i="112" l="1"/>
  <c r="BC312" i="112"/>
  <c r="BC314" i="112"/>
  <c r="BC109" i="4"/>
  <c r="W151" i="11"/>
  <c r="O61" i="27"/>
  <c r="BD34" i="58"/>
  <c r="BC22" i="4" s="1"/>
  <c r="BC46" i="4"/>
  <c r="BC54" i="4"/>
  <c r="BK538" i="111"/>
  <c r="BC55" i="4"/>
  <c r="BK554" i="111"/>
  <c r="BK548" i="111" l="1"/>
  <c r="BC23" i="4"/>
  <c r="BC116" i="4"/>
  <c r="W154" i="11"/>
  <c r="BC315" i="112"/>
  <c r="BC313" i="112"/>
  <c r="BC229" i="8" s="1"/>
  <c r="BC66" i="2"/>
  <c r="BC71" i="2"/>
  <c r="BC72" i="2" s="1"/>
  <c r="BC322" i="8" s="1"/>
  <c r="BC318" i="112"/>
  <c r="BK551" i="111"/>
  <c r="BC57" i="4"/>
  <c r="BC56" i="4"/>
  <c r="BK539" i="111"/>
  <c r="BC28" i="4" l="1"/>
  <c r="BC305" i="112"/>
  <c r="BC293" i="112" s="1"/>
  <c r="BC24" i="4"/>
  <c r="BK487" i="111"/>
  <c r="BK489" i="111" s="1"/>
  <c r="BC134" i="4"/>
  <c r="BC139" i="4" s="1"/>
  <c r="BC140" i="4" s="1"/>
  <c r="BC102" i="2"/>
  <c r="W27" i="76"/>
  <c r="BC319" i="112"/>
  <c r="T288" i="111"/>
  <c r="BC124" i="112"/>
  <c r="BC159" i="8" s="1"/>
  <c r="BC161" i="8" s="1"/>
  <c r="BC59" i="112"/>
  <c r="BC208" i="112"/>
  <c r="BC325" i="8"/>
  <c r="BC324" i="8"/>
  <c r="BC323" i="8"/>
  <c r="BK532" i="111"/>
  <c r="BC306" i="112" l="1"/>
  <c r="R288" i="111"/>
  <c r="S288" i="111"/>
  <c r="U288" i="111"/>
  <c r="BC160" i="8"/>
  <c r="BC158" i="8" s="1"/>
  <c r="BC290" i="112"/>
  <c r="BC294" i="112"/>
  <c r="BC219" i="8" s="1"/>
  <c r="BC220" i="8" s="1"/>
  <c r="BK533" i="111"/>
  <c r="BC291" i="112" l="1"/>
  <c r="BC214" i="8" s="1"/>
  <c r="BC216" i="8" s="1"/>
  <c r="BK484" i="111"/>
  <c r="BC221" i="8"/>
  <c r="BC222" i="8"/>
  <c r="BC217" i="8" l="1"/>
  <c r="BC215" i="8"/>
  <c r="BK461" i="111" l="1"/>
  <c r="BC174" i="112"/>
  <c r="BC175" i="112" l="1"/>
  <c r="BC204" i="8" s="1"/>
  <c r="BC205" i="8" s="1"/>
  <c r="BG175" i="112"/>
  <c r="BG204" i="8" s="1"/>
  <c r="BK499" i="111"/>
  <c r="BK462" i="111"/>
  <c r="BG206" i="8" l="1"/>
  <c r="BG205" i="8"/>
  <c r="BG203" i="8" s="1"/>
  <c r="BC206" i="8"/>
  <c r="BC203" i="8" s="1"/>
  <c r="BK504" i="111"/>
  <c r="BG8" i="4" l="1"/>
  <c r="BG30" i="4" l="1"/>
  <c r="BO461" i="111"/>
  <c r="BO462" i="111" l="1"/>
  <c r="BO454" i="111"/>
  <c r="BG10" i="4"/>
  <c r="BG11" i="4" l="1"/>
  <c r="BO448" i="111"/>
  <c r="BO438" i="111"/>
  <c r="BG16" i="4"/>
  <c r="BO456" i="111"/>
  <c r="BO494" i="111"/>
  <c r="BG12" i="4" l="1"/>
  <c r="BG13" i="4"/>
  <c r="BG18" i="4"/>
  <c r="BG15" i="4"/>
  <c r="BG20" i="4"/>
  <c r="BO477" i="111"/>
  <c r="BO499" i="111"/>
  <c r="BO439" i="111"/>
  <c r="BG49" i="4" l="1"/>
  <c r="X67" i="11"/>
  <c r="BG19" i="4"/>
  <c r="BG34" i="4"/>
  <c r="X65" i="11"/>
  <c r="AK65" i="11" s="1"/>
  <c r="BG105" i="4"/>
  <c r="BG109" i="4" s="1"/>
  <c r="BG62" i="2"/>
  <c r="K10" i="71"/>
  <c r="AQ12" i="71"/>
  <c r="X102" i="11"/>
  <c r="X106" i="11"/>
  <c r="X168" i="11"/>
  <c r="X209" i="11"/>
  <c r="X194" i="11"/>
  <c r="X69" i="11"/>
  <c r="BG121" i="2"/>
  <c r="BG21" i="4"/>
  <c r="BG51" i="4"/>
  <c r="BG53" i="4"/>
  <c r="BO563" i="111"/>
  <c r="BO481" i="111"/>
  <c r="BO504" i="111"/>
  <c r="BO478" i="111"/>
  <c r="AK106" i="11" l="1"/>
  <c r="AC7" i="76"/>
  <c r="AC8" i="76"/>
  <c r="BG44" i="4"/>
  <c r="BG35" i="4"/>
  <c r="BG36" i="4"/>
  <c r="BG314" i="112"/>
  <c r="BG315" i="112" s="1"/>
  <c r="X33" i="46"/>
  <c r="AK102" i="11"/>
  <c r="BG116" i="4"/>
  <c r="X154" i="11"/>
  <c r="K13" i="71"/>
  <c r="AQ15" i="71"/>
  <c r="AQ42" i="71"/>
  <c r="K12" i="71"/>
  <c r="K42" i="71" s="1"/>
  <c r="K40" i="71"/>
  <c r="Z31" i="71"/>
  <c r="AN60" i="71"/>
  <c r="Z39" i="71"/>
  <c r="X115" i="11"/>
  <c r="X211" i="11"/>
  <c r="X174" i="11"/>
  <c r="X196" i="11"/>
  <c r="X151" i="11"/>
  <c r="P61" i="27"/>
  <c r="P29" i="27"/>
  <c r="BG54" i="4"/>
  <c r="BG317" i="112"/>
  <c r="X180" i="11"/>
  <c r="X171" i="11"/>
  <c r="X195" i="11"/>
  <c r="BG46" i="4"/>
  <c r="BG312" i="112"/>
  <c r="BG313" i="112" s="1"/>
  <c r="BG229" i="8" s="1"/>
  <c r="BG55" i="4"/>
  <c r="BG62" i="4"/>
  <c r="BH33" i="58"/>
  <c r="BO537" i="111"/>
  <c r="BO491" i="111"/>
  <c r="K43" i="71" l="1"/>
  <c r="BG134" i="4"/>
  <c r="BG139" i="4" s="1"/>
  <c r="BG140" i="4" s="1"/>
  <c r="X27" i="76"/>
  <c r="X173" i="11"/>
  <c r="Q7" i="76"/>
  <c r="AQ19" i="71"/>
  <c r="AQ49" i="71" s="1"/>
  <c r="K19" i="71"/>
  <c r="K46" i="71" s="1"/>
  <c r="Z38" i="71"/>
  <c r="AN63" i="71"/>
  <c r="AQ45" i="71"/>
  <c r="X155" i="11"/>
  <c r="BH34" i="58"/>
  <c r="BG22" i="4" s="1"/>
  <c r="X67" i="46"/>
  <c r="BG61" i="4"/>
  <c r="BG56" i="4"/>
  <c r="BG57" i="4"/>
  <c r="BO538" i="111"/>
  <c r="BG23" i="4" l="1"/>
  <c r="X160" i="11"/>
  <c r="X163" i="11" s="1"/>
  <c r="AN65" i="71"/>
  <c r="BG102" i="2"/>
  <c r="X210" i="11"/>
  <c r="BO539" i="111"/>
  <c r="BG28" i="4" l="1"/>
  <c r="BG305" i="112"/>
  <c r="BG124" i="112" s="1"/>
  <c r="BG159" i="8" s="1"/>
  <c r="BG161" i="8" s="1"/>
  <c r="BG24" i="4"/>
  <c r="BO487" i="111"/>
  <c r="BO532" i="111"/>
  <c r="Q8" i="76"/>
  <c r="V288" i="111"/>
  <c r="X75" i="46"/>
  <c r="BG306" i="112" l="1"/>
  <c r="BO489" i="111"/>
  <c r="BG59" i="112"/>
  <c r="BG293" i="112"/>
  <c r="BG290" i="112" s="1"/>
  <c r="BG291" i="112" s="1"/>
  <c r="BG214" i="8" s="1"/>
  <c r="BO533" i="111"/>
  <c r="BG208" i="112"/>
  <c r="BG160" i="8"/>
  <c r="BG158" i="8" s="1"/>
  <c r="BG218" i="8" l="1"/>
  <c r="BG294" i="112"/>
  <c r="BG219" i="8" s="1"/>
  <c r="BG222" i="8" s="1"/>
  <c r="BG215" i="8"/>
  <c r="BG217" i="8"/>
  <c r="BG216" i="8"/>
  <c r="BO484" i="111" l="1"/>
  <c r="BG220" i="8"/>
  <c r="BG221" i="8"/>
  <c r="BP221" i="8" s="1"/>
  <c r="BT221" i="8" s="1"/>
  <c r="BX221" i="8" s="1"/>
  <c r="CB221" i="8" s="1"/>
  <c r="CF221" i="8" s="1"/>
  <c r="CJ221" i="8" s="1"/>
  <c r="CN221" i="8" s="1"/>
  <c r="CR221" i="8" s="1"/>
  <c r="CV221" i="8" s="1"/>
  <c r="BK560" i="111"/>
  <c r="BC31" i="2" l="1"/>
  <c r="BC32" i="2" l="1" a="1"/>
  <c r="BC32" i="2" s="1"/>
  <c r="BC34" i="2" l="1"/>
  <c r="BC270" i="8" s="1"/>
  <c r="BC272" i="8" s="1"/>
  <c r="BC35" i="2"/>
  <c r="BC273" i="8" l="1"/>
  <c r="BC271" i="8"/>
  <c r="BC36" i="2"/>
  <c r="BC275" i="8" s="1"/>
  <c r="BC278" i="8" s="1"/>
  <c r="BC276" i="8" l="1"/>
  <c r="BC277" i="8"/>
  <c r="BO560" i="111"/>
  <c r="BC60" i="4" l="1"/>
  <c r="BC62" i="4" l="1"/>
  <c r="BC61" i="4"/>
  <c r="BK557" i="111" s="1"/>
  <c r="BC73" i="2"/>
  <c r="BC76" i="2"/>
  <c r="BC77" i="2" s="1"/>
  <c r="W872" i="111" l="1"/>
  <c r="W882" i="111" s="1"/>
  <c r="W887" i="111" s="1"/>
  <c r="BL440" i="111" l="1"/>
  <c r="BL469" i="111"/>
  <c r="W870" i="111"/>
  <c r="W880" i="111" s="1"/>
  <c r="W885" i="111" s="1"/>
  <c r="BL470" i="111" l="1"/>
  <c r="BP470" i="111"/>
  <c r="BL441" i="111"/>
  <c r="BP441" i="111"/>
  <c r="BL459" i="111" l="1"/>
  <c r="BP460" i="111" s="1"/>
  <c r="BL460" i="111" l="1"/>
  <c r="BD29" i="112"/>
  <c r="BH30" i="112" s="1"/>
  <c r="BD33" i="112"/>
  <c r="BH34" i="112" s="1"/>
  <c r="BD34" i="112" l="1"/>
  <c r="BD30" i="112"/>
  <c r="BD164" i="8" s="1"/>
  <c r="BD166" i="8" l="1"/>
  <c r="BD165" i="8"/>
  <c r="BD163" i="8" s="1"/>
  <c r="BL463" i="111" l="1"/>
  <c r="BP464" i="111" s="1"/>
  <c r="BL464" i="111" l="1"/>
  <c r="BD92" i="112"/>
  <c r="BD98" i="112"/>
  <c r="BH99" i="112" s="1"/>
  <c r="BH93" i="112" l="1"/>
  <c r="BH111" i="112"/>
  <c r="BD93" i="112"/>
  <c r="BD174" i="8"/>
  <c r="BD167" i="8"/>
  <c r="BD99" i="112"/>
  <c r="BD184" i="8" s="1"/>
  <c r="BL473" i="111"/>
  <c r="BP474" i="111" s="1"/>
  <c r="BL444" i="111"/>
  <c r="BP445" i="111" s="1"/>
  <c r="BD94" i="112"/>
  <c r="BH95" i="112" s="1"/>
  <c r="BH116" i="112" l="1"/>
  <c r="BH117" i="112" s="1"/>
  <c r="BH253" i="112"/>
  <c r="BH114" i="112"/>
  <c r="BD95" i="112"/>
  <c r="BD173" i="8"/>
  <c r="BD171" i="8" s="1"/>
  <c r="BD175" i="8" s="1"/>
  <c r="BD185" i="8"/>
  <c r="BD186" i="8"/>
  <c r="BL445" i="111"/>
  <c r="BL474" i="111"/>
  <c r="BH257" i="112" l="1"/>
  <c r="BH258" i="112" s="1"/>
  <c r="BH254" i="112"/>
  <c r="BD183" i="8"/>
  <c r="BL461" i="111" l="1"/>
  <c r="BP462" i="111" s="1"/>
  <c r="W40" i="11"/>
  <c r="Y22" i="71" l="1"/>
  <c r="W128" i="111"/>
  <c r="BL462" i="111"/>
  <c r="W28" i="11"/>
  <c r="W63" i="111"/>
  <c r="W69" i="111" s="1"/>
  <c r="BD174" i="112"/>
  <c r="BH175" i="112" s="1"/>
  <c r="W18" i="46"/>
  <c r="Y10" i="71" l="1"/>
  <c r="W13" i="46"/>
  <c r="BD175" i="112"/>
  <c r="BD204" i="8" s="1"/>
  <c r="BD206" i="8" l="1"/>
  <c r="BD205" i="8"/>
  <c r="BD203" i="8" l="1"/>
  <c r="BD76" i="2" l="1"/>
  <c r="BL477" i="111" l="1"/>
  <c r="BL487" i="111"/>
  <c r="BL491" i="111"/>
  <c r="BL493" i="111"/>
  <c r="BL494" i="111"/>
  <c r="BL495" i="111"/>
  <c r="BL532" i="111"/>
  <c r="BL537" i="111"/>
  <c r="BL545" i="111"/>
  <c r="BL548" i="111"/>
  <c r="BL554" i="111"/>
  <c r="BL498" i="111" l="1"/>
  <c r="BL500" i="111"/>
  <c r="BL499" i="111"/>
  <c r="BL533" i="111"/>
  <c r="BL489" i="111"/>
  <c r="BL478" i="111"/>
  <c r="BD45" i="2"/>
  <c r="BD130" i="2"/>
  <c r="BD58" i="112"/>
  <c r="BD123" i="112"/>
  <c r="BD207" i="112"/>
  <c r="BD245" i="112"/>
  <c r="BD278" i="112" s="1"/>
  <c r="BD305" i="112"/>
  <c r="BD311" i="112"/>
  <c r="BD312" i="112"/>
  <c r="BD279" i="112" l="1"/>
  <c r="BH279" i="112"/>
  <c r="BD269" i="112"/>
  <c r="BD244" i="8"/>
  <c r="BD212" i="112"/>
  <c r="BD213" i="112" s="1"/>
  <c r="BD238" i="8"/>
  <c r="BD128" i="112"/>
  <c r="BD129" i="112" s="1"/>
  <c r="BD232" i="8"/>
  <c r="BD63" i="112"/>
  <c r="BD64" i="112" s="1"/>
  <c r="BD132" i="2"/>
  <c r="BD315" i="112"/>
  <c r="BH246" i="112"/>
  <c r="BL505" i="111"/>
  <c r="BP505" i="111"/>
  <c r="BL503" i="111"/>
  <c r="BP503" i="111"/>
  <c r="BP504" i="111"/>
  <c r="BD71" i="2"/>
  <c r="BE71" i="2"/>
  <c r="BE72" i="2" s="1"/>
  <c r="BE322" i="8" s="1"/>
  <c r="BL504" i="111"/>
  <c r="BD209" i="112"/>
  <c r="BH210" i="112" s="1"/>
  <c r="BD313" i="112"/>
  <c r="BD229" i="8" s="1"/>
  <c r="BD208" i="112"/>
  <c r="BD309" i="112"/>
  <c r="BD60" i="112"/>
  <c r="BH61" i="112" s="1"/>
  <c r="BD247" i="112"/>
  <c r="BD300" i="112"/>
  <c r="BD224" i="8" s="1"/>
  <c r="BD124" i="112"/>
  <c r="BD159" i="8" s="1"/>
  <c r="BD306" i="112"/>
  <c r="BD288" i="112"/>
  <c r="BL557" i="111"/>
  <c r="BL454" i="111"/>
  <c r="BP456" i="111" s="1"/>
  <c r="BD59" i="112"/>
  <c r="BD284" i="112"/>
  <c r="BD238" i="112"/>
  <c r="BD125" i="112"/>
  <c r="BH126" i="112" s="1"/>
  <c r="BD296" i="112"/>
  <c r="BD267" i="112"/>
  <c r="BD246" i="112"/>
  <c r="BD241" i="112"/>
  <c r="BH242" i="112" s="1"/>
  <c r="BL551" i="111"/>
  <c r="BD272" i="112" l="1"/>
  <c r="BH272" i="112"/>
  <c r="BD270" i="112"/>
  <c r="BD274" i="112"/>
  <c r="BD275" i="112" s="1"/>
  <c r="BH239" i="112"/>
  <c r="BH255" i="112"/>
  <c r="BD233" i="8"/>
  <c r="BD234" i="8" s="1"/>
  <c r="BD239" i="8"/>
  <c r="BD242" i="8" s="1"/>
  <c r="BD210" i="112"/>
  <c r="BD245" i="8"/>
  <c r="BD246" i="8" s="1"/>
  <c r="BE325" i="8"/>
  <c r="BE323" i="8"/>
  <c r="BE324" i="8"/>
  <c r="BD61" i="112"/>
  <c r="BL481" i="111"/>
  <c r="BL448" i="111"/>
  <c r="BL563" i="111"/>
  <c r="BD251" i="8"/>
  <c r="BD160" i="8"/>
  <c r="BD161" i="8"/>
  <c r="BL465" i="111"/>
  <c r="BD285" i="112"/>
  <c r="BD209" i="8" s="1"/>
  <c r="BD297" i="112"/>
  <c r="BD302" i="112"/>
  <c r="BD126" i="112"/>
  <c r="BL456" i="111"/>
  <c r="BL538" i="111"/>
  <c r="BD242" i="112"/>
  <c r="BL438" i="111"/>
  <c r="BP439" i="111" s="1"/>
  <c r="BD239" i="112"/>
  <c r="BD271" i="112" l="1"/>
  <c r="BH271" i="112"/>
  <c r="BD236" i="8"/>
  <c r="BD235" i="8"/>
  <c r="BD241" i="8"/>
  <c r="BD240" i="8"/>
  <c r="BD247" i="8"/>
  <c r="BD248" i="8"/>
  <c r="BD158" i="8"/>
  <c r="BD212" i="8"/>
  <c r="BD211" i="8"/>
  <c r="BD210" i="8"/>
  <c r="BL439" i="111"/>
  <c r="BD303" i="112"/>
  <c r="BD293" i="112"/>
  <c r="BL539" i="111"/>
  <c r="BM323" i="8" l="1"/>
  <c r="BM322" i="8" s="1"/>
  <c r="BM72" i="2" s="1"/>
  <c r="BD290" i="112"/>
  <c r="BD294" i="112"/>
  <c r="BD219" i="8" s="1"/>
  <c r="BQ323" i="8" l="1"/>
  <c r="BQ322" i="8"/>
  <c r="BQ72" i="2" s="1"/>
  <c r="BD222" i="8"/>
  <c r="BD221" i="8"/>
  <c r="BD220" i="8"/>
  <c r="BD291" i="112"/>
  <c r="BD214" i="8" s="1"/>
  <c r="BL484" i="111"/>
  <c r="BU322" i="8" l="1"/>
  <c r="BU72" i="2" s="1"/>
  <c r="BD217" i="8"/>
  <c r="BD216" i="8"/>
  <c r="BD215" i="8"/>
  <c r="BY322" i="8" l="1"/>
  <c r="BY72" i="2" s="1"/>
  <c r="CC323" i="8" l="1"/>
  <c r="CC322" i="8"/>
  <c r="CC72" i="2" s="1"/>
  <c r="CG323" i="8" l="1"/>
  <c r="CG322" i="8"/>
  <c r="CG72" i="2" s="1"/>
  <c r="CW323" i="8" l="1"/>
  <c r="CW322" i="8"/>
  <c r="CW72" i="2" s="1"/>
  <c r="CS323" i="8"/>
  <c r="CS322" i="8"/>
  <c r="CS72" i="2" s="1"/>
  <c r="CO323" i="8"/>
  <c r="CO322" i="8"/>
  <c r="CO72" i="2" s="1"/>
  <c r="CK323" i="8"/>
  <c r="CK322" i="8" s="1"/>
  <c r="CK72" i="2" s="1"/>
  <c r="BD6" i="2" l="1"/>
  <c r="BD7" i="2" s="1"/>
  <c r="BD8" i="2"/>
  <c r="BD9" i="2" s="1"/>
  <c r="BD11" i="2"/>
  <c r="BD12" i="2" s="1"/>
  <c r="BD15" i="2"/>
  <c r="BD16" i="2" s="1"/>
  <c r="BD41" i="2"/>
  <c r="BD48" i="2"/>
  <c r="BD67" i="2"/>
  <c r="BE61" i="2" s="1"/>
  <c r="BE66" i="2" s="1"/>
  <c r="BD101" i="2"/>
  <c r="BD108" i="2"/>
  <c r="O53" i="27"/>
  <c r="BD259" i="8" l="1"/>
  <c r="BD261" i="8" s="1"/>
  <c r="BD264" i="8"/>
  <c r="BD267" i="8" s="1"/>
  <c r="BD20" i="2"/>
  <c r="BD21" i="2"/>
  <c r="BE51" i="2"/>
  <c r="BD112" i="2"/>
  <c r="BD329" i="8" s="1"/>
  <c r="BE111" i="2"/>
  <c r="BD107" i="2"/>
  <c r="BE105" i="2"/>
  <c r="BD17" i="2"/>
  <c r="BD10" i="2"/>
  <c r="BD254" i="8"/>
  <c r="BD119" i="2"/>
  <c r="BD120" i="2" s="1"/>
  <c r="BD26" i="2"/>
  <c r="BD115" i="2"/>
  <c r="BD117" i="2"/>
  <c r="BD106" i="2"/>
  <c r="BD109" i="2"/>
  <c r="BD262" i="8" l="1"/>
  <c r="BD260" i="8"/>
  <c r="BD265" i="8"/>
  <c r="BD266" i="8"/>
  <c r="BE106" i="2"/>
  <c r="BE107" i="2"/>
  <c r="BD28" i="2"/>
  <c r="BE27" i="2"/>
  <c r="BE123" i="2"/>
  <c r="BE124" i="2" s="1"/>
  <c r="BE115" i="2"/>
  <c r="BE112" i="2"/>
  <c r="BE329" i="8" s="1"/>
  <c r="BD123" i="2"/>
  <c r="BD124" i="2" s="1"/>
  <c r="BD128" i="2" s="1"/>
  <c r="BD227" i="8" s="1"/>
  <c r="BD121" i="2"/>
  <c r="BL542" i="111"/>
  <c r="BD27" i="2"/>
  <c r="BD257" i="8"/>
  <c r="BD256" i="8"/>
  <c r="BD255" i="8"/>
  <c r="BD129" i="2" l="1"/>
  <c r="BE128" i="2"/>
  <c r="BE227" i="8" s="1"/>
  <c r="BE129" i="2"/>
  <c r="W89" i="11"/>
  <c r="O81" i="27"/>
  <c r="BM545" i="111"/>
  <c r="W92" i="11"/>
  <c r="W22" i="76" l="1"/>
  <c r="W26" i="76" s="1"/>
  <c r="W88" i="11"/>
  <c r="W275" i="111"/>
  <c r="W135" i="11"/>
  <c r="O13" i="27"/>
  <c r="O49" i="27" l="1"/>
  <c r="W387" i="111"/>
  <c r="O11" i="27"/>
  <c r="W276" i="111"/>
  <c r="W279" i="111"/>
  <c r="O62" i="27" l="1"/>
  <c r="O75" i="27"/>
  <c r="O79" i="27"/>
  <c r="O80" i="27"/>
  <c r="O83" i="27"/>
  <c r="BD38" i="2" l="1"/>
  <c r="BD42" i="2"/>
  <c r="BD43" i="2"/>
  <c r="BD49" i="2"/>
  <c r="BD63" i="2"/>
  <c r="BD78" i="2" s="1"/>
  <c r="BD77" i="2" s="1"/>
  <c r="BD64" i="2"/>
  <c r="BD82" i="2" s="1"/>
  <c r="BD65" i="2"/>
  <c r="BD70" i="2" s="1"/>
  <c r="BD102" i="2"/>
  <c r="BL560" i="111" l="1"/>
  <c r="BD51" i="2"/>
  <c r="BD53" i="2"/>
  <c r="BD39" i="2"/>
  <c r="BD66" i="2"/>
  <c r="BD50" i="2"/>
  <c r="BD72" i="2"/>
  <c r="BD322" i="8" s="1"/>
  <c r="BD73" i="2"/>
  <c r="BD318" i="112"/>
  <c r="BD31" i="2"/>
  <c r="BD52" i="2" l="1"/>
  <c r="BD280" i="8" s="1"/>
  <c r="BD282" i="8" s="1"/>
  <c r="BE47" i="58"/>
  <c r="BD54" i="2"/>
  <c r="BD55" i="2"/>
  <c r="BD290" i="8" s="1"/>
  <c r="BD325" i="8"/>
  <c r="BD323" i="8"/>
  <c r="BD324" i="8"/>
  <c r="BD32" i="2" a="1"/>
  <c r="BD32" i="2" s="1"/>
  <c r="BD319" i="112"/>
  <c r="BD35" i="2" l="1"/>
  <c r="BD36" i="2" s="1"/>
  <c r="BD275" i="8" s="1"/>
  <c r="BD283" i="8"/>
  <c r="BD281" i="8"/>
  <c r="BE32" i="2" a="1"/>
  <c r="BE32" i="2" s="1"/>
  <c r="W29" i="11" s="1"/>
  <c r="BD292" i="8"/>
  <c r="BD291" i="8"/>
  <c r="BD293" i="8"/>
  <c r="BD34" i="2"/>
  <c r="BD270" i="8" s="1"/>
  <c r="W281" i="111" l="1"/>
  <c r="W284" i="111" s="1"/>
  <c r="BE34" i="2"/>
  <c r="BE270" i="8" s="1"/>
  <c r="BE35" i="2"/>
  <c r="BD276" i="8"/>
  <c r="BD277" i="8"/>
  <c r="BD278" i="8"/>
  <c r="BD271" i="8"/>
  <c r="BD272" i="8"/>
  <c r="BD273" i="8"/>
  <c r="BL323" i="8"/>
  <c r="BL322" i="8" s="1"/>
  <c r="BL72" i="2" s="1"/>
  <c r="BE273" i="8" l="1"/>
  <c r="BE272" i="8"/>
  <c r="BE271" i="8"/>
  <c r="BP323" i="8"/>
  <c r="BP322" i="8" s="1"/>
  <c r="BP72" i="2" s="1"/>
  <c r="O74" i="27"/>
  <c r="BT322" i="8" l="1"/>
  <c r="BT72" i="2" s="1"/>
  <c r="W123" i="11"/>
  <c r="BX322" i="8" l="1"/>
  <c r="BX72" i="2" s="1"/>
  <c r="O38" i="27"/>
  <c r="BC175" i="8"/>
  <c r="CB323" i="8" l="1"/>
  <c r="CB322" i="8" s="1"/>
  <c r="CB72" i="2" s="1"/>
  <c r="CF323" i="8" l="1"/>
  <c r="CF322" i="8"/>
  <c r="CF72" i="2" s="1"/>
  <c r="CJ323" i="8" l="1"/>
  <c r="CJ322" i="8" s="1"/>
  <c r="CJ72" i="2" s="1"/>
  <c r="CV323" i="8" l="1"/>
  <c r="CV322" i="8"/>
  <c r="CV72" i="2" s="1"/>
  <c r="CR323" i="8"/>
  <c r="CR322" i="8"/>
  <c r="CR72" i="2" s="1"/>
  <c r="CN323" i="8"/>
  <c r="CN322" i="8"/>
  <c r="CN72" i="2" s="1"/>
  <c r="AV4" i="36" l="1"/>
  <c r="BK4" i="36" s="1"/>
  <c r="J120" i="111"/>
  <c r="K120" i="111"/>
  <c r="L120" i="111"/>
  <c r="M120" i="111"/>
  <c r="N120" i="111"/>
  <c r="O120" i="111"/>
  <c r="P120" i="111"/>
  <c r="Q120" i="111"/>
  <c r="R120" i="111"/>
  <c r="S120" i="111"/>
  <c r="T120" i="111"/>
  <c r="U120" i="111"/>
  <c r="V120" i="111"/>
  <c r="X120" i="111"/>
  <c r="Y120" i="111"/>
  <c r="Z120" i="111"/>
  <c r="AA120" i="111"/>
  <c r="AB120" i="111"/>
  <c r="AC120" i="111"/>
  <c r="AD120" i="111"/>
  <c r="AE120" i="111"/>
  <c r="B569" i="111"/>
  <c r="J569" i="111" s="1"/>
  <c r="C569" i="111"/>
  <c r="K569" i="111" s="1"/>
  <c r="D569" i="111"/>
  <c r="L569" i="111" s="1"/>
  <c r="E569" i="111"/>
  <c r="M569" i="111" s="1"/>
  <c r="E581" i="111"/>
  <c r="E583" i="111" s="1"/>
  <c r="CO4" i="36" l="1"/>
  <c r="B577" i="111"/>
  <c r="B576" i="111"/>
  <c r="J727" i="111"/>
  <c r="M727" i="111"/>
  <c r="B727" i="111"/>
  <c r="M671" i="111"/>
  <c r="M729" i="111" s="1"/>
  <c r="J671" i="111"/>
  <c r="J672" i="111" s="1"/>
  <c r="K727" i="111"/>
  <c r="K671" i="111"/>
  <c r="K673" i="111" s="1"/>
  <c r="C727" i="111"/>
  <c r="C578" i="111"/>
  <c r="E727" i="111"/>
  <c r="C671" i="111"/>
  <c r="C729" i="111" s="1"/>
  <c r="B572" i="111"/>
  <c r="E578" i="111"/>
  <c r="C575" i="111"/>
  <c r="E576" i="111"/>
  <c r="E671" i="111"/>
  <c r="E672" i="111" s="1"/>
  <c r="C577" i="111"/>
  <c r="C573" i="111"/>
  <c r="E577" i="111"/>
  <c r="E574" i="111"/>
  <c r="B578" i="111"/>
  <c r="E575" i="111"/>
  <c r="B573" i="111"/>
  <c r="B671" i="111"/>
  <c r="B674" i="111" s="1"/>
  <c r="B575" i="111"/>
  <c r="B574" i="111"/>
  <c r="C572" i="111"/>
  <c r="B571" i="111"/>
  <c r="D573" i="111"/>
  <c r="B570" i="111"/>
  <c r="E587" i="111"/>
  <c r="E584" i="111"/>
  <c r="D581" i="111"/>
  <c r="D583" i="111" s="1"/>
  <c r="E638" i="111"/>
  <c r="E644" i="111" s="1"/>
  <c r="E573" i="111"/>
  <c r="E571" i="111"/>
  <c r="O569" i="111"/>
  <c r="W569" i="111" s="1"/>
  <c r="J571" i="111"/>
  <c r="J577" i="111"/>
  <c r="J576" i="111"/>
  <c r="J570" i="111"/>
  <c r="J575" i="111"/>
  <c r="J574" i="111"/>
  <c r="J573" i="111"/>
  <c r="J572" i="111"/>
  <c r="J578" i="111"/>
  <c r="E607" i="111"/>
  <c r="E595" i="111" s="1"/>
  <c r="D577" i="111"/>
  <c r="C576" i="111"/>
  <c r="E572" i="111"/>
  <c r="D571" i="111"/>
  <c r="D576" i="111"/>
  <c r="D727" i="111"/>
  <c r="D671" i="111"/>
  <c r="D578" i="111"/>
  <c r="D572" i="111"/>
  <c r="C571" i="111"/>
  <c r="L671" i="111"/>
  <c r="L674" i="111" s="1"/>
  <c r="L727" i="111"/>
  <c r="D574" i="111"/>
  <c r="D575" i="111"/>
  <c r="C574" i="111"/>
  <c r="C570" i="111"/>
  <c r="M572" i="111"/>
  <c r="M575" i="111"/>
  <c r="M578" i="111"/>
  <c r="R569" i="111"/>
  <c r="M570" i="111"/>
  <c r="M573" i="111"/>
  <c r="M576" i="111"/>
  <c r="M571" i="111"/>
  <c r="M574" i="111"/>
  <c r="M577" i="111"/>
  <c r="Q569" i="111"/>
  <c r="L570" i="111"/>
  <c r="L573" i="111"/>
  <c r="L576" i="111"/>
  <c r="L571" i="111"/>
  <c r="L574" i="111"/>
  <c r="L577" i="111"/>
  <c r="L572" i="111"/>
  <c r="L575" i="111"/>
  <c r="L578" i="111"/>
  <c r="P569" i="111"/>
  <c r="K570" i="111"/>
  <c r="K573" i="111"/>
  <c r="K576" i="111"/>
  <c r="K571" i="111"/>
  <c r="K574" i="111"/>
  <c r="K577" i="111"/>
  <c r="K572" i="111"/>
  <c r="K575" i="111"/>
  <c r="K578" i="111"/>
  <c r="E593" i="111"/>
  <c r="E588" i="111"/>
  <c r="E585" i="111"/>
  <c r="E582" i="111"/>
  <c r="C581" i="111"/>
  <c r="E570" i="111"/>
  <c r="B581" i="111"/>
  <c r="D570" i="111"/>
  <c r="K593" i="111"/>
  <c r="E589" i="111"/>
  <c r="E586" i="111"/>
  <c r="K676" i="111" l="1"/>
  <c r="C676" i="111"/>
  <c r="K674" i="111"/>
  <c r="K675" i="111"/>
  <c r="E635" i="111"/>
  <c r="K729" i="111"/>
  <c r="B676" i="111"/>
  <c r="E728" i="111"/>
  <c r="E674" i="111"/>
  <c r="E613" i="111"/>
  <c r="C730" i="111"/>
  <c r="J673" i="111"/>
  <c r="C675" i="111"/>
  <c r="J674" i="111"/>
  <c r="C674" i="111"/>
  <c r="J676" i="111"/>
  <c r="J675" i="111"/>
  <c r="E631" i="111"/>
  <c r="C673" i="111"/>
  <c r="J730" i="111"/>
  <c r="E648" i="111"/>
  <c r="C672" i="111"/>
  <c r="J729" i="111"/>
  <c r="E627" i="111"/>
  <c r="C728" i="111"/>
  <c r="K728" i="111"/>
  <c r="M672" i="111"/>
  <c r="B675" i="111"/>
  <c r="M673" i="111"/>
  <c r="B673" i="111"/>
  <c r="B728" i="111"/>
  <c r="D586" i="111"/>
  <c r="M676" i="111"/>
  <c r="D587" i="111"/>
  <c r="M675" i="111"/>
  <c r="M674" i="111"/>
  <c r="M730" i="111"/>
  <c r="E651" i="111"/>
  <c r="E630" i="111"/>
  <c r="E640" i="111"/>
  <c r="E621" i="111"/>
  <c r="X621" i="111" s="1"/>
  <c r="E641" i="111"/>
  <c r="E628" i="111"/>
  <c r="E625" i="111"/>
  <c r="E645" i="111"/>
  <c r="K621" i="111"/>
  <c r="K624" i="111" s="1"/>
  <c r="E632" i="111"/>
  <c r="E634" i="111"/>
  <c r="E642" i="111"/>
  <c r="E649" i="111"/>
  <c r="E629" i="111"/>
  <c r="E650" i="111"/>
  <c r="E624" i="111"/>
  <c r="E639" i="111"/>
  <c r="E646" i="111"/>
  <c r="E626" i="111"/>
  <c r="E622" i="111"/>
  <c r="E633" i="111"/>
  <c r="E643" i="111"/>
  <c r="E623" i="111"/>
  <c r="E647" i="111"/>
  <c r="K672" i="111"/>
  <c r="K730" i="111"/>
  <c r="D579" i="111"/>
  <c r="E596" i="111"/>
  <c r="E612" i="111"/>
  <c r="E579" i="111"/>
  <c r="E673" i="111"/>
  <c r="M728" i="111"/>
  <c r="E675" i="111"/>
  <c r="E729" i="111"/>
  <c r="E730" i="111"/>
  <c r="E676" i="111"/>
  <c r="B672" i="111"/>
  <c r="J728" i="111"/>
  <c r="B730" i="111"/>
  <c r="B729" i="111"/>
  <c r="B579" i="111"/>
  <c r="D593" i="111"/>
  <c r="E610" i="111"/>
  <c r="E601" i="111"/>
  <c r="E603" i="111"/>
  <c r="D638" i="111"/>
  <c r="D641" i="111" s="1"/>
  <c r="D584" i="111"/>
  <c r="D589" i="111"/>
  <c r="E615" i="111"/>
  <c r="E604" i="111"/>
  <c r="E598" i="111"/>
  <c r="J593" i="111"/>
  <c r="J599" i="111" s="1"/>
  <c r="D582" i="111"/>
  <c r="E609" i="111"/>
  <c r="E594" i="111"/>
  <c r="E599" i="111"/>
  <c r="L673" i="111"/>
  <c r="D585" i="111"/>
  <c r="E614" i="111"/>
  <c r="E602" i="111"/>
  <c r="D588" i="111"/>
  <c r="E608" i="111"/>
  <c r="D607" i="111"/>
  <c r="D617" i="111" s="1"/>
  <c r="C579" i="111"/>
  <c r="J579" i="111"/>
  <c r="L672" i="111"/>
  <c r="L675" i="111"/>
  <c r="L730" i="111"/>
  <c r="L676" i="111"/>
  <c r="L729" i="111"/>
  <c r="D674" i="111"/>
  <c r="D676" i="111"/>
  <c r="D729" i="111"/>
  <c r="D672" i="111"/>
  <c r="D675" i="111"/>
  <c r="L728" i="111"/>
  <c r="D730" i="111"/>
  <c r="D673" i="111"/>
  <c r="D728" i="111"/>
  <c r="E611" i="111"/>
  <c r="E600" i="111"/>
  <c r="E616" i="111"/>
  <c r="E617" i="111"/>
  <c r="B582" i="111"/>
  <c r="B585" i="111"/>
  <c r="B588" i="111"/>
  <c r="B593" i="111"/>
  <c r="B584" i="111"/>
  <c r="B587" i="111"/>
  <c r="B583" i="111"/>
  <c r="B586" i="111"/>
  <c r="B589" i="111"/>
  <c r="H593" i="111"/>
  <c r="B607" i="111"/>
  <c r="B638" i="111"/>
  <c r="C583" i="111"/>
  <c r="C586" i="111"/>
  <c r="C589" i="111"/>
  <c r="I593" i="111"/>
  <c r="C582" i="111"/>
  <c r="C585" i="111"/>
  <c r="C588" i="111"/>
  <c r="C593" i="111"/>
  <c r="C584" i="111"/>
  <c r="C587" i="111"/>
  <c r="C607" i="111"/>
  <c r="C638" i="111"/>
  <c r="Y569" i="111"/>
  <c r="L579" i="111"/>
  <c r="Q593" i="111"/>
  <c r="K598" i="111"/>
  <c r="K596" i="111"/>
  <c r="K595" i="111"/>
  <c r="K602" i="111"/>
  <c r="K594" i="111"/>
  <c r="K601" i="111"/>
  <c r="K600" i="111"/>
  <c r="Q607" i="111"/>
  <c r="K599" i="111"/>
  <c r="K604" i="111"/>
  <c r="K603" i="111"/>
  <c r="E590" i="111"/>
  <c r="K579" i="111"/>
  <c r="M579" i="111"/>
  <c r="X569" i="111"/>
  <c r="Z569" i="111"/>
  <c r="K677" i="111" l="1"/>
  <c r="C731" i="111"/>
  <c r="K623" i="111"/>
  <c r="F674" i="111"/>
  <c r="K622" i="111"/>
  <c r="C677" i="111"/>
  <c r="B677" i="111"/>
  <c r="F673" i="111"/>
  <c r="J598" i="111"/>
  <c r="F676" i="111"/>
  <c r="J602" i="111"/>
  <c r="D649" i="111"/>
  <c r="M677" i="111"/>
  <c r="N674" i="111"/>
  <c r="J600" i="111"/>
  <c r="D647" i="111"/>
  <c r="J595" i="111"/>
  <c r="D621" i="111"/>
  <c r="W621" i="111" s="1"/>
  <c r="J603" i="111"/>
  <c r="J601" i="111"/>
  <c r="D646" i="111"/>
  <c r="P607" i="111"/>
  <c r="P610" i="111" s="1"/>
  <c r="J594" i="111"/>
  <c r="N672" i="111"/>
  <c r="D623" i="111"/>
  <c r="J731" i="111"/>
  <c r="P593" i="111"/>
  <c r="P594" i="111" s="1"/>
  <c r="J596" i="111"/>
  <c r="D650" i="111"/>
  <c r="J604" i="111"/>
  <c r="D644" i="111"/>
  <c r="J677" i="111"/>
  <c r="N676" i="111"/>
  <c r="N730" i="111"/>
  <c r="N673" i="111"/>
  <c r="F672" i="111"/>
  <c r="M731" i="111"/>
  <c r="K731" i="111"/>
  <c r="N675" i="111"/>
  <c r="K626" i="111"/>
  <c r="K625" i="111"/>
  <c r="F675" i="111"/>
  <c r="K629" i="111"/>
  <c r="P621" i="111"/>
  <c r="P624" i="111" s="1"/>
  <c r="K633" i="111"/>
  <c r="K635" i="111"/>
  <c r="K634" i="111"/>
  <c r="K630" i="111"/>
  <c r="K632" i="111"/>
  <c r="K631" i="111"/>
  <c r="K627" i="111"/>
  <c r="E663" i="111"/>
  <c r="E666" i="111" s="1"/>
  <c r="K628" i="111"/>
  <c r="E652" i="111"/>
  <c r="E636" i="111"/>
  <c r="N728" i="111"/>
  <c r="F729" i="111"/>
  <c r="E677" i="111"/>
  <c r="F730" i="111"/>
  <c r="E731" i="111"/>
  <c r="B731" i="111"/>
  <c r="E605" i="111"/>
  <c r="D616" i="111"/>
  <c r="E618" i="111"/>
  <c r="D611" i="111"/>
  <c r="D590" i="111"/>
  <c r="D624" i="111"/>
  <c r="D642" i="111"/>
  <c r="D628" i="111"/>
  <c r="D635" i="111"/>
  <c r="J621" i="111"/>
  <c r="D645" i="111"/>
  <c r="D626" i="111"/>
  <c r="D627" i="111"/>
  <c r="D648" i="111"/>
  <c r="D629" i="111"/>
  <c r="D622" i="111"/>
  <c r="D640" i="111"/>
  <c r="D630" i="111"/>
  <c r="D651" i="111"/>
  <c r="D632" i="111"/>
  <c r="D643" i="111"/>
  <c r="D633" i="111"/>
  <c r="D631" i="111"/>
  <c r="D639" i="111"/>
  <c r="D625" i="111"/>
  <c r="D634" i="111"/>
  <c r="D599" i="111"/>
  <c r="D594" i="111"/>
  <c r="D610" i="111"/>
  <c r="D595" i="111"/>
  <c r="D598" i="111"/>
  <c r="D601" i="111"/>
  <c r="D604" i="111"/>
  <c r="D596" i="111"/>
  <c r="D608" i="111"/>
  <c r="D613" i="111"/>
  <c r="D603" i="111"/>
  <c r="D614" i="111"/>
  <c r="D609" i="111"/>
  <c r="D602" i="111"/>
  <c r="D615" i="111"/>
  <c r="D612" i="111"/>
  <c r="D600" i="111"/>
  <c r="D677" i="111"/>
  <c r="D731" i="111"/>
  <c r="F728" i="111"/>
  <c r="L731" i="111"/>
  <c r="N729" i="111"/>
  <c r="L677" i="111"/>
  <c r="K605" i="111"/>
  <c r="C624" i="111"/>
  <c r="C627" i="111"/>
  <c r="C630" i="111"/>
  <c r="C633" i="111"/>
  <c r="C639" i="111"/>
  <c r="C642" i="111"/>
  <c r="C645" i="111"/>
  <c r="C648" i="111"/>
  <c r="C651" i="111"/>
  <c r="C622" i="111"/>
  <c r="C625" i="111"/>
  <c r="C628" i="111"/>
  <c r="C631" i="111"/>
  <c r="C634" i="111"/>
  <c r="C641" i="111"/>
  <c r="C644" i="111"/>
  <c r="C647" i="111"/>
  <c r="C650" i="111"/>
  <c r="C621" i="111"/>
  <c r="C623" i="111"/>
  <c r="I621" i="111"/>
  <c r="C640" i="111"/>
  <c r="C643" i="111"/>
  <c r="C646" i="111"/>
  <c r="C649" i="111"/>
  <c r="C632" i="111"/>
  <c r="C629" i="111"/>
  <c r="C635" i="111"/>
  <c r="C626" i="111"/>
  <c r="H621" i="111"/>
  <c r="B622" i="111"/>
  <c r="B625" i="111"/>
  <c r="B628" i="111"/>
  <c r="B631" i="111"/>
  <c r="B634" i="111"/>
  <c r="B641" i="111"/>
  <c r="B644" i="111"/>
  <c r="B647" i="111"/>
  <c r="B650" i="111"/>
  <c r="B621" i="111"/>
  <c r="B623" i="111"/>
  <c r="B626" i="111"/>
  <c r="B629" i="111"/>
  <c r="B627" i="111"/>
  <c r="B630" i="111"/>
  <c r="B633" i="111"/>
  <c r="B632" i="111"/>
  <c r="B635" i="111"/>
  <c r="B624" i="111"/>
  <c r="B640" i="111"/>
  <c r="B643" i="111"/>
  <c r="B646" i="111"/>
  <c r="B649" i="111"/>
  <c r="B639" i="111"/>
  <c r="B645" i="111"/>
  <c r="B651" i="111"/>
  <c r="B642" i="111"/>
  <c r="B648" i="111"/>
  <c r="C598" i="111"/>
  <c r="C596" i="111"/>
  <c r="C595" i="111"/>
  <c r="C602" i="111"/>
  <c r="C594" i="111"/>
  <c r="C601" i="111"/>
  <c r="C600" i="111"/>
  <c r="C603" i="111"/>
  <c r="C609" i="111"/>
  <c r="C615" i="111"/>
  <c r="C610" i="111"/>
  <c r="C616" i="111"/>
  <c r="C611" i="111"/>
  <c r="C608" i="111"/>
  <c r="C599" i="111"/>
  <c r="C613" i="111"/>
  <c r="C604" i="111"/>
  <c r="C614" i="111"/>
  <c r="C617" i="111"/>
  <c r="C612" i="111"/>
  <c r="C590" i="111"/>
  <c r="B596" i="111"/>
  <c r="B595" i="111"/>
  <c r="B594" i="111"/>
  <c r="B601" i="111"/>
  <c r="B600" i="111"/>
  <c r="B599" i="111"/>
  <c r="B610" i="111"/>
  <c r="B616" i="111"/>
  <c r="B611" i="111"/>
  <c r="B617" i="111"/>
  <c r="B612" i="111"/>
  <c r="B603" i="111"/>
  <c r="B609" i="111"/>
  <c r="B613" i="111"/>
  <c r="B608" i="111"/>
  <c r="B602" i="111"/>
  <c r="B604" i="111"/>
  <c r="B598" i="111"/>
  <c r="B615" i="111"/>
  <c r="B614" i="111"/>
  <c r="I595" i="111"/>
  <c r="I594" i="111"/>
  <c r="I600" i="111"/>
  <c r="I599" i="111"/>
  <c r="O593" i="111"/>
  <c r="I598" i="111"/>
  <c r="I596" i="111"/>
  <c r="O607" i="111"/>
  <c r="I603" i="111"/>
  <c r="I604" i="111"/>
  <c r="I602" i="111"/>
  <c r="I601" i="111"/>
  <c r="H594" i="111"/>
  <c r="H600" i="111"/>
  <c r="H599" i="111"/>
  <c r="N593" i="111"/>
  <c r="H598" i="111"/>
  <c r="H596" i="111"/>
  <c r="H603" i="111"/>
  <c r="H595" i="111"/>
  <c r="H604" i="111"/>
  <c r="H601" i="111"/>
  <c r="N607" i="111"/>
  <c r="H602" i="111"/>
  <c r="X622" i="111"/>
  <c r="X625" i="111"/>
  <c r="X631" i="111"/>
  <c r="X634" i="111"/>
  <c r="X623" i="111"/>
  <c r="X626" i="111"/>
  <c r="X629" i="111"/>
  <c r="X635" i="111"/>
  <c r="X624" i="111"/>
  <c r="X633" i="111"/>
  <c r="X627" i="111"/>
  <c r="X630" i="111"/>
  <c r="V607" i="111"/>
  <c r="Q609" i="111"/>
  <c r="Q615" i="111"/>
  <c r="Q610" i="111"/>
  <c r="Q616" i="111"/>
  <c r="Q611" i="111"/>
  <c r="Q608" i="111"/>
  <c r="Q612" i="111"/>
  <c r="Q614" i="111"/>
  <c r="Q613" i="111"/>
  <c r="Q617" i="111"/>
  <c r="AD607" i="111"/>
  <c r="Q595" i="111"/>
  <c r="Q594" i="111"/>
  <c r="AD593" i="111"/>
  <c r="Q600" i="111"/>
  <c r="Q599" i="111"/>
  <c r="V593" i="111"/>
  <c r="Q598" i="111"/>
  <c r="Q601" i="111"/>
  <c r="Q603" i="111"/>
  <c r="Q596" i="111"/>
  <c r="Q602" i="111"/>
  <c r="Q604" i="111"/>
  <c r="B590" i="111"/>
  <c r="P611" i="111" l="1"/>
  <c r="AC607" i="111"/>
  <c r="AH607" i="111" s="1"/>
  <c r="P612" i="111"/>
  <c r="P615" i="111"/>
  <c r="W630" i="111"/>
  <c r="W626" i="111"/>
  <c r="W624" i="111"/>
  <c r="P608" i="111"/>
  <c r="P617" i="111"/>
  <c r="P613" i="111"/>
  <c r="P616" i="111"/>
  <c r="P614" i="111"/>
  <c r="U607" i="111"/>
  <c r="P609" i="111"/>
  <c r="P627" i="111"/>
  <c r="E655" i="111"/>
  <c r="E657" i="111"/>
  <c r="E664" i="111"/>
  <c r="E659" i="111"/>
  <c r="W625" i="111"/>
  <c r="W627" i="111"/>
  <c r="W623" i="111"/>
  <c r="E667" i="111"/>
  <c r="K655" i="111"/>
  <c r="K660" i="111" s="1"/>
  <c r="W631" i="111"/>
  <c r="E665" i="111"/>
  <c r="E658" i="111"/>
  <c r="W633" i="111"/>
  <c r="E660" i="111"/>
  <c r="E656" i="111"/>
  <c r="W629" i="111"/>
  <c r="W635" i="111"/>
  <c r="W634" i="111"/>
  <c r="J605" i="111"/>
  <c r="N677" i="111"/>
  <c r="O672" i="111" s="1"/>
  <c r="P626" i="111"/>
  <c r="P601" i="111"/>
  <c r="U593" i="111"/>
  <c r="P603" i="111"/>
  <c r="P598" i="111"/>
  <c r="P629" i="111"/>
  <c r="P622" i="111"/>
  <c r="P595" i="111"/>
  <c r="P599" i="111"/>
  <c r="P633" i="111"/>
  <c r="P634" i="111"/>
  <c r="P604" i="111"/>
  <c r="P600" i="111"/>
  <c r="P623" i="111"/>
  <c r="P631" i="111"/>
  <c r="P602" i="111"/>
  <c r="AC593" i="111"/>
  <c r="AC603" i="111" s="1"/>
  <c r="P635" i="111"/>
  <c r="P625" i="111"/>
  <c r="P596" i="111"/>
  <c r="P632" i="111"/>
  <c r="P630" i="111"/>
  <c r="K636" i="111"/>
  <c r="P628" i="111"/>
  <c r="F731" i="111"/>
  <c r="N731" i="111"/>
  <c r="K737" i="111" s="1"/>
  <c r="F677" i="111"/>
  <c r="G672" i="111" s="1"/>
  <c r="D652" i="111"/>
  <c r="D618" i="111"/>
  <c r="D636" i="111"/>
  <c r="W622" i="111"/>
  <c r="J623" i="111"/>
  <c r="J626" i="111"/>
  <c r="D663" i="111"/>
  <c r="J625" i="111"/>
  <c r="J629" i="111"/>
  <c r="J635" i="111"/>
  <c r="J622" i="111"/>
  <c r="J624" i="111"/>
  <c r="J632" i="111"/>
  <c r="J628" i="111"/>
  <c r="J627" i="111"/>
  <c r="J631" i="111"/>
  <c r="J630" i="111"/>
  <c r="O621" i="111"/>
  <c r="J634" i="111"/>
  <c r="J633" i="111"/>
  <c r="D605" i="111"/>
  <c r="C605" i="111"/>
  <c r="Q618" i="111"/>
  <c r="B605" i="111"/>
  <c r="AI593" i="111"/>
  <c r="AD599" i="111"/>
  <c r="AD598" i="111"/>
  <c r="AD596" i="111"/>
  <c r="AD595" i="111"/>
  <c r="AD602" i="111"/>
  <c r="AD594" i="111"/>
  <c r="AD604" i="111"/>
  <c r="AD603" i="111"/>
  <c r="AD601" i="111"/>
  <c r="AD600" i="111"/>
  <c r="N599" i="111"/>
  <c r="S593" i="111"/>
  <c r="N598" i="111"/>
  <c r="N596" i="111"/>
  <c r="N603" i="111"/>
  <c r="N595" i="111"/>
  <c r="N602" i="111"/>
  <c r="N594" i="111"/>
  <c r="N601" i="111"/>
  <c r="AA593" i="111"/>
  <c r="N600" i="111"/>
  <c r="N604" i="111"/>
  <c r="N612" i="111"/>
  <c r="AA607" i="111"/>
  <c r="N613" i="111"/>
  <c r="N608" i="111"/>
  <c r="N614" i="111"/>
  <c r="N611" i="111"/>
  <c r="N615" i="111"/>
  <c r="N610" i="111"/>
  <c r="S607" i="111"/>
  <c r="N617" i="111"/>
  <c r="N616" i="111"/>
  <c r="N609" i="111"/>
  <c r="AB593" i="111"/>
  <c r="O599" i="111"/>
  <c r="T593" i="111"/>
  <c r="O598" i="111"/>
  <c r="O596" i="111"/>
  <c r="O595" i="111"/>
  <c r="O602" i="111"/>
  <c r="O594" i="111"/>
  <c r="O600" i="111"/>
  <c r="O604" i="111"/>
  <c r="O601" i="111"/>
  <c r="O603" i="111"/>
  <c r="C618" i="111"/>
  <c r="N621" i="111"/>
  <c r="I622" i="111"/>
  <c r="I625" i="111"/>
  <c r="I628" i="111"/>
  <c r="I631" i="111"/>
  <c r="I634" i="111"/>
  <c r="I624" i="111"/>
  <c r="I626" i="111"/>
  <c r="I629" i="111"/>
  <c r="I632" i="111"/>
  <c r="I635" i="111"/>
  <c r="I623" i="111"/>
  <c r="I630" i="111"/>
  <c r="I627" i="111"/>
  <c r="I633" i="111"/>
  <c r="C663" i="111"/>
  <c r="Q605" i="111"/>
  <c r="AD611" i="111"/>
  <c r="AD617" i="111"/>
  <c r="AD612" i="111"/>
  <c r="AI607" i="111"/>
  <c r="AD613" i="111"/>
  <c r="AD610" i="111"/>
  <c r="AD608" i="111"/>
  <c r="AD614" i="111"/>
  <c r="AD616" i="111"/>
  <c r="AD615" i="111"/>
  <c r="AD609" i="111"/>
  <c r="B618" i="111"/>
  <c r="C636" i="111"/>
  <c r="V621" i="111"/>
  <c r="X636" i="111"/>
  <c r="O611" i="111"/>
  <c r="O617" i="111"/>
  <c r="O612" i="111"/>
  <c r="AB607" i="111"/>
  <c r="O613" i="111"/>
  <c r="O610" i="111"/>
  <c r="O614" i="111"/>
  <c r="O615" i="111"/>
  <c r="O608" i="111"/>
  <c r="T607" i="111"/>
  <c r="O609" i="111"/>
  <c r="O616" i="111"/>
  <c r="I605" i="111"/>
  <c r="B652" i="111"/>
  <c r="H623" i="111"/>
  <c r="H624" i="111"/>
  <c r="H626" i="111"/>
  <c r="H629" i="111"/>
  <c r="H632" i="111"/>
  <c r="H635" i="111"/>
  <c r="M621" i="111"/>
  <c r="H627" i="111"/>
  <c r="H630" i="111"/>
  <c r="H625" i="111"/>
  <c r="H628" i="111"/>
  <c r="H631" i="111"/>
  <c r="H634" i="111"/>
  <c r="H622" i="111"/>
  <c r="H633" i="111"/>
  <c r="B663" i="111"/>
  <c r="H605" i="111"/>
  <c r="C652" i="111"/>
  <c r="U621" i="111"/>
  <c r="B636" i="111"/>
  <c r="AC614" i="111" l="1"/>
  <c r="AC617" i="111"/>
  <c r="AC615" i="111"/>
  <c r="AC616" i="111"/>
  <c r="AC608" i="111"/>
  <c r="AC610" i="111"/>
  <c r="AC613" i="111"/>
  <c r="AC609" i="111"/>
  <c r="AC612" i="111"/>
  <c r="AC611" i="111"/>
  <c r="G728" i="111"/>
  <c r="P618" i="111"/>
  <c r="E691" i="111"/>
  <c r="E720" i="111" s="1"/>
  <c r="K659" i="111"/>
  <c r="E681" i="111"/>
  <c r="E688" i="111" s="1"/>
  <c r="AC596" i="111"/>
  <c r="K658" i="111"/>
  <c r="K657" i="111"/>
  <c r="O730" i="111"/>
  <c r="E668" i="111"/>
  <c r="AH593" i="111"/>
  <c r="O676" i="111"/>
  <c r="O728" i="111"/>
  <c r="O675" i="111"/>
  <c r="O673" i="111"/>
  <c r="O674" i="111"/>
  <c r="O729" i="111"/>
  <c r="E661" i="111"/>
  <c r="W636" i="111"/>
  <c r="AC601" i="111"/>
  <c r="AC598" i="111"/>
  <c r="AC594" i="111"/>
  <c r="AC599" i="111"/>
  <c r="AC602" i="111"/>
  <c r="AC595" i="111"/>
  <c r="G730" i="111"/>
  <c r="AC600" i="111"/>
  <c r="AC604" i="111"/>
  <c r="G673" i="111"/>
  <c r="P636" i="111"/>
  <c r="P605" i="111"/>
  <c r="G729" i="111"/>
  <c r="G674" i="111"/>
  <c r="G675" i="111"/>
  <c r="G676" i="111"/>
  <c r="K736" i="111"/>
  <c r="K735" i="111"/>
  <c r="D660" i="111"/>
  <c r="D657" i="111"/>
  <c r="D665" i="111"/>
  <c r="D658" i="111"/>
  <c r="D655" i="111"/>
  <c r="D659" i="111"/>
  <c r="D656" i="111"/>
  <c r="D666" i="111"/>
  <c r="D664" i="111"/>
  <c r="J655" i="111"/>
  <c r="D667" i="111"/>
  <c r="O629" i="111"/>
  <c r="O625" i="111"/>
  <c r="O632" i="111"/>
  <c r="O628" i="111"/>
  <c r="O635" i="111"/>
  <c r="O631" i="111"/>
  <c r="O622" i="111"/>
  <c r="O634" i="111"/>
  <c r="O623" i="111"/>
  <c r="O627" i="111"/>
  <c r="O630" i="111"/>
  <c r="O626" i="111"/>
  <c r="O624" i="111"/>
  <c r="O633" i="111"/>
  <c r="J636" i="111"/>
  <c r="O618" i="111"/>
  <c r="O605" i="111"/>
  <c r="N618" i="111"/>
  <c r="N605" i="111"/>
  <c r="AD618" i="111"/>
  <c r="U623" i="111"/>
  <c r="U627" i="111"/>
  <c r="U630" i="111"/>
  <c r="U633" i="111"/>
  <c r="U624" i="111"/>
  <c r="U625" i="111"/>
  <c r="U626" i="111"/>
  <c r="U629" i="111"/>
  <c r="U635" i="111"/>
  <c r="U634" i="111"/>
  <c r="U622" i="111"/>
  <c r="U631" i="111"/>
  <c r="B656" i="111"/>
  <c r="B664" i="111"/>
  <c r="B667" i="111"/>
  <c r="B655" i="111"/>
  <c r="B658" i="111"/>
  <c r="B659" i="111"/>
  <c r="B666" i="111"/>
  <c r="H655" i="111"/>
  <c r="B660" i="111"/>
  <c r="B665" i="111"/>
  <c r="B657" i="111"/>
  <c r="AA608" i="111"/>
  <c r="AA614" i="111"/>
  <c r="AA609" i="111"/>
  <c r="AA615" i="111"/>
  <c r="AA610" i="111"/>
  <c r="AF607" i="111"/>
  <c r="AA613" i="111"/>
  <c r="AA611" i="111"/>
  <c r="AA617" i="111"/>
  <c r="AA612" i="111"/>
  <c r="AA616" i="111"/>
  <c r="V623" i="111"/>
  <c r="V626" i="111"/>
  <c r="V629" i="111"/>
  <c r="V635" i="111"/>
  <c r="V627" i="111"/>
  <c r="V630" i="111"/>
  <c r="V633" i="111"/>
  <c r="V624" i="111"/>
  <c r="V622" i="111"/>
  <c r="V634" i="111"/>
  <c r="V631" i="111"/>
  <c r="V625" i="111"/>
  <c r="I655" i="111"/>
  <c r="C655" i="111"/>
  <c r="C657" i="111"/>
  <c r="C660" i="111"/>
  <c r="C665" i="111"/>
  <c r="C656" i="111"/>
  <c r="C664" i="111"/>
  <c r="C667" i="111"/>
  <c r="C659" i="111"/>
  <c r="C666" i="111"/>
  <c r="C658" i="111"/>
  <c r="AG607" i="111"/>
  <c r="AB613" i="111"/>
  <c r="AB608" i="111"/>
  <c r="AB614" i="111"/>
  <c r="AB609" i="111"/>
  <c r="AB615" i="111"/>
  <c r="AB612" i="111"/>
  <c r="AB611" i="111"/>
  <c r="AB617" i="111"/>
  <c r="AB610" i="111"/>
  <c r="AB616" i="111"/>
  <c r="H636" i="111"/>
  <c r="M622" i="111"/>
  <c r="M627" i="111"/>
  <c r="M630" i="111"/>
  <c r="M633" i="111"/>
  <c r="M623" i="111"/>
  <c r="M624" i="111"/>
  <c r="M625" i="111"/>
  <c r="M628" i="111"/>
  <c r="M626" i="111"/>
  <c r="M629" i="111"/>
  <c r="M632" i="111"/>
  <c r="M635" i="111"/>
  <c r="M631" i="111"/>
  <c r="M634" i="111"/>
  <c r="I636" i="111"/>
  <c r="AD605" i="111"/>
  <c r="AN593" i="111"/>
  <c r="AN597" i="111" s="1"/>
  <c r="AA596" i="111"/>
  <c r="AA595" i="111"/>
  <c r="AA594" i="111"/>
  <c r="AA601" i="111"/>
  <c r="AF593" i="111"/>
  <c r="AA600" i="111"/>
  <c r="AA599" i="111"/>
  <c r="AA602" i="111"/>
  <c r="AA603" i="111"/>
  <c r="AA598" i="111"/>
  <c r="AA604" i="111"/>
  <c r="AN607" i="111"/>
  <c r="N623" i="111"/>
  <c r="N626" i="111"/>
  <c r="N629" i="111"/>
  <c r="N632" i="111"/>
  <c r="N635" i="111"/>
  <c r="N622" i="111"/>
  <c r="N627" i="111"/>
  <c r="N630" i="111"/>
  <c r="N633" i="111"/>
  <c r="N624" i="111"/>
  <c r="N628" i="111"/>
  <c r="N625" i="111"/>
  <c r="N631" i="111"/>
  <c r="N634" i="111"/>
  <c r="AB598" i="111"/>
  <c r="AB596" i="111"/>
  <c r="AB595" i="111"/>
  <c r="AB602" i="111"/>
  <c r="AB594" i="111"/>
  <c r="AB601" i="111"/>
  <c r="AG593" i="111"/>
  <c r="AB600" i="111"/>
  <c r="AB599" i="111"/>
  <c r="AB603" i="111"/>
  <c r="AB604" i="111"/>
  <c r="AC618" i="111" l="1"/>
  <c r="E686" i="111"/>
  <c r="E685" i="111"/>
  <c r="G731" i="111"/>
  <c r="E714" i="111"/>
  <c r="E717" i="111" s="1"/>
  <c r="E708" i="111"/>
  <c r="K708" i="111" s="1"/>
  <c r="K661" i="111"/>
  <c r="E702" i="111"/>
  <c r="E704" i="111" s="1"/>
  <c r="E682" i="111"/>
  <c r="E684" i="111"/>
  <c r="E683" i="111"/>
  <c r="E687" i="111"/>
  <c r="O731" i="111"/>
  <c r="O677" i="111"/>
  <c r="G677" i="111"/>
  <c r="AC605" i="111"/>
  <c r="O636" i="111"/>
  <c r="J659" i="111"/>
  <c r="J660" i="111"/>
  <c r="D691" i="111"/>
  <c r="J658" i="111"/>
  <c r="D681" i="111"/>
  <c r="J657" i="111"/>
  <c r="D668" i="111"/>
  <c r="D661" i="111"/>
  <c r="Q626" i="111"/>
  <c r="Q630" i="111"/>
  <c r="Y634" i="111"/>
  <c r="Y625" i="111"/>
  <c r="Q634" i="111"/>
  <c r="Y624" i="111"/>
  <c r="Q628" i="111"/>
  <c r="Q627" i="111"/>
  <c r="Y635" i="111"/>
  <c r="AB605" i="111"/>
  <c r="Q631" i="111"/>
  <c r="Q625" i="111"/>
  <c r="Q622" i="111"/>
  <c r="M636" i="111"/>
  <c r="Y633" i="111"/>
  <c r="E723" i="111"/>
  <c r="E721" i="111"/>
  <c r="E722" i="111"/>
  <c r="Q635" i="111"/>
  <c r="Q624" i="111"/>
  <c r="V636" i="111"/>
  <c r="Y629" i="111"/>
  <c r="Y630" i="111"/>
  <c r="Q632" i="111"/>
  <c r="Q623" i="111"/>
  <c r="AB618" i="111"/>
  <c r="C668" i="111"/>
  <c r="I657" i="111"/>
  <c r="I658" i="111"/>
  <c r="C681" i="111"/>
  <c r="C691" i="111"/>
  <c r="I659" i="111"/>
  <c r="I660" i="111"/>
  <c r="H658" i="111"/>
  <c r="H657" i="111"/>
  <c r="H659" i="111"/>
  <c r="H660" i="111"/>
  <c r="B681" i="111"/>
  <c r="B691" i="111"/>
  <c r="B668" i="111"/>
  <c r="Y631" i="111"/>
  <c r="Y626" i="111"/>
  <c r="Y627" i="111"/>
  <c r="N636" i="111"/>
  <c r="AA605" i="111"/>
  <c r="AN594" i="111"/>
  <c r="AN2" i="111" s="1"/>
  <c r="AN600" i="111"/>
  <c r="AN599" i="111"/>
  <c r="AN598" i="111"/>
  <c r="AN596" i="111"/>
  <c r="AN610" i="111"/>
  <c r="AN616" i="111"/>
  <c r="AN604" i="111"/>
  <c r="AN611" i="111"/>
  <c r="AN617" i="111"/>
  <c r="AN601" i="111"/>
  <c r="AN603" i="111"/>
  <c r="AN612" i="111"/>
  <c r="AN595" i="111"/>
  <c r="AN609" i="111"/>
  <c r="AN615" i="111"/>
  <c r="AN602" i="111"/>
  <c r="AN608" i="111"/>
  <c r="AN613" i="111"/>
  <c r="AN614" i="111"/>
  <c r="Q629" i="111"/>
  <c r="Q633" i="111"/>
  <c r="C661" i="111"/>
  <c r="AA618" i="111"/>
  <c r="B661" i="111"/>
  <c r="Y622" i="111"/>
  <c r="U636" i="111"/>
  <c r="Y623" i="111"/>
  <c r="E716" i="111" l="1"/>
  <c r="K714" i="111"/>
  <c r="K717" i="111" s="1"/>
  <c r="E715" i="111"/>
  <c r="E711" i="111"/>
  <c r="K702" i="111"/>
  <c r="K704" i="111" s="1"/>
  <c r="E709" i="111"/>
  <c r="E710" i="111"/>
  <c r="E703" i="111"/>
  <c r="E705" i="111"/>
  <c r="E689" i="111"/>
  <c r="E694" i="111" s="1"/>
  <c r="D686" i="111"/>
  <c r="D682" i="111"/>
  <c r="D685" i="111"/>
  <c r="D684" i="111"/>
  <c r="D688" i="111"/>
  <c r="D687" i="111"/>
  <c r="D702" i="111"/>
  <c r="D683" i="111"/>
  <c r="D714" i="111"/>
  <c r="D720" i="111"/>
  <c r="D708" i="111"/>
  <c r="J661" i="111"/>
  <c r="H661" i="111"/>
  <c r="AN618" i="111"/>
  <c r="B683" i="111"/>
  <c r="B686" i="111"/>
  <c r="B682" i="111"/>
  <c r="B685" i="111"/>
  <c r="B688" i="111"/>
  <c r="B684" i="111"/>
  <c r="B687" i="111"/>
  <c r="B702" i="111"/>
  <c r="Y636" i="111"/>
  <c r="Z635" i="111" s="1"/>
  <c r="C708" i="111"/>
  <c r="C714" i="111"/>
  <c r="C720" i="111"/>
  <c r="K711" i="111"/>
  <c r="K709" i="111"/>
  <c r="K710" i="111"/>
  <c r="B714" i="111"/>
  <c r="B708" i="111"/>
  <c r="B720" i="111"/>
  <c r="Q636" i="111"/>
  <c r="R623" i="111" s="1"/>
  <c r="C684" i="111"/>
  <c r="C687" i="111"/>
  <c r="C702" i="111"/>
  <c r="C683" i="111"/>
  <c r="C686" i="111"/>
  <c r="C688" i="111"/>
  <c r="C682" i="111"/>
  <c r="C685" i="111"/>
  <c r="AN605" i="111"/>
  <c r="I661" i="111"/>
  <c r="E724" i="111"/>
  <c r="K705" i="111" l="1"/>
  <c r="K715" i="111"/>
  <c r="E718" i="111"/>
  <c r="K716" i="111"/>
  <c r="K703" i="111"/>
  <c r="E712" i="111"/>
  <c r="E692" i="111"/>
  <c r="E695" i="111"/>
  <c r="E696" i="111"/>
  <c r="E697" i="111"/>
  <c r="E698" i="111"/>
  <c r="E693" i="111"/>
  <c r="Z630" i="111"/>
  <c r="Z628" i="111"/>
  <c r="Z631" i="111"/>
  <c r="Z623" i="111"/>
  <c r="R628" i="111"/>
  <c r="Z627" i="111"/>
  <c r="D709" i="111"/>
  <c r="J708" i="111"/>
  <c r="D710" i="111"/>
  <c r="D711" i="111"/>
  <c r="D723" i="111"/>
  <c r="D721" i="111"/>
  <c r="D722" i="111"/>
  <c r="D717" i="111"/>
  <c r="D715" i="111"/>
  <c r="J714" i="111"/>
  <c r="D716" i="111"/>
  <c r="D689" i="111"/>
  <c r="R627" i="111"/>
  <c r="Z626" i="111"/>
  <c r="D703" i="111"/>
  <c r="J702" i="111"/>
  <c r="D704" i="111"/>
  <c r="D705" i="111"/>
  <c r="R632" i="111"/>
  <c r="R624" i="111"/>
  <c r="R633" i="111"/>
  <c r="Z622" i="111"/>
  <c r="R622" i="111"/>
  <c r="C705" i="111"/>
  <c r="C703" i="111"/>
  <c r="C704" i="111"/>
  <c r="I702" i="111"/>
  <c r="R636" i="111"/>
  <c r="R626" i="111"/>
  <c r="R634" i="111"/>
  <c r="R630" i="111"/>
  <c r="B715" i="111"/>
  <c r="B717" i="111"/>
  <c r="H714" i="111"/>
  <c r="B716" i="111"/>
  <c r="R631" i="111"/>
  <c r="C711" i="111"/>
  <c r="I708" i="111"/>
  <c r="C710" i="111"/>
  <c r="C709" i="111"/>
  <c r="C689" i="111"/>
  <c r="C692" i="111" s="1"/>
  <c r="R635" i="111"/>
  <c r="Z636" i="111"/>
  <c r="Z625" i="111"/>
  <c r="Z632" i="111"/>
  <c r="Z624" i="111"/>
  <c r="Z634" i="111"/>
  <c r="Z629" i="111"/>
  <c r="R625" i="111"/>
  <c r="B689" i="111"/>
  <c r="B695" i="111" s="1"/>
  <c r="R629" i="111"/>
  <c r="B722" i="111"/>
  <c r="B721" i="111"/>
  <c r="B723" i="111"/>
  <c r="K712" i="111"/>
  <c r="C722" i="111"/>
  <c r="C721" i="111"/>
  <c r="C723" i="111"/>
  <c r="Z633" i="111"/>
  <c r="H702" i="111"/>
  <c r="B704" i="111"/>
  <c r="B705" i="111"/>
  <c r="B703" i="111"/>
  <c r="H708" i="111"/>
  <c r="B710" i="111"/>
  <c r="B711" i="111"/>
  <c r="B709" i="111"/>
  <c r="C715" i="111"/>
  <c r="C717" i="111"/>
  <c r="I714" i="111"/>
  <c r="C716" i="111"/>
  <c r="K706" i="111" l="1"/>
  <c r="E699" i="111"/>
  <c r="B693" i="111"/>
  <c r="B697" i="111"/>
  <c r="C693" i="111"/>
  <c r="B696" i="111"/>
  <c r="B692" i="111"/>
  <c r="J703" i="111"/>
  <c r="J704" i="111"/>
  <c r="J705" i="111"/>
  <c r="J715" i="111"/>
  <c r="J716" i="111"/>
  <c r="J717" i="111"/>
  <c r="D718" i="111"/>
  <c r="J710" i="111"/>
  <c r="J711" i="111"/>
  <c r="J709" i="111"/>
  <c r="D696" i="111"/>
  <c r="D693" i="111"/>
  <c r="D694" i="111"/>
  <c r="D698" i="111"/>
  <c r="D692" i="111"/>
  <c r="D695" i="111"/>
  <c r="D712" i="111"/>
  <c r="B698" i="111"/>
  <c r="D724" i="111"/>
  <c r="D697" i="111"/>
  <c r="B718" i="111"/>
  <c r="B694" i="111"/>
  <c r="C694" i="111"/>
  <c r="C696" i="111"/>
  <c r="H705" i="111"/>
  <c r="H703" i="111"/>
  <c r="H704" i="111"/>
  <c r="C695" i="111"/>
  <c r="I709" i="111"/>
  <c r="I711" i="111"/>
  <c r="I710" i="111"/>
  <c r="I703" i="111"/>
  <c r="I705" i="111"/>
  <c r="I704" i="111"/>
  <c r="H711" i="111"/>
  <c r="H709" i="111"/>
  <c r="H710" i="111"/>
  <c r="B724" i="111"/>
  <c r="C698" i="111"/>
  <c r="C697" i="111"/>
  <c r="C718" i="111"/>
  <c r="B712" i="111"/>
  <c r="C724" i="111"/>
  <c r="C712" i="111"/>
  <c r="H715" i="111"/>
  <c r="H716" i="111"/>
  <c r="H717" i="111"/>
  <c r="I716" i="111"/>
  <c r="I715" i="111"/>
  <c r="I717" i="111"/>
  <c r="B699" i="111" l="1"/>
  <c r="J712" i="111"/>
  <c r="D699" i="111"/>
  <c r="J706" i="111"/>
  <c r="C699" i="111"/>
  <c r="I706" i="111"/>
  <c r="H706" i="111"/>
  <c r="H712" i="111"/>
  <c r="I712" i="111"/>
  <c r="BM459" i="111" l="1"/>
  <c r="BM460" i="111" s="1"/>
  <c r="W38" i="11"/>
  <c r="Y20" i="71" l="1"/>
  <c r="W127" i="111"/>
  <c r="W61" i="111"/>
  <c r="W67" i="111" s="1"/>
  <c r="W26" i="11"/>
  <c r="BE29" i="112"/>
  <c r="BI30" i="112" s="1"/>
  <c r="BI164" i="8" s="1"/>
  <c r="BE33" i="112"/>
  <c r="BI34" i="112" s="1"/>
  <c r="W16" i="46"/>
  <c r="Y9" i="71" l="1"/>
  <c r="BI165" i="8"/>
  <c r="BI163" i="8" s="1"/>
  <c r="BI166" i="8"/>
  <c r="BM33" i="112"/>
  <c r="BE30" i="112"/>
  <c r="BE164" i="8" s="1"/>
  <c r="BE165" i="8" s="1"/>
  <c r="BE34" i="112"/>
  <c r="W12" i="46"/>
  <c r="BQ33" i="112" l="1"/>
  <c r="BU33" i="112" s="1"/>
  <c r="BE166" i="8"/>
  <c r="BE163" i="8"/>
  <c r="BM29" i="112"/>
  <c r="BQ29" i="112" s="1"/>
  <c r="BU29" i="112" l="1"/>
  <c r="BY33" i="112"/>
  <c r="CC33" i="112" l="1"/>
  <c r="BY29" i="112"/>
  <c r="CG33" i="112" l="1"/>
  <c r="CC29" i="112"/>
  <c r="CK33" i="112" l="1"/>
  <c r="CO33" i="112" s="1"/>
  <c r="CG29" i="112"/>
  <c r="CS33" i="112" l="1"/>
  <c r="CK29" i="112"/>
  <c r="CO29" i="112" s="1"/>
  <c r="CS29" i="112" l="1"/>
  <c r="CW33" i="112"/>
  <c r="CW29" i="112" l="1"/>
  <c r="BM463" i="111" l="1"/>
  <c r="BM464" i="111" s="1"/>
  <c r="W39" i="11"/>
  <c r="Y21" i="71" l="1"/>
  <c r="W129" i="111"/>
  <c r="W62" i="111"/>
  <c r="W68" i="111" s="1"/>
  <c r="W27" i="11"/>
  <c r="BE92" i="112"/>
  <c r="BE98" i="112"/>
  <c r="BI99" i="112" s="1"/>
  <c r="BI184" i="8" s="1"/>
  <c r="W17" i="46"/>
  <c r="Y11" i="71" l="1"/>
  <c r="BI93" i="112"/>
  <c r="BI111" i="112"/>
  <c r="BI185" i="8"/>
  <c r="BI186" i="8"/>
  <c r="BE167" i="8"/>
  <c r="W14" i="46"/>
  <c r="BE94" i="112"/>
  <c r="BI95" i="112" s="1"/>
  <c r="BM98" i="112"/>
  <c r="BM444" i="111"/>
  <c r="BM473" i="111"/>
  <c r="BE99" i="112"/>
  <c r="BE184" i="8" s="1"/>
  <c r="BE93" i="112"/>
  <c r="BI183" i="8" l="1"/>
  <c r="BI116" i="112"/>
  <c r="BI117" i="112" s="1"/>
  <c r="BI178" i="8" s="1"/>
  <c r="BI253" i="112"/>
  <c r="BI114" i="112"/>
  <c r="BE95" i="112"/>
  <c r="BE185" i="8"/>
  <c r="BE186" i="8"/>
  <c r="BM474" i="111"/>
  <c r="BM445" i="111"/>
  <c r="BQ98" i="112"/>
  <c r="BI257" i="112" l="1"/>
  <c r="BI258" i="112" s="1"/>
  <c r="BI180" i="8"/>
  <c r="BI179" i="8"/>
  <c r="BI177" i="8" s="1"/>
  <c r="BE183" i="8"/>
  <c r="BU98" i="112"/>
  <c r="BY98" i="112" l="1"/>
  <c r="CC98" i="112" l="1"/>
  <c r="CG98" i="112" l="1"/>
  <c r="CK98" i="112" l="1"/>
  <c r="CO98" i="112" s="1"/>
  <c r="CS98" i="112" l="1"/>
  <c r="CW98" i="112" l="1"/>
  <c r="W60" i="11" l="1"/>
  <c r="O7" i="27" s="1"/>
  <c r="W131" i="11" l="1"/>
  <c r="W136" i="11"/>
  <c r="O67" i="27"/>
  <c r="O68" i="27"/>
  <c r="O50" i="27" l="1"/>
  <c r="O45" i="27"/>
  <c r="W63" i="11" l="1"/>
  <c r="W94" i="11" l="1"/>
  <c r="W65" i="11"/>
  <c r="O9" i="27"/>
  <c r="O14" i="27" l="1"/>
  <c r="BM477" i="111"/>
  <c r="BM478" i="111" s="1"/>
  <c r="BM491" i="111"/>
  <c r="BM493" i="111"/>
  <c r="BM498" i="111" s="1"/>
  <c r="BM503" i="111" s="1"/>
  <c r="BM494" i="111"/>
  <c r="BM499" i="111" s="1"/>
  <c r="BM495" i="111"/>
  <c r="BM500" i="111" s="1"/>
  <c r="BM537" i="111"/>
  <c r="BM548" i="111"/>
  <c r="W67" i="11"/>
  <c r="W69" i="11"/>
  <c r="W73" i="11"/>
  <c r="W74" i="11"/>
  <c r="W75" i="11"/>
  <c r="W97" i="11"/>
  <c r="W100" i="11"/>
  <c r="W173" i="11" l="1"/>
  <c r="W21" i="76"/>
  <c r="W23" i="76" s="1"/>
  <c r="Y25" i="71"/>
  <c r="Y24" i="71"/>
  <c r="Y26" i="71"/>
  <c r="Y31" i="71"/>
  <c r="AM60" i="71"/>
  <c r="Y39" i="71"/>
  <c r="J10" i="71"/>
  <c r="AP12" i="71"/>
  <c r="O29" i="27"/>
  <c r="W155" i="11"/>
  <c r="W102" i="11"/>
  <c r="BE22" i="4"/>
  <c r="W81" i="11"/>
  <c r="Y28" i="71" s="1"/>
  <c r="O10" i="27"/>
  <c r="O18" i="27"/>
  <c r="W82" i="11"/>
  <c r="Y29" i="71" s="1"/>
  <c r="O16" i="27"/>
  <c r="O69" i="27" s="1"/>
  <c r="W83" i="11"/>
  <c r="Y30" i="71" s="1"/>
  <c r="W180" i="11"/>
  <c r="BM505" i="111"/>
  <c r="BM504" i="111"/>
  <c r="W194" i="111"/>
  <c r="W196" i="111"/>
  <c r="W195" i="111"/>
  <c r="W106" i="11"/>
  <c r="W127" i="11"/>
  <c r="W141" i="11"/>
  <c r="BE58" i="112"/>
  <c r="BE123" i="112"/>
  <c r="BE128" i="112" s="1"/>
  <c r="BE129" i="112" s="1"/>
  <c r="BE207" i="112"/>
  <c r="BE245" i="112"/>
  <c r="BE311" i="112"/>
  <c r="BE312" i="112"/>
  <c r="W22" i="46"/>
  <c r="W26" i="46" s="1"/>
  <c r="W23" i="46"/>
  <c r="W27" i="46" s="1"/>
  <c r="W24" i="46"/>
  <c r="W28" i="46" s="1"/>
  <c r="BE63" i="112" l="1"/>
  <c r="BE64" i="112" s="1"/>
  <c r="BE269" i="112"/>
  <c r="BE21" i="2"/>
  <c r="BE278" i="112"/>
  <c r="BE212" i="112"/>
  <c r="BE213" i="112" s="1"/>
  <c r="W160" i="11"/>
  <c r="W163" i="11" s="1"/>
  <c r="AP42" i="71"/>
  <c r="J12" i="71"/>
  <c r="J42" i="71" s="1"/>
  <c r="J40" i="71"/>
  <c r="J13" i="71"/>
  <c r="J43" i="71" s="1"/>
  <c r="AP15" i="71"/>
  <c r="BE315" i="112"/>
  <c r="BI246" i="112"/>
  <c r="BE23" i="4"/>
  <c r="BE238" i="8"/>
  <c r="BE232" i="8"/>
  <c r="BE244" i="8"/>
  <c r="BE60" i="112"/>
  <c r="W204" i="111"/>
  <c r="W209" i="111" s="1"/>
  <c r="W71" i="11"/>
  <c r="W206" i="111"/>
  <c r="W211" i="111" s="1"/>
  <c r="O20" i="27"/>
  <c r="O127" i="27" s="1"/>
  <c r="W205" i="111"/>
  <c r="W210" i="111" s="1"/>
  <c r="BE300" i="112"/>
  <c r="BE224" i="8" s="1"/>
  <c r="BE247" i="112"/>
  <c r="BE209" i="112"/>
  <c r="BE296" i="112"/>
  <c r="BE284" i="112"/>
  <c r="BE285" i="112" s="1"/>
  <c r="BE209" i="8" s="1"/>
  <c r="BE313" i="112"/>
  <c r="BE229" i="8" s="1"/>
  <c r="BE288" i="112"/>
  <c r="BM481" i="111" s="1"/>
  <c r="BE246" i="112"/>
  <c r="BE12" i="2"/>
  <c r="BE10" i="2"/>
  <c r="BE17" i="2"/>
  <c r="BE7" i="2"/>
  <c r="BE28" i="2"/>
  <c r="BE36" i="2"/>
  <c r="BE275" i="8" s="1"/>
  <c r="BE309" i="112"/>
  <c r="BE267" i="112"/>
  <c r="BE241" i="112"/>
  <c r="BI242" i="112" s="1"/>
  <c r="BE125" i="112"/>
  <c r="W172" i="11"/>
  <c r="O57" i="27"/>
  <c r="O64" i="27"/>
  <c r="BM454" i="111"/>
  <c r="BE238" i="112"/>
  <c r="BM554" i="111"/>
  <c r="O41" i="27"/>
  <c r="O21" i="27"/>
  <c r="W199" i="111"/>
  <c r="W214" i="111"/>
  <c r="W200" i="111"/>
  <c r="W215" i="111"/>
  <c r="W201" i="111"/>
  <c r="W216" i="111"/>
  <c r="BE272" i="112" l="1"/>
  <c r="BI272" i="112"/>
  <c r="BE279" i="112"/>
  <c r="BI279" i="112"/>
  <c r="BE274" i="112"/>
  <c r="BE275" i="112" s="1"/>
  <c r="BE270" i="112"/>
  <c r="BM448" i="111"/>
  <c r="AM63" i="71"/>
  <c r="AP45" i="71"/>
  <c r="BE297" i="112"/>
  <c r="BM487" i="111"/>
  <c r="BM490" i="111" s="1"/>
  <c r="BE28" i="4"/>
  <c r="BE24" i="4"/>
  <c r="BE233" i="8"/>
  <c r="BE236" i="8" s="1"/>
  <c r="BI61" i="112"/>
  <c r="BI239" i="112"/>
  <c r="BI255" i="112"/>
  <c r="BE239" i="8"/>
  <c r="BE241" i="8" s="1"/>
  <c r="BI126" i="112"/>
  <c r="BE245" i="8"/>
  <c r="BE246" i="8" s="1"/>
  <c r="BI210" i="112"/>
  <c r="BE305" i="112"/>
  <c r="BE61" i="112"/>
  <c r="W72" i="11"/>
  <c r="BM563" i="111"/>
  <c r="BE210" i="112"/>
  <c r="BE251" i="8"/>
  <c r="BE242" i="112"/>
  <c r="BE302" i="112"/>
  <c r="BM465" i="111"/>
  <c r="W41" i="11"/>
  <c r="BE276" i="8"/>
  <c r="BE277" i="8"/>
  <c r="BE278" i="8"/>
  <c r="BE212" i="8"/>
  <c r="BE210" i="8"/>
  <c r="BE211" i="8"/>
  <c r="BE254" i="8"/>
  <c r="BE126" i="112"/>
  <c r="BM551" i="111"/>
  <c r="W132" i="11"/>
  <c r="BM438" i="111"/>
  <c r="BE239" i="112"/>
  <c r="W282" i="111"/>
  <c r="W285" i="111" s="1"/>
  <c r="BJ455" i="111"/>
  <c r="BK455" i="111"/>
  <c r="BJ490" i="111"/>
  <c r="BL455" i="111"/>
  <c r="BK490" i="111"/>
  <c r="BM538" i="111"/>
  <c r="BM455" i="111"/>
  <c r="BL490" i="111"/>
  <c r="BM456" i="111"/>
  <c r="BE271" i="112" l="1"/>
  <c r="BI271" i="112"/>
  <c r="Y23" i="71"/>
  <c r="W64" i="76"/>
  <c r="W62" i="76"/>
  <c r="W63" i="76"/>
  <c r="AM65" i="71"/>
  <c r="BE242" i="8"/>
  <c r="BE240" i="8"/>
  <c r="BM532" i="111"/>
  <c r="BM534" i="111" s="1"/>
  <c r="BE235" i="8"/>
  <c r="BE234" i="8"/>
  <c r="BM488" i="111"/>
  <c r="BL488" i="111"/>
  <c r="BK488" i="111"/>
  <c r="BJ488" i="111"/>
  <c r="BM489" i="111"/>
  <c r="BE248" i="8"/>
  <c r="BE247" i="8"/>
  <c r="BE293" i="112"/>
  <c r="W64" i="111"/>
  <c r="W130" i="111"/>
  <c r="BE208" i="112"/>
  <c r="BE124" i="112"/>
  <c r="BE59" i="112"/>
  <c r="BE306" i="112"/>
  <c r="W21" i="46"/>
  <c r="BE303" i="112"/>
  <c r="W19" i="46"/>
  <c r="W36" i="11"/>
  <c r="BE255" i="8"/>
  <c r="BE256" i="8"/>
  <c r="BE257" i="8"/>
  <c r="BQ235" i="8"/>
  <c r="BM236" i="8"/>
  <c r="BM234" i="8"/>
  <c r="BE318" i="112"/>
  <c r="W130" i="11"/>
  <c r="BM539" i="111"/>
  <c r="BM560" i="111"/>
  <c r="W183" i="11"/>
  <c r="BM439" i="111"/>
  <c r="O70" i="27"/>
  <c r="W384" i="111"/>
  <c r="O46" i="27"/>
  <c r="BE159" i="8" l="1"/>
  <c r="BE160" i="8" s="1"/>
  <c r="BE158" i="8" s="1"/>
  <c r="W12" i="76"/>
  <c r="W71" i="76"/>
  <c r="W66" i="76"/>
  <c r="AP11" i="71"/>
  <c r="J9" i="71"/>
  <c r="Y18" i="71"/>
  <c r="BM533" i="111"/>
  <c r="BL534" i="111"/>
  <c r="BK534" i="111"/>
  <c r="BJ534" i="111"/>
  <c r="BE290" i="112"/>
  <c r="BE294" i="112"/>
  <c r="BE219" i="8" s="1"/>
  <c r="BE222" i="8" s="1"/>
  <c r="BU235" i="8"/>
  <c r="BQ234" i="8"/>
  <c r="BQ236" i="8"/>
  <c r="BQ233" i="8" s="1"/>
  <c r="BQ60" i="112" s="1"/>
  <c r="BM233" i="8"/>
  <c r="BM60" i="112" s="1"/>
  <c r="W80" i="11"/>
  <c r="W61" i="11"/>
  <c r="W62" i="11" s="1"/>
  <c r="W68" i="11"/>
  <c r="W25" i="11"/>
  <c r="W107" i="11"/>
  <c r="W37" i="11"/>
  <c r="X850" i="111"/>
  <c r="O6" i="27"/>
  <c r="O8" i="27" s="1"/>
  <c r="O126" i="27" s="1"/>
  <c r="W15" i="46"/>
  <c r="W25" i="46" s="1"/>
  <c r="W70" i="11"/>
  <c r="W64" i="11"/>
  <c r="W66" i="11"/>
  <c r="BQ247" i="8"/>
  <c r="BM246" i="8"/>
  <c r="BM248" i="8"/>
  <c r="W338" i="111"/>
  <c r="BQ241" i="8"/>
  <c r="BM242" i="8"/>
  <c r="BM240" i="8"/>
  <c r="W336" i="111"/>
  <c r="W337" i="111"/>
  <c r="O73" i="27"/>
  <c r="O77" i="27" s="1"/>
  <c r="W382" i="111"/>
  <c r="W332" i="111"/>
  <c r="W333" i="111"/>
  <c r="O44" i="27"/>
  <c r="W117" i="11"/>
  <c r="BE319" i="112"/>
  <c r="W182" i="11"/>
  <c r="W184" i="11"/>
  <c r="O66" i="27"/>
  <c r="O71" i="27" s="1"/>
  <c r="BE161" i="8" l="1"/>
  <c r="Y19" i="71"/>
  <c r="Y27" i="71"/>
  <c r="Y32" i="71"/>
  <c r="Y8" i="71"/>
  <c r="W20" i="76"/>
  <c r="AP41" i="71"/>
  <c r="AM57" i="71"/>
  <c r="AP13" i="71"/>
  <c r="AP43" i="71" s="1"/>
  <c r="J39" i="71"/>
  <c r="J11" i="71"/>
  <c r="J41" i="71" s="1"/>
  <c r="BE291" i="112"/>
  <c r="BE214" i="8" s="1"/>
  <c r="BE220" i="8"/>
  <c r="BM484" i="111"/>
  <c r="BE221" i="8"/>
  <c r="BQ246" i="8"/>
  <c r="BQ248" i="8"/>
  <c r="BU247" i="8"/>
  <c r="BQ242" i="8"/>
  <c r="BU241" i="8"/>
  <c r="BQ240" i="8"/>
  <c r="BY235" i="8"/>
  <c r="BU234" i="8"/>
  <c r="BU236" i="8"/>
  <c r="BM245" i="8"/>
  <c r="BM209" i="112" s="1"/>
  <c r="BM239" i="8"/>
  <c r="BM125" i="112" s="1"/>
  <c r="AK117" i="11"/>
  <c r="O12" i="27"/>
  <c r="O15" i="27" s="1"/>
  <c r="O17" i="27" s="1"/>
  <c r="W250" i="111"/>
  <c r="W90" i="11"/>
  <c r="O135" i="27"/>
  <c r="O137" i="27"/>
  <c r="W11" i="46"/>
  <c r="W24" i="36"/>
  <c r="W23" i="36"/>
  <c r="W20" i="46"/>
  <c r="W25" i="36"/>
  <c r="BQ245" i="8"/>
  <c r="BQ209" i="112" s="1"/>
  <c r="W322" i="111"/>
  <c r="BQ239" i="8"/>
  <c r="BQ125" i="112" s="1"/>
  <c r="BQ61" i="112"/>
  <c r="W181" i="11"/>
  <c r="W34" i="46"/>
  <c r="W124" i="11"/>
  <c r="O82" i="27"/>
  <c r="O84" i="27" s="1"/>
  <c r="O88" i="27" s="1"/>
  <c r="W249" i="111"/>
  <c r="O136" i="27"/>
  <c r="O56" i="27"/>
  <c r="O111" i="27" s="1"/>
  <c r="AP14" i="71" l="1"/>
  <c r="AP44" i="71" s="1"/>
  <c r="AM59" i="71"/>
  <c r="O90" i="27"/>
  <c r="P89" i="27" s="1"/>
  <c r="BE217" i="8"/>
  <c r="BE215" i="8"/>
  <c r="BE216" i="8"/>
  <c r="BY241" i="8"/>
  <c r="BU242" i="8"/>
  <c r="BU240" i="8"/>
  <c r="BY247" i="8"/>
  <c r="BU248" i="8"/>
  <c r="BU246" i="8"/>
  <c r="BY236" i="8"/>
  <c r="BY234" i="8"/>
  <c r="W91" i="11"/>
  <c r="W96" i="11"/>
  <c r="W98" i="11" s="1"/>
  <c r="W24" i="76" s="1"/>
  <c r="W25" i="76" s="1"/>
  <c r="W30" i="76" s="1"/>
  <c r="W26" i="36"/>
  <c r="BU233" i="8"/>
  <c r="BU60" i="112" s="1"/>
  <c r="BQ126" i="112"/>
  <c r="CC235" i="8"/>
  <c r="BQ210" i="112"/>
  <c r="W140" i="11"/>
  <c r="W128" i="11"/>
  <c r="O39" i="27"/>
  <c r="O42" i="27" s="1"/>
  <c r="W35" i="46"/>
  <c r="W288" i="111"/>
  <c r="W31" i="76" l="1"/>
  <c r="W179" i="11"/>
  <c r="O32" i="27"/>
  <c r="AP17" i="71"/>
  <c r="AP47" i="71" s="1"/>
  <c r="Y34" i="71"/>
  <c r="Y35" i="71"/>
  <c r="W251" i="111"/>
  <c r="X176" i="11"/>
  <c r="BY246" i="8"/>
  <c r="BY248" i="8"/>
  <c r="BY240" i="8"/>
  <c r="BY242" i="8"/>
  <c r="BU239" i="8"/>
  <c r="BU125" i="112" s="1"/>
  <c r="BU126" i="112" s="1"/>
  <c r="BU245" i="8"/>
  <c r="BU209" i="112" s="1"/>
  <c r="W99" i="11"/>
  <c r="BU61" i="112"/>
  <c r="BY233" i="8"/>
  <c r="BY60" i="112" s="1"/>
  <c r="BY61" i="112" s="1"/>
  <c r="O97" i="27"/>
  <c r="CC247" i="8"/>
  <c r="CG235" i="8"/>
  <c r="CC236" i="8"/>
  <c r="CC234" i="8"/>
  <c r="CC233" i="8" s="1"/>
  <c r="CC60" i="112" s="1"/>
  <c r="CC241" i="8"/>
  <c r="BY239" i="8"/>
  <c r="BY125" i="112" s="1"/>
  <c r="W383" i="111"/>
  <c r="W388" i="111"/>
  <c r="W142" i="11"/>
  <c r="AK142" i="11" s="1"/>
  <c r="W167" i="11"/>
  <c r="W170" i="11"/>
  <c r="W176" i="11"/>
  <c r="O52" i="27"/>
  <c r="W394" i="111" l="1"/>
  <c r="X36" i="46"/>
  <c r="BU210" i="112"/>
  <c r="BY245" i="8"/>
  <c r="BY209" i="112" s="1"/>
  <c r="CG241" i="8"/>
  <c r="CC242" i="8"/>
  <c r="CC240" i="8"/>
  <c r="BY126" i="112"/>
  <c r="CC61" i="112"/>
  <c r="CK235" i="8"/>
  <c r="CO235" i="8" s="1"/>
  <c r="CS235" i="8" s="1"/>
  <c r="CW235" i="8" s="1"/>
  <c r="CG236" i="8"/>
  <c r="CG234" i="8"/>
  <c r="CG247" i="8"/>
  <c r="CC248" i="8"/>
  <c r="CC246" i="8"/>
  <c r="W389" i="111"/>
  <c r="W36" i="46"/>
  <c r="O129" i="27"/>
  <c r="O58" i="27"/>
  <c r="W129" i="11"/>
  <c r="CW234" i="8" l="1"/>
  <c r="CW236" i="8"/>
  <c r="CW233" i="8"/>
  <c r="CW60" i="112" s="1"/>
  <c r="CS236" i="8"/>
  <c r="CS234" i="8"/>
  <c r="CS233" i="8"/>
  <c r="CS60" i="112" s="1"/>
  <c r="CO234" i="8"/>
  <c r="CO236" i="8"/>
  <c r="CO233" i="8"/>
  <c r="CO60" i="112" s="1"/>
  <c r="BY210" i="112"/>
  <c r="CC245" i="8"/>
  <c r="CC209" i="112" s="1"/>
  <c r="CG233" i="8"/>
  <c r="CG60" i="112" s="1"/>
  <c r="CG61" i="112" s="1"/>
  <c r="CC239" i="8"/>
  <c r="CC125" i="112" s="1"/>
  <c r="CC126" i="112" s="1"/>
  <c r="CK247" i="8"/>
  <c r="CO247" i="8" s="1"/>
  <c r="CS247" i="8" s="1"/>
  <c r="CW247" i="8" s="1"/>
  <c r="CG248" i="8"/>
  <c r="CG246" i="8"/>
  <c r="CK241" i="8"/>
  <c r="CO241" i="8" s="1"/>
  <c r="CS241" i="8" s="1"/>
  <c r="CW241" i="8" s="1"/>
  <c r="CG242" i="8"/>
  <c r="CG240" i="8"/>
  <c r="CK236" i="8"/>
  <c r="CK233" i="8" s="1"/>
  <c r="CK60" i="112" s="1"/>
  <c r="CK234" i="8"/>
  <c r="W381" i="111"/>
  <c r="W166" i="11"/>
  <c r="W169" i="11"/>
  <c r="O43" i="27"/>
  <c r="W133" i="11"/>
  <c r="W178" i="11" l="1"/>
  <c r="Y37" i="71"/>
  <c r="J18" i="71"/>
  <c r="J45" i="71" s="1"/>
  <c r="AP18" i="71"/>
  <c r="AP48" i="71" s="1"/>
  <c r="O47" i="27"/>
  <c r="O131" i="27"/>
  <c r="O31" i="27"/>
  <c r="CG239" i="8"/>
  <c r="CG125" i="112" s="1"/>
  <c r="CG126" i="112" s="1"/>
  <c r="CG245" i="8"/>
  <c r="CG209" i="112" s="1"/>
  <c r="CG210" i="112" s="1"/>
  <c r="CO61" i="112"/>
  <c r="CW61" i="112"/>
  <c r="CS61" i="112"/>
  <c r="CW242" i="8"/>
  <c r="CW240" i="8"/>
  <c r="CW239" i="8" s="1"/>
  <c r="CW125" i="112" s="1"/>
  <c r="CW246" i="8"/>
  <c r="CW248" i="8"/>
  <c r="CW245" i="8" s="1"/>
  <c r="CW209" i="112" s="1"/>
  <c r="CS248" i="8"/>
  <c r="CS246" i="8"/>
  <c r="CS242" i="8"/>
  <c r="CS240" i="8"/>
  <c r="CS239" i="8"/>
  <c r="CS125" i="112" s="1"/>
  <c r="CO246" i="8"/>
  <c r="CO245" i="8" s="1"/>
  <c r="CO209" i="112" s="1"/>
  <c r="CO248" i="8"/>
  <c r="CO240" i="8"/>
  <c r="CO239" i="8" s="1"/>
  <c r="CO125" i="112" s="1"/>
  <c r="CO242" i="8"/>
  <c r="CC210" i="112"/>
  <c r="AK166" i="11"/>
  <c r="AK169" i="11"/>
  <c r="CK240" i="8"/>
  <c r="CK242" i="8"/>
  <c r="CK239" i="8" s="1"/>
  <c r="CK125" i="112" s="1"/>
  <c r="CK61" i="112"/>
  <c r="CK246" i="8"/>
  <c r="CK248" i="8"/>
  <c r="W168" i="11"/>
  <c r="W32" i="46"/>
  <c r="W847" i="111"/>
  <c r="W174" i="11"/>
  <c r="W846" i="111"/>
  <c r="BM542" i="111"/>
  <c r="W171" i="11"/>
  <c r="CS245" i="8" l="1"/>
  <c r="CS209" i="112" s="1"/>
  <c r="CW210" i="112" s="1"/>
  <c r="AP19" i="71"/>
  <c r="AP49" i="71" s="1"/>
  <c r="J19" i="71"/>
  <c r="J46" i="71" s="1"/>
  <c r="Y38" i="71"/>
  <c r="CS126" i="112"/>
  <c r="CW126" i="112"/>
  <c r="CO126" i="112"/>
  <c r="CK245" i="8"/>
  <c r="CK209" i="112" s="1"/>
  <c r="CO210" i="112" s="1"/>
  <c r="CK126" i="112"/>
  <c r="W37" i="46"/>
  <c r="W33" i="46"/>
  <c r="CS210" i="112" l="1"/>
  <c r="CK210" i="112"/>
  <c r="BE76" i="2" l="1"/>
  <c r="BE77" i="2" s="1"/>
  <c r="W113" i="11"/>
  <c r="BE60" i="4"/>
  <c r="O25" i="27" l="1"/>
  <c r="W189" i="11"/>
  <c r="W115" i="11"/>
  <c r="W196" i="11"/>
  <c r="W198" i="11"/>
  <c r="W204" i="11"/>
  <c r="W213" i="11"/>
  <c r="W211" i="11"/>
  <c r="W111" i="11"/>
  <c r="BE73" i="2"/>
  <c r="BE61" i="4"/>
  <c r="BM557" i="111" s="1"/>
  <c r="BE62" i="4"/>
  <c r="W206" i="11" l="1"/>
  <c r="W215" i="11"/>
  <c r="X112" i="11"/>
  <c r="W420" i="111"/>
  <c r="O26" i="27"/>
  <c r="O112" i="27"/>
  <c r="W69" i="46"/>
  <c r="W191" i="11"/>
  <c r="W190" i="11"/>
  <c r="W200" i="11"/>
  <c r="W425" i="111"/>
  <c r="W77" i="46"/>
  <c r="W112" i="11"/>
  <c r="W118" i="11"/>
  <c r="Y40" i="71" s="1"/>
  <c r="O23" i="27"/>
  <c r="W205" i="11"/>
  <c r="W193" i="11" l="1"/>
  <c r="W195" i="11"/>
  <c r="W208" i="11"/>
  <c r="W210" i="11"/>
  <c r="O24" i="27"/>
  <c r="W192" i="11"/>
  <c r="W194" i="11"/>
  <c r="W71" i="46"/>
  <c r="W302" i="111"/>
  <c r="O27" i="27"/>
  <c r="W207" i="11"/>
  <c r="W209" i="11"/>
  <c r="W75" i="46" l="1"/>
  <c r="W415" i="111"/>
  <c r="W67" i="46"/>
  <c r="P25" i="27" l="1"/>
  <c r="P23" i="27" l="1"/>
  <c r="P112" i="27"/>
  <c r="BL92" i="2"/>
  <c r="BL95" i="2" s="1"/>
  <c r="BL60" i="4" s="1"/>
  <c r="P24" i="27" l="1"/>
  <c r="BL97" i="2"/>
  <c r="BM92" i="2"/>
  <c r="BM95" i="2" s="1"/>
  <c r="BM60" i="4" s="1"/>
  <c r="BL98" i="2"/>
  <c r="BM97" i="2" l="1"/>
  <c r="Y113" i="11" s="1"/>
  <c r="X40" i="76" s="1"/>
  <c r="BM98" i="2"/>
  <c r="BN92" i="2"/>
  <c r="BN95" i="2" s="1"/>
  <c r="BN60" i="4" s="1"/>
  <c r="I14" i="92" l="1"/>
  <c r="Q25" i="27"/>
  <c r="Q112" i="27" s="1"/>
  <c r="Y111" i="11"/>
  <c r="Y189" i="11"/>
  <c r="BN97" i="2"/>
  <c r="BO92" i="2"/>
  <c r="BO95" i="2" s="1"/>
  <c r="BO60" i="4" s="1"/>
  <c r="BN98" i="2"/>
  <c r="Z59" i="76" l="1"/>
  <c r="AF59" i="76"/>
  <c r="AE59" i="76"/>
  <c r="AA59" i="76"/>
  <c r="AG59" i="76"/>
  <c r="AB59" i="76"/>
  <c r="AH59" i="76"/>
  <c r="Y59" i="76"/>
  <c r="AC59" i="76"/>
  <c r="AI59" i="76"/>
  <c r="X59" i="76"/>
  <c r="X50" i="76" s="1"/>
  <c r="X48" i="76" s="1"/>
  <c r="AD59" i="76"/>
  <c r="Q23" i="27"/>
  <c r="Y112" i="11"/>
  <c r="BO98" i="2"/>
  <c r="BO97" i="2"/>
  <c r="BP92" i="2"/>
  <c r="BP95" i="2" s="1"/>
  <c r="BP60" i="4" s="1"/>
  <c r="BQ92" i="2" l="1"/>
  <c r="BQ95" i="2" s="1"/>
  <c r="BQ60" i="4" s="1"/>
  <c r="BP98" i="2"/>
  <c r="BP97" i="2"/>
  <c r="Q24" i="27"/>
  <c r="BR92" i="2" l="1"/>
  <c r="BR95" i="2" s="1"/>
  <c r="BR60" i="4" s="1"/>
  <c r="BQ98" i="2"/>
  <c r="BQ97" i="2"/>
  <c r="Z113" i="11" s="1"/>
  <c r="R25" i="27" l="1"/>
  <c r="Z189" i="11"/>
  <c r="Z111" i="11"/>
  <c r="B10" i="55"/>
  <c r="BR97" i="2"/>
  <c r="BS92" i="2"/>
  <c r="BS95" i="2" s="1"/>
  <c r="BS60" i="4" s="1"/>
  <c r="BR98" i="2"/>
  <c r="BS97" i="2" l="1"/>
  <c r="BS98" i="2"/>
  <c r="BT92" i="2"/>
  <c r="BT95" i="2" s="1"/>
  <c r="BT60" i="4" s="1"/>
  <c r="R23" i="27"/>
  <c r="Z112" i="11"/>
  <c r="B5" i="55"/>
  <c r="B9" i="55" s="1"/>
  <c r="C9" i="55" s="1"/>
  <c r="C10" i="55" s="1"/>
  <c r="R112" i="27"/>
  <c r="R24" i="27" l="1"/>
  <c r="B6" i="55"/>
  <c r="B7" i="55"/>
  <c r="B8" i="55"/>
  <c r="BT97" i="2"/>
  <c r="BU92" i="2"/>
  <c r="BU95" i="2" s="1"/>
  <c r="BU60" i="4" s="1"/>
  <c r="BT98" i="2"/>
  <c r="BU98" i="2" l="1"/>
  <c r="BV92" i="2"/>
  <c r="BV95" i="2" s="1"/>
  <c r="BV60" i="4" s="1"/>
  <c r="BU97" i="2"/>
  <c r="AA113" i="11" s="1"/>
  <c r="S25" i="27" l="1"/>
  <c r="BW92" i="2"/>
  <c r="BW95" i="2" s="1"/>
  <c r="BW60" i="4" s="1"/>
  <c r="BV98" i="2"/>
  <c r="BV97" i="2"/>
  <c r="AA189" i="11"/>
  <c r="AA111" i="11"/>
  <c r="S23" i="27" l="1"/>
  <c r="AA112" i="11"/>
  <c r="S112" i="27"/>
  <c r="BX92" i="2"/>
  <c r="BX95" i="2" s="1"/>
  <c r="BX60" i="4" s="1"/>
  <c r="BW98" i="2"/>
  <c r="BW97" i="2"/>
  <c r="S24" i="27" l="1"/>
  <c r="BX97" i="2"/>
  <c r="BY92" i="2"/>
  <c r="BY95" i="2" s="1"/>
  <c r="BY60" i="4" s="1"/>
  <c r="BX98" i="2"/>
  <c r="BY97" i="2" l="1"/>
  <c r="AB113" i="11" s="1"/>
  <c r="BY98" i="2"/>
  <c r="BZ92" i="2"/>
  <c r="BZ95" i="2" s="1"/>
  <c r="BZ60" i="4" s="1"/>
  <c r="T25" i="27" l="1"/>
  <c r="AB111" i="11"/>
  <c r="BZ97" i="2"/>
  <c r="CA92" i="2"/>
  <c r="CA95" i="2" s="1"/>
  <c r="CA60" i="4" s="1"/>
  <c r="BZ98" i="2"/>
  <c r="AB189" i="11"/>
  <c r="T112" i="27" l="1"/>
  <c r="CA98" i="2"/>
  <c r="CB92" i="2"/>
  <c r="CB95" i="2" s="1"/>
  <c r="CB60" i="4" s="1"/>
  <c r="CA97" i="2"/>
  <c r="T23" i="27"/>
  <c r="AB112" i="11"/>
  <c r="T24" i="27" l="1"/>
  <c r="CC92" i="2"/>
  <c r="CC95" i="2" s="1"/>
  <c r="CC60" i="4" s="1"/>
  <c r="CB98" i="2"/>
  <c r="CB97" i="2"/>
  <c r="CD92" i="2" l="1"/>
  <c r="CD95" i="2" s="1"/>
  <c r="CD60" i="4" s="1"/>
  <c r="CC98" i="2"/>
  <c r="CC97" i="2"/>
  <c r="AC113" i="11" s="1"/>
  <c r="U25" i="27" l="1"/>
  <c r="AC111" i="11"/>
  <c r="AC189" i="11"/>
  <c r="CD97" i="2"/>
  <c r="CE92" i="2"/>
  <c r="CE95" i="2" s="1"/>
  <c r="CE60" i="4" s="1"/>
  <c r="CD98" i="2"/>
  <c r="CE97" i="2" l="1"/>
  <c r="CE98" i="2"/>
  <c r="CF92" i="2"/>
  <c r="CF95" i="2" s="1"/>
  <c r="CF60" i="4" s="1"/>
  <c r="U112" i="27"/>
  <c r="U23" i="27"/>
  <c r="AC112" i="11"/>
  <c r="U24" i="27" l="1"/>
  <c r="CF97" i="2"/>
  <c r="CG92" i="2"/>
  <c r="CG95" i="2" s="1"/>
  <c r="CG60" i="4" s="1"/>
  <c r="CF98" i="2"/>
  <c r="CG98" i="2" l="1"/>
  <c r="CG97" i="2"/>
  <c r="AD113" i="11" s="1"/>
  <c r="CH92" i="2"/>
  <c r="CH95" i="2" s="1"/>
  <c r="CH60" i="4" s="1"/>
  <c r="V25" i="27" l="1"/>
  <c r="CI92" i="2"/>
  <c r="CI95" i="2" s="1"/>
  <c r="CI60" i="4" s="1"/>
  <c r="CH98" i="2"/>
  <c r="CH97" i="2"/>
  <c r="AD189" i="11"/>
  <c r="AD111" i="11"/>
  <c r="V23" i="27" l="1"/>
  <c r="AD112" i="11"/>
  <c r="V112" i="27"/>
  <c r="CJ92" i="2"/>
  <c r="CJ95" i="2" s="1"/>
  <c r="CJ60" i="4" s="1"/>
  <c r="CI98" i="2"/>
  <c r="CI97" i="2"/>
  <c r="V24" i="27" l="1"/>
  <c r="CJ97" i="2"/>
  <c r="CK92" i="2"/>
  <c r="CK95" i="2" s="1"/>
  <c r="CJ98" i="2"/>
  <c r="CL92" i="2" l="1"/>
  <c r="CL95" i="2" s="1"/>
  <c r="CL60" i="4" s="1"/>
  <c r="CK60" i="4"/>
  <c r="CK97" i="2"/>
  <c r="AE113" i="11" s="1"/>
  <c r="CK98" i="2"/>
  <c r="CL97" i="2" l="1"/>
  <c r="CM92" i="2"/>
  <c r="CM95" i="2" s="1"/>
  <c r="CM60" i="4" s="1"/>
  <c r="CL98" i="2"/>
  <c r="W25" i="27"/>
  <c r="AE111" i="11"/>
  <c r="AE189" i="11"/>
  <c r="CM97" i="2" l="1"/>
  <c r="CN92" i="2"/>
  <c r="CN95" i="2" s="1"/>
  <c r="CN60" i="4" s="1"/>
  <c r="CM98" i="2"/>
  <c r="W112" i="27"/>
  <c r="W23" i="27"/>
  <c r="AE112" i="11"/>
  <c r="CN97" i="2" l="1"/>
  <c r="CO92" i="2"/>
  <c r="CO95" i="2" s="1"/>
  <c r="CO60" i="4" s="1"/>
  <c r="AF111" i="11" s="1"/>
  <c r="CN98" i="2"/>
  <c r="W24" i="27"/>
  <c r="CO97" i="2" l="1"/>
  <c r="AF113" i="11" s="1"/>
  <c r="AF189" i="11" s="1"/>
  <c r="CP92" i="2"/>
  <c r="CP95" i="2" s="1"/>
  <c r="CP60" i="4" s="1"/>
  <c r="CO98" i="2"/>
  <c r="X23" i="27"/>
  <c r="AF112" i="11"/>
  <c r="X24" i="27" s="1"/>
  <c r="CQ92" i="2" l="1"/>
  <c r="CQ95" i="2" s="1"/>
  <c r="CQ60" i="4" s="1"/>
  <c r="X25" i="27"/>
  <c r="X112" i="27" s="1"/>
  <c r="CP98" i="2"/>
  <c r="CP97" i="2"/>
  <c r="CQ98" i="2"/>
  <c r="BE285" i="8"/>
  <c r="BE286" i="8" s="1"/>
  <c r="CQ97" i="2" l="1"/>
  <c r="CR92" i="2"/>
  <c r="CR95" i="2" s="1"/>
  <c r="CR60" i="4" s="1"/>
  <c r="BE288" i="8"/>
  <c r="BE287" i="8"/>
  <c r="BE44" i="2"/>
  <c r="BF46" i="58" s="1"/>
  <c r="BF51" i="58" s="1"/>
  <c r="CR98" i="2" l="1"/>
  <c r="CR97" i="2"/>
  <c r="CS92" i="2"/>
  <c r="CS95" i="2" s="1"/>
  <c r="CS60" i="4" s="1"/>
  <c r="AG111" i="11" s="1"/>
  <c r="CS97" i="2"/>
  <c r="AG113" i="11" s="1"/>
  <c r="CS98" i="2"/>
  <c r="BF50" i="58"/>
  <c r="BG51" i="58"/>
  <c r="BG50" i="58" s="1"/>
  <c r="BE53" i="2"/>
  <c r="BF47" i="58" s="1"/>
  <c r="BE45" i="2"/>
  <c r="CT92" i="2" l="1"/>
  <c r="CT95" i="2" s="1"/>
  <c r="CT60" i="4" s="1"/>
  <c r="AG189" i="11"/>
  <c r="Y25" i="27"/>
  <c r="Y112" i="27" s="1"/>
  <c r="Y23" i="27"/>
  <c r="AG112" i="11"/>
  <c r="Y24" i="27" s="1"/>
  <c r="BE55" i="2"/>
  <c r="BE290" i="8" s="1"/>
  <c r="BE292" i="8" s="1"/>
  <c r="BE52" i="2"/>
  <c r="BE280" i="8" s="1"/>
  <c r="BE283" i="8" s="1"/>
  <c r="BE54" i="2"/>
  <c r="CU92" i="2" l="1"/>
  <c r="CU95" i="2" s="1"/>
  <c r="CU60" i="4" s="1"/>
  <c r="CT97" i="2"/>
  <c r="CT98" i="2"/>
  <c r="CV92" i="2"/>
  <c r="CV95" i="2" s="1"/>
  <c r="CV60" i="4" s="1"/>
  <c r="CU97" i="2"/>
  <c r="CU98" i="2"/>
  <c r="BE291" i="8"/>
  <c r="BE282" i="8"/>
  <c r="BE281" i="8"/>
  <c r="BE293" i="8"/>
  <c r="CW92" i="2" l="1"/>
  <c r="CW95" i="2" s="1"/>
  <c r="CW60" i="4" s="1"/>
  <c r="CV98" i="2"/>
  <c r="CV97" i="2"/>
  <c r="AH111" i="11" l="1"/>
  <c r="CW97" i="2"/>
  <c r="AH113" i="11" s="1"/>
  <c r="CW98" i="2"/>
  <c r="AH189" i="11" l="1"/>
  <c r="Z25" i="27"/>
  <c r="Z112" i="27" s="1"/>
  <c r="Z23" i="27"/>
  <c r="AH112" i="11"/>
  <c r="Z24" i="27" s="1"/>
  <c r="BL288" i="8"/>
  <c r="BL286" i="8"/>
  <c r="BL285" i="8" l="1"/>
  <c r="BL46" i="2" s="1"/>
  <c r="BM288" i="8"/>
  <c r="BM286" i="8"/>
  <c r="BM285" i="8" l="1"/>
  <c r="BM46" i="2" s="1"/>
  <c r="BN286" i="8"/>
  <c r="BN288" i="8"/>
  <c r="BN285" i="8" l="1"/>
  <c r="BN46" i="2" s="1"/>
  <c r="BO286" i="8"/>
  <c r="BO288" i="8"/>
  <c r="BO285" i="8" l="1"/>
  <c r="BO46" i="2" s="1"/>
  <c r="BP288" i="8"/>
  <c r="BP286" i="8"/>
  <c r="BP285" i="8" l="1"/>
  <c r="BP46" i="2" s="1"/>
  <c r="BR286" i="8" l="1"/>
  <c r="BR288" i="8"/>
  <c r="BQ285" i="8"/>
  <c r="BQ46" i="2" s="1"/>
  <c r="BR285" i="8" l="1"/>
  <c r="BR46" i="2" s="1"/>
  <c r="BS288" i="8"/>
  <c r="BS286" i="8"/>
  <c r="BT288" i="8" l="1"/>
  <c r="BT286" i="8"/>
  <c r="BS285" i="8"/>
  <c r="BS46" i="2" s="1"/>
  <c r="BT285" i="8"/>
  <c r="BT46" i="2" s="1"/>
  <c r="BU288" i="8" l="1"/>
  <c r="BU286" i="8"/>
  <c r="BU285" i="8" s="1"/>
  <c r="BU46" i="2" s="1"/>
  <c r="BV286" i="8" l="1"/>
  <c r="BV288" i="8"/>
  <c r="BW288" i="8" l="1"/>
  <c r="BW286" i="8"/>
  <c r="BV285" i="8"/>
  <c r="BV46" i="2" s="1"/>
  <c r="BX288" i="8" l="1"/>
  <c r="BX286" i="8"/>
  <c r="BW285" i="8"/>
  <c r="BW46" i="2" s="1"/>
  <c r="BX285" i="8"/>
  <c r="BX46" i="2" s="1"/>
  <c r="BY288" i="8" l="1"/>
  <c r="BY286" i="8"/>
  <c r="BY285" i="8"/>
  <c r="BY46" i="2" s="1"/>
  <c r="BE195" i="112" l="1"/>
  <c r="BE198" i="112" l="1"/>
  <c r="BE253" i="112"/>
  <c r="BI254" i="112" s="1"/>
  <c r="BE200" i="112"/>
  <c r="BE254" i="112" l="1"/>
  <c r="BE257" i="112"/>
  <c r="BE258" i="112" s="1"/>
  <c r="BE201" i="112"/>
  <c r="BE198" i="8" s="1"/>
  <c r="BE199" i="8" s="1"/>
  <c r="BE255" i="112"/>
  <c r="BE200" i="8" l="1"/>
  <c r="BE197" i="8" s="1"/>
  <c r="BN477" i="111" l="1"/>
  <c r="BN491" i="111"/>
  <c r="BN493" i="111"/>
  <c r="BN494" i="111"/>
  <c r="BN499" i="111" s="1"/>
  <c r="BR504" i="111" s="1"/>
  <c r="BN495" i="111"/>
  <c r="BN500" i="111" s="1"/>
  <c r="BN537" i="111"/>
  <c r="BN545" i="111"/>
  <c r="BN548" i="111"/>
  <c r="BN551" i="111"/>
  <c r="BN554" i="111"/>
  <c r="BN557" i="111"/>
  <c r="BN478" i="111" l="1"/>
  <c r="BR478" i="111"/>
  <c r="BR505" i="111"/>
  <c r="BF22" i="4"/>
  <c r="BN498" i="111"/>
  <c r="BN504" i="111"/>
  <c r="BN505" i="111"/>
  <c r="BF6" i="2"/>
  <c r="BF8" i="2"/>
  <c r="BF11" i="2"/>
  <c r="BF15" i="2"/>
  <c r="BF16" i="2" s="1"/>
  <c r="BF38" i="2"/>
  <c r="BF39" i="2" s="1"/>
  <c r="BF41" i="2"/>
  <c r="BG44" i="2" s="1"/>
  <c r="BF42" i="2"/>
  <c r="BF43" i="2"/>
  <c r="BF45" i="2"/>
  <c r="BF48" i="2"/>
  <c r="BG51" i="2" s="1"/>
  <c r="BF49" i="2"/>
  <c r="BF63" i="2"/>
  <c r="BF78" i="2" s="1"/>
  <c r="BF77" i="2" s="1"/>
  <c r="BF64" i="2"/>
  <c r="BF82" i="2" s="1"/>
  <c r="BF65" i="2"/>
  <c r="BF70" i="2" s="1"/>
  <c r="BF67" i="2"/>
  <c r="BG61" i="2" s="1"/>
  <c r="BG66" i="2" s="1"/>
  <c r="BF101" i="2"/>
  <c r="BF102" i="2"/>
  <c r="BF108" i="2"/>
  <c r="BF130" i="2"/>
  <c r="BF58" i="112"/>
  <c r="BF123" i="112"/>
  <c r="BF207" i="112"/>
  <c r="BF245" i="112"/>
  <c r="BF278" i="112" s="1"/>
  <c r="BF279" i="112" s="1"/>
  <c r="BF311" i="112"/>
  <c r="BF312" i="112"/>
  <c r="BF63" i="112" l="1"/>
  <c r="BF64" i="112" s="1"/>
  <c r="BF269" i="112"/>
  <c r="BF272" i="112" s="1"/>
  <c r="BF212" i="112"/>
  <c r="BF213" i="112" s="1"/>
  <c r="BF128" i="112"/>
  <c r="BF129" i="112" s="1"/>
  <c r="BR503" i="111"/>
  <c r="BF132" i="2"/>
  <c r="BF264" i="8"/>
  <c r="BF266" i="8" s="1"/>
  <c r="BF315" i="112"/>
  <c r="BF20" i="2"/>
  <c r="BF21" i="2"/>
  <c r="BF51" i="2"/>
  <c r="BN560" i="111"/>
  <c r="BF241" i="112"/>
  <c r="BF242" i="112" s="1"/>
  <c r="BF23" i="4"/>
  <c r="BF115" i="2"/>
  <c r="BG111" i="2"/>
  <c r="BF106" i="2"/>
  <c r="BG105" i="2"/>
  <c r="BF71" i="2"/>
  <c r="BF72" i="2" s="1"/>
  <c r="BF322" i="8" s="1"/>
  <c r="BF325" i="8" s="1"/>
  <c r="BG71" i="2"/>
  <c r="BG72" i="2" s="1"/>
  <c r="BG322" i="8" s="1"/>
  <c r="BG45" i="2"/>
  <c r="BG53" i="2"/>
  <c r="BH47" i="58" s="1"/>
  <c r="BH46" i="58"/>
  <c r="BN503" i="111"/>
  <c r="BF60" i="112"/>
  <c r="BF233" i="8" s="1"/>
  <c r="BF232" i="8"/>
  <c r="BF209" i="112"/>
  <c r="BF210" i="112" s="1"/>
  <c r="BF244" i="8"/>
  <c r="BF125" i="112"/>
  <c r="BF239" i="8" s="1"/>
  <c r="BF238" i="8"/>
  <c r="BF313" i="112"/>
  <c r="BF229" i="8" s="1"/>
  <c r="BF53" i="2"/>
  <c r="BF50" i="2"/>
  <c r="BF26" i="2"/>
  <c r="BF119" i="2"/>
  <c r="BF120" i="2" s="1"/>
  <c r="BF73" i="2"/>
  <c r="BF318" i="112"/>
  <c r="BF117" i="2"/>
  <c r="BF9" i="2"/>
  <c r="BF288" i="112"/>
  <c r="BF296" i="112"/>
  <c r="BF267" i="112"/>
  <c r="X41" i="11" s="1"/>
  <c r="BF246" i="112"/>
  <c r="BN454" i="111"/>
  <c r="BF12" i="2"/>
  <c r="BF17" i="2"/>
  <c r="BF10" i="2"/>
  <c r="BF309" i="112"/>
  <c r="BF300" i="112"/>
  <c r="BF247" i="112"/>
  <c r="BF284" i="112"/>
  <c r="BF238" i="112"/>
  <c r="BJ255" i="112" s="1"/>
  <c r="BF7" i="2"/>
  <c r="BF31" i="2"/>
  <c r="BF109" i="2"/>
  <c r="BF112" i="2"/>
  <c r="BF329" i="8" s="1"/>
  <c r="BF107" i="2"/>
  <c r="BF66" i="2"/>
  <c r="BF274" i="112" l="1"/>
  <c r="BF275" i="112" s="1"/>
  <c r="BF270" i="112"/>
  <c r="BF271" i="112" s="1"/>
  <c r="BJ24" i="4"/>
  <c r="BF267" i="8"/>
  <c r="BF265" i="8"/>
  <c r="BF259" i="8"/>
  <c r="BF260" i="8" s="1"/>
  <c r="BF305" i="112"/>
  <c r="BG47" i="58"/>
  <c r="BF24" i="4"/>
  <c r="BF28" i="4"/>
  <c r="BN487" i="111"/>
  <c r="X19" i="46"/>
  <c r="X36" i="11"/>
  <c r="BF319" i="112"/>
  <c r="BG323" i="8"/>
  <c r="BG325" i="8"/>
  <c r="BG324" i="8"/>
  <c r="BF235" i="8"/>
  <c r="BF241" i="8"/>
  <c r="BF61" i="112"/>
  <c r="BF234" i="8"/>
  <c r="BG106" i="2"/>
  <c r="BG107" i="2"/>
  <c r="BG112" i="2"/>
  <c r="BG115" i="2"/>
  <c r="BG54" i="2"/>
  <c r="BG55" i="2"/>
  <c r="BG290" i="8" s="1"/>
  <c r="BG52" i="2"/>
  <c r="BG280" i="8" s="1"/>
  <c r="BF27" i="2"/>
  <c r="BG27" i="2"/>
  <c r="BG123" i="2"/>
  <c r="BG124" i="2" s="1"/>
  <c r="BH51" i="58"/>
  <c r="BF236" i="8"/>
  <c r="BF126" i="112"/>
  <c r="BF240" i="8"/>
  <c r="BF242" i="8"/>
  <c r="BF245" i="8"/>
  <c r="BF251" i="8"/>
  <c r="BF254" i="8"/>
  <c r="BF256" i="8" s="1"/>
  <c r="BN481" i="111"/>
  <c r="BF324" i="8"/>
  <c r="BN563" i="111"/>
  <c r="BF55" i="2"/>
  <c r="BF290" i="8" s="1"/>
  <c r="BF293" i="8" s="1"/>
  <c r="BF52" i="2"/>
  <c r="BF280" i="8" s="1"/>
  <c r="BF281" i="8" s="1"/>
  <c r="BF54" i="2"/>
  <c r="BF323" i="8"/>
  <c r="BF28" i="2"/>
  <c r="BF121" i="2"/>
  <c r="BF123" i="2"/>
  <c r="BF124" i="2" s="1"/>
  <c r="BF128" i="2" s="1"/>
  <c r="BF227" i="8" s="1"/>
  <c r="BN542" i="111"/>
  <c r="BF224" i="8"/>
  <c r="BI46" i="58"/>
  <c r="BN465" i="111"/>
  <c r="BN438" i="111"/>
  <c r="BF239" i="112"/>
  <c r="BN538" i="111"/>
  <c r="BN456" i="111"/>
  <c r="BF297" i="112"/>
  <c r="BF302" i="112"/>
  <c r="BN448" i="111"/>
  <c r="BF32" i="2" a="1"/>
  <c r="BF32" i="2" s="1"/>
  <c r="BF285" i="112"/>
  <c r="BF209" i="8" s="1"/>
  <c r="X12" i="76" l="1"/>
  <c r="BF306" i="112"/>
  <c r="BN532" i="111"/>
  <c r="K9" i="71"/>
  <c r="AQ11" i="71"/>
  <c r="Z18" i="71"/>
  <c r="BF261" i="8"/>
  <c r="BF262" i="8"/>
  <c r="BR489" i="111"/>
  <c r="BF208" i="112"/>
  <c r="BF59" i="112"/>
  <c r="BF124" i="112"/>
  <c r="BF159" i="8" s="1"/>
  <c r="BF160" i="8" s="1"/>
  <c r="X25" i="11"/>
  <c r="BN489" i="111"/>
  <c r="W8" i="36"/>
  <c r="W13" i="36" s="1"/>
  <c r="U8" i="36"/>
  <c r="X37" i="11"/>
  <c r="X61" i="11"/>
  <c r="AK61" i="11" s="1"/>
  <c r="X15" i="46"/>
  <c r="X20" i="46" s="1"/>
  <c r="X64" i="11"/>
  <c r="X181" i="11"/>
  <c r="X192" i="11"/>
  <c r="X193" i="11"/>
  <c r="X207" i="11"/>
  <c r="X66" i="11"/>
  <c r="X68" i="11"/>
  <c r="X107" i="11"/>
  <c r="X70" i="11"/>
  <c r="X208" i="11"/>
  <c r="BF35" i="2"/>
  <c r="BF36" i="2" s="1"/>
  <c r="BF275" i="8" s="1"/>
  <c r="BH50" i="58"/>
  <c r="BI51" i="58"/>
  <c r="BG283" i="8"/>
  <c r="BG282" i="8"/>
  <c r="BG281" i="8"/>
  <c r="BG293" i="8"/>
  <c r="BG292" i="8"/>
  <c r="BG291" i="8"/>
  <c r="BG129" i="2"/>
  <c r="BG128" i="2"/>
  <c r="BG227" i="8" s="1"/>
  <c r="BF257" i="8"/>
  <c r="BG32" i="2" a="1"/>
  <c r="BG32" i="2" s="1"/>
  <c r="BF247" i="8"/>
  <c r="BF246" i="8"/>
  <c r="BF248" i="8"/>
  <c r="BF255" i="8"/>
  <c r="BF282" i="8"/>
  <c r="BF283" i="8"/>
  <c r="BF291" i="8"/>
  <c r="BF292" i="8"/>
  <c r="BO545" i="111"/>
  <c r="BF129" i="2"/>
  <c r="BF211" i="8"/>
  <c r="BF212" i="8"/>
  <c r="BF210" i="8"/>
  <c r="BF293" i="112"/>
  <c r="BF303" i="112"/>
  <c r="BN539" i="111"/>
  <c r="BF34" i="2"/>
  <c r="BF270" i="8" s="1"/>
  <c r="BN439" i="111"/>
  <c r="Z32" i="71" l="1"/>
  <c r="Z8" i="71"/>
  <c r="Z19" i="71"/>
  <c r="BN533" i="111"/>
  <c r="AA53" i="71"/>
  <c r="AQ41" i="71"/>
  <c r="AN57" i="71"/>
  <c r="AQ13" i="71"/>
  <c r="AQ43" i="71" s="1"/>
  <c r="K39" i="71"/>
  <c r="K11" i="71"/>
  <c r="K41" i="71" s="1"/>
  <c r="BF161" i="8"/>
  <c r="BF158" i="8" s="1"/>
  <c r="X35" i="46"/>
  <c r="X8" i="36"/>
  <c r="X13" i="36" s="1"/>
  <c r="U13" i="36" s="1"/>
  <c r="X90" i="11"/>
  <c r="X62" i="11"/>
  <c r="X11" i="46"/>
  <c r="BH32" i="2" a="1"/>
  <c r="BH32" i="2" s="1"/>
  <c r="BI50" i="58"/>
  <c r="BG34" i="2"/>
  <c r="BG270" i="8" s="1"/>
  <c r="BG35" i="2"/>
  <c r="BF273" i="8"/>
  <c r="BF272" i="8"/>
  <c r="BF271" i="8"/>
  <c r="BF278" i="8"/>
  <c r="BF277" i="8"/>
  <c r="BF276" i="8"/>
  <c r="BF294" i="112"/>
  <c r="BF219" i="8" s="1"/>
  <c r="BF290" i="112"/>
  <c r="X13" i="76" l="1"/>
  <c r="X18" i="76" s="1"/>
  <c r="X21" i="76" s="1"/>
  <c r="AN59" i="71"/>
  <c r="AQ14" i="71"/>
  <c r="AQ44" i="71" s="1"/>
  <c r="AK90" i="11"/>
  <c r="BH35" i="2"/>
  <c r="BH36" i="2" s="1"/>
  <c r="BH34" i="2"/>
  <c r="X91" i="11"/>
  <c r="X96" i="11"/>
  <c r="BG271" i="8"/>
  <c r="BG272" i="8"/>
  <c r="BG273" i="8"/>
  <c r="BG36" i="2"/>
  <c r="BG275" i="8" s="1"/>
  <c r="BF221" i="8"/>
  <c r="BF222" i="8"/>
  <c r="BF220" i="8"/>
  <c r="BF291" i="112"/>
  <c r="BF214" i="8" s="1"/>
  <c r="BN484" i="111"/>
  <c r="AK96" i="11" l="1"/>
  <c r="X20" i="76"/>
  <c r="X23" i="76"/>
  <c r="X99" i="11"/>
  <c r="AK99" i="11" s="1"/>
  <c r="X98" i="11"/>
  <c r="X24" i="76" s="1"/>
  <c r="BG278" i="8"/>
  <c r="BG277" i="8"/>
  <c r="BG276" i="8"/>
  <c r="BO548" i="111"/>
  <c r="BF216" i="8"/>
  <c r="BF217" i="8"/>
  <c r="BF215" i="8"/>
  <c r="X178" i="11" l="1"/>
  <c r="X25" i="76"/>
  <c r="X179" i="11"/>
  <c r="BO271" i="8"/>
  <c r="BO273" i="8"/>
  <c r="BO557" i="111"/>
  <c r="BG318" i="112"/>
  <c r="BO554" i="111"/>
  <c r="X30" i="76" l="1"/>
  <c r="X37" i="46"/>
  <c r="BG319" i="112"/>
  <c r="BS271" i="8"/>
  <c r="BS273" i="8"/>
  <c r="BO270" i="8"/>
  <c r="BO34" i="2" s="1"/>
  <c r="BW272" i="8"/>
  <c r="BO551" i="111"/>
  <c r="X31" i="76" l="1"/>
  <c r="Z35" i="71"/>
  <c r="Z34" i="71"/>
  <c r="P32" i="27"/>
  <c r="AQ17" i="71"/>
  <c r="AQ47" i="71" s="1"/>
  <c r="BS270" i="8"/>
  <c r="BS34" i="2" s="1"/>
  <c r="BW273" i="8"/>
  <c r="CA272" i="8"/>
  <c r="CE272" i="8" s="1"/>
  <c r="CI272" i="8" s="1"/>
  <c r="CM272" i="8" s="1"/>
  <c r="CQ272" i="8" s="1"/>
  <c r="CU272" i="8" s="1"/>
  <c r="BW271" i="8"/>
  <c r="BW270" i="8" l="1"/>
  <c r="BW34" i="2" s="1"/>
  <c r="CA273" i="8"/>
  <c r="CA271" i="8"/>
  <c r="CA270" i="8" l="1"/>
  <c r="CA34" i="2" s="1"/>
  <c r="CE273" i="8"/>
  <c r="CE271" i="8"/>
  <c r="CE270" i="8" l="1"/>
  <c r="CE34" i="2" s="1"/>
  <c r="CI271" i="8"/>
  <c r="CI273" i="8"/>
  <c r="CI270" i="8" l="1"/>
  <c r="CI34" i="2" s="1"/>
  <c r="CM271" i="8"/>
  <c r="CM273" i="8"/>
  <c r="CM270" i="8" l="1"/>
  <c r="CM34" i="2" s="1"/>
  <c r="CQ271" i="8"/>
  <c r="CQ273" i="8"/>
  <c r="CQ270" i="8" l="1"/>
  <c r="CQ34" i="2" s="1"/>
  <c r="CU271" i="8"/>
  <c r="CU273" i="8"/>
  <c r="BO542" i="111"/>
  <c r="CU270" i="8" l="1"/>
  <c r="CU34" i="2" s="1"/>
  <c r="BN4" i="111" l="1"/>
  <c r="BN427" i="111"/>
  <c r="BN437" i="111"/>
  <c r="BN468" i="111"/>
  <c r="BN476" i="111"/>
  <c r="BN480" i="111"/>
  <c r="BN483" i="111"/>
  <c r="BN486" i="111"/>
  <c r="BN492" i="111"/>
  <c r="BN497" i="111"/>
  <c r="BN502" i="111"/>
  <c r="BN786" i="111"/>
  <c r="BP560" i="111" l="1"/>
  <c r="BJ51" i="58" l="1"/>
  <c r="BL107" i="2"/>
  <c r="BJ50" i="58" l="1"/>
  <c r="BH280" i="8"/>
  <c r="BH281" i="8" s="1"/>
  <c r="BI47" i="58"/>
  <c r="BH290" i="8"/>
  <c r="BH227" i="8" l="1"/>
  <c r="BP542" i="111"/>
  <c r="BH283" i="8"/>
  <c r="BH282" i="8"/>
  <c r="BH291" i="8"/>
  <c r="BH293" i="8"/>
  <c r="BH292" i="8"/>
  <c r="BL292" i="8" s="1"/>
  <c r="BP292" i="8" s="1"/>
  <c r="BT292" i="8" s="1"/>
  <c r="BX292" i="8" s="1"/>
  <c r="BL282" i="8" l="1"/>
  <c r="BP282" i="8" s="1"/>
  <c r="BT282" i="8" s="1"/>
  <c r="BX282" i="8" s="1"/>
  <c r="BQ545" i="111"/>
  <c r="P13" i="27" l="1"/>
  <c r="BP283" i="8"/>
  <c r="BP52" i="2"/>
  <c r="BP281" i="8"/>
  <c r="BP280" i="8" l="1"/>
  <c r="BL283" i="8"/>
  <c r="BL281" i="8"/>
  <c r="BL52" i="2"/>
  <c r="BL280" i="8" l="1"/>
  <c r="BL293" i="8"/>
  <c r="BL291" i="8"/>
  <c r="BL290" i="8" l="1"/>
  <c r="BL55" i="2" s="1"/>
  <c r="P11" i="27"/>
  <c r="X275" i="111" l="1"/>
  <c r="X276" i="111" s="1"/>
  <c r="X279" i="111" l="1"/>
  <c r="BH119" i="8" l="1"/>
  <c r="BH121" i="8"/>
  <c r="BH122" i="8" s="1"/>
  <c r="BH143" i="8"/>
  <c r="BH144" i="8" s="1"/>
  <c r="BH148" i="8"/>
  <c r="BH153" i="8"/>
  <c r="BH154" i="8" s="1"/>
  <c r="BH164" i="8"/>
  <c r="BH166" i="8" s="1"/>
  <c r="BH167" i="8"/>
  <c r="BH169" i="8"/>
  <c r="BH170" i="8" s="1"/>
  <c r="BH172" i="8"/>
  <c r="BH173" i="8" s="1"/>
  <c r="BH171" i="8" s="1"/>
  <c r="BH175" i="8" s="1"/>
  <c r="BH178" i="8"/>
  <c r="BH179" i="8" s="1"/>
  <c r="BH184" i="8"/>
  <c r="BH185" i="8" s="1"/>
  <c r="BH189" i="8"/>
  <c r="BH190" i="8" s="1"/>
  <c r="BH198" i="8"/>
  <c r="BH199" i="8" s="1"/>
  <c r="BH204" i="8"/>
  <c r="BH205" i="8" s="1"/>
  <c r="BH209" i="8"/>
  <c r="BH211" i="8" s="1"/>
  <c r="BH224" i="8"/>
  <c r="BH232" i="8"/>
  <c r="BH233" i="8"/>
  <c r="BH235" i="8" s="1"/>
  <c r="BH238" i="8"/>
  <c r="BH239" i="8"/>
  <c r="BH241" i="8" s="1"/>
  <c r="BL241" i="8" s="1"/>
  <c r="BH244" i="8"/>
  <c r="BH245" i="8"/>
  <c r="BH248" i="8" s="1"/>
  <c r="BH251" i="8"/>
  <c r="BH174" i="8" l="1"/>
  <c r="BH242" i="8"/>
  <c r="BH247" i="8"/>
  <c r="BH234" i="8"/>
  <c r="BH155" i="8"/>
  <c r="BH152" i="8" s="1"/>
  <c r="BH240" i="8"/>
  <c r="BH236" i="8"/>
  <c r="BH186" i="8"/>
  <c r="BH183" i="8" s="1"/>
  <c r="BH206" i="8"/>
  <c r="BH203" i="8" s="1"/>
  <c r="BH246" i="8"/>
  <c r="BL240" i="8"/>
  <c r="BP241" i="8"/>
  <c r="BT241" i="8" s="1"/>
  <c r="BL242" i="8"/>
  <c r="BL239" i="8" s="1"/>
  <c r="BL125" i="112" s="1"/>
  <c r="BL126" i="112" s="1"/>
  <c r="BL234" i="8"/>
  <c r="BL233" i="8" s="1"/>
  <c r="BL60" i="112" s="1"/>
  <c r="BL61" i="112" s="1"/>
  <c r="BP235" i="8"/>
  <c r="BT235" i="8" s="1"/>
  <c r="BL236" i="8"/>
  <c r="BH212" i="8"/>
  <c r="BH210" i="8"/>
  <c r="BH200" i="8"/>
  <c r="BH197" i="8" s="1"/>
  <c r="BH180" i="8"/>
  <c r="BH177" i="8" s="1"/>
  <c r="BH165" i="8"/>
  <c r="BH163" i="8" s="1"/>
  <c r="BH123" i="8"/>
  <c r="BH120" i="8" s="1"/>
  <c r="BH149" i="8"/>
  <c r="BH146" i="8" s="1"/>
  <c r="BH150" i="8" s="1"/>
  <c r="BH259" i="8"/>
  <c r="BL12" i="2"/>
  <c r="BP12" i="2" s="1"/>
  <c r="BT12" i="2" s="1"/>
  <c r="BX12" i="2" s="1"/>
  <c r="CB12" i="2" s="1"/>
  <c r="CF12" i="2" s="1"/>
  <c r="CJ12" i="2" s="1"/>
  <c r="CN12" i="2" s="1"/>
  <c r="CR12" i="2" s="1"/>
  <c r="BH264" i="8"/>
  <c r="BH270" i="8"/>
  <c r="BH275" i="8"/>
  <c r="BL29" i="112"/>
  <c r="BP29" i="112" s="1"/>
  <c r="BL33" i="112"/>
  <c r="BP33" i="112" s="1"/>
  <c r="BL44" i="112"/>
  <c r="BL46" i="112" s="1"/>
  <c r="BL98" i="112"/>
  <c r="BL174" i="112"/>
  <c r="BL195" i="112"/>
  <c r="BL198" i="112" s="1"/>
  <c r="BT451" i="111" l="1"/>
  <c r="BX241" i="8"/>
  <c r="BT242" i="8"/>
  <c r="BT240" i="8"/>
  <c r="BX235" i="8"/>
  <c r="BT234" i="8"/>
  <c r="BT236" i="8"/>
  <c r="CV12" i="2"/>
  <c r="BP98" i="112"/>
  <c r="BT29" i="112"/>
  <c r="BX29" i="112" s="1"/>
  <c r="BL111" i="112"/>
  <c r="BL114" i="112" s="1"/>
  <c r="BT33" i="112"/>
  <c r="BX33" i="112" s="1"/>
  <c r="BP174" i="112"/>
  <c r="BH276" i="8"/>
  <c r="BH277" i="8"/>
  <c r="BH278" i="8"/>
  <c r="BH266" i="8"/>
  <c r="BL266" i="8" s="1"/>
  <c r="BH267" i="8"/>
  <c r="BH265" i="8"/>
  <c r="BH272" i="8"/>
  <c r="BH271" i="8"/>
  <c r="BH273" i="8"/>
  <c r="BP234" i="8"/>
  <c r="BP236" i="8"/>
  <c r="BP233" i="8" s="1"/>
  <c r="BP60" i="112" s="1"/>
  <c r="BH262" i="8"/>
  <c r="BH260" i="8"/>
  <c r="BH261" i="8"/>
  <c r="BL261" i="8" s="1"/>
  <c r="BH254" i="8"/>
  <c r="BP242" i="8"/>
  <c r="BP240" i="8"/>
  <c r="BP239" i="8" s="1"/>
  <c r="BP125" i="112" s="1"/>
  <c r="BL278" i="8" l="1"/>
  <c r="BL276" i="8"/>
  <c r="BH121" i="2"/>
  <c r="BP477" i="111"/>
  <c r="BP478" i="111" s="1"/>
  <c r="BX236" i="8"/>
  <c r="BX234" i="8"/>
  <c r="BX240" i="8"/>
  <c r="BX242" i="8"/>
  <c r="X877" i="111"/>
  <c r="BT98" i="112"/>
  <c r="BX98" i="112" s="1"/>
  <c r="CB29" i="112"/>
  <c r="BP491" i="111"/>
  <c r="BP537" i="111"/>
  <c r="BP538" i="111" s="1"/>
  <c r="BP539" i="111" s="1"/>
  <c r="BL253" i="112"/>
  <c r="BT174" i="112"/>
  <c r="CB33" i="112"/>
  <c r="BT233" i="8"/>
  <c r="BT60" i="112" s="1"/>
  <c r="BP126" i="112"/>
  <c r="BL271" i="8"/>
  <c r="BL270" i="8" s="1"/>
  <c r="BL34" i="2" s="1"/>
  <c r="BL273" i="8"/>
  <c r="BP261" i="8"/>
  <c r="BT261" i="8" s="1"/>
  <c r="BL259" i="8"/>
  <c r="BL9" i="2" s="1"/>
  <c r="BL262" i="8"/>
  <c r="BL260" i="8"/>
  <c r="BP61" i="112"/>
  <c r="BP266" i="8"/>
  <c r="BT266" i="8" s="1"/>
  <c r="BL264" i="8"/>
  <c r="BL16" i="2" s="1"/>
  <c r="BL267" i="8"/>
  <c r="BL265" i="8"/>
  <c r="BI33" i="58"/>
  <c r="BH255" i="8"/>
  <c r="BH256" i="8"/>
  <c r="BH257" i="8"/>
  <c r="BT239" i="8"/>
  <c r="BT125" i="112" s="1"/>
  <c r="BL275" i="8" l="1"/>
  <c r="BL36" i="2" s="1"/>
  <c r="BT277" i="8"/>
  <c r="BX277" i="8" s="1"/>
  <c r="BP276" i="8"/>
  <c r="BP275" i="8" s="1"/>
  <c r="BP36" i="2" s="1"/>
  <c r="BP278" i="8"/>
  <c r="BH319" i="112"/>
  <c r="BT262" i="8"/>
  <c r="BT260" i="8"/>
  <c r="BX261" i="8"/>
  <c r="BT267" i="8"/>
  <c r="BX266" i="8"/>
  <c r="BT265" i="8"/>
  <c r="AK11" i="11"/>
  <c r="CF29" i="112"/>
  <c r="BP554" i="111"/>
  <c r="BL254" i="112"/>
  <c r="BL255" i="112"/>
  <c r="BX174" i="112"/>
  <c r="BI34" i="58"/>
  <c r="BX239" i="8"/>
  <c r="BX125" i="112" s="1"/>
  <c r="CB241" i="8"/>
  <c r="BP265" i="8"/>
  <c r="BP264" i="8"/>
  <c r="BP16" i="2" s="1"/>
  <c r="BP267" i="8"/>
  <c r="BP259" i="8"/>
  <c r="BP9" i="2" s="1"/>
  <c r="BP262" i="8"/>
  <c r="BP260" i="8"/>
  <c r="BX233" i="8"/>
  <c r="BX60" i="112" s="1"/>
  <c r="CB235" i="8"/>
  <c r="BT126" i="112"/>
  <c r="BL256" i="8"/>
  <c r="BT61" i="112"/>
  <c r="BP273" i="8"/>
  <c r="BP271" i="8"/>
  <c r="CF33" i="112"/>
  <c r="CB98" i="112"/>
  <c r="BT276" i="8" l="1"/>
  <c r="BT278" i="8"/>
  <c r="BT275" i="8"/>
  <c r="BT36" i="2" s="1"/>
  <c r="CB277" i="8"/>
  <c r="CB287" i="8" s="1"/>
  <c r="BX276" i="8"/>
  <c r="BX278" i="8"/>
  <c r="BX275" i="8"/>
  <c r="BX36" i="2" s="1"/>
  <c r="BH22" i="4"/>
  <c r="BH312" i="112"/>
  <c r="BH71" i="2"/>
  <c r="BH72" i="2" s="1"/>
  <c r="BH322" i="8" s="1"/>
  <c r="BH66" i="2"/>
  <c r="BI71" i="2"/>
  <c r="BX262" i="8"/>
  <c r="BX260" i="8"/>
  <c r="BX267" i="8"/>
  <c r="BX265" i="8"/>
  <c r="BT271" i="8"/>
  <c r="BT273" i="8"/>
  <c r="BQ434" i="111"/>
  <c r="BQ435" i="111" s="1"/>
  <c r="AK7" i="11"/>
  <c r="AK19" i="11"/>
  <c r="X18" i="111"/>
  <c r="CJ29" i="112"/>
  <c r="CN29" i="112" s="1"/>
  <c r="BP270" i="8"/>
  <c r="BP34" i="2" s="1"/>
  <c r="BP551" i="111"/>
  <c r="CB174" i="112"/>
  <c r="BP557" i="111"/>
  <c r="X872" i="111"/>
  <c r="X882" i="111" s="1"/>
  <c r="X887" i="111" s="1"/>
  <c r="BX126" i="112"/>
  <c r="BX272" i="8"/>
  <c r="CB234" i="8"/>
  <c r="CB233" i="8" s="1"/>
  <c r="CB60" i="112" s="1"/>
  <c r="CB236" i="8"/>
  <c r="CF235" i="8"/>
  <c r="AC341" i="111"/>
  <c r="AC323" i="111" s="1"/>
  <c r="AC343" i="111"/>
  <c r="AC342" i="111"/>
  <c r="CB240" i="8"/>
  <c r="CF241" i="8"/>
  <c r="CB242" i="8"/>
  <c r="CB239" i="8" s="1"/>
  <c r="CB125" i="112" s="1"/>
  <c r="CJ33" i="112"/>
  <c r="CN33" i="112" s="1"/>
  <c r="CF98" i="112"/>
  <c r="BL255" i="8"/>
  <c r="BP256" i="8"/>
  <c r="BT256" i="8" s="1"/>
  <c r="BL254" i="8"/>
  <c r="BL7" i="2" s="1"/>
  <c r="BL257" i="8"/>
  <c r="BH102" i="2"/>
  <c r="BX61" i="112"/>
  <c r="AC346" i="111"/>
  <c r="AC324" i="111" s="1"/>
  <c r="AC347" i="111"/>
  <c r="BT264" i="8"/>
  <c r="BT16" i="2" s="1"/>
  <c r="AC348" i="111"/>
  <c r="CB286" i="8" l="1"/>
  <c r="CB288" i="8"/>
  <c r="CB285" i="8"/>
  <c r="CB46" i="2" s="1"/>
  <c r="BU451" i="111"/>
  <c r="BH313" i="112"/>
  <c r="BH229" i="8" s="1"/>
  <c r="BL313" i="112" s="1"/>
  <c r="CB276" i="8"/>
  <c r="CF277" i="8"/>
  <c r="CF287" i="8" s="1"/>
  <c r="CB278" i="8"/>
  <c r="BH23" i="4"/>
  <c r="BP548" i="111"/>
  <c r="BX256" i="8"/>
  <c r="BT255" i="8"/>
  <c r="BT257" i="8"/>
  <c r="BX273" i="8"/>
  <c r="CB272" i="8"/>
  <c r="CF272" i="8" s="1"/>
  <c r="CJ272" i="8" s="1"/>
  <c r="CN272" i="8" s="1"/>
  <c r="CR272" i="8" s="1"/>
  <c r="CV272" i="8" s="1"/>
  <c r="BX271" i="8"/>
  <c r="X142" i="111"/>
  <c r="BH324" i="8"/>
  <c r="BH323" i="8"/>
  <c r="BH325" i="8"/>
  <c r="CR29" i="112"/>
  <c r="CR33" i="112"/>
  <c r="BR434" i="111"/>
  <c r="X102" i="111"/>
  <c r="BT259" i="8"/>
  <c r="BT9" i="2" s="1"/>
  <c r="BT270" i="8"/>
  <c r="BT34" i="2" s="1"/>
  <c r="CF174" i="112"/>
  <c r="CF240" i="8"/>
  <c r="CF239" i="8" s="1"/>
  <c r="CF125" i="112" s="1"/>
  <c r="CJ241" i="8"/>
  <c r="CN241" i="8" s="1"/>
  <c r="CR241" i="8" s="1"/>
  <c r="CV241" i="8" s="1"/>
  <c r="CF242" i="8"/>
  <c r="CB61" i="112"/>
  <c r="BQ463" i="111"/>
  <c r="AK39" i="11"/>
  <c r="CB126" i="112"/>
  <c r="CB261" i="8"/>
  <c r="BX264" i="8"/>
  <c r="BX16" i="2" s="1"/>
  <c r="CB266" i="8"/>
  <c r="CJ98" i="112"/>
  <c r="CN98" i="112" s="1"/>
  <c r="BP254" i="8"/>
  <c r="BP7" i="2" s="1"/>
  <c r="BP257" i="8"/>
  <c r="BP255" i="8"/>
  <c r="CJ235" i="8"/>
  <c r="CN235" i="8" s="1"/>
  <c r="CR235" i="8" s="1"/>
  <c r="CV235" i="8" s="1"/>
  <c r="CF236" i="8"/>
  <c r="CF234" i="8"/>
  <c r="CF233" i="8" s="1"/>
  <c r="CF60" i="112" s="1"/>
  <c r="CF288" i="8" l="1"/>
  <c r="CF286" i="8"/>
  <c r="CF285" i="8" s="1"/>
  <c r="CF46" i="2" s="1"/>
  <c r="BV451" i="111"/>
  <c r="BH24" i="4"/>
  <c r="CB275" i="8"/>
  <c r="CB36" i="2" s="1"/>
  <c r="CJ277" i="8"/>
  <c r="CJ287" i="8" s="1"/>
  <c r="CF276" i="8"/>
  <c r="CF275" i="8" s="1"/>
  <c r="CF36" i="2" s="1"/>
  <c r="CF278" i="8"/>
  <c r="BP487" i="111"/>
  <c r="BP489" i="111" s="1"/>
  <c r="BH28" i="4"/>
  <c r="BH305" i="112"/>
  <c r="BX255" i="8"/>
  <c r="BX257" i="8"/>
  <c r="CV242" i="8"/>
  <c r="CV240" i="8"/>
  <c r="CV234" i="8"/>
  <c r="CV233" i="8"/>
  <c r="CV60" i="112" s="1"/>
  <c r="CV236" i="8"/>
  <c r="CV33" i="112"/>
  <c r="CV29" i="112"/>
  <c r="CR98" i="112"/>
  <c r="CR240" i="8"/>
  <c r="CR242" i="8"/>
  <c r="CR239" i="8"/>
  <c r="CR125" i="112" s="1"/>
  <c r="CR234" i="8"/>
  <c r="CR236" i="8"/>
  <c r="CR233" i="8"/>
  <c r="CR60" i="112" s="1"/>
  <c r="CN240" i="8"/>
  <c r="CN239" i="8" s="1"/>
  <c r="CN125" i="112" s="1"/>
  <c r="CN242" i="8"/>
  <c r="CN234" i="8"/>
  <c r="CN236" i="8"/>
  <c r="CN233" i="8"/>
  <c r="CN60" i="112" s="1"/>
  <c r="BR435" i="111"/>
  <c r="BX259" i="8"/>
  <c r="BX9" i="2" s="1"/>
  <c r="BX270" i="8"/>
  <c r="BX34" i="2" s="1"/>
  <c r="CJ174" i="112"/>
  <c r="CN174" i="112" s="1"/>
  <c r="BQ444" i="111"/>
  <c r="BQ473" i="111"/>
  <c r="BM111" i="112"/>
  <c r="CJ240" i="8"/>
  <c r="CJ242" i="8"/>
  <c r="X129" i="111"/>
  <c r="X62" i="111"/>
  <c r="X68" i="111" s="1"/>
  <c r="CB271" i="8"/>
  <c r="CB273" i="8"/>
  <c r="CF266" i="8"/>
  <c r="CB264" i="8"/>
  <c r="CB16" i="2" s="1"/>
  <c r="CB267" i="8"/>
  <c r="CB265" i="8"/>
  <c r="BQ464" i="111"/>
  <c r="CF126" i="112"/>
  <c r="CF61" i="112"/>
  <c r="CJ236" i="8"/>
  <c r="CJ234" i="8"/>
  <c r="CJ233" i="8" s="1"/>
  <c r="CJ60" i="112" s="1"/>
  <c r="AC336" i="111"/>
  <c r="BT254" i="8"/>
  <c r="BT7" i="2" s="1"/>
  <c r="CB260" i="8"/>
  <c r="CB259" i="8" s="1"/>
  <c r="CB9" i="2" s="1"/>
  <c r="CF261" i="8"/>
  <c r="CB262" i="8"/>
  <c r="CJ288" i="8" l="1"/>
  <c r="CJ286" i="8"/>
  <c r="CJ285" i="8" s="1"/>
  <c r="CJ46" i="2" s="1"/>
  <c r="CV239" i="8"/>
  <c r="CV125" i="112" s="1"/>
  <c r="CV126" i="112" s="1"/>
  <c r="CJ239" i="8"/>
  <c r="CJ125" i="112" s="1"/>
  <c r="CN126" i="112" s="1"/>
  <c r="CJ276" i="8"/>
  <c r="CN277" i="8"/>
  <c r="CN287" i="8" s="1"/>
  <c r="CJ278" i="8"/>
  <c r="BH293" i="112"/>
  <c r="BH59" i="112"/>
  <c r="BR444" i="111"/>
  <c r="BN111" i="112"/>
  <c r="BN114" i="112" s="1"/>
  <c r="BP532" i="111"/>
  <c r="BP533" i="111" s="1"/>
  <c r="BH208" i="112"/>
  <c r="BH306" i="112"/>
  <c r="BH124" i="112"/>
  <c r="BH159" i="8" s="1"/>
  <c r="BH161" i="8" s="1"/>
  <c r="CR61" i="112"/>
  <c r="CV61" i="112"/>
  <c r="CN61" i="112"/>
  <c r="CR126" i="112"/>
  <c r="CR174" i="112"/>
  <c r="CV98" i="112"/>
  <c r="CB270" i="8"/>
  <c r="CB34" i="2" s="1"/>
  <c r="CF271" i="8"/>
  <c r="CF273" i="8"/>
  <c r="AC322" i="111"/>
  <c r="CF262" i="8"/>
  <c r="CF259" i="8" s="1"/>
  <c r="CF9" i="2" s="1"/>
  <c r="CF260" i="8"/>
  <c r="CJ261" i="8"/>
  <c r="CN261" i="8" s="1"/>
  <c r="CR261" i="8" s="1"/>
  <c r="CV261" i="8" s="1"/>
  <c r="AC337" i="111"/>
  <c r="BQ445" i="111"/>
  <c r="BQ474" i="111"/>
  <c r="AC338" i="111"/>
  <c r="CJ61" i="112"/>
  <c r="BM114" i="112"/>
  <c r="CB256" i="8"/>
  <c r="BX254" i="8"/>
  <c r="BX7" i="2" s="1"/>
  <c r="CJ266" i="8"/>
  <c r="CN266" i="8" s="1"/>
  <c r="CR266" i="8" s="1"/>
  <c r="CV266" i="8" s="1"/>
  <c r="CF264" i="8"/>
  <c r="CF16" i="2" s="1"/>
  <c r="CF267" i="8"/>
  <c r="CF265" i="8"/>
  <c r="CN286" i="8" l="1"/>
  <c r="CN288" i="8"/>
  <c r="CN285" i="8"/>
  <c r="CN46" i="2" s="1"/>
  <c r="CJ275" i="8"/>
  <c r="CJ36" i="2" s="1"/>
  <c r="BH294" i="112"/>
  <c r="BP484" i="111" s="1"/>
  <c r="BH218" i="8"/>
  <c r="CJ126" i="112"/>
  <c r="CR277" i="8"/>
  <c r="CR287" i="8" s="1"/>
  <c r="CN276" i="8"/>
  <c r="CN278" i="8"/>
  <c r="BH290" i="112"/>
  <c r="BH291" i="112" s="1"/>
  <c r="BH214" i="8" s="1"/>
  <c r="BH160" i="8"/>
  <c r="BH158" i="8" s="1"/>
  <c r="BR445" i="111"/>
  <c r="CV265" i="8"/>
  <c r="CV264" i="8"/>
  <c r="CV16" i="2" s="1"/>
  <c r="CV267" i="8"/>
  <c r="CV260" i="8"/>
  <c r="CV259" i="8"/>
  <c r="CV9" i="2" s="1"/>
  <c r="CV262" i="8"/>
  <c r="CV174" i="112"/>
  <c r="CV271" i="8"/>
  <c r="CV273" i="8"/>
  <c r="CR273" i="8"/>
  <c r="CR271" i="8"/>
  <c r="CR265" i="8"/>
  <c r="CR267" i="8"/>
  <c r="CR264" i="8"/>
  <c r="CR16" i="2" s="1"/>
  <c r="CR260" i="8"/>
  <c r="CR262" i="8"/>
  <c r="CR259" i="8"/>
  <c r="CR9" i="2" s="1"/>
  <c r="CN265" i="8"/>
  <c r="CN267" i="8"/>
  <c r="CN264" i="8"/>
  <c r="CN16" i="2" s="1"/>
  <c r="CN271" i="8"/>
  <c r="CN273" i="8"/>
  <c r="CN260" i="8"/>
  <c r="CN262" i="8"/>
  <c r="CN259" i="8"/>
  <c r="CN9" i="2" s="1"/>
  <c r="CF270" i="8"/>
  <c r="CF34" i="2" s="1"/>
  <c r="BS495" i="111"/>
  <c r="CJ264" i="8"/>
  <c r="CJ16" i="2" s="1"/>
  <c r="CJ267" i="8"/>
  <c r="CJ265" i="8"/>
  <c r="CJ259" i="8"/>
  <c r="CJ9" i="2" s="1"/>
  <c r="CJ262" i="8"/>
  <c r="CJ260" i="8"/>
  <c r="CJ271" i="8"/>
  <c r="CJ273" i="8"/>
  <c r="CF256" i="8"/>
  <c r="CB254" i="8"/>
  <c r="CB7" i="2" s="1"/>
  <c r="CB257" i="8"/>
  <c r="CB255" i="8"/>
  <c r="CR286" i="8" l="1"/>
  <c r="CR288" i="8"/>
  <c r="CR285" i="8"/>
  <c r="CR46" i="2" s="1"/>
  <c r="BH219" i="8"/>
  <c r="BH222" i="8" s="1"/>
  <c r="CN275" i="8"/>
  <c r="CN36" i="2" s="1"/>
  <c r="CR278" i="8"/>
  <c r="CR276" i="8"/>
  <c r="CV277" i="8"/>
  <c r="CV287" i="8" s="1"/>
  <c r="BH215" i="8"/>
  <c r="BH217" i="8"/>
  <c r="BH216" i="8"/>
  <c r="CN270" i="8"/>
  <c r="CN34" i="2" s="1"/>
  <c r="CR270" i="8"/>
  <c r="CR34" i="2" s="1"/>
  <c r="CV270" i="8"/>
  <c r="CV34" i="2" s="1"/>
  <c r="CJ270" i="8"/>
  <c r="CJ34" i="2" s="1"/>
  <c r="CF255" i="8"/>
  <c r="CJ256" i="8"/>
  <c r="CN256" i="8" s="1"/>
  <c r="CR256" i="8" s="1"/>
  <c r="CV256" i="8" s="1"/>
  <c r="CF254" i="8"/>
  <c r="CF7" i="2" s="1"/>
  <c r="CF257" i="8"/>
  <c r="CV288" i="8" l="1"/>
  <c r="CV286" i="8"/>
  <c r="CV285" i="8"/>
  <c r="CV46" i="2" s="1"/>
  <c r="BH221" i="8"/>
  <c r="BH220" i="8"/>
  <c r="CR275" i="8"/>
  <c r="CR36" i="2" s="1"/>
  <c r="CV276" i="8"/>
  <c r="CV278" i="8"/>
  <c r="CV275" i="8" s="1"/>
  <c r="CV36" i="2" s="1"/>
  <c r="CV255" i="8"/>
  <c r="CV257" i="8"/>
  <c r="CV254" i="8"/>
  <c r="CV7" i="2" s="1"/>
  <c r="CR255" i="8"/>
  <c r="CR257" i="8"/>
  <c r="CR254" i="8"/>
  <c r="CR7" i="2" s="1"/>
  <c r="CN255" i="8"/>
  <c r="CN257" i="8"/>
  <c r="CN254" i="8"/>
  <c r="CN7" i="2" s="1"/>
  <c r="BL220" i="8"/>
  <c r="BL222" i="8"/>
  <c r="CJ255" i="8"/>
  <c r="CJ254" i="8"/>
  <c r="CJ7" i="2" s="1"/>
  <c r="CJ257" i="8"/>
  <c r="BL219" i="8" l="1"/>
  <c r="BL294" i="112" s="1"/>
  <c r="BP222" i="8"/>
  <c r="BP220" i="8"/>
  <c r="BP219" i="8" s="1"/>
  <c r="BP294" i="112" s="1"/>
  <c r="BT484" i="111" l="1"/>
  <c r="BT222" i="8"/>
  <c r="BT220" i="8"/>
  <c r="BX484" i="111"/>
  <c r="BX222" i="8" l="1"/>
  <c r="BX220" i="8"/>
  <c r="BT219" i="8"/>
  <c r="BX219" i="8"/>
  <c r="BX294" i="112" s="1"/>
  <c r="BT294" i="112" l="1"/>
  <c r="CB484" i="111" s="1"/>
  <c r="CB222" i="8"/>
  <c r="CB220" i="8"/>
  <c r="CF484" i="111"/>
  <c r="CB219" i="8" l="1"/>
  <c r="CF220" i="8"/>
  <c r="CF222" i="8"/>
  <c r="CF219" i="8" l="1"/>
  <c r="CF294" i="112" s="1"/>
  <c r="CN484" i="111" s="1"/>
  <c r="CB294" i="112"/>
  <c r="CJ484" i="111" s="1"/>
  <c r="CV220" i="8"/>
  <c r="CV222" i="8"/>
  <c r="CV219" i="8"/>
  <c r="CV294" i="112" s="1"/>
  <c r="CR220" i="8"/>
  <c r="CR222" i="8"/>
  <c r="CR219" i="8"/>
  <c r="CR294" i="112" s="1"/>
  <c r="CN222" i="8"/>
  <c r="CN219" i="8" s="1"/>
  <c r="CN294" i="112" s="1"/>
  <c r="CN220" i="8"/>
  <c r="CJ222" i="8"/>
  <c r="CJ220" i="8"/>
  <c r="CJ219" i="8" l="1"/>
  <c r="CJ294" i="112" s="1"/>
  <c r="CR484" i="111" s="1"/>
  <c r="BK497" i="111" l="1"/>
  <c r="BK483" i="111"/>
  <c r="BM562" i="111"/>
  <c r="BE497" i="111"/>
  <c r="BE483" i="111"/>
  <c r="BL562" i="111"/>
  <c r="BK492" i="111"/>
  <c r="BG562" i="111"/>
  <c r="BE492" i="111"/>
  <c r="BF562" i="111"/>
  <c r="BH541" i="111"/>
  <c r="BK502" i="111"/>
  <c r="BB541" i="111"/>
  <c r="BE502" i="111"/>
  <c r="BK562" i="111"/>
  <c r="BE562" i="111"/>
  <c r="BM541" i="111"/>
  <c r="BG541" i="111"/>
  <c r="BB523" i="111"/>
  <c r="BJ502" i="111"/>
  <c r="BD502" i="111"/>
  <c r="BJ497" i="111"/>
  <c r="BD497" i="111"/>
  <c r="BJ492" i="111"/>
  <c r="BD492" i="111"/>
  <c r="BJ483" i="111"/>
  <c r="BD483" i="111"/>
  <c r="BJ562" i="111"/>
  <c r="BD562" i="111"/>
  <c r="BL541" i="111"/>
  <c r="BF541" i="111"/>
  <c r="BB515" i="111"/>
  <c r="BI502" i="111"/>
  <c r="BC502" i="111"/>
  <c r="BI497" i="111"/>
  <c r="BC497" i="111"/>
  <c r="BI492" i="111"/>
  <c r="BC492" i="111"/>
  <c r="BI483" i="111"/>
  <c r="BC483" i="111"/>
  <c r="BI562" i="111"/>
  <c r="BC562" i="111"/>
  <c r="BB4" i="111"/>
  <c r="BK541" i="111"/>
  <c r="BE541" i="111"/>
  <c r="BB507" i="111"/>
  <c r="BH502" i="111"/>
  <c r="BB502" i="111"/>
  <c r="BH497" i="111"/>
  <c r="BB497" i="111"/>
  <c r="BH492" i="111"/>
  <c r="BH483" i="111"/>
  <c r="BB483" i="111"/>
  <c r="BH562" i="111"/>
  <c r="BB562" i="111"/>
  <c r="BJ541" i="111"/>
  <c r="BD541" i="111"/>
  <c r="BM502" i="111"/>
  <c r="BG502" i="111"/>
  <c r="BM497" i="111"/>
  <c r="BG497" i="111"/>
  <c r="BM492" i="111"/>
  <c r="BG492" i="111"/>
  <c r="BM483" i="111"/>
  <c r="BG483" i="111"/>
  <c r="BI541" i="111"/>
  <c r="BC541" i="111"/>
  <c r="BL502" i="111"/>
  <c r="BF502" i="111"/>
  <c r="BL497" i="111"/>
  <c r="BF497" i="111"/>
  <c r="BL492" i="111"/>
  <c r="BF492" i="111"/>
  <c r="BL483" i="111"/>
  <c r="BF483" i="111"/>
  <c r="BI468" i="111"/>
  <c r="BC468" i="111"/>
  <c r="BI559" i="111"/>
  <c r="BC559" i="111"/>
  <c r="BI556" i="111"/>
  <c r="BC556" i="111"/>
  <c r="BI553" i="111"/>
  <c r="BC553" i="111"/>
  <c r="BI550" i="111"/>
  <c r="BC550" i="111"/>
  <c r="BI547" i="111"/>
  <c r="BC547" i="111"/>
  <c r="BI544" i="111"/>
  <c r="BC544" i="111"/>
  <c r="BI536" i="111"/>
  <c r="BC536" i="111"/>
  <c r="BI531" i="111"/>
  <c r="BC531" i="111"/>
  <c r="BI486" i="111"/>
  <c r="BC486" i="111"/>
  <c r="BI480" i="111"/>
  <c r="BC480" i="111"/>
  <c r="BI476" i="111"/>
  <c r="BC476" i="111"/>
  <c r="BI437" i="111"/>
  <c r="BC437" i="111"/>
  <c r="BI427" i="111"/>
  <c r="BC427" i="111"/>
  <c r="BH468" i="111"/>
  <c r="BB468" i="111"/>
  <c r="BH559" i="111"/>
  <c r="BB559" i="111"/>
  <c r="BH556" i="111"/>
  <c r="BB556" i="111"/>
  <c r="BH553" i="111"/>
  <c r="BB553" i="111"/>
  <c r="BH550" i="111"/>
  <c r="BB550" i="111"/>
  <c r="BH547" i="111"/>
  <c r="BB547" i="111"/>
  <c r="BH544" i="111"/>
  <c r="BB544" i="111"/>
  <c r="BH536" i="111"/>
  <c r="BB536" i="111"/>
  <c r="BH531" i="111"/>
  <c r="BB531" i="111"/>
  <c r="BH486" i="111"/>
  <c r="BB486" i="111"/>
  <c r="BH480" i="111"/>
  <c r="BB480" i="111"/>
  <c r="BH476" i="111"/>
  <c r="BB476" i="111"/>
  <c r="BH437" i="111"/>
  <c r="BB437" i="111"/>
  <c r="BH427" i="111"/>
  <c r="BB427" i="111"/>
  <c r="BM468" i="111"/>
  <c r="BG468" i="111"/>
  <c r="BM559" i="111"/>
  <c r="BG559" i="111"/>
  <c r="BM556" i="111"/>
  <c r="BG556" i="111"/>
  <c r="BM553" i="111"/>
  <c r="BG553" i="111"/>
  <c r="BM550" i="111"/>
  <c r="BG550" i="111"/>
  <c r="BM547" i="111"/>
  <c r="BG547" i="111"/>
  <c r="BM544" i="111"/>
  <c r="BG544" i="111"/>
  <c r="BM536" i="111"/>
  <c r="BG536" i="111"/>
  <c r="BM531" i="111"/>
  <c r="BG531" i="111"/>
  <c r="BM486" i="111"/>
  <c r="BG486" i="111"/>
  <c r="BM480" i="111"/>
  <c r="BG480" i="111"/>
  <c r="BM476" i="111"/>
  <c r="BG476" i="111"/>
  <c r="BM437" i="111"/>
  <c r="BG437" i="111"/>
  <c r="BM427" i="111"/>
  <c r="BG427" i="111"/>
  <c r="BL468" i="111"/>
  <c r="BF468" i="111"/>
  <c r="BL559" i="111"/>
  <c r="BF559" i="111"/>
  <c r="BL556" i="111"/>
  <c r="BF556" i="111"/>
  <c r="BL553" i="111"/>
  <c r="BF553" i="111"/>
  <c r="BL550" i="111"/>
  <c r="BF550" i="111"/>
  <c r="BL547" i="111"/>
  <c r="BF547" i="111"/>
  <c r="BL544" i="111"/>
  <c r="BF544" i="111"/>
  <c r="BL536" i="111"/>
  <c r="BF536" i="111"/>
  <c r="BL531" i="111"/>
  <c r="BF531" i="111"/>
  <c r="BL486" i="111"/>
  <c r="BF486" i="111"/>
  <c r="BL480" i="111"/>
  <c r="BF480" i="111"/>
  <c r="BL476" i="111"/>
  <c r="BF476" i="111"/>
  <c r="BL437" i="111"/>
  <c r="BF437" i="111"/>
  <c r="BL427" i="111"/>
  <c r="BF427" i="111"/>
  <c r="BK468" i="111"/>
  <c r="BE468" i="111"/>
  <c r="BK559" i="111"/>
  <c r="BE559" i="111"/>
  <c r="BK556" i="111"/>
  <c r="BE556" i="111"/>
  <c r="BK553" i="111"/>
  <c r="BE553" i="111"/>
  <c r="BK550" i="111"/>
  <c r="BE550" i="111"/>
  <c r="BK547" i="111"/>
  <c r="BE547" i="111"/>
  <c r="BK544" i="111"/>
  <c r="BE544" i="111"/>
  <c r="BK536" i="111"/>
  <c r="BE536" i="111"/>
  <c r="BK531" i="111"/>
  <c r="BE531" i="111"/>
  <c r="BK486" i="111"/>
  <c r="BE486" i="111"/>
  <c r="BK480" i="111"/>
  <c r="BE480" i="111"/>
  <c r="BK476" i="111"/>
  <c r="BE476" i="111"/>
  <c r="BK437" i="111"/>
  <c r="BE437" i="111"/>
  <c r="BK427" i="111"/>
  <c r="BE427" i="111"/>
  <c r="BJ468" i="111"/>
  <c r="BD468" i="111"/>
  <c r="BJ559" i="111"/>
  <c r="BD559" i="111"/>
  <c r="BJ556" i="111"/>
  <c r="BD556" i="111"/>
  <c r="BJ553" i="111"/>
  <c r="BD553" i="111"/>
  <c r="BJ550" i="111"/>
  <c r="BD550" i="111"/>
  <c r="BJ547" i="111"/>
  <c r="BD547" i="111"/>
  <c r="BJ544" i="111"/>
  <c r="BD544" i="111"/>
  <c r="BJ536" i="111"/>
  <c r="BD536" i="111"/>
  <c r="BJ531" i="111"/>
  <c r="BD531" i="111"/>
  <c r="BJ486" i="111"/>
  <c r="BD486" i="111"/>
  <c r="BJ480" i="111"/>
  <c r="BD480" i="111"/>
  <c r="BJ476" i="111"/>
  <c r="BD476" i="111"/>
  <c r="BJ437" i="111"/>
  <c r="BD437" i="111"/>
  <c r="BJ427" i="111"/>
  <c r="BD427" i="111"/>
  <c r="BB786" i="111"/>
  <c r="W572" i="111"/>
  <c r="W571" i="111"/>
  <c r="S604" i="111"/>
  <c r="W570" i="111"/>
  <c r="BK786" i="111"/>
  <c r="BK4" i="111"/>
  <c r="BE786" i="111"/>
  <c r="BE4" i="111"/>
  <c r="BH786" i="111"/>
  <c r="BH4" i="111"/>
  <c r="BJ786" i="111"/>
  <c r="BJ4" i="111"/>
  <c r="BD786" i="111"/>
  <c r="BD4" i="111"/>
  <c r="BM786" i="111"/>
  <c r="BM4" i="111"/>
  <c r="BG786" i="111"/>
  <c r="BG4" i="111"/>
  <c r="BB492" i="111"/>
  <c r="BI786" i="111"/>
  <c r="BI4" i="111"/>
  <c r="BC786" i="111"/>
  <c r="BC4" i="111"/>
  <c r="BL786" i="111"/>
  <c r="BL4" i="111"/>
  <c r="BF786" i="111"/>
  <c r="BF4" i="111"/>
  <c r="O570" i="111" l="1"/>
  <c r="AF6" i="46"/>
  <c r="AD6" i="46"/>
  <c r="AF617" i="111"/>
  <c r="AF616" i="111"/>
  <c r="AF615" i="111"/>
  <c r="AF614" i="111"/>
  <c r="AF613" i="111"/>
  <c r="AF612" i="111"/>
  <c r="AF611" i="111"/>
  <c r="AF610" i="111"/>
  <c r="AF609" i="111"/>
  <c r="AF608" i="111"/>
  <c r="O574" i="111"/>
  <c r="O573" i="111"/>
  <c r="O572" i="111"/>
  <c r="O571" i="111"/>
  <c r="AF604" i="111"/>
  <c r="AF603" i="111"/>
  <c r="AF602" i="111"/>
  <c r="AF601" i="111"/>
  <c r="AF600" i="111"/>
  <c r="AF599" i="111"/>
  <c r="AF598" i="111"/>
  <c r="AF596" i="111"/>
  <c r="AF595" i="111"/>
  <c r="AF594" i="111"/>
  <c r="O578" i="111"/>
  <c r="O577" i="111"/>
  <c r="O576" i="111"/>
  <c r="O575" i="111"/>
  <c r="V613" i="111"/>
  <c r="U615" i="111"/>
  <c r="T614" i="111"/>
  <c r="U614" i="111"/>
  <c r="T613" i="111"/>
  <c r="V610" i="111"/>
  <c r="T608" i="111"/>
  <c r="T615" i="111"/>
  <c r="V615" i="111"/>
  <c r="U617" i="111"/>
  <c r="V614" i="111"/>
  <c r="W573" i="111"/>
  <c r="W574" i="111"/>
  <c r="V616" i="111"/>
  <c r="T617" i="111"/>
  <c r="T616" i="111"/>
  <c r="S608" i="111"/>
  <c r="S609" i="111"/>
  <c r="S610" i="111"/>
  <c r="S611" i="111"/>
  <c r="S612" i="111"/>
  <c r="S613" i="111"/>
  <c r="S614" i="111"/>
  <c r="S615" i="111"/>
  <c r="S616" i="111"/>
  <c r="S617" i="111"/>
  <c r="W575" i="111"/>
  <c r="W576" i="111"/>
  <c r="W577" i="111"/>
  <c r="W578" i="111"/>
  <c r="T609" i="111"/>
  <c r="V609" i="111"/>
  <c r="V617" i="111"/>
  <c r="T611" i="111"/>
  <c r="V611" i="111"/>
  <c r="U609" i="111"/>
  <c r="T610" i="111"/>
  <c r="U616" i="111"/>
  <c r="S594" i="111"/>
  <c r="S595" i="111"/>
  <c r="S596" i="111"/>
  <c r="S598" i="111"/>
  <c r="S599" i="111"/>
  <c r="S600" i="111"/>
  <c r="S601" i="111"/>
  <c r="S602" i="111"/>
  <c r="S603" i="111"/>
  <c r="U608" i="111"/>
  <c r="V608" i="111"/>
  <c r="U611" i="111"/>
  <c r="T612" i="111"/>
  <c r="U612" i="111"/>
  <c r="V612" i="111"/>
  <c r="U610" i="111"/>
  <c r="U613" i="111"/>
  <c r="W615" i="111" l="1"/>
  <c r="W614" i="111"/>
  <c r="S618" i="111"/>
  <c r="W608" i="111"/>
  <c r="U618" i="111"/>
  <c r="W579" i="111"/>
  <c r="W613" i="111"/>
  <c r="W612" i="111"/>
  <c r="T618" i="111"/>
  <c r="S605" i="111"/>
  <c r="W617" i="111"/>
  <c r="W611" i="111"/>
  <c r="AD25" i="46"/>
  <c r="AD20" i="46"/>
  <c r="AD27" i="46"/>
  <c r="AD28" i="46" s="1"/>
  <c r="AD15" i="46"/>
  <c r="AD13" i="46"/>
  <c r="AD14" i="46"/>
  <c r="AD12" i="46"/>
  <c r="AD10" i="46"/>
  <c r="AD11" i="46"/>
  <c r="AD23" i="46"/>
  <c r="AD9" i="46"/>
  <c r="AD7" i="46"/>
  <c r="AD19" i="46"/>
  <c r="AD18" i="46"/>
  <c r="AD8" i="46"/>
  <c r="AD22" i="46"/>
  <c r="AD21" i="46"/>
  <c r="AD16" i="46"/>
  <c r="AD17" i="46"/>
  <c r="W616" i="111"/>
  <c r="W610" i="111"/>
  <c r="AF618" i="111"/>
  <c r="AF18" i="46"/>
  <c r="AF9" i="46"/>
  <c r="AF14" i="46"/>
  <c r="AF16" i="46"/>
  <c r="AF13" i="46"/>
  <c r="AF17" i="46"/>
  <c r="AF10" i="46"/>
  <c r="AF8" i="46"/>
  <c r="AF12" i="46"/>
  <c r="AF7" i="46"/>
  <c r="V618" i="111"/>
  <c r="W609" i="111"/>
  <c r="AF605" i="111"/>
  <c r="O579" i="111"/>
  <c r="AD24" i="46" l="1"/>
  <c r="AD26" i="46"/>
  <c r="W618" i="111"/>
  <c r="X617" i="111" s="1"/>
  <c r="X609" i="111" l="1"/>
  <c r="X611" i="111"/>
  <c r="X613" i="111"/>
  <c r="X608" i="111"/>
  <c r="X616" i="111"/>
  <c r="X618" i="111"/>
  <c r="X615" i="111"/>
  <c r="X614" i="111"/>
  <c r="X612" i="111"/>
  <c r="X610" i="111"/>
  <c r="X875" i="111" l="1"/>
  <c r="AK10" i="11"/>
  <c r="BJ145" i="2" l="1"/>
  <c r="BJ153" i="2"/>
  <c r="X16" i="111"/>
  <c r="AK18" i="11"/>
  <c r="BQ430" i="111"/>
  <c r="AK6" i="11"/>
  <c r="BU449" i="111" l="1"/>
  <c r="BQ431" i="111"/>
  <c r="BR430" i="111"/>
  <c r="X100" i="111"/>
  <c r="X140" i="111"/>
  <c r="BV449" i="111" l="1"/>
  <c r="X870" i="111"/>
  <c r="X880" i="111" s="1"/>
  <c r="X885" i="111" s="1"/>
  <c r="BR431" i="111"/>
  <c r="BN44" i="112"/>
  <c r="BR440" i="111"/>
  <c r="BL148" i="2" l="1"/>
  <c r="BL150" i="2" s="1"/>
  <c r="BL57" i="2" s="1"/>
  <c r="BQ459" i="111"/>
  <c r="BR441" i="111"/>
  <c r="BQ440" i="111"/>
  <c r="BM44" i="112"/>
  <c r="BQ469" i="111"/>
  <c r="BN46" i="112"/>
  <c r="X578" i="111" l="1"/>
  <c r="X570" i="111"/>
  <c r="X572" i="111"/>
  <c r="X574" i="111"/>
  <c r="X575" i="111"/>
  <c r="X571" i="111"/>
  <c r="X577" i="111"/>
  <c r="X573" i="111"/>
  <c r="X576" i="111"/>
  <c r="BL108" i="4"/>
  <c r="Y576" i="111"/>
  <c r="Y574" i="111"/>
  <c r="Y570" i="111"/>
  <c r="Y578" i="111"/>
  <c r="Y573" i="111"/>
  <c r="Y577" i="111"/>
  <c r="Y572" i="111"/>
  <c r="Y571" i="111"/>
  <c r="Y575" i="111"/>
  <c r="Z577" i="111"/>
  <c r="Z570" i="111"/>
  <c r="Z576" i="111"/>
  <c r="Z578" i="111"/>
  <c r="Z574" i="111"/>
  <c r="Z575" i="111"/>
  <c r="Z573" i="111"/>
  <c r="Z572" i="111"/>
  <c r="Z571" i="111"/>
  <c r="AK38" i="11"/>
  <c r="BQ470" i="111"/>
  <c r="BM46" i="112"/>
  <c r="X61" i="111"/>
  <c r="X67" i="111" s="1"/>
  <c r="X127" i="111"/>
  <c r="BQ460" i="111"/>
  <c r="BQ441" i="111"/>
  <c r="X579" i="111" l="1"/>
  <c r="AA576" i="111"/>
  <c r="AA574" i="111"/>
  <c r="AA573" i="111"/>
  <c r="AA571" i="111"/>
  <c r="AA577" i="111"/>
  <c r="AA575" i="111"/>
  <c r="AA572" i="111"/>
  <c r="Y579" i="111"/>
  <c r="AA578" i="111"/>
  <c r="Z579" i="111"/>
  <c r="AA570" i="111"/>
  <c r="BS493" i="111"/>
  <c r="AA579" i="111" l="1"/>
  <c r="AB570" i="111" s="1"/>
  <c r="AB577" i="111" l="1"/>
  <c r="AB579" i="111"/>
  <c r="AB571" i="111"/>
  <c r="AB574" i="111"/>
  <c r="AB576" i="111"/>
  <c r="AB573" i="111"/>
  <c r="AB578" i="111"/>
  <c r="AB575" i="111"/>
  <c r="AB572" i="111"/>
  <c r="X876" i="111" l="1"/>
  <c r="AK12" i="11"/>
  <c r="BQ432" i="111" l="1"/>
  <c r="AK8" i="11"/>
  <c r="BU450" i="111"/>
  <c r="X17" i="111"/>
  <c r="AK20" i="11"/>
  <c r="BN196" i="112" l="1"/>
  <c r="AK9" i="11"/>
  <c r="BQ433" i="111"/>
  <c r="X12" i="111"/>
  <c r="AK17" i="11"/>
  <c r="BJ33" i="2"/>
  <c r="BR432" i="111"/>
  <c r="BQ428" i="111"/>
  <c r="X101" i="111"/>
  <c r="X141" i="111"/>
  <c r="BV450" i="111" l="1"/>
  <c r="AK5" i="11"/>
  <c r="BR428" i="111"/>
  <c r="P98" i="27"/>
  <c r="P133" i="27"/>
  <c r="BR433" i="111"/>
  <c r="BQ429" i="111"/>
  <c r="P134" i="27"/>
  <c r="X871" i="111"/>
  <c r="X881" i="111" s="1"/>
  <c r="X886" i="111" s="1"/>
  <c r="BR429" i="111" l="1"/>
  <c r="BQ461" i="111"/>
  <c r="BQ442" i="111"/>
  <c r="BQ471" i="111"/>
  <c r="BM195" i="112"/>
  <c r="T595" i="111" l="1"/>
  <c r="T600" i="111"/>
  <c r="T603" i="111"/>
  <c r="T594" i="111"/>
  <c r="T599" i="111"/>
  <c r="T601" i="111"/>
  <c r="T604" i="111"/>
  <c r="T596" i="111"/>
  <c r="T602" i="111"/>
  <c r="T598" i="111"/>
  <c r="U601" i="111"/>
  <c r="U602" i="111"/>
  <c r="U599" i="111"/>
  <c r="U603" i="111"/>
  <c r="U596" i="111"/>
  <c r="U595" i="111"/>
  <c r="U600" i="111"/>
  <c r="U598" i="111"/>
  <c r="U594" i="111"/>
  <c r="U604" i="111"/>
  <c r="BJ165" i="2"/>
  <c r="BJ162" i="2" s="1"/>
  <c r="V600" i="111"/>
  <c r="V601" i="111"/>
  <c r="V602" i="111"/>
  <c r="V604" i="111"/>
  <c r="V594" i="111"/>
  <c r="V596" i="111"/>
  <c r="V603" i="111"/>
  <c r="V599" i="111"/>
  <c r="V595" i="111"/>
  <c r="V598" i="111"/>
  <c r="AK40" i="11"/>
  <c r="BQ472" i="111"/>
  <c r="BR442" i="111"/>
  <c r="BN195" i="112"/>
  <c r="BQ443" i="111"/>
  <c r="X63" i="111"/>
  <c r="X69" i="111" s="1"/>
  <c r="X128" i="111"/>
  <c r="BM198" i="112"/>
  <c r="BM253" i="112"/>
  <c r="BQ462" i="111"/>
  <c r="T605" i="111" l="1"/>
  <c r="W598" i="111"/>
  <c r="W595" i="111"/>
  <c r="W596" i="111"/>
  <c r="W602" i="111"/>
  <c r="W601" i="111"/>
  <c r="W600" i="111"/>
  <c r="W604" i="111"/>
  <c r="U605" i="111"/>
  <c r="W599" i="111"/>
  <c r="W603" i="111"/>
  <c r="W594" i="111"/>
  <c r="V605" i="111"/>
  <c r="BS494" i="111"/>
  <c r="BR443" i="111"/>
  <c r="BM254" i="112"/>
  <c r="BN198" i="112"/>
  <c r="BN253" i="112"/>
  <c r="W605" i="111" l="1"/>
  <c r="X594" i="111" s="1"/>
  <c r="P7" i="27"/>
  <c r="BN254" i="112"/>
  <c r="X897" i="111"/>
  <c r="P14" i="27"/>
  <c r="X600" i="111" l="1"/>
  <c r="X605" i="111"/>
  <c r="X599" i="111"/>
  <c r="X601" i="111"/>
  <c r="X602" i="111"/>
  <c r="X598" i="111"/>
  <c r="X603" i="111"/>
  <c r="X604" i="111"/>
  <c r="X596" i="111"/>
  <c r="X595" i="111"/>
  <c r="P9" i="27" l="1"/>
  <c r="BQ477" i="111" l="1"/>
  <c r="BQ478" i="111" s="1"/>
  <c r="BQ491" i="111"/>
  <c r="BQ493" i="111"/>
  <c r="BQ494" i="111"/>
  <c r="BQ495" i="111"/>
  <c r="BQ537" i="111"/>
  <c r="BQ548" i="111"/>
  <c r="AK74" i="11"/>
  <c r="AK75" i="11"/>
  <c r="P16" i="27"/>
  <c r="P69" i="27" s="1"/>
  <c r="BJ33" i="58"/>
  <c r="AG611" i="111" l="1"/>
  <c r="AG613" i="111"/>
  <c r="AG616" i="111"/>
  <c r="AG615" i="111"/>
  <c r="AG612" i="111"/>
  <c r="AG610" i="111"/>
  <c r="AG608" i="111"/>
  <c r="AG609" i="111"/>
  <c r="AG614" i="111"/>
  <c r="AG617" i="111"/>
  <c r="AG598" i="111"/>
  <c r="AG604" i="111"/>
  <c r="AG600" i="111"/>
  <c r="AG594" i="111"/>
  <c r="AG595" i="111"/>
  <c r="AG601" i="111"/>
  <c r="AG596" i="111"/>
  <c r="AG599" i="111"/>
  <c r="AG603" i="111"/>
  <c r="AG602" i="111"/>
  <c r="P573" i="111"/>
  <c r="P571" i="111"/>
  <c r="P574" i="111"/>
  <c r="P570" i="111"/>
  <c r="P577" i="111"/>
  <c r="P576" i="111"/>
  <c r="P578" i="111"/>
  <c r="P572" i="111"/>
  <c r="P575" i="111"/>
  <c r="AH615" i="111"/>
  <c r="AH613" i="111"/>
  <c r="AH614" i="111"/>
  <c r="AH608" i="111"/>
  <c r="AH609" i="111"/>
  <c r="AH611" i="111"/>
  <c r="AH617" i="111"/>
  <c r="AH610" i="111"/>
  <c r="AH616" i="111"/>
  <c r="AH612" i="111"/>
  <c r="AH601" i="111"/>
  <c r="AH596" i="111"/>
  <c r="AH594" i="111"/>
  <c r="AH604" i="111"/>
  <c r="AH602" i="111"/>
  <c r="AH600" i="111"/>
  <c r="AH599" i="111"/>
  <c r="AH598" i="111"/>
  <c r="AH603" i="111"/>
  <c r="AH595" i="111"/>
  <c r="Q574" i="111"/>
  <c r="Q570" i="111"/>
  <c r="Q571" i="111"/>
  <c r="Q576" i="111"/>
  <c r="Q573" i="111"/>
  <c r="Q577" i="111"/>
  <c r="Q572" i="111"/>
  <c r="Q578" i="111"/>
  <c r="Q575" i="111"/>
  <c r="BQ500" i="111"/>
  <c r="AI613" i="111"/>
  <c r="AI611" i="111"/>
  <c r="AI610" i="111"/>
  <c r="AI609" i="111"/>
  <c r="AI615" i="111"/>
  <c r="AI612" i="111"/>
  <c r="AI608" i="111"/>
  <c r="AI617" i="111"/>
  <c r="AI616" i="111"/>
  <c r="AI614" i="111"/>
  <c r="BQ499" i="111"/>
  <c r="BQ504" i="111" s="1"/>
  <c r="AI599" i="111"/>
  <c r="AI600" i="111"/>
  <c r="AI595" i="111"/>
  <c r="AI594" i="111"/>
  <c r="AI601" i="111"/>
  <c r="AI603" i="111"/>
  <c r="AI596" i="111"/>
  <c r="AI598" i="111"/>
  <c r="AI604" i="111"/>
  <c r="AI602" i="111"/>
  <c r="BQ498" i="111"/>
  <c r="R576" i="111"/>
  <c r="R572" i="111"/>
  <c r="R577" i="111"/>
  <c r="R575" i="111"/>
  <c r="R578" i="111"/>
  <c r="R573" i="111"/>
  <c r="R570" i="111"/>
  <c r="R574" i="111"/>
  <c r="R571" i="111"/>
  <c r="BJ34" i="58"/>
  <c r="BI22" i="4" s="1"/>
  <c r="P18" i="27"/>
  <c r="P10" i="27"/>
  <c r="X206" i="111"/>
  <c r="AK73" i="11"/>
  <c r="AK69" i="11"/>
  <c r="EW76" i="36" s="1"/>
  <c r="X205" i="111"/>
  <c r="AK67" i="11"/>
  <c r="X195" i="111"/>
  <c r="X194" i="111"/>
  <c r="X204" i="111"/>
  <c r="X196" i="111"/>
  <c r="BQ557" i="111"/>
  <c r="P579" i="111" l="1"/>
  <c r="AG605" i="111"/>
  <c r="AG618" i="111"/>
  <c r="AJ600" i="111"/>
  <c r="AJ610" i="111"/>
  <c r="AJ613" i="111"/>
  <c r="S574" i="111"/>
  <c r="AJ617" i="111"/>
  <c r="AJ615" i="111"/>
  <c r="AJ595" i="111"/>
  <c r="AJ616" i="111"/>
  <c r="S572" i="111"/>
  <c r="AJ604" i="111"/>
  <c r="S577" i="111"/>
  <c r="AJ614" i="111"/>
  <c r="AJ612" i="111"/>
  <c r="AJ602" i="111"/>
  <c r="S576" i="111"/>
  <c r="AJ598" i="111"/>
  <c r="S573" i="111"/>
  <c r="AJ596" i="111"/>
  <c r="AJ603" i="111"/>
  <c r="AJ611" i="111"/>
  <c r="AJ599" i="111"/>
  <c r="S578" i="111"/>
  <c r="S575" i="111"/>
  <c r="AJ601" i="111"/>
  <c r="S571" i="111"/>
  <c r="AJ609" i="111"/>
  <c r="AH618" i="111"/>
  <c r="AH605" i="111"/>
  <c r="Q579" i="111"/>
  <c r="BQ503" i="111"/>
  <c r="BQ505" i="111"/>
  <c r="AJ608" i="111"/>
  <c r="AJ618" i="111" s="1"/>
  <c r="AI618" i="111"/>
  <c r="AI605" i="111"/>
  <c r="AJ594" i="111"/>
  <c r="R579" i="111"/>
  <c r="S570" i="111"/>
  <c r="S579" i="111" s="1"/>
  <c r="BI23" i="4"/>
  <c r="X71" i="11"/>
  <c r="P20" i="27"/>
  <c r="P127" i="27" s="1"/>
  <c r="BM210" i="112"/>
  <c r="BQ481" i="111"/>
  <c r="BQ563" i="111"/>
  <c r="BQ448" i="111"/>
  <c r="X216" i="111"/>
  <c r="X201" i="111"/>
  <c r="P41" i="27"/>
  <c r="BQ551" i="111"/>
  <c r="BQ454" i="111"/>
  <c r="P57" i="27"/>
  <c r="P64" i="27"/>
  <c r="X210" i="111"/>
  <c r="BQ554" i="111"/>
  <c r="X209" i="111"/>
  <c r="X200" i="111"/>
  <c r="X215" i="111"/>
  <c r="X211" i="111"/>
  <c r="X199" i="111"/>
  <c r="X214" i="111"/>
  <c r="P21" i="27"/>
  <c r="AK115" i="11"/>
  <c r="AK611" i="111" l="1"/>
  <c r="BI24" i="4"/>
  <c r="BR490" i="111"/>
  <c r="T577" i="111"/>
  <c r="BI305" i="112"/>
  <c r="T573" i="111"/>
  <c r="BQ487" i="111"/>
  <c r="AK615" i="111"/>
  <c r="AK609" i="111"/>
  <c r="AK613" i="111"/>
  <c r="AK614" i="111"/>
  <c r="T574" i="111"/>
  <c r="AK616" i="111"/>
  <c r="AK612" i="111"/>
  <c r="AK610" i="111"/>
  <c r="AJ605" i="111"/>
  <c r="AK594" i="111" s="1"/>
  <c r="AK608" i="111"/>
  <c r="AK618" i="111"/>
  <c r="AK617" i="111"/>
  <c r="T576" i="111"/>
  <c r="T570" i="111"/>
  <c r="T579" i="111"/>
  <c r="T572" i="111"/>
  <c r="T571" i="111"/>
  <c r="T575" i="111"/>
  <c r="T578" i="111"/>
  <c r="BI28" i="4"/>
  <c r="X72" i="11"/>
  <c r="P26" i="27"/>
  <c r="BM61" i="112"/>
  <c r="BQ438" i="111"/>
  <c r="BM255" i="112"/>
  <c r="BQ456" i="111"/>
  <c r="BN455" i="111"/>
  <c r="BO455" i="111"/>
  <c r="BN490" i="111"/>
  <c r="BO490" i="111"/>
  <c r="BP490" i="111"/>
  <c r="BQ455" i="111"/>
  <c r="BQ538" i="111"/>
  <c r="BQ465" i="111"/>
  <c r="BM126" i="112"/>
  <c r="Z23" i="71" l="1"/>
  <c r="X63" i="76"/>
  <c r="X64" i="76"/>
  <c r="X62" i="76"/>
  <c r="BI208" i="112"/>
  <c r="BI293" i="112"/>
  <c r="BI124" i="112"/>
  <c r="BI59" i="112"/>
  <c r="BI306" i="112"/>
  <c r="BN488" i="111"/>
  <c r="BQ489" i="111"/>
  <c r="BQ490" i="111"/>
  <c r="BQ488" i="111"/>
  <c r="BO488" i="111"/>
  <c r="AK596" i="111"/>
  <c r="AK605" i="111"/>
  <c r="AK599" i="111"/>
  <c r="AK603" i="111"/>
  <c r="AK602" i="111"/>
  <c r="AK601" i="111"/>
  <c r="AK604" i="111"/>
  <c r="AK595" i="111"/>
  <c r="AK598" i="111"/>
  <c r="AK600" i="111"/>
  <c r="BQ532" i="111"/>
  <c r="W16" i="36"/>
  <c r="X16" i="36"/>
  <c r="AK72" i="11"/>
  <c r="X21" i="46"/>
  <c r="X25" i="46" s="1"/>
  <c r="X80" i="11"/>
  <c r="BQ439" i="111"/>
  <c r="X64" i="111"/>
  <c r="X130" i="111"/>
  <c r="BQ539" i="111"/>
  <c r="Z27" i="71" l="1"/>
  <c r="BI159" i="8"/>
  <c r="BI160" i="8" s="1"/>
  <c r="BI158" i="8" s="1"/>
  <c r="X71" i="76"/>
  <c r="X66" i="76"/>
  <c r="X53" i="76" s="1"/>
  <c r="X55" i="76" s="1"/>
  <c r="X46" i="76" s="1"/>
  <c r="BI218" i="8"/>
  <c r="BI161" i="8"/>
  <c r="BI290" i="112"/>
  <c r="BI294" i="112"/>
  <c r="BI219" i="8" s="1"/>
  <c r="BI221" i="8" s="1"/>
  <c r="BQ221" i="8" s="1"/>
  <c r="BU221" i="8" s="1"/>
  <c r="BY221" i="8" s="1"/>
  <c r="CC221" i="8" s="1"/>
  <c r="CG221" i="8" s="1"/>
  <c r="CK221" i="8" s="1"/>
  <c r="CO221" i="8" s="1"/>
  <c r="CS221" i="8" s="1"/>
  <c r="CW221" i="8" s="1"/>
  <c r="BQ533" i="111"/>
  <c r="BN534" i="111"/>
  <c r="BQ534" i="111"/>
  <c r="BP534" i="111"/>
  <c r="BO534" i="111"/>
  <c r="U16" i="36"/>
  <c r="Y850" i="111"/>
  <c r="AK36" i="11"/>
  <c r="P6" i="27"/>
  <c r="P8" i="27" s="1"/>
  <c r="BI220" i="8" l="1"/>
  <c r="BI222" i="8"/>
  <c r="BI291" i="112"/>
  <c r="BI214" i="8" s="1"/>
  <c r="BI217" i="8" s="1"/>
  <c r="BM220" i="8"/>
  <c r="BM222" i="8"/>
  <c r="BM219" i="8"/>
  <c r="BM294" i="112" s="1"/>
  <c r="P126" i="27"/>
  <c r="P12" i="27"/>
  <c r="P15" i="27" s="1"/>
  <c r="P17" i="27" s="1"/>
  <c r="P137" i="27"/>
  <c r="BQ484" i="111"/>
  <c r="P135" i="27"/>
  <c r="X250" i="111"/>
  <c r="BI215" i="8" l="1"/>
  <c r="BI216" i="8"/>
  <c r="BU484" i="111"/>
  <c r="BQ220" i="8"/>
  <c r="BQ219" i="8" s="1"/>
  <c r="BQ294" i="112" s="1"/>
  <c r="BQ222" i="8"/>
  <c r="X249" i="111"/>
  <c r="P136" i="27"/>
  <c r="BU216" i="8" l="1"/>
  <c r="BY216" i="8" s="1"/>
  <c r="CC216" i="8" s="1"/>
  <c r="CG216" i="8" s="1"/>
  <c r="CK216" i="8" s="1"/>
  <c r="CO216" i="8" s="1"/>
  <c r="CS216" i="8" s="1"/>
  <c r="CW216" i="8" s="1"/>
  <c r="BM215" i="8"/>
  <c r="BM217" i="8"/>
  <c r="BM214" i="8"/>
  <c r="BM291" i="112" s="1"/>
  <c r="BY484" i="111"/>
  <c r="BU220" i="8"/>
  <c r="BU222" i="8"/>
  <c r="BU219" i="8"/>
  <c r="BU294" i="112" s="1"/>
  <c r="X251" i="111"/>
  <c r="BQ214" i="8" l="1"/>
  <c r="BQ291" i="112" s="1"/>
  <c r="BQ217" i="8"/>
  <c r="BQ215" i="8"/>
  <c r="BU217" i="8"/>
  <c r="BU215" i="8"/>
  <c r="BU214" i="8"/>
  <c r="BU291" i="112" s="1"/>
  <c r="CC484" i="111"/>
  <c r="BY222" i="8"/>
  <c r="BY220" i="8"/>
  <c r="BY219" i="8"/>
  <c r="BY294" i="112" s="1"/>
  <c r="CG484" i="111" l="1"/>
  <c r="CC222" i="8"/>
  <c r="CC219" i="8" s="1"/>
  <c r="CC294" i="112" s="1"/>
  <c r="CC220" i="8"/>
  <c r="BY217" i="8"/>
  <c r="BY215" i="8"/>
  <c r="BY214" i="8"/>
  <c r="BY291" i="112" s="1"/>
  <c r="CC215" i="8" l="1"/>
  <c r="CC214" i="8" s="1"/>
  <c r="CC291" i="112" s="1"/>
  <c r="CC217" i="8"/>
  <c r="CG220" i="8"/>
  <c r="CG222" i="8"/>
  <c r="CG219" i="8" s="1"/>
  <c r="CG294" i="112" s="1"/>
  <c r="CK484" i="111"/>
  <c r="CO484" i="111" l="1"/>
  <c r="CG215" i="8"/>
  <c r="CG217" i="8"/>
  <c r="CG214" i="8"/>
  <c r="CG291" i="112" s="1"/>
  <c r="CK222" i="8"/>
  <c r="CK220" i="8"/>
  <c r="CK219" i="8" l="1"/>
  <c r="CK294" i="112" s="1"/>
  <c r="CS484" i="111" s="1"/>
  <c r="CO222" i="8"/>
  <c r="CO220" i="8"/>
  <c r="CK217" i="8"/>
  <c r="CK215" i="8"/>
  <c r="CO219" i="8" l="1"/>
  <c r="CO294" i="112" s="1"/>
  <c r="CK214" i="8"/>
  <c r="CK291" i="112" s="1"/>
  <c r="CS220" i="8"/>
  <c r="CS219" i="8"/>
  <c r="CS294" i="112" s="1"/>
  <c r="CS222" i="8"/>
  <c r="CO217" i="8"/>
  <c r="CO215" i="8"/>
  <c r="CO214" i="8" l="1"/>
  <c r="CO291" i="112" s="1"/>
  <c r="CW220" i="8"/>
  <c r="CW222" i="8"/>
  <c r="CW219" i="8" s="1"/>
  <c r="CW294" i="112" s="1"/>
  <c r="CS215" i="8"/>
  <c r="CS217" i="8"/>
  <c r="CS214" i="8"/>
  <c r="CS291" i="112" s="1"/>
  <c r="CW217" i="8" l="1"/>
  <c r="CW215" i="8"/>
  <c r="CW214" i="8"/>
  <c r="CW291" i="112" s="1"/>
  <c r="X383" i="111" l="1"/>
  <c r="P38" i="27"/>
  <c r="P39" i="27"/>
  <c r="P43" i="27"/>
  <c r="P44" i="27"/>
  <c r="P45" i="27"/>
  <c r="P46" i="27"/>
  <c r="P49" i="27"/>
  <c r="P50" i="27"/>
  <c r="P52" i="27"/>
  <c r="P53" i="27"/>
  <c r="P56" i="27"/>
  <c r="P62" i="27"/>
  <c r="P66" i="27"/>
  <c r="P67" i="27"/>
  <c r="P68" i="27"/>
  <c r="P70" i="27"/>
  <c r="P73" i="27"/>
  <c r="P74" i="27"/>
  <c r="P75" i="27"/>
  <c r="P79" i="27"/>
  <c r="P80" i="27"/>
  <c r="P81" i="27"/>
  <c r="P82" i="27"/>
  <c r="P83" i="27"/>
  <c r="P42" i="27" l="1"/>
  <c r="P47" i="27" s="1"/>
  <c r="P58" i="27"/>
  <c r="P129" i="27"/>
  <c r="P77" i="27"/>
  <c r="P71" i="27"/>
  <c r="P84" i="27"/>
  <c r="P111" i="27"/>
  <c r="X394" i="111"/>
  <c r="X847" i="111"/>
  <c r="X846" i="111"/>
  <c r="X384" i="111"/>
  <c r="X381" i="111"/>
  <c r="X387" i="111"/>
  <c r="X382" i="111"/>
  <c r="X332" i="111"/>
  <c r="X333" i="111"/>
  <c r="X388" i="111"/>
  <c r="BI6" i="2"/>
  <c r="BI8" i="2"/>
  <c r="BI11" i="2"/>
  <c r="BI15" i="2"/>
  <c r="BI38" i="2"/>
  <c r="BI39" i="2" s="1"/>
  <c r="BI41" i="2"/>
  <c r="BI42" i="2"/>
  <c r="BI43" i="2"/>
  <c r="BI48" i="2"/>
  <c r="BI49" i="2"/>
  <c r="BI63" i="2"/>
  <c r="BI78" i="2" s="1"/>
  <c r="BI77" i="2" s="1"/>
  <c r="BI64" i="2"/>
  <c r="BI82" i="2" s="1"/>
  <c r="BI65" i="2"/>
  <c r="BI70" i="2" s="1"/>
  <c r="BI318" i="112" s="1"/>
  <c r="BI67" i="2"/>
  <c r="BJ61" i="2" s="1"/>
  <c r="BI101" i="2"/>
  <c r="BI102" i="2"/>
  <c r="BI108" i="2"/>
  <c r="BI116" i="2"/>
  <c r="BJ111" i="2" s="1"/>
  <c r="BJ44" i="2" l="1"/>
  <c r="BK46" i="58" s="1"/>
  <c r="BK51" i="58" s="1"/>
  <c r="BI16" i="2"/>
  <c r="BI12" i="2"/>
  <c r="BI9" i="2"/>
  <c r="BI7" i="2"/>
  <c r="X117" i="11"/>
  <c r="BI106" i="2"/>
  <c r="BJ105" i="2"/>
  <c r="BI20" i="2"/>
  <c r="BI21" i="2"/>
  <c r="BI50" i="2"/>
  <c r="BI53" i="2"/>
  <c r="BI54" i="2" s="1"/>
  <c r="BI51" i="2"/>
  <c r="BQ560" i="111"/>
  <c r="BI31" i="2"/>
  <c r="P88" i="27"/>
  <c r="BI117" i="2"/>
  <c r="BI119" i="2"/>
  <c r="BI120" i="2" s="1"/>
  <c r="BI107" i="2"/>
  <c r="BI319" i="112"/>
  <c r="BI109" i="2"/>
  <c r="BI10" i="2"/>
  <c r="BI72" i="2"/>
  <c r="BI322" i="8" s="1"/>
  <c r="BI73" i="2"/>
  <c r="BI66" i="2"/>
  <c r="BI112" i="2"/>
  <c r="X389" i="111"/>
  <c r="X288" i="111"/>
  <c r="BI17" i="2"/>
  <c r="BI115" i="2"/>
  <c r="BI26" i="2"/>
  <c r="P97" i="27"/>
  <c r="BK50" i="58" l="1"/>
  <c r="P90" i="27"/>
  <c r="Q89" i="27" s="1"/>
  <c r="P131" i="27"/>
  <c r="X118" i="11"/>
  <c r="Z40" i="71" s="1"/>
  <c r="BI254" i="8"/>
  <c r="BI257" i="8" s="1"/>
  <c r="BI259" i="8"/>
  <c r="X183" i="11"/>
  <c r="BM12" i="2"/>
  <c r="BI264" i="8"/>
  <c r="BJ47" i="58"/>
  <c r="BI52" i="2"/>
  <c r="BI280" i="8" s="1"/>
  <c r="BI283" i="8" s="1"/>
  <c r="BI55" i="2"/>
  <c r="BI290" i="8" s="1"/>
  <c r="BI292" i="8" s="1"/>
  <c r="BQ542" i="111"/>
  <c r="BI123" i="2"/>
  <c r="BI124" i="2" s="1"/>
  <c r="BI325" i="8"/>
  <c r="BI323" i="8"/>
  <c r="BI324" i="8"/>
  <c r="BI121" i="2"/>
  <c r="BI27" i="2"/>
  <c r="BI28" i="2"/>
  <c r="BI32" i="2" a="1"/>
  <c r="BI32" i="2" s="1"/>
  <c r="X302" i="111" l="1"/>
  <c r="BI255" i="8"/>
  <c r="X337" i="111" s="1"/>
  <c r="BI256" i="8"/>
  <c r="P27" i="27"/>
  <c r="X182" i="11"/>
  <c r="X34" i="46" s="1"/>
  <c r="X184" i="11"/>
  <c r="BI267" i="8"/>
  <c r="X348" i="111" s="1"/>
  <c r="BI266" i="8"/>
  <c r="BI265" i="8"/>
  <c r="X347" i="111" s="1"/>
  <c r="BQ12" i="2"/>
  <c r="BI262" i="8"/>
  <c r="X343" i="111" s="1"/>
  <c r="BI260" i="8"/>
  <c r="X342" i="111" s="1"/>
  <c r="BI261" i="8"/>
  <c r="BM292" i="8"/>
  <c r="BQ292" i="8" s="1"/>
  <c r="BU292" i="8" s="1"/>
  <c r="BY292" i="8" s="1"/>
  <c r="BI293" i="8"/>
  <c r="BI291" i="8"/>
  <c r="BI281" i="8"/>
  <c r="BI282" i="8"/>
  <c r="BM282" i="8" s="1"/>
  <c r="BQ282" i="8" s="1"/>
  <c r="BU282" i="8" s="1"/>
  <c r="BY282" i="8" s="1"/>
  <c r="X29" i="11"/>
  <c r="X338" i="111"/>
  <c r="BI128" i="2"/>
  <c r="BI227" i="8" s="1"/>
  <c r="BI129" i="2"/>
  <c r="X281" i="111"/>
  <c r="X284" i="111" s="1"/>
  <c r="BI34" i="2"/>
  <c r="BI35" i="2"/>
  <c r="X336" i="111" l="1"/>
  <c r="BM256" i="8"/>
  <c r="BQ256" i="8" s="1"/>
  <c r="BM266" i="8"/>
  <c r="X346" i="111"/>
  <c r="X324" i="111" s="1"/>
  <c r="X341" i="111"/>
  <c r="X323" i="111" s="1"/>
  <c r="BM261" i="8"/>
  <c r="BU12" i="2"/>
  <c r="BM291" i="8"/>
  <c r="BM293" i="8"/>
  <c r="BM290" i="8"/>
  <c r="BM55" i="2" s="1"/>
  <c r="BI270" i="8"/>
  <c r="BI271" i="8" s="1"/>
  <c r="BM52" i="2"/>
  <c r="BM283" i="8"/>
  <c r="BM281" i="8"/>
  <c r="X322" i="111"/>
  <c r="BM254" i="8"/>
  <c r="BM7" i="2" s="1"/>
  <c r="BQ52" i="2"/>
  <c r="BQ283" i="8"/>
  <c r="BQ281" i="8"/>
  <c r="X282" i="111"/>
  <c r="X285" i="111" s="1"/>
  <c r="BI36" i="2"/>
  <c r="BI275" i="8" s="1"/>
  <c r="Y336" i="111" l="1"/>
  <c r="Y322" i="111" s="1"/>
  <c r="BM255" i="8"/>
  <c r="BM257" i="8"/>
  <c r="BY12" i="2"/>
  <c r="BM267" i="8"/>
  <c r="Y348" i="111" s="1"/>
  <c r="BM265" i="8"/>
  <c r="Y347" i="111" s="1"/>
  <c r="BM264" i="8"/>
  <c r="BM16" i="2" s="1"/>
  <c r="BQ266" i="8"/>
  <c r="Y346" i="111"/>
  <c r="Y324" i="111" s="1"/>
  <c r="BQ261" i="8"/>
  <c r="BM262" i="8"/>
  <c r="Y343" i="111" s="1"/>
  <c r="BM259" i="8"/>
  <c r="BM9" i="2" s="1"/>
  <c r="Y341" i="111"/>
  <c r="Y323" i="111" s="1"/>
  <c r="BM260" i="8"/>
  <c r="Y342" i="111" s="1"/>
  <c r="BI272" i="8"/>
  <c r="BI273" i="8"/>
  <c r="BQ280" i="8"/>
  <c r="BM273" i="8"/>
  <c r="BM271" i="8"/>
  <c r="BM270" i="8"/>
  <c r="BM280" i="8"/>
  <c r="BU256" i="8"/>
  <c r="BQ255" i="8"/>
  <c r="BQ257" i="8"/>
  <c r="BQ254" i="8"/>
  <c r="BQ7" i="2" s="1"/>
  <c r="Z336" i="111"/>
  <c r="Y338" i="111"/>
  <c r="Y337" i="111"/>
  <c r="BP293" i="8"/>
  <c r="BP291" i="8"/>
  <c r="BP290" i="8"/>
  <c r="BP55" i="2" s="1"/>
  <c r="BI277" i="8"/>
  <c r="BI278" i="8"/>
  <c r="BI276" i="8"/>
  <c r="BQ259" i="8" l="1"/>
  <c r="BQ9" i="2" s="1"/>
  <c r="BU261" i="8"/>
  <c r="BQ260" i="8"/>
  <c r="Z342" i="111" s="1"/>
  <c r="BQ262" i="8"/>
  <c r="Z343" i="111" s="1"/>
  <c r="Z341" i="111"/>
  <c r="Z323" i="111" s="1"/>
  <c r="CC12" i="2"/>
  <c r="BU266" i="8"/>
  <c r="BQ265" i="8"/>
  <c r="Z347" i="111" s="1"/>
  <c r="Z346" i="111"/>
  <c r="Z324" i="111" s="1"/>
  <c r="BQ264" i="8"/>
  <c r="BQ16" i="2" s="1"/>
  <c r="BQ267" i="8"/>
  <c r="Z348" i="111" s="1"/>
  <c r="BM34" i="2"/>
  <c r="BQ273" i="8"/>
  <c r="BQ271" i="8"/>
  <c r="BT52" i="2"/>
  <c r="BT283" i="8"/>
  <c r="BT281" i="8"/>
  <c r="BT280" i="8"/>
  <c r="BM278" i="8"/>
  <c r="Z338" i="111"/>
  <c r="Z322" i="111"/>
  <c r="Z337" i="111"/>
  <c r="BU257" i="8"/>
  <c r="BY256" i="8"/>
  <c r="BU255" i="8"/>
  <c r="AD336" i="111"/>
  <c r="BU254" i="8"/>
  <c r="BU7" i="2" s="1"/>
  <c r="BQ291" i="8"/>
  <c r="BQ293" i="8"/>
  <c r="BQ290" i="8" s="1"/>
  <c r="BQ55" i="2" s="1"/>
  <c r="BY266" i="8" l="1"/>
  <c r="BU267" i="8"/>
  <c r="AD348" i="111" s="1"/>
  <c r="AD346" i="111"/>
  <c r="AD324" i="111" s="1"/>
  <c r="BU264" i="8"/>
  <c r="BU16" i="2" s="1"/>
  <c r="BU265" i="8"/>
  <c r="AD347" i="111" s="1"/>
  <c r="BU259" i="8"/>
  <c r="BU9" i="2" s="1"/>
  <c r="BU260" i="8"/>
  <c r="AD342" i="111" s="1"/>
  <c r="BY261" i="8"/>
  <c r="BU262" i="8"/>
  <c r="AD343" i="111" s="1"/>
  <c r="AD341" i="111"/>
  <c r="AD323" i="111" s="1"/>
  <c r="CG12" i="2"/>
  <c r="BQ270" i="8"/>
  <c r="BQ34" i="2" s="1"/>
  <c r="BU273" i="8"/>
  <c r="BU271" i="8"/>
  <c r="BY272" i="8"/>
  <c r="BU277" i="8"/>
  <c r="BU278" i="8" s="1"/>
  <c r="BQ278" i="8"/>
  <c r="BQ276" i="8"/>
  <c r="BM276" i="8"/>
  <c r="BM275" i="8" s="1"/>
  <c r="BM36" i="2" s="1"/>
  <c r="BU52" i="2"/>
  <c r="BU283" i="8"/>
  <c r="BU281" i="8"/>
  <c r="BU280" i="8"/>
  <c r="AD322" i="111"/>
  <c r="AD337" i="111"/>
  <c r="BY257" i="8"/>
  <c r="BY255" i="8"/>
  <c r="CC256" i="8"/>
  <c r="BY254" i="8"/>
  <c r="BY7" i="2" s="1"/>
  <c r="AD338" i="111"/>
  <c r="CK12" i="2" l="1"/>
  <c r="CC261" i="8"/>
  <c r="BY260" i="8"/>
  <c r="BY262" i="8"/>
  <c r="BY259" i="8"/>
  <c r="BY9" i="2" s="1"/>
  <c r="BY267" i="8"/>
  <c r="BY265" i="8"/>
  <c r="CC266" i="8"/>
  <c r="BY264" i="8"/>
  <c r="BY16" i="2" s="1"/>
  <c r="BU270" i="8"/>
  <c r="BU34" i="2" s="1"/>
  <c r="CC272" i="8"/>
  <c r="BY271" i="8"/>
  <c r="BY273" i="8"/>
  <c r="BQ275" i="8"/>
  <c r="BQ36" i="2" s="1"/>
  <c r="BU276" i="8"/>
  <c r="BU275" i="8" s="1"/>
  <c r="BU36" i="2" s="1"/>
  <c r="BY277" i="8"/>
  <c r="CC277" i="8" s="1"/>
  <c r="CC287" i="8" s="1"/>
  <c r="CC255" i="8"/>
  <c r="CG256" i="8"/>
  <c r="CC257" i="8"/>
  <c r="CC254" i="8" s="1"/>
  <c r="CC7" i="2" s="1"/>
  <c r="CC276" i="8" l="1"/>
  <c r="CC267" i="8"/>
  <c r="CC264" i="8" s="1"/>
  <c r="CC16" i="2" s="1"/>
  <c r="CG266" i="8"/>
  <c r="CC265" i="8"/>
  <c r="CC260" i="8"/>
  <c r="CG261" i="8"/>
  <c r="CC262" i="8"/>
  <c r="CC259" i="8" s="1"/>
  <c r="CC9" i="2" s="1"/>
  <c r="CO12" i="2"/>
  <c r="BY270" i="8"/>
  <c r="BY34" i="2" s="1"/>
  <c r="CG272" i="8"/>
  <c r="CC271" i="8"/>
  <c r="CC273" i="8"/>
  <c r="BY276" i="8"/>
  <c r="CC278" i="8"/>
  <c r="CC275" i="8" s="1"/>
  <c r="CC36" i="2" s="1"/>
  <c r="CG277" i="8"/>
  <c r="CK277" i="8" s="1"/>
  <c r="BY278" i="8"/>
  <c r="CG255" i="8"/>
  <c r="CG257" i="8"/>
  <c r="CG254" i="8" s="1"/>
  <c r="CG7" i="2" s="1"/>
  <c r="CK256" i="8"/>
  <c r="BT291" i="8"/>
  <c r="BT293" i="8"/>
  <c r="BT290" i="8"/>
  <c r="BT55" i="2" s="1"/>
  <c r="CG287" i="8" l="1"/>
  <c r="CK287" i="8" s="1"/>
  <c r="CC288" i="8"/>
  <c r="CC286" i="8"/>
  <c r="CC285" i="8"/>
  <c r="CC46" i="2" s="1"/>
  <c r="CK266" i="8"/>
  <c r="CG265" i="8"/>
  <c r="CG267" i="8"/>
  <c r="CG264" i="8" s="1"/>
  <c r="CG16" i="2" s="1"/>
  <c r="CS12" i="2"/>
  <c r="CK261" i="8"/>
  <c r="CG262" i="8"/>
  <c r="CG260" i="8"/>
  <c r="CG259" i="8"/>
  <c r="CG9" i="2" s="1"/>
  <c r="CC270" i="8"/>
  <c r="CC34" i="2" s="1"/>
  <c r="BY275" i="8"/>
  <c r="BY36" i="2" s="1"/>
  <c r="CK272" i="8"/>
  <c r="CG273" i="8"/>
  <c r="CG271" i="8"/>
  <c r="CG276" i="8"/>
  <c r="CG278" i="8"/>
  <c r="CO277" i="8"/>
  <c r="CK278" i="8"/>
  <c r="CK276" i="8"/>
  <c r="BX281" i="8"/>
  <c r="BX52" i="2"/>
  <c r="BX283" i="8"/>
  <c r="BX280" i="8"/>
  <c r="CO256" i="8"/>
  <c r="CK255" i="8"/>
  <c r="CK257" i="8"/>
  <c r="CK254" i="8" s="1"/>
  <c r="CK7" i="2" s="1"/>
  <c r="BU291" i="8"/>
  <c r="BU293" i="8"/>
  <c r="BU290" i="8"/>
  <c r="BU55" i="2" s="1"/>
  <c r="CO287" i="8" l="1"/>
  <c r="CG286" i="8"/>
  <c r="CG288" i="8"/>
  <c r="CG285" i="8" s="1"/>
  <c r="CG46" i="2" s="1"/>
  <c r="CO266" i="8"/>
  <c r="CK267" i="8"/>
  <c r="CK264" i="8" s="1"/>
  <c r="CK16" i="2" s="1"/>
  <c r="CK265" i="8"/>
  <c r="CK260" i="8"/>
  <c r="CK259" i="8"/>
  <c r="CK9" i="2" s="1"/>
  <c r="CK262" i="8"/>
  <c r="CO261" i="8"/>
  <c r="CW12" i="2"/>
  <c r="CG270" i="8"/>
  <c r="CG34" i="2" s="1"/>
  <c r="CO272" i="8"/>
  <c r="CK271" i="8"/>
  <c r="CK273" i="8"/>
  <c r="CK275" i="8"/>
  <c r="CK36" i="2" s="1"/>
  <c r="CG275" i="8"/>
  <c r="CG36" i="2" s="1"/>
  <c r="CS277" i="8"/>
  <c r="CO276" i="8"/>
  <c r="CO278" i="8"/>
  <c r="BZ282" i="8"/>
  <c r="BY281" i="8"/>
  <c r="BY52" i="2"/>
  <c r="BY283" i="8"/>
  <c r="BY280" i="8"/>
  <c r="CS256" i="8"/>
  <c r="CO257" i="8"/>
  <c r="CO254" i="8"/>
  <c r="CO7" i="2" s="1"/>
  <c r="CO255" i="8"/>
  <c r="CS287" i="8" l="1"/>
  <c r="CK288" i="8"/>
  <c r="CK286" i="8"/>
  <c r="CK285" i="8" s="1"/>
  <c r="CK46" i="2" s="1"/>
  <c r="CO259" i="8"/>
  <c r="CO9" i="2" s="1"/>
  <c r="CS261" i="8"/>
  <c r="CO260" i="8"/>
  <c r="CO262" i="8"/>
  <c r="CO267" i="8"/>
  <c r="CO264" i="8"/>
  <c r="CO16" i="2" s="1"/>
  <c r="CS266" i="8"/>
  <c r="CO265" i="8"/>
  <c r="CK270" i="8"/>
  <c r="CK34" i="2" s="1"/>
  <c r="CS272" i="8"/>
  <c r="CO271" i="8"/>
  <c r="CO273" i="8"/>
  <c r="CO275" i="8"/>
  <c r="CO36" i="2" s="1"/>
  <c r="CW277" i="8"/>
  <c r="CS276" i="8"/>
  <c r="CS278" i="8"/>
  <c r="CA282" i="8"/>
  <c r="BZ52" i="2"/>
  <c r="BZ283" i="8"/>
  <c r="BZ281" i="8"/>
  <c r="BZ280" i="8"/>
  <c r="CW256" i="8"/>
  <c r="CS254" i="8"/>
  <c r="CS7" i="2" s="1"/>
  <c r="CS257" i="8"/>
  <c r="CS255" i="8"/>
  <c r="CW287" i="8" l="1"/>
  <c r="CO286" i="8"/>
  <c r="CO288" i="8"/>
  <c r="CO285" i="8"/>
  <c r="CO46" i="2" s="1"/>
  <c r="CW261" i="8"/>
  <c r="CS262" i="8"/>
  <c r="CS260" i="8"/>
  <c r="CS259" i="8"/>
  <c r="CS9" i="2" s="1"/>
  <c r="CS264" i="8"/>
  <c r="CS16" i="2" s="1"/>
  <c r="CW266" i="8"/>
  <c r="CS267" i="8"/>
  <c r="CS265" i="8"/>
  <c r="CO270" i="8"/>
  <c r="CO34" i="2" s="1"/>
  <c r="CW272" i="8"/>
  <c r="CS273" i="8"/>
  <c r="CS271" i="8"/>
  <c r="CS275" i="8"/>
  <c r="CS36" i="2" s="1"/>
  <c r="CW278" i="8"/>
  <c r="CW276" i="8"/>
  <c r="CB282" i="8"/>
  <c r="CA52" i="2"/>
  <c r="CA283" i="8"/>
  <c r="CA281" i="8"/>
  <c r="CA280" i="8"/>
  <c r="CW257" i="8"/>
  <c r="CW255" i="8"/>
  <c r="CW254" i="8"/>
  <c r="CW7" i="2" s="1"/>
  <c r="BX293" i="8"/>
  <c r="BX291" i="8"/>
  <c r="BX290" i="8"/>
  <c r="BX55" i="2" s="1"/>
  <c r="CS286" i="8" l="1"/>
  <c r="CS288" i="8"/>
  <c r="CS285" i="8"/>
  <c r="CS46" i="2" s="1"/>
  <c r="CW265" i="8"/>
  <c r="CW264" i="8"/>
  <c r="CW16" i="2" s="1"/>
  <c r="CW267" i="8"/>
  <c r="CW260" i="8"/>
  <c r="CW262" i="8"/>
  <c r="CW259" i="8"/>
  <c r="CW9" i="2" s="1"/>
  <c r="CS270" i="8"/>
  <c r="CS34" i="2" s="1"/>
  <c r="CW271" i="8"/>
  <c r="CW273" i="8"/>
  <c r="CW275" i="8"/>
  <c r="CW36" i="2" s="1"/>
  <c r="CC282" i="8"/>
  <c r="CB52" i="2"/>
  <c r="CB283" i="8"/>
  <c r="CB281" i="8"/>
  <c r="CB280" i="8"/>
  <c r="BY293" i="8"/>
  <c r="BY291" i="8"/>
  <c r="BZ292" i="8"/>
  <c r="BY290" i="8"/>
  <c r="BY55" i="2" s="1"/>
  <c r="CW286" i="8" l="1"/>
  <c r="CW288" i="8"/>
  <c r="CW285" i="8"/>
  <c r="CW46" i="2" s="1"/>
  <c r="CW270" i="8"/>
  <c r="CW34" i="2" s="1"/>
  <c r="CD282" i="8"/>
  <c r="CC52" i="2"/>
  <c r="CC283" i="8"/>
  <c r="CC281" i="8"/>
  <c r="CC280" i="8"/>
  <c r="CA292" i="8"/>
  <c r="BZ291" i="8"/>
  <c r="BZ293" i="8"/>
  <c r="BZ290" i="8" s="1"/>
  <c r="BZ55" i="2" s="1"/>
  <c r="CE282" i="8" l="1"/>
  <c r="CD281" i="8"/>
  <c r="CD52" i="2"/>
  <c r="CD283" i="8"/>
  <c r="CD280" i="8"/>
  <c r="CB292" i="8"/>
  <c r="CA291" i="8"/>
  <c r="CA293" i="8"/>
  <c r="CA290" i="8" s="1"/>
  <c r="CA55" i="2" s="1"/>
  <c r="CF282" i="8" l="1"/>
  <c r="CE281" i="8"/>
  <c r="CE52" i="2"/>
  <c r="CE283" i="8"/>
  <c r="CE280" i="8"/>
  <c r="CC292" i="8"/>
  <c r="CB293" i="8"/>
  <c r="CB291" i="8"/>
  <c r="CB290" i="8"/>
  <c r="CB55" i="2" s="1"/>
  <c r="CG282" i="8" l="1"/>
  <c r="CF52" i="2"/>
  <c r="CF283" i="8"/>
  <c r="CF281" i="8"/>
  <c r="CF280" i="8"/>
  <c r="CC291" i="8"/>
  <c r="CC293" i="8"/>
  <c r="CC290" i="8" s="1"/>
  <c r="CC55" i="2" s="1"/>
  <c r="CD292" i="8"/>
  <c r="CH282" i="8" l="1"/>
  <c r="CG52" i="2"/>
  <c r="CG283" i="8"/>
  <c r="CG281" i="8"/>
  <c r="CG280" i="8"/>
  <c r="CE292" i="8"/>
  <c r="CD293" i="8"/>
  <c r="CD291" i="8"/>
  <c r="CD290" i="8"/>
  <c r="CD55" i="2" s="1"/>
  <c r="CI282" i="8" l="1"/>
  <c r="CH52" i="2"/>
  <c r="CH283" i="8"/>
  <c r="CH281" i="8"/>
  <c r="CH280" i="8"/>
  <c r="CE291" i="8"/>
  <c r="CE293" i="8"/>
  <c r="CF292" i="8"/>
  <c r="CE290" i="8"/>
  <c r="CE55" i="2" s="1"/>
  <c r="CJ282" i="8" l="1"/>
  <c r="CI52" i="2"/>
  <c r="CI283" i="8"/>
  <c r="CI281" i="8"/>
  <c r="CI280" i="8"/>
  <c r="CG292" i="8"/>
  <c r="CF291" i="8"/>
  <c r="CF293" i="8"/>
  <c r="CF290" i="8" s="1"/>
  <c r="CF55" i="2" s="1"/>
  <c r="CK282" i="8" l="1"/>
  <c r="CJ281" i="8"/>
  <c r="CJ52" i="2"/>
  <c r="CJ283" i="8"/>
  <c r="CJ280" i="8"/>
  <c r="CH292" i="8"/>
  <c r="CG291" i="8"/>
  <c r="CG293" i="8"/>
  <c r="CG290" i="8"/>
  <c r="CG55" i="2" s="1"/>
  <c r="CL282" i="8" l="1"/>
  <c r="CK281" i="8"/>
  <c r="CK52" i="2"/>
  <c r="CK283" i="8"/>
  <c r="CK280" i="8"/>
  <c r="CI292" i="8"/>
  <c r="CH291" i="8"/>
  <c r="CH293" i="8"/>
  <c r="CH290" i="8" s="1"/>
  <c r="CH55" i="2" s="1"/>
  <c r="CL52" i="2" l="1"/>
  <c r="CL283" i="8"/>
  <c r="CM282" i="8"/>
  <c r="CL281" i="8"/>
  <c r="CL280" i="8"/>
  <c r="CJ292" i="8"/>
  <c r="CI291" i="8"/>
  <c r="CI293" i="8"/>
  <c r="CI290" i="8"/>
  <c r="CI55" i="2" s="1"/>
  <c r="CM52" i="2" l="1"/>
  <c r="CN282" i="8"/>
  <c r="CM281" i="8"/>
  <c r="CM283" i="8"/>
  <c r="CM280" i="8"/>
  <c r="CJ291" i="8"/>
  <c r="CJ293" i="8"/>
  <c r="CJ290" i="8" s="1"/>
  <c r="CJ55" i="2" s="1"/>
  <c r="CK292" i="8"/>
  <c r="CN52" i="2" l="1"/>
  <c r="CN281" i="8"/>
  <c r="CO282" i="8"/>
  <c r="CN283" i="8"/>
  <c r="CN280" i="8"/>
  <c r="CL292" i="8"/>
  <c r="CK293" i="8"/>
  <c r="CK291" i="8"/>
  <c r="CO52" i="2" l="1"/>
  <c r="CO281" i="8"/>
  <c r="CP282" i="8"/>
  <c r="CO283" i="8"/>
  <c r="CO280" i="8"/>
  <c r="CK290" i="8"/>
  <c r="CK55" i="2" s="1"/>
  <c r="CL291" i="8"/>
  <c r="CM292" i="8"/>
  <c r="CL293" i="8"/>
  <c r="CL290" i="8"/>
  <c r="CL55" i="2" s="1"/>
  <c r="CQ282" i="8" l="1"/>
  <c r="CP52" i="2"/>
  <c r="CP281" i="8"/>
  <c r="CP283" i="8"/>
  <c r="CP280" i="8"/>
  <c r="CM291" i="8"/>
  <c r="CN292" i="8"/>
  <c r="CM293" i="8"/>
  <c r="CQ52" i="2" l="1"/>
  <c r="CQ281" i="8"/>
  <c r="CR282" i="8"/>
  <c r="CQ283" i="8"/>
  <c r="CQ280" i="8"/>
  <c r="CM290" i="8"/>
  <c r="CM55" i="2" s="1"/>
  <c r="CN291" i="8"/>
  <c r="CO292" i="8"/>
  <c r="CN293" i="8"/>
  <c r="CN290" i="8" s="1"/>
  <c r="CN55" i="2" s="1"/>
  <c r="CR52" i="2" l="1"/>
  <c r="CR283" i="8"/>
  <c r="CS282" i="8"/>
  <c r="CR281" i="8"/>
  <c r="CR280" i="8"/>
  <c r="CO291" i="8"/>
  <c r="CP292" i="8"/>
  <c r="CO293" i="8"/>
  <c r="CO290" i="8"/>
  <c r="CO55" i="2" s="1"/>
  <c r="CS52" i="2" l="1"/>
  <c r="CS283" i="8"/>
  <c r="CS281" i="8"/>
  <c r="CT282" i="8"/>
  <c r="CS280" i="8"/>
  <c r="CQ292" i="8"/>
  <c r="CP291" i="8"/>
  <c r="CP293" i="8"/>
  <c r="CP290" i="8"/>
  <c r="CP55" i="2" s="1"/>
  <c r="CT52" i="2" l="1"/>
  <c r="CT281" i="8"/>
  <c r="CT283" i="8"/>
  <c r="CU282" i="8"/>
  <c r="CT280" i="8"/>
  <c r="CQ291" i="8"/>
  <c r="CQ293" i="8"/>
  <c r="CR292" i="8"/>
  <c r="CU283" i="8" l="1"/>
  <c r="CV282" i="8"/>
  <c r="CU52" i="2"/>
  <c r="CU281" i="8"/>
  <c r="CU280" i="8"/>
  <c r="CQ290" i="8"/>
  <c r="CQ55" i="2" s="1"/>
  <c r="CR291" i="8"/>
  <c r="CR293" i="8"/>
  <c r="CS292" i="8"/>
  <c r="CR290" i="8"/>
  <c r="CR55" i="2" s="1"/>
  <c r="CW282" i="8" l="1"/>
  <c r="CV283" i="8"/>
  <c r="CV281" i="8"/>
  <c r="CV52" i="2"/>
  <c r="CV280" i="8"/>
  <c r="CT292" i="8"/>
  <c r="CS291" i="8"/>
  <c r="CS293" i="8"/>
  <c r="CS290" i="8"/>
  <c r="CS55" i="2" s="1"/>
  <c r="CW52" i="2" l="1"/>
  <c r="CW281" i="8"/>
  <c r="CW283" i="8"/>
  <c r="CW280" i="8"/>
  <c r="CT293" i="8"/>
  <c r="CT291" i="8"/>
  <c r="CU292" i="8"/>
  <c r="CT290" i="8"/>
  <c r="CT55" i="2" s="1"/>
  <c r="CV292" i="8" l="1"/>
  <c r="CU293" i="8"/>
  <c r="CU291" i="8"/>
  <c r="CU290" i="8"/>
  <c r="CU55" i="2" s="1"/>
  <c r="CV291" i="8" l="1"/>
  <c r="CV293" i="8"/>
  <c r="CV290" i="8" s="1"/>
  <c r="CV55" i="2" s="1"/>
  <c r="CW292" i="8"/>
  <c r="CW291" i="8" l="1"/>
  <c r="CW293" i="8"/>
  <c r="CW290" i="8"/>
  <c r="CW55" i="2" s="1"/>
  <c r="J12" i="92" l="1"/>
  <c r="X420" i="111" l="1"/>
  <c r="X425" i="111"/>
  <c r="X415" i="111" l="1"/>
  <c r="BS357" i="8" l="1"/>
  <c r="BR357" i="8"/>
  <c r="BU357" i="8"/>
  <c r="BT357" i="8"/>
  <c r="BR537" i="111" l="1"/>
  <c r="BR545" i="111"/>
  <c r="BR548" i="111"/>
  <c r="BR551" i="111"/>
  <c r="BR554" i="111"/>
  <c r="BR557" i="111"/>
  <c r="BJ305" i="112" l="1"/>
  <c r="BJ6" i="2"/>
  <c r="BJ8" i="2"/>
  <c r="BJ9" i="2" s="1"/>
  <c r="BJ11" i="2"/>
  <c r="BJ15" i="2"/>
  <c r="BJ16" i="2" s="1"/>
  <c r="BJ20" i="2"/>
  <c r="BJ23" i="2"/>
  <c r="BJ24" i="2" s="1"/>
  <c r="BJ38" i="2"/>
  <c r="BJ39" i="2" s="1"/>
  <c r="BJ41" i="2"/>
  <c r="BJ42" i="2"/>
  <c r="BJ43" i="2"/>
  <c r="BJ45" i="2"/>
  <c r="BJ48" i="2"/>
  <c r="BJ49" i="2"/>
  <c r="BJ71" i="2"/>
  <c r="BJ63" i="2"/>
  <c r="BJ78" i="2" s="1"/>
  <c r="BJ77" i="2" s="1"/>
  <c r="BJ64" i="2"/>
  <c r="BJ82" i="2" s="1"/>
  <c r="BJ65" i="2"/>
  <c r="BJ70" i="2" s="1"/>
  <c r="BJ67" i="2"/>
  <c r="BK61" i="2" s="1"/>
  <c r="BJ101" i="2"/>
  <c r="BJ102" i="2"/>
  <c r="BJ108" i="2"/>
  <c r="BJ116" i="2"/>
  <c r="BJ130" i="2"/>
  <c r="BJ132" i="2" s="1"/>
  <c r="BJ58" i="112"/>
  <c r="BJ123" i="112"/>
  <c r="BJ128" i="112" s="1"/>
  <c r="BJ129" i="112" s="1"/>
  <c r="BJ207" i="112"/>
  <c r="BJ212" i="112" s="1"/>
  <c r="BJ213" i="112" s="1"/>
  <c r="BJ245" i="112"/>
  <c r="BJ278" i="112" s="1"/>
  <c r="BJ279" i="112" s="1"/>
  <c r="BJ311" i="112"/>
  <c r="BJ315" i="112" s="1"/>
  <c r="BJ312" i="112"/>
  <c r="BJ317" i="112"/>
  <c r="BK44" i="2" l="1"/>
  <c r="BK45" i="2" s="1"/>
  <c r="BJ115" i="2"/>
  <c r="BK111" i="2"/>
  <c r="BJ106" i="2"/>
  <c r="BK105" i="2"/>
  <c r="BJ63" i="112"/>
  <c r="BJ64" i="112" s="1"/>
  <c r="BJ269" i="112"/>
  <c r="BJ66" i="2"/>
  <c r="AF15" i="46"/>
  <c r="BR454" i="111"/>
  <c r="BJ51" i="2"/>
  <c r="BJ244" i="8"/>
  <c r="AF23" i="46"/>
  <c r="BJ238" i="8"/>
  <c r="AF22" i="46"/>
  <c r="BJ232" i="8"/>
  <c r="AF21" i="46"/>
  <c r="BJ264" i="8"/>
  <c r="BJ267" i="8" s="1"/>
  <c r="BR560" i="111"/>
  <c r="BJ259" i="8"/>
  <c r="BJ262" i="8" s="1"/>
  <c r="BJ241" i="112"/>
  <c r="BJ246" i="112"/>
  <c r="BJ53" i="2"/>
  <c r="BK47" i="58" s="1"/>
  <c r="BJ300" i="112"/>
  <c r="BJ224" i="8" s="1"/>
  <c r="BJ288" i="112"/>
  <c r="BR481" i="111" s="1"/>
  <c r="BJ284" i="112"/>
  <c r="BJ296" i="112"/>
  <c r="BJ302" i="112" s="1"/>
  <c r="BJ313" i="112"/>
  <c r="BJ229" i="8" s="1"/>
  <c r="BJ309" i="112"/>
  <c r="BJ267" i="112"/>
  <c r="BR465" i="111" s="1"/>
  <c r="BJ59" i="112"/>
  <c r="BJ247" i="112"/>
  <c r="BJ50" i="2"/>
  <c r="BJ60" i="112"/>
  <c r="BJ233" i="8" s="1"/>
  <c r="BJ119" i="2"/>
  <c r="BJ120" i="2" s="1"/>
  <c r="BJ209" i="112"/>
  <c r="BJ73" i="2"/>
  <c r="BJ318" i="112"/>
  <c r="BJ319" i="112" s="1"/>
  <c r="BJ72" i="2"/>
  <c r="BJ322" i="8" s="1"/>
  <c r="BJ117" i="2"/>
  <c r="BJ306" i="112"/>
  <c r="BJ26" i="2"/>
  <c r="BJ28" i="2" s="1"/>
  <c r="BJ12" i="2"/>
  <c r="BJ17" i="2"/>
  <c r="BJ10" i="2"/>
  <c r="BJ21" i="2"/>
  <c r="BJ238" i="112"/>
  <c r="BJ208" i="112"/>
  <c r="BJ125" i="112"/>
  <c r="BJ239" i="8" s="1"/>
  <c r="BJ124" i="112"/>
  <c r="BJ159" i="8" s="1"/>
  <c r="BJ7" i="2"/>
  <c r="BJ109" i="2"/>
  <c r="BJ112" i="2"/>
  <c r="BJ107" i="2"/>
  <c r="BJ31" i="2"/>
  <c r="BL309" i="112" l="1"/>
  <c r="BM309" i="112" s="1"/>
  <c r="BL46" i="58"/>
  <c r="BL51" i="58" s="1"/>
  <c r="BL50" i="58" s="1"/>
  <c r="BJ32" i="2" a="1"/>
  <c r="BJ32" i="2" s="1"/>
  <c r="BJ35" i="2" s="1"/>
  <c r="BJ270" i="112"/>
  <c r="BJ272" i="112"/>
  <c r="BJ274" i="112"/>
  <c r="BJ275" i="112" s="1"/>
  <c r="BR448" i="111"/>
  <c r="BJ265" i="8"/>
  <c r="BJ260" i="8"/>
  <c r="BJ261" i="8"/>
  <c r="BN261" i="8" s="1"/>
  <c r="BN260" i="8" s="1"/>
  <c r="BJ242" i="112"/>
  <c r="BJ266" i="8"/>
  <c r="BN266" i="8" s="1"/>
  <c r="BN265" i="8" s="1"/>
  <c r="BR456" i="111"/>
  <c r="AF19" i="46"/>
  <c r="BJ251" i="8"/>
  <c r="BJ254" i="8"/>
  <c r="BJ255" i="8" s="1"/>
  <c r="BN12" i="2"/>
  <c r="AF11" i="46"/>
  <c r="BJ61" i="112"/>
  <c r="BJ52" i="2"/>
  <c r="BJ280" i="8" s="1"/>
  <c r="BJ281" i="8" s="1"/>
  <c r="BJ54" i="2"/>
  <c r="BJ27" i="2"/>
  <c r="BJ55" i="2"/>
  <c r="BJ290" i="8" s="1"/>
  <c r="BJ293" i="8" s="1"/>
  <c r="BR563" i="111"/>
  <c r="BJ297" i="112"/>
  <c r="BJ285" i="112"/>
  <c r="BJ209" i="8" s="1"/>
  <c r="BJ211" i="8" s="1"/>
  <c r="Y41" i="11"/>
  <c r="AC19" i="46"/>
  <c r="AE19" i="46" s="1"/>
  <c r="BJ123" i="2"/>
  <c r="BJ124" i="2" s="1"/>
  <c r="BJ128" i="2" s="1"/>
  <c r="BJ245" i="8"/>
  <c r="BJ210" i="112"/>
  <c r="BR542" i="111"/>
  <c r="BJ121" i="2"/>
  <c r="BJ325" i="8"/>
  <c r="BJ324" i="8"/>
  <c r="BJ323" i="8"/>
  <c r="BJ161" i="8"/>
  <c r="BJ160" i="8"/>
  <c r="BJ158" i="8" s="1"/>
  <c r="BJ236" i="8"/>
  <c r="BJ234" i="8"/>
  <c r="BJ235" i="8"/>
  <c r="BN235" i="8" s="1"/>
  <c r="BJ240" i="8"/>
  <c r="BJ242" i="8"/>
  <c r="BJ241" i="8"/>
  <c r="BN241" i="8" s="1"/>
  <c r="BR438" i="111"/>
  <c r="BJ239" i="112"/>
  <c r="BN255" i="112"/>
  <c r="BJ303" i="112"/>
  <c r="BP488" i="111"/>
  <c r="BJ293" i="112"/>
  <c r="BJ126" i="112"/>
  <c r="BR532" i="111"/>
  <c r="BP455" i="111"/>
  <c r="BR538" i="111"/>
  <c r="BN271" i="112" l="1"/>
  <c r="BJ271" i="112"/>
  <c r="BJ218" i="8"/>
  <c r="BN262" i="8"/>
  <c r="BN259" i="8" s="1"/>
  <c r="BN9" i="2" s="1"/>
  <c r="BR261" i="8"/>
  <c r="BR260" i="8" s="1"/>
  <c r="AA342" i="111" s="1"/>
  <c r="BN267" i="8"/>
  <c r="BN264" i="8" s="1"/>
  <c r="BN16" i="2" s="1"/>
  <c r="BR266" i="8"/>
  <c r="BR264" i="8" s="1"/>
  <c r="BR16" i="2" s="1"/>
  <c r="BR12" i="2"/>
  <c r="BJ257" i="8"/>
  <c r="BJ256" i="8"/>
  <c r="BN256" i="8" s="1"/>
  <c r="BN255" i="8" s="1"/>
  <c r="BJ227" i="8"/>
  <c r="BJ282" i="8"/>
  <c r="BN282" i="8" s="1"/>
  <c r="BN52" i="2" s="1"/>
  <c r="BJ283" i="8"/>
  <c r="BJ212" i="8"/>
  <c r="Y130" i="111"/>
  <c r="BJ291" i="8"/>
  <c r="Y64" i="111"/>
  <c r="Y19" i="46"/>
  <c r="BJ292" i="8"/>
  <c r="BN292" i="8" s="1"/>
  <c r="BN293" i="8" s="1"/>
  <c r="BN290" i="8" s="1"/>
  <c r="BN55" i="2" s="1"/>
  <c r="BJ210" i="8"/>
  <c r="BJ129" i="2"/>
  <c r="BJ246" i="8"/>
  <c r="BJ247" i="8"/>
  <c r="BN247" i="8" s="1"/>
  <c r="BJ248" i="8"/>
  <c r="BN240" i="8"/>
  <c r="BR241" i="8"/>
  <c r="BN242" i="8"/>
  <c r="BN239" i="8" s="1"/>
  <c r="BN125" i="112" s="1"/>
  <c r="BN211" i="8"/>
  <c r="BN234" i="8"/>
  <c r="BN236" i="8"/>
  <c r="BN233" i="8" s="1"/>
  <c r="BN60" i="112" s="1"/>
  <c r="BR235" i="8"/>
  <c r="BN323" i="8"/>
  <c r="BN322" i="8" s="1"/>
  <c r="BN72" i="2" s="1"/>
  <c r="BJ36" i="2"/>
  <c r="BJ275" i="8" s="1"/>
  <c r="BN309" i="112"/>
  <c r="BR439" i="111"/>
  <c r="BR539" i="111"/>
  <c r="BR533" i="111"/>
  <c r="BJ290" i="112"/>
  <c r="BJ294" i="112"/>
  <c r="BJ34" i="2"/>
  <c r="BJ270" i="8" s="1"/>
  <c r="AA341" i="111" l="1"/>
  <c r="AA323" i="111" s="1"/>
  <c r="BR259" i="8"/>
  <c r="BR9" i="2" s="1"/>
  <c r="BV261" i="8"/>
  <c r="BV259" i="8" s="1"/>
  <c r="BV9" i="2" s="1"/>
  <c r="BR262" i="8"/>
  <c r="AA343" i="111" s="1"/>
  <c r="BV12" i="2"/>
  <c r="BZ12" i="2" s="1"/>
  <c r="BV266" i="8"/>
  <c r="BV267" i="8" s="1"/>
  <c r="AE348" i="111" s="1"/>
  <c r="BR267" i="8"/>
  <c r="AA348" i="111" s="1"/>
  <c r="AA346" i="111"/>
  <c r="AA324" i="111" s="1"/>
  <c r="BR265" i="8"/>
  <c r="AA347" i="111" s="1"/>
  <c r="BR282" i="8"/>
  <c r="BR283" i="8" s="1"/>
  <c r="BN257" i="8"/>
  <c r="BN254" i="8" s="1"/>
  <c r="BN7" i="2" s="1"/>
  <c r="BR256" i="8"/>
  <c r="BV256" i="8" s="1"/>
  <c r="BJ219" i="8"/>
  <c r="BJ222" i="8" s="1"/>
  <c r="BR484" i="111"/>
  <c r="BN283" i="8"/>
  <c r="BN291" i="8"/>
  <c r="BN281" i="8"/>
  <c r="BN280" i="8"/>
  <c r="BR292" i="8"/>
  <c r="BR291" i="8" s="1"/>
  <c r="BR290" i="8" s="1"/>
  <c r="BR55" i="2" s="1"/>
  <c r="BN245" i="8"/>
  <c r="BN209" i="112" s="1"/>
  <c r="BR247" i="8"/>
  <c r="BN248" i="8"/>
  <c r="BN246" i="8"/>
  <c r="BR211" i="8"/>
  <c r="BN212" i="8"/>
  <c r="BN210" i="8"/>
  <c r="BN209" i="8"/>
  <c r="BN285" i="112" s="1"/>
  <c r="BN284" i="112" s="1"/>
  <c r="BR234" i="8"/>
  <c r="BR233" i="8" s="1"/>
  <c r="BR60" i="112" s="1"/>
  <c r="BR236" i="8"/>
  <c r="BV235" i="8"/>
  <c r="BR323" i="8"/>
  <c r="BR322" i="8"/>
  <c r="BR72" i="2" s="1"/>
  <c r="BN61" i="112"/>
  <c r="BN126" i="112"/>
  <c r="BR242" i="8"/>
  <c r="BR240" i="8"/>
  <c r="BR239" i="8"/>
  <c r="BR125" i="112" s="1"/>
  <c r="BV241" i="8"/>
  <c r="BJ272" i="8"/>
  <c r="BJ271" i="8"/>
  <c r="BJ273" i="8"/>
  <c r="BJ277" i="8"/>
  <c r="BJ278" i="8"/>
  <c r="BJ276" i="8"/>
  <c r="BO309" i="112"/>
  <c r="BJ291" i="112"/>
  <c r="BJ214" i="8" s="1"/>
  <c r="BZ261" i="8" l="1"/>
  <c r="BZ260" i="8" s="1"/>
  <c r="BV260" i="8"/>
  <c r="AE342" i="111" s="1"/>
  <c r="BV262" i="8"/>
  <c r="AE343" i="111" s="1"/>
  <c r="AE341" i="111"/>
  <c r="AE323" i="111" s="1"/>
  <c r="AE346" i="111"/>
  <c r="AE324" i="111" s="1"/>
  <c r="BV264" i="8"/>
  <c r="BV16" i="2" s="1"/>
  <c r="BR281" i="8"/>
  <c r="BZ266" i="8"/>
  <c r="BZ265" i="8" s="1"/>
  <c r="BV265" i="8"/>
  <c r="AE347" i="111" s="1"/>
  <c r="BR254" i="8"/>
  <c r="BR7" i="2" s="1"/>
  <c r="AA336" i="111"/>
  <c r="AA322" i="111" s="1"/>
  <c r="BR280" i="8"/>
  <c r="BV282" i="8"/>
  <c r="BV283" i="8" s="1"/>
  <c r="BR52" i="2"/>
  <c r="BR255" i="8"/>
  <c r="BR257" i="8"/>
  <c r="BJ221" i="8"/>
  <c r="BN221" i="8" s="1"/>
  <c r="BN219" i="8" s="1"/>
  <c r="BN294" i="112" s="1"/>
  <c r="BJ220" i="8"/>
  <c r="BR293" i="8"/>
  <c r="BV292" i="8"/>
  <c r="BV290" i="8" s="1"/>
  <c r="BV55" i="2" s="1"/>
  <c r="BR227" i="8"/>
  <c r="BR248" i="8"/>
  <c r="BR245" i="8"/>
  <c r="BR209" i="112" s="1"/>
  <c r="BR246" i="8"/>
  <c r="BV247" i="8"/>
  <c r="BN210" i="112"/>
  <c r="BR61" i="112"/>
  <c r="BN251" i="8"/>
  <c r="BJ217" i="8"/>
  <c r="BJ215" i="8"/>
  <c r="BJ216" i="8"/>
  <c r="BZ241" i="8"/>
  <c r="BV240" i="8"/>
  <c r="BV242" i="8"/>
  <c r="BV239" i="8" s="1"/>
  <c r="BV125" i="112" s="1"/>
  <c r="BV257" i="8"/>
  <c r="BV255" i="8"/>
  <c r="BZ256" i="8"/>
  <c r="BV254" i="8"/>
  <c r="BV7" i="2" s="1"/>
  <c r="AE336" i="111"/>
  <c r="BR126" i="112"/>
  <c r="BP211" i="8"/>
  <c r="BL212" i="8"/>
  <c r="BL210" i="8"/>
  <c r="BL209" i="8"/>
  <c r="BL285" i="112" s="1"/>
  <c r="BL284" i="112" s="1"/>
  <c r="BV323" i="8"/>
  <c r="BV322" i="8"/>
  <c r="BV72" i="2" s="1"/>
  <c r="BZ235" i="8"/>
  <c r="BV234" i="8"/>
  <c r="BV236" i="8"/>
  <c r="BV233" i="8" s="1"/>
  <c r="BV60" i="112" s="1"/>
  <c r="BR212" i="8"/>
  <c r="BV211" i="8"/>
  <c r="BR210" i="8"/>
  <c r="BR209" i="8"/>
  <c r="BR285" i="112" s="1"/>
  <c r="BR284" i="112" s="1"/>
  <c r="BR277" i="8"/>
  <c r="BN278" i="8"/>
  <c r="BN276" i="8"/>
  <c r="BN273" i="8"/>
  <c r="BN271" i="8"/>
  <c r="CD12" i="2"/>
  <c r="BP309" i="112"/>
  <c r="BZ262" i="8" l="1"/>
  <c r="BZ259" i="8" s="1"/>
  <c r="BZ9" i="2" s="1"/>
  <c r="CD261" i="8"/>
  <c r="CD262" i="8" s="1"/>
  <c r="CD259" i="8" s="1"/>
  <c r="CD9" i="2" s="1"/>
  <c r="BL52" i="4"/>
  <c r="CD266" i="8"/>
  <c r="CD265" i="8" s="1"/>
  <c r="BZ267" i="8"/>
  <c r="BZ264" i="8" s="1"/>
  <c r="BZ16" i="2" s="1"/>
  <c r="BV293" i="8"/>
  <c r="BN222" i="8"/>
  <c r="BR221" i="8"/>
  <c r="BR220" i="8" s="1"/>
  <c r="BV280" i="8"/>
  <c r="BV281" i="8"/>
  <c r="BV52" i="2"/>
  <c r="AA338" i="111"/>
  <c r="AA337" i="111"/>
  <c r="BN220" i="8"/>
  <c r="BV291" i="8"/>
  <c r="BS227" i="8"/>
  <c r="BR128" i="2"/>
  <c r="BN270" i="8"/>
  <c r="BN34" i="2" s="1"/>
  <c r="BN275" i="8"/>
  <c r="BN36" i="2" s="1"/>
  <c r="BR210" i="112"/>
  <c r="BZ247" i="8"/>
  <c r="BV246" i="8"/>
  <c r="BV248" i="8"/>
  <c r="BV245" i="8" s="1"/>
  <c r="BV209" i="112" s="1"/>
  <c r="BV61" i="112"/>
  <c r="AE337" i="111"/>
  <c r="BR251" i="8"/>
  <c r="CD235" i="8"/>
  <c r="BZ234" i="8"/>
  <c r="BZ233" i="8" s="1"/>
  <c r="BZ60" i="112" s="1"/>
  <c r="BZ236" i="8"/>
  <c r="BT211" i="8"/>
  <c r="BP210" i="8"/>
  <c r="BP209" i="8" s="1"/>
  <c r="BP285" i="112" s="1"/>
  <c r="BP284" i="112" s="1"/>
  <c r="BP212" i="8"/>
  <c r="BM212" i="8"/>
  <c r="BQ211" i="8"/>
  <c r="BM210" i="8"/>
  <c r="BM209" i="8"/>
  <c r="BM285" i="112" s="1"/>
  <c r="BM284" i="112" s="1"/>
  <c r="BV484" i="111"/>
  <c r="AE322" i="111"/>
  <c r="BV126" i="112"/>
  <c r="BV212" i="8"/>
  <c r="BV210" i="8"/>
  <c r="BZ211" i="8"/>
  <c r="BV209" i="8"/>
  <c r="BV285" i="112" s="1"/>
  <c r="BV284" i="112" s="1"/>
  <c r="BR216" i="8"/>
  <c r="BN215" i="8"/>
  <c r="BN217" i="8"/>
  <c r="BN214" i="8"/>
  <c r="AE338" i="111"/>
  <c r="BZ323" i="8"/>
  <c r="BZ322" i="8" s="1"/>
  <c r="BZ72" i="2" s="1"/>
  <c r="BL251" i="8"/>
  <c r="BZ255" i="8"/>
  <c r="CD256" i="8"/>
  <c r="BZ257" i="8"/>
  <c r="BZ254" i="8" s="1"/>
  <c r="BZ7" i="2" s="1"/>
  <c r="BZ242" i="8"/>
  <c r="BZ240" i="8"/>
  <c r="CD241" i="8"/>
  <c r="BZ239" i="8"/>
  <c r="BZ125" i="112" s="1"/>
  <c r="BR271" i="8"/>
  <c r="BV272" i="8"/>
  <c r="BR273" i="8"/>
  <c r="BV277" i="8"/>
  <c r="BR276" i="8"/>
  <c r="BR278" i="8"/>
  <c r="CH12" i="2"/>
  <c r="BQ309" i="112"/>
  <c r="BN291" i="112" l="1"/>
  <c r="CD260" i="8"/>
  <c r="CH261" i="8"/>
  <c r="CH266" i="8"/>
  <c r="CH267" i="8" s="1"/>
  <c r="CH264" i="8" s="1"/>
  <c r="CH16" i="2" s="1"/>
  <c r="T104" i="11"/>
  <c r="T96" i="11"/>
  <c r="CD267" i="8"/>
  <c r="CD264" i="8" s="1"/>
  <c r="CD16" i="2" s="1"/>
  <c r="BR219" i="8"/>
  <c r="BR294" i="112" s="1"/>
  <c r="BR222" i="8"/>
  <c r="BV221" i="8"/>
  <c r="BV219" i="8" s="1"/>
  <c r="BV294" i="112" s="1"/>
  <c r="BR270" i="8"/>
  <c r="BR34" i="2" s="1"/>
  <c r="BR275" i="8"/>
  <c r="BR36" i="2" s="1"/>
  <c r="BT227" i="8"/>
  <c r="BS128" i="2"/>
  <c r="BZ246" i="8"/>
  <c r="BZ245" i="8"/>
  <c r="BZ209" i="112" s="1"/>
  <c r="CD247" i="8"/>
  <c r="BZ248" i="8"/>
  <c r="BV210" i="112"/>
  <c r="BM251" i="8"/>
  <c r="CH235" i="8"/>
  <c r="CD236" i="8"/>
  <c r="CD233" i="8" s="1"/>
  <c r="CD60" i="112" s="1"/>
  <c r="CD234" i="8"/>
  <c r="BZ126" i="112"/>
  <c r="CD242" i="8"/>
  <c r="CH241" i="8"/>
  <c r="CD240" i="8"/>
  <c r="CD239" i="8" s="1"/>
  <c r="CD125" i="112" s="1"/>
  <c r="CL261" i="8"/>
  <c r="CH262" i="8"/>
  <c r="CH260" i="8"/>
  <c r="CH259" i="8"/>
  <c r="CH9" i="2" s="1"/>
  <c r="BQ212" i="8"/>
  <c r="BU211" i="8"/>
  <c r="BQ210" i="8"/>
  <c r="BQ209" i="8" s="1"/>
  <c r="BQ285" i="112" s="1"/>
  <c r="BQ284" i="112" s="1"/>
  <c r="BV251" i="8"/>
  <c r="CD323" i="8"/>
  <c r="CD322" i="8" s="1"/>
  <c r="CD72" i="2" s="1"/>
  <c r="BR215" i="8"/>
  <c r="BV216" i="8"/>
  <c r="BR217" i="8"/>
  <c r="BR214" i="8"/>
  <c r="BR291" i="112" s="1"/>
  <c r="CD211" i="8"/>
  <c r="BZ210" i="8"/>
  <c r="BZ212" i="8"/>
  <c r="BZ209" i="8" s="1"/>
  <c r="BZ285" i="112" s="1"/>
  <c r="BZ284" i="112" s="1"/>
  <c r="BT212" i="8"/>
  <c r="BX211" i="8"/>
  <c r="BT210" i="8"/>
  <c r="BT209" i="8" s="1"/>
  <c r="BT285" i="112" s="1"/>
  <c r="BT284" i="112" s="1"/>
  <c r="CD255" i="8"/>
  <c r="CD257" i="8"/>
  <c r="CD254" i="8" s="1"/>
  <c r="CD7" i="2" s="1"/>
  <c r="CH256" i="8"/>
  <c r="BP251" i="8"/>
  <c r="BZ61" i="112"/>
  <c r="BZ277" i="8"/>
  <c r="BZ287" i="8" s="1"/>
  <c r="BV276" i="8"/>
  <c r="BV278" i="8"/>
  <c r="BV273" i="8"/>
  <c r="BZ272" i="8"/>
  <c r="BV271" i="8"/>
  <c r="BR309" i="112"/>
  <c r="CL12" i="2"/>
  <c r="BZ288" i="8" l="1"/>
  <c r="BZ286" i="8"/>
  <c r="BZ285" i="8"/>
  <c r="BZ46" i="2" s="1"/>
  <c r="CL266" i="8"/>
  <c r="CL267" i="8" s="1"/>
  <c r="CH265" i="8"/>
  <c r="BZ484" i="111"/>
  <c r="BM52" i="4"/>
  <c r="G15" i="71"/>
  <c r="T214" i="11"/>
  <c r="T289" i="111"/>
  <c r="T304" i="111"/>
  <c r="T199" i="11"/>
  <c r="T197" i="11"/>
  <c r="T175" i="11"/>
  <c r="T212" i="11"/>
  <c r="T114" i="11"/>
  <c r="T108" i="11"/>
  <c r="T116" i="11"/>
  <c r="T177" i="11"/>
  <c r="T845" i="111"/>
  <c r="T99" i="11"/>
  <c r="T98" i="11"/>
  <c r="T24" i="76" s="1"/>
  <c r="BL139" i="2"/>
  <c r="BL157" i="2" s="1"/>
  <c r="BV222" i="8"/>
  <c r="BV220" i="8"/>
  <c r="BZ221" i="8"/>
  <c r="BZ219" i="8" s="1"/>
  <c r="BZ294" i="112" s="1"/>
  <c r="BU227" i="8"/>
  <c r="BT128" i="2"/>
  <c r="BV270" i="8"/>
  <c r="BV34" i="2" s="1"/>
  <c r="BV275" i="8"/>
  <c r="BV36" i="2" s="1"/>
  <c r="CH247" i="8"/>
  <c r="CD245" i="8"/>
  <c r="CD209" i="112" s="1"/>
  <c r="CD246" i="8"/>
  <c r="CD248" i="8"/>
  <c r="BZ210" i="112"/>
  <c r="BT251" i="8"/>
  <c r="BX210" i="8"/>
  <c r="BX212" i="8"/>
  <c r="BX209" i="8" s="1"/>
  <c r="BX285" i="112" s="1"/>
  <c r="BX284" i="112" s="1"/>
  <c r="CB211" i="8"/>
  <c r="BQ251" i="8"/>
  <c r="CP261" i="8"/>
  <c r="CL259" i="8"/>
  <c r="CL9" i="2" s="1"/>
  <c r="CL262" i="8"/>
  <c r="CL260" i="8"/>
  <c r="CD126" i="112"/>
  <c r="CD61" i="112"/>
  <c r="CD484" i="111"/>
  <c r="BV215" i="8"/>
  <c r="BZ216" i="8"/>
  <c r="BV217" i="8"/>
  <c r="BV214" i="8"/>
  <c r="BV291" i="112" s="1"/>
  <c r="BZ251" i="8"/>
  <c r="CH323" i="8"/>
  <c r="CH322" i="8" s="1"/>
  <c r="CH72" i="2" s="1"/>
  <c r="BU212" i="8"/>
  <c r="BY211" i="8"/>
  <c r="BU210" i="8"/>
  <c r="BU209" i="8" s="1"/>
  <c r="BU285" i="112" s="1"/>
  <c r="BU284" i="112" s="1"/>
  <c r="CL241" i="8"/>
  <c r="CH242" i="8"/>
  <c r="CH239" i="8"/>
  <c r="CH125" i="112" s="1"/>
  <c r="CH240" i="8"/>
  <c r="CL235" i="8"/>
  <c r="CH236" i="8"/>
  <c r="CH234" i="8"/>
  <c r="CL256" i="8"/>
  <c r="CH257" i="8"/>
  <c r="CH254" i="8"/>
  <c r="CH7" i="2" s="1"/>
  <c r="CH255" i="8"/>
  <c r="CD212" i="8"/>
  <c r="CD209" i="8" s="1"/>
  <c r="CD285" i="112" s="1"/>
  <c r="CD284" i="112" s="1"/>
  <c r="CD210" i="8"/>
  <c r="CH211" i="8"/>
  <c r="BZ276" i="8"/>
  <c r="CD277" i="8"/>
  <c r="CD287" i="8" s="1"/>
  <c r="BZ278" i="8"/>
  <c r="CD272" i="8"/>
  <c r="BZ273" i="8"/>
  <c r="BZ271" i="8"/>
  <c r="BS309" i="112"/>
  <c r="CP12" i="2"/>
  <c r="BL156" i="2" l="1"/>
  <c r="CD286" i="8"/>
  <c r="CD285" i="8" s="1"/>
  <c r="CD46" i="2" s="1"/>
  <c r="CD288" i="8"/>
  <c r="CL264" i="8"/>
  <c r="CL16" i="2" s="1"/>
  <c r="T25" i="76"/>
  <c r="T30" i="76" s="1"/>
  <c r="T31" i="76" s="1"/>
  <c r="T178" i="11"/>
  <c r="Y105" i="11"/>
  <c r="CP266" i="8"/>
  <c r="CP267" i="8" s="1"/>
  <c r="CL265" i="8"/>
  <c r="BZ220" i="8"/>
  <c r="T303" i="111"/>
  <c r="T76" i="46"/>
  <c r="T848" i="111"/>
  <c r="T392" i="111"/>
  <c r="T393" i="111"/>
  <c r="T68" i="46"/>
  <c r="AM16" i="71"/>
  <c r="AM46" i="71" s="1"/>
  <c r="L33" i="27"/>
  <c r="G14" i="71"/>
  <c r="G47" i="71" s="1"/>
  <c r="V33" i="71"/>
  <c r="T30" i="46"/>
  <c r="G44" i="71"/>
  <c r="G16" i="71"/>
  <c r="T29" i="46"/>
  <c r="L30" i="27"/>
  <c r="T109" i="11"/>
  <c r="T70" i="46"/>
  <c r="BZ222" i="8"/>
  <c r="CD221" i="8"/>
  <c r="CH221" i="8" s="1"/>
  <c r="CH233" i="8"/>
  <c r="CH60" i="112" s="1"/>
  <c r="CH61" i="112" s="1"/>
  <c r="BV227" i="8"/>
  <c r="BU128" i="2"/>
  <c r="BZ270" i="8"/>
  <c r="BZ34" i="2" s="1"/>
  <c r="BZ275" i="8"/>
  <c r="BZ36" i="2" s="1"/>
  <c r="CH248" i="8"/>
  <c r="CH245" i="8"/>
  <c r="CH209" i="112" s="1"/>
  <c r="CL247" i="8"/>
  <c r="CH246" i="8"/>
  <c r="CD210" i="112"/>
  <c r="BU251" i="8"/>
  <c r="CL322" i="8"/>
  <c r="CL72" i="2" s="1"/>
  <c r="CL323" i="8"/>
  <c r="CT261" i="8"/>
  <c r="CP262" i="8"/>
  <c r="CP260" i="8"/>
  <c r="CP259" i="8"/>
  <c r="CP9" i="2" s="1"/>
  <c r="BX251" i="8"/>
  <c r="CC211" i="8"/>
  <c r="BY210" i="8"/>
  <c r="BY209" i="8" s="1"/>
  <c r="BY285" i="112" s="1"/>
  <c r="BY284" i="112" s="1"/>
  <c r="BY212" i="8"/>
  <c r="CD251" i="8"/>
  <c r="CL254" i="8"/>
  <c r="CL7" i="2" s="1"/>
  <c r="CL257" i="8"/>
  <c r="CL255" i="8"/>
  <c r="CP256" i="8"/>
  <c r="CH126" i="112"/>
  <c r="CD216" i="8"/>
  <c r="BZ215" i="8"/>
  <c r="BZ217" i="8"/>
  <c r="BZ214" i="8"/>
  <c r="BZ291" i="112" s="1"/>
  <c r="CL211" i="8"/>
  <c r="CH210" i="8"/>
  <c r="CH212" i="8"/>
  <c r="CH209" i="8" s="1"/>
  <c r="CH285" i="112" s="1"/>
  <c r="CH284" i="112" s="1"/>
  <c r="CH484" i="111"/>
  <c r="CP235" i="8"/>
  <c r="CL234" i="8"/>
  <c r="CL233" i="8" s="1"/>
  <c r="CL60" i="112" s="1"/>
  <c r="CL236" i="8"/>
  <c r="CL242" i="8"/>
  <c r="CL239" i="8" s="1"/>
  <c r="CL125" i="112" s="1"/>
  <c r="CP241" i="8"/>
  <c r="CL240" i="8"/>
  <c r="CB210" i="8"/>
  <c r="CF211" i="8"/>
  <c r="CB212" i="8"/>
  <c r="CB209" i="8"/>
  <c r="CB285" i="112" s="1"/>
  <c r="CB284" i="112" s="1"/>
  <c r="CH277" i="8"/>
  <c r="CH287" i="8" s="1"/>
  <c r="CD278" i="8"/>
  <c r="CD276" i="8"/>
  <c r="CH272" i="8"/>
  <c r="CD271" i="8"/>
  <c r="CD273" i="8"/>
  <c r="CT12" i="2"/>
  <c r="BT309" i="112"/>
  <c r="BL131" i="2" l="1"/>
  <c r="CH286" i="8"/>
  <c r="CH288" i="8"/>
  <c r="CH285" i="8" s="1"/>
  <c r="CH46" i="2" s="1"/>
  <c r="CP265" i="8"/>
  <c r="CP264" i="8"/>
  <c r="CP16" i="2" s="1"/>
  <c r="CT266" i="8"/>
  <c r="CT265" i="8" s="1"/>
  <c r="U31" i="76"/>
  <c r="Y103" i="11"/>
  <c r="Q113" i="27"/>
  <c r="CD219" i="8"/>
  <c r="CD294" i="112" s="1"/>
  <c r="CL484" i="111" s="1"/>
  <c r="CD220" i="8"/>
  <c r="CD222" i="8"/>
  <c r="T179" i="11"/>
  <c r="BN52" i="4"/>
  <c r="T252" i="111"/>
  <c r="BW227" i="8"/>
  <c r="BV128" i="2"/>
  <c r="CD270" i="8"/>
  <c r="CD34" i="2" s="1"/>
  <c r="CD275" i="8"/>
  <c r="CD36" i="2" s="1"/>
  <c r="CP247" i="8"/>
  <c r="CL246" i="8"/>
  <c r="CL245" i="8" s="1"/>
  <c r="CL209" i="112" s="1"/>
  <c r="CL248" i="8"/>
  <c r="CH210" i="112"/>
  <c r="CT256" i="8"/>
  <c r="CP257" i="8"/>
  <c r="CP255" i="8"/>
  <c r="CP254" i="8"/>
  <c r="CP7" i="2" s="1"/>
  <c r="BY251" i="8"/>
  <c r="CP323" i="8"/>
  <c r="CP322" i="8"/>
  <c r="CP72" i="2" s="1"/>
  <c r="CH251" i="8"/>
  <c r="CT235" i="8"/>
  <c r="CP236" i="8"/>
  <c r="CP234" i="8"/>
  <c r="CP233" i="8" s="1"/>
  <c r="CP60" i="112" s="1"/>
  <c r="CG211" i="8"/>
  <c r="CC212" i="8"/>
  <c r="CC210" i="8"/>
  <c r="CC209" i="8"/>
  <c r="CC285" i="112" s="1"/>
  <c r="CC284" i="112" s="1"/>
  <c r="CL126" i="112"/>
  <c r="CB251" i="8"/>
  <c r="CT241" i="8"/>
  <c r="CP240" i="8"/>
  <c r="CP239" i="8" s="1"/>
  <c r="CP125" i="112" s="1"/>
  <c r="CP242" i="8"/>
  <c r="CP211" i="8"/>
  <c r="CL212" i="8"/>
  <c r="CL209" i="8" s="1"/>
  <c r="CL285" i="112" s="1"/>
  <c r="CL284" i="112" s="1"/>
  <c r="CL210" i="8"/>
  <c r="CH216" i="8"/>
  <c r="CD215" i="8"/>
  <c r="CD217" i="8"/>
  <c r="CD214" i="8"/>
  <c r="CD291" i="112" s="1"/>
  <c r="CL221" i="8"/>
  <c r="CH222" i="8"/>
  <c r="CH220" i="8"/>
  <c r="CH219" i="8"/>
  <c r="CH294" i="112" s="1"/>
  <c r="CT260" i="8"/>
  <c r="CT259" i="8"/>
  <c r="CT9" i="2" s="1"/>
  <c r="CT262" i="8"/>
  <c r="CJ211" i="8"/>
  <c r="CF210" i="8"/>
  <c r="CF212" i="8"/>
  <c r="CF209" i="8"/>
  <c r="CF285" i="112" s="1"/>
  <c r="CF284" i="112" s="1"/>
  <c r="CL61" i="112"/>
  <c r="CL272" i="8"/>
  <c r="CH271" i="8"/>
  <c r="CH273" i="8"/>
  <c r="CH278" i="8"/>
  <c r="CL277" i="8"/>
  <c r="CL287" i="8" s="1"/>
  <c r="CH276" i="8"/>
  <c r="BU309" i="112"/>
  <c r="CT264" i="8" l="1"/>
  <c r="CT16" i="2" s="1"/>
  <c r="CT267" i="8"/>
  <c r="CL288" i="8"/>
  <c r="CL286" i="8"/>
  <c r="CL285" i="8"/>
  <c r="CL46" i="2" s="1"/>
  <c r="L32" i="27"/>
  <c r="AM17" i="71"/>
  <c r="AM47" i="71" s="1"/>
  <c r="V34" i="71"/>
  <c r="V35" i="71"/>
  <c r="L97" i="27"/>
  <c r="T37" i="46"/>
  <c r="T394" i="111"/>
  <c r="BX227" i="8"/>
  <c r="BW128" i="2"/>
  <c r="CH275" i="8"/>
  <c r="CH36" i="2" s="1"/>
  <c r="CH270" i="8"/>
  <c r="CH34" i="2" s="1"/>
  <c r="CL210" i="112"/>
  <c r="CT247" i="8"/>
  <c r="CP248" i="8"/>
  <c r="CP245" i="8" s="1"/>
  <c r="CP209" i="112" s="1"/>
  <c r="CP246" i="8"/>
  <c r="CT254" i="8"/>
  <c r="CT7" i="2" s="1"/>
  <c r="CT257" i="8"/>
  <c r="CT255" i="8"/>
  <c r="CN211" i="8"/>
  <c r="CJ212" i="8"/>
  <c r="CJ210" i="8"/>
  <c r="CJ209" i="8"/>
  <c r="CJ285" i="112" s="1"/>
  <c r="CJ284" i="112" s="1"/>
  <c r="CP221" i="8"/>
  <c r="CL220" i="8"/>
  <c r="CL219" i="8" s="1"/>
  <c r="CL294" i="112" s="1"/>
  <c r="CL222" i="8"/>
  <c r="CT234" i="8"/>
  <c r="CT233" i="8" s="1"/>
  <c r="CT60" i="112" s="1"/>
  <c r="CT236" i="8"/>
  <c r="CT211" i="8"/>
  <c r="CP209" i="8"/>
  <c r="CP285" i="112" s="1"/>
  <c r="CP284" i="112" s="1"/>
  <c r="CP212" i="8"/>
  <c r="CP210" i="8"/>
  <c r="CG210" i="8"/>
  <c r="CG212" i="8"/>
  <c r="CK211" i="8"/>
  <c r="CG209" i="8"/>
  <c r="CG285" i="112" s="1"/>
  <c r="CG284" i="112" s="1"/>
  <c r="CL216" i="8"/>
  <c r="CH217" i="8"/>
  <c r="CH215" i="8"/>
  <c r="CH214" i="8"/>
  <c r="CH291" i="112" s="1"/>
  <c r="CC251" i="8"/>
  <c r="CF251" i="8"/>
  <c r="CP484" i="111"/>
  <c r="CP126" i="112"/>
  <c r="CT323" i="8"/>
  <c r="CT322" i="8"/>
  <c r="CT72" i="2" s="1"/>
  <c r="CP61" i="112"/>
  <c r="Q69" i="27"/>
  <c r="CL251" i="8"/>
  <c r="CT239" i="8"/>
  <c r="CT125" i="112" s="1"/>
  <c r="CT242" i="8"/>
  <c r="CT240" i="8"/>
  <c r="CP272" i="8"/>
  <c r="CL271" i="8"/>
  <c r="CL273" i="8"/>
  <c r="CP277" i="8"/>
  <c r="CP287" i="8" s="1"/>
  <c r="CL276" i="8"/>
  <c r="CL278" i="8"/>
  <c r="BV309" i="112"/>
  <c r="CP286" i="8" l="1"/>
  <c r="CP288" i="8"/>
  <c r="CP285" i="8"/>
  <c r="CP46" i="2" s="1"/>
  <c r="BY227" i="8"/>
  <c r="BX128" i="2"/>
  <c r="CL270" i="8"/>
  <c r="CL34" i="2" s="1"/>
  <c r="CL275" i="8"/>
  <c r="CL36" i="2" s="1"/>
  <c r="CP210" i="112"/>
  <c r="CT245" i="8"/>
  <c r="CT209" i="112" s="1"/>
  <c r="CT246" i="8"/>
  <c r="CT248" i="8"/>
  <c r="CP216" i="8"/>
  <c r="CL215" i="8"/>
  <c r="CL217" i="8"/>
  <c r="CL214" i="8"/>
  <c r="CL291" i="112" s="1"/>
  <c r="CR211" i="8"/>
  <c r="CN210" i="8"/>
  <c r="CN209" i="8" s="1"/>
  <c r="CN285" i="112" s="1"/>
  <c r="CN284" i="112" s="1"/>
  <c r="CN212" i="8"/>
  <c r="CT126" i="112"/>
  <c r="CJ251" i="8"/>
  <c r="CG251" i="8"/>
  <c r="CP251" i="8"/>
  <c r="CT61" i="112"/>
  <c r="CT221" i="8"/>
  <c r="CP222" i="8"/>
  <c r="CP219" i="8"/>
  <c r="CP294" i="112" s="1"/>
  <c r="CP220" i="8"/>
  <c r="R69" i="27"/>
  <c r="CO211" i="8"/>
  <c r="CK212" i="8"/>
  <c r="CK210" i="8"/>
  <c r="CK209" i="8"/>
  <c r="CK285" i="112" s="1"/>
  <c r="CK284" i="112" s="1"/>
  <c r="CT212" i="8"/>
  <c r="CT210" i="8"/>
  <c r="CT209" i="8"/>
  <c r="CT285" i="112" s="1"/>
  <c r="CT284" i="112" s="1"/>
  <c r="CP276" i="8"/>
  <c r="CP278" i="8"/>
  <c r="CT277" i="8"/>
  <c r="CT287" i="8" s="1"/>
  <c r="CT272" i="8"/>
  <c r="CP271" i="8"/>
  <c r="CP273" i="8"/>
  <c r="BW309" i="112"/>
  <c r="CT288" i="8" l="1"/>
  <c r="CT286" i="8"/>
  <c r="CT285" i="8"/>
  <c r="CT46" i="2" s="1"/>
  <c r="BO52" i="4"/>
  <c r="S69" i="27"/>
  <c r="BY128" i="2"/>
  <c r="BZ227" i="8"/>
  <c r="CP275" i="8"/>
  <c r="CP36" i="2" s="1"/>
  <c r="CP270" i="8"/>
  <c r="CP34" i="2" s="1"/>
  <c r="CT210" i="112"/>
  <c r="CV211" i="8"/>
  <c r="CR210" i="8"/>
  <c r="CR212" i="8"/>
  <c r="CR209" i="8" s="1"/>
  <c r="CR285" i="112" s="1"/>
  <c r="CR284" i="112" s="1"/>
  <c r="CS211" i="8"/>
  <c r="CO210" i="8"/>
  <c r="CO212" i="8"/>
  <c r="CO209" i="8"/>
  <c r="CO285" i="112" s="1"/>
  <c r="CO284" i="112" s="1"/>
  <c r="CT251" i="8"/>
  <c r="CK251" i="8"/>
  <c r="CN251" i="8"/>
  <c r="CT222" i="8"/>
  <c r="CT219" i="8"/>
  <c r="CT294" i="112" s="1"/>
  <c r="CT220" i="8"/>
  <c r="CT216" i="8"/>
  <c r="CP217" i="8"/>
  <c r="CP214" i="8"/>
  <c r="CP291" i="112" s="1"/>
  <c r="CP215" i="8"/>
  <c r="CT271" i="8"/>
  <c r="CT273" i="8"/>
  <c r="CT276" i="8"/>
  <c r="CT278" i="8"/>
  <c r="BX309" i="112"/>
  <c r="T69" i="27" l="1"/>
  <c r="BZ128" i="2"/>
  <c r="CA227" i="8"/>
  <c r="CT270" i="8"/>
  <c r="CT34" i="2" s="1"/>
  <c r="CT275" i="8"/>
  <c r="CT36" i="2" s="1"/>
  <c r="CT217" i="8"/>
  <c r="CT215" i="8"/>
  <c r="CT214" i="8"/>
  <c r="CT291" i="112" s="1"/>
  <c r="CR251" i="8"/>
  <c r="CW211" i="8"/>
  <c r="CS209" i="8"/>
  <c r="CS285" i="112" s="1"/>
  <c r="CS284" i="112" s="1"/>
  <c r="CS212" i="8"/>
  <c r="CS210" i="8"/>
  <c r="CV210" i="8"/>
  <c r="CV212" i="8"/>
  <c r="CV209" i="8"/>
  <c r="CV285" i="112" s="1"/>
  <c r="CV284" i="112" s="1"/>
  <c r="CO251" i="8"/>
  <c r="BY309" i="112"/>
  <c r="BP52" i="4" l="1"/>
  <c r="U69" i="27"/>
  <c r="CA128" i="2"/>
  <c r="CB227" i="8"/>
  <c r="CS251" i="8"/>
  <c r="CV251" i="8"/>
  <c r="CW210" i="8"/>
  <c r="CW209" i="8"/>
  <c r="CW285" i="112" s="1"/>
  <c r="CW284" i="112" s="1"/>
  <c r="CW212" i="8"/>
  <c r="BZ309" i="112"/>
  <c r="CB128" i="2" l="1"/>
  <c r="CC227" i="8"/>
  <c r="V69" i="27"/>
  <c r="CW251" i="8"/>
  <c r="CA309" i="112"/>
  <c r="BQ52" i="4" l="1"/>
  <c r="W69" i="27"/>
  <c r="CC128" i="2"/>
  <c r="CD227" i="8"/>
  <c r="CB309" i="112"/>
  <c r="Z105" i="11" l="1"/>
  <c r="CE227" i="8"/>
  <c r="CD128" i="2"/>
  <c r="X69" i="27"/>
  <c r="Z69" i="27"/>
  <c r="Y69" i="27"/>
  <c r="CC309" i="112"/>
  <c r="Z103" i="11" l="1"/>
  <c r="R113" i="27"/>
  <c r="BR52" i="4"/>
  <c r="CE128" i="2"/>
  <c r="CF227" i="8"/>
  <c r="CD309" i="112"/>
  <c r="CF128" i="2" l="1"/>
  <c r="CG227" i="8"/>
  <c r="CE309" i="112"/>
  <c r="BS52" i="4" l="1"/>
  <c r="CG128" i="2"/>
  <c r="CH227" i="8"/>
  <c r="CF309" i="112"/>
  <c r="CH128" i="2" l="1"/>
  <c r="CI227" i="8"/>
  <c r="CG309" i="112"/>
  <c r="BT52" i="4" l="1"/>
  <c r="CI128" i="2"/>
  <c r="CJ227" i="8"/>
  <c r="CH309" i="112"/>
  <c r="CJ128" i="2" l="1"/>
  <c r="CK227" i="8"/>
  <c r="CI309" i="112"/>
  <c r="BU52" i="4" l="1"/>
  <c r="CK128" i="2"/>
  <c r="CL227" i="8"/>
  <c r="CJ309" i="112"/>
  <c r="AA105" i="11" l="1"/>
  <c r="S113" i="27"/>
  <c r="AA103" i="11"/>
  <c r="CL128" i="2"/>
  <c r="CM227" i="8"/>
  <c r="CK309" i="112"/>
  <c r="BV52" i="4" l="1"/>
  <c r="CM128" i="2"/>
  <c r="CN227" i="8"/>
  <c r="CL309" i="112"/>
  <c r="CO227" i="8" l="1"/>
  <c r="CN128" i="2"/>
  <c r="CM309" i="112"/>
  <c r="BW52" i="4" l="1"/>
  <c r="CP227" i="8"/>
  <c r="CO128" i="2"/>
  <c r="CN309" i="112"/>
  <c r="CQ227" i="8" l="1"/>
  <c r="CP128" i="2"/>
  <c r="CO309" i="112"/>
  <c r="BX52" i="4" l="1"/>
  <c r="CR227" i="8"/>
  <c r="CQ128" i="2"/>
  <c r="CP309" i="112"/>
  <c r="CS227" i="8" l="1"/>
  <c r="CR128" i="2"/>
  <c r="CQ309" i="112"/>
  <c r="BY52" i="4" l="1"/>
  <c r="AB105" i="11" s="1"/>
  <c r="CT227" i="8"/>
  <c r="CS128" i="2"/>
  <c r="CR309" i="112"/>
  <c r="AB103" i="11" l="1"/>
  <c r="T113" i="27"/>
  <c r="CU227" i="8"/>
  <c r="CT128" i="2"/>
  <c r="CS309" i="112"/>
  <c r="CV227" i="8" l="1"/>
  <c r="CU128" i="2"/>
  <c r="CT309" i="112"/>
  <c r="CW227" i="8" l="1"/>
  <c r="CW128" i="2" s="1"/>
  <c r="CV128" i="2"/>
  <c r="Y100" i="11"/>
  <c r="CU309" i="112"/>
  <c r="Y141" i="11" l="1"/>
  <c r="Q18" i="27"/>
  <c r="CV309" i="112"/>
  <c r="Y172" i="11" l="1"/>
  <c r="Q57" i="27"/>
  <c r="CW309" i="112"/>
  <c r="CC52" i="4" l="1"/>
  <c r="CD52" i="4" l="1"/>
  <c r="CE52" i="4" l="1"/>
  <c r="CF52" i="4" l="1"/>
  <c r="CG52" i="4" l="1"/>
  <c r="AD105" i="11" s="1"/>
  <c r="AD103" i="11" l="1"/>
  <c r="V113" i="27"/>
  <c r="CH52" i="4" l="1"/>
  <c r="CI52" i="4" l="1"/>
  <c r="CJ52" i="4" l="1"/>
  <c r="CK52" i="4" l="1"/>
  <c r="AE105" i="11" s="1"/>
  <c r="W113" i="27" s="1"/>
  <c r="AE103" i="11" l="1"/>
  <c r="CL52" i="4" l="1"/>
  <c r="CM52" i="4" l="1"/>
  <c r="CN52" i="4" l="1"/>
  <c r="CO52" i="4" l="1"/>
  <c r="AF105" i="11" s="1"/>
  <c r="AF103" i="11" s="1"/>
  <c r="X113" i="27" l="1"/>
  <c r="CP52" i="4" l="1"/>
  <c r="CQ52" i="4" l="1"/>
  <c r="CR52" i="4" l="1"/>
  <c r="CS52" i="4" l="1"/>
  <c r="AG105" i="11" s="1"/>
  <c r="Y113" i="27" s="1"/>
  <c r="AG103" i="11" l="1"/>
  <c r="CT52" i="4" l="1"/>
  <c r="CW52" i="4" l="1"/>
  <c r="Z100" i="11" l="1"/>
  <c r="Z141" i="11" l="1"/>
  <c r="R18" i="27"/>
  <c r="Z172" i="11" l="1"/>
  <c r="R57" i="27"/>
  <c r="AA100" i="11" l="1"/>
  <c r="AA141" i="11" l="1"/>
  <c r="S18" i="27"/>
  <c r="AA172" i="11" l="1"/>
  <c r="S57" i="27"/>
  <c r="AB100" i="11" l="1"/>
  <c r="AB141" i="11" l="1"/>
  <c r="T18" i="27"/>
  <c r="AB172" i="11" l="1"/>
  <c r="T57" i="27"/>
  <c r="AC100" i="11" l="1"/>
  <c r="AC141" i="11" l="1"/>
  <c r="U18" i="27"/>
  <c r="AC172" i="11" l="1"/>
  <c r="U57" i="27"/>
  <c r="AD100" i="11" l="1"/>
  <c r="AD141" i="11" l="1"/>
  <c r="V18" i="27"/>
  <c r="AD172" i="11" l="1"/>
  <c r="V57" i="27"/>
  <c r="AE100" i="11" l="1"/>
  <c r="AE141" i="11" l="1"/>
  <c r="W18" i="27"/>
  <c r="AE172" i="11" l="1"/>
  <c r="W57" i="27"/>
  <c r="AF100" i="11" l="1"/>
  <c r="X18" i="27" s="1"/>
  <c r="AF141" i="11" l="1"/>
  <c r="AF172" i="11" l="1"/>
  <c r="X57" i="27"/>
  <c r="AG100" i="11" l="1"/>
  <c r="Y18" i="27" s="1"/>
  <c r="AG141" i="11" l="1"/>
  <c r="AG172" i="11" l="1"/>
  <c r="Y57" i="27"/>
  <c r="AH100" i="11" l="1"/>
  <c r="Z18" i="27" s="1"/>
  <c r="AH141" i="11" l="1"/>
  <c r="AH172" i="11" l="1"/>
  <c r="Z57" i="27"/>
  <c r="AM62" i="71" l="1"/>
  <c r="AN62" i="71" l="1"/>
  <c r="BT20" i="2" l="1"/>
  <c r="BX20" i="2" l="1"/>
  <c r="BS20" i="2" l="1"/>
  <c r="CB20" i="2"/>
  <c r="CF20" i="2" l="1"/>
  <c r="BW20" i="2"/>
  <c r="CJ20" i="2" l="1"/>
  <c r="CA20" i="2"/>
  <c r="CE20" i="2" l="1"/>
  <c r="CN20" i="2"/>
  <c r="CI20" i="2" l="1"/>
  <c r="CR20" i="2"/>
  <c r="CV20" i="2" l="1"/>
  <c r="CM20" i="2"/>
  <c r="CQ20" i="2" l="1"/>
  <c r="CU20" i="2" l="1"/>
  <c r="U104" i="11" l="1"/>
  <c r="U108" i="11"/>
  <c r="AJ93" i="11"/>
  <c r="AJ104" i="11" l="1"/>
  <c r="U197" i="11"/>
  <c r="U116" i="11"/>
  <c r="U114" i="11"/>
  <c r="U845" i="111"/>
  <c r="U175" i="11"/>
  <c r="U177" i="11"/>
  <c r="U212" i="11"/>
  <c r="M30" i="27"/>
  <c r="U29" i="46"/>
  <c r="AJ108" i="11"/>
  <c r="U109" i="11"/>
  <c r="H15" i="71"/>
  <c r="U199" i="11"/>
  <c r="U214" i="11"/>
  <c r="U289" i="111"/>
  <c r="U304" i="111"/>
  <c r="U76" i="46" l="1"/>
  <c r="U393" i="111"/>
  <c r="U70" i="46"/>
  <c r="U848" i="111"/>
  <c r="AN16" i="71"/>
  <c r="AN46" i="71" s="1"/>
  <c r="M33" i="27"/>
  <c r="U30" i="46"/>
  <c r="H14" i="71"/>
  <c r="H47" i="71" s="1"/>
  <c r="AJ116" i="11"/>
  <c r="W33" i="71"/>
  <c r="U252" i="111"/>
  <c r="U303" i="111"/>
  <c r="U392" i="111"/>
  <c r="H16" i="71"/>
  <c r="H44" i="71"/>
  <c r="U68" i="46"/>
  <c r="BQ107" i="2" l="1"/>
  <c r="V108" i="11" l="1"/>
  <c r="V104" i="11"/>
  <c r="V114" i="11" l="1"/>
  <c r="V116" i="11"/>
  <c r="V212" i="11"/>
  <c r="V197" i="11"/>
  <c r="V845" i="111"/>
  <c r="V177" i="11"/>
  <c r="V175" i="11"/>
  <c r="N30" i="27"/>
  <c r="V29" i="46"/>
  <c r="V109" i="11"/>
  <c r="I15" i="71"/>
  <c r="V304" i="111"/>
  <c r="V289" i="111"/>
  <c r="V199" i="11"/>
  <c r="V214" i="11"/>
  <c r="AO16" i="71" l="1"/>
  <c r="AO46" i="71" s="1"/>
  <c r="V30" i="46"/>
  <c r="N33" i="27"/>
  <c r="I14" i="71"/>
  <c r="I47" i="71" s="1"/>
  <c r="X33" i="71"/>
  <c r="I44" i="71"/>
  <c r="I16" i="71"/>
  <c r="V303" i="111"/>
  <c r="V392" i="111"/>
  <c r="V252" i="111"/>
  <c r="V393" i="111"/>
  <c r="V70" i="46"/>
  <c r="V848" i="111"/>
  <c r="V76" i="46"/>
  <c r="V68" i="46"/>
  <c r="BR107" i="2" l="1"/>
  <c r="W108" i="11" l="1"/>
  <c r="W104" i="11"/>
  <c r="O30" i="27" l="1"/>
  <c r="W29" i="46"/>
  <c r="W109" i="11"/>
  <c r="W845" i="111"/>
  <c r="W177" i="11"/>
  <c r="W175" i="11"/>
  <c r="W197" i="11"/>
  <c r="W212" i="11"/>
  <c r="W116" i="11"/>
  <c r="W114" i="11"/>
  <c r="J15" i="71"/>
  <c r="W289" i="111"/>
  <c r="W304" i="111"/>
  <c r="W214" i="11"/>
  <c r="W199" i="11"/>
  <c r="W76" i="46" l="1"/>
  <c r="W392" i="111"/>
  <c r="W393" i="111"/>
  <c r="W68" i="46"/>
  <c r="W252" i="111"/>
  <c r="W70" i="46"/>
  <c r="J44" i="71"/>
  <c r="J16" i="71"/>
  <c r="W303" i="111"/>
  <c r="W848" i="111"/>
  <c r="AP16" i="71"/>
  <c r="AP46" i="71" s="1"/>
  <c r="J14" i="71"/>
  <c r="J47" i="71" s="1"/>
  <c r="W30" i="46"/>
  <c r="Y33" i="71"/>
  <c r="O33" i="27"/>
  <c r="AK93" i="11" l="1"/>
  <c r="X108" i="11"/>
  <c r="X104" i="11"/>
  <c r="K15" i="71" l="1"/>
  <c r="X199" i="11"/>
  <c r="X214" i="11"/>
  <c r="X304" i="111"/>
  <c r="X289" i="111"/>
  <c r="P30" i="27"/>
  <c r="X29" i="46"/>
  <c r="X109" i="11"/>
  <c r="AK108" i="11"/>
  <c r="AK104" i="11"/>
  <c r="X197" i="11"/>
  <c r="X114" i="11"/>
  <c r="X175" i="11"/>
  <c r="X116" i="11"/>
  <c r="X212" i="11"/>
  <c r="X177" i="11"/>
  <c r="X845" i="111"/>
  <c r="AG8" i="76" l="1"/>
  <c r="AG7" i="76"/>
  <c r="U8" i="76"/>
  <c r="U7" i="76"/>
  <c r="X76" i="46"/>
  <c r="AQ16" i="71"/>
  <c r="AQ46" i="71" s="1"/>
  <c r="X30" i="46"/>
  <c r="K14" i="71"/>
  <c r="K47" i="71" s="1"/>
  <c r="Z33" i="71"/>
  <c r="P33" i="27"/>
  <c r="AK116" i="11"/>
  <c r="X70" i="46"/>
  <c r="X392" i="111"/>
  <c r="K16" i="71"/>
  <c r="K44" i="71"/>
  <c r="X303" i="111"/>
  <c r="X252" i="111"/>
  <c r="X393" i="111"/>
  <c r="X68" i="46"/>
  <c r="X848" i="111"/>
  <c r="BD140" i="2" l="1"/>
  <c r="BE140" i="2"/>
  <c r="BF140" i="2"/>
  <c r="BG140" i="2"/>
  <c r="BH140" i="2"/>
  <c r="BI140" i="2"/>
  <c r="CV52" i="4" l="1"/>
  <c r="CU52" i="4"/>
  <c r="AH105" i="11" s="1"/>
  <c r="CB52" i="4"/>
  <c r="CA52" i="4"/>
  <c r="BZ52" i="4"/>
  <c r="AC105" i="11" s="1"/>
  <c r="BS545" i="111"/>
  <c r="Y158" i="11"/>
  <c r="Q75" i="27"/>
  <c r="Q79" i="27"/>
  <c r="Q80" i="27"/>
  <c r="Z113" i="27" l="1"/>
  <c r="AH103" i="11"/>
  <c r="AC103" i="11"/>
  <c r="U113" i="27"/>
  <c r="BK6" i="2" l="1"/>
  <c r="BK8" i="2"/>
  <c r="BK11" i="2"/>
  <c r="BK15" i="2"/>
  <c r="BK19" i="2"/>
  <c r="BK23" i="2"/>
  <c r="BK38" i="2"/>
  <c r="BK53" i="2" s="1"/>
  <c r="BL47" i="58" s="1"/>
  <c r="BK41" i="2"/>
  <c r="BK42" i="2"/>
  <c r="BS560" i="111" s="1"/>
  <c r="BK43" i="2"/>
  <c r="BK48" i="2"/>
  <c r="BK49" i="2"/>
  <c r="BK51" i="2" s="1"/>
  <c r="BL53" i="2"/>
  <c r="BL49" i="2" s="1"/>
  <c r="BL120" i="4" s="1"/>
  <c r="BK63" i="2"/>
  <c r="BK78" i="2" s="1"/>
  <c r="BK77" i="2" s="1"/>
  <c r="BK64" i="2"/>
  <c r="BK82" i="2" s="1"/>
  <c r="BK65" i="2"/>
  <c r="BK70" i="2" s="1"/>
  <c r="BK67" i="2"/>
  <c r="BK101" i="2"/>
  <c r="BL106" i="2" s="1"/>
  <c r="BP107" i="2" s="1"/>
  <c r="BK108" i="2"/>
  <c r="BL105" i="2" s="1"/>
  <c r="BK116" i="2"/>
  <c r="BL111" i="2" s="1"/>
  <c r="BL114" i="2" s="1"/>
  <c r="BK130" i="2"/>
  <c r="BL95" i="4"/>
  <c r="BM95" i="4" s="1"/>
  <c r="BL137" i="4"/>
  <c r="BK26" i="2" l="1"/>
  <c r="BK27" i="2" s="1"/>
  <c r="BK119" i="2"/>
  <c r="BK120" i="2" s="1"/>
  <c r="BL123" i="2" s="1"/>
  <c r="BK115" i="2"/>
  <c r="BK112" i="2"/>
  <c r="BK109" i="2"/>
  <c r="Q53" i="27"/>
  <c r="BN95" i="4"/>
  <c r="BO95" i="4" s="1"/>
  <c r="BK50" i="2"/>
  <c r="BK39" i="2"/>
  <c r="BL108" i="2"/>
  <c r="BK132" i="2"/>
  <c r="BK117" i="2"/>
  <c r="BK73" i="2"/>
  <c r="BK318" i="112"/>
  <c r="BK54" i="2"/>
  <c r="BK52" i="2"/>
  <c r="BK280" i="8" s="1"/>
  <c r="BK55" i="2"/>
  <c r="BK290" i="8" s="1"/>
  <c r="BL41" i="4"/>
  <c r="BL112" i="2"/>
  <c r="BL51" i="2"/>
  <c r="BL48" i="2"/>
  <c r="BK107" i="2"/>
  <c r="BL61" i="2"/>
  <c r="BK106" i="2"/>
  <c r="BO107" i="2" s="1"/>
  <c r="BL44" i="2"/>
  <c r="BK31" i="2"/>
  <c r="BK123" i="2" l="1"/>
  <c r="BK124" i="2" s="1"/>
  <c r="BS542" i="111"/>
  <c r="BK128" i="2"/>
  <c r="BK227" i="8" s="1"/>
  <c r="BK129" i="2"/>
  <c r="BM105" i="2"/>
  <c r="BM108" i="2" s="1"/>
  <c r="BL82" i="4"/>
  <c r="BK293" i="8"/>
  <c r="BK292" i="8"/>
  <c r="BO292" i="8" s="1"/>
  <c r="BK291" i="8"/>
  <c r="BK281" i="8"/>
  <c r="BK283" i="8"/>
  <c r="BK282" i="8"/>
  <c r="BO282" i="8" s="1"/>
  <c r="BL116" i="2"/>
  <c r="BL128" i="4"/>
  <c r="BK32" i="2" a="1"/>
  <c r="BK32" i="2" s="1"/>
  <c r="BK35" i="2" s="1"/>
  <c r="BP95" i="4"/>
  <c r="BL38" i="2"/>
  <c r="BL107" i="4" s="1"/>
  <c r="BM53" i="2"/>
  <c r="BL75" i="4"/>
  <c r="BL128" i="2" l="1"/>
  <c r="BL130" i="2" s="1"/>
  <c r="BS282" i="8"/>
  <c r="BO281" i="8"/>
  <c r="BO52" i="2"/>
  <c r="BO283" i="8"/>
  <c r="BO280" i="8"/>
  <c r="BN105" i="2"/>
  <c r="BN108" i="2" s="1"/>
  <c r="BM82" i="4"/>
  <c r="BS292" i="8"/>
  <c r="BO291" i="8"/>
  <c r="BO293" i="8"/>
  <c r="BO290" i="8"/>
  <c r="BO55" i="2" s="1"/>
  <c r="BM49" i="2"/>
  <c r="BQ95" i="4"/>
  <c r="BL119" i="2"/>
  <c r="BM111" i="2"/>
  <c r="BM114" i="2" s="1"/>
  <c r="BL117" i="2"/>
  <c r="BL109" i="2"/>
  <c r="BL87" i="4"/>
  <c r="BL227" i="8" l="1"/>
  <c r="BO105" i="2"/>
  <c r="BN82" i="4"/>
  <c r="BW292" i="8"/>
  <c r="BS293" i="8"/>
  <c r="BS290" i="8"/>
  <c r="BS55" i="2" s="1"/>
  <c r="BS291" i="8"/>
  <c r="BW282" i="8"/>
  <c r="BS283" i="8"/>
  <c r="BS280" i="8"/>
  <c r="BS281" i="8"/>
  <c r="BS52" i="2"/>
  <c r="BL23" i="2"/>
  <c r="BL124" i="2"/>
  <c r="BL129" i="2" s="1"/>
  <c r="BL132" i="2"/>
  <c r="BL39" i="4"/>
  <c r="BM41" i="4"/>
  <c r="BM112" i="2"/>
  <c r="BM51" i="2"/>
  <c r="BM120" i="4"/>
  <c r="BM48" i="2"/>
  <c r="BL33" i="4"/>
  <c r="R53" i="27"/>
  <c r="BR95" i="4"/>
  <c r="BW293" i="8" l="1"/>
  <c r="BW291" i="8"/>
  <c r="BW290" i="8" s="1"/>
  <c r="BW55" i="2" s="1"/>
  <c r="BW280" i="8"/>
  <c r="BW52" i="2"/>
  <c r="BW283" i="8"/>
  <c r="BW281" i="8"/>
  <c r="BS95" i="4"/>
  <c r="Q74" i="27"/>
  <c r="BL32" i="4"/>
  <c r="BL38" i="4"/>
  <c r="BM116" i="2"/>
  <c r="BN53" i="2"/>
  <c r="BM75" i="4"/>
  <c r="BL37" i="4" l="1"/>
  <c r="BT95" i="4"/>
  <c r="Y123" i="11"/>
  <c r="BM119" i="2"/>
  <c r="BN111" i="2"/>
  <c r="BN114" i="2" s="1"/>
  <c r="BM117" i="2"/>
  <c r="BM87" i="4"/>
  <c r="BM109" i="2"/>
  <c r="BN49" i="2"/>
  <c r="BT545" i="111" l="1"/>
  <c r="BM23" i="2"/>
  <c r="Y135" i="11"/>
  <c r="Q38" i="27"/>
  <c r="BN112" i="2"/>
  <c r="BN41" i="4"/>
  <c r="BN51" i="2"/>
  <c r="BN120" i="4"/>
  <c r="BN48" i="2"/>
  <c r="BU95" i="4"/>
  <c r="Y387" i="111" l="1"/>
  <c r="Y58" i="76"/>
  <c r="Q49" i="27"/>
  <c r="S53" i="27"/>
  <c r="BV95" i="4"/>
  <c r="BN116" i="2"/>
  <c r="BO53" i="2"/>
  <c r="BN75" i="4"/>
  <c r="BN117" i="2" l="1"/>
  <c r="BN119" i="2"/>
  <c r="BO111" i="2"/>
  <c r="BO114" i="2" s="1"/>
  <c r="BN87" i="4"/>
  <c r="BN109" i="2"/>
  <c r="BW95" i="4"/>
  <c r="BO49" i="2"/>
  <c r="Y50" i="76"/>
  <c r="BN23" i="2" l="1"/>
  <c r="BO112" i="2"/>
  <c r="BO116" i="2" s="1"/>
  <c r="BO41" i="4"/>
  <c r="Y48" i="76"/>
  <c r="BX95" i="4"/>
  <c r="BO51" i="2"/>
  <c r="BO120" i="4"/>
  <c r="BO48" i="2"/>
  <c r="BY95" i="4" l="1"/>
  <c r="BP53" i="2"/>
  <c r="BO75" i="4"/>
  <c r="BP111" i="2"/>
  <c r="BP114" i="2" s="1"/>
  <c r="BO87" i="4"/>
  <c r="BO23" i="2" l="1"/>
  <c r="BP49" i="2"/>
  <c r="BP112" i="2"/>
  <c r="BP116" i="2" s="1"/>
  <c r="BP41" i="4"/>
  <c r="T53" i="27"/>
  <c r="BZ95" i="4"/>
  <c r="BQ111" i="2" l="1"/>
  <c r="BQ114" i="2" s="1"/>
  <c r="BP87" i="4"/>
  <c r="CA95" i="4"/>
  <c r="BP51" i="2"/>
  <c r="BP120" i="4"/>
  <c r="BP48" i="2"/>
  <c r="BP23" i="2" l="1"/>
  <c r="BQ41" i="4"/>
  <c r="BQ112" i="2"/>
  <c r="BQ116" i="2" s="1"/>
  <c r="CB95" i="4"/>
  <c r="BQ53" i="2"/>
  <c r="BP75" i="4"/>
  <c r="BR111" i="2" l="1"/>
  <c r="BR114" i="2" s="1"/>
  <c r="BQ87" i="4"/>
  <c r="BQ49" i="2"/>
  <c r="CC95" i="4"/>
  <c r="U53" i="27" l="1"/>
  <c r="CD95" i="4"/>
  <c r="BQ51" i="2"/>
  <c r="BQ120" i="4"/>
  <c r="BQ48" i="2"/>
  <c r="BQ23" i="2"/>
  <c r="BR41" i="4"/>
  <c r="BR112" i="2"/>
  <c r="BR116" i="2" s="1"/>
  <c r="R74" i="27" l="1"/>
  <c r="CE95" i="4"/>
  <c r="BS111" i="2"/>
  <c r="BS114" i="2" s="1"/>
  <c r="BR87" i="4"/>
  <c r="BR53" i="2"/>
  <c r="BQ75" i="4"/>
  <c r="BS41" i="4" l="1"/>
  <c r="BS112" i="2"/>
  <c r="BS116" i="2" s="1"/>
  <c r="BR49" i="2"/>
  <c r="CF95" i="4"/>
  <c r="BR23" i="2"/>
  <c r="Z123" i="11"/>
  <c r="BT111" i="2" l="1"/>
  <c r="BT114" i="2" s="1"/>
  <c r="BS87" i="4"/>
  <c r="BR51" i="2"/>
  <c r="BR120" i="4"/>
  <c r="BR48" i="2"/>
  <c r="R38" i="27"/>
  <c r="CG95" i="4"/>
  <c r="BS53" i="2" l="1"/>
  <c r="BR75" i="4"/>
  <c r="V53" i="27"/>
  <c r="CH95" i="4"/>
  <c r="BS23" i="2"/>
  <c r="BT112" i="2"/>
  <c r="BT116" i="2" s="1"/>
  <c r="BT41" i="4"/>
  <c r="BU111" i="2" l="1"/>
  <c r="BU114" i="2" s="1"/>
  <c r="BT87" i="4"/>
  <c r="CI95" i="4"/>
  <c r="BS49" i="2"/>
  <c r="BS51" i="2" l="1"/>
  <c r="BS120" i="4"/>
  <c r="BS48" i="2"/>
  <c r="BT23" i="2"/>
  <c r="BU112" i="2"/>
  <c r="BU116" i="2" s="1"/>
  <c r="BU41" i="4"/>
  <c r="CJ95" i="4"/>
  <c r="BT53" i="2" l="1"/>
  <c r="BS75" i="4"/>
  <c r="CK95" i="4"/>
  <c r="BV111" i="2"/>
  <c r="BV114" i="2" s="1"/>
  <c r="BU87" i="4"/>
  <c r="BV112" i="2" l="1"/>
  <c r="BV116" i="2" s="1"/>
  <c r="BV41" i="4"/>
  <c r="W53" i="27"/>
  <c r="CL95" i="4"/>
  <c r="BU23" i="2"/>
  <c r="BT49" i="2"/>
  <c r="BW111" i="2" l="1"/>
  <c r="BW114" i="2" s="1"/>
  <c r="BV87" i="4"/>
  <c r="BT51" i="2"/>
  <c r="BT120" i="4"/>
  <c r="BT48" i="2"/>
  <c r="X53" i="27"/>
  <c r="CM95" i="4"/>
  <c r="BU53" i="2" l="1"/>
  <c r="BT75" i="4"/>
  <c r="BW41" i="4"/>
  <c r="BW112" i="2"/>
  <c r="BW116" i="2" s="1"/>
  <c r="Y53" i="27"/>
  <c r="CN95" i="4"/>
  <c r="Z53" i="27" l="1"/>
  <c r="CO95" i="4"/>
  <c r="BU49" i="2"/>
  <c r="BX111" i="2"/>
  <c r="BX114" i="2" s="1"/>
  <c r="BW87" i="4"/>
  <c r="BX41" i="4" l="1"/>
  <c r="BX112" i="2"/>
  <c r="BX116" i="2" s="1"/>
  <c r="BU51" i="2"/>
  <c r="BU120" i="4"/>
  <c r="BU48" i="2"/>
  <c r="CP95" i="4"/>
  <c r="CQ95" i="4" l="1"/>
  <c r="S74" i="27"/>
  <c r="BY111" i="2"/>
  <c r="BY114" i="2" s="1"/>
  <c r="BX87" i="4"/>
  <c r="BV53" i="2"/>
  <c r="BU75" i="4"/>
  <c r="AA123" i="11" l="1"/>
  <c r="BV49" i="2"/>
  <c r="CR95" i="4"/>
  <c r="BY41" i="4"/>
  <c r="BY112" i="2"/>
  <c r="BY116" i="2" s="1"/>
  <c r="CS95" i="4" l="1"/>
  <c r="BV51" i="2"/>
  <c r="BV120" i="4"/>
  <c r="BV48" i="2"/>
  <c r="S38" i="27"/>
  <c r="BZ111" i="2"/>
  <c r="BZ114" i="2" s="1"/>
  <c r="BY87" i="4"/>
  <c r="CT95" i="4" l="1"/>
  <c r="BZ112" i="2"/>
  <c r="BZ116" i="2" s="1"/>
  <c r="BZ41" i="4"/>
  <c r="BW53" i="2"/>
  <c r="BV75" i="4"/>
  <c r="BW49" i="2" l="1"/>
  <c r="CA111" i="2"/>
  <c r="CA114" i="2" s="1"/>
  <c r="BZ87" i="4"/>
  <c r="CU95" i="4"/>
  <c r="CA112" i="2" l="1"/>
  <c r="CA116" i="2" s="1"/>
  <c r="CA41" i="4"/>
  <c r="CV95" i="4"/>
  <c r="BW51" i="2"/>
  <c r="BW120" i="4"/>
  <c r="BW48" i="2"/>
  <c r="CW95" i="4" l="1"/>
  <c r="BX53" i="2"/>
  <c r="BW75" i="4"/>
  <c r="CB111" i="2"/>
  <c r="CB114" i="2" s="1"/>
  <c r="CA87" i="4"/>
  <c r="BX49" i="2" l="1"/>
  <c r="CB112" i="2"/>
  <c r="CB116" i="2" s="1"/>
  <c r="CB41" i="4"/>
  <c r="BX51" i="2" l="1"/>
  <c r="BX120" i="4"/>
  <c r="BX48" i="2"/>
  <c r="CC111" i="2"/>
  <c r="CC114" i="2" s="1"/>
  <c r="CB87" i="4"/>
  <c r="CC41" i="4" l="1"/>
  <c r="CC112" i="2"/>
  <c r="CC116" i="2" s="1"/>
  <c r="BY53" i="2"/>
  <c r="BX75" i="4"/>
  <c r="CD111" i="2" l="1"/>
  <c r="CD114" i="2" s="1"/>
  <c r="CC87" i="4"/>
  <c r="BY49" i="2"/>
  <c r="CD41" i="4" l="1"/>
  <c r="CD112" i="2"/>
  <c r="CD116" i="2" s="1"/>
  <c r="BY51" i="2"/>
  <c r="BY120" i="4"/>
  <c r="BY48" i="2"/>
  <c r="BZ53" i="2" l="1"/>
  <c r="BY75" i="4"/>
  <c r="CE111" i="2"/>
  <c r="CE114" i="2" s="1"/>
  <c r="CD87" i="4"/>
  <c r="T74" i="27"/>
  <c r="AB123" i="11" l="1"/>
  <c r="CE41" i="4"/>
  <c r="CE112" i="2"/>
  <c r="CE116" i="2" s="1"/>
  <c r="BZ49" i="2"/>
  <c r="BZ51" i="2" l="1"/>
  <c r="BZ120" i="4"/>
  <c r="BZ48" i="2"/>
  <c r="CF111" i="2"/>
  <c r="CF114" i="2" s="1"/>
  <c r="CE87" i="4"/>
  <c r="T38" i="27"/>
  <c r="CF112" i="2" l="1"/>
  <c r="CF116" i="2" s="1"/>
  <c r="CF41" i="4"/>
  <c r="CA53" i="2"/>
  <c r="BZ75" i="4"/>
  <c r="CA49" i="2" l="1"/>
  <c r="CG111" i="2"/>
  <c r="CG114" i="2" s="1"/>
  <c r="CF87" i="4"/>
  <c r="CG112" i="2" l="1"/>
  <c r="CG116" i="2" s="1"/>
  <c r="CG41" i="4"/>
  <c r="CA51" i="2"/>
  <c r="CA120" i="4"/>
  <c r="CA48" i="2"/>
  <c r="CB53" i="2" l="1"/>
  <c r="CA75" i="4"/>
  <c r="CH111" i="2"/>
  <c r="CH114" i="2" s="1"/>
  <c r="CG87" i="4"/>
  <c r="CH112" i="2" l="1"/>
  <c r="CH116" i="2" s="1"/>
  <c r="CH41" i="4"/>
  <c r="CB49" i="2"/>
  <c r="CB51" i="2" l="1"/>
  <c r="CB120" i="4"/>
  <c r="CB48" i="2"/>
  <c r="CI111" i="2"/>
  <c r="CI114" i="2" s="1"/>
  <c r="CH87" i="4"/>
  <c r="CI41" i="4" l="1"/>
  <c r="CI112" i="2"/>
  <c r="CI116" i="2" s="1"/>
  <c r="CC53" i="2"/>
  <c r="CB75" i="4"/>
  <c r="CJ111" i="2" l="1"/>
  <c r="CJ114" i="2" s="1"/>
  <c r="CI87" i="4"/>
  <c r="CC49" i="2"/>
  <c r="CC51" i="2" l="1"/>
  <c r="CC120" i="4"/>
  <c r="CC48" i="2"/>
  <c r="CJ41" i="4"/>
  <c r="CJ112" i="2"/>
  <c r="CJ116" i="2" s="1"/>
  <c r="U74" i="27" l="1"/>
  <c r="CD53" i="2"/>
  <c r="CC75" i="4"/>
  <c r="CK111" i="2"/>
  <c r="CK114" i="2" s="1"/>
  <c r="CJ87" i="4"/>
  <c r="CD49" i="2" l="1"/>
  <c r="CK41" i="4"/>
  <c r="CK112" i="2"/>
  <c r="CK116" i="2" s="1"/>
  <c r="AC123" i="11"/>
  <c r="CL111" i="2" l="1"/>
  <c r="CL114" i="2" s="1"/>
  <c r="CK87" i="4"/>
  <c r="U38" i="27"/>
  <c r="CD51" i="2"/>
  <c r="CD120" i="4"/>
  <c r="CD48" i="2"/>
  <c r="CL112" i="2" l="1"/>
  <c r="CL116" i="2" s="1"/>
  <c r="CL41" i="4"/>
  <c r="CE53" i="2"/>
  <c r="CD75" i="4"/>
  <c r="CE49" i="2" l="1"/>
  <c r="CM111" i="2"/>
  <c r="CM114" i="2" s="1"/>
  <c r="CL87" i="4"/>
  <c r="CM112" i="2" l="1"/>
  <c r="CM116" i="2" s="1"/>
  <c r="CM41" i="4"/>
  <c r="CE51" i="2"/>
  <c r="CE120" i="4"/>
  <c r="CE48" i="2"/>
  <c r="CF53" i="2" l="1"/>
  <c r="CE75" i="4"/>
  <c r="CN111" i="2"/>
  <c r="CN114" i="2" s="1"/>
  <c r="CM87" i="4"/>
  <c r="CF49" i="2" l="1"/>
  <c r="CN112" i="2"/>
  <c r="CN116" i="2" s="1"/>
  <c r="CN41" i="4"/>
  <c r="CF51" i="2" l="1"/>
  <c r="CF120" i="4"/>
  <c r="CF48" i="2"/>
  <c r="CO111" i="2"/>
  <c r="CO114" i="2" s="1"/>
  <c r="CN87" i="4"/>
  <c r="CG53" i="2" l="1"/>
  <c r="CF75" i="4"/>
  <c r="CO41" i="4"/>
  <c r="CO112" i="2"/>
  <c r="CO116" i="2" s="1"/>
  <c r="CP111" i="2" l="1"/>
  <c r="CP114" i="2" s="1"/>
  <c r="CO87" i="4"/>
  <c r="CG49" i="2"/>
  <c r="CG51" i="2" l="1"/>
  <c r="CG120" i="4"/>
  <c r="CG48" i="2"/>
  <c r="CP41" i="4"/>
  <c r="CP112" i="2"/>
  <c r="CP116" i="2" s="1"/>
  <c r="CH53" i="2" l="1"/>
  <c r="CG75" i="4"/>
  <c r="CQ111" i="2"/>
  <c r="CQ114" i="2" s="1"/>
  <c r="CP87" i="4"/>
  <c r="V74" i="27"/>
  <c r="AD123" i="11" l="1"/>
  <c r="CQ41" i="4"/>
  <c r="CQ112" i="2"/>
  <c r="CQ116" i="2" s="1"/>
  <c r="CH49" i="2"/>
  <c r="V38" i="27" l="1"/>
  <c r="CH51" i="2"/>
  <c r="CH120" i="4"/>
  <c r="CH48" i="2"/>
  <c r="CR111" i="2"/>
  <c r="CR114" i="2" s="1"/>
  <c r="CQ87" i="4"/>
  <c r="CR112" i="2" l="1"/>
  <c r="CR116" i="2" s="1"/>
  <c r="CR41" i="4"/>
  <c r="CI53" i="2"/>
  <c r="CH75" i="4"/>
  <c r="CI49" i="2" l="1"/>
  <c r="CS111" i="2"/>
  <c r="CS114" i="2" s="1"/>
  <c r="CR87" i="4"/>
  <c r="CS112" i="2" l="1"/>
  <c r="CS116" i="2" s="1"/>
  <c r="CS41" i="4"/>
  <c r="CI51" i="2"/>
  <c r="CI120" i="4"/>
  <c r="CI48" i="2"/>
  <c r="CJ53" i="2" l="1"/>
  <c r="CI75" i="4"/>
  <c r="CT111" i="2"/>
  <c r="CT114" i="2" s="1"/>
  <c r="CS87" i="4"/>
  <c r="CT112" i="2" l="1"/>
  <c r="CT116" i="2" s="1"/>
  <c r="CT41" i="4"/>
  <c r="CJ49" i="2"/>
  <c r="CJ51" i="2" l="1"/>
  <c r="CJ120" i="4"/>
  <c r="CJ48" i="2"/>
  <c r="CU111" i="2"/>
  <c r="CU114" i="2" s="1"/>
  <c r="CT87" i="4"/>
  <c r="CU41" i="4" l="1"/>
  <c r="CU112" i="2"/>
  <c r="CU116" i="2" s="1"/>
  <c r="CK53" i="2"/>
  <c r="CJ75" i="4"/>
  <c r="CK49" i="2" l="1"/>
  <c r="CV111" i="2"/>
  <c r="CV114" i="2" s="1"/>
  <c r="CU87" i="4"/>
  <c r="CK51" i="2" l="1"/>
  <c r="CK120" i="4"/>
  <c r="CK48" i="2"/>
  <c r="CV41" i="4"/>
  <c r="CV112" i="2"/>
  <c r="CV116" i="2" s="1"/>
  <c r="W74" i="27" l="1"/>
  <c r="CW111" i="2"/>
  <c r="CW114" i="2" s="1"/>
  <c r="CV87" i="4"/>
  <c r="CL53" i="2"/>
  <c r="CK75" i="4"/>
  <c r="CW41" i="4" l="1"/>
  <c r="CW112" i="2"/>
  <c r="CW116" i="2" s="1"/>
  <c r="AE123" i="11"/>
  <c r="CL49" i="2"/>
  <c r="CW87" i="4" l="1"/>
  <c r="W38" i="27"/>
  <c r="CL51" i="2"/>
  <c r="CL120" i="4"/>
  <c r="CL48" i="2"/>
  <c r="CM53" i="2" l="1"/>
  <c r="CL75" i="4"/>
  <c r="X74" i="27"/>
  <c r="CM49" i="2" l="1"/>
  <c r="CM51" i="2" l="1"/>
  <c r="CM120" i="4"/>
  <c r="CM48" i="2"/>
  <c r="CN53" i="2" l="1"/>
  <c r="CM75" i="4"/>
  <c r="Y74" i="27"/>
  <c r="CN49" i="2" l="1"/>
  <c r="CN51" i="2" l="1"/>
  <c r="CN120" i="4"/>
  <c r="CN48" i="2"/>
  <c r="CO53" i="2" l="1"/>
  <c r="CN75" i="4"/>
  <c r="Z74" i="27"/>
  <c r="CO49" i="2" l="1"/>
  <c r="CO51" i="2" l="1"/>
  <c r="CO120" i="4"/>
  <c r="CO48" i="2"/>
  <c r="CP53" i="2" l="1"/>
  <c r="CO75" i="4"/>
  <c r="CP49" i="2" l="1"/>
  <c r="AF123" i="11"/>
  <c r="X38" i="27" l="1"/>
  <c r="CP51" i="2"/>
  <c r="CP120" i="4"/>
  <c r="CP48" i="2"/>
  <c r="CQ53" i="2" l="1"/>
  <c r="CP75" i="4"/>
  <c r="CQ49" i="2" l="1"/>
  <c r="CQ51" i="2" l="1"/>
  <c r="CQ120" i="4"/>
  <c r="CQ48" i="2"/>
  <c r="CR53" i="2" l="1"/>
  <c r="CQ75" i="4"/>
  <c r="CR49" i="2" l="1"/>
  <c r="CR51" i="2" l="1"/>
  <c r="CR120" i="4"/>
  <c r="CR48" i="2"/>
  <c r="CS53" i="2" l="1"/>
  <c r="CR75" i="4"/>
  <c r="CS49" i="2" l="1"/>
  <c r="CS51" i="2" l="1"/>
  <c r="CS120" i="4"/>
  <c r="CS48" i="2"/>
  <c r="CT53" i="2" l="1"/>
  <c r="CS75" i="4"/>
  <c r="CT49" i="2" l="1"/>
  <c r="AG123" i="11"/>
  <c r="Y38" i="27" l="1"/>
  <c r="CT51" i="2"/>
  <c r="CT120" i="4"/>
  <c r="CT48" i="2"/>
  <c r="CU53" i="2" l="1"/>
  <c r="CT75" i="4"/>
  <c r="CU49" i="2" l="1"/>
  <c r="CU51" i="2" l="1"/>
  <c r="CU120" i="4"/>
  <c r="CU48" i="2"/>
  <c r="CV53" i="2" l="1"/>
  <c r="CU75" i="4"/>
  <c r="CV49" i="2" l="1"/>
  <c r="CV51" i="2" l="1"/>
  <c r="CV120" i="4"/>
  <c r="CV48" i="2"/>
  <c r="CW53" i="2" l="1"/>
  <c r="CV75" i="4"/>
  <c r="CW49" i="2" l="1"/>
  <c r="CW51" i="2" l="1"/>
  <c r="CW120" i="4"/>
  <c r="CW48" i="2"/>
  <c r="CW75" i="4" s="1"/>
  <c r="AH123" i="11" l="1"/>
  <c r="Z38" i="27" l="1"/>
  <c r="BS428" i="111" l="1"/>
  <c r="BS430" i="111"/>
  <c r="BS431" i="111" s="1"/>
  <c r="BS432" i="111"/>
  <c r="BS433" i="111" s="1"/>
  <c r="BS434" i="111"/>
  <c r="BS435" i="111" s="1"/>
  <c r="BS438" i="111"/>
  <c r="BS439" i="111" s="1"/>
  <c r="BS440" i="111"/>
  <c r="BS441" i="111" s="1"/>
  <c r="BS442" i="111"/>
  <c r="BS443" i="111" s="1"/>
  <c r="BS444" i="111"/>
  <c r="BS445" i="111" s="1"/>
  <c r="BS448" i="111"/>
  <c r="BS449" i="111"/>
  <c r="BS450" i="111"/>
  <c r="BS451" i="111"/>
  <c r="BS454" i="111"/>
  <c r="BS456" i="111"/>
  <c r="BS459" i="111"/>
  <c r="BS461" i="111"/>
  <c r="BS463" i="111"/>
  <c r="BS469" i="111"/>
  <c r="BS470" i="111" s="1"/>
  <c r="BS471" i="111"/>
  <c r="BS472" i="111" s="1"/>
  <c r="BS473" i="111"/>
  <c r="BS474" i="111" s="1"/>
  <c r="BS481" i="111"/>
  <c r="BS563" i="111"/>
  <c r="BK108" i="8"/>
  <c r="BK110" i="8"/>
  <c r="BK111" i="8" s="1"/>
  <c r="BK115" i="8"/>
  <c r="BK116" i="8" s="1"/>
  <c r="BM116" i="8" s="1"/>
  <c r="BK119" i="8"/>
  <c r="BK121" i="8"/>
  <c r="BK123" i="8" s="1"/>
  <c r="BK126" i="8"/>
  <c r="BK128" i="8" s="1"/>
  <c r="BK130" i="8"/>
  <c r="BK132" i="8"/>
  <c r="BK133" i="8" s="1"/>
  <c r="BK137" i="8"/>
  <c r="BK138" i="8" s="1"/>
  <c r="BK143" i="8"/>
  <c r="BK144" i="8" s="1"/>
  <c r="BK149" i="8"/>
  <c r="BK153" i="8"/>
  <c r="BK155" i="8" s="1"/>
  <c r="BK164" i="8"/>
  <c r="BK165" i="8" s="1"/>
  <c r="BK167" i="8"/>
  <c r="BK169" i="8"/>
  <c r="BK170" i="8" s="1"/>
  <c r="BK172" i="8"/>
  <c r="BK173" i="8" s="1"/>
  <c r="BK171" i="8" s="1"/>
  <c r="BK175" i="8" s="1"/>
  <c r="BK178" i="8"/>
  <c r="BK179" i="8" s="1"/>
  <c r="BK184" i="8"/>
  <c r="BK186" i="8" s="1"/>
  <c r="BK189" i="8"/>
  <c r="BK190" i="8" s="1"/>
  <c r="BK193" i="8"/>
  <c r="BK191" i="8" s="1"/>
  <c r="BK195" i="8" s="1"/>
  <c r="BK204" i="8"/>
  <c r="BK206" i="8" s="1"/>
  <c r="BK209" i="8"/>
  <c r="BK211" i="8" s="1"/>
  <c r="BO211" i="8" s="1"/>
  <c r="BS211" i="8" s="1"/>
  <c r="BK224" i="8"/>
  <c r="BK232" i="8"/>
  <c r="BK233" i="8"/>
  <c r="BK236" i="8" s="1"/>
  <c r="BK238" i="8"/>
  <c r="BK239" i="8"/>
  <c r="BK242" i="8" s="1"/>
  <c r="BK244" i="8"/>
  <c r="BK245" i="8"/>
  <c r="BK247" i="8" s="1"/>
  <c r="BK251" i="8"/>
  <c r="BK163" i="8" l="1"/>
  <c r="BO247" i="8"/>
  <c r="BO246" i="8" s="1"/>
  <c r="BL247" i="8"/>
  <c r="BK234" i="8"/>
  <c r="BS462" i="111"/>
  <c r="BS460" i="111"/>
  <c r="BS429" i="111"/>
  <c r="BK235" i="8"/>
  <c r="BO235" i="8" s="1"/>
  <c r="BO234" i="8" s="1"/>
  <c r="BS464" i="111"/>
  <c r="BS499" i="111"/>
  <c r="BS498" i="111"/>
  <c r="BK210" i="8"/>
  <c r="BK212" i="8"/>
  <c r="BK248" i="8"/>
  <c r="BS500" i="111"/>
  <c r="BK122" i="8"/>
  <c r="BM122" i="8" s="1"/>
  <c r="BM123" i="8" s="1"/>
  <c r="BK127" i="8"/>
  <c r="BK125" i="8" s="1"/>
  <c r="BK194" i="8"/>
  <c r="BK185" i="8"/>
  <c r="BK183" i="8" s="1"/>
  <c r="BM111" i="8"/>
  <c r="BK112" i="8"/>
  <c r="BK109" i="8" s="1"/>
  <c r="BK154" i="8"/>
  <c r="BK152" i="8" s="1"/>
  <c r="BK117" i="8"/>
  <c r="BK114" i="8" s="1"/>
  <c r="BK148" i="8"/>
  <c r="BK146" i="8" s="1"/>
  <c r="BK150" i="8" s="1"/>
  <c r="BK134" i="8"/>
  <c r="BK131" i="8" s="1"/>
  <c r="BK205" i="8"/>
  <c r="BK203" i="8" s="1"/>
  <c r="BO248" i="8"/>
  <c r="BK136" i="8"/>
  <c r="BM138" i="8"/>
  <c r="BW211" i="8"/>
  <c r="BS210" i="8"/>
  <c r="BS209" i="8"/>
  <c r="BS212" i="8"/>
  <c r="BK174" i="8"/>
  <c r="BK246" i="8"/>
  <c r="BK241" i="8"/>
  <c r="BO241" i="8" s="1"/>
  <c r="BO236" i="8"/>
  <c r="BK139" i="8"/>
  <c r="BK240" i="8"/>
  <c r="BO212" i="8"/>
  <c r="BO209" i="8"/>
  <c r="BO233" i="8"/>
  <c r="BO210" i="8"/>
  <c r="BK180" i="8"/>
  <c r="BK177" i="8" s="1"/>
  <c r="BK166" i="8"/>
  <c r="BM133" i="8"/>
  <c r="BS235" i="8"/>
  <c r="BM127" i="8" l="1"/>
  <c r="BM110" i="8"/>
  <c r="BS247" i="8"/>
  <c r="BO245" i="8"/>
  <c r="BL246" i="8"/>
  <c r="BL248" i="8"/>
  <c r="BL245" i="8" s="1"/>
  <c r="BL209" i="112" s="1"/>
  <c r="BL210" i="112" s="1"/>
  <c r="BP247" i="8"/>
  <c r="BK120" i="8"/>
  <c r="BM121" i="8"/>
  <c r="BM120" i="8"/>
  <c r="BS504" i="111"/>
  <c r="BM112" i="8"/>
  <c r="BS503" i="111"/>
  <c r="BS505" i="111"/>
  <c r="BO239" i="8"/>
  <c r="BO242" i="8"/>
  <c r="BO240" i="8"/>
  <c r="BS241" i="8"/>
  <c r="BM139" i="8"/>
  <c r="BM137" i="8"/>
  <c r="BM136" i="8" s="1"/>
  <c r="BS245" i="8"/>
  <c r="BS248" i="8"/>
  <c r="BW247" i="8"/>
  <c r="BS246" i="8"/>
  <c r="CA211" i="8"/>
  <c r="BW210" i="8"/>
  <c r="BW209" i="8"/>
  <c r="BW212" i="8"/>
  <c r="BM117" i="8"/>
  <c r="BM115" i="8"/>
  <c r="BM128" i="8"/>
  <c r="BM126" i="8"/>
  <c r="BM125" i="8" s="1"/>
  <c r="BS234" i="8"/>
  <c r="BW235" i="8"/>
  <c r="BS233" i="8"/>
  <c r="BS236" i="8"/>
  <c r="BM132" i="8"/>
  <c r="BM134" i="8"/>
  <c r="BM109" i="8" l="1"/>
  <c r="BM15" i="112" s="1"/>
  <c r="BM14" i="112" s="1"/>
  <c r="BM131" i="8"/>
  <c r="BT247" i="8"/>
  <c r="BP248" i="8"/>
  <c r="BP246" i="8"/>
  <c r="BP245" i="8"/>
  <c r="BP209" i="112" s="1"/>
  <c r="BP210" i="112" s="1"/>
  <c r="BM114" i="8"/>
  <c r="CE211" i="8"/>
  <c r="CA210" i="8"/>
  <c r="CA209" i="8"/>
  <c r="CA212" i="8"/>
  <c r="BW246" i="8"/>
  <c r="BW245" i="8"/>
  <c r="BW248" i="8"/>
  <c r="CA247" i="8"/>
  <c r="BW241" i="8"/>
  <c r="BS239" i="8"/>
  <c r="BS242" i="8"/>
  <c r="BS240" i="8"/>
  <c r="BW234" i="8"/>
  <c r="CA235" i="8"/>
  <c r="BW233" i="8"/>
  <c r="BW236" i="8"/>
  <c r="BT246" i="8" l="1"/>
  <c r="BT248" i="8"/>
  <c r="BX247" i="8"/>
  <c r="BT245" i="8"/>
  <c r="BT209" i="112" s="1"/>
  <c r="BT210" i="112" s="1"/>
  <c r="CA241" i="8"/>
  <c r="BW239" i="8"/>
  <c r="BW125" i="112" s="1"/>
  <c r="BW242" i="8"/>
  <c r="BW240" i="8"/>
  <c r="CA236" i="8"/>
  <c r="CA234" i="8"/>
  <c r="CE235" i="8"/>
  <c r="CA233" i="8"/>
  <c r="CA60" i="112" s="1"/>
  <c r="CE247" i="8"/>
  <c r="CA246" i="8"/>
  <c r="CA245" i="8"/>
  <c r="CA209" i="112" s="1"/>
  <c r="CA248" i="8"/>
  <c r="CE209" i="8"/>
  <c r="CE285" i="112" s="1"/>
  <c r="CE284" i="112" s="1"/>
  <c r="CE251" i="8" s="1"/>
  <c r="CE212" i="8"/>
  <c r="CI211" i="8"/>
  <c r="CE210" i="8"/>
  <c r="BK7" i="2"/>
  <c r="BK9" i="2"/>
  <c r="BK259" i="8" s="1"/>
  <c r="BK10" i="2"/>
  <c r="BK12" i="2"/>
  <c r="BO12" i="2" s="1"/>
  <c r="BK16" i="2"/>
  <c r="BK264" i="8" s="1"/>
  <c r="BK17" i="2"/>
  <c r="BK20" i="2"/>
  <c r="BK21" i="2"/>
  <c r="BK24" i="2"/>
  <c r="BK28" i="2"/>
  <c r="BK33" i="2"/>
  <c r="BK34" i="2" s="1"/>
  <c r="BK270" i="8" s="1"/>
  <c r="BK36" i="2"/>
  <c r="BK275" i="8" s="1"/>
  <c r="BK145" i="2"/>
  <c r="BL145" i="2" s="1"/>
  <c r="BM145" i="2" s="1"/>
  <c r="BK153" i="2"/>
  <c r="BK165" i="2"/>
  <c r="BK162" i="2" s="1"/>
  <c r="BK7" i="4"/>
  <c r="BK8" i="4"/>
  <c r="BK9" i="4"/>
  <c r="BK10" i="4"/>
  <c r="BK16" i="4"/>
  <c r="BL20" i="112"/>
  <c r="BL55" i="112" s="1"/>
  <c r="BM19" i="112"/>
  <c r="BO29" i="112"/>
  <c r="BS29" i="112" s="1"/>
  <c r="BO33" i="112"/>
  <c r="BS33" i="112" s="1"/>
  <c r="BW449" i="111"/>
  <c r="BO60" i="112"/>
  <c r="BO61" i="112" s="1"/>
  <c r="BS60" i="112"/>
  <c r="BW60" i="112"/>
  <c r="BL81" i="112"/>
  <c r="BL83" i="112" s="1"/>
  <c r="BL116" i="112" s="1"/>
  <c r="BL108" i="112" s="1"/>
  <c r="BM82" i="112"/>
  <c r="BL85" i="112"/>
  <c r="BM86" i="112"/>
  <c r="BO98" i="112"/>
  <c r="BS98" i="112" s="1"/>
  <c r="BW98" i="112" s="1"/>
  <c r="CA98" i="112" s="1"/>
  <c r="CE98" i="112" s="1"/>
  <c r="BW451" i="111"/>
  <c r="BO125" i="112"/>
  <c r="BO126" i="112" s="1"/>
  <c r="BS125" i="112"/>
  <c r="BL146" i="112"/>
  <c r="BM147" i="112"/>
  <c r="BL150" i="112"/>
  <c r="BL152" i="112" s="1"/>
  <c r="BL203" i="112" s="1"/>
  <c r="BL204" i="112" s="1"/>
  <c r="BM151" i="112"/>
  <c r="BO174" i="112"/>
  <c r="BS174" i="112" s="1"/>
  <c r="BO196" i="112"/>
  <c r="BW450" i="111" s="1"/>
  <c r="BO209" i="112"/>
  <c r="BO210" i="112" s="1"/>
  <c r="BS209" i="112"/>
  <c r="BW209" i="112"/>
  <c r="BO285" i="112"/>
  <c r="BO284" i="112" s="1"/>
  <c r="BS285" i="112"/>
  <c r="BS284" i="112" s="1"/>
  <c r="BS251" i="8" s="1"/>
  <c r="BW285" i="112"/>
  <c r="BW284" i="112" s="1"/>
  <c r="BW251" i="8" s="1"/>
  <c r="CA285" i="112"/>
  <c r="CA284" i="112" s="1"/>
  <c r="CA251" i="8" s="1"/>
  <c r="AC12" i="46"/>
  <c r="AE12" i="46" s="1"/>
  <c r="AC13" i="46"/>
  <c r="AE13" i="46" s="1"/>
  <c r="AC14" i="46"/>
  <c r="AE14" i="46" s="1"/>
  <c r="BK29" i="4" l="1"/>
  <c r="BX248" i="8"/>
  <c r="CB247" i="8"/>
  <c r="BX246" i="8"/>
  <c r="BX245" i="8"/>
  <c r="BX209" i="112" s="1"/>
  <c r="BX210" i="112" s="1"/>
  <c r="BS210" i="112"/>
  <c r="CA61" i="112"/>
  <c r="BS12" i="2"/>
  <c r="BW210" i="112"/>
  <c r="BK15" i="4"/>
  <c r="BK11" i="4"/>
  <c r="BK31" i="4"/>
  <c r="BK30" i="4"/>
  <c r="BS126" i="112"/>
  <c r="BW126" i="112"/>
  <c r="BS61" i="112"/>
  <c r="CA210" i="112"/>
  <c r="BW61" i="112"/>
  <c r="BL141" i="112"/>
  <c r="BL156" i="112" s="1"/>
  <c r="BL148" i="112"/>
  <c r="BL200" i="112" s="1"/>
  <c r="BL192" i="112" s="1"/>
  <c r="BL170" i="112" s="1"/>
  <c r="BM85" i="112"/>
  <c r="Y15" i="11" s="1"/>
  <c r="Y23" i="111" s="1"/>
  <c r="BM81" i="112"/>
  <c r="Y11" i="11" s="1"/>
  <c r="Y18" i="111" s="1"/>
  <c r="BL87" i="112"/>
  <c r="BL119" i="112" s="1"/>
  <c r="BL105" i="112" s="1"/>
  <c r="BL232" i="112"/>
  <c r="BL234" i="112" s="1"/>
  <c r="BM77" i="112"/>
  <c r="BL228" i="112"/>
  <c r="BL140" i="2"/>
  <c r="BL149" i="2" s="1"/>
  <c r="BL152" i="2" s="1"/>
  <c r="BM18" i="112"/>
  <c r="BN18" i="112" s="1"/>
  <c r="BM150" i="112"/>
  <c r="Y16" i="11" s="1"/>
  <c r="BO195" i="112"/>
  <c r="BO198" i="112" s="1"/>
  <c r="BO44" i="112"/>
  <c r="BM146" i="112"/>
  <c r="Y876" i="111" s="1"/>
  <c r="BO251" i="8"/>
  <c r="BW33" i="112"/>
  <c r="CI98" i="112"/>
  <c r="BW29" i="112"/>
  <c r="BW174" i="112"/>
  <c r="BL56" i="112"/>
  <c r="BO111" i="112"/>
  <c r="BM10" i="112"/>
  <c r="BN145" i="2"/>
  <c r="BL52" i="112"/>
  <c r="BK13" i="4"/>
  <c r="BK12" i="4"/>
  <c r="BK18" i="4"/>
  <c r="BK20" i="4"/>
  <c r="BL109" i="112"/>
  <c r="AC8" i="46"/>
  <c r="AE8" i="46" s="1"/>
  <c r="BM142" i="112"/>
  <c r="BL76" i="112"/>
  <c r="AC9" i="46" s="1"/>
  <c r="AE9" i="46" s="1"/>
  <c r="BK271" i="8"/>
  <c r="BK272" i="8"/>
  <c r="BK273" i="8"/>
  <c r="BK260" i="8"/>
  <c r="BK262" i="8"/>
  <c r="BK261" i="8"/>
  <c r="BO261" i="8" s="1"/>
  <c r="BK254" i="8"/>
  <c r="CI210" i="8"/>
  <c r="CI209" i="8"/>
  <c r="CI285" i="112" s="1"/>
  <c r="CI284" i="112" s="1"/>
  <c r="CI212" i="8"/>
  <c r="CM211" i="8"/>
  <c r="CI247" i="8"/>
  <c r="CE246" i="8"/>
  <c r="CE245" i="8"/>
  <c r="CE209" i="112" s="1"/>
  <c r="CE248" i="8"/>
  <c r="BK278" i="8"/>
  <c r="BK277" i="8"/>
  <c r="BK276" i="8"/>
  <c r="BK267" i="8"/>
  <c r="BK266" i="8"/>
  <c r="BO266" i="8" s="1"/>
  <c r="BK265" i="8"/>
  <c r="CE236" i="8"/>
  <c r="CE234" i="8"/>
  <c r="CI235" i="8"/>
  <c r="CE233" i="8"/>
  <c r="CE60" i="112" s="1"/>
  <c r="CA240" i="8"/>
  <c r="CE241" i="8"/>
  <c r="CA239" i="8"/>
  <c r="CA125" i="112" s="1"/>
  <c r="CA242" i="8"/>
  <c r="AC17" i="46" l="1"/>
  <c r="AE17" i="46" s="1"/>
  <c r="BL143" i="112"/>
  <c r="BL144" i="112" s="1"/>
  <c r="BP196" i="112" s="1"/>
  <c r="BM20" i="112"/>
  <c r="BM55" i="112" s="1"/>
  <c r="Y19" i="11"/>
  <c r="BM76" i="112"/>
  <c r="Y7" i="11" s="1"/>
  <c r="Y877" i="111"/>
  <c r="BL233" i="112"/>
  <c r="AF25" i="46"/>
  <c r="BL158" i="112"/>
  <c r="AC10" i="46"/>
  <c r="AE10" i="46" s="1"/>
  <c r="CB246" i="8"/>
  <c r="CB248" i="8"/>
  <c r="CB245" i="8" s="1"/>
  <c r="CB209" i="112" s="1"/>
  <c r="CB210" i="112" s="1"/>
  <c r="CF247" i="8"/>
  <c r="BN150" i="112"/>
  <c r="BO150" i="112" s="1"/>
  <c r="BL155" i="112"/>
  <c r="BL157" i="112"/>
  <c r="BN85" i="112"/>
  <c r="BM87" i="112"/>
  <c r="BM119" i="112" s="1"/>
  <c r="BM120" i="112" s="1"/>
  <c r="BN81" i="112"/>
  <c r="BN83" i="112" s="1"/>
  <c r="BN116" i="112" s="1"/>
  <c r="BM83" i="112"/>
  <c r="BM116" i="112" s="1"/>
  <c r="BM108" i="112" s="1"/>
  <c r="BM109" i="112" s="1"/>
  <c r="BL193" i="112"/>
  <c r="BT432" i="111"/>
  <c r="BM9" i="112"/>
  <c r="Y14" i="11"/>
  <c r="Y21" i="111" s="1"/>
  <c r="BL189" i="112"/>
  <c r="BM16" i="112"/>
  <c r="BM49" i="112" s="1"/>
  <c r="BM41" i="112" s="1"/>
  <c r="BN14" i="112"/>
  <c r="BN16" i="112" s="1"/>
  <c r="BN49" i="112" s="1"/>
  <c r="BN41" i="112" s="1"/>
  <c r="BL49" i="112"/>
  <c r="BL41" i="112" s="1"/>
  <c r="Y875" i="111"/>
  <c r="Y10" i="11"/>
  <c r="Y16" i="111" s="1"/>
  <c r="BL120" i="112"/>
  <c r="BL263" i="112"/>
  <c r="BL264" i="112" s="1"/>
  <c r="BN146" i="112"/>
  <c r="BK51" i="4"/>
  <c r="BW12" i="2"/>
  <c r="CA12" i="2" s="1"/>
  <c r="CE12" i="2" s="1"/>
  <c r="CI12" i="2" s="1"/>
  <c r="CM12" i="2" s="1"/>
  <c r="CQ12" i="2" s="1"/>
  <c r="CU12" i="2" s="1"/>
  <c r="Y22" i="111"/>
  <c r="BM232" i="112"/>
  <c r="BM152" i="112"/>
  <c r="BM203" i="112" s="1"/>
  <c r="BM204" i="112" s="1"/>
  <c r="BL229" i="112"/>
  <c r="BO46" i="112"/>
  <c r="Y12" i="11"/>
  <c r="BM141" i="112"/>
  <c r="BM228" i="112"/>
  <c r="BM148" i="112"/>
  <c r="BM200" i="112" s="1"/>
  <c r="BX450" i="111"/>
  <c r="BO265" i="8"/>
  <c r="BO264" i="8"/>
  <c r="BO16" i="2" s="1"/>
  <c r="BO267" i="8"/>
  <c r="BS266" i="8"/>
  <c r="BS477" i="111"/>
  <c r="BL76" i="4"/>
  <c r="BM148" i="2"/>
  <c r="BL53" i="112"/>
  <c r="BL260" i="112"/>
  <c r="BO145" i="2"/>
  <c r="CA33" i="112"/>
  <c r="CI248" i="8"/>
  <c r="CM247" i="8"/>
  <c r="CI246" i="8"/>
  <c r="CI245" i="8"/>
  <c r="CI209" i="112" s="1"/>
  <c r="CE61" i="112"/>
  <c r="CI251" i="8"/>
  <c r="BT463" i="111"/>
  <c r="BL169" i="8"/>
  <c r="BL170" i="8" s="1"/>
  <c r="BL9" i="4"/>
  <c r="BL92" i="112"/>
  <c r="BL123" i="112"/>
  <c r="AC22" i="46" s="1"/>
  <c r="AE22" i="46" s="1"/>
  <c r="BL106" i="112"/>
  <c r="BO18" i="112"/>
  <c r="BO20" i="112" s="1"/>
  <c r="Y142" i="111"/>
  <c r="BO114" i="112"/>
  <c r="CM98" i="112"/>
  <c r="BO253" i="112"/>
  <c r="CA174" i="112"/>
  <c r="CA29" i="112"/>
  <c r="BT442" i="111"/>
  <c r="BT471" i="111"/>
  <c r="BL171" i="112"/>
  <c r="BP195" i="112"/>
  <c r="CI233" i="8"/>
  <c r="CI60" i="112" s="1"/>
  <c r="CI236" i="8"/>
  <c r="CI234" i="8"/>
  <c r="CM235" i="8"/>
  <c r="CE210" i="112"/>
  <c r="BK256" i="8"/>
  <c r="BO256" i="8" s="1"/>
  <c r="BK255" i="8"/>
  <c r="BK257" i="8"/>
  <c r="BT434" i="111"/>
  <c r="BL78" i="112"/>
  <c r="BL79" i="112" s="1"/>
  <c r="BL225" i="112"/>
  <c r="AC7" i="46" s="1"/>
  <c r="AE7" i="46" s="1"/>
  <c r="BM78" i="112"/>
  <c r="BM79" i="112" s="1"/>
  <c r="BS537" i="111"/>
  <c r="BL33" i="58"/>
  <c r="BK121" i="2"/>
  <c r="BK21" i="4"/>
  <c r="CA126" i="112"/>
  <c r="CE242" i="8"/>
  <c r="CE240" i="8"/>
  <c r="CI241" i="8"/>
  <c r="CE239" i="8"/>
  <c r="CE125" i="112" s="1"/>
  <c r="BO275" i="8"/>
  <c r="BO36" i="2" s="1"/>
  <c r="BO278" i="8"/>
  <c r="BS277" i="8"/>
  <c r="BO276" i="8"/>
  <c r="CQ211" i="8"/>
  <c r="CM210" i="8"/>
  <c r="CM209" i="8"/>
  <c r="CM285" i="112" s="1"/>
  <c r="CM284" i="112" s="1"/>
  <c r="CM212" i="8"/>
  <c r="BS261" i="8"/>
  <c r="BO260" i="8"/>
  <c r="BO259" i="8"/>
  <c r="BO9" i="2" s="1"/>
  <c r="BO262" i="8"/>
  <c r="BT430" i="111"/>
  <c r="BS491" i="111"/>
  <c r="BK19" i="4"/>
  <c r="BK49" i="4"/>
  <c r="BK34" i="4"/>
  <c r="BN20" i="112"/>
  <c r="BU434" i="111" l="1"/>
  <c r="BU435" i="111" s="1"/>
  <c r="Y102" i="111"/>
  <c r="BM52" i="112"/>
  <c r="BM53" i="112" s="1"/>
  <c r="Y6" i="11"/>
  <c r="Y7" i="111" s="1"/>
  <c r="BM11" i="112"/>
  <c r="BM12" i="112" s="1"/>
  <c r="BM157" i="112"/>
  <c r="BL154" i="112"/>
  <c r="BL165" i="112" s="1"/>
  <c r="BU430" i="111"/>
  <c r="BO81" i="112"/>
  <c r="BO83" i="112" s="1"/>
  <c r="BO116" i="112" s="1"/>
  <c r="BO108" i="112" s="1"/>
  <c r="BN152" i="112"/>
  <c r="BN203" i="112" s="1"/>
  <c r="BN204" i="112" s="1"/>
  <c r="BL190" i="112"/>
  <c r="AC18" i="46"/>
  <c r="AE18" i="46" s="1"/>
  <c r="AF26" i="46"/>
  <c r="BL34" i="58"/>
  <c r="BK22" i="4" s="1"/>
  <c r="CJ247" i="8"/>
  <c r="CF246" i="8"/>
  <c r="CF248" i="8"/>
  <c r="CF245" i="8"/>
  <c r="CF209" i="112" s="1"/>
  <c r="CF210" i="112" s="1"/>
  <c r="BN232" i="112"/>
  <c r="BN233" i="112" s="1"/>
  <c r="BN141" i="112"/>
  <c r="Y18" i="11"/>
  <c r="BN87" i="112"/>
  <c r="BN119" i="112" s="1"/>
  <c r="BN120" i="112" s="1"/>
  <c r="BL207" i="112"/>
  <c r="AC23" i="46" s="1"/>
  <c r="AE23" i="46" s="1"/>
  <c r="BO85" i="112"/>
  <c r="BP85" i="112" s="1"/>
  <c r="BP87" i="112" s="1"/>
  <c r="BP119" i="112" s="1"/>
  <c r="BN76" i="112"/>
  <c r="BN78" i="112" s="1"/>
  <c r="BN79" i="112" s="1"/>
  <c r="BM225" i="112"/>
  <c r="BM105" i="112"/>
  <c r="BM92" i="112" s="1"/>
  <c r="BN9" i="112"/>
  <c r="BN11" i="112" s="1"/>
  <c r="BN12" i="112" s="1"/>
  <c r="Y872" i="111"/>
  <c r="Y882" i="111" s="1"/>
  <c r="Y887" i="111" s="1"/>
  <c r="BO14" i="112"/>
  <c r="BO16" i="112" s="1"/>
  <c r="BO49" i="112" s="1"/>
  <c r="BO41" i="112" s="1"/>
  <c r="BN228" i="112"/>
  <c r="BN229" i="112" s="1"/>
  <c r="BL8" i="4"/>
  <c r="BL189" i="8"/>
  <c r="BL190" i="8" s="1"/>
  <c r="BT461" i="111"/>
  <c r="BT462" i="111" s="1"/>
  <c r="BT433" i="111"/>
  <c r="BN148" i="112"/>
  <c r="BN200" i="112" s="1"/>
  <c r="BO146" i="112"/>
  <c r="BO148" i="112" s="1"/>
  <c r="BO200" i="112" s="1"/>
  <c r="BO192" i="112" s="1"/>
  <c r="Y13" i="11"/>
  <c r="BM233" i="112"/>
  <c r="BM234" i="112"/>
  <c r="BM192" i="112"/>
  <c r="BM170" i="112" s="1"/>
  <c r="BL33" i="2"/>
  <c r="BL32" i="2" s="1"/>
  <c r="Y9" i="11"/>
  <c r="BM229" i="112"/>
  <c r="BM143" i="112"/>
  <c r="BM144" i="112" s="1"/>
  <c r="BQ196" i="112" s="1"/>
  <c r="BM158" i="112"/>
  <c r="BU432" i="111"/>
  <c r="Y8" i="11"/>
  <c r="Y17" i="111"/>
  <c r="Y20" i="11"/>
  <c r="BM155" i="112"/>
  <c r="BM156" i="112"/>
  <c r="BO52" i="112"/>
  <c r="BO55" i="112"/>
  <c r="BO56" i="112" s="1"/>
  <c r="BZ451" i="111"/>
  <c r="BX449" i="111"/>
  <c r="CM251" i="8"/>
  <c r="BM42" i="112"/>
  <c r="BM25" i="112"/>
  <c r="BT435" i="111"/>
  <c r="BT472" i="111"/>
  <c r="BO255" i="112"/>
  <c r="BO254" i="112"/>
  <c r="CQ98" i="112"/>
  <c r="BT444" i="111"/>
  <c r="BT473" i="111"/>
  <c r="BL93" i="112"/>
  <c r="BL94" i="112"/>
  <c r="BL95" i="112" s="1"/>
  <c r="BP111" i="112"/>
  <c r="BZ449" i="111"/>
  <c r="BM56" i="112"/>
  <c r="BM263" i="112"/>
  <c r="BK44" i="4"/>
  <c r="BK35" i="4"/>
  <c r="BK36" i="4"/>
  <c r="BK62" i="2"/>
  <c r="BK105" i="4"/>
  <c r="BK53" i="4"/>
  <c r="BT431" i="111"/>
  <c r="CE126" i="112"/>
  <c r="BT443" i="111"/>
  <c r="CE33" i="112"/>
  <c r="BP145" i="2"/>
  <c r="CU211" i="8"/>
  <c r="CQ210" i="8"/>
  <c r="CQ209" i="8"/>
  <c r="CQ285" i="112" s="1"/>
  <c r="CQ284" i="112" s="1"/>
  <c r="CQ212" i="8"/>
  <c r="CI239" i="8"/>
  <c r="CI125" i="112" s="1"/>
  <c r="CI242" i="8"/>
  <c r="CI240" i="8"/>
  <c r="CM241" i="8"/>
  <c r="BS538" i="111"/>
  <c r="CM234" i="8"/>
  <c r="CQ235" i="8"/>
  <c r="CM233" i="8"/>
  <c r="CM60" i="112" s="1"/>
  <c r="CM236" i="8"/>
  <c r="CI210" i="112"/>
  <c r="BL261" i="112"/>
  <c r="BS478" i="111"/>
  <c r="Y9" i="111"/>
  <c r="Y10" i="46"/>
  <c r="BP150" i="112"/>
  <c r="BY451" i="111"/>
  <c r="BO254" i="8"/>
  <c r="BO7" i="2" s="1"/>
  <c r="BO257" i="8"/>
  <c r="BS256" i="8"/>
  <c r="BO255" i="8"/>
  <c r="CE29" i="112"/>
  <c r="BN42" i="112"/>
  <c r="BN25" i="112"/>
  <c r="BP18" i="112"/>
  <c r="BP20" i="112" s="1"/>
  <c r="AB346" i="111"/>
  <c r="AB324" i="111" s="1"/>
  <c r="BW266" i="8"/>
  <c r="BS265" i="8"/>
  <c r="AB347" i="111" s="1"/>
  <c r="BS264" i="8"/>
  <c r="BS16" i="2" s="1"/>
  <c r="BS267" i="8"/>
  <c r="AB348" i="111" s="1"/>
  <c r="AB341" i="111"/>
  <c r="AB323" i="111" s="1"/>
  <c r="BW261" i="8"/>
  <c r="BS260" i="8"/>
  <c r="AB342" i="111" s="1"/>
  <c r="BS259" i="8"/>
  <c r="BS9" i="2" s="1"/>
  <c r="BS262" i="8"/>
  <c r="AB343" i="111" s="1"/>
  <c r="BS275" i="8"/>
  <c r="BS36" i="2" s="1"/>
  <c r="BS278" i="8"/>
  <c r="BW277" i="8"/>
  <c r="BS276" i="8"/>
  <c r="BT428" i="111"/>
  <c r="BL226" i="112"/>
  <c r="BL230" i="112"/>
  <c r="Y870" i="111"/>
  <c r="Y880" i="111" s="1"/>
  <c r="Y885" i="111" s="1"/>
  <c r="BL38" i="112"/>
  <c r="BL42" i="112"/>
  <c r="BL25" i="112"/>
  <c r="BL250" i="112"/>
  <c r="BP198" i="112"/>
  <c r="BT464" i="111"/>
  <c r="CM248" i="8"/>
  <c r="CQ247" i="8"/>
  <c r="CM246" i="8"/>
  <c r="CM245" i="8"/>
  <c r="CM209" i="112" s="1"/>
  <c r="BN52" i="112"/>
  <c r="BN55" i="112"/>
  <c r="BN56" i="112" s="1"/>
  <c r="BY449" i="111"/>
  <c r="BK319" i="112"/>
  <c r="BS554" i="111"/>
  <c r="BK55" i="4"/>
  <c r="BK62" i="4"/>
  <c r="BX451" i="111"/>
  <c r="CI61" i="112"/>
  <c r="CE174" i="112"/>
  <c r="BN108" i="112"/>
  <c r="BL238" i="8"/>
  <c r="BL27" i="4"/>
  <c r="BM150" i="2"/>
  <c r="BM57" i="2" s="1"/>
  <c r="BM108" i="4" s="1"/>
  <c r="BO152" i="112"/>
  <c r="BO203" i="112" s="1"/>
  <c r="BL164" i="112" l="1"/>
  <c r="Y8" i="46"/>
  <c r="BM260" i="112"/>
  <c r="BM261" i="112" s="1"/>
  <c r="BM38" i="112"/>
  <c r="BU431" i="111"/>
  <c r="BO232" i="112"/>
  <c r="Y140" i="111"/>
  <c r="BM193" i="112"/>
  <c r="BM123" i="112"/>
  <c r="BL165" i="2"/>
  <c r="BL162" i="2" s="1"/>
  <c r="BO87" i="112"/>
  <c r="BO119" i="112" s="1"/>
  <c r="BO120" i="112" s="1"/>
  <c r="BO76" i="112"/>
  <c r="BO78" i="112" s="1"/>
  <c r="BO79" i="112" s="1"/>
  <c r="BN234" i="112"/>
  <c r="BP81" i="112"/>
  <c r="BP83" i="112" s="1"/>
  <c r="BP116" i="112" s="1"/>
  <c r="BP108" i="112" s="1"/>
  <c r="BL26" i="4"/>
  <c r="BL244" i="8"/>
  <c r="BV434" i="111"/>
  <c r="BV432" i="111"/>
  <c r="BV433" i="111" s="1"/>
  <c r="BN143" i="112"/>
  <c r="BN144" i="112" s="1"/>
  <c r="BR196" i="112" s="1"/>
  <c r="BZ450" i="111" s="1"/>
  <c r="BN157" i="112"/>
  <c r="AF27" i="46"/>
  <c r="BK23" i="4"/>
  <c r="BS487" i="111" s="1"/>
  <c r="Y100" i="111"/>
  <c r="BL245" i="112"/>
  <c r="AC16" i="46"/>
  <c r="CN247" i="8"/>
  <c r="CJ246" i="8"/>
  <c r="CJ248" i="8"/>
  <c r="CJ245" i="8"/>
  <c r="CJ209" i="112" s="1"/>
  <c r="CJ210" i="112" s="1"/>
  <c r="BV430" i="111"/>
  <c r="BV431" i="111" s="1"/>
  <c r="BO228" i="112"/>
  <c r="BO229" i="112" s="1"/>
  <c r="BO141" i="112"/>
  <c r="BW432" i="111" s="1"/>
  <c r="BU428" i="111"/>
  <c r="BU444" i="111"/>
  <c r="BM93" i="112"/>
  <c r="BQ111" i="112"/>
  <c r="BQ114" i="112" s="1"/>
  <c r="BM226" i="112"/>
  <c r="Y5" i="11"/>
  <c r="BM230" i="112"/>
  <c r="BM250" i="112"/>
  <c r="BM94" i="112"/>
  <c r="BM95" i="112" s="1"/>
  <c r="BU473" i="111"/>
  <c r="BU474" i="111" s="1"/>
  <c r="BN225" i="112"/>
  <c r="BN230" i="112" s="1"/>
  <c r="BO9" i="112"/>
  <c r="BO11" i="112" s="1"/>
  <c r="BO12" i="112" s="1"/>
  <c r="BM106" i="112"/>
  <c r="Y39" i="11"/>
  <c r="BM169" i="8"/>
  <c r="BM170" i="8" s="1"/>
  <c r="BM9" i="4"/>
  <c r="BU463" i="111"/>
  <c r="BP14" i="112"/>
  <c r="BP16" i="112" s="1"/>
  <c r="BP49" i="112" s="1"/>
  <c r="BN158" i="112"/>
  <c r="BN155" i="112"/>
  <c r="BP146" i="112"/>
  <c r="BQ146" i="112" s="1"/>
  <c r="Z876" i="111" s="1"/>
  <c r="BM189" i="112"/>
  <c r="BM154" i="112"/>
  <c r="BM164" i="112" s="1"/>
  <c r="AA14" i="71"/>
  <c r="AA17" i="71"/>
  <c r="Y13" i="111"/>
  <c r="BN156" i="112"/>
  <c r="Y871" i="111"/>
  <c r="Y881" i="111" s="1"/>
  <c r="Y886" i="111" s="1"/>
  <c r="Y8" i="111"/>
  <c r="Y9" i="46"/>
  <c r="BM33" i="2"/>
  <c r="Y141" i="111"/>
  <c r="Y101" i="111"/>
  <c r="BU433" i="111"/>
  <c r="AA16" i="71"/>
  <c r="Y12" i="111"/>
  <c r="Y17" i="11"/>
  <c r="AA13" i="71"/>
  <c r="BU471" i="111"/>
  <c r="BM171" i="112"/>
  <c r="BQ195" i="112"/>
  <c r="BU442" i="111"/>
  <c r="BY450" i="111"/>
  <c r="BP120" i="112"/>
  <c r="BT495" i="111"/>
  <c r="BL31" i="4"/>
  <c r="CQ245" i="8"/>
  <c r="CQ209" i="112" s="1"/>
  <c r="CQ248" i="8"/>
  <c r="CU247" i="8"/>
  <c r="CQ246" i="8"/>
  <c r="BT459" i="111"/>
  <c r="Y38" i="11"/>
  <c r="BL143" i="8"/>
  <c r="BL144" i="8" s="1"/>
  <c r="BL7" i="4"/>
  <c r="BL58" i="112"/>
  <c r="AC21" i="46" s="1"/>
  <c r="AE21" i="46" s="1"/>
  <c r="BL39" i="112"/>
  <c r="CI29" i="112"/>
  <c r="BS539" i="111"/>
  <c r="BK109" i="4"/>
  <c r="BK116" i="4" s="1"/>
  <c r="BM264" i="112"/>
  <c r="BP114" i="112"/>
  <c r="Y153" i="11"/>
  <c r="BN105" i="112"/>
  <c r="BN109" i="112"/>
  <c r="BO204" i="112"/>
  <c r="CI174" i="112"/>
  <c r="BN260" i="112"/>
  <c r="BN53" i="112"/>
  <c r="CM61" i="112"/>
  <c r="CI126" i="112"/>
  <c r="BN33" i="2"/>
  <c r="BU440" i="111"/>
  <c r="BU469" i="111"/>
  <c r="BM26" i="112"/>
  <c r="BQ44" i="112"/>
  <c r="BL251" i="112"/>
  <c r="BL269" i="112" s="1"/>
  <c r="BL257" i="112"/>
  <c r="BL258" i="112" s="1"/>
  <c r="BL265" i="112"/>
  <c r="CA451" i="111"/>
  <c r="BV469" i="111"/>
  <c r="BV440" i="111"/>
  <c r="BN26" i="112"/>
  <c r="BR44" i="112"/>
  <c r="BR46" i="112" s="1"/>
  <c r="BO233" i="112"/>
  <c r="CQ234" i="8"/>
  <c r="CU235" i="8"/>
  <c r="CQ233" i="8"/>
  <c r="CQ60" i="112" s="1"/>
  <c r="CQ236" i="8"/>
  <c r="BK305" i="112"/>
  <c r="BN263" i="112"/>
  <c r="BQ145" i="2"/>
  <c r="BK71" i="2"/>
  <c r="BK72" i="2" s="1"/>
  <c r="BK322" i="8" s="1"/>
  <c r="BK66" i="2"/>
  <c r="BQ85" i="112"/>
  <c r="BQ87" i="112" s="1"/>
  <c r="BQ119" i="112" s="1"/>
  <c r="CA266" i="8"/>
  <c r="BW265" i="8"/>
  <c r="BW264" i="8"/>
  <c r="BW16" i="2" s="1"/>
  <c r="BW267" i="8"/>
  <c r="BV435" i="111"/>
  <c r="BP52" i="112"/>
  <c r="BP55" i="112"/>
  <c r="BP56" i="112" s="1"/>
  <c r="AB336" i="111"/>
  <c r="BS254" i="8"/>
  <c r="BS7" i="2" s="1"/>
  <c r="BS257" i="8"/>
  <c r="BW256" i="8"/>
  <c r="BS255" i="8"/>
  <c r="BN192" i="112"/>
  <c r="BP232" i="112"/>
  <c r="BQ150" i="112"/>
  <c r="CQ251" i="8"/>
  <c r="BO189" i="112"/>
  <c r="BO193" i="112"/>
  <c r="BO170" i="112"/>
  <c r="BO250" i="112"/>
  <c r="BK314" i="112"/>
  <c r="BK312" i="112"/>
  <c r="BK46" i="4"/>
  <c r="BT474" i="111"/>
  <c r="BU459" i="111"/>
  <c r="BM143" i="8"/>
  <c r="BM144" i="8" s="1"/>
  <c r="BM7" i="4"/>
  <c r="BM39" i="112"/>
  <c r="BM58" i="112"/>
  <c r="CA449" i="111"/>
  <c r="CM210" i="112"/>
  <c r="BT440" i="111"/>
  <c r="BT469" i="111"/>
  <c r="BL26" i="112"/>
  <c r="BP44" i="112"/>
  <c r="BW276" i="8"/>
  <c r="BW275" i="8"/>
  <c r="BW36" i="2" s="1"/>
  <c r="BW278" i="8"/>
  <c r="CA277" i="8"/>
  <c r="CA287" i="8" s="1"/>
  <c r="BW259" i="8"/>
  <c r="BW9" i="2" s="1"/>
  <c r="BW262" i="8"/>
  <c r="CA261" i="8"/>
  <c r="BW260" i="8"/>
  <c r="BQ18" i="112"/>
  <c r="BQ20" i="112" s="1"/>
  <c r="BN38" i="112"/>
  <c r="BP152" i="112"/>
  <c r="BP203" i="112" s="1"/>
  <c r="CM239" i="8"/>
  <c r="CM125" i="112" s="1"/>
  <c r="CM242" i="8"/>
  <c r="CM240" i="8"/>
  <c r="CQ241" i="8"/>
  <c r="BK317" i="112"/>
  <c r="BK54" i="4"/>
  <c r="BT445" i="111"/>
  <c r="CU98" i="112"/>
  <c r="BO25" i="112"/>
  <c r="BO38" i="112"/>
  <c r="BO42" i="112"/>
  <c r="BO53" i="112"/>
  <c r="BO260" i="112"/>
  <c r="BO261" i="112" s="1"/>
  <c r="BS551" i="111"/>
  <c r="BK61" i="4"/>
  <c r="BS557" i="111" s="1"/>
  <c r="BK57" i="4"/>
  <c r="BK56" i="4"/>
  <c r="BT429" i="111"/>
  <c r="CU210" i="8"/>
  <c r="CU209" i="8"/>
  <c r="CU285" i="112" s="1"/>
  <c r="CU284" i="112" s="1"/>
  <c r="CU212" i="8"/>
  <c r="CI33" i="112"/>
  <c r="BO234" i="112"/>
  <c r="BO109" i="112"/>
  <c r="BO105" i="112" l="1"/>
  <c r="BO263" i="112"/>
  <c r="AC15" i="46"/>
  <c r="AE15" i="46" s="1"/>
  <c r="BL5" i="4"/>
  <c r="BU429" i="111"/>
  <c r="BQ14" i="112"/>
  <c r="Z875" i="111" s="1"/>
  <c r="BO155" i="112"/>
  <c r="BK24" i="4"/>
  <c r="BP9" i="112"/>
  <c r="BP11" i="112" s="1"/>
  <c r="BP12" i="112" s="1"/>
  <c r="BK28" i="4"/>
  <c r="Q134" i="27"/>
  <c r="BQ81" i="112"/>
  <c r="BQ83" i="112" s="1"/>
  <c r="BQ116" i="112" s="1"/>
  <c r="BP76" i="112"/>
  <c r="BP78" i="112" s="1"/>
  <c r="BP79" i="112" s="1"/>
  <c r="BL247" i="112"/>
  <c r="AC11" i="46" s="1"/>
  <c r="AE11" i="46" s="1"/>
  <c r="BO225" i="112"/>
  <c r="BO226" i="112" s="1"/>
  <c r="BW434" i="111"/>
  <c r="BW430" i="111"/>
  <c r="BW431" i="111" s="1"/>
  <c r="BO158" i="112"/>
  <c r="BO143" i="112"/>
  <c r="BO144" i="112" s="1"/>
  <c r="BS196" i="112" s="1"/>
  <c r="CA450" i="111" s="1"/>
  <c r="BT494" i="111"/>
  <c r="BM238" i="8"/>
  <c r="BM27" i="4"/>
  <c r="BM31" i="4" s="1"/>
  <c r="BL30" i="4"/>
  <c r="BM251" i="112"/>
  <c r="BM269" i="112" s="1"/>
  <c r="BO157" i="112"/>
  <c r="BM245" i="112"/>
  <c r="BM11" i="2" s="1"/>
  <c r="AF28" i="46"/>
  <c r="AF20" i="46"/>
  <c r="AF24" i="46" s="1"/>
  <c r="AA15" i="71"/>
  <c r="AE16" i="46"/>
  <c r="AH16" i="46"/>
  <c r="CR247" i="8"/>
  <c r="CN248" i="8"/>
  <c r="CN246" i="8"/>
  <c r="CN245" i="8"/>
  <c r="CN209" i="112" s="1"/>
  <c r="CN210" i="112" s="1"/>
  <c r="BU445" i="111"/>
  <c r="Q133" i="27"/>
  <c r="Q98" i="27"/>
  <c r="BM257" i="112"/>
  <c r="BM258" i="112" s="1"/>
  <c r="BM265" i="112"/>
  <c r="BM165" i="112"/>
  <c r="BM165" i="2" s="1"/>
  <c r="BM162" i="2" s="1"/>
  <c r="Y7" i="46"/>
  <c r="AA12" i="71"/>
  <c r="BV428" i="111"/>
  <c r="BV429" i="111" s="1"/>
  <c r="BM189" i="8"/>
  <c r="BM190" i="8" s="1"/>
  <c r="Y40" i="11"/>
  <c r="BP148" i="112"/>
  <c r="BP200" i="112" s="1"/>
  <c r="BM207" i="112"/>
  <c r="BM26" i="4" s="1"/>
  <c r="Y75" i="11" s="1"/>
  <c r="BN154" i="112"/>
  <c r="BN164" i="112" s="1"/>
  <c r="BP228" i="112"/>
  <c r="BP229" i="112" s="1"/>
  <c r="BN226" i="112"/>
  <c r="BM8" i="4"/>
  <c r="CA286" i="8"/>
  <c r="CA288" i="8"/>
  <c r="CA285" i="8"/>
  <c r="CA46" i="2" s="1"/>
  <c r="Y27" i="11"/>
  <c r="Y129" i="111"/>
  <c r="Y62" i="111"/>
  <c r="Y68" i="111" s="1"/>
  <c r="AA21" i="71"/>
  <c r="Y17" i="46"/>
  <c r="BU464" i="111"/>
  <c r="BP141" i="112"/>
  <c r="BP143" i="112" s="1"/>
  <c r="BP144" i="112" s="1"/>
  <c r="BT196" i="112" s="1"/>
  <c r="CB450" i="111" s="1"/>
  <c r="BM190" i="112"/>
  <c r="BU461" i="111"/>
  <c r="BO156" i="112"/>
  <c r="Q64" i="27"/>
  <c r="BQ253" i="112"/>
  <c r="BQ16" i="112"/>
  <c r="BQ49" i="112" s="1"/>
  <c r="BU443" i="111"/>
  <c r="BQ198" i="112"/>
  <c r="BU472" i="111"/>
  <c r="BM32" i="2"/>
  <c r="CB451" i="111"/>
  <c r="BQ52" i="112"/>
  <c r="BQ55" i="112"/>
  <c r="BK102" i="2"/>
  <c r="BK134" i="4"/>
  <c r="BQ120" i="112"/>
  <c r="BP105" i="112"/>
  <c r="BP109" i="112"/>
  <c r="CU251" i="8"/>
  <c r="BP204" i="112"/>
  <c r="BP263" i="112"/>
  <c r="BP46" i="112"/>
  <c r="BP253" i="112"/>
  <c r="BK315" i="112"/>
  <c r="BW461" i="111"/>
  <c r="BO189" i="8"/>
  <c r="BO190" i="8" s="1"/>
  <c r="BO8" i="4"/>
  <c r="BO190" i="112"/>
  <c r="BO207" i="112"/>
  <c r="BP233" i="112"/>
  <c r="CE266" i="8"/>
  <c r="CA265" i="8"/>
  <c r="CA264" i="8"/>
  <c r="CA16" i="2" s="1"/>
  <c r="CA267" i="8"/>
  <c r="BP234" i="112"/>
  <c r="BN32" i="2"/>
  <c r="BT454" i="111"/>
  <c r="BL11" i="2"/>
  <c r="BL71" i="4" s="1"/>
  <c r="BL6" i="2"/>
  <c r="BL19" i="2"/>
  <c r="BL35" i="2"/>
  <c r="BL241" i="112"/>
  <c r="BL242" i="112" s="1"/>
  <c r="BL238" i="112"/>
  <c r="BL246" i="112"/>
  <c r="BL283" i="112"/>
  <c r="BL293" i="112"/>
  <c r="BL308" i="112"/>
  <c r="BL43" i="4" s="1"/>
  <c r="CQ210" i="112"/>
  <c r="Z10" i="11"/>
  <c r="BQ9" i="112"/>
  <c r="BR14" i="112"/>
  <c r="BR16" i="112" s="1"/>
  <c r="BW459" i="111"/>
  <c r="BO143" i="8"/>
  <c r="BO144" i="8" s="1"/>
  <c r="BO7" i="4"/>
  <c r="BO245" i="112"/>
  <c r="BO247" i="112" s="1"/>
  <c r="BO39" i="112"/>
  <c r="BO58" i="112"/>
  <c r="BV459" i="111"/>
  <c r="BN143" i="8"/>
  <c r="BN144" i="8" s="1"/>
  <c r="BN7" i="4"/>
  <c r="BN39" i="112"/>
  <c r="BN58" i="112"/>
  <c r="BM232" i="8"/>
  <c r="BM25" i="4"/>
  <c r="BU460" i="111"/>
  <c r="BN189" i="112"/>
  <c r="BN193" i="112"/>
  <c r="BN170" i="112"/>
  <c r="BN250" i="112"/>
  <c r="BN265" i="112" s="1"/>
  <c r="BR145" i="2"/>
  <c r="BS489" i="111"/>
  <c r="BV441" i="111"/>
  <c r="BQ46" i="112"/>
  <c r="BO265" i="112"/>
  <c r="BO264" i="112"/>
  <c r="Y61" i="111"/>
  <c r="Y67" i="111" s="1"/>
  <c r="Y127" i="111"/>
  <c r="Y26" i="11"/>
  <c r="AA20" i="71"/>
  <c r="Y16" i="46"/>
  <c r="BP41" i="112"/>
  <c r="BW440" i="111"/>
  <c r="BW469" i="111"/>
  <c r="BO26" i="112"/>
  <c r="BS44" i="112"/>
  <c r="BS46" i="112" s="1"/>
  <c r="CM126" i="112"/>
  <c r="CE277" i="8"/>
  <c r="CE287" i="8" s="1"/>
  <c r="CA276" i="8"/>
  <c r="CA275" i="8"/>
  <c r="CA36" i="2" s="1"/>
  <c r="CA278" i="8"/>
  <c r="BT470" i="111"/>
  <c r="AB322" i="111"/>
  <c r="BS532" i="111"/>
  <c r="BK124" i="112"/>
  <c r="BK159" i="8" s="1"/>
  <c r="BK293" i="112"/>
  <c r="BK306" i="112"/>
  <c r="BK208" i="112"/>
  <c r="BK59" i="112"/>
  <c r="BV470" i="111"/>
  <c r="CM174" i="112"/>
  <c r="BT499" i="111"/>
  <c r="BL232" i="8"/>
  <c r="BL25" i="4"/>
  <c r="BL305" i="112"/>
  <c r="BT460" i="111"/>
  <c r="BO33" i="2"/>
  <c r="BO32" i="2" s="1"/>
  <c r="Z14" i="11"/>
  <c r="BR18" i="112"/>
  <c r="BR20" i="112" s="1"/>
  <c r="BT441" i="111"/>
  <c r="BO257" i="112"/>
  <c r="BO251" i="112"/>
  <c r="BO269" i="112" s="1"/>
  <c r="AB337" i="111"/>
  <c r="BU470" i="111"/>
  <c r="BN261" i="112"/>
  <c r="BV463" i="111"/>
  <c r="BN169" i="8"/>
  <c r="BN170" i="8" s="1"/>
  <c r="BN9" i="4"/>
  <c r="BN106" i="112"/>
  <c r="BN92" i="112"/>
  <c r="BN123" i="112"/>
  <c r="CM33" i="112"/>
  <c r="BW463" i="111"/>
  <c r="BO169" i="8"/>
  <c r="BO170" i="8" s="1"/>
  <c r="BO9" i="4"/>
  <c r="BO106" i="112"/>
  <c r="BO92" i="112"/>
  <c r="BO123" i="112"/>
  <c r="BS548" i="111"/>
  <c r="BW442" i="111"/>
  <c r="BW471" i="111"/>
  <c r="BO171" i="112"/>
  <c r="BS195" i="112"/>
  <c r="Z16" i="11"/>
  <c r="BQ232" i="112"/>
  <c r="BQ234" i="112" s="1"/>
  <c r="BR150" i="112"/>
  <c r="BR152" i="112" s="1"/>
  <c r="BR203" i="112" s="1"/>
  <c r="BW255" i="8"/>
  <c r="BW254" i="8"/>
  <c r="BW7" i="2" s="1"/>
  <c r="BW257" i="8"/>
  <c r="CA256" i="8"/>
  <c r="BP53" i="112"/>
  <c r="BP260" i="112"/>
  <c r="BP261" i="112" s="1"/>
  <c r="Z15" i="11"/>
  <c r="BR85" i="112"/>
  <c r="BR87" i="112" s="1"/>
  <c r="BR119" i="112" s="1"/>
  <c r="BR120" i="112" s="1"/>
  <c r="BK324" i="8"/>
  <c r="BK325" i="8"/>
  <c r="BK323" i="8"/>
  <c r="BN264" i="112"/>
  <c r="CQ61" i="112"/>
  <c r="Z12" i="11"/>
  <c r="BQ141" i="112"/>
  <c r="BR146" i="112"/>
  <c r="BR148" i="112" s="1"/>
  <c r="BU441" i="111"/>
  <c r="CM29" i="112"/>
  <c r="CU246" i="8"/>
  <c r="CU245" i="8"/>
  <c r="CU209" i="112" s="1"/>
  <c r="CU248" i="8"/>
  <c r="CU241" i="8"/>
  <c r="CQ239" i="8"/>
  <c r="CQ125" i="112" s="1"/>
  <c r="CQ242" i="8"/>
  <c r="CQ240" i="8"/>
  <c r="CA259" i="8"/>
  <c r="CA9" i="2" s="1"/>
  <c r="CA262" i="8"/>
  <c r="CE261" i="8"/>
  <c r="CA260" i="8"/>
  <c r="BK313" i="112"/>
  <c r="BK229" i="8" s="1"/>
  <c r="BQ152" i="112"/>
  <c r="BQ203" i="112" s="1"/>
  <c r="AB338" i="111"/>
  <c r="CU234" i="8"/>
  <c r="CU233" i="8"/>
  <c r="CU60" i="112" s="1"/>
  <c r="CU236" i="8"/>
  <c r="BQ148" i="112"/>
  <c r="BW433" i="111"/>
  <c r="BT500" i="111"/>
  <c r="BQ228" i="112" l="1"/>
  <c r="BQ76" i="112"/>
  <c r="BR81" i="112"/>
  <c r="BR83" i="112" s="1"/>
  <c r="Z877" i="111"/>
  <c r="BO230" i="112"/>
  <c r="BO258" i="112" s="1"/>
  <c r="Z11" i="11"/>
  <c r="BW428" i="111"/>
  <c r="BW429" i="111" s="1"/>
  <c r="BX434" i="111"/>
  <c r="BX435" i="111" s="1"/>
  <c r="BX430" i="111"/>
  <c r="BX431" i="111" s="1"/>
  <c r="AH15" i="46"/>
  <c r="BQ11" i="112"/>
  <c r="BQ12" i="112" s="1"/>
  <c r="BQ78" i="112"/>
  <c r="BQ79" i="112" s="1"/>
  <c r="BW435" i="111"/>
  <c r="BT448" i="111"/>
  <c r="BM241" i="112"/>
  <c r="BM242" i="112" s="1"/>
  <c r="BU454" i="111"/>
  <c r="BU456" i="111" s="1"/>
  <c r="Y74" i="11"/>
  <c r="BU495" i="111"/>
  <c r="BO154" i="112"/>
  <c r="BP155" i="112"/>
  <c r="BQ155" i="112" s="1"/>
  <c r="BP157" i="112"/>
  <c r="BQ157" i="112" s="1"/>
  <c r="BX432" i="111"/>
  <c r="BX433" i="111" s="1"/>
  <c r="BP158" i="112"/>
  <c r="BQ158" i="112" s="1"/>
  <c r="AA22" i="71"/>
  <c r="BM246" i="112"/>
  <c r="BM35" i="2"/>
  <c r="Y282" i="111" s="1"/>
  <c r="Y285" i="111" s="1"/>
  <c r="BM247" i="112"/>
  <c r="BU448" i="111" s="1"/>
  <c r="BM308" i="112"/>
  <c r="BM43" i="4" s="1"/>
  <c r="BM5" i="4"/>
  <c r="BM50" i="2" s="1"/>
  <c r="BM293" i="112"/>
  <c r="BM19" i="2"/>
  <c r="BM290" i="112"/>
  <c r="BM6" i="2"/>
  <c r="BM69" i="4" s="1"/>
  <c r="BM238" i="112"/>
  <c r="BQ255" i="112" s="1"/>
  <c r="BM283" i="112"/>
  <c r="Y60" i="11" s="1"/>
  <c r="Y36" i="11"/>
  <c r="L9" i="71" s="1"/>
  <c r="BU462" i="111"/>
  <c r="Y28" i="11"/>
  <c r="Y63" i="111"/>
  <c r="Y69" i="111" s="1"/>
  <c r="Y128" i="111"/>
  <c r="BM244" i="8"/>
  <c r="BN165" i="112"/>
  <c r="BN165" i="2" s="1"/>
  <c r="BN162" i="2" s="1"/>
  <c r="CV247" i="8"/>
  <c r="CR246" i="8"/>
  <c r="CR248" i="8"/>
  <c r="CR245" i="8"/>
  <c r="CR209" i="112" s="1"/>
  <c r="CR210" i="112" s="1"/>
  <c r="Y18" i="46"/>
  <c r="BP225" i="112"/>
  <c r="BP230" i="112" s="1"/>
  <c r="BM305" i="112"/>
  <c r="CE288" i="8"/>
  <c r="CE286" i="8"/>
  <c r="CE285" i="8"/>
  <c r="CE46" i="2" s="1"/>
  <c r="Y14" i="46"/>
  <c r="AA11" i="71"/>
  <c r="BP156" i="112"/>
  <c r="BQ156" i="112" s="1"/>
  <c r="Y83" i="11"/>
  <c r="Y205" i="111" s="1"/>
  <c r="Y210" i="111" s="1"/>
  <c r="Y24" i="46"/>
  <c r="Y195" i="111"/>
  <c r="Y215" i="111" s="1"/>
  <c r="AA26" i="71"/>
  <c r="BP192" i="112"/>
  <c r="BP193" i="112" s="1"/>
  <c r="BQ254" i="112"/>
  <c r="BU494" i="111"/>
  <c r="BM30" i="4"/>
  <c r="Y281" i="111"/>
  <c r="Y284" i="111" s="1"/>
  <c r="Y29" i="11"/>
  <c r="BR49" i="112"/>
  <c r="BR41" i="112" s="1"/>
  <c r="BQ200" i="112"/>
  <c r="BQ192" i="112" s="1"/>
  <c r="CE264" i="8"/>
  <c r="CE16" i="2" s="1"/>
  <c r="CE267" i="8"/>
  <c r="CI266" i="8"/>
  <c r="CE265" i="8"/>
  <c r="Z18" i="111"/>
  <c r="Z19" i="11"/>
  <c r="BW462" i="111"/>
  <c r="BP264" i="112"/>
  <c r="CU239" i="8"/>
  <c r="CU125" i="112" s="1"/>
  <c r="CU242" i="8"/>
  <c r="CU240" i="8"/>
  <c r="CQ29" i="112"/>
  <c r="BR141" i="112"/>
  <c r="BR143" i="112" s="1"/>
  <c r="BR144" i="112" s="1"/>
  <c r="BV196" i="112" s="1"/>
  <c r="CD450" i="111" s="1"/>
  <c r="BR228" i="112"/>
  <c r="BS146" i="112"/>
  <c r="Z22" i="111"/>
  <c r="BS18" i="112"/>
  <c r="BS20" i="112" s="1"/>
  <c r="BL59" i="112"/>
  <c r="CI277" i="8"/>
  <c r="CI287" i="8" s="1"/>
  <c r="CE276" i="8"/>
  <c r="CE275" i="8"/>
  <c r="CE36" i="2" s="1"/>
  <c r="CE278" i="8"/>
  <c r="BW441" i="111"/>
  <c r="BS145" i="2"/>
  <c r="BU493" i="111"/>
  <c r="BM29" i="4"/>
  <c r="BN245" i="112"/>
  <c r="BV460" i="111"/>
  <c r="BW454" i="111"/>
  <c r="BO6" i="2"/>
  <c r="BO11" i="2"/>
  <c r="BO71" i="4" s="1"/>
  <c r="BO5" i="4"/>
  <c r="BO238" i="112"/>
  <c r="BO246" i="112"/>
  <c r="BO241" i="112"/>
  <c r="BO242" i="112" s="1"/>
  <c r="BO308" i="112"/>
  <c r="BO283" i="112"/>
  <c r="BO35" i="2"/>
  <c r="BO31" i="2" s="1"/>
  <c r="BO42" i="2" s="1"/>
  <c r="BY430" i="111"/>
  <c r="Z6" i="11"/>
  <c r="BR76" i="112"/>
  <c r="BR78" i="112" s="1"/>
  <c r="BR79" i="112" s="1"/>
  <c r="CD451" i="111" s="1"/>
  <c r="BS81" i="112"/>
  <c r="BS83" i="112" s="1"/>
  <c r="BK139" i="4"/>
  <c r="BK140" i="4" s="1"/>
  <c r="BQ108" i="112"/>
  <c r="BR200" i="112"/>
  <c r="CQ33" i="112"/>
  <c r="BP25" i="112"/>
  <c r="BP38" i="112"/>
  <c r="BP42" i="112"/>
  <c r="Z16" i="111"/>
  <c r="Z18" i="11"/>
  <c r="BT456" i="111"/>
  <c r="BR455" i="111"/>
  <c r="Z9" i="11"/>
  <c r="BQ229" i="112"/>
  <c r="BS85" i="112"/>
  <c r="BS87" i="112" s="1"/>
  <c r="BS119" i="112" s="1"/>
  <c r="BS198" i="112"/>
  <c r="Z21" i="111"/>
  <c r="BS533" i="111"/>
  <c r="BO232" i="8"/>
  <c r="BO25" i="4"/>
  <c r="BO305" i="112"/>
  <c r="BO124" i="112" s="1"/>
  <c r="BL218" i="8"/>
  <c r="BL22" i="4"/>
  <c r="BL39" i="2"/>
  <c r="BL45" i="2"/>
  <c r="BL50" i="2"/>
  <c r="BL54" i="2"/>
  <c r="BL6" i="4"/>
  <c r="BO244" i="8"/>
  <c r="BO26" i="4"/>
  <c r="BM71" i="4"/>
  <c r="BQ41" i="112"/>
  <c r="CU61" i="112"/>
  <c r="BY432" i="111"/>
  <c r="Z8" i="11"/>
  <c r="BQ225" i="112"/>
  <c r="Z23" i="111"/>
  <c r="BR232" i="112"/>
  <c r="BR234" i="112" s="1"/>
  <c r="BS150" i="112"/>
  <c r="CC451" i="111"/>
  <c r="BO238" i="8"/>
  <c r="BO27" i="4"/>
  <c r="BW464" i="111"/>
  <c r="BV461" i="111"/>
  <c r="BN189" i="8"/>
  <c r="BN190" i="8" s="1"/>
  <c r="BN8" i="4"/>
  <c r="BN207" i="112"/>
  <c r="BN190" i="112"/>
  <c r="BN232" i="8"/>
  <c r="BN25" i="4"/>
  <c r="BL15" i="2"/>
  <c r="BL8" i="2"/>
  <c r="BL24" i="2"/>
  <c r="BL10" i="4"/>
  <c r="BL31" i="2"/>
  <c r="BX463" i="111"/>
  <c r="BP169" i="8"/>
  <c r="BP170" i="8" s="1"/>
  <c r="BP9" i="4"/>
  <c r="BP92" i="112"/>
  <c r="BP123" i="112"/>
  <c r="BP106" i="112"/>
  <c r="BQ56" i="112"/>
  <c r="CQ174" i="112"/>
  <c r="AA9" i="71"/>
  <c r="Y12" i="46"/>
  <c r="BV442" i="111"/>
  <c r="BV471" i="111"/>
  <c r="BN171" i="112"/>
  <c r="BR195" i="112"/>
  <c r="Z17" i="111"/>
  <c r="Z20" i="11"/>
  <c r="BR204" i="112"/>
  <c r="BW472" i="111"/>
  <c r="BN238" i="8"/>
  <c r="BN27" i="4"/>
  <c r="BL306" i="112"/>
  <c r="BL302" i="112"/>
  <c r="BL208" i="112"/>
  <c r="BL124" i="112"/>
  <c r="BK294" i="112"/>
  <c r="BK290" i="112"/>
  <c r="BK218" i="8"/>
  <c r="BW448" i="111"/>
  <c r="BW460" i="111"/>
  <c r="BR9" i="112"/>
  <c r="BS14" i="112"/>
  <c r="BS16" i="112" s="1"/>
  <c r="BL20" i="2"/>
  <c r="BL85" i="4"/>
  <c r="BY434" i="111"/>
  <c r="Z7" i="11"/>
  <c r="BQ53" i="112"/>
  <c r="BQ260" i="112"/>
  <c r="BT493" i="111"/>
  <c r="Y73" i="11"/>
  <c r="BL29" i="4"/>
  <c r="CU210" i="112"/>
  <c r="BT505" i="111"/>
  <c r="BQ263" i="112"/>
  <c r="BQ204" i="112"/>
  <c r="CE260" i="8"/>
  <c r="CE259" i="8"/>
  <c r="CE9" i="2" s="1"/>
  <c r="CE262" i="8"/>
  <c r="CI261" i="8"/>
  <c r="CQ126" i="112"/>
  <c r="CE256" i="8"/>
  <c r="CA255" i="8"/>
  <c r="CA254" i="8"/>
  <c r="CA7" i="2" s="1"/>
  <c r="CA257" i="8"/>
  <c r="Z13" i="11"/>
  <c r="BQ233" i="112"/>
  <c r="BW443" i="111"/>
  <c r="BW444" i="111"/>
  <c r="BW473" i="111"/>
  <c r="BO94" i="112"/>
  <c r="BO95" i="112" s="1"/>
  <c r="BO93" i="112"/>
  <c r="BS111" i="112"/>
  <c r="BV444" i="111"/>
  <c r="BV473" i="111"/>
  <c r="BN94" i="112"/>
  <c r="BN95" i="112" s="1"/>
  <c r="BN93" i="112"/>
  <c r="BR111" i="112"/>
  <c r="BV464" i="111"/>
  <c r="CB449" i="111"/>
  <c r="BR55" i="112"/>
  <c r="BR52" i="112"/>
  <c r="BT504" i="111"/>
  <c r="BK160" i="8"/>
  <c r="BK158" i="8" s="1"/>
  <c r="BK161" i="8"/>
  <c r="BW470" i="111"/>
  <c r="BQ143" i="112"/>
  <c r="BQ144" i="112" s="1"/>
  <c r="BU196" i="112" s="1"/>
  <c r="BN251" i="112"/>
  <c r="BN269" i="112" s="1"/>
  <c r="BN257" i="112"/>
  <c r="BN258" i="112" s="1"/>
  <c r="CC449" i="111"/>
  <c r="BT438" i="111"/>
  <c r="BL239" i="112"/>
  <c r="BL69" i="4"/>
  <c r="BP33" i="2"/>
  <c r="BP32" i="2" s="1"/>
  <c r="BR116" i="112"/>
  <c r="BP254" i="112"/>
  <c r="BP255" i="112"/>
  <c r="BM6" i="4" l="1"/>
  <c r="BM54" i="2"/>
  <c r="Y28" i="46"/>
  <c r="BO164" i="112"/>
  <c r="BO165" i="112"/>
  <c r="Y12" i="76"/>
  <c r="BU455" i="111"/>
  <c r="BS490" i="111"/>
  <c r="BS455" i="111"/>
  <c r="BT455" i="111"/>
  <c r="BU500" i="111"/>
  <c r="Y196" i="111"/>
  <c r="Y216" i="111" s="1"/>
  <c r="AA25" i="71"/>
  <c r="Y23" i="46"/>
  <c r="Y27" i="46" s="1"/>
  <c r="Y82" i="11"/>
  <c r="AA10" i="71"/>
  <c r="BM31" i="2"/>
  <c r="BM42" i="2" s="1"/>
  <c r="BM239" i="112"/>
  <c r="BU438" i="111"/>
  <c r="BN293" i="112"/>
  <c r="BN290" i="112"/>
  <c r="BM24" i="2"/>
  <c r="BM22" i="4"/>
  <c r="AA18" i="71"/>
  <c r="Y37" i="11"/>
  <c r="BP154" i="112"/>
  <c r="AR11" i="71"/>
  <c r="AO57" i="71" s="1"/>
  <c r="Y25" i="11"/>
  <c r="Y94" i="11"/>
  <c r="Q14" i="27" s="1"/>
  <c r="Y15" i="46"/>
  <c r="Y20" i="46" s="1"/>
  <c r="Y95" i="11"/>
  <c r="Q6" i="27"/>
  <c r="BM10" i="4"/>
  <c r="BM287" i="112"/>
  <c r="BM14" i="4" s="1"/>
  <c r="BM8" i="2"/>
  <c r="BM10" i="2" s="1"/>
  <c r="BM218" i="8"/>
  <c r="BM15" i="2"/>
  <c r="BM83" i="4" s="1"/>
  <c r="BM85" i="4"/>
  <c r="BM115" i="4" s="1"/>
  <c r="BM20" i="2"/>
  <c r="BQ20" i="2" s="1"/>
  <c r="BU20" i="2" s="1"/>
  <c r="BY20" i="2" s="1"/>
  <c r="CC20" i="2" s="1"/>
  <c r="CG20" i="2" s="1"/>
  <c r="CK20" i="2" s="1"/>
  <c r="CO20" i="2" s="1"/>
  <c r="CS20" i="2" s="1"/>
  <c r="CW20" i="2" s="1"/>
  <c r="BM306" i="112"/>
  <c r="Y13" i="46"/>
  <c r="BX428" i="111"/>
  <c r="BQ230" i="112"/>
  <c r="CV246" i="8"/>
  <c r="CV248" i="8"/>
  <c r="CV245" i="8"/>
  <c r="CV209" i="112" s="1"/>
  <c r="CV210" i="112" s="1"/>
  <c r="BP226" i="112"/>
  <c r="BM299" i="112"/>
  <c r="BM16" i="4" s="1"/>
  <c r="BM59" i="112"/>
  <c r="BM124" i="112"/>
  <c r="BM208" i="112"/>
  <c r="BM302" i="112"/>
  <c r="BM303" i="112" s="1"/>
  <c r="CI288" i="8"/>
  <c r="CI286" i="8"/>
  <c r="CI285" i="8"/>
  <c r="CI46" i="2" s="1"/>
  <c r="AA30" i="71"/>
  <c r="BP170" i="112"/>
  <c r="BX471" i="111" s="1"/>
  <c r="BR155" i="112"/>
  <c r="BP250" i="112"/>
  <c r="BP265" i="112" s="1"/>
  <c r="BP189" i="112"/>
  <c r="BP245" i="112" s="1"/>
  <c r="BP247" i="112" s="1"/>
  <c r="BO165" i="2"/>
  <c r="BO162" i="2" s="1"/>
  <c r="BN305" i="112"/>
  <c r="BL26" i="2"/>
  <c r="BL28" i="2" s="1"/>
  <c r="Z871" i="111"/>
  <c r="Z881" i="111" s="1"/>
  <c r="Z886" i="111" s="1"/>
  <c r="BQ154" i="112"/>
  <c r="BO208" i="112"/>
  <c r="AL29" i="11"/>
  <c r="BU499" i="111"/>
  <c r="BS120" i="112"/>
  <c r="BS49" i="112"/>
  <c r="BW560" i="111"/>
  <c r="BO119" i="4"/>
  <c r="BW474" i="111"/>
  <c r="CI256" i="8"/>
  <c r="CE255" i="8"/>
  <c r="CE254" i="8"/>
  <c r="CE7" i="2" s="1"/>
  <c r="CE257" i="8"/>
  <c r="BT498" i="111"/>
  <c r="BR56" i="112"/>
  <c r="BV445" i="111"/>
  <c r="Z13" i="111"/>
  <c r="AB17" i="71"/>
  <c r="AB14" i="71"/>
  <c r="Z101" i="111"/>
  <c r="Z141" i="111"/>
  <c r="BV472" i="111"/>
  <c r="BX464" i="111"/>
  <c r="BL42" i="2"/>
  <c r="BL10" i="2"/>
  <c r="BL70" i="4"/>
  <c r="BR233" i="112"/>
  <c r="BY433" i="111"/>
  <c r="BL11" i="4"/>
  <c r="BW493" i="111"/>
  <c r="BO29" i="4"/>
  <c r="BS116" i="112"/>
  <c r="BS108" i="112" s="1"/>
  <c r="BO43" i="4"/>
  <c r="BO69" i="4"/>
  <c r="BT145" i="2"/>
  <c r="BR229" i="112"/>
  <c r="BR33" i="2" s="1"/>
  <c r="CI264" i="8"/>
  <c r="CI16" i="2" s="1"/>
  <c r="CI267" i="8"/>
  <c r="CM266" i="8"/>
  <c r="CI265" i="8"/>
  <c r="BS114" i="112"/>
  <c r="BQ261" i="112"/>
  <c r="Z9" i="111"/>
  <c r="Z10" i="46"/>
  <c r="BV443" i="111"/>
  <c r="BL17" i="2"/>
  <c r="BL83" i="4"/>
  <c r="BQ38" i="112"/>
  <c r="Z38" i="11" s="1"/>
  <c r="BQ42" i="112"/>
  <c r="BQ25" i="112"/>
  <c r="Z12" i="111"/>
  <c r="Z17" i="11"/>
  <c r="AB16" i="71"/>
  <c r="AB13" i="71"/>
  <c r="BX459" i="111"/>
  <c r="BP143" i="8"/>
  <c r="BP144" i="8" s="1"/>
  <c r="BP7" i="4"/>
  <c r="BP58" i="112"/>
  <c r="BP39" i="112"/>
  <c r="BQ105" i="112"/>
  <c r="BQ109" i="112"/>
  <c r="Z872" i="111"/>
  <c r="Z882" i="111" s="1"/>
  <c r="Z887" i="111" s="1"/>
  <c r="BS76" i="112"/>
  <c r="BS78" i="112" s="1"/>
  <c r="BS79" i="112" s="1"/>
  <c r="CE451" i="111" s="1"/>
  <c r="BT81" i="112"/>
  <c r="BT83" i="112" s="1"/>
  <c r="BO8" i="2"/>
  <c r="BO19" i="2"/>
  <c r="BO24" i="2"/>
  <c r="BO15" i="2"/>
  <c r="BO10" i="4"/>
  <c r="BW456" i="111"/>
  <c r="BZ432" i="111"/>
  <c r="BZ433" i="111" s="1"/>
  <c r="BR225" i="112"/>
  <c r="Z102" i="111"/>
  <c r="Z142" i="111"/>
  <c r="BQ170" i="112"/>
  <c r="BQ250" i="112"/>
  <c r="BQ189" i="112"/>
  <c r="BQ193" i="112"/>
  <c r="BR156" i="112"/>
  <c r="Y194" i="111"/>
  <c r="Y81" i="11"/>
  <c r="AA24" i="71"/>
  <c r="Y22" i="46"/>
  <c r="Y26" i="46" s="1"/>
  <c r="CC450" i="111"/>
  <c r="BL111" i="4"/>
  <c r="BM111" i="4"/>
  <c r="BR108" i="112"/>
  <c r="BR114" i="112"/>
  <c r="BY435" i="111"/>
  <c r="BS9" i="112"/>
  <c r="BT14" i="112"/>
  <c r="BT16" i="112" s="1"/>
  <c r="BL303" i="112"/>
  <c r="BR263" i="112"/>
  <c r="BP238" i="8"/>
  <c r="BP27" i="4"/>
  <c r="Q7" i="27"/>
  <c r="BW495" i="111"/>
  <c r="BO31" i="4"/>
  <c r="BY428" i="111"/>
  <c r="Z5" i="11"/>
  <c r="BQ226" i="112"/>
  <c r="Y132" i="11"/>
  <c r="Y71" i="11"/>
  <c r="Y61" i="11"/>
  <c r="BT85" i="112"/>
  <c r="BT87" i="112" s="1"/>
  <c r="BT119" i="112" s="1"/>
  <c r="BT120" i="112" s="1"/>
  <c r="BX440" i="111"/>
  <c r="BX469" i="111"/>
  <c r="BP26" i="112"/>
  <c r="BT44" i="112"/>
  <c r="BZ434" i="111"/>
  <c r="BZ435" i="111" s="1"/>
  <c r="BL115" i="4"/>
  <c r="BU498" i="111"/>
  <c r="BR38" i="112"/>
  <c r="BR42" i="112"/>
  <c r="BR25" i="112"/>
  <c r="BZ430" i="111"/>
  <c r="BZ431" i="111" s="1"/>
  <c r="BV495" i="111"/>
  <c r="BN31" i="4"/>
  <c r="BX444" i="111"/>
  <c r="BX473" i="111"/>
  <c r="BP94" i="112"/>
  <c r="BP95" i="112" s="1"/>
  <c r="BP93" i="112"/>
  <c r="BT111" i="112"/>
  <c r="BN244" i="8"/>
  <c r="BN26" i="4"/>
  <c r="BV462" i="111"/>
  <c r="BR11" i="112"/>
  <c r="BR12" i="112" s="1"/>
  <c r="CD449" i="111" s="1"/>
  <c r="BW438" i="111"/>
  <c r="BO239" i="112"/>
  <c r="BS52" i="112"/>
  <c r="BS55" i="112"/>
  <c r="Y130" i="11"/>
  <c r="BK291" i="112"/>
  <c r="BK214" i="8" s="1"/>
  <c r="BR192" i="112"/>
  <c r="BR253" i="112"/>
  <c r="BR198" i="112"/>
  <c r="BR157" i="112"/>
  <c r="BT150" i="112"/>
  <c r="BT152" i="112" s="1"/>
  <c r="BT203" i="112" s="1"/>
  <c r="BS232" i="112"/>
  <c r="BW494" i="111"/>
  <c r="BO30" i="4"/>
  <c r="BO306" i="112"/>
  <c r="BS253" i="112"/>
  <c r="Z100" i="111"/>
  <c r="Z140" i="111"/>
  <c r="CU33" i="112"/>
  <c r="Z7" i="111"/>
  <c r="Z8" i="46"/>
  <c r="BO50" i="2"/>
  <c r="BO54" i="2"/>
  <c r="BO6" i="4"/>
  <c r="CI278" i="8"/>
  <c r="CM277" i="8"/>
  <c r="CM287" i="8" s="1"/>
  <c r="CI276" i="8"/>
  <c r="CI275" i="8"/>
  <c r="CI36" i="2" s="1"/>
  <c r="BT18" i="112"/>
  <c r="BT20" i="112" s="1"/>
  <c r="BT146" i="112"/>
  <c r="BT148" i="112" s="1"/>
  <c r="BS141" i="112"/>
  <c r="BS143" i="112" s="1"/>
  <c r="BS144" i="112" s="1"/>
  <c r="BW196" i="112" s="1"/>
  <c r="CE450" i="111" s="1"/>
  <c r="BS228" i="112"/>
  <c r="CU29" i="112"/>
  <c r="BT439" i="111"/>
  <c r="BR53" i="112"/>
  <c r="BR260" i="112"/>
  <c r="BR261" i="112" s="1"/>
  <c r="BV474" i="111"/>
  <c r="BW445" i="111"/>
  <c r="CM261" i="8"/>
  <c r="CI260" i="8"/>
  <c r="CI259" i="8"/>
  <c r="CI9" i="2" s="1"/>
  <c r="CI262" i="8"/>
  <c r="BQ264" i="112"/>
  <c r="BS484" i="111"/>
  <c r="BK219" i="8"/>
  <c r="CU174" i="112"/>
  <c r="BV493" i="111"/>
  <c r="BN29" i="4"/>
  <c r="BS152" i="112"/>
  <c r="BS203" i="112" s="1"/>
  <c r="Z8" i="111"/>
  <c r="Z9" i="46"/>
  <c r="BO59" i="112"/>
  <c r="BQ33" i="2"/>
  <c r="BQ32" i="2" s="1"/>
  <c r="Z870" i="111"/>
  <c r="Z880" i="111" s="1"/>
  <c r="Z885" i="111" s="1"/>
  <c r="BY431" i="111"/>
  <c r="BV454" i="111"/>
  <c r="BN6" i="2"/>
  <c r="BN19" i="2"/>
  <c r="BN35" i="2"/>
  <c r="BN11" i="2"/>
  <c r="BN71" i="4" s="1"/>
  <c r="BN5" i="4"/>
  <c r="BN241" i="112"/>
  <c r="BN242" i="112" s="1"/>
  <c r="BN238" i="112"/>
  <c r="BN246" i="112"/>
  <c r="BN283" i="112"/>
  <c r="BN308" i="112"/>
  <c r="BN247" i="112"/>
  <c r="BS148" i="112"/>
  <c r="CU126" i="112"/>
  <c r="BR158" i="112"/>
  <c r="L39" i="71" l="1"/>
  <c r="AA8" i="71"/>
  <c r="AA19" i="71"/>
  <c r="BP164" i="112"/>
  <c r="BP165" i="112"/>
  <c r="BU439" i="111"/>
  <c r="BP189" i="8"/>
  <c r="BP190" i="8" s="1"/>
  <c r="Q135" i="27"/>
  <c r="BX429" i="111"/>
  <c r="BM70" i="4"/>
  <c r="Y131" i="11" s="1"/>
  <c r="Y138" i="11"/>
  <c r="Y11" i="46"/>
  <c r="BO11" i="4"/>
  <c r="BO13" i="4" s="1"/>
  <c r="BM11" i="4"/>
  <c r="BM17" i="2"/>
  <c r="AR41" i="71"/>
  <c r="Q8" i="27"/>
  <c r="BM26" i="2"/>
  <c r="Y183" i="11" s="1"/>
  <c r="Y206" i="111"/>
  <c r="Y211" i="111" s="1"/>
  <c r="AA29" i="71"/>
  <c r="BU505" i="111"/>
  <c r="BU560" i="111"/>
  <c r="BM119" i="4"/>
  <c r="BN287" i="112"/>
  <c r="BN296" i="112" s="1"/>
  <c r="BN306" i="112"/>
  <c r="BN299" i="112"/>
  <c r="BN300" i="112" s="1"/>
  <c r="BN224" i="8" s="1"/>
  <c r="BM288" i="112"/>
  <c r="BU563" i="111" s="1"/>
  <c r="BM296" i="112"/>
  <c r="BM297" i="112" s="1"/>
  <c r="BP251" i="112"/>
  <c r="BP269" i="112" s="1"/>
  <c r="BN208" i="112"/>
  <c r="BL27" i="2"/>
  <c r="BM300" i="112"/>
  <c r="BM224" i="8" s="1"/>
  <c r="BP257" i="112"/>
  <c r="BP258" i="112" s="1"/>
  <c r="CM286" i="8"/>
  <c r="CM288" i="8"/>
  <c r="CM285" i="8"/>
  <c r="CM46" i="2" s="1"/>
  <c r="Q70" i="27"/>
  <c r="BX442" i="111"/>
  <c r="BX443" i="111" s="1"/>
  <c r="BT195" i="112"/>
  <c r="BT198" i="112" s="1"/>
  <c r="BP171" i="112"/>
  <c r="BQ265" i="112"/>
  <c r="BX461" i="111"/>
  <c r="BP190" i="112"/>
  <c r="BP207" i="112"/>
  <c r="BP305" i="112" s="1"/>
  <c r="BP8" i="4"/>
  <c r="BQ164" i="112"/>
  <c r="BQ165" i="112"/>
  <c r="BN59" i="112"/>
  <c r="BN124" i="112"/>
  <c r="BM15" i="4"/>
  <c r="Z40" i="11"/>
  <c r="BS156" i="112"/>
  <c r="BU504" i="111"/>
  <c r="BU18" i="112"/>
  <c r="BU20" i="112" s="1"/>
  <c r="BS157" i="112"/>
  <c r="BT114" i="112"/>
  <c r="BX470" i="111"/>
  <c r="AO59" i="71"/>
  <c r="Q46" i="27"/>
  <c r="R98" i="27"/>
  <c r="R133" i="27"/>
  <c r="AB15" i="71"/>
  <c r="AB12" i="71"/>
  <c r="Z7" i="46"/>
  <c r="Q66" i="27"/>
  <c r="BY442" i="111"/>
  <c r="BY471" i="111"/>
  <c r="BQ171" i="112"/>
  <c r="BU195" i="112"/>
  <c r="BO17" i="2"/>
  <c r="BO83" i="4"/>
  <c r="CA434" i="111"/>
  <c r="CA435" i="111" s="1"/>
  <c r="BX454" i="111"/>
  <c r="BP6" i="2"/>
  <c r="BP35" i="2"/>
  <c r="BP31" i="2" s="1"/>
  <c r="BP42" i="2" s="1"/>
  <c r="BP11" i="2"/>
  <c r="BP71" i="4" s="1"/>
  <c r="BP5" i="4"/>
  <c r="BP238" i="112"/>
  <c r="BP246" i="112"/>
  <c r="BP241" i="112"/>
  <c r="BP242" i="112" s="1"/>
  <c r="BP283" i="112"/>
  <c r="BP293" i="112"/>
  <c r="BP308" i="112"/>
  <c r="R134" i="27"/>
  <c r="BS105" i="112"/>
  <c r="BS109" i="112"/>
  <c r="BL13" i="4"/>
  <c r="BL12" i="4"/>
  <c r="BS41" i="112"/>
  <c r="BS158" i="112"/>
  <c r="BN43" i="4"/>
  <c r="BN69" i="4"/>
  <c r="BS229" i="112"/>
  <c r="BS33" i="2" s="1"/>
  <c r="BS32" i="2" s="1"/>
  <c r="CM275" i="8"/>
  <c r="CM36" i="2" s="1"/>
  <c r="CM278" i="8"/>
  <c r="CQ277" i="8"/>
  <c r="CQ287" i="8" s="1"/>
  <c r="CM276" i="8"/>
  <c r="BZ440" i="111"/>
  <c r="BZ441" i="111" s="1"/>
  <c r="BZ469" i="111"/>
  <c r="BZ470" i="111" s="1"/>
  <c r="BR26" i="112"/>
  <c r="BV44" i="112"/>
  <c r="BV46" i="112" s="1"/>
  <c r="BX441" i="111"/>
  <c r="BY429" i="111"/>
  <c r="BW500" i="111"/>
  <c r="Y199" i="111"/>
  <c r="Y214" i="111"/>
  <c r="Y200" i="111"/>
  <c r="Y201" i="111"/>
  <c r="BY463" i="111"/>
  <c r="BQ169" i="8"/>
  <c r="BQ170" i="8" s="1"/>
  <c r="BQ9" i="4"/>
  <c r="BQ92" i="112"/>
  <c r="BQ123" i="112"/>
  <c r="BQ106" i="112"/>
  <c r="Z39" i="11"/>
  <c r="BP232" i="8"/>
  <c r="BP25" i="4"/>
  <c r="BY440" i="111"/>
  <c r="BY469" i="111"/>
  <c r="BQ26" i="112"/>
  <c r="BU44" i="112"/>
  <c r="BU46" i="112" s="1"/>
  <c r="BR32" i="2"/>
  <c r="BT503" i="111"/>
  <c r="BV438" i="111"/>
  <c r="BN239" i="112"/>
  <c r="BN20" i="2"/>
  <c r="BN85" i="4"/>
  <c r="BT200" i="112"/>
  <c r="BS255" i="112"/>
  <c r="BS254" i="112"/>
  <c r="BW499" i="111"/>
  <c r="Y332" i="111"/>
  <c r="Y382" i="111"/>
  <c r="Y333" i="111"/>
  <c r="Q44" i="27"/>
  <c r="BV500" i="111"/>
  <c r="BU503" i="111"/>
  <c r="BT49" i="112"/>
  <c r="BT41" i="112" s="1"/>
  <c r="Y204" i="111"/>
  <c r="Y209" i="111" s="1"/>
  <c r="AA28" i="71"/>
  <c r="BZ428" i="111"/>
  <c r="BZ429" i="111" s="1"/>
  <c r="BR226" i="112"/>
  <c r="BO21" i="2"/>
  <c r="BO85" i="4"/>
  <c r="Z127" i="111"/>
  <c r="Z61" i="111"/>
  <c r="Z67" i="111" s="1"/>
  <c r="AB20" i="71"/>
  <c r="Z16" i="46"/>
  <c r="Z26" i="11"/>
  <c r="BL86" i="4"/>
  <c r="BL113" i="4"/>
  <c r="BU145" i="2"/>
  <c r="BL112" i="4"/>
  <c r="BO123" i="4"/>
  <c r="BV448" i="111"/>
  <c r="BN218" i="8"/>
  <c r="BN22" i="4"/>
  <c r="BN54" i="2"/>
  <c r="BN50" i="2"/>
  <c r="BN6" i="4"/>
  <c r="BV456" i="111"/>
  <c r="BV498" i="111"/>
  <c r="CQ261" i="8"/>
  <c r="CM260" i="8"/>
  <c r="CM259" i="8"/>
  <c r="CM9" i="2" s="1"/>
  <c r="CM262" i="8"/>
  <c r="CA432" i="111"/>
  <c r="CA433" i="111" s="1"/>
  <c r="BS225" i="112"/>
  <c r="BS230" i="112" s="1"/>
  <c r="BX472" i="111"/>
  <c r="BS233" i="112"/>
  <c r="BS56" i="112"/>
  <c r="BX474" i="111"/>
  <c r="BZ459" i="111"/>
  <c r="BZ460" i="111" s="1"/>
  <c r="BR143" i="8"/>
  <c r="BR144" i="8" s="1"/>
  <c r="BR7" i="4"/>
  <c r="BR58" i="112"/>
  <c r="BR39" i="112"/>
  <c r="BU14" i="112"/>
  <c r="BU16" i="112" s="1"/>
  <c r="BT9" i="112"/>
  <c r="BT11" i="112" s="1"/>
  <c r="BT12" i="112" s="1"/>
  <c r="CF449" i="111" s="1"/>
  <c r="BR105" i="112"/>
  <c r="BR109" i="112"/>
  <c r="BR154" i="112"/>
  <c r="BO10" i="2"/>
  <c r="BO70" i="4"/>
  <c r="BS234" i="112"/>
  <c r="BS200" i="112"/>
  <c r="BS192" i="112" s="1"/>
  <c r="BN8" i="2"/>
  <c r="BN24" i="2"/>
  <c r="BN15" i="2"/>
  <c r="BN10" i="4"/>
  <c r="BU146" i="112"/>
  <c r="BT141" i="112"/>
  <c r="BT228" i="112"/>
  <c r="BT204" i="112"/>
  <c r="BR254" i="112"/>
  <c r="BR255" i="112"/>
  <c r="BK215" i="8"/>
  <c r="BK217" i="8"/>
  <c r="BK216" i="8"/>
  <c r="BO216" i="8" s="1"/>
  <c r="BS260" i="112"/>
  <c r="BS261" i="112" s="1"/>
  <c r="BS53" i="112"/>
  <c r="BW439" i="111"/>
  <c r="BN302" i="112"/>
  <c r="BX445" i="111"/>
  <c r="BT46" i="112"/>
  <c r="Y62" i="11"/>
  <c r="BR264" i="112"/>
  <c r="CA430" i="111"/>
  <c r="CA431" i="111" s="1"/>
  <c r="BY461" i="111"/>
  <c r="BQ189" i="8"/>
  <c r="BQ190" i="8" s="1"/>
  <c r="BQ8" i="4"/>
  <c r="BQ207" i="112"/>
  <c r="BQ190" i="112"/>
  <c r="BT116" i="112"/>
  <c r="BT108" i="112" s="1"/>
  <c r="BX448" i="111"/>
  <c r="Y136" i="11"/>
  <c r="BM86" i="4"/>
  <c r="BM113" i="4"/>
  <c r="BY459" i="111"/>
  <c r="BQ143" i="8"/>
  <c r="BQ144" i="8" s="1"/>
  <c r="BQ7" i="4"/>
  <c r="BQ58" i="112"/>
  <c r="BQ39" i="112"/>
  <c r="BQ245" i="112"/>
  <c r="BO26" i="2"/>
  <c r="BN31" i="2"/>
  <c r="BS204" i="112"/>
  <c r="BS263" i="112"/>
  <c r="BK220" i="8"/>
  <c r="BK222" i="8"/>
  <c r="BK221" i="8"/>
  <c r="BO221" i="8" s="1"/>
  <c r="BT52" i="112"/>
  <c r="BT55" i="112"/>
  <c r="BT56" i="112" s="1"/>
  <c r="BU150" i="112"/>
  <c r="BU152" i="112" s="1"/>
  <c r="BU203" i="112" s="1"/>
  <c r="BT232" i="112"/>
  <c r="BR170" i="112"/>
  <c r="BR250" i="112"/>
  <c r="BR265" i="112" s="1"/>
  <c r="BR189" i="112"/>
  <c r="BR193" i="112"/>
  <c r="BS155" i="112"/>
  <c r="BV494" i="111"/>
  <c r="BN30" i="4"/>
  <c r="BS11" i="112"/>
  <c r="BS12" i="112" s="1"/>
  <c r="CE449" i="111" s="1"/>
  <c r="Z29" i="11"/>
  <c r="BU85" i="112"/>
  <c r="BU87" i="112" s="1"/>
  <c r="BU119" i="112" s="1"/>
  <c r="BU120" i="112" s="1"/>
  <c r="BR230" i="112"/>
  <c r="BX495" i="111"/>
  <c r="BP31" i="4"/>
  <c r="BQ257" i="112"/>
  <c r="BQ258" i="112" s="1"/>
  <c r="BQ251" i="112"/>
  <c r="BQ269" i="112" s="1"/>
  <c r="BT76" i="112"/>
  <c r="BT78" i="112" s="1"/>
  <c r="BT79" i="112" s="1"/>
  <c r="CF451" i="111" s="1"/>
  <c r="BU81" i="112"/>
  <c r="BU83" i="112" s="1"/>
  <c r="BX460" i="111"/>
  <c r="CM265" i="8"/>
  <c r="CM264" i="8"/>
  <c r="CM16" i="2" s="1"/>
  <c r="CM267" i="8"/>
  <c r="CQ266" i="8"/>
  <c r="BW498" i="111"/>
  <c r="BT560" i="111"/>
  <c r="BL41" i="2"/>
  <c r="BL119" i="4"/>
  <c r="CM256" i="8"/>
  <c r="CI255" i="8"/>
  <c r="CI254" i="8"/>
  <c r="CI7" i="2" s="1"/>
  <c r="CI257" i="8"/>
  <c r="Z281" i="111"/>
  <c r="Z284" i="111" s="1"/>
  <c r="BM27" i="2" l="1"/>
  <c r="BO12" i="4"/>
  <c r="BM12" i="4"/>
  <c r="BM20" i="4"/>
  <c r="BM18" i="4"/>
  <c r="BM19" i="4" s="1"/>
  <c r="Z28" i="11"/>
  <c r="BP165" i="2"/>
  <c r="BP162" i="2" s="1"/>
  <c r="BM112" i="4"/>
  <c r="Q67" i="27" s="1"/>
  <c r="BM13" i="4"/>
  <c r="BM28" i="2"/>
  <c r="BU481" i="111"/>
  <c r="BM123" i="4"/>
  <c r="BP244" i="8"/>
  <c r="BP26" i="4"/>
  <c r="BX494" i="111" s="1"/>
  <c r="CQ286" i="8"/>
  <c r="CQ288" i="8"/>
  <c r="CQ285" i="8"/>
  <c r="CQ46" i="2" s="1"/>
  <c r="BT192" i="112"/>
  <c r="BT189" i="112" s="1"/>
  <c r="BT253" i="112"/>
  <c r="BT254" i="112" s="1"/>
  <c r="BX462" i="111"/>
  <c r="BN16" i="4"/>
  <c r="BQ165" i="2"/>
  <c r="BQ162" i="2" s="1"/>
  <c r="BU477" i="111"/>
  <c r="BU478" i="111" s="1"/>
  <c r="BR245" i="112"/>
  <c r="BR241" i="112" s="1"/>
  <c r="BR242" i="112" s="1"/>
  <c r="BT155" i="112"/>
  <c r="Q68" i="27"/>
  <c r="BO115" i="4"/>
  <c r="Z63" i="111"/>
  <c r="Z69" i="111" s="1"/>
  <c r="AB22" i="71"/>
  <c r="Z128" i="111"/>
  <c r="Z18" i="46"/>
  <c r="BQ247" i="112"/>
  <c r="BN115" i="4"/>
  <c r="BN26" i="2"/>
  <c r="BO27" i="2" s="1"/>
  <c r="AA875" i="111"/>
  <c r="BT105" i="112"/>
  <c r="BT109" i="112"/>
  <c r="CU266" i="8"/>
  <c r="CQ265" i="8"/>
  <c r="CQ264" i="8"/>
  <c r="CQ16" i="2" s="1"/>
  <c r="CQ267" i="8"/>
  <c r="BU116" i="112"/>
  <c r="BT260" i="112"/>
  <c r="BT261" i="112" s="1"/>
  <c r="BT53" i="112"/>
  <c r="BS264" i="112"/>
  <c r="BT229" i="112"/>
  <c r="BT33" i="2" s="1"/>
  <c r="BS189" i="112"/>
  <c r="BS193" i="112"/>
  <c r="BS170" i="112"/>
  <c r="BS250" i="112"/>
  <c r="BS265" i="112" s="1"/>
  <c r="BZ463" i="111"/>
  <c r="BZ464" i="111" s="1"/>
  <c r="BR169" i="8"/>
  <c r="BR170" i="8" s="1"/>
  <c r="BR9" i="4"/>
  <c r="BR92" i="112"/>
  <c r="BR123" i="112"/>
  <c r="BR106" i="112"/>
  <c r="BS154" i="112"/>
  <c r="BN11" i="4"/>
  <c r="Y384" i="111"/>
  <c r="Q45" i="27"/>
  <c r="BY470" i="111"/>
  <c r="BY444" i="111"/>
  <c r="BY473" i="111"/>
  <c r="BQ94" i="112"/>
  <c r="BQ95" i="112" s="1"/>
  <c r="BQ93" i="112"/>
  <c r="BU111" i="112"/>
  <c r="BU253" i="112" s="1"/>
  <c r="BW505" i="111"/>
  <c r="BR165" i="112"/>
  <c r="BP8" i="2"/>
  <c r="BP19" i="2"/>
  <c r="BP24" i="2"/>
  <c r="BP15" i="2"/>
  <c r="BP10" i="4"/>
  <c r="BP50" i="2"/>
  <c r="BP54" i="2"/>
  <c r="BP6" i="4"/>
  <c r="BY472" i="111"/>
  <c r="Y154" i="11"/>
  <c r="BT157" i="112"/>
  <c r="AA11" i="11"/>
  <c r="BV81" i="112"/>
  <c r="BU76" i="112"/>
  <c r="BU78" i="112" s="1"/>
  <c r="BU79" i="112" s="1"/>
  <c r="CG451" i="111" s="1"/>
  <c r="BU204" i="112"/>
  <c r="BY454" i="111"/>
  <c r="BX455" i="111" s="1"/>
  <c r="BQ11" i="2"/>
  <c r="BQ6" i="2"/>
  <c r="BQ35" i="2"/>
  <c r="BQ5" i="4"/>
  <c r="BQ238" i="112"/>
  <c r="BQ246" i="112"/>
  <c r="BQ241" i="112"/>
  <c r="BQ242" i="112" s="1"/>
  <c r="BQ283" i="112"/>
  <c r="BQ290" i="112"/>
  <c r="BQ293" i="112"/>
  <c r="BQ308" i="112"/>
  <c r="BW477" i="111"/>
  <c r="CB432" i="111"/>
  <c r="CB433" i="111" s="1"/>
  <c r="BT225" i="112"/>
  <c r="BT230" i="112" s="1"/>
  <c r="BR25" i="4"/>
  <c r="BT143" i="112"/>
  <c r="BT144" i="112" s="1"/>
  <c r="BX196" i="112" s="1"/>
  <c r="CF450" i="111" s="1"/>
  <c r="BT156" i="112"/>
  <c r="BV439" i="111"/>
  <c r="BY441" i="111"/>
  <c r="Z129" i="111"/>
  <c r="Z62" i="111"/>
  <c r="Z68" i="111" s="1"/>
  <c r="AB21" i="71"/>
  <c r="Z17" i="46"/>
  <c r="Z27" i="11"/>
  <c r="BO111" i="4"/>
  <c r="BN111" i="4"/>
  <c r="BY443" i="111"/>
  <c r="BR164" i="112"/>
  <c r="AA12" i="11"/>
  <c r="BV146" i="112"/>
  <c r="BV148" i="112" s="1"/>
  <c r="BU141" i="112"/>
  <c r="BU228" i="112"/>
  <c r="BN17" i="2"/>
  <c r="BN83" i="4"/>
  <c r="BO113" i="4" s="1"/>
  <c r="CU261" i="8"/>
  <c r="CQ260" i="8"/>
  <c r="CQ259" i="8"/>
  <c r="CQ9" i="2" s="1"/>
  <c r="CQ262" i="8"/>
  <c r="BT38" i="112"/>
  <c r="BT42" i="112"/>
  <c r="BT25" i="112"/>
  <c r="CQ275" i="8"/>
  <c r="CQ36" i="2" s="1"/>
  <c r="CQ278" i="8"/>
  <c r="CU277" i="8"/>
  <c r="CU287" i="8" s="1"/>
  <c r="CQ276" i="8"/>
  <c r="BS38" i="112"/>
  <c r="BS42" i="112"/>
  <c r="BS25" i="112"/>
  <c r="BX560" i="111"/>
  <c r="BP119" i="4"/>
  <c r="BU52" i="112"/>
  <c r="BU55" i="112"/>
  <c r="BU56" i="112" s="1"/>
  <c r="CB434" i="111"/>
  <c r="CB435" i="111" s="1"/>
  <c r="BZ461" i="111"/>
  <c r="BZ462" i="111" s="1"/>
  <c r="BR189" i="8"/>
  <c r="BR190" i="8" s="1"/>
  <c r="BR8" i="4"/>
  <c r="BR207" i="112"/>
  <c r="BR190" i="112"/>
  <c r="AA16" i="11"/>
  <c r="BV150" i="112"/>
  <c r="BU232" i="112"/>
  <c r="BU234" i="112" s="1"/>
  <c r="BS221" i="8"/>
  <c r="BO220" i="8"/>
  <c r="BO219" i="8"/>
  <c r="BO294" i="112" s="1"/>
  <c r="BO222" i="8"/>
  <c r="BN42" i="2"/>
  <c r="BO28" i="2"/>
  <c r="BY460" i="111"/>
  <c r="BN303" i="112"/>
  <c r="CB430" i="111"/>
  <c r="CB431" i="111" s="1"/>
  <c r="BV505" i="111"/>
  <c r="BP302" i="112"/>
  <c r="BP306" i="112"/>
  <c r="BP124" i="112"/>
  <c r="BY464" i="111"/>
  <c r="CA463" i="111"/>
  <c r="CA464" i="111" s="1"/>
  <c r="BS169" i="8"/>
  <c r="BS170" i="8" s="1"/>
  <c r="BS9" i="4"/>
  <c r="BS106" i="112"/>
  <c r="BS92" i="112"/>
  <c r="BS123" i="112"/>
  <c r="BP69" i="4"/>
  <c r="AA14" i="11"/>
  <c r="BV18" i="112"/>
  <c r="BV20" i="112" s="1"/>
  <c r="CM254" i="8"/>
  <c r="CM7" i="2" s="1"/>
  <c r="CM257" i="8"/>
  <c r="CQ256" i="8"/>
  <c r="CM255" i="8"/>
  <c r="BT233" i="112"/>
  <c r="AB10" i="71"/>
  <c r="Z13" i="46"/>
  <c r="BY462" i="111"/>
  <c r="AA876" i="111"/>
  <c r="Y157" i="11"/>
  <c r="Q73" i="27"/>
  <c r="Q77" i="27" s="1"/>
  <c r="BL123" i="4"/>
  <c r="BW503" i="111"/>
  <c r="BM44" i="2"/>
  <c r="BL74" i="4"/>
  <c r="BN10" i="2"/>
  <c r="BN70" i="4"/>
  <c r="BU49" i="112"/>
  <c r="BU41" i="112" s="1"/>
  <c r="BT234" i="112"/>
  <c r="BV503" i="111"/>
  <c r="BV145" i="2"/>
  <c r="BP208" i="112"/>
  <c r="BW504" i="111"/>
  <c r="BP59" i="112"/>
  <c r="BT477" i="111"/>
  <c r="BP43" i="4"/>
  <c r="BX456" i="111"/>
  <c r="BU198" i="112"/>
  <c r="Q50" i="27"/>
  <c r="BX500" i="111"/>
  <c r="BR251" i="112"/>
  <c r="BR269" i="112" s="1"/>
  <c r="BR257" i="112"/>
  <c r="BR258" i="112" s="1"/>
  <c r="AA877" i="111"/>
  <c r="AA15" i="11"/>
  <c r="BV85" i="112"/>
  <c r="BV87" i="112" s="1"/>
  <c r="BV119" i="112" s="1"/>
  <c r="BV120" i="112" s="1"/>
  <c r="BV499" i="111"/>
  <c r="BZ442" i="111"/>
  <c r="BZ443" i="111" s="1"/>
  <c r="BZ471" i="111"/>
  <c r="BZ472" i="111" s="1"/>
  <c r="BR171" i="112"/>
  <c r="BV195" i="112"/>
  <c r="BQ232" i="8"/>
  <c r="BQ25" i="4"/>
  <c r="Z73" i="11" s="1"/>
  <c r="BQ305" i="112"/>
  <c r="BQ59" i="112" s="1"/>
  <c r="BQ244" i="8"/>
  <c r="BQ26" i="4"/>
  <c r="Z75" i="11" s="1"/>
  <c r="Y249" i="111"/>
  <c r="Q136" i="27"/>
  <c r="BT263" i="112"/>
  <c r="BU148" i="112"/>
  <c r="Y184" i="11"/>
  <c r="Y182" i="11"/>
  <c r="AA10" i="11"/>
  <c r="BV14" i="112"/>
  <c r="BV16" i="112" s="1"/>
  <c r="BU9" i="112"/>
  <c r="BU11" i="112" s="1"/>
  <c r="BU12" i="112" s="1"/>
  <c r="CG449" i="111" s="1"/>
  <c r="CA428" i="111"/>
  <c r="CA429" i="111" s="1"/>
  <c r="BS226" i="112"/>
  <c r="BN14" i="4"/>
  <c r="BN288" i="112"/>
  <c r="AB9" i="71"/>
  <c r="Z12" i="46"/>
  <c r="Z36" i="11"/>
  <c r="BR20" i="2"/>
  <c r="BX493" i="111"/>
  <c r="BP29" i="4"/>
  <c r="BQ238" i="8"/>
  <c r="BQ27" i="4"/>
  <c r="BT158" i="112"/>
  <c r="BP218" i="8"/>
  <c r="BP22" i="4"/>
  <c r="BX438" i="111"/>
  <c r="BP239" i="112"/>
  <c r="BU491" i="111" l="1"/>
  <c r="BU537" i="111"/>
  <c r="BM23" i="4"/>
  <c r="BM21" i="4"/>
  <c r="BP30" i="4"/>
  <c r="BS165" i="112"/>
  <c r="BT170" i="112"/>
  <c r="CB442" i="111" s="1"/>
  <c r="CB443" i="111" s="1"/>
  <c r="BU155" i="112"/>
  <c r="BT250" i="112"/>
  <c r="BT251" i="112" s="1"/>
  <c r="BT269" i="112" s="1"/>
  <c r="BT193" i="112"/>
  <c r="CU288" i="8"/>
  <c r="CU286" i="8"/>
  <c r="CU285" i="8"/>
  <c r="CU46" i="2" s="1"/>
  <c r="BR283" i="112"/>
  <c r="BR24" i="2" s="1"/>
  <c r="BU538" i="111"/>
  <c r="BU539" i="111" s="1"/>
  <c r="BR290" i="112"/>
  <c r="BR35" i="2"/>
  <c r="BR31" i="2" s="1"/>
  <c r="BR42" i="2" s="1"/>
  <c r="BR6" i="2"/>
  <c r="BR69" i="4" s="1"/>
  <c r="BR247" i="112"/>
  <c r="BZ448" i="111" s="1"/>
  <c r="BT255" i="112"/>
  <c r="BR293" i="112"/>
  <c r="BR22" i="4" s="1"/>
  <c r="BR5" i="4"/>
  <c r="BR50" i="2" s="1"/>
  <c r="BR246" i="112"/>
  <c r="BR11" i="2"/>
  <c r="BR71" i="4" s="1"/>
  <c r="BR238" i="112"/>
  <c r="BZ438" i="111" s="1"/>
  <c r="BZ439" i="111" s="1"/>
  <c r="BZ454" i="111"/>
  <c r="BZ456" i="111" s="1"/>
  <c r="BR308" i="112"/>
  <c r="BR43" i="4" s="1"/>
  <c r="BN28" i="2"/>
  <c r="BP26" i="2"/>
  <c r="BP28" i="2" s="1"/>
  <c r="BY448" i="111"/>
  <c r="Z60" i="11"/>
  <c r="Z61" i="11" s="1"/>
  <c r="Z83" i="11"/>
  <c r="AB30" i="71" s="1"/>
  <c r="Z24" i="46"/>
  <c r="Z28" i="46" s="1"/>
  <c r="Z195" i="111"/>
  <c r="Z215" i="111" s="1"/>
  <c r="AB26" i="71"/>
  <c r="BQ31" i="2"/>
  <c r="Z282" i="111"/>
  <c r="Z285" i="111" s="1"/>
  <c r="BR165" i="2"/>
  <c r="BR162" i="2" s="1"/>
  <c r="BV455" i="111"/>
  <c r="BW455" i="111"/>
  <c r="BN27" i="2"/>
  <c r="BS164" i="112"/>
  <c r="BQ124" i="112"/>
  <c r="BQ208" i="112"/>
  <c r="BP11" i="4"/>
  <c r="BP12" i="4" s="1"/>
  <c r="BR305" i="112"/>
  <c r="BR306" i="112" s="1"/>
  <c r="BV49" i="112"/>
  <c r="BV41" i="112" s="1"/>
  <c r="Z194" i="111"/>
  <c r="Z81" i="11"/>
  <c r="AB24" i="71"/>
  <c r="Z22" i="46"/>
  <c r="Z26" i="46" s="1"/>
  <c r="BU158" i="112"/>
  <c r="BO112" i="4"/>
  <c r="BN112" i="4"/>
  <c r="BM45" i="2"/>
  <c r="BM38" i="2"/>
  <c r="BU200" i="112"/>
  <c r="BU192" i="112" s="1"/>
  <c r="AA871" i="111" s="1"/>
  <c r="AA881" i="111" s="1"/>
  <c r="AA886" i="111" s="1"/>
  <c r="BN15" i="4"/>
  <c r="BT264" i="112"/>
  <c r="AA23" i="111"/>
  <c r="AL15" i="11"/>
  <c r="BX505" i="111"/>
  <c r="AA21" i="111"/>
  <c r="AL14" i="11"/>
  <c r="BW221" i="8"/>
  <c r="BS220" i="8"/>
  <c r="BS219" i="8"/>
  <c r="BS294" i="112" s="1"/>
  <c r="BS222" i="8"/>
  <c r="BV200" i="112"/>
  <c r="BV192" i="112" s="1"/>
  <c r="BQ43" i="4"/>
  <c r="BQ71" i="4"/>
  <c r="BW81" i="112"/>
  <c r="BW83" i="112" s="1"/>
  <c r="BV76" i="112"/>
  <c r="BV78" i="112" s="1"/>
  <c r="BV79" i="112" s="1"/>
  <c r="CH451" i="111" s="1"/>
  <c r="BY474" i="111"/>
  <c r="CA461" i="111"/>
  <c r="CA462" i="111" s="1"/>
  <c r="BS189" i="8"/>
  <c r="BS190" i="8" s="1"/>
  <c r="BS8" i="4"/>
  <c r="BS190" i="112"/>
  <c r="BS207" i="112"/>
  <c r="CB463" i="111"/>
  <c r="CB464" i="111" s="1"/>
  <c r="BT169" i="8"/>
  <c r="BT170" i="8" s="1"/>
  <c r="BT9" i="4"/>
  <c r="BT106" i="112"/>
  <c r="BT92" i="112"/>
  <c r="BT123" i="112"/>
  <c r="Y28" i="76"/>
  <c r="Y181" i="11"/>
  <c r="AA36" i="71"/>
  <c r="L17" i="71"/>
  <c r="L48" i="71" s="1"/>
  <c r="BU255" i="112"/>
  <c r="BU254" i="112"/>
  <c r="BY495" i="111"/>
  <c r="BQ31" i="4"/>
  <c r="Z74" i="11"/>
  <c r="BN297" i="112"/>
  <c r="BW14" i="112"/>
  <c r="BW16" i="112" s="1"/>
  <c r="BV9" i="112"/>
  <c r="BV11" i="112" s="1"/>
  <c r="BV12" i="112" s="1"/>
  <c r="CH449" i="111" s="1"/>
  <c r="BY494" i="111"/>
  <c r="BQ30" i="4"/>
  <c r="BT478" i="111"/>
  <c r="BM41" i="2"/>
  <c r="BP111" i="4"/>
  <c r="BP303" i="112"/>
  <c r="BV560" i="111"/>
  <c r="BN119" i="4"/>
  <c r="AA13" i="11"/>
  <c r="BU233" i="112"/>
  <c r="BR26" i="4"/>
  <c r="CA459" i="111"/>
  <c r="CA460" i="111" s="1"/>
  <c r="BS143" i="8"/>
  <c r="BS144" i="8" s="1"/>
  <c r="BS7" i="4"/>
  <c r="BS39" i="112"/>
  <c r="BS58" i="112"/>
  <c r="BS245" i="112"/>
  <c r="BS247" i="112" s="1"/>
  <c r="CB469" i="111"/>
  <c r="CB470" i="111" s="1"/>
  <c r="CB440" i="111"/>
  <c r="CB441" i="111" s="1"/>
  <c r="BT26" i="112"/>
  <c r="BX44" i="112"/>
  <c r="BX46" i="112" s="1"/>
  <c r="BN86" i="4"/>
  <c r="BN113" i="4"/>
  <c r="AA17" i="111"/>
  <c r="AL12" i="11"/>
  <c r="AA20" i="11"/>
  <c r="BW478" i="111"/>
  <c r="BQ218" i="8"/>
  <c r="BQ22" i="4"/>
  <c r="BY456" i="111"/>
  <c r="BY455" i="111"/>
  <c r="AA18" i="111"/>
  <c r="AL11" i="11"/>
  <c r="AA19" i="11"/>
  <c r="BY445" i="111"/>
  <c r="CB461" i="111"/>
  <c r="CB462" i="111" s="1"/>
  <c r="BT189" i="8"/>
  <c r="BT190" i="8" s="1"/>
  <c r="BT8" i="4"/>
  <c r="BT207" i="112"/>
  <c r="BT190" i="112"/>
  <c r="AB11" i="71"/>
  <c r="Z14" i="46"/>
  <c r="BU143" i="112"/>
  <c r="BU144" i="112" s="1"/>
  <c r="BY196" i="112" s="1"/>
  <c r="CG450" i="111" s="1"/>
  <c r="BQ287" i="112"/>
  <c r="BQ296" i="112" s="1"/>
  <c r="BY438" i="111"/>
  <c r="BQ239" i="112"/>
  <c r="BU263" i="112"/>
  <c r="BP17" i="2"/>
  <c r="BP83" i="4"/>
  <c r="BT32" i="2"/>
  <c r="BW145" i="2"/>
  <c r="BV232" i="112"/>
  <c r="BW150" i="112"/>
  <c r="BW152" i="112" s="1"/>
  <c r="BW203" i="112" s="1"/>
  <c r="BX498" i="111"/>
  <c r="BV152" i="112"/>
  <c r="BV203" i="112" s="1"/>
  <c r="AA870" i="111"/>
  <c r="AA880" i="111" s="1"/>
  <c r="AA885" i="111" s="1"/>
  <c r="CU276" i="8"/>
  <c r="CU275" i="8"/>
  <c r="CU36" i="2" s="1"/>
  <c r="CU278" i="8"/>
  <c r="CB459" i="111"/>
  <c r="CB460" i="111" s="1"/>
  <c r="BT143" i="8"/>
  <c r="BT144" i="8" s="1"/>
  <c r="BT7" i="4"/>
  <c r="BT245" i="112"/>
  <c r="BT39" i="112"/>
  <c r="BT58" i="112"/>
  <c r="AA9" i="11"/>
  <c r="BU229" i="112"/>
  <c r="BU33" i="2" s="1"/>
  <c r="BU32" i="2" s="1"/>
  <c r="BZ493" i="111"/>
  <c r="BZ498" i="111" s="1"/>
  <c r="BZ503" i="111" s="1"/>
  <c r="BR29" i="4"/>
  <c r="CB428" i="111"/>
  <c r="CB429" i="111" s="1"/>
  <c r="BT226" i="112"/>
  <c r="BQ15" i="2"/>
  <c r="BQ8" i="2"/>
  <c r="BQ19" i="2"/>
  <c r="BQ24" i="2"/>
  <c r="BQ10" i="4"/>
  <c r="BQ50" i="2"/>
  <c r="BQ54" i="2"/>
  <c r="BQ6" i="4"/>
  <c r="BU157" i="112"/>
  <c r="BU108" i="112"/>
  <c r="BU114" i="112"/>
  <c r="BR27" i="4"/>
  <c r="BS251" i="112"/>
  <c r="BS269" i="112" s="1"/>
  <c r="BS257" i="112"/>
  <c r="BS258" i="112" s="1"/>
  <c r="BL214" i="8"/>
  <c r="BL215" i="8"/>
  <c r="BL217" i="8"/>
  <c r="CU265" i="8"/>
  <c r="CU264" i="8"/>
  <c r="CU16" i="2" s="1"/>
  <c r="CU267" i="8"/>
  <c r="BR15" i="2"/>
  <c r="BR8" i="2"/>
  <c r="BX499" i="111"/>
  <c r="BV481" i="111"/>
  <c r="BV563" i="111"/>
  <c r="AA16" i="111"/>
  <c r="AL10" i="11"/>
  <c r="AA18" i="11"/>
  <c r="BU25" i="112"/>
  <c r="BU38" i="112"/>
  <c r="BU42" i="112"/>
  <c r="Z12" i="76"/>
  <c r="Z37" i="11"/>
  <c r="M9" i="71"/>
  <c r="R6" i="27"/>
  <c r="AB18" i="71"/>
  <c r="AS11" i="71"/>
  <c r="Z15" i="46"/>
  <c r="Z20" i="46" s="1"/>
  <c r="Z25" i="11"/>
  <c r="BV52" i="112"/>
  <c r="BV55" i="112"/>
  <c r="BV56" i="112" s="1"/>
  <c r="BS27" i="4"/>
  <c r="CU259" i="8"/>
  <c r="CU9" i="2" s="1"/>
  <c r="CU262" i="8"/>
  <c r="CU260" i="8"/>
  <c r="CC432" i="111"/>
  <c r="CC433" i="111" s="1"/>
  <c r="AA8" i="11"/>
  <c r="BU225" i="112"/>
  <c r="BU230" i="112" s="1"/>
  <c r="BU156" i="112"/>
  <c r="BT154" i="112"/>
  <c r="CC434" i="111"/>
  <c r="CC435" i="111" s="1"/>
  <c r="AA7" i="11"/>
  <c r="Y27" i="76"/>
  <c r="BP21" i="2"/>
  <c r="BP85" i="4"/>
  <c r="BZ473" i="111"/>
  <c r="BZ474" i="111" s="1"/>
  <c r="BZ444" i="111"/>
  <c r="BZ445" i="111" s="1"/>
  <c r="BR93" i="112"/>
  <c r="BR94" i="112"/>
  <c r="BR95" i="112" s="1"/>
  <c r="BV111" i="112"/>
  <c r="BV253" i="112" s="1"/>
  <c r="CA442" i="111"/>
  <c r="CA443" i="111" s="1"/>
  <c r="CA471" i="111"/>
  <c r="CA472" i="111" s="1"/>
  <c r="BS171" i="112"/>
  <c r="BW195" i="112"/>
  <c r="BS216" i="8"/>
  <c r="BO214" i="8"/>
  <c r="BO291" i="112" s="1"/>
  <c r="BO290" i="112" s="1"/>
  <c r="BO215" i="8"/>
  <c r="BO217" i="8"/>
  <c r="BY493" i="111"/>
  <c r="BQ29" i="4"/>
  <c r="BV504" i="111"/>
  <c r="BX439" i="111"/>
  <c r="BV20" i="2"/>
  <c r="BZ20" i="2" s="1"/>
  <c r="CD20" i="2" s="1"/>
  <c r="CH20" i="2" s="1"/>
  <c r="CL20" i="2" s="1"/>
  <c r="CP20" i="2" s="1"/>
  <c r="CT20" i="2" s="1"/>
  <c r="BV198" i="112"/>
  <c r="BW484" i="111"/>
  <c r="BO293" i="112"/>
  <c r="AA22" i="111"/>
  <c r="AL16" i="11"/>
  <c r="BP123" i="4"/>
  <c r="CC430" i="111"/>
  <c r="CC431" i="111" s="1"/>
  <c r="AA6" i="11"/>
  <c r="Y34" i="46"/>
  <c r="BQ299" i="112"/>
  <c r="BQ302" i="112"/>
  <c r="BQ306" i="112"/>
  <c r="BW85" i="112"/>
  <c r="BW87" i="112" s="1"/>
  <c r="BW119" i="112" s="1"/>
  <c r="BW120" i="112" s="1"/>
  <c r="CQ254" i="8"/>
  <c r="CQ7" i="2" s="1"/>
  <c r="CQ257" i="8"/>
  <c r="CU256" i="8"/>
  <c r="CQ255" i="8"/>
  <c r="BW18" i="112"/>
  <c r="BW20" i="112" s="1"/>
  <c r="CA444" i="111"/>
  <c r="CA445" i="111" s="1"/>
  <c r="CA473" i="111"/>
  <c r="CA474" i="111" s="1"/>
  <c r="BS93" i="112"/>
  <c r="BS94" i="112"/>
  <c r="BS95" i="112" s="1"/>
  <c r="BW111" i="112"/>
  <c r="BU53" i="112"/>
  <c r="BU260" i="112"/>
  <c r="BU261" i="112" s="1"/>
  <c r="CA440" i="111"/>
  <c r="CA441" i="111" s="1"/>
  <c r="CA469" i="111"/>
  <c r="CA470" i="111" s="1"/>
  <c r="BS26" i="112"/>
  <c r="BW44" i="112"/>
  <c r="BW46" i="112" s="1"/>
  <c r="BV141" i="112"/>
  <c r="BV143" i="112" s="1"/>
  <c r="BV144" i="112" s="1"/>
  <c r="BZ196" i="112" s="1"/>
  <c r="CH450" i="111" s="1"/>
  <c r="BV228" i="112"/>
  <c r="BW146" i="112"/>
  <c r="BW148" i="112" s="1"/>
  <c r="BQ69" i="4"/>
  <c r="BV83" i="112"/>
  <c r="BP10" i="2"/>
  <c r="BP70" i="4"/>
  <c r="BN12" i="4"/>
  <c r="BN18" i="4"/>
  <c r="BN20" i="4"/>
  <c r="BN13" i="4"/>
  <c r="CB471" i="111"/>
  <c r="CB472" i="111" s="1"/>
  <c r="BT171" i="112"/>
  <c r="BX195" i="112"/>
  <c r="BU487" i="111" l="1"/>
  <c r="BU489" i="111" s="1"/>
  <c r="BM28" i="4"/>
  <c r="BU532" i="111" s="1"/>
  <c r="BM24" i="4"/>
  <c r="M39" i="71"/>
  <c r="BR19" i="2"/>
  <c r="BR21" i="2" s="1"/>
  <c r="BR10" i="4"/>
  <c r="BR11" i="4" s="1"/>
  <c r="BR13" i="4" s="1"/>
  <c r="BL291" i="112"/>
  <c r="BL290" i="112" s="1"/>
  <c r="BT257" i="112"/>
  <c r="BT258" i="112" s="1"/>
  <c r="BT265" i="112"/>
  <c r="BS165" i="2"/>
  <c r="BS162" i="2" s="1"/>
  <c r="BP27" i="2"/>
  <c r="BR124" i="112"/>
  <c r="BR287" i="112"/>
  <c r="BR296" i="112" s="1"/>
  <c r="BR297" i="112" s="1"/>
  <c r="BR239" i="112"/>
  <c r="BR6" i="4"/>
  <c r="BR54" i="2"/>
  <c r="BR208" i="112"/>
  <c r="BP13" i="4"/>
  <c r="BR59" i="112"/>
  <c r="BR302" i="112"/>
  <c r="BR303" i="112" s="1"/>
  <c r="Z205" i="111"/>
  <c r="Z210" i="111" s="1"/>
  <c r="R7" i="27"/>
  <c r="R8" i="27" s="1"/>
  <c r="Z94" i="11"/>
  <c r="BQ42" i="2"/>
  <c r="Z95" i="11"/>
  <c r="BR299" i="112"/>
  <c r="BQ26" i="2"/>
  <c r="BQ28" i="2" s="1"/>
  <c r="BU154" i="112"/>
  <c r="BV254" i="112"/>
  <c r="BV255" i="112"/>
  <c r="BX504" i="111"/>
  <c r="BR10" i="2"/>
  <c r="BR70" i="4"/>
  <c r="CB454" i="111"/>
  <c r="BT6" i="2"/>
  <c r="BT35" i="2"/>
  <c r="BT31" i="2" s="1"/>
  <c r="BT42" i="2" s="1"/>
  <c r="BT11" i="2"/>
  <c r="BT71" i="4" s="1"/>
  <c r="BT5" i="4"/>
  <c r="BT241" i="112"/>
  <c r="BT242" i="112" s="1"/>
  <c r="BT238" i="112"/>
  <c r="BT246" i="112"/>
  <c r="BT283" i="112"/>
  <c r="BT293" i="112"/>
  <c r="BT22" i="4" s="1"/>
  <c r="BT308" i="112"/>
  <c r="BT43" i="4" s="1"/>
  <c r="BW204" i="112"/>
  <c r="BY439" i="111"/>
  <c r="BW141" i="112"/>
  <c r="BW143" i="112" s="1"/>
  <c r="BW144" i="112" s="1"/>
  <c r="CA196" i="112" s="1"/>
  <c r="CI450" i="111" s="1"/>
  <c r="BW228" i="112"/>
  <c r="BX146" i="112"/>
  <c r="BX148" i="112" s="1"/>
  <c r="CA495" i="111"/>
  <c r="CA500" i="111" s="1"/>
  <c r="CA505" i="111" s="1"/>
  <c r="BS31" i="4"/>
  <c r="R135" i="27"/>
  <c r="AB8" i="71"/>
  <c r="Z11" i="46"/>
  <c r="AP57" i="71"/>
  <c r="AS41" i="71"/>
  <c r="Z62" i="11"/>
  <c r="AA100" i="111"/>
  <c r="AA140" i="111"/>
  <c r="AL18" i="11"/>
  <c r="BR85" i="4"/>
  <c r="BV157" i="112"/>
  <c r="BW232" i="112"/>
  <c r="BW234" i="112" s="1"/>
  <c r="BX150" i="112"/>
  <c r="CA454" i="111"/>
  <c r="BS11" i="2"/>
  <c r="BS71" i="4" s="1"/>
  <c r="BS6" i="2"/>
  <c r="BS5" i="4"/>
  <c r="BS241" i="112"/>
  <c r="BS242" i="112" s="1"/>
  <c r="BS238" i="112"/>
  <c r="BS308" i="112"/>
  <c r="BS246" i="112"/>
  <c r="BS283" i="112"/>
  <c r="BS35" i="2"/>
  <c r="BN44" i="2"/>
  <c r="BN41" i="2" s="1"/>
  <c r="BM74" i="4"/>
  <c r="BY499" i="111"/>
  <c r="CD434" i="111"/>
  <c r="CD435" i="111" s="1"/>
  <c r="BW200" i="112"/>
  <c r="BW192" i="112" s="1"/>
  <c r="CU255" i="8"/>
  <c r="CU254" i="8"/>
  <c r="CU7" i="2" s="1"/>
  <c r="CU257" i="8"/>
  <c r="BQ303" i="112"/>
  <c r="BV170" i="112"/>
  <c r="BV189" i="112"/>
  <c r="BV193" i="112"/>
  <c r="BY498" i="111"/>
  <c r="BW116" i="112"/>
  <c r="BW108" i="112" s="1"/>
  <c r="BU189" i="112"/>
  <c r="AA40" i="11" s="1"/>
  <c r="BU193" i="112"/>
  <c r="BU170" i="112"/>
  <c r="BU250" i="112"/>
  <c r="BU265" i="112" s="1"/>
  <c r="BX198" i="112"/>
  <c r="BQ16" i="4"/>
  <c r="BQ300" i="112"/>
  <c r="BQ224" i="8" s="1"/>
  <c r="AA7" i="111"/>
  <c r="AL6" i="11"/>
  <c r="AA8" i="111"/>
  <c r="AL8" i="11"/>
  <c r="BV53" i="112"/>
  <c r="BV260" i="112"/>
  <c r="BV261" i="112" s="1"/>
  <c r="BR17" i="2"/>
  <c r="BR83" i="4"/>
  <c r="BZ495" i="111"/>
  <c r="BZ500" i="111" s="1"/>
  <c r="BZ505" i="111" s="1"/>
  <c r="BR31" i="4"/>
  <c r="AA12" i="111"/>
  <c r="AL9" i="11"/>
  <c r="AA17" i="11"/>
  <c r="AC16" i="71"/>
  <c r="AC13" i="71"/>
  <c r="BV233" i="112"/>
  <c r="BQ14" i="4"/>
  <c r="BQ288" i="112"/>
  <c r="CA448" i="111"/>
  <c r="BN123" i="4"/>
  <c r="BW49" i="112"/>
  <c r="BW41" i="112" s="1"/>
  <c r="BX81" i="112"/>
  <c r="BX83" i="112" s="1"/>
  <c r="BW76" i="112"/>
  <c r="BW78" i="112" s="1"/>
  <c r="BW79" i="112" s="1"/>
  <c r="CI451" i="111" s="1"/>
  <c r="CD432" i="111"/>
  <c r="CD433" i="111" s="1"/>
  <c r="BV225" i="112"/>
  <c r="BV230" i="112" s="1"/>
  <c r="BO287" i="112"/>
  <c r="BO299" i="112"/>
  <c r="BV114" i="112"/>
  <c r="BP115" i="4"/>
  <c r="BV156" i="112"/>
  <c r="AB19" i="71"/>
  <c r="CC459" i="111"/>
  <c r="CC460" i="111" s="1"/>
  <c r="BU143" i="8"/>
  <c r="BU144" i="8" s="1"/>
  <c r="BU7" i="4"/>
  <c r="BU39" i="112"/>
  <c r="BU58" i="112"/>
  <c r="BR26" i="2"/>
  <c r="BQ11" i="4"/>
  <c r="BQ21" i="2"/>
  <c r="BQ85" i="4"/>
  <c r="BQ115" i="4" s="1"/>
  <c r="AA29" i="11"/>
  <c r="AA281" i="111"/>
  <c r="AA284" i="111" s="1"/>
  <c r="AA38" i="11"/>
  <c r="BZ494" i="111"/>
  <c r="BZ499" i="111" s="1"/>
  <c r="BZ504" i="111" s="1"/>
  <c r="BR30" i="4"/>
  <c r="BW9" i="112"/>
  <c r="BW11" i="112" s="1"/>
  <c r="BW12" i="112" s="1"/>
  <c r="CI449" i="111" s="1"/>
  <c r="BX14" i="112"/>
  <c r="BX16" i="112" s="1"/>
  <c r="Y35" i="46"/>
  <c r="BM39" i="2"/>
  <c r="BM107" i="4"/>
  <c r="BV158" i="112"/>
  <c r="Z214" i="111"/>
  <c r="BV116" i="112"/>
  <c r="BV108" i="112" s="1"/>
  <c r="BV250" i="112" s="1"/>
  <c r="BO218" i="8"/>
  <c r="BO22" i="4"/>
  <c r="Z71" i="11" s="1"/>
  <c r="BO302" i="112"/>
  <c r="AA142" i="111"/>
  <c r="AA102" i="111"/>
  <c r="AL19" i="11"/>
  <c r="BS25" i="4"/>
  <c r="BS305" i="112"/>
  <c r="AA13" i="111"/>
  <c r="AL13" i="11"/>
  <c r="AC14" i="71"/>
  <c r="AC17" i="71"/>
  <c r="CD430" i="111"/>
  <c r="CD431" i="111" s="1"/>
  <c r="Z196" i="111"/>
  <c r="Z200" i="111" s="1"/>
  <c r="Z82" i="11"/>
  <c r="AB25" i="71"/>
  <c r="Z23" i="46"/>
  <c r="Z27" i="46" s="1"/>
  <c r="BW219" i="8"/>
  <c r="BW294" i="112" s="1"/>
  <c r="BW222" i="8"/>
  <c r="CA221" i="8"/>
  <c r="BW220" i="8"/>
  <c r="BV537" i="111"/>
  <c r="BN21" i="4"/>
  <c r="BN23" i="4"/>
  <c r="Z130" i="11"/>
  <c r="BR111" i="4"/>
  <c r="BV229" i="112"/>
  <c r="BV33" i="2" s="1"/>
  <c r="BV491" i="111"/>
  <c r="BN19" i="4"/>
  <c r="BV477" i="111"/>
  <c r="BW52" i="112"/>
  <c r="BW55" i="112"/>
  <c r="BW56" i="112" s="1"/>
  <c r="CC440" i="111"/>
  <c r="CC441" i="111" s="1"/>
  <c r="CC469" i="111"/>
  <c r="CC470" i="111" s="1"/>
  <c r="BU26" i="112"/>
  <c r="BY44" i="112"/>
  <c r="BY46" i="112" s="1"/>
  <c r="BT216" i="8"/>
  <c r="BP214" i="8"/>
  <c r="BP291" i="112" s="1"/>
  <c r="BP290" i="112" s="1"/>
  <c r="BP215" i="8"/>
  <c r="BP217" i="8"/>
  <c r="BU105" i="112"/>
  <c r="BU109" i="112"/>
  <c r="AA872" i="111"/>
  <c r="AA882" i="111" s="1"/>
  <c r="AA887" i="111" s="1"/>
  <c r="BQ10" i="2"/>
  <c r="BQ70" i="4"/>
  <c r="BQ112" i="4" s="1"/>
  <c r="BT25" i="4"/>
  <c r="BT305" i="112"/>
  <c r="BT59" i="112" s="1"/>
  <c r="BP113" i="4"/>
  <c r="BX477" i="111"/>
  <c r="BT26" i="4"/>
  <c r="AA101" i="111"/>
  <c r="AA141" i="111"/>
  <c r="AL20" i="11"/>
  <c r="BQ111" i="4"/>
  <c r="BY500" i="111"/>
  <c r="BT27" i="4"/>
  <c r="Z132" i="11"/>
  <c r="BT165" i="112"/>
  <c r="Z204" i="111"/>
  <c r="Z209" i="111" s="1"/>
  <c r="AB28" i="71"/>
  <c r="BX85" i="112"/>
  <c r="BX87" i="112" s="1"/>
  <c r="BX119" i="112" s="1"/>
  <c r="BX120" i="112" s="1"/>
  <c r="BS215" i="8"/>
  <c r="BS217" i="8"/>
  <c r="BW216" i="8"/>
  <c r="BS214" i="8"/>
  <c r="BS291" i="112" s="1"/>
  <c r="BS290" i="112" s="1"/>
  <c r="AA9" i="111"/>
  <c r="AL7" i="11"/>
  <c r="BZ560" i="111"/>
  <c r="BR119" i="4"/>
  <c r="BP112" i="4"/>
  <c r="BQ297" i="112"/>
  <c r="BW114" i="112"/>
  <c r="BX18" i="112"/>
  <c r="BX20" i="112" s="1"/>
  <c r="BW253" i="112"/>
  <c r="BW198" i="112"/>
  <c r="CC428" i="111"/>
  <c r="CC429" i="111" s="1"/>
  <c r="AA5" i="11"/>
  <c r="BU226" i="112"/>
  <c r="BT164" i="112"/>
  <c r="BQ17" i="2"/>
  <c r="BQ83" i="4"/>
  <c r="BT247" i="112"/>
  <c r="BV204" i="112"/>
  <c r="BV263" i="112"/>
  <c r="BX503" i="111"/>
  <c r="BX145" i="2"/>
  <c r="BU264" i="112"/>
  <c r="BV234" i="112"/>
  <c r="CB444" i="111"/>
  <c r="CB445" i="111" s="1"/>
  <c r="CB473" i="111"/>
  <c r="CB474" i="111" s="1"/>
  <c r="BT94" i="112"/>
  <c r="BT95" i="112" s="1"/>
  <c r="BT93" i="112"/>
  <c r="BX111" i="112"/>
  <c r="BX253" i="112" s="1"/>
  <c r="BS26" i="4"/>
  <c r="CA484" i="111"/>
  <c r="BS293" i="112"/>
  <c r="BV25" i="112"/>
  <c r="BV38" i="112"/>
  <c r="BV42" i="112"/>
  <c r="BV155" i="112"/>
  <c r="BW155" i="112" l="1"/>
  <c r="BU490" i="111"/>
  <c r="S134" i="27"/>
  <c r="BL299" i="112"/>
  <c r="BL287" i="112"/>
  <c r="BR14" i="4"/>
  <c r="AP59" i="71"/>
  <c r="BR288" i="112"/>
  <c r="BZ563" i="111" s="1"/>
  <c r="BQ27" i="2"/>
  <c r="BU165" i="112"/>
  <c r="BU164" i="112"/>
  <c r="BR12" i="4"/>
  <c r="BU533" i="111"/>
  <c r="BR300" i="112"/>
  <c r="BR224" i="8" s="1"/>
  <c r="BR16" i="4"/>
  <c r="BT165" i="2"/>
  <c r="BT162" i="2" s="1"/>
  <c r="BW156" i="112"/>
  <c r="R67" i="27"/>
  <c r="Z199" i="111"/>
  <c r="Z183" i="11"/>
  <c r="Z184" i="11" s="1"/>
  <c r="BS31" i="2"/>
  <c r="BU245" i="112"/>
  <c r="BU238" i="112" s="1"/>
  <c r="R14" i="27"/>
  <c r="BS22" i="4"/>
  <c r="BS208" i="112"/>
  <c r="R66" i="27"/>
  <c r="R70" i="27"/>
  <c r="BY560" i="111"/>
  <c r="BQ119" i="4"/>
  <c r="AA128" i="111"/>
  <c r="AC22" i="71"/>
  <c r="AL40" i="11"/>
  <c r="AA63" i="111"/>
  <c r="AA69" i="111" s="1"/>
  <c r="BS43" i="4"/>
  <c r="BR115" i="4"/>
  <c r="BT124" i="112"/>
  <c r="BT208" i="112"/>
  <c r="BS287" i="112"/>
  <c r="BS296" i="112" s="1"/>
  <c r="BV251" i="112"/>
  <c r="BV269" i="112" s="1"/>
  <c r="BV257" i="112"/>
  <c r="BV258" i="112" s="1"/>
  <c r="BO44" i="2"/>
  <c r="BO41" i="2" s="1"/>
  <c r="BN74" i="4"/>
  <c r="BX254" i="112"/>
  <c r="BX255" i="112"/>
  <c r="BX49" i="112"/>
  <c r="BX41" i="112" s="1"/>
  <c r="BV264" i="112"/>
  <c r="BV265" i="112"/>
  <c r="Z136" i="11"/>
  <c r="BQ113" i="4"/>
  <c r="R68" i="27" s="1"/>
  <c r="BW255" i="112"/>
  <c r="BW254" i="112"/>
  <c r="BX478" i="111"/>
  <c r="BV32" i="2"/>
  <c r="AA127" i="111"/>
  <c r="AA61" i="111"/>
  <c r="AA67" i="111" s="1"/>
  <c r="AL38" i="11"/>
  <c r="AC20" i="71"/>
  <c r="BL14" i="4"/>
  <c r="BL288" i="112"/>
  <c r="BL296" i="112"/>
  <c r="BU25" i="4"/>
  <c r="AA73" i="11" s="1"/>
  <c r="AA26" i="11"/>
  <c r="BO14" i="4"/>
  <c r="BO288" i="112"/>
  <c r="BO296" i="112"/>
  <c r="BV154" i="112"/>
  <c r="CC442" i="111"/>
  <c r="CC443" i="111" s="1"/>
  <c r="CC471" i="111"/>
  <c r="CC472" i="111" s="1"/>
  <c r="BU171" i="112"/>
  <c r="BY195" i="112"/>
  <c r="CD461" i="111"/>
  <c r="CD462" i="111" s="1"/>
  <c r="BV8" i="4"/>
  <c r="BV207" i="112"/>
  <c r="BV190" i="112"/>
  <c r="BS54" i="2"/>
  <c r="BS50" i="2"/>
  <c r="BS6" i="4"/>
  <c r="BW157" i="112"/>
  <c r="Z249" i="111"/>
  <c r="R136" i="27"/>
  <c r="BR123" i="4"/>
  <c r="BY505" i="111"/>
  <c r="CB494" i="111"/>
  <c r="CB499" i="111" s="1"/>
  <c r="CB504" i="111" s="1"/>
  <c r="BT30" i="4"/>
  <c r="CB493" i="111"/>
  <c r="CB498" i="111" s="1"/>
  <c r="CB503" i="111" s="1"/>
  <c r="BT29" i="4"/>
  <c r="CC463" i="111"/>
  <c r="CC464" i="111" s="1"/>
  <c r="BU169" i="8"/>
  <c r="BU170" i="8" s="1"/>
  <c r="BU9" i="4"/>
  <c r="BU106" i="112"/>
  <c r="BU92" i="112"/>
  <c r="BU123" i="112"/>
  <c r="AA39" i="11"/>
  <c r="BV478" i="111"/>
  <c r="BW158" i="112"/>
  <c r="BX9" i="112"/>
  <c r="BX11" i="112" s="1"/>
  <c r="BX12" i="112" s="1"/>
  <c r="CJ449" i="111" s="1"/>
  <c r="BY14" i="112"/>
  <c r="BY16" i="112" s="1"/>
  <c r="CE434" i="111"/>
  <c r="CE435" i="111" s="1"/>
  <c r="AL17" i="11"/>
  <c r="BY504" i="111"/>
  <c r="BS69" i="4"/>
  <c r="BX141" i="112"/>
  <c r="BX228" i="112"/>
  <c r="BY146" i="112"/>
  <c r="AB876" i="111" s="1"/>
  <c r="BT8" i="2"/>
  <c r="BT19" i="2"/>
  <c r="BT24" i="2"/>
  <c r="BT15" i="2"/>
  <c r="BT10" i="4"/>
  <c r="BV105" i="112"/>
  <c r="BV245" i="112" s="1"/>
  <c r="BV247" i="112" s="1"/>
  <c r="CD448" i="111" s="1"/>
  <c r="BV109" i="112"/>
  <c r="CC461" i="111"/>
  <c r="CC462" i="111" s="1"/>
  <c r="AA28" i="11"/>
  <c r="BU189" i="8"/>
  <c r="BU190" i="8" s="1"/>
  <c r="BU8" i="4"/>
  <c r="BU190" i="112"/>
  <c r="BU207" i="112"/>
  <c r="BY503" i="111"/>
  <c r="CD442" i="111"/>
  <c r="CD443" i="111" s="1"/>
  <c r="CD471" i="111"/>
  <c r="CD472" i="111" s="1"/>
  <c r="BV171" i="112"/>
  <c r="BZ195" i="112"/>
  <c r="Y124" i="11"/>
  <c r="BX232" i="112"/>
  <c r="BX234" i="112" s="1"/>
  <c r="BY150" i="112"/>
  <c r="BX200" i="112"/>
  <c r="BX192" i="112" s="1"/>
  <c r="BT69" i="4"/>
  <c r="BX76" i="112"/>
  <c r="BX78" i="112" s="1"/>
  <c r="BX79" i="112" s="1"/>
  <c r="CJ451" i="111" s="1"/>
  <c r="BY81" i="112"/>
  <c r="BY83" i="112" s="1"/>
  <c r="BR113" i="4"/>
  <c r="BS15" i="2"/>
  <c r="BS8" i="2"/>
  <c r="BS19" i="2"/>
  <c r="BS24" i="2"/>
  <c r="BS10" i="4"/>
  <c r="CA456" i="111"/>
  <c r="BX152" i="112"/>
  <c r="BX203" i="112" s="1"/>
  <c r="BW229" i="112"/>
  <c r="BW33" i="2" s="1"/>
  <c r="BW32" i="2" s="1"/>
  <c r="CB438" i="111"/>
  <c r="CB439" i="111" s="1"/>
  <c r="BT239" i="112"/>
  <c r="CB456" i="111"/>
  <c r="BW105" i="112"/>
  <c r="BW109" i="112"/>
  <c r="Z131" i="11"/>
  <c r="BR112" i="4"/>
  <c r="CE430" i="111"/>
  <c r="CE431" i="111" s="1"/>
  <c r="BX116" i="112"/>
  <c r="BX108" i="112" s="1"/>
  <c r="BY481" i="111"/>
  <c r="BY563" i="111"/>
  <c r="Z332" i="111"/>
  <c r="Z382" i="111"/>
  <c r="Z333" i="111"/>
  <c r="R44" i="27"/>
  <c r="BS306" i="112"/>
  <c r="BS299" i="112"/>
  <c r="BS302" i="112"/>
  <c r="BS124" i="112"/>
  <c r="BO16" i="4"/>
  <c r="BO300" i="112"/>
  <c r="BO224" i="8" s="1"/>
  <c r="CD459" i="111"/>
  <c r="CD460" i="111" s="1"/>
  <c r="BV7" i="4"/>
  <c r="BV58" i="112"/>
  <c r="BV39" i="112"/>
  <c r="CA494" i="111"/>
  <c r="CA499" i="111" s="1"/>
  <c r="CA504" i="111" s="1"/>
  <c r="BS30" i="4"/>
  <c r="BX55" i="112"/>
  <c r="BX56" i="112" s="1"/>
  <c r="BX52" i="112"/>
  <c r="BP287" i="112"/>
  <c r="BP299" i="112"/>
  <c r="BV538" i="111"/>
  <c r="CE484" i="111"/>
  <c r="Z216" i="111"/>
  <c r="Z201" i="111"/>
  <c r="BS59" i="112"/>
  <c r="CB560" i="111"/>
  <c r="BT119" i="4"/>
  <c r="BL16" i="4"/>
  <c r="BL300" i="112"/>
  <c r="BL224" i="8" s="1"/>
  <c r="BW38" i="112"/>
  <c r="BW42" i="112"/>
  <c r="BW25" i="112"/>
  <c r="BQ15" i="4"/>
  <c r="CA438" i="111"/>
  <c r="CA439" i="111" s="1"/>
  <c r="BS239" i="112"/>
  <c r="BW233" i="112"/>
  <c r="CE432" i="111"/>
  <c r="CE433" i="111" s="1"/>
  <c r="BW225" i="112"/>
  <c r="BW230" i="112" s="1"/>
  <c r="BW263" i="112"/>
  <c r="BW170" i="112"/>
  <c r="BW250" i="112"/>
  <c r="BW189" i="112"/>
  <c r="BW193" i="112"/>
  <c r="AL5" i="11"/>
  <c r="S98" i="27"/>
  <c r="S133" i="27"/>
  <c r="AC15" i="71"/>
  <c r="AC12" i="71"/>
  <c r="R46" i="27"/>
  <c r="CA219" i="8"/>
  <c r="CA294" i="112" s="1"/>
  <c r="CA222" i="8"/>
  <c r="CE221" i="8"/>
  <c r="CA220" i="8"/>
  <c r="Y152" i="11"/>
  <c r="Q62" i="27"/>
  <c r="BM33" i="4"/>
  <c r="BQ13" i="4"/>
  <c r="BQ12" i="4"/>
  <c r="BQ18" i="4"/>
  <c r="BQ20" i="4"/>
  <c r="CA216" i="8"/>
  <c r="BW214" i="8"/>
  <c r="BW291" i="112" s="1"/>
  <c r="BW215" i="8"/>
  <c r="BW217" i="8"/>
  <c r="BY85" i="112"/>
  <c r="BY87" i="112" s="1"/>
  <c r="BY119" i="112" s="1"/>
  <c r="BY120" i="112" s="1"/>
  <c r="AM29" i="11"/>
  <c r="BR28" i="2"/>
  <c r="BR27" i="2"/>
  <c r="CD440" i="111"/>
  <c r="CD441" i="111" s="1"/>
  <c r="CD469" i="111"/>
  <c r="CD470" i="111" s="1"/>
  <c r="BV26" i="112"/>
  <c r="BZ44" i="112"/>
  <c r="BZ46" i="112" s="1"/>
  <c r="BX114" i="112"/>
  <c r="BY145" i="2"/>
  <c r="CB448" i="111"/>
  <c r="BY18" i="112"/>
  <c r="BY20" i="112" s="1"/>
  <c r="CB495" i="111"/>
  <c r="CB500" i="111" s="1"/>
  <c r="CB505" i="111" s="1"/>
  <c r="BT31" i="4"/>
  <c r="BT302" i="112"/>
  <c r="BT306" i="112"/>
  <c r="BT214" i="8"/>
  <c r="BT291" i="112" s="1"/>
  <c r="BT290" i="112" s="1"/>
  <c r="BT299" i="112" s="1"/>
  <c r="BT215" i="8"/>
  <c r="BT217" i="8"/>
  <c r="BX216" i="8"/>
  <c r="BW53" i="112"/>
  <c r="BW260" i="112"/>
  <c r="BW261" i="112" s="1"/>
  <c r="BV487" i="111"/>
  <c r="BN24" i="4"/>
  <c r="BN28" i="4"/>
  <c r="Z206" i="111"/>
  <c r="Z211" i="111" s="1"/>
  <c r="AB29" i="71"/>
  <c r="CA493" i="111"/>
  <c r="CA498" i="111" s="1"/>
  <c r="CA503" i="111" s="1"/>
  <c r="BS29" i="4"/>
  <c r="BO303" i="112"/>
  <c r="Z138" i="11"/>
  <c r="CD428" i="111"/>
  <c r="CD429" i="111" s="1"/>
  <c r="BV226" i="112"/>
  <c r="BU257" i="112"/>
  <c r="BU258" i="112" s="1"/>
  <c r="BU251" i="112"/>
  <c r="BU269" i="112" s="1"/>
  <c r="BN38" i="2"/>
  <c r="BN45" i="2"/>
  <c r="BT54" i="2"/>
  <c r="BT50" i="2"/>
  <c r="BT6" i="4"/>
  <c r="BU6" i="2" l="1"/>
  <c r="AA27" i="11"/>
  <c r="BL141" i="2"/>
  <c r="BL130" i="4" s="1"/>
  <c r="BR15" i="4"/>
  <c r="BR18" i="4"/>
  <c r="BR19" i="4" s="1"/>
  <c r="BZ477" i="111"/>
  <c r="BZ478" i="111" s="1"/>
  <c r="BZ481" i="111"/>
  <c r="BU165" i="2"/>
  <c r="BU162" i="2" s="1"/>
  <c r="BR20" i="4"/>
  <c r="BZ537" i="111" s="1"/>
  <c r="BZ538" i="111" s="1"/>
  <c r="BZ539" i="111" s="1"/>
  <c r="BU35" i="2"/>
  <c r="BU31" i="2" s="1"/>
  <c r="BU42" i="2" s="1"/>
  <c r="CC560" i="111" s="1"/>
  <c r="BU293" i="112"/>
  <c r="BU22" i="4" s="1"/>
  <c r="AA71" i="11" s="1"/>
  <c r="BU290" i="112"/>
  <c r="BU283" i="112"/>
  <c r="AA60" i="11" s="1"/>
  <c r="Z182" i="11"/>
  <c r="BU5" i="4"/>
  <c r="BU246" i="112"/>
  <c r="BX156" i="112"/>
  <c r="BU11" i="2"/>
  <c r="BU71" i="4" s="1"/>
  <c r="BU247" i="112"/>
  <c r="CC448" i="111" s="1"/>
  <c r="BU241" i="112"/>
  <c r="BU242" i="112" s="1"/>
  <c r="CC454" i="111"/>
  <c r="CB455" i="111" s="1"/>
  <c r="BU308" i="112"/>
  <c r="BU43" i="4" s="1"/>
  <c r="BW154" i="112"/>
  <c r="BS288" i="112"/>
  <c r="CA481" i="111" s="1"/>
  <c r="BS14" i="4"/>
  <c r="BS297" i="112"/>
  <c r="Z154" i="11"/>
  <c r="BS42" i="2"/>
  <c r="BV165" i="112"/>
  <c r="D9" i="92"/>
  <c r="R73" i="27"/>
  <c r="R77" i="27" s="1"/>
  <c r="Z157" i="11"/>
  <c r="BQ123" i="4"/>
  <c r="BV164" i="112"/>
  <c r="BT11" i="4"/>
  <c r="BT12" i="4" s="1"/>
  <c r="BT26" i="2"/>
  <c r="BT28" i="2" s="1"/>
  <c r="BY148" i="112"/>
  <c r="BY200" i="112" s="1"/>
  <c r="BY192" i="112" s="1"/>
  <c r="AB871" i="111" s="1"/>
  <c r="AB881" i="111" s="1"/>
  <c r="AB886" i="111" s="1"/>
  <c r="BS26" i="2"/>
  <c r="BS27" i="2" s="1"/>
  <c r="BY49" i="112"/>
  <c r="BY41" i="112" s="1"/>
  <c r="AB870" i="111" s="1"/>
  <c r="BP44" i="2"/>
  <c r="BO74" i="4"/>
  <c r="BY116" i="112"/>
  <c r="BT16" i="4"/>
  <c r="BT300" i="112"/>
  <c r="BT224" i="8" s="1"/>
  <c r="BW265" i="112"/>
  <c r="BW264" i="112"/>
  <c r="AA194" i="111"/>
  <c r="AL73" i="11"/>
  <c r="AA81" i="11"/>
  <c r="AC24" i="71"/>
  <c r="CB216" i="8"/>
  <c r="BX214" i="8"/>
  <c r="BX291" i="112" s="1"/>
  <c r="BX215" i="8"/>
  <c r="BX217" i="8"/>
  <c r="BY537" i="111"/>
  <c r="BQ21" i="4"/>
  <c r="BQ23" i="4"/>
  <c r="BX105" i="112"/>
  <c r="BX109" i="112"/>
  <c r="BY491" i="111"/>
  <c r="BQ19" i="4"/>
  <c r="CI484" i="111"/>
  <c r="BW257" i="112"/>
  <c r="BW258" i="112" s="1"/>
  <c r="BW251" i="112"/>
  <c r="BW269" i="112" s="1"/>
  <c r="BX143" i="112"/>
  <c r="BX144" i="112" s="1"/>
  <c r="CB196" i="112" s="1"/>
  <c r="CJ450" i="111" s="1"/>
  <c r="BL142" i="2"/>
  <c r="BL159" i="2"/>
  <c r="BP14" i="4"/>
  <c r="Z63" i="11" s="1"/>
  <c r="BP288" i="112"/>
  <c r="BP296" i="112"/>
  <c r="BS17" i="2"/>
  <c r="BS83" i="4"/>
  <c r="BX233" i="112"/>
  <c r="CC444" i="111"/>
  <c r="CC445" i="111" s="1"/>
  <c r="CC473" i="111"/>
  <c r="CC474" i="111" s="1"/>
  <c r="BU94" i="112"/>
  <c r="BU95" i="112" s="1"/>
  <c r="BU93" i="112"/>
  <c r="BY111" i="112"/>
  <c r="BY253" i="112" s="1"/>
  <c r="BO15" i="4"/>
  <c r="BO20" i="4"/>
  <c r="BO18" i="4"/>
  <c r="CC493" i="111"/>
  <c r="CC498" i="111" s="1"/>
  <c r="CC503" i="111" s="1"/>
  <c r="BU29" i="4"/>
  <c r="CC438" i="111"/>
  <c r="CC439" i="111" s="1"/>
  <c r="BU239" i="112"/>
  <c r="BN39" i="2"/>
  <c r="BN107" i="4"/>
  <c r="BV490" i="111"/>
  <c r="BV489" i="111"/>
  <c r="BT287" i="112"/>
  <c r="AB15" i="11"/>
  <c r="BZ85" i="112"/>
  <c r="BZ87" i="112" s="1"/>
  <c r="BZ119" i="112" s="1"/>
  <c r="BZ120" i="112" s="1"/>
  <c r="BY477" i="111"/>
  <c r="CE442" i="111"/>
  <c r="CE443" i="111" s="1"/>
  <c r="CE471" i="111"/>
  <c r="CE472" i="111" s="1"/>
  <c r="BW171" i="112"/>
  <c r="CA195" i="112"/>
  <c r="BT123" i="4"/>
  <c r="BX53" i="112"/>
  <c r="BX260" i="112"/>
  <c r="BX261" i="112" s="1"/>
  <c r="Q39" i="27"/>
  <c r="BT17" i="2"/>
  <c r="BT83" i="4"/>
  <c r="AB12" i="11"/>
  <c r="BZ146" i="112"/>
  <c r="BZ148" i="112" s="1"/>
  <c r="BY141" i="112"/>
  <c r="BY143" i="112" s="1"/>
  <c r="BY144" i="112" s="1"/>
  <c r="CC196" i="112" s="1"/>
  <c r="CK450" i="111" s="1"/>
  <c r="BY228" i="112"/>
  <c r="BT111" i="4"/>
  <c r="BS111" i="4"/>
  <c r="BX157" i="112"/>
  <c r="BL297" i="112"/>
  <c r="AC10" i="71"/>
  <c r="AB10" i="11"/>
  <c r="BY9" i="112"/>
  <c r="BY11" i="112" s="1"/>
  <c r="BY12" i="112" s="1"/>
  <c r="CK449" i="111" s="1"/>
  <c r="BZ14" i="112"/>
  <c r="BZ16" i="112" s="1"/>
  <c r="AB875" i="111"/>
  <c r="BO38" i="2"/>
  <c r="BO45" i="2"/>
  <c r="Y89" i="11"/>
  <c r="BM32" i="4"/>
  <c r="CE440" i="111"/>
  <c r="CE441" i="111" s="1"/>
  <c r="CE469" i="111"/>
  <c r="CE470" i="111" s="1"/>
  <c r="BW26" i="112"/>
  <c r="CA44" i="112"/>
  <c r="CA46" i="112" s="1"/>
  <c r="BP16" i="4"/>
  <c r="BP300" i="112"/>
  <c r="BP224" i="8" s="1"/>
  <c r="CD454" i="111"/>
  <c r="BV6" i="2"/>
  <c r="BV35" i="2"/>
  <c r="BV31" i="2" s="1"/>
  <c r="BV11" i="2"/>
  <c r="BV71" i="4" s="1"/>
  <c r="BV5" i="4"/>
  <c r="BV238" i="112"/>
  <c r="BV246" i="112"/>
  <c r="BV241" i="112"/>
  <c r="BV242" i="112" s="1"/>
  <c r="BV283" i="112"/>
  <c r="BV290" i="112"/>
  <c r="BV293" i="112"/>
  <c r="BV308" i="112"/>
  <c r="BV43" i="4" s="1"/>
  <c r="BS16" i="4"/>
  <c r="BS300" i="112"/>
  <c r="BS224" i="8" s="1"/>
  <c r="BX170" i="112"/>
  <c r="BX250" i="112"/>
  <c r="BX189" i="112"/>
  <c r="BX193" i="112"/>
  <c r="BZ198" i="112"/>
  <c r="BT21" i="2"/>
  <c r="BT85" i="4"/>
  <c r="BX229" i="112"/>
  <c r="BX33" i="2" s="1"/>
  <c r="BX32" i="2" s="1"/>
  <c r="CF430" i="111"/>
  <c r="CF431" i="111" s="1"/>
  <c r="AA62" i="111"/>
  <c r="AA68" i="111" s="1"/>
  <c r="AA129" i="111"/>
  <c r="AL39" i="11"/>
  <c r="AC21" i="71"/>
  <c r="BY198" i="112"/>
  <c r="BO297" i="112"/>
  <c r="AC9" i="71"/>
  <c r="BT481" i="111"/>
  <c r="BT563" i="111"/>
  <c r="AA36" i="11"/>
  <c r="BS303" i="112"/>
  <c r="Z384" i="111"/>
  <c r="R45" i="27"/>
  <c r="BT303" i="112"/>
  <c r="CE220" i="8"/>
  <c r="CE219" i="8"/>
  <c r="CE294" i="112" s="1"/>
  <c r="CE222" i="8"/>
  <c r="CI221" i="8"/>
  <c r="CE428" i="111"/>
  <c r="CE429" i="111" s="1"/>
  <c r="BW226" i="112"/>
  <c r="BV539" i="111"/>
  <c r="BV25" i="4"/>
  <c r="CE463" i="111"/>
  <c r="CE464" i="111" s="1"/>
  <c r="BW9" i="4"/>
  <c r="BW92" i="112"/>
  <c r="BW106" i="112"/>
  <c r="BW123" i="112"/>
  <c r="BS21" i="2"/>
  <c r="BS85" i="4"/>
  <c r="AB11" i="11"/>
  <c r="BY76" i="112"/>
  <c r="BY78" i="112" s="1"/>
  <c r="BY79" i="112" s="1"/>
  <c r="CK451" i="111" s="1"/>
  <c r="BZ81" i="112"/>
  <c r="BZ83" i="112" s="1"/>
  <c r="AB877" i="111"/>
  <c r="AB16" i="11"/>
  <c r="BZ150" i="112"/>
  <c r="BZ152" i="112" s="1"/>
  <c r="BZ203" i="112" s="1"/>
  <c r="BY232" i="112"/>
  <c r="BY234" i="112" s="1"/>
  <c r="BU26" i="4"/>
  <c r="AA75" i="11" s="1"/>
  <c r="BT10" i="2"/>
  <c r="BT70" i="4"/>
  <c r="CF432" i="111"/>
  <c r="CF433" i="111" s="1"/>
  <c r="BX225" i="112"/>
  <c r="BX230" i="112" s="1"/>
  <c r="AC11" i="71"/>
  <c r="BV26" i="4"/>
  <c r="BW481" i="111"/>
  <c r="BW563" i="111"/>
  <c r="BU305" i="112"/>
  <c r="BU208" i="112" s="1"/>
  <c r="Y63" i="11"/>
  <c r="BL15" i="4"/>
  <c r="BL18" i="4"/>
  <c r="BL20" i="4"/>
  <c r="AC25" i="46" s="1"/>
  <c r="D7" i="92"/>
  <c r="R50" i="27"/>
  <c r="BX155" i="112"/>
  <c r="BU69" i="4"/>
  <c r="BZ145" i="2"/>
  <c r="BY55" i="112"/>
  <c r="BY56" i="112" s="1"/>
  <c r="BY52" i="112"/>
  <c r="BV532" i="111"/>
  <c r="AB14" i="11"/>
  <c r="BZ18" i="112"/>
  <c r="BZ20" i="112" s="1"/>
  <c r="CE216" i="8"/>
  <c r="CA214" i="8"/>
  <c r="CA291" i="112" s="1"/>
  <c r="CA215" i="8"/>
  <c r="CA217" i="8"/>
  <c r="CE461" i="111"/>
  <c r="CE462" i="111" s="1"/>
  <c r="BW8" i="4"/>
  <c r="BW190" i="112"/>
  <c r="BW207" i="112"/>
  <c r="CE459" i="111"/>
  <c r="CE460" i="111" s="1"/>
  <c r="BW7" i="4"/>
  <c r="BW39" i="112"/>
  <c r="BW245" i="112"/>
  <c r="BW58" i="112"/>
  <c r="Y897" i="111"/>
  <c r="BX263" i="112"/>
  <c r="BX204" i="112"/>
  <c r="BS10" i="2"/>
  <c r="BS70" i="4"/>
  <c r="CF434" i="111"/>
  <c r="CF435" i="111" s="1"/>
  <c r="BY152" i="112"/>
  <c r="BY203" i="112" s="1"/>
  <c r="CD463" i="111"/>
  <c r="CD464" i="111" s="1"/>
  <c r="BV9" i="4"/>
  <c r="BV92" i="112"/>
  <c r="BV123" i="112"/>
  <c r="BV305" i="112" s="1"/>
  <c r="BV106" i="112"/>
  <c r="BX158" i="112"/>
  <c r="BU27" i="4"/>
  <c r="BS11" i="4"/>
  <c r="BX38" i="112"/>
  <c r="BX42" i="112"/>
  <c r="BX25" i="112"/>
  <c r="BW165" i="112" l="1"/>
  <c r="BZ491" i="111"/>
  <c r="BW164" i="112"/>
  <c r="BU119" i="4"/>
  <c r="BU6" i="4"/>
  <c r="BU54" i="2"/>
  <c r="BU50" i="2"/>
  <c r="AA282" i="111"/>
  <c r="AA285" i="111" s="1"/>
  <c r="BR23" i="4"/>
  <c r="BR28" i="4" s="1"/>
  <c r="BR21" i="4"/>
  <c r="AE25" i="46"/>
  <c r="AH25" i="46"/>
  <c r="AC26" i="46"/>
  <c r="AE26" i="46" s="1"/>
  <c r="BU10" i="4"/>
  <c r="BU24" i="2"/>
  <c r="BU19" i="2"/>
  <c r="BU8" i="2"/>
  <c r="BU10" i="2" s="1"/>
  <c r="BU15" i="2"/>
  <c r="BU287" i="112"/>
  <c r="BU296" i="112" s="1"/>
  <c r="BU297" i="112" s="1"/>
  <c r="S7" i="27"/>
  <c r="Z34" i="46"/>
  <c r="AA95" i="11"/>
  <c r="BZ455" i="111"/>
  <c r="BT13" i="4"/>
  <c r="BV165" i="2"/>
  <c r="BV162" i="2" s="1"/>
  <c r="CA455" i="111"/>
  <c r="CC456" i="111"/>
  <c r="CA563" i="111"/>
  <c r="CC455" i="111"/>
  <c r="AA94" i="11"/>
  <c r="S14" i="27" s="1"/>
  <c r="AB880" i="111"/>
  <c r="AB885" i="111" s="1"/>
  <c r="BY155" i="112"/>
  <c r="BU124" i="112"/>
  <c r="Z64" i="11"/>
  <c r="R9" i="27"/>
  <c r="AA83" i="11"/>
  <c r="AL75" i="11"/>
  <c r="AA195" i="111"/>
  <c r="AC26" i="71"/>
  <c r="Z181" i="11"/>
  <c r="M17" i="71"/>
  <c r="M48" i="71" s="1"/>
  <c r="Z28" i="76"/>
  <c r="AB36" i="71"/>
  <c r="Z897" i="111"/>
  <c r="Z27" i="76"/>
  <c r="BS119" i="4"/>
  <c r="CA560" i="111"/>
  <c r="BT27" i="2"/>
  <c r="BS28" i="2"/>
  <c r="BZ52" i="112"/>
  <c r="BZ55" i="112"/>
  <c r="BZ56" i="112" s="1"/>
  <c r="BZ116" i="112"/>
  <c r="BZ200" i="112"/>
  <c r="BZ192" i="112" s="1"/>
  <c r="BV299" i="112"/>
  <c r="BV302" i="112"/>
  <c r="BV306" i="112"/>
  <c r="BV59" i="112"/>
  <c r="BV208" i="112"/>
  <c r="BV42" i="2"/>
  <c r="CD444" i="111"/>
  <c r="CD445" i="111" s="1"/>
  <c r="CD473" i="111"/>
  <c r="CD474" i="111" s="1"/>
  <c r="BV94" i="112"/>
  <c r="BV95" i="112" s="1"/>
  <c r="BV93" i="112"/>
  <c r="BZ111" i="112"/>
  <c r="BT112" i="4"/>
  <c r="BS112" i="4"/>
  <c r="CA145" i="2"/>
  <c r="CF440" i="111"/>
  <c r="CF441" i="111" s="1"/>
  <c r="CF469" i="111"/>
  <c r="CF470" i="111" s="1"/>
  <c r="BX26" i="112"/>
  <c r="CB44" i="112"/>
  <c r="CB46" i="112" s="1"/>
  <c r="AA130" i="11"/>
  <c r="AA132" i="11"/>
  <c r="BZ49" i="112"/>
  <c r="BZ41" i="112" s="1"/>
  <c r="BT113" i="4"/>
  <c r="BS15" i="4"/>
  <c r="CA198" i="112"/>
  <c r="BW491" i="111"/>
  <c r="BO19" i="4"/>
  <c r="BY158" i="112"/>
  <c r="BV533" i="111"/>
  <c r="CA150" i="112"/>
  <c r="CA152" i="112" s="1"/>
  <c r="CA203" i="112" s="1"/>
  <c r="BZ232" i="112"/>
  <c r="BZ234" i="112" s="1"/>
  <c r="AB18" i="111"/>
  <c r="AB19" i="11"/>
  <c r="BV22" i="4"/>
  <c r="CC495" i="111"/>
  <c r="CC500" i="111" s="1"/>
  <c r="CC505" i="111" s="1"/>
  <c r="BU31" i="4"/>
  <c r="AA74" i="11"/>
  <c r="CE454" i="111"/>
  <c r="BW11" i="2"/>
  <c r="BW71" i="4" s="1"/>
  <c r="BW6" i="2"/>
  <c r="BW5" i="4"/>
  <c r="BW238" i="112"/>
  <c r="BW246" i="112"/>
  <c r="BW241" i="112"/>
  <c r="BW242" i="112" s="1"/>
  <c r="BW308" i="112"/>
  <c r="BW43" i="4" s="1"/>
  <c r="BW283" i="112"/>
  <c r="BW35" i="2"/>
  <c r="BW31" i="2" s="1"/>
  <c r="BW42" i="2" s="1"/>
  <c r="BW293" i="112"/>
  <c r="BW22" i="4" s="1"/>
  <c r="BW26" i="4"/>
  <c r="Y65" i="11"/>
  <c r="CD494" i="111"/>
  <c r="CD499" i="111" s="1"/>
  <c r="CD504" i="111" s="1"/>
  <c r="BV30" i="4"/>
  <c r="CC494" i="111"/>
  <c r="CC499" i="111" s="1"/>
  <c r="CC504" i="111" s="1"/>
  <c r="BU30" i="4"/>
  <c r="AB22" i="111"/>
  <c r="BW290" i="112"/>
  <c r="CB477" i="111"/>
  <c r="CB478" i="111" s="1"/>
  <c r="BV287" i="112"/>
  <c r="CD438" i="111"/>
  <c r="CD439" i="111" s="1"/>
  <c r="BV239" i="112"/>
  <c r="CD456" i="111"/>
  <c r="CA14" i="112"/>
  <c r="CA16" i="112" s="1"/>
  <c r="BZ9" i="112"/>
  <c r="BZ11" i="112" s="1"/>
  <c r="BZ12" i="112" s="1"/>
  <c r="CL449" i="111" s="1"/>
  <c r="AB9" i="11"/>
  <c r="BY229" i="112"/>
  <c r="BY33" i="2" s="1"/>
  <c r="BY32" i="2" s="1"/>
  <c r="CA85" i="112"/>
  <c r="CA87" i="112" s="1"/>
  <c r="CA119" i="112" s="1"/>
  <c r="CA120" i="112" s="1"/>
  <c r="BW537" i="111"/>
  <c r="BO21" i="4"/>
  <c r="BO23" i="4"/>
  <c r="BP297" i="112"/>
  <c r="AA214" i="111"/>
  <c r="BP38" i="2"/>
  <c r="BP45" i="2"/>
  <c r="CF459" i="111"/>
  <c r="CF460" i="111" s="1"/>
  <c r="BX7" i="4"/>
  <c r="BX58" i="112"/>
  <c r="BX245" i="112"/>
  <c r="BX39" i="112"/>
  <c r="BV27" i="4"/>
  <c r="BV124" i="112"/>
  <c r="BY204" i="112"/>
  <c r="BY263" i="112"/>
  <c r="BX264" i="112"/>
  <c r="BX265" i="112"/>
  <c r="BW247" i="112"/>
  <c r="CE448" i="111" s="1"/>
  <c r="CA18" i="112"/>
  <c r="CA20" i="112" s="1"/>
  <c r="BY260" i="112"/>
  <c r="BY261" i="112" s="1"/>
  <c r="BY53" i="112"/>
  <c r="Y64" i="11"/>
  <c r="Q9" i="27"/>
  <c r="CF428" i="111"/>
  <c r="CF429" i="111" s="1"/>
  <c r="BX226" i="112"/>
  <c r="CE444" i="111"/>
  <c r="CE445" i="111" s="1"/>
  <c r="CE473" i="111"/>
  <c r="CE474" i="111" s="1"/>
  <c r="BW94" i="112"/>
  <c r="BW95" i="112" s="1"/>
  <c r="BW93" i="112"/>
  <c r="CA111" i="112"/>
  <c r="BU123" i="4"/>
  <c r="BY255" i="112"/>
  <c r="BY254" i="112"/>
  <c r="BT115" i="4"/>
  <c r="CF461" i="111"/>
  <c r="CF462" i="111" s="1"/>
  <c r="BX8" i="4"/>
  <c r="BX207" i="112"/>
  <c r="BX190" i="112"/>
  <c r="BV8" i="2"/>
  <c r="BV19" i="2"/>
  <c r="BV15" i="2"/>
  <c r="BV10" i="4"/>
  <c r="BV11" i="4" s="1"/>
  <c r="BV50" i="2"/>
  <c r="BV54" i="2"/>
  <c r="BV6" i="4"/>
  <c r="Y275" i="111"/>
  <c r="Z850" i="111"/>
  <c r="Y22" i="76"/>
  <c r="Y19" i="76"/>
  <c r="CG430" i="111"/>
  <c r="CG431" i="111" s="1"/>
  <c r="AB6" i="11"/>
  <c r="AB23" i="111"/>
  <c r="BT14" i="4"/>
  <c r="BT288" i="112"/>
  <c r="BT296" i="112"/>
  <c r="BN33" i="4"/>
  <c r="BX481" i="111"/>
  <c r="BX563" i="111"/>
  <c r="CF463" i="111"/>
  <c r="CF464" i="111" s="1"/>
  <c r="BX9" i="4"/>
  <c r="BX92" i="112"/>
  <c r="BX123" i="112"/>
  <c r="BX106" i="112"/>
  <c r="BY538" i="111"/>
  <c r="BP41" i="2"/>
  <c r="AB21" i="111"/>
  <c r="BU299" i="112"/>
  <c r="BU302" i="112"/>
  <c r="BU306" i="112"/>
  <c r="BU59" i="112"/>
  <c r="BX154" i="112"/>
  <c r="BS115" i="4"/>
  <c r="CD493" i="111"/>
  <c r="CD498" i="111" s="1"/>
  <c r="CD503" i="111" s="1"/>
  <c r="BV29" i="4"/>
  <c r="CM221" i="8"/>
  <c r="CI220" i="8"/>
  <c r="CI219" i="8"/>
  <c r="CI294" i="112" s="1"/>
  <c r="CI222" i="8"/>
  <c r="BX251" i="112"/>
  <c r="BX269" i="112" s="1"/>
  <c r="BX257" i="112"/>
  <c r="BX258" i="112" s="1"/>
  <c r="AB16" i="111"/>
  <c r="AB18" i="11"/>
  <c r="BY157" i="112"/>
  <c r="CG432" i="111"/>
  <c r="CG433" i="111" s="1"/>
  <c r="AB8" i="11"/>
  <c r="BY225" i="112"/>
  <c r="BY230" i="112" s="1"/>
  <c r="BS113" i="4"/>
  <c r="AA204" i="111"/>
  <c r="AA209" i="111" s="1"/>
  <c r="AC28" i="71"/>
  <c r="BT537" i="111"/>
  <c r="BL21" i="4"/>
  <c r="Y69" i="11"/>
  <c r="BL23" i="4"/>
  <c r="AC20" i="46" s="1"/>
  <c r="AB13" i="11"/>
  <c r="BY233" i="112"/>
  <c r="BZ76" i="112"/>
  <c r="BZ78" i="112" s="1"/>
  <c r="BZ79" i="112" s="1"/>
  <c r="CL451" i="111" s="1"/>
  <c r="CA81" i="112"/>
  <c r="CA83" i="112" s="1"/>
  <c r="AA12" i="76"/>
  <c r="AA37" i="11"/>
  <c r="AL36" i="11"/>
  <c r="AA61" i="11"/>
  <c r="S6" i="27"/>
  <c r="AC18" i="71"/>
  <c r="AT11" i="71"/>
  <c r="N9" i="71"/>
  <c r="N39" i="71" s="1"/>
  <c r="AA25" i="11"/>
  <c r="BY189" i="112"/>
  <c r="AB40" i="11" s="1"/>
  <c r="BY193" i="112"/>
  <c r="BY170" i="112"/>
  <c r="D8" i="92"/>
  <c r="CF442" i="111"/>
  <c r="CF443" i="111" s="1"/>
  <c r="CF471" i="111"/>
  <c r="CF472" i="111" s="1"/>
  <c r="BX171" i="112"/>
  <c r="CB195" i="112"/>
  <c r="CA146" i="112"/>
  <c r="CA148" i="112" s="1"/>
  <c r="BZ141" i="112"/>
  <c r="BZ228" i="112"/>
  <c r="BY108" i="112"/>
  <c r="BY114" i="112"/>
  <c r="BP15" i="4"/>
  <c r="BP18" i="4"/>
  <c r="Z67" i="11" s="1"/>
  <c r="BP20" i="4"/>
  <c r="BL160" i="2"/>
  <c r="BY487" i="111"/>
  <c r="BQ28" i="4"/>
  <c r="BQ24" i="4"/>
  <c r="BY38" i="112"/>
  <c r="BY42" i="112"/>
  <c r="BY25" i="112"/>
  <c r="BS18" i="4"/>
  <c r="BS20" i="4"/>
  <c r="BS13" i="4"/>
  <c r="BS12" i="4"/>
  <c r="BW25" i="4"/>
  <c r="BW305" i="112"/>
  <c r="BW208" i="112" s="1"/>
  <c r="CE215" i="8"/>
  <c r="CE217" i="8"/>
  <c r="CI216" i="8"/>
  <c r="CE214" i="8"/>
  <c r="CE291" i="112" s="1"/>
  <c r="BT491" i="111"/>
  <c r="BL19" i="4"/>
  <c r="BL34" i="4"/>
  <c r="Y67" i="11"/>
  <c r="BZ204" i="112"/>
  <c r="CG434" i="111"/>
  <c r="CG435" i="111" s="1"/>
  <c r="AB7" i="11"/>
  <c r="BW27" i="4"/>
  <c r="CM484" i="111"/>
  <c r="BV69" i="4"/>
  <c r="Y88" i="11"/>
  <c r="BM34" i="4"/>
  <c r="BO39" i="2"/>
  <c r="BO107" i="4"/>
  <c r="BO33" i="4" s="1"/>
  <c r="AB17" i="111"/>
  <c r="AB20" i="11"/>
  <c r="BY478" i="111"/>
  <c r="BU111" i="4"/>
  <c r="BM139" i="2"/>
  <c r="BM157" i="2" s="1"/>
  <c r="BL89" i="4"/>
  <c r="BL91" i="4" s="1"/>
  <c r="BL144" i="2"/>
  <c r="CF216" i="8"/>
  <c r="CB214" i="8"/>
  <c r="CB291" i="112" s="1"/>
  <c r="CB215" i="8"/>
  <c r="CB217" i="8"/>
  <c r="BY156" i="112"/>
  <c r="BW165" i="2" l="1"/>
  <c r="BW162" i="2" s="1"/>
  <c r="AL95" i="11"/>
  <c r="S8" i="27"/>
  <c r="BR24" i="4"/>
  <c r="BZ487" i="111"/>
  <c r="BZ490" i="111" s="1"/>
  <c r="BU14" i="4"/>
  <c r="BU70" i="4"/>
  <c r="BU112" i="4" s="1"/>
  <c r="S67" i="27" s="1"/>
  <c r="BU85" i="4"/>
  <c r="AA138" i="11" s="1"/>
  <c r="BU21" i="2"/>
  <c r="BZ263" i="112"/>
  <c r="BZ264" i="112" s="1"/>
  <c r="BU11" i="4"/>
  <c r="BU26" i="2"/>
  <c r="BU28" i="2" s="1"/>
  <c r="AC24" i="46"/>
  <c r="AH20" i="46"/>
  <c r="AE20" i="46"/>
  <c r="BU83" i="4"/>
  <c r="BU113" i="4" s="1"/>
  <c r="BU17" i="2"/>
  <c r="BU288" i="112"/>
  <c r="BZ156" i="112"/>
  <c r="R10" i="27"/>
  <c r="R126" i="27" s="1"/>
  <c r="AS12" i="71"/>
  <c r="M10" i="71"/>
  <c r="Z68" i="11"/>
  <c r="F10" i="92"/>
  <c r="AB63" i="111"/>
  <c r="AB69" i="111" s="1"/>
  <c r="AB128" i="111"/>
  <c r="BT297" i="112"/>
  <c r="Z69" i="11"/>
  <c r="Z35" i="46"/>
  <c r="AA205" i="111"/>
  <c r="AA210" i="111" s="1"/>
  <c r="AC30" i="71"/>
  <c r="S66" i="27"/>
  <c r="AA157" i="11"/>
  <c r="S73" i="27"/>
  <c r="S77" i="27" s="1"/>
  <c r="BS123" i="4"/>
  <c r="AA215" i="111"/>
  <c r="Z65" i="11"/>
  <c r="BX164" i="112"/>
  <c r="CA200" i="112"/>
  <c r="CA192" i="112" s="1"/>
  <c r="CA52" i="112"/>
  <c r="CA55" i="112"/>
  <c r="CA56" i="112" s="1"/>
  <c r="CA49" i="112"/>
  <c r="CA41" i="112" s="1"/>
  <c r="CA116" i="112"/>
  <c r="CA108" i="112" s="1"/>
  <c r="CE495" i="111"/>
  <c r="CE500" i="111" s="1"/>
  <c r="CE505" i="111" s="1"/>
  <c r="BW31" i="4"/>
  <c r="Y68" i="11"/>
  <c r="Q10" i="27"/>
  <c r="Q126" i="27" s="1"/>
  <c r="AR12" i="71"/>
  <c r="L10" i="71"/>
  <c r="AB100" i="111"/>
  <c r="AB140" i="111"/>
  <c r="BY539" i="111"/>
  <c r="CB481" i="111"/>
  <c r="CB563" i="111"/>
  <c r="BV17" i="2"/>
  <c r="BV83" i="4"/>
  <c r="BX26" i="4"/>
  <c r="CA114" i="112"/>
  <c r="BY264" i="112"/>
  <c r="CF454" i="111"/>
  <c r="BX11" i="2"/>
  <c r="BX71" i="4" s="1"/>
  <c r="BX6" i="2"/>
  <c r="BX35" i="2"/>
  <c r="BX5" i="4"/>
  <c r="BX241" i="112"/>
  <c r="BX242" i="112" s="1"/>
  <c r="BX238" i="112"/>
  <c r="BX246" i="112"/>
  <c r="BX283" i="112"/>
  <c r="BX293" i="112"/>
  <c r="BX22" i="4" s="1"/>
  <c r="BX308" i="112"/>
  <c r="BX43" i="4" s="1"/>
  <c r="AA196" i="111"/>
  <c r="AA199" i="111" s="1"/>
  <c r="AL74" i="11"/>
  <c r="AA82" i="11"/>
  <c r="AC25" i="71"/>
  <c r="CA204" i="112"/>
  <c r="AA333" i="111"/>
  <c r="AA332" i="111"/>
  <c r="AA382" i="111"/>
  <c r="S44" i="27"/>
  <c r="CB145" i="2"/>
  <c r="CD560" i="111"/>
  <c r="BV119" i="4"/>
  <c r="CM216" i="8"/>
  <c r="CI214" i="8"/>
  <c r="CI291" i="112" s="1"/>
  <c r="CI215" i="8"/>
  <c r="CI217" i="8"/>
  <c r="BY489" i="111"/>
  <c r="BY490" i="111"/>
  <c r="Y70" i="11"/>
  <c r="Y72" i="11"/>
  <c r="Y180" i="11"/>
  <c r="Y179" i="11"/>
  <c r="Q29" i="27"/>
  <c r="AO60" i="71"/>
  <c r="AA31" i="71"/>
  <c r="BT538" i="111"/>
  <c r="BU303" i="112"/>
  <c r="AB281" i="111"/>
  <c r="AB284" i="111" s="1"/>
  <c r="BT15" i="4"/>
  <c r="BT20" i="4"/>
  <c r="BT18" i="4"/>
  <c r="Y26" i="76"/>
  <c r="BV12" i="4"/>
  <c r="CD477" i="111" s="1"/>
  <c r="CD478" i="111" s="1"/>
  <c r="BV13" i="4"/>
  <c r="BV21" i="2"/>
  <c r="BV85" i="4"/>
  <c r="BX25" i="4"/>
  <c r="BX305" i="112"/>
  <c r="BX59" i="112" s="1"/>
  <c r="BW538" i="111"/>
  <c r="AB12" i="111"/>
  <c r="AB17" i="11"/>
  <c r="CE438" i="111"/>
  <c r="CE439" i="111" s="1"/>
  <c r="BW239" i="112"/>
  <c r="BZ233" i="112"/>
  <c r="BZ114" i="112"/>
  <c r="BZ108" i="112"/>
  <c r="BZ253" i="112"/>
  <c r="CG440" i="111"/>
  <c r="CG441" i="111" s="1"/>
  <c r="CG469" i="111"/>
  <c r="CG470" i="111" s="1"/>
  <c r="BY26" i="112"/>
  <c r="CC44" i="112"/>
  <c r="CC46" i="112" s="1"/>
  <c r="BY532" i="111"/>
  <c r="CG442" i="111"/>
  <c r="CG443" i="111" s="1"/>
  <c r="CG471" i="111"/>
  <c r="CG472" i="111" s="1"/>
  <c r="BY171" i="112"/>
  <c r="CC195" i="112"/>
  <c r="AT41" i="71"/>
  <c r="AQ57" i="71"/>
  <c r="AB8" i="111"/>
  <c r="AB141" i="111"/>
  <c r="AB101" i="111"/>
  <c r="BV26" i="2"/>
  <c r="BL44" i="4"/>
  <c r="BL35" i="4"/>
  <c r="BL36" i="4"/>
  <c r="CA477" i="111"/>
  <c r="CA478" i="111" s="1"/>
  <c r="CG459" i="111"/>
  <c r="CG460" i="111" s="1"/>
  <c r="BY7" i="4"/>
  <c r="BY39" i="112"/>
  <c r="BY58" i="112"/>
  <c r="BZ229" i="112"/>
  <c r="BZ33" i="2" s="1"/>
  <c r="CG461" i="111"/>
  <c r="CG462" i="111" s="1"/>
  <c r="BY8" i="4"/>
  <c r="BY190" i="112"/>
  <c r="BY207" i="112"/>
  <c r="CQ484" i="111"/>
  <c r="BU16" i="4"/>
  <c r="AA897" i="111" s="1"/>
  <c r="BU300" i="112"/>
  <c r="BU224" i="8" s="1"/>
  <c r="BZ532" i="111"/>
  <c r="BV10" i="2"/>
  <c r="BV70" i="4"/>
  <c r="BV112" i="4" s="1"/>
  <c r="CB18" i="112"/>
  <c r="CB20" i="112" s="1"/>
  <c r="BX247" i="112"/>
  <c r="CF448" i="111" s="1"/>
  <c r="AB29" i="11"/>
  <c r="CH430" i="111"/>
  <c r="CH431" i="111" s="1"/>
  <c r="CE494" i="111"/>
  <c r="CE499" i="111" s="1"/>
  <c r="CE504" i="111" s="1"/>
  <c r="BW30" i="4"/>
  <c r="BW50" i="2"/>
  <c r="BW54" i="2"/>
  <c r="BW6" i="4"/>
  <c r="CB150" i="112"/>
  <c r="CA232" i="112"/>
  <c r="CA253" i="112"/>
  <c r="BV303" i="112"/>
  <c r="CE493" i="111"/>
  <c r="CE498" i="111" s="1"/>
  <c r="CE503" i="111" s="1"/>
  <c r="BW29" i="4"/>
  <c r="CF214" i="8"/>
  <c r="CF291" i="112" s="1"/>
  <c r="CF215" i="8"/>
  <c r="CF217" i="8"/>
  <c r="CJ216" i="8"/>
  <c r="Y14" i="76"/>
  <c r="Q11" i="27"/>
  <c r="Q12" i="27" s="1"/>
  <c r="AB9" i="111"/>
  <c r="BX290" i="112"/>
  <c r="BY105" i="112"/>
  <c r="BY245" i="112" s="1"/>
  <c r="BY109" i="112"/>
  <c r="AB872" i="111"/>
  <c r="AB882" i="111" s="1"/>
  <c r="AB887" i="111" s="1"/>
  <c r="CH432" i="111"/>
  <c r="CH433" i="111" s="1"/>
  <c r="BZ225" i="112"/>
  <c r="BZ230" i="112" s="1"/>
  <c r="AC19" i="71"/>
  <c r="AB28" i="11"/>
  <c r="CG428" i="111"/>
  <c r="CG429" i="111" s="1"/>
  <c r="AB5" i="11"/>
  <c r="T134" i="27" s="1"/>
  <c r="BY226" i="112"/>
  <c r="BZ157" i="112"/>
  <c r="BZ155" i="112"/>
  <c r="BX27" i="4"/>
  <c r="Y276" i="111"/>
  <c r="Y279" i="111"/>
  <c r="CD495" i="111"/>
  <c r="CD500" i="111" s="1"/>
  <c r="CD505" i="111" s="1"/>
  <c r="BV31" i="4"/>
  <c r="BP39" i="2"/>
  <c r="BP107" i="4"/>
  <c r="BP33" i="4" s="1"/>
  <c r="BW487" i="111"/>
  <c r="BO28" i="4"/>
  <c r="BO24" i="4"/>
  <c r="BW69" i="4"/>
  <c r="AB142" i="111"/>
  <c r="AB102" i="111"/>
  <c r="BZ158" i="112"/>
  <c r="S46" i="27"/>
  <c r="BV16" i="4"/>
  <c r="BV300" i="112"/>
  <c r="BV224" i="8" s="1"/>
  <c r="BZ260" i="112"/>
  <c r="BZ261" i="112" s="1"/>
  <c r="BZ53" i="112"/>
  <c r="BM36" i="4"/>
  <c r="BM35" i="4"/>
  <c r="BM156" i="2"/>
  <c r="BM140" i="2"/>
  <c r="BW299" i="112"/>
  <c r="BW302" i="112"/>
  <c r="BW306" i="112"/>
  <c r="CA537" i="111"/>
  <c r="CA538" i="111" s="1"/>
  <c r="BS21" i="4"/>
  <c r="BS23" i="4"/>
  <c r="BX537" i="111"/>
  <c r="BP21" i="4"/>
  <c r="BP23" i="4"/>
  <c r="CB146" i="112"/>
  <c r="CA141" i="112"/>
  <c r="CA143" i="112" s="1"/>
  <c r="CA144" i="112" s="1"/>
  <c r="CE196" i="112" s="1"/>
  <c r="CM450" i="111" s="1"/>
  <c r="CA228" i="112"/>
  <c r="S135" i="27"/>
  <c r="AC8" i="71"/>
  <c r="AA62" i="11"/>
  <c r="AL61" i="11"/>
  <c r="CB81" i="112"/>
  <c r="CB83" i="112" s="1"/>
  <c r="CA76" i="112"/>
  <c r="CA78" i="112" s="1"/>
  <c r="CA79" i="112" s="1"/>
  <c r="CM451" i="111" s="1"/>
  <c r="AB13" i="111"/>
  <c r="BY154" i="112"/>
  <c r="CQ221" i="8"/>
  <c r="CM220" i="8"/>
  <c r="CM219" i="8"/>
  <c r="CM294" i="112" s="1"/>
  <c r="CM222" i="8"/>
  <c r="BQ44" i="2"/>
  <c r="BP74" i="4"/>
  <c r="CF473" i="111"/>
  <c r="CF474" i="111" s="1"/>
  <c r="CF444" i="111"/>
  <c r="CF445" i="111" s="1"/>
  <c r="BX93" i="112"/>
  <c r="BX94" i="112"/>
  <c r="BX95" i="112" s="1"/>
  <c r="CB111" i="112"/>
  <c r="CB253" i="112" s="1"/>
  <c r="AB7" i="111"/>
  <c r="CB85" i="112"/>
  <c r="CB87" i="112" s="1"/>
  <c r="CB119" i="112" s="1"/>
  <c r="CB120" i="112" s="1"/>
  <c r="CB14" i="112"/>
  <c r="CB16" i="112" s="1"/>
  <c r="CA9" i="112"/>
  <c r="BV14" i="4"/>
  <c r="BV18" i="4" s="1"/>
  <c r="BV288" i="112"/>
  <c r="BV296" i="112"/>
  <c r="BV297" i="112" s="1"/>
  <c r="CE560" i="111"/>
  <c r="BW119" i="4"/>
  <c r="BW123" i="4" s="1"/>
  <c r="BX165" i="112"/>
  <c r="BZ38" i="112"/>
  <c r="BZ42" i="112"/>
  <c r="BZ25" i="112"/>
  <c r="BZ189" i="112"/>
  <c r="BZ193" i="112"/>
  <c r="BZ170" i="112"/>
  <c r="BW124" i="112"/>
  <c r="BW59" i="112"/>
  <c r="CA491" i="111"/>
  <c r="BS19" i="4"/>
  <c r="BX491" i="111"/>
  <c r="BP19" i="4"/>
  <c r="CB198" i="112"/>
  <c r="BY250" i="112"/>
  <c r="BY265" i="112" s="1"/>
  <c r="CH434" i="111"/>
  <c r="CH435" i="111" s="1"/>
  <c r="BT487" i="111"/>
  <c r="BL24" i="4"/>
  <c r="BL28" i="4"/>
  <c r="BZ143" i="112"/>
  <c r="BZ144" i="112" s="1"/>
  <c r="CD196" i="112" s="1"/>
  <c r="CL450" i="111" s="1"/>
  <c r="AB38" i="11"/>
  <c r="Y90" i="11"/>
  <c r="BW287" i="112"/>
  <c r="Y66" i="11"/>
  <c r="BW15" i="2"/>
  <c r="BW8" i="2"/>
  <c r="BW19" i="2"/>
  <c r="BW10" i="4"/>
  <c r="BW11" i="4" s="1"/>
  <c r="CE456" i="111"/>
  <c r="BV111" i="4"/>
  <c r="AA131" i="11" l="1"/>
  <c r="AA384" i="111" s="1"/>
  <c r="BU13" i="4"/>
  <c r="BZ489" i="111"/>
  <c r="AA136" i="11"/>
  <c r="AA63" i="11"/>
  <c r="AA183" i="11"/>
  <c r="BU27" i="2"/>
  <c r="BU115" i="4"/>
  <c r="S70" i="27" s="1"/>
  <c r="BV115" i="4"/>
  <c r="BM141" i="2"/>
  <c r="BU18" i="4"/>
  <c r="AA67" i="11" s="1"/>
  <c r="BU12" i="4"/>
  <c r="CC477" i="111" s="1"/>
  <c r="CC478" i="111" s="1"/>
  <c r="AQ59" i="71"/>
  <c r="BV113" i="4"/>
  <c r="CA539" i="111"/>
  <c r="AE24" i="46"/>
  <c r="CC563" i="111"/>
  <c r="CC481" i="111"/>
  <c r="CA156" i="112"/>
  <c r="AA200" i="111"/>
  <c r="M11" i="71"/>
  <c r="M41" i="71" s="1"/>
  <c r="M40" i="71"/>
  <c r="BX165" i="2"/>
  <c r="BX162" i="2" s="1"/>
  <c r="S68" i="27"/>
  <c r="BX31" i="2"/>
  <c r="Z66" i="11"/>
  <c r="AS13" i="71"/>
  <c r="AS43" i="71" s="1"/>
  <c r="AS42" i="71"/>
  <c r="AC36" i="71"/>
  <c r="AA28" i="76"/>
  <c r="N17" i="71"/>
  <c r="N48" i="71" s="1"/>
  <c r="AA181" i="11"/>
  <c r="Z70" i="11"/>
  <c r="AB31" i="71"/>
  <c r="AP60" i="71"/>
  <c r="Z72" i="11"/>
  <c r="R29" i="27"/>
  <c r="CA263" i="112"/>
  <c r="CA264" i="112" s="1"/>
  <c r="BW26" i="2"/>
  <c r="BW28" i="2" s="1"/>
  <c r="BY165" i="112"/>
  <c r="BY164" i="112"/>
  <c r="BZ154" i="112"/>
  <c r="BW13" i="4"/>
  <c r="BW12" i="4"/>
  <c r="CE477" i="111" s="1"/>
  <c r="CE478" i="111" s="1"/>
  <c r="CB49" i="112"/>
  <c r="CB41" i="112" s="1"/>
  <c r="CB52" i="112"/>
  <c r="CB55" i="112"/>
  <c r="CB56" i="112" s="1"/>
  <c r="CG454" i="111"/>
  <c r="CE455" i="111" s="1"/>
  <c r="BY35" i="2"/>
  <c r="BY31" i="2" s="1"/>
  <c r="BY42" i="2" s="1"/>
  <c r="BY11" i="2"/>
  <c r="BY71" i="4" s="1"/>
  <c r="BY6" i="2"/>
  <c r="BY5" i="4"/>
  <c r="BY241" i="112"/>
  <c r="BY242" i="112" s="1"/>
  <c r="BY238" i="112"/>
  <c r="BY283" i="112"/>
  <c r="AB60" i="11" s="1"/>
  <c r="BY290" i="112"/>
  <c r="BY293" i="112"/>
  <c r="BY22" i="4" s="1"/>
  <c r="AB71" i="11" s="1"/>
  <c r="BY308" i="112"/>
  <c r="BY43" i="4" s="1"/>
  <c r="AB94" i="11" s="1"/>
  <c r="BY246" i="112"/>
  <c r="BY247" i="112"/>
  <c r="CG448" i="111" s="1"/>
  <c r="CH461" i="111"/>
  <c r="CH462" i="111" s="1"/>
  <c r="BZ8" i="4"/>
  <c r="BZ207" i="112"/>
  <c r="BZ190" i="112"/>
  <c r="CI430" i="111"/>
  <c r="CI431" i="111" s="1"/>
  <c r="CU221" i="8"/>
  <c r="CQ220" i="8"/>
  <c r="CQ219" i="8"/>
  <c r="CQ294" i="112" s="1"/>
  <c r="CQ222" i="8"/>
  <c r="AA249" i="111"/>
  <c r="S136" i="27"/>
  <c r="BW16" i="4"/>
  <c r="BW300" i="112"/>
  <c r="BW224" i="8" s="1"/>
  <c r="BX208" i="112"/>
  <c r="AB61" i="111"/>
  <c r="AB67" i="111" s="1"/>
  <c r="AB127" i="111"/>
  <c r="AB26" i="11"/>
  <c r="CH459" i="111"/>
  <c r="CH460" i="111" s="1"/>
  <c r="BZ7" i="4"/>
  <c r="BZ39" i="112"/>
  <c r="BZ58" i="112"/>
  <c r="CC81" i="112"/>
  <c r="CC83" i="112" s="1"/>
  <c r="CB76" i="112"/>
  <c r="CI432" i="111"/>
  <c r="CI433" i="111" s="1"/>
  <c r="CA225" i="112"/>
  <c r="CA230" i="112" s="1"/>
  <c r="CA155" i="112"/>
  <c r="CA255" i="112"/>
  <c r="CA254" i="112"/>
  <c r="CA233" i="112"/>
  <c r="S45" i="27"/>
  <c r="BT539" i="111"/>
  <c r="Y394" i="111"/>
  <c r="Q137" i="27"/>
  <c r="AA32" i="71"/>
  <c r="AA201" i="111"/>
  <c r="AA216" i="111"/>
  <c r="CF438" i="111"/>
  <c r="CF439" i="111" s="1"/>
  <c r="BX239" i="112"/>
  <c r="CF456" i="111"/>
  <c r="CF494" i="111"/>
  <c r="CF499" i="111" s="1"/>
  <c r="CF504" i="111" s="1"/>
  <c r="BX30" i="4"/>
  <c r="CB116" i="112"/>
  <c r="CB108" i="112" s="1"/>
  <c r="CA229" i="112"/>
  <c r="CA33" i="2" s="1"/>
  <c r="CA32" i="2" s="1"/>
  <c r="CA158" i="112"/>
  <c r="CC14" i="112"/>
  <c r="CB9" i="112"/>
  <c r="CB11" i="112" s="1"/>
  <c r="CB12" i="112" s="1"/>
  <c r="CN449" i="111" s="1"/>
  <c r="CB114" i="112"/>
  <c r="CB141" i="112"/>
  <c r="CB228" i="112"/>
  <c r="CC146" i="112"/>
  <c r="CB232" i="112"/>
  <c r="CB234" i="112" s="1"/>
  <c r="CC150" i="112"/>
  <c r="BZ533" i="111"/>
  <c r="BZ32" i="2"/>
  <c r="BY25" i="4"/>
  <c r="AB73" i="11" s="1"/>
  <c r="CA234" i="112"/>
  <c r="BW539" i="111"/>
  <c r="CF493" i="111"/>
  <c r="CF498" i="111" s="1"/>
  <c r="CF503" i="111" s="1"/>
  <c r="BX29" i="4"/>
  <c r="L40" i="71"/>
  <c r="L11" i="71"/>
  <c r="L41" i="71" s="1"/>
  <c r="CA53" i="112"/>
  <c r="CA260" i="112"/>
  <c r="CA261" i="112" s="1"/>
  <c r="CA157" i="112"/>
  <c r="CN216" i="8"/>
  <c r="CJ214" i="8"/>
  <c r="CJ291" i="112" s="1"/>
  <c r="CJ215" i="8"/>
  <c r="CJ217" i="8"/>
  <c r="BU15" i="4"/>
  <c r="BZ105" i="112"/>
  <c r="BZ245" i="112" s="1"/>
  <c r="BZ109" i="112"/>
  <c r="BU20" i="4"/>
  <c r="AA69" i="11" s="1"/>
  <c r="BX306" i="112"/>
  <c r="BX299" i="112"/>
  <c r="BX302" i="112"/>
  <c r="CD491" i="111"/>
  <c r="BV19" i="4"/>
  <c r="Y80" i="11"/>
  <c r="AA23" i="71"/>
  <c r="Y21" i="46"/>
  <c r="Y25" i="46" s="1"/>
  <c r="Y64" i="76"/>
  <c r="Y63" i="76"/>
  <c r="Y62" i="76"/>
  <c r="BV123" i="4"/>
  <c r="BW21" i="2"/>
  <c r="BW85" i="4"/>
  <c r="BW115" i="4" s="1"/>
  <c r="BW14" i="4"/>
  <c r="BW288" i="112"/>
  <c r="BW296" i="112"/>
  <c r="BW297" i="112" s="1"/>
  <c r="BT532" i="111"/>
  <c r="BY251" i="112"/>
  <c r="BY269" i="112" s="1"/>
  <c r="BY257" i="112"/>
  <c r="BY258" i="112" s="1"/>
  <c r="BZ250" i="112"/>
  <c r="CB148" i="112"/>
  <c r="BX538" i="111"/>
  <c r="BM149" i="2"/>
  <c r="BM152" i="2" s="1"/>
  <c r="BW532" i="111"/>
  <c r="BX124" i="112"/>
  <c r="CB152" i="112"/>
  <c r="CB203" i="112" s="1"/>
  <c r="BY26" i="4"/>
  <c r="AB75" i="11" s="1"/>
  <c r="BV27" i="2"/>
  <c r="BV28" i="2"/>
  <c r="AO62" i="71"/>
  <c r="CQ216" i="8"/>
  <c r="CM214" i="8"/>
  <c r="CM291" i="112" s="1"/>
  <c r="CM215" i="8"/>
  <c r="CM217" i="8"/>
  <c r="AA206" i="111"/>
  <c r="AA211" i="111" s="1"/>
  <c r="AC29" i="71"/>
  <c r="BX50" i="2"/>
  <c r="BX54" i="2"/>
  <c r="BX6" i="4"/>
  <c r="AR42" i="71"/>
  <c r="AR13" i="71"/>
  <c r="AR43" i="71" s="1"/>
  <c r="CA189" i="112"/>
  <c r="CA193" i="112"/>
  <c r="CA170" i="112"/>
  <c r="CA250" i="112"/>
  <c r="CD481" i="111"/>
  <c r="CD563" i="111"/>
  <c r="BQ45" i="2"/>
  <c r="BQ38" i="2"/>
  <c r="T98" i="27"/>
  <c r="T133" i="27"/>
  <c r="CG463" i="111"/>
  <c r="CG464" i="111" s="1"/>
  <c r="BY9" i="4"/>
  <c r="BY106" i="112"/>
  <c r="BY92" i="112"/>
  <c r="BY123" i="112"/>
  <c r="AB39" i="11"/>
  <c r="CC18" i="112"/>
  <c r="CC20" i="112" s="1"/>
  <c r="BL312" i="112"/>
  <c r="BL314" i="112"/>
  <c r="BY533" i="111"/>
  <c r="CB491" i="111"/>
  <c r="BT19" i="4"/>
  <c r="CC145" i="2"/>
  <c r="Y13" i="76"/>
  <c r="Y91" i="11"/>
  <c r="AR14" i="71"/>
  <c r="AR44" i="71" s="1"/>
  <c r="L12" i="71"/>
  <c r="L42" i="71" s="1"/>
  <c r="BW10" i="2"/>
  <c r="BW70" i="4"/>
  <c r="BW112" i="4" s="1"/>
  <c r="CB254" i="112"/>
  <c r="CB255" i="112"/>
  <c r="CH442" i="111"/>
  <c r="CH443" i="111" s="1"/>
  <c r="CH471" i="111"/>
  <c r="CH472" i="111" s="1"/>
  <c r="BZ171" i="112"/>
  <c r="CD195" i="112"/>
  <c r="CC85" i="112"/>
  <c r="BW490" i="111"/>
  <c r="BW489" i="111"/>
  <c r="CF495" i="111"/>
  <c r="CF500" i="111" s="1"/>
  <c r="CF505" i="111" s="1"/>
  <c r="BX31" i="4"/>
  <c r="BW17" i="2"/>
  <c r="BW83" i="4"/>
  <c r="BW113" i="4" s="1"/>
  <c r="BT489" i="111"/>
  <c r="BT488" i="111"/>
  <c r="BT490" i="111"/>
  <c r="BR488" i="111"/>
  <c r="BS488" i="111"/>
  <c r="BU488" i="111"/>
  <c r="CH469" i="111"/>
  <c r="CH470" i="111" s="1"/>
  <c r="CH440" i="111"/>
  <c r="CH441" i="111" s="1"/>
  <c r="BZ26" i="112"/>
  <c r="CD44" i="112"/>
  <c r="CD46" i="112" s="1"/>
  <c r="BV15" i="4"/>
  <c r="BQ41" i="2"/>
  <c r="CI434" i="111"/>
  <c r="CI435" i="111" s="1"/>
  <c r="BX487" i="111"/>
  <c r="BW488" i="111" s="1"/>
  <c r="BP28" i="4"/>
  <c r="BP24" i="4"/>
  <c r="CA487" i="111"/>
  <c r="BS24" i="4"/>
  <c r="BS28" i="4"/>
  <c r="BW303" i="112"/>
  <c r="BM131" i="2"/>
  <c r="CH428" i="111"/>
  <c r="CH429" i="111" s="1"/>
  <c r="BZ226" i="112"/>
  <c r="BX287" i="112"/>
  <c r="CA11" i="112"/>
  <c r="CA12" i="112" s="1"/>
  <c r="CM449" i="111" s="1"/>
  <c r="CC198" i="112"/>
  <c r="BZ255" i="112"/>
  <c r="BZ254" i="112"/>
  <c r="BV20" i="4"/>
  <c r="CB537" i="111"/>
  <c r="CB538" i="111" s="1"/>
  <c r="BT21" i="4"/>
  <c r="BT23" i="4"/>
  <c r="BW111" i="4"/>
  <c r="BX15" i="2"/>
  <c r="BX8" i="2"/>
  <c r="BX19" i="2"/>
  <c r="BX10" i="4"/>
  <c r="BX11" i="4" s="1"/>
  <c r="BX69" i="4"/>
  <c r="CA105" i="112"/>
  <c r="CA109" i="112"/>
  <c r="CA25" i="112"/>
  <c r="CA38" i="112"/>
  <c r="CA42" i="112"/>
  <c r="S50" i="27" l="1"/>
  <c r="AL63" i="11"/>
  <c r="BW27" i="2"/>
  <c r="AA182" i="11"/>
  <c r="AA184" i="11"/>
  <c r="BU19" i="4"/>
  <c r="CC491" i="111"/>
  <c r="AA64" i="11"/>
  <c r="S9" i="27"/>
  <c r="AA154" i="11"/>
  <c r="AP62" i="71"/>
  <c r="AL67" i="11"/>
  <c r="CB156" i="112"/>
  <c r="N10" i="71"/>
  <c r="N11" i="71" s="1"/>
  <c r="N41" i="71" s="1"/>
  <c r="AT12" i="71"/>
  <c r="AT42" i="71" s="1"/>
  <c r="S10" i="27"/>
  <c r="CA265" i="112"/>
  <c r="AA68" i="11"/>
  <c r="AC877" i="111"/>
  <c r="AB95" i="11"/>
  <c r="AB195" i="111"/>
  <c r="AB215" i="111" s="1"/>
  <c r="AB83" i="11"/>
  <c r="T7" i="27"/>
  <c r="AC31" i="71"/>
  <c r="AA70" i="11"/>
  <c r="AQ60" i="71"/>
  <c r="AA72" i="11"/>
  <c r="S29" i="27"/>
  <c r="AL69" i="11"/>
  <c r="T14" i="27"/>
  <c r="C9" i="92"/>
  <c r="F9" i="92" s="1"/>
  <c r="Z64" i="76"/>
  <c r="Z63" i="76"/>
  <c r="Z80" i="11"/>
  <c r="C8" i="92"/>
  <c r="F8" i="92" s="1"/>
  <c r="AB23" i="71"/>
  <c r="C7" i="92"/>
  <c r="Z62" i="76"/>
  <c r="Z21" i="46"/>
  <c r="Z25" i="46" s="1"/>
  <c r="BX42" i="2"/>
  <c r="BV488" i="111"/>
  <c r="CF455" i="111"/>
  <c r="R137" i="27"/>
  <c r="AB32" i="71"/>
  <c r="AA65" i="11"/>
  <c r="BY488" i="111"/>
  <c r="CD455" i="111"/>
  <c r="BY165" i="2"/>
  <c r="BY162" i="2" s="1"/>
  <c r="AB282" i="111"/>
  <c r="AB285" i="111" s="1"/>
  <c r="BW15" i="4"/>
  <c r="BZ165" i="112"/>
  <c r="BX26" i="2"/>
  <c r="BX27" i="2" s="1"/>
  <c r="BZ164" i="112"/>
  <c r="CB155" i="112"/>
  <c r="CB539" i="111"/>
  <c r="BX13" i="4"/>
  <c r="BX12" i="4"/>
  <c r="CF477" i="111" s="1"/>
  <c r="CF478" i="111" s="1"/>
  <c r="CB105" i="112"/>
  <c r="CB109" i="112"/>
  <c r="CH454" i="111"/>
  <c r="BZ6" i="2"/>
  <c r="BZ35" i="2"/>
  <c r="BZ31" i="2" s="1"/>
  <c r="BZ11" i="2"/>
  <c r="BZ71" i="4" s="1"/>
  <c r="BZ5" i="4"/>
  <c r="BZ241" i="112"/>
  <c r="BZ242" i="112" s="1"/>
  <c r="BZ238" i="112"/>
  <c r="BZ246" i="112"/>
  <c r="BZ283" i="112"/>
  <c r="BZ290" i="112"/>
  <c r="BZ293" i="112"/>
  <c r="BZ308" i="112"/>
  <c r="BZ43" i="4" s="1"/>
  <c r="BZ247" i="112"/>
  <c r="CH448" i="111" s="1"/>
  <c r="CC52" i="112"/>
  <c r="CC55" i="112"/>
  <c r="CC56" i="112" s="1"/>
  <c r="Y251" i="111"/>
  <c r="CB204" i="112"/>
  <c r="CB263" i="112"/>
  <c r="CJ430" i="111"/>
  <c r="CJ431" i="111" s="1"/>
  <c r="BY69" i="4"/>
  <c r="BY111" i="4" s="1"/>
  <c r="CD537" i="111"/>
  <c r="CD538" i="111" s="1"/>
  <c r="CD539" i="111" s="1"/>
  <c r="BV21" i="4"/>
  <c r="BV23" i="4"/>
  <c r="Y71" i="76"/>
  <c r="Y66" i="76"/>
  <c r="Y53" i="76" s="1"/>
  <c r="Y55" i="76" s="1"/>
  <c r="AC16" i="11"/>
  <c r="CC232" i="112"/>
  <c r="CC234" i="112" s="1"/>
  <c r="CD150" i="112"/>
  <c r="CD152" i="112" s="1"/>
  <c r="CD203" i="112" s="1"/>
  <c r="AC12" i="11"/>
  <c r="CC141" i="112"/>
  <c r="CC228" i="112"/>
  <c r="CD146" i="112"/>
  <c r="AC876" i="111"/>
  <c r="AC10" i="11"/>
  <c r="CC9" i="112"/>
  <c r="CD14" i="112"/>
  <c r="CD16" i="112" s="1"/>
  <c r="AC875" i="111"/>
  <c r="CJ434" i="111"/>
  <c r="CJ435" i="111" s="1"/>
  <c r="BY15" i="2"/>
  <c r="BY8" i="2"/>
  <c r="BY19" i="2"/>
  <c r="BY10" i="4"/>
  <c r="BY11" i="4" s="1"/>
  <c r="CG560" i="111"/>
  <c r="BY119" i="4"/>
  <c r="BY123" i="4" s="1"/>
  <c r="BW20" i="4"/>
  <c r="BM159" i="2"/>
  <c r="BM130" i="4"/>
  <c r="BM142" i="2"/>
  <c r="CA532" i="111"/>
  <c r="BX488" i="111"/>
  <c r="BX490" i="111"/>
  <c r="BX489" i="111"/>
  <c r="CD145" i="2"/>
  <c r="CG444" i="111"/>
  <c r="CG445" i="111" s="1"/>
  <c r="CG473" i="111"/>
  <c r="CG474" i="111" s="1"/>
  <c r="BY93" i="112"/>
  <c r="BY94" i="112"/>
  <c r="BY95" i="112" s="1"/>
  <c r="CC111" i="112"/>
  <c r="CA257" i="112"/>
  <c r="CA258" i="112" s="1"/>
  <c r="CA251" i="112"/>
  <c r="CA269" i="112" s="1"/>
  <c r="BM76" i="4"/>
  <c r="BN148" i="2"/>
  <c r="BZ251" i="112"/>
  <c r="BZ269" i="112" s="1"/>
  <c r="BZ257" i="112"/>
  <c r="BZ258" i="112" s="1"/>
  <c r="BZ265" i="112"/>
  <c r="BT533" i="111"/>
  <c r="BT534" i="111"/>
  <c r="BR534" i="111"/>
  <c r="BS534" i="111"/>
  <c r="BU534" i="111"/>
  <c r="CC537" i="111"/>
  <c r="CC538" i="111" s="1"/>
  <c r="CC539" i="111" s="1"/>
  <c r="BU21" i="4"/>
  <c r="BU23" i="4"/>
  <c r="CR216" i="8"/>
  <c r="CN214" i="8"/>
  <c r="CN291" i="112" s="1"/>
  <c r="CN215" i="8"/>
  <c r="CN217" i="8"/>
  <c r="CG493" i="111"/>
  <c r="CG498" i="111" s="1"/>
  <c r="CG503" i="111" s="1"/>
  <c r="BY29" i="4"/>
  <c r="CC152" i="112"/>
  <c r="CC203" i="112" s="1"/>
  <c r="CC148" i="112"/>
  <c r="CI428" i="111"/>
  <c r="CI429" i="111" s="1"/>
  <c r="CA226" i="112"/>
  <c r="CC116" i="112"/>
  <c r="CG438" i="111"/>
  <c r="CG439" i="111" s="1"/>
  <c r="BY239" i="112"/>
  <c r="CG456" i="111"/>
  <c r="CG455" i="111"/>
  <c r="CB53" i="112"/>
  <c r="CB260" i="112"/>
  <c r="CB261" i="112" s="1"/>
  <c r="BW18" i="4"/>
  <c r="BZ25" i="4"/>
  <c r="BZ26" i="4"/>
  <c r="CB25" i="112"/>
  <c r="CB38" i="112"/>
  <c r="CB42" i="112"/>
  <c r="CI463" i="111"/>
  <c r="CI464" i="111" s="1"/>
  <c r="CA9" i="4"/>
  <c r="CA106" i="112"/>
  <c r="CA92" i="112"/>
  <c r="CA123" i="112"/>
  <c r="AB194" i="111"/>
  <c r="AB81" i="11"/>
  <c r="CB487" i="111"/>
  <c r="BT24" i="4"/>
  <c r="BT28" i="4"/>
  <c r="BX111" i="4"/>
  <c r="BX532" i="111"/>
  <c r="BV534" i="111" s="1"/>
  <c r="BY27" i="4"/>
  <c r="Y250" i="111"/>
  <c r="AA27" i="71"/>
  <c r="BX14" i="4"/>
  <c r="BX288" i="112"/>
  <c r="BX296" i="112"/>
  <c r="BX297" i="112" s="1"/>
  <c r="CI442" i="111"/>
  <c r="CI443" i="111" s="1"/>
  <c r="CI471" i="111"/>
  <c r="CI472" i="111" s="1"/>
  <c r="CA171" i="112"/>
  <c r="CE195" i="112"/>
  <c r="CB233" i="112"/>
  <c r="CB229" i="112"/>
  <c r="CB33" i="2" s="1"/>
  <c r="CA154" i="112"/>
  <c r="AC11" i="11"/>
  <c r="CD81" i="112"/>
  <c r="CC76" i="112"/>
  <c r="CC78" i="112" s="1"/>
  <c r="CC79" i="112" s="1"/>
  <c r="CO451" i="111" s="1"/>
  <c r="CU219" i="8"/>
  <c r="CU294" i="112" s="1"/>
  <c r="CU222" i="8"/>
  <c r="CU220" i="8"/>
  <c r="AC15" i="11"/>
  <c r="CD85" i="112"/>
  <c r="CD87" i="112" s="1"/>
  <c r="CD119" i="112" s="1"/>
  <c r="CD120" i="112" s="1"/>
  <c r="AB62" i="111"/>
  <c r="AB68" i="111" s="1"/>
  <c r="AB129" i="111"/>
  <c r="AB27" i="11"/>
  <c r="CI461" i="111"/>
  <c r="CI462" i="111" s="1"/>
  <c r="CA8" i="4"/>
  <c r="CA190" i="112"/>
  <c r="CA207" i="112"/>
  <c r="BX539" i="111"/>
  <c r="AB36" i="11"/>
  <c r="BX17" i="2"/>
  <c r="BX83" i="4"/>
  <c r="BX113" i="4" s="1"/>
  <c r="BR44" i="2"/>
  <c r="BQ74" i="4"/>
  <c r="CI459" i="111"/>
  <c r="CI460" i="111" s="1"/>
  <c r="CA7" i="4"/>
  <c r="CA245" i="112"/>
  <c r="CA247" i="112" s="1"/>
  <c r="CI448" i="111" s="1"/>
  <c r="CA39" i="112"/>
  <c r="CA58" i="112"/>
  <c r="AC14" i="11"/>
  <c r="CD18" i="112"/>
  <c r="CD20" i="112" s="1"/>
  <c r="CG494" i="111"/>
  <c r="CG499" i="111" s="1"/>
  <c r="CG504" i="111" s="1"/>
  <c r="BY30" i="4"/>
  <c r="BW533" i="111"/>
  <c r="CI440" i="111"/>
  <c r="CI441" i="111" s="1"/>
  <c r="CI469" i="111"/>
  <c r="CI470" i="111" s="1"/>
  <c r="CA26" i="112"/>
  <c r="CE44" i="112"/>
  <c r="CE46" i="112" s="1"/>
  <c r="BX21" i="2"/>
  <c r="BX85" i="4"/>
  <c r="BX115" i="4" s="1"/>
  <c r="Y15" i="76"/>
  <c r="CA489" i="111"/>
  <c r="CA490" i="111"/>
  <c r="CB78" i="112"/>
  <c r="CB79" i="112" s="1"/>
  <c r="CN451" i="111" s="1"/>
  <c r="CC87" i="112"/>
  <c r="CC119" i="112" s="1"/>
  <c r="CC120" i="112" s="1"/>
  <c r="BQ39" i="2"/>
  <c r="BQ107" i="4"/>
  <c r="CE481" i="111"/>
  <c r="CE563" i="111"/>
  <c r="CH463" i="111"/>
  <c r="CH464" i="111" s="1"/>
  <c r="BZ9" i="4"/>
  <c r="BZ106" i="112"/>
  <c r="BZ92" i="112"/>
  <c r="BZ123" i="112"/>
  <c r="CB157" i="112"/>
  <c r="CJ432" i="111"/>
  <c r="CJ433" i="111" s="1"/>
  <c r="CB225" i="112"/>
  <c r="CB230" i="112" s="1"/>
  <c r="CB143" i="112"/>
  <c r="CB144" i="112" s="1"/>
  <c r="CF196" i="112" s="1"/>
  <c r="CN450" i="111" s="1"/>
  <c r="BY54" i="2"/>
  <c r="BY50" i="2"/>
  <c r="BY6" i="4"/>
  <c r="BX10" i="2"/>
  <c r="BX70" i="4"/>
  <c r="BX112" i="4" s="1"/>
  <c r="BX303" i="112"/>
  <c r="CD198" i="112"/>
  <c r="BL311" i="112"/>
  <c r="CQ215" i="8"/>
  <c r="CQ217" i="8"/>
  <c r="CU216" i="8"/>
  <c r="CQ214" i="8"/>
  <c r="CQ291" i="112" s="1"/>
  <c r="CB200" i="112"/>
  <c r="CB192" i="112" s="1"/>
  <c r="BX16" i="4"/>
  <c r="BX300" i="112"/>
  <c r="BX224" i="8" s="1"/>
  <c r="BY305" i="112"/>
  <c r="BY124" i="112" s="1"/>
  <c r="CC16" i="112"/>
  <c r="CB158" i="112"/>
  <c r="BY287" i="112"/>
  <c r="BY296" i="112" s="1"/>
  <c r="BY297" i="112" s="1"/>
  <c r="AB132" i="11"/>
  <c r="S126" i="27" l="1"/>
  <c r="CC156" i="112"/>
  <c r="AA27" i="76"/>
  <c r="AQ62" i="71"/>
  <c r="N40" i="71"/>
  <c r="AT13" i="71"/>
  <c r="AT43" i="71" s="1"/>
  <c r="BZ165" i="2"/>
  <c r="BZ162" i="2" s="1"/>
  <c r="CA165" i="112"/>
  <c r="CC155" i="112"/>
  <c r="BX28" i="2"/>
  <c r="BQ33" i="4"/>
  <c r="Z152" i="11"/>
  <c r="R62" i="27"/>
  <c r="BW534" i="111"/>
  <c r="Z71" i="76"/>
  <c r="Z66" i="76"/>
  <c r="Z53" i="76" s="1"/>
  <c r="AB27" i="71"/>
  <c r="Z250" i="111"/>
  <c r="BY534" i="111"/>
  <c r="BX18" i="4"/>
  <c r="CF491" i="111" s="1"/>
  <c r="AC32" i="71"/>
  <c r="S137" i="27"/>
  <c r="Y126" i="11"/>
  <c r="F7" i="92"/>
  <c r="C10" i="92"/>
  <c r="Y162" i="11"/>
  <c r="AA66" i="11"/>
  <c r="AL65" i="11"/>
  <c r="AA64" i="76"/>
  <c r="AA80" i="11"/>
  <c r="AA62" i="76"/>
  <c r="AA63" i="76"/>
  <c r="AC23" i="71"/>
  <c r="AL72" i="11"/>
  <c r="T66" i="27"/>
  <c r="E8" i="92"/>
  <c r="I8" i="92"/>
  <c r="J8" i="92" s="1"/>
  <c r="BM160" i="2"/>
  <c r="CF560" i="111"/>
  <c r="BX119" i="4"/>
  <c r="E9" i="92"/>
  <c r="I9" i="92"/>
  <c r="J9" i="92" s="1"/>
  <c r="AB205" i="111"/>
  <c r="AB210" i="111" s="1"/>
  <c r="CB154" i="112"/>
  <c r="BR41" i="2"/>
  <c r="BY13" i="4"/>
  <c r="BY12" i="4"/>
  <c r="CG477" i="111" s="1"/>
  <c r="CG478" i="111" s="1"/>
  <c r="CJ440" i="111"/>
  <c r="CJ441" i="111" s="1"/>
  <c r="CJ469" i="111"/>
  <c r="CJ470" i="111" s="1"/>
  <c r="CB26" i="112"/>
  <c r="CF44" i="112"/>
  <c r="CF46" i="112" s="1"/>
  <c r="CK430" i="111"/>
  <c r="CK431" i="111" s="1"/>
  <c r="AC6" i="11"/>
  <c r="CC143" i="112"/>
  <c r="CC144" i="112" s="1"/>
  <c r="CG196" i="112" s="1"/>
  <c r="CO450" i="111" s="1"/>
  <c r="CG495" i="111"/>
  <c r="CG500" i="111" s="1"/>
  <c r="CG505" i="111" s="1"/>
  <c r="BY31" i="4"/>
  <c r="AB74" i="11"/>
  <c r="CE18" i="112"/>
  <c r="CE20" i="112" s="1"/>
  <c r="CA25" i="4"/>
  <c r="CA305" i="112"/>
  <c r="CA59" i="112" s="1"/>
  <c r="AB214" i="111"/>
  <c r="CH494" i="111"/>
  <c r="CH499" i="111" s="1"/>
  <c r="CH504" i="111" s="1"/>
  <c r="BZ30" i="4"/>
  <c r="CE491" i="111"/>
  <c r="BW19" i="4"/>
  <c r="BN150" i="2"/>
  <c r="BN57" i="2" s="1"/>
  <c r="BY10" i="2"/>
  <c r="BY70" i="4"/>
  <c r="BY112" i="4" s="1"/>
  <c r="CD232" i="112"/>
  <c r="CE150" i="112"/>
  <c r="CE152" i="112" s="1"/>
  <c r="CE203" i="112" s="1"/>
  <c r="CC53" i="112"/>
  <c r="CC260" i="112"/>
  <c r="CC261" i="112" s="1"/>
  <c r="BX15" i="4"/>
  <c r="BN139" i="2"/>
  <c r="BN157" i="2" s="1"/>
  <c r="BM89" i="4"/>
  <c r="BM144" i="2"/>
  <c r="CD55" i="112"/>
  <c r="CD56" i="112" s="1"/>
  <c r="CD52" i="112"/>
  <c r="CR214" i="8"/>
  <c r="CR291" i="112" s="1"/>
  <c r="CR215" i="8"/>
  <c r="CR217" i="8"/>
  <c r="CV216" i="8"/>
  <c r="AC17" i="111"/>
  <c r="AC20" i="11"/>
  <c r="CC11" i="112"/>
  <c r="CC12" i="112" s="1"/>
  <c r="CO449" i="111" s="1"/>
  <c r="CC158" i="112"/>
  <c r="CC49" i="112"/>
  <c r="CC41" i="112" s="1"/>
  <c r="CA164" i="112"/>
  <c r="BZ27" i="4"/>
  <c r="AC21" i="111"/>
  <c r="Z124" i="11"/>
  <c r="CE85" i="112"/>
  <c r="CE87" i="112" s="1"/>
  <c r="CE119" i="112" s="1"/>
  <c r="CE120" i="112" s="1"/>
  <c r="CB490" i="111"/>
  <c r="CB489" i="111"/>
  <c r="CA27" i="4"/>
  <c r="BZ305" i="112"/>
  <c r="BZ124" i="112" s="1"/>
  <c r="CE537" i="111"/>
  <c r="CE538" i="111" s="1"/>
  <c r="CE539" i="111" s="1"/>
  <c r="BW21" i="4"/>
  <c r="BW23" i="4"/>
  <c r="BY17" i="2"/>
  <c r="BY83" i="4"/>
  <c r="CD141" i="112"/>
  <c r="CD228" i="112"/>
  <c r="CE146" i="112"/>
  <c r="CE148" i="112" s="1"/>
  <c r="CD204" i="112"/>
  <c r="CB264" i="112"/>
  <c r="BZ22" i="4"/>
  <c r="BZ54" i="2"/>
  <c r="BZ50" i="2"/>
  <c r="BZ6" i="4"/>
  <c r="CD76" i="112"/>
  <c r="CD78" i="112" s="1"/>
  <c r="CD79" i="112" s="1"/>
  <c r="CP451" i="111" s="1"/>
  <c r="CE81" i="112"/>
  <c r="CE83" i="112" s="1"/>
  <c r="CK432" i="111"/>
  <c r="CK433" i="111" s="1"/>
  <c r="AC8" i="11"/>
  <c r="CC225" i="112"/>
  <c r="CC230" i="112" s="1"/>
  <c r="BZ69" i="4"/>
  <c r="BZ111" i="4" s="1"/>
  <c r="AC18" i="111"/>
  <c r="AC19" i="11"/>
  <c r="CH456" i="111"/>
  <c r="CB170" i="112"/>
  <c r="CB250" i="112"/>
  <c r="CB265" i="112" s="1"/>
  <c r="CB189" i="112"/>
  <c r="CB245" i="112" s="1"/>
  <c r="CB247" i="112" s="1"/>
  <c r="CJ448" i="111" s="1"/>
  <c r="CB193" i="112"/>
  <c r="T46" i="27"/>
  <c r="BY14" i="4"/>
  <c r="BY18" i="4" s="1"/>
  <c r="BY288" i="112"/>
  <c r="BY306" i="112"/>
  <c r="BY299" i="112"/>
  <c r="BY302" i="112"/>
  <c r="BY208" i="112"/>
  <c r="BY59" i="112"/>
  <c r="CU214" i="8"/>
  <c r="CU291" i="112" s="1"/>
  <c r="CU215" i="8"/>
  <c r="CU217" i="8"/>
  <c r="BZ42" i="2"/>
  <c r="CC157" i="112"/>
  <c r="CH444" i="111"/>
  <c r="CH445" i="111" s="1"/>
  <c r="CH473" i="111"/>
  <c r="CH474" i="111" s="1"/>
  <c r="BZ94" i="112"/>
  <c r="BZ95" i="112" s="1"/>
  <c r="BZ93" i="112"/>
  <c r="CD111" i="112"/>
  <c r="AB12" i="76"/>
  <c r="AB37" i="11"/>
  <c r="AB61" i="11"/>
  <c r="T6" i="27"/>
  <c r="T8" i="27" s="1"/>
  <c r="AB25" i="11"/>
  <c r="CA26" i="4"/>
  <c r="AC23" i="111"/>
  <c r="CK434" i="111"/>
  <c r="CK435" i="111" s="1"/>
  <c r="AC7" i="11"/>
  <c r="CE198" i="112"/>
  <c r="BX534" i="111"/>
  <c r="BX533" i="111"/>
  <c r="CC200" i="112"/>
  <c r="CC192" i="112" s="1"/>
  <c r="AC871" i="111" s="1"/>
  <c r="AC881" i="111" s="1"/>
  <c r="AC886" i="111" s="1"/>
  <c r="CD49" i="112"/>
  <c r="CD41" i="112" s="1"/>
  <c r="CD148" i="112"/>
  <c r="AC13" i="11"/>
  <c r="CC233" i="112"/>
  <c r="AB130" i="11"/>
  <c r="BZ287" i="112"/>
  <c r="CJ463" i="111"/>
  <c r="CJ464" i="111" s="1"/>
  <c r="CB9" i="4"/>
  <c r="CB92" i="112"/>
  <c r="CB123" i="112"/>
  <c r="CB106" i="112"/>
  <c r="CI454" i="111"/>
  <c r="CA6" i="2"/>
  <c r="CA11" i="2"/>
  <c r="CA71" i="4" s="1"/>
  <c r="CA5" i="4"/>
  <c r="CA238" i="112"/>
  <c r="CA246" i="112"/>
  <c r="CA241" i="112"/>
  <c r="CA242" i="112" s="1"/>
  <c r="CA283" i="112"/>
  <c r="CA308" i="112"/>
  <c r="CA43" i="4" s="1"/>
  <c r="CA35" i="2"/>
  <c r="CA31" i="2" s="1"/>
  <c r="CA42" i="2" s="1"/>
  <c r="CA293" i="112"/>
  <c r="CA22" i="4" s="1"/>
  <c r="CA290" i="112"/>
  <c r="CC108" i="112"/>
  <c r="CC114" i="112"/>
  <c r="CC253" i="112"/>
  <c r="CB532" i="111"/>
  <c r="BY21" i="2"/>
  <c r="BY85" i="4"/>
  <c r="AC16" i="111"/>
  <c r="AC18" i="11"/>
  <c r="CH438" i="111"/>
  <c r="CH439" i="111" s="1"/>
  <c r="BZ239" i="112"/>
  <c r="BX20" i="4"/>
  <c r="BL45" i="4"/>
  <c r="BL315" i="112"/>
  <c r="CJ428" i="111"/>
  <c r="CJ429" i="111" s="1"/>
  <c r="CB226" i="112"/>
  <c r="BR45" i="2"/>
  <c r="BR38" i="2"/>
  <c r="CD83" i="112"/>
  <c r="CB32" i="2"/>
  <c r="CF481" i="111"/>
  <c r="CF563" i="111"/>
  <c r="AB204" i="111"/>
  <c r="AB209" i="111" s="1"/>
  <c r="CI444" i="111"/>
  <c r="CI445" i="111" s="1"/>
  <c r="CI473" i="111"/>
  <c r="CI474" i="111" s="1"/>
  <c r="CA94" i="112"/>
  <c r="CA95" i="112" s="1"/>
  <c r="CA93" i="112"/>
  <c r="CE111" i="112"/>
  <c r="CE253" i="112" s="1"/>
  <c r="CJ459" i="111"/>
  <c r="CJ460" i="111" s="1"/>
  <c r="CB7" i="4"/>
  <c r="CB58" i="112"/>
  <c r="CB39" i="112"/>
  <c r="CH493" i="111"/>
  <c r="CH498" i="111" s="1"/>
  <c r="CH503" i="111" s="1"/>
  <c r="BZ29" i="4"/>
  <c r="CC263" i="112"/>
  <c r="CC204" i="112"/>
  <c r="CC487" i="111"/>
  <c r="CA488" i="111" s="1"/>
  <c r="BU28" i="4"/>
  <c r="BU24" i="4"/>
  <c r="CE145" i="2"/>
  <c r="CA533" i="111"/>
  <c r="CD9" i="112"/>
  <c r="CD11" i="112" s="1"/>
  <c r="CD12" i="112" s="1"/>
  <c r="CP449" i="111" s="1"/>
  <c r="CE14" i="112"/>
  <c r="CE16" i="112" s="1"/>
  <c r="AC9" i="11"/>
  <c r="CC229" i="112"/>
  <c r="CC33" i="2" s="1"/>
  <c r="CC32" i="2" s="1"/>
  <c r="AC22" i="111"/>
  <c r="CD487" i="111"/>
  <c r="BV28" i="4"/>
  <c r="CD532" i="111" s="1"/>
  <c r="BV24" i="4"/>
  <c r="BY26" i="2"/>
  <c r="BZ8" i="2"/>
  <c r="BZ19" i="2"/>
  <c r="BZ15" i="2"/>
  <c r="BZ10" i="4"/>
  <c r="BZ11" i="4" s="1"/>
  <c r="CA165" i="2" l="1"/>
  <c r="CA162" i="2" s="1"/>
  <c r="CD156" i="112"/>
  <c r="BX19" i="4"/>
  <c r="CD263" i="112"/>
  <c r="CD264" i="112" s="1"/>
  <c r="BR74" i="4"/>
  <c r="BS44" i="2"/>
  <c r="BS41" i="2" s="1"/>
  <c r="BT44" i="2" s="1"/>
  <c r="CC154" i="112"/>
  <c r="CD155" i="112"/>
  <c r="CB164" i="112"/>
  <c r="CA208" i="112"/>
  <c r="CA124" i="112"/>
  <c r="AA71" i="76"/>
  <c r="AA66" i="76"/>
  <c r="AA53" i="76" s="1"/>
  <c r="E7" i="92"/>
  <c r="I7" i="92"/>
  <c r="AB67" i="11"/>
  <c r="AA250" i="111"/>
  <c r="AC27" i="71"/>
  <c r="AB63" i="11"/>
  <c r="T67" i="27"/>
  <c r="Y16" i="76"/>
  <c r="Y17" i="76" s="1"/>
  <c r="Y18" i="76" s="1"/>
  <c r="Y21" i="76" s="1"/>
  <c r="Z89" i="11"/>
  <c r="CB488" i="111"/>
  <c r="CB165" i="112"/>
  <c r="BX123" i="4"/>
  <c r="T73" i="27"/>
  <c r="T77" i="27" s="1"/>
  <c r="AB157" i="11"/>
  <c r="BZ488" i="111"/>
  <c r="BZ26" i="2"/>
  <c r="BZ28" i="2" s="1"/>
  <c r="CD143" i="112"/>
  <c r="CD144" i="112" s="1"/>
  <c r="CH196" i="112" s="1"/>
  <c r="CP450" i="111" s="1"/>
  <c r="CA287" i="112"/>
  <c r="CA14" i="4" s="1"/>
  <c r="CE49" i="112"/>
  <c r="CE41" i="112" s="1"/>
  <c r="CE116" i="112"/>
  <c r="CE108" i="112" s="1"/>
  <c r="CG491" i="111"/>
  <c r="BY19" i="4"/>
  <c r="BZ12" i="4"/>
  <c r="CH477" i="111" s="1"/>
  <c r="CH478" i="111" s="1"/>
  <c r="BZ13" i="4"/>
  <c r="CE255" i="112"/>
  <c r="CE254" i="112"/>
  <c r="AB136" i="11"/>
  <c r="BY113" i="4"/>
  <c r="T68" i="27" s="1"/>
  <c r="AB131" i="11"/>
  <c r="AC12" i="111"/>
  <c r="AC17" i="11"/>
  <c r="CC488" i="111"/>
  <c r="CC490" i="111"/>
  <c r="CC489" i="111"/>
  <c r="BL46" i="4"/>
  <c r="BL77" i="4"/>
  <c r="BL78" i="4" s="1"/>
  <c r="BL49" i="4"/>
  <c r="BL51" i="4"/>
  <c r="CB27" i="4"/>
  <c r="CD200" i="112"/>
  <c r="CD192" i="112" s="1"/>
  <c r="CC170" i="112"/>
  <c r="CC250" i="112"/>
  <c r="CC265" i="112" s="1"/>
  <c r="CC189" i="112"/>
  <c r="AC40" i="11" s="1"/>
  <c r="CC193" i="112"/>
  <c r="CI494" i="111"/>
  <c r="CI499" i="111" s="1"/>
  <c r="CI504" i="111" s="1"/>
  <c r="CA30" i="4"/>
  <c r="BY303" i="112"/>
  <c r="CF146" i="112"/>
  <c r="CF148" i="112" s="1"/>
  <c r="CE141" i="112"/>
  <c r="CE156" i="112" s="1"/>
  <c r="CE228" i="112"/>
  <c r="CI495" i="111"/>
  <c r="CI500" i="111" s="1"/>
  <c r="CI505" i="111" s="1"/>
  <c r="CA31" i="4"/>
  <c r="AC141" i="111"/>
  <c r="AC101" i="111"/>
  <c r="CF150" i="112"/>
  <c r="CF152" i="112" s="1"/>
  <c r="CF203" i="112" s="1"/>
  <c r="CE232" i="112"/>
  <c r="CE234" i="112" s="1"/>
  <c r="AB183" i="11"/>
  <c r="BY28" i="2"/>
  <c r="BY27" i="2"/>
  <c r="CC532" i="111"/>
  <c r="CA534" i="111" s="1"/>
  <c r="CB533" i="111"/>
  <c r="CA50" i="2"/>
  <c r="CA54" i="2"/>
  <c r="CA6" i="4"/>
  <c r="BZ14" i="4"/>
  <c r="BZ18" i="4" s="1"/>
  <c r="BZ288" i="112"/>
  <c r="BZ296" i="112"/>
  <c r="BZ297" i="112" s="1"/>
  <c r="AC13" i="111"/>
  <c r="AC9" i="111"/>
  <c r="CC38" i="112"/>
  <c r="CC42" i="112"/>
  <c r="CC25" i="112"/>
  <c r="AC870" i="111"/>
  <c r="AC880" i="111" s="1"/>
  <c r="AC885" i="111" s="1"/>
  <c r="CD53" i="112"/>
  <c r="CD260" i="112"/>
  <c r="CD261" i="112" s="1"/>
  <c r="BZ17" i="2"/>
  <c r="BZ83" i="4"/>
  <c r="BZ113" i="4" s="1"/>
  <c r="CD533" i="111"/>
  <c r="BR39" i="2"/>
  <c r="BR107" i="4"/>
  <c r="CF537" i="111"/>
  <c r="CF538" i="111" s="1"/>
  <c r="CF539" i="111" s="1"/>
  <c r="BX21" i="4"/>
  <c r="BX23" i="4"/>
  <c r="CI560" i="111"/>
  <c r="CA119" i="4"/>
  <c r="CA123" i="4" s="1"/>
  <c r="CA8" i="2"/>
  <c r="CA19" i="2"/>
  <c r="CA15" i="2"/>
  <c r="CA10" i="4"/>
  <c r="CA11" i="4" s="1"/>
  <c r="CA69" i="4"/>
  <c r="CA111" i="4" s="1"/>
  <c r="CJ444" i="111"/>
  <c r="CJ445" i="111" s="1"/>
  <c r="CJ473" i="111"/>
  <c r="CJ474" i="111" s="1"/>
  <c r="CB94" i="112"/>
  <c r="CB95" i="112" s="1"/>
  <c r="CB93" i="112"/>
  <c r="CF111" i="112"/>
  <c r="AB332" i="111"/>
  <c r="AB382" i="111"/>
  <c r="AB333" i="111"/>
  <c r="T44" i="27"/>
  <c r="CD38" i="112"/>
  <c r="CD42" i="112"/>
  <c r="CD25" i="112"/>
  <c r="AB62" i="11"/>
  <c r="CD157" i="112"/>
  <c r="BY16" i="4"/>
  <c r="BY15" i="4" s="1"/>
  <c r="AB65" i="11" s="1"/>
  <c r="BY300" i="112"/>
  <c r="BY224" i="8" s="1"/>
  <c r="CJ461" i="111"/>
  <c r="CJ462" i="111" s="1"/>
  <c r="CB8" i="4"/>
  <c r="CB207" i="112"/>
  <c r="CB305" i="112" s="1"/>
  <c r="CB190" i="112"/>
  <c r="CK428" i="111"/>
  <c r="CK429" i="111" s="1"/>
  <c r="AC5" i="11"/>
  <c r="CC226" i="112"/>
  <c r="CE200" i="112"/>
  <c r="CE192" i="112" s="1"/>
  <c r="CE204" i="112"/>
  <c r="BN108" i="4"/>
  <c r="BN32" i="4"/>
  <c r="CI493" i="111"/>
  <c r="CI498" i="111" s="1"/>
  <c r="CI503" i="111" s="1"/>
  <c r="CA29" i="4"/>
  <c r="AB196" i="111"/>
  <c r="AB82" i="11"/>
  <c r="AC7" i="111"/>
  <c r="CB25" i="4"/>
  <c r="BZ21" i="2"/>
  <c r="BZ85" i="4"/>
  <c r="BZ115" i="4" s="1"/>
  <c r="CD490" i="111"/>
  <c r="CD489" i="111"/>
  <c r="CF145" i="2"/>
  <c r="CC264" i="112"/>
  <c r="AB138" i="11"/>
  <c r="BY115" i="4"/>
  <c r="T70" i="27" s="1"/>
  <c r="CI456" i="111"/>
  <c r="CB251" i="112"/>
  <c r="CB269" i="112" s="1"/>
  <c r="CB257" i="112"/>
  <c r="CB258" i="112" s="1"/>
  <c r="CD158" i="112"/>
  <c r="Y137" i="11"/>
  <c r="BM91" i="4"/>
  <c r="CD233" i="112"/>
  <c r="CE52" i="112"/>
  <c r="CE55" i="112"/>
  <c r="CE56" i="112" s="1"/>
  <c r="BZ10" i="2"/>
  <c r="BZ70" i="4"/>
  <c r="BZ112" i="4" s="1"/>
  <c r="CL430" i="111"/>
  <c r="CL431" i="111" s="1"/>
  <c r="CE114" i="112"/>
  <c r="AC29" i="11"/>
  <c r="AC281" i="111"/>
  <c r="AC284" i="111" s="1"/>
  <c r="T135" i="27"/>
  <c r="CG481" i="111"/>
  <c r="CG563" i="111"/>
  <c r="CJ442" i="111"/>
  <c r="CJ443" i="111" s="1"/>
  <c r="CJ471" i="111"/>
  <c r="CJ472" i="111" s="1"/>
  <c r="CB171" i="112"/>
  <c r="CF195" i="112"/>
  <c r="CL434" i="111"/>
  <c r="CL435" i="111" s="1"/>
  <c r="Y46" i="76"/>
  <c r="CL432" i="111"/>
  <c r="CL433" i="111" s="1"/>
  <c r="CD225" i="112"/>
  <c r="CF85" i="112"/>
  <c r="CF87" i="112" s="1"/>
  <c r="CF119" i="112" s="1"/>
  <c r="CF120" i="112" s="1"/>
  <c r="R39" i="27"/>
  <c r="CV214" i="8"/>
  <c r="CV291" i="112" s="1"/>
  <c r="CV215" i="8"/>
  <c r="CV217" i="8"/>
  <c r="BN156" i="2"/>
  <c r="BN140" i="2"/>
  <c r="CF18" i="112"/>
  <c r="CF20" i="112" s="1"/>
  <c r="AC140" i="111"/>
  <c r="AC100" i="111"/>
  <c r="CE9" i="112"/>
  <c r="CF14" i="112"/>
  <c r="CF16" i="112" s="1"/>
  <c r="CC255" i="112"/>
  <c r="CC254" i="112"/>
  <c r="CD114" i="112"/>
  <c r="CD253" i="112"/>
  <c r="CE76" i="112"/>
  <c r="CE78" i="112" s="1"/>
  <c r="CE79" i="112" s="1"/>
  <c r="CQ451" i="111" s="1"/>
  <c r="CF81" i="112"/>
  <c r="CD229" i="112"/>
  <c r="CD33" i="2" s="1"/>
  <c r="CE487" i="111"/>
  <c r="BW28" i="4"/>
  <c r="CE532" i="111" s="1"/>
  <c r="BW24" i="4"/>
  <c r="CJ454" i="111"/>
  <c r="CB6" i="2"/>
  <c r="CB35" i="2"/>
  <c r="CB11" i="2"/>
  <c r="CB71" i="4" s="1"/>
  <c r="CB5" i="4"/>
  <c r="CB238" i="112"/>
  <c r="CB246" i="112"/>
  <c r="CB241" i="112"/>
  <c r="CB242" i="112" s="1"/>
  <c r="CB283" i="112"/>
  <c r="CB293" i="112"/>
  <c r="CB22" i="4" s="1"/>
  <c r="CB308" i="112"/>
  <c r="CB43" i="4" s="1"/>
  <c r="CB290" i="112"/>
  <c r="CD116" i="112"/>
  <c r="CD108" i="112" s="1"/>
  <c r="CC105" i="112"/>
  <c r="CC109" i="112"/>
  <c r="AC872" i="111"/>
  <c r="AC882" i="111" s="1"/>
  <c r="AC887" i="111" s="1"/>
  <c r="CI438" i="111"/>
  <c r="CI439" i="111" s="1"/>
  <c r="CA239" i="112"/>
  <c r="CD234" i="112"/>
  <c r="CH560" i="111"/>
  <c r="BZ119" i="4"/>
  <c r="AC142" i="111"/>
  <c r="AC102" i="111"/>
  <c r="AC8" i="111"/>
  <c r="BZ302" i="112"/>
  <c r="BZ306" i="112"/>
  <c r="BZ299" i="112"/>
  <c r="BZ59" i="112"/>
  <c r="BZ208" i="112"/>
  <c r="CH495" i="111"/>
  <c r="CH500" i="111" s="1"/>
  <c r="CH505" i="111" s="1"/>
  <c r="BZ31" i="4"/>
  <c r="CA299" i="112"/>
  <c r="CA302" i="112"/>
  <c r="CA306" i="112"/>
  <c r="BN141" i="2" l="1"/>
  <c r="CE155" i="112"/>
  <c r="CB165" i="2"/>
  <c r="CB162" i="2" s="1"/>
  <c r="CC165" i="112"/>
  <c r="CC164" i="112"/>
  <c r="BS74" i="4"/>
  <c r="BS38" i="2"/>
  <c r="BS107" i="4" s="1"/>
  <c r="BS33" i="4" s="1"/>
  <c r="BS45" i="2"/>
  <c r="CA288" i="112"/>
  <c r="CI481" i="111" s="1"/>
  <c r="CA296" i="112"/>
  <c r="CA297" i="112" s="1"/>
  <c r="AB199" i="111"/>
  <c r="AB200" i="111"/>
  <c r="BZ27" i="2"/>
  <c r="AB66" i="11"/>
  <c r="AC63" i="111"/>
  <c r="AC69" i="111" s="1"/>
  <c r="AC128" i="111"/>
  <c r="BT41" i="2"/>
  <c r="Z275" i="111"/>
  <c r="AA850" i="111"/>
  <c r="Z19" i="76"/>
  <c r="Z22" i="76"/>
  <c r="Z179" i="11"/>
  <c r="T9" i="27"/>
  <c r="AB64" i="11"/>
  <c r="BZ534" i="111"/>
  <c r="AB28" i="76"/>
  <c r="AB181" i="11"/>
  <c r="T10" i="27"/>
  <c r="AB68" i="11"/>
  <c r="BY20" i="4"/>
  <c r="CG537" i="111" s="1"/>
  <c r="CG538" i="111" s="1"/>
  <c r="CG539" i="111" s="1"/>
  <c r="AB897" i="111"/>
  <c r="CB534" i="111"/>
  <c r="Y20" i="76"/>
  <c r="Y23" i="76"/>
  <c r="J7" i="92"/>
  <c r="I10" i="92"/>
  <c r="CB31" i="2"/>
  <c r="CD154" i="112"/>
  <c r="CA26" i="2"/>
  <c r="CA27" i="2" s="1"/>
  <c r="CB287" i="112"/>
  <c r="CB296" i="112" s="1"/>
  <c r="CB297" i="112" s="1"/>
  <c r="CE143" i="112"/>
  <c r="CE144" i="112" s="1"/>
  <c r="CI196" i="112" s="1"/>
  <c r="CQ450" i="111" s="1"/>
  <c r="CD105" i="112"/>
  <c r="CD109" i="112"/>
  <c r="CA12" i="4"/>
  <c r="CI477" i="111" s="1"/>
  <c r="CI478" i="111" s="1"/>
  <c r="CA18" i="4"/>
  <c r="CA13" i="4"/>
  <c r="CB299" i="112"/>
  <c r="CB302" i="112"/>
  <c r="CB306" i="112"/>
  <c r="CB124" i="112"/>
  <c r="CB59" i="112"/>
  <c r="CH491" i="111"/>
  <c r="BZ19" i="4"/>
  <c r="CE105" i="112"/>
  <c r="CE109" i="112"/>
  <c r="CF49" i="112"/>
  <c r="CF41" i="112" s="1"/>
  <c r="BR33" i="4"/>
  <c r="CA303" i="112"/>
  <c r="CF76" i="112"/>
  <c r="CG81" i="112"/>
  <c r="CG83" i="112" s="1"/>
  <c r="CE533" i="111"/>
  <c r="CM434" i="111"/>
  <c r="CM435" i="111" s="1"/>
  <c r="CM430" i="111"/>
  <c r="CM431" i="111" s="1"/>
  <c r="BZ16" i="4"/>
  <c r="BZ300" i="112"/>
  <c r="BZ224" i="8" s="1"/>
  <c r="CB8" i="2"/>
  <c r="CB19" i="2"/>
  <c r="CB15" i="2"/>
  <c r="CB10" i="4"/>
  <c r="CB11" i="4" s="1"/>
  <c r="CB50" i="2"/>
  <c r="CB54" i="2"/>
  <c r="CB6" i="4"/>
  <c r="CE489" i="111"/>
  <c r="CE490" i="111"/>
  <c r="CG145" i="2"/>
  <c r="CE189" i="112"/>
  <c r="CE193" i="112"/>
  <c r="CE170" i="112"/>
  <c r="CE250" i="112"/>
  <c r="U98" i="27"/>
  <c r="U133" i="27"/>
  <c r="CE157" i="112"/>
  <c r="CF114" i="112"/>
  <c r="CG150" i="112"/>
  <c r="CG152" i="112" s="1"/>
  <c r="CG203" i="112" s="1"/>
  <c r="CF232" i="112"/>
  <c r="CF234" i="112" s="1"/>
  <c r="CE229" i="112"/>
  <c r="CE33" i="2" s="1"/>
  <c r="CE32" i="2" s="1"/>
  <c r="CK442" i="111"/>
  <c r="CK443" i="111" s="1"/>
  <c r="CK471" i="111"/>
  <c r="CK472" i="111" s="1"/>
  <c r="CC171" i="112"/>
  <c r="CG195" i="112"/>
  <c r="CJ495" i="111"/>
  <c r="CJ500" i="111" s="1"/>
  <c r="CJ505" i="111" s="1"/>
  <c r="CB31" i="4"/>
  <c r="BL62" i="2"/>
  <c r="BL105" i="4"/>
  <c r="BL53" i="4"/>
  <c r="CK463" i="111"/>
  <c r="CK464" i="111" s="1"/>
  <c r="CC9" i="4"/>
  <c r="CC92" i="112"/>
  <c r="CC123" i="112"/>
  <c r="CC106" i="112"/>
  <c r="AC39" i="11"/>
  <c r="CF52" i="112"/>
  <c r="CF55" i="112"/>
  <c r="CF56" i="112" s="1"/>
  <c r="CJ493" i="111"/>
  <c r="CJ498" i="111" s="1"/>
  <c r="CJ503" i="111" s="1"/>
  <c r="CB29" i="4"/>
  <c r="CA17" i="2"/>
  <c r="CA83" i="4"/>
  <c r="CA113" i="4" s="1"/>
  <c r="CC534" i="111"/>
  <c r="CC533" i="111"/>
  <c r="CM432" i="111"/>
  <c r="CM433" i="111" s="1"/>
  <c r="CE225" i="112"/>
  <c r="CE230" i="112" s="1"/>
  <c r="CD170" i="112"/>
  <c r="CD250" i="112"/>
  <c r="CD189" i="112"/>
  <c r="CD193" i="112"/>
  <c r="BL131" i="4"/>
  <c r="AB384" i="111"/>
  <c r="T45" i="27"/>
  <c r="BN131" i="2"/>
  <c r="Q51" i="27"/>
  <c r="BZ303" i="112"/>
  <c r="BZ123" i="4"/>
  <c r="CD32" i="2"/>
  <c r="AB206" i="111"/>
  <c r="AB211" i="111" s="1"/>
  <c r="CB26" i="4"/>
  <c r="CB208" i="112"/>
  <c r="CB69" i="4"/>
  <c r="CB111" i="4" s="1"/>
  <c r="CF83" i="112"/>
  <c r="CG18" i="112"/>
  <c r="CG20" i="112" s="1"/>
  <c r="CG85" i="112"/>
  <c r="CG87" i="112" s="1"/>
  <c r="CG119" i="112" s="1"/>
  <c r="CG120" i="112" s="1"/>
  <c r="CE260" i="112"/>
  <c r="CE261" i="112" s="1"/>
  <c r="CE53" i="112"/>
  <c r="CE158" i="112"/>
  <c r="BN34" i="4"/>
  <c r="CL440" i="111"/>
  <c r="CL441" i="111" s="1"/>
  <c r="CL469" i="111"/>
  <c r="CL470" i="111" s="1"/>
  <c r="CD26" i="112"/>
  <c r="CH44" i="112"/>
  <c r="CH46" i="112" s="1"/>
  <c r="CA21" i="2"/>
  <c r="CA85" i="4"/>
  <c r="CA115" i="4" s="1"/>
  <c r="CF487" i="111"/>
  <c r="BX24" i="4"/>
  <c r="BX28" i="4"/>
  <c r="CF532" i="111" s="1"/>
  <c r="CK440" i="111"/>
  <c r="CK441" i="111" s="1"/>
  <c r="CK469" i="111"/>
  <c r="CK470" i="111" s="1"/>
  <c r="CC26" i="112"/>
  <c r="CG44" i="112"/>
  <c r="CG46" i="112" s="1"/>
  <c r="CH481" i="111"/>
  <c r="CH563" i="111"/>
  <c r="CG146" i="112"/>
  <c r="CF141" i="112"/>
  <c r="CF156" i="112" s="1"/>
  <c r="CF228" i="112"/>
  <c r="BT548" i="111"/>
  <c r="U134" i="27"/>
  <c r="CE38" i="112"/>
  <c r="CE42" i="112"/>
  <c r="CE25" i="112"/>
  <c r="CE11" i="112"/>
  <c r="CE12" i="112" s="1"/>
  <c r="CQ449" i="111" s="1"/>
  <c r="AB249" i="111"/>
  <c r="T136" i="27"/>
  <c r="CA10" i="2"/>
  <c r="CA70" i="4"/>
  <c r="CA112" i="4" s="1"/>
  <c r="CE233" i="112"/>
  <c r="CK461" i="111"/>
  <c r="CK462" i="111" s="1"/>
  <c r="AC28" i="11"/>
  <c r="CC8" i="4"/>
  <c r="CC207" i="112"/>
  <c r="CC190" i="112"/>
  <c r="BT38" i="2"/>
  <c r="BT45" i="2"/>
  <c r="CF198" i="112"/>
  <c r="CF253" i="112"/>
  <c r="CF200" i="112"/>
  <c r="CF192" i="112" s="1"/>
  <c r="CJ456" i="111"/>
  <c r="CD254" i="112"/>
  <c r="CD255" i="112"/>
  <c r="CG14" i="112"/>
  <c r="CG16" i="112" s="1"/>
  <c r="CF9" i="112"/>
  <c r="CF11" i="112" s="1"/>
  <c r="CF12" i="112" s="1"/>
  <c r="CR449" i="111" s="1"/>
  <c r="CA16" i="4"/>
  <c r="CA15" i="4" s="1"/>
  <c r="CA300" i="112"/>
  <c r="CA224" i="8" s="1"/>
  <c r="CJ438" i="111"/>
  <c r="CJ439" i="111" s="1"/>
  <c r="CB239" i="112"/>
  <c r="BN149" i="2"/>
  <c r="BN152" i="2" s="1"/>
  <c r="CL428" i="111"/>
  <c r="CL429" i="111" s="1"/>
  <c r="CD226" i="112"/>
  <c r="AB201" i="111"/>
  <c r="AB216" i="111"/>
  <c r="CE263" i="112"/>
  <c r="CD230" i="112"/>
  <c r="CL459" i="111"/>
  <c r="CL460" i="111" s="1"/>
  <c r="CD7" i="4"/>
  <c r="CD58" i="112"/>
  <c r="CD39" i="112"/>
  <c r="CK459" i="111"/>
  <c r="CK460" i="111" s="1"/>
  <c r="CC7" i="4"/>
  <c r="CC58" i="112"/>
  <c r="CC39" i="112"/>
  <c r="CC245" i="112"/>
  <c r="AC38" i="11"/>
  <c r="AC26" i="11" s="1"/>
  <c r="AB182" i="11"/>
  <c r="AB184" i="11"/>
  <c r="CF204" i="112"/>
  <c r="CC257" i="112"/>
  <c r="CC258" i="112" s="1"/>
  <c r="CC251" i="112"/>
  <c r="CC269" i="112" s="1"/>
  <c r="BT554" i="111"/>
  <c r="BL55" i="4"/>
  <c r="AC27" i="46" s="1"/>
  <c r="BL62" i="4"/>
  <c r="T50" i="27"/>
  <c r="CE154" i="112" l="1"/>
  <c r="AC28" i="46"/>
  <c r="AE27" i="46"/>
  <c r="AH27" i="46"/>
  <c r="CD245" i="112"/>
  <c r="CD11" i="2" s="1"/>
  <c r="CD71" i="4" s="1"/>
  <c r="BS39" i="2"/>
  <c r="BT74" i="4"/>
  <c r="CC165" i="2"/>
  <c r="CC162" i="2" s="1"/>
  <c r="CI563" i="111"/>
  <c r="CF263" i="112"/>
  <c r="CF264" i="112" s="1"/>
  <c r="AD875" i="111"/>
  <c r="BU44" i="2"/>
  <c r="BU41" i="2" s="1"/>
  <c r="BV44" i="2" s="1"/>
  <c r="CA28" i="2"/>
  <c r="CF155" i="112"/>
  <c r="T126" i="27"/>
  <c r="CB26" i="2"/>
  <c r="CB28" i="2" s="1"/>
  <c r="CB288" i="112"/>
  <c r="CJ481" i="111" s="1"/>
  <c r="CD164" i="112"/>
  <c r="CB14" i="4"/>
  <c r="CB18" i="4" s="1"/>
  <c r="BY23" i="4"/>
  <c r="BY24" i="4" s="1"/>
  <c r="CB42" i="2"/>
  <c r="BY21" i="4"/>
  <c r="Z276" i="111"/>
  <c r="Z279" i="111"/>
  <c r="Y25" i="76"/>
  <c r="BZ15" i="4"/>
  <c r="BZ20" i="4"/>
  <c r="H10" i="92"/>
  <c r="J10" i="92"/>
  <c r="Z394" i="111"/>
  <c r="AB69" i="11"/>
  <c r="Z26" i="76"/>
  <c r="CD165" i="112"/>
  <c r="CG204" i="112"/>
  <c r="CF189" i="112"/>
  <c r="CF193" i="112"/>
  <c r="CF170" i="112"/>
  <c r="CG52" i="112"/>
  <c r="CG55" i="112"/>
  <c r="CG56" i="112" s="1"/>
  <c r="CG49" i="112"/>
  <c r="CG41" i="112" s="1"/>
  <c r="AD870" i="111" s="1"/>
  <c r="AC61" i="111"/>
  <c r="AC67" i="111" s="1"/>
  <c r="AC127" i="111"/>
  <c r="AC36" i="11"/>
  <c r="CF255" i="112"/>
  <c r="CF254" i="112"/>
  <c r="CM459" i="111"/>
  <c r="CM460" i="111" s="1"/>
  <c r="CE7" i="4"/>
  <c r="CE39" i="112"/>
  <c r="CE245" i="112"/>
  <c r="CE58" i="112"/>
  <c r="AD12" i="11"/>
  <c r="CH146" i="112"/>
  <c r="CH148" i="112" s="1"/>
  <c r="CG141" i="112"/>
  <c r="CG156" i="112" s="1"/>
  <c r="CG228" i="112"/>
  <c r="AD876" i="111"/>
  <c r="CF158" i="112"/>
  <c r="BN159" i="2"/>
  <c r="BN130" i="4"/>
  <c r="BN142" i="2"/>
  <c r="CD251" i="112"/>
  <c r="CD269" i="112" s="1"/>
  <c r="CD257" i="112"/>
  <c r="CD258" i="112" s="1"/>
  <c r="CD265" i="112"/>
  <c r="CF143" i="112"/>
  <c r="CF144" i="112" s="1"/>
  <c r="CJ196" i="112" s="1"/>
  <c r="CR450" i="111" s="1"/>
  <c r="AC62" i="111"/>
  <c r="AC68" i="111" s="1"/>
  <c r="AC129" i="111"/>
  <c r="AC27" i="11"/>
  <c r="BL71" i="2"/>
  <c r="BL70" i="2" s="1"/>
  <c r="CB12" i="4"/>
  <c r="CJ477" i="111" s="1"/>
  <c r="CJ478" i="111" s="1"/>
  <c r="CB13" i="4"/>
  <c r="CB21" i="2"/>
  <c r="CB85" i="4"/>
  <c r="CB115" i="4" s="1"/>
  <c r="AD11" i="11"/>
  <c r="CH81" i="112"/>
  <c r="CH83" i="112" s="1"/>
  <c r="CG76" i="112"/>
  <c r="CG78" i="112" s="1"/>
  <c r="CG79" i="112" s="1"/>
  <c r="CS451" i="111" s="1"/>
  <c r="AD877" i="111"/>
  <c r="CA20" i="4"/>
  <c r="CF489" i="111"/>
  <c r="CF490" i="111"/>
  <c r="CL442" i="111"/>
  <c r="CL443" i="111" s="1"/>
  <c r="CL471" i="111"/>
  <c r="CL472" i="111" s="1"/>
  <c r="CD171" i="112"/>
  <c r="CH195" i="112"/>
  <c r="CB10" i="2"/>
  <c r="CB70" i="4"/>
  <c r="CB112" i="4" s="1"/>
  <c r="CB303" i="112"/>
  <c r="CK454" i="111"/>
  <c r="CC11" i="2"/>
  <c r="CC71" i="4" s="1"/>
  <c r="CC6" i="2"/>
  <c r="CC35" i="2"/>
  <c r="CC5" i="4"/>
  <c r="CC238" i="112"/>
  <c r="CC246" i="112"/>
  <c r="CC241" i="112"/>
  <c r="CC242" i="112" s="1"/>
  <c r="CC283" i="112"/>
  <c r="AC60" i="11" s="1"/>
  <c r="CC290" i="112"/>
  <c r="CC293" i="112"/>
  <c r="CC308" i="112"/>
  <c r="CC43" i="4" s="1"/>
  <c r="CD25" i="4"/>
  <c r="CC26" i="4"/>
  <c r="AC75" i="11" s="1"/>
  <c r="AD15" i="11"/>
  <c r="CH85" i="112"/>
  <c r="CH87" i="112" s="1"/>
  <c r="CH119" i="112" s="1"/>
  <c r="CH120" i="112" s="1"/>
  <c r="CF157" i="112"/>
  <c r="CE251" i="112"/>
  <c r="CE269" i="112" s="1"/>
  <c r="CE257" i="112"/>
  <c r="CE258" i="112" s="1"/>
  <c r="CM463" i="111"/>
  <c r="CM464" i="111" s="1"/>
  <c r="CE9" i="4"/>
  <c r="CE106" i="112"/>
  <c r="CE92" i="112"/>
  <c r="CE123" i="112"/>
  <c r="CB16" i="4"/>
  <c r="CB300" i="112"/>
  <c r="CB224" i="8" s="1"/>
  <c r="CN434" i="111"/>
  <c r="CN435" i="111" s="1"/>
  <c r="CI491" i="111"/>
  <c r="CA19" i="4"/>
  <c r="CC247" i="112"/>
  <c r="CK448" i="111" s="1"/>
  <c r="CN430" i="111"/>
  <c r="CN431" i="111" s="1"/>
  <c r="BT39" i="2"/>
  <c r="BT107" i="4"/>
  <c r="BT33" i="4" s="1"/>
  <c r="CG148" i="112"/>
  <c r="BN36" i="4"/>
  <c r="BN35" i="4"/>
  <c r="CJ494" i="111"/>
  <c r="CJ499" i="111" s="1"/>
  <c r="CJ504" i="111" s="1"/>
  <c r="CB30" i="4"/>
  <c r="CC27" i="4"/>
  <c r="CG198" i="112"/>
  <c r="CM442" i="111"/>
  <c r="CM443" i="111" s="1"/>
  <c r="CM471" i="111"/>
  <c r="CM472" i="111" s="1"/>
  <c r="CE171" i="112"/>
  <c r="CI195" i="112"/>
  <c r="CH145" i="2"/>
  <c r="BT551" i="111"/>
  <c r="BL56" i="4"/>
  <c r="BL61" i="4"/>
  <c r="BT557" i="111" s="1"/>
  <c r="BL57" i="4"/>
  <c r="CE264" i="112"/>
  <c r="CE265" i="112"/>
  <c r="BN76" i="4"/>
  <c r="BO148" i="2"/>
  <c r="CM440" i="111"/>
  <c r="CM441" i="111" s="1"/>
  <c r="CM469" i="111"/>
  <c r="CM470" i="111" s="1"/>
  <c r="CE26" i="112"/>
  <c r="CI44" i="112"/>
  <c r="CI46" i="112" s="1"/>
  <c r="CF229" i="112"/>
  <c r="CF33" i="2" s="1"/>
  <c r="AD14" i="11"/>
  <c r="CH18" i="112"/>
  <c r="CH20" i="112" s="1"/>
  <c r="CM428" i="111"/>
  <c r="CM429" i="111" s="1"/>
  <c r="CE226" i="112"/>
  <c r="CF260" i="112"/>
  <c r="CF261" i="112" s="1"/>
  <c r="CF53" i="112"/>
  <c r="CK444" i="111"/>
  <c r="CK445" i="111" s="1"/>
  <c r="CK473" i="111"/>
  <c r="CK474" i="111" s="1"/>
  <c r="CC94" i="112"/>
  <c r="CC95" i="112" s="1"/>
  <c r="CC93" i="112"/>
  <c r="CG111" i="112"/>
  <c r="BL54" i="4"/>
  <c r="BL317" i="112"/>
  <c r="CF233" i="112"/>
  <c r="CC25" i="4"/>
  <c r="CC305" i="112"/>
  <c r="CC124" i="112" s="1"/>
  <c r="AD10" i="11"/>
  <c r="CH14" i="112"/>
  <c r="CH16" i="112" s="1"/>
  <c r="CG9" i="112"/>
  <c r="CG11" i="112" s="1"/>
  <c r="CG12" i="112" s="1"/>
  <c r="CS449" i="111" s="1"/>
  <c r="CN432" i="111"/>
  <c r="CN433" i="111" s="1"/>
  <c r="CF225" i="112"/>
  <c r="CF230" i="112" s="1"/>
  <c r="CF533" i="111"/>
  <c r="CF116" i="112"/>
  <c r="CF108" i="112" s="1"/>
  <c r="CF250" i="112" s="1"/>
  <c r="CL461" i="111"/>
  <c r="CL462" i="111" s="1"/>
  <c r="CD8" i="4"/>
  <c r="CD207" i="112"/>
  <c r="CD190" i="112"/>
  <c r="BL116" i="4"/>
  <c r="AD16" i="11"/>
  <c r="CH150" i="112"/>
  <c r="CH152" i="112" s="1"/>
  <c r="CH203" i="112" s="1"/>
  <c r="CG232" i="112"/>
  <c r="CG234" i="112" s="1"/>
  <c r="CM461" i="111"/>
  <c r="CM462" i="111" s="1"/>
  <c r="CE8" i="4"/>
  <c r="CE190" i="112"/>
  <c r="CE207" i="112"/>
  <c r="CB17" i="2"/>
  <c r="CB83" i="4"/>
  <c r="CB113" i="4" s="1"/>
  <c r="CF78" i="112"/>
  <c r="CF79" i="112" s="1"/>
  <c r="CR451" i="111" s="1"/>
  <c r="CG116" i="112"/>
  <c r="CF38" i="112"/>
  <c r="CF42" i="112"/>
  <c r="CF25" i="112"/>
  <c r="CL463" i="111"/>
  <c r="CL464" i="111" s="1"/>
  <c r="CD9" i="4"/>
  <c r="CD92" i="112"/>
  <c r="CD123" i="112"/>
  <c r="CD106" i="112"/>
  <c r="AD880" i="111" l="1"/>
  <c r="AD885" i="111" s="1"/>
  <c r="CD238" i="112"/>
  <c r="CD239" i="112" s="1"/>
  <c r="CD293" i="112"/>
  <c r="CD22" i="4" s="1"/>
  <c r="CD241" i="112"/>
  <c r="CD242" i="112" s="1"/>
  <c r="CL454" i="111"/>
  <c r="CL456" i="111" s="1"/>
  <c r="CD247" i="112"/>
  <c r="CL448" i="111" s="1"/>
  <c r="CD308" i="112"/>
  <c r="CD43" i="4" s="1"/>
  <c r="CD5" i="4"/>
  <c r="CD50" i="2" s="1"/>
  <c r="CE165" i="112"/>
  <c r="CE164" i="112"/>
  <c r="CD290" i="112"/>
  <c r="CD35" i="2"/>
  <c r="CD31" i="2" s="1"/>
  <c r="CD42" i="2" s="1"/>
  <c r="CD283" i="112"/>
  <c r="CD19" i="2" s="1"/>
  <c r="CD6" i="2"/>
  <c r="CD69" i="4" s="1"/>
  <c r="CD246" i="112"/>
  <c r="AE28" i="46"/>
  <c r="CJ563" i="111"/>
  <c r="CG487" i="111"/>
  <c r="CE488" i="111" s="1"/>
  <c r="BY28" i="4"/>
  <c r="CG532" i="111" s="1"/>
  <c r="CE534" i="111" s="1"/>
  <c r="CG143" i="112"/>
  <c r="CG144" i="112" s="1"/>
  <c r="CK196" i="112" s="1"/>
  <c r="CS450" i="111" s="1"/>
  <c r="CB27" i="2"/>
  <c r="BU38" i="2"/>
  <c r="BU39" i="2" s="1"/>
  <c r="BZ21" i="4"/>
  <c r="BZ23" i="4"/>
  <c r="CH487" i="111" s="1"/>
  <c r="CB20" i="4"/>
  <c r="CJ537" i="111" s="1"/>
  <c r="CJ538" i="111" s="1"/>
  <c r="CJ539" i="111" s="1"/>
  <c r="CH537" i="111"/>
  <c r="CH538" i="111" s="1"/>
  <c r="CH539" i="111" s="1"/>
  <c r="BU45" i="2"/>
  <c r="BU74" i="4"/>
  <c r="AA124" i="11" s="1"/>
  <c r="CF154" i="112"/>
  <c r="AC94" i="11"/>
  <c r="AC95" i="11"/>
  <c r="CI455" i="111"/>
  <c r="CJ455" i="111"/>
  <c r="CH455" i="111"/>
  <c r="K7" i="92"/>
  <c r="K8" i="92"/>
  <c r="K9" i="92"/>
  <c r="CD165" i="2"/>
  <c r="CD162" i="2" s="1"/>
  <c r="U7" i="27"/>
  <c r="CC31" i="2"/>
  <c r="AC282" i="111"/>
  <c r="AC285" i="111" s="1"/>
  <c r="AC83" i="11"/>
  <c r="AC195" i="111"/>
  <c r="AC215" i="111" s="1"/>
  <c r="CJ560" i="111"/>
  <c r="CB119" i="4"/>
  <c r="CC22" i="4"/>
  <c r="AC71" i="11" s="1"/>
  <c r="AB72" i="11"/>
  <c r="T29" i="27"/>
  <c r="AB70" i="11"/>
  <c r="CB15" i="4"/>
  <c r="CC287" i="112"/>
  <c r="CC288" i="112" s="1"/>
  <c r="CC59" i="112"/>
  <c r="CC208" i="112"/>
  <c r="CD305" i="112"/>
  <c r="CD306" i="112" s="1"/>
  <c r="CG155" i="112"/>
  <c r="CH49" i="112"/>
  <c r="CH41" i="112" s="1"/>
  <c r="CF251" i="112"/>
  <c r="CF269" i="112" s="1"/>
  <c r="CF257" i="112"/>
  <c r="CF258" i="112" s="1"/>
  <c r="CF265" i="112"/>
  <c r="CI145" i="2"/>
  <c r="CK438" i="111"/>
  <c r="CK439" i="111" s="1"/>
  <c r="CC239" i="112"/>
  <c r="CK456" i="111"/>
  <c r="CK455" i="111"/>
  <c r="BN89" i="4"/>
  <c r="BN91" i="4" s="1"/>
  <c r="BN144" i="2"/>
  <c r="BO139" i="2"/>
  <c r="CH200" i="112"/>
  <c r="CH192" i="112" s="1"/>
  <c r="CG53" i="112"/>
  <c r="CG260" i="112"/>
  <c r="CG261" i="112" s="1"/>
  <c r="AD13" i="11"/>
  <c r="CG233" i="112"/>
  <c r="CN428" i="111"/>
  <c r="CN429" i="111" s="1"/>
  <c r="CF226" i="112"/>
  <c r="CO430" i="111"/>
  <c r="CO431" i="111" s="1"/>
  <c r="AD6" i="11"/>
  <c r="CK493" i="111"/>
  <c r="CK498" i="111" s="1"/>
  <c r="CK503" i="111" s="1"/>
  <c r="CC29" i="4"/>
  <c r="AC73" i="11"/>
  <c r="CF32" i="2"/>
  <c r="CI85" i="112"/>
  <c r="CI87" i="112" s="1"/>
  <c r="CI119" i="112" s="1"/>
  <c r="CI120" i="112" s="1"/>
  <c r="CK494" i="111"/>
  <c r="CK499" i="111" s="1"/>
  <c r="CK504" i="111" s="1"/>
  <c r="CC30" i="4"/>
  <c r="CC15" i="2"/>
  <c r="CC8" i="2"/>
  <c r="CC19" i="2"/>
  <c r="CC10" i="4"/>
  <c r="CC11" i="4" s="1"/>
  <c r="CC50" i="2"/>
  <c r="CC54" i="2"/>
  <c r="CC6" i="4"/>
  <c r="CH198" i="112"/>
  <c r="CG158" i="112"/>
  <c r="AD17" i="111"/>
  <c r="AM12" i="11"/>
  <c r="AD20" i="11"/>
  <c r="CI198" i="112"/>
  <c r="CE26" i="4"/>
  <c r="CH232" i="112"/>
  <c r="CH234" i="112" s="1"/>
  <c r="CI150" i="112"/>
  <c r="CG108" i="112"/>
  <c r="AD872" i="111" s="1"/>
  <c r="AD882" i="111" s="1"/>
  <c r="AD887" i="111" s="1"/>
  <c r="CG114" i="112"/>
  <c r="CK495" i="111"/>
  <c r="CK500" i="111" s="1"/>
  <c r="CK505" i="111" s="1"/>
  <c r="CC31" i="4"/>
  <c r="AC74" i="11"/>
  <c r="CG200" i="112"/>
  <c r="CG192" i="112" s="1"/>
  <c r="AD871" i="111" s="1"/>
  <c r="AD881" i="111" s="1"/>
  <c r="AD886" i="111" s="1"/>
  <c r="CE27" i="4"/>
  <c r="AD23" i="111"/>
  <c r="AM15" i="11"/>
  <c r="CI537" i="111"/>
  <c r="CI538" i="111" s="1"/>
  <c r="CI539" i="111" s="1"/>
  <c r="CA21" i="4"/>
  <c r="CA23" i="4"/>
  <c r="CO434" i="111"/>
  <c r="CO435" i="111" s="1"/>
  <c r="AD7" i="11"/>
  <c r="CE25" i="4"/>
  <c r="CE305" i="112"/>
  <c r="CN442" i="111"/>
  <c r="CN443" i="111" s="1"/>
  <c r="CN471" i="111"/>
  <c r="CN472" i="111" s="1"/>
  <c r="CF171" i="112"/>
  <c r="CJ195" i="112"/>
  <c r="CH52" i="112"/>
  <c r="CH55" i="112"/>
  <c r="CH56" i="112" s="1"/>
  <c r="BO150" i="2"/>
  <c r="BO57" i="2" s="1"/>
  <c r="CC69" i="4"/>
  <c r="CH116" i="112"/>
  <c r="BN160" i="2"/>
  <c r="AD9" i="11"/>
  <c r="CG229" i="112"/>
  <c r="CG33" i="2" s="1"/>
  <c r="CG32" i="2" s="1"/>
  <c r="AC12" i="76"/>
  <c r="AC37" i="11"/>
  <c r="AC61" i="11"/>
  <c r="U6" i="27"/>
  <c r="CG25" i="112"/>
  <c r="CG38" i="112"/>
  <c r="AD38" i="11" s="1"/>
  <c r="CG42" i="112"/>
  <c r="CN459" i="111"/>
  <c r="CN460" i="111" s="1"/>
  <c r="CF7" i="4"/>
  <c r="CF39" i="112"/>
  <c r="CF58" i="112"/>
  <c r="CD27" i="4"/>
  <c r="CI14" i="112"/>
  <c r="CI16" i="112" s="1"/>
  <c r="CH9" i="112"/>
  <c r="CH11" i="112" s="1"/>
  <c r="CH12" i="112" s="1"/>
  <c r="CL444" i="111"/>
  <c r="CL445" i="111" s="1"/>
  <c r="CL473" i="111"/>
  <c r="CL474" i="111" s="1"/>
  <c r="CD93" i="112"/>
  <c r="CD94" i="112"/>
  <c r="CD95" i="112" s="1"/>
  <c r="CH111" i="112"/>
  <c r="CH253" i="112" s="1"/>
  <c r="CN469" i="111"/>
  <c r="CN470" i="111" s="1"/>
  <c r="CN440" i="111"/>
  <c r="CN441" i="111" s="1"/>
  <c r="CF26" i="112"/>
  <c r="CJ44" i="112"/>
  <c r="CJ46" i="112" s="1"/>
  <c r="AD22" i="111"/>
  <c r="AM16" i="11"/>
  <c r="CF105" i="112"/>
  <c r="CF109" i="112"/>
  <c r="AD16" i="111"/>
  <c r="AM10" i="11"/>
  <c r="AD18" i="11"/>
  <c r="CI18" i="112"/>
  <c r="CI20" i="112" s="1"/>
  <c r="CG253" i="112"/>
  <c r="CM444" i="111"/>
  <c r="CM445" i="111" s="1"/>
  <c r="CM473" i="111"/>
  <c r="CM474" i="111" s="1"/>
  <c r="CE93" i="112"/>
  <c r="CE94" i="112"/>
  <c r="CE95" i="112" s="1"/>
  <c r="CI111" i="112"/>
  <c r="CL493" i="111"/>
  <c r="CL498" i="111" s="1"/>
  <c r="CL503" i="111" s="1"/>
  <c r="CD29" i="4"/>
  <c r="AC132" i="11"/>
  <c r="CI81" i="112"/>
  <c r="CI83" i="112" s="1"/>
  <c r="CH76" i="112"/>
  <c r="CH78" i="112" s="1"/>
  <c r="CH79" i="112" s="1"/>
  <c r="CJ491" i="111"/>
  <c r="CB19" i="4"/>
  <c r="CO432" i="111"/>
  <c r="CO433" i="111" s="1"/>
  <c r="AD8" i="11"/>
  <c r="CG225" i="112"/>
  <c r="CM454" i="111"/>
  <c r="CE11" i="2"/>
  <c r="CE71" i="4" s="1"/>
  <c r="CE6" i="2"/>
  <c r="CE5" i="4"/>
  <c r="CE241" i="112"/>
  <c r="CE242" i="112" s="1"/>
  <c r="CE308" i="112"/>
  <c r="CE43" i="4" s="1"/>
  <c r="CE238" i="112"/>
  <c r="CE246" i="112"/>
  <c r="CE283" i="112"/>
  <c r="CE35" i="2"/>
  <c r="CE31" i="2" s="1"/>
  <c r="CE42" i="2" s="1"/>
  <c r="CE293" i="112"/>
  <c r="CE22" i="4" s="1"/>
  <c r="CE290" i="112"/>
  <c r="CN461" i="111"/>
  <c r="CN462" i="111" s="1"/>
  <c r="CF8" i="4"/>
  <c r="CF207" i="112"/>
  <c r="CF190" i="112"/>
  <c r="BV38" i="2"/>
  <c r="BV45" i="2"/>
  <c r="CH204" i="112"/>
  <c r="CD26" i="4"/>
  <c r="CC299" i="112"/>
  <c r="CC302" i="112"/>
  <c r="CC306" i="112"/>
  <c r="AD21" i="111"/>
  <c r="AM14" i="11"/>
  <c r="CG157" i="112"/>
  <c r="AC25" i="11"/>
  <c r="AD18" i="111"/>
  <c r="AM11" i="11"/>
  <c r="AD19" i="11"/>
  <c r="BL65" i="2"/>
  <c r="BL67" i="2" s="1"/>
  <c r="BM61" i="2" s="1"/>
  <c r="BL73" i="2"/>
  <c r="BL318" i="112"/>
  <c r="CH141" i="112"/>
  <c r="CH228" i="112"/>
  <c r="CI146" i="112"/>
  <c r="CI148" i="112" s="1"/>
  <c r="CE247" i="112"/>
  <c r="CM448" i="111" s="1"/>
  <c r="CG263" i="112"/>
  <c r="BV41" i="2"/>
  <c r="CE165" i="2" l="1"/>
  <c r="CE162" i="2" s="1"/>
  <c r="CD6" i="4"/>
  <c r="CD54" i="2"/>
  <c r="CL438" i="111"/>
  <c r="CL439" i="111" s="1"/>
  <c r="CD287" i="112"/>
  <c r="CD288" i="112" s="1"/>
  <c r="CL481" i="111" s="1"/>
  <c r="CD10" i="4"/>
  <c r="CD11" i="4" s="1"/>
  <c r="CD13" i="4" s="1"/>
  <c r="CF165" i="112"/>
  <c r="CF164" i="112"/>
  <c r="CD8" i="2"/>
  <c r="CD10" i="2" s="1"/>
  <c r="CD15" i="2"/>
  <c r="CG533" i="111"/>
  <c r="CG534" i="111"/>
  <c r="CF534" i="111"/>
  <c r="CG490" i="111"/>
  <c r="CG488" i="111"/>
  <c r="CG489" i="111"/>
  <c r="BZ28" i="4"/>
  <c r="CH532" i="111" s="1"/>
  <c r="CH533" i="111" s="1"/>
  <c r="CF488" i="111"/>
  <c r="CD488" i="111"/>
  <c r="CD534" i="111"/>
  <c r="BU107" i="4"/>
  <c r="BU33" i="4" s="1"/>
  <c r="AA89" i="11" s="1"/>
  <c r="CD124" i="112"/>
  <c r="CD208" i="112"/>
  <c r="CB23" i="4"/>
  <c r="CJ487" i="111" s="1"/>
  <c r="BZ24" i="4"/>
  <c r="CB21" i="4"/>
  <c r="U8" i="27"/>
  <c r="CH263" i="112"/>
  <c r="CH264" i="112" s="1"/>
  <c r="CC14" i="4"/>
  <c r="AC63" i="11" s="1"/>
  <c r="K10" i="92"/>
  <c r="AC205" i="111"/>
  <c r="AC210" i="111" s="1"/>
  <c r="AB62" i="76"/>
  <c r="AB80" i="11"/>
  <c r="AB64" i="76"/>
  <c r="AB63" i="76"/>
  <c r="T137" i="27"/>
  <c r="CB123" i="4"/>
  <c r="CC42" i="2"/>
  <c r="CC296" i="112"/>
  <c r="CC297" i="112" s="1"/>
  <c r="U14" i="27"/>
  <c r="CE287" i="112"/>
  <c r="CE14" i="4" s="1"/>
  <c r="CD59" i="112"/>
  <c r="CD302" i="112"/>
  <c r="CD303" i="112" s="1"/>
  <c r="CD299" i="112"/>
  <c r="CD16" i="4" s="1"/>
  <c r="CC26" i="2"/>
  <c r="CC27" i="2" s="1"/>
  <c r="CH254" i="112"/>
  <c r="CH255" i="112"/>
  <c r="CG189" i="112"/>
  <c r="AD40" i="11" s="1"/>
  <c r="CG193" i="112"/>
  <c r="CG170" i="112"/>
  <c r="CG250" i="112"/>
  <c r="CG265" i="112" s="1"/>
  <c r="CC13" i="4"/>
  <c r="CC12" i="4"/>
  <c r="CK477" i="111" s="1"/>
  <c r="CK478" i="111" s="1"/>
  <c r="BW44" i="2"/>
  <c r="BV74" i="4"/>
  <c r="CI200" i="112"/>
  <c r="CI192" i="112" s="1"/>
  <c r="BL129" i="4"/>
  <c r="BL98" i="4"/>
  <c r="CG264" i="112"/>
  <c r="CH229" i="112"/>
  <c r="CH33" i="2" s="1"/>
  <c r="CH32" i="2" s="1"/>
  <c r="U135" i="27"/>
  <c r="CE15" i="2"/>
  <c r="CE8" i="2"/>
  <c r="CE19" i="2"/>
  <c r="CE10" i="4"/>
  <c r="CE11" i="4" s="1"/>
  <c r="CM456" i="111"/>
  <c r="AD140" i="111"/>
  <c r="AD100" i="111"/>
  <c r="AM18" i="11"/>
  <c r="AD12" i="111"/>
  <c r="AD17" i="11"/>
  <c r="AM9" i="11"/>
  <c r="CJ198" i="112"/>
  <c r="CG105" i="112"/>
  <c r="AD39" i="11" s="1"/>
  <c r="CG109" i="112"/>
  <c r="CM494" i="111"/>
  <c r="CM499" i="111" s="1"/>
  <c r="CM504" i="111" s="1"/>
  <c r="CE30" i="4"/>
  <c r="CC10" i="2"/>
  <c r="CC70" i="4"/>
  <c r="CL560" i="111"/>
  <c r="CD119" i="4"/>
  <c r="CF26" i="4"/>
  <c r="CO428" i="111"/>
  <c r="CO429" i="111" s="1"/>
  <c r="AD5" i="11"/>
  <c r="V134" i="27" s="1"/>
  <c r="CG226" i="112"/>
  <c r="CI114" i="112"/>
  <c r="CN463" i="111"/>
  <c r="CN464" i="111" s="1"/>
  <c r="CF9" i="4"/>
  <c r="CF106" i="112"/>
  <c r="CF92" i="112"/>
  <c r="CF123" i="112"/>
  <c r="CF305" i="112" s="1"/>
  <c r="CL495" i="111"/>
  <c r="CL500" i="111" s="1"/>
  <c r="CL505" i="111" s="1"/>
  <c r="CD31" i="4"/>
  <c r="CE306" i="112"/>
  <c r="CE299" i="112"/>
  <c r="CE302" i="112"/>
  <c r="AD9" i="111"/>
  <c r="AM7" i="11"/>
  <c r="CI232" i="112"/>
  <c r="CI234" i="112" s="1"/>
  <c r="CJ150" i="112"/>
  <c r="CJ152" i="112" s="1"/>
  <c r="CJ203" i="112" s="1"/>
  <c r="CH158" i="112"/>
  <c r="AD281" i="111"/>
  <c r="AD284" i="111" s="1"/>
  <c r="AD29" i="11"/>
  <c r="AC194" i="111"/>
  <c r="AC81" i="11"/>
  <c r="CK481" i="111"/>
  <c r="CK563" i="111"/>
  <c r="AD102" i="111"/>
  <c r="AD142" i="111"/>
  <c r="AM19" i="11"/>
  <c r="CL494" i="111"/>
  <c r="CL499" i="111" s="1"/>
  <c r="CL504" i="111" s="1"/>
  <c r="CD30" i="4"/>
  <c r="CG255" i="112"/>
  <c r="CG254" i="112"/>
  <c r="CH490" i="111"/>
  <c r="CH489" i="111"/>
  <c r="CC17" i="2"/>
  <c r="CC83" i="4"/>
  <c r="BL319" i="112"/>
  <c r="CH157" i="112"/>
  <c r="CE54" i="2"/>
  <c r="CE50" i="2"/>
  <c r="CE6" i="4"/>
  <c r="CG154" i="112"/>
  <c r="CP434" i="111"/>
  <c r="CP435" i="111" s="1"/>
  <c r="U46" i="27"/>
  <c r="CP430" i="111"/>
  <c r="CP431" i="111" s="1"/>
  <c r="CO459" i="111"/>
  <c r="CO460" i="111" s="1"/>
  <c r="CG7" i="4"/>
  <c r="CG39" i="112"/>
  <c r="CG58" i="112"/>
  <c r="BO108" i="4"/>
  <c r="BO32" i="4"/>
  <c r="CE59" i="112"/>
  <c r="AC196" i="111"/>
  <c r="AC82" i="11"/>
  <c r="CI152" i="112"/>
  <c r="CI203" i="112" s="1"/>
  <c r="CP432" i="111"/>
  <c r="CP433" i="111" s="1"/>
  <c r="CH225" i="112"/>
  <c r="CF25" i="4"/>
  <c r="BO140" i="2"/>
  <c r="CH156" i="112"/>
  <c r="CD21" i="2"/>
  <c r="CD85" i="4"/>
  <c r="CI141" i="112"/>
  <c r="CI143" i="112" s="1"/>
  <c r="CI144" i="112" s="1"/>
  <c r="CM196" i="112" s="1"/>
  <c r="CI228" i="112"/>
  <c r="CJ146" i="112"/>
  <c r="CJ148" i="112" s="1"/>
  <c r="CC303" i="112"/>
  <c r="CM438" i="111"/>
  <c r="CM439" i="111" s="1"/>
  <c r="CE239" i="112"/>
  <c r="CE69" i="4"/>
  <c r="CH143" i="112"/>
  <c r="CH144" i="112" s="1"/>
  <c r="CL196" i="112" s="1"/>
  <c r="CI116" i="112"/>
  <c r="CI108" i="112" s="1"/>
  <c r="CI52" i="112"/>
  <c r="CI55" i="112"/>
  <c r="CI56" i="112" s="1"/>
  <c r="CI49" i="112"/>
  <c r="CI41" i="112" s="1"/>
  <c r="CF245" i="112"/>
  <c r="CO440" i="111"/>
  <c r="CO441" i="111" s="1"/>
  <c r="CO469" i="111"/>
  <c r="CO470" i="111" s="1"/>
  <c r="CG26" i="112"/>
  <c r="CK44" i="112"/>
  <c r="CK46" i="112" s="1"/>
  <c r="CM493" i="111"/>
  <c r="CM498" i="111" s="1"/>
  <c r="CM503" i="111" s="1"/>
  <c r="CE29" i="4"/>
  <c r="CE124" i="112"/>
  <c r="CH233" i="112"/>
  <c r="CI253" i="112"/>
  <c r="AD141" i="111"/>
  <c r="AD101" i="111"/>
  <c r="AM20" i="11"/>
  <c r="CH170" i="112"/>
  <c r="CH189" i="112"/>
  <c r="CH193" i="112"/>
  <c r="CH25" i="112"/>
  <c r="CH38" i="112"/>
  <c r="CH42" i="112"/>
  <c r="AD7" i="111"/>
  <c r="AM6" i="11"/>
  <c r="AD13" i="111"/>
  <c r="AM13" i="11"/>
  <c r="CC16" i="4"/>
  <c r="CC300" i="112"/>
  <c r="CC224" i="8" s="1"/>
  <c r="BV39" i="2"/>
  <c r="BV107" i="4"/>
  <c r="CM560" i="111"/>
  <c r="CE119" i="4"/>
  <c r="CE123" i="4" s="1"/>
  <c r="AD8" i="111"/>
  <c r="AM8" i="11"/>
  <c r="CJ81" i="112"/>
  <c r="CI76" i="112"/>
  <c r="CJ18" i="112"/>
  <c r="CJ20" i="112" s="1"/>
  <c r="CH108" i="112"/>
  <c r="CH114" i="112"/>
  <c r="CI9" i="112"/>
  <c r="CI11" i="112" s="1"/>
  <c r="CI12" i="112" s="1"/>
  <c r="CJ14" i="112"/>
  <c r="AD61" i="111"/>
  <c r="AD67" i="111" s="1"/>
  <c r="AD127" i="111"/>
  <c r="AM38" i="11"/>
  <c r="AD26" i="11"/>
  <c r="CH155" i="112"/>
  <c r="AC62" i="11"/>
  <c r="AC130" i="11"/>
  <c r="CD111" i="4"/>
  <c r="CC111" i="4"/>
  <c r="CH53" i="112"/>
  <c r="CH260" i="112"/>
  <c r="CH261" i="112" s="1"/>
  <c r="S39" i="27"/>
  <c r="CI487" i="111"/>
  <c r="CA28" i="4"/>
  <c r="CI532" i="111" s="1"/>
  <c r="CA24" i="4"/>
  <c r="CM495" i="111"/>
  <c r="CM500" i="111" s="1"/>
  <c r="CM505" i="111" s="1"/>
  <c r="CE31" i="4"/>
  <c r="CE208" i="112"/>
  <c r="CC21" i="2"/>
  <c r="CC85" i="4"/>
  <c r="CJ85" i="112"/>
  <c r="CJ87" i="112" s="1"/>
  <c r="CJ119" i="112" s="1"/>
  <c r="CJ120" i="112" s="1"/>
  <c r="CG230" i="112"/>
  <c r="CJ145" i="2"/>
  <c r="AA22" i="76" l="1"/>
  <c r="CF165" i="2"/>
  <c r="CF162" i="2" s="1"/>
  <c r="CL563" i="111"/>
  <c r="CD296" i="112"/>
  <c r="CD297" i="112" s="1"/>
  <c r="CD14" i="4"/>
  <c r="CD18" i="4" s="1"/>
  <c r="CD70" i="4"/>
  <c r="CD112" i="4" s="1"/>
  <c r="CD12" i="4"/>
  <c r="CL477" i="111" s="1"/>
  <c r="CL478" i="111" s="1"/>
  <c r="CD26" i="2"/>
  <c r="CD28" i="2" s="1"/>
  <c r="CD17" i="2"/>
  <c r="CD83" i="4"/>
  <c r="CD113" i="4" s="1"/>
  <c r="AL89" i="11"/>
  <c r="AA26" i="76"/>
  <c r="AA179" i="11"/>
  <c r="AA19" i="76"/>
  <c r="AB850" i="111"/>
  <c r="AA152" i="11"/>
  <c r="S62" i="27"/>
  <c r="AA275" i="111"/>
  <c r="CB24" i="4"/>
  <c r="CB28" i="4"/>
  <c r="CJ532" i="111" s="1"/>
  <c r="CJ533" i="111" s="1"/>
  <c r="CC18" i="4"/>
  <c r="AC67" i="11" s="1"/>
  <c r="AC64" i="11"/>
  <c r="CI155" i="112"/>
  <c r="U9" i="27"/>
  <c r="CC28" i="2"/>
  <c r="AC183" i="11"/>
  <c r="CE296" i="112"/>
  <c r="CE297" i="112" s="1"/>
  <c r="CE288" i="112"/>
  <c r="CM563" i="111" s="1"/>
  <c r="CE26" i="2"/>
  <c r="AD63" i="111"/>
  <c r="AD69" i="111" s="1"/>
  <c r="AM40" i="11"/>
  <c r="AD128" i="111"/>
  <c r="U66" i="27"/>
  <c r="AB250" i="111"/>
  <c r="CC20" i="4"/>
  <c r="AC897" i="111"/>
  <c r="CC119" i="4"/>
  <c r="CK560" i="111"/>
  <c r="AB71" i="76"/>
  <c r="AB66" i="76"/>
  <c r="AB53" i="76" s="1"/>
  <c r="AD36" i="11"/>
  <c r="AD37" i="11" s="1"/>
  <c r="BO149" i="2"/>
  <c r="BO152" i="2" s="1"/>
  <c r="BO76" i="4" s="1"/>
  <c r="CG245" i="112"/>
  <c r="CG247" i="112" s="1"/>
  <c r="CO448" i="111" s="1"/>
  <c r="BW41" i="2"/>
  <c r="CD300" i="112"/>
  <c r="CD224" i="8" s="1"/>
  <c r="CF306" i="112"/>
  <c r="CF208" i="112"/>
  <c r="CF59" i="112"/>
  <c r="BV33" i="4"/>
  <c r="CP440" i="111"/>
  <c r="CP441" i="111" s="1"/>
  <c r="CP469" i="111"/>
  <c r="CP470" i="111" s="1"/>
  <c r="CH26" i="112"/>
  <c r="CL44" i="112"/>
  <c r="CL46" i="112" s="1"/>
  <c r="CD115" i="4"/>
  <c r="BO34" i="4"/>
  <c r="AC206" i="111"/>
  <c r="AC211" i="111" s="1"/>
  <c r="CN444" i="111"/>
  <c r="CN445" i="111" s="1"/>
  <c r="CN473" i="111"/>
  <c r="CN474" i="111" s="1"/>
  <c r="CF94" i="112"/>
  <c r="CF95" i="112" s="1"/>
  <c r="CF93" i="112"/>
  <c r="CJ111" i="112"/>
  <c r="CG257" i="112"/>
  <c r="CG258" i="112" s="1"/>
  <c r="CG251" i="112"/>
  <c r="CG269" i="112" s="1"/>
  <c r="CJ76" i="112"/>
  <c r="CJ78" i="112" s="1"/>
  <c r="CJ79" i="112" s="1"/>
  <c r="CK81" i="112"/>
  <c r="CK83" i="112" s="1"/>
  <c r="CP461" i="111"/>
  <c r="CP462" i="111" s="1"/>
  <c r="CH8" i="4"/>
  <c r="CH207" i="112"/>
  <c r="CH190" i="112"/>
  <c r="CJ200" i="112"/>
  <c r="CJ192" i="112" s="1"/>
  <c r="CC15" i="4"/>
  <c r="AC65" i="11" s="1"/>
  <c r="CI255" i="112"/>
  <c r="CI254" i="112"/>
  <c r="CI229" i="112"/>
  <c r="CI33" i="2" s="1"/>
  <c r="CI32" i="2" s="1"/>
  <c r="AC201" i="111"/>
  <c r="AC216" i="111"/>
  <c r="CK85" i="112"/>
  <c r="CK87" i="112" s="1"/>
  <c r="CK119" i="112" s="1"/>
  <c r="AC332" i="111"/>
  <c r="AC382" i="111"/>
  <c r="AC333" i="111"/>
  <c r="U44" i="27"/>
  <c r="CP459" i="111"/>
  <c r="CP460" i="111" s="1"/>
  <c r="CH7" i="4"/>
  <c r="CH58" i="112"/>
  <c r="CH39" i="112"/>
  <c r="CP442" i="111"/>
  <c r="CP443" i="111" s="1"/>
  <c r="CP471" i="111"/>
  <c r="CP472" i="111" s="1"/>
  <c r="CH171" i="112"/>
  <c r="CL195" i="112"/>
  <c r="CQ432" i="111"/>
  <c r="CQ433" i="111" s="1"/>
  <c r="CI225" i="112"/>
  <c r="CI156" i="112"/>
  <c r="CN493" i="111"/>
  <c r="CN498" i="111" s="1"/>
  <c r="CN503" i="111" s="1"/>
  <c r="CF29" i="4"/>
  <c r="CE111" i="4"/>
  <c r="AM5" i="11"/>
  <c r="V98" i="27"/>
  <c r="V133" i="27"/>
  <c r="CO463" i="111"/>
  <c r="CO464" i="111" s="1"/>
  <c r="CG9" i="4"/>
  <c r="CG106" i="112"/>
  <c r="CG92" i="112"/>
  <c r="CG123" i="112"/>
  <c r="CE21" i="2"/>
  <c r="CE85" i="4"/>
  <c r="CE115" i="4" s="1"/>
  <c r="AC138" i="11"/>
  <c r="CC115" i="4"/>
  <c r="U70" i="27" s="1"/>
  <c r="CI105" i="112"/>
  <c r="CI109" i="112"/>
  <c r="CD123" i="4"/>
  <c r="CE10" i="2"/>
  <c r="CE70" i="4"/>
  <c r="CK145" i="2"/>
  <c r="CE303" i="112"/>
  <c r="CJ16" i="112"/>
  <c r="CH105" i="112"/>
  <c r="CH245" i="112" s="1"/>
  <c r="CH247" i="112" s="1"/>
  <c r="CP448" i="111" s="1"/>
  <c r="CH109" i="112"/>
  <c r="CK18" i="112"/>
  <c r="CK20" i="112" s="1"/>
  <c r="CJ83" i="112"/>
  <c r="CJ141" i="112"/>
  <c r="CJ143" i="112" s="1"/>
  <c r="CJ144" i="112" s="1"/>
  <c r="CN196" i="112" s="1"/>
  <c r="CJ228" i="112"/>
  <c r="CK146" i="112"/>
  <c r="CK148" i="112" s="1"/>
  <c r="CH154" i="112"/>
  <c r="CE18" i="4"/>
  <c r="CE13" i="4"/>
  <c r="CE12" i="4"/>
  <c r="CM477" i="111" s="1"/>
  <c r="CM478" i="111" s="1"/>
  <c r="CG164" i="112"/>
  <c r="CJ490" i="111"/>
  <c r="CJ489" i="111"/>
  <c r="CG165" i="112"/>
  <c r="CJ232" i="112"/>
  <c r="CJ234" i="112" s="1"/>
  <c r="CK150" i="112"/>
  <c r="CK152" i="112" s="1"/>
  <c r="CK203" i="112" s="1"/>
  <c r="CE16" i="4"/>
  <c r="CE15" i="4" s="1"/>
  <c r="CE300" i="112"/>
  <c r="CE224" i="8" s="1"/>
  <c r="BL132" i="4"/>
  <c r="BL134" i="4" s="1"/>
  <c r="BL102" i="2"/>
  <c r="CO442" i="111"/>
  <c r="CO443" i="111" s="1"/>
  <c r="CO471" i="111"/>
  <c r="CO472" i="111" s="1"/>
  <c r="CG171" i="112"/>
  <c r="CK195" i="112"/>
  <c r="CI533" i="111"/>
  <c r="CF27" i="4"/>
  <c r="CF124" i="112"/>
  <c r="CI490" i="111"/>
  <c r="CI489" i="111"/>
  <c r="CQ434" i="111"/>
  <c r="CQ435" i="111" s="1"/>
  <c r="CG25" i="4"/>
  <c r="BL99" i="4"/>
  <c r="AC249" i="111"/>
  <c r="U136" i="27"/>
  <c r="CJ9" i="112"/>
  <c r="CJ11" i="112" s="1"/>
  <c r="CJ12" i="112" s="1"/>
  <c r="CK14" i="112"/>
  <c r="AE875" i="111" s="1"/>
  <c r="CI157" i="112"/>
  <c r="AC199" i="111"/>
  <c r="AC214" i="111"/>
  <c r="AC200" i="111"/>
  <c r="CI158" i="112"/>
  <c r="CJ204" i="112"/>
  <c r="AC131" i="11"/>
  <c r="CC112" i="4"/>
  <c r="U67" i="27" s="1"/>
  <c r="AM17" i="11"/>
  <c r="CN454" i="111"/>
  <c r="CF6" i="2"/>
  <c r="CF35" i="2"/>
  <c r="CF11" i="2"/>
  <c r="CF71" i="4" s="1"/>
  <c r="CF5" i="4"/>
  <c r="CF241" i="112"/>
  <c r="CF242" i="112" s="1"/>
  <c r="CF238" i="112"/>
  <c r="CF246" i="112"/>
  <c r="CF283" i="112"/>
  <c r="CF293" i="112"/>
  <c r="CF22" i="4" s="1"/>
  <c r="CF308" i="112"/>
  <c r="CF43" i="4" s="1"/>
  <c r="CF290" i="112"/>
  <c r="CF247" i="112"/>
  <c r="CN448" i="111" s="1"/>
  <c r="AC204" i="111"/>
  <c r="AC209" i="111" s="1"/>
  <c r="CJ55" i="112"/>
  <c r="CJ56" i="112" s="1"/>
  <c r="CJ52" i="112"/>
  <c r="CI38" i="112"/>
  <c r="CI42" i="112"/>
  <c r="CI25" i="112"/>
  <c r="CP428" i="111"/>
  <c r="CP429" i="111" s="1"/>
  <c r="CH226" i="112"/>
  <c r="AC136" i="11"/>
  <c r="CC113" i="4"/>
  <c r="U68" i="27" s="1"/>
  <c r="CE17" i="2"/>
  <c r="CE83" i="4"/>
  <c r="BW45" i="2"/>
  <c r="BW38" i="2"/>
  <c r="CQ430" i="111"/>
  <c r="CQ431" i="111" s="1"/>
  <c r="CH250" i="112"/>
  <c r="CI53" i="112"/>
  <c r="CI260" i="112"/>
  <c r="CI261" i="112" s="1"/>
  <c r="CI263" i="112"/>
  <c r="CI204" i="112"/>
  <c r="CI78" i="112"/>
  <c r="CI79" i="112" s="1"/>
  <c r="CI233" i="112"/>
  <c r="AD129" i="111"/>
  <c r="AD62" i="111"/>
  <c r="AD68" i="111" s="1"/>
  <c r="AM39" i="11"/>
  <c r="AD27" i="11"/>
  <c r="CH230" i="112"/>
  <c r="CN494" i="111"/>
  <c r="CN499" i="111" s="1"/>
  <c r="CN504" i="111" s="1"/>
  <c r="CF30" i="4"/>
  <c r="CI170" i="112"/>
  <c r="CI250" i="112"/>
  <c r="CI189" i="112"/>
  <c r="CI193" i="112"/>
  <c r="CO461" i="111"/>
  <c r="CO462" i="111" s="1"/>
  <c r="CG8" i="4"/>
  <c r="CG190" i="112"/>
  <c r="CG207" i="112"/>
  <c r="AD28" i="11"/>
  <c r="CD20" i="4" l="1"/>
  <c r="CD15" i="4"/>
  <c r="CE112" i="4"/>
  <c r="CL491" i="111"/>
  <c r="CD19" i="4"/>
  <c r="CE27" i="2"/>
  <c r="CE113" i="4"/>
  <c r="CD27" i="2"/>
  <c r="AC184" i="11"/>
  <c r="CC19" i="4"/>
  <c r="CK491" i="111"/>
  <c r="AA276" i="111"/>
  <c r="CM481" i="111"/>
  <c r="AA394" i="111"/>
  <c r="AA279" i="111"/>
  <c r="AE877" i="111"/>
  <c r="CG293" i="112"/>
  <c r="CG22" i="4" s="1"/>
  <c r="AD71" i="11" s="1"/>
  <c r="CE28" i="2"/>
  <c r="CG238" i="112"/>
  <c r="CO438" i="111" s="1"/>
  <c r="CO439" i="111" s="1"/>
  <c r="CG308" i="112"/>
  <c r="CG43" i="4" s="1"/>
  <c r="AD94" i="11" s="1"/>
  <c r="CG5" i="4"/>
  <c r="CG50" i="2" s="1"/>
  <c r="CG246" i="112"/>
  <c r="CO454" i="111"/>
  <c r="CM455" i="111" s="1"/>
  <c r="CG290" i="112"/>
  <c r="CG11" i="2"/>
  <c r="CG71" i="4" s="1"/>
  <c r="AD132" i="11" s="1"/>
  <c r="CG283" i="112"/>
  <c r="AD60" i="11" s="1"/>
  <c r="CG35" i="2"/>
  <c r="CG31" i="2" s="1"/>
  <c r="CG42" i="2" s="1"/>
  <c r="CO560" i="111" s="1"/>
  <c r="AC182" i="11"/>
  <c r="CG241" i="112"/>
  <c r="CG242" i="112" s="1"/>
  <c r="CG6" i="2"/>
  <c r="CG69" i="4" s="1"/>
  <c r="AD12" i="76"/>
  <c r="V6" i="27"/>
  <c r="CK537" i="111"/>
  <c r="CK538" i="111" s="1"/>
  <c r="CK539" i="111" s="1"/>
  <c r="AM36" i="11"/>
  <c r="BW74" i="4"/>
  <c r="CH164" i="112"/>
  <c r="CC23" i="4"/>
  <c r="CC24" i="4" s="1"/>
  <c r="CC21" i="4"/>
  <c r="BP148" i="2"/>
  <c r="BP150" i="2" s="1"/>
  <c r="BP57" i="2" s="1"/>
  <c r="CF299" i="112"/>
  <c r="CF300" i="112" s="1"/>
  <c r="CF224" i="8" s="1"/>
  <c r="CG165" i="2"/>
  <c r="CG162" i="2" s="1"/>
  <c r="BX44" i="2"/>
  <c r="BX38" i="2" s="1"/>
  <c r="U10" i="27"/>
  <c r="U126" i="27" s="1"/>
  <c r="AC68" i="11"/>
  <c r="AC154" i="11"/>
  <c r="CF31" i="2"/>
  <c r="AC66" i="11"/>
  <c r="AC69" i="11"/>
  <c r="F54" i="11"/>
  <c r="AC54" i="11"/>
  <c r="G54" i="11"/>
  <c r="C54" i="11"/>
  <c r="T54" i="11"/>
  <c r="Q54" i="11"/>
  <c r="AA54" i="11"/>
  <c r="M54" i="11"/>
  <c r="K54" i="11"/>
  <c r="AD54" i="11"/>
  <c r="P54" i="11"/>
  <c r="Z54" i="11"/>
  <c r="B54" i="11"/>
  <c r="X54" i="11"/>
  <c r="V54" i="11"/>
  <c r="Y54" i="11"/>
  <c r="W54" i="11"/>
  <c r="O54" i="11"/>
  <c r="E54" i="11"/>
  <c r="H54" i="11"/>
  <c r="U54" i="11"/>
  <c r="I54" i="11"/>
  <c r="J54" i="11"/>
  <c r="R54" i="11"/>
  <c r="S54" i="11"/>
  <c r="AB54" i="11"/>
  <c r="D54" i="11"/>
  <c r="N54" i="11"/>
  <c r="L54" i="11"/>
  <c r="CC123" i="4"/>
  <c r="U73" i="27"/>
  <c r="U77" i="27" s="1"/>
  <c r="AC157" i="11"/>
  <c r="CF287" i="112"/>
  <c r="CF296" i="112" s="1"/>
  <c r="CF297" i="112" s="1"/>
  <c r="CJ263" i="112"/>
  <c r="CJ264" i="112" s="1"/>
  <c r="CK16" i="112"/>
  <c r="CK49" i="112" s="1"/>
  <c r="CK41" i="112" s="1"/>
  <c r="CJ155" i="112"/>
  <c r="CF54" i="2"/>
  <c r="CF50" i="2"/>
  <c r="CF6" i="4"/>
  <c r="CJ157" i="112"/>
  <c r="CM491" i="111"/>
  <c r="CE19" i="4"/>
  <c r="BL100" i="4"/>
  <c r="CJ229" i="112"/>
  <c r="CJ33" i="2" s="1"/>
  <c r="CJ32" i="2" s="1"/>
  <c r="CQ428" i="111"/>
  <c r="CQ429" i="111" s="1"/>
  <c r="CI226" i="112"/>
  <c r="CQ461" i="111"/>
  <c r="CQ462" i="111" s="1"/>
  <c r="CI8" i="4"/>
  <c r="CI190" i="112"/>
  <c r="CI207" i="112"/>
  <c r="CJ53" i="112"/>
  <c r="CJ260" i="112"/>
  <c r="CJ261" i="112" s="1"/>
  <c r="CI265" i="112"/>
  <c r="CI264" i="112"/>
  <c r="CN438" i="111"/>
  <c r="CN439" i="111" s="1"/>
  <c r="CF239" i="112"/>
  <c r="CN456" i="111"/>
  <c r="CK198" i="112"/>
  <c r="CQ442" i="111"/>
  <c r="CQ443" i="111" s="1"/>
  <c r="CQ471" i="111"/>
  <c r="CQ472" i="111" s="1"/>
  <c r="CI171" i="112"/>
  <c r="CM195" i="112"/>
  <c r="AC384" i="111"/>
  <c r="U45" i="27"/>
  <c r="CO493" i="111"/>
  <c r="CO498" i="111" s="1"/>
  <c r="CO503" i="111" s="1"/>
  <c r="CG29" i="4"/>
  <c r="AE16" i="11"/>
  <c r="CL150" i="112"/>
  <c r="CL152" i="112" s="1"/>
  <c r="CL203" i="112" s="1"/>
  <c r="CK232" i="112"/>
  <c r="CK234" i="112" s="1"/>
  <c r="CE20" i="4"/>
  <c r="AE12" i="11"/>
  <c r="CL146" i="112"/>
  <c r="CL148" i="112" s="1"/>
  <c r="CK141" i="112"/>
  <c r="CK143" i="112" s="1"/>
  <c r="CK144" i="112" s="1"/>
  <c r="CO196" i="112" s="1"/>
  <c r="CK228" i="112"/>
  <c r="AE876" i="111"/>
  <c r="CJ116" i="112"/>
  <c r="CJ108" i="112" s="1"/>
  <c r="CJ49" i="112"/>
  <c r="CJ41" i="112" s="1"/>
  <c r="CL145" i="2"/>
  <c r="CG27" i="4"/>
  <c r="CJ156" i="112"/>
  <c r="CH26" i="4"/>
  <c r="CR434" i="111"/>
  <c r="CR435" i="111" s="1"/>
  <c r="U50" i="27"/>
  <c r="CK204" i="112"/>
  <c r="CK200" i="112"/>
  <c r="CK192" i="112" s="1"/>
  <c r="CK55" i="112"/>
  <c r="CK52" i="112"/>
  <c r="CJ233" i="112"/>
  <c r="CF302" i="112"/>
  <c r="CQ459" i="111"/>
  <c r="CQ460" i="111" s="1"/>
  <c r="CI7" i="4"/>
  <c r="CI39" i="112"/>
  <c r="CI245" i="112"/>
  <c r="CI58" i="112"/>
  <c r="CF8" i="2"/>
  <c r="CF19" i="2"/>
  <c r="CF15" i="2"/>
  <c r="CF10" i="4"/>
  <c r="CF11" i="4" s="1"/>
  <c r="CH165" i="112"/>
  <c r="CR430" i="111"/>
  <c r="CR431" i="111" s="1"/>
  <c r="CR432" i="111"/>
  <c r="CR433" i="111" s="1"/>
  <c r="CJ225" i="112"/>
  <c r="CJ230" i="112" s="1"/>
  <c r="AD73" i="11"/>
  <c r="CI154" i="112"/>
  <c r="CH25" i="4"/>
  <c r="AE15" i="11"/>
  <c r="CL85" i="112"/>
  <c r="CL87" i="112" s="1"/>
  <c r="CL119" i="112" s="1"/>
  <c r="CL120" i="112" s="1"/>
  <c r="CJ170" i="112"/>
  <c r="CJ189" i="112"/>
  <c r="CJ193" i="112"/>
  <c r="CG26" i="4"/>
  <c r="AD75" i="11" s="1"/>
  <c r="CQ440" i="111"/>
  <c r="CQ441" i="111" s="1"/>
  <c r="CQ469" i="111"/>
  <c r="CQ470" i="111" s="1"/>
  <c r="CI26" i="112"/>
  <c r="CM44" i="112"/>
  <c r="CM46" i="112" s="1"/>
  <c r="AD25" i="11"/>
  <c r="BW39" i="2"/>
  <c r="BW107" i="4"/>
  <c r="CF69" i="4"/>
  <c r="CJ158" i="112"/>
  <c r="CG305" i="112"/>
  <c r="CG208" i="112" s="1"/>
  <c r="BL139" i="4"/>
  <c r="CP463" i="111"/>
  <c r="CP464" i="111" s="1"/>
  <c r="CH9" i="4"/>
  <c r="CH92" i="112"/>
  <c r="CH123" i="112"/>
  <c r="CH305" i="112" s="1"/>
  <c r="CH106" i="112"/>
  <c r="CK116" i="112"/>
  <c r="CJ114" i="112"/>
  <c r="CJ253" i="112"/>
  <c r="BO36" i="4"/>
  <c r="BO35" i="4"/>
  <c r="CO444" i="111"/>
  <c r="CO445" i="111" s="1"/>
  <c r="CO473" i="111"/>
  <c r="CO474" i="111" s="1"/>
  <c r="CG94" i="112"/>
  <c r="CG95" i="112" s="1"/>
  <c r="CG93" i="112"/>
  <c r="CK111" i="112"/>
  <c r="CK253" i="112" s="1"/>
  <c r="CL198" i="112"/>
  <c r="CH251" i="112"/>
  <c r="CH269" i="112" s="1"/>
  <c r="CH257" i="112"/>
  <c r="CH258" i="112" s="1"/>
  <c r="CH265" i="112"/>
  <c r="AE10" i="11"/>
  <c r="CK9" i="112"/>
  <c r="CL14" i="112"/>
  <c r="CL16" i="112" s="1"/>
  <c r="AE14" i="11"/>
  <c r="CL18" i="112"/>
  <c r="CL20" i="112" s="1"/>
  <c r="CP454" i="111"/>
  <c r="CH6" i="2"/>
  <c r="CH35" i="2"/>
  <c r="CH11" i="2"/>
  <c r="CH71" i="4" s="1"/>
  <c r="CH5" i="4"/>
  <c r="CH238" i="112"/>
  <c r="CH246" i="112"/>
  <c r="CH241" i="112"/>
  <c r="CH242" i="112" s="1"/>
  <c r="CH283" i="112"/>
  <c r="CH290" i="112"/>
  <c r="CH293" i="112"/>
  <c r="CH22" i="4" s="1"/>
  <c r="CH308" i="112"/>
  <c r="CH43" i="4" s="1"/>
  <c r="CK120" i="112"/>
  <c r="N53" i="11"/>
  <c r="I53" i="11"/>
  <c r="Z53" i="11"/>
  <c r="H53" i="11"/>
  <c r="E53" i="11"/>
  <c r="F53" i="11"/>
  <c r="T53" i="11"/>
  <c r="C53" i="11"/>
  <c r="AA53" i="11"/>
  <c r="V53" i="11"/>
  <c r="AC53" i="11"/>
  <c r="L53" i="11"/>
  <c r="W53" i="11"/>
  <c r="X53" i="11"/>
  <c r="J53" i="11"/>
  <c r="G53" i="11"/>
  <c r="AD53" i="11"/>
  <c r="M53" i="11"/>
  <c r="Q53" i="11"/>
  <c r="O53" i="11"/>
  <c r="R53" i="11"/>
  <c r="P53" i="11"/>
  <c r="AB53" i="11"/>
  <c r="S53" i="11"/>
  <c r="U53" i="11"/>
  <c r="Y53" i="11"/>
  <c r="B53" i="11"/>
  <c r="D53" i="11"/>
  <c r="K53" i="11"/>
  <c r="CI230" i="112"/>
  <c r="CI257" i="112"/>
  <c r="CI251" i="112"/>
  <c r="CI269" i="112" s="1"/>
  <c r="CN495" i="111"/>
  <c r="CN500" i="111" s="1"/>
  <c r="CN505" i="111" s="1"/>
  <c r="CF31" i="4"/>
  <c r="CQ463" i="111"/>
  <c r="CQ464" i="111" s="1"/>
  <c r="CI9" i="4"/>
  <c r="CI92" i="112"/>
  <c r="CI106" i="112"/>
  <c r="CI123" i="112"/>
  <c r="CL537" i="111"/>
  <c r="CL538" i="111" s="1"/>
  <c r="CL539" i="111" s="1"/>
  <c r="CD21" i="4"/>
  <c r="CD23" i="4"/>
  <c r="AE11" i="11"/>
  <c r="CK76" i="112"/>
  <c r="CK78" i="112" s="1"/>
  <c r="CK79" i="112" s="1"/>
  <c r="CL81" i="112"/>
  <c r="CL83" i="112" s="1"/>
  <c r="CN455" i="111" l="1"/>
  <c r="CO456" i="111"/>
  <c r="CG239" i="112"/>
  <c r="BX41" i="2"/>
  <c r="BY44" i="2" s="1"/>
  <c r="BY41" i="2" s="1"/>
  <c r="CG19" i="2"/>
  <c r="CG85" i="4" s="1"/>
  <c r="CG8" i="2"/>
  <c r="CG10" i="2" s="1"/>
  <c r="CG10" i="4"/>
  <c r="CG11" i="4" s="1"/>
  <c r="CG12" i="4" s="1"/>
  <c r="CO477" i="111" s="1"/>
  <c r="CO478" i="111" s="1"/>
  <c r="CG15" i="2"/>
  <c r="CG6" i="4"/>
  <c r="CG54" i="2"/>
  <c r="CC28" i="4"/>
  <c r="CK532" i="111" s="1"/>
  <c r="CH534" i="111" s="1"/>
  <c r="CK487" i="111"/>
  <c r="CH488" i="111" s="1"/>
  <c r="CG287" i="112"/>
  <c r="CG296" i="112" s="1"/>
  <c r="CG297" i="112" s="1"/>
  <c r="CG119" i="4"/>
  <c r="CG123" i="4" s="1"/>
  <c r="CL455" i="111"/>
  <c r="AD282" i="111"/>
  <c r="AD285" i="111" s="1"/>
  <c r="CF16" i="4"/>
  <c r="CO455" i="111"/>
  <c r="AD95" i="11"/>
  <c r="AM95" i="11" s="1"/>
  <c r="CH165" i="2"/>
  <c r="CH162" i="2" s="1"/>
  <c r="CF288" i="112"/>
  <c r="CN563" i="111" s="1"/>
  <c r="BX45" i="2"/>
  <c r="CI165" i="112"/>
  <c r="CH287" i="112"/>
  <c r="CH296" i="112" s="1"/>
  <c r="CH297" i="112" s="1"/>
  <c r="CF14" i="4"/>
  <c r="CF18" i="4" s="1"/>
  <c r="AD195" i="111"/>
  <c r="AD215" i="111" s="1"/>
  <c r="AD83" i="11"/>
  <c r="AM75" i="11"/>
  <c r="V7" i="27"/>
  <c r="V8" i="27" s="1"/>
  <c r="AD61" i="11"/>
  <c r="BW33" i="4"/>
  <c r="V46" i="11"/>
  <c r="M46" i="11"/>
  <c r="C46" i="11"/>
  <c r="AA46" i="11"/>
  <c r="Q46" i="11"/>
  <c r="W46" i="11"/>
  <c r="AD46" i="11"/>
  <c r="X46" i="11"/>
  <c r="J46" i="11"/>
  <c r="AB46" i="11"/>
  <c r="E46" i="11"/>
  <c r="H46" i="11"/>
  <c r="O46" i="11"/>
  <c r="F46" i="11"/>
  <c r="B46" i="11"/>
  <c r="L46" i="11"/>
  <c r="AC46" i="11"/>
  <c r="K46" i="11"/>
  <c r="N46" i="11"/>
  <c r="U46" i="11"/>
  <c r="I46" i="11"/>
  <c r="Z46" i="11"/>
  <c r="T46" i="11"/>
  <c r="Y46" i="11"/>
  <c r="G46" i="11"/>
  <c r="P46" i="11"/>
  <c r="D46" i="11"/>
  <c r="R46" i="11"/>
  <c r="S46" i="11"/>
  <c r="V14" i="27"/>
  <c r="AC72" i="11"/>
  <c r="AC70" i="11"/>
  <c r="U29" i="27"/>
  <c r="CF42" i="2"/>
  <c r="AC28" i="76"/>
  <c r="AC181" i="11"/>
  <c r="AE871" i="111"/>
  <c r="AE881" i="111" s="1"/>
  <c r="AE886" i="111" s="1"/>
  <c r="AC27" i="76"/>
  <c r="CI164" i="112"/>
  <c r="CK156" i="112"/>
  <c r="CF12" i="4"/>
  <c r="CN477" i="111" s="1"/>
  <c r="CN478" i="111" s="1"/>
  <c r="CF13" i="4"/>
  <c r="CH299" i="112"/>
  <c r="CH302" i="112"/>
  <c r="CH306" i="112"/>
  <c r="CH59" i="112"/>
  <c r="CH208" i="112"/>
  <c r="CL52" i="112"/>
  <c r="CL55" i="112"/>
  <c r="CL56" i="112" s="1"/>
  <c r="CK255" i="112"/>
  <c r="CK254" i="112"/>
  <c r="CL204" i="112"/>
  <c r="CL116" i="112"/>
  <c r="CL487" i="111"/>
  <c r="CD24" i="4"/>
  <c r="CD28" i="4"/>
  <c r="CL532" i="111" s="1"/>
  <c r="CK155" i="112"/>
  <c r="CP444" i="111"/>
  <c r="CP445" i="111" s="1"/>
  <c r="CP473" i="111"/>
  <c r="CP474" i="111" s="1"/>
  <c r="CH94" i="112"/>
  <c r="CH95" i="112" s="1"/>
  <c r="CH93" i="112"/>
  <c r="CL111" i="112"/>
  <c r="CG299" i="112"/>
  <c r="CG302" i="112"/>
  <c r="CG306" i="112"/>
  <c r="CG59" i="112"/>
  <c r="CO494" i="111"/>
  <c r="CO499" i="111" s="1"/>
  <c r="CO504" i="111" s="1"/>
  <c r="CG30" i="4"/>
  <c r="CR461" i="111"/>
  <c r="CR462" i="111" s="1"/>
  <c r="CJ8" i="4"/>
  <c r="CJ207" i="112"/>
  <c r="CJ190" i="112"/>
  <c r="CG124" i="112"/>
  <c r="CM146" i="112"/>
  <c r="CM148" i="112" s="1"/>
  <c r="CL141" i="112"/>
  <c r="CL143" i="112" s="1"/>
  <c r="CL144" i="112" s="1"/>
  <c r="CP196" i="112" s="1"/>
  <c r="CL228" i="112"/>
  <c r="AE22" i="111"/>
  <c r="AD130" i="11"/>
  <c r="BP108" i="4"/>
  <c r="BP32" i="4"/>
  <c r="CQ444" i="111"/>
  <c r="CQ445" i="111" s="1"/>
  <c r="CQ473" i="111"/>
  <c r="CQ474" i="111" s="1"/>
  <c r="CI94" i="112"/>
  <c r="CI95" i="112" s="1"/>
  <c r="CI93" i="112"/>
  <c r="CM111" i="112"/>
  <c r="CM253" i="112" s="1"/>
  <c r="CJ105" i="112"/>
  <c r="CJ109" i="112"/>
  <c r="CF17" i="2"/>
  <c r="CF83" i="4"/>
  <c r="CF113" i="4" s="1"/>
  <c r="CI25" i="4"/>
  <c r="CI305" i="112"/>
  <c r="CI208" i="112" s="1"/>
  <c r="CK38" i="112"/>
  <c r="CK42" i="112"/>
  <c r="CK25" i="112"/>
  <c r="K44" i="11"/>
  <c r="C44" i="11"/>
  <c r="S44" i="11"/>
  <c r="M44" i="11"/>
  <c r="O44" i="11"/>
  <c r="V44" i="11"/>
  <c r="L44" i="11"/>
  <c r="Y44" i="11"/>
  <c r="AB44" i="11"/>
  <c r="D44" i="11"/>
  <c r="R44" i="11"/>
  <c r="Z44" i="11"/>
  <c r="H44" i="11"/>
  <c r="AD44" i="11"/>
  <c r="E44" i="11"/>
  <c r="Q44" i="11"/>
  <c r="J44" i="11"/>
  <c r="U44" i="11"/>
  <c r="N44" i="11"/>
  <c r="B44" i="11"/>
  <c r="W44" i="11"/>
  <c r="X44" i="11"/>
  <c r="P44" i="11"/>
  <c r="T44" i="11"/>
  <c r="I44" i="11"/>
  <c r="AA44" i="11"/>
  <c r="G44" i="11"/>
  <c r="AC44" i="11"/>
  <c r="F44" i="11"/>
  <c r="CO495" i="111"/>
  <c r="CO500" i="111" s="1"/>
  <c r="CO505" i="111" s="1"/>
  <c r="CG31" i="4"/>
  <c r="AE17" i="111"/>
  <c r="AE20" i="11"/>
  <c r="CL76" i="112"/>
  <c r="CL78" i="112" s="1"/>
  <c r="CL79" i="112" s="1"/>
  <c r="CM81" i="112"/>
  <c r="CH69" i="4"/>
  <c r="CM14" i="112"/>
  <c r="CM16" i="112" s="1"/>
  <c r="CL9" i="112"/>
  <c r="CL11" i="112" s="1"/>
  <c r="CL12" i="112" s="1"/>
  <c r="CK158" i="112"/>
  <c r="CP493" i="111"/>
  <c r="CP498" i="111" s="1"/>
  <c r="CP503" i="111" s="1"/>
  <c r="CH29" i="4"/>
  <c r="CM537" i="111"/>
  <c r="CM538" i="111" s="1"/>
  <c r="CM539" i="111" s="1"/>
  <c r="CE21" i="4"/>
  <c r="CE23" i="4"/>
  <c r="CK157" i="112"/>
  <c r="CS434" i="111"/>
  <c r="CS435" i="111" s="1"/>
  <c r="AE7" i="11"/>
  <c r="CP456" i="111"/>
  <c r="CS430" i="111"/>
  <c r="CS431" i="111" s="1"/>
  <c r="AE6" i="11"/>
  <c r="CG111" i="4"/>
  <c r="CF111" i="4"/>
  <c r="CJ154" i="112"/>
  <c r="CF10" i="2"/>
  <c r="CF70" i="4"/>
  <c r="CQ454" i="111"/>
  <c r="CI11" i="2"/>
  <c r="CI71" i="4" s="1"/>
  <c r="CI6" i="2"/>
  <c r="CI5" i="4"/>
  <c r="CI238" i="112"/>
  <c r="CI246" i="112"/>
  <c r="CI241" i="112"/>
  <c r="CI242" i="112" s="1"/>
  <c r="CI308" i="112"/>
  <c r="CI43" i="4" s="1"/>
  <c r="CI283" i="112"/>
  <c r="CI35" i="2"/>
  <c r="CI31" i="2" s="1"/>
  <c r="CI42" i="2" s="1"/>
  <c r="CI293" i="112"/>
  <c r="CI22" i="4" s="1"/>
  <c r="CI290" i="112"/>
  <c r="CF303" i="112"/>
  <c r="CM145" i="2"/>
  <c r="AE9" i="11"/>
  <c r="CK229" i="112"/>
  <c r="CK33" i="2" s="1"/>
  <c r="CK32" i="2" s="1"/>
  <c r="AE13" i="11"/>
  <c r="CK233" i="112"/>
  <c r="CL49" i="112"/>
  <c r="CL41" i="112" s="1"/>
  <c r="CJ250" i="112"/>
  <c r="V135" i="27"/>
  <c r="CR442" i="111"/>
  <c r="CR443" i="111" s="1"/>
  <c r="CR471" i="111"/>
  <c r="CR472" i="111" s="1"/>
  <c r="CJ171" i="112"/>
  <c r="CN195" i="112"/>
  <c r="CR428" i="111"/>
  <c r="CR429" i="111" s="1"/>
  <c r="CJ226" i="112"/>
  <c r="CF21" i="2"/>
  <c r="CF85" i="4"/>
  <c r="CF115" i="4" s="1"/>
  <c r="CK56" i="112"/>
  <c r="C52" i="11"/>
  <c r="C51" i="11" s="1"/>
  <c r="T52" i="11"/>
  <c r="I52" i="11"/>
  <c r="I51" i="11" s="1"/>
  <c r="AC52" i="11"/>
  <c r="Q52" i="11"/>
  <c r="V52" i="11"/>
  <c r="M52" i="11"/>
  <c r="B52" i="11"/>
  <c r="B51" i="11" s="1"/>
  <c r="O52" i="11"/>
  <c r="K52" i="11"/>
  <c r="L52" i="11"/>
  <c r="Y52" i="11"/>
  <c r="F52" i="11"/>
  <c r="F51" i="11" s="1"/>
  <c r="J52" i="11"/>
  <c r="H52" i="11"/>
  <c r="H51" i="11" s="1"/>
  <c r="N52" i="11"/>
  <c r="AB52" i="11"/>
  <c r="R52" i="11"/>
  <c r="G52" i="11"/>
  <c r="G51" i="11" s="1"/>
  <c r="AA52" i="11"/>
  <c r="W52" i="11"/>
  <c r="AD52" i="11"/>
  <c r="U52" i="11"/>
  <c r="S52" i="11"/>
  <c r="Z52" i="11"/>
  <c r="X52" i="11"/>
  <c r="E52" i="11"/>
  <c r="E51" i="11" s="1"/>
  <c r="P52" i="11"/>
  <c r="D52" i="11"/>
  <c r="D51" i="11" s="1"/>
  <c r="CI26" i="4"/>
  <c r="AE18" i="111"/>
  <c r="AE19" i="11"/>
  <c r="CI27" i="4"/>
  <c r="CI258" i="112"/>
  <c r="CP438" i="111"/>
  <c r="CP439" i="111" s="1"/>
  <c r="CH239" i="112"/>
  <c r="CM18" i="112"/>
  <c r="AE16" i="111"/>
  <c r="AE18" i="11"/>
  <c r="CF26" i="2"/>
  <c r="CM85" i="112"/>
  <c r="CM87" i="112" s="1"/>
  <c r="CM119" i="112" s="1"/>
  <c r="CM120" i="112" s="1"/>
  <c r="AD194" i="111"/>
  <c r="AD81" i="11"/>
  <c r="AM73" i="11"/>
  <c r="CK11" i="112"/>
  <c r="CK12" i="112" s="1"/>
  <c r="CI247" i="112"/>
  <c r="CQ448" i="111" s="1"/>
  <c r="BX39" i="2"/>
  <c r="BX107" i="4"/>
  <c r="BX33" i="4" s="1"/>
  <c r="CP494" i="111"/>
  <c r="CP499" i="111" s="1"/>
  <c r="CP504" i="111" s="1"/>
  <c r="CH30" i="4"/>
  <c r="CJ38" i="112"/>
  <c r="CJ42" i="112"/>
  <c r="CJ25" i="112"/>
  <c r="AE870" i="111"/>
  <c r="AE880" i="111" s="1"/>
  <c r="AE885" i="111" s="1"/>
  <c r="CL200" i="112"/>
  <c r="CL192" i="112" s="1"/>
  <c r="CM198" i="112"/>
  <c r="CH31" i="2"/>
  <c r="CH42" i="2" s="1"/>
  <c r="V46" i="27"/>
  <c r="CK260" i="112"/>
  <c r="CK261" i="112" s="1"/>
  <c r="CK53" i="112"/>
  <c r="O48" i="11"/>
  <c r="B48" i="11"/>
  <c r="B47" i="11" s="1"/>
  <c r="Q48" i="11"/>
  <c r="H48" i="11"/>
  <c r="H47" i="11" s="1"/>
  <c r="F48" i="11"/>
  <c r="F47" i="11" s="1"/>
  <c r="P48" i="11"/>
  <c r="L48" i="11"/>
  <c r="M48" i="11"/>
  <c r="D48" i="11"/>
  <c r="D47" i="11" s="1"/>
  <c r="K48" i="11"/>
  <c r="I48" i="11"/>
  <c r="I47" i="11" s="1"/>
  <c r="C48" i="11"/>
  <c r="C47" i="11" s="1"/>
  <c r="Z48" i="11"/>
  <c r="J48" i="11"/>
  <c r="G48" i="11"/>
  <c r="G47" i="11" s="1"/>
  <c r="X48" i="11"/>
  <c r="R48" i="11"/>
  <c r="W48" i="11"/>
  <c r="Y48" i="11"/>
  <c r="T48" i="11"/>
  <c r="E48" i="11"/>
  <c r="E47" i="11" s="1"/>
  <c r="AD48" i="11"/>
  <c r="V48" i="11"/>
  <c r="U48" i="11"/>
  <c r="AA48" i="11"/>
  <c r="AC48" i="11"/>
  <c r="S48" i="11"/>
  <c r="N48" i="11"/>
  <c r="AB48" i="11"/>
  <c r="AD74" i="11"/>
  <c r="CH8" i="2"/>
  <c r="CH19" i="2"/>
  <c r="CH15" i="2"/>
  <c r="CH10" i="4"/>
  <c r="CH11" i="4" s="1"/>
  <c r="CH50" i="2"/>
  <c r="CH54" i="2"/>
  <c r="CH6" i="4"/>
  <c r="AE21" i="111"/>
  <c r="CK108" i="112"/>
  <c r="AE872" i="111" s="1"/>
  <c r="AE882" i="111" s="1"/>
  <c r="AE887" i="111" s="1"/>
  <c r="CK114" i="112"/>
  <c r="CJ254" i="112"/>
  <c r="CJ255" i="112"/>
  <c r="CH27" i="4"/>
  <c r="CH124" i="112"/>
  <c r="BL68" i="4"/>
  <c r="BL140" i="4"/>
  <c r="AE23" i="111"/>
  <c r="CK263" i="112"/>
  <c r="CS432" i="111"/>
  <c r="CS433" i="111" s="1"/>
  <c r="AE8" i="11"/>
  <c r="CK225" i="112"/>
  <c r="CM150" i="112"/>
  <c r="CL232" i="112"/>
  <c r="CK189" i="112"/>
  <c r="AE40" i="11" s="1"/>
  <c r="CK193" i="112"/>
  <c r="CK170" i="112"/>
  <c r="CK490" i="111" l="1"/>
  <c r="CK488" i="111"/>
  <c r="CK489" i="111"/>
  <c r="BX74" i="4"/>
  <c r="CG21" i="2"/>
  <c r="CG14" i="4"/>
  <c r="CG18" i="4" s="1"/>
  <c r="CG70" i="4"/>
  <c r="CG112" i="4" s="1"/>
  <c r="CG26" i="2"/>
  <c r="AD183" i="11" s="1"/>
  <c r="AD184" i="11" s="1"/>
  <c r="CG83" i="4"/>
  <c r="AD136" i="11" s="1"/>
  <c r="CG17" i="2"/>
  <c r="CG13" i="4"/>
  <c r="CI165" i="2"/>
  <c r="CI162" i="2" s="1"/>
  <c r="CG288" i="112"/>
  <c r="CO481" i="111" s="1"/>
  <c r="CI488" i="111"/>
  <c r="CJ488" i="111"/>
  <c r="CK534" i="111"/>
  <c r="CK533" i="111"/>
  <c r="CI534" i="111"/>
  <c r="CJ534" i="111"/>
  <c r="CN481" i="111"/>
  <c r="CF20" i="4"/>
  <c r="CF15" i="4"/>
  <c r="CL156" i="112"/>
  <c r="CH288" i="112"/>
  <c r="CP563" i="111" s="1"/>
  <c r="CH14" i="4"/>
  <c r="CH18" i="4" s="1"/>
  <c r="CL155" i="112"/>
  <c r="CL263" i="112"/>
  <c r="CL264" i="112" s="1"/>
  <c r="CK250" i="112"/>
  <c r="CK265" i="112" s="1"/>
  <c r="CI124" i="112"/>
  <c r="AE128" i="111"/>
  <c r="AE63" i="111"/>
  <c r="AE69" i="111" s="1"/>
  <c r="V66" i="27"/>
  <c r="CN560" i="111"/>
  <c r="CF119" i="4"/>
  <c r="J24" i="11"/>
  <c r="P24" i="11"/>
  <c r="U24" i="11"/>
  <c r="X24" i="11"/>
  <c r="M24" i="11"/>
  <c r="N24" i="11"/>
  <c r="O24" i="11"/>
  <c r="AD24" i="11"/>
  <c r="V24" i="11"/>
  <c r="U137" i="27"/>
  <c r="Y24" i="11"/>
  <c r="K24" i="11"/>
  <c r="W24" i="11"/>
  <c r="AD63" i="11"/>
  <c r="S24" i="11"/>
  <c r="T24" i="11"/>
  <c r="AC24" i="11"/>
  <c r="Q24" i="11"/>
  <c r="AD205" i="111"/>
  <c r="AD210" i="111" s="1"/>
  <c r="AC62" i="76"/>
  <c r="AC80" i="11"/>
  <c r="AC64" i="76"/>
  <c r="AC63" i="76"/>
  <c r="R24" i="11"/>
  <c r="Z24" i="11"/>
  <c r="L24" i="11"/>
  <c r="AB24" i="11"/>
  <c r="AA24" i="11"/>
  <c r="AM61" i="11"/>
  <c r="AD62" i="11"/>
  <c r="CJ165" i="112"/>
  <c r="CI287" i="112"/>
  <c r="CI14" i="4" s="1"/>
  <c r="CJ164" i="112"/>
  <c r="S47" i="11"/>
  <c r="AD214" i="111"/>
  <c r="K51" i="11"/>
  <c r="CN198" i="112"/>
  <c r="X22" i="11"/>
  <c r="AC47" i="11"/>
  <c r="M47" i="11"/>
  <c r="CP560" i="111"/>
  <c r="CH119" i="4"/>
  <c r="CR440" i="111"/>
  <c r="CR441" i="111" s="1"/>
  <c r="CR469" i="111"/>
  <c r="CR470" i="111" s="1"/>
  <c r="CJ26" i="112"/>
  <c r="CN44" i="112"/>
  <c r="CN46" i="112" s="1"/>
  <c r="CF27" i="2"/>
  <c r="CF28" i="2"/>
  <c r="CI50" i="2"/>
  <c r="CI54" i="2"/>
  <c r="CI6" i="4"/>
  <c r="CM487" i="111"/>
  <c r="CE24" i="4"/>
  <c r="CE28" i="4"/>
  <c r="CM532" i="111" s="1"/>
  <c r="W22" i="11"/>
  <c r="CR463" i="111"/>
  <c r="CR464" i="111" s="1"/>
  <c r="CJ9" i="4"/>
  <c r="CJ92" i="112"/>
  <c r="CJ123" i="112"/>
  <c r="CJ106" i="112"/>
  <c r="CS442" i="111"/>
  <c r="CS443" i="111" s="1"/>
  <c r="CS471" i="111"/>
  <c r="CS472" i="111" s="1"/>
  <c r="CK171" i="112"/>
  <c r="CO195" i="112"/>
  <c r="CN150" i="112"/>
  <c r="CN152" i="112" s="1"/>
  <c r="CN203" i="112" s="1"/>
  <c r="CM232" i="112"/>
  <c r="CM234" i="112" s="1"/>
  <c r="CP495" i="111"/>
  <c r="CP500" i="111" s="1"/>
  <c r="CP505" i="111" s="1"/>
  <c r="CH31" i="4"/>
  <c r="N47" i="11"/>
  <c r="AD47" i="11"/>
  <c r="X47" i="11"/>
  <c r="K47" i="11"/>
  <c r="CN18" i="112"/>
  <c r="CN20" i="112" s="1"/>
  <c r="U51" i="11"/>
  <c r="AB51" i="11"/>
  <c r="L51" i="11"/>
  <c r="Q51" i="11"/>
  <c r="AE13" i="111"/>
  <c r="CF112" i="4"/>
  <c r="CL157" i="112"/>
  <c r="CL158" i="112"/>
  <c r="CN14" i="112"/>
  <c r="CN16" i="112" s="1"/>
  <c r="CM9" i="112"/>
  <c r="CN81" i="112"/>
  <c r="CN83" i="112" s="1"/>
  <c r="CM76" i="112"/>
  <c r="CM78" i="112" s="1"/>
  <c r="CM79" i="112" s="1"/>
  <c r="P22" i="11"/>
  <c r="J22" i="11"/>
  <c r="R22" i="11"/>
  <c r="O22" i="11"/>
  <c r="CN146" i="112"/>
  <c r="CN148" i="112" s="1"/>
  <c r="CM141" i="112"/>
  <c r="CM228" i="112"/>
  <c r="CG303" i="112"/>
  <c r="CH16" i="4"/>
  <c r="CH300" i="112"/>
  <c r="CH224" i="8" s="1"/>
  <c r="AD138" i="11"/>
  <c r="CG115" i="4"/>
  <c r="V70" i="27" s="1"/>
  <c r="CH17" i="2"/>
  <c r="CH83" i="4"/>
  <c r="Q47" i="11"/>
  <c r="N51" i="11"/>
  <c r="CQ438" i="111"/>
  <c r="CQ439" i="111" s="1"/>
  <c r="CI239" i="112"/>
  <c r="Q22" i="11"/>
  <c r="T47" i="11"/>
  <c r="CI299" i="112"/>
  <c r="CI302" i="112"/>
  <c r="CI306" i="112"/>
  <c r="BP34" i="4"/>
  <c r="Y47" i="11"/>
  <c r="Z47" i="11"/>
  <c r="L47" i="11"/>
  <c r="O47" i="11"/>
  <c r="CN85" i="112"/>
  <c r="CN87" i="112" s="1"/>
  <c r="CN119" i="112" s="1"/>
  <c r="CN120" i="112" s="1"/>
  <c r="CQ495" i="111"/>
  <c r="CQ500" i="111" s="1"/>
  <c r="CQ505" i="111" s="1"/>
  <c r="CI31" i="4"/>
  <c r="CQ494" i="111"/>
  <c r="CQ499" i="111" s="1"/>
  <c r="CQ504" i="111" s="1"/>
  <c r="CI30" i="4"/>
  <c r="X51" i="11"/>
  <c r="AA51" i="11"/>
  <c r="J51" i="11"/>
  <c r="T51" i="11"/>
  <c r="AE12" i="111"/>
  <c r="AE17" i="11"/>
  <c r="CI69" i="4"/>
  <c r="AA22" i="11"/>
  <c r="AD22" i="11"/>
  <c r="Y22" i="11"/>
  <c r="CI59" i="112"/>
  <c r="CM114" i="112"/>
  <c r="CM200" i="112"/>
  <c r="CM192" i="112" s="1"/>
  <c r="CN491" i="111"/>
  <c r="CF19" i="4"/>
  <c r="AD51" i="11"/>
  <c r="AC22" i="11"/>
  <c r="M22" i="11"/>
  <c r="CG16" i="4"/>
  <c r="CG300" i="112"/>
  <c r="CG224" i="8" s="1"/>
  <c r="CL260" i="112"/>
  <c r="CL261" i="112" s="1"/>
  <c r="CL53" i="112"/>
  <c r="CS428" i="111"/>
  <c r="CS429" i="111" s="1"/>
  <c r="AE5" i="11"/>
  <c r="W134" i="27" s="1"/>
  <c r="CK226" i="112"/>
  <c r="CK264" i="112"/>
  <c r="CH12" i="4"/>
  <c r="CP477" i="111" s="1"/>
  <c r="CP478" i="111" s="1"/>
  <c r="CH13" i="4"/>
  <c r="CH21" i="2"/>
  <c r="CH85" i="4"/>
  <c r="CH115" i="4" s="1"/>
  <c r="CM255" i="112"/>
  <c r="CM254" i="112"/>
  <c r="AE140" i="111"/>
  <c r="AE100" i="111"/>
  <c r="O51" i="11"/>
  <c r="AE281" i="111"/>
  <c r="AE284" i="111" s="1"/>
  <c r="AE29" i="11"/>
  <c r="CH26" i="2"/>
  <c r="AB22" i="11"/>
  <c r="CL114" i="112"/>
  <c r="CL108" i="112"/>
  <c r="CL250" i="112" s="1"/>
  <c r="CL253" i="112"/>
  <c r="CS461" i="111"/>
  <c r="CS462" i="111" s="1"/>
  <c r="AE28" i="11"/>
  <c r="CK8" i="4"/>
  <c r="CK190" i="112"/>
  <c r="CK207" i="112"/>
  <c r="CK154" i="112"/>
  <c r="CH10" i="2"/>
  <c r="CH70" i="4"/>
  <c r="U47" i="11"/>
  <c r="W47" i="11"/>
  <c r="P47" i="11"/>
  <c r="CR459" i="111"/>
  <c r="CR460" i="111" s="1"/>
  <c r="CJ7" i="4"/>
  <c r="CJ58" i="112"/>
  <c r="CJ245" i="112"/>
  <c r="CJ39" i="112"/>
  <c r="AE38" i="11"/>
  <c r="AE26" i="11" s="1"/>
  <c r="AD204" i="111"/>
  <c r="AD209" i="111" s="1"/>
  <c r="Z51" i="11"/>
  <c r="M51" i="11"/>
  <c r="CK230" i="112"/>
  <c r="CJ251" i="112"/>
  <c r="CJ269" i="112" s="1"/>
  <c r="CJ257" i="112"/>
  <c r="CJ258" i="112" s="1"/>
  <c r="CJ265" i="112"/>
  <c r="CQ560" i="111"/>
  <c r="CI119" i="4"/>
  <c r="AE9" i="111"/>
  <c r="N22" i="11"/>
  <c r="L22" i="11"/>
  <c r="K22" i="11"/>
  <c r="CQ493" i="111"/>
  <c r="CQ498" i="111" s="1"/>
  <c r="CQ503" i="111" s="1"/>
  <c r="CI29" i="4"/>
  <c r="BZ44" i="2"/>
  <c r="BZ41" i="2" s="1"/>
  <c r="BY74" i="4"/>
  <c r="CH111" i="4"/>
  <c r="CL229" i="112"/>
  <c r="CL33" i="2" s="1"/>
  <c r="CL32" i="2" s="1"/>
  <c r="P51" i="11"/>
  <c r="AC51" i="11"/>
  <c r="AE101" i="111"/>
  <c r="AE141" i="111"/>
  <c r="CS459" i="111"/>
  <c r="CS460" i="111" s="1"/>
  <c r="CK7" i="4"/>
  <c r="CK39" i="112"/>
  <c r="CK58" i="112"/>
  <c r="CL489" i="111"/>
  <c r="CL490" i="111"/>
  <c r="J47" i="11"/>
  <c r="W51" i="11"/>
  <c r="S22" i="11"/>
  <c r="AA47" i="11"/>
  <c r="CM152" i="112"/>
  <c r="CM203" i="112" s="1"/>
  <c r="BL101" i="2"/>
  <c r="BL120" i="2" s="1"/>
  <c r="BL72" i="4"/>
  <c r="BL79" i="4" s="1"/>
  <c r="BM137" i="4"/>
  <c r="CK105" i="112"/>
  <c r="CK109" i="112"/>
  <c r="Z45" i="11"/>
  <c r="Z43" i="11" s="1"/>
  <c r="X45" i="11"/>
  <c r="X43" i="11" s="1"/>
  <c r="J45" i="11"/>
  <c r="J43" i="11" s="1"/>
  <c r="T45" i="11"/>
  <c r="T43" i="11" s="1"/>
  <c r="O45" i="11"/>
  <c r="O43" i="11" s="1"/>
  <c r="D45" i="11"/>
  <c r="D43" i="11" s="1"/>
  <c r="M45" i="11"/>
  <c r="M43" i="11" s="1"/>
  <c r="C45" i="11"/>
  <c r="C43" i="11" s="1"/>
  <c r="AB45" i="11"/>
  <c r="AA45" i="11"/>
  <c r="AA43" i="11" s="1"/>
  <c r="W45" i="11"/>
  <c r="W43" i="11" s="1"/>
  <c r="K45" i="11"/>
  <c r="B45" i="11"/>
  <c r="B43" i="11" s="1"/>
  <c r="G45" i="11"/>
  <c r="G43" i="11" s="1"/>
  <c r="I45" i="11"/>
  <c r="I43" i="11" s="1"/>
  <c r="L45" i="11"/>
  <c r="U45" i="11"/>
  <c r="U43" i="11" s="1"/>
  <c r="AD45" i="11"/>
  <c r="N45" i="11"/>
  <c r="N43" i="11" s="1"/>
  <c r="Q45" i="11"/>
  <c r="Q43" i="11" s="1"/>
  <c r="Y45" i="11"/>
  <c r="V45" i="11"/>
  <c r="V43" i="11" s="1"/>
  <c r="S45" i="11"/>
  <c r="S43" i="11" s="1"/>
  <c r="H45" i="11"/>
  <c r="H43" i="11" s="1"/>
  <c r="R45" i="11"/>
  <c r="F45" i="11"/>
  <c r="F43" i="11" s="1"/>
  <c r="AC45" i="11"/>
  <c r="E45" i="11"/>
  <c r="E43" i="11" s="1"/>
  <c r="P45" i="11"/>
  <c r="CL233" i="112"/>
  <c r="AE8" i="111"/>
  <c r="AD196" i="111"/>
  <c r="AD199" i="111" s="1"/>
  <c r="AM74" i="11"/>
  <c r="AD82" i="11"/>
  <c r="AB47" i="11"/>
  <c r="V47" i="11"/>
  <c r="R47" i="11"/>
  <c r="CL189" i="112"/>
  <c r="CL193" i="112"/>
  <c r="CL170" i="112"/>
  <c r="CM20" i="112"/>
  <c r="AE102" i="111"/>
  <c r="AE142" i="111"/>
  <c r="S51" i="11"/>
  <c r="R51" i="11"/>
  <c r="Y51" i="11"/>
  <c r="V51" i="11"/>
  <c r="CL38" i="112"/>
  <c r="CL42" i="112"/>
  <c r="CL25" i="112"/>
  <c r="CL234" i="112"/>
  <c r="CN145" i="2"/>
  <c r="CI15" i="2"/>
  <c r="CI8" i="2"/>
  <c r="CI19" i="2"/>
  <c r="CI10" i="4"/>
  <c r="CI11" i="4" s="1"/>
  <c r="CQ456" i="111"/>
  <c r="AE7" i="111"/>
  <c r="CM49" i="112"/>
  <c r="CM41" i="112" s="1"/>
  <c r="CM83" i="112"/>
  <c r="T22" i="11"/>
  <c r="U22" i="11"/>
  <c r="Z22" i="11"/>
  <c r="V22" i="11"/>
  <c r="CS440" i="111"/>
  <c r="CS441" i="111" s="1"/>
  <c r="CS469" i="111"/>
  <c r="CS470" i="111" s="1"/>
  <c r="CK26" i="112"/>
  <c r="CO44" i="112"/>
  <c r="CO46" i="112" s="1"/>
  <c r="BY45" i="2"/>
  <c r="BY38" i="2"/>
  <c r="AD332" i="111"/>
  <c r="AD382" i="111"/>
  <c r="AD333" i="111"/>
  <c r="V44" i="27"/>
  <c r="CL225" i="112"/>
  <c r="CL230" i="112" s="1"/>
  <c r="CM143" i="112"/>
  <c r="CM144" i="112" s="1"/>
  <c r="CQ196" i="112" s="1"/>
  <c r="CJ26" i="4"/>
  <c r="CL533" i="111"/>
  <c r="CH303" i="112"/>
  <c r="CH112" i="4" l="1"/>
  <c r="AD131" i="11"/>
  <c r="CO491" i="111"/>
  <c r="AD67" i="11"/>
  <c r="AD68" i="11" s="1"/>
  <c r="CG113" i="4"/>
  <c r="V68" i="27" s="1"/>
  <c r="CH113" i="4"/>
  <c r="CG27" i="2"/>
  <c r="AD182" i="11"/>
  <c r="CG28" i="2"/>
  <c r="CK251" i="112"/>
  <c r="CK269" i="112" s="1"/>
  <c r="CP481" i="111"/>
  <c r="CG19" i="4"/>
  <c r="CO563" i="111"/>
  <c r="CH20" i="4"/>
  <c r="CP537" i="111" s="1"/>
  <c r="CP538" i="111" s="1"/>
  <c r="CP539" i="111" s="1"/>
  <c r="CF23" i="4"/>
  <c r="CN487" i="111" s="1"/>
  <c r="CI296" i="112"/>
  <c r="CI297" i="112" s="1"/>
  <c r="CF21" i="4"/>
  <c r="CN537" i="111"/>
  <c r="CN538" i="111" s="1"/>
  <c r="CN539" i="111" s="1"/>
  <c r="CM155" i="112"/>
  <c r="CI288" i="112"/>
  <c r="CQ481" i="111" s="1"/>
  <c r="CK257" i="112"/>
  <c r="CK258" i="112" s="1"/>
  <c r="V67" i="27"/>
  <c r="AD200" i="111"/>
  <c r="AC47" i="111"/>
  <c r="S47" i="111"/>
  <c r="N47" i="111"/>
  <c r="CG15" i="4"/>
  <c r="AD65" i="11" s="1"/>
  <c r="AD897" i="111"/>
  <c r="L47" i="111"/>
  <c r="V9" i="27"/>
  <c r="AM63" i="11"/>
  <c r="AD64" i="11"/>
  <c r="M47" i="111"/>
  <c r="AJ24" i="11"/>
  <c r="U47" i="111"/>
  <c r="CF123" i="4"/>
  <c r="AD157" i="11"/>
  <c r="V73" i="27"/>
  <c r="V77" i="27" s="1"/>
  <c r="AL24" i="11"/>
  <c r="AA47" i="111"/>
  <c r="R47" i="111"/>
  <c r="W47" i="111"/>
  <c r="Y47" i="111"/>
  <c r="AM24" i="11"/>
  <c r="AD47" i="111"/>
  <c r="Z47" i="111"/>
  <c r="AC250" i="111"/>
  <c r="AD154" i="11"/>
  <c r="CJ165" i="2"/>
  <c r="CJ162" i="2" s="1"/>
  <c r="AD249" i="111"/>
  <c r="V136" i="27"/>
  <c r="Q47" i="111"/>
  <c r="T47" i="111"/>
  <c r="O47" i="111"/>
  <c r="X47" i="111"/>
  <c r="AK24" i="11"/>
  <c r="AB47" i="111"/>
  <c r="AC66" i="76"/>
  <c r="AC53" i="76" s="1"/>
  <c r="AC71" i="76"/>
  <c r="K47" i="111"/>
  <c r="V47" i="111"/>
  <c r="P47" i="111"/>
  <c r="CK164" i="112"/>
  <c r="W21" i="11"/>
  <c r="CN49" i="112"/>
  <c r="CN41" i="112" s="1"/>
  <c r="CA44" i="2"/>
  <c r="CA41" i="2" s="1"/>
  <c r="BZ74" i="4"/>
  <c r="CN200" i="112"/>
  <c r="CN192" i="112" s="1"/>
  <c r="U21" i="11"/>
  <c r="CI13" i="4"/>
  <c r="CI12" i="4"/>
  <c r="CQ477" i="111" s="1"/>
  <c r="CQ478" i="111" s="1"/>
  <c r="CI18" i="4"/>
  <c r="Q21" i="11"/>
  <c r="CN116" i="112"/>
  <c r="CR494" i="111"/>
  <c r="CR499" i="111" s="1"/>
  <c r="CR504" i="111" s="1"/>
  <c r="CJ30" i="4"/>
  <c r="V46" i="111"/>
  <c r="CM52" i="112"/>
  <c r="CM55" i="112"/>
  <c r="CM56" i="112" s="1"/>
  <c r="AL47" i="11"/>
  <c r="AB124" i="11"/>
  <c r="CH27" i="2"/>
  <c r="CH28" i="2"/>
  <c r="AA46" i="111"/>
  <c r="AL22" i="11"/>
  <c r="V50" i="27"/>
  <c r="AK47" i="11"/>
  <c r="CM533" i="111"/>
  <c r="CL251" i="112"/>
  <c r="CL269" i="112" s="1"/>
  <c r="CL257" i="112"/>
  <c r="CL258" i="112" s="1"/>
  <c r="S23" i="11"/>
  <c r="CL226" i="112"/>
  <c r="CI10" i="2"/>
  <c r="CI70" i="4"/>
  <c r="CI112" i="4" s="1"/>
  <c r="V21" i="11"/>
  <c r="R23" i="11"/>
  <c r="N23" i="11"/>
  <c r="M23" i="11"/>
  <c r="Z23" i="11"/>
  <c r="CK26" i="4"/>
  <c r="AE75" i="11" s="1"/>
  <c r="CL105" i="112"/>
  <c r="CL245" i="112" s="1"/>
  <c r="CL247" i="112" s="1"/>
  <c r="CL109" i="112"/>
  <c r="AC46" i="111"/>
  <c r="BP35" i="4"/>
  <c r="BP36" i="4"/>
  <c r="CM225" i="112"/>
  <c r="O46" i="111"/>
  <c r="P46" i="111"/>
  <c r="CM158" i="112"/>
  <c r="CN232" i="112"/>
  <c r="CN234" i="112" s="1"/>
  <c r="CO150" i="112"/>
  <c r="CO152" i="112" s="1"/>
  <c r="CO203" i="112" s="1"/>
  <c r="CR444" i="111"/>
  <c r="CR445" i="111" s="1"/>
  <c r="CR473" i="111"/>
  <c r="CR474" i="111" s="1"/>
  <c r="CJ93" i="112"/>
  <c r="CJ94" i="112"/>
  <c r="CJ95" i="112" s="1"/>
  <c r="CN111" i="112"/>
  <c r="CG20" i="4"/>
  <c r="K23" i="11"/>
  <c r="CR454" i="111"/>
  <c r="CJ11" i="2"/>
  <c r="CJ71" i="4" s="1"/>
  <c r="CJ6" i="2"/>
  <c r="CJ35" i="2"/>
  <c r="CJ5" i="4"/>
  <c r="CJ241" i="112"/>
  <c r="CJ242" i="112" s="1"/>
  <c r="CJ238" i="112"/>
  <c r="CJ246" i="112"/>
  <c r="CJ283" i="112"/>
  <c r="CJ293" i="112"/>
  <c r="CJ22" i="4" s="1"/>
  <c r="CJ308" i="112"/>
  <c r="CJ43" i="4" s="1"/>
  <c r="CJ290" i="112"/>
  <c r="P23" i="11"/>
  <c r="O23" i="11"/>
  <c r="S46" i="111"/>
  <c r="K46" i="111"/>
  <c r="CJ25" i="4"/>
  <c r="CJ305" i="112"/>
  <c r="CJ124" i="112" s="1"/>
  <c r="M21" i="11"/>
  <c r="CO18" i="112"/>
  <c r="CO20" i="112" s="1"/>
  <c r="AE39" i="11"/>
  <c r="AE27" i="11" s="1"/>
  <c r="X46" i="111"/>
  <c r="AK22" i="11"/>
  <c r="U46" i="111"/>
  <c r="AJ22" i="11"/>
  <c r="T46" i="111"/>
  <c r="CM116" i="112"/>
  <c r="CM108" i="112" s="1"/>
  <c r="CM250" i="112" s="1"/>
  <c r="CI21" i="2"/>
  <c r="CI85" i="4"/>
  <c r="CI115" i="4" s="1"/>
  <c r="CL26" i="112"/>
  <c r="CP44" i="112"/>
  <c r="CP46" i="112" s="1"/>
  <c r="CL171" i="112"/>
  <c r="CP195" i="112"/>
  <c r="AD216" i="111"/>
  <c r="AD201" i="111"/>
  <c r="V23" i="11"/>
  <c r="L23" i="11"/>
  <c r="AA23" i="11"/>
  <c r="T23" i="11"/>
  <c r="N46" i="111"/>
  <c r="CJ247" i="112"/>
  <c r="CR448" i="111" s="1"/>
  <c r="CL265" i="112"/>
  <c r="M46" i="111"/>
  <c r="AD46" i="111"/>
  <c r="AM22" i="11"/>
  <c r="CO85" i="112"/>
  <c r="CO87" i="112" s="1"/>
  <c r="CO119" i="112" s="1"/>
  <c r="CO120" i="112" s="1"/>
  <c r="CI111" i="4"/>
  <c r="CM156" i="112"/>
  <c r="CM489" i="111"/>
  <c r="CM490" i="111"/>
  <c r="Q46" i="111"/>
  <c r="O21" i="11"/>
  <c r="CN204" i="112"/>
  <c r="AD384" i="111"/>
  <c r="V45" i="27"/>
  <c r="CH123" i="4"/>
  <c r="X21" i="11"/>
  <c r="T21" i="11"/>
  <c r="W23" i="11"/>
  <c r="CS463" i="111"/>
  <c r="CS464" i="111" s="1"/>
  <c r="CK9" i="4"/>
  <c r="CK106" i="112"/>
  <c r="CK92" i="112"/>
  <c r="CK123" i="112"/>
  <c r="CK305" i="112" s="1"/>
  <c r="CK208" i="112" s="1"/>
  <c r="AA21" i="11"/>
  <c r="CM157" i="112"/>
  <c r="CO198" i="112"/>
  <c r="AC23" i="11"/>
  <c r="Y23" i="11"/>
  <c r="AB23" i="11"/>
  <c r="J23" i="11"/>
  <c r="CK245" i="112"/>
  <c r="BZ38" i="2"/>
  <c r="BZ45" i="2"/>
  <c r="L43" i="11"/>
  <c r="AE61" i="111"/>
  <c r="AE67" i="111" s="1"/>
  <c r="AE127" i="111"/>
  <c r="AB43" i="11"/>
  <c r="W98" i="27"/>
  <c r="W133" i="27"/>
  <c r="CM189" i="112"/>
  <c r="CM193" i="112"/>
  <c r="CM170" i="112"/>
  <c r="Y43" i="11"/>
  <c r="CI26" i="2"/>
  <c r="CI303" i="112"/>
  <c r="R43" i="11"/>
  <c r="CO14" i="112"/>
  <c r="CO16" i="112" s="1"/>
  <c r="CN9" i="112"/>
  <c r="CN11" i="112" s="1"/>
  <c r="CN12" i="112" s="1"/>
  <c r="AM47" i="11"/>
  <c r="W46" i="111"/>
  <c r="CO145" i="2"/>
  <c r="AD23" i="11"/>
  <c r="BT542" i="111"/>
  <c r="BM123" i="2"/>
  <c r="BM130" i="2" s="1"/>
  <c r="BL121" i="2"/>
  <c r="S21" i="11"/>
  <c r="K43" i="11"/>
  <c r="CN141" i="112"/>
  <c r="CN228" i="112"/>
  <c r="CO146" i="112"/>
  <c r="CO148" i="112" s="1"/>
  <c r="CO81" i="112"/>
  <c r="CO83" i="112" s="1"/>
  <c r="CN76" i="112"/>
  <c r="CN78" i="112" s="1"/>
  <c r="CN79" i="112" s="1"/>
  <c r="CN52" i="112"/>
  <c r="CN55" i="112"/>
  <c r="CN56" i="112" s="1"/>
  <c r="U23" i="11"/>
  <c r="N21" i="11"/>
  <c r="CP491" i="111"/>
  <c r="CH19" i="4"/>
  <c r="AD43" i="11"/>
  <c r="J21" i="11"/>
  <c r="Z21" i="11"/>
  <c r="CM25" i="112"/>
  <c r="CM42" i="112"/>
  <c r="CL154" i="112"/>
  <c r="BY39" i="2"/>
  <c r="BY107" i="4"/>
  <c r="Z46" i="111"/>
  <c r="CI17" i="2"/>
  <c r="CI83" i="4"/>
  <c r="CI113" i="4" s="1"/>
  <c r="CL7" i="4"/>
  <c r="CL39" i="112"/>
  <c r="CL58" i="112"/>
  <c r="CL8" i="4"/>
  <c r="CL207" i="112"/>
  <c r="CL190" i="112"/>
  <c r="AD206" i="111"/>
  <c r="AD211" i="111" s="1"/>
  <c r="Q23" i="11"/>
  <c r="X23" i="11"/>
  <c r="CM204" i="112"/>
  <c r="CK25" i="4"/>
  <c r="L46" i="111"/>
  <c r="CM11" i="112"/>
  <c r="CM12" i="112" s="1"/>
  <c r="CI123" i="4"/>
  <c r="CH15" i="4"/>
  <c r="AJ47" i="11"/>
  <c r="CL255" i="112"/>
  <c r="CL254" i="112"/>
  <c r="AB46" i="111"/>
  <c r="AC43" i="11"/>
  <c r="Y46" i="111"/>
  <c r="CI16" i="4"/>
  <c r="CI20" i="4" s="1"/>
  <c r="CI300" i="112"/>
  <c r="CI224" i="8" s="1"/>
  <c r="CM229" i="112"/>
  <c r="CM33" i="2" s="1"/>
  <c r="CM32" i="2" s="1"/>
  <c r="R46" i="111"/>
  <c r="P43" i="11"/>
  <c r="CK165" i="112"/>
  <c r="CM233" i="112"/>
  <c r="CJ27" i="4"/>
  <c r="V10" i="27" l="1"/>
  <c r="AM67" i="11"/>
  <c r="CF28" i="4"/>
  <c r="CN532" i="111" s="1"/>
  <c r="CN533" i="111" s="1"/>
  <c r="CF24" i="4"/>
  <c r="CN155" i="112"/>
  <c r="CH23" i="4"/>
  <c r="CP487" i="111" s="1"/>
  <c r="CH21" i="4"/>
  <c r="CQ563" i="111"/>
  <c r="CM263" i="112"/>
  <c r="CM264" i="112" s="1"/>
  <c r="AE36" i="11"/>
  <c r="W6" i="27" s="1"/>
  <c r="AE195" i="111"/>
  <c r="AE215" i="111" s="1"/>
  <c r="AE83" i="11"/>
  <c r="BY33" i="4"/>
  <c r="AB152" i="11"/>
  <c r="T62" i="27"/>
  <c r="CJ31" i="2"/>
  <c r="CJ42" i="2" s="1"/>
  <c r="CJ119" i="4" s="1"/>
  <c r="AD69" i="11"/>
  <c r="CK165" i="2"/>
  <c r="CK162" i="2" s="1"/>
  <c r="AD27" i="76"/>
  <c r="AD28" i="76"/>
  <c r="AD181" i="11"/>
  <c r="V126" i="27"/>
  <c r="AD66" i="11"/>
  <c r="AM65" i="11"/>
  <c r="CM38" i="112"/>
  <c r="CJ287" i="112"/>
  <c r="CJ288" i="112" s="1"/>
  <c r="CK59" i="112"/>
  <c r="CM154" i="112"/>
  <c r="CQ537" i="111"/>
  <c r="CQ538" i="111" s="1"/>
  <c r="CQ539" i="111" s="1"/>
  <c r="CI21" i="4"/>
  <c r="CI23" i="4"/>
  <c r="CO116" i="112"/>
  <c r="CO49" i="112"/>
  <c r="CO41" i="112" s="1"/>
  <c r="CN229" i="112"/>
  <c r="CN33" i="2" s="1"/>
  <c r="CN32" i="2" s="1"/>
  <c r="CM8" i="4"/>
  <c r="CM190" i="112"/>
  <c r="CM207" i="112"/>
  <c r="Y48" i="111"/>
  <c r="O48" i="111"/>
  <c r="CR438" i="111"/>
  <c r="CR439" i="111" s="1"/>
  <c r="CJ239" i="112"/>
  <c r="CN170" i="112"/>
  <c r="CN189" i="112"/>
  <c r="CN193" i="112"/>
  <c r="CB44" i="2"/>
  <c r="CA74" i="4"/>
  <c r="CO52" i="112"/>
  <c r="CO55" i="112"/>
  <c r="CO56" i="112" s="1"/>
  <c r="CO204" i="112"/>
  <c r="CN225" i="112"/>
  <c r="CN230" i="112" s="1"/>
  <c r="CI28" i="2"/>
  <c r="CI27" i="2"/>
  <c r="CP198" i="112"/>
  <c r="AF14" i="11"/>
  <c r="CP18" i="112"/>
  <c r="CP20" i="112" s="1"/>
  <c r="CJ306" i="112"/>
  <c r="CJ299" i="112"/>
  <c r="CJ302" i="112"/>
  <c r="CJ208" i="112"/>
  <c r="CN233" i="112"/>
  <c r="R48" i="111"/>
  <c r="CA38" i="2"/>
  <c r="CA45" i="2"/>
  <c r="CR495" i="111"/>
  <c r="CR500" i="111" s="1"/>
  <c r="CR505" i="111" s="1"/>
  <c r="CJ31" i="4"/>
  <c r="CS493" i="111"/>
  <c r="CS498" i="111" s="1"/>
  <c r="CS503" i="111" s="1"/>
  <c r="CK29" i="4"/>
  <c r="P21" i="11"/>
  <c r="Q48" i="111"/>
  <c r="CL6" i="2"/>
  <c r="CL35" i="2"/>
  <c r="CL31" i="2" s="1"/>
  <c r="CL42" i="2" s="1"/>
  <c r="CL119" i="4" s="1"/>
  <c r="CL11" i="2"/>
  <c r="CL71" i="4" s="1"/>
  <c r="CL5" i="4"/>
  <c r="CL241" i="112"/>
  <c r="CL242" i="112" s="1"/>
  <c r="CL238" i="112"/>
  <c r="CL239" i="112" s="1"/>
  <c r="CL246" i="112"/>
  <c r="CL283" i="112"/>
  <c r="CL290" i="112"/>
  <c r="CL293" i="112"/>
  <c r="CL22" i="4" s="1"/>
  <c r="CL308" i="112"/>
  <c r="CL43" i="4" s="1"/>
  <c r="CP145" i="2"/>
  <c r="Y21" i="11"/>
  <c r="AB21" i="11"/>
  <c r="BZ39" i="2"/>
  <c r="BZ107" i="4"/>
  <c r="CL164" i="112"/>
  <c r="AK21" i="11"/>
  <c r="V48" i="111"/>
  <c r="CM105" i="112"/>
  <c r="CM109" i="112"/>
  <c r="CJ59" i="112"/>
  <c r="P48" i="111"/>
  <c r="CJ50" i="2"/>
  <c r="CJ54" i="2"/>
  <c r="CJ6" i="4"/>
  <c r="CM226" i="112"/>
  <c r="M48" i="111"/>
  <c r="S48" i="111"/>
  <c r="CN25" i="112"/>
  <c r="CN38" i="112"/>
  <c r="CN42" i="112"/>
  <c r="CN53" i="112"/>
  <c r="CN260" i="112"/>
  <c r="CN261" i="112" s="1"/>
  <c r="CS444" i="111"/>
  <c r="CS445" i="111" s="1"/>
  <c r="CS473" i="111"/>
  <c r="CS474" i="111" s="1"/>
  <c r="CK93" i="112"/>
  <c r="CK94" i="112"/>
  <c r="CK95" i="112" s="1"/>
  <c r="CO111" i="112"/>
  <c r="CR456" i="111"/>
  <c r="CN108" i="112"/>
  <c r="CN114" i="112"/>
  <c r="CN253" i="112"/>
  <c r="CL165" i="112"/>
  <c r="CM26" i="112"/>
  <c r="CQ44" i="112"/>
  <c r="CQ46" i="112" s="1"/>
  <c r="AF11" i="11"/>
  <c r="AF19" i="11" s="1"/>
  <c r="CP81" i="112"/>
  <c r="CO76" i="112"/>
  <c r="CO78" i="112" s="1"/>
  <c r="CO79" i="112" s="1"/>
  <c r="BM124" i="2"/>
  <c r="BM129" i="2" s="1"/>
  <c r="BM39" i="4"/>
  <c r="BM132" i="2"/>
  <c r="CM257" i="112"/>
  <c r="CM251" i="112"/>
  <c r="CM269" i="112" s="1"/>
  <c r="AB48" i="111"/>
  <c r="AC48" i="111"/>
  <c r="CN157" i="112"/>
  <c r="AA48" i="111"/>
  <c r="AL23" i="11"/>
  <c r="CR493" i="111"/>
  <c r="CR498" i="111" s="1"/>
  <c r="CR503" i="111" s="1"/>
  <c r="CJ29" i="4"/>
  <c r="AE73" i="11"/>
  <c r="CL9" i="4"/>
  <c r="CL106" i="112"/>
  <c r="CL92" i="112"/>
  <c r="CL123" i="112"/>
  <c r="CL305" i="112" s="1"/>
  <c r="CL59" i="112" s="1"/>
  <c r="CI15" i="4"/>
  <c r="AD21" i="11"/>
  <c r="U48" i="111"/>
  <c r="AJ23" i="11"/>
  <c r="AF12" i="11"/>
  <c r="CO141" i="112"/>
  <c r="CO143" i="112" s="1"/>
  <c r="CO144" i="112" s="1"/>
  <c r="CS196" i="112" s="1"/>
  <c r="CO228" i="112"/>
  <c r="CP146" i="112"/>
  <c r="CP148" i="112" s="1"/>
  <c r="K21" i="11"/>
  <c r="AF10" i="11"/>
  <c r="AF18" i="11" s="1"/>
  <c r="CO9" i="112"/>
  <c r="CO11" i="112" s="1"/>
  <c r="CO12" i="112" s="1"/>
  <c r="CP14" i="112"/>
  <c r="CP16" i="112" s="1"/>
  <c r="CM171" i="112"/>
  <c r="CQ195" i="112"/>
  <c r="CN263" i="112"/>
  <c r="CJ15" i="2"/>
  <c r="CJ8" i="2"/>
  <c r="CJ19" i="2"/>
  <c r="CJ10" i="4"/>
  <c r="CJ11" i="4" s="1"/>
  <c r="CJ69" i="4"/>
  <c r="K48" i="111"/>
  <c r="CO537" i="111"/>
  <c r="CO538" i="111" s="1"/>
  <c r="CO539" i="111" s="1"/>
  <c r="CG21" i="4"/>
  <c r="CG23" i="4"/>
  <c r="CN143" i="112"/>
  <c r="CN144" i="112" s="1"/>
  <c r="CR196" i="112" s="1"/>
  <c r="N48" i="111"/>
  <c r="CM230" i="112"/>
  <c r="CM53" i="112"/>
  <c r="CM260" i="112"/>
  <c r="CM261" i="112" s="1"/>
  <c r="CL26" i="4"/>
  <c r="AC21" i="11"/>
  <c r="CN490" i="111"/>
  <c r="CN489" i="111"/>
  <c r="CK306" i="112"/>
  <c r="X48" i="111"/>
  <c r="AK23" i="11"/>
  <c r="CL25" i="4"/>
  <c r="CO200" i="112"/>
  <c r="CO192" i="112" s="1"/>
  <c r="AD48" i="111"/>
  <c r="AM23" i="11"/>
  <c r="R21" i="11"/>
  <c r="L21" i="11"/>
  <c r="CS454" i="111"/>
  <c r="CQ455" i="111" s="1"/>
  <c r="CK35" i="2"/>
  <c r="CK31" i="2" s="1"/>
  <c r="CK42" i="2" s="1"/>
  <c r="CK11" i="2"/>
  <c r="CK71" i="4" s="1"/>
  <c r="CK6" i="2"/>
  <c r="CK5" i="4"/>
  <c r="CK241" i="112"/>
  <c r="CK242" i="112" s="1"/>
  <c r="CK283" i="112"/>
  <c r="AE60" i="11" s="1"/>
  <c r="CK290" i="112"/>
  <c r="CK293" i="112"/>
  <c r="CK22" i="4" s="1"/>
  <c r="AE71" i="11" s="1"/>
  <c r="CK308" i="112"/>
  <c r="CK43" i="4" s="1"/>
  <c r="AE94" i="11" s="1"/>
  <c r="CK238" i="112"/>
  <c r="CK246" i="112"/>
  <c r="CK247" i="112"/>
  <c r="CS448" i="111" s="1"/>
  <c r="CK27" i="4"/>
  <c r="AE74" i="11" s="1"/>
  <c r="CK124" i="112"/>
  <c r="W48" i="111"/>
  <c r="CN156" i="112"/>
  <c r="AF15" i="11"/>
  <c r="CP85" i="112"/>
  <c r="CP87" i="112" s="1"/>
  <c r="CP119" i="112" s="1"/>
  <c r="CP120" i="112" s="1"/>
  <c r="T48" i="111"/>
  <c r="L48" i="111"/>
  <c r="AE129" i="111"/>
  <c r="AE62" i="111"/>
  <c r="AE68" i="111" s="1"/>
  <c r="AF16" i="11"/>
  <c r="CO232" i="112"/>
  <c r="CP150" i="112"/>
  <c r="CP152" i="112" s="1"/>
  <c r="CP203" i="112" s="1"/>
  <c r="CN158" i="112"/>
  <c r="CS494" i="111"/>
  <c r="CS499" i="111" s="1"/>
  <c r="CS504" i="111" s="1"/>
  <c r="CK30" i="4"/>
  <c r="Z48" i="111"/>
  <c r="T39" i="27"/>
  <c r="CQ491" i="111"/>
  <c r="CI19" i="4"/>
  <c r="CH28" i="4" l="1"/>
  <c r="CP532" i="111" s="1"/>
  <c r="CP533" i="111" s="1"/>
  <c r="CH24" i="4"/>
  <c r="CM265" i="112"/>
  <c r="CM7" i="4"/>
  <c r="AE37" i="11"/>
  <c r="CM165" i="112"/>
  <c r="CM164" i="112"/>
  <c r="CR560" i="111"/>
  <c r="AE12" i="76"/>
  <c r="CJ14" i="4"/>
  <c r="CJ18" i="4" s="1"/>
  <c r="CM39" i="112"/>
  <c r="CM58" i="112"/>
  <c r="CM25" i="4" s="1"/>
  <c r="CJ296" i="112"/>
  <c r="CJ297" i="112" s="1"/>
  <c r="AL21" i="11"/>
  <c r="CL165" i="2"/>
  <c r="CL162" i="2" s="1"/>
  <c r="W14" i="27"/>
  <c r="W7" i="27"/>
  <c r="W8" i="27" s="1"/>
  <c r="AE61" i="11"/>
  <c r="CP455" i="111"/>
  <c r="AE95" i="11"/>
  <c r="V29" i="27"/>
  <c r="AM69" i="11"/>
  <c r="AD70" i="11"/>
  <c r="AD72" i="11"/>
  <c r="AE205" i="111"/>
  <c r="AE210" i="111" s="1"/>
  <c r="CR455" i="111"/>
  <c r="AE282" i="111"/>
  <c r="AE285" i="111" s="1"/>
  <c r="AB89" i="11"/>
  <c r="CO156" i="112"/>
  <c r="CJ26" i="2"/>
  <c r="CJ27" i="2" s="1"/>
  <c r="CO263" i="112"/>
  <c r="CO264" i="112" s="1"/>
  <c r="CK302" i="112"/>
  <c r="CK303" i="112" s="1"/>
  <c r="CK287" i="112"/>
  <c r="CK296" i="112" s="1"/>
  <c r="CK297" i="112" s="1"/>
  <c r="AE25" i="11"/>
  <c r="W135" i="27" s="1"/>
  <c r="CK299" i="112"/>
  <c r="CL287" i="112"/>
  <c r="CL296" i="112" s="1"/>
  <c r="CL297" i="112" s="1"/>
  <c r="AE196" i="111"/>
  <c r="AE82" i="11"/>
  <c r="CJ13" i="4"/>
  <c r="CJ12" i="4"/>
  <c r="CR477" i="111" s="1"/>
  <c r="CR478" i="111" s="1"/>
  <c r="CP55" i="112"/>
  <c r="CP56" i="112" s="1"/>
  <c r="CP52" i="112"/>
  <c r="CP49" i="112"/>
  <c r="CP41" i="112" s="1"/>
  <c r="CB38" i="2"/>
  <c r="CB45" i="2"/>
  <c r="CQ487" i="111"/>
  <c r="CI28" i="4"/>
  <c r="CQ532" i="111" s="1"/>
  <c r="CI24" i="4"/>
  <c r="CP204" i="112"/>
  <c r="AF13" i="11"/>
  <c r="CO233" i="112"/>
  <c r="CK54" i="2"/>
  <c r="CK50" i="2"/>
  <c r="CK6" i="4"/>
  <c r="AF8" i="11"/>
  <c r="CO225" i="112"/>
  <c r="CO230" i="112" s="1"/>
  <c r="CJ123" i="4"/>
  <c r="Y93" i="11"/>
  <c r="CN105" i="112"/>
  <c r="CN109" i="112"/>
  <c r="CM9" i="4"/>
  <c r="CM106" i="112"/>
  <c r="CM92" i="112"/>
  <c r="CM123" i="112"/>
  <c r="CQ145" i="2"/>
  <c r="CM245" i="112"/>
  <c r="CL69" i="4"/>
  <c r="CJ303" i="112"/>
  <c r="CB41" i="2"/>
  <c r="CO155" i="112"/>
  <c r="CM26" i="4"/>
  <c r="CM30" i="4" s="1"/>
  <c r="CS456" i="111"/>
  <c r="CS455" i="111"/>
  <c r="CP76" i="112"/>
  <c r="CP78" i="112" s="1"/>
  <c r="CP79" i="112" s="1"/>
  <c r="CQ81" i="112"/>
  <c r="CQ83" i="112" s="1"/>
  <c r="CL8" i="2"/>
  <c r="CL19" i="2"/>
  <c r="CL15" i="2"/>
  <c r="CL10" i="4"/>
  <c r="CL11" i="4" s="1"/>
  <c r="CL123" i="4"/>
  <c r="CA39" i="2"/>
  <c r="CA107" i="4"/>
  <c r="CA33" i="4" s="1"/>
  <c r="CQ85" i="112"/>
  <c r="CQ87" i="112" s="1"/>
  <c r="CQ119" i="112" s="1"/>
  <c r="CQ120" i="112" s="1"/>
  <c r="CK69" i="4"/>
  <c r="CK111" i="4" s="1"/>
  <c r="CJ21" i="2"/>
  <c r="CJ85" i="4"/>
  <c r="CJ115" i="4" s="1"/>
  <c r="AF20" i="11"/>
  <c r="AM21" i="11"/>
  <c r="AJ21" i="11"/>
  <c r="CL27" i="4"/>
  <c r="CL124" i="112"/>
  <c r="CO157" i="112"/>
  <c r="CO234" i="112"/>
  <c r="CJ16" i="4"/>
  <c r="CJ300" i="112"/>
  <c r="CJ224" i="8" s="1"/>
  <c r="CL29" i="4"/>
  <c r="AF9" i="11"/>
  <c r="CO229" i="112"/>
  <c r="CO33" i="2" s="1"/>
  <c r="CO32" i="2" s="1"/>
  <c r="AE132" i="11"/>
  <c r="CJ10" i="2"/>
  <c r="CJ70" i="4"/>
  <c r="CP9" i="112"/>
  <c r="CP11" i="112" s="1"/>
  <c r="CP12" i="112" s="1"/>
  <c r="CQ14" i="112"/>
  <c r="CQ16" i="112" s="1"/>
  <c r="CL94" i="112"/>
  <c r="CL95" i="112" s="1"/>
  <c r="CL93" i="112"/>
  <c r="CP111" i="112"/>
  <c r="BZ33" i="4"/>
  <c r="CN8" i="4"/>
  <c r="CN207" i="112"/>
  <c r="CN190" i="112"/>
  <c r="AE194" i="111"/>
  <c r="AE81" i="11"/>
  <c r="CO158" i="112"/>
  <c r="CS495" i="111"/>
  <c r="CS500" i="111" s="1"/>
  <c r="CS505" i="111" s="1"/>
  <c r="CK31" i="4"/>
  <c r="CS560" i="111"/>
  <c r="CK119" i="4"/>
  <c r="W73" i="27" s="1"/>
  <c r="W77" i="27" s="1"/>
  <c r="CL302" i="112"/>
  <c r="CL306" i="112"/>
  <c r="CL299" i="112"/>
  <c r="CL208" i="112"/>
  <c r="CO487" i="111"/>
  <c r="CG28" i="4"/>
  <c r="CO532" i="111" s="1"/>
  <c r="CG24" i="4"/>
  <c r="CJ17" i="2"/>
  <c r="CJ83" i="4"/>
  <c r="CJ113" i="4" s="1"/>
  <c r="AF6" i="11"/>
  <c r="CP141" i="112"/>
  <c r="CP228" i="112"/>
  <c r="CQ146" i="112"/>
  <c r="CQ148" i="112" s="1"/>
  <c r="CR481" i="111"/>
  <c r="CR563" i="111"/>
  <c r="CM258" i="112"/>
  <c r="AF7" i="11"/>
  <c r="CO108" i="112"/>
  <c r="CO250" i="112" s="1"/>
  <c r="CO114" i="112"/>
  <c r="CO253" i="112"/>
  <c r="CN7" i="4"/>
  <c r="CN58" i="112"/>
  <c r="CN39" i="112"/>
  <c r="CL54" i="2"/>
  <c r="CL50" i="2"/>
  <c r="CL6" i="4"/>
  <c r="CP490" i="111"/>
  <c r="CP489" i="111"/>
  <c r="CN226" i="112"/>
  <c r="CO53" i="112"/>
  <c r="CO260" i="112"/>
  <c r="CO261" i="112" s="1"/>
  <c r="CN250" i="112"/>
  <c r="CN265" i="112" s="1"/>
  <c r="CO170" i="112"/>
  <c r="CO189" i="112"/>
  <c r="AF40" i="11" s="1"/>
  <c r="CO193" i="112"/>
  <c r="CQ198" i="112"/>
  <c r="CP232" i="112"/>
  <c r="CQ150" i="112"/>
  <c r="CQ152" i="112" s="1"/>
  <c r="CQ203" i="112" s="1"/>
  <c r="CS438" i="111"/>
  <c r="CS439" i="111" s="1"/>
  <c r="CK239" i="112"/>
  <c r="CK15" i="2"/>
  <c r="CK8" i="2"/>
  <c r="CK19" i="2"/>
  <c r="CK10" i="4"/>
  <c r="CK11" i="4" s="1"/>
  <c r="CL30" i="4"/>
  <c r="CJ111" i="4"/>
  <c r="CN264" i="112"/>
  <c r="CP200" i="112"/>
  <c r="CP192" i="112" s="1"/>
  <c r="BM38" i="4"/>
  <c r="CP83" i="112"/>
  <c r="CN254" i="112"/>
  <c r="CN255" i="112"/>
  <c r="CN26" i="112"/>
  <c r="CR44" i="112"/>
  <c r="CR46" i="112" s="1"/>
  <c r="CQ18" i="112"/>
  <c r="CQ20" i="112" s="1"/>
  <c r="CN154" i="112"/>
  <c r="CN171" i="112"/>
  <c r="CR195" i="112"/>
  <c r="CO38" i="112"/>
  <c r="CO42" i="112"/>
  <c r="CO25" i="112"/>
  <c r="CL288" i="112" l="1"/>
  <c r="CM29" i="4"/>
  <c r="CM165" i="2"/>
  <c r="CM162" i="2" s="1"/>
  <c r="AE62" i="11"/>
  <c r="CP156" i="112"/>
  <c r="CJ15" i="4"/>
  <c r="CM305" i="112"/>
  <c r="CM124" i="112" s="1"/>
  <c r="CL14" i="4"/>
  <c r="CL18" i="4" s="1"/>
  <c r="CK288" i="112"/>
  <c r="CS481" i="111" s="1"/>
  <c r="CK14" i="4"/>
  <c r="AE63" i="11" s="1"/>
  <c r="AE64" i="11" s="1"/>
  <c r="CO265" i="112"/>
  <c r="CJ28" i="2"/>
  <c r="CK16" i="4"/>
  <c r="W66" i="27"/>
  <c r="AE157" i="11"/>
  <c r="V137" i="27"/>
  <c r="CJ20" i="4"/>
  <c r="CJ21" i="4" s="1"/>
  <c r="AD62" i="76"/>
  <c r="AD64" i="76"/>
  <c r="AD63" i="76"/>
  <c r="AD80" i="11"/>
  <c r="AM72" i="11"/>
  <c r="AB275" i="111"/>
  <c r="AB19" i="76"/>
  <c r="AC850" i="111"/>
  <c r="AB179" i="11"/>
  <c r="AB22" i="76"/>
  <c r="CM534" i="111"/>
  <c r="CL534" i="111"/>
  <c r="CN534" i="111"/>
  <c r="X73" i="27"/>
  <c r="X77" i="27" s="1"/>
  <c r="CN488" i="111"/>
  <c r="CL488" i="111"/>
  <c r="CM488" i="111"/>
  <c r="CK300" i="112"/>
  <c r="CK224" i="8" s="1"/>
  <c r="CK26" i="2"/>
  <c r="CK28" i="2" s="1"/>
  <c r="CO154" i="112"/>
  <c r="CN245" i="112"/>
  <c r="CN247" i="112" s="1"/>
  <c r="CP263" i="112"/>
  <c r="CP264" i="112" s="1"/>
  <c r="CQ49" i="112"/>
  <c r="CQ41" i="112" s="1"/>
  <c r="CK13" i="4"/>
  <c r="CK12" i="4"/>
  <c r="CS477" i="111" s="1"/>
  <c r="CS478" i="111" s="1"/>
  <c r="CJ112" i="4"/>
  <c r="CP116" i="112"/>
  <c r="CP108" i="112" s="1"/>
  <c r="CP250" i="112" s="1"/>
  <c r="CO105" i="112"/>
  <c r="CO245" i="112" s="1"/>
  <c r="CO109" i="112"/>
  <c r="CP229" i="112"/>
  <c r="CP33" i="2" s="1"/>
  <c r="CP32" i="2" s="1"/>
  <c r="CL16" i="4"/>
  <c r="CL300" i="112"/>
  <c r="CL224" i="8" s="1"/>
  <c r="CN26" i="4"/>
  <c r="CN164" i="112"/>
  <c r="CQ76" i="112"/>
  <c r="CQ78" i="112" s="1"/>
  <c r="CQ79" i="112" s="1"/>
  <c r="CR81" i="112"/>
  <c r="CR83" i="112" s="1"/>
  <c r="CR145" i="2"/>
  <c r="CM94" i="112"/>
  <c r="CM95" i="112" s="1"/>
  <c r="CM93" i="112"/>
  <c r="CQ111" i="112"/>
  <c r="AF5" i="11"/>
  <c r="X134" i="27" s="1"/>
  <c r="CO226" i="112"/>
  <c r="CO7" i="4"/>
  <c r="CO58" i="112"/>
  <c r="CO39" i="112"/>
  <c r="BM37" i="4"/>
  <c r="CP170" i="112"/>
  <c r="CP189" i="112"/>
  <c r="CP193" i="112"/>
  <c r="CR150" i="112"/>
  <c r="CR152" i="112" s="1"/>
  <c r="CR203" i="112" s="1"/>
  <c r="CQ232" i="112"/>
  <c r="CQ234" i="112" s="1"/>
  <c r="CN25" i="4"/>
  <c r="CP225" i="112"/>
  <c r="CP230" i="112" s="1"/>
  <c r="CL17" i="2"/>
  <c r="CL83" i="4"/>
  <c r="CP38" i="112"/>
  <c r="CP42" i="112"/>
  <c r="CP25" i="112"/>
  <c r="CP158" i="112"/>
  <c r="CK21" i="2"/>
  <c r="CK85" i="4"/>
  <c r="AF28" i="11"/>
  <c r="CO8" i="4"/>
  <c r="CO207" i="112"/>
  <c r="CO190" i="112"/>
  <c r="CL12" i="4"/>
  <c r="CL13" i="4"/>
  <c r="AF38" i="11"/>
  <c r="CO534" i="111"/>
  <c r="CO533" i="111"/>
  <c r="CL303" i="112"/>
  <c r="AE204" i="111"/>
  <c r="AE209" i="111" s="1"/>
  <c r="CQ9" i="112"/>
  <c r="CR14" i="112"/>
  <c r="AF29" i="11"/>
  <c r="CL31" i="4"/>
  <c r="CR85" i="112"/>
  <c r="CR87" i="112" s="1"/>
  <c r="CR119" i="112" s="1"/>
  <c r="CR120" i="112" s="1"/>
  <c r="CL21" i="2"/>
  <c r="CL85" i="4"/>
  <c r="CP143" i="112"/>
  <c r="CP144" i="112" s="1"/>
  <c r="CT196" i="112" s="1"/>
  <c r="CQ533" i="111"/>
  <c r="CB39" i="2"/>
  <c r="CB107" i="4"/>
  <c r="AE201" i="111"/>
  <c r="AE216" i="111"/>
  <c r="CQ200" i="112"/>
  <c r="CQ192" i="112" s="1"/>
  <c r="AE199" i="111"/>
  <c r="AE214" i="111"/>
  <c r="AE200" i="111"/>
  <c r="CR198" i="112"/>
  <c r="CQ52" i="112"/>
  <c r="CQ55" i="112"/>
  <c r="CQ56" i="112" s="1"/>
  <c r="CQ204" i="112"/>
  <c r="CN251" i="112"/>
  <c r="CN269" i="112" s="1"/>
  <c r="CN257" i="112"/>
  <c r="CN258" i="112" s="1"/>
  <c r="CO26" i="112"/>
  <c r="CS44" i="112"/>
  <c r="CS46" i="112" s="1"/>
  <c r="CR18" i="112"/>
  <c r="CK10" i="2"/>
  <c r="CK70" i="4"/>
  <c r="CK112" i="4" s="1"/>
  <c r="CP233" i="112"/>
  <c r="CO257" i="112"/>
  <c r="CO258" i="112" s="1"/>
  <c r="CO251" i="112"/>
  <c r="CO269" i="112" s="1"/>
  <c r="CO488" i="111"/>
  <c r="CO490" i="111"/>
  <c r="CO489" i="111"/>
  <c r="CK123" i="4"/>
  <c r="AF17" i="11"/>
  <c r="CL10" i="2"/>
  <c r="CL70" i="4"/>
  <c r="CL26" i="2"/>
  <c r="CQ489" i="111"/>
  <c r="CQ490" i="111"/>
  <c r="CP53" i="112"/>
  <c r="CP260" i="112"/>
  <c r="CP261" i="112" s="1"/>
  <c r="CR491" i="111"/>
  <c r="CJ19" i="4"/>
  <c r="CK17" i="2"/>
  <c r="CK83" i="4"/>
  <c r="CO171" i="112"/>
  <c r="CS195" i="112"/>
  <c r="CO255" i="112"/>
  <c r="CO254" i="112"/>
  <c r="CR146" i="112"/>
  <c r="CR148" i="112" s="1"/>
  <c r="CQ141" i="112"/>
  <c r="CQ228" i="112"/>
  <c r="CN165" i="112"/>
  <c r="CP114" i="112"/>
  <c r="CP253" i="112"/>
  <c r="W46" i="27"/>
  <c r="CP155" i="112"/>
  <c r="CM6" i="2"/>
  <c r="CM11" i="2"/>
  <c r="CM71" i="4" s="1"/>
  <c r="CM5" i="4"/>
  <c r="CM238" i="112"/>
  <c r="CM239" i="112" s="1"/>
  <c r="CM246" i="112"/>
  <c r="CM308" i="112"/>
  <c r="CM43" i="4" s="1"/>
  <c r="CM241" i="112"/>
  <c r="CM242" i="112" s="1"/>
  <c r="CM283" i="112"/>
  <c r="CM35" i="2"/>
  <c r="CM31" i="2" s="1"/>
  <c r="CM42" i="2" s="1"/>
  <c r="CM119" i="4" s="1"/>
  <c r="CM293" i="112"/>
  <c r="CM22" i="4" s="1"/>
  <c r="CM290" i="112"/>
  <c r="CM247" i="112"/>
  <c r="CM27" i="4"/>
  <c r="CM31" i="4" s="1"/>
  <c r="CN9" i="4"/>
  <c r="CN92" i="112"/>
  <c r="CN123" i="112"/>
  <c r="CN305" i="112" s="1"/>
  <c r="CN59" i="112" s="1"/>
  <c r="CN106" i="112"/>
  <c r="CP234" i="112"/>
  <c r="CP157" i="112"/>
  <c r="AE130" i="11"/>
  <c r="CL111" i="4"/>
  <c r="X66" i="27" s="1"/>
  <c r="CQ116" i="112"/>
  <c r="CC44" i="2"/>
  <c r="CB74" i="4"/>
  <c r="AE206" i="111"/>
  <c r="AE211" i="111" s="1"/>
  <c r="CM306" i="112" l="1"/>
  <c r="CS563" i="111"/>
  <c r="W136" i="27"/>
  <c r="CM59" i="112"/>
  <c r="CM208" i="112"/>
  <c r="AE249" i="111"/>
  <c r="CL15" i="4"/>
  <c r="CK15" i="4"/>
  <c r="AE65" i="11" s="1"/>
  <c r="AF39" i="11"/>
  <c r="AF36" i="11" s="1"/>
  <c r="CK18" i="4"/>
  <c r="CK20" i="4"/>
  <c r="AE69" i="11" s="1"/>
  <c r="W9" i="27"/>
  <c r="CJ23" i="4"/>
  <c r="CJ24" i="4" s="1"/>
  <c r="CN290" i="112"/>
  <c r="CR537" i="111"/>
  <c r="CR538" i="111" s="1"/>
  <c r="CR539" i="111" s="1"/>
  <c r="CN35" i="2"/>
  <c r="CN31" i="2" s="1"/>
  <c r="CN42" i="2" s="1"/>
  <c r="CN119" i="4" s="1"/>
  <c r="CN123" i="4" s="1"/>
  <c r="CN11" i="2"/>
  <c r="CN71" i="4" s="1"/>
  <c r="AE897" i="111"/>
  <c r="CO164" i="112"/>
  <c r="CN6" i="2"/>
  <c r="CN69" i="4" s="1"/>
  <c r="CK27" i="2"/>
  <c r="AE183" i="11"/>
  <c r="CN283" i="112"/>
  <c r="CN8" i="2" s="1"/>
  <c r="AD250" i="111"/>
  <c r="CB33" i="4"/>
  <c r="CN165" i="2"/>
  <c r="CN162" i="2" s="1"/>
  <c r="AD71" i="76"/>
  <c r="AD66" i="76"/>
  <c r="AD53" i="76" s="1"/>
  <c r="CM123" i="4"/>
  <c r="Y73" i="27"/>
  <c r="Y77" i="27" s="1"/>
  <c r="CN241" i="112"/>
  <c r="CN242" i="112" s="1"/>
  <c r="W67" i="27"/>
  <c r="AB279" i="111"/>
  <c r="AB276" i="111"/>
  <c r="CN30" i="4"/>
  <c r="AB26" i="76"/>
  <c r="AB394" i="111"/>
  <c r="AE28" i="76"/>
  <c r="AE181" i="11"/>
  <c r="CO165" i="112"/>
  <c r="CL20" i="4"/>
  <c r="CN246" i="112"/>
  <c r="CN308" i="112"/>
  <c r="CN43" i="4" s="1"/>
  <c r="CN238" i="112"/>
  <c r="CN239" i="112" s="1"/>
  <c r="CN293" i="112"/>
  <c r="CN22" i="4" s="1"/>
  <c r="CN5" i="4"/>
  <c r="CN50" i="2" s="1"/>
  <c r="CQ263" i="112"/>
  <c r="CQ264" i="112" s="1"/>
  <c r="CM287" i="112"/>
  <c r="CM14" i="4" s="1"/>
  <c r="CQ155" i="112"/>
  <c r="CP251" i="112"/>
  <c r="CP269" i="112" s="1"/>
  <c r="CP257" i="112"/>
  <c r="CP258" i="112" s="1"/>
  <c r="CP265" i="112"/>
  <c r="CM8" i="2"/>
  <c r="CM19" i="2"/>
  <c r="CM15" i="2"/>
  <c r="CM10" i="4"/>
  <c r="CM11" i="4" s="1"/>
  <c r="BU545" i="111"/>
  <c r="Y92" i="11"/>
  <c r="BM44" i="4"/>
  <c r="CO25" i="4"/>
  <c r="CO29" i="4" s="1"/>
  <c r="CN208" i="112"/>
  <c r="CL113" i="4"/>
  <c r="CP8" i="4"/>
  <c r="CP207" i="112"/>
  <c r="CP190" i="112"/>
  <c r="AE332" i="111"/>
  <c r="AE382" i="111"/>
  <c r="AE333" i="111"/>
  <c r="W44" i="27"/>
  <c r="CP254" i="112"/>
  <c r="CP255" i="112"/>
  <c r="CQ229" i="112"/>
  <c r="CQ33" i="2" s="1"/>
  <c r="CQ32" i="2" s="1"/>
  <c r="CL115" i="4"/>
  <c r="CP26" i="112"/>
  <c r="CT44" i="112"/>
  <c r="CT46" i="112" s="1"/>
  <c r="CP226" i="112"/>
  <c r="CQ233" i="112"/>
  <c r="CO9" i="4"/>
  <c r="CO92" i="112"/>
  <c r="CO123" i="112"/>
  <c r="CO305" i="112" s="1"/>
  <c r="CO106" i="112"/>
  <c r="CC45" i="2"/>
  <c r="CC38" i="2"/>
  <c r="AE136" i="11"/>
  <c r="CK113" i="4"/>
  <c r="CO26" i="4"/>
  <c r="CO30" i="4" s="1"/>
  <c r="CQ260" i="112"/>
  <c r="CQ261" i="112" s="1"/>
  <c r="CQ53" i="112"/>
  <c r="CM302" i="112"/>
  <c r="CL19" i="4"/>
  <c r="CP154" i="112"/>
  <c r="CN29" i="4"/>
  <c r="CR204" i="112"/>
  <c r="CP171" i="112"/>
  <c r="CT195" i="112"/>
  <c r="CO11" i="2"/>
  <c r="CO71" i="4" s="1"/>
  <c r="CO6" i="2"/>
  <c r="CO35" i="2"/>
  <c r="CO31" i="2" s="1"/>
  <c r="CO42" i="2" s="1"/>
  <c r="CO119" i="4" s="1"/>
  <c r="CO123" i="4" s="1"/>
  <c r="CO5" i="4"/>
  <c r="CO238" i="112"/>
  <c r="CO239" i="112" s="1"/>
  <c r="CO246" i="112"/>
  <c r="CO241" i="112"/>
  <c r="CO242" i="112" s="1"/>
  <c r="CO283" i="112"/>
  <c r="CO290" i="112"/>
  <c r="CO293" i="112"/>
  <c r="CO22" i="4" s="1"/>
  <c r="CO308" i="112"/>
  <c r="CO43" i="4" s="1"/>
  <c r="AF26" i="11"/>
  <c r="CS145" i="2"/>
  <c r="CC41" i="2"/>
  <c r="CR200" i="112"/>
  <c r="CR192" i="112" s="1"/>
  <c r="CQ157" i="112"/>
  <c r="CN94" i="112"/>
  <c r="CN95" i="112" s="1"/>
  <c r="CN93" i="112"/>
  <c r="CR111" i="112"/>
  <c r="CP105" i="112"/>
  <c r="CP245" i="112" s="1"/>
  <c r="CP109" i="112"/>
  <c r="CQ225" i="112"/>
  <c r="CQ230" i="112" s="1"/>
  <c r="CQ11" i="112"/>
  <c r="CQ12" i="112" s="1"/>
  <c r="CM299" i="112"/>
  <c r="AE138" i="11"/>
  <c r="CK115" i="4"/>
  <c r="CP7" i="4"/>
  <c r="CP58" i="112"/>
  <c r="CP39" i="112"/>
  <c r="CQ143" i="112"/>
  <c r="CQ144" i="112" s="1"/>
  <c r="CU196" i="112" s="1"/>
  <c r="CS150" i="112"/>
  <c r="CS152" i="112" s="1"/>
  <c r="CS203" i="112" s="1"/>
  <c r="CR232" i="112"/>
  <c r="CO247" i="112"/>
  <c r="X98" i="27"/>
  <c r="X133" i="27"/>
  <c r="CR116" i="112"/>
  <c r="CQ156" i="112"/>
  <c r="CS18" i="112"/>
  <c r="CS20" i="112" s="1"/>
  <c r="CQ189" i="112"/>
  <c r="CQ193" i="112"/>
  <c r="CQ170" i="112"/>
  <c r="CS14" i="112"/>
  <c r="CS16" i="112" s="1"/>
  <c r="CR9" i="112"/>
  <c r="CR11" i="112" s="1"/>
  <c r="CR12" i="112" s="1"/>
  <c r="CL27" i="2"/>
  <c r="CL28" i="2"/>
  <c r="CS85" i="112"/>
  <c r="CS87" i="112" s="1"/>
  <c r="CS119" i="112" s="1"/>
  <c r="CS120" i="112" s="1"/>
  <c r="CQ158" i="112"/>
  <c r="CN306" i="112"/>
  <c r="CN27" i="4"/>
  <c r="CN31" i="4" s="1"/>
  <c r="CN124" i="112"/>
  <c r="CM50" i="2"/>
  <c r="CM54" i="2"/>
  <c r="CM6" i="4"/>
  <c r="CM69" i="4"/>
  <c r="CS146" i="112"/>
  <c r="CS148" i="112" s="1"/>
  <c r="CR141" i="112"/>
  <c r="CR228" i="112"/>
  <c r="CS198" i="112"/>
  <c r="AE131" i="11"/>
  <c r="CL112" i="4"/>
  <c r="CR20" i="112"/>
  <c r="CR16" i="112"/>
  <c r="CQ108" i="112"/>
  <c r="CQ114" i="112"/>
  <c r="CQ253" i="112"/>
  <c r="CR76" i="112"/>
  <c r="CS81" i="112"/>
  <c r="CS83" i="112" s="1"/>
  <c r="CQ38" i="112"/>
  <c r="CQ42" i="112"/>
  <c r="CQ25" i="112"/>
  <c r="AF27" i="11" l="1"/>
  <c r="CK23" i="4"/>
  <c r="CK28" i="4" s="1"/>
  <c r="CS532" i="111" s="1"/>
  <c r="CK21" i="4"/>
  <c r="CK19" i="4"/>
  <c r="CS491" i="111"/>
  <c r="AE67" i="11"/>
  <c r="CR487" i="111"/>
  <c r="CR490" i="111" s="1"/>
  <c r="CJ28" i="4"/>
  <c r="CR532" i="111" s="1"/>
  <c r="CR533" i="111" s="1"/>
  <c r="AE66" i="11"/>
  <c r="CS537" i="111"/>
  <c r="CS538" i="111" s="1"/>
  <c r="CS539" i="111" s="1"/>
  <c r="AF73" i="11"/>
  <c r="AF81" i="11" s="1"/>
  <c r="CO165" i="2"/>
  <c r="CO162" i="2" s="1"/>
  <c r="AE182" i="11"/>
  <c r="AE184" i="11"/>
  <c r="CN287" i="112"/>
  <c r="CN14" i="4" s="1"/>
  <c r="CN302" i="112"/>
  <c r="CN303" i="112" s="1"/>
  <c r="Z73" i="27"/>
  <c r="Z77" i="27" s="1"/>
  <c r="CN10" i="4"/>
  <c r="CN11" i="4" s="1"/>
  <c r="CN12" i="4" s="1"/>
  <c r="CN299" i="112"/>
  <c r="CN15" i="2"/>
  <c r="CN83" i="4" s="1"/>
  <c r="CN19" i="2"/>
  <c r="CN85" i="4" s="1"/>
  <c r="AF25" i="11"/>
  <c r="X135" i="27" s="1"/>
  <c r="CM288" i="112"/>
  <c r="CL21" i="4"/>
  <c r="CM296" i="112"/>
  <c r="CM297" i="112" s="1"/>
  <c r="AF95" i="11"/>
  <c r="CL23" i="4"/>
  <c r="CL24" i="4" s="1"/>
  <c r="AE154" i="11"/>
  <c r="AF71" i="11"/>
  <c r="AF60" i="11"/>
  <c r="X7" i="27" s="1"/>
  <c r="AF157" i="11"/>
  <c r="AF181" i="11" s="1"/>
  <c r="X70" i="27"/>
  <c r="W70" i="27"/>
  <c r="W68" i="27"/>
  <c r="X68" i="27"/>
  <c r="W29" i="27"/>
  <c r="AE72" i="11"/>
  <c r="AE70" i="11"/>
  <c r="X67" i="27"/>
  <c r="AF75" i="11"/>
  <c r="AF83" i="11" s="1"/>
  <c r="AF94" i="11"/>
  <c r="X14" i="27" s="1"/>
  <c r="CP165" i="112"/>
  <c r="CM26" i="2"/>
  <c r="CM28" i="2" s="1"/>
  <c r="CN6" i="4"/>
  <c r="CN54" i="2"/>
  <c r="CQ154" i="112"/>
  <c r="CP164" i="112"/>
  <c r="CO299" i="112"/>
  <c r="CO302" i="112"/>
  <c r="CO306" i="112"/>
  <c r="CO59" i="112"/>
  <c r="CO208" i="112"/>
  <c r="CS116" i="112"/>
  <c r="CM12" i="4"/>
  <c r="CM18" i="4"/>
  <c r="CM13" i="4"/>
  <c r="CQ7" i="4"/>
  <c r="CQ39" i="112"/>
  <c r="CQ58" i="112"/>
  <c r="CR49" i="112"/>
  <c r="CR41" i="112" s="1"/>
  <c r="CS204" i="112"/>
  <c r="CO15" i="2"/>
  <c r="CO8" i="2"/>
  <c r="CO19" i="2"/>
  <c r="CO10" i="4"/>
  <c r="CO11" i="4" s="1"/>
  <c r="CO50" i="2"/>
  <c r="CO54" i="2"/>
  <c r="CO6" i="4"/>
  <c r="CM303" i="112"/>
  <c r="CO94" i="112"/>
  <c r="CO95" i="112" s="1"/>
  <c r="CO93" i="112"/>
  <c r="CS111" i="112"/>
  <c r="CM10" i="2"/>
  <c r="CM70" i="4"/>
  <c r="CR158" i="112"/>
  <c r="CR225" i="112"/>
  <c r="CR230" i="112" s="1"/>
  <c r="AG10" i="11"/>
  <c r="AG18" i="11" s="1"/>
  <c r="CT14" i="112"/>
  <c r="CT16" i="112" s="1"/>
  <c r="CT49" i="112" s="1"/>
  <c r="CT41" i="112" s="1"/>
  <c r="CS9" i="112"/>
  <c r="CS11" i="112" s="1"/>
  <c r="CS12" i="112" s="1"/>
  <c r="AG14" i="11"/>
  <c r="CT18" i="112"/>
  <c r="CT20" i="112" s="1"/>
  <c r="CR233" i="112"/>
  <c r="CP11" i="2"/>
  <c r="CP71" i="4" s="1"/>
  <c r="CP6" i="2"/>
  <c r="CP35" i="2"/>
  <c r="CP31" i="2" s="1"/>
  <c r="CP42" i="2" s="1"/>
  <c r="CP119" i="4" s="1"/>
  <c r="CP5" i="4"/>
  <c r="CP241" i="112"/>
  <c r="CP242" i="112" s="1"/>
  <c r="CP238" i="112"/>
  <c r="CP239" i="112" s="1"/>
  <c r="CP246" i="112"/>
  <c r="CP283" i="112"/>
  <c r="CP290" i="112"/>
  <c r="CP293" i="112"/>
  <c r="CP22" i="4" s="1"/>
  <c r="CP308" i="112"/>
  <c r="CP43" i="4" s="1"/>
  <c r="CR143" i="112"/>
  <c r="CR144" i="112" s="1"/>
  <c r="CV196" i="112" s="1"/>
  <c r="CR78" i="112"/>
  <c r="CR79" i="112" s="1"/>
  <c r="Y96" i="11"/>
  <c r="Q13" i="27"/>
  <c r="AF12" i="76"/>
  <c r="AF37" i="11"/>
  <c r="X6" i="27"/>
  <c r="CS49" i="112"/>
  <c r="CS41" i="112" s="1"/>
  <c r="AG12" i="11"/>
  <c r="CT146" i="112"/>
  <c r="CT148" i="112" s="1"/>
  <c r="CT200" i="112" s="1"/>
  <c r="CT192" i="112" s="1"/>
  <c r="CS141" i="112"/>
  <c r="CS143" i="112" s="1"/>
  <c r="CS144" i="112" s="1"/>
  <c r="CW196" i="112" s="1"/>
  <c r="CS228" i="112"/>
  <c r="AG15" i="11"/>
  <c r="CT85" i="112"/>
  <c r="CT87" i="112" s="1"/>
  <c r="CT119" i="112" s="1"/>
  <c r="CT120" i="112" s="1"/>
  <c r="CQ171" i="112"/>
  <c r="CU195" i="112"/>
  <c r="CR155" i="112"/>
  <c r="AG16" i="11"/>
  <c r="CT150" i="112"/>
  <c r="CT152" i="112" s="1"/>
  <c r="CT203" i="112" s="1"/>
  <c r="CS232" i="112"/>
  <c r="CS234" i="112" s="1"/>
  <c r="CP25" i="4"/>
  <c r="CR114" i="112"/>
  <c r="CR108" i="112"/>
  <c r="CR253" i="112"/>
  <c r="CO69" i="4"/>
  <c r="CO111" i="4" s="1"/>
  <c r="CN10" i="2"/>
  <c r="CN70" i="4"/>
  <c r="AE384" i="111"/>
  <c r="W45" i="27"/>
  <c r="CS52" i="112"/>
  <c r="CS55" i="112"/>
  <c r="CS56" i="112" s="1"/>
  <c r="CQ105" i="112"/>
  <c r="CQ109" i="112"/>
  <c r="CR52" i="112"/>
  <c r="CR55" i="112"/>
  <c r="CN111" i="4"/>
  <c r="CM111" i="4"/>
  <c r="CQ250" i="112"/>
  <c r="CR156" i="112"/>
  <c r="CP247" i="112"/>
  <c r="CM16" i="4"/>
  <c r="CM20" i="4" s="1"/>
  <c r="CM300" i="112"/>
  <c r="CM224" i="8" s="1"/>
  <c r="CP9" i="4"/>
  <c r="CP92" i="112"/>
  <c r="CP123" i="112"/>
  <c r="CP106" i="112"/>
  <c r="AF132" i="11"/>
  <c r="X46" i="27" s="1"/>
  <c r="CP26" i="4"/>
  <c r="CS200" i="112"/>
  <c r="CS192" i="112" s="1"/>
  <c r="CQ255" i="112"/>
  <c r="CQ254" i="112"/>
  <c r="CR229" i="112"/>
  <c r="CR33" i="2" s="1"/>
  <c r="CR32" i="2" s="1"/>
  <c r="CQ26" i="112"/>
  <c r="CU44" i="112"/>
  <c r="CU46" i="112" s="1"/>
  <c r="AG11" i="11"/>
  <c r="AG19" i="11" s="1"/>
  <c r="CT81" i="112"/>
  <c r="CT83" i="112" s="1"/>
  <c r="CS76" i="112"/>
  <c r="CD44" i="2"/>
  <c r="CD41" i="2" s="1"/>
  <c r="CC74" i="4"/>
  <c r="CC39" i="2"/>
  <c r="CC107" i="4"/>
  <c r="CM17" i="2"/>
  <c r="CM83" i="4"/>
  <c r="CM113" i="4" s="1"/>
  <c r="CQ8" i="4"/>
  <c r="CQ190" i="112"/>
  <c r="CQ207" i="112"/>
  <c r="CQ226" i="112"/>
  <c r="CR157" i="112"/>
  <c r="CR189" i="112"/>
  <c r="CR193" i="112"/>
  <c r="CR170" i="112"/>
  <c r="CT145" i="2"/>
  <c r="CO287" i="112"/>
  <c r="CO296" i="112" s="1"/>
  <c r="CO297" i="112" s="1"/>
  <c r="CT198" i="112"/>
  <c r="W50" i="27"/>
  <c r="CO27" i="4"/>
  <c r="CO31" i="4" s="1"/>
  <c r="CO124" i="112"/>
  <c r="CR234" i="112"/>
  <c r="BM312" i="112"/>
  <c r="BM314" i="112"/>
  <c r="CM21" i="2"/>
  <c r="CM85" i="4"/>
  <c r="CM115" i="4" s="1"/>
  <c r="Y70" i="27" s="1"/>
  <c r="CS487" i="111" l="1"/>
  <c r="CP488" i="111" s="1"/>
  <c r="CK24" i="4"/>
  <c r="CR489" i="111"/>
  <c r="CN300" i="112"/>
  <c r="CN224" i="8" s="1"/>
  <c r="CN16" i="4"/>
  <c r="CN20" i="4" s="1"/>
  <c r="AE68" i="11"/>
  <c r="X8" i="27"/>
  <c r="AF61" i="11"/>
  <c r="AF62" i="11" s="1"/>
  <c r="X136" i="27" s="1"/>
  <c r="W10" i="27"/>
  <c r="W126" i="27" s="1"/>
  <c r="CP534" i="111"/>
  <c r="CN296" i="112"/>
  <c r="CN297" i="112" s="1"/>
  <c r="CN288" i="112"/>
  <c r="CL28" i="4"/>
  <c r="CN17" i="2"/>
  <c r="CP165" i="2"/>
  <c r="CP162" i="2" s="1"/>
  <c r="CO26" i="2"/>
  <c r="AF183" i="11" s="1"/>
  <c r="CN21" i="2"/>
  <c r="CN26" i="2"/>
  <c r="CN28" i="2" s="1"/>
  <c r="CN18" i="4"/>
  <c r="CN19" i="4" s="1"/>
  <c r="CN13" i="4"/>
  <c r="CQ165" i="112"/>
  <c r="CQ164" i="112"/>
  <c r="CS156" i="112"/>
  <c r="CM27" i="2"/>
  <c r="CR534" i="111"/>
  <c r="CM15" i="4"/>
  <c r="CT116" i="112"/>
  <c r="AE27" i="76"/>
  <c r="CC33" i="4"/>
  <c r="AC152" i="11"/>
  <c r="U62" i="27"/>
  <c r="Y68" i="27"/>
  <c r="AF28" i="76"/>
  <c r="Y66" i="27"/>
  <c r="Z66" i="27"/>
  <c r="W137" i="27"/>
  <c r="CQ534" i="111"/>
  <c r="BM311" i="112"/>
  <c r="AE80" i="11"/>
  <c r="AE63" i="76"/>
  <c r="AE62" i="76"/>
  <c r="AE64" i="76"/>
  <c r="CP287" i="112"/>
  <c r="CP14" i="4" s="1"/>
  <c r="CM21" i="4"/>
  <c r="CM23" i="4"/>
  <c r="CO13" i="4"/>
  <c r="CO12" i="4"/>
  <c r="CD45" i="2"/>
  <c r="CD38" i="2"/>
  <c r="CP27" i="4"/>
  <c r="CS53" i="112"/>
  <c r="CS260" i="112"/>
  <c r="CS261" i="112" s="1"/>
  <c r="AF130" i="11"/>
  <c r="X44" i="27" s="1"/>
  <c r="CP305" i="112"/>
  <c r="CP124" i="112" s="1"/>
  <c r="CS25" i="112"/>
  <c r="CS38" i="112"/>
  <c r="CS42" i="112"/>
  <c r="AG6" i="11"/>
  <c r="CS158" i="112"/>
  <c r="CO17" i="2"/>
  <c r="CO83" i="4"/>
  <c r="CR8" i="4"/>
  <c r="CR207" i="112"/>
  <c r="CR190" i="112"/>
  <c r="CT170" i="112"/>
  <c r="CT171" i="112" s="1"/>
  <c r="CT193" i="112"/>
  <c r="CT189" i="112"/>
  <c r="CS534" i="111"/>
  <c r="CS533" i="111"/>
  <c r="CE44" i="2"/>
  <c r="CE41" i="2" s="1"/>
  <c r="CD74" i="4"/>
  <c r="AG7" i="11"/>
  <c r="CP93" i="112"/>
  <c r="CP94" i="112"/>
  <c r="CP95" i="112" s="1"/>
  <c r="CT111" i="112"/>
  <c r="CR255" i="112"/>
  <c r="CR254" i="112"/>
  <c r="CS155" i="112"/>
  <c r="AG9" i="11"/>
  <c r="CS229" i="112"/>
  <c r="CS33" i="2" s="1"/>
  <c r="CS32" i="2" s="1"/>
  <c r="Q15" i="27"/>
  <c r="CT25" i="112"/>
  <c r="CT26" i="112" s="1"/>
  <c r="CT42" i="112"/>
  <c r="CQ25" i="4"/>
  <c r="CQ29" i="4" s="1"/>
  <c r="CO303" i="112"/>
  <c r="CQ26" i="4"/>
  <c r="CQ30" i="4" s="1"/>
  <c r="CS189" i="112"/>
  <c r="AG40" i="11" s="1"/>
  <c r="CS193" i="112"/>
  <c r="CS170" i="112"/>
  <c r="CR56" i="112"/>
  <c r="CR263" i="112"/>
  <c r="CR105" i="112"/>
  <c r="CR109" i="112"/>
  <c r="CP29" i="4"/>
  <c r="CU198" i="112"/>
  <c r="AG8" i="11"/>
  <c r="CS225" i="112"/>
  <c r="CS230" i="112" s="1"/>
  <c r="CP50" i="2"/>
  <c r="CP54" i="2"/>
  <c r="CP6" i="4"/>
  <c r="CU14" i="112"/>
  <c r="CU16" i="112" s="1"/>
  <c r="CU49" i="112" s="1"/>
  <c r="CU41" i="112" s="1"/>
  <c r="CT9" i="112"/>
  <c r="CT11" i="112" s="1"/>
  <c r="CT12" i="112" s="1"/>
  <c r="CR226" i="112"/>
  <c r="CS78" i="112"/>
  <c r="CS79" i="112" s="1"/>
  <c r="CS108" i="112"/>
  <c r="CS250" i="112" s="1"/>
  <c r="CS114" i="112"/>
  <c r="CS253" i="112"/>
  <c r="CO16" i="4"/>
  <c r="CO300" i="112"/>
  <c r="CO224" i="8" s="1"/>
  <c r="CU145" i="2"/>
  <c r="CS157" i="112"/>
  <c r="CQ9" i="4"/>
  <c r="CQ106" i="112"/>
  <c r="CQ92" i="112"/>
  <c r="CQ123" i="112"/>
  <c r="CO14" i="4"/>
  <c r="AF63" i="11" s="1"/>
  <c r="CO288" i="112"/>
  <c r="CR250" i="112"/>
  <c r="CU81" i="112"/>
  <c r="CU83" i="112" s="1"/>
  <c r="CT76" i="112"/>
  <c r="CT78" i="112" s="1"/>
  <c r="CT79" i="112" s="1"/>
  <c r="CP30" i="4"/>
  <c r="CQ251" i="112"/>
  <c r="CQ269" i="112" s="1"/>
  <c r="CQ257" i="112"/>
  <c r="CQ258" i="112" s="1"/>
  <c r="CQ265" i="112"/>
  <c r="CR260" i="112"/>
  <c r="CR261" i="112" s="1"/>
  <c r="CR53" i="112"/>
  <c r="AG13" i="11"/>
  <c r="CS233" i="112"/>
  <c r="CT141" i="112"/>
  <c r="CT143" i="112" s="1"/>
  <c r="CT144" i="112" s="1"/>
  <c r="CT228" i="112"/>
  <c r="CU146" i="112"/>
  <c r="CP123" i="4"/>
  <c r="CT52" i="112"/>
  <c r="CT55" i="112"/>
  <c r="CT56" i="112" s="1"/>
  <c r="CR154" i="112"/>
  <c r="CN112" i="4"/>
  <c r="CM112" i="4"/>
  <c r="CS263" i="112"/>
  <c r="CQ245" i="112"/>
  <c r="CR171" i="112"/>
  <c r="CV195" i="112"/>
  <c r="AC124" i="11"/>
  <c r="CT232" i="112"/>
  <c r="CT234" i="112" s="1"/>
  <c r="CU150" i="112"/>
  <c r="CU152" i="112" s="1"/>
  <c r="CU203" i="112" s="1"/>
  <c r="CN115" i="4"/>
  <c r="Z70" i="27" s="1"/>
  <c r="CP15" i="2"/>
  <c r="CP8" i="2"/>
  <c r="CP19" i="2"/>
  <c r="CP10" i="4"/>
  <c r="CP11" i="4" s="1"/>
  <c r="CP69" i="4"/>
  <c r="CU18" i="112"/>
  <c r="CU20" i="112" s="1"/>
  <c r="CO21" i="2"/>
  <c r="CO85" i="4"/>
  <c r="CM19" i="4"/>
  <c r="AF74" i="11"/>
  <c r="CT204" i="112"/>
  <c r="CU85" i="112"/>
  <c r="CU87" i="112" s="1"/>
  <c r="CU119" i="112" s="1"/>
  <c r="CU120" i="112" s="1"/>
  <c r="AG20" i="11"/>
  <c r="CN113" i="4"/>
  <c r="Z68" i="27" s="1"/>
  <c r="CO10" i="2"/>
  <c r="CO70" i="4"/>
  <c r="CO112" i="4" s="1"/>
  <c r="CR38" i="112"/>
  <c r="CR42" i="112"/>
  <c r="CR25" i="112"/>
  <c r="CR488" i="111" l="1"/>
  <c r="CS490" i="111"/>
  <c r="CS488" i="111"/>
  <c r="CS489" i="111"/>
  <c r="CQ488" i="111"/>
  <c r="CN15" i="4"/>
  <c r="CO28" i="2"/>
  <c r="CQ165" i="2"/>
  <c r="CQ162" i="2" s="1"/>
  <c r="CN27" i="2"/>
  <c r="CO27" i="2"/>
  <c r="BM315" i="112"/>
  <c r="CU116" i="112"/>
  <c r="CP288" i="112"/>
  <c r="CP296" i="112"/>
  <c r="CP297" i="112" s="1"/>
  <c r="BM45" i="4"/>
  <c r="Y97" i="11" s="1"/>
  <c r="AF64" i="11"/>
  <c r="X9" i="27"/>
  <c r="AC89" i="11"/>
  <c r="AE71" i="76"/>
  <c r="AE66" i="76"/>
  <c r="AE53" i="76" s="1"/>
  <c r="Z67" i="27"/>
  <c r="Y67" i="27"/>
  <c r="AE250" i="111"/>
  <c r="CP26" i="2"/>
  <c r="CP27" i="2" s="1"/>
  <c r="CO15" i="4"/>
  <c r="CT263" i="112"/>
  <c r="CT264" i="112" s="1"/>
  <c r="CP18" i="4"/>
  <c r="CP13" i="4"/>
  <c r="CP12" i="4"/>
  <c r="CT157" i="112"/>
  <c r="CU42" i="112"/>
  <c r="CU25" i="112"/>
  <c r="CU26" i="112" s="1"/>
  <c r="CR264" i="112"/>
  <c r="CR265" i="112"/>
  <c r="CS257" i="112"/>
  <c r="CS258" i="112" s="1"/>
  <c r="CS251" i="112"/>
  <c r="CS269" i="112" s="1"/>
  <c r="CR165" i="112"/>
  <c r="CR26" i="112"/>
  <c r="CV44" i="112"/>
  <c r="CV46" i="112" s="1"/>
  <c r="CV18" i="112"/>
  <c r="CV20" i="112" s="1"/>
  <c r="CP17" i="2"/>
  <c r="CP83" i="4"/>
  <c r="CP113" i="4" s="1"/>
  <c r="CQ11" i="2"/>
  <c r="CQ71" i="4" s="1"/>
  <c r="CQ6" i="2"/>
  <c r="CQ5" i="4"/>
  <c r="CQ241" i="112"/>
  <c r="CQ242" i="112" s="1"/>
  <c r="CQ246" i="112"/>
  <c r="CQ308" i="112"/>
  <c r="CQ43" i="4" s="1"/>
  <c r="CQ238" i="112"/>
  <c r="CQ239" i="112" s="1"/>
  <c r="CQ283" i="112"/>
  <c r="CQ35" i="2"/>
  <c r="CQ31" i="2" s="1"/>
  <c r="CQ42" i="2" s="1"/>
  <c r="CQ119" i="4" s="1"/>
  <c r="CQ293" i="112"/>
  <c r="CQ22" i="4" s="1"/>
  <c r="CQ290" i="112"/>
  <c r="CQ247" i="112"/>
  <c r="CT53" i="112"/>
  <c r="CT260" i="112"/>
  <c r="CT261" i="112" s="1"/>
  <c r="CV85" i="112"/>
  <c r="CV87" i="112" s="1"/>
  <c r="CV119" i="112" s="1"/>
  <c r="CV120" i="112" s="1"/>
  <c r="CU232" i="112"/>
  <c r="CU234" i="112" s="1"/>
  <c r="CV150" i="112"/>
  <c r="CV152" i="112" s="1"/>
  <c r="CV203" i="112" s="1"/>
  <c r="CS265" i="112"/>
  <c r="CS264" i="112"/>
  <c r="CQ93" i="112"/>
  <c r="CQ94" i="112"/>
  <c r="CQ95" i="112" s="1"/>
  <c r="CU111" i="112"/>
  <c r="CV145" i="2"/>
  <c r="CU9" i="112"/>
  <c r="CU11" i="112" s="1"/>
  <c r="CU12" i="112" s="1"/>
  <c r="CV14" i="112"/>
  <c r="CV16" i="112" s="1"/>
  <c r="CV49" i="112" s="1"/>
  <c r="AG5" i="11"/>
  <c r="Y134" i="27" s="1"/>
  <c r="CS226" i="112"/>
  <c r="CS171" i="112"/>
  <c r="CW195" i="112"/>
  <c r="CN21" i="4"/>
  <c r="CN23" i="4"/>
  <c r="AG29" i="11"/>
  <c r="CR26" i="4"/>
  <c r="CR30" i="4" s="1"/>
  <c r="CS7" i="4"/>
  <c r="CS39" i="112"/>
  <c r="CS58" i="112"/>
  <c r="CM28" i="4"/>
  <c r="CM24" i="4"/>
  <c r="AF138" i="11"/>
  <c r="CO115" i="4"/>
  <c r="CU204" i="112"/>
  <c r="CU141" i="112"/>
  <c r="CU143" i="112" s="1"/>
  <c r="CU144" i="112" s="1"/>
  <c r="CU228" i="112"/>
  <c r="CV146" i="112"/>
  <c r="CR251" i="112"/>
  <c r="CR269" i="112" s="1"/>
  <c r="CR257" i="112"/>
  <c r="CR258" i="112" s="1"/>
  <c r="CS154" i="112"/>
  <c r="CT156" i="112"/>
  <c r="AG17" i="11"/>
  <c r="AF184" i="11"/>
  <c r="AF182" i="11"/>
  <c r="CS26" i="112"/>
  <c r="CW44" i="112"/>
  <c r="CW46" i="112" s="1"/>
  <c r="CD39" i="2"/>
  <c r="CD107" i="4"/>
  <c r="CO20" i="4"/>
  <c r="AF69" i="11" s="1"/>
  <c r="CT233" i="112"/>
  <c r="U39" i="27"/>
  <c r="CU148" i="112"/>
  <c r="CU200" i="112" s="1"/>
  <c r="CU192" i="112" s="1"/>
  <c r="CV81" i="112"/>
  <c r="CV83" i="112" s="1"/>
  <c r="CU76" i="112"/>
  <c r="CU78" i="112" s="1"/>
  <c r="CU79" i="112" s="1"/>
  <c r="CS255" i="112"/>
  <c r="CS254" i="112"/>
  <c r="AG28" i="11"/>
  <c r="CS8" i="4"/>
  <c r="CS190" i="112"/>
  <c r="CS207" i="112"/>
  <c r="CT38" i="112"/>
  <c r="CT155" i="112"/>
  <c r="AF136" i="11"/>
  <c r="X50" i="27" s="1"/>
  <c r="CO113" i="4"/>
  <c r="CP306" i="112"/>
  <c r="CP299" i="112"/>
  <c r="CP302" i="112"/>
  <c r="CP208" i="112"/>
  <c r="CP59" i="112"/>
  <c r="CP31" i="4"/>
  <c r="CO18" i="4"/>
  <c r="AF67" i="11" s="1"/>
  <c r="CP10" i="2"/>
  <c r="CP70" i="4"/>
  <c r="CR7" i="4"/>
  <c r="CR245" i="112"/>
  <c r="CR247" i="112" s="1"/>
  <c r="CR39" i="112"/>
  <c r="CR58" i="112"/>
  <c r="AG38" i="11"/>
  <c r="AF131" i="11"/>
  <c r="X45" i="27" s="1"/>
  <c r="AF82" i="11"/>
  <c r="CP21" i="2"/>
  <c r="CP85" i="4"/>
  <c r="CP115" i="4" s="1"/>
  <c r="CV198" i="112"/>
  <c r="CT229" i="112"/>
  <c r="CT33" i="2" s="1"/>
  <c r="CT32" i="2" s="1"/>
  <c r="CT108" i="112"/>
  <c r="CT114" i="112"/>
  <c r="CT253" i="112"/>
  <c r="CF44" i="2"/>
  <c r="CE74" i="4"/>
  <c r="CP111" i="4"/>
  <c r="CU52" i="112"/>
  <c r="CU55" i="112"/>
  <c r="CU56" i="112" s="1"/>
  <c r="CT225" i="112"/>
  <c r="CQ27" i="4"/>
  <c r="CQ31" i="4" s="1"/>
  <c r="CR164" i="112"/>
  <c r="CS105" i="112"/>
  <c r="CS245" i="112" s="1"/>
  <c r="CS109" i="112"/>
  <c r="CR9" i="4"/>
  <c r="CR106" i="112"/>
  <c r="CR92" i="112"/>
  <c r="CR123" i="112"/>
  <c r="CQ305" i="112"/>
  <c r="CQ124" i="112" s="1"/>
  <c r="CE45" i="2"/>
  <c r="CE38" i="2"/>
  <c r="CT8" i="4"/>
  <c r="CT207" i="112"/>
  <c r="CT190" i="112"/>
  <c r="CT158" i="112"/>
  <c r="Y106" i="11" l="1"/>
  <c r="AF65" i="11"/>
  <c r="AF66" i="11" s="1"/>
  <c r="BM46" i="4"/>
  <c r="BU548" i="111" s="1"/>
  <c r="Q16" i="27"/>
  <c r="Q17" i="27" s="1"/>
  <c r="CU156" i="112"/>
  <c r="BM49" i="4"/>
  <c r="BM53" i="4" s="1"/>
  <c r="BM77" i="4"/>
  <c r="BM78" i="4" s="1"/>
  <c r="BM51" i="4"/>
  <c r="Y98" i="11"/>
  <c r="Y99" i="11"/>
  <c r="Y102" i="11"/>
  <c r="Y108" i="11"/>
  <c r="X29" i="27"/>
  <c r="AF70" i="11"/>
  <c r="AF72" i="11"/>
  <c r="CR165" i="2"/>
  <c r="CR162" i="2" s="1"/>
  <c r="CP28" i="2"/>
  <c r="CF41" i="2"/>
  <c r="CG44" i="2" s="1"/>
  <c r="CG41" i="2" s="1"/>
  <c r="AF68" i="11"/>
  <c r="X10" i="27"/>
  <c r="X126" i="27" s="1"/>
  <c r="CQ123" i="4"/>
  <c r="AC22" i="76"/>
  <c r="AC19" i="76"/>
  <c r="AC179" i="11"/>
  <c r="AC275" i="111"/>
  <c r="AD850" i="111"/>
  <c r="CV41" i="112"/>
  <c r="CV25" i="112" s="1"/>
  <c r="CV26" i="112" s="1"/>
  <c r="CS165" i="112"/>
  <c r="CT154" i="112"/>
  <c r="CU38" i="112"/>
  <c r="CU58" i="112" s="1"/>
  <c r="CU263" i="112"/>
  <c r="CU264" i="112" s="1"/>
  <c r="CU155" i="112"/>
  <c r="CS6" i="2"/>
  <c r="CS35" i="2"/>
  <c r="CS31" i="2" s="1"/>
  <c r="CS42" i="2" s="1"/>
  <c r="CS119" i="4" s="1"/>
  <c r="CS123" i="4" s="1"/>
  <c r="CS11" i="2"/>
  <c r="CS71" i="4" s="1"/>
  <c r="CS5" i="4"/>
  <c r="CS238" i="112"/>
  <c r="CS239" i="112" s="1"/>
  <c r="CS246" i="112"/>
  <c r="CS283" i="112"/>
  <c r="CS290" i="112"/>
  <c r="CS293" i="112"/>
  <c r="CS22" i="4" s="1"/>
  <c r="CS308" i="112"/>
  <c r="CS43" i="4" s="1"/>
  <c r="CS241" i="112"/>
  <c r="CS242" i="112" s="1"/>
  <c r="CS247" i="112"/>
  <c r="CV55" i="112"/>
  <c r="CV56" i="112" s="1"/>
  <c r="CV52" i="112"/>
  <c r="CT226" i="112"/>
  <c r="CR25" i="4"/>
  <c r="CR305" i="112"/>
  <c r="CR124" i="112" s="1"/>
  <c r="CV116" i="112"/>
  <c r="CU170" i="112"/>
  <c r="CU171" i="112" s="1"/>
  <c r="CU189" i="112"/>
  <c r="CU193" i="112"/>
  <c r="CU229" i="112"/>
  <c r="CU33" i="2" s="1"/>
  <c r="CU32" i="2" s="1"/>
  <c r="CT230" i="112"/>
  <c r="CQ15" i="2"/>
  <c r="CQ8" i="2"/>
  <c r="CQ19" i="2"/>
  <c r="CQ10" i="4"/>
  <c r="CQ11" i="4" s="1"/>
  <c r="CT105" i="112"/>
  <c r="CT245" i="112" s="1"/>
  <c r="CT247" i="112" s="1"/>
  <c r="CT109" i="112"/>
  <c r="CT250" i="112"/>
  <c r="CP303" i="112"/>
  <c r="CV76" i="112"/>
  <c r="CV78" i="112" s="1"/>
  <c r="CV79" i="112" s="1"/>
  <c r="CW81" i="112"/>
  <c r="CW83" i="112" s="1"/>
  <c r="CO21" i="4"/>
  <c r="CO23" i="4"/>
  <c r="CU225" i="112"/>
  <c r="CW198" i="112"/>
  <c r="Y98" i="27"/>
  <c r="Y133" i="27"/>
  <c r="CU108" i="112"/>
  <c r="CU114" i="112"/>
  <c r="CU253" i="112"/>
  <c r="CV232" i="112"/>
  <c r="CV234" i="112" s="1"/>
  <c r="CW150" i="112"/>
  <c r="CR27" i="4"/>
  <c r="CR94" i="112"/>
  <c r="CR95" i="112" s="1"/>
  <c r="CR93" i="112"/>
  <c r="CV111" i="112"/>
  <c r="CF38" i="2"/>
  <c r="CF45" i="2"/>
  <c r="CP112" i="4"/>
  <c r="CD33" i="4"/>
  <c r="CV204" i="112"/>
  <c r="CU158" i="112"/>
  <c r="CE39" i="2"/>
  <c r="CE107" i="4"/>
  <c r="CE33" i="4" s="1"/>
  <c r="CS9" i="4"/>
  <c r="CS106" i="112"/>
  <c r="CS92" i="112"/>
  <c r="CS123" i="112"/>
  <c r="CS305" i="112" s="1"/>
  <c r="CS208" i="112" s="1"/>
  <c r="AG39" i="11"/>
  <c r="AG36" i="11" s="1"/>
  <c r="CO19" i="4"/>
  <c r="CP16" i="4"/>
  <c r="CP300" i="112"/>
  <c r="CP224" i="8" s="1"/>
  <c r="CQ306" i="112"/>
  <c r="CQ299" i="112"/>
  <c r="CQ302" i="112"/>
  <c r="CQ208" i="112"/>
  <c r="CQ59" i="112"/>
  <c r="CT254" i="112"/>
  <c r="CT255" i="112"/>
  <c r="CR6" i="2"/>
  <c r="CR35" i="2"/>
  <c r="CR31" i="2" s="1"/>
  <c r="CR42" i="2" s="1"/>
  <c r="CR119" i="4" s="1"/>
  <c r="CR123" i="4" s="1"/>
  <c r="CR11" i="2"/>
  <c r="CR71" i="4" s="1"/>
  <c r="CR5" i="4"/>
  <c r="CR241" i="112"/>
  <c r="CR242" i="112" s="1"/>
  <c r="CR238" i="112"/>
  <c r="CR239" i="112" s="1"/>
  <c r="CR246" i="112"/>
  <c r="CR283" i="112"/>
  <c r="CR293" i="112"/>
  <c r="CR22" i="4" s="1"/>
  <c r="CR308" i="112"/>
  <c r="CR43" i="4" s="1"/>
  <c r="CR290" i="112"/>
  <c r="CT7" i="4"/>
  <c r="CT58" i="112"/>
  <c r="CT39" i="112"/>
  <c r="CV9" i="112"/>
  <c r="CV11" i="112" s="1"/>
  <c r="CV12" i="112" s="1"/>
  <c r="CW14" i="112"/>
  <c r="CW16" i="112" s="1"/>
  <c r="CW49" i="112" s="1"/>
  <c r="CW41" i="112" s="1"/>
  <c r="CU233" i="112"/>
  <c r="CQ287" i="112"/>
  <c r="CQ54" i="2"/>
  <c r="CQ50" i="2"/>
  <c r="CQ6" i="4"/>
  <c r="CW18" i="112"/>
  <c r="AH14" i="11" s="1"/>
  <c r="AN14" i="11" s="1"/>
  <c r="CS164" i="112"/>
  <c r="CT26" i="4"/>
  <c r="CU53" i="112"/>
  <c r="CU260" i="112"/>
  <c r="CU261" i="112" s="1"/>
  <c r="CV141" i="112"/>
  <c r="CV228" i="112"/>
  <c r="CW146" i="112"/>
  <c r="AG26" i="11"/>
  <c r="CN28" i="4"/>
  <c r="CN24" i="4"/>
  <c r="CQ69" i="4"/>
  <c r="CU157" i="112"/>
  <c r="CP19" i="4"/>
  <c r="CS26" i="4"/>
  <c r="CS30" i="4" s="1"/>
  <c r="CV148" i="112"/>
  <c r="CV200" i="112" s="1"/>
  <c r="CV192" i="112" s="1"/>
  <c r="CS25" i="4"/>
  <c r="CS29" i="4" s="1"/>
  <c r="CW145" i="2"/>
  <c r="CW85" i="112"/>
  <c r="AH15" i="11" s="1"/>
  <c r="AN15" i="11" s="1"/>
  <c r="CV156" i="112" l="1"/>
  <c r="CT164" i="112"/>
  <c r="BM105" i="4"/>
  <c r="BM116" i="4" s="1"/>
  <c r="BM131" i="4"/>
  <c r="Y159" i="11" s="1"/>
  <c r="BM62" i="2"/>
  <c r="BM71" i="2" s="1"/>
  <c r="BM70" i="2" s="1"/>
  <c r="Y127" i="11"/>
  <c r="CT165" i="112"/>
  <c r="AG95" i="11"/>
  <c r="CV42" i="112"/>
  <c r="CV263" i="112"/>
  <c r="CV264" i="112" s="1"/>
  <c r="CW87" i="112"/>
  <c r="CW119" i="112" s="1"/>
  <c r="AE53" i="11" s="1" a="1"/>
  <c r="AE53" i="11" s="1"/>
  <c r="CQ26" i="2"/>
  <c r="CQ27" i="2" s="1"/>
  <c r="CS165" i="2"/>
  <c r="CS162" i="2" s="1"/>
  <c r="CF74" i="4"/>
  <c r="Y29" i="46"/>
  <c r="AR15" i="71"/>
  <c r="AR45" i="71" s="1"/>
  <c r="Q21" i="27"/>
  <c r="Q26" i="27" s="1"/>
  <c r="Y107" i="11"/>
  <c r="BM62" i="4"/>
  <c r="BM55" i="4"/>
  <c r="BM61" i="4" s="1"/>
  <c r="BU557" i="111" s="1"/>
  <c r="BU554" i="111"/>
  <c r="Q20" i="27"/>
  <c r="Q127" i="27" s="1"/>
  <c r="Y115" i="11"/>
  <c r="L13" i="71"/>
  <c r="CR287" i="112"/>
  <c r="CR14" i="4" s="1"/>
  <c r="Y196" i="11"/>
  <c r="AG71" i="11"/>
  <c r="Q30" i="27"/>
  <c r="Y109" i="11"/>
  <c r="Y104" i="11"/>
  <c r="AG60" i="11"/>
  <c r="Y7" i="27" s="1"/>
  <c r="AG94" i="11"/>
  <c r="Y14" i="27" s="1"/>
  <c r="AG157" i="11"/>
  <c r="AG28" i="76" s="1"/>
  <c r="AC279" i="111"/>
  <c r="AC276" i="111"/>
  <c r="AG75" i="11"/>
  <c r="AG83" i="11" s="1"/>
  <c r="AF62" i="76"/>
  <c r="AF64" i="76"/>
  <c r="AF80" i="11"/>
  <c r="AF63" i="76"/>
  <c r="AC394" i="111"/>
  <c r="AC26" i="76"/>
  <c r="X137" i="27"/>
  <c r="CU39" i="112"/>
  <c r="CU7" i="4"/>
  <c r="CS287" i="112"/>
  <c r="CS296" i="112" s="1"/>
  <c r="CS297" i="112" s="1"/>
  <c r="CU154" i="112"/>
  <c r="AG12" i="76"/>
  <c r="AG37" i="11"/>
  <c r="Y6" i="27"/>
  <c r="AG25" i="11"/>
  <c r="Y135" i="27" s="1"/>
  <c r="CQ13" i="4"/>
  <c r="CQ12" i="4"/>
  <c r="CS59" i="112"/>
  <c r="CT25" i="4"/>
  <c r="CR69" i="4"/>
  <c r="CR111" i="4" s="1"/>
  <c r="CQ16" i="4"/>
  <c r="CQ300" i="112"/>
  <c r="CQ224" i="8" s="1"/>
  <c r="CP20" i="4"/>
  <c r="CP15" i="4"/>
  <c r="CS94" i="112"/>
  <c r="CS95" i="112" s="1"/>
  <c r="CS93" i="112"/>
  <c r="CW111" i="112"/>
  <c r="CF39" i="2"/>
  <c r="CF107" i="4"/>
  <c r="CF33" i="4" s="1"/>
  <c r="CV233" i="112"/>
  <c r="CW116" i="112"/>
  <c r="BM54" i="4"/>
  <c r="BM317" i="112"/>
  <c r="CV53" i="112"/>
  <c r="CV260" i="112"/>
  <c r="CV261" i="112" s="1"/>
  <c r="AG132" i="11"/>
  <c r="Y46" i="27" s="1"/>
  <c r="CV170" i="112"/>
  <c r="CV171" i="112" s="1"/>
  <c r="CV189" i="112"/>
  <c r="CV193" i="112"/>
  <c r="CV157" i="112"/>
  <c r="CW20" i="112"/>
  <c r="CQ14" i="4"/>
  <c r="CQ288" i="112"/>
  <c r="CQ296" i="112"/>
  <c r="CQ297" i="112" s="1"/>
  <c r="CV158" i="112"/>
  <c r="CV155" i="112"/>
  <c r="CV108" i="112"/>
  <c r="CV114" i="112"/>
  <c r="CV253" i="112"/>
  <c r="CU255" i="112"/>
  <c r="CU254" i="112"/>
  <c r="CV143" i="112"/>
  <c r="CV144" i="112" s="1"/>
  <c r="AH11" i="11"/>
  <c r="CW76" i="112"/>
  <c r="CW78" i="112" s="1"/>
  <c r="CW79" i="112" s="1"/>
  <c r="CT251" i="112"/>
  <c r="CT269" i="112" s="1"/>
  <c r="CT257" i="112"/>
  <c r="CT258" i="112" s="1"/>
  <c r="CT265" i="112"/>
  <c r="CV229" i="112"/>
  <c r="CV33" i="2" s="1"/>
  <c r="CV32" i="2" s="1"/>
  <c r="CQ21" i="2"/>
  <c r="CQ85" i="4"/>
  <c r="CQ115" i="4" s="1"/>
  <c r="CR302" i="112"/>
  <c r="CR306" i="112"/>
  <c r="CR299" i="112"/>
  <c r="CR208" i="112"/>
  <c r="CS8" i="2"/>
  <c r="CS19" i="2"/>
  <c r="CS15" i="2"/>
  <c r="CS10" i="4"/>
  <c r="CS11" i="4" s="1"/>
  <c r="CS69" i="4"/>
  <c r="CW42" i="112"/>
  <c r="CW25" i="112"/>
  <c r="CW26" i="112" s="1"/>
  <c r="AF44" i="11" a="1"/>
  <c r="AF44" i="11" s="1"/>
  <c r="AE44" i="11" a="1"/>
  <c r="AE44" i="11" s="1"/>
  <c r="AG44" i="11" a="1"/>
  <c r="AG44" i="11" s="1"/>
  <c r="AH44" i="11" a="1"/>
  <c r="AH44" i="11" s="1"/>
  <c r="AH12" i="11"/>
  <c r="CW141" i="112"/>
  <c r="CW143" i="112" s="1"/>
  <c r="CW144" i="112" s="1"/>
  <c r="CW228" i="112"/>
  <c r="CQ111" i="4"/>
  <c r="CW148" i="112"/>
  <c r="CW200" i="112" s="1"/>
  <c r="CW192" i="112" s="1"/>
  <c r="CT30" i="4"/>
  <c r="CR54" i="2"/>
  <c r="CR50" i="2"/>
  <c r="CR6" i="4"/>
  <c r="AG27" i="11"/>
  <c r="CU105" i="112"/>
  <c r="CU245" i="112" s="1"/>
  <c r="CU109" i="112"/>
  <c r="CO28" i="4"/>
  <c r="CO24" i="4"/>
  <c r="CT9" i="4"/>
  <c r="CT92" i="112"/>
  <c r="CT123" i="112"/>
  <c r="CT305" i="112" s="1"/>
  <c r="CT106" i="112"/>
  <c r="CQ10" i="2"/>
  <c r="CQ70" i="4"/>
  <c r="CU8" i="4"/>
  <c r="CU190" i="112"/>
  <c r="CU207" i="112"/>
  <c r="CR59" i="112"/>
  <c r="AH16" i="11"/>
  <c r="AN16" i="11" s="1"/>
  <c r="CW232" i="112"/>
  <c r="CW234" i="112" s="1"/>
  <c r="CQ17" i="2"/>
  <c r="CQ83" i="4"/>
  <c r="CQ113" i="4" s="1"/>
  <c r="CU250" i="112"/>
  <c r="CR29" i="4"/>
  <c r="AG73" i="11"/>
  <c r="CH44" i="2"/>
  <c r="CG74" i="4"/>
  <c r="CV38" i="112"/>
  <c r="CU25" i="4"/>
  <c r="CS299" i="112"/>
  <c r="CS302" i="112"/>
  <c r="CS306" i="112"/>
  <c r="CV225" i="112"/>
  <c r="AH10" i="11"/>
  <c r="CW9" i="112"/>
  <c r="CT6" i="2"/>
  <c r="CT35" i="2"/>
  <c r="CT31" i="2" s="1"/>
  <c r="CT42" i="2" s="1"/>
  <c r="CT119" i="4" s="1"/>
  <c r="CT11" i="2"/>
  <c r="CT71" i="4" s="1"/>
  <c r="CT5" i="4"/>
  <c r="CT238" i="112"/>
  <c r="CT239" i="112" s="1"/>
  <c r="CT246" i="112"/>
  <c r="CT241" i="112"/>
  <c r="CT242" i="112" s="1"/>
  <c r="CT283" i="112"/>
  <c r="CT290" i="112"/>
  <c r="CT293" i="112"/>
  <c r="CT22" i="4" s="1"/>
  <c r="CT308" i="112"/>
  <c r="CT43" i="4" s="1"/>
  <c r="CR8" i="2"/>
  <c r="CR19" i="2"/>
  <c r="CR15" i="2"/>
  <c r="CR10" i="4"/>
  <c r="CR11" i="4" s="1"/>
  <c r="CQ303" i="112"/>
  <c r="CS27" i="4"/>
  <c r="CS31" i="4" s="1"/>
  <c r="CS124" i="112"/>
  <c r="CR31" i="4"/>
  <c r="CW152" i="112"/>
  <c r="CW203" i="112" s="1"/>
  <c r="CU226" i="112"/>
  <c r="CU230" i="112"/>
  <c r="CG38" i="2"/>
  <c r="CG45" i="2"/>
  <c r="CS50" i="2"/>
  <c r="CS54" i="2"/>
  <c r="CS6" i="4"/>
  <c r="L43" i="71" l="1"/>
  <c r="Y252" i="111"/>
  <c r="CW120" i="112"/>
  <c r="AH53" i="11" a="1"/>
  <c r="AH53" i="11" s="1"/>
  <c r="AF53" i="11" a="1"/>
  <c r="AF53" i="11" s="1"/>
  <c r="AG53" i="11" a="1"/>
  <c r="AG53" i="11" s="1"/>
  <c r="CT165" i="2"/>
  <c r="CT162" i="2" s="1"/>
  <c r="BM128" i="4"/>
  <c r="Q81" i="27" s="1"/>
  <c r="Q83" i="27"/>
  <c r="Y29" i="76"/>
  <c r="Y8" i="27"/>
  <c r="Q61" i="27"/>
  <c r="Q71" i="27" s="1"/>
  <c r="Y151" i="11"/>
  <c r="Q41" i="27"/>
  <c r="Q42" i="27" s="1"/>
  <c r="BM56" i="4"/>
  <c r="BU551" i="111"/>
  <c r="Y128" i="11"/>
  <c r="BM57" i="4"/>
  <c r="AG61" i="11"/>
  <c r="AG62" i="11" s="1"/>
  <c r="Y136" i="27" s="1"/>
  <c r="CQ28" i="2"/>
  <c r="CU29" i="4"/>
  <c r="CU165" i="112"/>
  <c r="CR296" i="112"/>
  <c r="CR297" i="112" s="1"/>
  <c r="AO63" i="71"/>
  <c r="CR288" i="112"/>
  <c r="CU164" i="112"/>
  <c r="CV154" i="112"/>
  <c r="CS288" i="112"/>
  <c r="AG181" i="11"/>
  <c r="Y197" i="11"/>
  <c r="Y114" i="11"/>
  <c r="Y116" i="11"/>
  <c r="Y845" i="111"/>
  <c r="BM65" i="2"/>
  <c r="BM318" i="112"/>
  <c r="BM73" i="2"/>
  <c r="CQ18" i="4"/>
  <c r="CQ19" i="4" s="1"/>
  <c r="AG54" i="11" a="1"/>
  <c r="AG54" i="11" s="1"/>
  <c r="AF54" i="11" a="1"/>
  <c r="AF54" i="11" s="1"/>
  <c r="AE54" i="11" a="1"/>
  <c r="AE54" i="11" s="1"/>
  <c r="AH54" i="11" a="1"/>
  <c r="AH54" i="11" s="1"/>
  <c r="AE46" i="11" a="1"/>
  <c r="AE46" i="11" s="1"/>
  <c r="AH46" i="11" a="1"/>
  <c r="AH46" i="11" s="1"/>
  <c r="AH24" i="11" s="1"/>
  <c r="AN24" i="11" s="1"/>
  <c r="AF46" i="11" a="1"/>
  <c r="AF46" i="11" s="1"/>
  <c r="AF24" i="11" s="1"/>
  <c r="AG46" i="11" a="1"/>
  <c r="AG46" i="11" s="1"/>
  <c r="AG24" i="11" s="1"/>
  <c r="AF71" i="76"/>
  <c r="AF66" i="76"/>
  <c r="AF53" i="76" s="1"/>
  <c r="Y173" i="11"/>
  <c r="CS14" i="4"/>
  <c r="AG63" i="11" s="1"/>
  <c r="CS26" i="2"/>
  <c r="CS28" i="2" s="1"/>
  <c r="CT299" i="112"/>
  <c r="CT302" i="112"/>
  <c r="CT306" i="112"/>
  <c r="CT208" i="112"/>
  <c r="CT59" i="112"/>
  <c r="CU11" i="2"/>
  <c r="CU71" i="4" s="1"/>
  <c r="CU6" i="2"/>
  <c r="CU5" i="4"/>
  <c r="CU238" i="112"/>
  <c r="CU239" i="112" s="1"/>
  <c r="CU246" i="112"/>
  <c r="CU241" i="112"/>
  <c r="CU242" i="112" s="1"/>
  <c r="CU308" i="112"/>
  <c r="CU43" i="4" s="1"/>
  <c r="CU283" i="112"/>
  <c r="CU35" i="2"/>
  <c r="CU31" i="2" s="1"/>
  <c r="CU42" i="2" s="1"/>
  <c r="CU119" i="4" s="1"/>
  <c r="CU123" i="4" s="1"/>
  <c r="CU293" i="112"/>
  <c r="CU22" i="4" s="1"/>
  <c r="CU290" i="112"/>
  <c r="CU247" i="112"/>
  <c r="CR12" i="4"/>
  <c r="CR18" i="4"/>
  <c r="CR13" i="4"/>
  <c r="CW189" i="112"/>
  <c r="AH40" i="11" s="1"/>
  <c r="AN40" i="11" s="1"/>
  <c r="CW193" i="112"/>
  <c r="CW170" i="112"/>
  <c r="CW171" i="112" s="1"/>
  <c r="AH20" i="11"/>
  <c r="AN20" i="11" s="1"/>
  <c r="AN12" i="11"/>
  <c r="AG22" i="11"/>
  <c r="AG130" i="11"/>
  <c r="Y44" i="27" s="1"/>
  <c r="AH19" i="11"/>
  <c r="AN19" i="11" s="1"/>
  <c r="AN11" i="11"/>
  <c r="CW155" i="112"/>
  <c r="CW55" i="112"/>
  <c r="CW263" i="112" s="1"/>
  <c r="CW52" i="112"/>
  <c r="CT27" i="4"/>
  <c r="CT124" i="112"/>
  <c r="AE22" i="11"/>
  <c r="CV254" i="112"/>
  <c r="CV255" i="112"/>
  <c r="CW108" i="112"/>
  <c r="CW250" i="112" s="1"/>
  <c r="CW114" i="112"/>
  <c r="CW253" i="112"/>
  <c r="CT287" i="112"/>
  <c r="CT296" i="112" s="1"/>
  <c r="CT297" i="112" s="1"/>
  <c r="AD124" i="11"/>
  <c r="CU257" i="112"/>
  <c r="CU258" i="112" s="1"/>
  <c r="CU251" i="112"/>
  <c r="CU269" i="112" s="1"/>
  <c r="CU265" i="112"/>
  <c r="CR10" i="2"/>
  <c r="CR70" i="4"/>
  <c r="CR112" i="4" s="1"/>
  <c r="AF22" i="11"/>
  <c r="CW157" i="112"/>
  <c r="CT29" i="4"/>
  <c r="CS12" i="4"/>
  <c r="CS13" i="4"/>
  <c r="CT69" i="4"/>
  <c r="CT111" i="4" s="1"/>
  <c r="CR17" i="2"/>
  <c r="CR83" i="4"/>
  <c r="CR113" i="4" s="1"/>
  <c r="AG74" i="11"/>
  <c r="CR21" i="2"/>
  <c r="CR85" i="4"/>
  <c r="CR115" i="4" s="1"/>
  <c r="CV226" i="112"/>
  <c r="CT8" i="2"/>
  <c r="CT19" i="2"/>
  <c r="CT15" i="2"/>
  <c r="CT10" i="4"/>
  <c r="CT11" i="4" s="1"/>
  <c r="CT50" i="2"/>
  <c r="CT54" i="2"/>
  <c r="CT6" i="4"/>
  <c r="CV230" i="112"/>
  <c r="AH6" i="11"/>
  <c r="AN6" i="11" s="1"/>
  <c r="CS303" i="112"/>
  <c r="CH38" i="2"/>
  <c r="CH45" i="2"/>
  <c r="CT94" i="112"/>
  <c r="CT95" i="112" s="1"/>
  <c r="CT93" i="112"/>
  <c r="CU9" i="4"/>
  <c r="CU92" i="112"/>
  <c r="CU106" i="112"/>
  <c r="CU123" i="112"/>
  <c r="CG39" i="2"/>
  <c r="CG107" i="4"/>
  <c r="CG33" i="4" s="1"/>
  <c r="AD89" i="11" s="1"/>
  <c r="CW204" i="112"/>
  <c r="CT123" i="4"/>
  <c r="AH18" i="11"/>
  <c r="AN18" i="11" s="1"/>
  <c r="AN10" i="11"/>
  <c r="CS16" i="4"/>
  <c r="CS300" i="112"/>
  <c r="CS224" i="8" s="1"/>
  <c r="CH41" i="2"/>
  <c r="AH13" i="11"/>
  <c r="CW233" i="112"/>
  <c r="CQ112" i="4"/>
  <c r="CS17" i="2"/>
  <c r="CS83" i="4"/>
  <c r="CR16" i="4"/>
  <c r="CR20" i="4" s="1"/>
  <c r="CR300" i="112"/>
  <c r="CR224" i="8" s="1"/>
  <c r="CV105" i="112"/>
  <c r="CV245" i="112" s="1"/>
  <c r="CV247" i="112" s="1"/>
  <c r="CV109" i="112"/>
  <c r="CS111" i="4"/>
  <c r="CQ20" i="4"/>
  <c r="AG81" i="11"/>
  <c r="AH9" i="11"/>
  <c r="CW229" i="112"/>
  <c r="CW33" i="2" s="1"/>
  <c r="CW32" i="2" s="1"/>
  <c r="AH29" i="11" s="1"/>
  <c r="AN29" i="11" s="1"/>
  <c r="CS21" i="2"/>
  <c r="CS85" i="4"/>
  <c r="CV8" i="4"/>
  <c r="CV207" i="112"/>
  <c r="CV190" i="112"/>
  <c r="CR26" i="2"/>
  <c r="CV7" i="4"/>
  <c r="CV58" i="112"/>
  <c r="CV39" i="112"/>
  <c r="CU26" i="4"/>
  <c r="AH8" i="11"/>
  <c r="AN8" i="11" s="1"/>
  <c r="CW225" i="112"/>
  <c r="CW230" i="112" s="1"/>
  <c r="AH22" i="11"/>
  <c r="AN22" i="11" s="1"/>
  <c r="CS10" i="2"/>
  <c r="CS70" i="4"/>
  <c r="CR303" i="112"/>
  <c r="AH7" i="11"/>
  <c r="AN7" i="11" s="1"/>
  <c r="CW158" i="112"/>
  <c r="CQ15" i="4"/>
  <c r="CV250" i="112"/>
  <c r="CP21" i="4"/>
  <c r="CP23" i="4"/>
  <c r="CW11" i="112"/>
  <c r="CW12" i="112" s="1"/>
  <c r="CW156" i="112"/>
  <c r="CV165" i="112" l="1"/>
  <c r="Y161" i="11"/>
  <c r="AO65" i="71"/>
  <c r="CV164" i="112"/>
  <c r="Y30" i="76"/>
  <c r="Y155" i="11"/>
  <c r="Y288" i="111" s="1"/>
  <c r="CU165" i="2"/>
  <c r="CU162" i="2" s="1"/>
  <c r="Y383" i="111"/>
  <c r="AE850" i="111"/>
  <c r="CS27" i="2"/>
  <c r="CS20" i="4"/>
  <c r="CS23" i="4" s="1"/>
  <c r="AG183" i="11"/>
  <c r="Y303" i="111"/>
  <c r="V7" i="76"/>
  <c r="AH7" i="76"/>
  <c r="Y68" i="46"/>
  <c r="AA33" i="71"/>
  <c r="Y30" i="46"/>
  <c r="Q33" i="27"/>
  <c r="L14" i="71"/>
  <c r="L47" i="71" s="1"/>
  <c r="AR16" i="71"/>
  <c r="AR46" i="71" s="1"/>
  <c r="CS18" i="4"/>
  <c r="AG67" i="11" s="1"/>
  <c r="AD275" i="111"/>
  <c r="AD276" i="111" s="1"/>
  <c r="AD19" i="76"/>
  <c r="Y9" i="27"/>
  <c r="AG64" i="11"/>
  <c r="V62" i="27"/>
  <c r="AE24" i="11"/>
  <c r="AD152" i="11"/>
  <c r="BM319" i="112"/>
  <c r="Y117" i="11"/>
  <c r="CW154" i="112"/>
  <c r="AD179" i="11"/>
  <c r="AD394" i="111" s="1"/>
  <c r="BM129" i="4"/>
  <c r="BM67" i="2"/>
  <c r="BN61" i="2" s="1"/>
  <c r="BM98" i="4"/>
  <c r="Y199" i="11"/>
  <c r="L15" i="71"/>
  <c r="Y289" i="111"/>
  <c r="Y304" i="111"/>
  <c r="CU30" i="4"/>
  <c r="AM89" i="11"/>
  <c r="AD22" i="76"/>
  <c r="CU287" i="112"/>
  <c r="CU288" i="112" s="1"/>
  <c r="CR21" i="4"/>
  <c r="CR23" i="4"/>
  <c r="CT12" i="4"/>
  <c r="CT13" i="4"/>
  <c r="CW251" i="112"/>
  <c r="CW269" i="112" s="1"/>
  <c r="CW257" i="112"/>
  <c r="CW258" i="112" s="1"/>
  <c r="CV9" i="4"/>
  <c r="CV92" i="112"/>
  <c r="CV123" i="112"/>
  <c r="CV305" i="112" s="1"/>
  <c r="CV106" i="112"/>
  <c r="CU27" i="4"/>
  <c r="CU31" i="4" s="1"/>
  <c r="CU305" i="112"/>
  <c r="CS15" i="4"/>
  <c r="CT21" i="2"/>
  <c r="CT85" i="4"/>
  <c r="CT115" i="4" s="1"/>
  <c r="CW260" i="112"/>
  <c r="CW261" i="112" s="1"/>
  <c r="CW53" i="112"/>
  <c r="AH48" i="11" a="1"/>
  <c r="AH48" i="11" s="1"/>
  <c r="AH47" i="11" s="1"/>
  <c r="AE48" i="11" a="1"/>
  <c r="AE48" i="11" s="1"/>
  <c r="AG48" i="11" a="1"/>
  <c r="AG48" i="11" s="1"/>
  <c r="AG47" i="11" s="1"/>
  <c r="AF48" i="11" a="1"/>
  <c r="AF48" i="11" s="1"/>
  <c r="AF47" i="11" s="1"/>
  <c r="CW38" i="112"/>
  <c r="CR19" i="4"/>
  <c r="CU15" i="2"/>
  <c r="CU8" i="2"/>
  <c r="CU19" i="2"/>
  <c r="CU10" i="4"/>
  <c r="CU11" i="4" s="1"/>
  <c r="CT303" i="112"/>
  <c r="CV251" i="112"/>
  <c r="CV269" i="112" s="1"/>
  <c r="CV257" i="112"/>
  <c r="CV258" i="112" s="1"/>
  <c r="CV265" i="112"/>
  <c r="AN13" i="11"/>
  <c r="CW264" i="112"/>
  <c r="CW265" i="112"/>
  <c r="CH39" i="2"/>
  <c r="CH107" i="4"/>
  <c r="CT10" i="2"/>
  <c r="CT70" i="4"/>
  <c r="CT112" i="4" s="1"/>
  <c r="CW255" i="112"/>
  <c r="CW254" i="112"/>
  <c r="CW56" i="112"/>
  <c r="AE52" i="11" a="1"/>
  <c r="AE52" i="11" s="1"/>
  <c r="AH52" i="11" a="1"/>
  <c r="AH52" i="11" s="1"/>
  <c r="AH51" i="11" s="1"/>
  <c r="AG52" i="11" a="1"/>
  <c r="AG52" i="11" s="1"/>
  <c r="AG51" i="11" s="1"/>
  <c r="AF52" i="11" a="1"/>
  <c r="AF52" i="11" s="1"/>
  <c r="AF51" i="11" s="1"/>
  <c r="CT16" i="4"/>
  <c r="CT300" i="112"/>
  <c r="CT224" i="8" s="1"/>
  <c r="AH5" i="11"/>
  <c r="CW226" i="112"/>
  <c r="CV25" i="4"/>
  <c r="CP24" i="4"/>
  <c r="CP28" i="4"/>
  <c r="AG131" i="11"/>
  <c r="Y45" i="27" s="1"/>
  <c r="AG136" i="11"/>
  <c r="Y50" i="27" s="1"/>
  <c r="CS113" i="4"/>
  <c r="CR27" i="2"/>
  <c r="CR28" i="2"/>
  <c r="AG138" i="11"/>
  <c r="CS115" i="4"/>
  <c r="AN9" i="11"/>
  <c r="AH17" i="11"/>
  <c r="CQ21" i="4"/>
  <c r="CQ23" i="4"/>
  <c r="CI44" i="2"/>
  <c r="CH74" i="4"/>
  <c r="CU94" i="112"/>
  <c r="CU95" i="112" s="1"/>
  <c r="CU93" i="112"/>
  <c r="CT26" i="2"/>
  <c r="CT31" i="4"/>
  <c r="CV26" i="4"/>
  <c r="CV30" i="4" s="1"/>
  <c r="V39" i="27"/>
  <c r="CW105" i="112"/>
  <c r="CW109" i="112"/>
  <c r="AE45" i="11" a="1"/>
  <c r="AE45" i="11" s="1"/>
  <c r="AH45" i="11" a="1"/>
  <c r="AH45" i="11" s="1"/>
  <c r="AF45" i="11" a="1"/>
  <c r="AF45" i="11" s="1"/>
  <c r="AG45" i="11" a="1"/>
  <c r="AG45" i="11" s="1"/>
  <c r="AE46" i="111"/>
  <c r="CU50" i="2"/>
  <c r="CU54" i="2"/>
  <c r="CU6" i="4"/>
  <c r="CV11" i="2"/>
  <c r="CV71" i="4" s="1"/>
  <c r="CV6" i="2"/>
  <c r="CV35" i="2"/>
  <c r="CV31" i="2" s="1"/>
  <c r="CV42" i="2" s="1"/>
  <c r="CV119" i="4" s="1"/>
  <c r="CV5" i="4"/>
  <c r="CV241" i="112"/>
  <c r="CV242" i="112" s="1"/>
  <c r="CV238" i="112"/>
  <c r="CV239" i="112" s="1"/>
  <c r="CV246" i="112"/>
  <c r="CV283" i="112"/>
  <c r="CV293" i="112"/>
  <c r="CV22" i="4" s="1"/>
  <c r="CV308" i="112"/>
  <c r="CV43" i="4" s="1"/>
  <c r="CV290" i="112"/>
  <c r="AG82" i="11"/>
  <c r="CT14" i="4"/>
  <c r="CT18" i="4" s="1"/>
  <c r="CT288" i="112"/>
  <c r="AH28" i="11"/>
  <c r="CW8" i="4"/>
  <c r="CW190" i="112"/>
  <c r="CW207" i="112"/>
  <c r="CU69" i="4"/>
  <c r="CU111" i="4" s="1"/>
  <c r="CT17" i="2"/>
  <c r="CT83" i="4"/>
  <c r="CT113" i="4" s="1"/>
  <c r="CR15" i="4"/>
  <c r="CS112" i="4"/>
  <c r="CV165" i="2" l="1"/>
  <c r="CV162" i="2" s="1"/>
  <c r="CS19" i="4"/>
  <c r="CU296" i="112"/>
  <c r="CU297" i="112" s="1"/>
  <c r="CW165" i="112"/>
  <c r="CU14" i="4"/>
  <c r="CU18" i="4" s="1"/>
  <c r="Q32" i="27"/>
  <c r="AA34" i="71"/>
  <c r="CW164" i="112"/>
  <c r="Q97" i="27"/>
  <c r="AA35" i="71"/>
  <c r="AR17" i="71"/>
  <c r="AR47" i="71" s="1"/>
  <c r="Y31" i="76"/>
  <c r="AG65" i="11"/>
  <c r="AG66" i="11" s="1"/>
  <c r="AG184" i="11"/>
  <c r="AG182" i="11"/>
  <c r="AD26" i="76"/>
  <c r="AG69" i="11"/>
  <c r="AG70" i="11" s="1"/>
  <c r="CS21" i="4"/>
  <c r="AD279" i="111"/>
  <c r="CU26" i="2"/>
  <c r="CU28" i="2" s="1"/>
  <c r="L16" i="71"/>
  <c r="L44" i="71"/>
  <c r="Y156" i="11"/>
  <c r="Q82" i="27"/>
  <c r="Q84" i="27" s="1"/>
  <c r="Q88" i="27" s="1"/>
  <c r="Q90" i="27" s="1"/>
  <c r="R89" i="27" s="1"/>
  <c r="BM132" i="4"/>
  <c r="BM134" i="4" s="1"/>
  <c r="BM139" i="4" s="1"/>
  <c r="BM102" i="2"/>
  <c r="AG68" i="11"/>
  <c r="Y10" i="27"/>
  <c r="Y126" i="27" s="1"/>
  <c r="Y70" i="46"/>
  <c r="Y118" i="11"/>
  <c r="AE47" i="111"/>
  <c r="CV123" i="4"/>
  <c r="BM99" i="4"/>
  <c r="Q56" i="27"/>
  <c r="Q111" i="27" s="1"/>
  <c r="CV287" i="112"/>
  <c r="CV296" i="112" s="1"/>
  <c r="CV297" i="112" s="1"/>
  <c r="CT19" i="4"/>
  <c r="CT27" i="2"/>
  <c r="CT28" i="2"/>
  <c r="AN17" i="11"/>
  <c r="CU21" i="2"/>
  <c r="CU85" i="4"/>
  <c r="CU115" i="4" s="1"/>
  <c r="AN47" i="11"/>
  <c r="AG23" i="11"/>
  <c r="AG43" i="11"/>
  <c r="CQ24" i="4"/>
  <c r="CQ28" i="4"/>
  <c r="CV306" i="112"/>
  <c r="CV299" i="112"/>
  <c r="CV302" i="112"/>
  <c r="AN5" i="11"/>
  <c r="Z98" i="27"/>
  <c r="Z133" i="27"/>
  <c r="CU10" i="2"/>
  <c r="CU70" i="4"/>
  <c r="CS28" i="4"/>
  <c r="CS24" i="4"/>
  <c r="CU13" i="4"/>
  <c r="CU12" i="4"/>
  <c r="AF23" i="11"/>
  <c r="AF43" i="11"/>
  <c r="CV59" i="112"/>
  <c r="CH33" i="4"/>
  <c r="CU17" i="2"/>
  <c r="CU83" i="4"/>
  <c r="CU113" i="4" s="1"/>
  <c r="CW7" i="4"/>
  <c r="CW39" i="112"/>
  <c r="CW58" i="112"/>
  <c r="CW245" i="112"/>
  <c r="AH38" i="11"/>
  <c r="CV27" i="4"/>
  <c r="CV124" i="112"/>
  <c r="AH23" i="11"/>
  <c r="AN23" i="11" s="1"/>
  <c r="AH43" i="11"/>
  <c r="AH21" i="11" s="1"/>
  <c r="AN21" i="11" s="1"/>
  <c r="CI45" i="2"/>
  <c r="CI38" i="2"/>
  <c r="CV29" i="4"/>
  <c r="AE51" i="11"/>
  <c r="CU299" i="112"/>
  <c r="CU302" i="112"/>
  <c r="CU306" i="112"/>
  <c r="CU59" i="112"/>
  <c r="CU208" i="112"/>
  <c r="CV93" i="112"/>
  <c r="CV94" i="112"/>
  <c r="CV95" i="112" s="1"/>
  <c r="CT20" i="4"/>
  <c r="AE23" i="11"/>
  <c r="AE43" i="11"/>
  <c r="CV208" i="112"/>
  <c r="CI41" i="2"/>
  <c r="CU124" i="112"/>
  <c r="CW9" i="4"/>
  <c r="CW106" i="112"/>
  <c r="CW92" i="112"/>
  <c r="CW123" i="112"/>
  <c r="CT15" i="4"/>
  <c r="CV50" i="2"/>
  <c r="CV54" i="2"/>
  <c r="CV6" i="4"/>
  <c r="CW26" i="4"/>
  <c r="CW30" i="4" s="1"/>
  <c r="CV15" i="2"/>
  <c r="CV8" i="2"/>
  <c r="CV19" i="2"/>
  <c r="CV10" i="4"/>
  <c r="CV11" i="4" s="1"/>
  <c r="CV69" i="4"/>
  <c r="CV111" i="4" s="1"/>
  <c r="Z134" i="27"/>
  <c r="AE47" i="11"/>
  <c r="AH39" i="11"/>
  <c r="AN39" i="11" s="1"/>
  <c r="CR24" i="4"/>
  <c r="CR28" i="4"/>
  <c r="CW165" i="2" l="1"/>
  <c r="CW162" i="2" s="1"/>
  <c r="CU27" i="2"/>
  <c r="Y137" i="27"/>
  <c r="Y29" i="27"/>
  <c r="AG72" i="11"/>
  <c r="CV14" i="4"/>
  <c r="CV18" i="4" s="1"/>
  <c r="CV288" i="112"/>
  <c r="AH75" i="11"/>
  <c r="BM68" i="4"/>
  <c r="BM140" i="4"/>
  <c r="Y200" i="11"/>
  <c r="Y160" i="11"/>
  <c r="Q27" i="27"/>
  <c r="AA40" i="71"/>
  <c r="Y302" i="111"/>
  <c r="BM100" i="4"/>
  <c r="Y140" i="11"/>
  <c r="CV10" i="2"/>
  <c r="CV70" i="4"/>
  <c r="CV112" i="4" s="1"/>
  <c r="CV17" i="2"/>
  <c r="CV83" i="4"/>
  <c r="CV113" i="4" s="1"/>
  <c r="AH27" i="11"/>
  <c r="CU16" i="4"/>
  <c r="CU300" i="112"/>
  <c r="CU224" i="8" s="1"/>
  <c r="AH36" i="11"/>
  <c r="AN38" i="11"/>
  <c r="CT21" i="4"/>
  <c r="CT23" i="4"/>
  <c r="AG21" i="11"/>
  <c r="CU112" i="4"/>
  <c r="AE21" i="11"/>
  <c r="CV303" i="112"/>
  <c r="CU303" i="112"/>
  <c r="AF21" i="11"/>
  <c r="CV26" i="2"/>
  <c r="CW27" i="4"/>
  <c r="CW31" i="4" s="1"/>
  <c r="AE48" i="111"/>
  <c r="CI39" i="2"/>
  <c r="CI107" i="4"/>
  <c r="CV31" i="4"/>
  <c r="CW35" i="2"/>
  <c r="CW31" i="2" s="1"/>
  <c r="CW42" i="2" s="1"/>
  <c r="CW119" i="4" s="1"/>
  <c r="CW11" i="2"/>
  <c r="CW71" i="4" s="1"/>
  <c r="CW6" i="2"/>
  <c r="CW5" i="4"/>
  <c r="CW241" i="112"/>
  <c r="CW242" i="112" s="1"/>
  <c r="CW246" i="112"/>
  <c r="CW283" i="112"/>
  <c r="AH60" i="11" s="1"/>
  <c r="Z7" i="27" s="1"/>
  <c r="CW290" i="112"/>
  <c r="CW293" i="112"/>
  <c r="CW22" i="4" s="1"/>
  <c r="AH71" i="11" s="1"/>
  <c r="CW308" i="112"/>
  <c r="CW43" i="4" s="1"/>
  <c r="CW238" i="112"/>
  <c r="CW239" i="112" s="1"/>
  <c r="AH26" i="11"/>
  <c r="CU19" i="4"/>
  <c r="CV16" i="4"/>
  <c r="CV300" i="112"/>
  <c r="CV224" i="8" s="1"/>
  <c r="CV13" i="4"/>
  <c r="CV12" i="4"/>
  <c r="CW93" i="112"/>
  <c r="CW94" i="112"/>
  <c r="CW95" i="112" s="1"/>
  <c r="CJ44" i="2"/>
  <c r="CI74" i="4"/>
  <c r="CW25" i="4"/>
  <c r="CW305" i="112"/>
  <c r="CW124" i="112" s="1"/>
  <c r="CV21" i="2"/>
  <c r="CV85" i="4"/>
  <c r="CV115" i="4" s="1"/>
  <c r="CW247" i="112"/>
  <c r="AG63" i="76" l="1"/>
  <c r="AG64" i="76"/>
  <c r="AG62" i="76"/>
  <c r="AG80" i="11"/>
  <c r="CV15" i="4"/>
  <c r="AH25" i="11"/>
  <c r="Z135" i="27" s="1"/>
  <c r="Y142" i="11"/>
  <c r="Y167" i="11"/>
  <c r="Y388" i="111"/>
  <c r="Q52" i="27"/>
  <c r="Y176" i="11"/>
  <c r="Y198" i="11"/>
  <c r="Y177" i="11"/>
  <c r="Y170" i="11"/>
  <c r="Y71" i="46"/>
  <c r="AH95" i="11"/>
  <c r="AN95" i="11" s="1"/>
  <c r="AH94" i="11"/>
  <c r="Z14" i="27" s="1"/>
  <c r="Y163" i="11"/>
  <c r="AH83" i="11"/>
  <c r="AN75" i="11"/>
  <c r="CW123" i="4"/>
  <c r="AH157" i="11"/>
  <c r="AH28" i="76" s="1"/>
  <c r="BM101" i="2"/>
  <c r="BM120" i="2" s="1"/>
  <c r="BM72" i="4"/>
  <c r="BM79" i="4" s="1"/>
  <c r="BN137" i="4"/>
  <c r="Y129" i="11"/>
  <c r="CV20" i="4"/>
  <c r="CV21" i="4" s="1"/>
  <c r="CW287" i="112"/>
  <c r="CW296" i="112" s="1"/>
  <c r="CW297" i="112" s="1"/>
  <c r="CW59" i="112"/>
  <c r="CJ41" i="2"/>
  <c r="AH74" i="11"/>
  <c r="AH82" i="11" s="1"/>
  <c r="CW54" i="2"/>
  <c r="CW50" i="2"/>
  <c r="CW6" i="4"/>
  <c r="CW29" i="4"/>
  <c r="AH73" i="11"/>
  <c r="CV19" i="4"/>
  <c r="CW69" i="4"/>
  <c r="CI33" i="4"/>
  <c r="CT28" i="4"/>
  <c r="CT24" i="4"/>
  <c r="AH132" i="11"/>
  <c r="Z46" i="27" s="1"/>
  <c r="CV28" i="2"/>
  <c r="CV27" i="2"/>
  <c r="CW15" i="2"/>
  <c r="CW8" i="2"/>
  <c r="CW19" i="2"/>
  <c r="CW10" i="4"/>
  <c r="CW11" i="4" s="1"/>
  <c r="CW306" i="112"/>
  <c r="CW299" i="112"/>
  <c r="CW302" i="112"/>
  <c r="CW208" i="112"/>
  <c r="CJ45" i="2"/>
  <c r="CJ38" i="2"/>
  <c r="CU15" i="4"/>
  <c r="CU20" i="4"/>
  <c r="AH12" i="76"/>
  <c r="AH37" i="11"/>
  <c r="AN36" i="11"/>
  <c r="AH61" i="11"/>
  <c r="Z6" i="27"/>
  <c r="Z8" i="27" s="1"/>
  <c r="CW288" i="112" l="1"/>
  <c r="AG71" i="76"/>
  <c r="AG66" i="76"/>
  <c r="AG53" i="76" s="1"/>
  <c r="AN74" i="11"/>
  <c r="CV23" i="4"/>
  <c r="CV24" i="4" s="1"/>
  <c r="AH181" i="11"/>
  <c r="BN123" i="2"/>
  <c r="BN130" i="2" s="1"/>
  <c r="BM121" i="2"/>
  <c r="BU542" i="111"/>
  <c r="CW14" i="4"/>
  <c r="AH63" i="11" s="1"/>
  <c r="Q58" i="27"/>
  <c r="Q129" i="27"/>
  <c r="Y133" i="11"/>
  <c r="Y169" i="11"/>
  <c r="Y166" i="11"/>
  <c r="Q43" i="27"/>
  <c r="Y381" i="111"/>
  <c r="Y393" i="111"/>
  <c r="Y69" i="46"/>
  <c r="Z7" i="76"/>
  <c r="Y389" i="111"/>
  <c r="Y36" i="46"/>
  <c r="CJ74" i="4"/>
  <c r="CK44" i="2"/>
  <c r="CK41" i="2" s="1"/>
  <c r="CL44" i="2" s="1"/>
  <c r="CW13" i="4"/>
  <c r="CW12" i="4"/>
  <c r="CW16" i="4"/>
  <c r="CW300" i="112"/>
  <c r="CW224" i="8" s="1"/>
  <c r="CW21" i="2"/>
  <c r="CW85" i="4"/>
  <c r="CW303" i="112"/>
  <c r="CW10" i="2"/>
  <c r="CW70" i="4"/>
  <c r="CU21" i="4"/>
  <c r="CU23" i="4"/>
  <c r="CJ39" i="2"/>
  <c r="CJ107" i="4"/>
  <c r="CW17" i="2"/>
  <c r="CW83" i="4"/>
  <c r="AN73" i="11"/>
  <c r="AH81" i="11"/>
  <c r="AH62" i="11"/>
  <c r="Z136" i="27" s="1"/>
  <c r="AN61" i="11"/>
  <c r="AH130" i="11"/>
  <c r="Z44" i="27" s="1"/>
  <c r="CW111" i="4"/>
  <c r="CW26" i="2"/>
  <c r="CV28" i="4" l="1"/>
  <c r="CW15" i="4"/>
  <c r="AH65" i="11" s="1"/>
  <c r="AN65" i="11" s="1"/>
  <c r="CK45" i="2"/>
  <c r="CK74" i="4"/>
  <c r="AE124" i="11" s="1"/>
  <c r="CW20" i="4"/>
  <c r="CW18" i="4"/>
  <c r="AH67" i="11" s="1"/>
  <c r="CK38" i="2"/>
  <c r="CK39" i="2" s="1"/>
  <c r="Q131" i="27"/>
  <c r="Q47" i="27"/>
  <c r="AA37" i="71"/>
  <c r="Y32" i="46"/>
  <c r="Y178" i="11"/>
  <c r="Y168" i="11"/>
  <c r="Y190" i="11"/>
  <c r="AH64" i="11"/>
  <c r="AN63" i="11"/>
  <c r="Z9" i="27"/>
  <c r="BN124" i="2"/>
  <c r="BN129" i="2" s="1"/>
  <c r="BN39" i="4"/>
  <c r="BN132" i="2"/>
  <c r="AR18" i="71"/>
  <c r="AR48" i="71" s="1"/>
  <c r="L18" i="71"/>
  <c r="L45" i="71" s="1"/>
  <c r="X37" i="76"/>
  <c r="Y171" i="11"/>
  <c r="Y191" i="11"/>
  <c r="Q31" i="27"/>
  <c r="Y846" i="111"/>
  <c r="Y175" i="11"/>
  <c r="Y174" i="11"/>
  <c r="Y847" i="111"/>
  <c r="CL41" i="2"/>
  <c r="AH138" i="11"/>
  <c r="CW115" i="4"/>
  <c r="CL38" i="2"/>
  <c r="CL45" i="2"/>
  <c r="CJ33" i="4"/>
  <c r="AH183" i="11"/>
  <c r="CW28" i="2"/>
  <c r="CW27" i="2"/>
  <c r="AH131" i="11"/>
  <c r="Z45" i="27" s="1"/>
  <c r="CW112" i="4"/>
  <c r="AG154" i="11" s="1"/>
  <c r="AH136" i="11"/>
  <c r="Z50" i="27" s="1"/>
  <c r="CW113" i="4"/>
  <c r="CU28" i="4"/>
  <c r="CU24" i="4"/>
  <c r="CW21" i="4" l="1"/>
  <c r="AH66" i="11"/>
  <c r="CW19" i="4"/>
  <c r="CW23" i="4"/>
  <c r="CL74" i="4"/>
  <c r="CK107" i="4"/>
  <c r="W62" i="27" s="1"/>
  <c r="AH69" i="11"/>
  <c r="AN69" i="11" s="1"/>
  <c r="AG27" i="76"/>
  <c r="Y33" i="46"/>
  <c r="AH154" i="11"/>
  <c r="Y392" i="111"/>
  <c r="Y848" i="111"/>
  <c r="AH68" i="11"/>
  <c r="Z10" i="27"/>
  <c r="Z126" i="27" s="1"/>
  <c r="AN67" i="11"/>
  <c r="Y37" i="46"/>
  <c r="AB154" i="11"/>
  <c r="AF154" i="11"/>
  <c r="BN38" i="4"/>
  <c r="AR19" i="71"/>
  <c r="AR49" i="71" s="1"/>
  <c r="AA38" i="71"/>
  <c r="L19" i="71"/>
  <c r="L46" i="71" s="1"/>
  <c r="CM44" i="2"/>
  <c r="CM41" i="2" s="1"/>
  <c r="CN44" i="2" s="1"/>
  <c r="Y195" i="11"/>
  <c r="Y193" i="11"/>
  <c r="Y194" i="11"/>
  <c r="Y192" i="11"/>
  <c r="CL39" i="2"/>
  <c r="CL107" i="4"/>
  <c r="AH182" i="11"/>
  <c r="AH184" i="11"/>
  <c r="W39" i="27"/>
  <c r="X62" i="27" l="1"/>
  <c r="AE152" i="11"/>
  <c r="CK33" i="4"/>
  <c r="CW28" i="4"/>
  <c r="Z29" i="27"/>
  <c r="CW24" i="4"/>
  <c r="AH70" i="11"/>
  <c r="AH72" i="11"/>
  <c r="AH63" i="76" s="1"/>
  <c r="AI63" i="76" s="1"/>
  <c r="CM45" i="2"/>
  <c r="AB27" i="76"/>
  <c r="CM38" i="2"/>
  <c r="CM39" i="2" s="1"/>
  <c r="AD7" i="76"/>
  <c r="BN37" i="4"/>
  <c r="CM74" i="4"/>
  <c r="R7" i="76"/>
  <c r="Y67" i="46"/>
  <c r="AF27" i="76"/>
  <c r="AH27" i="76"/>
  <c r="CL33" i="4"/>
  <c r="CN38" i="2"/>
  <c r="CN45" i="2"/>
  <c r="CN41" i="2"/>
  <c r="AH20" i="76" l="1"/>
  <c r="AH21" i="76" s="1"/>
  <c r="AE89" i="11"/>
  <c r="Z137" i="27"/>
  <c r="AH80" i="11"/>
  <c r="AH64" i="76"/>
  <c r="AI64" i="76" s="1"/>
  <c r="AN72" i="11"/>
  <c r="AH62" i="76"/>
  <c r="CM107" i="4"/>
  <c r="Y62" i="27" s="1"/>
  <c r="BN44" i="4"/>
  <c r="BV545" i="111"/>
  <c r="CO44" i="2"/>
  <c r="CO41" i="2" s="1"/>
  <c r="CN74" i="4"/>
  <c r="CN39" i="2"/>
  <c r="CN107" i="4"/>
  <c r="AE22" i="76" l="1"/>
  <c r="AE275" i="111"/>
  <c r="AE279" i="111" s="1"/>
  <c r="AE19" i="76"/>
  <c r="AE179" i="11"/>
  <c r="Z62" i="27"/>
  <c r="AH71" i="76"/>
  <c r="AI62" i="76"/>
  <c r="AI71" i="76" s="1"/>
  <c r="AH66" i="76"/>
  <c r="AH53" i="76" s="1"/>
  <c r="CM33" i="4"/>
  <c r="CN33" i="4"/>
  <c r="BN314" i="112"/>
  <c r="BN312" i="112"/>
  <c r="CO45" i="2"/>
  <c r="CO38" i="2"/>
  <c r="CP44" i="2"/>
  <c r="CP41" i="2" s="1"/>
  <c r="CO74" i="4"/>
  <c r="AE276" i="111" l="1"/>
  <c r="AE26" i="76"/>
  <c r="AE394" i="111"/>
  <c r="AI66" i="76"/>
  <c r="AI53" i="76" s="1"/>
  <c r="BN311" i="112"/>
  <c r="CQ44" i="2"/>
  <c r="CQ41" i="2" s="1"/>
  <c r="CP74" i="4"/>
  <c r="AF124" i="11"/>
  <c r="CO39" i="2"/>
  <c r="CO107" i="4"/>
  <c r="CP45" i="2"/>
  <c r="CP38" i="2"/>
  <c r="BN315" i="112" l="1"/>
  <c r="BN45" i="4"/>
  <c r="CO33" i="4"/>
  <c r="AF89" i="11" s="1"/>
  <c r="AF152" i="11"/>
  <c r="CR44" i="2"/>
  <c r="CR41" i="2" s="1"/>
  <c r="CQ74" i="4"/>
  <c r="X39" i="27"/>
  <c r="CP39" i="2"/>
  <c r="CP107" i="4"/>
  <c r="CQ45" i="2"/>
  <c r="CQ38" i="2"/>
  <c r="AF179" i="11" l="1"/>
  <c r="AF22" i="76"/>
  <c r="AF19" i="76"/>
  <c r="BN51" i="4"/>
  <c r="BN49" i="4"/>
  <c r="BN46" i="4"/>
  <c r="BN77" i="4"/>
  <c r="CP33" i="4"/>
  <c r="CS44" i="2"/>
  <c r="CS41" i="2" s="1"/>
  <c r="CR74" i="4"/>
  <c r="CR38" i="2"/>
  <c r="CR45" i="2"/>
  <c r="CQ39" i="2"/>
  <c r="CQ107" i="4"/>
  <c r="CQ33" i="4" s="1"/>
  <c r="BN78" i="4" l="1"/>
  <c r="BN131" i="4"/>
  <c r="BV548" i="111"/>
  <c r="BN62" i="2"/>
  <c r="BN105" i="4"/>
  <c r="BN53" i="4"/>
  <c r="AF26" i="76"/>
  <c r="BN55" i="4"/>
  <c r="BV554" i="111"/>
  <c r="BN62" i="4"/>
  <c r="CR39" i="2"/>
  <c r="CR107" i="4"/>
  <c r="CT44" i="2"/>
  <c r="CT41" i="2" s="1"/>
  <c r="CS74" i="4"/>
  <c r="CS38" i="2"/>
  <c r="CS45" i="2"/>
  <c r="BN54" i="4" l="1"/>
  <c r="BN317" i="112"/>
  <c r="BN116" i="4"/>
  <c r="CR33" i="4"/>
  <c r="BN56" i="4"/>
  <c r="BN57" i="4"/>
  <c r="BN61" i="4"/>
  <c r="BV557" i="111" s="1"/>
  <c r="BV551" i="111"/>
  <c r="BN71" i="2"/>
  <c r="BN70" i="2" s="1"/>
  <c r="BN128" i="4"/>
  <c r="CS39" i="2"/>
  <c r="CS107" i="4"/>
  <c r="CS33" i="4" s="1"/>
  <c r="AG124" i="11"/>
  <c r="CT38" i="2"/>
  <c r="CT45" i="2"/>
  <c r="CU44" i="2"/>
  <c r="CT74" i="4"/>
  <c r="BN73" i="2" l="1"/>
  <c r="BN65" i="2"/>
  <c r="BN318" i="112"/>
  <c r="AG152" i="11"/>
  <c r="AG89" i="11"/>
  <c r="CT39" i="2"/>
  <c r="CT107" i="4"/>
  <c r="CU45" i="2"/>
  <c r="CU38" i="2"/>
  <c r="CU41" i="2"/>
  <c r="Y39" i="27"/>
  <c r="BN319" i="112" l="1"/>
  <c r="AG179" i="11"/>
  <c r="AG19" i="76"/>
  <c r="AG22" i="76"/>
  <c r="BN129" i="4"/>
  <c r="BN67" i="2"/>
  <c r="BO61" i="2" s="1"/>
  <c r="BN98" i="4"/>
  <c r="BN99" i="4" s="1"/>
  <c r="CV44" i="2"/>
  <c r="CU74" i="4"/>
  <c r="CT33" i="4"/>
  <c r="CU39" i="2"/>
  <c r="CU107" i="4"/>
  <c r="CU33" i="4" s="1"/>
  <c r="BN100" i="4" l="1"/>
  <c r="BN102" i="2"/>
  <c r="BN132" i="4"/>
  <c r="BN134" i="4" s="1"/>
  <c r="BN139" i="4" s="1"/>
  <c r="AG26" i="76"/>
  <c r="CV45" i="2"/>
  <c r="CV38" i="2"/>
  <c r="CV41" i="2"/>
  <c r="BN140" i="4" l="1"/>
  <c r="BN68" i="4"/>
  <c r="CV39" i="2"/>
  <c r="CV107" i="4"/>
  <c r="CW44" i="2"/>
  <c r="CW41" i="2" s="1"/>
  <c r="CV74" i="4"/>
  <c r="BN101" i="2" l="1"/>
  <c r="BO137" i="4"/>
  <c r="BN72" i="4"/>
  <c r="BN79" i="4" s="1"/>
  <c r="CV33" i="4"/>
  <c r="CW74" i="4"/>
  <c r="AH124" i="11" s="1"/>
  <c r="CW45" i="2"/>
  <c r="CW38" i="2"/>
  <c r="BN120" i="2" l="1"/>
  <c r="BO106" i="2"/>
  <c r="CW39" i="2"/>
  <c r="CW107" i="4"/>
  <c r="Z39" i="27"/>
  <c r="CW33" i="4" l="1"/>
  <c r="AH152" i="11"/>
  <c r="BV542" i="111"/>
  <c r="BO123" i="2"/>
  <c r="BO130" i="2" s="1"/>
  <c r="BN121" i="2"/>
  <c r="BS107" i="2"/>
  <c r="BO108" i="2"/>
  <c r="BO128" i="4"/>
  <c r="BP105" i="2" l="1"/>
  <c r="BO109" i="2"/>
  <c r="BO119" i="2"/>
  <c r="BO117" i="2"/>
  <c r="BO82" i="4"/>
  <c r="BO124" i="2"/>
  <c r="BO129" i="2" s="1"/>
  <c r="BO157" i="2" s="1"/>
  <c r="BO39" i="4"/>
  <c r="AH89" i="11"/>
  <c r="BO156" i="2" l="1"/>
  <c r="BP157" i="2"/>
  <c r="BQ157" i="2" s="1"/>
  <c r="BR157" i="2" s="1"/>
  <c r="BS157" i="2" s="1"/>
  <c r="AH22" i="76"/>
  <c r="AN89" i="11"/>
  <c r="AH179" i="11"/>
  <c r="BO86" i="4"/>
  <c r="BO141" i="2" l="1"/>
  <c r="BO131" i="2"/>
  <c r="AH23" i="76"/>
  <c r="AH26" i="76"/>
  <c r="BT157" i="2"/>
  <c r="BO130" i="4" l="1"/>
  <c r="BO142" i="2"/>
  <c r="BO159" i="2"/>
  <c r="BO132" i="2"/>
  <c r="AH25" i="76"/>
  <c r="BU157" i="2"/>
  <c r="BO38" i="4" l="1"/>
  <c r="BO160" i="2"/>
  <c r="BP139" i="2"/>
  <c r="BP156" i="2"/>
  <c r="BO89" i="4"/>
  <c r="BO91" i="4" s="1"/>
  <c r="BO144" i="2"/>
  <c r="BV157" i="2"/>
  <c r="BP141" i="2" l="1"/>
  <c r="BP131" i="2"/>
  <c r="BP140" i="2"/>
  <c r="BO37" i="4"/>
  <c r="BW157" i="2"/>
  <c r="BP142" i="2" l="1"/>
  <c r="BP89" i="4" s="1"/>
  <c r="BP91" i="4" s="1"/>
  <c r="BP149" i="2"/>
  <c r="BP152" i="2" s="1"/>
  <c r="BP130" i="4"/>
  <c r="BP159" i="2"/>
  <c r="BO44" i="4"/>
  <c r="BW545" i="111"/>
  <c r="BX157" i="2"/>
  <c r="BP144" i="2" l="1"/>
  <c r="BQ156" i="2"/>
  <c r="BQ139" i="2"/>
  <c r="BQ140" i="2" s="1"/>
  <c r="BQ149" i="2" s="1"/>
  <c r="BO312" i="112"/>
  <c r="BO314" i="112"/>
  <c r="BP76" i="4"/>
  <c r="BQ148" i="2"/>
  <c r="BQ150" i="2" s="1"/>
  <c r="BQ57" i="2" s="1"/>
  <c r="BP160" i="2"/>
  <c r="BY157" i="2"/>
  <c r="BQ131" i="2" l="1"/>
  <c r="BQ141" i="2"/>
  <c r="BQ130" i="4" s="1"/>
  <c r="Z15" i="76"/>
  <c r="BQ108" i="4"/>
  <c r="BQ32" i="4"/>
  <c r="BQ152" i="2"/>
  <c r="BO311" i="112"/>
  <c r="BZ157" i="2"/>
  <c r="BQ159" i="2" l="1"/>
  <c r="BQ160" i="2" s="1"/>
  <c r="BQ142" i="2"/>
  <c r="BQ144" i="2" s="1"/>
  <c r="Z162" i="11"/>
  <c r="BR148" i="2"/>
  <c r="BR150" i="2" s="1"/>
  <c r="BR57" i="2" s="1"/>
  <c r="BQ76" i="4"/>
  <c r="Z88" i="11"/>
  <c r="BQ34" i="4"/>
  <c r="BO45" i="4"/>
  <c r="BO315" i="112"/>
  <c r="R64" i="27"/>
  <c r="Z153" i="11"/>
  <c r="CA157" i="2"/>
  <c r="BR139" i="2" l="1"/>
  <c r="BR140" i="2" s="1"/>
  <c r="BR149" i="2" s="1"/>
  <c r="BR152" i="2" s="1"/>
  <c r="BR76" i="4" s="1"/>
  <c r="BQ89" i="4"/>
  <c r="Z137" i="11" s="1"/>
  <c r="BR156" i="2"/>
  <c r="BR131" i="2" s="1"/>
  <c r="R11" i="27"/>
  <c r="R12" i="27" s="1"/>
  <c r="Z90" i="11"/>
  <c r="Z14" i="76"/>
  <c r="Z126" i="11"/>
  <c r="BO49" i="4"/>
  <c r="BO46" i="4"/>
  <c r="BO77" i="4"/>
  <c r="BO51" i="4"/>
  <c r="BR32" i="4"/>
  <c r="BR108" i="4"/>
  <c r="Z16" i="76"/>
  <c r="Z17" i="76" s="1"/>
  <c r="BQ35" i="4"/>
  <c r="BQ36" i="4"/>
  <c r="CB157" i="2"/>
  <c r="BR141" i="2" l="1"/>
  <c r="BR159" i="2" s="1"/>
  <c r="BQ91" i="4"/>
  <c r="BS148" i="2"/>
  <c r="BS150" i="2" s="1"/>
  <c r="BS57" i="2" s="1"/>
  <c r="BW554" i="111"/>
  <c r="BO55" i="4"/>
  <c r="BO62" i="4"/>
  <c r="BO78" i="4"/>
  <c r="BO131" i="4"/>
  <c r="BR130" i="4"/>
  <c r="BW548" i="111"/>
  <c r="BR142" i="2"/>
  <c r="BO62" i="2"/>
  <c r="BO53" i="4"/>
  <c r="BO105" i="4"/>
  <c r="BR34" i="4"/>
  <c r="Z91" i="11"/>
  <c r="M12" i="71"/>
  <c r="M42" i="71" s="1"/>
  <c r="AS14" i="71"/>
  <c r="AS44" i="71" s="1"/>
  <c r="Z13" i="76"/>
  <c r="Z18" i="76" s="1"/>
  <c r="Z21" i="76" s="1"/>
  <c r="R51" i="27"/>
  <c r="CC157" i="2"/>
  <c r="Z20" i="76" l="1"/>
  <c r="Z23" i="76"/>
  <c r="BO317" i="112"/>
  <c r="BO54" i="4"/>
  <c r="BR36" i="4"/>
  <c r="BR35" i="4"/>
  <c r="BO71" i="2"/>
  <c r="BO70" i="2" s="1"/>
  <c r="BS139" i="2"/>
  <c r="BS140" i="2" s="1"/>
  <c r="BS156" i="2"/>
  <c r="BR89" i="4"/>
  <c r="BR91" i="4" s="1"/>
  <c r="BR144" i="2"/>
  <c r="BW551" i="111"/>
  <c r="BO56" i="4"/>
  <c r="BO57" i="4"/>
  <c r="BO61" i="4"/>
  <c r="BW557" i="111" s="1"/>
  <c r="Z251" i="111"/>
  <c r="BO116" i="4"/>
  <c r="BR160" i="2"/>
  <c r="BS108" i="4"/>
  <c r="BS32" i="4"/>
  <c r="CD157" i="2"/>
  <c r="BS141" i="2" l="1"/>
  <c r="Z25" i="76"/>
  <c r="BS131" i="2"/>
  <c r="BS149" i="2"/>
  <c r="BS152" i="2" s="1"/>
  <c r="BT148" i="2" s="1"/>
  <c r="BO318" i="112"/>
  <c r="BO73" i="2"/>
  <c r="BO65" i="2"/>
  <c r="CE157" i="2"/>
  <c r="BS34" i="4"/>
  <c r="BS76" i="4" l="1"/>
  <c r="BS130" i="4"/>
  <c r="BS159" i="2"/>
  <c r="BS142" i="2"/>
  <c r="BO129" i="4"/>
  <c r="BO67" i="2"/>
  <c r="BP61" i="2" s="1"/>
  <c r="BO98" i="4"/>
  <c r="BO99" i="4" s="1"/>
  <c r="BO319" i="112"/>
  <c r="BS36" i="4"/>
  <c r="BS35" i="4"/>
  <c r="BT150" i="2"/>
  <c r="BT57" i="2" s="1"/>
  <c r="CF157" i="2"/>
  <c r="BO100" i="4" l="1"/>
  <c r="BO132" i="4"/>
  <c r="BO134" i="4" s="1"/>
  <c r="BO139" i="4" s="1"/>
  <c r="BO102" i="2"/>
  <c r="BS89" i="4"/>
  <c r="BS91" i="4" s="1"/>
  <c r="BS144" i="2"/>
  <c r="BT156" i="2"/>
  <c r="BT139" i="2"/>
  <c r="BT140" i="2" s="1"/>
  <c r="BS160" i="2"/>
  <c r="BT108" i="4"/>
  <c r="BT32" i="4"/>
  <c r="CG157" i="2"/>
  <c r="BT141" i="2" l="1"/>
  <c r="BO140" i="4"/>
  <c r="BO68" i="4"/>
  <c r="BT131" i="2"/>
  <c r="BT149" i="2"/>
  <c r="BT152" i="2" s="1"/>
  <c r="BT76" i="4" s="1"/>
  <c r="BT34" i="4"/>
  <c r="CH157" i="2"/>
  <c r="BU148" i="2" l="1"/>
  <c r="BU150" i="2" s="1"/>
  <c r="BU57" i="2" s="1"/>
  <c r="BO101" i="2"/>
  <c r="BP137" i="4"/>
  <c r="BO72" i="4"/>
  <c r="BO79" i="4" s="1"/>
  <c r="BT142" i="2"/>
  <c r="BT159" i="2"/>
  <c r="BT130" i="4"/>
  <c r="CI157" i="2"/>
  <c r="BT36" i="4"/>
  <c r="BT35" i="4"/>
  <c r="BT160" i="2" l="1"/>
  <c r="BU139" i="2"/>
  <c r="BT89" i="4"/>
  <c r="BT91" i="4" s="1"/>
  <c r="BT144" i="2"/>
  <c r="BU156" i="2"/>
  <c r="BU141" i="2" s="1"/>
  <c r="BO120" i="2"/>
  <c r="BP106" i="2"/>
  <c r="CJ157" i="2"/>
  <c r="BU108" i="4"/>
  <c r="BU32" i="4"/>
  <c r="AA88" i="11" s="1"/>
  <c r="BU140" i="2" l="1"/>
  <c r="BP108" i="2"/>
  <c r="BP128" i="4"/>
  <c r="BT107" i="2"/>
  <c r="BO121" i="2"/>
  <c r="BW542" i="111"/>
  <c r="BP123" i="2"/>
  <c r="BP130" i="2" s="1"/>
  <c r="BU131" i="2"/>
  <c r="AA14" i="76"/>
  <c r="AL88" i="11"/>
  <c r="AA90" i="11"/>
  <c r="S11" i="27"/>
  <c r="S12" i="27" s="1"/>
  <c r="S64" i="27"/>
  <c r="AA153" i="11"/>
  <c r="BU34" i="4"/>
  <c r="CK157" i="2"/>
  <c r="BU142" i="2" l="1"/>
  <c r="BV139" i="2" s="1"/>
  <c r="BV140" i="2" s="1"/>
  <c r="BV149" i="2" s="1"/>
  <c r="BP124" i="2"/>
  <c r="BP129" i="2" s="1"/>
  <c r="BP39" i="4"/>
  <c r="BP132" i="2"/>
  <c r="BP82" i="4"/>
  <c r="BP117" i="2"/>
  <c r="BQ105" i="2"/>
  <c r="BP109" i="2"/>
  <c r="BP119" i="2"/>
  <c r="N12" i="71"/>
  <c r="N42" i="71" s="1"/>
  <c r="AL90" i="11"/>
  <c r="AA91" i="11"/>
  <c r="AA13" i="76"/>
  <c r="AT14" i="71"/>
  <c r="AT44" i="71" s="1"/>
  <c r="BU130" i="4"/>
  <c r="BU159" i="2"/>
  <c r="BU149" i="2"/>
  <c r="BU152" i="2" s="1"/>
  <c r="AA15" i="76"/>
  <c r="BU36" i="4"/>
  <c r="BU35" i="4"/>
  <c r="CL157" i="2"/>
  <c r="BU89" i="4" l="1"/>
  <c r="AA137" i="11" s="1"/>
  <c r="BU144" i="2"/>
  <c r="BV156" i="2"/>
  <c r="BU76" i="4"/>
  <c r="BV148" i="2"/>
  <c r="BV150" i="2" s="1"/>
  <c r="BV57" i="2" s="1"/>
  <c r="BV32" i="4" s="1"/>
  <c r="BU160" i="2"/>
  <c r="AA251" i="111"/>
  <c r="BP38" i="4"/>
  <c r="AA162" i="11"/>
  <c r="BP86" i="4"/>
  <c r="CM157" i="2"/>
  <c r="BV141" i="2" l="1"/>
  <c r="BV142" i="2" s="1"/>
  <c r="BU91" i="4"/>
  <c r="BV131" i="2"/>
  <c r="BV108" i="4"/>
  <c r="BV152" i="2"/>
  <c r="S51" i="27"/>
  <c r="BP37" i="4"/>
  <c r="AA16" i="76"/>
  <c r="AA17" i="76" s="1"/>
  <c r="AA18" i="76" s="1"/>
  <c r="AA21" i="76" s="1"/>
  <c r="AA126" i="11"/>
  <c r="BV34" i="4"/>
  <c r="CN157" i="2"/>
  <c r="BV130" i="4" l="1"/>
  <c r="BV76" i="4"/>
  <c r="BW148" i="2"/>
  <c r="BW150" i="2" s="1"/>
  <c r="BW57" i="2" s="1"/>
  <c r="BW108" i="4" s="1"/>
  <c r="BW139" i="2"/>
  <c r="BW140" i="2" s="1"/>
  <c r="BW149" i="2" s="1"/>
  <c r="BV144" i="2"/>
  <c r="BV89" i="4"/>
  <c r="BV91" i="4" s="1"/>
  <c r="BW156" i="2"/>
  <c r="BX545" i="111"/>
  <c r="BP44" i="4"/>
  <c r="AA23" i="76"/>
  <c r="AA20" i="76"/>
  <c r="BV35" i="4"/>
  <c r="BV36" i="4"/>
  <c r="CO157" i="2"/>
  <c r="BW141" i="2" l="1"/>
  <c r="BW152" i="2"/>
  <c r="BX148" i="2" s="1"/>
  <c r="BX150" i="2" s="1"/>
  <c r="BX57" i="2" s="1"/>
  <c r="BW32" i="4"/>
  <c r="BW34" i="4" s="1"/>
  <c r="AA25" i="76"/>
  <c r="BW131" i="2"/>
  <c r="BP314" i="112"/>
  <c r="BP312" i="112"/>
  <c r="CP157" i="2"/>
  <c r="BW76" i="4" l="1"/>
  <c r="BP311" i="112"/>
  <c r="BW130" i="4"/>
  <c r="BW142" i="2"/>
  <c r="CQ157" i="2"/>
  <c r="BX108" i="4"/>
  <c r="BX32" i="4"/>
  <c r="BW35" i="4"/>
  <c r="BW36" i="4"/>
  <c r="BP315" i="112" l="1"/>
  <c r="BP45" i="4"/>
  <c r="BX156" i="2"/>
  <c r="BX139" i="2"/>
  <c r="BW89" i="4"/>
  <c r="BW91" i="4" s="1"/>
  <c r="BW144" i="2"/>
  <c r="CR157" i="2"/>
  <c r="BX34" i="4"/>
  <c r="BX141" i="2" l="1"/>
  <c r="BX130" i="4" s="1"/>
  <c r="BX131" i="2"/>
  <c r="BX140" i="2"/>
  <c r="BX149" i="2" s="1"/>
  <c r="BX152" i="2" s="1"/>
  <c r="BP46" i="4"/>
  <c r="BP77" i="4"/>
  <c r="BP51" i="4"/>
  <c r="BP49" i="4"/>
  <c r="CS157" i="2"/>
  <c r="BX35" i="4"/>
  <c r="BX36" i="4"/>
  <c r="BX142" i="2" l="1"/>
  <c r="BY156" i="2" s="1"/>
  <c r="BX548" i="111"/>
  <c r="BP62" i="2"/>
  <c r="BP105" i="4"/>
  <c r="BP53" i="4"/>
  <c r="BP62" i="4"/>
  <c r="BX554" i="111"/>
  <c r="BP55" i="4"/>
  <c r="BX76" i="4"/>
  <c r="BY148" i="2"/>
  <c r="BP78" i="4"/>
  <c r="BP131" i="4"/>
  <c r="CT157" i="2"/>
  <c r="BY141" i="2" l="1"/>
  <c r="BY130" i="4" s="1"/>
  <c r="BY139" i="2"/>
  <c r="BY140" i="2" s="1"/>
  <c r="BY149" i="2" s="1"/>
  <c r="BX144" i="2"/>
  <c r="BX89" i="4"/>
  <c r="BX91" i="4" s="1"/>
  <c r="BX551" i="111"/>
  <c r="BP57" i="4"/>
  <c r="BP56" i="4"/>
  <c r="BP61" i="4"/>
  <c r="BX557" i="111" s="1"/>
  <c r="BP71" i="2"/>
  <c r="BP70" i="2" s="1"/>
  <c r="BY131" i="2"/>
  <c r="BP54" i="4"/>
  <c r="BP317" i="112"/>
  <c r="BY150" i="2"/>
  <c r="BY57" i="2" s="1"/>
  <c r="BP116" i="4"/>
  <c r="CU157" i="2"/>
  <c r="BY152" i="2" l="1"/>
  <c r="BY76" i="4" s="1"/>
  <c r="BY108" i="4"/>
  <c r="BY32" i="4"/>
  <c r="AB15" i="76"/>
  <c r="AB162" i="11"/>
  <c r="BP73" i="2"/>
  <c r="BP65" i="2"/>
  <c r="BP318" i="112"/>
  <c r="BY142" i="2"/>
  <c r="CV157" i="2"/>
  <c r="BZ148" i="2" l="1"/>
  <c r="BZ150" i="2" s="1"/>
  <c r="BZ57" i="2" s="1"/>
  <c r="BZ108" i="4" s="1"/>
  <c r="BP129" i="4"/>
  <c r="BP67" i="2"/>
  <c r="BQ61" i="2" s="1"/>
  <c r="BP98" i="4"/>
  <c r="BP99" i="4" s="1"/>
  <c r="AB88" i="11"/>
  <c r="BY34" i="4"/>
  <c r="T64" i="27"/>
  <c r="AB153" i="11"/>
  <c r="AB16" i="76"/>
  <c r="AB17" i="76" s="1"/>
  <c r="BZ139" i="2"/>
  <c r="BY144" i="2"/>
  <c r="BZ156" i="2"/>
  <c r="BZ141" i="2" s="1"/>
  <c r="BY89" i="4"/>
  <c r="BP319" i="112"/>
  <c r="AB126" i="11"/>
  <c r="CW157" i="2"/>
  <c r="BZ32" i="4" l="1"/>
  <c r="BZ34" i="4" s="1"/>
  <c r="BZ140" i="2"/>
  <c r="BZ149" i="2" s="1"/>
  <c r="BZ152" i="2" s="1"/>
  <c r="BY35" i="4"/>
  <c r="BY36" i="4"/>
  <c r="AB90" i="11"/>
  <c r="T11" i="27"/>
  <c r="T12" i="27" s="1"/>
  <c r="AB14" i="76"/>
  <c r="BP100" i="4"/>
  <c r="BY91" i="4"/>
  <c r="AB137" i="11"/>
  <c r="BZ131" i="2"/>
  <c r="BZ130" i="4"/>
  <c r="BP132" i="4"/>
  <c r="BP134" i="4" s="1"/>
  <c r="BP139" i="4" s="1"/>
  <c r="BP102" i="2"/>
  <c r="BZ36" i="4" l="1"/>
  <c r="BZ35" i="4"/>
  <c r="AB13" i="76"/>
  <c r="AB18" i="76" s="1"/>
  <c r="AB21" i="76" s="1"/>
  <c r="AB91" i="11"/>
  <c r="CA148" i="2"/>
  <c r="CA150" i="2" s="1"/>
  <c r="CA57" i="2" s="1"/>
  <c r="BZ76" i="4"/>
  <c r="T51" i="27"/>
  <c r="BP140" i="4"/>
  <c r="BP68" i="4"/>
  <c r="BZ142" i="2"/>
  <c r="AB23" i="76" l="1"/>
  <c r="AB20" i="76"/>
  <c r="CA108" i="4"/>
  <c r="CA32" i="4"/>
  <c r="BP72" i="4"/>
  <c r="BP79" i="4" s="1"/>
  <c r="BP101" i="2"/>
  <c r="BQ137" i="4"/>
  <c r="AB251" i="111"/>
  <c r="CA156" i="2"/>
  <c r="CA141" i="2" s="1"/>
  <c r="CA139" i="2"/>
  <c r="BZ89" i="4"/>
  <c r="BZ91" i="4" s="1"/>
  <c r="BZ144" i="2"/>
  <c r="CA140" i="2" l="1"/>
  <c r="CA149" i="2" s="1"/>
  <c r="CA152" i="2" s="1"/>
  <c r="BQ106" i="2"/>
  <c r="BP120" i="2"/>
  <c r="CA131" i="2"/>
  <c r="CA130" i="4"/>
  <c r="AB25" i="76"/>
  <c r="CA34" i="4"/>
  <c r="CA142" i="2" l="1"/>
  <c r="CA89" i="4" s="1"/>
  <c r="CA91" i="4" s="1"/>
  <c r="BQ123" i="2"/>
  <c r="BQ130" i="2" s="1"/>
  <c r="BX542" i="111"/>
  <c r="BP121" i="2"/>
  <c r="CA36" i="4"/>
  <c r="CA35" i="4"/>
  <c r="BQ108" i="2"/>
  <c r="BU107" i="2"/>
  <c r="BQ128" i="4"/>
  <c r="CA76" i="4"/>
  <c r="CB148" i="2"/>
  <c r="CA144" i="2" l="1"/>
  <c r="CB139" i="2"/>
  <c r="CB140" i="2" s="1"/>
  <c r="CB149" i="2" s="1"/>
  <c r="CB156" i="2"/>
  <c r="CB141" i="2" s="1"/>
  <c r="CB150" i="2"/>
  <c r="CB57" i="2" s="1"/>
  <c r="R81" i="27"/>
  <c r="Z161" i="11"/>
  <c r="BR105" i="2"/>
  <c r="BQ117" i="2"/>
  <c r="BQ109" i="2"/>
  <c r="BQ119" i="2"/>
  <c r="BQ82" i="4"/>
  <c r="BQ39" i="4"/>
  <c r="BQ124" i="2"/>
  <c r="BQ129" i="2" s="1"/>
  <c r="BQ132" i="2"/>
  <c r="CB131" i="2" l="1"/>
  <c r="CB152" i="2"/>
  <c r="CB76" i="4" s="1"/>
  <c r="BQ38" i="4"/>
  <c r="Z93" i="11"/>
  <c r="CB130" i="4"/>
  <c r="CB142" i="2"/>
  <c r="CB108" i="4"/>
  <c r="CB32" i="4"/>
  <c r="BQ86" i="4"/>
  <c r="Z135" i="11"/>
  <c r="CC148" i="2" l="1"/>
  <c r="CC150" i="2" s="1"/>
  <c r="CC57" i="2" s="1"/>
  <c r="CC108" i="4" s="1"/>
  <c r="U64" i="27" s="1"/>
  <c r="Z387" i="111"/>
  <c r="Z58" i="76"/>
  <c r="Z180" i="11"/>
  <c r="R49" i="27"/>
  <c r="CB34" i="4"/>
  <c r="BQ37" i="4"/>
  <c r="CB144" i="2"/>
  <c r="CB89" i="4"/>
  <c r="CB91" i="4" s="1"/>
  <c r="CC139" i="2"/>
  <c r="CC140" i="2" s="1"/>
  <c r="CC149" i="2" s="1"/>
  <c r="CC156" i="2"/>
  <c r="CC141" i="2" s="1"/>
  <c r="AC153" i="11" l="1"/>
  <c r="CC152" i="2"/>
  <c r="CC76" i="4" s="1"/>
  <c r="AC126" i="11" s="1"/>
  <c r="CC32" i="4"/>
  <c r="Z50" i="76"/>
  <c r="CC131" i="2"/>
  <c r="Z92" i="11"/>
  <c r="BQ44" i="4"/>
  <c r="BY545" i="111"/>
  <c r="CB35" i="4"/>
  <c r="CB36" i="4"/>
  <c r="CD148" i="2" l="1"/>
  <c r="CD150" i="2" s="1"/>
  <c r="CD57" i="2" s="1"/>
  <c r="CD32" i="4" s="1"/>
  <c r="CC34" i="4"/>
  <c r="AC88" i="11"/>
  <c r="AC15" i="76"/>
  <c r="BQ312" i="112"/>
  <c r="BQ314" i="112"/>
  <c r="CC130" i="4"/>
  <c r="CC142" i="2"/>
  <c r="R13" i="27"/>
  <c r="R15" i="27" s="1"/>
  <c r="Z96" i="11"/>
  <c r="Z48" i="76"/>
  <c r="CD108" i="4" l="1"/>
  <c r="AC90" i="11"/>
  <c r="AC14" i="76"/>
  <c r="U11" i="27"/>
  <c r="U12" i="27" s="1"/>
  <c r="CC35" i="4"/>
  <c r="CC36" i="4"/>
  <c r="CC89" i="4"/>
  <c r="CD139" i="2"/>
  <c r="CC144" i="2"/>
  <c r="CD156" i="2"/>
  <c r="CD141" i="2" s="1"/>
  <c r="AC162" i="11"/>
  <c r="Z55" i="76"/>
  <c r="BQ311" i="112"/>
  <c r="CD34" i="4"/>
  <c r="AC91" i="11" l="1"/>
  <c r="AC13" i="76"/>
  <c r="AC137" i="11"/>
  <c r="CC91" i="4"/>
  <c r="BQ45" i="4"/>
  <c r="BQ315" i="112"/>
  <c r="AC16" i="76"/>
  <c r="AC17" i="76" s="1"/>
  <c r="Z46" i="76"/>
  <c r="CD130" i="4"/>
  <c r="CD131" i="2"/>
  <c r="CD140" i="2"/>
  <c r="CD149" i="2" s="1"/>
  <c r="CD152" i="2" s="1"/>
  <c r="CD35" i="4"/>
  <c r="CD36" i="4"/>
  <c r="AC18" i="76" l="1"/>
  <c r="AC21" i="76" s="1"/>
  <c r="AC251" i="111"/>
  <c r="CD142" i="2"/>
  <c r="Z97" i="11"/>
  <c r="BQ77" i="4"/>
  <c r="BQ46" i="4"/>
  <c r="BQ51" i="4"/>
  <c r="BQ49" i="4"/>
  <c r="CD76" i="4"/>
  <c r="CE148" i="2"/>
  <c r="CE150" i="2" s="1"/>
  <c r="CE57" i="2" s="1"/>
  <c r="U51" i="27"/>
  <c r="AC20" i="76" l="1"/>
  <c r="AC23" i="76"/>
  <c r="BY548" i="111"/>
  <c r="BQ78" i="4"/>
  <c r="Z127" i="11"/>
  <c r="BQ131" i="4"/>
  <c r="CE108" i="4"/>
  <c r="CE32" i="4"/>
  <c r="BQ105" i="4"/>
  <c r="BQ53" i="4"/>
  <c r="BQ62" i="2"/>
  <c r="Z98" i="11"/>
  <c r="R16" i="27"/>
  <c r="R17" i="27" s="1"/>
  <c r="Z108" i="11"/>
  <c r="Z102" i="11"/>
  <c r="Z106" i="11"/>
  <c r="Z99" i="11"/>
  <c r="CD89" i="4"/>
  <c r="CD91" i="4" s="1"/>
  <c r="CD144" i="2"/>
  <c r="CE156" i="2"/>
  <c r="CE141" i="2" s="1"/>
  <c r="CE139" i="2"/>
  <c r="BQ55" i="4"/>
  <c r="BQ62" i="4"/>
  <c r="BY554" i="111"/>
  <c r="AC25" i="76" l="1"/>
  <c r="R30" i="27"/>
  <c r="Z29" i="46"/>
  <c r="Z109" i="11"/>
  <c r="BQ71" i="2"/>
  <c r="BQ70" i="2" s="1"/>
  <c r="BQ54" i="4"/>
  <c r="BQ317" i="112"/>
  <c r="CE34" i="4"/>
  <c r="Z107" i="11"/>
  <c r="R21" i="27"/>
  <c r="R26" i="27" s="1"/>
  <c r="AS15" i="71"/>
  <c r="M13" i="71"/>
  <c r="BQ116" i="4"/>
  <c r="R61" i="27"/>
  <c r="R71" i="27" s="1"/>
  <c r="Z151" i="11"/>
  <c r="CE140" i="2"/>
  <c r="CE149" i="2" s="1"/>
  <c r="CE152" i="2" s="1"/>
  <c r="Z104" i="11"/>
  <c r="Z159" i="11"/>
  <c r="R83" i="27"/>
  <c r="Z29" i="76"/>
  <c r="BY551" i="111"/>
  <c r="BQ61" i="4"/>
  <c r="BY557" i="111" s="1"/>
  <c r="BQ57" i="4"/>
  <c r="BQ56" i="4"/>
  <c r="CE131" i="2"/>
  <c r="CE130" i="4"/>
  <c r="Z196" i="11"/>
  <c r="Z115" i="11"/>
  <c r="R20" i="27"/>
  <c r="R127" i="27" s="1"/>
  <c r="Z128" i="11"/>
  <c r="R41" i="27"/>
  <c r="R42" i="27" s="1"/>
  <c r="M43" i="71" l="1"/>
  <c r="CE36" i="4"/>
  <c r="CE35" i="4"/>
  <c r="Z383" i="111"/>
  <c r="Z30" i="76"/>
  <c r="Z845" i="111"/>
  <c r="Z116" i="11"/>
  <c r="Z114" i="11"/>
  <c r="Z197" i="11"/>
  <c r="Z252" i="111"/>
  <c r="BQ318" i="112"/>
  <c r="BQ65" i="2"/>
  <c r="BQ73" i="2"/>
  <c r="CE142" i="2"/>
  <c r="Z155" i="11"/>
  <c r="AS45" i="71"/>
  <c r="AP63" i="71"/>
  <c r="CE76" i="4"/>
  <c r="CF148" i="2"/>
  <c r="CF150" i="2" s="1"/>
  <c r="CF57" i="2" s="1"/>
  <c r="Z173" i="11"/>
  <c r="AP65" i="71" l="1"/>
  <c r="Z303" i="111"/>
  <c r="CE144" i="2"/>
  <c r="CF156" i="2"/>
  <c r="CF141" i="2" s="1"/>
  <c r="CE89" i="4"/>
  <c r="CE91" i="4" s="1"/>
  <c r="CF139" i="2"/>
  <c r="CF108" i="4"/>
  <c r="CF32" i="4"/>
  <c r="AS16" i="71"/>
  <c r="AS46" i="71" s="1"/>
  <c r="R33" i="27"/>
  <c r="M14" i="71"/>
  <c r="M47" i="71" s="1"/>
  <c r="AB33" i="71"/>
  <c r="Z30" i="46"/>
  <c r="R97" i="27"/>
  <c r="AS17" i="71"/>
  <c r="AS47" i="71" s="1"/>
  <c r="Z31" i="76"/>
  <c r="R32" i="27"/>
  <c r="AB34" i="71"/>
  <c r="AB35" i="71"/>
  <c r="Z199" i="11"/>
  <c r="M15" i="71"/>
  <c r="Z304" i="111"/>
  <c r="Z289" i="111"/>
  <c r="BQ129" i="4"/>
  <c r="BQ67" i="2"/>
  <c r="BR61" i="2" s="1"/>
  <c r="BQ98" i="4"/>
  <c r="Z288" i="111"/>
  <c r="BQ319" i="112"/>
  <c r="Z117" i="11"/>
  <c r="W7" i="76"/>
  <c r="AI7" i="76"/>
  <c r="Z68" i="46"/>
  <c r="R82" i="27" l="1"/>
  <c r="R84" i="27" s="1"/>
  <c r="R88" i="27" s="1"/>
  <c r="R90" i="27" s="1"/>
  <c r="S89" i="27" s="1"/>
  <c r="Z156" i="11"/>
  <c r="BQ132" i="4"/>
  <c r="BQ134" i="4" s="1"/>
  <c r="BQ139" i="4" s="1"/>
  <c r="BQ102" i="2"/>
  <c r="CF131" i="2"/>
  <c r="CF130" i="4"/>
  <c r="Z118" i="11"/>
  <c r="CF34" i="4"/>
  <c r="BQ99" i="4"/>
  <c r="R56" i="27"/>
  <c r="R111" i="27" s="1"/>
  <c r="M16" i="71"/>
  <c r="M44" i="71"/>
  <c r="Z70" i="46"/>
  <c r="CF140" i="2"/>
  <c r="CF149" i="2" s="1"/>
  <c r="CF152" i="2" s="1"/>
  <c r="CF142" i="2" l="1"/>
  <c r="CF144" i="2" s="1"/>
  <c r="R27" i="27"/>
  <c r="Z302" i="111"/>
  <c r="AB40" i="71"/>
  <c r="BQ140" i="4"/>
  <c r="BQ68" i="4"/>
  <c r="Z200" i="11"/>
  <c r="Z160" i="11"/>
  <c r="Z140" i="11"/>
  <c r="BQ100" i="4"/>
  <c r="CG148" i="2"/>
  <c r="CG150" i="2" s="1"/>
  <c r="CG57" i="2" s="1"/>
  <c r="CF76" i="4"/>
  <c r="CF36" i="4"/>
  <c r="CF35" i="4"/>
  <c r="CG156" i="2" l="1"/>
  <c r="CG139" i="2"/>
  <c r="CG140" i="2" s="1"/>
  <c r="CG149" i="2" s="1"/>
  <c r="CG152" i="2" s="1"/>
  <c r="CG76" i="4" s="1"/>
  <c r="AD126" i="11" s="1"/>
  <c r="CF89" i="4"/>
  <c r="CF91" i="4" s="1"/>
  <c r="Z71" i="46"/>
  <c r="CG108" i="4"/>
  <c r="CG32" i="4"/>
  <c r="R52" i="27"/>
  <c r="Z388" i="111"/>
  <c r="Z198" i="11"/>
  <c r="Z142" i="11"/>
  <c r="Z170" i="11"/>
  <c r="Z167" i="11"/>
  <c r="Z176" i="11"/>
  <c r="Z177" i="11"/>
  <c r="Z163" i="11"/>
  <c r="BR137" i="4"/>
  <c r="BQ101" i="2"/>
  <c r="Z129" i="11"/>
  <c r="BQ72" i="4"/>
  <c r="BQ79" i="4" s="1"/>
  <c r="CG131" i="2" l="1"/>
  <c r="AD15" i="76" s="1"/>
  <c r="CG141" i="2"/>
  <c r="CG130" i="4" s="1"/>
  <c r="CH148" i="2"/>
  <c r="CH150" i="2" s="1"/>
  <c r="CH57" i="2" s="1"/>
  <c r="CH108" i="4" s="1"/>
  <c r="Z381" i="111"/>
  <c r="Z169" i="11"/>
  <c r="R43" i="27"/>
  <c r="Z166" i="11"/>
  <c r="Z133" i="11"/>
  <c r="Z69" i="46"/>
  <c r="AA7" i="76"/>
  <c r="BQ120" i="2"/>
  <c r="BR106" i="2"/>
  <c r="Z393" i="111"/>
  <c r="AD88" i="11"/>
  <c r="CG34" i="4"/>
  <c r="Z36" i="46"/>
  <c r="V64" i="27"/>
  <c r="AD153" i="11"/>
  <c r="R129" i="27"/>
  <c r="R58" i="27"/>
  <c r="Z389" i="111"/>
  <c r="CG142" i="2" l="1"/>
  <c r="CG89" i="4" s="1"/>
  <c r="CH32" i="4"/>
  <c r="CH34" i="4" s="1"/>
  <c r="R131" i="27"/>
  <c r="R47" i="27"/>
  <c r="M18" i="71"/>
  <c r="M45" i="71" s="1"/>
  <c r="Z171" i="11"/>
  <c r="Z191" i="11"/>
  <c r="R31" i="27"/>
  <c r="AS18" i="71"/>
  <c r="AS48" i="71" s="1"/>
  <c r="AD162" i="11"/>
  <c r="CG36" i="4"/>
  <c r="CG35" i="4"/>
  <c r="Z846" i="111"/>
  <c r="Z847" i="111"/>
  <c r="Z174" i="11"/>
  <c r="Z175" i="11"/>
  <c r="BR108" i="2"/>
  <c r="BR128" i="4"/>
  <c r="BV107" i="2"/>
  <c r="V11" i="27"/>
  <c r="V12" i="27" s="1"/>
  <c r="AD90" i="11"/>
  <c r="AM88" i="11"/>
  <c r="AD14" i="76"/>
  <c r="BY542" i="111"/>
  <c r="BQ121" i="2"/>
  <c r="BR123" i="2"/>
  <c r="BR130" i="2" s="1"/>
  <c r="Z178" i="11"/>
  <c r="I11" i="92"/>
  <c r="Z168" i="11"/>
  <c r="Z190" i="11"/>
  <c r="AB37" i="71"/>
  <c r="Z32" i="46"/>
  <c r="CG144" i="2" l="1"/>
  <c r="CH139" i="2"/>
  <c r="CH140" i="2" s="1"/>
  <c r="CH149" i="2" s="1"/>
  <c r="CH152" i="2" s="1"/>
  <c r="CI148" i="2" s="1"/>
  <c r="CI150" i="2" s="1"/>
  <c r="CI57" i="2" s="1"/>
  <c r="CH156" i="2"/>
  <c r="CH141" i="2" s="1"/>
  <c r="J11" i="92"/>
  <c r="I13" i="92"/>
  <c r="J13" i="92" s="1"/>
  <c r="Z37" i="46"/>
  <c r="BR82" i="4"/>
  <c r="BR117" i="2"/>
  <c r="BR109" i="2"/>
  <c r="BS105" i="2"/>
  <c r="BR119" i="2"/>
  <c r="AD16" i="76"/>
  <c r="AD17" i="76" s="1"/>
  <c r="AD137" i="11"/>
  <c r="CG91" i="4"/>
  <c r="AB38" i="71"/>
  <c r="AS19" i="71"/>
  <c r="AS49" i="71" s="1"/>
  <c r="M19" i="71"/>
  <c r="M46" i="71" s="1"/>
  <c r="Z392" i="111"/>
  <c r="Z195" i="11"/>
  <c r="Z193" i="11"/>
  <c r="Z33" i="46"/>
  <c r="Z192" i="11"/>
  <c r="Z194" i="11"/>
  <c r="BR124" i="2"/>
  <c r="BR129" i="2" s="1"/>
  <c r="BR39" i="4"/>
  <c r="BR132" i="2"/>
  <c r="AD91" i="11"/>
  <c r="AM90" i="11"/>
  <c r="AD13" i="76"/>
  <c r="Z848" i="111"/>
  <c r="CH35" i="4"/>
  <c r="CH36" i="4"/>
  <c r="CH131" i="2" l="1"/>
  <c r="CH76" i="4"/>
  <c r="AD18" i="76"/>
  <c r="AD21" i="76" s="1"/>
  <c r="AD20" i="76" s="1"/>
  <c r="S7" i="76"/>
  <c r="Z67" i="46"/>
  <c r="AE7" i="76"/>
  <c r="V51" i="27"/>
  <c r="AD251" i="111"/>
  <c r="CH130" i="4"/>
  <c r="CH142" i="2"/>
  <c r="BR38" i="4"/>
  <c r="BR86" i="4"/>
  <c r="BS336" i="8"/>
  <c r="K13" i="92"/>
  <c r="J16" i="92"/>
  <c r="CI108" i="4"/>
  <c r="CI32" i="4"/>
  <c r="AD23" i="76" l="1"/>
  <c r="CH144" i="2"/>
  <c r="CI156" i="2"/>
  <c r="CI141" i="2" s="1"/>
  <c r="CI139" i="2"/>
  <c r="CI140" i="2" s="1"/>
  <c r="CI149" i="2" s="1"/>
  <c r="CI152" i="2" s="1"/>
  <c r="CI76" i="4" s="1"/>
  <c r="CH89" i="4"/>
  <c r="CH91" i="4" s="1"/>
  <c r="BR37" i="4"/>
  <c r="CI34" i="4"/>
  <c r="AD25" i="76" l="1"/>
  <c r="CJ148" i="2"/>
  <c r="CJ150" i="2" s="1"/>
  <c r="CJ57" i="2" s="1"/>
  <c r="CI131" i="2"/>
  <c r="CI130" i="4"/>
  <c r="BR44" i="4"/>
  <c r="BZ545" i="111"/>
  <c r="CI35" i="4"/>
  <c r="CI36" i="4"/>
  <c r="CI142" i="2" l="1"/>
  <c r="CI144" i="2" s="1"/>
  <c r="BR314" i="112"/>
  <c r="BR312" i="112"/>
  <c r="CJ108" i="4"/>
  <c r="CJ32" i="4"/>
  <c r="CJ156" i="2" l="1"/>
  <c r="CJ139" i="2"/>
  <c r="CJ140" i="2" s="1"/>
  <c r="CJ149" i="2" s="1"/>
  <c r="CJ152" i="2" s="1"/>
  <c r="CJ76" i="4" s="1"/>
  <c r="CI89" i="4"/>
  <c r="CI91" i="4" s="1"/>
  <c r="BR311" i="112"/>
  <c r="CJ34" i="4"/>
  <c r="CJ141" i="2" l="1"/>
  <c r="CJ130" i="4" s="1"/>
  <c r="CJ131" i="2"/>
  <c r="CK148" i="2"/>
  <c r="CK150" i="2" s="1"/>
  <c r="CK57" i="2" s="1"/>
  <c r="CK32" i="4" s="1"/>
  <c r="BR45" i="4"/>
  <c r="BR315" i="112"/>
  <c r="CJ35" i="4"/>
  <c r="CJ36" i="4"/>
  <c r="CJ142" i="2" l="1"/>
  <c r="CJ89" i="4" s="1"/>
  <c r="CJ91" i="4" s="1"/>
  <c r="CK108" i="4"/>
  <c r="AE153" i="11" s="1"/>
  <c r="BR77" i="4"/>
  <c r="BR46" i="4"/>
  <c r="BR51" i="4"/>
  <c r="BR49" i="4"/>
  <c r="AE88" i="11"/>
  <c r="CK34" i="4"/>
  <c r="CK156" i="2" l="1"/>
  <c r="CK141" i="2" s="1"/>
  <c r="CJ144" i="2"/>
  <c r="CK139" i="2"/>
  <c r="CK140" i="2" s="1"/>
  <c r="CK149" i="2" s="1"/>
  <c r="CK152" i="2" s="1"/>
  <c r="CL148" i="2" s="1"/>
  <c r="CL150" i="2" s="1"/>
  <c r="CL57" i="2" s="1"/>
  <c r="W64" i="27"/>
  <c r="BR78" i="4"/>
  <c r="BR131" i="4"/>
  <c r="CK131" i="2"/>
  <c r="CK130" i="4"/>
  <c r="BR62" i="2"/>
  <c r="BR105" i="4"/>
  <c r="BR53" i="4"/>
  <c r="AE90" i="11"/>
  <c r="W11" i="27"/>
  <c r="W12" i="27" s="1"/>
  <c r="AE14" i="76"/>
  <c r="BZ554" i="111"/>
  <c r="BR317" i="112"/>
  <c r="BR55" i="4"/>
  <c r="BR62" i="4"/>
  <c r="BZ548" i="111"/>
  <c r="CK36" i="4"/>
  <c r="CK35" i="4"/>
  <c r="CK76" i="4" l="1"/>
  <c r="AE126" i="11" s="1"/>
  <c r="CK142" i="2"/>
  <c r="CK144" i="2" s="1"/>
  <c r="AE162" i="11"/>
  <c r="AE15" i="76"/>
  <c r="BR61" i="4"/>
  <c r="BZ557" i="111" s="1"/>
  <c r="BR57" i="4"/>
  <c r="BR56" i="4"/>
  <c r="BZ551" i="111"/>
  <c r="AE91" i="11"/>
  <c r="AE13" i="76"/>
  <c r="BR116" i="4"/>
  <c r="BR71" i="2"/>
  <c r="BR70" i="2" s="1"/>
  <c r="BR54" i="4"/>
  <c r="CL108" i="4"/>
  <c r="CL32" i="4"/>
  <c r="CK89" i="4" l="1"/>
  <c r="CL156" i="2"/>
  <c r="CL141" i="2" s="1"/>
  <c r="CL139" i="2"/>
  <c r="CL140" i="2" s="1"/>
  <c r="CL149" i="2" s="1"/>
  <c r="CL152" i="2" s="1"/>
  <c r="CL76" i="4" s="1"/>
  <c r="AE251" i="111"/>
  <c r="AE16" i="76"/>
  <c r="AE17" i="76" s="1"/>
  <c r="AE18" i="76" s="1"/>
  <c r="AE21" i="76" s="1"/>
  <c r="BR65" i="2"/>
  <c r="BR73" i="2"/>
  <c r="BR318" i="112"/>
  <c r="X64" i="27"/>
  <c r="CL34" i="4"/>
  <c r="CM148" i="2" l="1"/>
  <c r="CM150" i="2" s="1"/>
  <c r="CM57" i="2" s="1"/>
  <c r="CL131" i="2"/>
  <c r="CK91" i="4"/>
  <c r="AE137" i="11"/>
  <c r="BR129" i="4"/>
  <c r="BR98" i="4"/>
  <c r="BR67" i="2"/>
  <c r="BS61" i="2" s="1"/>
  <c r="AE20" i="76"/>
  <c r="AE23" i="76"/>
  <c r="BR319" i="112"/>
  <c r="CL36" i="4"/>
  <c r="CL35" i="4"/>
  <c r="W51" i="27" l="1"/>
  <c r="CL130" i="4"/>
  <c r="CL142" i="2"/>
  <c r="AE25" i="76"/>
  <c r="BR99" i="4"/>
  <c r="BR132" i="4"/>
  <c r="BR134" i="4" s="1"/>
  <c r="BR139" i="4" s="1"/>
  <c r="BR102" i="2"/>
  <c r="CM108" i="4"/>
  <c r="CM32" i="4"/>
  <c r="CL89" i="4" l="1"/>
  <c r="CL91" i="4" s="1"/>
  <c r="CL144" i="2"/>
  <c r="CM156" i="2"/>
  <c r="CM141" i="2" s="1"/>
  <c r="CM139" i="2"/>
  <c r="CM140" i="2" s="1"/>
  <c r="CM149" i="2" s="1"/>
  <c r="CM152" i="2" s="1"/>
  <c r="CM76" i="4" s="1"/>
  <c r="Y64" i="27"/>
  <c r="BR100" i="4"/>
  <c r="BR68" i="4"/>
  <c r="BR140" i="4"/>
  <c r="CM34" i="4"/>
  <c r="CN148" i="2" l="1"/>
  <c r="CN150" i="2" s="1"/>
  <c r="CN57" i="2" s="1"/>
  <c r="CM131" i="2"/>
  <c r="CM130" i="4"/>
  <c r="BR101" i="2"/>
  <c r="BR72" i="4"/>
  <c r="BR79" i="4" s="1"/>
  <c r="BS137" i="4"/>
  <c r="CM36" i="4"/>
  <c r="CM35" i="4"/>
  <c r="CM142" i="2" l="1"/>
  <c r="BR102" i="4"/>
  <c r="BR120" i="2"/>
  <c r="BS106" i="2"/>
  <c r="CN108" i="4"/>
  <c r="CN32" i="4"/>
  <c r="CN139" i="2" l="1"/>
  <c r="CN140" i="2" s="1"/>
  <c r="CN149" i="2" s="1"/>
  <c r="CN152" i="2" s="1"/>
  <c r="CN76" i="4" s="1"/>
  <c r="CM144" i="2"/>
  <c r="CM89" i="4"/>
  <c r="CM91" i="4" s="1"/>
  <c r="CN156" i="2"/>
  <c r="CN141" i="2" s="1"/>
  <c r="BS128" i="4"/>
  <c r="BW107" i="2"/>
  <c r="BS108" i="2"/>
  <c r="BR121" i="2"/>
  <c r="BS123" i="2"/>
  <c r="BS130" i="2" s="1"/>
  <c r="BZ542" i="111"/>
  <c r="Z64" i="27"/>
  <c r="CN34" i="4"/>
  <c r="CO148" i="2" l="1"/>
  <c r="CO150" i="2" s="1"/>
  <c r="CO57" i="2" s="1"/>
  <c r="CN131" i="2"/>
  <c r="BS82" i="4"/>
  <c r="BS117" i="2"/>
  <c r="BS109" i="2"/>
  <c r="BS119" i="2"/>
  <c r="BT105" i="2"/>
  <c r="BS132" i="2"/>
  <c r="BS124" i="2"/>
  <c r="BS129" i="2" s="1"/>
  <c r="BS39" i="4"/>
  <c r="CN35" i="4"/>
  <c r="CN36" i="4"/>
  <c r="CN130" i="4" l="1"/>
  <c r="CN142" i="2"/>
  <c r="BS38" i="4"/>
  <c r="BS86" i="4"/>
  <c r="CO108" i="4"/>
  <c r="AF153" i="11" s="1"/>
  <c r="CO32" i="4"/>
  <c r="AF88" i="11" s="1"/>
  <c r="CO139" i="2" l="1"/>
  <c r="CO156" i="2"/>
  <c r="CO141" i="2" s="1"/>
  <c r="CN89" i="4"/>
  <c r="CN91" i="4" s="1"/>
  <c r="CN144" i="2"/>
  <c r="AF14" i="76"/>
  <c r="X11" i="27"/>
  <c r="X12" i="27" s="1"/>
  <c r="AF90" i="11"/>
  <c r="BS37" i="4"/>
  <c r="CO34" i="4"/>
  <c r="CO131" i="2" l="1"/>
  <c r="CO130" i="4"/>
  <c r="AF162" i="11" s="1"/>
  <c r="CO140" i="2"/>
  <c r="CO149" i="2" s="1"/>
  <c r="CO152" i="2" s="1"/>
  <c r="CA545" i="111"/>
  <c r="BS44" i="4"/>
  <c r="AF13" i="76"/>
  <c r="AF91" i="11"/>
  <c r="CO35" i="4"/>
  <c r="CO36" i="4"/>
  <c r="CO142" i="2" l="1"/>
  <c r="CO144" i="2" s="1"/>
  <c r="CP148" i="2"/>
  <c r="CP150" i="2" s="1"/>
  <c r="CP57" i="2" s="1"/>
  <c r="CO76" i="4"/>
  <c r="AF126" i="11" s="1"/>
  <c r="AF16" i="76"/>
  <c r="AF15" i="76"/>
  <c r="BS312" i="112"/>
  <c r="BS314" i="112"/>
  <c r="CP156" i="2" l="1"/>
  <c r="AF17" i="76"/>
  <c r="AF18" i="76" s="1"/>
  <c r="AF21" i="76" s="1"/>
  <c r="AF20" i="76" s="1"/>
  <c r="CO89" i="4"/>
  <c r="CO91" i="4" s="1"/>
  <c r="CP139" i="2"/>
  <c r="CP140" i="2" s="1"/>
  <c r="CP149" i="2" s="1"/>
  <c r="CP152" i="2" s="1"/>
  <c r="CP108" i="4"/>
  <c r="CP32" i="4"/>
  <c r="CP34" i="4" s="1"/>
  <c r="CP35" i="4" s="1"/>
  <c r="BS311" i="112"/>
  <c r="CP131" i="2" l="1"/>
  <c r="CP141" i="2"/>
  <c r="CP142" i="2" s="1"/>
  <c r="AF137" i="11"/>
  <c r="X51" i="27" s="1"/>
  <c r="AF23" i="76"/>
  <c r="AF25" i="76" s="1"/>
  <c r="CP36" i="4"/>
  <c r="CP76" i="4"/>
  <c r="CQ148" i="2"/>
  <c r="CQ150" i="2" s="1"/>
  <c r="CQ57" i="2" s="1"/>
  <c r="CQ108" i="4" s="1"/>
  <c r="BS45" i="4"/>
  <c r="BS315" i="112"/>
  <c r="CP130" i="4" l="1"/>
  <c r="CQ32" i="4"/>
  <c r="CQ34" i="4" s="1"/>
  <c r="CQ139" i="2"/>
  <c r="CQ140" i="2" s="1"/>
  <c r="CQ149" i="2" s="1"/>
  <c r="CQ152" i="2" s="1"/>
  <c r="CR148" i="2" s="1"/>
  <c r="CP89" i="4"/>
  <c r="CP91" i="4" s="1"/>
  <c r="CP144" i="2"/>
  <c r="CQ156" i="2"/>
  <c r="CQ141" i="2" s="1"/>
  <c r="BS46" i="4"/>
  <c r="BS77" i="4"/>
  <c r="BS51" i="4"/>
  <c r="BS49" i="4"/>
  <c r="CQ76" i="4" l="1"/>
  <c r="CQ131" i="2"/>
  <c r="CA548" i="111"/>
  <c r="BS78" i="4"/>
  <c r="BS131" i="4"/>
  <c r="BS62" i="2"/>
  <c r="BS105" i="4"/>
  <c r="BS53" i="4"/>
  <c r="BS317" i="112"/>
  <c r="CA554" i="111"/>
  <c r="BS55" i="4"/>
  <c r="BS62" i="4"/>
  <c r="CQ36" i="4"/>
  <c r="CQ35" i="4"/>
  <c r="CR150" i="2"/>
  <c r="CR57" i="2" s="1"/>
  <c r="CQ130" i="4" l="1"/>
  <c r="CQ142" i="2"/>
  <c r="BS71" i="2"/>
  <c r="BS70" i="2" s="1"/>
  <c r="CA551" i="111"/>
  <c r="BS61" i="4"/>
  <c r="CA557" i="111" s="1"/>
  <c r="BS57" i="4"/>
  <c r="BS56" i="4"/>
  <c r="BS116" i="4"/>
  <c r="BS54" i="4"/>
  <c r="CR108" i="4"/>
  <c r="CR32" i="4"/>
  <c r="CR156" i="2" l="1"/>
  <c r="CR141" i="2" s="1"/>
  <c r="CR139" i="2"/>
  <c r="CR140" i="2" s="1"/>
  <c r="CR149" i="2" s="1"/>
  <c r="CR152" i="2" s="1"/>
  <c r="CR76" i="4" s="1"/>
  <c r="CQ144" i="2"/>
  <c r="CQ89" i="4"/>
  <c r="CQ91" i="4" s="1"/>
  <c r="BS73" i="2"/>
  <c r="BS65" i="2"/>
  <c r="BS318" i="112"/>
  <c r="CR34" i="4"/>
  <c r="CS148" i="2" l="1"/>
  <c r="CS150" i="2" s="1"/>
  <c r="CS57" i="2" s="1"/>
  <c r="CR131" i="2"/>
  <c r="BS129" i="4"/>
  <c r="BS67" i="2"/>
  <c r="BT61" i="2" s="1"/>
  <c r="BS98" i="4"/>
  <c r="BS319" i="112"/>
  <c r="CR36" i="4"/>
  <c r="CR35" i="4"/>
  <c r="CR130" i="4" l="1"/>
  <c r="CR142" i="2"/>
  <c r="BS99" i="4"/>
  <c r="BS132" i="4"/>
  <c r="BS134" i="4" s="1"/>
  <c r="BS139" i="4" s="1"/>
  <c r="BS102" i="2"/>
  <c r="CS108" i="4"/>
  <c r="CS32" i="4"/>
  <c r="AG88" i="11" s="1"/>
  <c r="CR144" i="2" l="1"/>
  <c r="CS156" i="2"/>
  <c r="CS141" i="2" s="1"/>
  <c r="CS139" i="2"/>
  <c r="CS140" i="2" s="1"/>
  <c r="CS149" i="2" s="1"/>
  <c r="CS152" i="2" s="1"/>
  <c r="CS76" i="4" s="1"/>
  <c r="CR89" i="4"/>
  <c r="CR91" i="4" s="1"/>
  <c r="BS68" i="4"/>
  <c r="BS140" i="4"/>
  <c r="AG14" i="76"/>
  <c r="AG90" i="11"/>
  <c r="Y11" i="27"/>
  <c r="Y12" i="27" s="1"/>
  <c r="BS100" i="4"/>
  <c r="CS34" i="4"/>
  <c r="CT148" i="2" l="1"/>
  <c r="CT150" i="2" s="1"/>
  <c r="CT57" i="2" s="1"/>
  <c r="CS131" i="2"/>
  <c r="AG126" i="11"/>
  <c r="AG91" i="11"/>
  <c r="AG13" i="76"/>
  <c r="BS72" i="4"/>
  <c r="BS79" i="4" s="1"/>
  <c r="BS101" i="2"/>
  <c r="BT137" i="4"/>
  <c r="CS36" i="4"/>
  <c r="CS35" i="4"/>
  <c r="AG15" i="76" l="1"/>
  <c r="CS130" i="4"/>
  <c r="CS142" i="2"/>
  <c r="BS102" i="4"/>
  <c r="BT106" i="2"/>
  <c r="BS120" i="2"/>
  <c r="CT108" i="4"/>
  <c r="CT32" i="4"/>
  <c r="CT139" i="2" l="1"/>
  <c r="CT140" i="2" s="1"/>
  <c r="CT149" i="2" s="1"/>
  <c r="CT152" i="2" s="1"/>
  <c r="CT76" i="4" s="1"/>
  <c r="CT156" i="2"/>
  <c r="CT141" i="2" s="1"/>
  <c r="CS89" i="4"/>
  <c r="CS144" i="2"/>
  <c r="CA542" i="111"/>
  <c r="BT123" i="2"/>
  <c r="BT130" i="2" s="1"/>
  <c r="BS121" i="2"/>
  <c r="BX107" i="2"/>
  <c r="BT128" i="4"/>
  <c r="BT108" i="2"/>
  <c r="CT34" i="4"/>
  <c r="CU148" i="2" l="1"/>
  <c r="CU150" i="2" s="1"/>
  <c r="CU57" i="2" s="1"/>
  <c r="CS91" i="4"/>
  <c r="AG137" i="11"/>
  <c r="Y51" i="27" s="1"/>
  <c r="CT131" i="2"/>
  <c r="BU105" i="2"/>
  <c r="BT82" i="4"/>
  <c r="BT119" i="2"/>
  <c r="BT117" i="2"/>
  <c r="BT109" i="2"/>
  <c r="BT132" i="2"/>
  <c r="BT124" i="2"/>
  <c r="BT129" i="2" s="1"/>
  <c r="BT39" i="4"/>
  <c r="CT35" i="4"/>
  <c r="CT36" i="4"/>
  <c r="CT130" i="4" l="1"/>
  <c r="CT142" i="2"/>
  <c r="BT86" i="4"/>
  <c r="BT38" i="4"/>
  <c r="CU108" i="4"/>
  <c r="CU32" i="4"/>
  <c r="CT89" i="4" l="1"/>
  <c r="CT91" i="4" s="1"/>
  <c r="CU139" i="2"/>
  <c r="CU140" i="2" s="1"/>
  <c r="CU149" i="2" s="1"/>
  <c r="CU152" i="2" s="1"/>
  <c r="CV148" i="2" s="1"/>
  <c r="CU156" i="2"/>
  <c r="CU141" i="2" s="1"/>
  <c r="CT144" i="2"/>
  <c r="BT37" i="4"/>
  <c r="CU34" i="4"/>
  <c r="CU76" i="4" l="1"/>
  <c r="CU131" i="2"/>
  <c r="BT44" i="4"/>
  <c r="CB545" i="111"/>
  <c r="CV150" i="2"/>
  <c r="CV57" i="2" s="1"/>
  <c r="CU35" i="4"/>
  <c r="CU36" i="4"/>
  <c r="CU130" i="4" l="1"/>
  <c r="CU142" i="2"/>
  <c r="BT314" i="112"/>
  <c r="BT312" i="112"/>
  <c r="CV108" i="4"/>
  <c r="CV32" i="4"/>
  <c r="CV139" i="2" l="1"/>
  <c r="CV140" i="2" s="1"/>
  <c r="CV149" i="2" s="1"/>
  <c r="CV152" i="2" s="1"/>
  <c r="CV76" i="4" s="1"/>
  <c r="CU89" i="4"/>
  <c r="CU91" i="4" s="1"/>
  <c r="CU144" i="2"/>
  <c r="CV156" i="2"/>
  <c r="CV141" i="2" s="1"/>
  <c r="BT311" i="112"/>
  <c r="CV34" i="4"/>
  <c r="CW148" i="2" l="1"/>
  <c r="CW150" i="2" s="1"/>
  <c r="CW57" i="2" s="1"/>
  <c r="CV131" i="2"/>
  <c r="BT315" i="112"/>
  <c r="BT45" i="4"/>
  <c r="CV35" i="4"/>
  <c r="CV36" i="4"/>
  <c r="CV130" i="4" l="1"/>
  <c r="CV142" i="2"/>
  <c r="BT46" i="4"/>
  <c r="BT77" i="4"/>
  <c r="BT51" i="4"/>
  <c r="BT49" i="4"/>
  <c r="CW108" i="4"/>
  <c r="CW32" i="4"/>
  <c r="CV89" i="4" l="1"/>
  <c r="CV91" i="4" s="1"/>
  <c r="CW156" i="2"/>
  <c r="CW139" i="2"/>
  <c r="CW140" i="2" s="1"/>
  <c r="CW149" i="2" s="1"/>
  <c r="CW152" i="2" s="1"/>
  <c r="CW76" i="4" s="1"/>
  <c r="AH126" i="11" s="1"/>
  <c r="CV144" i="2"/>
  <c r="BT62" i="2"/>
  <c r="BT105" i="4"/>
  <c r="BT53" i="4"/>
  <c r="AH88" i="11"/>
  <c r="BT317" i="112"/>
  <c r="CB554" i="111"/>
  <c r="BT62" i="4"/>
  <c r="BT55" i="4"/>
  <c r="BT78" i="4"/>
  <c r="BT131" i="4"/>
  <c r="AG162" i="11"/>
  <c r="AG153" i="11"/>
  <c r="AH153" i="11"/>
  <c r="CB548" i="111"/>
  <c r="CW34" i="4"/>
  <c r="CW141" i="2" l="1"/>
  <c r="CW131" i="2"/>
  <c r="AG16" i="76"/>
  <c r="AG17" i="76" s="1"/>
  <c r="AG18" i="76" s="1"/>
  <c r="AG21" i="76" s="1"/>
  <c r="BT56" i="4"/>
  <c r="CB551" i="111"/>
  <c r="BT61" i="4"/>
  <c r="CB557" i="111" s="1"/>
  <c r="BT57" i="4"/>
  <c r="BT54" i="4"/>
  <c r="BT116" i="4"/>
  <c r="Z11" i="27"/>
  <c r="Z12" i="27" s="1"/>
  <c r="AH90" i="11"/>
  <c r="AN88" i="11"/>
  <c r="BT71" i="2"/>
  <c r="BT70" i="2" s="1"/>
  <c r="CW36" i="4"/>
  <c r="CW35" i="4"/>
  <c r="CW130" i="4" l="1"/>
  <c r="AH162" i="11" s="1"/>
  <c r="CW142" i="2"/>
  <c r="AN90" i="11"/>
  <c r="AH91" i="11"/>
  <c r="BT65" i="2"/>
  <c r="BT318" i="112"/>
  <c r="BT73" i="2"/>
  <c r="AG23" i="76"/>
  <c r="AG20" i="76"/>
  <c r="CW144" i="2" l="1"/>
  <c r="CW89" i="4"/>
  <c r="AG25" i="76"/>
  <c r="BT319" i="112"/>
  <c r="BT129" i="4"/>
  <c r="BT98" i="4"/>
  <c r="BT67" i="2"/>
  <c r="BU61" i="2" s="1"/>
  <c r="CW91" i="4" l="1"/>
  <c r="AH137" i="11"/>
  <c r="Z51" i="27" s="1"/>
  <c r="BT99" i="4"/>
  <c r="BT132" i="4"/>
  <c r="BT134" i="4" s="1"/>
  <c r="BT139" i="4" s="1"/>
  <c r="BT102" i="2"/>
  <c r="BT68" i="4" l="1"/>
  <c r="BT140" i="4"/>
  <c r="BT100" i="4"/>
  <c r="BT101" i="2" l="1"/>
  <c r="BU137" i="4"/>
  <c r="BT72" i="4"/>
  <c r="BT79" i="4" s="1"/>
  <c r="BU106" i="2" l="1"/>
  <c r="BT120" i="2"/>
  <c r="BT102" i="4"/>
  <c r="BU123" i="2" l="1"/>
  <c r="BU130" i="2" s="1"/>
  <c r="BT121" i="2"/>
  <c r="CB542" i="111"/>
  <c r="BY107" i="2"/>
  <c r="BU128" i="4"/>
  <c r="BU108" i="2"/>
  <c r="S81" i="27" l="1"/>
  <c r="AA161" i="11"/>
  <c r="BU117" i="2"/>
  <c r="BU82" i="4"/>
  <c r="BU109" i="2"/>
  <c r="BV105" i="2"/>
  <c r="BU119" i="2"/>
  <c r="BU124" i="2"/>
  <c r="BU129" i="2" s="1"/>
  <c r="BU39" i="4"/>
  <c r="BU132" i="2"/>
  <c r="BU38" i="4" l="1"/>
  <c r="AA135" i="11"/>
  <c r="BU86" i="4"/>
  <c r="AA93" i="11"/>
  <c r="AA387" i="111" l="1"/>
  <c r="S49" i="27"/>
  <c r="AA58" i="76"/>
  <c r="AA180" i="11"/>
  <c r="AL93" i="11"/>
  <c r="BU37" i="4"/>
  <c r="CC545" i="111" l="1"/>
  <c r="BU44" i="4"/>
  <c r="AA92" i="11"/>
  <c r="AA50" i="76"/>
  <c r="BU312" i="112" l="1"/>
  <c r="BU314" i="112"/>
  <c r="BU311" i="112" s="1"/>
  <c r="AA48" i="76"/>
  <c r="AA96" i="11"/>
  <c r="S13" i="27"/>
  <c r="S15" i="27" s="1"/>
  <c r="AL92" i="11"/>
  <c r="AA55" i="76" l="1"/>
  <c r="BU45" i="4"/>
  <c r="BU315" i="112"/>
  <c r="AL96" i="11"/>
  <c r="BU46" i="4" l="1"/>
  <c r="AA97" i="11"/>
  <c r="BU77" i="4"/>
  <c r="BU51" i="4"/>
  <c r="BU49" i="4"/>
  <c r="AA46" i="76"/>
  <c r="BU78" i="4" l="1"/>
  <c r="AA127" i="11"/>
  <c r="BU131" i="4"/>
  <c r="AA98" i="11"/>
  <c r="S16" i="27"/>
  <c r="S17" i="27" s="1"/>
  <c r="AA108" i="11"/>
  <c r="AA102" i="11"/>
  <c r="AA106" i="11"/>
  <c r="AA99" i="11"/>
  <c r="BU317" i="112"/>
  <c r="BU62" i="4"/>
  <c r="CC554" i="111"/>
  <c r="BU55" i="4"/>
  <c r="BU105" i="4"/>
  <c r="BU62" i="2"/>
  <c r="BU53" i="4"/>
  <c r="CC548" i="111"/>
  <c r="BU116" i="4" l="1"/>
  <c r="S61" i="27"/>
  <c r="S71" i="27" s="1"/>
  <c r="AA151" i="11"/>
  <c r="BU61" i="4"/>
  <c r="CC557" i="111" s="1"/>
  <c r="BU57" i="4"/>
  <c r="BU56" i="4"/>
  <c r="CC551" i="111"/>
  <c r="AT15" i="71"/>
  <c r="N13" i="71"/>
  <c r="N43" i="71" s="1"/>
  <c r="AA107" i="11"/>
  <c r="AL106" i="11"/>
  <c r="S21" i="27"/>
  <c r="S26" i="27" s="1"/>
  <c r="S83" i="27"/>
  <c r="AA159" i="11"/>
  <c r="AA128" i="11"/>
  <c r="S41" i="27"/>
  <c r="S42" i="27" s="1"/>
  <c r="AA104" i="11"/>
  <c r="AL99" i="11"/>
  <c r="BU54" i="4"/>
  <c r="AA196" i="11"/>
  <c r="S20" i="27"/>
  <c r="S127" i="27" s="1"/>
  <c r="AL102" i="11"/>
  <c r="AA115" i="11"/>
  <c r="BU71" i="2"/>
  <c r="BU70" i="2" s="1"/>
  <c r="S30" i="27"/>
  <c r="AL108" i="11"/>
  <c r="AA109" i="11"/>
  <c r="AA383" i="111" l="1"/>
  <c r="AA173" i="11"/>
  <c r="BU73" i="2"/>
  <c r="BU65" i="2"/>
  <c r="BU318" i="112"/>
  <c r="AL115" i="11"/>
  <c r="AA116" i="11"/>
  <c r="AA197" i="11"/>
  <c r="AA845" i="111"/>
  <c r="AA114" i="11"/>
  <c r="AL104" i="11"/>
  <c r="AT45" i="71"/>
  <c r="AQ63" i="71"/>
  <c r="AA155" i="11"/>
  <c r="AA252" i="111"/>
  <c r="AQ65" i="71" l="1"/>
  <c r="AA303" i="111"/>
  <c r="AA288" i="111"/>
  <c r="BU319" i="112"/>
  <c r="AA117" i="11"/>
  <c r="AA199" i="11"/>
  <c r="AA304" i="111"/>
  <c r="AA289" i="111"/>
  <c r="N15" i="71"/>
  <c r="BU129" i="4"/>
  <c r="BU98" i="4"/>
  <c r="BU67" i="2"/>
  <c r="BV61" i="2" s="1"/>
  <c r="AL116" i="11"/>
  <c r="S33" i="27"/>
  <c r="N14" i="71"/>
  <c r="N47" i="71" s="1"/>
  <c r="AT16" i="71"/>
  <c r="AT46" i="71" s="1"/>
  <c r="AC33" i="71"/>
  <c r="S56" i="27" l="1"/>
  <c r="S111" i="27" s="1"/>
  <c r="BU99" i="4"/>
  <c r="S82" i="27"/>
  <c r="S84" i="27" s="1"/>
  <c r="S88" i="27" s="1"/>
  <c r="S90" i="27" s="1"/>
  <c r="T89" i="27" s="1"/>
  <c r="AA156" i="11"/>
  <c r="BU132" i="4"/>
  <c r="BU134" i="4" s="1"/>
  <c r="BU139" i="4" s="1"/>
  <c r="BU102" i="2"/>
  <c r="AA118" i="11"/>
  <c r="AL117" i="11"/>
  <c r="N44" i="71"/>
  <c r="N16" i="71"/>
  <c r="S27" i="27" l="1"/>
  <c r="AC40" i="71"/>
  <c r="AA302" i="111"/>
  <c r="AA140" i="11"/>
  <c r="BU100" i="4"/>
  <c r="BU140" i="4"/>
  <c r="BU68" i="4"/>
  <c r="AA200" i="11"/>
  <c r="AA160" i="11"/>
  <c r="BU72" i="4" l="1"/>
  <c r="BU79" i="4" s="1"/>
  <c r="BU101" i="2"/>
  <c r="AA129" i="11"/>
  <c r="BV137" i="4"/>
  <c r="AA198" i="11"/>
  <c r="AA388" i="111"/>
  <c r="S52" i="27"/>
  <c r="AA170" i="11"/>
  <c r="AA142" i="11"/>
  <c r="AA167" i="11"/>
  <c r="AA176" i="11"/>
  <c r="AA177" i="11"/>
  <c r="AA163" i="11"/>
  <c r="BU102" i="4" l="1"/>
  <c r="S43" i="27"/>
  <c r="AA381" i="111"/>
  <c r="AA169" i="11"/>
  <c r="AA166" i="11"/>
  <c r="AA133" i="11"/>
  <c r="BV106" i="2"/>
  <c r="BU120" i="2"/>
  <c r="AL142" i="11"/>
  <c r="AA389" i="111"/>
  <c r="AA393" i="111"/>
  <c r="S58" i="27"/>
  <c r="S129" i="27"/>
  <c r="AT18" i="71" l="1"/>
  <c r="AT48" i="71" s="1"/>
  <c r="AA171" i="11"/>
  <c r="AA191" i="11"/>
  <c r="S31" i="27"/>
  <c r="AL169" i="11"/>
  <c r="N18" i="71"/>
  <c r="N45" i="71" s="1"/>
  <c r="BZ107" i="2"/>
  <c r="BV128" i="4"/>
  <c r="BV108" i="2"/>
  <c r="AA846" i="111"/>
  <c r="AA847" i="111"/>
  <c r="AA174" i="11"/>
  <c r="AA175" i="11"/>
  <c r="S131" i="27"/>
  <c r="S47" i="27"/>
  <c r="CC542" i="111"/>
  <c r="BU121" i="2"/>
  <c r="BV123" i="2"/>
  <c r="BV130" i="2" s="1"/>
  <c r="AA178" i="11"/>
  <c r="AA168" i="11"/>
  <c r="AA190" i="11"/>
  <c r="AL166" i="11"/>
  <c r="AC37" i="71"/>
  <c r="AA848" i="111" l="1"/>
  <c r="BV119" i="2"/>
  <c r="BV109" i="2"/>
  <c r="BV82" i="4"/>
  <c r="BV117" i="2"/>
  <c r="BW105" i="2"/>
  <c r="AA392" i="111"/>
  <c r="AA192" i="11"/>
  <c r="AA194" i="11"/>
  <c r="AA193" i="11"/>
  <c r="AA195" i="11"/>
  <c r="BV132" i="2"/>
  <c r="BV124" i="2"/>
  <c r="BV129" i="2" s="1"/>
  <c r="BV39" i="4"/>
  <c r="N19" i="71"/>
  <c r="N46" i="71" s="1"/>
  <c r="AT19" i="71"/>
  <c r="AT49" i="71" s="1"/>
  <c r="AC38" i="71"/>
  <c r="BV38" i="4" l="1"/>
  <c r="BV86" i="4"/>
  <c r="BV37" i="4" l="1"/>
  <c r="BV44" i="4" l="1"/>
  <c r="BV314" i="112" s="1"/>
  <c r="CD545" i="111"/>
  <c r="BV311" i="112" l="1"/>
  <c r="BV312" i="112"/>
  <c r="BV315" i="112" l="1"/>
  <c r="BV45" i="4"/>
  <c r="BV46" i="4" l="1"/>
  <c r="CD548" i="111" s="1"/>
  <c r="BV77" i="4"/>
  <c r="BV51" i="4"/>
  <c r="BV49" i="4"/>
  <c r="BV62" i="4" l="1"/>
  <c r="CD554" i="111"/>
  <c r="BV55" i="4"/>
  <c r="BV317" i="112"/>
  <c r="BV78" i="4"/>
  <c r="BV131" i="4"/>
  <c r="BV62" i="2"/>
  <c r="BV53" i="4"/>
  <c r="BV54" i="4" s="1"/>
  <c r="BV105" i="4"/>
  <c r="BV116" i="4" l="1"/>
  <c r="BV71" i="2"/>
  <c r="BV70" i="2" s="1"/>
  <c r="BV61" i="4"/>
  <c r="CD557" i="111" s="1"/>
  <c r="CD551" i="111"/>
  <c r="BV57" i="4"/>
  <c r="BV56" i="4"/>
  <c r="AA29" i="76"/>
  <c r="AA30" i="76" l="1"/>
  <c r="BV73" i="2"/>
  <c r="BV65" i="2"/>
  <c r="BV318" i="112"/>
  <c r="BV319" i="112" l="1"/>
  <c r="BV129" i="4"/>
  <c r="BV67" i="2"/>
  <c r="BW61" i="2" s="1"/>
  <c r="BV98" i="4"/>
  <c r="S32" i="27"/>
  <c r="S97" i="27"/>
  <c r="AC34" i="71"/>
  <c r="AT17" i="71"/>
  <c r="AT47" i="71" s="1"/>
  <c r="AA31" i="76"/>
  <c r="AC35" i="71"/>
  <c r="BV99" i="4" l="1"/>
  <c r="BV100" i="4" s="1"/>
  <c r="BV132" i="4"/>
  <c r="BV134" i="4" s="1"/>
  <c r="BV139" i="4" s="1"/>
  <c r="BV102" i="2"/>
  <c r="BV140" i="4" l="1"/>
  <c r="BV68" i="4"/>
  <c r="BW137" i="4" l="1"/>
  <c r="BV101" i="2"/>
  <c r="BV72" i="4"/>
  <c r="BV79" i="4" s="1"/>
  <c r="BV102" i="4" l="1"/>
  <c r="BW106" i="2"/>
  <c r="BV120" i="2"/>
  <c r="CA107" i="2" l="1"/>
  <c r="BW128" i="4"/>
  <c r="BW108" i="2"/>
  <c r="CD542" i="111"/>
  <c r="BV121" i="2"/>
  <c r="BW123" i="2"/>
  <c r="BW130" i="2" s="1"/>
  <c r="BW119" i="2" l="1"/>
  <c r="BX105" i="2"/>
  <c r="BW117" i="2"/>
  <c r="BW82" i="4"/>
  <c r="BW109" i="2"/>
  <c r="BW132" i="2"/>
  <c r="BW124" i="2"/>
  <c r="BW129" i="2" s="1"/>
  <c r="BW39" i="4"/>
  <c r="BW86" i="4" l="1"/>
  <c r="BW38" i="4"/>
  <c r="BW37" i="4" l="1"/>
  <c r="BW44" i="4" l="1"/>
  <c r="BW314" i="112" s="1"/>
  <c r="CE545" i="111"/>
  <c r="BW312" i="112" l="1"/>
  <c r="BW311" i="112"/>
  <c r="BW315" i="112" l="1"/>
  <c r="BW45" i="4"/>
  <c r="BW46" i="4" l="1"/>
  <c r="CE548" i="111" s="1"/>
  <c r="BW77" i="4"/>
  <c r="BW51" i="4"/>
  <c r="BW49" i="4"/>
  <c r="BW62" i="4" l="1"/>
  <c r="CE554" i="111"/>
  <c r="BW317" i="112"/>
  <c r="BW55" i="4"/>
  <c r="BW78" i="4"/>
  <c r="BW131" i="4"/>
  <c r="BW53" i="4"/>
  <c r="BW54" i="4" s="1"/>
  <c r="BW62" i="2"/>
  <c r="BW105" i="4"/>
  <c r="BW116" i="4" l="1"/>
  <c r="BW71" i="2"/>
  <c r="BW70" i="2" s="1"/>
  <c r="BW61" i="4"/>
  <c r="CE557" i="111" s="1"/>
  <c r="BW57" i="4"/>
  <c r="BW56" i="4"/>
  <c r="CE551" i="111"/>
  <c r="BW318" i="112" l="1"/>
  <c r="BW65" i="2"/>
  <c r="BW73" i="2"/>
  <c r="BW129" i="4" l="1"/>
  <c r="BW98" i="4"/>
  <c r="BW67" i="2"/>
  <c r="BX61" i="2" s="1"/>
  <c r="BW319" i="112"/>
  <c r="BW99" i="4" l="1"/>
  <c r="BW100" i="4" s="1"/>
  <c r="BW132" i="4"/>
  <c r="BW134" i="4" s="1"/>
  <c r="BW139" i="4" s="1"/>
  <c r="BW102" i="2"/>
  <c r="BW140" i="4" l="1"/>
  <c r="BW68" i="4"/>
  <c r="BW72" i="4" l="1"/>
  <c r="BW79" i="4" s="1"/>
  <c r="BX137" i="4"/>
  <c r="BW101" i="2"/>
  <c r="BX106" i="2" l="1"/>
  <c r="BW120" i="2"/>
  <c r="BW102" i="4"/>
  <c r="CE542" i="111" l="1"/>
  <c r="BX123" i="2"/>
  <c r="BX130" i="2" s="1"/>
  <c r="BW121" i="2"/>
  <c r="CB107" i="2"/>
  <c r="BX128" i="4"/>
  <c r="BX108" i="2"/>
  <c r="BX124" i="2" l="1"/>
  <c r="BX129" i="2" s="1"/>
  <c r="BX132" i="2"/>
  <c r="BX39" i="4"/>
  <c r="BX119" i="2"/>
  <c r="BX117" i="2"/>
  <c r="BX82" i="4"/>
  <c r="BX109" i="2"/>
  <c r="BY105" i="2"/>
  <c r="BX38" i="4" l="1"/>
  <c r="BX86" i="4"/>
  <c r="BX37" i="4" l="1"/>
  <c r="BX44" i="4" l="1"/>
  <c r="BX314" i="112" s="1"/>
  <c r="CF545" i="111"/>
  <c r="BX312" i="112" l="1"/>
  <c r="BX311" i="112"/>
  <c r="BX315" i="112" l="1"/>
  <c r="BX45" i="4"/>
  <c r="BX46" i="4" l="1"/>
  <c r="CF548" i="111" s="1"/>
  <c r="BX77" i="4"/>
  <c r="BX51" i="4"/>
  <c r="BX49" i="4"/>
  <c r="BX105" i="4" l="1"/>
  <c r="BX53" i="4"/>
  <c r="BX54" i="4" s="1"/>
  <c r="BX62" i="2"/>
  <c r="BX62" i="4"/>
  <c r="BX317" i="112"/>
  <c r="BX55" i="4"/>
  <c r="CF554" i="111"/>
  <c r="BX78" i="4"/>
  <c r="BX131" i="4"/>
  <c r="BX56" i="4" l="1"/>
  <c r="BX61" i="4"/>
  <c r="CF557" i="111" s="1"/>
  <c r="BX57" i="4"/>
  <c r="CF551" i="111"/>
  <c r="BX71" i="2"/>
  <c r="BX70" i="2" s="1"/>
  <c r="BX116" i="4"/>
  <c r="BX318" i="112" l="1"/>
  <c r="BX65" i="2"/>
  <c r="BX73" i="2"/>
  <c r="BX129" i="4" l="1"/>
  <c r="BX67" i="2"/>
  <c r="BY61" i="2" s="1"/>
  <c r="BX98" i="4"/>
  <c r="BX319" i="112"/>
  <c r="BX99" i="4" l="1"/>
  <c r="BX100" i="4" s="1"/>
  <c r="BX132" i="4"/>
  <c r="BX134" i="4" s="1"/>
  <c r="BX139" i="4" s="1"/>
  <c r="BX102" i="2"/>
  <c r="BX68" i="4" l="1"/>
  <c r="BX140" i="4"/>
  <c r="BX101" i="2" l="1"/>
  <c r="BX72" i="4"/>
  <c r="BX79" i="4" s="1"/>
  <c r="BY137" i="4"/>
  <c r="BX102" i="4" l="1"/>
  <c r="BY106" i="2"/>
  <c r="BX120" i="2"/>
  <c r="BX121" i="2" l="1"/>
  <c r="BY123" i="2"/>
  <c r="BY130" i="2" s="1"/>
  <c r="CF542" i="111"/>
  <c r="CC107" i="2"/>
  <c r="BY128" i="4"/>
  <c r="BY108" i="2"/>
  <c r="BY124" i="2" l="1"/>
  <c r="BY129" i="2" s="1"/>
  <c r="BY39" i="4"/>
  <c r="BY132" i="2"/>
  <c r="T81" i="27"/>
  <c r="AB161" i="11"/>
  <c r="BY119" i="2"/>
  <c r="BY82" i="4"/>
  <c r="BY117" i="2"/>
  <c r="BY109" i="2"/>
  <c r="BZ105" i="2"/>
  <c r="BY86" i="4" l="1"/>
  <c r="AB135" i="11"/>
  <c r="BY38" i="4"/>
  <c r="AB93" i="11"/>
  <c r="BY37" i="4" l="1"/>
  <c r="T49" i="27"/>
  <c r="AB58" i="76"/>
  <c r="AB180" i="11"/>
  <c r="AB387" i="111"/>
  <c r="AB50" i="76" l="1"/>
  <c r="CG545" i="111"/>
  <c r="BY44" i="4"/>
  <c r="BY314" i="112" s="1"/>
  <c r="AB92" i="11"/>
  <c r="BY312" i="112" l="1"/>
  <c r="BY311" i="112"/>
  <c r="AB48" i="76"/>
  <c r="T13" i="27"/>
  <c r="T15" i="27" s="1"/>
  <c r="AB96" i="11"/>
  <c r="AB55" i="76" l="1"/>
  <c r="BY315" i="112"/>
  <c r="BY45" i="4"/>
  <c r="AB46" i="76" l="1"/>
  <c r="BY46" i="4"/>
  <c r="CG548" i="111" s="1"/>
  <c r="AB97" i="11"/>
  <c r="BY77" i="4"/>
  <c r="BY51" i="4"/>
  <c r="BY49" i="4"/>
  <c r="BY78" i="4" l="1"/>
  <c r="AB127" i="11"/>
  <c r="BY131" i="4"/>
  <c r="AB98" i="11"/>
  <c r="T16" i="27"/>
  <c r="T17" i="27" s="1"/>
  <c r="AB108" i="11"/>
  <c r="AB102" i="11"/>
  <c r="AB106" i="11"/>
  <c r="AB99" i="11"/>
  <c r="BY62" i="2"/>
  <c r="BY53" i="4"/>
  <c r="BY54" i="4" s="1"/>
  <c r="BY105" i="4"/>
  <c r="BY62" i="4"/>
  <c r="BY317" i="112"/>
  <c r="BY55" i="4"/>
  <c r="CG554" i="111"/>
  <c r="AB109" i="11" l="1"/>
  <c r="T30" i="27"/>
  <c r="T83" i="27"/>
  <c r="AB159" i="11"/>
  <c r="BY71" i="2"/>
  <c r="BY70" i="2" s="1"/>
  <c r="T21" i="27"/>
  <c r="T26" i="27" s="1"/>
  <c r="AB107" i="11"/>
  <c r="AB128" i="11"/>
  <c r="T41" i="27"/>
  <c r="T42" i="27" s="1"/>
  <c r="T20" i="27"/>
  <c r="T127" i="27" s="1"/>
  <c r="AB196" i="11"/>
  <c r="AB115" i="11"/>
  <c r="CG551" i="111"/>
  <c r="BY56" i="4"/>
  <c r="BY61" i="4"/>
  <c r="CG557" i="111" s="1"/>
  <c r="BY57" i="4"/>
  <c r="BY116" i="4"/>
  <c r="AB151" i="11"/>
  <c r="T61" i="27"/>
  <c r="T71" i="27" s="1"/>
  <c r="AB104" i="11"/>
  <c r="BY73" i="2" l="1"/>
  <c r="BY65" i="2"/>
  <c r="BY318" i="112"/>
  <c r="AB155" i="11"/>
  <c r="AB173" i="11"/>
  <c r="AB252" i="111"/>
  <c r="AB383" i="111"/>
  <c r="AB116" i="11"/>
  <c r="AB845" i="111"/>
  <c r="AB197" i="11"/>
  <c r="AB114" i="11"/>
  <c r="AB304" i="111" l="1"/>
  <c r="AB289" i="111"/>
  <c r="AB199" i="11"/>
  <c r="BY129" i="4"/>
  <c r="BY67" i="2"/>
  <c r="BZ61" i="2" s="1"/>
  <c r="BY98" i="4"/>
  <c r="BY319" i="112"/>
  <c r="AB117" i="11"/>
  <c r="T33" i="27"/>
  <c r="AB303" i="111"/>
  <c r="AB288" i="111"/>
  <c r="AB156" i="11" l="1"/>
  <c r="T82" i="27"/>
  <c r="T84" i="27" s="1"/>
  <c r="T88" i="27" s="1"/>
  <c r="T90" i="27" s="1"/>
  <c r="U89" i="27" s="1"/>
  <c r="BY132" i="4"/>
  <c r="BY134" i="4" s="1"/>
  <c r="BY139" i="4" s="1"/>
  <c r="BY102" i="2"/>
  <c r="AB118" i="11"/>
  <c r="T56" i="27"/>
  <c r="T111" i="27" s="1"/>
  <c r="BY99" i="4"/>
  <c r="AB140" i="11" l="1"/>
  <c r="BY100" i="4"/>
  <c r="BY68" i="4"/>
  <c r="BY140" i="4"/>
  <c r="AB200" i="11"/>
  <c r="AB160" i="11"/>
  <c r="T27" i="27"/>
  <c r="AB302" i="111"/>
  <c r="AB163" i="11" l="1"/>
  <c r="BY101" i="2"/>
  <c r="BY72" i="4"/>
  <c r="BY79" i="4" s="1"/>
  <c r="AB129" i="11"/>
  <c r="BZ137" i="4"/>
  <c r="T52" i="27"/>
  <c r="AB198" i="11"/>
  <c r="AB388" i="111"/>
  <c r="AB167" i="11"/>
  <c r="AB142" i="11"/>
  <c r="AB170" i="11"/>
  <c r="AB176" i="11"/>
  <c r="AB177" i="11"/>
  <c r="BY102" i="4" l="1"/>
  <c r="T58" i="27"/>
  <c r="T129" i="27"/>
  <c r="BZ106" i="2"/>
  <c r="BY120" i="2"/>
  <c r="AB389" i="111"/>
  <c r="T43" i="27"/>
  <c r="AB381" i="111"/>
  <c r="AB169" i="11"/>
  <c r="AB166" i="11"/>
  <c r="AB133" i="11"/>
  <c r="AB393" i="111"/>
  <c r="BZ128" i="4" l="1"/>
  <c r="CD107" i="2"/>
  <c r="BZ108" i="2"/>
  <c r="AB178" i="11"/>
  <c r="AB168" i="11"/>
  <c r="AB190" i="11"/>
  <c r="T131" i="27"/>
  <c r="T47" i="27"/>
  <c r="T31" i="27"/>
  <c r="AB171" i="11"/>
  <c r="AB191" i="11"/>
  <c r="AB846" i="111"/>
  <c r="AB847" i="111"/>
  <c r="AB174" i="11"/>
  <c r="AB175" i="11"/>
  <c r="CG542" i="111"/>
  <c r="BZ123" i="2"/>
  <c r="BZ130" i="2" s="1"/>
  <c r="BY121" i="2"/>
  <c r="AB848" i="111" l="1"/>
  <c r="BZ109" i="2"/>
  <c r="CA105" i="2"/>
  <c r="BZ82" i="4"/>
  <c r="BZ119" i="2"/>
  <c r="BZ117" i="2"/>
  <c r="AB193" i="11"/>
  <c r="AB195" i="11"/>
  <c r="AB194" i="11"/>
  <c r="AB192" i="11"/>
  <c r="BZ124" i="2"/>
  <c r="BZ129" i="2" s="1"/>
  <c r="BZ39" i="4"/>
  <c r="BZ132" i="2"/>
  <c r="AB392" i="111"/>
  <c r="BZ86" i="4" l="1"/>
  <c r="BZ38" i="4"/>
  <c r="BZ37" i="4" l="1"/>
  <c r="CH545" i="111" l="1"/>
  <c r="BZ44" i="4"/>
  <c r="BZ314" i="112" s="1"/>
  <c r="BZ312" i="112" l="1"/>
  <c r="BZ311" i="112"/>
  <c r="BZ45" i="4" l="1"/>
  <c r="BZ315" i="112"/>
  <c r="BZ46" i="4" l="1"/>
  <c r="CH548" i="111" s="1"/>
  <c r="BZ77" i="4"/>
  <c r="BZ51" i="4"/>
  <c r="BZ49" i="4"/>
  <c r="BZ62" i="4" l="1"/>
  <c r="BZ55" i="4"/>
  <c r="BZ317" i="112"/>
  <c r="CH554" i="111"/>
  <c r="BZ53" i="4"/>
  <c r="BZ54" i="4" s="1"/>
  <c r="BZ62" i="2"/>
  <c r="BZ105" i="4"/>
  <c r="BZ78" i="4"/>
  <c r="BZ131" i="4"/>
  <c r="BZ116" i="4" l="1"/>
  <c r="BZ61" i="4"/>
  <c r="CH557" i="111" s="1"/>
  <c r="BZ57" i="4"/>
  <c r="BZ56" i="4"/>
  <c r="CH551" i="111"/>
  <c r="AB29" i="76"/>
  <c r="BZ71" i="2"/>
  <c r="BZ70" i="2" s="1"/>
  <c r="AB30" i="76" l="1"/>
  <c r="BZ65" i="2"/>
  <c r="BZ73" i="2"/>
  <c r="BZ318" i="112"/>
  <c r="BZ129" i="4" l="1"/>
  <c r="BZ67" i="2"/>
  <c r="CA61" i="2" s="1"/>
  <c r="BZ98" i="4"/>
  <c r="BZ319" i="112"/>
  <c r="AB31" i="76"/>
  <c r="T97" i="27"/>
  <c r="T32" i="27"/>
  <c r="BZ99" i="4" l="1"/>
  <c r="BZ100" i="4" s="1"/>
  <c r="BZ132" i="4"/>
  <c r="BZ134" i="4" s="1"/>
  <c r="BZ139" i="4" s="1"/>
  <c r="BZ102" i="2"/>
  <c r="BZ140" i="4" l="1"/>
  <c r="BZ68" i="4"/>
  <c r="BZ101" i="2" l="1"/>
  <c r="CA137" i="4"/>
  <c r="BZ72" i="4"/>
  <c r="BZ79" i="4" s="1"/>
  <c r="BZ102" i="4" l="1"/>
  <c r="CA106" i="2"/>
  <c r="BZ120" i="2"/>
  <c r="CA128" i="4" l="1"/>
  <c r="CE107" i="2"/>
  <c r="CA108" i="2"/>
  <c r="CA123" i="2"/>
  <c r="CA130" i="2" s="1"/>
  <c r="BZ121" i="2"/>
  <c r="CH542" i="111"/>
  <c r="CA124" i="2" l="1"/>
  <c r="CA129" i="2" s="1"/>
  <c r="CA39" i="4"/>
  <c r="CA132" i="2"/>
  <c r="CA109" i="2"/>
  <c r="CA82" i="4"/>
  <c r="CB105" i="2"/>
  <c r="CA119" i="2"/>
  <c r="CA117" i="2"/>
  <c r="CA86" i="4" l="1"/>
  <c r="CA38" i="4"/>
  <c r="CA37" i="4" l="1"/>
  <c r="CA44" i="4" l="1"/>
  <c r="CA314" i="112" s="1"/>
  <c r="CI545" i="111"/>
  <c r="CA312" i="112" l="1"/>
  <c r="CA311" i="112"/>
  <c r="CA45" i="4" l="1"/>
  <c r="CA315" i="112"/>
  <c r="CA46" i="4" l="1"/>
  <c r="CI548" i="111" s="1"/>
  <c r="CA77" i="4"/>
  <c r="CA51" i="4"/>
  <c r="CA49" i="4"/>
  <c r="CA62" i="2" l="1"/>
  <c r="CA53" i="4"/>
  <c r="CA54" i="4" s="1"/>
  <c r="CA105" i="4"/>
  <c r="CA62" i="4"/>
  <c r="CA317" i="112"/>
  <c r="CI554" i="111"/>
  <c r="CA55" i="4"/>
  <c r="CA78" i="4"/>
  <c r="CA131" i="4"/>
  <c r="CI551" i="111" l="1"/>
  <c r="CA57" i="4"/>
  <c r="CA56" i="4"/>
  <c r="CA61" i="4"/>
  <c r="CI557" i="111" s="1"/>
  <c r="CA116" i="4"/>
  <c r="CA71" i="2"/>
  <c r="CA70" i="2" s="1"/>
  <c r="CA318" i="112" l="1"/>
  <c r="CA319" i="112" s="1"/>
  <c r="CA73" i="2"/>
  <c r="CA65" i="2"/>
  <c r="CA129" i="4" l="1"/>
  <c r="CA98" i="4"/>
  <c r="CA67" i="2"/>
  <c r="CB61" i="2" s="1"/>
  <c r="CA99" i="4" l="1"/>
  <c r="CA100" i="4" s="1"/>
  <c r="CA132" i="4"/>
  <c r="CA134" i="4" s="1"/>
  <c r="CA139" i="4" s="1"/>
  <c r="CA102" i="2"/>
  <c r="CA140" i="4" l="1"/>
  <c r="CA68" i="4"/>
  <c r="CA72" i="4" l="1"/>
  <c r="CA79" i="4" s="1"/>
  <c r="CB137" i="4"/>
  <c r="CA101" i="2"/>
  <c r="CB106" i="2" l="1"/>
  <c r="CA120" i="2"/>
  <c r="CA102" i="4"/>
  <c r="CI542" i="111" l="1"/>
  <c r="CA121" i="2"/>
  <c r="CB123" i="2"/>
  <c r="CB130" i="2" s="1"/>
  <c r="CB128" i="4"/>
  <c r="CF107" i="2"/>
  <c r="CB108" i="2"/>
  <c r="CB39" i="4" l="1"/>
  <c r="CB132" i="2"/>
  <c r="CB124" i="2"/>
  <c r="CB129" i="2" s="1"/>
  <c r="CC105" i="2"/>
  <c r="CB119" i="2"/>
  <c r="CB109" i="2"/>
  <c r="CB82" i="4"/>
  <c r="CB117" i="2"/>
  <c r="CB86" i="4" l="1"/>
  <c r="CB38" i="4"/>
  <c r="CB37" i="4" l="1"/>
  <c r="CJ545" i="111" l="1"/>
  <c r="CB44" i="4"/>
  <c r="CB314" i="112" s="1"/>
  <c r="CB311" i="112" l="1"/>
  <c r="CB312" i="112"/>
  <c r="CB315" i="112" l="1"/>
  <c r="CB45" i="4"/>
  <c r="CB46" i="4" l="1"/>
  <c r="CJ548" i="111" s="1"/>
  <c r="CB77" i="4"/>
  <c r="CB51" i="4"/>
  <c r="CB49" i="4"/>
  <c r="CB55" i="4" l="1"/>
  <c r="CB62" i="4"/>
  <c r="CB317" i="112"/>
  <c r="CJ554" i="111"/>
  <c r="CB78" i="4"/>
  <c r="CB131" i="4"/>
  <c r="CB62" i="2"/>
  <c r="CB105" i="4"/>
  <c r="CB53" i="4"/>
  <c r="CB54" i="4" s="1"/>
  <c r="CB116" i="4" l="1"/>
  <c r="CB71" i="2"/>
  <c r="CB70" i="2" s="1"/>
  <c r="CB57" i="4"/>
  <c r="CB56" i="4"/>
  <c r="CB61" i="4"/>
  <c r="CJ557" i="111" s="1"/>
  <c r="CJ551" i="111"/>
  <c r="CB318" i="112" l="1"/>
  <c r="CB319" i="112" s="1"/>
  <c r="CB65" i="2"/>
  <c r="CB73" i="2"/>
  <c r="CB129" i="4" l="1"/>
  <c r="CB67" i="2"/>
  <c r="CC61" i="2" s="1"/>
  <c r="CB98" i="4"/>
  <c r="CB99" i="4" l="1"/>
  <c r="CB100" i="4" s="1"/>
  <c r="CB132" i="4"/>
  <c r="CB134" i="4" s="1"/>
  <c r="CB139" i="4" s="1"/>
  <c r="CB102" i="2"/>
  <c r="CB140" i="4" l="1"/>
  <c r="CB68" i="4"/>
  <c r="CB101" i="2" l="1"/>
  <c r="CC137" i="4"/>
  <c r="CB72" i="4"/>
  <c r="CB79" i="4" s="1"/>
  <c r="CB102" i="4" l="1"/>
  <c r="CC106" i="2"/>
  <c r="CB120" i="2"/>
  <c r="CC128" i="4" l="1"/>
  <c r="CG107" i="2"/>
  <c r="CC108" i="2"/>
  <c r="CC123" i="2"/>
  <c r="CC130" i="2" s="1"/>
  <c r="CJ542" i="111"/>
  <c r="CB121" i="2"/>
  <c r="CD105" i="2" l="1"/>
  <c r="CC117" i="2"/>
  <c r="CC119" i="2"/>
  <c r="CC109" i="2"/>
  <c r="CC82" i="4"/>
  <c r="CC124" i="2"/>
  <c r="CC129" i="2" s="1"/>
  <c r="CC39" i="4"/>
  <c r="CC132" i="2"/>
  <c r="AC161" i="11"/>
  <c r="U81" i="27"/>
  <c r="AC135" i="11" l="1"/>
  <c r="CC86" i="4"/>
  <c r="CC38" i="4"/>
  <c r="AC93" i="11"/>
  <c r="AC180" i="11" l="1"/>
  <c r="U49" i="27"/>
  <c r="AC387" i="111"/>
  <c r="AC58" i="76"/>
  <c r="CC37" i="4"/>
  <c r="CK545" i="111" l="1"/>
  <c r="CC44" i="4"/>
  <c r="CC314" i="112" s="1"/>
  <c r="AC92" i="11"/>
  <c r="AC50" i="76"/>
  <c r="U13" i="27" l="1"/>
  <c r="U15" i="27" s="1"/>
  <c r="AC96" i="11"/>
  <c r="CC311" i="112"/>
  <c r="CC312" i="112"/>
  <c r="AC48" i="76"/>
  <c r="CC45" i="4" l="1"/>
  <c r="CC315" i="112"/>
  <c r="AC55" i="76"/>
  <c r="CC46" i="4" l="1"/>
  <c r="CK548" i="111" s="1"/>
  <c r="AC97" i="11"/>
  <c r="CC77" i="4"/>
  <c r="CC51" i="4"/>
  <c r="CC49" i="4"/>
  <c r="AC46" i="76"/>
  <c r="CK554" i="111" l="1"/>
  <c r="CC55" i="4"/>
  <c r="CC62" i="4"/>
  <c r="CC317" i="112"/>
  <c r="CC62" i="2"/>
  <c r="CC105" i="4"/>
  <c r="CC53" i="4"/>
  <c r="CC54" i="4" s="1"/>
  <c r="CC78" i="4"/>
  <c r="AC127" i="11"/>
  <c r="CC131" i="4"/>
  <c r="U16" i="27"/>
  <c r="U17" i="27" s="1"/>
  <c r="AC98" i="11"/>
  <c r="AC108" i="11"/>
  <c r="AC102" i="11"/>
  <c r="AC106" i="11"/>
  <c r="AC99" i="11"/>
  <c r="AC107" i="11" l="1"/>
  <c r="U21" i="27"/>
  <c r="U26" i="27" s="1"/>
  <c r="AC109" i="11"/>
  <c r="U30" i="27"/>
  <c r="CC116" i="4"/>
  <c r="AC151" i="11"/>
  <c r="U61" i="27"/>
  <c r="U71" i="27" s="1"/>
  <c r="U20" i="27"/>
  <c r="U127" i="27" s="1"/>
  <c r="AC196" i="11"/>
  <c r="AC115" i="11"/>
  <c r="U83" i="27"/>
  <c r="AC159" i="11"/>
  <c r="CC61" i="4"/>
  <c r="CK557" i="111" s="1"/>
  <c r="CK551" i="111"/>
  <c r="CC57" i="4"/>
  <c r="CC56" i="4"/>
  <c r="AC104" i="11"/>
  <c r="AC128" i="11"/>
  <c r="U41" i="27"/>
  <c r="U42" i="27" s="1"/>
  <c r="CC71" i="2"/>
  <c r="CC70" i="2" s="1"/>
  <c r="AC155" i="11" l="1"/>
  <c r="AC252" i="111"/>
  <c r="AC173" i="11"/>
  <c r="AC383" i="111"/>
  <c r="CC73" i="2"/>
  <c r="CC65" i="2"/>
  <c r="CC318" i="112"/>
  <c r="AC845" i="111"/>
  <c r="AC197" i="11"/>
  <c r="AC114" i="11"/>
  <c r="AC116" i="11"/>
  <c r="CC319" i="112" l="1"/>
  <c r="AC117" i="11"/>
  <c r="CC129" i="4"/>
  <c r="CC67" i="2"/>
  <c r="CD61" i="2" s="1"/>
  <c r="CC98" i="4"/>
  <c r="AC303" i="111"/>
  <c r="AC199" i="11"/>
  <c r="AC289" i="111"/>
  <c r="AC304" i="111"/>
  <c r="AC288" i="111"/>
  <c r="U33" i="27"/>
  <c r="AC118" i="11" l="1"/>
  <c r="CC99" i="4"/>
  <c r="U56" i="27"/>
  <c r="U111" i="27" s="1"/>
  <c r="U82" i="27"/>
  <c r="U84" i="27" s="1"/>
  <c r="U88" i="27" s="1"/>
  <c r="U90" i="27" s="1"/>
  <c r="V89" i="27" s="1"/>
  <c r="AC156" i="11"/>
  <c r="CC132" i="4"/>
  <c r="CC134" i="4" s="1"/>
  <c r="CC139" i="4" s="1"/>
  <c r="CC102" i="2"/>
  <c r="U27" i="27" l="1"/>
  <c r="AC302" i="111"/>
  <c r="CC140" i="4"/>
  <c r="CC68" i="4"/>
  <c r="AC140" i="11"/>
  <c r="CC100" i="4"/>
  <c r="AC200" i="11"/>
  <c r="AC160" i="11"/>
  <c r="AC388" i="111" l="1"/>
  <c r="U52" i="27"/>
  <c r="AC198" i="11"/>
  <c r="AC142" i="11"/>
  <c r="AC167" i="11"/>
  <c r="AC170" i="11"/>
  <c r="AC176" i="11"/>
  <c r="AC177" i="11"/>
  <c r="AC163" i="11"/>
  <c r="CC101" i="2"/>
  <c r="AC129" i="11"/>
  <c r="CC72" i="4"/>
  <c r="CC79" i="4" s="1"/>
  <c r="CD137" i="4"/>
  <c r="AC393" i="111" l="1"/>
  <c r="U129" i="27"/>
  <c r="U58" i="27"/>
  <c r="U43" i="27"/>
  <c r="AC381" i="111"/>
  <c r="AC166" i="11"/>
  <c r="AC169" i="11"/>
  <c r="AC133" i="11"/>
  <c r="CD106" i="2"/>
  <c r="CC120" i="2"/>
  <c r="CC102" i="4"/>
  <c r="AC389" i="111"/>
  <c r="CH107" i="2" l="1"/>
  <c r="CD128" i="4"/>
  <c r="CD108" i="2"/>
  <c r="AC178" i="11"/>
  <c r="AC168" i="11"/>
  <c r="AC190" i="11"/>
  <c r="AC171" i="11"/>
  <c r="U31" i="27"/>
  <c r="AC191" i="11"/>
  <c r="U131" i="27"/>
  <c r="U47" i="27"/>
  <c r="AC846" i="111"/>
  <c r="AC847" i="111"/>
  <c r="AC174" i="11"/>
  <c r="AC175" i="11"/>
  <c r="CD123" i="2"/>
  <c r="CD130" i="2" s="1"/>
  <c r="CK542" i="111"/>
  <c r="CC121" i="2"/>
  <c r="AC848" i="111" l="1"/>
  <c r="CD82" i="4"/>
  <c r="CE105" i="2"/>
  <c r="CD109" i="2"/>
  <c r="CD119" i="2"/>
  <c r="CD117" i="2"/>
  <c r="AC392" i="111"/>
  <c r="AC193" i="11"/>
  <c r="AC195" i="11"/>
  <c r="CD124" i="2"/>
  <c r="CD129" i="2" s="1"/>
  <c r="CD39" i="4"/>
  <c r="CD132" i="2"/>
  <c r="AC194" i="11"/>
  <c r="AC192" i="11"/>
  <c r="CD86" i="4" l="1"/>
  <c r="CD38" i="4"/>
  <c r="CD37" i="4" l="1"/>
  <c r="CL545" i="111" l="1"/>
  <c r="CD44" i="4"/>
  <c r="CD314" i="112" s="1"/>
  <c r="CD311" i="112" l="1"/>
  <c r="CD312" i="112"/>
  <c r="CD45" i="4" l="1"/>
  <c r="CD315" i="112"/>
  <c r="CD46" i="4" l="1"/>
  <c r="CL548" i="111" s="1"/>
  <c r="CD77" i="4"/>
  <c r="CD51" i="4"/>
  <c r="CD49" i="4"/>
  <c r="CD105" i="4" l="1"/>
  <c r="CD53" i="4"/>
  <c r="CD54" i="4" s="1"/>
  <c r="CD62" i="2"/>
  <c r="CL554" i="111"/>
  <c r="CD55" i="4"/>
  <c r="CD62" i="4"/>
  <c r="CD317" i="112"/>
  <c r="CD78" i="4"/>
  <c r="CD131" i="4"/>
  <c r="CD71" i="2" l="1"/>
  <c r="CD70" i="2" s="1"/>
  <c r="AC29" i="76"/>
  <c r="CD61" i="4"/>
  <c r="CL557" i="111" s="1"/>
  <c r="CL551" i="111"/>
  <c r="CD57" i="4"/>
  <c r="CD56" i="4"/>
  <c r="CD116" i="4"/>
  <c r="AC30" i="76" l="1"/>
  <c r="CD318" i="112"/>
  <c r="CD319" i="112" s="1"/>
  <c r="CD73" i="2"/>
  <c r="CD65" i="2"/>
  <c r="U97" i="27" l="1"/>
  <c r="AC31" i="76"/>
  <c r="U32" i="27"/>
  <c r="CD129" i="4"/>
  <c r="CD98" i="4"/>
  <c r="CD67" i="2"/>
  <c r="CE61" i="2" s="1"/>
  <c r="CD132" i="4" l="1"/>
  <c r="CD134" i="4" s="1"/>
  <c r="CD139" i="4" s="1"/>
  <c r="CD102" i="2"/>
  <c r="CD99" i="4"/>
  <c r="CD100" i="4" s="1"/>
  <c r="CD68" i="4" l="1"/>
  <c r="CD140" i="4"/>
  <c r="CD101" i="2" l="1"/>
  <c r="CD72" i="4"/>
  <c r="CD79" i="4" s="1"/>
  <c r="CE137" i="4"/>
  <c r="CD102" i="4" l="1"/>
  <c r="CE106" i="2"/>
  <c r="CD120" i="2"/>
  <c r="CL542" i="111" l="1"/>
  <c r="CE123" i="2"/>
  <c r="CE130" i="2" s="1"/>
  <c r="CD121" i="2"/>
  <c r="CI107" i="2"/>
  <c r="CE128" i="4"/>
  <c r="CE108" i="2"/>
  <c r="CE124" i="2" l="1"/>
  <c r="CE129" i="2" s="1"/>
  <c r="CE39" i="4"/>
  <c r="CE132" i="2"/>
  <c r="CE119" i="2"/>
  <c r="CE82" i="4"/>
  <c r="CE117" i="2"/>
  <c r="CE109" i="2"/>
  <c r="CF105" i="2"/>
  <c r="CE38" i="4" l="1"/>
  <c r="CE86" i="4"/>
  <c r="CE37" i="4" l="1"/>
  <c r="CM545" i="111" l="1"/>
  <c r="CE44" i="4"/>
  <c r="CE314" i="112" s="1"/>
  <c r="CE312" i="112" l="1"/>
  <c r="CE311" i="112"/>
  <c r="CE315" i="112" l="1"/>
  <c r="CE45" i="4"/>
  <c r="CE46" i="4" l="1"/>
  <c r="CM548" i="111" s="1"/>
  <c r="CE77" i="4"/>
  <c r="CE51" i="4"/>
  <c r="CE49" i="4"/>
  <c r="CM554" i="111" l="1"/>
  <c r="CE55" i="4"/>
  <c r="CE62" i="4"/>
  <c r="CE317" i="112"/>
  <c r="CE78" i="4"/>
  <c r="CE131" i="4"/>
  <c r="CE105" i="4"/>
  <c r="CE53" i="4"/>
  <c r="CE54" i="4" s="1"/>
  <c r="CE62" i="2"/>
  <c r="CE71" i="2" l="1"/>
  <c r="CE70" i="2" s="1"/>
  <c r="CE116" i="4"/>
  <c r="CE56" i="4"/>
  <c r="CE61" i="4"/>
  <c r="CM557" i="111" s="1"/>
  <c r="CE57" i="4"/>
  <c r="CM551" i="111"/>
  <c r="CE65" i="2" l="1"/>
  <c r="CE318" i="112"/>
  <c r="CE319" i="112" s="1"/>
  <c r="CE73" i="2"/>
  <c r="CE129" i="4" l="1"/>
  <c r="CE98" i="4"/>
  <c r="CE67" i="2"/>
  <c r="CF61" i="2" s="1"/>
  <c r="CE99" i="4" l="1"/>
  <c r="CE100" i="4" s="1"/>
  <c r="CE132" i="4"/>
  <c r="CE134" i="4" s="1"/>
  <c r="CE139" i="4" s="1"/>
  <c r="CE102" i="2"/>
  <c r="CE140" i="4" l="1"/>
  <c r="CE68" i="4"/>
  <c r="CE101" i="2" l="1"/>
  <c r="CF137" i="4"/>
  <c r="CE72" i="4"/>
  <c r="CE79" i="4" s="1"/>
  <c r="CE102" i="4" l="1"/>
  <c r="CF106" i="2"/>
  <c r="CE120" i="2"/>
  <c r="CM542" i="111" l="1"/>
  <c r="CE121" i="2"/>
  <c r="CF123" i="2"/>
  <c r="CF130" i="2" s="1"/>
  <c r="CJ107" i="2"/>
  <c r="CF128" i="4"/>
  <c r="CF108" i="2"/>
  <c r="CF132" i="2" l="1"/>
  <c r="CF124" i="2"/>
  <c r="CF129" i="2" s="1"/>
  <c r="CF39" i="4"/>
  <c r="CG105" i="2"/>
  <c r="CF119" i="2"/>
  <c r="CF82" i="4"/>
  <c r="CF117" i="2"/>
  <c r="CF109" i="2"/>
  <c r="CF86" i="4" l="1"/>
  <c r="CF38" i="4"/>
  <c r="CF37" i="4" l="1"/>
  <c r="CN545" i="111" l="1"/>
  <c r="CF44" i="4"/>
  <c r="CF314" i="112" s="1"/>
  <c r="CF312" i="112" l="1"/>
  <c r="CF311" i="112"/>
  <c r="CF315" i="112" l="1"/>
  <c r="CF45" i="4"/>
  <c r="CF46" i="4" l="1"/>
  <c r="CN548" i="111" s="1"/>
  <c r="CF77" i="4"/>
  <c r="CF51" i="4"/>
  <c r="CF49" i="4"/>
  <c r="CF78" i="4" l="1"/>
  <c r="CF131" i="4"/>
  <c r="CF105" i="4"/>
  <c r="CF53" i="4"/>
  <c r="CF54" i="4" s="1"/>
  <c r="CF62" i="2"/>
  <c r="CF317" i="112"/>
  <c r="CF55" i="4"/>
  <c r="CN554" i="111"/>
  <c r="CF62" i="4"/>
  <c r="CF116" i="4" l="1"/>
  <c r="CF61" i="4"/>
  <c r="CN557" i="111" s="1"/>
  <c r="CF57" i="4"/>
  <c r="CN551" i="111"/>
  <c r="CF56" i="4"/>
  <c r="CF71" i="2"/>
  <c r="CF70" i="2" s="1"/>
  <c r="CF318" i="112" l="1"/>
  <c r="CF319" i="112" s="1"/>
  <c r="CF65" i="2"/>
  <c r="CF73" i="2"/>
  <c r="CF129" i="4" l="1"/>
  <c r="CF98" i="4"/>
  <c r="CF67" i="2"/>
  <c r="CG61" i="2" s="1"/>
  <c r="CF99" i="4" l="1"/>
  <c r="CF100" i="4" s="1"/>
  <c r="CF132" i="4"/>
  <c r="CF134" i="4" s="1"/>
  <c r="CF139" i="4" s="1"/>
  <c r="CF102" i="2"/>
  <c r="CF68" i="4" l="1"/>
  <c r="CF140" i="4"/>
  <c r="CG137" i="4" l="1"/>
  <c r="CF72" i="4"/>
  <c r="CF79" i="4" s="1"/>
  <c r="CF101" i="2"/>
  <c r="CF102" i="4" l="1"/>
  <c r="CG106" i="2"/>
  <c r="CF120" i="2"/>
  <c r="CF121" i="2" l="1"/>
  <c r="CN542" i="111"/>
  <c r="CG123" i="2"/>
  <c r="CG130" i="2" s="1"/>
  <c r="CK107" i="2"/>
  <c r="CG128" i="4"/>
  <c r="CG108" i="2"/>
  <c r="CG124" i="2" l="1"/>
  <c r="CG129" i="2" s="1"/>
  <c r="CG39" i="4"/>
  <c r="CG132" i="2"/>
  <c r="AD161" i="11"/>
  <c r="V81" i="27"/>
  <c r="CH105" i="2"/>
  <c r="CG119" i="2"/>
  <c r="CG117" i="2"/>
  <c r="CG109" i="2"/>
  <c r="CG82" i="4"/>
  <c r="CG38" i="4" l="1"/>
  <c r="AD135" i="11"/>
  <c r="CG86" i="4"/>
  <c r="AD93" i="11"/>
  <c r="AD180" i="11" l="1"/>
  <c r="AD387" i="111"/>
  <c r="V49" i="27"/>
  <c r="AD58" i="76"/>
  <c r="CG37" i="4"/>
  <c r="AM93" i="11"/>
  <c r="AD50" i="76" l="1"/>
  <c r="CO545" i="111"/>
  <c r="CG44" i="4"/>
  <c r="CG314" i="112" s="1"/>
  <c r="AD92" i="11"/>
  <c r="AD48" i="76" l="1"/>
  <c r="AD96" i="11"/>
  <c r="V13" i="27"/>
  <c r="V15" i="27" s="1"/>
  <c r="AM92" i="11"/>
  <c r="CG312" i="112"/>
  <c r="CG311" i="112"/>
  <c r="AM96" i="11" l="1"/>
  <c r="AD55" i="76"/>
  <c r="CG315" i="112"/>
  <c r="CG45" i="4"/>
  <c r="AD46" i="76" l="1"/>
  <c r="CG46" i="4"/>
  <c r="CO548" i="111" s="1"/>
  <c r="AD97" i="11"/>
  <c r="CG77" i="4"/>
  <c r="CG51" i="4"/>
  <c r="CG49" i="4"/>
  <c r="CG78" i="4" l="1"/>
  <c r="AD127" i="11"/>
  <c r="CG131" i="4"/>
  <c r="AD98" i="11"/>
  <c r="V16" i="27"/>
  <c r="V17" i="27" s="1"/>
  <c r="AD108" i="11"/>
  <c r="AD102" i="11"/>
  <c r="AD106" i="11"/>
  <c r="AD99" i="11"/>
  <c r="CG62" i="2"/>
  <c r="CG53" i="4"/>
  <c r="CG54" i="4" s="1"/>
  <c r="CG105" i="4"/>
  <c r="CO554" i="111"/>
  <c r="CG55" i="4"/>
  <c r="CG62" i="4"/>
  <c r="CG317" i="112"/>
  <c r="V83" i="27" l="1"/>
  <c r="AD159" i="11"/>
  <c r="AM108" i="11"/>
  <c r="V30" i="27"/>
  <c r="AD109" i="11"/>
  <c r="CG57" i="4"/>
  <c r="CG56" i="4"/>
  <c r="CO551" i="111"/>
  <c r="CG61" i="4"/>
  <c r="CO557" i="111" s="1"/>
  <c r="CG71" i="2"/>
  <c r="CG70" i="2" s="1"/>
  <c r="AM99" i="11"/>
  <c r="V21" i="27"/>
  <c r="V26" i="27" s="1"/>
  <c r="AM106" i="11"/>
  <c r="AD107" i="11"/>
  <c r="AD128" i="11"/>
  <c r="V41" i="27"/>
  <c r="V42" i="27" s="1"/>
  <c r="AM102" i="11"/>
  <c r="AD196" i="11"/>
  <c r="AD115" i="11"/>
  <c r="V20" i="27"/>
  <c r="V127" i="27" s="1"/>
  <c r="CG116" i="4"/>
  <c r="AD151" i="11"/>
  <c r="V61" i="27"/>
  <c r="V71" i="27" s="1"/>
  <c r="AD104" i="11"/>
  <c r="AD845" i="111" l="1"/>
  <c r="AD197" i="11"/>
  <c r="AM104" i="11"/>
  <c r="AD114" i="11"/>
  <c r="AD116" i="11"/>
  <c r="AD383" i="111"/>
  <c r="CG318" i="112"/>
  <c r="CG73" i="2"/>
  <c r="CG65" i="2"/>
  <c r="AD155" i="11"/>
  <c r="AD252" i="111"/>
  <c r="AD173" i="11"/>
  <c r="AM115" i="11"/>
  <c r="AD288" i="111" l="1"/>
  <c r="AD303" i="111"/>
  <c r="AD199" i="11"/>
  <c r="AD289" i="111"/>
  <c r="AD304" i="111"/>
  <c r="CG129" i="4"/>
  <c r="CG67" i="2"/>
  <c r="CH61" i="2" s="1"/>
  <c r="CG98" i="4"/>
  <c r="CG319" i="112"/>
  <c r="AD117" i="11"/>
  <c r="V33" i="27"/>
  <c r="AM116" i="11"/>
  <c r="AD118" i="11" l="1"/>
  <c r="AM117" i="11"/>
  <c r="AD156" i="11"/>
  <c r="V82" i="27"/>
  <c r="V84" i="27" s="1"/>
  <c r="V88" i="27" s="1"/>
  <c r="V90" i="27" s="1"/>
  <c r="W89" i="27" s="1"/>
  <c r="CG132" i="4"/>
  <c r="CG134" i="4" s="1"/>
  <c r="CG139" i="4" s="1"/>
  <c r="CG102" i="2"/>
  <c r="CG99" i="4"/>
  <c r="V56" i="27"/>
  <c r="V111" i="27" s="1"/>
  <c r="V27" i="27" l="1"/>
  <c r="AD302" i="111"/>
  <c r="AD140" i="11"/>
  <c r="CG100" i="4"/>
  <c r="CG68" i="4"/>
  <c r="CG140" i="4"/>
  <c r="AD200" i="11"/>
  <c r="AD160" i="11"/>
  <c r="AD388" i="111" l="1"/>
  <c r="AD198" i="11"/>
  <c r="V52" i="27"/>
  <c r="AD170" i="11"/>
  <c r="AD142" i="11"/>
  <c r="AD167" i="11"/>
  <c r="AD176" i="11"/>
  <c r="AD177" i="11"/>
  <c r="AD163" i="11"/>
  <c r="CG72" i="4"/>
  <c r="CG79" i="4" s="1"/>
  <c r="AD129" i="11"/>
  <c r="CG101" i="2"/>
  <c r="CH137" i="4"/>
  <c r="CG102" i="4" l="1"/>
  <c r="V129" i="27"/>
  <c r="V58" i="27"/>
  <c r="AD393" i="111"/>
  <c r="V43" i="27"/>
  <c r="AD381" i="111"/>
  <c r="AD169" i="11"/>
  <c r="AD166" i="11"/>
  <c r="AD133" i="11"/>
  <c r="AM142" i="11"/>
  <c r="AD389" i="111"/>
  <c r="CH106" i="2"/>
  <c r="CG120" i="2"/>
  <c r="AD171" i="11" l="1"/>
  <c r="V31" i="27"/>
  <c r="AM169" i="11"/>
  <c r="AD191" i="11"/>
  <c r="V131" i="27"/>
  <c r="V47" i="27"/>
  <c r="AD846" i="111"/>
  <c r="AD847" i="111"/>
  <c r="AD174" i="11"/>
  <c r="AD175" i="11"/>
  <c r="CO542" i="111"/>
  <c r="CG121" i="2"/>
  <c r="CH123" i="2"/>
  <c r="CH130" i="2" s="1"/>
  <c r="CL107" i="2"/>
  <c r="CH128" i="4"/>
  <c r="CH108" i="2"/>
  <c r="AD178" i="11"/>
  <c r="AD190" i="11"/>
  <c r="AD168" i="11"/>
  <c r="AM166" i="11"/>
  <c r="AD194" i="11" l="1"/>
  <c r="AD192" i="11"/>
  <c r="CH39" i="4"/>
  <c r="CH124" i="2"/>
  <c r="CH129" i="2" s="1"/>
  <c r="CH132" i="2"/>
  <c r="CH38" i="4" s="1"/>
  <c r="AD848" i="111"/>
  <c r="AD193" i="11"/>
  <c r="AD195" i="11"/>
  <c r="CI105" i="2"/>
  <c r="CH119" i="2"/>
  <c r="CH109" i="2"/>
  <c r="CH82" i="4"/>
  <c r="CH117" i="2"/>
  <c r="AD392" i="111"/>
  <c r="CH86" i="4" l="1"/>
  <c r="CH37" i="4"/>
  <c r="CP545" i="111" l="1"/>
  <c r="CH44" i="4"/>
  <c r="CH314" i="112" s="1"/>
  <c r="CH311" i="112" l="1"/>
  <c r="CH312" i="112"/>
  <c r="CH315" i="112" l="1"/>
  <c r="CH45" i="4"/>
  <c r="CH46" i="4" l="1"/>
  <c r="CP548" i="111" s="1"/>
  <c r="CH77" i="4"/>
  <c r="CH49" i="4"/>
  <c r="CH51" i="4"/>
  <c r="CH53" i="4" l="1"/>
  <c r="CH54" i="4" s="1"/>
  <c r="CH62" i="2"/>
  <c r="CH105" i="4"/>
  <c r="CH78" i="4"/>
  <c r="CH131" i="4"/>
  <c r="CP554" i="111"/>
  <c r="CH317" i="112"/>
  <c r="CH55" i="4"/>
  <c r="CH62" i="4"/>
  <c r="CP551" i="111" l="1"/>
  <c r="CH57" i="4"/>
  <c r="CH56" i="4"/>
  <c r="CH61" i="4"/>
  <c r="CP557" i="111" s="1"/>
  <c r="AD29" i="76"/>
  <c r="CH116" i="4"/>
  <c r="CH71" i="2"/>
  <c r="CH70" i="2" s="1"/>
  <c r="CH318" i="112" l="1"/>
  <c r="CH319" i="112" s="1"/>
  <c r="CH73" i="2"/>
  <c r="CH65" i="2"/>
  <c r="AD30" i="76"/>
  <c r="V32" i="27" l="1"/>
  <c r="AD31" i="76"/>
  <c r="V97" i="27"/>
  <c r="CH129" i="4"/>
  <c r="CH67" i="2"/>
  <c r="CI61" i="2" s="1"/>
  <c r="CH98" i="4"/>
  <c r="CH99" i="4" l="1"/>
  <c r="CH100" i="4" s="1"/>
  <c r="CH132" i="4"/>
  <c r="CH134" i="4" s="1"/>
  <c r="CH139" i="4" s="1"/>
  <c r="CH102" i="2"/>
  <c r="CH140" i="4" l="1"/>
  <c r="CH68" i="4"/>
  <c r="CH101" i="2" l="1"/>
  <c r="CI137" i="4"/>
  <c r="CH72" i="4"/>
  <c r="CH79" i="4" s="1"/>
  <c r="CH102" i="4" l="1"/>
  <c r="CI106" i="2"/>
  <c r="CH120" i="2"/>
  <c r="CI128" i="4" l="1"/>
  <c r="CM107" i="2"/>
  <c r="CI108" i="2"/>
  <c r="CI123" i="2"/>
  <c r="CI130" i="2" s="1"/>
  <c r="CP542" i="111"/>
  <c r="CH121" i="2"/>
  <c r="CI39" i="4" l="1"/>
  <c r="CI132" i="2"/>
  <c r="CI38" i="4" s="1"/>
  <c r="CI124" i="2"/>
  <c r="CI129" i="2" s="1"/>
  <c r="CI82" i="4"/>
  <c r="CJ105" i="2"/>
  <c r="CI109" i="2"/>
  <c r="CI119" i="2"/>
  <c r="CI117" i="2"/>
  <c r="CI86" i="4" l="1"/>
  <c r="CI37" i="4"/>
  <c r="CQ545" i="111" l="1"/>
  <c r="CI44" i="4"/>
  <c r="CI314" i="112" s="1"/>
  <c r="CI312" i="112" l="1"/>
  <c r="CI311" i="112"/>
  <c r="CI315" i="112" l="1"/>
  <c r="CI45" i="4"/>
  <c r="CI46" i="4" l="1"/>
  <c r="CQ548" i="111" s="1"/>
  <c r="CI77" i="4"/>
  <c r="CI51" i="4"/>
  <c r="CI49" i="4"/>
  <c r="CI105" i="4" l="1"/>
  <c r="CI62" i="2"/>
  <c r="CI53" i="4"/>
  <c r="CI54" i="4" s="1"/>
  <c r="CQ554" i="111"/>
  <c r="CI55" i="4"/>
  <c r="CI62" i="4"/>
  <c r="CI317" i="112"/>
  <c r="CI78" i="4"/>
  <c r="CI131" i="4"/>
  <c r="CI61" i="4" l="1"/>
  <c r="CQ557" i="111" s="1"/>
  <c r="CI57" i="4"/>
  <c r="CI56" i="4"/>
  <c r="CQ551" i="111"/>
  <c r="CI71" i="2"/>
  <c r="CI70" i="2" s="1"/>
  <c r="CI116" i="4"/>
  <c r="CI318" i="112" l="1"/>
  <c r="CI319" i="112" s="1"/>
  <c r="CI73" i="2"/>
  <c r="CI65" i="2"/>
  <c r="CI129" i="4" l="1"/>
  <c r="CI67" i="2"/>
  <c r="CJ61" i="2" s="1"/>
  <c r="CI98" i="4"/>
  <c r="CI99" i="4" l="1"/>
  <c r="CI100" i="4" s="1"/>
  <c r="CI132" i="4"/>
  <c r="CI134" i="4" s="1"/>
  <c r="CI139" i="4" s="1"/>
  <c r="CI102" i="2"/>
  <c r="CI140" i="4" l="1"/>
  <c r="CI68" i="4"/>
  <c r="CJ137" i="4" l="1"/>
  <c r="CI101" i="2"/>
  <c r="CI72" i="4"/>
  <c r="CI79" i="4" s="1"/>
  <c r="CJ106" i="2" l="1"/>
  <c r="CI120" i="2"/>
  <c r="CI102" i="4"/>
  <c r="CI121" i="2" l="1"/>
  <c r="CJ123" i="2"/>
  <c r="CJ130" i="2" s="1"/>
  <c r="CQ542" i="111"/>
  <c r="CN107" i="2"/>
  <c r="CJ128" i="4"/>
  <c r="CJ108" i="2"/>
  <c r="CJ39" i="4" l="1"/>
  <c r="CJ132" i="2"/>
  <c r="CJ38" i="4" s="1"/>
  <c r="CJ124" i="2"/>
  <c r="CJ129" i="2" s="1"/>
  <c r="CJ119" i="2"/>
  <c r="CJ117" i="2"/>
  <c r="CJ109" i="2"/>
  <c r="CJ82" i="4"/>
  <c r="CK105" i="2"/>
  <c r="CJ86" i="4" l="1"/>
  <c r="CJ37" i="4"/>
  <c r="CJ44" i="4" l="1"/>
  <c r="CJ314" i="112" s="1"/>
  <c r="CR545" i="111"/>
  <c r="CJ312" i="112" l="1"/>
  <c r="CJ311" i="112"/>
  <c r="CJ45" i="4" l="1"/>
  <c r="CJ315" i="112"/>
  <c r="CJ46" i="4" l="1"/>
  <c r="CR548" i="111" s="1"/>
  <c r="CJ77" i="4"/>
  <c r="CJ51" i="4"/>
  <c r="CJ49" i="4"/>
  <c r="CJ317" i="112" l="1"/>
  <c r="CJ55" i="4"/>
  <c r="CR554" i="111"/>
  <c r="CJ62" i="4"/>
  <c r="CJ78" i="4"/>
  <c r="CJ131" i="4"/>
  <c r="CJ62" i="2"/>
  <c r="CJ105" i="4"/>
  <c r="CJ53" i="4"/>
  <c r="CJ54" i="4" s="1"/>
  <c r="CJ116" i="4" l="1"/>
  <c r="CJ71" i="2"/>
  <c r="CJ70" i="2" s="1"/>
  <c r="CJ57" i="4"/>
  <c r="CR551" i="111"/>
  <c r="CJ61" i="4"/>
  <c r="CR557" i="111" s="1"/>
  <c r="CJ56" i="4"/>
  <c r="CJ65" i="2" l="1"/>
  <c r="CJ73" i="2"/>
  <c r="CJ318" i="112"/>
  <c r="CJ319" i="112" s="1"/>
  <c r="CJ129" i="4" l="1"/>
  <c r="CJ98" i="4"/>
  <c r="CJ67" i="2"/>
  <c r="CK61" i="2" s="1"/>
  <c r="CJ99" i="4" l="1"/>
  <c r="CJ100" i="4" s="1"/>
  <c r="CJ132" i="4"/>
  <c r="CJ134" i="4" s="1"/>
  <c r="CJ139" i="4" s="1"/>
  <c r="CJ102" i="2"/>
  <c r="CJ140" i="4" l="1"/>
  <c r="CJ68" i="4"/>
  <c r="CJ101" i="2" l="1"/>
  <c r="CK137" i="4"/>
  <c r="CJ72" i="4"/>
  <c r="CJ79" i="4" s="1"/>
  <c r="CJ102" i="4" l="1"/>
  <c r="CK106" i="2"/>
  <c r="CJ120" i="2"/>
  <c r="CO107" i="2" l="1"/>
  <c r="CK128" i="4"/>
  <c r="CK108" i="2"/>
  <c r="CJ121" i="2"/>
  <c r="CR542" i="111"/>
  <c r="CK123" i="2"/>
  <c r="CK130" i="2" s="1"/>
  <c r="CK109" i="2" l="1"/>
  <c r="CL105" i="2"/>
  <c r="CK119" i="2"/>
  <c r="CK82" i="4"/>
  <c r="CK117" i="2"/>
  <c r="W81" i="27"/>
  <c r="AE161" i="11"/>
  <c r="CK132" i="2"/>
  <c r="CK38" i="4" s="1"/>
  <c r="CK124" i="2"/>
  <c r="CK129" i="2" s="1"/>
  <c r="CK39" i="4"/>
  <c r="CK37" i="4" l="1"/>
  <c r="AE135" i="11"/>
  <c r="CK86" i="4"/>
  <c r="AE93" i="11"/>
  <c r="AE180" i="11" l="1"/>
  <c r="AE387" i="111"/>
  <c r="W49" i="27"/>
  <c r="AE58" i="76"/>
  <c r="CS545" i="111"/>
  <c r="CK44" i="4"/>
  <c r="CK314" i="112" s="1"/>
  <c r="AE92" i="11"/>
  <c r="AE50" i="76" l="1"/>
  <c r="W13" i="27"/>
  <c r="W15" i="27" s="1"/>
  <c r="AE96" i="11"/>
  <c r="CK311" i="112"/>
  <c r="CK312" i="112"/>
  <c r="AE48" i="76" l="1"/>
  <c r="CK45" i="4"/>
  <c r="CK315" i="112"/>
  <c r="AE55" i="76" l="1"/>
  <c r="CK46" i="4"/>
  <c r="CS548" i="111" s="1"/>
  <c r="AE97" i="11"/>
  <c r="CK77" i="4"/>
  <c r="CK51" i="4"/>
  <c r="CK49" i="4"/>
  <c r="CK317" i="112" l="1"/>
  <c r="CS554" i="111"/>
  <c r="CK55" i="4"/>
  <c r="CK62" i="4"/>
  <c r="CK78" i="4"/>
  <c r="AE127" i="11"/>
  <c r="CK131" i="4"/>
  <c r="AE98" i="11"/>
  <c r="W16" i="27"/>
  <c r="W17" i="27" s="1"/>
  <c r="AE108" i="11"/>
  <c r="AE102" i="11"/>
  <c r="AE106" i="11"/>
  <c r="AE99" i="11"/>
  <c r="CK53" i="4"/>
  <c r="CK54" i="4" s="1"/>
  <c r="CK105" i="4"/>
  <c r="CK62" i="2"/>
  <c r="AE46" i="76"/>
  <c r="AE128" i="11" l="1"/>
  <c r="W41" i="27"/>
  <c r="W42" i="27" s="1"/>
  <c r="AE107" i="11"/>
  <c r="W21" i="27"/>
  <c r="W26" i="27" s="1"/>
  <c r="AE104" i="11"/>
  <c r="CK71" i="2"/>
  <c r="CK70" i="2" s="1"/>
  <c r="AE109" i="11"/>
  <c r="W30" i="27"/>
  <c r="W83" i="27"/>
  <c r="AE159" i="11"/>
  <c r="AE196" i="11"/>
  <c r="AE115" i="11"/>
  <c r="W20" i="27"/>
  <c r="W127" i="27" s="1"/>
  <c r="CK116" i="4"/>
  <c r="AE151" i="11"/>
  <c r="W61" i="27"/>
  <c r="W71" i="27" s="1"/>
  <c r="CK56" i="4"/>
  <c r="CS551" i="111"/>
  <c r="CK61" i="4"/>
  <c r="CS557" i="111" s="1"/>
  <c r="CK57" i="4"/>
  <c r="CK318" i="112" l="1"/>
  <c r="CK73" i="2"/>
  <c r="CK65" i="2"/>
  <c r="AE173" i="11"/>
  <c r="AE155" i="11"/>
  <c r="AE845" i="111"/>
  <c r="AE114" i="11"/>
  <c r="AE116" i="11"/>
  <c r="AE197" i="11"/>
  <c r="AE383" i="111"/>
  <c r="AE252" i="111"/>
  <c r="AE303" i="111" l="1"/>
  <c r="AE288" i="111"/>
  <c r="CK129" i="4"/>
  <c r="CK98" i="4"/>
  <c r="CK67" i="2"/>
  <c r="CL61" i="2" s="1"/>
  <c r="AE199" i="11"/>
  <c r="AE289" i="111"/>
  <c r="AE304" i="111"/>
  <c r="W33" i="27"/>
  <c r="CK319" i="112"/>
  <c r="AE117" i="11"/>
  <c r="W56" i="27" l="1"/>
  <c r="W111" i="27" s="1"/>
  <c r="CK99" i="4"/>
  <c r="AE156" i="11"/>
  <c r="W82" i="27"/>
  <c r="W84" i="27" s="1"/>
  <c r="W88" i="27" s="1"/>
  <c r="W90" i="27" s="1"/>
  <c r="X89" i="27" s="1"/>
  <c r="CK132" i="4"/>
  <c r="CK134" i="4" s="1"/>
  <c r="CK139" i="4" s="1"/>
  <c r="CK102" i="2"/>
  <c r="AE118" i="11"/>
  <c r="AE200" i="11" l="1"/>
  <c r="AE160" i="11"/>
  <c r="CK68" i="4"/>
  <c r="CK140" i="4"/>
  <c r="AE140" i="11"/>
  <c r="CK100" i="4"/>
  <c r="W27" i="27"/>
  <c r="AE302" i="111"/>
  <c r="AE388" i="111" l="1"/>
  <c r="AE198" i="11"/>
  <c r="W52" i="27"/>
  <c r="AE170" i="11"/>
  <c r="AE142" i="11"/>
  <c r="AE167" i="11"/>
  <c r="AE176" i="11"/>
  <c r="AE177" i="11"/>
  <c r="CK101" i="2"/>
  <c r="CL137" i="4"/>
  <c r="CK72" i="4"/>
  <c r="CK79" i="4" s="1"/>
  <c r="AE129" i="11"/>
  <c r="AE163" i="11"/>
  <c r="CK102" i="4" l="1"/>
  <c r="W129" i="27"/>
  <c r="W58" i="27"/>
  <c r="AE393" i="111"/>
  <c r="AE381" i="111"/>
  <c r="W43" i="27"/>
  <c r="AE166" i="11"/>
  <c r="AE169" i="11"/>
  <c r="AE133" i="11"/>
  <c r="AE389" i="111"/>
  <c r="CL106" i="2"/>
  <c r="CK120" i="2"/>
  <c r="AE190" i="11" l="1"/>
  <c r="AE168" i="11"/>
  <c r="AE178" i="11"/>
  <c r="W131" i="27"/>
  <c r="W47" i="27"/>
  <c r="CS542" i="111"/>
  <c r="CL123" i="2"/>
  <c r="CL130" i="2" s="1"/>
  <c r="CK121" i="2"/>
  <c r="AE846" i="111"/>
  <c r="AE847" i="111"/>
  <c r="AE174" i="11"/>
  <c r="AE175" i="11"/>
  <c r="CL128" i="4"/>
  <c r="CP107" i="2"/>
  <c r="CL108" i="2"/>
  <c r="AE171" i="11"/>
  <c r="W31" i="27"/>
  <c r="AE191" i="11"/>
  <c r="AE848" i="111" l="1"/>
  <c r="AE193" i="11"/>
  <c r="AE195" i="11"/>
  <c r="AE392" i="111"/>
  <c r="AE194" i="11"/>
  <c r="AE192" i="11"/>
  <c r="CL39" i="4"/>
  <c r="CL132" i="2"/>
  <c r="CL38" i="4" s="1"/>
  <c r="CL124" i="2"/>
  <c r="CL129" i="2" s="1"/>
  <c r="CL82" i="4"/>
  <c r="CL117" i="2"/>
  <c r="CL119" i="2"/>
  <c r="CL109" i="2"/>
  <c r="CM105" i="2"/>
  <c r="X81" i="27"/>
  <c r="CL37" i="4" l="1"/>
  <c r="CL86" i="4"/>
  <c r="CL44" i="4" l="1"/>
  <c r="CL314" i="112" s="1"/>
  <c r="CL311" i="112" l="1"/>
  <c r="CL312" i="112"/>
  <c r="CL45" i="4" l="1"/>
  <c r="CL315" i="112"/>
  <c r="CL46" i="4" l="1"/>
  <c r="CL77" i="4"/>
  <c r="CL51" i="4"/>
  <c r="CL49" i="4"/>
  <c r="CL62" i="2" l="1"/>
  <c r="CL105" i="4"/>
  <c r="CL53" i="4"/>
  <c r="CL54" i="4" s="1"/>
  <c r="CL317" i="112"/>
  <c r="CL62" i="4"/>
  <c r="CL55" i="4"/>
  <c r="CL78" i="4"/>
  <c r="CL131" i="4"/>
  <c r="X83" i="27" l="1"/>
  <c r="AE29" i="76"/>
  <c r="CL56" i="4"/>
  <c r="CL61" i="4"/>
  <c r="CL57" i="4"/>
  <c r="CL116" i="4"/>
  <c r="X61" i="27"/>
  <c r="X71" i="27" s="1"/>
  <c r="CL71" i="2"/>
  <c r="CL70" i="2" s="1"/>
  <c r="AE30" i="76" l="1"/>
  <c r="CL65" i="2"/>
  <c r="CL318" i="112"/>
  <c r="CL319" i="112" s="1"/>
  <c r="CL73" i="2"/>
  <c r="AE31" i="76" l="1"/>
  <c r="W97" i="27"/>
  <c r="W32" i="27"/>
  <c r="CL129" i="4"/>
  <c r="CL67" i="2"/>
  <c r="CM61" i="2" s="1"/>
  <c r="CL98" i="4"/>
  <c r="X82" i="27" l="1"/>
  <c r="X84" i="27" s="1"/>
  <c r="X88" i="27" s="1"/>
  <c r="X90" i="27" s="1"/>
  <c r="Y89" i="27" s="1"/>
  <c r="CL132" i="4"/>
  <c r="CL134" i="4" s="1"/>
  <c r="CL139" i="4" s="1"/>
  <c r="CL102" i="2"/>
  <c r="X56" i="27"/>
  <c r="CL99" i="4"/>
  <c r="CL100" i="4" s="1"/>
  <c r="CL68" i="4" l="1"/>
  <c r="CL140" i="4"/>
  <c r="CM137" i="4" l="1"/>
  <c r="CL72" i="4"/>
  <c r="CL79" i="4" s="1"/>
  <c r="CL101" i="2"/>
  <c r="CM106" i="2" l="1"/>
  <c r="CL120" i="2"/>
  <c r="CL102" i="4"/>
  <c r="CL121" i="2" l="1"/>
  <c r="CM123" i="2"/>
  <c r="CM130" i="2" s="1"/>
  <c r="CM128" i="4"/>
  <c r="CQ107" i="2"/>
  <c r="CM108" i="2"/>
  <c r="Y81" i="27" l="1"/>
  <c r="CM132" i="2"/>
  <c r="CM38" i="4" s="1"/>
  <c r="CM124" i="2"/>
  <c r="CM129" i="2" s="1"/>
  <c r="CM39" i="4"/>
  <c r="CM117" i="2"/>
  <c r="CM109" i="2"/>
  <c r="CM82" i="4"/>
  <c r="CN105" i="2"/>
  <c r="CM119" i="2"/>
  <c r="CM37" i="4" l="1"/>
  <c r="CM86" i="4"/>
  <c r="CM44" i="4" l="1"/>
  <c r="CM314" i="112" s="1"/>
  <c r="CM312" i="112" l="1"/>
  <c r="CM311" i="112"/>
  <c r="CM315" i="112" l="1"/>
  <c r="CM45" i="4"/>
  <c r="CM46" i="4" l="1"/>
  <c r="CM77" i="4"/>
  <c r="CM51" i="4"/>
  <c r="CM49" i="4"/>
  <c r="CM53" i="4" l="1"/>
  <c r="CM54" i="4" s="1"/>
  <c r="CM62" i="2"/>
  <c r="CM105" i="4"/>
  <c r="CM55" i="4"/>
  <c r="CM317" i="112"/>
  <c r="CM62" i="4"/>
  <c r="CM78" i="4"/>
  <c r="CM131" i="4"/>
  <c r="CM56" i="4" l="1"/>
  <c r="CM61" i="4"/>
  <c r="CM57" i="4"/>
  <c r="Y83" i="27"/>
  <c r="CM116" i="4"/>
  <c r="Y61" i="27"/>
  <c r="Y71" i="27" s="1"/>
  <c r="CM71" i="2"/>
  <c r="CM70" i="2" s="1"/>
  <c r="CM73" i="2" l="1"/>
  <c r="CM65" i="2"/>
  <c r="CM318" i="112"/>
  <c r="CM319" i="112" s="1"/>
  <c r="CM129" i="4" l="1"/>
  <c r="CM98" i="4"/>
  <c r="CM67" i="2"/>
  <c r="CN61" i="2" s="1"/>
  <c r="CM99" i="4" l="1"/>
  <c r="CM100" i="4" s="1"/>
  <c r="Y56" i="27"/>
  <c r="Y82" i="27"/>
  <c r="Y84" i="27" s="1"/>
  <c r="Y88" i="27" s="1"/>
  <c r="Y90" i="27" s="1"/>
  <c r="Z89" i="27" s="1"/>
  <c r="CM132" i="4"/>
  <c r="CM134" i="4" s="1"/>
  <c r="CM139" i="4" s="1"/>
  <c r="CM102" i="2"/>
  <c r="CM140" i="4" l="1"/>
  <c r="CM68" i="4"/>
  <c r="CM72" i="4" l="1"/>
  <c r="CM79" i="4" s="1"/>
  <c r="CM101" i="2"/>
  <c r="CN137" i="4"/>
  <c r="CN106" i="2" l="1"/>
  <c r="CM120" i="2"/>
  <c r="CM102" i="4"/>
  <c r="CM121" i="2" l="1"/>
  <c r="CN123" i="2"/>
  <c r="CN130" i="2" s="1"/>
  <c r="CN128" i="4"/>
  <c r="CR107" i="2"/>
  <c r="CN108" i="2"/>
  <c r="CN117" i="2" l="1"/>
  <c r="CO105" i="2"/>
  <c r="CN82" i="4"/>
  <c r="CN119" i="2"/>
  <c r="CN109" i="2"/>
  <c r="CN124" i="2"/>
  <c r="CN129" i="2" s="1"/>
  <c r="CN132" i="2"/>
  <c r="CN38" i="4" s="1"/>
  <c r="CN39" i="4"/>
  <c r="Z81" i="27"/>
  <c r="CN86" i="4" l="1"/>
  <c r="CN37" i="4"/>
  <c r="CN44" i="4" l="1"/>
  <c r="CN314" i="112" s="1"/>
  <c r="CN312" i="112" l="1"/>
  <c r="CN311" i="112"/>
  <c r="CN45" i="4" l="1"/>
  <c r="CN315" i="112"/>
  <c r="CN46" i="4" l="1"/>
  <c r="CN77" i="4"/>
  <c r="CN49" i="4"/>
  <c r="CN51" i="4"/>
  <c r="CN62" i="2" l="1"/>
  <c r="CN53" i="4"/>
  <c r="CN54" i="4" s="1"/>
  <c r="CN105" i="4"/>
  <c r="CN62" i="4"/>
  <c r="CN317" i="112"/>
  <c r="CN55" i="4"/>
  <c r="CN78" i="4"/>
  <c r="CN131" i="4"/>
  <c r="Z83" i="27" l="1"/>
  <c r="CN116" i="4"/>
  <c r="Z61" i="27"/>
  <c r="Z71" i="27" s="1"/>
  <c r="CN56" i="4"/>
  <c r="CN61" i="4"/>
  <c r="CN57" i="4"/>
  <c r="CN71" i="2"/>
  <c r="CN70" i="2" s="1"/>
  <c r="CN73" i="2" l="1"/>
  <c r="CN65" i="2"/>
  <c r="CN318" i="112"/>
  <c r="CN319" i="112" s="1"/>
  <c r="CN129" i="4" l="1"/>
  <c r="CN98" i="4"/>
  <c r="CN67" i="2"/>
  <c r="CO61" i="2" s="1"/>
  <c r="Z56" i="27" l="1"/>
  <c r="CN99" i="4"/>
  <c r="CN100" i="4" s="1"/>
  <c r="Z82" i="27"/>
  <c r="Z84" i="27" s="1"/>
  <c r="Z88" i="27" s="1"/>
  <c r="Z90" i="27" s="1"/>
  <c r="CN132" i="4"/>
  <c r="CN134" i="4" s="1"/>
  <c r="CN139" i="4" s="1"/>
  <c r="CN102" i="2"/>
  <c r="CN140" i="4" l="1"/>
  <c r="CN68" i="4"/>
  <c r="CN72" i="4" l="1"/>
  <c r="CN79" i="4" s="1"/>
  <c r="CO137" i="4"/>
  <c r="CN101" i="2"/>
  <c r="CO106" i="2" l="1"/>
  <c r="CN120" i="2"/>
  <c r="CN102" i="4"/>
  <c r="CN121" i="2" l="1"/>
  <c r="CO123" i="2"/>
  <c r="CO130" i="2" s="1"/>
  <c r="CS107" i="2"/>
  <c r="CO128" i="4"/>
  <c r="CO108" i="2"/>
  <c r="AF161" i="11" l="1"/>
  <c r="CO132" i="2"/>
  <c r="CO38" i="4" s="1"/>
  <c r="CO124" i="2"/>
  <c r="CO129" i="2" s="1"/>
  <c r="CO39" i="4"/>
  <c r="CO109" i="2"/>
  <c r="CO119" i="2"/>
  <c r="CO82" i="4"/>
  <c r="CO117" i="2"/>
  <c r="CP105" i="2"/>
  <c r="AF93" i="11" l="1"/>
  <c r="CO37" i="4"/>
  <c r="AF135" i="11"/>
  <c r="CO86" i="4"/>
  <c r="AF180" i="11" l="1"/>
  <c r="X49" i="27"/>
  <c r="AF58" i="76"/>
  <c r="AF50" i="76" s="1"/>
  <c r="AF48" i="76" s="1"/>
  <c r="AF55" i="76" s="1"/>
  <c r="AF46" i="76" s="1"/>
  <c r="CO44" i="4"/>
  <c r="CO314" i="112" s="1"/>
  <c r="AF92" i="11"/>
  <c r="AF96" i="11" l="1"/>
  <c r="X13" i="27"/>
  <c r="CO311" i="112"/>
  <c r="CO312" i="112"/>
  <c r="CO45" i="4" l="1"/>
  <c r="CO315" i="112"/>
  <c r="X15" i="27"/>
  <c r="CO46" i="4" l="1"/>
  <c r="AF97" i="11"/>
  <c r="CO77" i="4"/>
  <c r="CO51" i="4"/>
  <c r="CO49" i="4"/>
  <c r="CO105" i="4" l="1"/>
  <c r="CO62" i="2"/>
  <c r="CO53" i="4"/>
  <c r="CO54" i="4" s="1"/>
  <c r="AF98" i="11"/>
  <c r="AF104" i="11" s="1"/>
  <c r="X16" i="27"/>
  <c r="AF108" i="11"/>
  <c r="AF106" i="11"/>
  <c r="AF102" i="11"/>
  <c r="AF99" i="11"/>
  <c r="CO317" i="112"/>
  <c r="CO55" i="4"/>
  <c r="CO62" i="4"/>
  <c r="CO78" i="4"/>
  <c r="AF127" i="11"/>
  <c r="CO131" i="4"/>
  <c r="AF196" i="11" l="1"/>
  <c r="AF115" i="11"/>
  <c r="X20" i="27"/>
  <c r="X111" i="27" s="1"/>
  <c r="AF107" i="11"/>
  <c r="X21" i="27"/>
  <c r="X26" i="27" s="1"/>
  <c r="AF159" i="11"/>
  <c r="AF173" i="11" s="1"/>
  <c r="X17" i="27"/>
  <c r="CO71" i="2"/>
  <c r="CO70" i="2" s="1"/>
  <c r="X41" i="27"/>
  <c r="X42" i="27" s="1"/>
  <c r="AF128" i="11"/>
  <c r="AF109" i="11"/>
  <c r="X30" i="27"/>
  <c r="CO57" i="4"/>
  <c r="CO56" i="4"/>
  <c r="CO61" i="4"/>
  <c r="AF197" i="11"/>
  <c r="AF114" i="11"/>
  <c r="AF116" i="11"/>
  <c r="CO116" i="4"/>
  <c r="AF151" i="11"/>
  <c r="AF155" i="11" s="1"/>
  <c r="X33" i="27" l="1"/>
  <c r="CO65" i="2"/>
  <c r="CO73" i="2"/>
  <c r="CO318" i="112"/>
  <c r="X127" i="27"/>
  <c r="AF199" i="11"/>
  <c r="CO129" i="4" l="1"/>
  <c r="CO67" i="2"/>
  <c r="CP61" i="2" s="1"/>
  <c r="CO98" i="4"/>
  <c r="CO319" i="112"/>
  <c r="AF117" i="11"/>
  <c r="AF118" i="11" s="1"/>
  <c r="X27" i="27" s="1"/>
  <c r="CO99" i="4" l="1"/>
  <c r="AF156" i="11"/>
  <c r="CO132" i="4"/>
  <c r="CO134" i="4" s="1"/>
  <c r="CO139" i="4" s="1"/>
  <c r="CO102" i="2"/>
  <c r="AF200" i="11" l="1"/>
  <c r="AF160" i="11"/>
  <c r="AF163" i="11" s="1"/>
  <c r="CO140" i="4"/>
  <c r="CO68" i="4"/>
  <c r="AF140" i="11"/>
  <c r="CO100" i="4"/>
  <c r="AF198" i="11" l="1"/>
  <c r="X52" i="27"/>
  <c r="AF167" i="11"/>
  <c r="AF142" i="11"/>
  <c r="AF170" i="11"/>
  <c r="AF177" i="11"/>
  <c r="AF176" i="11"/>
  <c r="CP137" i="4"/>
  <c r="AF129" i="11"/>
  <c r="CO101" i="2"/>
  <c r="CO72" i="4"/>
  <c r="CO79" i="4" s="1"/>
  <c r="X43" i="27" l="1"/>
  <c r="AF166" i="11"/>
  <c r="AF169" i="11"/>
  <c r="AF133" i="11"/>
  <c r="X129" i="27"/>
  <c r="X58" i="27"/>
  <c r="CP106" i="2"/>
  <c r="CO120" i="2"/>
  <c r="CO102" i="4"/>
  <c r="AF175" i="11" l="1"/>
  <c r="AF174" i="11"/>
  <c r="X31" i="27"/>
  <c r="AF171" i="11"/>
  <c r="AF191" i="11"/>
  <c r="CO121" i="2"/>
  <c r="CP123" i="2"/>
  <c r="CP130" i="2" s="1"/>
  <c r="AF168" i="11"/>
  <c r="AF190" i="11"/>
  <c r="AF178" i="11"/>
  <c r="X131" i="27"/>
  <c r="X47" i="27"/>
  <c r="CP128" i="4"/>
  <c r="CT107" i="2"/>
  <c r="CP108" i="2"/>
  <c r="CP39" i="4" l="1"/>
  <c r="CP124" i="2"/>
  <c r="CP129" i="2" s="1"/>
  <c r="CP132" i="2"/>
  <c r="CP38" i="4" s="1"/>
  <c r="CP109" i="2"/>
  <c r="CQ105" i="2"/>
  <c r="CP117" i="2"/>
  <c r="CP119" i="2"/>
  <c r="CP82" i="4"/>
  <c r="AF194" i="11"/>
  <c r="AF192" i="11"/>
  <c r="AF193" i="11"/>
  <c r="AF195" i="11"/>
  <c r="CP37" i="4" l="1"/>
  <c r="CP86" i="4"/>
  <c r="CP44" i="4" l="1"/>
  <c r="CP314" i="112" s="1"/>
  <c r="CP312" i="112" l="1"/>
  <c r="CP311" i="112"/>
  <c r="CP45" i="4" l="1"/>
  <c r="CP315" i="112"/>
  <c r="CP46" i="4" l="1"/>
  <c r="CP77" i="4"/>
  <c r="CP51" i="4"/>
  <c r="CP49" i="4"/>
  <c r="CP53" i="4" l="1"/>
  <c r="CP54" i="4" s="1"/>
  <c r="CP62" i="2"/>
  <c r="CP105" i="4"/>
  <c r="CP317" i="112"/>
  <c r="CP55" i="4"/>
  <c r="CP62" i="4"/>
  <c r="CP78" i="4"/>
  <c r="CP131" i="4"/>
  <c r="CP116" i="4" l="1"/>
  <c r="AF29" i="76"/>
  <c r="CP61" i="4"/>
  <c r="CP56" i="4"/>
  <c r="CP57" i="4"/>
  <c r="CP71" i="2"/>
  <c r="CP70" i="2" s="1"/>
  <c r="CP73" i="2" l="1"/>
  <c r="CP318" i="112"/>
  <c r="CP319" i="112" s="1"/>
  <c r="CP65" i="2"/>
  <c r="AF30" i="76"/>
  <c r="X32" i="27" l="1"/>
  <c r="AF31" i="76"/>
  <c r="CP129" i="4"/>
  <c r="CP67" i="2"/>
  <c r="CQ61" i="2" s="1"/>
  <c r="CP98" i="4"/>
  <c r="CP132" i="4" l="1"/>
  <c r="CP134" i="4" s="1"/>
  <c r="CP139" i="4" s="1"/>
  <c r="CP102" i="2"/>
  <c r="CP99" i="4"/>
  <c r="CP100" i="4" s="1"/>
  <c r="CP68" i="4" l="1"/>
  <c r="CP140" i="4"/>
  <c r="CP101" i="2" l="1"/>
  <c r="CP72" i="4"/>
  <c r="CP79" i="4" s="1"/>
  <c r="CQ137" i="4"/>
  <c r="CP102" i="4" l="1"/>
  <c r="CQ106" i="2"/>
  <c r="CP120" i="2"/>
  <c r="CP121" i="2" l="1"/>
  <c r="CQ123" i="2"/>
  <c r="CQ130" i="2" s="1"/>
  <c r="CQ128" i="4"/>
  <c r="CU107" i="2"/>
  <c r="CQ108" i="2"/>
  <c r="CQ124" i="2" l="1"/>
  <c r="CQ129" i="2" s="1"/>
  <c r="CQ132" i="2"/>
  <c r="CQ38" i="4" s="1"/>
  <c r="CQ39" i="4"/>
  <c r="CQ117" i="2"/>
  <c r="CQ109" i="2"/>
  <c r="CQ119" i="2"/>
  <c r="CR105" i="2"/>
  <c r="CQ82" i="4"/>
  <c r="CQ37" i="4" l="1"/>
  <c r="CQ86" i="4"/>
  <c r="CQ44" i="4" l="1"/>
  <c r="CQ314" i="112" s="1"/>
  <c r="CQ312" i="112" l="1"/>
  <c r="CQ311" i="112"/>
  <c r="CQ315" i="112" l="1"/>
  <c r="CQ45" i="4"/>
  <c r="CQ46" i="4" l="1"/>
  <c r="CQ77" i="4"/>
  <c r="CQ49" i="4"/>
  <c r="CQ51" i="4"/>
  <c r="CQ78" i="4" l="1"/>
  <c r="CQ131" i="4"/>
  <c r="CQ55" i="4"/>
  <c r="CQ62" i="4"/>
  <c r="CQ317" i="112"/>
  <c r="CQ105" i="4"/>
  <c r="CQ53" i="4"/>
  <c r="CQ54" i="4" s="1"/>
  <c r="CQ62" i="2"/>
  <c r="CQ71" i="2" l="1"/>
  <c r="CQ70" i="2" s="1"/>
  <c r="CQ56" i="4"/>
  <c r="CQ61" i="4"/>
  <c r="CQ57" i="4"/>
  <c r="CQ116" i="4"/>
  <c r="CQ318" i="112" l="1"/>
  <c r="CQ319" i="112" s="1"/>
  <c r="CQ73" i="2"/>
  <c r="CQ65" i="2"/>
  <c r="CQ129" i="4" l="1"/>
  <c r="CQ98" i="4"/>
  <c r="CQ67" i="2"/>
  <c r="CR61" i="2" s="1"/>
  <c r="CQ99" i="4" l="1"/>
  <c r="CQ100" i="4" s="1"/>
  <c r="CQ132" i="4"/>
  <c r="CQ134" i="4" s="1"/>
  <c r="CQ139" i="4" s="1"/>
  <c r="CQ102" i="2"/>
  <c r="CQ140" i="4" l="1"/>
  <c r="CQ68" i="4"/>
  <c r="CR137" i="4" l="1"/>
  <c r="CQ101" i="2"/>
  <c r="CQ72" i="4"/>
  <c r="CQ79" i="4" s="1"/>
  <c r="CR106" i="2" l="1"/>
  <c r="CQ120" i="2"/>
  <c r="CQ102" i="4"/>
  <c r="CR123" i="2" l="1"/>
  <c r="CR130" i="2" s="1"/>
  <c r="CQ121" i="2"/>
  <c r="CV107" i="2"/>
  <c r="CR128" i="4"/>
  <c r="CR108" i="2"/>
  <c r="CR82" i="4" l="1"/>
  <c r="CR119" i="2"/>
  <c r="CR109" i="2"/>
  <c r="CR117" i="2"/>
  <c r="CS105" i="2"/>
  <c r="CR124" i="2"/>
  <c r="CR129" i="2" s="1"/>
  <c r="CR132" i="2"/>
  <c r="CR38" i="4" s="1"/>
  <c r="CR39" i="4"/>
  <c r="CR37" i="4" l="1"/>
  <c r="CR86" i="4"/>
  <c r="CR44" i="4" l="1"/>
  <c r="CR314" i="112" s="1"/>
  <c r="CR311" i="112" l="1"/>
  <c r="CR312" i="112"/>
  <c r="CR45" i="4" l="1"/>
  <c r="CR315" i="112"/>
  <c r="CR46" i="4" l="1"/>
  <c r="CR77" i="4"/>
  <c r="CR51" i="4"/>
  <c r="CR49" i="4"/>
  <c r="CR62" i="4" l="1"/>
  <c r="CR55" i="4"/>
  <c r="CR317" i="112"/>
  <c r="CR78" i="4"/>
  <c r="CR131" i="4"/>
  <c r="CR62" i="2"/>
  <c r="CR53" i="4"/>
  <c r="CR54" i="4" s="1"/>
  <c r="CR105" i="4"/>
  <c r="CR116" i="4" l="1"/>
  <c r="CR71" i="2"/>
  <c r="CR70" i="2" s="1"/>
  <c r="CR56" i="4"/>
  <c r="CR61" i="4"/>
  <c r="CR57" i="4"/>
  <c r="CR65" i="2" l="1"/>
  <c r="CR73" i="2"/>
  <c r="CR318" i="112"/>
  <c r="CR319" i="112" s="1"/>
  <c r="CR129" i="4" l="1"/>
  <c r="CR98" i="4"/>
  <c r="CR67" i="2"/>
  <c r="CS61" i="2" s="1"/>
  <c r="CR99" i="4" l="1"/>
  <c r="CR100" i="4" s="1"/>
  <c r="CR132" i="4"/>
  <c r="CR134" i="4" s="1"/>
  <c r="CR139" i="4" s="1"/>
  <c r="CR102" i="2"/>
  <c r="CR140" i="4" l="1"/>
  <c r="CR68" i="4"/>
  <c r="CR101" i="2" l="1"/>
  <c r="CR72" i="4"/>
  <c r="CR79" i="4" s="1"/>
  <c r="CS137" i="4"/>
  <c r="CR102" i="4" l="1"/>
  <c r="CS106" i="2"/>
  <c r="CR120" i="2"/>
  <c r="CS123" i="2" l="1"/>
  <c r="CS130" i="2" s="1"/>
  <c r="CR121" i="2"/>
  <c r="CW107" i="2"/>
  <c r="CS128" i="4"/>
  <c r="CS108" i="2"/>
  <c r="AG161" i="11" l="1"/>
  <c r="CS119" i="2"/>
  <c r="CS117" i="2"/>
  <c r="CS82" i="4"/>
  <c r="CT105" i="2"/>
  <c r="CS109" i="2"/>
  <c r="CS132" i="2"/>
  <c r="CS38" i="4" s="1"/>
  <c r="CS124" i="2"/>
  <c r="CS129" i="2" s="1"/>
  <c r="CS39" i="4"/>
  <c r="CS86" i="4" l="1"/>
  <c r="AG135" i="11"/>
  <c r="AG93" i="11"/>
  <c r="CS37" i="4"/>
  <c r="Y49" i="27" l="1"/>
  <c r="AG58" i="76"/>
  <c r="AG50" i="76" s="1"/>
  <c r="AG48" i="76" s="1"/>
  <c r="AG55" i="76" s="1"/>
  <c r="AG46" i="76" s="1"/>
  <c r="AG180" i="11"/>
  <c r="CS44" i="4"/>
  <c r="CS314" i="112" s="1"/>
  <c r="AG92" i="11"/>
  <c r="CS311" i="112" l="1"/>
  <c r="CS312" i="112"/>
  <c r="Y13" i="27"/>
  <c r="AG96" i="11"/>
  <c r="Y15" i="27" l="1"/>
  <c r="CS315" i="112"/>
  <c r="CS45" i="4"/>
  <c r="CS46" i="4" l="1"/>
  <c r="AG97" i="11"/>
  <c r="CS77" i="4"/>
  <c r="CS49" i="4"/>
  <c r="CS51" i="4"/>
  <c r="CS105" i="4" l="1"/>
  <c r="CS62" i="2"/>
  <c r="CS53" i="4"/>
  <c r="CS54" i="4" s="1"/>
  <c r="CS78" i="4"/>
  <c r="AG127" i="11"/>
  <c r="CS131" i="4"/>
  <c r="CS62" i="4"/>
  <c r="CS317" i="112"/>
  <c r="CS55" i="4"/>
  <c r="AG98" i="11"/>
  <c r="AG104" i="11" s="1"/>
  <c r="Y16" i="27"/>
  <c r="AG108" i="11"/>
  <c r="AG102" i="11"/>
  <c r="AG106" i="11"/>
  <c r="AG99" i="11"/>
  <c r="AG197" i="11" l="1"/>
  <c r="AG114" i="11"/>
  <c r="AG116" i="11"/>
  <c r="Y17" i="27"/>
  <c r="AG159" i="11"/>
  <c r="AG173" i="11" s="1"/>
  <c r="Y21" i="27"/>
  <c r="Y26" i="27" s="1"/>
  <c r="AG107" i="11"/>
  <c r="AG115" i="11"/>
  <c r="AG196" i="11"/>
  <c r="Y20" i="27"/>
  <c r="Y111" i="27" s="1"/>
  <c r="CS71" i="2"/>
  <c r="CS70" i="2" s="1"/>
  <c r="Y30" i="27"/>
  <c r="AG109" i="11"/>
  <c r="CS61" i="4"/>
  <c r="CS57" i="4"/>
  <c r="CS56" i="4"/>
  <c r="Y41" i="27"/>
  <c r="Y42" i="27" s="1"/>
  <c r="AG128" i="11"/>
  <c r="CS116" i="4"/>
  <c r="AG151" i="11"/>
  <c r="AG155" i="11" s="1"/>
  <c r="AG199" i="11" l="1"/>
  <c r="Y127" i="27"/>
  <c r="CS318" i="112"/>
  <c r="CS73" i="2"/>
  <c r="CS65" i="2"/>
  <c r="Y33" i="27"/>
  <c r="CS129" i="4" l="1"/>
  <c r="CS98" i="4"/>
  <c r="CS67" i="2"/>
  <c r="CT61" i="2" s="1"/>
  <c r="CS319" i="112"/>
  <c r="AG117" i="11"/>
  <c r="AG118" i="11" s="1"/>
  <c r="Y27" i="27" s="1"/>
  <c r="CS99" i="4" l="1"/>
  <c r="AG156" i="11"/>
  <c r="CS132" i="4"/>
  <c r="CS134" i="4" s="1"/>
  <c r="CS139" i="4" s="1"/>
  <c r="CS102" i="2"/>
  <c r="AG200" i="11" l="1"/>
  <c r="AG160" i="11"/>
  <c r="AG163" i="11" s="1"/>
  <c r="CS68" i="4"/>
  <c r="CS140" i="4"/>
  <c r="AG140" i="11"/>
  <c r="CS100" i="4"/>
  <c r="AG129" i="11" l="1"/>
  <c r="CS72" i="4"/>
  <c r="CS79" i="4" s="1"/>
  <c r="CS101" i="2"/>
  <c r="CT137" i="4"/>
  <c r="AG198" i="11"/>
  <c r="Y52" i="27"/>
  <c r="AG170" i="11"/>
  <c r="AG167" i="11"/>
  <c r="AG142" i="11"/>
  <c r="AG177" i="11"/>
  <c r="AG176" i="11"/>
  <c r="CT106" i="2" l="1"/>
  <c r="CS120" i="2"/>
  <c r="Y58" i="27"/>
  <c r="Y129" i="27"/>
  <c r="Y43" i="27"/>
  <c r="AG166" i="11"/>
  <c r="AG169" i="11"/>
  <c r="AG133" i="11"/>
  <c r="CS102" i="4"/>
  <c r="CS121" i="2" l="1"/>
  <c r="CT123" i="2"/>
  <c r="CT130" i="2" s="1"/>
  <c r="AG175" i="11"/>
  <c r="AG174" i="11"/>
  <c r="AG171" i="11"/>
  <c r="Y31" i="27"/>
  <c r="AG191" i="11"/>
  <c r="AG190" i="11"/>
  <c r="AG168" i="11"/>
  <c r="AG178" i="11"/>
  <c r="Y131" i="27"/>
  <c r="Y47" i="27"/>
  <c r="CT128" i="4"/>
  <c r="CT108" i="2"/>
  <c r="AG195" i="11" l="1"/>
  <c r="AG193" i="11"/>
  <c r="CT39" i="4"/>
  <c r="CT124" i="2"/>
  <c r="CT129" i="2" s="1"/>
  <c r="CT132" i="2"/>
  <c r="CT38" i="4" s="1"/>
  <c r="CU105" i="2"/>
  <c r="CT119" i="2"/>
  <c r="CT117" i="2"/>
  <c r="CT82" i="4"/>
  <c r="CT109" i="2"/>
  <c r="AG192" i="11"/>
  <c r="AG194" i="11"/>
  <c r="CT37" i="4" l="1"/>
  <c r="CT86" i="4"/>
  <c r="CT44" i="4" l="1"/>
  <c r="CT314" i="112" s="1"/>
  <c r="CT311" i="112" l="1"/>
  <c r="CT312" i="112"/>
  <c r="CT45" i="4" l="1"/>
  <c r="CT315" i="112"/>
  <c r="CT46" i="4" l="1"/>
  <c r="CT77" i="4"/>
  <c r="CT51" i="4"/>
  <c r="CT49" i="4"/>
  <c r="CT62" i="4" l="1"/>
  <c r="CT317" i="112"/>
  <c r="CT55" i="4"/>
  <c r="CT78" i="4"/>
  <c r="CT131" i="4"/>
  <c r="CT62" i="2"/>
  <c r="CT105" i="4"/>
  <c r="CT53" i="4"/>
  <c r="CT54" i="4" s="1"/>
  <c r="CT116" i="4" l="1"/>
  <c r="CT71" i="2"/>
  <c r="CT70" i="2" s="1"/>
  <c r="CT57" i="4"/>
  <c r="CT56" i="4"/>
  <c r="CT61" i="4"/>
  <c r="AG29" i="76"/>
  <c r="CT65" i="2" l="1"/>
  <c r="CT318" i="112"/>
  <c r="CT319" i="112" s="1"/>
  <c r="CT73" i="2"/>
  <c r="AG30" i="76"/>
  <c r="Y32" i="27" l="1"/>
  <c r="AG31" i="76"/>
  <c r="CT129" i="4"/>
  <c r="CT98" i="4"/>
  <c r="CT99" i="4" s="1"/>
  <c r="CT100" i="4" s="1"/>
  <c r="CT67" i="2"/>
  <c r="CU61" i="2" s="1"/>
  <c r="CT132" i="4" l="1"/>
  <c r="CT134" i="4" s="1"/>
  <c r="CT139" i="4" s="1"/>
  <c r="CT102" i="2"/>
  <c r="CT140" i="4" l="1"/>
  <c r="CT68" i="4"/>
  <c r="CT101" i="2" l="1"/>
  <c r="CT72" i="4"/>
  <c r="CT79" i="4" s="1"/>
  <c r="CU137" i="4"/>
  <c r="CT102" i="4" l="1"/>
  <c r="CU106" i="2"/>
  <c r="CT120" i="2"/>
  <c r="CU128" i="4" l="1"/>
  <c r="CU108" i="2"/>
  <c r="CU123" i="2"/>
  <c r="CU130" i="2" s="1"/>
  <c r="CT121" i="2"/>
  <c r="CU39" i="4" l="1"/>
  <c r="CU132" i="2"/>
  <c r="CU38" i="4" s="1"/>
  <c r="CU124" i="2"/>
  <c r="CU129" i="2" s="1"/>
  <c r="CU119" i="2"/>
  <c r="CU82" i="4"/>
  <c r="CU117" i="2"/>
  <c r="CU109" i="2"/>
  <c r="CV105" i="2"/>
  <c r="CU37" i="4" l="1"/>
  <c r="CU86" i="4"/>
  <c r="CU44" i="4" l="1"/>
  <c r="CU314" i="112" s="1"/>
  <c r="CU311" i="112" l="1"/>
  <c r="CU312" i="112"/>
  <c r="CU45" i="4" l="1"/>
  <c r="CU315" i="112"/>
  <c r="CU46" i="4" l="1"/>
  <c r="CU77" i="4"/>
  <c r="CU51" i="4"/>
  <c r="CU49" i="4"/>
  <c r="CU55" i="4" l="1"/>
  <c r="CU62" i="4"/>
  <c r="CU317" i="112"/>
  <c r="CU78" i="4"/>
  <c r="CU131" i="4"/>
  <c r="CU62" i="2"/>
  <c r="CU105" i="4"/>
  <c r="CU53" i="4"/>
  <c r="CU54" i="4" s="1"/>
  <c r="CU71" i="2" l="1"/>
  <c r="CU70" i="2" s="1"/>
  <c r="CU116" i="4"/>
  <c r="CU61" i="4"/>
  <c r="CU57" i="4"/>
  <c r="CU56" i="4"/>
  <c r="CU73" i="2" l="1"/>
  <c r="CU65" i="2"/>
  <c r="CU318" i="112"/>
  <c r="CU319" i="112" s="1"/>
  <c r="CU129" i="4" l="1"/>
  <c r="CU98" i="4"/>
  <c r="CU99" i="4" s="1"/>
  <c r="CU100" i="4" s="1"/>
  <c r="CU67" i="2"/>
  <c r="CV61" i="2" s="1"/>
  <c r="CU132" i="4" l="1"/>
  <c r="CU134" i="4" s="1"/>
  <c r="CU139" i="4" s="1"/>
  <c r="CU102" i="2"/>
  <c r="CU140" i="4" l="1"/>
  <c r="CU68" i="4"/>
  <c r="CU101" i="2" l="1"/>
  <c r="CU72" i="4"/>
  <c r="CU79" i="4" s="1"/>
  <c r="CV137" i="4"/>
  <c r="CU102" i="4" l="1"/>
  <c r="CV106" i="2"/>
  <c r="CU120" i="2"/>
  <c r="CV123" i="2" l="1"/>
  <c r="CV130" i="2" s="1"/>
  <c r="CU121" i="2"/>
  <c r="CV128" i="4"/>
  <c r="CV108" i="2"/>
  <c r="CV82" i="4" l="1"/>
  <c r="CV109" i="2"/>
  <c r="CW105" i="2"/>
  <c r="CV119" i="2"/>
  <c r="CV117" i="2"/>
  <c r="CV132" i="2"/>
  <c r="CV38" i="4" s="1"/>
  <c r="CV124" i="2"/>
  <c r="CV129" i="2" s="1"/>
  <c r="CV39" i="4"/>
  <c r="CV86" i="4" l="1"/>
  <c r="CV37" i="4"/>
  <c r="CV44" i="4" l="1"/>
  <c r="CV314" i="112" s="1"/>
  <c r="CV312" i="112" l="1"/>
  <c r="CV311" i="112"/>
  <c r="CV45" i="4" l="1"/>
  <c r="CV315" i="112"/>
  <c r="CV46" i="4" l="1"/>
  <c r="CV77" i="4"/>
  <c r="CV49" i="4"/>
  <c r="CV51" i="4"/>
  <c r="CV105" i="4" l="1"/>
  <c r="CV53" i="4"/>
  <c r="CV54" i="4" s="1"/>
  <c r="CV62" i="2"/>
  <c r="CV78" i="4"/>
  <c r="CV131" i="4"/>
  <c r="CV55" i="4"/>
  <c r="CV62" i="4"/>
  <c r="CV317" i="112"/>
  <c r="CV56" i="4" l="1"/>
  <c r="CV61" i="4"/>
  <c r="CV57" i="4"/>
  <c r="CV71" i="2"/>
  <c r="CV70" i="2" s="1"/>
  <c r="CV116" i="4"/>
  <c r="CV73" i="2" l="1"/>
  <c r="CV318" i="112"/>
  <c r="CV319" i="112" s="1"/>
  <c r="CV65" i="2"/>
  <c r="CV129" i="4" l="1"/>
  <c r="CV67" i="2"/>
  <c r="CW61" i="2" s="1"/>
  <c r="CV98" i="4"/>
  <c r="CV99" i="4" s="1"/>
  <c r="CV100" i="4" s="1"/>
  <c r="CV132" i="4" l="1"/>
  <c r="CV134" i="4" s="1"/>
  <c r="CV139" i="4" s="1"/>
  <c r="CV102" i="2"/>
  <c r="CV68" i="4" l="1"/>
  <c r="CV140" i="4"/>
  <c r="CW137" i="4" l="1"/>
  <c r="CV101" i="2"/>
  <c r="CV72" i="4"/>
  <c r="CV79" i="4" s="1"/>
  <c r="CV102" i="4" l="1"/>
  <c r="CW106" i="2"/>
  <c r="CV120" i="2"/>
  <c r="CW128" i="4" l="1"/>
  <c r="CW108" i="2"/>
  <c r="CW123" i="2"/>
  <c r="CW130" i="2" s="1"/>
  <c r="CV121" i="2"/>
  <c r="CW117" i="2" l="1"/>
  <c r="CW109" i="2"/>
  <c r="CW119" i="2"/>
  <c r="CW82" i="4"/>
  <c r="CW39" i="4"/>
  <c r="CW124" i="2"/>
  <c r="CW129" i="2" s="1"/>
  <c r="CW132" i="2"/>
  <c r="CW38" i="4" s="1"/>
  <c r="AH161" i="11"/>
  <c r="AH93" i="11" l="1"/>
  <c r="AH135" i="11"/>
  <c r="CW86" i="4"/>
  <c r="CW37" i="4"/>
  <c r="CW44" i="4" l="1"/>
  <c r="CW314" i="112" s="1"/>
  <c r="AH92" i="11"/>
  <c r="AH58" i="76"/>
  <c r="AH180" i="11"/>
  <c r="Z49" i="27"/>
  <c r="AN93" i="11"/>
  <c r="AH50" i="76" l="1"/>
  <c r="AH48" i="76" s="1"/>
  <c r="AI58" i="76"/>
  <c r="Z13" i="27"/>
  <c r="AN92" i="11"/>
  <c r="AH96" i="11"/>
  <c r="CW311" i="112"/>
  <c r="CW312" i="112"/>
  <c r="AN96" i="11" l="1"/>
  <c r="Z15" i="27"/>
  <c r="AI50" i="76"/>
  <c r="CW315" i="112"/>
  <c r="CW45" i="4"/>
  <c r="AI48" i="76"/>
  <c r="AH55" i="76"/>
  <c r="AH46" i="76" s="1"/>
  <c r="CW46" i="4" l="1"/>
  <c r="AH97" i="11"/>
  <c r="CW77" i="4"/>
  <c r="CW51" i="4"/>
  <c r="CW49" i="4"/>
  <c r="AI55" i="76"/>
  <c r="CW317" i="112" l="1"/>
  <c r="CW55" i="4"/>
  <c r="CW62" i="4"/>
  <c r="AH98" i="11"/>
  <c r="AH104" i="11" s="1"/>
  <c r="Z16" i="27"/>
  <c r="AH108" i="11"/>
  <c r="AH106" i="11"/>
  <c r="AH102" i="11"/>
  <c r="AH99" i="11"/>
  <c r="AN99" i="11" s="1"/>
  <c r="CW105" i="4"/>
  <c r="CW62" i="2"/>
  <c r="CW53" i="4"/>
  <c r="CW54" i="4" s="1"/>
  <c r="AI46" i="76"/>
  <c r="AI40" i="76"/>
  <c r="CW78" i="4"/>
  <c r="AH127" i="11"/>
  <c r="CW131" i="4"/>
  <c r="Z30" i="27" l="1"/>
  <c r="AH109" i="11"/>
  <c r="AN108" i="11"/>
  <c r="Z41" i="27"/>
  <c r="Z42" i="27" s="1"/>
  <c r="AH128" i="11"/>
  <c r="CW71" i="2"/>
  <c r="CW70" i="2" s="1"/>
  <c r="AH159" i="11"/>
  <c r="AH173" i="11" s="1"/>
  <c r="AH29" i="76"/>
  <c r="CW116" i="4"/>
  <c r="AH151" i="11"/>
  <c r="AH155" i="11" s="1"/>
  <c r="Z17" i="27"/>
  <c r="AN104" i="11"/>
  <c r="AH116" i="11"/>
  <c r="AH114" i="11"/>
  <c r="AH197" i="11"/>
  <c r="CW57" i="4"/>
  <c r="CW56" i="4"/>
  <c r="CW61" i="4"/>
  <c r="AI39" i="76"/>
  <c r="AH107" i="11"/>
  <c r="AN106" i="11"/>
  <c r="Z21" i="27"/>
  <c r="Z26" i="27" s="1"/>
  <c r="AH115" i="11"/>
  <c r="AN102" i="11"/>
  <c r="Z20" i="27"/>
  <c r="Z111" i="27" s="1"/>
  <c r="AH196" i="11"/>
  <c r="Z127" i="27" l="1"/>
  <c r="Y33" i="76"/>
  <c r="Z33" i="76"/>
  <c r="AA33" i="76"/>
  <c r="AB33" i="76"/>
  <c r="AC33" i="76"/>
  <c r="AD33" i="76"/>
  <c r="AE33" i="76"/>
  <c r="AF33" i="76"/>
  <c r="AG33" i="76"/>
  <c r="AH30" i="76"/>
  <c r="AH199" i="11"/>
  <c r="Z33" i="27"/>
  <c r="AN116" i="11"/>
  <c r="CW65" i="2"/>
  <c r="CW318" i="112"/>
  <c r="CW73" i="2"/>
  <c r="AH33" i="76" l="1"/>
  <c r="Z32" i="27"/>
  <c r="AI30" i="76"/>
  <c r="AH31" i="76"/>
  <c r="CW319" i="112"/>
  <c r="AH117" i="11"/>
  <c r="CW129" i="4"/>
  <c r="CW98" i="4"/>
  <c r="CW99" i="4" s="1"/>
  <c r="CW67" i="2"/>
  <c r="AI33" i="76" l="1"/>
  <c r="X36" i="76" s="1"/>
  <c r="X97" i="27"/>
  <c r="AN117" i="11"/>
  <c r="AH118" i="11"/>
  <c r="Z27" i="27" s="1"/>
  <c r="AH156" i="11"/>
  <c r="CW132" i="4"/>
  <c r="CW134" i="4" s="1"/>
  <c r="CW139" i="4" s="1"/>
  <c r="CW102" i="2"/>
  <c r="AH140" i="11"/>
  <c r="CW100" i="4"/>
  <c r="X39" i="76" l="1"/>
  <c r="Z52" i="27"/>
  <c r="AH198" i="11"/>
  <c r="AH167" i="11"/>
  <c r="AH170" i="11"/>
  <c r="AH142" i="11"/>
  <c r="AH177" i="11"/>
  <c r="AH176" i="11"/>
  <c r="CW140" i="4"/>
  <c r="CW68" i="4"/>
  <c r="AH200" i="11"/>
  <c r="AH160" i="11"/>
  <c r="AH163" i="11" s="1"/>
  <c r="AI37" i="76"/>
  <c r="Z58" i="27" l="1"/>
  <c r="Z129" i="27"/>
  <c r="CW72" i="4"/>
  <c r="CW79" i="4" s="1"/>
  <c r="CW101" i="2"/>
  <c r="CW120" i="2" s="1"/>
  <c r="CW121" i="2" s="1"/>
  <c r="AH129" i="11"/>
  <c r="AN142" i="11"/>
  <c r="X41" i="76"/>
  <c r="CW102" i="4" l="1"/>
  <c r="Z43" i="27"/>
  <c r="AH166" i="11"/>
  <c r="AH169" i="11"/>
  <c r="AH133" i="11"/>
  <c r="B8" i="76"/>
  <c r="A7" i="8"/>
  <c r="BT336" i="8"/>
  <c r="X42" i="76"/>
  <c r="B9" i="76" l="1"/>
  <c r="AG203" i="11"/>
  <c r="AB203" i="11"/>
  <c r="Z203" i="11"/>
  <c r="AD203" i="11"/>
  <c r="AA203" i="11"/>
  <c r="Y203" i="11"/>
  <c r="AC203" i="11"/>
  <c r="AF203" i="11"/>
  <c r="AE203" i="11"/>
  <c r="AH203" i="11"/>
  <c r="Z131" i="27"/>
  <c r="Z47" i="27"/>
  <c r="AH168" i="11"/>
  <c r="AH190" i="11"/>
  <c r="AN166" i="11"/>
  <c r="AH178" i="11"/>
  <c r="AH174" i="11"/>
  <c r="AH175" i="11"/>
  <c r="AN169" i="11"/>
  <c r="AH171" i="11"/>
  <c r="AH191" i="11"/>
  <c r="Z31" i="27"/>
  <c r="AH193" i="11" l="1"/>
  <c r="AH195" i="11"/>
  <c r="AE204" i="11"/>
  <c r="AE213" i="11"/>
  <c r="AE211" i="11"/>
  <c r="AE212" i="11"/>
  <c r="Z204" i="11"/>
  <c r="L8" i="71"/>
  <c r="L38" i="71" s="1"/>
  <c r="Z213" i="11"/>
  <c r="Z211" i="11"/>
  <c r="Z212" i="11"/>
  <c r="AC204" i="11"/>
  <c r="AC213" i="11"/>
  <c r="AC211" i="11"/>
  <c r="AC212" i="11"/>
  <c r="AG204" i="11"/>
  <c r="AG213" i="11"/>
  <c r="AG211" i="11"/>
  <c r="AG212" i="11"/>
  <c r="Y204" i="11"/>
  <c r="Y213" i="11"/>
  <c r="Y211" i="11"/>
  <c r="Y212" i="11"/>
  <c r="AA204" i="11"/>
  <c r="AA213" i="11"/>
  <c r="AA211" i="11"/>
  <c r="AA212" i="11"/>
  <c r="AH204" i="11"/>
  <c r="AH213" i="11"/>
  <c r="AH212" i="11"/>
  <c r="AH211" i="11"/>
  <c r="AD204" i="11"/>
  <c r="AD213" i="11"/>
  <c r="AD211" i="11"/>
  <c r="AD212" i="11"/>
  <c r="AH192" i="11"/>
  <c r="AH194" i="11"/>
  <c r="AF204" i="11"/>
  <c r="AF213" i="11"/>
  <c r="AF211" i="11"/>
  <c r="AF212" i="11"/>
  <c r="AB204" i="11"/>
  <c r="AB213" i="11"/>
  <c r="AB211" i="11"/>
  <c r="AB212" i="11"/>
  <c r="AB425" i="111" l="1"/>
  <c r="AH206" i="11"/>
  <c r="AH205" i="11"/>
  <c r="AH214" i="11"/>
  <c r="AH215" i="11"/>
  <c r="AA205" i="11"/>
  <c r="AA206" i="11"/>
  <c r="AA214" i="11"/>
  <c r="AA215" i="11"/>
  <c r="Z205" i="11"/>
  <c r="Z206" i="11"/>
  <c r="Z214" i="11"/>
  <c r="Z215" i="11"/>
  <c r="AF205" i="11"/>
  <c r="AF206" i="11"/>
  <c r="AF214" i="11"/>
  <c r="AF215" i="11"/>
  <c r="AB205" i="11"/>
  <c r="AB206" i="11"/>
  <c r="AB214" i="11"/>
  <c r="AB215" i="11"/>
  <c r="AC420" i="111"/>
  <c r="AA420" i="111"/>
  <c r="Y420" i="111"/>
  <c r="AC425" i="111"/>
  <c r="Z425" i="111"/>
  <c r="Z77" i="46"/>
  <c r="AA8" i="76"/>
  <c r="AE420" i="111"/>
  <c r="V8" i="76"/>
  <c r="AH8" i="76"/>
  <c r="Y76" i="46"/>
  <c r="Z420" i="111"/>
  <c r="AA425" i="111"/>
  <c r="Y77" i="46"/>
  <c r="Y425" i="111"/>
  <c r="Z8" i="76"/>
  <c r="AC205" i="11"/>
  <c r="AC206" i="11"/>
  <c r="AC214" i="11"/>
  <c r="AC215" i="11"/>
  <c r="AE425" i="111"/>
  <c r="W8" i="76"/>
  <c r="AI8" i="76"/>
  <c r="Z76" i="46"/>
  <c r="AD206" i="11"/>
  <c r="AD205" i="11"/>
  <c r="AD214" i="11"/>
  <c r="AD215" i="11"/>
  <c r="AD420" i="111"/>
  <c r="AB420" i="111"/>
  <c r="AD425" i="111"/>
  <c r="Y214" i="11"/>
  <c r="Y206" i="11"/>
  <c r="Y205" i="11"/>
  <c r="Y215" i="11"/>
  <c r="AG206" i="11"/>
  <c r="AG205" i="11"/>
  <c r="AG214" i="11"/>
  <c r="AG215" i="11"/>
  <c r="AE205" i="11"/>
  <c r="AE206" i="11"/>
  <c r="AE214" i="11"/>
  <c r="AE215" i="11"/>
  <c r="AE210" i="11" l="1"/>
  <c r="AE208" i="11"/>
  <c r="AB210" i="11"/>
  <c r="AB208" i="11"/>
  <c r="AB207" i="11"/>
  <c r="AB209" i="11"/>
  <c r="Z210" i="11"/>
  <c r="Z208" i="11"/>
  <c r="AF208" i="11"/>
  <c r="AF210" i="11"/>
  <c r="Z209" i="11"/>
  <c r="Z207" i="11"/>
  <c r="AA207" i="11"/>
  <c r="AA209" i="11"/>
  <c r="AH210" i="11"/>
  <c r="AH208" i="11"/>
  <c r="AG208" i="11"/>
  <c r="AG210" i="11"/>
  <c r="AD207" i="11"/>
  <c r="AD209" i="11"/>
  <c r="AH209" i="11"/>
  <c r="AH207" i="11"/>
  <c r="AD210" i="11"/>
  <c r="AD208" i="11"/>
  <c r="AF207" i="11"/>
  <c r="AF209" i="11"/>
  <c r="Y209" i="11"/>
  <c r="Y207" i="11"/>
  <c r="AC208" i="11"/>
  <c r="AC210" i="11"/>
  <c r="AG209" i="11"/>
  <c r="AG207" i="11"/>
  <c r="AE207" i="11"/>
  <c r="AE209" i="11"/>
  <c r="AA210" i="11"/>
  <c r="AA208" i="11"/>
  <c r="Y210" i="11"/>
  <c r="Y208" i="11"/>
  <c r="AC207" i="11"/>
  <c r="AC209" i="11"/>
  <c r="AC415" i="111" l="1"/>
  <c r="AD8" i="76"/>
  <c r="Y415" i="111"/>
  <c r="AD415" i="111"/>
  <c r="AB415" i="111"/>
  <c r="R8" i="76"/>
  <c r="Y75" i="46"/>
  <c r="AE8" i="76"/>
  <c r="Z415" i="111"/>
  <c r="S8" i="76"/>
  <c r="Z75" i="46"/>
  <c r="AE415" i="111"/>
  <c r="AA415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<sst xmlns="http://schemas.openxmlformats.org/spreadsheetml/2006/main" count="6844" uniqueCount="2012">
  <si>
    <t>CASH FLOW FROM INVESTING ACTIVITIES</t>
  </si>
  <si>
    <t>CASH FLOW FROM FINANCING ACTIVITIES</t>
  </si>
  <si>
    <t>CASH AND CASH EQUIVALENTS</t>
  </si>
  <si>
    <t>Net income</t>
  </si>
  <si>
    <t>Stock Option Plan</t>
  </si>
  <si>
    <t>Non-controlling interests</t>
  </si>
  <si>
    <t>Other current assets</t>
  </si>
  <si>
    <t>Net cash provided by operating activities</t>
  </si>
  <si>
    <t>Growth YoY</t>
  </si>
  <si>
    <t>Additions to intangible assets</t>
  </si>
  <si>
    <t>Sensitivity analysis (G, EBITDA margin in terminal value)</t>
  </si>
  <si>
    <t>TP</t>
  </si>
  <si>
    <t>G</t>
  </si>
  <si>
    <t>2Q12</t>
  </si>
  <si>
    <t>3Q12</t>
  </si>
  <si>
    <t>4Q12</t>
  </si>
  <si>
    <t>Consensus</t>
  </si>
  <si>
    <t>EPS accounting</t>
  </si>
  <si>
    <t>Mix of Sales (Quarterly, %)</t>
  </si>
  <si>
    <t>Mix of Sales (%)</t>
  </si>
  <si>
    <t>Net cash used in investing activities</t>
  </si>
  <si>
    <t>Capital increase</t>
  </si>
  <si>
    <t>Net cash provided by (used in) financing activities</t>
  </si>
  <si>
    <t>INCREASE (DECREASE) IN CASH AND CASH EQUIVALENTS</t>
  </si>
  <si>
    <t>At beginning of year</t>
  </si>
  <si>
    <t>At end of year</t>
  </si>
  <si>
    <t>Operating Current Assets</t>
  </si>
  <si>
    <t>Operating Current Liabilities</t>
  </si>
  <si>
    <t>Net revenues</t>
  </si>
  <si>
    <t>EBT</t>
  </si>
  <si>
    <t>Working Capital</t>
  </si>
  <si>
    <t>Revenues &amp; Expenses</t>
  </si>
  <si>
    <t>Net Operating Working Capital</t>
  </si>
  <si>
    <t>% of Net Revenues</t>
  </si>
  <si>
    <t>Days of Revenues</t>
  </si>
  <si>
    <t>Capital Expenditures</t>
  </si>
  <si>
    <t>Depreciation</t>
  </si>
  <si>
    <t>% of PP&amp;E</t>
  </si>
  <si>
    <t>Cash Cycle</t>
  </si>
  <si>
    <t>Change in NOWC</t>
  </si>
  <si>
    <t>Net Income</t>
  </si>
  <si>
    <t>Dividend Payout Ratio</t>
  </si>
  <si>
    <t>Dividends Paid</t>
  </si>
  <si>
    <t>Ke</t>
  </si>
  <si>
    <t>Target Price</t>
  </si>
  <si>
    <t>x</t>
  </si>
  <si>
    <t>Growth in %</t>
  </si>
  <si>
    <t>Company Description</t>
  </si>
  <si>
    <t>Revenues - Net</t>
  </si>
  <si>
    <t>Cost of Services</t>
  </si>
  <si>
    <t>Gross margin (%)</t>
  </si>
  <si>
    <t>Operating Expense</t>
  </si>
  <si>
    <t>EBITDA margin (%)</t>
  </si>
  <si>
    <t>EBIT margin (%)</t>
  </si>
  <si>
    <t>Net Financial Income (Expense)</t>
  </si>
  <si>
    <t xml:space="preserve">Profit Before Tax </t>
  </si>
  <si>
    <t>Tax Rate (%)</t>
  </si>
  <si>
    <t>Profit After Tax</t>
  </si>
  <si>
    <t>Minorities</t>
  </si>
  <si>
    <t>Net Profit</t>
  </si>
  <si>
    <t>Net Profit Margin</t>
  </si>
  <si>
    <t>Source: Company data, Morgan Stanley Research</t>
  </si>
  <si>
    <t>Assets</t>
  </si>
  <si>
    <t>Intangible Assets</t>
  </si>
  <si>
    <t>Tangible Assets</t>
  </si>
  <si>
    <t>Thomson:</t>
  </si>
  <si>
    <t>Total Fixed Assets</t>
  </si>
  <si>
    <t>Cash and Cash Equivalents</t>
  </si>
  <si>
    <t>Accounts Receivable</t>
  </si>
  <si>
    <t>Other Current Assets</t>
  </si>
  <si>
    <t>Total Assets</t>
  </si>
  <si>
    <t>Liabilities</t>
  </si>
  <si>
    <t>Gross Borrowings</t>
  </si>
  <si>
    <t>Other Liabilities</t>
  </si>
  <si>
    <t>Shareholders' Equity</t>
  </si>
  <si>
    <t>Capital reserves</t>
  </si>
  <si>
    <t>Revenue reserves</t>
  </si>
  <si>
    <t>Retained earning / (losses)</t>
  </si>
  <si>
    <t>Total Liabilities</t>
  </si>
  <si>
    <t>Depreciation &amp; Amortization</t>
  </si>
  <si>
    <t>Others</t>
  </si>
  <si>
    <t>Operating Cash Flow</t>
  </si>
  <si>
    <t>CAPEX/Acquisitions</t>
  </si>
  <si>
    <t>Shares issued / buyback</t>
  </si>
  <si>
    <t xml:space="preserve">Net Debt (cash) </t>
  </si>
  <si>
    <t>ROA</t>
  </si>
  <si>
    <t>ROE</t>
  </si>
  <si>
    <t>ROIC</t>
  </si>
  <si>
    <t>Market Cap</t>
  </si>
  <si>
    <t>Enterprise Value</t>
  </si>
  <si>
    <t>EV/EBITDA</t>
  </si>
  <si>
    <t>P/E</t>
  </si>
  <si>
    <t>P/BV</t>
  </si>
  <si>
    <t>Equity Value</t>
  </si>
  <si>
    <t>TV</t>
  </si>
  <si>
    <t>FCF</t>
  </si>
  <si>
    <t>FCF Growth</t>
  </si>
  <si>
    <t>Terminal Growth Rate</t>
  </si>
  <si>
    <t>Net Debt</t>
  </si>
  <si>
    <t>FCF Yield</t>
  </si>
  <si>
    <t>Cash Flow Indirect Method - MW</t>
  </si>
  <si>
    <t>Net Cash from Operating Activities</t>
  </si>
  <si>
    <t>Net Cash from Investing Activities</t>
  </si>
  <si>
    <t>Share Issuance/Purchase</t>
  </si>
  <si>
    <t>Net Cash from Financing Activities</t>
  </si>
  <si>
    <t>Quarterly Revenue (Growth, YoY %)</t>
  </si>
  <si>
    <t>Dividend yield</t>
  </si>
  <si>
    <t>Other Adjustments</t>
  </si>
  <si>
    <t>Change in Cash</t>
  </si>
  <si>
    <t>Cash at the Beginning</t>
  </si>
  <si>
    <t>Cash at the End</t>
  </si>
  <si>
    <t>Post Tax Extraordinary Items</t>
  </si>
  <si>
    <t>Inflation Differential</t>
  </si>
  <si>
    <t>* Primary coverage</t>
  </si>
  <si>
    <t>1Q10</t>
  </si>
  <si>
    <t>2Q10</t>
  </si>
  <si>
    <t>3Q10</t>
  </si>
  <si>
    <t>4Q10</t>
  </si>
  <si>
    <t>Noncontrolling interest</t>
  </si>
  <si>
    <t>Trade Receivables</t>
  </si>
  <si>
    <t>Total Current Assets</t>
  </si>
  <si>
    <t>Other assets</t>
  </si>
  <si>
    <t>Total Noncurrent assets</t>
  </si>
  <si>
    <t>Liabilities &amp;Shareholders Equity</t>
  </si>
  <si>
    <t>Capital</t>
  </si>
  <si>
    <t>One-time items</t>
  </si>
  <si>
    <t>Adj. Net Profit</t>
  </si>
  <si>
    <t>Total equity majority shareholder</t>
  </si>
  <si>
    <t>Total Liabilities and equity</t>
  </si>
  <si>
    <t>Adjusted profit (loss)</t>
  </si>
  <si>
    <t>Increase in cash and cash equivalents, net</t>
  </si>
  <si>
    <t>Cash and cash equivalent at beginning of period</t>
  </si>
  <si>
    <t>Cash and cash equivalents at end of period</t>
  </si>
  <si>
    <t>Bull Case</t>
  </si>
  <si>
    <t>Base Case</t>
  </si>
  <si>
    <t>Bear Case</t>
  </si>
  <si>
    <t>-</t>
  </si>
  <si>
    <t>Currency</t>
  </si>
  <si>
    <t>Date</t>
  </si>
  <si>
    <t>Count</t>
  </si>
  <si>
    <t>ARS</t>
  </si>
  <si>
    <t>CLP</t>
  </si>
  <si>
    <t>COP</t>
  </si>
  <si>
    <t>EUR</t>
  </si>
  <si>
    <t>Net income (loss)</t>
  </si>
  <si>
    <t>Red Lines</t>
  </si>
  <si>
    <t>1st Line</t>
  </si>
  <si>
    <t>2nd Line</t>
  </si>
  <si>
    <t>3rd Line</t>
  </si>
  <si>
    <t>1st line</t>
  </si>
  <si>
    <t>2nd line</t>
  </si>
  <si>
    <t>3rd line (expected)</t>
  </si>
  <si>
    <t>MXN</t>
  </si>
  <si>
    <t>USD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</si>
  <si>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</si>
  <si>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</si>
  <si>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</si>
  <si>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</si>
  <si>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</si>
  <si>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</si>
  <si>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</si>
  <si>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</si>
  <si>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</si>
  <si>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</si>
  <si>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</si>
  <si>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</si>
  <si>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</si>
  <si>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</si>
  <si>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</si>
  <si>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3Q17</t>
  </si>
  <si>
    <t>4Q17</t>
  </si>
  <si>
    <t>1Q18</t>
  </si>
  <si>
    <t>2Q18</t>
  </si>
  <si>
    <t>3Q18</t>
  </si>
  <si>
    <t>4Q18</t>
  </si>
  <si>
    <t>1Q19</t>
  </si>
  <si>
    <t>2Q19</t>
  </si>
  <si>
    <t>3Q19</t>
  </si>
  <si>
    <t>4Q19</t>
  </si>
  <si>
    <t>1Q20</t>
  </si>
  <si>
    <t>2Q20</t>
  </si>
  <si>
    <t>3Q20</t>
  </si>
  <si>
    <t>4Q20</t>
  </si>
  <si>
    <t>1Q21</t>
  </si>
  <si>
    <t>2Q21</t>
  </si>
  <si>
    <t>3Q21</t>
  </si>
  <si>
    <t>4Q21</t>
  </si>
  <si>
    <t>Adjusted EBITDA</t>
  </si>
  <si>
    <t>Adjusted Earnings</t>
  </si>
  <si>
    <t>One-Time items</t>
  </si>
  <si>
    <t>Adj. EBITDA (company definition)</t>
  </si>
  <si>
    <t>Adj. EBITDA</t>
  </si>
  <si>
    <t>Adj. Net income (loss)</t>
  </si>
  <si>
    <t>Growth (Bps YoY)</t>
  </si>
  <si>
    <t>Growth YoY (Bps)</t>
  </si>
  <si>
    <t>CEO</t>
  </si>
  <si>
    <t>3Q13</t>
  </si>
  <si>
    <t>Stock Options Outstanding</t>
  </si>
  <si>
    <t>Movement in Working Capital</t>
  </si>
  <si>
    <t>PT</t>
  </si>
  <si>
    <t>Base</t>
  </si>
  <si>
    <t>Bull</t>
  </si>
  <si>
    <t>Bear</t>
  </si>
  <si>
    <t>Inventories (Days of COGS)</t>
  </si>
  <si>
    <t>Stock</t>
  </si>
  <si>
    <t>Year</t>
  </si>
  <si>
    <t>Movement in (net debt)/net cash</t>
  </si>
  <si>
    <t xml:space="preserve">Unrecorded Goodwill </t>
  </si>
  <si>
    <t>Adj Net Income</t>
  </si>
  <si>
    <t>Period-end diluted shares</t>
  </si>
  <si>
    <t>Other extraordinary items</t>
  </si>
  <si>
    <t>Period</t>
  </si>
  <si>
    <t>Upside</t>
  </si>
  <si>
    <t>WACC</t>
  </si>
  <si>
    <t>Tax Rate</t>
  </si>
  <si>
    <t>Rf</t>
  </si>
  <si>
    <t>Rm - Rf</t>
  </si>
  <si>
    <t>Country Risk</t>
  </si>
  <si>
    <t>Kd</t>
  </si>
  <si>
    <t>Kd (1-t)</t>
  </si>
  <si>
    <t>Total Debt</t>
  </si>
  <si>
    <t>Total Equity</t>
  </si>
  <si>
    <t>Quarterly</t>
  </si>
  <si>
    <t>Volume</t>
  </si>
  <si>
    <t>Beginning Equity Balance</t>
  </si>
  <si>
    <t>Issuance of Equity</t>
  </si>
  <si>
    <t>(Repurchase) of Equity</t>
  </si>
  <si>
    <t>EPS (diluted)</t>
  </si>
  <si>
    <t>Ending Equity Balance</t>
  </si>
  <si>
    <t>Growth</t>
  </si>
  <si>
    <t>Gross Margin</t>
  </si>
  <si>
    <t>Operating expenses (% of net revenue)</t>
  </si>
  <si>
    <t>CAGR</t>
  </si>
  <si>
    <t>WC (% of net revenue)</t>
  </si>
  <si>
    <t>Receivable days</t>
  </si>
  <si>
    <t>Shares Repurchased</t>
  </si>
  <si>
    <t>New Shares Issued</t>
  </si>
  <si>
    <t>New Shares from Exercised Options</t>
  </si>
  <si>
    <t>Net Proceeds from Options</t>
  </si>
  <si>
    <t>Total dividends paid</t>
  </si>
  <si>
    <t>Net income (last 12M)</t>
  </si>
  <si>
    <t>Dividend payout ratio</t>
  </si>
  <si>
    <t>Shares Issued</t>
  </si>
  <si>
    <t>Potential Dilution</t>
  </si>
  <si>
    <t>Dividends</t>
  </si>
  <si>
    <t>Net Rev. Growth</t>
  </si>
  <si>
    <t>Corporate</t>
  </si>
  <si>
    <t>Dividend Yield</t>
  </si>
  <si>
    <t>3Q19e</t>
  </si>
  <si>
    <t>4Q19e</t>
  </si>
  <si>
    <t>1Q20e</t>
  </si>
  <si>
    <t>2Q20e</t>
  </si>
  <si>
    <t>3Q20e</t>
  </si>
  <si>
    <t>4Q20e</t>
  </si>
  <si>
    <t>1Q21e</t>
  </si>
  <si>
    <t>2Q21e</t>
  </si>
  <si>
    <t>3Q21e</t>
  </si>
  <si>
    <t>4Q21e</t>
  </si>
  <si>
    <t>Interest Expense</t>
  </si>
  <si>
    <t>Link (where to do it)</t>
  </si>
  <si>
    <t>Source: Morgan Stanley Research</t>
  </si>
  <si>
    <t>Scenarios</t>
  </si>
  <si>
    <t>(+) Additions</t>
  </si>
  <si>
    <t>(-) Amortization</t>
  </si>
  <si>
    <t>% of Total Debt</t>
  </si>
  <si>
    <t>(-) Transfer to ST balance</t>
  </si>
  <si>
    <t>Adj. Net Income</t>
  </si>
  <si>
    <t>1Q11</t>
  </si>
  <si>
    <t>2Q11</t>
  </si>
  <si>
    <t>QUARTERLY CHARTS</t>
  </si>
  <si>
    <t>Total day receivables</t>
  </si>
  <si>
    <t>Cash and cash equivalents</t>
  </si>
  <si>
    <t>3Q11</t>
  </si>
  <si>
    <t>4Q11</t>
  </si>
  <si>
    <t>2Q13</t>
  </si>
  <si>
    <t>Valuation Drivers</t>
  </si>
  <si>
    <t>1Q12</t>
  </si>
  <si>
    <t xml:space="preserve">Table of contents / Research team contact </t>
  </si>
  <si>
    <t>Model Overview</t>
  </si>
  <si>
    <t>Valuation</t>
  </si>
  <si>
    <t>Model Details</t>
  </si>
  <si>
    <t>e = Morgan Stanley Research estimates</t>
  </si>
  <si>
    <t>Net debt (cash)</t>
  </si>
  <si>
    <t>Net debt/EBITDA</t>
  </si>
  <si>
    <t xml:space="preserve">ROE </t>
  </si>
  <si>
    <t>Current Multiples</t>
  </si>
  <si>
    <t>Price Target Implicit Multiples</t>
  </si>
  <si>
    <t>Morgan Stanley Forecasts</t>
  </si>
  <si>
    <t>EBITDA margin</t>
  </si>
  <si>
    <t>Consensus Estimates</t>
  </si>
  <si>
    <t>N/A</t>
  </si>
  <si>
    <t>Previous Estimates</t>
  </si>
  <si>
    <t>1Q13</t>
  </si>
  <si>
    <t/>
  </si>
  <si>
    <t>Working Capital Movement</t>
  </si>
  <si>
    <t>Charts</t>
  </si>
  <si>
    <t>Revenue Growth (%)</t>
  </si>
  <si>
    <t>Margins (%)</t>
  </si>
  <si>
    <t>Margins</t>
  </si>
  <si>
    <t>Net Debt/EBITDA</t>
  </si>
  <si>
    <t>Cash Flow Generation - Profitability</t>
  </si>
  <si>
    <t>Effective Income Taxes</t>
  </si>
  <si>
    <t>Effective tax rate</t>
  </si>
  <si>
    <t>Net Income (accounting)</t>
  </si>
  <si>
    <t>Effective Tax Rate</t>
  </si>
  <si>
    <t>Tax Rate (effective and accounting, %)</t>
  </si>
  <si>
    <t>P/E (effective tax rate)</t>
  </si>
  <si>
    <t>Revenue</t>
  </si>
  <si>
    <t>Revenue Growth</t>
  </si>
  <si>
    <t>Seasonality</t>
  </si>
  <si>
    <t>Mix of Sales</t>
  </si>
  <si>
    <t>CF Generation</t>
  </si>
  <si>
    <t>Operating CF</t>
  </si>
  <si>
    <t>Profitability</t>
  </si>
  <si>
    <t>Depreciation/PP&amp;E</t>
  </si>
  <si>
    <t>Gross margin</t>
  </si>
  <si>
    <t>Depreciation&amp;Amortization/sales</t>
  </si>
  <si>
    <t>Morgan Stanley Equity Research</t>
  </si>
  <si>
    <t>Adj. EBITDA Margin</t>
  </si>
  <si>
    <t>Adj. EBITDA margin (%)</t>
  </si>
  <si>
    <t>Adj, Net income</t>
  </si>
  <si>
    <t>Shareholders' Structure</t>
  </si>
  <si>
    <t>Board of Directors </t>
  </si>
  <si>
    <t>Since</t>
  </si>
  <si>
    <t>Title </t>
  </si>
  <si>
    <t>Total</t>
  </si>
  <si>
    <t>Board of Executive Officer</t>
  </si>
  <si>
    <t>Position </t>
  </si>
  <si>
    <t>Chairman</t>
  </si>
  <si>
    <t>CAPEX</t>
  </si>
  <si>
    <t>Current Price</t>
  </si>
  <si>
    <t>Other</t>
  </si>
  <si>
    <t>Gross Profit</t>
  </si>
  <si>
    <t>Net Revenue</t>
  </si>
  <si>
    <t>Gross Margin (%)</t>
  </si>
  <si>
    <t>EBITDA</t>
  </si>
  <si>
    <t>EBIT</t>
  </si>
  <si>
    <t>Revenues</t>
  </si>
  <si>
    <t>NA</t>
  </si>
  <si>
    <t>Current</t>
  </si>
  <si>
    <t>Comments</t>
  </si>
  <si>
    <t>Income Tax (%)</t>
  </si>
  <si>
    <t>Minority Interest</t>
  </si>
  <si>
    <t># Shares</t>
  </si>
  <si>
    <t>EPS</t>
  </si>
  <si>
    <t>Inventories</t>
  </si>
  <si>
    <t>% of revenue</t>
  </si>
  <si>
    <t>Investments</t>
  </si>
  <si>
    <t>Property and equipment</t>
  </si>
  <si>
    <t>Intangible assets</t>
  </si>
  <si>
    <t>Loans and financing</t>
  </si>
  <si>
    <t xml:space="preserve">Capital </t>
  </si>
  <si>
    <t>% of Total</t>
  </si>
  <si>
    <t>Net revenue</t>
  </si>
  <si>
    <t>Net Rev. Growth (YoY)</t>
  </si>
  <si>
    <t>% of net revenues</t>
  </si>
  <si>
    <t>Taxes</t>
  </si>
  <si>
    <t>Amortization - Total</t>
  </si>
  <si>
    <t>% of Intangible Assets</t>
  </si>
  <si>
    <t>Intangible Assets + Goodwill</t>
  </si>
  <si>
    <t>Comment</t>
  </si>
  <si>
    <t>Revenue growth</t>
  </si>
  <si>
    <t>EV / EBITDA</t>
  </si>
  <si>
    <t>PE</t>
  </si>
  <si>
    <t>FCF yield</t>
  </si>
  <si>
    <t>DCF valuation</t>
  </si>
  <si>
    <t>%</t>
  </si>
  <si>
    <t>Depreciation and amortization</t>
  </si>
  <si>
    <t>Other operating income (expenses), net</t>
  </si>
  <si>
    <t>Trade accounts receivable</t>
  </si>
  <si>
    <t>Total current assets</t>
  </si>
  <si>
    <t>Total long-term assets</t>
  </si>
  <si>
    <t>Total noncurrent assets</t>
  </si>
  <si>
    <t>TOTAL ASSETS</t>
  </si>
  <si>
    <t>LIABILITIES AND SHAREHOLDERS' EQUITY</t>
  </si>
  <si>
    <t>Taxes payable</t>
  </si>
  <si>
    <t>Total current liabilities</t>
  </si>
  <si>
    <t>Total noncurrent liabilities</t>
  </si>
  <si>
    <t>Capital reserve</t>
  </si>
  <si>
    <t>Earnings reserves</t>
  </si>
  <si>
    <t>Total shareholders' equity</t>
  </si>
  <si>
    <t>TOTAL LIABILITIES AND SHAREHOLDERS' EQUITY</t>
  </si>
  <si>
    <t xml:space="preserve"> </t>
  </si>
  <si>
    <t>ASSETS</t>
  </si>
  <si>
    <t>MORGAN STANLEY RESEARCH TEAM</t>
  </si>
  <si>
    <t>MODEL CONTENT</t>
  </si>
  <si>
    <t>Model Inputs</t>
  </si>
  <si>
    <t>PRICE SOURCE</t>
  </si>
  <si>
    <t>Price</t>
  </si>
  <si>
    <t>Manually:</t>
  </si>
  <si>
    <t>COLOR CODE</t>
  </si>
  <si>
    <t>SECTION</t>
  </si>
  <si>
    <t>Actual</t>
  </si>
  <si>
    <t>Estimated</t>
  </si>
  <si>
    <t xml:space="preserve"> Model Input</t>
  </si>
  <si>
    <t>Alternative Model Input</t>
  </si>
  <si>
    <t>Linked to Input</t>
  </si>
  <si>
    <t>Highlight</t>
  </si>
  <si>
    <t>Doubts / Problems</t>
  </si>
  <si>
    <t>Model Control</t>
  </si>
  <si>
    <t>INSTRUCTIONS TO UPDATE THE MODEL</t>
  </si>
  <si>
    <t>Monthly:</t>
  </si>
  <si>
    <t>Morgan Stanley Research</t>
  </si>
  <si>
    <t>e = Morgan Stanley Research Estimates.</t>
  </si>
  <si>
    <t>MULTIPLES</t>
  </si>
  <si>
    <t>ANNUAL ESTIMATES</t>
  </si>
  <si>
    <t>QUARTERLY ESTIMATES</t>
  </si>
  <si>
    <t>SCENARIOS (Key debates Highlighted)</t>
  </si>
  <si>
    <t>MS vs. Consensus Estimates</t>
  </si>
  <si>
    <t>MS vs. Consensus</t>
  </si>
  <si>
    <t>MS vs. Guidance</t>
  </si>
  <si>
    <t>Estimates Review</t>
  </si>
  <si>
    <t>FY2014</t>
  </si>
  <si>
    <t>FY2015</t>
  </si>
  <si>
    <t>New Estimates</t>
  </si>
  <si>
    <t>Company Guidance</t>
  </si>
  <si>
    <t>New vs Previous Estimates</t>
  </si>
  <si>
    <t>DCF Valuation</t>
  </si>
  <si>
    <t>+/- Others</t>
  </si>
  <si>
    <t>Discounted FCF</t>
  </si>
  <si>
    <t>TV contribution to Base Case</t>
  </si>
  <si>
    <t>WACC calculation</t>
  </si>
  <si>
    <t>Table for the monthly</t>
  </si>
  <si>
    <t>Previous</t>
  </si>
  <si>
    <t>Dif %</t>
  </si>
  <si>
    <r>
      <t>Other Required Tags</t>
    </r>
    <r>
      <rPr>
        <b/>
        <sz val="8"/>
        <color rgb="FFFF0000"/>
        <rFont val="Arial"/>
        <family val="2"/>
      </rPr>
      <t xml:space="preserve"> (Do Not Delete)</t>
    </r>
  </si>
  <si>
    <t>Statutory tax rate</t>
  </si>
  <si>
    <t>Notes:</t>
  </si>
  <si>
    <t>FY2016</t>
  </si>
  <si>
    <t>FY2017</t>
  </si>
  <si>
    <t>NI (adjusted)</t>
  </si>
  <si>
    <t>Charts Support</t>
  </si>
  <si>
    <t>Other key metrics</t>
  </si>
  <si>
    <t>Reconciliation from Reported to Adjusted Figures</t>
  </si>
  <si>
    <t>Analyst Certification</t>
  </si>
  <si>
    <t>Global Research Conflict Management Policy</t>
  </si>
  <si>
    <t>STOCK RATINGS</t>
  </si>
  <si>
    <t>Global Stock Ratings Distribution</t>
  </si>
  <si>
    <t>Coverage Universe</t>
  </si>
  <si>
    <t>Investment Banking Clients (IBC)</t>
  </si>
  <si>
    <t>Stock Rating Category</t>
  </si>
  <si>
    <t>% of Total IBC</t>
  </si>
  <si>
    <t>% of Rating Category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</si>
  <si>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</si>
  <si>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</si>
  <si>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</si>
  <si>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</si>
  <si>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</si>
  <si>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</si>
  <si>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</si>
  <si>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</si>
  <si>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Other Important Disclosures</t>
  </si>
  <si>
    <t>1Q22</t>
  </si>
  <si>
    <t>2Q22</t>
  </si>
  <si>
    <t>3Q22</t>
  </si>
  <si>
    <t>4Q22</t>
  </si>
  <si>
    <t>1Q23</t>
  </si>
  <si>
    <t>2Q23</t>
  </si>
  <si>
    <t>3Q23</t>
  </si>
  <si>
    <t>4Q23</t>
  </si>
  <si>
    <t>1Q24</t>
  </si>
  <si>
    <t>2Q24</t>
  </si>
  <si>
    <t>3Q24</t>
  </si>
  <si>
    <t>4Q24</t>
  </si>
  <si>
    <t>1Q25</t>
  </si>
  <si>
    <t>2Q25</t>
  </si>
  <si>
    <t>3Q25</t>
  </si>
  <si>
    <t>4Q25</t>
  </si>
  <si>
    <t>FY2018</t>
  </si>
  <si>
    <t>FY2019</t>
  </si>
  <si>
    <t>FY2020</t>
  </si>
  <si>
    <t>FY2021</t>
  </si>
  <si>
    <t>FY2022</t>
  </si>
  <si>
    <t>FY2023</t>
  </si>
  <si>
    <t>FY2024</t>
  </si>
  <si>
    <t>FY2025</t>
  </si>
  <si>
    <t>CapEx</t>
  </si>
  <si>
    <t>Potential dilution</t>
  </si>
  <si>
    <t>ModelWare</t>
  </si>
  <si>
    <t>Change in Shareholders Equity:</t>
  </si>
  <si>
    <r>
      <t xml:space="preserve">ModelWare Dates </t>
    </r>
    <r>
      <rPr>
        <b/>
        <sz val="8"/>
        <color rgb="FFFF0000"/>
        <rFont val="Arial"/>
        <family val="2"/>
      </rPr>
      <t>(Do not modify)</t>
    </r>
  </si>
  <si>
    <t>Support line</t>
  </si>
  <si>
    <t>Quarterly data</t>
  </si>
  <si>
    <t>Annual data</t>
  </si>
  <si>
    <t>DCF inputs</t>
  </si>
  <si>
    <t>Shares (#, diluted)</t>
  </si>
  <si>
    <t xml:space="preserve"> / share</t>
  </si>
  <si>
    <t>Rating:</t>
  </si>
  <si>
    <t>Latin America Mid Cap Research Team</t>
  </si>
  <si>
    <t>Ticker</t>
  </si>
  <si>
    <t>Price source</t>
  </si>
  <si>
    <t>Model Currency</t>
  </si>
  <si>
    <t xml:space="preserve">P/E </t>
  </si>
  <si>
    <t>Mn Shares</t>
  </si>
  <si>
    <t>Ownership and Corporative Structure</t>
  </si>
  <si>
    <t>1Q22e</t>
  </si>
  <si>
    <t>2Q22e</t>
  </si>
  <si>
    <t>3Q22e</t>
  </si>
  <si>
    <t>4Q22e</t>
  </si>
  <si>
    <t>3Q23e</t>
  </si>
  <si>
    <t>4Q23e</t>
  </si>
  <si>
    <t>3Q24e</t>
  </si>
  <si>
    <t>4Q24e</t>
  </si>
  <si>
    <t>3Q25e</t>
  </si>
  <si>
    <t>4Q25e</t>
  </si>
  <si>
    <t>1Q23e</t>
  </si>
  <si>
    <t>1Q24e</t>
  </si>
  <si>
    <t>1Q25e</t>
  </si>
  <si>
    <t>2Q23e</t>
  </si>
  <si>
    <t>2Q24e</t>
  </si>
  <si>
    <t>2Q25e</t>
  </si>
  <si>
    <t>Quarterly estimates:</t>
  </si>
  <si>
    <t>MSe vs C.</t>
  </si>
  <si>
    <t>Guidance</t>
  </si>
  <si>
    <t>MSe vs G.</t>
  </si>
  <si>
    <t>Share Price (close price for the year)</t>
  </si>
  <si>
    <t>Free Float</t>
  </si>
  <si>
    <t>1. Working Capital</t>
  </si>
  <si>
    <t>Do not delete these columns-----------&gt;</t>
  </si>
  <si>
    <t>Red lines index</t>
  </si>
  <si>
    <t>Measure (high)</t>
  </si>
  <si>
    <t>Values</t>
  </si>
  <si>
    <t>Working Capital/Revenue</t>
  </si>
  <si>
    <t>CapEx &amp; Depreciation</t>
  </si>
  <si>
    <t>Tax rate</t>
  </si>
  <si>
    <t>Revenue Mix</t>
  </si>
  <si>
    <r>
      <rPr>
        <b/>
        <sz val="8"/>
        <color theme="0"/>
        <rFont val="Arial"/>
        <family val="2"/>
      </rPr>
      <t>Support Section</t>
    </r>
    <r>
      <rPr>
        <b/>
        <sz val="8"/>
        <color rgb="FFFF0000"/>
        <rFont val="Arial"/>
        <family val="2"/>
      </rPr>
      <t xml:space="preserve"> (Do Not Delete)</t>
    </r>
  </si>
  <si>
    <t>1- Change key model inputs here --------------------------------------------------------------------&gt;</t>
  </si>
  <si>
    <t>2- Update share price ---------------------------------------------------------------------------------&gt;</t>
  </si>
  <si>
    <t>3- Choose an Scenario just changing the figure here --------------------------------------------&gt;</t>
  </si>
  <si>
    <t>1. Income Statement</t>
  </si>
  <si>
    <t>2. Balance Sheet</t>
  </si>
  <si>
    <t>3. Cash Flow Statement</t>
  </si>
  <si>
    <t>Quarterly Financials</t>
  </si>
  <si>
    <t>% of revenues</t>
  </si>
  <si>
    <t>% growth YoY</t>
  </si>
  <si>
    <t>EBIT Margin (%)</t>
  </si>
  <si>
    <t>Financials</t>
  </si>
  <si>
    <t>Investment in Intangible Assets</t>
  </si>
  <si>
    <t>Depreciation (% of PP&amp;E)</t>
  </si>
  <si>
    <t>Amortization (% of Intangible Assets)</t>
  </si>
  <si>
    <t>2. CapEx</t>
  </si>
  <si>
    <t>3. Shareholders' Equity</t>
  </si>
  <si>
    <t>4. Debt</t>
  </si>
  <si>
    <t>Payables</t>
  </si>
  <si>
    <t>Days of Cost</t>
  </si>
  <si>
    <t>Receivables</t>
  </si>
  <si>
    <t>Payables (Days of COGS)</t>
  </si>
  <si>
    <t>Accounts Receivable (Days of Revenues)</t>
  </si>
  <si>
    <t>Gross PP&amp;E</t>
  </si>
  <si>
    <t>Shares</t>
  </si>
  <si>
    <t>Dividend payout ratio (%)</t>
  </si>
  <si>
    <t>Basic Shares</t>
  </si>
  <si>
    <t>Diluted Shares EoP (excl. treasury)</t>
  </si>
  <si>
    <t>Basic Shares EoP (excl. treasury)</t>
  </si>
  <si>
    <t>Basic Shares BoP</t>
  </si>
  <si>
    <t>Repurchase of Shares</t>
  </si>
  <si>
    <t>Strike Price</t>
  </si>
  <si>
    <t>Current ST Debt (BoP)</t>
  </si>
  <si>
    <t>Current ST Debt (EoP)</t>
  </si>
  <si>
    <t>Current LT Debt (BoP)</t>
  </si>
  <si>
    <t>Current LT Debt (EoP)</t>
  </si>
  <si>
    <t>Minimum Cash Balance</t>
  </si>
  <si>
    <t>Minimum Cash</t>
  </si>
  <si>
    <t>Cash</t>
  </si>
  <si>
    <t>NOPAT</t>
  </si>
  <si>
    <t>+/- Increase in WK</t>
  </si>
  <si>
    <t>Amortization</t>
  </si>
  <si>
    <t>Accumulated Depreciation</t>
  </si>
  <si>
    <t>Debt issuance</t>
  </si>
  <si>
    <t>1. Macro Drivers</t>
  </si>
  <si>
    <t xml:space="preserve">Bull </t>
  </si>
  <si>
    <t>Free Cash Flow</t>
  </si>
  <si>
    <t>Released figure</t>
  </si>
  <si>
    <t>Accounts Payable</t>
  </si>
  <si>
    <t>Adj. Net Income Mg (%)</t>
  </si>
  <si>
    <t>Other long-term assets</t>
  </si>
  <si>
    <t>Accounts payable</t>
  </si>
  <si>
    <t>Accumulated losses/profits</t>
  </si>
  <si>
    <t>Balance Sheet Breakdown</t>
  </si>
  <si>
    <t>Company Data - IS and Other Data</t>
  </si>
  <si>
    <t>Company Data - Balance Sheet</t>
  </si>
  <si>
    <t>Company Data - Cash Flow</t>
  </si>
  <si>
    <t>Scenarios &amp; Inputs</t>
  </si>
  <si>
    <t>Model Summary</t>
  </si>
  <si>
    <t>Acquisitions, net</t>
  </si>
  <si>
    <t>Purchase of property, plant and equipment</t>
  </si>
  <si>
    <t>Debt issuance/repayments</t>
  </si>
  <si>
    <t>Non-cash items</t>
  </si>
  <si>
    <t>Change in working capital:</t>
  </si>
  <si>
    <t>Other expenses</t>
  </si>
  <si>
    <t>Basic shares (mn)</t>
  </si>
  <si>
    <t>Average Basic Shares (mn)</t>
  </si>
  <si>
    <t>Diluted shares (mn)</t>
  </si>
  <si>
    <t>Share Price Target</t>
  </si>
  <si>
    <t>ModelWare uses last FY shares, not current shares from last reported Q to calculate Market Cap</t>
  </si>
  <si>
    <t>EBITDA (MS definition)</t>
  </si>
  <si>
    <t>Adj. EBITDA Margin (company definition)</t>
  </si>
  <si>
    <t>Net Profit margin (%)</t>
  </si>
  <si>
    <t>Operational Drivers</t>
  </si>
  <si>
    <t>P/BV (x)</t>
  </si>
  <si>
    <t>ROE (%)</t>
  </si>
  <si>
    <t>CapEx - Working Capital - Net Debt</t>
  </si>
  <si>
    <t>CapEx / Revenue</t>
  </si>
  <si>
    <t>- CapEx</t>
  </si>
  <si>
    <t>CapEx/Revenue</t>
  </si>
  <si>
    <t>CapEx/Depreciation</t>
  </si>
  <si>
    <t>FCF ex CapEx</t>
  </si>
  <si>
    <t>WC / Revenue (%, neg = generates CF)</t>
  </si>
  <si>
    <t>Depreciation / PP&amp;E, Depreciation / Sales (%)</t>
  </si>
  <si>
    <t>Quarterly Gross Margin (%)</t>
  </si>
  <si>
    <t>Quarterly Gross Margin Growth (Bps, YoY)</t>
  </si>
  <si>
    <t>Quarterly Revenue Seasonality (% Total Year)</t>
  </si>
  <si>
    <t>Adj. EBITDA Growth</t>
  </si>
  <si>
    <t>Adj. and Non-Adj. EBITDA Growth (%)</t>
  </si>
  <si>
    <t>Quarterly Adj. and Non-Adj. EBITDA Margin (%)</t>
  </si>
  <si>
    <t>Quarterly Adj. and Non-Adj. EBITDA Margin Growth (Bps YoY)</t>
  </si>
  <si>
    <t>Quarterly Adj. and Non-Adj. Revenue Growth and EBITDA Margin (%)</t>
  </si>
  <si>
    <t>Adj. EBITDA Mg.</t>
  </si>
  <si>
    <t>Adj. Net income</t>
  </si>
  <si>
    <t>Net income reported</t>
  </si>
  <si>
    <t xml:space="preserve">Other Fixed Assets </t>
  </si>
  <si>
    <t>Fixed assets</t>
  </si>
  <si>
    <t>Debt</t>
  </si>
  <si>
    <t>Equity</t>
  </si>
  <si>
    <t>Treasury Stocks</t>
  </si>
  <si>
    <t>Used</t>
  </si>
  <si>
    <t>Avg. Strike price</t>
  </si>
  <si>
    <t>NM</t>
  </si>
  <si>
    <t>Shares repurchased - treasury</t>
  </si>
  <si>
    <t>Movement in (net debt)/cash</t>
  </si>
  <si>
    <t>Minorities and other Adj.</t>
  </si>
  <si>
    <t>M&amp;A valuation references</t>
  </si>
  <si>
    <t>Buyer</t>
  </si>
  <si>
    <t>Target</t>
  </si>
  <si>
    <t>Country</t>
  </si>
  <si>
    <t>Logic</t>
  </si>
  <si>
    <t>Size (US$ mn)</t>
  </si>
  <si>
    <t>EV/Net Revenue</t>
  </si>
  <si>
    <t>Net Profit (company adjusted)</t>
  </si>
  <si>
    <t>Attributable to Controlling interest</t>
  </si>
  <si>
    <t>Last Update</t>
  </si>
  <si>
    <t>Bull PT</t>
  </si>
  <si>
    <t>Bear PT</t>
  </si>
  <si>
    <t>Important for Q. Table in Summary Tab -&gt;</t>
  </si>
  <si>
    <t>Alsea</t>
  </si>
  <si>
    <t>ALSEA-MX</t>
  </si>
  <si>
    <t>ALSEA</t>
  </si>
  <si>
    <t>EPS (diluted, Mex$)</t>
  </si>
  <si>
    <t>Mex$/Sh.</t>
  </si>
  <si>
    <t>Revenue (Mex$ mn)</t>
  </si>
  <si>
    <t>Mix of Sales (Mex$ mn)</t>
  </si>
  <si>
    <t>Net Financials (Mex$ mn)</t>
  </si>
  <si>
    <t>Adj. and Non-Adj. Net Income (Mex$ mn)</t>
  </si>
  <si>
    <t>CapEx (Mex$ mn)</t>
  </si>
  <si>
    <t>Assets (Mex$ mn)</t>
  </si>
  <si>
    <t>Liabilities (Mex$ mn)</t>
  </si>
  <si>
    <t>CF Generation (Mex$ mn)</t>
  </si>
  <si>
    <t>Quarterly Revenue (Mex$ mn)</t>
  </si>
  <si>
    <t>Mix of Sales (Quarterly, Mex$ mn)</t>
  </si>
  <si>
    <t>Quarterly EBITDA (Mex$ mn)</t>
  </si>
  <si>
    <t>Quarterly Adj. and Non-Adj. Net Income (Mex$ mn)</t>
  </si>
  <si>
    <t>Income Statement (Mex$ mn)</t>
  </si>
  <si>
    <t>Basic EPS (Mex$, non-adj.)</t>
  </si>
  <si>
    <t>Diluted EPS (Mex$, non-adj.)</t>
  </si>
  <si>
    <t>Dividends Paid (Mex$ mm)</t>
  </si>
  <si>
    <t>Div. per share (Mex$)</t>
  </si>
  <si>
    <t>Balance Sheet (Mex$ mn)</t>
  </si>
  <si>
    <t>CF Statement (Mex$ mn)</t>
  </si>
  <si>
    <t>Ratios (Mex$ mn)</t>
  </si>
  <si>
    <t>Cash and short-term investments</t>
  </si>
  <si>
    <t>Clients</t>
  </si>
  <si>
    <t>Other accounts and documents receivable</t>
  </si>
  <si>
    <t>Inventory</t>
  </si>
  <si>
    <t>Taxes recoverable</t>
  </si>
  <si>
    <t>Investments in shares of associated companies</t>
  </si>
  <si>
    <t xml:space="preserve">Deferred income tax </t>
  </si>
  <si>
    <t>Store equipment, improvements to leased locales, and property, net</t>
  </si>
  <si>
    <t>Brand use rights, goodwill and pre-operations, net</t>
  </si>
  <si>
    <t>Providers</t>
  </si>
  <si>
    <t>Deferred taxes - net</t>
  </si>
  <si>
    <t>Other accounts payable</t>
  </si>
  <si>
    <t>Bank loans</t>
  </si>
  <si>
    <t>Other current liabilities</t>
  </si>
  <si>
    <t>Commercial papers</t>
  </si>
  <si>
    <t>Other long-term liabilities</t>
  </si>
  <si>
    <t>Net premium in share placement</t>
  </si>
  <si>
    <t>Accumulated income</t>
  </si>
  <si>
    <t>Income during the year</t>
  </si>
  <si>
    <t>Minority interest</t>
  </si>
  <si>
    <t>1Q09</t>
  </si>
  <si>
    <t>2Q09</t>
  </si>
  <si>
    <t>3Q09</t>
  </si>
  <si>
    <t>4Q09</t>
  </si>
  <si>
    <t>Accumulated other comprehensive income</t>
  </si>
  <si>
    <t>Net Sales</t>
  </si>
  <si>
    <t>Operating expenses</t>
  </si>
  <si>
    <t>Operating Income</t>
  </si>
  <si>
    <t>Interest paid- net</t>
  </si>
  <si>
    <t>All-in cost of financing</t>
  </si>
  <si>
    <t>Share in the results of associated companies</t>
  </si>
  <si>
    <t>Other non operating income (expenses)</t>
  </si>
  <si>
    <t>Exchange rate (loss)/income</t>
  </si>
  <si>
    <t>Income Before Taxes</t>
  </si>
  <si>
    <t>Tax on earnings</t>
  </si>
  <si>
    <t xml:space="preserve">Net (Loss) Income </t>
  </si>
  <si>
    <t>Cost of Sales</t>
  </si>
  <si>
    <t>Discontinued operations</t>
  </si>
  <si>
    <t>Cash Flow Statement (Mex$ mn)</t>
  </si>
  <si>
    <t>Operating Activities</t>
  </si>
  <si>
    <t>Consolidated result before income taxes</t>
  </si>
  <si>
    <t>Income from investments</t>
  </si>
  <si>
    <t>Depreciation and amortization of brands</t>
  </si>
  <si>
    <t>Write-down of fixed assets</t>
  </si>
  <si>
    <t>Other entries</t>
  </si>
  <si>
    <t>Other assets and other liabilities</t>
  </si>
  <si>
    <t>Net cash flow from operations</t>
  </si>
  <si>
    <t>Investing Activities</t>
  </si>
  <si>
    <t xml:space="preserve">Store equipment, improvements to leased locales, and property </t>
  </si>
  <si>
    <t xml:space="preserve">Brand use rights, goodwill and pre-operations, net </t>
  </si>
  <si>
    <t>Acquisition of subsidiary</t>
  </si>
  <si>
    <t>Net cash flow from investing activities</t>
  </si>
  <si>
    <t>Financing Activities</t>
  </si>
  <si>
    <t>Net cash flow from financing activities</t>
  </si>
  <si>
    <t>Bank credits and loan payments, net</t>
  </si>
  <si>
    <t xml:space="preserve">Commercial papers, net </t>
  </si>
  <si>
    <t>Increase in capital, net of premium and expenses due to issuance of shares</t>
  </si>
  <si>
    <t>Minority interest, net</t>
  </si>
  <si>
    <t>Sale (repurchase) of shares</t>
  </si>
  <si>
    <t xml:space="preserve">Adjustments to cash flow due to exchange rate variations </t>
  </si>
  <si>
    <t>Dividend declaration</t>
  </si>
  <si>
    <t>Mexico</t>
  </si>
  <si>
    <t>Spain</t>
  </si>
  <si>
    <t>South America</t>
  </si>
  <si>
    <t>Sales by segment</t>
  </si>
  <si>
    <t>QSR</t>
  </si>
  <si>
    <t>Casual Dining</t>
  </si>
  <si>
    <t>Coffee Shops</t>
  </si>
  <si>
    <t>Family Dining</t>
  </si>
  <si>
    <t>Food and Beverages</t>
  </si>
  <si>
    <t>Same-Store Sales</t>
  </si>
  <si>
    <t>Number of units</t>
  </si>
  <si>
    <t>Sales</t>
  </si>
  <si>
    <t>Adjusted EBITDA Margin</t>
  </si>
  <si>
    <t>Distribution and Production</t>
  </si>
  <si>
    <t>Sub-Franchises</t>
  </si>
  <si>
    <t>Argentina</t>
  </si>
  <si>
    <t>Chile</t>
  </si>
  <si>
    <t>Colombia</t>
  </si>
  <si>
    <t>Brazil</t>
  </si>
  <si>
    <t>ND</t>
  </si>
  <si>
    <t>Total Alsea units</t>
  </si>
  <si>
    <t>Store detail</t>
  </si>
  <si>
    <t>% Change</t>
  </si>
  <si>
    <t>Sales Per Retail Store:</t>
  </si>
  <si>
    <t>Intercompany Operations</t>
  </si>
  <si>
    <t>% Change/ Reported SSS</t>
  </si>
  <si>
    <t>% Change (Calculated)</t>
  </si>
  <si>
    <t>New Store Sales</t>
  </si>
  <si>
    <t>Comparable Stores Sales</t>
  </si>
  <si>
    <t>Sales Per Store (Mex$ mn)</t>
  </si>
  <si>
    <t>Cost of sales</t>
  </si>
  <si>
    <t>Cash Restatement</t>
  </si>
  <si>
    <t>Cash restatement and others</t>
  </si>
  <si>
    <t>Other Non-Operating Income (Expenses), net</t>
  </si>
  <si>
    <t>2. Store Drivers</t>
  </si>
  <si>
    <t>3. SSS and New Store Productivity</t>
  </si>
  <si>
    <t>SSS</t>
  </si>
  <si>
    <t>New Store Productivity</t>
  </si>
  <si>
    <t>Food and Bevarages</t>
  </si>
  <si>
    <t>Proceeds from New Shares Issued (Mex$ mn)</t>
  </si>
  <si>
    <t>Repurchase of Shares (Mex$ mn)</t>
  </si>
  <si>
    <t>Net Debt (Mex$ mn)</t>
  </si>
  <si>
    <t>Diluted EPS (Mex$)</t>
  </si>
  <si>
    <t>Dividends per share (Mex$)</t>
  </si>
  <si>
    <t>Balance Sheet (Mex$ 'mn)</t>
  </si>
  <si>
    <t>Operating expenses/revenue</t>
  </si>
  <si>
    <t>Stores</t>
  </si>
  <si>
    <t>Wal-Mart de Mexico-Rest Bus</t>
  </si>
  <si>
    <t>Alsea SAB de CV</t>
  </si>
  <si>
    <t xml:space="preserve">The purposes of the transaction was for Wal-Mart de Mexico SAB de CV to focus on its core business, strengthen its operations and create synergies. </t>
  </si>
  <si>
    <t>Grupo Zena SA</t>
  </si>
  <si>
    <t xml:space="preserve">The purpose of the transaction was for both companies to create synergies. </t>
  </si>
  <si>
    <t>Italcafe SA de CV</t>
  </si>
  <si>
    <t>Dominos Pizza Colombia</t>
  </si>
  <si>
    <t xml:space="preserve">The purpose of the transaction was to give Alsea SA de CV immediate presence in Colombia. </t>
  </si>
  <si>
    <t>DeLibra Ltda</t>
  </si>
  <si>
    <t>Spoleto Franchising Ltda</t>
  </si>
  <si>
    <t>Dominalco SA</t>
  </si>
  <si>
    <t xml:space="preserve">The purpose of the transaction was for Alsea SAB de CV to continue its successful investments in Dominos Pizza Colombia SA {Dominalco SA}, which operates Dominos Pizza stores, and in Operadora Alsea en Colombia SA {Opalcol}, which operates Burger King branches, in Colombia. </t>
  </si>
  <si>
    <t>Opalcol</t>
  </si>
  <si>
    <t>The purpose of the transaction was for Alsea SAB de CV to continue its successful investments in Dominos Pizza Colombia SA {Dominalco SA}, which operates Dominos Pizza stores, and in Operadora Alsea en Colombia SA {Opalcol}, which operates Burger King branches, in Colombia.</t>
  </si>
  <si>
    <t>Promicom de Mexico SA de CV</t>
  </si>
  <si>
    <t>Dopisin SA de CV</t>
  </si>
  <si>
    <t>Grupo Calpik SA de CV</t>
  </si>
  <si>
    <t>Burger King Worldwide Inc-</t>
  </si>
  <si>
    <t xml:space="preserve">The purpose of the transaction was for Alsea SAB de CV and the Mexican operations of Burger King Worldwide Inc to form a joint venture. </t>
  </si>
  <si>
    <t>Cafe Sirena S de RL de CV</t>
  </si>
  <si>
    <t xml:space="preserve">The purpose of the transaction was for Alsea SAB de CV to expand and develop Starbucks retail stores in Mexico. </t>
  </si>
  <si>
    <t>Grupo Amigos de San Angel SA</t>
  </si>
  <si>
    <t>Fabián Gerardo Gosselin Castro</t>
  </si>
  <si>
    <t>CFO</t>
  </si>
  <si>
    <t>Alberto Torrado Martínez</t>
  </si>
  <si>
    <t>Cosme Torrado Martínez</t>
  </si>
  <si>
    <t>Proprietary Member</t>
  </si>
  <si>
    <t>Armando Torrado Martínez</t>
  </si>
  <si>
    <t>Federico Tejado Bárcena</t>
  </si>
  <si>
    <t>Independent Board Member</t>
  </si>
  <si>
    <t>León Kraig Eskenazi</t>
  </si>
  <si>
    <t>Supply Chain Director</t>
  </si>
  <si>
    <t>Individuals</t>
  </si>
  <si>
    <t>Number of Stores</t>
  </si>
  <si>
    <t>Rental payment on capital operating leases</t>
  </si>
  <si>
    <t>Interest rate used to capitalize operating leases</t>
  </si>
  <si>
    <t>Capital expenditures financed through operating leases</t>
  </si>
  <si>
    <t>Assumed average lease life of operating lease</t>
  </si>
  <si>
    <t>Implied depreciation on capitalized operating leases</t>
  </si>
  <si>
    <t>Implied capitalized operating lease assets</t>
  </si>
  <si>
    <t>Interest expense on capitalized operating leases</t>
  </si>
  <si>
    <t>Stores Total</t>
  </si>
  <si>
    <t>Stores Growth (% YoY)</t>
  </si>
  <si>
    <t>Stores Growth</t>
  </si>
  <si>
    <t>Mexico- Stores and Sales per store</t>
  </si>
  <si>
    <t>South America- Stores and Sales per store</t>
  </si>
  <si>
    <t>Sales per retail store</t>
  </si>
  <si>
    <t>Growth by Division (YoY %)</t>
  </si>
  <si>
    <t>Mexico (Quarterly, Mex$/Store)</t>
  </si>
  <si>
    <t>South America (Quarterly, Mex$/Store)</t>
  </si>
  <si>
    <t>EBITDA Mg.</t>
  </si>
  <si>
    <t>Implied capitalized operating  lease obligations</t>
  </si>
  <si>
    <t>Number of Restaurants by segment</t>
  </si>
  <si>
    <t>Number of Restaurants by geographic locations</t>
  </si>
  <si>
    <t>Revenue/Store (Quarterly, Mex$/Store)</t>
  </si>
  <si>
    <t>Quarterly Revenue by division (Growth, YoY %)</t>
  </si>
  <si>
    <t>Fx Exposure</t>
  </si>
  <si>
    <t>Total Units by Segments</t>
  </si>
  <si>
    <t>Portfolio mix by geographic locations(%)</t>
  </si>
  <si>
    <t>Portfolio mix by segments(%)</t>
  </si>
  <si>
    <t>Stores by Geographic Locations</t>
  </si>
  <si>
    <t>Store mix by geographic location</t>
  </si>
  <si>
    <t>Store mix by segments</t>
  </si>
  <si>
    <t>Local</t>
  </si>
  <si>
    <t>Costs</t>
  </si>
  <si>
    <t>Capex</t>
  </si>
  <si>
    <t>Comparable Store Sales</t>
  </si>
  <si>
    <t>SSS Growth</t>
  </si>
  <si>
    <t>Changes in reasonable value Financial Liabilities</t>
  </si>
  <si>
    <r>
      <t xml:space="preserve">This workbook contains formulas which </t>
    </r>
    <r>
      <rPr>
        <u/>
        <sz val="10"/>
        <rFont val="Arial"/>
        <family val="2"/>
      </rPr>
      <t>intentionally</t>
    </r>
    <r>
      <rPr>
        <sz val="10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</si>
  <si>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0"/>
        <rFont val="Arial"/>
        <family val="2"/>
      </rPr>
      <t>intentionally</t>
    </r>
    <r>
      <rPr>
        <sz val="10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</si>
  <si>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</si>
  <si>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</si>
  <si>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</si>
  <si>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</si>
  <si>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</si>
  <si>
    <t>MS EBITDA margin</t>
  </si>
  <si>
    <t>Fundamentals Map (growth x margin)</t>
  </si>
  <si>
    <t>Consolidated</t>
  </si>
  <si>
    <t>Multiple</t>
  </si>
  <si>
    <t>EV</t>
  </si>
  <si>
    <t>/ share</t>
  </si>
  <si>
    <t>Stores Growth by Segment (% YoY)</t>
  </si>
  <si>
    <t>Sales per store by Segment (Mex$ mn)</t>
  </si>
  <si>
    <t>Sales per store by Segment (% growth)</t>
  </si>
  <si>
    <t>Revenue Growth by Segment (%)</t>
  </si>
  <si>
    <t>CapEx / Revenue, CapEx / Depreciation (% / Revenue)</t>
  </si>
  <si>
    <t>Working Capital components (Days)</t>
  </si>
  <si>
    <t>Working Capital Days (Days)</t>
  </si>
  <si>
    <t>EV / Restaurant (x)</t>
  </si>
  <si>
    <t>Seasonality - Revenue (% of annual revenue)</t>
  </si>
  <si>
    <t>Seasonality - EBITDA (% of annual revenue)</t>
  </si>
  <si>
    <t>Seasonality - EBITDA Margin (% / Revenue)</t>
  </si>
  <si>
    <t>Valuat.</t>
  </si>
  <si>
    <t>Method.</t>
  </si>
  <si>
    <t xml:space="preserve">% of Total Adj EBITDA </t>
  </si>
  <si>
    <t>Current price</t>
  </si>
  <si>
    <t>Adj. EBITDA Mexico</t>
  </si>
  <si>
    <t>Adj. EBITDA South America</t>
  </si>
  <si>
    <t>Adj. EBITDA Mexico (% of net revenue)</t>
  </si>
  <si>
    <t>Adj. EBITDA South America (% of net revenue)</t>
  </si>
  <si>
    <t>Adj. EBITDA by segment</t>
  </si>
  <si>
    <t>Total Store Eop (#)</t>
  </si>
  <si>
    <t>Mexico Store Eop</t>
  </si>
  <si>
    <t>South America Store Eop</t>
  </si>
  <si>
    <t>Sales by segment (%)</t>
  </si>
  <si>
    <t>Sales by geographic location (%)</t>
  </si>
  <si>
    <t>Adj. EBITDA margin by Division</t>
  </si>
  <si>
    <t>Adj. EBITDA Margin by Division (company definition)</t>
  </si>
  <si>
    <t>Adj. EBITDA by Division (company definition)</t>
  </si>
  <si>
    <t>Adj. EBITDA Growth by Division (company definition)</t>
  </si>
  <si>
    <r>
      <t>Total Units</t>
    </r>
    <r>
      <rPr>
        <sz val="8"/>
        <rFont val="Arial"/>
        <family val="2"/>
      </rPr>
      <t xml:space="preserve">  (EOP)</t>
    </r>
  </si>
  <si>
    <t>Stores (EOP)</t>
  </si>
  <si>
    <t>Total Units  (EOP)</t>
  </si>
  <si>
    <t>Store detail (Eop)</t>
  </si>
  <si>
    <t>Total Store Eop Growth (YoY %)</t>
  </si>
  <si>
    <t>Store Eop Growth by Division (YoY %)</t>
  </si>
  <si>
    <t>Quarterly SSS Mexico (%)</t>
  </si>
  <si>
    <t>Quarterly SSS South America (%)</t>
  </si>
  <si>
    <t>Quarterly SSS Total (%)</t>
  </si>
  <si>
    <t>Adj. EBITDA Margin Mexico (%)</t>
  </si>
  <si>
    <t>Adj. EBITDA Margin South America (%)</t>
  </si>
  <si>
    <t>Adj. EBITDA Margin by Division (%)</t>
  </si>
  <si>
    <t>Quarterly Adj. EBITDA by Division (%)</t>
  </si>
  <si>
    <t>Quarterly Adj. EBITDA Margin by Division (%)</t>
  </si>
  <si>
    <t>Quarterly Adj. EBITDA Margin Growth by Division (Bps YoY)</t>
  </si>
  <si>
    <t>Seasonality (% revenue)</t>
  </si>
  <si>
    <t>SSS by Division (%)</t>
  </si>
  <si>
    <t>RESULTS BY DIVISION</t>
  </si>
  <si>
    <t>SSS Growth (%)</t>
  </si>
  <si>
    <t>Inventories days</t>
  </si>
  <si>
    <t>Payables days</t>
  </si>
  <si>
    <t>Working Capital Components days</t>
  </si>
  <si>
    <t>Expansion CapEx</t>
  </si>
  <si>
    <t>Maintenance capex</t>
  </si>
  <si>
    <t>CapEx Breakdown (Mex$ mn)</t>
  </si>
  <si>
    <t>Maintenance Capex</t>
  </si>
  <si>
    <t>Expansion Capex</t>
  </si>
  <si>
    <t>Pro-forma</t>
  </si>
  <si>
    <t>Adjustments</t>
  </si>
  <si>
    <t>Change in debt</t>
  </si>
  <si>
    <t>Movement in cash</t>
  </si>
  <si>
    <t>Other cash items</t>
  </si>
  <si>
    <t>PP&amp;E</t>
  </si>
  <si>
    <t>CapEx per stores opened (Mex$mn)</t>
  </si>
  <si>
    <t>Maintenance CapEx (% of Revenue)</t>
  </si>
  <si>
    <t>Expansion CapEx / store opened</t>
  </si>
  <si>
    <t>Implied New Store Productivity (vs. old stores)</t>
  </si>
  <si>
    <t>CapEx Breakdown (%/ revenue)</t>
  </si>
  <si>
    <t>Inflation (eop %)</t>
  </si>
  <si>
    <t>Interest rate (eop)</t>
  </si>
  <si>
    <t>Expansion Capex (% net rev)</t>
  </si>
  <si>
    <t>Maintenance Capex (% net rev)</t>
  </si>
  <si>
    <t>Annual Data</t>
  </si>
  <si>
    <t>5. Expenses Drivers</t>
  </si>
  <si>
    <t xml:space="preserve">6. Adj. EBITDA by Division </t>
  </si>
  <si>
    <t>7. Working Capital Drivers</t>
  </si>
  <si>
    <t>8. CapEx Drivers</t>
  </si>
  <si>
    <t>10. Other items</t>
  </si>
  <si>
    <t>Subfranchisees</t>
  </si>
  <si>
    <t>Corporate (owned) stores</t>
  </si>
  <si>
    <t>Royalties and marketing reimbursements</t>
  </si>
  <si>
    <t>Net openings</t>
  </si>
  <si>
    <t xml:space="preserve"> Revenues</t>
  </si>
  <si>
    <t>Net corporate store openings</t>
  </si>
  <si>
    <t>Net sub-franchisee store openings</t>
  </si>
  <si>
    <t>Sub-franchisees</t>
  </si>
  <si>
    <t>Average No. of corporate stores</t>
  </si>
  <si>
    <t>Average No. of Sub-franchisee stores</t>
  </si>
  <si>
    <t>Total eop stores</t>
  </si>
  <si>
    <t>% of sub-franchisee sales</t>
  </si>
  <si>
    <t>Europe</t>
  </si>
  <si>
    <t>YoY % Change</t>
  </si>
  <si>
    <t>Sales Per Average Corporate Store (MXP mn)</t>
  </si>
  <si>
    <t>Sales Per Average Sub-franchisee Store (MXP mn)</t>
  </si>
  <si>
    <t>Per Average Sub-franchisee Store (MXP mn)</t>
  </si>
  <si>
    <t>Sales Per Store (MXP mn)</t>
  </si>
  <si>
    <t>Sales Per Average Store (MXP mn)</t>
  </si>
  <si>
    <t>MXP vs. USD</t>
  </si>
  <si>
    <t>EUR vs. USD</t>
  </si>
  <si>
    <t>MXP vs. EUR</t>
  </si>
  <si>
    <t>Sales Per Average Sub-franchisee Store  - forecast without FX effect</t>
  </si>
  <si>
    <t>FX effect</t>
  </si>
  <si>
    <t>Total stores</t>
  </si>
  <si>
    <t>Non-store related expenses</t>
  </si>
  <si>
    <t>(+) Non-store related expenses</t>
  </si>
  <si>
    <t>Cash operating expenses</t>
  </si>
  <si>
    <t>Sales of subsidiaries and others</t>
  </si>
  <si>
    <t>Commercial papers (debt)</t>
  </si>
  <si>
    <t># corporate stores opened</t>
  </si>
  <si>
    <t>Total debt</t>
  </si>
  <si>
    <t>4Q08</t>
  </si>
  <si>
    <t>ARS vs. USD</t>
  </si>
  <si>
    <t>CLP vs. USD</t>
  </si>
  <si>
    <t>COP vs. USD</t>
  </si>
  <si>
    <t>Weight</t>
  </si>
  <si>
    <t>Weighted average FX depreciation (appreciation) vs. MXP</t>
  </si>
  <si>
    <t>MXP vs. USD (YoY Change)</t>
  </si>
  <si>
    <t>ARS vs. USD (YoY Change)</t>
  </si>
  <si>
    <t>CLP vs. USD (YoY Change)</t>
  </si>
  <si>
    <t>COP vs. USD (YoY Change)</t>
  </si>
  <si>
    <t>Adj. EBITDA margin</t>
  </si>
  <si>
    <t>Mexico Adj EBITDA margin</t>
  </si>
  <si>
    <t>TIIE quarterly</t>
  </si>
  <si>
    <t>Net Interest Expense</t>
  </si>
  <si>
    <t>Effective Tax rate (%)</t>
  </si>
  <si>
    <t>ALSEA.MX</t>
  </si>
  <si>
    <t>Other LATAM</t>
  </si>
  <si>
    <t>Uruguai</t>
  </si>
  <si>
    <t>Weighted average inflation in local currency</t>
  </si>
  <si>
    <t>ARS inflation</t>
  </si>
  <si>
    <t>CLP inflation</t>
  </si>
  <si>
    <t>COP inflation</t>
  </si>
  <si>
    <t>As a % of revenues</t>
  </si>
  <si>
    <r>
      <t xml:space="preserve">Corporate Stores </t>
    </r>
    <r>
      <rPr>
        <sz val="8"/>
        <rFont val="Arial"/>
        <family val="2"/>
      </rPr>
      <t>(EOP)</t>
    </r>
  </si>
  <si>
    <r>
      <t xml:space="preserve">Sub-franchisee Stores </t>
    </r>
    <r>
      <rPr>
        <sz val="8"/>
        <rFont val="Arial"/>
        <family val="2"/>
      </rPr>
      <t>(EOP)</t>
    </r>
  </si>
  <si>
    <t>Intercompany Operations and Other Revenues</t>
  </si>
  <si>
    <t>Royalties and Marketing Reimbursements</t>
  </si>
  <si>
    <t>Corporate Stores (EOP)</t>
  </si>
  <si>
    <t>Sub-franchisee Stores (EOP)</t>
  </si>
  <si>
    <t>Net Debt/ EBITDA (12M)</t>
  </si>
  <si>
    <t>Inflation</t>
  </si>
  <si>
    <t>Cosme Torrado Martinez</t>
  </si>
  <si>
    <t>Armando Torrado Martinez</t>
  </si>
  <si>
    <t>Alberto Torrado Martinez</t>
  </si>
  <si>
    <t xml:space="preserve">Accumulated Expansion Capex </t>
  </si>
  <si>
    <t>Expansion Capex of total investments (%)</t>
  </si>
  <si>
    <t xml:space="preserve">MIX BY TYPE OF RESTAURANT </t>
  </si>
  <si>
    <t>Number of Units</t>
  </si>
  <si>
    <t>Domino's Pizza</t>
  </si>
  <si>
    <t>Burger King</t>
  </si>
  <si>
    <t>Chilli's</t>
  </si>
  <si>
    <t>Italiannis</t>
  </si>
  <si>
    <t>Vips</t>
  </si>
  <si>
    <t xml:space="preserve">El Portón </t>
  </si>
  <si>
    <t>Units (%)</t>
  </si>
  <si>
    <t>International</t>
  </si>
  <si>
    <t>P.F. Changs</t>
  </si>
  <si>
    <t>Archies</t>
  </si>
  <si>
    <t>Cañas y Tapas</t>
  </si>
  <si>
    <t>Starbucks</t>
  </si>
  <si>
    <t>Foster's Hollywood</t>
  </si>
  <si>
    <t>Sales (%)</t>
  </si>
  <si>
    <t>DIA</t>
  </si>
  <si>
    <t>Adjusted EBITDA (%)</t>
  </si>
  <si>
    <t>Stock Based Compensation</t>
  </si>
  <si>
    <t>Checks</t>
  </si>
  <si>
    <t>Gross Profit vs EBITDA</t>
  </si>
  <si>
    <t>EBITDA vs Net Income</t>
  </si>
  <si>
    <t>Shareholder's Equity total</t>
  </si>
  <si>
    <t>Royalties and Marketing Reinbursements</t>
  </si>
  <si>
    <t>South America Adj EBITDA margin</t>
  </si>
  <si>
    <t xml:space="preserve">Adj EBITDA </t>
  </si>
  <si>
    <t>yoy change</t>
  </si>
  <si>
    <t>+ D&amp;A</t>
  </si>
  <si>
    <t>FCF to the firm</t>
  </si>
  <si>
    <t>D&amp;A</t>
  </si>
  <si>
    <t>Adjusted EBITDA margin</t>
  </si>
  <si>
    <t>Total openings</t>
  </si>
  <si>
    <t>YoY growth</t>
  </si>
  <si>
    <t>Adj EPS</t>
  </si>
  <si>
    <t>Shares (mn, diluted)</t>
  </si>
  <si>
    <t>SOP Valuation</t>
  </si>
  <si>
    <t>% of EBITDA</t>
  </si>
  <si>
    <t>LTM</t>
  </si>
  <si>
    <t>Distribution</t>
  </si>
  <si>
    <t>Company Data - Store Mix</t>
  </si>
  <si>
    <t>MIX BY SEGMENT</t>
  </si>
  <si>
    <t>MIX BY LOCATION</t>
  </si>
  <si>
    <t>MIX BY OWNERSHIP</t>
  </si>
  <si>
    <t>Adj. EBITDA by segment (%)</t>
  </si>
  <si>
    <t>Adj. EBITDA margin by segment</t>
  </si>
  <si>
    <t>Adj. EBITDA (%)</t>
  </si>
  <si>
    <t>Regional data</t>
  </si>
  <si>
    <t>FX</t>
  </si>
  <si>
    <t>Units</t>
  </si>
  <si>
    <t>Mix by type of Restaurant</t>
  </si>
  <si>
    <t>Number of Restaurants by segment (%)</t>
  </si>
  <si>
    <t>Restaurants by Geographic Location</t>
  </si>
  <si>
    <t>Restaurants by Geographic Location (%)</t>
  </si>
  <si>
    <t>Results by Division</t>
  </si>
  <si>
    <t>SSS (%)</t>
  </si>
  <si>
    <t>Number of Corporate Units</t>
  </si>
  <si>
    <t>Number of Franchised Units</t>
  </si>
  <si>
    <t>Sales per Corporate store</t>
  </si>
  <si>
    <t>EBITDA per Corporate store</t>
  </si>
  <si>
    <t>Per store data</t>
  </si>
  <si>
    <t>% of restaurant revenues</t>
  </si>
  <si>
    <t>Margin on sub-franchisee revenues</t>
  </si>
  <si>
    <t>Total fees on sub-franchisee sales</t>
  </si>
  <si>
    <t>Domino's</t>
  </si>
  <si>
    <t>BK</t>
  </si>
  <si>
    <t>Market penetration data</t>
  </si>
  <si>
    <t>MIX BY TYPE OF RESTAURANT</t>
  </si>
  <si>
    <t>AUTOMATIC PIE CHARTS</t>
  </si>
  <si>
    <t>Corporated (owned) Stores</t>
  </si>
  <si>
    <t>Subfranchises Stores</t>
  </si>
  <si>
    <t>El Portón</t>
  </si>
  <si>
    <t>Capacity</t>
  </si>
  <si>
    <t>Franchises</t>
  </si>
  <si>
    <t>Cal. Pizza Kitchen</t>
  </si>
  <si>
    <t xml:space="preserve"> Cheesecake  Factory</t>
  </si>
  <si>
    <t>Available capacity</t>
  </si>
  <si>
    <t>LAVACA</t>
  </si>
  <si>
    <t>Market Holding Capacity (Mexico)</t>
  </si>
  <si>
    <t>Market Holding Capacity (Argentina)</t>
  </si>
  <si>
    <t>Market Holding Capacity (Colombia)</t>
  </si>
  <si>
    <t>Market Holding Capacity (Chile)</t>
  </si>
  <si>
    <t>MARKET PENETRATION CHARTS</t>
  </si>
  <si>
    <t>United States</t>
  </si>
  <si>
    <t>Per-Capita Expense/Food Industry</t>
  </si>
  <si>
    <t>PER CAPITA EXPENSE/FOOD INDUSTRY</t>
  </si>
  <si>
    <t>Acquisitions</t>
  </si>
  <si>
    <t>Total Units</t>
  </si>
  <si>
    <t>EBIT Margin</t>
  </si>
  <si>
    <t xml:space="preserve">Mexico Units Mix (by type of restaurant)     - </t>
  </si>
  <si>
    <t>Mexico Adj. EBITDA (by type of restaurant)      -</t>
  </si>
  <si>
    <t>Sales (by division)    -</t>
  </si>
  <si>
    <t>Mexico Sales Mix (by type of restaurant)     -</t>
  </si>
  <si>
    <t xml:space="preserve">Total Sales Mix (by type of restaurant)      - </t>
  </si>
  <si>
    <t>1. Revenue</t>
  </si>
  <si>
    <t>2. Costs</t>
  </si>
  <si>
    <t>3. Other Income Statement Items</t>
  </si>
  <si>
    <t>Libor quarterly</t>
  </si>
  <si>
    <t>LIBOR (avg %)</t>
  </si>
  <si>
    <t>% EUR debt</t>
  </si>
  <si>
    <t>Debt profile</t>
  </si>
  <si>
    <t>MXP</t>
  </si>
  <si>
    <t>Fixed rate or hedged</t>
  </si>
  <si>
    <t>Variable rate</t>
  </si>
  <si>
    <t>Average cost</t>
  </si>
  <si>
    <t>Spread/Discount to policy rate</t>
  </si>
  <si>
    <t>Spread to policy rates</t>
  </si>
  <si>
    <t>SSS - local currency</t>
  </si>
  <si>
    <t>New Store Productivity - local currency</t>
  </si>
  <si>
    <t>Quarterly Interest Rate</t>
  </si>
  <si>
    <t>Annual Interest Rate</t>
  </si>
  <si>
    <t>DPS</t>
  </si>
  <si>
    <t>Dividends per share</t>
  </si>
  <si>
    <t>% of Adj. EBITDA</t>
  </si>
  <si>
    <t>CDS</t>
  </si>
  <si>
    <t>Inflation diferential</t>
  </si>
  <si>
    <t>Ginos</t>
  </si>
  <si>
    <t>Franchised</t>
  </si>
  <si>
    <t>Per-Capita Expense in food services (USD)</t>
  </si>
  <si>
    <t>Multiples - Using Current Price</t>
  </si>
  <si>
    <t>Multiples - Using Target Price</t>
  </si>
  <si>
    <t>EBITDA mrg</t>
  </si>
  <si>
    <t>By Country</t>
  </si>
  <si>
    <t>Revenue Growth by Country (%)</t>
  </si>
  <si>
    <t>Adj. EBITDA Margin by Country (%)</t>
  </si>
  <si>
    <t>Corportate Stores (EOP)</t>
  </si>
  <si>
    <t>Franchised Stores (EOP)</t>
  </si>
  <si>
    <t>Sales per store by Geographic Location (Mex$ mn)</t>
  </si>
  <si>
    <t>Revenue by Country</t>
  </si>
  <si>
    <t>Revenue Growth by Country</t>
  </si>
  <si>
    <t>Adj. EBITDA by Country</t>
  </si>
  <si>
    <t>Adj. EBITDA by Segment</t>
  </si>
  <si>
    <t>Adj. EBITDA Growth by Country</t>
  </si>
  <si>
    <t>Adj. EBITDA growth by Segment</t>
  </si>
  <si>
    <t>Adj. EBITDA margin by Segment</t>
  </si>
  <si>
    <t>SSS Mexico (%)</t>
  </si>
  <si>
    <t>SSS South America (%)</t>
  </si>
  <si>
    <t>SSS Mexico</t>
  </si>
  <si>
    <t>SSS South America</t>
  </si>
  <si>
    <t>SSS by Country (%)</t>
  </si>
  <si>
    <t xml:space="preserve">Sales </t>
  </si>
  <si>
    <t xml:space="preserve">LTM Sales </t>
  </si>
  <si>
    <t xml:space="preserve">Adj. EBITDA </t>
  </si>
  <si>
    <t>LTM Sales %</t>
  </si>
  <si>
    <t>LTM Adj EBITDA</t>
  </si>
  <si>
    <t>LTM EBITDA %</t>
  </si>
  <si>
    <t>LTM Adj EBITDA Margin</t>
  </si>
  <si>
    <t>Stores in South America</t>
  </si>
  <si>
    <t>Stores in Mexico</t>
  </si>
  <si>
    <t>Adj. EBITDA growth by Division</t>
  </si>
  <si>
    <t>BEGGINING IN 2Q16</t>
  </si>
  <si>
    <t>Corporate vs Franchised Stores (Mexico)</t>
  </si>
  <si>
    <t>Corporate vs Franchised Stores (Total)</t>
  </si>
  <si>
    <t>Corporate vs Franchised Stores (South America)</t>
  </si>
  <si>
    <t>Adjusted EBITDA by country</t>
  </si>
  <si>
    <t>Revenue per Store</t>
  </si>
  <si>
    <t>Sales per Store in SA vs FX</t>
  </si>
  <si>
    <t>Return per share</t>
  </si>
  <si>
    <t>PT (implicit)</t>
  </si>
  <si>
    <t>4- Run the macro (to update the charts) -----------------------------------------------------------&gt;</t>
  </si>
  <si>
    <t>5- Current quarter (to update red lines in charts) -------------------------------------------------&gt;</t>
  </si>
  <si>
    <t>Europe Adj EBITDA margin</t>
  </si>
  <si>
    <t>Stores in Europe</t>
  </si>
  <si>
    <t>Coporate vs Franchised Stores (Europe)</t>
  </si>
  <si>
    <t>Europe- Stores and Sales per store</t>
  </si>
  <si>
    <t>SSS Europe (%)</t>
  </si>
  <si>
    <t>Adj. EBITDA Margin Europe (%)</t>
  </si>
  <si>
    <t>Europe Store Eop</t>
  </si>
  <si>
    <t>Europe (Quarterly, Mex$/Store)</t>
  </si>
  <si>
    <t>Quarterly SSS Europe (%)</t>
  </si>
  <si>
    <t>Market Holding Capacity (Europe)</t>
  </si>
  <si>
    <t>SSS Europe</t>
  </si>
  <si>
    <t>Adj. EBITDA Europe</t>
  </si>
  <si>
    <t>Adj. EBITDA Europe (% of net revenue)</t>
  </si>
  <si>
    <t>IFRS 16</t>
  </si>
  <si>
    <t>SG&amp;A (% of Revenue)</t>
  </si>
  <si>
    <t>Non-store related expenses (% of Revenues)</t>
  </si>
  <si>
    <t>Net debt Balance</t>
  </si>
  <si>
    <t>Lease</t>
  </si>
  <si>
    <t>Right-of-Use</t>
  </si>
  <si>
    <t>Interest on Lease</t>
  </si>
  <si>
    <t>Mexico's Interest Rate</t>
  </si>
  <si>
    <t>Weight South America</t>
  </si>
  <si>
    <t>Europe (Libor)</t>
  </si>
  <si>
    <t>Interest on lease</t>
  </si>
  <si>
    <t>4.IFRS 16</t>
  </si>
  <si>
    <t>Lease (BoP)</t>
  </si>
  <si>
    <t>(-) Implied Payment</t>
  </si>
  <si>
    <t>Lease (EoP)</t>
  </si>
  <si>
    <t xml:space="preserve">Current </t>
  </si>
  <si>
    <t>Non-Current</t>
  </si>
  <si>
    <t>Right to Use (BoP)</t>
  </si>
  <si>
    <t>(-) Depreciation Expense</t>
  </si>
  <si>
    <t>(+) Addition</t>
  </si>
  <si>
    <t>Right to Use (EoP)</t>
  </si>
  <si>
    <t>Annualized interest rate (%)</t>
  </si>
  <si>
    <t>Depreciation Expense (Right of Usage)</t>
  </si>
  <si>
    <t>Weighted</t>
  </si>
  <si>
    <t>Leases</t>
  </si>
  <si>
    <t>Sales (%) - Europe</t>
  </si>
  <si>
    <t>Sales (%) - South America</t>
  </si>
  <si>
    <t>Adjusted EBITDA  (%) - Europe</t>
  </si>
  <si>
    <t>Adjusted EBITDA  (%) - South America</t>
  </si>
  <si>
    <t>Depreciation Expense (Rigth-of-Use)</t>
  </si>
  <si>
    <t>% of Righ-of-Use</t>
  </si>
  <si>
    <t>Total Interest</t>
  </si>
  <si>
    <t>Lease payments</t>
  </si>
  <si>
    <t>EBIT (inc. lease expenses)</t>
  </si>
  <si>
    <t>Rent</t>
  </si>
  <si>
    <t>EBITDA (IFRS 16) Margin (%)</t>
  </si>
  <si>
    <t>Net Profit (effective) (IFRS 16)</t>
  </si>
  <si>
    <t>EBITDA margin (IAS 17) (%)</t>
  </si>
  <si>
    <t>Depreciation &amp; Amortization (IAS 17)</t>
  </si>
  <si>
    <t>Depreciation and amortization (IAS 17)</t>
  </si>
  <si>
    <t>(+) Non-store related expenses (IAS 17)</t>
  </si>
  <si>
    <t>Interest paid- net (IAS 17)</t>
  </si>
  <si>
    <t>Net income (loss) (IAS 17)</t>
  </si>
  <si>
    <t>One-Time items (IAS 17)</t>
  </si>
  <si>
    <t>Adj. Net income (loss) (IAS 17)</t>
  </si>
  <si>
    <t>Adj. Net Income Mg (%) (IAS 17)</t>
  </si>
  <si>
    <t>% growth YoY (IAS 17)</t>
  </si>
  <si>
    <t>All-in cost of financing (IAS 17)</t>
  </si>
  <si>
    <t>Net Profit (company adjusted) (IAS 17)</t>
  </si>
  <si>
    <t>Net Profit margin (%) (IAS 17)</t>
  </si>
  <si>
    <t>Net Profit (effective) (IAS 17)</t>
  </si>
  <si>
    <t>Post Tax Extraordinary Items (IAS 17)</t>
  </si>
  <si>
    <t>Diluted EPS (Mex$, non-adj.) (IAS 17)</t>
  </si>
  <si>
    <t>Net Debt (cash)  (IAS 17)</t>
  </si>
  <si>
    <t>ROA (IAS 17)</t>
  </si>
  <si>
    <t>ROE (IAS 17)</t>
  </si>
  <si>
    <t>ROIC (IAS 17)</t>
  </si>
  <si>
    <t>Enterprise Value (IAS 17)</t>
  </si>
  <si>
    <t>Rigth-of-Use</t>
  </si>
  <si>
    <t>EV/Net Revenue (IAS 17)</t>
  </si>
  <si>
    <t>EV/EBITDA (IAS 17)</t>
  </si>
  <si>
    <t>P/E (effective tax rate) (IAS 17)</t>
  </si>
  <si>
    <t>Enterprise Value (ISA 17)</t>
  </si>
  <si>
    <t>Adj. EBITDA Mg (%, company definition, IAS 17)</t>
  </si>
  <si>
    <t>EBITDA (IAS 17) Margin (%)</t>
  </si>
  <si>
    <t>Net Debt/EBITDA (IAS 17)</t>
  </si>
  <si>
    <t>EBITDA (IAS17)</t>
  </si>
  <si>
    <t>EBITDA (IFRS16)</t>
  </si>
  <si>
    <t>Store related expenses</t>
  </si>
  <si>
    <t>Cash Operating expenses (ex. D&amp;A and lease)</t>
  </si>
  <si>
    <t>Non-store operating expenses as % of sales</t>
  </si>
  <si>
    <t>Store operating expenses as % of sales</t>
  </si>
  <si>
    <t>Financial Leasing</t>
  </si>
  <si>
    <t>Restated</t>
  </si>
  <si>
    <t>Net corporate openings</t>
  </si>
  <si>
    <t>Corporate openings</t>
  </si>
  <si>
    <t>Depreciation of financial leasing</t>
  </si>
  <si>
    <t>Depreciation &amp; Amortization - Ex leases</t>
  </si>
  <si>
    <t>EBITDA (IFRS 16)</t>
  </si>
  <si>
    <t>Issuance</t>
  </si>
  <si>
    <t>FX variation</t>
  </si>
  <si>
    <t>Depreciation IAS17</t>
  </si>
  <si>
    <t>Argentina Restatement Effect on Revenue</t>
  </si>
  <si>
    <t>EBIT (IAS 17)</t>
  </si>
  <si>
    <t>Financial leasing</t>
  </si>
  <si>
    <t>Debt/Equity</t>
  </si>
  <si>
    <t>Debt/Equity (IAS 17)</t>
  </si>
  <si>
    <t>Argentina restatment effect</t>
  </si>
  <si>
    <t>Reported cost of debt</t>
  </si>
  <si>
    <t>Change in lease</t>
  </si>
  <si>
    <t>% of inflation</t>
  </si>
  <si>
    <t>Total Store Growth (YoY %)</t>
  </si>
  <si>
    <t>Operating Expense (IAS 17)</t>
  </si>
  <si>
    <t>Cash operating expenses IAS 17</t>
  </si>
  <si>
    <t>Consolidated EBITDA (IAS17)</t>
  </si>
  <si>
    <t>Adj. EBITDA Margin vs. consolidated (IAS17; %)</t>
  </si>
  <si>
    <t>SSS growth</t>
  </si>
  <si>
    <t>Revenue per store</t>
  </si>
  <si>
    <t>Capex per opening</t>
  </si>
  <si>
    <t>Macro charts</t>
  </si>
  <si>
    <t>Macro data (Mexico)</t>
  </si>
  <si>
    <t>MXNUSD (YoY)</t>
  </si>
  <si>
    <t>Number of corporate stores (BBB) - Mexico</t>
  </si>
  <si>
    <t>Number of corporate stores (BBB) - Europe</t>
  </si>
  <si>
    <t>Number of corporate stores (BBB) - South America</t>
  </si>
  <si>
    <t>Corportate Stores (EOP) - Mexico</t>
  </si>
  <si>
    <t>Corportate Stores (EOP) - Europe</t>
  </si>
  <si>
    <t>Corportate Stores (EOP) - South America</t>
  </si>
  <si>
    <t>Corportate Openings - Mexico</t>
  </si>
  <si>
    <t>Corportate Openings - Europe</t>
  </si>
  <si>
    <t>Corportate Openings - South America</t>
  </si>
  <si>
    <t>Corporate stores openings (BBB) - Mexico</t>
  </si>
  <si>
    <t>Corporate stores openings (BBB) - South America</t>
  </si>
  <si>
    <t>Corporate stores openings (BBB) - Europe</t>
  </si>
  <si>
    <t>FX (MXNUSD)</t>
  </si>
  <si>
    <t>Total Debt/EBITDA</t>
  </si>
  <si>
    <t>2020e</t>
  </si>
  <si>
    <t>Subfranchisee</t>
  </si>
  <si>
    <t>Own stores</t>
  </si>
  <si>
    <t>Perpetuity deceleration:</t>
  </si>
  <si>
    <t>Annual net openings by segment</t>
  </si>
  <si>
    <t>n.a.</t>
  </si>
  <si>
    <t>D/E ratio</t>
  </si>
  <si>
    <t>Levered Beta</t>
  </si>
  <si>
    <t>Unlevered Beta</t>
  </si>
  <si>
    <t>Unlev. Beta</t>
  </si>
  <si>
    <t>Adj. EBITDA (by division)      -</t>
  </si>
  <si>
    <t>Adj. EBITDA Margin Growth</t>
  </si>
  <si>
    <t>Revenue by Segment</t>
  </si>
  <si>
    <t>Revenue per Store by Segment</t>
  </si>
  <si>
    <t>Owned Stores by Segment</t>
  </si>
  <si>
    <t>Total Stores by Segment</t>
  </si>
  <si>
    <t>Mix by Segment</t>
  </si>
  <si>
    <t>D&amp;A as % of sles</t>
  </si>
  <si>
    <t>Investments in Intangible Assets (% of amortization)</t>
  </si>
  <si>
    <t>% of Amortization</t>
  </si>
  <si>
    <t>ROE Components (%)</t>
  </si>
  <si>
    <t>Revenues by source</t>
  </si>
  <si>
    <t>Maintenance CapEx / Revenue (% / Revenue)</t>
  </si>
  <si>
    <t>Adj. EBITDA Growth by Segment (%)</t>
  </si>
  <si>
    <t>Adj. EBITDA growth by Country (%)</t>
  </si>
  <si>
    <t xml:space="preserve">Total Units Mix (by type of restaurant)      - </t>
  </si>
  <si>
    <t xml:space="preserve">Total Adj. EBITDA Mix (by type of restaurant)      - </t>
  </si>
  <si>
    <t>Net margin (net income/ sales, %)</t>
  </si>
  <si>
    <t>Asset Turnover (sales/ total assets, x)</t>
  </si>
  <si>
    <t>Leverage (total assets/ equity, x)</t>
  </si>
  <si>
    <t>ROE (net margin x turnover x leverage,%)</t>
  </si>
  <si>
    <t>Net Margin (%)</t>
  </si>
  <si>
    <t>Asset Turnover (x)</t>
  </si>
  <si>
    <t>Leverage (Assets/Equity, x)</t>
  </si>
  <si>
    <t>Sales per store</t>
  </si>
  <si>
    <t xml:space="preserve">Europe Sales Mix (by type of restaurant)      - </t>
  </si>
  <si>
    <t xml:space="preserve">Europe Adj. EBITDA Mix (by type of restaurant)      - </t>
  </si>
  <si>
    <t>Europe Adj. EBITDA (%)</t>
  </si>
  <si>
    <t>TGI</t>
  </si>
  <si>
    <t xml:space="preserve">Europe Units Mix (by type of restaurant)      - </t>
  </si>
  <si>
    <t>Europe Units (%)</t>
  </si>
  <si>
    <t>South America Units (%)</t>
  </si>
  <si>
    <t>Corporate Stores</t>
  </si>
  <si>
    <t>Sub-franchisee Stores</t>
  </si>
  <si>
    <t>Store breakdown (# of stores)</t>
  </si>
  <si>
    <t>EBITDA Margin</t>
  </si>
  <si>
    <t>Consolidated EBITDA Margin (IAS17; %)</t>
  </si>
  <si>
    <t>F&amp;B Revenue</t>
  </si>
  <si>
    <t>Avg Corporate Stores</t>
  </si>
  <si>
    <t>Sales Per Average Corporate Store Y/Y Growth</t>
  </si>
  <si>
    <t>Total Units (by division)  -</t>
  </si>
  <si>
    <t>Sales per store growth by Division (% in MXP)</t>
  </si>
  <si>
    <t>LTM Sales</t>
  </si>
  <si>
    <t>Multiples at current price</t>
  </si>
  <si>
    <t>Multiples at price target</t>
  </si>
  <si>
    <t>Cash Operating expenses (ex. D&amp;A and lease) as % of revenues</t>
  </si>
  <si>
    <t>Cash Operating expenses ex. D&amp;A and lease (% of Revenues)</t>
  </si>
  <si>
    <t>EBITDA Mg</t>
  </si>
  <si>
    <t>2017FY</t>
  </si>
  <si>
    <t>2018FY</t>
  </si>
  <si>
    <t>2019FY</t>
  </si>
  <si>
    <t>2020FY</t>
  </si>
  <si>
    <t>2021FY</t>
  </si>
  <si>
    <t>CF</t>
  </si>
  <si>
    <t>2563017</t>
  </si>
  <si>
    <t>KEI Tagging</t>
  </si>
  <si>
    <t xml:space="preserve">EBITDA (IFRS 16) </t>
  </si>
  <si>
    <t>CapEx (net of asset sales)</t>
  </si>
  <si>
    <t>IFRS16</t>
  </si>
  <si>
    <t>Total Stores</t>
  </si>
  <si>
    <t>% stores Owned</t>
  </si>
  <si>
    <t>Ebitda Margin</t>
  </si>
  <si>
    <t>Revenue Exposure</t>
  </si>
  <si>
    <t>US</t>
  </si>
  <si>
    <t>Peru</t>
  </si>
  <si>
    <t>Gross debt/ EBITDA (IAS17)</t>
  </si>
  <si>
    <t>support line</t>
  </si>
  <si>
    <t>FCF (Mex$ nm)</t>
  </si>
  <si>
    <t>EBIT (IFRS16)</t>
  </si>
  <si>
    <t>Mexico's Inflation</t>
  </si>
  <si>
    <t>EU's Inflation</t>
  </si>
  <si>
    <t>Argentina's Inflation</t>
  </si>
  <si>
    <t>Net Debt IAS17</t>
  </si>
  <si>
    <t>Net Debt (cash) (Mex$ mn) - IAS17</t>
  </si>
  <si>
    <t>Net Debt / Equity (x) - IAS17</t>
  </si>
  <si>
    <t>Net Debt/EBITDA- IAS 17</t>
  </si>
  <si>
    <t>Net Debt/Equity-  IAS 17</t>
  </si>
  <si>
    <t>Net Debt / EBITDA (x) - IAS 17</t>
  </si>
  <si>
    <t xml:space="preserve">Net Debt/ EBITDA (IAS 17)  vs Return per Share </t>
  </si>
  <si>
    <t>Adjustments for IAS 17 NI</t>
  </si>
  <si>
    <t>Capex in CF</t>
  </si>
  <si>
    <t>All in cost financing (IAS17)</t>
  </si>
  <si>
    <t>Net Financials (Mex$ mn, IAS17)</t>
  </si>
  <si>
    <t>Lease per avg. # of owned stores</t>
  </si>
  <si>
    <t>Working Capital Change (as in cash flow, Mex$ mn)</t>
  </si>
  <si>
    <t>Store Openings</t>
  </si>
  <si>
    <t>Total Openings</t>
  </si>
  <si>
    <t>Do not delete or edit these dates --------------------&gt;</t>
  </si>
  <si>
    <t>ROA - IAS17</t>
  </si>
  <si>
    <t>ROE - IAS17</t>
  </si>
  <si>
    <t>ROIC - IAS17</t>
  </si>
  <si>
    <t>Profitability (%) - IAS17</t>
  </si>
  <si>
    <t>ROIC (%) - IAS17</t>
  </si>
  <si>
    <t>ROE (%) - IAS17</t>
  </si>
  <si>
    <t>ROA (%) - IAS17</t>
  </si>
  <si>
    <t>Mexico Macro Data</t>
  </si>
  <si>
    <t>Real GDP Growth (%Y)</t>
  </si>
  <si>
    <t>Inflation (%Y)</t>
  </si>
  <si>
    <t>MXNUSD</t>
  </si>
  <si>
    <t xml:space="preserve">Adj. EBITDA Europe </t>
  </si>
  <si>
    <t>EBITDA IAS17</t>
  </si>
  <si>
    <t>EBITDA - IAS 17</t>
  </si>
  <si>
    <t>Adj. EBITDA Margin Growth by Division (Bps YoY)</t>
  </si>
  <si>
    <t>Adj. and Non-Adj. Revenue Growth and EBITDA Margin (%)</t>
  </si>
  <si>
    <t>EBITDA Margin IAS17</t>
  </si>
  <si>
    <t>Working Capital Change (Mex$ mn)</t>
  </si>
  <si>
    <t>Operating CF (Mex$ nm)</t>
  </si>
  <si>
    <t>Debt maturities</t>
  </si>
  <si>
    <t>Debt maturities and cash (Mex$ mn)</t>
  </si>
  <si>
    <t>South America (Ex-Brasil)</t>
  </si>
  <si>
    <t>ST Debt</t>
  </si>
  <si>
    <t>COGS</t>
  </si>
  <si>
    <t>SG&amp;A</t>
  </si>
  <si>
    <t>Benefited when USD: Neutral</t>
  </si>
  <si>
    <t>2022FY</t>
  </si>
  <si>
    <t>Rating</t>
  </si>
  <si>
    <t>% of base case</t>
  </si>
  <si>
    <t>Sales Per Average Corporate Store (EUR mn)</t>
  </si>
  <si>
    <t>Rev. CAGR</t>
  </si>
  <si>
    <t>1Q26e</t>
  </si>
  <si>
    <t>2Q26e</t>
  </si>
  <si>
    <t>3Q26e</t>
  </si>
  <si>
    <t>4Q26e</t>
  </si>
  <si>
    <t>1Q27e</t>
  </si>
  <si>
    <t>2Q27e</t>
  </si>
  <si>
    <t>3Q27e</t>
  </si>
  <si>
    <t>4Q27e</t>
  </si>
  <si>
    <t>1Q28e</t>
  </si>
  <si>
    <t>2Q28e</t>
  </si>
  <si>
    <t>3Q28e</t>
  </si>
  <si>
    <t>4Q28e</t>
  </si>
  <si>
    <t>1Q29e</t>
  </si>
  <si>
    <t>2Q29e</t>
  </si>
  <si>
    <t>3Q29e</t>
  </si>
  <si>
    <t>4Q29e</t>
  </si>
  <si>
    <t>1Q30e</t>
  </si>
  <si>
    <t>2Q30e</t>
  </si>
  <si>
    <t>3Q30e</t>
  </si>
  <si>
    <t>4Q30e</t>
  </si>
  <si>
    <t>Fixed Rents (IAS17) - output has to make sense</t>
  </si>
  <si>
    <t>* Julia Rizzo</t>
  </si>
  <si>
    <t>Julia.Rizzo@morganstanley.com</t>
  </si>
  <si>
    <t>+55 (11) 3048 - 6114</t>
  </si>
  <si>
    <t xml:space="preserve">EBITDA adj </t>
  </si>
  <si>
    <t>% of sales</t>
  </si>
  <si>
    <t>Gabriela Maria Garza San Miguel</t>
  </si>
  <si>
    <t>Carlos Vicente Salazar Lomelin</t>
  </si>
  <si>
    <t>Alfredo Sanchez Torrado</t>
  </si>
  <si>
    <t>Luiz Carlos Ferezin</t>
  </si>
  <si>
    <t>Leticia Mariana Jauregui Casanueva</t>
  </si>
  <si>
    <t>Christine Marguerite Kenna</t>
  </si>
  <si>
    <t>Armando Torrado</t>
  </si>
  <si>
    <t>Miguel Cevazza</t>
  </si>
  <si>
    <t>Jose Luis Portela</t>
  </si>
  <si>
    <t>CEO Alsea Europe</t>
  </si>
  <si>
    <t>Santiago Farinati</t>
  </si>
  <si>
    <t>Alsea Argentina and Chile</t>
  </si>
  <si>
    <t>Humans Resources Director</t>
  </si>
  <si>
    <t>Operating expenses (% of Net Revenue, Pre-IFRS 16)</t>
  </si>
  <si>
    <t>ARCO</t>
  </si>
  <si>
    <t>ZAMP</t>
  </si>
  <si>
    <t>Peers TV</t>
  </si>
  <si>
    <t>Operating expenses (% of net revenue) pre-IFRS 16</t>
  </si>
  <si>
    <t>2022 cash position</t>
  </si>
  <si>
    <t>2023FY</t>
  </si>
  <si>
    <t>2024FY</t>
  </si>
  <si>
    <t>2025FY</t>
  </si>
  <si>
    <t>Working Capital Days</t>
  </si>
  <si>
    <t>Average No. of stores</t>
  </si>
  <si>
    <t>Average No. of  stores</t>
  </si>
  <si>
    <t xml:space="preserve">Mexico Adj EBITDA </t>
  </si>
  <si>
    <t xml:space="preserve">Europe Adj EBITDA </t>
  </si>
  <si>
    <t xml:space="preserve">South America Adj EBITDA </t>
  </si>
  <si>
    <t>South America Net Revenues</t>
  </si>
  <si>
    <t>Europe Net Revenues</t>
  </si>
  <si>
    <t>Mexico Net Revenues</t>
  </si>
  <si>
    <t>(YoY%)</t>
  </si>
  <si>
    <t>2015-20</t>
  </si>
  <si>
    <t>E/Cons</t>
  </si>
  <si>
    <t>Total Corporated/Own stores Openings</t>
  </si>
  <si>
    <t>FY2026</t>
  </si>
  <si>
    <t>2026FY</t>
  </si>
  <si>
    <t>2024E</t>
  </si>
  <si>
    <t>Closing</t>
  </si>
  <si>
    <t>25e-27e</t>
  </si>
  <si>
    <t>28e-33e</t>
  </si>
  <si>
    <t xml:space="preserve"> inflation + %</t>
  </si>
  <si>
    <t>2026-29</t>
  </si>
  <si>
    <t>2023-33</t>
  </si>
  <si>
    <t>2020-23</t>
  </si>
  <si>
    <t>2024-26e</t>
  </si>
  <si>
    <t>Adj EBITDA (pre-IFRS 16, consensus)</t>
  </si>
  <si>
    <t>Federico Rodrigues</t>
  </si>
  <si>
    <t>Cory Guajardo</t>
  </si>
  <si>
    <t>Pablo de Brito</t>
  </si>
  <si>
    <t xml:space="preserve">Commercial and Business Development Director </t>
  </si>
  <si>
    <t>Last Updated: 03/06/2023</t>
  </si>
  <si>
    <t>EV/EBITDA - POST IFRS 16</t>
  </si>
  <si>
    <t>P/E - POST IFRS 16</t>
  </si>
  <si>
    <t>EV / EBITDA (x) (Post IFRS)</t>
  </si>
  <si>
    <t>P/E (x) (Post IFRS)</t>
  </si>
  <si>
    <t>P/E (x) (Pré IFRS 16)</t>
  </si>
  <si>
    <t>EV / EBITDA (x) (Pré IFRS 16)</t>
  </si>
  <si>
    <t>EV/EBITDA - PRE IFRS 16</t>
  </si>
  <si>
    <t>P/E - PRE IFRS 16</t>
  </si>
  <si>
    <t>EV/Own Stores - PRE IFRS 16</t>
  </si>
  <si>
    <t>EV/Own Stores</t>
  </si>
  <si>
    <t>EV / Own Stores(x) (Pré IFRS 16)</t>
  </si>
  <si>
    <t>2025e</t>
  </si>
  <si>
    <t>ARSUSD</t>
  </si>
  <si>
    <t>BRLUSD</t>
  </si>
  <si>
    <t>CLPUSD</t>
  </si>
  <si>
    <t>COPUSD</t>
  </si>
  <si>
    <t>PENUSD</t>
  </si>
  <si>
    <t xml:space="preserve">EU </t>
  </si>
  <si>
    <t>EURUSD</t>
  </si>
  <si>
    <t>Morgan Stanley Estimates - FX</t>
  </si>
  <si>
    <t>Bloomberg Estimates - FX</t>
  </si>
  <si>
    <t>EW</t>
  </si>
  <si>
    <t>Other (Leasing Amortization and others)</t>
  </si>
  <si>
    <t>1QFY-2024</t>
  </si>
  <si>
    <t>Company</t>
  </si>
  <si>
    <t>Adj Ebitda - Stores</t>
  </si>
  <si>
    <t>Accounts payable to creditors</t>
  </si>
  <si>
    <t>Accrued expenses and direct employee benefits</t>
  </si>
  <si>
    <t>Option to sell the non-controlling interest</t>
  </si>
  <si>
    <t xml:space="preserve">EBIT </t>
  </si>
  <si>
    <t xml:space="preserve">Adjusted OCL Days </t>
  </si>
  <si>
    <t xml:space="preserve">7-8% decelerating Q/Q . Harder calendar </t>
  </si>
  <si>
    <t>0 to -ve SSS . Still suffering from boycots</t>
  </si>
  <si>
    <t>SOTP</t>
  </si>
  <si>
    <t xml:space="preserve">FCF </t>
  </si>
  <si>
    <t>Macro Update</t>
  </si>
  <si>
    <t>MS Macro Forecast</t>
  </si>
  <si>
    <t>FX Forecast from Bloomberg’s implied forward curve</t>
  </si>
  <si>
    <t>EPS for Consensus</t>
  </si>
  <si>
    <t>&gt; only expansion and remodelings</t>
  </si>
  <si>
    <t>Accounts payable to creditors &amp; Put Option</t>
  </si>
  <si>
    <t>&gt; only released in the 4Q23 annunal report audited figures</t>
  </si>
  <si>
    <t>Other Long Term Liabilities</t>
  </si>
  <si>
    <t>EUR/MXN</t>
  </si>
  <si>
    <t>Leasing interest + payment</t>
  </si>
  <si>
    <t>Interest portion</t>
  </si>
  <si>
    <t>Payments</t>
  </si>
  <si>
    <t>EBIT adj for leases</t>
  </si>
  <si>
    <t>Source: Company data, Morgan Stanley Research, MS Macro Forecast as of June 11 2024 (https://researchportal.ms.com/research/#/macroforecast/) and FX Forecast from Bloomberg’s implied forward curve as of July 08 2024</t>
  </si>
  <si>
    <t>ROIC LT</t>
  </si>
  <si>
    <t>Rent ajusttments IFRS16</t>
  </si>
  <si>
    <t>RentGastos de operacion (IFRS adjustments</t>
  </si>
  <si>
    <t>Adj. EBITDA (stores EBITDA, company definition)</t>
  </si>
  <si>
    <t>EBITDA (Company definition; IAS 17)</t>
  </si>
  <si>
    <t>EBITDA IFRS16</t>
  </si>
  <si>
    <t>(+) Right of Use Amortization</t>
  </si>
  <si>
    <t>(+) Total lease expenses</t>
  </si>
  <si>
    <t>EBITDA (MS)</t>
  </si>
  <si>
    <t xml:space="preserve">Mexico- Pre IFRS </t>
  </si>
  <si>
    <t>Número de unidades</t>
  </si>
  <si>
    <t>Ventas Mismas Tiendas</t>
  </si>
  <si>
    <t>Ventas</t>
  </si>
  <si>
    <t>Costos</t>
  </si>
  <si>
    <t>Gastos de operación</t>
  </si>
  <si>
    <t>EBITDA Ajustado*</t>
  </si>
  <si>
    <t>Margen EBITDA Ajustado*</t>
  </si>
  <si>
    <t>Depreciación y Amortización</t>
  </si>
  <si>
    <t>G&amp;A y otros gastos e ingresos</t>
  </si>
  <si>
    <t>Utilidad de operación</t>
  </si>
  <si>
    <t>Mexico Post-IFRS 16</t>
  </si>
  <si>
    <t>2T20</t>
  </si>
  <si>
    <t>3T20</t>
  </si>
  <si>
    <t>4T20</t>
  </si>
  <si>
    <t>1T21</t>
  </si>
  <si>
    <t>2T21</t>
  </si>
  <si>
    <t>3T21</t>
  </si>
  <si>
    <t>4T21</t>
  </si>
  <si>
    <t>1T22</t>
  </si>
  <si>
    <t>2T22</t>
  </si>
  <si>
    <t>3T22</t>
  </si>
  <si>
    <t>4T22</t>
  </si>
  <si>
    <t>1T23</t>
  </si>
  <si>
    <t>2T23</t>
  </si>
  <si>
    <t>3T23</t>
  </si>
  <si>
    <t>4T23</t>
  </si>
  <si>
    <t>1T24</t>
  </si>
  <si>
    <t>Europa PRE IFRS</t>
  </si>
  <si>
    <t>Europa POST IFRS</t>
  </si>
  <si>
    <t>South America PRE IFRS</t>
  </si>
  <si>
    <t>South America Post-IFRS 16 + Reexpresión
Argentina</t>
  </si>
  <si>
    <t xml:space="preserve">EBITDA </t>
  </si>
  <si>
    <t>1Q26</t>
  </si>
  <si>
    <t>2Q26</t>
  </si>
  <si>
    <t>3Q26</t>
  </si>
  <si>
    <t>4Q26</t>
  </si>
  <si>
    <t>1Q27</t>
  </si>
  <si>
    <t>2Q27</t>
  </si>
  <si>
    <t>3Q27</t>
  </si>
  <si>
    <t>4Q27</t>
  </si>
  <si>
    <t>1Q28</t>
  </si>
  <si>
    <t>2Q28</t>
  </si>
  <si>
    <t>3Q28</t>
  </si>
  <si>
    <t>4Q28</t>
  </si>
  <si>
    <t>1Q29</t>
  </si>
  <si>
    <t>2Q29</t>
  </si>
  <si>
    <t>3Q29</t>
  </si>
  <si>
    <t>4Q29</t>
  </si>
  <si>
    <t>1Q30</t>
  </si>
  <si>
    <t>2Q30</t>
  </si>
  <si>
    <t>3Q30</t>
  </si>
  <si>
    <t>4Q30</t>
  </si>
  <si>
    <t>1Q31</t>
  </si>
  <si>
    <t>2Q31</t>
  </si>
  <si>
    <t>3Q31</t>
  </si>
  <si>
    <t>4Q31</t>
  </si>
  <si>
    <t>1Q32</t>
  </si>
  <si>
    <t>2Q32</t>
  </si>
  <si>
    <t>3Q32</t>
  </si>
  <si>
    <t>4Q32</t>
  </si>
  <si>
    <t>EV/EBITDA Adj</t>
  </si>
  <si>
    <t>EV/EBITDA IFRS16</t>
  </si>
  <si>
    <t>P/E Adj</t>
  </si>
  <si>
    <t xml:space="preserve">PE </t>
  </si>
  <si>
    <t>IFRS adjustment - Rent</t>
  </si>
  <si>
    <t>% of Total EBITDA 4-Wall</t>
  </si>
  <si>
    <t>IAS</t>
  </si>
  <si>
    <t>BEGGINING IN 2Q17</t>
  </si>
  <si>
    <t>June 11 2024</t>
  </si>
  <si>
    <t xml:space="preserve"> July 08 2024</t>
  </si>
  <si>
    <t>NULL</t>
  </si>
  <si>
    <t>Unemployment</t>
  </si>
  <si>
    <t>GDP Control</t>
  </si>
  <si>
    <t>Inflation Control</t>
  </si>
  <si>
    <t>Policy Rate Control</t>
  </si>
  <si>
    <t xml:space="preserve">1585 Broadway </t>
  </si>
  <si>
    <t xml:space="preserve">New York, NY  10036-8293 </t>
  </si>
  <si>
    <t xml:space="preserve">United States </t>
  </si>
  <si>
    <t>Tel: +1 (1)212 761 4000</t>
  </si>
  <si>
    <t>Authors: Julia Rizzo</t>
  </si>
  <si>
    <t>Date: 24 Jul 2024</t>
  </si>
  <si>
    <t>Ticker: ALSEA.MX</t>
  </si>
  <si>
    <t>Stock Rating: Equal-weight</t>
  </si>
  <si>
    <t>Industry: Latam Restaurants and Leisure</t>
  </si>
  <si>
    <t>Industry View: Attractive</t>
  </si>
  <si>
    <t>Price as of 24 Jul 2024: 58.26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</si>
  <si>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</si>
  <si>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</si>
  <si>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</si>
  <si>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Important Regulatory Disclosures on Subject Companies</t>
  </si>
  <si>
    <t>(as of June 30, 2024)</t>
  </si>
  <si>
    <t>Other Material Investment Services Clients (MISC)</t>
  </si>
  <si>
    <t>% of Total Other MISC</t>
  </si>
  <si>
    <t>Important Disclosures for Morgan Stanley Smith Barney LLC &amp; E*TRADE Securities LLC Customers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</si>
  <si>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</si>
  <si>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</si>
  <si>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</si>
  <si>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</si>
  <si>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Morgan Stanley may hold, from time to time, material financial and commercial interests regarding the</t>
  </si>
  <si>
    <t>company subject to the Research report.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</si>
  <si>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</si>
  <si>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</si>
  <si>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</si>
  <si>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</si>
  <si>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Indicators and trackers referenced in Morgan Stanley Research may not be used as, or treated as, a</t>
  </si>
  <si>
    <t>benchmark under Regulation EU 2016/1011, or any other similar framework.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</si>
  <si>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</si>
  <si>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</si>
  <si>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</si>
  <si>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</si>
  <si>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</si>
  <si>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</si>
  <si>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</si>
  <si>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</si>
  <si>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</si>
  <si>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</si>
  <si>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</si>
  <si>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</si>
  <si>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</si>
  <si>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</si>
  <si>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</si>
  <si>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</si>
  <si>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</si>
  <si>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</si>
  <si>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</si>
  <si>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</si>
  <si>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</si>
  <si>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</si>
  <si>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</si>
  <si>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</si>
  <si>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</si>
  <si>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</si>
  <si>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</si>
  <si>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</si>
  <si>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</si>
  <si>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</si>
  <si>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</si>
  <si>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</si>
  <si>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</si>
  <si>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</si>
  <si>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</si>
  <si>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</si>
  <si>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</si>
  <si>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</si>
  <si>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</si>
  <si>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</si>
  <si>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</si>
  <si>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</si>
  <si>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</si>
  <si>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</si>
  <si>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</si>
  <si>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</si>
  <si>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</si>
  <si>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18th Floor, Tower 2, One World Center, Plot- 841, Jupiter Textile Mill Compound, Senapati</t>
  </si>
  <si>
    <t>Bapat Marg, Lower Parel, Mumbai 400013, India Telephone no. +91-22-61181000; Compliance Officer Details:</t>
  </si>
  <si>
    <t>Mr. Tejarshi Hardas, Tel. No.: +91-22-61181000 or Email: tejarshi.hardas@morganstanley.com; Grievance</t>
  </si>
  <si>
    <t>officer details: Mr. Tejarshi Hardas, Tel. No.: +91-22-61181000 or Email:</t>
  </si>
  <si>
    <t>msic-compliance@morganstanley.com; in Canada by Morgan Stanley Canada Limited; in Germany and the</t>
  </si>
  <si>
    <t>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</si>
  <si>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</si>
  <si>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</si>
  <si>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</si>
  <si>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</si>
  <si>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</si>
  <si>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</si>
  <si>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</si>
  <si>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</si>
  <si>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</si>
  <si>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</si>
  <si>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</si>
  <si>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</si>
  <si>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</si>
  <si>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</si>
  <si>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</si>
  <si>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</si>
  <si>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</si>
  <si>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</si>
  <si>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</si>
  <si>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</si>
  <si>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</si>
  <si>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</si>
  <si>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</si>
  <si>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</si>
  <si>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</si>
  <si>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</si>
  <si>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</si>
  <si>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</si>
  <si>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</si>
  <si>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</si>
  <si>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</si>
  <si>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</si>
  <si>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</si>
  <si>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</si>
  <si>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</si>
  <si>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</si>
  <si>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</si>
  <si>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</si>
  <si>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</si>
  <si>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</si>
  <si>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</si>
  <si>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</si>
  <si>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</si>
  <si>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</si>
  <si>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</si>
  <si>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</si>
  <si>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</si>
  <si>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</si>
  <si>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</si>
  <si>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</si>
  <si>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</si>
  <si>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</si>
  <si>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</si>
  <si>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</si>
  <si>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</si>
  <si>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</si>
  <si>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</si>
  <si>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</si>
  <si>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</si>
  <si>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</si>
  <si>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</si>
  <si>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</si>
  <si>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</si>
  <si>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</si>
  <si>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</si>
  <si>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</si>
  <si>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</si>
  <si>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</si>
  <si>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</si>
  <si>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</si>
  <si>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</si>
  <si>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</si>
  <si>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</si>
  <si>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</si>
  <si>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</si>
  <si>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</si>
  <si>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</si>
  <si>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</si>
  <si>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</si>
  <si>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</si>
  <si>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</si>
  <si>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recommendations of Julia Rizzo in this report reflect solely and exclusively the analyst's personal</t>
  </si>
  <si>
    <t>views and have been developed independently, including from the institution for which the analyst works.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</si>
  <si>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</si>
  <si>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</si>
  <si>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</si>
  <si>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</si>
  <si>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</si>
  <si>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</si>
  <si>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</si>
  <si>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</si>
  <si>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</si>
  <si>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</si>
  <si>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</si>
  <si>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</si>
  <si>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</si>
  <si>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</si>
  <si>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</si>
  <si>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</si>
  <si>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</si>
  <si>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</si>
  <si>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</si>
  <si>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</si>
  <si>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</si>
  <si>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</si>
  <si>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</si>
  <si>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</si>
  <si>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</si>
  <si>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</si>
  <si>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</si>
  <si>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</si>
  <si>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</si>
  <si>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</si>
  <si>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</si>
  <si>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</si>
  <si>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</si>
  <si>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research report is reviewed and approved on behalf of Morgan Stanley Smith Barney</t>
  </si>
  <si>
    <t>LLC and E*TRADE Securities LLC. This review and approval is conducted by the same person who reviews the</t>
  </si>
  <si>
    <t>research 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</si>
  <si>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</si>
  <si>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</si>
  <si>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</si>
  <si>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</si>
  <si>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</si>
  <si>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</si>
  <si>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</si>
  <si>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</si>
  <si>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</si>
  <si>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</si>
  <si>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</si>
  <si>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</si>
  <si>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</si>
  <si>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</si>
  <si>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</si>
  <si>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</si>
  <si>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</si>
  <si>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</si>
  <si>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</si>
  <si>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</si>
  <si>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</si>
  <si>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</si>
  <si>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</si>
  <si>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</si>
  <si>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</si>
  <si>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</si>
  <si>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</si>
  <si>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</si>
  <si>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</si>
  <si>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</si>
  <si>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</si>
  <si>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</si>
  <si>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</si>
  <si>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</si>
  <si>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</si>
  <si>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</si>
  <si>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</si>
  <si>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</si>
  <si>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</si>
  <si>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</si>
  <si>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</si>
  <si>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</si>
  <si>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</si>
  <si>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</si>
  <si>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</si>
  <si>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</si>
  <si>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</si>
  <si>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</si>
  <si>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</si>
  <si>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</si>
  <si>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</si>
  <si>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</si>
  <si>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</si>
  <si>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</si>
  <si>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</si>
  <si>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</si>
  <si>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</si>
  <si>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</si>
  <si>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</si>
  <si>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</si>
  <si>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</si>
  <si>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</si>
  <si>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</si>
  <si>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</si>
  <si>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Alsea SAB de CV.</t>
  </si>
  <si>
    <t>In the next 3 months, Morgan Stanley expects to receive or intends to seek compensation for investment</t>
  </si>
  <si>
    <t>banking services from Alsea SAB de CV.</t>
  </si>
  <si>
    <t>As of June 28, 2024, Morgan Stanley beneficially owned 1% or more of a class of common equity securities</t>
  </si>
  <si>
    <t>of the following companies covered in Morgan Stanley Research: Alsea SAB de CV.</t>
  </si>
  <si>
    <t>The following Analyst’s or Strategist’s spouse or domestic partner may be directly or indirectly</t>
  </si>
  <si>
    <t>involved in the acquisition, sale or trading of securities subject to this Research Report: Julia Rizzo</t>
  </si>
  <si>
    <t>- Alsea SAB de CV.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</si>
  <si>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</si>
  <si>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</si>
  <si>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</si>
  <si>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</si>
  <si>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</si>
  <si>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</si>
  <si>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Julia Rizzo.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</si>
  <si>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</si>
  <si>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</si>
  <si>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</si>
  <si>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</si>
  <si>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</si>
  <si>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</si>
  <si>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</si>
  <si>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</si>
  <si>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</si>
  <si>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</si>
  <si>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</si>
  <si>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</si>
  <si>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</si>
  <si>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</si>
  <si>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</si>
  <si>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</si>
  <si>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</si>
  <si>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</si>
  <si>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</si>
  <si>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2024 Morgan Stanley</t>
  </si>
  <si>
    <t>MacroVersion</t>
  </si>
  <si>
    <t>6.10</t>
  </si>
  <si>
    <t>PublishDate</t>
  </si>
  <si>
    <t>07/24/24 09:29</t>
  </si>
  <si>
    <t>Discipline</t>
  </si>
  <si>
    <t>Research</t>
  </si>
  <si>
    <t>ResearchTopic</t>
  </si>
  <si>
    <t>DocType</t>
  </si>
  <si>
    <t>Model</t>
  </si>
  <si>
    <t>SubjectCode</t>
  </si>
  <si>
    <t>Description</t>
  </si>
  <si>
    <t>KeepVersions</t>
  </si>
  <si>
    <t>All</t>
  </si>
  <si>
    <t>Equal-weight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</si>
  <si>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</si>
  <si>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</si>
  <si>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</si>
  <si>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</si>
  <si>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</si>
  <si>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</si>
  <si>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</si>
  <si>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</si>
  <si>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</si>
  <si>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</si>
  <si>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MSA7G699</t>
  </si>
  <si>
    <t>Tickers</t>
  </si>
  <si>
    <t>CUSIP</t>
  </si>
  <si>
    <t>RIC</t>
  </si>
  <si>
    <t>SEDOL</t>
  </si>
  <si>
    <t>Current Stock Price</t>
  </si>
  <si>
    <t>58.26</t>
  </si>
  <si>
    <t>PathName</t>
  </si>
  <si>
    <t>L:\Javier\Restaurant\Companies\LATAM\Alsea\Model\ALSEA_07242024.xlsm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</si>
  <si>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</si>
  <si>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</si>
  <si>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</si>
  <si>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</si>
  <si>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</si>
  <si>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</si>
  <si>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</si>
  <si>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</si>
  <si>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</si>
  <si>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</si>
  <si>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</si>
  <si>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</si>
  <si>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</si>
  <si>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</si>
  <si>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NorthAmerica</t>
  </si>
  <si>
    <t>ObjectType</t>
  </si>
  <si>
    <t>excel</t>
  </si>
  <si>
    <t>LanguageCode</t>
  </si>
  <si>
    <t>en-US</t>
  </si>
  <si>
    <t>SubmitterUserId</t>
  </si>
  <si>
    <t>julhaber</t>
  </si>
  <si>
    <t>IndustryId</t>
  </si>
  <si>
    <t>1900000961</t>
  </si>
  <si>
    <t>TickerRegion</t>
  </si>
  <si>
    <t>2</t>
  </si>
  <si>
    <t>AdditionalInstructions</t>
  </si>
  <si>
    <t>Please, publish AFTER note ARHABER20240603164103909.dwp</t>
  </si>
  <si>
    <t>*Estimated</t>
  </si>
  <si>
    <t>[BRO MSA]</t>
  </si>
  <si>
    <t>[DOCDAT 2024-07-24]</t>
  </si>
  <si>
    <t>[DOCTIME 21:29]</t>
  </si>
  <si>
    <t>[PSYM ALSEA.MX(S&amp;P) (None)]</t>
  </si>
  <si>
    <t>[COU Mexico]</t>
  </si>
  <si>
    <t>[PRODUCT MODEL]</t>
  </si>
  <si>
    <t>[ANA ]</t>
  </si>
  <si>
    <t>[HL ALSEA.MX Model]</t>
  </si>
  <si>
    <t>[IND LatAm Small and Mid Cap]</t>
  </si>
  <si>
    <t>[EMAIL_ALERT YES]</t>
  </si>
  <si>
    <t>[PANA  MSA7G699]</t>
  </si>
  <si>
    <t>[DISCIPLINE Company]</t>
  </si>
  <si>
    <t>[SUPPRESSED NO]</t>
  </si>
  <si>
    <t>Target Price: 65.00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</si>
</sst>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9">
    <numFmt numFmtId="164" formatCode="&quot;$&quot;#,##0.00_);\(&quot;$&quot;#,##0.00\)"/>
    <numFmt numFmtId="165" formatCode="&quot;$&quot;#,##0.00_);[Red]\(&quot;$&quot;#,##0.00\)"/>
    <numFmt numFmtId="166" formatCode="_(* #,##0_);_(* \(#,##0\);_(* &quot;-&quot;_);_(@_)"/>
    <numFmt numFmtId="167" formatCode="_(* #,##0.00_);_(* \(#,##0.00\);_(* &quot;-&quot;??_);_(@_)"/>
    <numFmt numFmtId="168" formatCode="0.0%"/>
    <numFmt numFmtId="169" formatCode="_(* #,##0_);_(* \(#,##0\);_(* &quot;-&quot;??_);_(@_)"/>
    <numFmt numFmtId="170" formatCode="_-* #,##0_-;\-* #,##0_-;_-* &quot;-&quot;??_-;_-@_-"/>
    <numFmt numFmtId="171" formatCode="#,##0.0_);\(#,##0.0\)"/>
    <numFmt numFmtId="172" formatCode="#,##0.0%_);\(#,##0.0%\)"/>
    <numFmt numFmtId="173" formatCode="#,##0%_);\(#,##0%\)"/>
    <numFmt numFmtId="174" formatCode="0.0"/>
    <numFmt numFmtId="175" formatCode="&quot;$&quot;#,##0.000_);\(&quot;$&quot;#,##0.000\)"/>
    <numFmt numFmtId="176" formatCode="&quot;R$ &quot;#,##0_);[Red]\(&quot;R$ &quot;#,##0\)"/>
    <numFmt numFmtId="177" formatCode="_(&quot;$&quot;* #,##0.000_);_(&quot;$&quot;* \(#,##0.000\);_(&quot;$&quot;* &quot;-&quot;??_);_(@_)"/>
    <numFmt numFmtId="178" formatCode="_ * #,##0.00_ ;_ * \-#,##0.00_ ;_ * &quot;-&quot;??_ ;_ @_ "/>
    <numFmt numFmtId="179" formatCode="#,##0.0%;[Red]\(#,##0.0%\)"/>
    <numFmt numFmtId="180" formatCode="0.000%"/>
    <numFmt numFmtId="181" formatCode="[$-409]mmm\-yy;@"/>
    <numFmt numFmtId="182" formatCode="_(* #,##0.0_);_(* \(#,##0.0\);_(* &quot;-&quot;??_);_(@_)"/>
    <numFmt numFmtId="183" formatCode="\$\ #,##0.0_);\(\$\ #,##0.0\)"/>
    <numFmt numFmtId="184" formatCode="#,##0.0\x_);\(#,##0.0\x\)"/>
    <numFmt numFmtId="185" formatCode="###0&quot;A&quot;"/>
    <numFmt numFmtId="186" formatCode="###0&quot;E&quot;"/>
    <numFmt numFmtId="187" formatCode="#,##0.0;\(#,##0.0\);0.0"/>
    <numFmt numFmtId="188" formatCode="#,##0.0\x"/>
    <numFmt numFmtId="189" formatCode="#,##0;\(#,##0\);0"/>
    <numFmt numFmtId="190" formatCode="#,##0.00&quot;&quot;;\(#,##0.00\)&quot;&quot;"/>
    <numFmt numFmtId="191" formatCode="_(* #,##0.000_);_(* \(#,##0.000\);_(* &quot;-&quot;??_);_(@_)"/>
    <numFmt numFmtId="192" formatCode="General&quot;E&quot;"/>
    <numFmt numFmtId="193" formatCode="0.0&quot;x&quot;"/>
    <numFmt numFmtId="194" formatCode="0.0\x"/>
    <numFmt numFmtId="195" formatCode="#,##0.0"/>
    <numFmt numFmtId="196" formatCode="#,##0&quot; e&quot;;\(#,##0\)&quot; e&quot;"/>
    <numFmt numFmtId="197" formatCode="_(* #,##0.0_);_(* \(#,##0.0\);_(* &quot;-&quot;?_);_(@_)"/>
    <numFmt numFmtId="198" formatCode="_(* #,##0_);_(* \(#,##0\);_(* &quot;-&quot;?_);_(@_)"/>
    <numFmt numFmtId="199" formatCode="00"/>
    <numFmt numFmtId="200" formatCode="#,##0&quot; bp&quot;;\-#,##0&quot; bp&quot;"/>
    <numFmt numFmtId="201" formatCode="#,##0&quot;&quot;;\(#,##0\)&quot;&quot;"/>
    <numFmt numFmtId="202" formatCode="#,##0.00\x"/>
    <numFmt numFmtId="203" formatCode="#,##0.0&quot;&quot;;\(#,##0.0\)&quot;&quot;"/>
    <numFmt numFmtId="204" formatCode="#,##0.0%&quot;&quot;;\(#,##0.0%\)&quot;&quot;"/>
    <numFmt numFmtId="205" formatCode="0&quot; bps&quot;"/>
    <numFmt numFmtId="206" formatCode="0_);\(0\)"/>
    <numFmt numFmtId="207" formatCode="_(* #,##0.00_);\(* #,##0.00\);_(* &quot;-&quot;??_);_(@_)"/>
    <numFmt numFmtId="208" formatCode="_([$€-2]* #,##0.00_);_([$€-2]* \(#,##0.00\);_([$€-2]* &quot;-&quot;??_)"/>
    <numFmt numFmtId="209" formatCode="[$-816]mmm\'yy;@"/>
    <numFmt numFmtId="210" formatCode="_([$€]* #,##0.00_);_([$€]* \(#,##0.00\);_([$€]* &quot;-&quot;??_);_(@_)"/>
    <numFmt numFmtId="211" formatCode="0&quot;bps&quot;"/>
    <numFmt numFmtId="212" formatCode="0&quot;d&quot;"/>
    <numFmt numFmtId="213" formatCode="#,##0.000_);\(#,##0.000\)"/>
    <numFmt numFmtId="214" formatCode="_(* #,##0.00000000_);_(* \(#,##0.00000000\);_(* &quot;-&quot;?_);_(@_)"/>
    <numFmt numFmtId="215" formatCode="_(* #,##0.000_);_(* \(#,##0.000\);_(* &quot;-&quot;?_);_(@_)"/>
    <numFmt numFmtId="216" formatCode="#,##0.0000_);\(#,##0.0000\)"/>
    <numFmt numFmtId="217" formatCode="_(* #,##0.0000_);_(* \(#,##0.0000\);_(* &quot;-&quot;?_);_(@_)"/>
    <numFmt numFmtId="218" formatCode="0.00&quot;x&quot;"/>
    <numFmt numFmtId="219" formatCode="#,##0.00000_);\(#,##0.00000\)"/>
    <numFmt numFmtId="220" formatCode="_-* #,##0.000_-;\-* #,##0.000_-;_-* &quot;-&quot;??_-;_-@_-"/>
    <numFmt numFmtId="221" formatCode="\+0&quot;bp&quot;;\-0&quot;bp&quot;"/>
    <numFmt numFmtId="222" formatCode="_(* #,##0.0_);_(* \(#,##0.0\);_(* &quot;-&quot;_);_(@_)"/>
    <numFmt numFmtId="223" formatCode="#,##0.00%_);\(#,##0.00%\)"/>
    <numFmt numFmtId="224" formatCode="0.000"/>
    <numFmt numFmtId="225" formatCode="#,##0\x"/>
    <numFmt numFmtId="226" formatCode="0.00\x"/>
    <numFmt numFmtId="227" formatCode="#,##0.0%&quot; e&quot;;\(#,##0.0%\)&quot; e&quot;"/>
    <numFmt numFmtId="228" formatCode="#,##0.00&quot; e&quot;;\(#,##0.00\)&quot; e&quot;"/>
    <numFmt numFmtId="229" formatCode="#,##0.00;[Red]\(#,##0.00\)"/>
    <numFmt numFmtId="230" formatCode="#,##0;[Red]\(#,##0\)"/>
    <numFmt numFmtId="231" formatCode="0.0000"/>
    <numFmt numFmtId="232" formatCode="0.0%_);\(0.0%\);0.0%_);@_)"/>
  </numFmts>
  <fonts count="141">
    <font>
      <sz val="10"/>
      <name val="Arial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???"/>
      <family val="1"/>
      <charset val="129"/>
    </font>
    <font>
      <sz val="9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name val="MS Sans Serif"/>
      <family val="2"/>
    </font>
    <font>
      <sz val="8"/>
      <name val="Arial"/>
      <family val="2"/>
    </font>
    <font>
      <sz val="8"/>
      <name val="Frutiger 55"/>
      <family val="2"/>
    </font>
    <font>
      <b/>
      <sz val="10"/>
      <color indexed="8"/>
      <name val="Times New Roman"/>
      <family val="1"/>
    </font>
    <font>
      <b/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9"/>
      <name val="Times New Roman"/>
      <family val="1"/>
    </font>
    <font>
      <sz val="8"/>
      <color indexed="22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b/>
      <sz val="12"/>
      <color indexed="9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b/>
      <u/>
      <sz val="1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8"/>
      <name val="Tahoma"/>
      <family val="2"/>
    </font>
    <font>
      <sz val="8"/>
      <color indexed="60"/>
      <name val="Arial"/>
      <family val="2"/>
    </font>
    <font>
      <sz val="8"/>
      <color indexed="19"/>
      <name val="Verdana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b/>
      <sz val="14"/>
      <name val="Arial"/>
      <family val="2"/>
    </font>
    <font>
      <sz val="8"/>
      <color indexed="23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b/>
      <sz val="8"/>
      <color indexed="8"/>
      <name val="Arial"/>
      <family val="2"/>
    </font>
    <font>
      <sz val="8"/>
      <color theme="3" tint="-0.249977111117893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b/>
      <sz val="8"/>
      <color theme="0" tint="-0.499984740745262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8"/>
      <color indexed="19"/>
      <name val="Arial"/>
      <family val="2"/>
    </font>
    <font>
      <i/>
      <sz val="8"/>
      <color indexed="8"/>
      <name val="Arial"/>
      <family val="2"/>
    </font>
    <font>
      <sz val="8"/>
      <color indexed="17"/>
      <name val="Arial"/>
      <family val="2"/>
    </font>
    <font>
      <b/>
      <sz val="8"/>
      <color indexed="17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theme="3" tint="0.39997558519241921"/>
      <name val="Arial"/>
      <family val="2"/>
    </font>
    <font>
      <i/>
      <sz val="8"/>
      <color theme="3" tint="0.39997558519241921"/>
      <name val="Arial"/>
      <family val="2"/>
    </font>
    <font>
      <b/>
      <sz val="8"/>
      <color theme="0"/>
      <name val="Arial"/>
      <family val="2"/>
    </font>
    <font>
      <i/>
      <sz val="8"/>
      <color theme="4" tint="-0.249977111117893"/>
      <name val="Arial"/>
      <family val="2"/>
    </font>
    <font>
      <i/>
      <sz val="8"/>
      <color rgb="FFFF0000"/>
      <name val="Arial"/>
      <family val="2"/>
    </font>
    <font>
      <b/>
      <sz val="8"/>
      <color indexed="48"/>
      <name val="Arial"/>
      <family val="2"/>
    </font>
    <font>
      <sz val="8"/>
      <color theme="4" tint="-0.249977111117893"/>
      <name val="Verdana"/>
      <family val="2"/>
    </font>
    <font>
      <b/>
      <sz val="8"/>
      <color theme="1"/>
      <name val="Arial"/>
      <family val="2"/>
    </font>
    <font>
      <sz val="8"/>
      <color indexed="57"/>
      <name val="Arial"/>
      <family val="2"/>
    </font>
    <font>
      <sz val="8"/>
      <color indexed="50"/>
      <name val="Arial"/>
      <family val="2"/>
    </font>
    <font>
      <i/>
      <sz val="8"/>
      <color theme="0" tint="-0.499984740745262"/>
      <name val="Arial"/>
      <family val="2"/>
    </font>
    <font>
      <i/>
      <sz val="8"/>
      <color theme="1"/>
      <name val="Arial"/>
      <family val="2"/>
    </font>
    <font>
      <u/>
      <sz val="8"/>
      <name val="Arial"/>
      <family val="2"/>
    </font>
    <font>
      <u/>
      <sz val="8"/>
      <color indexed="8"/>
      <name val="Arial"/>
      <family val="2"/>
    </font>
    <font>
      <b/>
      <u val="singleAccounting"/>
      <sz val="8"/>
      <name val="Arial"/>
      <family val="2"/>
    </font>
    <font>
      <b/>
      <u val="doubleAccounting"/>
      <sz val="8"/>
      <name val="Arial"/>
      <family val="2"/>
    </font>
    <font>
      <b/>
      <u val="singleAccounting"/>
      <sz val="8"/>
      <color theme="0" tint="-0.499984740745262"/>
      <name val="Arial"/>
      <family val="2"/>
    </font>
    <font>
      <b/>
      <u val="doubleAccounting"/>
      <sz val="8"/>
      <color theme="0" tint="-0.499984740745262"/>
      <name val="Arial"/>
      <family val="2"/>
    </font>
    <font>
      <b/>
      <sz val="8"/>
      <color indexed="23"/>
      <name val="Arial"/>
      <family val="2"/>
    </font>
    <font>
      <b/>
      <sz val="8"/>
      <color indexed="22"/>
      <name val="Arial"/>
      <family val="2"/>
    </font>
    <font>
      <b/>
      <i/>
      <sz val="8"/>
      <color indexed="23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0"/>
      <name val="Frutiger 45 Light"/>
      <family val="2"/>
    </font>
    <font>
      <sz val="10"/>
      <color theme="1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b/>
      <i/>
      <sz val="10"/>
      <color indexed="9"/>
      <name val="Arial"/>
      <family val="2"/>
    </font>
    <font>
      <sz val="8"/>
      <color theme="9" tint="-0.499984740745262"/>
      <name val="Arial"/>
      <family val="2"/>
    </font>
    <font>
      <b/>
      <i/>
      <sz val="8"/>
      <color theme="0" tint="-0.499984740745262"/>
      <name val="Arial"/>
      <family val="2"/>
    </font>
    <font>
      <b/>
      <i/>
      <sz val="10"/>
      <color rgb="FFFF0000"/>
      <name val="Arial"/>
      <family val="2"/>
    </font>
    <font>
      <b/>
      <i/>
      <sz val="8"/>
      <color theme="4" tint="-0.249977111117893"/>
      <name val="Arial"/>
      <family val="2"/>
    </font>
    <font>
      <b/>
      <u/>
      <sz val="10"/>
      <color rgb="FFFF0000"/>
      <name val="Arial"/>
      <family val="2"/>
    </font>
    <font>
      <sz val="8"/>
      <color indexed="56"/>
      <name val="Arial"/>
      <family val="2"/>
    </font>
    <font>
      <b/>
      <i/>
      <sz val="8"/>
      <color theme="1"/>
      <name val="Arial"/>
      <family val="2"/>
    </font>
    <font>
      <sz val="8"/>
      <color theme="4"/>
      <name val="Arial"/>
      <family val="2"/>
    </font>
    <font>
      <b/>
      <sz val="8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0"/>
      <name val="Helv"/>
      <charset val="204"/>
    </font>
    <font>
      <sz val="12"/>
      <name val="바탕체"/>
      <family val="3"/>
    </font>
    <font>
      <sz val="12"/>
      <color theme="0"/>
      <name val="Arial"/>
      <family val="2"/>
    </font>
    <font>
      <sz val="12"/>
      <color theme="3"/>
      <name val="Arial"/>
      <family val="2"/>
    </font>
    <font>
      <b/>
      <i/>
      <sz val="8"/>
      <color theme="0"/>
      <name val="Arial"/>
      <family val="2"/>
    </font>
    <font>
      <i/>
      <sz val="8"/>
      <color theme="4"/>
      <name val="Arial"/>
      <family val="2"/>
    </font>
    <font>
      <sz val="8"/>
      <color rgb="FF0070C0"/>
      <name val="Arial"/>
      <family val="2"/>
    </font>
    <font>
      <b/>
      <sz val="8"/>
      <color theme="4"/>
      <name val="Arial"/>
      <family val="2"/>
    </font>
    <font>
      <b/>
      <i/>
      <sz val="8"/>
      <color theme="2" tint="-0.499984740745262"/>
      <name val="Arial"/>
      <family val="2"/>
    </font>
    <font>
      <b/>
      <sz val="8"/>
      <color theme="5" tint="-0.499984740745262"/>
      <name val="Arial"/>
      <family val="2"/>
    </font>
    <font>
      <sz val="8"/>
      <color theme="5" tint="-0.499984740745262"/>
      <name val="Arial"/>
      <family val="2"/>
    </font>
    <font>
      <i/>
      <sz val="8"/>
      <color theme="5" tint="-0.499984740745262"/>
      <name val="Arial"/>
      <family val="2"/>
    </font>
    <font>
      <b/>
      <sz val="10"/>
      <color theme="5" tint="-0.499984740745262"/>
      <name val="Arial"/>
      <family val="2"/>
    </font>
    <font>
      <sz val="10"/>
      <color theme="0" tint="-0.34998626667073579"/>
      <name val="Arial"/>
      <family val="2"/>
    </font>
    <font>
      <b/>
      <i/>
      <sz val="8"/>
      <color indexed="9"/>
      <name val="Arial"/>
      <family val="2"/>
    </font>
    <font>
      <u/>
      <sz val="8"/>
      <color indexed="56"/>
      <name val="Arial"/>
      <family val="2"/>
    </font>
    <font>
      <sz val="8"/>
      <color theme="1" tint="0.499984740745262"/>
      <name val="Arial"/>
      <family val="2"/>
    </font>
    <font>
      <b/>
      <sz val="8"/>
      <color theme="1" tint="0.499984740745262"/>
      <name val="Arial"/>
      <family val="2"/>
    </font>
    <font>
      <i/>
      <sz val="8"/>
      <color theme="1" tint="0.499984740745262"/>
      <name val="Arial"/>
      <family val="2"/>
    </font>
    <font>
      <sz val="8"/>
      <color theme="3"/>
      <name val="Arial"/>
      <family val="2"/>
    </font>
    <font>
      <i/>
      <sz val="8"/>
      <color theme="6"/>
      <name val="Arial"/>
      <family val="2"/>
    </font>
    <font>
      <sz val="8"/>
      <color theme="0" tint="-0.249977111117893"/>
      <name val="Arial"/>
      <family val="2"/>
    </font>
    <font>
      <sz val="7"/>
      <color rgb="FF000000"/>
      <name val="Open Sans"/>
      <family val="2"/>
    </font>
    <font>
      <b/>
      <sz val="8"/>
      <color theme="3"/>
      <name val="Arial"/>
      <family val="2"/>
    </font>
    <font>
      <sz val="8"/>
      <color theme="0" tint="-0.14999847407452621"/>
      <name val="Arial"/>
      <family val="2"/>
    </font>
    <font>
      <sz val="10"/>
      <color rgb="FF000000"/>
      <name val="Times New Roman"/>
      <family val="1"/>
    </font>
    <font>
      <b/>
      <sz val="8"/>
      <color rgb="FF0070C0"/>
      <name val="Arial"/>
      <family val="2"/>
    </font>
    <font>
      <sz val="7"/>
      <name val="Arial"/>
      <family val="2"/>
    </font>
    <font>
      <b/>
      <sz val="7"/>
      <color theme="1"/>
      <name val="Arial"/>
      <family val="2"/>
    </font>
    <font>
      <b/>
      <i/>
      <sz val="8"/>
      <color theme="4"/>
      <name val="Arial"/>
      <family val="2"/>
    </font>
    <font>
      <sz val="8"/>
      <color rgb="FF00206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  <font>
      <b/>
      <i/>
      <sz val="8"/>
      <color theme="5" tint="-0.499984740745262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7" tint="-0.249977111117893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dashed">
        <color rgb="FFFF0000"/>
      </right>
      <top/>
      <bottom/>
      <diagonal/>
    </border>
    <border>
      <left/>
      <right style="dashed">
        <color rgb="FFFF0000"/>
      </right>
      <top/>
      <bottom style="thin">
        <color theme="0" tint="-0.499984740745262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rgb="FFFF0000"/>
      </right>
      <top style="thin">
        <color auto="1"/>
      </top>
      <bottom/>
      <diagonal/>
    </border>
    <border>
      <left/>
      <right style="dashed">
        <color rgb="FFFF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ashed">
        <color rgb="FFFF0000"/>
      </right>
      <top style="thin">
        <color indexed="64"/>
      </top>
      <bottom style="thin">
        <color indexed="64"/>
      </bottom>
      <diagonal/>
    </border>
    <border>
      <left/>
      <right style="dashed">
        <color rgb="FFFF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41">
    <xf numFmtId="0" fontId="0" fillId="0" borderId="0"/>
    <xf numFmtId="0" fontId="10" fillId="0" borderId="0"/>
    <xf numFmtId="17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7" fillId="0" borderId="0"/>
    <xf numFmtId="0" fontId="17" fillId="0" borderId="0"/>
    <xf numFmtId="0" fontId="20" fillId="0" borderId="0"/>
    <xf numFmtId="37" fontId="10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91" fontId="21" fillId="0" borderId="0" applyFon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177" fontId="11" fillId="0" borderId="0">
      <alignment horizontal="right"/>
    </xf>
    <xf numFmtId="177" fontId="11" fillId="0" borderId="0">
      <alignment horizontal="right"/>
    </xf>
    <xf numFmtId="177" fontId="11" fillId="0" borderId="0">
      <alignment horizontal="right"/>
    </xf>
    <xf numFmtId="0" fontId="25" fillId="0" borderId="0"/>
    <xf numFmtId="0" fontId="25" fillId="0" borderId="0"/>
    <xf numFmtId="178" fontId="11" fillId="0" borderId="0"/>
    <xf numFmtId="0" fontId="25" fillId="0" borderId="0"/>
    <xf numFmtId="0" fontId="22" fillId="0" borderId="0"/>
    <xf numFmtId="177" fontId="11" fillId="0" borderId="0">
      <alignment horizontal="right"/>
    </xf>
    <xf numFmtId="177" fontId="11" fillId="0" borderId="0">
      <alignment horizontal="right"/>
    </xf>
    <xf numFmtId="177" fontId="11" fillId="0" borderId="0">
      <alignment horizontal="right"/>
    </xf>
    <xf numFmtId="0" fontId="25" fillId="0" borderId="0"/>
    <xf numFmtId="0" fontId="25" fillId="0" borderId="0"/>
    <xf numFmtId="178" fontId="11" fillId="0" borderId="0"/>
    <xf numFmtId="0" fontId="25" fillId="0" borderId="0"/>
    <xf numFmtId="0" fontId="22" fillId="0" borderId="0"/>
    <xf numFmtId="177" fontId="11" fillId="0" borderId="0">
      <alignment horizontal="right"/>
    </xf>
    <xf numFmtId="177" fontId="11" fillId="0" borderId="0">
      <alignment horizontal="right"/>
    </xf>
    <xf numFmtId="177" fontId="11" fillId="0" borderId="0">
      <alignment horizontal="right"/>
    </xf>
    <xf numFmtId="0" fontId="25" fillId="0" borderId="0"/>
    <xf numFmtId="0" fontId="25" fillId="0" borderId="0"/>
    <xf numFmtId="37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0" fontId="25" fillId="0" borderId="0"/>
    <xf numFmtId="0" fontId="19" fillId="2" borderId="0">
      <alignment horizontal="right"/>
    </xf>
    <xf numFmtId="179" fontId="19" fillId="2" borderId="0">
      <alignment horizontal="right"/>
    </xf>
    <xf numFmtId="0" fontId="25" fillId="0" borderId="0"/>
    <xf numFmtId="180" fontId="25" fillId="0" borderId="0"/>
    <xf numFmtId="0" fontId="25" fillId="0" borderId="0"/>
    <xf numFmtId="0" fontId="25" fillId="0" borderId="0"/>
    <xf numFmtId="18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2" fillId="0" borderId="0"/>
    <xf numFmtId="0" fontId="25" fillId="0" borderId="0"/>
    <xf numFmtId="179" fontId="19" fillId="2" borderId="0">
      <alignment horizontal="right"/>
    </xf>
    <xf numFmtId="178" fontId="11" fillId="0" borderId="0"/>
    <xf numFmtId="0" fontId="25" fillId="0" borderId="0"/>
    <xf numFmtId="0" fontId="2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169" fontId="15" fillId="0" borderId="0"/>
    <xf numFmtId="0" fontId="10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11" fillId="0" borderId="0"/>
    <xf numFmtId="0" fontId="26" fillId="0" borderId="0">
      <alignment vertical="center"/>
    </xf>
    <xf numFmtId="9" fontId="10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0" fillId="0" borderId="0"/>
    <xf numFmtId="0" fontId="30" fillId="0" borderId="1">
      <alignment horizontal="centerContinuous"/>
    </xf>
    <xf numFmtId="167" fontId="10" fillId="0" borderId="0" applyFont="0" applyFill="0" applyBorder="0" applyAlignment="0" applyProtection="0"/>
    <xf numFmtId="0" fontId="31" fillId="0" borderId="1"/>
    <xf numFmtId="0" fontId="11" fillId="0" borderId="0" applyBorder="0"/>
    <xf numFmtId="39" fontId="16" fillId="3" borderId="0"/>
    <xf numFmtId="176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207" fontId="21" fillId="0" borderId="0" applyFont="0" applyFill="0" applyBorder="0" applyAlignment="0" applyProtection="0"/>
    <xf numFmtId="208" fontId="10" fillId="0" borderId="0"/>
    <xf numFmtId="209" fontId="10" fillId="0" borderId="0"/>
    <xf numFmtId="0" fontId="10" fillId="0" borderId="0"/>
    <xf numFmtId="209" fontId="10" fillId="0" borderId="0"/>
    <xf numFmtId="0" fontId="10" fillId="0" borderId="0"/>
    <xf numFmtId="0" fontId="10" fillId="0" borderId="0">
      <alignment horizontal="left" wrapText="1"/>
    </xf>
    <xf numFmtId="0" fontId="10" fillId="0" borderId="0"/>
    <xf numFmtId="210" fontId="10" fillId="0" borderId="0"/>
    <xf numFmtId="166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210" fontId="91" fillId="0" borderId="0"/>
    <xf numFmtId="210" fontId="10" fillId="0" borderId="0" applyNumberFormat="0" applyFill="0" applyBorder="0" applyAlignment="0" applyProtection="0"/>
    <xf numFmtId="210" fontId="10" fillId="0" borderId="0">
      <alignment horizontal="right"/>
    </xf>
    <xf numFmtId="0" fontId="90" fillId="0" borderId="0"/>
    <xf numFmtId="37" fontId="10" fillId="0" borderId="0" applyFont="0" applyFill="0" applyBorder="0" applyAlignment="0" applyProtection="0"/>
    <xf numFmtId="210" fontId="10" fillId="0" borderId="52" applyBorder="0" applyAlignment="0" applyProtection="0">
      <alignment horizontal="center"/>
    </xf>
    <xf numFmtId="0" fontId="10" fillId="0" borderId="0"/>
    <xf numFmtId="210" fontId="10" fillId="0" borderId="0">
      <alignment horizontal="right"/>
    </xf>
    <xf numFmtId="210" fontId="10" fillId="0" borderId="0">
      <alignment horizontal="right"/>
    </xf>
    <xf numFmtId="210" fontId="10" fillId="0" borderId="0" applyFill="0" applyBorder="0">
      <alignment horizontal="right"/>
      <protection locked="0"/>
    </xf>
    <xf numFmtId="210" fontId="10" fillId="0" borderId="0">
      <alignment horizontal="right"/>
      <protection locked="0"/>
    </xf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210" fontId="10" fillId="0" borderId="0" applyFill="0" applyBorder="0">
      <alignment horizontal="right"/>
      <protection hidden="1"/>
    </xf>
    <xf numFmtId="210" fontId="10" fillId="0" borderId="0">
      <alignment horizontal="center"/>
    </xf>
    <xf numFmtId="174" fontId="10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8" fillId="0" borderId="0"/>
    <xf numFmtId="16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6" fillId="0" borderId="0"/>
    <xf numFmtId="0" fontId="10" fillId="0" borderId="0"/>
    <xf numFmtId="0" fontId="10" fillId="0" borderId="0"/>
    <xf numFmtId="0" fontId="10" fillId="0" borderId="0"/>
    <xf numFmtId="0" fontId="107" fillId="0" borderId="0"/>
    <xf numFmtId="0" fontId="7" fillId="0" borderId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0" fontId="131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15">
    <xf numFmtId="0" fontId="0" fillId="0" borderId="0" xfId="0"/>
    <xf numFmtId="0" fontId="35" fillId="0" borderId="0" xfId="0" applyFont="1"/>
    <xf numFmtId="0" fontId="10" fillId="0" borderId="0" xfId="0" applyFont="1"/>
    <xf numFmtId="0" fontId="21" fillId="0" borderId="0" xfId="58" applyFont="1" applyAlignment="1">
      <alignment horizontal="left"/>
    </xf>
    <xf numFmtId="0" fontId="39" fillId="0" borderId="0" xfId="57" applyFont="1"/>
    <xf numFmtId="0" fontId="36" fillId="0" borderId="0" xfId="0" applyFont="1" applyAlignment="1">
      <alignment horizontal="right"/>
    </xf>
    <xf numFmtId="0" fontId="21" fillId="0" borderId="0" xfId="58" applyFont="1" applyAlignment="1">
      <alignment horizontal="center"/>
    </xf>
    <xf numFmtId="0" fontId="35" fillId="0" borderId="0" xfId="58" applyFont="1"/>
    <xf numFmtId="0" fontId="10" fillId="0" borderId="0" xfId="58"/>
    <xf numFmtId="0" fontId="12" fillId="0" borderId="0" xfId="0" applyFont="1"/>
    <xf numFmtId="0" fontId="36" fillId="0" borderId="0" xfId="0" applyFont="1" applyAlignment="1">
      <alignment horizontal="left"/>
    </xf>
    <xf numFmtId="0" fontId="41" fillId="0" borderId="0" xfId="0" applyFont="1" applyAlignment="1">
      <alignment wrapText="1"/>
    </xf>
    <xf numFmtId="0" fontId="39" fillId="0" borderId="0" xfId="0" applyFont="1"/>
    <xf numFmtId="0" fontId="38" fillId="0" borderId="0" xfId="0" applyFont="1"/>
    <xf numFmtId="0" fontId="36" fillId="0" borderId="0" xfId="0" applyFont="1" applyAlignment="1">
      <alignment horizontal="center"/>
    </xf>
    <xf numFmtId="0" fontId="10" fillId="0" borderId="0" xfId="58" applyAlignment="1">
      <alignment horizontal="left"/>
    </xf>
    <xf numFmtId="0" fontId="10" fillId="0" borderId="0" xfId="58" applyAlignment="1">
      <alignment horizontal="right"/>
    </xf>
    <xf numFmtId="0" fontId="10" fillId="0" borderId="0" xfId="58" applyAlignment="1">
      <alignment horizontal="center"/>
    </xf>
    <xf numFmtId="0" fontId="48" fillId="0" borderId="0" xfId="58" applyFont="1" applyAlignment="1">
      <alignment horizontal="center"/>
    </xf>
    <xf numFmtId="0" fontId="12" fillId="0" borderId="0" xfId="0" quotePrefix="1" applyFont="1" applyAlignment="1">
      <alignment horizontal="center"/>
    </xf>
    <xf numFmtId="0" fontId="53" fillId="0" borderId="0" xfId="0" applyFont="1"/>
    <xf numFmtId="0" fontId="40" fillId="0" borderId="0" xfId="0" applyFont="1"/>
    <xf numFmtId="3" fontId="12" fillId="0" borderId="0" xfId="0" applyNumberFormat="1" applyFont="1" applyAlignment="1">
      <alignment horizontal="right"/>
    </xf>
    <xf numFmtId="3" fontId="51" fillId="0" borderId="0" xfId="0" applyNumberFormat="1" applyFont="1" applyAlignment="1">
      <alignment horizontal="right"/>
    </xf>
    <xf numFmtId="0" fontId="34" fillId="9" borderId="0" xfId="0" applyFont="1" applyFill="1"/>
    <xf numFmtId="0" fontId="49" fillId="9" borderId="0" xfId="0" applyFont="1" applyFill="1"/>
    <xf numFmtId="0" fontId="28" fillId="9" borderId="0" xfId="0" applyFont="1" applyFill="1"/>
    <xf numFmtId="0" fontId="28" fillId="9" borderId="16" xfId="0" applyFont="1" applyFill="1" applyBorder="1"/>
    <xf numFmtId="0" fontId="45" fillId="9" borderId="16" xfId="0" applyFont="1" applyFill="1" applyBorder="1"/>
    <xf numFmtId="0" fontId="35" fillId="9" borderId="16" xfId="0" applyFont="1" applyFill="1" applyBorder="1"/>
    <xf numFmtId="0" fontId="39" fillId="0" borderId="16" xfId="0" applyFont="1" applyBorder="1"/>
    <xf numFmtId="0" fontId="12" fillId="0" borderId="16" xfId="0" applyFont="1" applyBorder="1"/>
    <xf numFmtId="0" fontId="39" fillId="0" borderId="16" xfId="0" applyFont="1" applyBorder="1" applyAlignment="1">
      <alignment horizontal="right"/>
    </xf>
    <xf numFmtId="172" fontId="29" fillId="0" borderId="0" xfId="0" applyNumberFormat="1" applyFont="1"/>
    <xf numFmtId="0" fontId="29" fillId="2" borderId="0" xfId="0" applyFont="1" applyFill="1"/>
    <xf numFmtId="172" fontId="29" fillId="2" borderId="0" xfId="0" applyNumberFormat="1" applyFont="1" applyFill="1" applyAlignment="1">
      <alignment horizontal="right"/>
    </xf>
    <xf numFmtId="0" fontId="12" fillId="0" borderId="0" xfId="0" applyFont="1" applyAlignment="1">
      <alignment horizontal="left" indent="1"/>
    </xf>
    <xf numFmtId="9" fontId="12" fillId="0" borderId="0" xfId="69" applyFont="1"/>
    <xf numFmtId="168" fontId="12" fillId="0" borderId="0" xfId="69" applyNumberFormat="1" applyFont="1" applyFill="1" applyBorder="1"/>
    <xf numFmtId="169" fontId="12" fillId="0" borderId="0" xfId="10" applyNumberFormat="1" applyFont="1" applyFill="1" applyBorder="1"/>
    <xf numFmtId="0" fontId="12" fillId="0" borderId="0" xfId="0" applyFont="1" applyAlignment="1">
      <alignment horizontal="right"/>
    </xf>
    <xf numFmtId="37" fontId="12" fillId="0" borderId="0" xfId="0" applyNumberFormat="1" applyFont="1" applyAlignment="1">
      <alignment horizontal="right"/>
    </xf>
    <xf numFmtId="0" fontId="12" fillId="0" borderId="0" xfId="57" applyFont="1" applyAlignment="1">
      <alignment horizontal="left" indent="1"/>
    </xf>
    <xf numFmtId="0" fontId="38" fillId="0" borderId="0" xfId="57" applyFont="1" applyAlignment="1">
      <alignment horizontal="left"/>
    </xf>
    <xf numFmtId="0" fontId="28" fillId="9" borderId="0" xfId="0" applyFont="1" applyFill="1" applyAlignment="1">
      <alignment horizontal="right"/>
    </xf>
    <xf numFmtId="168" fontId="54" fillId="0" borderId="0" xfId="69" applyNumberFormat="1" applyFont="1" applyFill="1" applyBorder="1"/>
    <xf numFmtId="169" fontId="54" fillId="0" borderId="0" xfId="10" applyNumberFormat="1" applyFont="1" applyFill="1" applyBorder="1"/>
    <xf numFmtId="0" fontId="54" fillId="0" borderId="0" xfId="0" applyFont="1"/>
    <xf numFmtId="168" fontId="12" fillId="8" borderId="0" xfId="69" applyNumberFormat="1" applyFont="1" applyFill="1" applyAlignment="1">
      <alignment horizontal="right"/>
    </xf>
    <xf numFmtId="168" fontId="12" fillId="8" borderId="0" xfId="62" applyNumberFormat="1" applyFont="1" applyFill="1" applyAlignment="1">
      <alignment horizontal="right"/>
    </xf>
    <xf numFmtId="168" fontId="12" fillId="8" borderId="0" xfId="69" applyNumberFormat="1" applyFont="1" applyFill="1" applyBorder="1" applyAlignment="1">
      <alignment horizontal="right"/>
    </xf>
    <xf numFmtId="168" fontId="12" fillId="0" borderId="0" xfId="69" applyNumberFormat="1" applyFont="1" applyFill="1" applyBorder="1" applyAlignment="1">
      <alignment horizontal="right"/>
    </xf>
    <xf numFmtId="0" fontId="38" fillId="8" borderId="0" xfId="62" applyFont="1" applyFill="1" applyAlignment="1">
      <alignment horizontal="right"/>
    </xf>
    <xf numFmtId="189" fontId="12" fillId="8" borderId="16" xfId="62" applyNumberFormat="1" applyFont="1" applyFill="1" applyBorder="1" applyAlignment="1">
      <alignment horizontal="right"/>
    </xf>
    <xf numFmtId="168" fontId="12" fillId="8" borderId="16" xfId="62" applyNumberFormat="1" applyFont="1" applyFill="1" applyBorder="1" applyAlignment="1">
      <alignment horizontal="right"/>
    </xf>
    <xf numFmtId="2" fontId="38" fillId="8" borderId="16" xfId="62" applyNumberFormat="1" applyFont="1" applyFill="1" applyBorder="1" applyAlignment="1">
      <alignment horizontal="right"/>
    </xf>
    <xf numFmtId="37" fontId="12" fillId="8" borderId="0" xfId="0" applyNumberFormat="1" applyFont="1" applyFill="1"/>
    <xf numFmtId="168" fontId="12" fillId="8" borderId="0" xfId="69" applyNumberFormat="1" applyFont="1" applyFill="1" applyBorder="1"/>
    <xf numFmtId="0" fontId="10" fillId="0" borderId="17" xfId="0" applyFont="1" applyBorder="1"/>
    <xf numFmtId="9" fontId="12" fillId="0" borderId="0" xfId="69" applyFont="1" applyBorder="1"/>
    <xf numFmtId="0" fontId="12" fillId="0" borderId="18" xfId="0" applyFont="1" applyBorder="1"/>
    <xf numFmtId="0" fontId="12" fillId="0" borderId="0" xfId="58" applyFont="1" applyAlignment="1">
      <alignment horizontal="left"/>
    </xf>
    <xf numFmtId="0" fontId="38" fillId="0" borderId="0" xfId="0" applyFont="1" applyAlignment="1">
      <alignment horizontal="center"/>
    </xf>
    <xf numFmtId="0" fontId="12" fillId="0" borderId="0" xfId="0" quotePrefix="1" applyFont="1"/>
    <xf numFmtId="0" fontId="12" fillId="2" borderId="0" xfId="60" applyFont="1" applyFill="1"/>
    <xf numFmtId="0" fontId="12" fillId="0" borderId="0" xfId="62" applyFont="1"/>
    <xf numFmtId="0" fontId="12" fillId="0" borderId="23" xfId="0" applyFont="1" applyBorder="1"/>
    <xf numFmtId="0" fontId="12" fillId="0" borderId="24" xfId="0" applyFont="1" applyBorder="1"/>
    <xf numFmtId="14" fontId="12" fillId="0" borderId="24" xfId="0" applyNumberFormat="1" applyFont="1" applyBorder="1" applyAlignment="1">
      <alignment horizontal="center"/>
    </xf>
    <xf numFmtId="14" fontId="12" fillId="0" borderId="24" xfId="62" applyNumberFormat="1" applyFont="1" applyBorder="1" applyAlignment="1">
      <alignment horizontal="center"/>
    </xf>
    <xf numFmtId="16" fontId="12" fillId="0" borderId="18" xfId="0" applyNumberFormat="1" applyFont="1" applyBorder="1" applyAlignment="1">
      <alignment horizontal="left"/>
    </xf>
    <xf numFmtId="0" fontId="10" fillId="0" borderId="19" xfId="0" applyFont="1" applyBorder="1"/>
    <xf numFmtId="0" fontId="10" fillId="0" borderId="20" xfId="0" applyFont="1" applyBorder="1"/>
    <xf numFmtId="0" fontId="10" fillId="0" borderId="21" xfId="0" applyFont="1" applyBorder="1"/>
    <xf numFmtId="0" fontId="14" fillId="0" borderId="0" xfId="0" quotePrefix="1" applyFont="1"/>
    <xf numFmtId="0" fontId="0" fillId="9" borderId="0" xfId="0" applyFill="1"/>
    <xf numFmtId="0" fontId="33" fillId="0" borderId="0" xfId="66" applyFont="1" applyAlignment="1">
      <alignment horizontal="center" vertical="center" textRotation="90"/>
    </xf>
    <xf numFmtId="187" fontId="29" fillId="0" borderId="38" xfId="57" applyNumberFormat="1" applyFont="1" applyBorder="1"/>
    <xf numFmtId="0" fontId="60" fillId="0" borderId="0" xfId="0" applyFont="1"/>
    <xf numFmtId="3" fontId="60" fillId="0" borderId="0" xfId="0" applyNumberFormat="1" applyFont="1" applyAlignment="1">
      <alignment horizontal="right"/>
    </xf>
    <xf numFmtId="0" fontId="60" fillId="6" borderId="22" xfId="0" applyFont="1" applyFill="1" applyBorder="1" applyAlignment="1">
      <alignment horizontal="center"/>
    </xf>
    <xf numFmtId="2" fontId="61" fillId="6" borderId="22" xfId="0" applyNumberFormat="1" applyFont="1" applyFill="1" applyBorder="1" applyAlignment="1">
      <alignment horizontal="center"/>
    </xf>
    <xf numFmtId="1" fontId="61" fillId="6" borderId="22" xfId="0" applyNumberFormat="1" applyFont="1" applyFill="1" applyBorder="1" applyAlignment="1">
      <alignment horizontal="center"/>
    </xf>
    <xf numFmtId="0" fontId="61" fillId="6" borderId="22" xfId="0" applyFont="1" applyFill="1" applyBorder="1" applyAlignment="1">
      <alignment horizontal="center"/>
    </xf>
    <xf numFmtId="168" fontId="39" fillId="0" borderId="0" xfId="69" applyNumberFormat="1" applyFont="1" applyFill="1" applyBorder="1"/>
    <xf numFmtId="37" fontId="12" fillId="0" borderId="0" xfId="57" applyNumberFormat="1" applyFont="1"/>
    <xf numFmtId="0" fontId="12" fillId="0" borderId="0" xfId="57" applyFont="1" applyAlignment="1">
      <alignment horizontal="left" indent="2"/>
    </xf>
    <xf numFmtId="37" fontId="38" fillId="0" borderId="0" xfId="57" applyNumberFormat="1" applyFont="1"/>
    <xf numFmtId="0" fontId="39" fillId="0" borderId="0" xfId="75" applyFont="1" applyBorder="1" applyAlignment="1" applyProtection="1">
      <alignment horizontal="left"/>
      <protection locked="0"/>
    </xf>
    <xf numFmtId="0" fontId="38" fillId="0" borderId="0" xfId="57" quotePrefix="1" applyFont="1" applyAlignment="1">
      <alignment horizontal="left"/>
    </xf>
    <xf numFmtId="0" fontId="39" fillId="0" borderId="0" xfId="57" applyFont="1" applyAlignment="1">
      <alignment horizontal="left"/>
    </xf>
    <xf numFmtId="0" fontId="12" fillId="0" borderId="0" xfId="57" applyFont="1"/>
    <xf numFmtId="37" fontId="12" fillId="0" borderId="0" xfId="0" applyNumberFormat="1" applyFont="1"/>
    <xf numFmtId="0" fontId="38" fillId="0" borderId="0" xfId="57" applyFont="1"/>
    <xf numFmtId="0" fontId="39" fillId="0" borderId="0" xfId="75" applyFont="1" applyBorder="1" applyProtection="1">
      <protection locked="0"/>
    </xf>
    <xf numFmtId="0" fontId="12" fillId="0" borderId="0" xfId="75" applyFont="1" applyBorder="1" applyProtection="1">
      <protection locked="0"/>
    </xf>
    <xf numFmtId="37" fontId="12" fillId="0" borderId="0" xfId="10" applyFont="1" applyFill="1"/>
    <xf numFmtId="0" fontId="12" fillId="0" borderId="0" xfId="57" quotePrefix="1" applyFont="1" applyAlignment="1">
      <alignment horizontal="left"/>
    </xf>
    <xf numFmtId="0" fontId="12" fillId="0" borderId="0" xfId="57" applyFont="1" applyAlignment="1">
      <alignment horizontal="left"/>
    </xf>
    <xf numFmtId="37" fontId="12" fillId="0" borderId="0" xfId="10" applyFont="1" applyFill="1" applyBorder="1"/>
    <xf numFmtId="172" fontId="39" fillId="0" borderId="0" xfId="69" applyNumberFormat="1" applyFont="1" applyFill="1" applyAlignment="1">
      <alignment horizontal="right"/>
    </xf>
    <xf numFmtId="0" fontId="12" fillId="0" borderId="0" xfId="75" applyFont="1" applyProtection="1">
      <protection locked="0"/>
    </xf>
    <xf numFmtId="0" fontId="38" fillId="0" borderId="0" xfId="75" applyFont="1" applyBorder="1" applyProtection="1">
      <protection locked="0"/>
    </xf>
    <xf numFmtId="188" fontId="12" fillId="0" borderId="0" xfId="57" quotePrefix="1" applyNumberFormat="1" applyFont="1" applyAlignment="1">
      <alignment horizontal="left"/>
    </xf>
    <xf numFmtId="0" fontId="64" fillId="0" borderId="0" xfId="57" applyFont="1"/>
    <xf numFmtId="0" fontId="12" fillId="0" borderId="0" xfId="75" quotePrefix="1" applyFont="1" applyAlignment="1" applyProtection="1">
      <alignment horizontal="left"/>
      <protection locked="0"/>
    </xf>
    <xf numFmtId="1" fontId="12" fillId="0" borderId="0" xfId="57" applyNumberFormat="1" applyFont="1" applyAlignment="1">
      <alignment horizontal="right"/>
    </xf>
    <xf numFmtId="0" fontId="12" fillId="0" borderId="0" xfId="75" applyFont="1" applyAlignment="1" applyProtection="1">
      <alignment horizontal="left"/>
      <protection locked="0"/>
    </xf>
    <xf numFmtId="2" fontId="12" fillId="0" borderId="0" xfId="75" quotePrefix="1" applyNumberFormat="1" applyFont="1" applyBorder="1" applyAlignment="1" applyProtection="1">
      <alignment horizontal="left"/>
      <protection locked="0"/>
    </xf>
    <xf numFmtId="175" fontId="38" fillId="0" borderId="0" xfId="75" quotePrefix="1" applyNumberFormat="1" applyFont="1" applyBorder="1" applyAlignment="1" applyProtection="1">
      <alignment horizontal="left"/>
      <protection locked="0"/>
    </xf>
    <xf numFmtId="175" fontId="38" fillId="0" borderId="0" xfId="75" applyNumberFormat="1" applyFont="1" applyBorder="1" applyProtection="1">
      <protection locked="0"/>
    </xf>
    <xf numFmtId="37" fontId="12" fillId="0" borderId="0" xfId="10" applyFont="1" applyBorder="1"/>
    <xf numFmtId="175" fontId="38" fillId="0" borderId="0" xfId="75" applyNumberFormat="1" applyFont="1" applyAlignment="1" applyProtection="1">
      <alignment horizontal="left"/>
      <protection locked="0"/>
    </xf>
    <xf numFmtId="188" fontId="38" fillId="0" borderId="0" xfId="75" applyNumberFormat="1" applyFont="1" applyBorder="1" applyProtection="1">
      <protection locked="0"/>
    </xf>
    <xf numFmtId="166" fontId="12" fillId="0" borderId="0" xfId="57" applyNumberFormat="1" applyFont="1"/>
    <xf numFmtId="188" fontId="38" fillId="0" borderId="0" xfId="75" quotePrefix="1" applyNumberFormat="1" applyFont="1" applyBorder="1" applyAlignment="1" applyProtection="1">
      <alignment horizontal="left"/>
      <protection locked="0"/>
    </xf>
    <xf numFmtId="0" fontId="39" fillId="0" borderId="0" xfId="57" quotePrefix="1" applyFont="1" applyAlignment="1">
      <alignment horizontal="left"/>
    </xf>
    <xf numFmtId="172" fontId="39" fillId="0" borderId="0" xfId="69" quotePrefix="1" applyNumberFormat="1" applyFont="1" applyFill="1" applyAlignment="1">
      <alignment horizontal="right"/>
    </xf>
    <xf numFmtId="188" fontId="12" fillId="0" borderId="0" xfId="57" quotePrefix="1" applyNumberFormat="1" applyFont="1" applyAlignment="1">
      <alignment horizontal="right"/>
    </xf>
    <xf numFmtId="37" fontId="12" fillId="0" borderId="0" xfId="37" applyFont="1" applyFill="1" applyBorder="1"/>
    <xf numFmtId="166" fontId="38" fillId="0" borderId="0" xfId="57" applyNumberFormat="1" applyFont="1"/>
    <xf numFmtId="186" fontId="38" fillId="0" borderId="0" xfId="57" quotePrefix="1" applyNumberFormat="1" applyFont="1" applyAlignment="1">
      <alignment horizontal="right"/>
    </xf>
    <xf numFmtId="0" fontId="38" fillId="0" borderId="38" xfId="57" applyFont="1" applyBorder="1"/>
    <xf numFmtId="188" fontId="38" fillId="0" borderId="38" xfId="75" applyNumberFormat="1" applyFont="1" applyBorder="1" applyProtection="1">
      <protection locked="0"/>
    </xf>
    <xf numFmtId="0" fontId="12" fillId="0" borderId="38" xfId="57" quotePrefix="1" applyFont="1" applyBorder="1" applyAlignment="1">
      <alignment horizontal="left"/>
    </xf>
    <xf numFmtId="0" fontId="38" fillId="0" borderId="0" xfId="0" quotePrefix="1" applyFont="1" applyAlignment="1">
      <alignment horizontal="center"/>
    </xf>
    <xf numFmtId="187" fontId="39" fillId="0" borderId="38" xfId="57" applyNumberFormat="1" applyFont="1" applyBorder="1"/>
    <xf numFmtId="187" fontId="39" fillId="0" borderId="38" xfId="57" applyNumberFormat="1" applyFont="1" applyBorder="1" applyAlignment="1">
      <alignment horizontal="right"/>
    </xf>
    <xf numFmtId="0" fontId="67" fillId="0" borderId="0" xfId="0" applyFont="1"/>
    <xf numFmtId="0" fontId="12" fillId="9" borderId="0" xfId="0" applyFont="1" applyFill="1"/>
    <xf numFmtId="0" fontId="45" fillId="9" borderId="0" xfId="0" applyFont="1" applyFill="1"/>
    <xf numFmtId="0" fontId="45" fillId="9" borderId="0" xfId="0" applyFont="1" applyFill="1" applyAlignment="1">
      <alignment horizontal="right"/>
    </xf>
    <xf numFmtId="0" fontId="52" fillId="0" borderId="0" xfId="0" applyFont="1"/>
    <xf numFmtId="0" fontId="50" fillId="0" borderId="0" xfId="0" applyFont="1"/>
    <xf numFmtId="0" fontId="38" fillId="0" borderId="38" xfId="0" applyFont="1" applyBorder="1"/>
    <xf numFmtId="0" fontId="12" fillId="0" borderId="38" xfId="0" applyFont="1" applyBorder="1"/>
    <xf numFmtId="4" fontId="38" fillId="0" borderId="38" xfId="0" applyNumberFormat="1" applyFont="1" applyBorder="1"/>
    <xf numFmtId="2" fontId="38" fillId="0" borderId="38" xfId="0" applyNumberFormat="1" applyFont="1" applyBorder="1"/>
    <xf numFmtId="9" fontId="38" fillId="0" borderId="38" xfId="69" applyFont="1" applyBorder="1"/>
    <xf numFmtId="9" fontId="12" fillId="0" borderId="38" xfId="69" applyFont="1" applyBorder="1"/>
    <xf numFmtId="0" fontId="39" fillId="0" borderId="38" xfId="0" applyFont="1" applyBorder="1"/>
    <xf numFmtId="0" fontId="39" fillId="0" borderId="38" xfId="0" applyFont="1" applyBorder="1" applyAlignment="1">
      <alignment horizontal="right"/>
    </xf>
    <xf numFmtId="0" fontId="54" fillId="0" borderId="0" xfId="0" applyFont="1" applyAlignment="1">
      <alignment horizontal="right"/>
    </xf>
    <xf numFmtId="201" fontId="12" fillId="0" borderId="0" xfId="62" applyNumberFormat="1" applyFont="1" applyAlignment="1">
      <alignment horizontal="right"/>
    </xf>
    <xf numFmtId="203" fontId="12" fillId="0" borderId="0" xfId="62" applyNumberFormat="1" applyFont="1" applyAlignment="1">
      <alignment horizontal="right"/>
    </xf>
    <xf numFmtId="204" fontId="39" fillId="0" borderId="0" xfId="69" applyNumberFormat="1" applyFont="1" applyBorder="1" applyAlignment="1">
      <alignment horizontal="right"/>
    </xf>
    <xf numFmtId="190" fontId="12" fillId="0" borderId="0" xfId="62" applyNumberFormat="1" applyFont="1" applyAlignment="1">
      <alignment horizontal="right"/>
    </xf>
    <xf numFmtId="3" fontId="12" fillId="0" borderId="0" xfId="0" applyNumberFormat="1" applyFont="1"/>
    <xf numFmtId="202" fontId="12" fillId="0" borderId="0" xfId="0" applyNumberFormat="1" applyFont="1"/>
    <xf numFmtId="168" fontId="39" fillId="0" borderId="0" xfId="69" applyNumberFormat="1" applyFont="1" applyBorder="1"/>
    <xf numFmtId="171" fontId="12" fillId="0" borderId="0" xfId="0" applyNumberFormat="1" applyFont="1"/>
    <xf numFmtId="194" fontId="12" fillId="0" borderId="0" xfId="0" applyNumberFormat="1" applyFont="1"/>
    <xf numFmtId="9" fontId="12" fillId="0" borderId="0" xfId="69" applyFont="1" applyFill="1" applyBorder="1"/>
    <xf numFmtId="168" fontId="12" fillId="0" borderId="0" xfId="69" applyNumberFormat="1" applyFont="1" applyBorder="1"/>
    <xf numFmtId="168" fontId="12" fillId="0" borderId="0" xfId="69" applyNumberFormat="1" applyFont="1" applyBorder="1" applyAlignment="1">
      <alignment horizontal="right"/>
    </xf>
    <xf numFmtId="0" fontId="12" fillId="0" borderId="38" xfId="0" applyFont="1" applyBorder="1" applyAlignment="1">
      <alignment horizontal="right"/>
    </xf>
    <xf numFmtId="190" fontId="38" fillId="0" borderId="38" xfId="0" applyNumberFormat="1" applyFont="1" applyBorder="1" applyAlignment="1">
      <alignment horizontal="right"/>
    </xf>
    <xf numFmtId="196" fontId="12" fillId="0" borderId="0" xfId="0" applyNumberFormat="1" applyFont="1" applyAlignment="1">
      <alignment horizontal="right"/>
    </xf>
    <xf numFmtId="0" fontId="45" fillId="0" borderId="0" xfId="0" applyFont="1"/>
    <xf numFmtId="0" fontId="12" fillId="0" borderId="39" xfId="0" applyFont="1" applyBorder="1"/>
    <xf numFmtId="0" fontId="38" fillId="0" borderId="39" xfId="0" applyFont="1" applyBorder="1" applyAlignment="1">
      <alignment horizontal="center"/>
    </xf>
    <xf numFmtId="0" fontId="12" fillId="0" borderId="39" xfId="0" applyFont="1" applyBorder="1" applyAlignment="1">
      <alignment horizontal="centerContinuous"/>
    </xf>
    <xf numFmtId="185" fontId="12" fillId="0" borderId="0" xfId="0" applyNumberFormat="1" applyFont="1" applyAlignment="1">
      <alignment horizontal="centerContinuous"/>
    </xf>
    <xf numFmtId="39" fontId="12" fillId="0" borderId="39" xfId="0" applyNumberFormat="1" applyFont="1" applyBorder="1"/>
    <xf numFmtId="188" fontId="64" fillId="0" borderId="0" xfId="0" applyNumberFormat="1" applyFont="1"/>
    <xf numFmtId="0" fontId="38" fillId="10" borderId="0" xfId="0" applyFont="1" applyFill="1"/>
    <xf numFmtId="188" fontId="65" fillId="10" borderId="0" xfId="0" applyNumberFormat="1" applyFont="1" applyFill="1"/>
    <xf numFmtId="188" fontId="50" fillId="2" borderId="0" xfId="0" applyNumberFormat="1" applyFont="1" applyFill="1"/>
    <xf numFmtId="0" fontId="38" fillId="0" borderId="0" xfId="0" applyFont="1" applyAlignment="1">
      <alignment horizontal="left"/>
    </xf>
    <xf numFmtId="3" fontId="38" fillId="0" borderId="0" xfId="0" applyNumberFormat="1" applyFont="1"/>
    <xf numFmtId="37" fontId="38" fillId="0" borderId="0" xfId="0" applyNumberFormat="1" applyFont="1"/>
    <xf numFmtId="0" fontId="12" fillId="0" borderId="0" xfId="0" quotePrefix="1" applyFont="1" applyAlignment="1">
      <alignment horizontal="left"/>
    </xf>
    <xf numFmtId="0" fontId="12" fillId="2" borderId="0" xfId="0" quotePrefix="1" applyFont="1" applyFill="1" applyAlignment="1">
      <alignment horizontal="left"/>
    </xf>
    <xf numFmtId="168" fontId="12" fillId="0" borderId="0" xfId="69" applyNumberFormat="1" applyFont="1"/>
    <xf numFmtId="173" fontId="39" fillId="0" borderId="0" xfId="0" applyNumberFormat="1" applyFont="1"/>
    <xf numFmtId="0" fontId="69" fillId="0" borderId="0" xfId="0" applyFont="1"/>
    <xf numFmtId="174" fontId="69" fillId="0" borderId="0" xfId="0" applyNumberFormat="1" applyFont="1"/>
    <xf numFmtId="174" fontId="60" fillId="0" borderId="0" xfId="0" applyNumberFormat="1" applyFont="1"/>
    <xf numFmtId="9" fontId="12" fillId="0" borderId="0" xfId="0" applyNumberFormat="1" applyFont="1"/>
    <xf numFmtId="168" fontId="12" fillId="0" borderId="41" xfId="69" applyNumberFormat="1" applyFont="1" applyBorder="1"/>
    <xf numFmtId="37" fontId="62" fillId="0" borderId="39" xfId="0" applyNumberFormat="1" applyFont="1" applyBorder="1"/>
    <xf numFmtId="37" fontId="12" fillId="0" borderId="39" xfId="0" applyNumberFormat="1" applyFont="1" applyBorder="1"/>
    <xf numFmtId="0" fontId="46" fillId="2" borderId="0" xfId="0" applyFont="1" applyFill="1"/>
    <xf numFmtId="9" fontId="46" fillId="2" borderId="0" xfId="69" applyFont="1" applyFill="1" applyBorder="1"/>
    <xf numFmtId="164" fontId="12" fillId="0" borderId="0" xfId="0" applyNumberFormat="1" applyFont="1"/>
    <xf numFmtId="172" fontId="12" fillId="0" borderId="0" xfId="0" applyNumberFormat="1" applyFont="1"/>
    <xf numFmtId="172" fontId="50" fillId="0" borderId="0" xfId="0" applyNumberFormat="1" applyFont="1"/>
    <xf numFmtId="172" fontId="47" fillId="0" borderId="0" xfId="0" applyNumberFormat="1" applyFont="1"/>
    <xf numFmtId="0" fontId="12" fillId="0" borderId="12" xfId="0" applyFont="1" applyBorder="1" applyAlignment="1">
      <alignment horizontal="center"/>
    </xf>
    <xf numFmtId="0" fontId="38" fillId="0" borderId="4" xfId="0" applyFont="1" applyBorder="1" applyAlignment="1">
      <alignment horizontal="left"/>
    </xf>
    <xf numFmtId="0" fontId="12" fillId="0" borderId="6" xfId="0" applyFont="1" applyBorder="1" applyAlignment="1">
      <alignment horizontal="center"/>
    </xf>
    <xf numFmtId="195" fontId="12" fillId="0" borderId="14" xfId="69" applyNumberFormat="1" applyFont="1" applyBorder="1" applyAlignment="1">
      <alignment horizontal="center"/>
    </xf>
    <xf numFmtId="168" fontId="12" fillId="0" borderId="42" xfId="0" applyNumberFormat="1" applyFont="1" applyBorder="1" applyAlignment="1">
      <alignment horizontal="right"/>
    </xf>
    <xf numFmtId="168" fontId="12" fillId="0" borderId="43" xfId="0" applyNumberFormat="1" applyFont="1" applyBorder="1" applyAlignment="1">
      <alignment horizontal="right"/>
    </xf>
    <xf numFmtId="168" fontId="12" fillId="11" borderId="43" xfId="0" applyNumberFormat="1" applyFont="1" applyFill="1" applyBorder="1" applyAlignment="1">
      <alignment horizontal="right"/>
    </xf>
    <xf numFmtId="168" fontId="12" fillId="0" borderId="10" xfId="0" applyNumberFormat="1" applyFont="1" applyBorder="1" applyAlignment="1">
      <alignment horizontal="right"/>
    </xf>
    <xf numFmtId="0" fontId="12" fillId="0" borderId="3" xfId="0" applyFont="1" applyBorder="1"/>
    <xf numFmtId="0" fontId="12" fillId="0" borderId="11" xfId="0" applyFont="1" applyBorder="1"/>
    <xf numFmtId="168" fontId="12" fillId="0" borderId="44" xfId="69" applyNumberFormat="1" applyFont="1" applyBorder="1" applyAlignment="1">
      <alignment horizontal="right"/>
    </xf>
    <xf numFmtId="195" fontId="12" fillId="0" borderId="45" xfId="69" applyNumberFormat="1" applyFont="1" applyBorder="1"/>
    <xf numFmtId="195" fontId="12" fillId="0" borderId="46" xfId="69" applyNumberFormat="1" applyFont="1" applyBorder="1"/>
    <xf numFmtId="195" fontId="12" fillId="11" borderId="46" xfId="69" applyNumberFormat="1" applyFont="1" applyFill="1" applyBorder="1"/>
    <xf numFmtId="168" fontId="12" fillId="0" borderId="47" xfId="69" applyNumberFormat="1" applyFont="1" applyBorder="1" applyAlignment="1">
      <alignment horizontal="right"/>
    </xf>
    <xf numFmtId="195" fontId="12" fillId="0" borderId="48" xfId="69" applyNumberFormat="1" applyFont="1" applyBorder="1"/>
    <xf numFmtId="195" fontId="12" fillId="0" borderId="49" xfId="69" applyNumberFormat="1" applyFont="1" applyBorder="1"/>
    <xf numFmtId="195" fontId="12" fillId="11" borderId="49" xfId="69" applyNumberFormat="1" applyFont="1" applyFill="1" applyBorder="1"/>
    <xf numFmtId="0" fontId="12" fillId="0" borderId="11" xfId="0" applyFont="1" applyBorder="1" applyAlignment="1">
      <alignment horizontal="right"/>
    </xf>
    <xf numFmtId="168" fontId="12" fillId="11" borderId="47" xfId="69" applyNumberFormat="1" applyFont="1" applyFill="1" applyBorder="1" applyAlignment="1">
      <alignment horizontal="right"/>
    </xf>
    <xf numFmtId="195" fontId="12" fillId="11" borderId="48" xfId="69" applyNumberFormat="1" applyFont="1" applyFill="1" applyBorder="1"/>
    <xf numFmtId="0" fontId="38" fillId="0" borderId="11" xfId="0" applyFont="1" applyBorder="1"/>
    <xf numFmtId="168" fontId="12" fillId="0" borderId="14" xfId="69" applyNumberFormat="1" applyFont="1" applyFill="1" applyBorder="1" applyAlignment="1">
      <alignment horizontal="right"/>
    </xf>
    <xf numFmtId="195" fontId="12" fillId="0" borderId="48" xfId="69" applyNumberFormat="1" applyFont="1" applyFill="1" applyBorder="1"/>
    <xf numFmtId="187" fontId="12" fillId="0" borderId="0" xfId="0" applyNumberFormat="1" applyFont="1" applyAlignment="1">
      <alignment horizontal="left"/>
    </xf>
    <xf numFmtId="9" fontId="12" fillId="0" borderId="13" xfId="69" applyFont="1" applyBorder="1" applyAlignment="1">
      <alignment horizontal="center"/>
    </xf>
    <xf numFmtId="9" fontId="12" fillId="0" borderId="45" xfId="69" applyFont="1" applyBorder="1"/>
    <xf numFmtId="9" fontId="12" fillId="0" borderId="46" xfId="69" applyFont="1" applyBorder="1"/>
    <xf numFmtId="9" fontId="12" fillId="11" borderId="46" xfId="69" applyFont="1" applyFill="1" applyBorder="1"/>
    <xf numFmtId="9" fontId="12" fillId="0" borderId="48" xfId="69" applyFont="1" applyBorder="1"/>
    <xf numFmtId="9" fontId="12" fillId="0" borderId="49" xfId="69" applyFont="1" applyBorder="1"/>
    <xf numFmtId="9" fontId="12" fillId="11" borderId="49" xfId="69" applyFont="1" applyFill="1" applyBorder="1"/>
    <xf numFmtId="9" fontId="12" fillId="11" borderId="48" xfId="69" applyFont="1" applyFill="1" applyBorder="1"/>
    <xf numFmtId="9" fontId="12" fillId="0" borderId="48" xfId="69" applyFont="1" applyFill="1" applyBorder="1"/>
    <xf numFmtId="9" fontId="52" fillId="0" borderId="0" xfId="69" applyFont="1" applyFill="1"/>
    <xf numFmtId="9" fontId="12" fillId="0" borderId="0" xfId="69" applyFont="1" applyFill="1"/>
    <xf numFmtId="192" fontId="38" fillId="0" borderId="0" xfId="0" applyNumberFormat="1" applyFont="1"/>
    <xf numFmtId="9" fontId="60" fillId="0" borderId="0" xfId="0" applyNumberFormat="1" applyFont="1"/>
    <xf numFmtId="1" fontId="45" fillId="9" borderId="0" xfId="0" applyNumberFormat="1" applyFont="1" applyFill="1"/>
    <xf numFmtId="9" fontId="39" fillId="0" borderId="0" xfId="0" applyNumberFormat="1" applyFont="1" applyAlignment="1">
      <alignment horizontal="right"/>
    </xf>
    <xf numFmtId="187" fontId="39" fillId="0" borderId="38" xfId="57" quotePrefix="1" applyNumberFormat="1" applyFont="1" applyBorder="1"/>
    <xf numFmtId="0" fontId="12" fillId="0" borderId="38" xfId="57" applyFont="1" applyBorder="1"/>
    <xf numFmtId="0" fontId="44" fillId="0" borderId="0" xfId="0" applyFont="1"/>
    <xf numFmtId="190" fontId="12" fillId="0" borderId="0" xfId="0" applyNumberFormat="1" applyFont="1"/>
    <xf numFmtId="0" fontId="12" fillId="0" borderId="20" xfId="0" applyFont="1" applyBorder="1"/>
    <xf numFmtId="9" fontId="12" fillId="0" borderId="20" xfId="69" applyFont="1" applyBorder="1"/>
    <xf numFmtId="174" fontId="38" fillId="0" borderId="25" xfId="0" applyNumberFormat="1" applyFont="1" applyBorder="1" applyAlignment="1">
      <alignment horizontal="center"/>
    </xf>
    <xf numFmtId="164" fontId="12" fillId="0" borderId="0" xfId="57" applyNumberFormat="1" applyFont="1"/>
    <xf numFmtId="186" fontId="38" fillId="0" borderId="0" xfId="57" applyNumberFormat="1" applyFont="1" applyAlignment="1">
      <alignment horizontal="centerContinuous"/>
    </xf>
    <xf numFmtId="37" fontId="38" fillId="0" borderId="0" xfId="10" applyFont="1" applyFill="1" applyBorder="1"/>
    <xf numFmtId="0" fontId="38" fillId="0" borderId="0" xfId="0" quotePrefix="1" applyFont="1" applyAlignment="1">
      <alignment horizontal="left"/>
    </xf>
    <xf numFmtId="0" fontId="70" fillId="9" borderId="0" xfId="0" applyFont="1" applyFill="1"/>
    <xf numFmtId="0" fontId="70" fillId="9" borderId="0" xfId="0" applyFont="1" applyFill="1" applyAlignment="1">
      <alignment horizontal="center"/>
    </xf>
    <xf numFmtId="0" fontId="12" fillId="10" borderId="0" xfId="0" applyFont="1" applyFill="1"/>
    <xf numFmtId="0" fontId="70" fillId="12" borderId="0" xfId="0" applyFont="1" applyFill="1"/>
    <xf numFmtId="0" fontId="60" fillId="0" borderId="0" xfId="0" applyFont="1" applyAlignment="1">
      <alignment horizontal="left" indent="1"/>
    </xf>
    <xf numFmtId="0" fontId="39" fillId="0" borderId="0" xfId="0" applyFont="1" applyAlignment="1">
      <alignment horizontal="left" indent="1"/>
    </xf>
    <xf numFmtId="168" fontId="39" fillId="0" borderId="0" xfId="69" applyNumberFormat="1" applyFont="1" applyAlignment="1"/>
    <xf numFmtId="168" fontId="39" fillId="0" borderId="0" xfId="69" applyNumberFormat="1" applyFont="1" applyBorder="1" applyAlignment="1"/>
    <xf numFmtId="168" fontId="39" fillId="0" borderId="0" xfId="69" applyNumberFormat="1" applyFont="1" applyAlignment="1">
      <alignment horizontal="left" indent="1"/>
    </xf>
    <xf numFmtId="168" fontId="39" fillId="0" borderId="0" xfId="0" applyNumberFormat="1" applyFont="1"/>
    <xf numFmtId="183" fontId="12" fillId="0" borderId="0" xfId="0" applyNumberFormat="1" applyFont="1" applyAlignment="1">
      <alignment horizontal="left" indent="1"/>
    </xf>
    <xf numFmtId="37" fontId="12" fillId="0" borderId="0" xfId="10" applyFont="1" applyAlignment="1"/>
    <xf numFmtId="37" fontId="12" fillId="0" borderId="0" xfId="10" applyFont="1" applyFill="1" applyAlignment="1"/>
    <xf numFmtId="171" fontId="12" fillId="0" borderId="0" xfId="10" applyNumberFormat="1" applyFont="1" applyBorder="1" applyAlignment="1"/>
    <xf numFmtId="1" fontId="12" fillId="0" borderId="0" xfId="0" applyNumberFormat="1" applyFont="1"/>
    <xf numFmtId="37" fontId="12" fillId="0" borderId="0" xfId="10" applyFont="1"/>
    <xf numFmtId="17" fontId="38" fillId="0" borderId="0" xfId="0" applyNumberFormat="1" applyFont="1"/>
    <xf numFmtId="168" fontId="39" fillId="0" borderId="0" xfId="69" applyNumberFormat="1" applyFont="1" applyFill="1" applyAlignment="1"/>
    <xf numFmtId="168" fontId="39" fillId="0" borderId="0" xfId="69" applyNumberFormat="1" applyFont="1" applyFill="1" applyBorder="1" applyAlignment="1"/>
    <xf numFmtId="171" fontId="12" fillId="0" borderId="0" xfId="10" applyNumberFormat="1" applyFont="1" applyFill="1" applyAlignment="1"/>
    <xf numFmtId="168" fontId="12" fillId="0" borderId="0" xfId="69" applyNumberFormat="1" applyFont="1" applyAlignment="1"/>
    <xf numFmtId="37" fontId="60" fillId="0" borderId="0" xfId="10" applyFont="1" applyAlignment="1"/>
    <xf numFmtId="167" fontId="12" fillId="0" borderId="0" xfId="0" applyNumberFormat="1" applyFont="1"/>
    <xf numFmtId="39" fontId="12" fillId="0" borderId="0" xfId="0" applyNumberFormat="1" applyFont="1"/>
    <xf numFmtId="184" fontId="12" fillId="0" borderId="0" xfId="0" applyNumberFormat="1" applyFont="1"/>
    <xf numFmtId="0" fontId="70" fillId="12" borderId="0" xfId="0" applyFont="1" applyFill="1" applyAlignment="1">
      <alignment horizontal="center"/>
    </xf>
    <xf numFmtId="199" fontId="12" fillId="0" borderId="0" xfId="10" applyNumberFormat="1" applyFont="1" applyBorder="1" applyAlignment="1">
      <alignment horizontal="right"/>
    </xf>
    <xf numFmtId="199" fontId="12" fillId="0" borderId="0" xfId="10" applyNumberFormat="1" applyFont="1" applyFill="1" applyBorder="1" applyAlignment="1">
      <alignment horizontal="right"/>
    </xf>
    <xf numFmtId="169" fontId="12" fillId="0" borderId="0" xfId="10" applyNumberFormat="1" applyFont="1" applyFill="1" applyBorder="1" applyAlignment="1">
      <alignment horizontal="center" vertical="center"/>
    </xf>
    <xf numFmtId="169" fontId="12" fillId="2" borderId="0" xfId="10" applyNumberFormat="1" applyFont="1" applyFill="1" applyBorder="1" applyAlignment="1">
      <alignment horizontal="center" vertical="center"/>
    </xf>
    <xf numFmtId="0" fontId="12" fillId="0" borderId="0" xfId="65" applyFont="1"/>
    <xf numFmtId="0" fontId="38" fillId="0" borderId="6" xfId="0" applyFont="1" applyBorder="1" applyAlignment="1">
      <alignment horizontal="center"/>
    </xf>
    <xf numFmtId="0" fontId="12" fillId="0" borderId="0" xfId="0" applyFont="1" applyAlignment="1">
      <alignment horizontal="left"/>
    </xf>
    <xf numFmtId="198" fontId="12" fillId="0" borderId="0" xfId="0" applyNumberFormat="1" applyFont="1"/>
    <xf numFmtId="39" fontId="12" fillId="0" borderId="0" xfId="10" applyNumberFormat="1" applyFont="1" applyFill="1"/>
    <xf numFmtId="187" fontId="39" fillId="0" borderId="8" xfId="57" applyNumberFormat="1" applyFont="1" applyBorder="1"/>
    <xf numFmtId="0" fontId="42" fillId="0" borderId="0" xfId="0" applyFont="1"/>
    <xf numFmtId="0" fontId="38" fillId="4" borderId="0" xfId="0" applyFont="1" applyFill="1" applyAlignment="1">
      <alignment horizontal="center"/>
    </xf>
    <xf numFmtId="166" fontId="73" fillId="0" borderId="0" xfId="0" applyNumberFormat="1" applyFont="1"/>
    <xf numFmtId="0" fontId="62" fillId="0" borderId="0" xfId="0" applyFont="1"/>
    <xf numFmtId="0" fontId="72" fillId="0" borderId="0" xfId="0" applyFont="1"/>
    <xf numFmtId="0" fontId="38" fillId="4" borderId="0" xfId="0" applyFont="1" applyFill="1" applyAlignment="1">
      <alignment horizontal="left"/>
    </xf>
    <xf numFmtId="0" fontId="12" fillId="2" borderId="0" xfId="0" applyFont="1" applyFill="1" applyAlignment="1">
      <alignment wrapText="1"/>
    </xf>
    <xf numFmtId="181" fontId="12" fillId="0" borderId="0" xfId="0" applyNumberFormat="1" applyFont="1" applyAlignment="1">
      <alignment horizontal="center"/>
    </xf>
    <xf numFmtId="0" fontId="12" fillId="2" borderId="0" xfId="0" applyFont="1" applyFill="1"/>
    <xf numFmtId="169" fontId="12" fillId="0" borderId="0" xfId="0" applyNumberFormat="1" applyFont="1"/>
    <xf numFmtId="10" fontId="39" fillId="0" borderId="0" xfId="69" applyNumberFormat="1" applyFont="1" applyFill="1"/>
    <xf numFmtId="180" fontId="12" fillId="0" borderId="0" xfId="0" applyNumberFormat="1" applyFont="1"/>
    <xf numFmtId="0" fontId="12" fillId="0" borderId="8" xfId="57" applyFont="1" applyBorder="1"/>
    <xf numFmtId="197" fontId="67" fillId="0" borderId="0" xfId="0" applyNumberFormat="1" applyFont="1" applyAlignment="1">
      <alignment horizontal="right"/>
    </xf>
    <xf numFmtId="0" fontId="51" fillId="0" borderId="0" xfId="0" applyFont="1"/>
    <xf numFmtId="0" fontId="12" fillId="0" borderId="0" xfId="63" applyFont="1"/>
    <xf numFmtId="182" fontId="45" fillId="9" borderId="0" xfId="61" applyNumberFormat="1" applyFont="1" applyFill="1" applyAlignment="1">
      <alignment horizontal="left" vertical="center"/>
    </xf>
    <xf numFmtId="17" fontId="45" fillId="9" borderId="0" xfId="61" applyNumberFormat="1" applyFont="1" applyFill="1" applyAlignment="1">
      <alignment horizontal="right" vertical="center"/>
    </xf>
    <xf numFmtId="37" fontId="64" fillId="0" borderId="0" xfId="57" applyNumberFormat="1" applyFont="1"/>
    <xf numFmtId="37" fontId="54" fillId="0" borderId="0" xfId="57" applyNumberFormat="1" applyFont="1"/>
    <xf numFmtId="37" fontId="54" fillId="0" borderId="0" xfId="10" applyFont="1" applyFill="1" applyBorder="1"/>
    <xf numFmtId="0" fontId="54" fillId="0" borderId="0" xfId="57" applyFont="1"/>
    <xf numFmtId="168" fontId="39" fillId="0" borderId="0" xfId="57" applyNumberFormat="1" applyFont="1"/>
    <xf numFmtId="168" fontId="78" fillId="0" borderId="0" xfId="57" applyNumberFormat="1" applyFont="1"/>
    <xf numFmtId="0" fontId="12" fillId="0" borderId="0" xfId="59" applyFont="1"/>
    <xf numFmtId="0" fontId="12" fillId="0" borderId="0" xfId="59" applyFont="1" applyAlignment="1">
      <alignment horizontal="left" indent="1"/>
    </xf>
    <xf numFmtId="0" fontId="38" fillId="0" borderId="0" xfId="59" applyFont="1"/>
    <xf numFmtId="37" fontId="57" fillId="0" borderId="0" xfId="57" applyNumberFormat="1" applyFont="1"/>
    <xf numFmtId="168" fontId="12" fillId="0" borderId="0" xfId="69" applyNumberFormat="1" applyFont="1" applyAlignment="1">
      <alignment horizontal="left" indent="1"/>
    </xf>
    <xf numFmtId="0" fontId="12" fillId="0" borderId="0" xfId="59" applyFont="1" applyAlignment="1">
      <alignment vertical="center"/>
    </xf>
    <xf numFmtId="168" fontId="78" fillId="0" borderId="0" xfId="69" applyNumberFormat="1" applyFont="1" applyFill="1" applyBorder="1"/>
    <xf numFmtId="37" fontId="55" fillId="0" borderId="0" xfId="10" applyFont="1"/>
    <xf numFmtId="37" fontId="54" fillId="0" borderId="0" xfId="10" applyFont="1" applyFill="1"/>
    <xf numFmtId="172" fontId="78" fillId="0" borderId="0" xfId="57" applyNumberFormat="1" applyFont="1"/>
    <xf numFmtId="166" fontId="57" fillId="0" borderId="0" xfId="0" applyNumberFormat="1" applyFont="1"/>
    <xf numFmtId="166" fontId="12" fillId="0" borderId="0" xfId="0" applyNumberFormat="1" applyFont="1"/>
    <xf numFmtId="166" fontId="54" fillId="0" borderId="0" xfId="0" applyNumberFormat="1" applyFont="1"/>
    <xf numFmtId="0" fontId="39" fillId="0" borderId="0" xfId="0" applyFont="1" applyAlignment="1">
      <alignment horizontal="left" indent="2"/>
    </xf>
    <xf numFmtId="172" fontId="39" fillId="0" borderId="0" xfId="38" applyNumberFormat="1" applyFont="1"/>
    <xf numFmtId="172" fontId="78" fillId="0" borderId="0" xfId="38" applyNumberFormat="1" applyFont="1" applyFill="1"/>
    <xf numFmtId="172" fontId="78" fillId="0" borderId="0" xfId="38" applyNumberFormat="1" applyFont="1"/>
    <xf numFmtId="0" fontId="12" fillId="0" borderId="0" xfId="60" applyFont="1"/>
    <xf numFmtId="166" fontId="54" fillId="0" borderId="0" xfId="63" applyNumberFormat="1" applyFont="1"/>
    <xf numFmtId="0" fontId="54" fillId="0" borderId="0" xfId="63" applyFont="1"/>
    <xf numFmtId="0" fontId="38" fillId="0" borderId="0" xfId="63" applyFont="1"/>
    <xf numFmtId="166" fontId="57" fillId="0" borderId="0" xfId="63" applyNumberFormat="1" applyFont="1"/>
    <xf numFmtId="0" fontId="57" fillId="0" borderId="0" xfId="63" applyFont="1"/>
    <xf numFmtId="0" fontId="50" fillId="0" borderId="0" xfId="64" applyFont="1" applyAlignment="1" applyProtection="1">
      <alignment horizontal="left" vertical="top" indent="1"/>
      <protection locked="0"/>
    </xf>
    <xf numFmtId="166" fontId="54" fillId="0" borderId="0" xfId="37" applyNumberFormat="1" applyFont="1" applyFill="1"/>
    <xf numFmtId="3" fontId="54" fillId="0" borderId="0" xfId="37" applyNumberFormat="1" applyFont="1" applyFill="1"/>
    <xf numFmtId="0" fontId="63" fillId="0" borderId="0" xfId="64" applyFont="1" applyAlignment="1" applyProtection="1">
      <alignment horizontal="left" vertical="top" indent="2"/>
      <protection locked="0"/>
    </xf>
    <xf numFmtId="37" fontId="71" fillId="0" borderId="0" xfId="10" applyFont="1" applyFill="1"/>
    <xf numFmtId="37" fontId="12" fillId="0" borderId="0" xfId="37" applyFont="1" applyFill="1"/>
    <xf numFmtId="37" fontId="57" fillId="0" borderId="0" xfId="0" applyNumberFormat="1" applyFont="1"/>
    <xf numFmtId="37" fontId="54" fillId="0" borderId="0" xfId="0" applyNumberFormat="1" applyFont="1"/>
    <xf numFmtId="168" fontId="46" fillId="0" borderId="0" xfId="69" applyNumberFormat="1" applyFont="1" applyBorder="1"/>
    <xf numFmtId="0" fontId="80" fillId="0" borderId="0" xfId="0" applyFont="1" applyAlignment="1">
      <alignment horizontal="left"/>
    </xf>
    <xf numFmtId="37" fontId="54" fillId="0" borderId="0" xfId="10" applyFont="1"/>
    <xf numFmtId="170" fontId="12" fillId="0" borderId="0" xfId="60" applyNumberFormat="1" applyFont="1"/>
    <xf numFmtId="183" fontId="12" fillId="0" borderId="0" xfId="0" applyNumberFormat="1" applyFont="1" applyAlignment="1">
      <alignment horizontal="left" indent="3"/>
    </xf>
    <xf numFmtId="37" fontId="60" fillId="0" borderId="0" xfId="0" applyNumberFormat="1" applyFont="1"/>
    <xf numFmtId="37" fontId="54" fillId="0" borderId="0" xfId="10" applyFont="1" applyFill="1" applyAlignment="1"/>
    <xf numFmtId="37" fontId="12" fillId="0" borderId="0" xfId="65" applyNumberFormat="1" applyFont="1"/>
    <xf numFmtId="166" fontId="54" fillId="0" borderId="0" xfId="65" applyNumberFormat="1" applyFont="1"/>
    <xf numFmtId="0" fontId="54" fillId="0" borderId="0" xfId="65" applyFont="1"/>
    <xf numFmtId="172" fontId="71" fillId="0" borderId="0" xfId="38" applyNumberFormat="1" applyFont="1" applyFill="1"/>
    <xf numFmtId="172" fontId="39" fillId="0" borderId="0" xfId="0" applyNumberFormat="1" applyFont="1"/>
    <xf numFmtId="0" fontId="12" fillId="0" borderId="0" xfId="0" applyFont="1" applyAlignment="1">
      <alignment horizontal="left" indent="2"/>
    </xf>
    <xf numFmtId="172" fontId="78" fillId="0" borderId="0" xfId="0" applyNumberFormat="1" applyFont="1"/>
    <xf numFmtId="172" fontId="39" fillId="0" borderId="0" xfId="38" applyNumberFormat="1" applyFont="1" applyFill="1" applyBorder="1"/>
    <xf numFmtId="172" fontId="39" fillId="0" borderId="0" xfId="38" applyNumberFormat="1" applyFont="1" applyAlignment="1">
      <alignment horizontal="right"/>
    </xf>
    <xf numFmtId="170" fontId="38" fillId="0" borderId="0" xfId="10" applyNumberFormat="1" applyFont="1" applyFill="1" applyBorder="1"/>
    <xf numFmtId="172" fontId="39" fillId="0" borderId="0" xfId="69" applyNumberFormat="1" applyFont="1" applyFill="1" applyBorder="1"/>
    <xf numFmtId="169" fontId="12" fillId="0" borderId="0" xfId="61" applyFont="1"/>
    <xf numFmtId="170" fontId="38" fillId="0" borderId="0" xfId="0" applyNumberFormat="1" applyFont="1"/>
    <xf numFmtId="172" fontId="39" fillId="0" borderId="0" xfId="38" applyNumberFormat="1" applyFont="1" applyFill="1"/>
    <xf numFmtId="37" fontId="12" fillId="0" borderId="0" xfId="10" applyFont="1" applyFill="1" applyAlignment="1">
      <alignment vertical="center"/>
    </xf>
    <xf numFmtId="37" fontId="38" fillId="0" borderId="0" xfId="10" applyFont="1" applyFill="1" applyAlignment="1">
      <alignment vertical="center"/>
    </xf>
    <xf numFmtId="172" fontId="39" fillId="0" borderId="0" xfId="38" applyNumberFormat="1" applyFont="1" applyBorder="1"/>
    <xf numFmtId="37" fontId="38" fillId="0" borderId="0" xfId="37" applyFont="1" applyFill="1"/>
    <xf numFmtId="169" fontId="12" fillId="0" borderId="0" xfId="60" applyNumberFormat="1" applyFont="1"/>
    <xf numFmtId="168" fontId="12" fillId="0" borderId="0" xfId="69" applyNumberFormat="1" applyFont="1" applyFill="1"/>
    <xf numFmtId="39" fontId="12" fillId="0" borderId="0" xfId="37" applyNumberFormat="1" applyFont="1" applyFill="1"/>
    <xf numFmtId="0" fontId="81" fillId="0" borderId="0" xfId="64" applyFont="1" applyAlignment="1" applyProtection="1">
      <alignment vertical="center"/>
      <protection locked="0"/>
    </xf>
    <xf numFmtId="0" fontId="50" fillId="0" borderId="0" xfId="64" applyFont="1" applyAlignment="1" applyProtection="1">
      <alignment vertical="center"/>
      <protection locked="0"/>
    </xf>
    <xf numFmtId="170" fontId="12" fillId="0" borderId="0" xfId="73" applyNumberFormat="1" applyFont="1" applyFill="1" applyBorder="1" applyAlignment="1" applyProtection="1">
      <alignment horizontal="right" vertical="center"/>
    </xf>
    <xf numFmtId="0" fontId="52" fillId="0" borderId="0" xfId="64" applyFont="1" applyAlignment="1" applyProtection="1">
      <alignment vertical="center"/>
      <protection locked="0"/>
    </xf>
    <xf numFmtId="37" fontId="50" fillId="0" borderId="0" xfId="10" quotePrefix="1" applyFont="1" applyFill="1" applyBorder="1" applyAlignment="1" applyProtection="1">
      <alignment horizontal="left" vertical="center"/>
    </xf>
    <xf numFmtId="0" fontId="52" fillId="0" borderId="0" xfId="64" applyFont="1" applyAlignment="1" applyProtection="1">
      <alignment horizontal="left" vertical="center"/>
      <protection locked="0"/>
    </xf>
    <xf numFmtId="0" fontId="50" fillId="0" borderId="0" xfId="64" applyFont="1" applyAlignment="1" applyProtection="1">
      <alignment horizontal="left" vertical="center" indent="1"/>
      <protection locked="0"/>
    </xf>
    <xf numFmtId="170" fontId="12" fillId="0" borderId="0" xfId="0" applyNumberFormat="1" applyFont="1"/>
    <xf numFmtId="0" fontId="12" fillId="0" borderId="0" xfId="63" applyFont="1" applyAlignment="1">
      <alignment horizontal="left" indent="1"/>
    </xf>
    <xf numFmtId="37" fontId="55" fillId="0" borderId="0" xfId="10" applyFont="1" applyFill="1" applyAlignment="1"/>
    <xf numFmtId="172" fontId="79" fillId="0" borderId="0" xfId="38" applyNumberFormat="1" applyFont="1" applyAlignment="1">
      <alignment horizontal="right"/>
    </xf>
    <xf numFmtId="37" fontId="55" fillId="0" borderId="0" xfId="10" applyFont="1" applyFill="1" applyAlignment="1">
      <alignment vertical="center"/>
    </xf>
    <xf numFmtId="172" fontId="79" fillId="0" borderId="0" xfId="38" applyNumberFormat="1" applyFont="1"/>
    <xf numFmtId="170" fontId="75" fillId="0" borderId="0" xfId="0" applyNumberFormat="1" applyFont="1"/>
    <xf numFmtId="172" fontId="79" fillId="0" borderId="0" xfId="38" applyNumberFormat="1" applyFont="1" applyFill="1"/>
    <xf numFmtId="37" fontId="55" fillId="0" borderId="0" xfId="10" applyFont="1" applyFill="1"/>
    <xf numFmtId="0" fontId="55" fillId="0" borderId="0" xfId="0" applyFont="1"/>
    <xf numFmtId="37" fontId="75" fillId="0" borderId="0" xfId="37" applyFont="1" applyFill="1"/>
    <xf numFmtId="172" fontId="79" fillId="0" borderId="0" xfId="38" applyNumberFormat="1" applyFont="1" applyFill="1" applyBorder="1"/>
    <xf numFmtId="169" fontId="55" fillId="0" borderId="0" xfId="60" applyNumberFormat="1" applyFont="1"/>
    <xf numFmtId="37" fontId="12" fillId="0" borderId="0" xfId="10" quotePrefix="1" applyFont="1" applyFill="1" applyBorder="1" applyAlignment="1" applyProtection="1">
      <alignment horizontal="left" vertical="center"/>
    </xf>
    <xf numFmtId="170" fontId="57" fillId="0" borderId="0" xfId="10" applyNumberFormat="1" applyFont="1" applyFill="1" applyBorder="1"/>
    <xf numFmtId="172" fontId="78" fillId="0" borderId="0" xfId="69" applyNumberFormat="1" applyFont="1" applyFill="1" applyBorder="1"/>
    <xf numFmtId="170" fontId="57" fillId="0" borderId="0" xfId="0" applyNumberFormat="1" applyFont="1"/>
    <xf numFmtId="172" fontId="78" fillId="0" borderId="0" xfId="38" applyNumberFormat="1" applyFont="1" applyBorder="1"/>
    <xf numFmtId="37" fontId="54" fillId="0" borderId="0" xfId="37" applyFont="1"/>
    <xf numFmtId="39" fontId="54" fillId="0" borderId="0" xfId="37" applyNumberFormat="1" applyFont="1"/>
    <xf numFmtId="37" fontId="54" fillId="2" borderId="0" xfId="10" applyFont="1" applyFill="1" applyBorder="1" applyAlignment="1" applyProtection="1">
      <alignment horizontal="right" vertical="center"/>
    </xf>
    <xf numFmtId="37" fontId="54" fillId="2" borderId="0" xfId="10" quotePrefix="1" applyFont="1" applyFill="1" applyBorder="1" applyAlignment="1" applyProtection="1">
      <alignment horizontal="left" vertical="center"/>
    </xf>
    <xf numFmtId="37" fontId="85" fillId="2" borderId="0" xfId="10" applyFont="1" applyFill="1" applyBorder="1" applyAlignment="1" applyProtection="1">
      <alignment horizontal="right" vertical="center"/>
    </xf>
    <xf numFmtId="0" fontId="27" fillId="0" borderId="0" xfId="65"/>
    <xf numFmtId="2" fontId="12" fillId="0" borderId="0" xfId="65" applyNumberFormat="1" applyFont="1"/>
    <xf numFmtId="39" fontId="12" fillId="0" borderId="0" xfId="65" applyNumberFormat="1" applyFont="1"/>
    <xf numFmtId="37" fontId="49" fillId="0" borderId="0" xfId="10" applyFont="1" applyFill="1" applyBorder="1"/>
    <xf numFmtId="9" fontId="27" fillId="0" borderId="0" xfId="69" applyFont="1" applyFill="1" applyBorder="1"/>
    <xf numFmtId="168" fontId="77" fillId="0" borderId="0" xfId="69" applyNumberFormat="1" applyFont="1" applyFill="1" applyBorder="1"/>
    <xf numFmtId="168" fontId="49" fillId="0" borderId="0" xfId="69" applyNumberFormat="1" applyFont="1" applyFill="1" applyBorder="1"/>
    <xf numFmtId="9" fontId="54" fillId="0" borderId="0" xfId="69" applyFont="1" applyFill="1" applyBorder="1"/>
    <xf numFmtId="37" fontId="27" fillId="0" borderId="0" xfId="65" applyNumberFormat="1"/>
    <xf numFmtId="168" fontId="38" fillId="0" borderId="0" xfId="69" applyNumberFormat="1" applyFont="1" applyBorder="1"/>
    <xf numFmtId="168" fontId="57" fillId="0" borderId="0" xfId="69" applyNumberFormat="1" applyFont="1" applyBorder="1"/>
    <xf numFmtId="0" fontId="49" fillId="0" borderId="0" xfId="65" applyFont="1"/>
    <xf numFmtId="168" fontId="88" fillId="0" borderId="0" xfId="69" applyNumberFormat="1" applyFont="1" applyBorder="1"/>
    <xf numFmtId="0" fontId="60" fillId="6" borderId="0" xfId="65" applyFont="1" applyFill="1"/>
    <xf numFmtId="168" fontId="71" fillId="6" borderId="0" xfId="65" applyNumberFormat="1" applyFont="1" applyFill="1"/>
    <xf numFmtId="172" fontId="60" fillId="0" borderId="0" xfId="0" applyNumberFormat="1" applyFont="1"/>
    <xf numFmtId="168" fontId="60" fillId="0" borderId="0" xfId="0" applyNumberFormat="1" applyFont="1"/>
    <xf numFmtId="0" fontId="44" fillId="9" borderId="0" xfId="0" applyFont="1" applyFill="1"/>
    <xf numFmtId="0" fontId="71" fillId="0" borderId="0" xfId="0" applyFont="1"/>
    <xf numFmtId="174" fontId="71" fillId="0" borderId="0" xfId="0" applyNumberFormat="1" applyFont="1"/>
    <xf numFmtId="39" fontId="12" fillId="0" borderId="0" xfId="0" applyNumberFormat="1" applyFont="1" applyAlignment="1">
      <alignment horizontal="right"/>
    </xf>
    <xf numFmtId="0" fontId="12" fillId="9" borderId="0" xfId="57" applyFont="1" applyFill="1"/>
    <xf numFmtId="172" fontId="39" fillId="0" borderId="0" xfId="38" applyNumberFormat="1" applyFont="1" applyBorder="1" applyAlignment="1">
      <alignment horizontal="right"/>
    </xf>
    <xf numFmtId="37" fontId="12" fillId="0" borderId="0" xfId="10" applyFont="1" applyFill="1" applyBorder="1" applyAlignment="1">
      <alignment vertical="center"/>
    </xf>
    <xf numFmtId="190" fontId="12" fillId="0" borderId="0" xfId="0" applyNumberFormat="1" applyFont="1" applyAlignment="1">
      <alignment horizontal="right"/>
    </xf>
    <xf numFmtId="171" fontId="12" fillId="0" borderId="0" xfId="0" applyNumberFormat="1" applyFont="1" applyAlignment="1">
      <alignment horizontal="right"/>
    </xf>
    <xf numFmtId="9" fontId="12" fillId="0" borderId="50" xfId="69" applyFont="1" applyBorder="1"/>
    <xf numFmtId="168" fontId="39" fillId="0" borderId="0" xfId="69" applyNumberFormat="1" applyFont="1" applyBorder="1" applyAlignment="1">
      <alignment horizontal="right"/>
    </xf>
    <xf numFmtId="194" fontId="12" fillId="0" borderId="0" xfId="0" applyNumberFormat="1" applyFont="1" applyAlignment="1">
      <alignment horizontal="right"/>
    </xf>
    <xf numFmtId="9" fontId="12" fillId="0" borderId="0" xfId="69" applyFont="1" applyBorder="1" applyAlignment="1">
      <alignment horizontal="right"/>
    </xf>
    <xf numFmtId="37" fontId="12" fillId="0" borderId="0" xfId="73" applyNumberFormat="1" applyFont="1" applyFill="1" applyBorder="1" applyAlignment="1" applyProtection="1">
      <alignment horizontal="right" vertical="center"/>
    </xf>
    <xf numFmtId="37" fontId="57" fillId="0" borderId="0" xfId="10" applyFont="1" applyFill="1"/>
    <xf numFmtId="37" fontId="55" fillId="0" borderId="0" xfId="60" applyNumberFormat="1" applyFont="1"/>
    <xf numFmtId="37" fontId="12" fillId="0" borderId="0" xfId="60" applyNumberFormat="1" applyFont="1"/>
    <xf numFmtId="37" fontId="54" fillId="0" borderId="0" xfId="60" applyNumberFormat="1" applyFont="1"/>
    <xf numFmtId="37" fontId="75" fillId="0" borderId="0" xfId="10" applyFont="1" applyFill="1" applyAlignment="1">
      <alignment vertical="center"/>
    </xf>
    <xf numFmtId="9" fontId="39" fillId="0" borderId="0" xfId="57" applyNumberFormat="1" applyFont="1"/>
    <xf numFmtId="37" fontId="83" fillId="0" borderId="0" xfId="73" applyNumberFormat="1" applyFont="1" applyFill="1" applyBorder="1" applyAlignment="1" applyProtection="1">
      <alignment horizontal="right" vertical="center"/>
    </xf>
    <xf numFmtId="37" fontId="83" fillId="2" borderId="0" xfId="73" applyNumberFormat="1" applyFont="1" applyFill="1" applyBorder="1" applyAlignment="1" applyProtection="1">
      <alignment horizontal="right" vertical="center"/>
    </xf>
    <xf numFmtId="37" fontId="85" fillId="2" borderId="0" xfId="73" applyNumberFormat="1" applyFont="1" applyFill="1" applyBorder="1" applyAlignment="1" applyProtection="1">
      <alignment horizontal="right" vertical="center"/>
    </xf>
    <xf numFmtId="37" fontId="12" fillId="0" borderId="0" xfId="37" applyFont="1" applyBorder="1"/>
    <xf numFmtId="39" fontId="12" fillId="0" borderId="0" xfId="37" applyNumberFormat="1" applyFont="1" applyBorder="1"/>
    <xf numFmtId="37" fontId="54" fillId="0" borderId="0" xfId="65" applyNumberFormat="1" applyFont="1"/>
    <xf numFmtId="37" fontId="38" fillId="0" borderId="0" xfId="63" applyNumberFormat="1" applyFont="1"/>
    <xf numFmtId="37" fontId="12" fillId="0" borderId="0" xfId="63" applyNumberFormat="1" applyFont="1"/>
    <xf numFmtId="37" fontId="54" fillId="0" borderId="0" xfId="37" applyFont="1" applyFill="1"/>
    <xf numFmtId="37" fontId="39" fillId="0" borderId="0" xfId="10" applyFont="1" applyFill="1" applyBorder="1"/>
    <xf numFmtId="37" fontId="61" fillId="0" borderId="0" xfId="0" applyNumberFormat="1" applyFont="1"/>
    <xf numFmtId="37" fontId="76" fillId="0" borderId="0" xfId="0" applyNumberFormat="1" applyFont="1"/>
    <xf numFmtId="37" fontId="52" fillId="0" borderId="0" xfId="57" applyNumberFormat="1" applyFont="1"/>
    <xf numFmtId="37" fontId="12" fillId="0" borderId="0" xfId="57" applyNumberFormat="1" applyFont="1" applyAlignment="1">
      <alignment horizontal="right"/>
    </xf>
    <xf numFmtId="37" fontId="38" fillId="0" borderId="0" xfId="57" applyNumberFormat="1" applyFont="1" applyAlignment="1">
      <alignment horizontal="centerContinuous"/>
    </xf>
    <xf numFmtId="0" fontId="12" fillId="0" borderId="0" xfId="0" applyFont="1" applyAlignment="1">
      <alignment horizontal="center"/>
    </xf>
    <xf numFmtId="0" fontId="38" fillId="12" borderId="0" xfId="0" applyFont="1" applyFill="1" applyAlignment="1">
      <alignment horizontal="center"/>
    </xf>
    <xf numFmtId="39" fontId="61" fillId="6" borderId="34" xfId="0" applyNumberFormat="1" applyFont="1" applyFill="1" applyBorder="1"/>
    <xf numFmtId="0" fontId="61" fillId="6" borderId="33" xfId="0" applyFont="1" applyFill="1" applyBorder="1"/>
    <xf numFmtId="39" fontId="61" fillId="6" borderId="33" xfId="0" applyNumberFormat="1" applyFont="1" applyFill="1" applyBorder="1"/>
    <xf numFmtId="168" fontId="60" fillId="6" borderId="0" xfId="69" applyNumberFormat="1" applyFont="1" applyFill="1"/>
    <xf numFmtId="168" fontId="39" fillId="0" borderId="0" xfId="69" applyNumberFormat="1" applyFont="1" applyAlignment="1">
      <alignment horizontal="right"/>
    </xf>
    <xf numFmtId="37" fontId="54" fillId="0" borderId="0" xfId="57" applyNumberFormat="1" applyFont="1" applyAlignment="1">
      <alignment horizontal="right"/>
    </xf>
    <xf numFmtId="164" fontId="54" fillId="0" borderId="0" xfId="57" applyNumberFormat="1" applyFont="1"/>
    <xf numFmtId="37" fontId="57" fillId="0" borderId="0" xfId="57" applyNumberFormat="1" applyFont="1" applyAlignment="1">
      <alignment horizontal="centerContinuous"/>
    </xf>
    <xf numFmtId="186" fontId="57" fillId="0" borderId="0" xfId="57" applyNumberFormat="1" applyFont="1" applyAlignment="1">
      <alignment horizontal="centerContinuous"/>
    </xf>
    <xf numFmtId="9" fontId="78" fillId="0" borderId="0" xfId="57" applyNumberFormat="1" applyFont="1"/>
    <xf numFmtId="168" fontId="78" fillId="0" borderId="0" xfId="69" applyNumberFormat="1" applyFont="1" applyAlignment="1"/>
    <xf numFmtId="168" fontId="78" fillId="0" borderId="0" xfId="0" applyNumberFormat="1" applyFont="1"/>
    <xf numFmtId="37" fontId="54" fillId="0" borderId="0" xfId="10" applyFont="1" applyAlignment="1"/>
    <xf numFmtId="168" fontId="78" fillId="0" borderId="0" xfId="69" applyNumberFormat="1" applyFont="1" applyBorder="1" applyAlignment="1"/>
    <xf numFmtId="171" fontId="54" fillId="0" borderId="0" xfId="10" applyNumberFormat="1" applyFont="1" applyBorder="1" applyAlignment="1"/>
    <xf numFmtId="1" fontId="54" fillId="0" borderId="0" xfId="0" applyNumberFormat="1" applyFont="1"/>
    <xf numFmtId="184" fontId="54" fillId="0" borderId="0" xfId="0" applyNumberFormat="1" applyFont="1"/>
    <xf numFmtId="39" fontId="54" fillId="0" borderId="0" xfId="0" applyNumberFormat="1" applyFont="1"/>
    <xf numFmtId="171" fontId="54" fillId="0" borderId="0" xfId="10" applyNumberFormat="1" applyFont="1" applyFill="1" applyAlignment="1"/>
    <xf numFmtId="168" fontId="78" fillId="0" borderId="0" xfId="69" applyNumberFormat="1" applyFont="1" applyFill="1" applyBorder="1" applyAlignment="1"/>
    <xf numFmtId="170" fontId="54" fillId="0" borderId="0" xfId="10" applyNumberFormat="1" applyFont="1" applyAlignment="1"/>
    <xf numFmtId="0" fontId="54" fillId="0" borderId="0" xfId="0" applyFont="1" applyAlignment="1">
      <alignment horizontal="center"/>
    </xf>
    <xf numFmtId="37" fontId="38" fillId="0" borderId="0" xfId="10" applyFont="1" applyFill="1"/>
    <xf numFmtId="182" fontId="70" fillId="9" borderId="0" xfId="61" applyNumberFormat="1" applyFont="1" applyFill="1" applyAlignment="1">
      <alignment horizontal="left" vertical="center"/>
    </xf>
    <xf numFmtId="0" fontId="61" fillId="6" borderId="32" xfId="0" applyFont="1" applyFill="1" applyBorder="1" applyAlignment="1">
      <alignment horizontal="center"/>
    </xf>
    <xf numFmtId="187" fontId="39" fillId="0" borderId="0" xfId="57" applyNumberFormat="1" applyFont="1" applyAlignment="1">
      <alignment horizontal="right"/>
    </xf>
    <xf numFmtId="0" fontId="12" fillId="12" borderId="0" xfId="0" applyFont="1" applyFill="1"/>
    <xf numFmtId="0" fontId="45" fillId="12" borderId="0" xfId="0" applyFont="1" applyFill="1" applyAlignment="1">
      <alignment horizontal="left"/>
    </xf>
    <xf numFmtId="9" fontId="12" fillId="9" borderId="0" xfId="69" applyFont="1" applyFill="1"/>
    <xf numFmtId="173" fontId="39" fillId="0" borderId="0" xfId="69" applyNumberFormat="1" applyFont="1" applyFill="1" applyAlignment="1">
      <alignment horizontal="right"/>
    </xf>
    <xf numFmtId="0" fontId="70" fillId="9" borderId="0" xfId="57" applyFont="1" applyFill="1" applyAlignment="1">
      <alignment horizontal="left"/>
    </xf>
    <xf numFmtId="3" fontId="60" fillId="6" borderId="54" xfId="0" applyNumberFormat="1" applyFont="1" applyFill="1" applyBorder="1" applyAlignment="1">
      <alignment horizontal="center"/>
    </xf>
    <xf numFmtId="3" fontId="61" fillId="6" borderId="53" xfId="0" applyNumberFormat="1" applyFont="1" applyFill="1" applyBorder="1" applyAlignment="1">
      <alignment horizontal="center"/>
    </xf>
    <xf numFmtId="9" fontId="12" fillId="0" borderId="0" xfId="0" applyNumberFormat="1" applyFont="1" applyAlignment="1">
      <alignment horizontal="left"/>
    </xf>
    <xf numFmtId="0" fontId="35" fillId="9" borderId="55" xfId="0" applyFont="1" applyFill="1" applyBorder="1"/>
    <xf numFmtId="16" fontId="12" fillId="0" borderId="56" xfId="0" applyNumberFormat="1" applyFont="1" applyBorder="1" applyAlignment="1">
      <alignment horizontal="left"/>
    </xf>
    <xf numFmtId="0" fontId="28" fillId="9" borderId="55" xfId="0" applyFont="1" applyFill="1" applyBorder="1"/>
    <xf numFmtId="0" fontId="12" fillId="0" borderId="17" xfId="0" applyFont="1" applyBorder="1" applyAlignment="1">
      <alignment horizontal="left" indent="1"/>
    </xf>
    <xf numFmtId="0" fontId="12" fillId="0" borderId="17" xfId="62" applyFont="1" applyBorder="1" applyAlignment="1">
      <alignment horizontal="left" indent="1"/>
    </xf>
    <xf numFmtId="0" fontId="12" fillId="0" borderId="20" xfId="0" applyFont="1" applyBorder="1" applyAlignment="1">
      <alignment horizontal="center"/>
    </xf>
    <xf numFmtId="0" fontId="12" fillId="0" borderId="54" xfId="0" applyFont="1" applyBorder="1"/>
    <xf numFmtId="1" fontId="38" fillId="8" borderId="20" xfId="0" applyNumberFormat="1" applyFont="1" applyFill="1" applyBorder="1" applyAlignment="1">
      <alignment horizontal="right"/>
    </xf>
    <xf numFmtId="168" fontId="12" fillId="0" borderId="0" xfId="69" applyNumberFormat="1" applyFont="1" applyBorder="1" applyAlignment="1">
      <alignment horizontal="center"/>
    </xf>
    <xf numFmtId="168" fontId="12" fillId="0" borderId="0" xfId="69" applyNumberFormat="1" applyFont="1" applyFill="1" applyBorder="1" applyAlignment="1">
      <alignment horizontal="center"/>
    </xf>
    <xf numFmtId="9" fontId="12" fillId="0" borderId="0" xfId="0" applyNumberFormat="1" applyFont="1" applyAlignment="1">
      <alignment horizontal="center"/>
    </xf>
    <xf numFmtId="0" fontId="12" fillId="0" borderId="20" xfId="0" applyFont="1" applyBorder="1" applyAlignment="1">
      <alignment horizontal="left" indent="1"/>
    </xf>
    <xf numFmtId="169" fontId="12" fillId="0" borderId="20" xfId="12" applyNumberFormat="1" applyFont="1" applyBorder="1"/>
    <xf numFmtId="168" fontId="12" fillId="0" borderId="20" xfId="69" applyNumberFormat="1" applyFont="1" applyBorder="1" applyAlignment="1">
      <alignment horizontal="center"/>
    </xf>
    <xf numFmtId="0" fontId="12" fillId="0" borderId="20" xfId="0" applyFont="1" applyBorder="1" applyAlignment="1">
      <alignment horizontal="left"/>
    </xf>
    <xf numFmtId="0" fontId="74" fillId="2" borderId="0" xfId="0" applyFont="1" applyFill="1" applyAlignment="1">
      <alignment horizontal="justify" wrapText="1"/>
    </xf>
    <xf numFmtId="181" fontId="43" fillId="2" borderId="0" xfId="0" applyNumberFormat="1" applyFont="1" applyFill="1" applyAlignment="1">
      <alignment horizontal="justify" wrapText="1"/>
    </xf>
    <xf numFmtId="0" fontId="43" fillId="2" borderId="0" xfId="0" applyFont="1" applyFill="1" applyAlignment="1">
      <alignment horizontal="justify" wrapText="1"/>
    </xf>
    <xf numFmtId="0" fontId="38" fillId="12" borderId="20" xfId="0" applyFont="1" applyFill="1" applyBorder="1"/>
    <xf numFmtId="0" fontId="12" fillId="12" borderId="20" xfId="0" applyFont="1" applyFill="1" applyBorder="1" applyAlignment="1">
      <alignment horizontal="right"/>
    </xf>
    <xf numFmtId="0" fontId="12" fillId="12" borderId="20" xfId="0" applyFont="1" applyFill="1" applyBorder="1" applyAlignment="1">
      <alignment horizontal="center"/>
    </xf>
    <xf numFmtId="0" fontId="12" fillId="12" borderId="20" xfId="0" applyFont="1" applyFill="1" applyBorder="1" applyAlignment="1">
      <alignment horizontal="left"/>
    </xf>
    <xf numFmtId="0" fontId="52" fillId="0" borderId="0" xfId="0" applyFont="1" applyAlignment="1">
      <alignment horizontal="center"/>
    </xf>
    <xf numFmtId="0" fontId="45" fillId="9" borderId="0" xfId="0" applyFont="1" applyFill="1" applyAlignment="1">
      <alignment horizontal="center"/>
    </xf>
    <xf numFmtId="0" fontId="45" fillId="9" borderId="0" xfId="0" applyFont="1" applyFill="1" applyAlignment="1">
      <alignment horizontal="left"/>
    </xf>
    <xf numFmtId="168" fontId="12" fillId="0" borderId="51" xfId="69" applyNumberFormat="1" applyFont="1" applyFill="1" applyBorder="1" applyAlignment="1">
      <alignment horizontal="right"/>
    </xf>
    <xf numFmtId="211" fontId="12" fillId="0" borderId="40" xfId="69" applyNumberFormat="1" applyFont="1" applyBorder="1" applyAlignment="1">
      <alignment horizontal="right"/>
    </xf>
    <xf numFmtId="9" fontId="12" fillId="0" borderId="58" xfId="69" applyFont="1" applyBorder="1" applyAlignment="1">
      <alignment horizontal="right"/>
    </xf>
    <xf numFmtId="14" fontId="39" fillId="0" borderId="0" xfId="0" applyNumberFormat="1" applyFont="1"/>
    <xf numFmtId="0" fontId="38" fillId="12" borderId="0" xfId="0" applyFont="1" applyFill="1"/>
    <xf numFmtId="174" fontId="12" fillId="0" borderId="0" xfId="0" applyNumberFormat="1" applyFont="1"/>
    <xf numFmtId="0" fontId="12" fillId="0" borderId="60" xfId="0" applyFont="1" applyBorder="1"/>
    <xf numFmtId="173" fontId="50" fillId="0" borderId="0" xfId="70" applyNumberFormat="1" applyFont="1" applyFill="1" applyBorder="1"/>
    <xf numFmtId="17" fontId="45" fillId="9" borderId="0" xfId="61" applyNumberFormat="1" applyFont="1" applyFill="1" applyAlignment="1">
      <alignment horizontal="left" vertical="center"/>
    </xf>
    <xf numFmtId="0" fontId="66" fillId="12" borderId="0" xfId="0" applyFont="1" applyFill="1"/>
    <xf numFmtId="0" fontId="45" fillId="13" borderId="0" xfId="0" applyFont="1" applyFill="1"/>
    <xf numFmtId="0" fontId="45" fillId="13" borderId="0" xfId="0" applyFont="1" applyFill="1" applyAlignment="1">
      <alignment horizontal="right"/>
    </xf>
    <xf numFmtId="0" fontId="38" fillId="0" borderId="0" xfId="0" applyFont="1" applyAlignment="1">
      <alignment horizontal="left" indent="1"/>
    </xf>
    <xf numFmtId="168" fontId="78" fillId="0" borderId="0" xfId="69" applyNumberFormat="1" applyFont="1" applyBorder="1"/>
    <xf numFmtId="194" fontId="54" fillId="0" borderId="0" xfId="0" applyNumberFormat="1" applyFont="1"/>
    <xf numFmtId="168" fontId="78" fillId="0" borderId="0" xfId="69" applyNumberFormat="1" applyFont="1" applyBorder="1" applyAlignment="1">
      <alignment horizontal="right"/>
    </xf>
    <xf numFmtId="39" fontId="54" fillId="0" borderId="0" xfId="0" applyNumberFormat="1" applyFont="1" applyAlignment="1">
      <alignment horizontal="right"/>
    </xf>
    <xf numFmtId="194" fontId="54" fillId="0" borderId="0" xfId="0" applyNumberFormat="1" applyFont="1" applyAlignment="1">
      <alignment horizontal="right"/>
    </xf>
    <xf numFmtId="168" fontId="54" fillId="0" borderId="0" xfId="69" applyNumberFormat="1" applyFont="1" applyBorder="1" applyAlignment="1">
      <alignment horizontal="right"/>
    </xf>
    <xf numFmtId="196" fontId="54" fillId="0" borderId="0" xfId="0" applyNumberFormat="1" applyFont="1" applyAlignment="1">
      <alignment horizontal="right"/>
    </xf>
    <xf numFmtId="204" fontId="78" fillId="0" borderId="0" xfId="69" applyNumberFormat="1" applyFont="1" applyBorder="1" applyAlignment="1">
      <alignment horizontal="right"/>
    </xf>
    <xf numFmtId="201" fontId="54" fillId="0" borderId="0" xfId="62" applyNumberFormat="1" applyFont="1" applyAlignment="1">
      <alignment horizontal="right"/>
    </xf>
    <xf numFmtId="190" fontId="54" fillId="0" borderId="0" xfId="62" applyNumberFormat="1" applyFont="1" applyAlignment="1">
      <alignment horizontal="right"/>
    </xf>
    <xf numFmtId="203" fontId="54" fillId="0" borderId="0" xfId="62" applyNumberFormat="1" applyFont="1" applyAlignment="1">
      <alignment horizontal="right"/>
    </xf>
    <xf numFmtId="9" fontId="12" fillId="0" borderId="20" xfId="69" applyFont="1" applyBorder="1" applyAlignment="1">
      <alignment horizontal="right"/>
    </xf>
    <xf numFmtId="37" fontId="54" fillId="0" borderId="0" xfId="0" applyNumberFormat="1" applyFont="1" applyAlignment="1">
      <alignment horizontal="right"/>
    </xf>
    <xf numFmtId="9" fontId="54" fillId="0" borderId="20" xfId="69" applyFont="1" applyBorder="1" applyAlignment="1">
      <alignment horizontal="right"/>
    </xf>
    <xf numFmtId="171" fontId="54" fillId="0" borderId="0" xfId="0" applyNumberFormat="1" applyFont="1"/>
    <xf numFmtId="171" fontId="54" fillId="0" borderId="0" xfId="0" applyNumberFormat="1" applyFont="1" applyAlignment="1">
      <alignment horizontal="right"/>
    </xf>
    <xf numFmtId="183" fontId="38" fillId="0" borderId="0" xfId="0" applyNumberFormat="1" applyFont="1" applyAlignment="1">
      <alignment horizontal="left" indent="1"/>
    </xf>
    <xf numFmtId="183" fontId="12" fillId="0" borderId="0" xfId="0" applyNumberFormat="1" applyFont="1" applyAlignment="1">
      <alignment horizontal="left" indent="2"/>
    </xf>
    <xf numFmtId="0" fontId="38" fillId="0" borderId="0" xfId="60" applyFont="1"/>
    <xf numFmtId="212" fontId="57" fillId="0" borderId="0" xfId="63" applyNumberFormat="1" applyFont="1"/>
    <xf numFmtId="172" fontId="71" fillId="0" borderId="0" xfId="38" applyNumberFormat="1" applyFont="1" applyFill="1" applyBorder="1"/>
    <xf numFmtId="0" fontId="39" fillId="0" borderId="0" xfId="57" applyFont="1" applyAlignment="1">
      <alignment horizontal="left" indent="1"/>
    </xf>
    <xf numFmtId="172" fontId="71" fillId="0" borderId="0" xfId="57" applyNumberFormat="1" applyFont="1"/>
    <xf numFmtId="0" fontId="12" fillId="0" borderId="0" xfId="57" quotePrefix="1" applyFont="1" applyAlignment="1">
      <alignment horizontal="left" indent="1"/>
    </xf>
    <xf numFmtId="37" fontId="60" fillId="6" borderId="0" xfId="57" applyNumberFormat="1" applyFont="1" applyFill="1"/>
    <xf numFmtId="168" fontId="71" fillId="0" borderId="0" xfId="57" applyNumberFormat="1" applyFont="1"/>
    <xf numFmtId="37" fontId="60" fillId="0" borderId="0" xfId="57" applyNumberFormat="1" applyFont="1"/>
    <xf numFmtId="0" fontId="59" fillId="0" borderId="0" xfId="0" applyFont="1"/>
    <xf numFmtId="3" fontId="61" fillId="6" borderId="32" xfId="0" applyNumberFormat="1" applyFont="1" applyFill="1" applyBorder="1"/>
    <xf numFmtId="198" fontId="67" fillId="0" borderId="0" xfId="0" applyNumberFormat="1" applyFont="1" applyAlignment="1">
      <alignment horizontal="right"/>
    </xf>
    <xf numFmtId="37" fontId="60" fillId="0" borderId="0" xfId="10" applyFont="1" applyFill="1" applyAlignment="1">
      <alignment horizontal="right"/>
    </xf>
    <xf numFmtId="0" fontId="39" fillId="0" borderId="0" xfId="60" applyFont="1" applyAlignment="1">
      <alignment horizontal="left" indent="1"/>
    </xf>
    <xf numFmtId="168" fontId="12" fillId="0" borderId="0" xfId="0" applyNumberFormat="1" applyFont="1"/>
    <xf numFmtId="205" fontId="12" fillId="0" borderId="0" xfId="0" applyNumberFormat="1" applyFont="1"/>
    <xf numFmtId="0" fontId="96" fillId="0" borderId="0" xfId="0" applyFont="1"/>
    <xf numFmtId="37" fontId="96" fillId="0" borderId="0" xfId="0" applyNumberFormat="1" applyFont="1"/>
    <xf numFmtId="182" fontId="12" fillId="0" borderId="0" xfId="12" applyNumberFormat="1" applyFont="1" applyBorder="1"/>
    <xf numFmtId="0" fontId="95" fillId="9" borderId="0" xfId="0" applyFont="1" applyFill="1"/>
    <xf numFmtId="0" fontId="45" fillId="9" borderId="0" xfId="63" applyFont="1" applyFill="1"/>
    <xf numFmtId="0" fontId="44" fillId="9" borderId="0" xfId="63" applyFont="1" applyFill="1"/>
    <xf numFmtId="37" fontId="12" fillId="9" borderId="0" xfId="10" applyFont="1" applyFill="1" applyBorder="1" applyAlignment="1"/>
    <xf numFmtId="168" fontId="45" fillId="9" borderId="0" xfId="0" applyNumberFormat="1" applyFont="1" applyFill="1"/>
    <xf numFmtId="37" fontId="38" fillId="0" borderId="0" xfId="69" applyNumberFormat="1" applyFont="1" applyBorder="1"/>
    <xf numFmtId="37" fontId="57" fillId="0" borderId="0" xfId="69" applyNumberFormat="1" applyFont="1" applyBorder="1"/>
    <xf numFmtId="37" fontId="86" fillId="0" borderId="0" xfId="10" applyFont="1" applyBorder="1"/>
    <xf numFmtId="168" fontId="60" fillId="6" borderId="0" xfId="0" applyNumberFormat="1" applyFont="1" applyFill="1"/>
    <xf numFmtId="168" fontId="71" fillId="6" borderId="0" xfId="69" applyNumberFormat="1" applyFont="1" applyFill="1" applyBorder="1"/>
    <xf numFmtId="0" fontId="87" fillId="0" borderId="0" xfId="61" applyNumberFormat="1" applyFont="1" applyAlignment="1">
      <alignment horizontal="right" vertical="center"/>
    </xf>
    <xf numFmtId="168" fontId="39" fillId="0" borderId="0" xfId="69" applyNumberFormat="1" applyFont="1" applyFill="1" applyBorder="1" applyAlignment="1">
      <alignment horizontal="right" vertical="center"/>
    </xf>
    <xf numFmtId="37" fontId="60" fillId="6" borderId="0" xfId="10" applyFont="1" applyFill="1" applyBorder="1"/>
    <xf numFmtId="37" fontId="49" fillId="0" borderId="0" xfId="10" applyFont="1" applyBorder="1"/>
    <xf numFmtId="37" fontId="54" fillId="0" borderId="0" xfId="10" applyFont="1" applyBorder="1"/>
    <xf numFmtId="37" fontId="51" fillId="0" borderId="0" xfId="10" applyFont="1" applyFill="1" applyBorder="1" applyAlignment="1">
      <alignment horizontal="right" vertical="center"/>
    </xf>
    <xf numFmtId="37" fontId="49" fillId="0" borderId="0" xfId="10" applyFont="1" applyFill="1" applyBorder="1" applyAlignment="1">
      <alignment horizontal="right" vertical="center"/>
    </xf>
    <xf numFmtId="39" fontId="60" fillId="6" borderId="0" xfId="10" applyNumberFormat="1" applyFont="1" applyFill="1" applyBorder="1" applyAlignment="1">
      <alignment horizontal="right" vertical="center"/>
    </xf>
    <xf numFmtId="168" fontId="71" fillId="6" borderId="0" xfId="69" applyNumberFormat="1" applyFont="1" applyFill="1" applyBorder="1" applyAlignment="1">
      <alignment horizontal="right" vertical="center"/>
    </xf>
    <xf numFmtId="39" fontId="38" fillId="0" borderId="0" xfId="10" applyNumberFormat="1" applyFont="1" applyBorder="1"/>
    <xf numFmtId="181" fontId="45" fillId="9" borderId="0" xfId="61" applyNumberFormat="1" applyFont="1" applyFill="1" applyAlignment="1">
      <alignment horizontal="right" vertical="center"/>
    </xf>
    <xf numFmtId="0" fontId="38" fillId="0" borderId="61" xfId="65" applyFont="1" applyBorder="1" applyAlignment="1">
      <alignment horizontal="center"/>
    </xf>
    <xf numFmtId="37" fontId="88" fillId="0" borderId="0" xfId="10" applyFont="1" applyBorder="1"/>
    <xf numFmtId="0" fontId="39" fillId="0" borderId="0" xfId="65" applyFont="1"/>
    <xf numFmtId="168" fontId="97" fillId="0" borderId="0" xfId="69" applyNumberFormat="1" applyFont="1" applyBorder="1"/>
    <xf numFmtId="192" fontId="12" fillId="0" borderId="39" xfId="0" applyNumberFormat="1" applyFont="1" applyBorder="1" applyAlignment="1">
      <alignment horizontal="center"/>
    </xf>
    <xf numFmtId="0" fontId="70" fillId="4" borderId="0" xfId="0" applyFont="1" applyFill="1"/>
    <xf numFmtId="0" fontId="70" fillId="4" borderId="0" xfId="0" applyFont="1" applyFill="1" applyAlignment="1">
      <alignment horizontal="center"/>
    </xf>
    <xf numFmtId="9" fontId="78" fillId="0" borderId="0" xfId="0" applyNumberFormat="1" applyFont="1" applyAlignment="1">
      <alignment horizontal="right"/>
    </xf>
    <xf numFmtId="172" fontId="54" fillId="0" borderId="0" xfId="0" applyNumberFormat="1" applyFont="1"/>
    <xf numFmtId="174" fontId="78" fillId="0" borderId="0" xfId="0" applyNumberFormat="1" applyFont="1"/>
    <xf numFmtId="174" fontId="54" fillId="0" borderId="0" xfId="0" applyNumberFormat="1" applyFont="1"/>
    <xf numFmtId="37" fontId="54" fillId="2" borderId="0" xfId="0" applyNumberFormat="1" applyFont="1" applyFill="1"/>
    <xf numFmtId="37" fontId="57" fillId="0" borderId="0" xfId="37" applyFont="1" applyBorder="1"/>
    <xf numFmtId="170" fontId="12" fillId="0" borderId="0" xfId="10" applyNumberFormat="1" applyFont="1" applyFill="1" applyBorder="1" applyAlignment="1">
      <alignment horizontal="left" indent="1"/>
    </xf>
    <xf numFmtId="37" fontId="55" fillId="0" borderId="0" xfId="10" applyFont="1" applyFill="1" applyBorder="1" applyAlignment="1">
      <alignment vertical="center"/>
    </xf>
    <xf numFmtId="37" fontId="54" fillId="0" borderId="0" xfId="10" applyFont="1" applyFill="1" applyBorder="1" applyAlignment="1">
      <alignment vertical="center"/>
    </xf>
    <xf numFmtId="173" fontId="78" fillId="0" borderId="0" xfId="69" applyNumberFormat="1" applyFont="1" applyFill="1" applyAlignment="1">
      <alignment horizontal="right"/>
    </xf>
    <xf numFmtId="172" fontId="78" fillId="0" borderId="0" xfId="69" quotePrefix="1" applyNumberFormat="1" applyFont="1" applyFill="1" applyAlignment="1">
      <alignment horizontal="right"/>
    </xf>
    <xf numFmtId="0" fontId="38" fillId="0" borderId="0" xfId="75" applyFont="1" applyProtection="1">
      <protection locked="0"/>
    </xf>
    <xf numFmtId="39" fontId="38" fillId="0" borderId="0" xfId="10" applyNumberFormat="1" applyFont="1" applyFill="1"/>
    <xf numFmtId="37" fontId="38" fillId="0" borderId="0" xfId="37" applyFont="1" applyBorder="1"/>
    <xf numFmtId="0" fontId="39" fillId="0" borderId="39" xfId="57" applyFont="1" applyBorder="1" applyAlignment="1">
      <alignment horizontal="left"/>
    </xf>
    <xf numFmtId="186" fontId="38" fillId="0" borderId="39" xfId="57" quotePrefix="1" applyNumberFormat="1" applyFont="1" applyBorder="1" applyAlignment="1">
      <alignment horizontal="center"/>
    </xf>
    <xf numFmtId="17" fontId="70" fillId="12" borderId="0" xfId="0" applyNumberFormat="1" applyFont="1" applyFill="1" applyAlignment="1">
      <alignment horizontal="center"/>
    </xf>
    <xf numFmtId="17" fontId="38" fillId="0" borderId="39" xfId="0" applyNumberFormat="1" applyFont="1" applyBorder="1" applyAlignment="1">
      <alignment horizontal="center"/>
    </xf>
    <xf numFmtId="192" fontId="38" fillId="0" borderId="39" xfId="0" applyNumberFormat="1" applyFont="1" applyBorder="1" applyAlignment="1">
      <alignment horizontal="center"/>
    </xf>
    <xf numFmtId="17" fontId="70" fillId="9" borderId="0" xfId="61" applyNumberFormat="1" applyFont="1" applyFill="1" applyAlignment="1">
      <alignment horizontal="center" vertical="center"/>
    </xf>
    <xf numFmtId="169" fontId="57" fillId="0" borderId="0" xfId="57" applyNumberFormat="1" applyFont="1"/>
    <xf numFmtId="17" fontId="38" fillId="0" borderId="39" xfId="61" applyNumberFormat="1" applyFont="1" applyBorder="1" applyAlignment="1">
      <alignment horizontal="center" vertical="center"/>
    </xf>
    <xf numFmtId="17" fontId="45" fillId="9" borderId="0" xfId="61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left"/>
    </xf>
    <xf numFmtId="0" fontId="96" fillId="0" borderId="0" xfId="0" applyFont="1" applyAlignment="1">
      <alignment horizontal="left" indent="1"/>
    </xf>
    <xf numFmtId="0" fontId="67" fillId="0" borderId="0" xfId="0" applyFont="1" applyAlignment="1">
      <alignment horizontal="left" indent="1"/>
    </xf>
    <xf numFmtId="193" fontId="12" fillId="0" borderId="0" xfId="57" applyNumberFormat="1" applyFont="1" applyAlignment="1">
      <alignment horizontal="right"/>
    </xf>
    <xf numFmtId="193" fontId="54" fillId="0" borderId="0" xfId="57" applyNumberFormat="1" applyFont="1" applyAlignment="1">
      <alignment horizontal="right"/>
    </xf>
    <xf numFmtId="183" fontId="12" fillId="0" borderId="0" xfId="0" applyNumberFormat="1" applyFont="1"/>
    <xf numFmtId="171" fontId="61" fillId="0" borderId="0" xfId="0" applyNumberFormat="1" applyFont="1"/>
    <xf numFmtId="171" fontId="60" fillId="0" borderId="0" xfId="0" applyNumberFormat="1" applyFont="1"/>
    <xf numFmtId="171" fontId="12" fillId="0" borderId="0" xfId="57" applyNumberFormat="1" applyFont="1" applyAlignment="1">
      <alignment horizontal="right"/>
    </xf>
    <xf numFmtId="0" fontId="21" fillId="0" borderId="0" xfId="0" applyFont="1"/>
    <xf numFmtId="0" fontId="38" fillId="0" borderId="24" xfId="0" applyFont="1" applyBorder="1" applyAlignment="1">
      <alignment horizontal="right"/>
    </xf>
    <xf numFmtId="0" fontId="38" fillId="0" borderId="24" xfId="0" applyFont="1" applyBorder="1" applyAlignment="1">
      <alignment horizontal="left"/>
    </xf>
    <xf numFmtId="9" fontId="39" fillId="0" borderId="0" xfId="69" applyFont="1" applyFill="1" applyAlignment="1">
      <alignment horizontal="center"/>
    </xf>
    <xf numFmtId="3" fontId="12" fillId="0" borderId="0" xfId="0" applyNumberFormat="1" applyFont="1" applyAlignment="1">
      <alignment horizontal="center"/>
    </xf>
    <xf numFmtId="3" fontId="54" fillId="0" borderId="0" xfId="0" applyNumberFormat="1" applyFont="1" applyAlignment="1">
      <alignment horizontal="center"/>
    </xf>
    <xf numFmtId="3" fontId="60" fillId="6" borderId="0" xfId="0" applyNumberFormat="1" applyFont="1" applyFill="1" applyAlignment="1">
      <alignment horizontal="center"/>
    </xf>
    <xf numFmtId="0" fontId="60" fillId="0" borderId="0" xfId="0" applyFont="1" applyAlignment="1">
      <alignment horizontal="center"/>
    </xf>
    <xf numFmtId="3" fontId="60" fillId="7" borderId="0" xfId="0" applyNumberFormat="1" applyFont="1" applyFill="1" applyAlignment="1">
      <alignment horizontal="center"/>
    </xf>
    <xf numFmtId="3" fontId="12" fillId="8" borderId="0" xfId="0" applyNumberFormat="1" applyFont="1" applyFill="1" applyAlignment="1">
      <alignment horizontal="center"/>
    </xf>
    <xf numFmtId="195" fontId="55" fillId="5" borderId="0" xfId="0" applyNumberFormat="1" applyFont="1" applyFill="1" applyAlignment="1">
      <alignment horizontal="center"/>
    </xf>
    <xf numFmtId="0" fontId="38" fillId="0" borderId="0" xfId="0" applyFont="1" applyAlignment="1">
      <alignment horizontal="left" indent="2"/>
    </xf>
    <xf numFmtId="187" fontId="39" fillId="0" borderId="0" xfId="57" quotePrefix="1" applyNumberFormat="1" applyFont="1" applyAlignment="1">
      <alignment horizontal="left"/>
    </xf>
    <xf numFmtId="0" fontId="46" fillId="0" borderId="0" xfId="57" applyFont="1" applyAlignment="1">
      <alignment horizontal="center"/>
    </xf>
    <xf numFmtId="169" fontId="39" fillId="0" borderId="0" xfId="10" applyNumberFormat="1" applyFont="1" applyFill="1" applyBorder="1"/>
    <xf numFmtId="0" fontId="39" fillId="0" borderId="0" xfId="0" applyFont="1" applyAlignment="1">
      <alignment horizontal="right"/>
    </xf>
    <xf numFmtId="0" fontId="12" fillId="0" borderId="39" xfId="59" applyFont="1" applyBorder="1" applyAlignment="1">
      <alignment vertical="center"/>
    </xf>
    <xf numFmtId="0" fontId="12" fillId="0" borderId="39" xfId="57" applyFont="1" applyBorder="1"/>
    <xf numFmtId="0" fontId="54" fillId="0" borderId="39" xfId="57" applyFont="1" applyBorder="1"/>
    <xf numFmtId="0" fontId="39" fillId="0" borderId="8" xfId="57" applyFont="1" applyBorder="1" applyAlignment="1">
      <alignment horizontal="right"/>
    </xf>
    <xf numFmtId="0" fontId="39" fillId="0" borderId="0" xfId="57" applyFont="1" applyAlignment="1">
      <alignment horizontal="right"/>
    </xf>
    <xf numFmtId="9" fontId="12" fillId="8" borderId="0" xfId="69" applyFont="1" applyFill="1" applyAlignment="1">
      <alignment horizontal="right"/>
    </xf>
    <xf numFmtId="9" fontId="54" fillId="0" borderId="0" xfId="69" applyFont="1"/>
    <xf numFmtId="168" fontId="12" fillId="0" borderId="0" xfId="69" applyNumberFormat="1" applyFont="1" applyFill="1" applyAlignment="1">
      <alignment horizontal="right"/>
    </xf>
    <xf numFmtId="14" fontId="12" fillId="0" borderId="0" xfId="0" applyNumberFormat="1" applyFont="1"/>
    <xf numFmtId="171" fontId="54" fillId="0" borderId="0" xfId="57" applyNumberFormat="1" applyFont="1"/>
    <xf numFmtId="169" fontId="12" fillId="0" borderId="0" xfId="12" applyNumberFormat="1" applyFont="1" applyBorder="1"/>
    <xf numFmtId="169" fontId="72" fillId="0" borderId="0" xfId="11" applyNumberFormat="1" applyFont="1" applyBorder="1" applyAlignment="1">
      <alignment horizontal="center"/>
    </xf>
    <xf numFmtId="9" fontId="12" fillId="0" borderId="20" xfId="69" applyFont="1" applyBorder="1" applyAlignment="1">
      <alignment horizontal="center"/>
    </xf>
    <xf numFmtId="0" fontId="98" fillId="0" borderId="0" xfId="0" applyFont="1" applyAlignment="1">
      <alignment horizontal="right"/>
    </xf>
    <xf numFmtId="17" fontId="12" fillId="0" borderId="0" xfId="0" applyNumberFormat="1" applyFont="1"/>
    <xf numFmtId="213" fontId="12" fillId="0" borderId="0" xfId="10" applyNumberFormat="1" applyFont="1"/>
    <xf numFmtId="213" fontId="12" fillId="0" borderId="39" xfId="10" applyNumberFormat="1" applyFont="1" applyBorder="1" applyAlignment="1">
      <alignment vertical="center"/>
    </xf>
    <xf numFmtId="213" fontId="12" fillId="0" borderId="39" xfId="10" applyNumberFormat="1" applyFont="1" applyFill="1" applyBorder="1"/>
    <xf numFmtId="213" fontId="54" fillId="0" borderId="39" xfId="10" applyNumberFormat="1" applyFont="1" applyFill="1" applyBorder="1"/>
    <xf numFmtId="9" fontId="60" fillId="0" borderId="0" xfId="69" applyFont="1" applyFill="1"/>
    <xf numFmtId="168" fontId="60" fillId="0" borderId="0" xfId="69" applyNumberFormat="1" applyFont="1" applyFill="1"/>
    <xf numFmtId="168" fontId="61" fillId="0" borderId="0" xfId="69" applyNumberFormat="1" applyFont="1" applyFill="1"/>
    <xf numFmtId="168" fontId="60" fillId="0" borderId="0" xfId="69" applyNumberFormat="1" applyFont="1" applyFill="1" applyAlignment="1">
      <alignment horizontal="right"/>
    </xf>
    <xf numFmtId="9" fontId="60" fillId="0" borderId="0" xfId="69" applyFont="1" applyFill="1" applyAlignment="1">
      <alignment horizontal="right"/>
    </xf>
    <xf numFmtId="213" fontId="12" fillId="0" borderId="0" xfId="0" applyNumberFormat="1" applyFont="1"/>
    <xf numFmtId="168" fontId="61" fillId="0" borderId="0" xfId="69" applyNumberFormat="1" applyFont="1" applyFill="1" applyAlignment="1">
      <alignment horizontal="left" indent="2"/>
    </xf>
    <xf numFmtId="9" fontId="38" fillId="0" borderId="0" xfId="0" applyNumberFormat="1" applyFont="1"/>
    <xf numFmtId="9" fontId="61" fillId="0" borderId="0" xfId="69" applyFont="1" applyFill="1" applyAlignment="1">
      <alignment horizontal="right"/>
    </xf>
    <xf numFmtId="0" fontId="12" fillId="0" borderId="0" xfId="0" applyFont="1" applyAlignment="1">
      <alignment horizontal="left" indent="3"/>
    </xf>
    <xf numFmtId="37" fontId="57" fillId="0" borderId="0" xfId="10" applyFont="1" applyFill="1" applyBorder="1" applyAlignment="1">
      <alignment vertical="center"/>
    </xf>
    <xf numFmtId="168" fontId="39" fillId="0" borderId="0" xfId="69" applyNumberFormat="1" applyFont="1" applyFill="1" applyAlignment="1">
      <alignment horizontal="right"/>
    </xf>
    <xf numFmtId="37" fontId="75" fillId="0" borderId="0" xfId="10" applyFont="1" applyFill="1" applyAlignment="1"/>
    <xf numFmtId="37" fontId="38" fillId="0" borderId="0" xfId="10" applyFont="1" applyFill="1" applyAlignment="1"/>
    <xf numFmtId="37" fontId="57" fillId="0" borderId="0" xfId="60" applyNumberFormat="1" applyFont="1"/>
    <xf numFmtId="0" fontId="39" fillId="0" borderId="0" xfId="60" applyFont="1" applyAlignment="1">
      <alignment horizontal="left" indent="2"/>
    </xf>
    <xf numFmtId="0" fontId="39" fillId="0" borderId="0" xfId="60" applyFont="1" applyAlignment="1">
      <alignment horizontal="left" indent="3"/>
    </xf>
    <xf numFmtId="0" fontId="38" fillId="0" borderId="0" xfId="0" applyFont="1" applyAlignment="1">
      <alignment horizontal="right"/>
    </xf>
    <xf numFmtId="168" fontId="46" fillId="0" borderId="0" xfId="69" applyNumberFormat="1" applyFont="1" applyFill="1" applyAlignment="1">
      <alignment horizontal="right"/>
    </xf>
    <xf numFmtId="0" fontId="39" fillId="0" borderId="0" xfId="0" applyFont="1" applyAlignment="1">
      <alignment horizontal="left" indent="3"/>
    </xf>
    <xf numFmtId="0" fontId="39" fillId="0" borderId="0" xfId="0" applyFont="1" applyAlignment="1">
      <alignment horizontal="left" indent="4"/>
    </xf>
    <xf numFmtId="37" fontId="55" fillId="0" borderId="0" xfId="10" applyFont="1" applyFill="1" applyAlignment="1">
      <alignment horizontal="right" vertical="center"/>
    </xf>
    <xf numFmtId="168" fontId="39" fillId="0" borderId="0" xfId="69" applyNumberFormat="1" applyFont="1" applyFill="1" applyAlignment="1">
      <alignment horizontal="right" indent="1"/>
    </xf>
    <xf numFmtId="0" fontId="46" fillId="0" borderId="0" xfId="0" applyFont="1" applyAlignment="1">
      <alignment horizontal="left" indent="3"/>
    </xf>
    <xf numFmtId="37" fontId="55" fillId="0" borderId="0" xfId="10" applyFont="1" applyFill="1" applyAlignment="1">
      <alignment horizontal="right"/>
    </xf>
    <xf numFmtId="37" fontId="12" fillId="0" borderId="0" xfId="10" applyFont="1" applyFill="1" applyAlignment="1">
      <alignment horizontal="right"/>
    </xf>
    <xf numFmtId="172" fontId="99" fillId="0" borderId="0" xfId="69" applyNumberFormat="1" applyFont="1" applyFill="1" applyBorder="1"/>
    <xf numFmtId="172" fontId="71" fillId="0" borderId="0" xfId="69" applyNumberFormat="1" applyFont="1" applyFill="1" applyBorder="1"/>
    <xf numFmtId="183" fontId="38" fillId="0" borderId="0" xfId="0" applyNumberFormat="1" applyFont="1" applyAlignment="1">
      <alignment horizontal="left" indent="2"/>
    </xf>
    <xf numFmtId="0" fontId="46" fillId="0" borderId="0" xfId="0" applyFont="1" applyAlignment="1">
      <alignment horizontal="left" indent="4"/>
    </xf>
    <xf numFmtId="172" fontId="39" fillId="0" borderId="0" xfId="69" applyNumberFormat="1" applyFont="1" applyFill="1" applyBorder="1" applyAlignment="1">
      <alignment horizontal="right"/>
    </xf>
    <xf numFmtId="168" fontId="78" fillId="0" borderId="0" xfId="69" applyNumberFormat="1" applyFont="1" applyFill="1" applyBorder="1" applyAlignment="1">
      <alignment horizontal="right"/>
    </xf>
    <xf numFmtId="166" fontId="75" fillId="0" borderId="0" xfId="37" applyNumberFormat="1" applyFont="1" applyFill="1"/>
    <xf numFmtId="166" fontId="38" fillId="0" borderId="0" xfId="37" applyNumberFormat="1" applyFont="1" applyFill="1"/>
    <xf numFmtId="166" fontId="38" fillId="0" borderId="0" xfId="37" applyNumberFormat="1" applyFont="1" applyBorder="1"/>
    <xf numFmtId="37" fontId="57" fillId="0" borderId="0" xfId="37" applyFont="1"/>
    <xf numFmtId="0" fontId="50" fillId="0" borderId="0" xfId="64" applyFont="1" applyAlignment="1" applyProtection="1">
      <alignment horizontal="left" vertical="center"/>
      <protection locked="0"/>
    </xf>
    <xf numFmtId="37" fontId="82" fillId="0" borderId="0" xfId="73" applyNumberFormat="1" applyFont="1" applyFill="1" applyBorder="1" applyAlignment="1" applyProtection="1">
      <alignment horizontal="right" vertical="center"/>
    </xf>
    <xf numFmtId="37" fontId="84" fillId="0" borderId="0" xfId="73" applyNumberFormat="1" applyFont="1" applyFill="1" applyBorder="1" applyAlignment="1" applyProtection="1">
      <alignment horizontal="right" vertical="center"/>
    </xf>
    <xf numFmtId="212" fontId="38" fillId="0" borderId="0" xfId="63" applyNumberFormat="1" applyFont="1"/>
    <xf numFmtId="166" fontId="12" fillId="0" borderId="0" xfId="0" applyNumberFormat="1" applyFont="1" applyAlignment="1">
      <alignment horizontal="right"/>
    </xf>
    <xf numFmtId="37" fontId="46" fillId="0" borderId="0" xfId="69" applyNumberFormat="1" applyFont="1" applyBorder="1"/>
    <xf numFmtId="37" fontId="97" fillId="0" borderId="0" xfId="69" applyNumberFormat="1" applyFont="1" applyBorder="1"/>
    <xf numFmtId="37" fontId="39" fillId="0" borderId="0" xfId="69" applyNumberFormat="1" applyFont="1" applyFill="1" applyBorder="1"/>
    <xf numFmtId="168" fontId="38" fillId="0" borderId="0" xfId="69" applyNumberFormat="1" applyFont="1" applyBorder="1" applyAlignment="1">
      <alignment horizontal="right"/>
    </xf>
    <xf numFmtId="0" fontId="38" fillId="0" borderId="0" xfId="57" applyFont="1" applyAlignment="1">
      <alignment horizontal="left" indent="1"/>
    </xf>
    <xf numFmtId="37" fontId="38" fillId="0" borderId="0" xfId="57" applyNumberFormat="1" applyFont="1" applyAlignment="1">
      <alignment horizontal="left" indent="1"/>
    </xf>
    <xf numFmtId="37" fontId="12" fillId="0" borderId="0" xfId="57" applyNumberFormat="1" applyFont="1" applyAlignment="1">
      <alignment horizontal="left" indent="2"/>
    </xf>
    <xf numFmtId="0" fontId="38" fillId="0" borderId="0" xfId="57" applyFont="1" applyAlignment="1">
      <alignment horizontal="left" indent="2"/>
    </xf>
    <xf numFmtId="0" fontId="12" fillId="0" borderId="0" xfId="57" applyFont="1" applyAlignment="1">
      <alignment horizontal="left" indent="3"/>
    </xf>
    <xf numFmtId="171" fontId="60" fillId="0" borderId="0" xfId="10" applyNumberFormat="1" applyFont="1" applyBorder="1"/>
    <xf numFmtId="168" fontId="54" fillId="0" borderId="0" xfId="69" applyNumberFormat="1" applyFont="1" applyAlignment="1"/>
    <xf numFmtId="171" fontId="12" fillId="0" borderId="0" xfId="10" applyNumberFormat="1" applyFont="1" applyFill="1" applyAlignment="1">
      <alignment horizontal="right"/>
    </xf>
    <xf numFmtId="199" fontId="12" fillId="0" borderId="0" xfId="0" applyNumberFormat="1" applyFont="1"/>
    <xf numFmtId="1" fontId="12" fillId="8" borderId="0" xfId="0" applyNumberFormat="1" applyFont="1" applyFill="1"/>
    <xf numFmtId="187" fontId="38" fillId="0" borderId="20" xfId="0" applyNumberFormat="1" applyFont="1" applyBorder="1" applyAlignment="1">
      <alignment horizontal="left"/>
    </xf>
    <xf numFmtId="0" fontId="38" fillId="0" borderId="20" xfId="0" applyFont="1" applyBorder="1" applyAlignment="1">
      <alignment horizontal="left"/>
    </xf>
    <xf numFmtId="168" fontId="38" fillId="0" borderId="20" xfId="69" applyNumberFormat="1" applyFont="1" applyFill="1" applyBorder="1" applyAlignment="1">
      <alignment horizontal="left"/>
    </xf>
    <xf numFmtId="9" fontId="38" fillId="0" borderId="20" xfId="69" applyFont="1" applyFill="1" applyBorder="1" applyAlignment="1">
      <alignment horizontal="left"/>
    </xf>
    <xf numFmtId="9" fontId="38" fillId="0" borderId="20" xfId="69" applyFont="1" applyBorder="1" applyAlignment="1">
      <alignment horizontal="left"/>
    </xf>
    <xf numFmtId="168" fontId="12" fillId="0" borderId="0" xfId="69" applyNumberFormat="1" applyFont="1" applyFill="1" applyBorder="1" applyAlignment="1">
      <alignment horizontal="left"/>
    </xf>
    <xf numFmtId="206" fontId="12" fillId="0" borderId="0" xfId="10" applyNumberFormat="1" applyFont="1" applyFill="1" applyBorder="1" applyAlignment="1">
      <alignment horizontal="left"/>
    </xf>
    <xf numFmtId="39" fontId="12" fillId="0" borderId="0" xfId="10" applyNumberFormat="1" applyFont="1" applyBorder="1" applyAlignment="1">
      <alignment horizontal="left"/>
    </xf>
    <xf numFmtId="9" fontId="12" fillId="0" borderId="0" xfId="69" applyFont="1" applyBorder="1" applyAlignment="1">
      <alignment horizontal="left"/>
    </xf>
    <xf numFmtId="206" fontId="12" fillId="0" borderId="0" xfId="10" applyNumberFormat="1" applyFont="1" applyAlignment="1">
      <alignment horizontal="center"/>
    </xf>
    <xf numFmtId="0" fontId="56" fillId="9" borderId="63" xfId="66" applyFont="1" applyFill="1" applyBorder="1"/>
    <xf numFmtId="0" fontId="56" fillId="9" borderId="33" xfId="66" applyFont="1" applyFill="1" applyBorder="1"/>
    <xf numFmtId="0" fontId="56" fillId="9" borderId="65" xfId="66" applyFont="1" applyFill="1" applyBorder="1"/>
    <xf numFmtId="0" fontId="56" fillId="9" borderId="34" xfId="66" applyFont="1" applyFill="1" applyBorder="1"/>
    <xf numFmtId="168" fontId="39" fillId="0" borderId="0" xfId="69" applyNumberFormat="1" applyFont="1" applyFill="1" applyBorder="1" applyAlignment="1">
      <alignment horizontal="right"/>
    </xf>
    <xf numFmtId="171" fontId="60" fillId="0" borderId="0" xfId="0" applyNumberFormat="1" applyFont="1" applyAlignment="1">
      <alignment horizontal="right"/>
    </xf>
    <xf numFmtId="39" fontId="55" fillId="0" borderId="0" xfId="10" applyNumberFormat="1" applyFont="1" applyFill="1"/>
    <xf numFmtId="39" fontId="12" fillId="0" borderId="0" xfId="10" applyNumberFormat="1" applyFont="1" applyFill="1" applyBorder="1"/>
    <xf numFmtId="0" fontId="12" fillId="0" borderId="0" xfId="75" applyFont="1" applyBorder="1" applyAlignment="1" applyProtection="1">
      <alignment horizontal="left"/>
      <protection locked="0"/>
    </xf>
    <xf numFmtId="0" fontId="12" fillId="0" borderId="39" xfId="75" applyFont="1" applyBorder="1" applyAlignment="1" applyProtection="1">
      <alignment horizontal="left"/>
      <protection locked="0"/>
    </xf>
    <xf numFmtId="175" fontId="12" fillId="0" borderId="0" xfId="75" applyNumberFormat="1" applyFont="1" applyBorder="1" applyAlignment="1" applyProtection="1">
      <alignment horizontal="left"/>
      <protection locked="0"/>
    </xf>
    <xf numFmtId="175" fontId="12" fillId="0" borderId="0" xfId="75" quotePrefix="1" applyNumberFormat="1" applyFont="1" applyAlignment="1" applyProtection="1">
      <alignment horizontal="left"/>
      <protection locked="0"/>
    </xf>
    <xf numFmtId="175" fontId="12" fillId="0" borderId="0" xfId="75" applyNumberFormat="1" applyFont="1" applyAlignment="1" applyProtection="1">
      <alignment horizontal="left"/>
      <protection locked="0"/>
    </xf>
    <xf numFmtId="175" fontId="12" fillId="0" borderId="0" xfId="75" quotePrefix="1" applyNumberFormat="1" applyFont="1" applyBorder="1" applyAlignment="1" applyProtection="1">
      <alignment horizontal="left"/>
      <protection locked="0"/>
    </xf>
    <xf numFmtId="188" fontId="12" fillId="0" borderId="0" xfId="75" applyNumberFormat="1" applyFont="1" applyAlignment="1" applyProtection="1">
      <alignment horizontal="left"/>
      <protection locked="0"/>
    </xf>
    <xf numFmtId="188" fontId="12" fillId="0" borderId="0" xfId="75" quotePrefix="1" applyNumberFormat="1" applyFont="1" applyBorder="1" applyAlignment="1" applyProtection="1">
      <alignment horizontal="left"/>
      <protection locked="0"/>
    </xf>
    <xf numFmtId="188" fontId="12" fillId="0" borderId="0" xfId="75" quotePrefix="1" applyNumberFormat="1" applyFont="1" applyAlignment="1" applyProtection="1">
      <alignment horizontal="left"/>
      <protection locked="0"/>
    </xf>
    <xf numFmtId="188" fontId="12" fillId="0" borderId="0" xfId="75" applyNumberFormat="1" applyFont="1" applyBorder="1" applyAlignment="1" applyProtection="1">
      <alignment horizontal="left"/>
      <protection locked="0"/>
    </xf>
    <xf numFmtId="172" fontId="46" fillId="0" borderId="0" xfId="69" applyNumberFormat="1" applyFont="1" applyFill="1" applyBorder="1"/>
    <xf numFmtId="172" fontId="97" fillId="0" borderId="0" xfId="69" applyNumberFormat="1" applyFont="1" applyFill="1" applyBorder="1"/>
    <xf numFmtId="172" fontId="46" fillId="0" borderId="0" xfId="69" applyNumberFormat="1" applyFont="1" applyFill="1" applyBorder="1" applyAlignment="1">
      <alignment horizontal="right"/>
    </xf>
    <xf numFmtId="0" fontId="75" fillId="10" borderId="20" xfId="0" applyFont="1" applyFill="1" applyBorder="1"/>
    <xf numFmtId="1" fontId="75" fillId="10" borderId="20" xfId="0" applyNumberFormat="1" applyFont="1" applyFill="1" applyBorder="1" applyAlignment="1">
      <alignment horizontal="center"/>
    </xf>
    <xf numFmtId="192" fontId="38" fillId="10" borderId="20" xfId="0" applyNumberFormat="1" applyFont="1" applyFill="1" applyBorder="1" applyAlignment="1">
      <alignment horizontal="center"/>
    </xf>
    <xf numFmtId="0" fontId="12" fillId="10" borderId="0" xfId="0" applyFont="1" applyFill="1" applyAlignment="1">
      <alignment horizontal="left" indent="1"/>
    </xf>
    <xf numFmtId="169" fontId="12" fillId="10" borderId="0" xfId="10" applyNumberFormat="1" applyFont="1" applyFill="1" applyBorder="1" applyAlignment="1">
      <alignment horizontal="right"/>
    </xf>
    <xf numFmtId="169" fontId="54" fillId="10" borderId="0" xfId="10" applyNumberFormat="1" applyFont="1" applyFill="1" applyBorder="1"/>
    <xf numFmtId="169" fontId="38" fillId="10" borderId="0" xfId="10" applyNumberFormat="1" applyFont="1" applyFill="1" applyBorder="1" applyAlignment="1">
      <alignment horizontal="right"/>
    </xf>
    <xf numFmtId="169" fontId="57" fillId="10" borderId="0" xfId="10" applyNumberFormat="1" applyFont="1" applyFill="1" applyBorder="1"/>
    <xf numFmtId="9" fontId="12" fillId="10" borderId="0" xfId="69" applyFont="1" applyFill="1" applyAlignment="1">
      <alignment horizontal="right"/>
    </xf>
    <xf numFmtId="9" fontId="54" fillId="10" borderId="0" xfId="69" applyFont="1" applyFill="1"/>
    <xf numFmtId="168" fontId="38" fillId="10" borderId="0" xfId="69" applyNumberFormat="1" applyFont="1" applyFill="1" applyBorder="1" applyAlignment="1">
      <alignment horizontal="right"/>
    </xf>
    <xf numFmtId="168" fontId="57" fillId="10" borderId="0" xfId="69" applyNumberFormat="1" applyFont="1" applyFill="1" applyBorder="1"/>
    <xf numFmtId="167" fontId="38" fillId="10" borderId="0" xfId="10" applyNumberFormat="1" applyFont="1" applyFill="1" applyBorder="1" applyAlignment="1">
      <alignment horizontal="right"/>
    </xf>
    <xf numFmtId="167" fontId="57" fillId="10" borderId="0" xfId="10" applyNumberFormat="1" applyFont="1" applyFill="1" applyBorder="1"/>
    <xf numFmtId="167" fontId="12" fillId="10" borderId="0" xfId="10" applyNumberFormat="1" applyFont="1" applyFill="1" applyBorder="1" applyAlignment="1">
      <alignment horizontal="right"/>
    </xf>
    <xf numFmtId="167" fontId="54" fillId="10" borderId="0" xfId="10" applyNumberFormat="1" applyFont="1" applyFill="1" applyBorder="1"/>
    <xf numFmtId="182" fontId="12" fillId="10" borderId="0" xfId="10" applyNumberFormat="1" applyFont="1" applyFill="1" applyBorder="1" applyAlignment="1">
      <alignment horizontal="right"/>
    </xf>
    <xf numFmtId="182" fontId="54" fillId="10" borderId="0" xfId="10" applyNumberFormat="1" applyFont="1" applyFill="1" applyBorder="1"/>
    <xf numFmtId="168" fontId="12" fillId="10" borderId="0" xfId="69" applyNumberFormat="1" applyFont="1" applyFill="1" applyBorder="1" applyAlignment="1">
      <alignment horizontal="right"/>
    </xf>
    <xf numFmtId="168" fontId="54" fillId="10" borderId="0" xfId="69" applyNumberFormat="1" applyFont="1" applyFill="1" applyBorder="1"/>
    <xf numFmtId="0" fontId="12" fillId="10" borderId="0" xfId="0" applyFont="1" applyFill="1" applyAlignment="1">
      <alignment horizontal="right"/>
    </xf>
    <xf numFmtId="0" fontId="54" fillId="10" borderId="0" xfId="0" applyFont="1" applyFill="1"/>
    <xf numFmtId="2" fontId="38" fillId="10" borderId="0" xfId="0" applyNumberFormat="1" applyFont="1" applyFill="1"/>
    <xf numFmtId="0" fontId="12" fillId="10" borderId="16" xfId="0" applyFont="1" applyFill="1" applyBorder="1"/>
    <xf numFmtId="182" fontId="12" fillId="10" borderId="16" xfId="10" applyNumberFormat="1" applyFont="1" applyFill="1" applyBorder="1" applyAlignment="1">
      <alignment horizontal="right"/>
    </xf>
    <xf numFmtId="182" fontId="54" fillId="10" borderId="16" xfId="10" applyNumberFormat="1" applyFont="1" applyFill="1" applyBorder="1"/>
    <xf numFmtId="182" fontId="38" fillId="10" borderId="0" xfId="10" applyNumberFormat="1" applyFont="1" applyFill="1" applyBorder="1" applyAlignment="1">
      <alignment horizontal="right"/>
    </xf>
    <xf numFmtId="182" fontId="57" fillId="10" borderId="0" xfId="10" applyNumberFormat="1" applyFont="1" applyFill="1" applyBorder="1"/>
    <xf numFmtId="0" fontId="12" fillId="10" borderId="15" xfId="0" applyFont="1" applyFill="1" applyBorder="1"/>
    <xf numFmtId="0" fontId="39" fillId="10" borderId="9" xfId="0" applyFont="1" applyFill="1" applyBorder="1"/>
    <xf numFmtId="0" fontId="12" fillId="10" borderId="20" xfId="0" applyFont="1" applyFill="1" applyBorder="1"/>
    <xf numFmtId="1" fontId="38" fillId="10" borderId="20" xfId="0" applyNumberFormat="1" applyFont="1" applyFill="1" applyBorder="1" applyAlignment="1">
      <alignment horizontal="right"/>
    </xf>
    <xf numFmtId="0" fontId="52" fillId="10" borderId="20" xfId="0" applyFont="1" applyFill="1" applyBorder="1"/>
    <xf numFmtId="1" fontId="12" fillId="10" borderId="0" xfId="0" applyNumberFormat="1" applyFont="1" applyFill="1" applyAlignment="1">
      <alignment horizontal="right"/>
    </xf>
    <xf numFmtId="9" fontId="12" fillId="10" borderId="0" xfId="69" applyFont="1" applyFill="1"/>
    <xf numFmtId="0" fontId="50" fillId="10" borderId="0" xfId="0" applyFont="1" applyFill="1"/>
    <xf numFmtId="37" fontId="12" fillId="10" borderId="0" xfId="0" applyNumberFormat="1" applyFont="1" applyFill="1" applyAlignment="1">
      <alignment horizontal="right"/>
    </xf>
    <xf numFmtId="168" fontId="12" fillId="10" borderId="0" xfId="0" applyNumberFormat="1" applyFont="1" applyFill="1"/>
    <xf numFmtId="37" fontId="12" fillId="10" borderId="0" xfId="0" applyNumberFormat="1" applyFont="1" applyFill="1"/>
    <xf numFmtId="205" fontId="12" fillId="10" borderId="0" xfId="0" applyNumberFormat="1" applyFont="1" applyFill="1"/>
    <xf numFmtId="16" fontId="38" fillId="10" borderId="0" xfId="62" applyNumberFormat="1" applyFont="1" applyFill="1"/>
    <xf numFmtId="0" fontId="12" fillId="10" borderId="0" xfId="62" applyFont="1" applyFill="1"/>
    <xf numFmtId="0" fontId="38" fillId="10" borderId="0" xfId="62" applyFont="1" applyFill="1" applyAlignment="1">
      <alignment horizontal="right"/>
    </xf>
    <xf numFmtId="0" fontId="38" fillId="10" borderId="16" xfId="57" applyFont="1" applyFill="1" applyBorder="1" applyAlignment="1">
      <alignment horizontal="left"/>
    </xf>
    <xf numFmtId="0" fontId="12" fillId="10" borderId="16" xfId="62" applyFont="1" applyFill="1" applyBorder="1" applyAlignment="1">
      <alignment horizontal="center"/>
    </xf>
    <xf numFmtId="189" fontId="12" fillId="10" borderId="16" xfId="62" applyNumberFormat="1" applyFont="1" applyFill="1" applyBorder="1" applyAlignment="1">
      <alignment horizontal="right"/>
    </xf>
    <xf numFmtId="0" fontId="12" fillId="10" borderId="0" xfId="57" applyFont="1" applyFill="1" applyAlignment="1">
      <alignment horizontal="left" indent="1"/>
    </xf>
    <xf numFmtId="0" fontId="12" fillId="10" borderId="0" xfId="62" applyFont="1" applyFill="1" applyAlignment="1">
      <alignment horizontal="center"/>
    </xf>
    <xf numFmtId="168" fontId="12" fillId="10" borderId="0" xfId="69" applyNumberFormat="1" applyFont="1" applyFill="1" applyAlignment="1">
      <alignment horizontal="right"/>
    </xf>
    <xf numFmtId="0" fontId="12" fillId="10" borderId="0" xfId="62" applyFont="1" applyFill="1" applyAlignment="1">
      <alignment horizontal="left" indent="1"/>
    </xf>
    <xf numFmtId="0" fontId="38" fillId="10" borderId="0" xfId="57" applyFont="1" applyFill="1" applyAlignment="1">
      <alignment horizontal="left"/>
    </xf>
    <xf numFmtId="0" fontId="52" fillId="10" borderId="0" xfId="0" applyFont="1" applyFill="1"/>
    <xf numFmtId="0" fontId="12" fillId="10" borderId="16" xfId="62" applyFont="1" applyFill="1" applyBorder="1"/>
    <xf numFmtId="0" fontId="38" fillId="10" borderId="0" xfId="62" applyFont="1" applyFill="1"/>
    <xf numFmtId="0" fontId="38" fillId="10" borderId="16" xfId="62" applyFont="1" applyFill="1" applyBorder="1"/>
    <xf numFmtId="172" fontId="39" fillId="10" borderId="9" xfId="0" applyNumberFormat="1" applyFont="1" applyFill="1" applyBorder="1" applyAlignment="1">
      <alignment horizontal="right"/>
    </xf>
    <xf numFmtId="168" fontId="12" fillId="10" borderId="0" xfId="62" applyNumberFormat="1" applyFont="1" applyFill="1" applyAlignment="1">
      <alignment horizontal="right"/>
    </xf>
    <xf numFmtId="0" fontId="38" fillId="10" borderId="16" xfId="62" applyFont="1" applyFill="1" applyBorder="1" applyAlignment="1">
      <alignment horizontal="center"/>
    </xf>
    <xf numFmtId="2" fontId="38" fillId="10" borderId="16" xfId="62" applyNumberFormat="1" applyFont="1" applyFill="1" applyBorder="1" applyAlignment="1">
      <alignment horizontal="right"/>
    </xf>
    <xf numFmtId="168" fontId="12" fillId="10" borderId="0" xfId="62" applyNumberFormat="1" applyFont="1" applyFill="1" applyAlignment="1">
      <alignment horizontal="center"/>
    </xf>
    <xf numFmtId="37" fontId="96" fillId="0" borderId="0" xfId="0" applyNumberFormat="1" applyFont="1" applyAlignment="1">
      <alignment horizontal="right"/>
    </xf>
    <xf numFmtId="0" fontId="0" fillId="0" borderId="0" xfId="0" applyAlignment="1">
      <alignment horizontal="justify" vertical="justify" wrapText="1"/>
    </xf>
    <xf numFmtId="0" fontId="100" fillId="0" borderId="0" xfId="0" applyFont="1" applyAlignment="1">
      <alignment horizontal="justify" vertical="justify" wrapText="1"/>
    </xf>
    <xf numFmtId="10" fontId="12" fillId="0" borderId="0" xfId="69" applyNumberFormat="1" applyFont="1"/>
    <xf numFmtId="9" fontId="67" fillId="0" borderId="0" xfId="69" applyFont="1" applyFill="1" applyAlignment="1">
      <alignment horizontal="right"/>
    </xf>
    <xf numFmtId="37" fontId="67" fillId="0" borderId="0" xfId="0" applyNumberFormat="1" applyFont="1"/>
    <xf numFmtId="0" fontId="101" fillId="0" borderId="0" xfId="0" applyFont="1"/>
    <xf numFmtId="214" fontId="67" fillId="0" borderId="0" xfId="0" applyNumberFormat="1" applyFont="1" applyAlignment="1">
      <alignment horizontal="right"/>
    </xf>
    <xf numFmtId="37" fontId="39" fillId="0" borderId="66" xfId="10" applyFont="1" applyFill="1" applyBorder="1"/>
    <xf numFmtId="168" fontId="39" fillId="0" borderId="66" xfId="69" applyNumberFormat="1" applyFont="1" applyFill="1" applyBorder="1"/>
    <xf numFmtId="0" fontId="0" fillId="0" borderId="0" xfId="0" applyAlignment="1">
      <alignment horizontal="center"/>
    </xf>
    <xf numFmtId="9" fontId="12" fillId="0" borderId="0" xfId="69" applyFont="1" applyBorder="1" applyAlignment="1">
      <alignment horizontal="center"/>
    </xf>
    <xf numFmtId="9" fontId="12" fillId="0" borderId="0" xfId="69" applyFont="1" applyAlignment="1">
      <alignment horizontal="center"/>
    </xf>
    <xf numFmtId="0" fontId="70" fillId="0" borderId="0" xfId="0" applyFont="1" applyAlignment="1">
      <alignment horizontal="center"/>
    </xf>
    <xf numFmtId="0" fontId="93" fillId="0" borderId="0" xfId="0" applyFont="1"/>
    <xf numFmtId="0" fontId="55" fillId="0" borderId="0" xfId="0" applyFont="1" applyAlignment="1">
      <alignment horizontal="center"/>
    </xf>
    <xf numFmtId="1" fontId="55" fillId="0" borderId="0" xfId="0" applyNumberFormat="1" applyFont="1" applyAlignment="1">
      <alignment horizontal="right"/>
    </xf>
    <xf numFmtId="0" fontId="55" fillId="0" borderId="0" xfId="0" applyFont="1" applyAlignment="1">
      <alignment horizontal="right"/>
    </xf>
    <xf numFmtId="171" fontId="60" fillId="0" borderId="0" xfId="69" applyNumberFormat="1" applyFont="1" applyFill="1" applyAlignment="1">
      <alignment horizontal="right"/>
    </xf>
    <xf numFmtId="17" fontId="38" fillId="0" borderId="0" xfId="61" applyNumberFormat="1" applyFont="1" applyAlignment="1">
      <alignment horizontal="center" vertical="center"/>
    </xf>
    <xf numFmtId="17" fontId="45" fillId="0" borderId="0" xfId="61" applyNumberFormat="1" applyFont="1" applyAlignment="1">
      <alignment horizontal="center" vertical="center"/>
    </xf>
    <xf numFmtId="168" fontId="39" fillId="0" borderId="0" xfId="69" applyNumberFormat="1" applyFont="1" applyFill="1"/>
    <xf numFmtId="37" fontId="12" fillId="0" borderId="0" xfId="10" applyFont="1" applyBorder="1" applyAlignment="1">
      <alignment horizontal="center"/>
    </xf>
    <xf numFmtId="37" fontId="12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center"/>
    </xf>
    <xf numFmtId="37" fontId="12" fillId="0" borderId="0" xfId="10" applyFont="1" applyBorder="1" applyAlignment="1">
      <alignment horizontal="right"/>
    </xf>
    <xf numFmtId="37" fontId="38" fillId="0" borderId="0" xfId="0" applyNumberFormat="1" applyFont="1" applyAlignment="1">
      <alignment horizontal="right"/>
    </xf>
    <xf numFmtId="0" fontId="38" fillId="0" borderId="39" xfId="0" quotePrefix="1" applyFont="1" applyBorder="1" applyAlignment="1">
      <alignment horizontal="center"/>
    </xf>
    <xf numFmtId="215" fontId="67" fillId="0" borderId="0" xfId="0" applyNumberFormat="1" applyFont="1" applyAlignment="1">
      <alignment horizontal="right"/>
    </xf>
    <xf numFmtId="168" fontId="39" fillId="0" borderId="0" xfId="69" applyNumberFormat="1" applyFont="1" applyFill="1" applyBorder="1" applyAlignment="1">
      <alignment horizontal="center"/>
    </xf>
    <xf numFmtId="37" fontId="67" fillId="0" borderId="0" xfId="10" applyFont="1" applyFill="1" applyAlignment="1">
      <alignment horizontal="right"/>
    </xf>
    <xf numFmtId="9" fontId="55" fillId="0" borderId="0" xfId="69" applyFont="1" applyFill="1" applyAlignment="1">
      <alignment horizontal="right"/>
    </xf>
    <xf numFmtId="37" fontId="38" fillId="0" borderId="0" xfId="10" applyFont="1"/>
    <xf numFmtId="168" fontId="12" fillId="0" borderId="0" xfId="69" applyNumberFormat="1" applyFont="1" applyAlignment="1">
      <alignment horizontal="right"/>
    </xf>
    <xf numFmtId="200" fontId="12" fillId="0" borderId="0" xfId="69" applyNumberFormat="1" applyFont="1" applyAlignment="1">
      <alignment horizontal="right"/>
    </xf>
    <xf numFmtId="168" fontId="54" fillId="0" borderId="0" xfId="69" applyNumberFormat="1" applyFont="1" applyAlignment="1">
      <alignment horizontal="right"/>
    </xf>
    <xf numFmtId="200" fontId="54" fillId="0" borderId="0" xfId="69" applyNumberFormat="1" applyFont="1" applyAlignment="1">
      <alignment horizontal="right"/>
    </xf>
    <xf numFmtId="39" fontId="61" fillId="6" borderId="34" xfId="0" applyNumberFormat="1" applyFont="1" applyFill="1" applyBorder="1" applyAlignment="1">
      <alignment horizontal="center"/>
    </xf>
    <xf numFmtId="213" fontId="55" fillId="0" borderId="0" xfId="60" applyNumberFormat="1" applyFont="1"/>
    <xf numFmtId="9" fontId="12" fillId="0" borderId="0" xfId="69" applyFont="1" applyAlignment="1"/>
    <xf numFmtId="9" fontId="54" fillId="0" borderId="0" xfId="69" applyFont="1" applyAlignment="1"/>
    <xf numFmtId="168" fontId="12" fillId="0" borderId="0" xfId="69" applyNumberFormat="1" applyFont="1" applyFill="1" applyAlignment="1"/>
    <xf numFmtId="168" fontId="54" fillId="0" borderId="0" xfId="69" applyNumberFormat="1" applyFont="1" applyFill="1" applyAlignment="1"/>
    <xf numFmtId="0" fontId="70" fillId="0" borderId="0" xfId="57" applyFont="1" applyAlignment="1">
      <alignment horizontal="left"/>
    </xf>
    <xf numFmtId="17" fontId="75" fillId="0" borderId="0" xfId="61" applyNumberFormat="1" applyFont="1" applyAlignment="1">
      <alignment horizontal="center" vertical="center"/>
    </xf>
    <xf numFmtId="168" fontId="102" fillId="0" borderId="0" xfId="69" applyNumberFormat="1" applyFont="1" applyFill="1" applyBorder="1" applyAlignment="1">
      <alignment horizontal="right"/>
    </xf>
    <xf numFmtId="168" fontId="102" fillId="0" borderId="0" xfId="69" applyNumberFormat="1" applyFont="1" applyBorder="1"/>
    <xf numFmtId="168" fontId="79" fillId="0" borderId="0" xfId="69" applyNumberFormat="1" applyFont="1" applyFill="1" applyBorder="1"/>
    <xf numFmtId="17" fontId="75" fillId="0" borderId="39" xfId="61" applyNumberFormat="1" applyFont="1" applyBorder="1" applyAlignment="1">
      <alignment horizontal="center" vertical="center"/>
    </xf>
    <xf numFmtId="17" fontId="45" fillId="0" borderId="0" xfId="61" applyNumberFormat="1" applyFont="1" applyAlignment="1">
      <alignment horizontal="left" vertical="center"/>
    </xf>
    <xf numFmtId="0" fontId="38" fillId="0" borderId="0" xfId="99" applyFont="1"/>
    <xf numFmtId="213" fontId="38" fillId="0" borderId="0" xfId="0" applyNumberFormat="1" applyFont="1"/>
    <xf numFmtId="37" fontId="67" fillId="0" borderId="0" xfId="0" applyNumberFormat="1" applyFont="1" applyAlignment="1">
      <alignment horizontal="right"/>
    </xf>
    <xf numFmtId="217" fontId="67" fillId="0" borderId="0" xfId="0" applyNumberFormat="1" applyFont="1" applyAlignment="1">
      <alignment horizontal="right"/>
    </xf>
    <xf numFmtId="0" fontId="38" fillId="0" borderId="0" xfId="65" applyFont="1" applyAlignment="1">
      <alignment horizontal="center"/>
    </xf>
    <xf numFmtId="37" fontId="57" fillId="0" borderId="0" xfId="69" applyNumberFormat="1" applyFont="1" applyFill="1" applyBorder="1"/>
    <xf numFmtId="37" fontId="54" fillId="0" borderId="0" xfId="10" applyFont="1" applyFill="1" applyBorder="1" applyAlignment="1">
      <alignment horizontal="right" vertical="center"/>
    </xf>
    <xf numFmtId="37" fontId="57" fillId="0" borderId="0" xfId="10" applyFont="1" applyFill="1" applyBorder="1" applyAlignment="1">
      <alignment horizontal="right" vertical="center"/>
    </xf>
    <xf numFmtId="37" fontId="55" fillId="0" borderId="0" xfId="10" applyFont="1" applyAlignment="1"/>
    <xf numFmtId="171" fontId="71" fillId="0" borderId="0" xfId="10" applyNumberFormat="1" applyFont="1" applyFill="1"/>
    <xf numFmtId="171" fontId="55" fillId="0" borderId="0" xfId="0" applyNumberFormat="1" applyFont="1"/>
    <xf numFmtId="168" fontId="71" fillId="0" borderId="0" xfId="69" applyNumberFormat="1" applyFont="1" applyFill="1"/>
    <xf numFmtId="0" fontId="38" fillId="0" borderId="0" xfId="99" applyFont="1" applyAlignment="1">
      <alignment horizontal="left" indent="1"/>
    </xf>
    <xf numFmtId="0" fontId="12" fillId="0" borderId="0" xfId="99" applyFont="1" applyAlignment="1">
      <alignment horizontal="left" indent="2"/>
    </xf>
    <xf numFmtId="171" fontId="12" fillId="0" borderId="0" xfId="99" applyNumberFormat="1" applyFont="1" applyAlignment="1">
      <alignment horizontal="left" indent="2"/>
    </xf>
    <xf numFmtId="171" fontId="12" fillId="0" borderId="0" xfId="10" applyNumberFormat="1" applyFont="1" applyFill="1" applyBorder="1"/>
    <xf numFmtId="171" fontId="71" fillId="6" borderId="0" xfId="10" applyNumberFormat="1" applyFont="1" applyFill="1" applyBorder="1"/>
    <xf numFmtId="171" fontId="38" fillId="0" borderId="0" xfId="10" applyNumberFormat="1" applyFont="1" applyBorder="1"/>
    <xf numFmtId="171" fontId="57" fillId="0" borderId="0" xfId="10" applyNumberFormat="1" applyFont="1" applyBorder="1"/>
    <xf numFmtId="171" fontId="54" fillId="0" borderId="0" xfId="10" applyNumberFormat="1" applyFont="1" applyFill="1" applyBorder="1"/>
    <xf numFmtId="168" fontId="73" fillId="0" borderId="0" xfId="69" applyNumberFormat="1" applyFont="1"/>
    <xf numFmtId="168" fontId="75" fillId="0" borderId="0" xfId="69" applyNumberFormat="1" applyFont="1"/>
    <xf numFmtId="168" fontId="55" fillId="0" borderId="0" xfId="69" applyNumberFormat="1" applyFont="1"/>
    <xf numFmtId="168" fontId="54" fillId="0" borderId="0" xfId="69" applyNumberFormat="1" applyFont="1"/>
    <xf numFmtId="0" fontId="12" fillId="0" borderId="6" xfId="0" quotePrefix="1" applyFont="1" applyBorder="1"/>
    <xf numFmtId="37" fontId="60" fillId="14" borderId="0" xfId="0" applyNumberFormat="1" applyFont="1" applyFill="1"/>
    <xf numFmtId="37" fontId="72" fillId="0" borderId="0" xfId="10" applyFont="1"/>
    <xf numFmtId="0" fontId="12" fillId="0" borderId="0" xfId="0" applyFont="1" applyAlignment="1">
      <alignment horizontal="left" indent="4"/>
    </xf>
    <xf numFmtId="37" fontId="38" fillId="0" borderId="0" xfId="60" applyNumberFormat="1" applyFont="1"/>
    <xf numFmtId="183" fontId="72" fillId="0" borderId="0" xfId="0" applyNumberFormat="1" applyFont="1" applyAlignment="1">
      <alignment horizontal="left" indent="2"/>
    </xf>
    <xf numFmtId="37" fontId="72" fillId="0" borderId="0" xfId="0" applyNumberFormat="1" applyFont="1"/>
    <xf numFmtId="171" fontId="55" fillId="0" borderId="0" xfId="10" applyNumberFormat="1" applyFont="1" applyFill="1" applyAlignment="1">
      <alignment vertical="center"/>
    </xf>
    <xf numFmtId="171" fontId="54" fillId="0" borderId="0" xfId="10" applyNumberFormat="1" applyFont="1" applyFill="1" applyBorder="1" applyAlignment="1">
      <alignment vertical="center"/>
    </xf>
    <xf numFmtId="37" fontId="75" fillId="0" borderId="0" xfId="10" applyFont="1" applyFill="1" applyAlignment="1">
      <alignment horizontal="right"/>
    </xf>
    <xf numFmtId="37" fontId="38" fillId="0" borderId="0" xfId="10" applyFont="1" applyFill="1" applyAlignment="1">
      <alignment horizontal="right"/>
    </xf>
    <xf numFmtId="171" fontId="12" fillId="0" borderId="0" xfId="60" applyNumberFormat="1" applyFont="1"/>
    <xf numFmtId="172" fontId="60" fillId="0" borderId="0" xfId="69" applyNumberFormat="1" applyFont="1" applyFill="1" applyBorder="1" applyAlignment="1">
      <alignment horizontal="right"/>
    </xf>
    <xf numFmtId="183" fontId="12" fillId="0" borderId="0" xfId="0" applyNumberFormat="1" applyFont="1" applyAlignment="1">
      <alignment horizontal="left" indent="4"/>
    </xf>
    <xf numFmtId="0" fontId="46" fillId="0" borderId="0" xfId="0" applyFont="1" applyAlignment="1">
      <alignment horizontal="left" indent="5"/>
    </xf>
    <xf numFmtId="0" fontId="39" fillId="0" borderId="0" xfId="0" applyFont="1" applyAlignment="1">
      <alignment horizontal="left" indent="5"/>
    </xf>
    <xf numFmtId="0" fontId="38" fillId="0" borderId="0" xfId="65" applyFont="1"/>
    <xf numFmtId="0" fontId="12" fillId="0" borderId="0" xfId="65" applyFont="1" applyAlignment="1">
      <alignment horizontal="left" indent="1"/>
    </xf>
    <xf numFmtId="39" fontId="57" fillId="0" borderId="0" xfId="10" applyNumberFormat="1" applyFont="1" applyBorder="1"/>
    <xf numFmtId="39" fontId="39" fillId="0" borderId="0" xfId="10" applyNumberFormat="1" applyFont="1" applyBorder="1"/>
    <xf numFmtId="39" fontId="78" fillId="0" borderId="0" xfId="10" applyNumberFormat="1" applyFont="1" applyBorder="1"/>
    <xf numFmtId="39" fontId="39" fillId="0" borderId="0" xfId="10" applyNumberFormat="1" applyFont="1" applyFill="1" applyBorder="1"/>
    <xf numFmtId="39" fontId="78" fillId="0" borderId="0" xfId="10" applyNumberFormat="1" applyFont="1" applyFill="1" applyBorder="1"/>
    <xf numFmtId="39" fontId="60" fillId="0" borderId="0" xfId="10" applyNumberFormat="1" applyFont="1" applyFill="1" applyBorder="1" applyAlignment="1">
      <alignment horizontal="right"/>
    </xf>
    <xf numFmtId="39" fontId="12" fillId="0" borderId="0" xfId="60" applyNumberFormat="1" applyFont="1"/>
    <xf numFmtId="171" fontId="55" fillId="0" borderId="0" xfId="10" applyNumberFormat="1" applyFont="1" applyFill="1" applyAlignment="1">
      <alignment horizontal="right" vertical="center"/>
    </xf>
    <xf numFmtId="171" fontId="12" fillId="0" borderId="0" xfId="60" applyNumberFormat="1" applyFont="1" applyAlignment="1">
      <alignment horizontal="right"/>
    </xf>
    <xf numFmtId="39" fontId="12" fillId="0" borderId="0" xfId="60" applyNumberFormat="1" applyFont="1" applyAlignment="1">
      <alignment horizontal="right"/>
    </xf>
    <xf numFmtId="0" fontId="12" fillId="0" borderId="0" xfId="60" applyFont="1" applyAlignment="1">
      <alignment horizontal="right"/>
    </xf>
    <xf numFmtId="170" fontId="12" fillId="0" borderId="0" xfId="60" applyNumberFormat="1" applyFont="1" applyAlignment="1">
      <alignment horizontal="right"/>
    </xf>
    <xf numFmtId="169" fontId="12" fillId="0" borderId="0" xfId="60" applyNumberFormat="1" applyFont="1" applyAlignment="1">
      <alignment horizontal="right"/>
    </xf>
    <xf numFmtId="37" fontId="39" fillId="0" borderId="0" xfId="10" applyFont="1" applyFill="1" applyBorder="1" applyAlignment="1">
      <alignment horizontal="right"/>
    </xf>
    <xf numFmtId="37" fontId="38" fillId="0" borderId="0" xfId="60" applyNumberFormat="1" applyFont="1" applyAlignment="1">
      <alignment horizontal="right"/>
    </xf>
    <xf numFmtId="168" fontId="38" fillId="0" borderId="0" xfId="69" applyNumberFormat="1" applyFont="1" applyFill="1" applyAlignment="1">
      <alignment horizontal="right"/>
    </xf>
    <xf numFmtId="172" fontId="61" fillId="0" borderId="0" xfId="69" applyNumberFormat="1" applyFont="1" applyFill="1" applyBorder="1"/>
    <xf numFmtId="168" fontId="57" fillId="0" borderId="0" xfId="69" applyNumberFormat="1" applyFont="1" applyFill="1" applyBorder="1" applyAlignment="1"/>
    <xf numFmtId="0" fontId="12" fillId="0" borderId="6" xfId="57" applyFont="1" applyBorder="1"/>
    <xf numFmtId="0" fontId="39" fillId="0" borderId="0" xfId="57" applyFont="1" applyAlignment="1">
      <alignment horizontal="left" indent="3"/>
    </xf>
    <xf numFmtId="170" fontId="12" fillId="0" borderId="0" xfId="10" applyNumberFormat="1" applyFont="1" applyFill="1" applyBorder="1" applyAlignment="1">
      <alignment horizontal="left"/>
    </xf>
    <xf numFmtId="168" fontId="46" fillId="0" borderId="0" xfId="69" applyNumberFormat="1" applyFont="1" applyFill="1" applyBorder="1"/>
    <xf numFmtId="168" fontId="97" fillId="0" borderId="0" xfId="69" applyNumberFormat="1" applyFont="1" applyFill="1" applyBorder="1"/>
    <xf numFmtId="219" fontId="12" fillId="0" borderId="0" xfId="10" applyNumberFormat="1" applyFont="1" applyFill="1"/>
    <xf numFmtId="37" fontId="57" fillId="0" borderId="5" xfId="37" applyFont="1" applyBorder="1"/>
    <xf numFmtId="0" fontId="66" fillId="0" borderId="0" xfId="64" applyFont="1" applyAlignment="1" applyProtection="1">
      <alignment vertical="center"/>
      <protection locked="0"/>
    </xf>
    <xf numFmtId="37" fontId="67" fillId="2" borderId="0" xfId="73" applyNumberFormat="1" applyFont="1" applyFill="1" applyBorder="1" applyAlignment="1" applyProtection="1">
      <alignment horizontal="right" vertical="center"/>
    </xf>
    <xf numFmtId="213" fontId="39" fillId="0" borderId="0" xfId="10" applyNumberFormat="1" applyFont="1" applyFill="1" applyBorder="1"/>
    <xf numFmtId="39" fontId="38" fillId="0" borderId="0" xfId="10" applyNumberFormat="1" applyFont="1" applyFill="1" applyAlignment="1"/>
    <xf numFmtId="37" fontId="39" fillId="0" borderId="0" xfId="10" applyFont="1" applyFill="1" applyAlignment="1">
      <alignment horizontal="right"/>
    </xf>
    <xf numFmtId="9" fontId="12" fillId="0" borderId="16" xfId="69" applyFont="1" applyFill="1" applyBorder="1" applyAlignment="1">
      <alignment horizontal="center"/>
    </xf>
    <xf numFmtId="37" fontId="67" fillId="0" borderId="0" xfId="10" applyFont="1" applyFill="1"/>
    <xf numFmtId="37" fontId="12" fillId="0" borderId="0" xfId="60" applyNumberFormat="1" applyFont="1" applyAlignment="1">
      <alignment horizontal="right"/>
    </xf>
    <xf numFmtId="0" fontId="38" fillId="0" borderId="0" xfId="0" applyFont="1" applyAlignment="1">
      <alignment horizontal="left" indent="3"/>
    </xf>
    <xf numFmtId="9" fontId="12" fillId="0" borderId="0" xfId="69" applyFont="1" applyAlignment="1">
      <alignment horizontal="right"/>
    </xf>
    <xf numFmtId="9" fontId="54" fillId="0" borderId="0" xfId="69" applyFont="1" applyFill="1" applyBorder="1" applyAlignment="1">
      <alignment vertical="center"/>
    </xf>
    <xf numFmtId="9" fontId="60" fillId="0" borderId="0" xfId="69" applyFont="1" applyFill="1" applyBorder="1" applyAlignment="1">
      <alignment horizontal="right"/>
    </xf>
    <xf numFmtId="39" fontId="38" fillId="0" borderId="0" xfId="60" applyNumberFormat="1" applyFont="1"/>
    <xf numFmtId="39" fontId="38" fillId="0" borderId="0" xfId="60" applyNumberFormat="1" applyFont="1" applyAlignment="1">
      <alignment horizontal="right"/>
    </xf>
    <xf numFmtId="9" fontId="38" fillId="0" borderId="0" xfId="69" applyFont="1" applyAlignment="1">
      <alignment horizontal="right"/>
    </xf>
    <xf numFmtId="9" fontId="61" fillId="0" borderId="0" xfId="69" applyFont="1" applyFill="1" applyBorder="1" applyAlignment="1">
      <alignment horizontal="right"/>
    </xf>
    <xf numFmtId="37" fontId="38" fillId="0" borderId="0" xfId="10" applyFont="1" applyBorder="1"/>
    <xf numFmtId="37" fontId="57" fillId="0" borderId="0" xfId="10" applyFont="1" applyBorder="1"/>
    <xf numFmtId="37" fontId="39" fillId="0" borderId="0" xfId="10" applyFont="1" applyBorder="1"/>
    <xf numFmtId="37" fontId="78" fillId="0" borderId="0" xfId="10" applyFont="1" applyBorder="1"/>
    <xf numFmtId="37" fontId="78" fillId="0" borderId="0" xfId="10" applyFont="1" applyFill="1" applyBorder="1"/>
    <xf numFmtId="0" fontId="39" fillId="0" borderId="0" xfId="57" applyFont="1" applyAlignment="1">
      <alignment horizontal="left" indent="2"/>
    </xf>
    <xf numFmtId="168" fontId="38" fillId="0" borderId="0" xfId="69" applyNumberFormat="1" applyFont="1" applyFill="1" applyBorder="1"/>
    <xf numFmtId="168" fontId="57" fillId="0" borderId="0" xfId="69" applyNumberFormat="1" applyFont="1" applyFill="1" applyBorder="1"/>
    <xf numFmtId="37" fontId="38" fillId="0" borderId="0" xfId="10" applyFont="1" applyFill="1" applyBorder="1" applyAlignment="1">
      <alignment horizontal="center"/>
    </xf>
    <xf numFmtId="168" fontId="38" fillId="0" borderId="0" xfId="69" applyNumberFormat="1" applyFont="1" applyAlignment="1">
      <alignment horizontal="right"/>
    </xf>
    <xf numFmtId="168" fontId="61" fillId="0" borderId="0" xfId="69" applyNumberFormat="1" applyFont="1" applyFill="1" applyBorder="1" applyAlignment="1">
      <alignment horizontal="right"/>
    </xf>
    <xf numFmtId="168" fontId="60" fillId="0" borderId="0" xfId="69" applyNumberFormat="1" applyFont="1" applyFill="1" applyBorder="1" applyAlignment="1">
      <alignment horizontal="right"/>
    </xf>
    <xf numFmtId="0" fontId="38" fillId="0" borderId="0" xfId="57" quotePrefix="1" applyFont="1" applyAlignment="1">
      <alignment horizontal="left" indent="1"/>
    </xf>
    <xf numFmtId="194" fontId="12" fillId="0" borderId="0" xfId="10" applyNumberFormat="1" applyFont="1" applyFill="1" applyBorder="1"/>
    <xf numFmtId="194" fontId="54" fillId="0" borderId="0" xfId="10" applyNumberFormat="1" applyFont="1" applyFill="1" applyBorder="1"/>
    <xf numFmtId="37" fontId="55" fillId="0" borderId="0" xfId="0" applyNumberFormat="1" applyFont="1" applyAlignment="1">
      <alignment horizontal="center"/>
    </xf>
    <xf numFmtId="197" fontId="12" fillId="0" borderId="0" xfId="0" applyNumberFormat="1" applyFont="1" applyAlignment="1">
      <alignment horizontal="right"/>
    </xf>
    <xf numFmtId="37" fontId="60" fillId="0" borderId="0" xfId="10" applyFont="1" applyFill="1"/>
    <xf numFmtId="9" fontId="12" fillId="0" borderId="0" xfId="69" applyFont="1" applyFill="1" applyBorder="1" applyAlignment="1">
      <alignment horizontal="center"/>
    </xf>
    <xf numFmtId="10" fontId="39" fillId="0" borderId="0" xfId="69" applyNumberFormat="1" applyFont="1" applyFill="1" applyBorder="1"/>
    <xf numFmtId="10" fontId="12" fillId="0" borderId="0" xfId="69" applyNumberFormat="1" applyFont="1" applyFill="1" applyBorder="1" applyAlignment="1">
      <alignment horizontal="left" indent="2"/>
    </xf>
    <xf numFmtId="168" fontId="38" fillId="0" borderId="0" xfId="69" applyNumberFormat="1" applyFont="1" applyFill="1" applyBorder="1" applyAlignment="1">
      <alignment horizontal="left" indent="1"/>
    </xf>
    <xf numFmtId="168" fontId="12" fillId="0" borderId="0" xfId="69" applyNumberFormat="1" applyFont="1" applyFill="1" applyBorder="1" applyAlignment="1">
      <alignment horizontal="left" indent="2"/>
    </xf>
    <xf numFmtId="168" fontId="12" fillId="0" borderId="0" xfId="69" applyNumberFormat="1" applyFont="1" applyAlignment="1">
      <alignment horizontal="center"/>
    </xf>
    <xf numFmtId="9" fontId="38" fillId="0" borderId="0" xfId="69" applyFont="1"/>
    <xf numFmtId="9" fontId="38" fillId="0" borderId="0" xfId="69" applyFont="1" applyAlignment="1">
      <alignment horizontal="left" indent="1"/>
    </xf>
    <xf numFmtId="37" fontId="38" fillId="0" borderId="0" xfId="99" applyNumberFormat="1" applyFont="1"/>
    <xf numFmtId="37" fontId="12" fillId="0" borderId="0" xfId="99" applyNumberFormat="1" applyFont="1"/>
    <xf numFmtId="1" fontId="12" fillId="0" borderId="0" xfId="57" applyNumberFormat="1" applyFont="1"/>
    <xf numFmtId="166" fontId="67" fillId="0" borderId="0" xfId="10" applyNumberFormat="1" applyFont="1"/>
    <xf numFmtId="198" fontId="12" fillId="0" borderId="0" xfId="0" applyNumberFormat="1" applyFont="1" applyAlignment="1">
      <alignment horizontal="right"/>
    </xf>
    <xf numFmtId="37" fontId="38" fillId="0" borderId="0" xfId="65" applyNumberFormat="1" applyFont="1"/>
    <xf numFmtId="166" fontId="57" fillId="0" borderId="0" xfId="65" applyNumberFormat="1" applyFont="1"/>
    <xf numFmtId="0" fontId="46" fillId="0" borderId="0" xfId="57" applyFont="1" applyAlignment="1">
      <alignment horizontal="left" indent="2"/>
    </xf>
    <xf numFmtId="221" fontId="39" fillId="0" borderId="0" xfId="69" applyNumberFormat="1" applyFont="1" applyFill="1"/>
    <xf numFmtId="37" fontId="55" fillId="0" borderId="0" xfId="73" applyNumberFormat="1" applyFont="1" applyFill="1" applyBorder="1" applyAlignment="1" applyProtection="1">
      <alignment horizontal="right" vertical="center"/>
    </xf>
    <xf numFmtId="216" fontId="72" fillId="0" borderId="0" xfId="10" applyNumberFormat="1" applyFont="1" applyFill="1" applyBorder="1"/>
    <xf numFmtId="37" fontId="75" fillId="0" borderId="0" xfId="10" applyFont="1" applyFill="1" applyBorder="1" applyAlignment="1">
      <alignment vertical="center"/>
    </xf>
    <xf numFmtId="37" fontId="12" fillId="0" borderId="0" xfId="10" applyFont="1" applyFill="1" applyBorder="1" applyAlignment="1"/>
    <xf numFmtId="171" fontId="55" fillId="0" borderId="0" xfId="10" applyNumberFormat="1" applyFont="1" applyFill="1" applyBorder="1" applyAlignment="1">
      <alignment vertical="center"/>
    </xf>
    <xf numFmtId="39" fontId="55" fillId="0" borderId="0" xfId="10" applyNumberFormat="1" applyFont="1" applyFill="1" applyBorder="1" applyAlignment="1">
      <alignment vertical="center"/>
    </xf>
    <xf numFmtId="37" fontId="38" fillId="0" borderId="0" xfId="10" applyFont="1" applyFill="1" applyBorder="1" applyAlignment="1"/>
    <xf numFmtId="37" fontId="12" fillId="0" borderId="0" xfId="10" applyFont="1" applyFill="1" applyBorder="1" applyAlignment="1">
      <alignment horizontal="right"/>
    </xf>
    <xf numFmtId="168" fontId="46" fillId="0" borderId="0" xfId="69" applyNumberFormat="1" applyFont="1" applyFill="1" applyBorder="1" applyAlignment="1">
      <alignment horizontal="right"/>
    </xf>
    <xf numFmtId="221" fontId="39" fillId="0" borderId="0" xfId="69" applyNumberFormat="1" applyFont="1" applyFill="1" applyBorder="1"/>
    <xf numFmtId="37" fontId="39" fillId="0" borderId="0" xfId="10" applyFont="1" applyFill="1" applyBorder="1" applyAlignment="1"/>
    <xf numFmtId="171" fontId="55" fillId="0" borderId="0" xfId="10" applyNumberFormat="1" applyFont="1" applyFill="1" applyBorder="1" applyAlignment="1">
      <alignment horizontal="right" vertical="center"/>
    </xf>
    <xf numFmtId="37" fontId="38" fillId="0" borderId="0" xfId="10" applyFont="1" applyFill="1" applyBorder="1" applyAlignment="1">
      <alignment horizontal="right"/>
    </xf>
    <xf numFmtId="168" fontId="38" fillId="0" borderId="0" xfId="69" applyNumberFormat="1" applyFont="1" applyFill="1" applyBorder="1" applyAlignment="1">
      <alignment horizontal="right"/>
    </xf>
    <xf numFmtId="168" fontId="39" fillId="0" borderId="0" xfId="69" applyNumberFormat="1" applyFont="1" applyFill="1" applyBorder="1" applyAlignment="1">
      <alignment horizontal="right" indent="1"/>
    </xf>
    <xf numFmtId="9" fontId="38" fillId="0" borderId="0" xfId="69" applyFont="1" applyBorder="1" applyAlignment="1">
      <alignment horizontal="right"/>
    </xf>
    <xf numFmtId="17" fontId="70" fillId="9" borderId="0" xfId="61" applyNumberFormat="1" applyFont="1" applyFill="1" applyAlignment="1">
      <alignment horizontal="right" vertical="center"/>
    </xf>
    <xf numFmtId="37" fontId="75" fillId="0" borderId="0" xfId="10" applyFont="1" applyFill="1" applyBorder="1" applyAlignment="1">
      <alignment horizontal="right" vertical="center"/>
    </xf>
    <xf numFmtId="37" fontId="55" fillId="0" borderId="0" xfId="10" applyFont="1" applyFill="1" applyBorder="1" applyAlignment="1">
      <alignment horizontal="right" vertical="center"/>
    </xf>
    <xf numFmtId="17" fontId="75" fillId="0" borderId="0" xfId="61" applyNumberFormat="1" applyFont="1" applyAlignment="1">
      <alignment horizontal="right" vertical="center"/>
    </xf>
    <xf numFmtId="168" fontId="55" fillId="0" borderId="0" xfId="69" applyNumberFormat="1" applyFont="1" applyFill="1" applyBorder="1" applyAlignment="1">
      <alignment horizontal="right" vertical="center"/>
    </xf>
    <xf numFmtId="166" fontId="75" fillId="0" borderId="0" xfId="61" applyNumberFormat="1" applyFont="1" applyAlignment="1">
      <alignment horizontal="right" vertical="center"/>
    </xf>
    <xf numFmtId="166" fontId="38" fillId="0" borderId="0" xfId="0" applyNumberFormat="1" applyFont="1" applyAlignment="1">
      <alignment horizontal="right"/>
    </xf>
    <xf numFmtId="166" fontId="54" fillId="0" borderId="0" xfId="0" applyNumberFormat="1" applyFont="1" applyAlignment="1">
      <alignment horizontal="right"/>
    </xf>
    <xf numFmtId="172" fontId="71" fillId="0" borderId="0" xfId="38" applyNumberFormat="1" applyFont="1" applyFill="1" applyAlignment="1">
      <alignment horizontal="right"/>
    </xf>
    <xf numFmtId="37" fontId="38" fillId="0" borderId="0" xfId="57" applyNumberFormat="1" applyFont="1" applyAlignment="1">
      <alignment horizontal="right"/>
    </xf>
    <xf numFmtId="37" fontId="55" fillId="0" borderId="0" xfId="57" applyNumberFormat="1" applyFont="1" applyAlignment="1">
      <alignment horizontal="right"/>
    </xf>
    <xf numFmtId="37" fontId="75" fillId="0" borderId="0" xfId="57" applyNumberFormat="1" applyFont="1" applyAlignment="1">
      <alignment horizontal="right"/>
    </xf>
    <xf numFmtId="0" fontId="12" fillId="0" borderId="0" xfId="57" applyFont="1" applyAlignment="1">
      <alignment horizontal="right"/>
    </xf>
    <xf numFmtId="9" fontId="12" fillId="0" borderId="0" xfId="57" applyNumberFormat="1" applyFont="1" applyAlignment="1">
      <alignment horizontal="right"/>
    </xf>
    <xf numFmtId="37" fontId="55" fillId="2" borderId="0" xfId="57" applyNumberFormat="1" applyFont="1" applyFill="1" applyAlignment="1">
      <alignment horizontal="right"/>
    </xf>
    <xf numFmtId="172" fontId="79" fillId="0" borderId="0" xfId="57" applyNumberFormat="1" applyFont="1" applyAlignment="1">
      <alignment horizontal="right"/>
    </xf>
    <xf numFmtId="172" fontId="71" fillId="0" borderId="0" xfId="38" applyNumberFormat="1" applyFont="1" applyFill="1" applyBorder="1" applyAlignment="1">
      <alignment horizontal="right"/>
    </xf>
    <xf numFmtId="194" fontId="12" fillId="0" borderId="0" xfId="57" applyNumberFormat="1" applyFont="1"/>
    <xf numFmtId="0" fontId="79" fillId="0" borderId="0" xfId="65" applyFont="1"/>
    <xf numFmtId="37" fontId="38" fillId="0" borderId="0" xfId="73" applyNumberFormat="1" applyFont="1" applyFill="1" applyBorder="1" applyAlignment="1" applyProtection="1">
      <alignment horizontal="right" vertical="center"/>
    </xf>
    <xf numFmtId="37" fontId="57" fillId="2" borderId="0" xfId="10" applyFont="1" applyFill="1" applyBorder="1" applyAlignment="1" applyProtection="1">
      <alignment horizontal="right" vertical="center"/>
    </xf>
    <xf numFmtId="9" fontId="50" fillId="0" borderId="39" xfId="69" applyFont="1" applyFill="1" applyBorder="1" applyAlignment="1">
      <alignment horizontal="center"/>
    </xf>
    <xf numFmtId="0" fontId="12" fillId="0" borderId="39" xfId="0" applyFont="1" applyBorder="1" applyAlignment="1">
      <alignment horizontal="center"/>
    </xf>
    <xf numFmtId="37" fontId="12" fillId="0" borderId="39" xfId="10" applyFont="1" applyBorder="1" applyAlignment="1">
      <alignment horizontal="right"/>
    </xf>
    <xf numFmtId="174" fontId="12" fillId="0" borderId="39" xfId="0" applyNumberFormat="1" applyFont="1" applyBorder="1" applyAlignment="1">
      <alignment horizontal="center"/>
    </xf>
    <xf numFmtId="9" fontId="12" fillId="0" borderId="39" xfId="69" applyFont="1" applyFill="1" applyBorder="1" applyAlignment="1">
      <alignment horizontal="center"/>
    </xf>
    <xf numFmtId="37" fontId="50" fillId="0" borderId="0" xfId="10" applyFont="1" applyFill="1" applyBorder="1"/>
    <xf numFmtId="0" fontId="52" fillId="0" borderId="6" xfId="0" applyFont="1" applyBorder="1"/>
    <xf numFmtId="0" fontId="12" fillId="0" borderId="6" xfId="0" applyFont="1" applyBorder="1"/>
    <xf numFmtId="37" fontId="50" fillId="0" borderId="0" xfId="0" applyNumberFormat="1" applyFont="1"/>
    <xf numFmtId="168" fontId="50" fillId="0" borderId="0" xfId="69" applyNumberFormat="1" applyFont="1" applyFill="1" applyBorder="1"/>
    <xf numFmtId="168" fontId="54" fillId="0" borderId="0" xfId="69" applyNumberFormat="1" applyFont="1" applyBorder="1"/>
    <xf numFmtId="0" fontId="50" fillId="0" borderId="6" xfId="0" applyFont="1" applyBorder="1"/>
    <xf numFmtId="0" fontId="50" fillId="0" borderId="0" xfId="0" applyFont="1" applyAlignment="1">
      <alignment horizontal="left" indent="1"/>
    </xf>
    <xf numFmtId="0" fontId="50" fillId="0" borderId="6" xfId="0" applyFont="1" applyBorder="1" applyAlignment="1">
      <alignment horizontal="left" indent="1"/>
    </xf>
    <xf numFmtId="37" fontId="50" fillId="0" borderId="6" xfId="0" applyNumberFormat="1" applyFont="1" applyBorder="1"/>
    <xf numFmtId="171" fontId="12" fillId="0" borderId="6" xfId="10" applyNumberFormat="1" applyFont="1" applyBorder="1"/>
    <xf numFmtId="171" fontId="54" fillId="0" borderId="6" xfId="10" applyNumberFormat="1" applyFont="1" applyBorder="1"/>
    <xf numFmtId="0" fontId="12" fillId="0" borderId="39" xfId="0" applyFont="1" applyBorder="1" applyAlignment="1">
      <alignment horizontal="left" indent="1"/>
    </xf>
    <xf numFmtId="221" fontId="78" fillId="0" borderId="0" xfId="69" applyNumberFormat="1" applyFont="1" applyFill="1" applyBorder="1"/>
    <xf numFmtId="168" fontId="67" fillId="0" borderId="0" xfId="0" applyNumberFormat="1" applyFont="1"/>
    <xf numFmtId="37" fontId="12" fillId="0" borderId="39" xfId="10" applyFont="1" applyBorder="1" applyAlignment="1">
      <alignment horizontal="center"/>
    </xf>
    <xf numFmtId="188" fontId="12" fillId="0" borderId="0" xfId="0" applyNumberFormat="1" applyFont="1" applyAlignment="1">
      <alignment horizontal="center"/>
    </xf>
    <xf numFmtId="188" fontId="103" fillId="14" borderId="0" xfId="0" applyNumberFormat="1" applyFont="1" applyFill="1" applyAlignment="1">
      <alignment horizontal="center"/>
    </xf>
    <xf numFmtId="3" fontId="60" fillId="6" borderId="33" xfId="0" applyNumberFormat="1" applyFont="1" applyFill="1" applyBorder="1"/>
    <xf numFmtId="9" fontId="55" fillId="0" borderId="0" xfId="69" applyFont="1"/>
    <xf numFmtId="37" fontId="75" fillId="0" borderId="0" xfId="10" applyFont="1"/>
    <xf numFmtId="168" fontId="38" fillId="0" borderId="0" xfId="69" applyNumberFormat="1" applyFont="1" applyFill="1" applyBorder="1" applyAlignment="1"/>
    <xf numFmtId="9" fontId="0" fillId="0" borderId="0" xfId="69" applyFont="1" applyAlignment="1">
      <alignment horizontal="center"/>
    </xf>
    <xf numFmtId="0" fontId="21" fillId="0" borderId="0" xfId="0" applyFont="1" applyAlignment="1">
      <alignment horizontal="center"/>
    </xf>
    <xf numFmtId="9" fontId="21" fillId="0" borderId="0" xfId="0" applyNumberFormat="1" applyFont="1" applyAlignment="1">
      <alignment horizontal="center"/>
    </xf>
    <xf numFmtId="9" fontId="10" fillId="0" borderId="0" xfId="69" applyFont="1" applyAlignment="1">
      <alignment horizontal="center"/>
    </xf>
    <xf numFmtId="37" fontId="38" fillId="8" borderId="0" xfId="0" applyNumberFormat="1" applyFont="1" applyFill="1"/>
    <xf numFmtId="37" fontId="38" fillId="10" borderId="0" xfId="0" applyNumberFormat="1" applyFont="1" applyFill="1" applyAlignment="1">
      <alignment horizontal="right"/>
    </xf>
    <xf numFmtId="9" fontId="38" fillId="10" borderId="0" xfId="69" applyFont="1" applyFill="1" applyBorder="1"/>
    <xf numFmtId="0" fontId="38" fillId="10" borderId="16" xfId="0" applyFont="1" applyFill="1" applyBorder="1"/>
    <xf numFmtId="37" fontId="38" fillId="8" borderId="16" xfId="0" applyNumberFormat="1" applyFont="1" applyFill="1" applyBorder="1"/>
    <xf numFmtId="37" fontId="38" fillId="10" borderId="16" xfId="0" applyNumberFormat="1" applyFont="1" applyFill="1" applyBorder="1" applyAlignment="1">
      <alignment horizontal="right"/>
    </xf>
    <xf numFmtId="9" fontId="38" fillId="10" borderId="16" xfId="69" applyFont="1" applyFill="1" applyBorder="1"/>
    <xf numFmtId="205" fontId="38" fillId="10" borderId="0" xfId="0" applyNumberFormat="1" applyFont="1" applyFill="1"/>
    <xf numFmtId="168" fontId="38" fillId="10" borderId="0" xfId="69" applyNumberFormat="1" applyFont="1" applyFill="1" applyBorder="1"/>
    <xf numFmtId="169" fontId="38" fillId="10" borderId="16" xfId="10" applyNumberFormat="1" applyFont="1" applyFill="1" applyBorder="1" applyAlignment="1">
      <alignment horizontal="right"/>
    </xf>
    <xf numFmtId="169" fontId="57" fillId="10" borderId="16" xfId="10" applyNumberFormat="1" applyFont="1" applyFill="1" applyBorder="1"/>
    <xf numFmtId="0" fontId="12" fillId="10" borderId="20" xfId="0" applyFont="1" applyFill="1" applyBorder="1" applyAlignment="1">
      <alignment horizontal="left" indent="1"/>
    </xf>
    <xf numFmtId="9" fontId="60" fillId="0" borderId="0" xfId="69" applyFont="1"/>
    <xf numFmtId="9" fontId="61" fillId="0" borderId="0" xfId="69" applyFont="1"/>
    <xf numFmtId="0" fontId="38" fillId="11" borderId="0" xfId="0" applyFont="1" applyFill="1"/>
    <xf numFmtId="0" fontId="12" fillId="11" borderId="0" xfId="0" applyFont="1" applyFill="1"/>
    <xf numFmtId="37" fontId="12" fillId="11" borderId="0" xfId="0" applyNumberFormat="1" applyFont="1" applyFill="1"/>
    <xf numFmtId="37" fontId="67" fillId="0" borderId="0" xfId="10" applyFont="1"/>
    <xf numFmtId="9" fontId="38" fillId="0" borderId="0" xfId="69" applyFont="1" applyFill="1" applyAlignment="1">
      <alignment horizontal="left" indent="1"/>
    </xf>
    <xf numFmtId="37" fontId="55" fillId="0" borderId="0" xfId="0" applyNumberFormat="1" applyFont="1"/>
    <xf numFmtId="37" fontId="75" fillId="0" borderId="0" xfId="0" applyNumberFormat="1" applyFont="1"/>
    <xf numFmtId="9" fontId="75" fillId="0" borderId="0" xfId="69" applyFont="1" applyFill="1"/>
    <xf numFmtId="168" fontId="55" fillId="0" borderId="0" xfId="69" applyNumberFormat="1" applyFont="1" applyFill="1" applyAlignment="1">
      <alignment horizontal="right"/>
    </xf>
    <xf numFmtId="168" fontId="75" fillId="0" borderId="0" xfId="69" applyNumberFormat="1" applyFont="1" applyFill="1" applyAlignment="1">
      <alignment horizontal="right"/>
    </xf>
    <xf numFmtId="168" fontId="67" fillId="0" borderId="0" xfId="69" applyNumberFormat="1" applyFont="1"/>
    <xf numFmtId="171" fontId="75" fillId="0" borderId="0" xfId="10" applyNumberFormat="1" applyFont="1"/>
    <xf numFmtId="171" fontId="55" fillId="0" borderId="0" xfId="10" applyNumberFormat="1" applyFont="1" applyAlignment="1">
      <alignment horizontal="right"/>
    </xf>
    <xf numFmtId="171" fontId="75" fillId="0" borderId="0" xfId="10" applyNumberFormat="1" applyFont="1" applyAlignment="1">
      <alignment horizontal="right"/>
    </xf>
    <xf numFmtId="37" fontId="38" fillId="10" borderId="16" xfId="0" applyNumberFormat="1" applyFont="1" applyFill="1" applyBorder="1"/>
    <xf numFmtId="168" fontId="12" fillId="10" borderId="20" xfId="69" applyNumberFormat="1" applyFont="1" applyFill="1" applyBorder="1" applyAlignment="1">
      <alignment horizontal="right"/>
    </xf>
    <xf numFmtId="37" fontId="12" fillId="10" borderId="0" xfId="10" applyFont="1" applyFill="1" applyBorder="1"/>
    <xf numFmtId="1" fontId="12" fillId="10" borderId="20" xfId="0" applyNumberFormat="1" applyFont="1" applyFill="1" applyBorder="1" applyAlignment="1">
      <alignment horizontal="center"/>
    </xf>
    <xf numFmtId="37" fontId="12" fillId="8" borderId="0" xfId="10" applyFont="1" applyFill="1" applyBorder="1" applyAlignment="1">
      <alignment horizontal="right"/>
    </xf>
    <xf numFmtId="168" fontId="38" fillId="8" borderId="0" xfId="69" applyNumberFormat="1" applyFont="1" applyFill="1" applyBorder="1" applyAlignment="1">
      <alignment horizontal="right"/>
    </xf>
    <xf numFmtId="37" fontId="104" fillId="10" borderId="16" xfId="0" applyNumberFormat="1" applyFont="1" applyFill="1" applyBorder="1"/>
    <xf numFmtId="37" fontId="105" fillId="10" borderId="0" xfId="10" applyFont="1" applyFill="1" applyBorder="1"/>
    <xf numFmtId="168" fontId="104" fillId="10" borderId="0" xfId="69" applyNumberFormat="1" applyFont="1" applyFill="1" applyBorder="1"/>
    <xf numFmtId="168" fontId="105" fillId="10" borderId="0" xfId="69" applyNumberFormat="1" applyFont="1" applyFill="1" applyBorder="1" applyAlignment="1">
      <alignment horizontal="right"/>
    </xf>
    <xf numFmtId="168" fontId="105" fillId="10" borderId="20" xfId="69" applyNumberFormat="1" applyFont="1" applyFill="1" applyBorder="1" applyAlignment="1">
      <alignment horizontal="right"/>
    </xf>
    <xf numFmtId="39" fontId="12" fillId="0" borderId="0" xfId="10" applyNumberFormat="1" applyFont="1"/>
    <xf numFmtId="37" fontId="38" fillId="0" borderId="16" xfId="0" applyNumberFormat="1" applyFont="1" applyBorder="1"/>
    <xf numFmtId="37" fontId="38" fillId="0" borderId="16" xfId="0" applyNumberFormat="1" applyFont="1" applyBorder="1" applyAlignment="1">
      <alignment horizontal="right"/>
    </xf>
    <xf numFmtId="0" fontId="37" fillId="0" borderId="0" xfId="0" applyFont="1" applyAlignment="1">
      <alignment horizontal="center"/>
    </xf>
    <xf numFmtId="0" fontId="37" fillId="0" borderId="0" xfId="0" applyFont="1"/>
    <xf numFmtId="0" fontId="58" fillId="9" borderId="63" xfId="66" applyFont="1" applyFill="1" applyBorder="1" applyAlignment="1">
      <alignment vertical="center"/>
    </xf>
    <xf numFmtId="0" fontId="108" fillId="0" borderId="0" xfId="0" applyFont="1"/>
    <xf numFmtId="0" fontId="37" fillId="0" borderId="39" xfId="0" applyFont="1" applyBorder="1"/>
    <xf numFmtId="0" fontId="37" fillId="0" borderId="39" xfId="0" applyFont="1" applyBorder="1" applyAlignment="1">
      <alignment horizontal="center"/>
    </xf>
    <xf numFmtId="0" fontId="37" fillId="0" borderId="33" xfId="0" applyFont="1" applyBorder="1" applyAlignment="1">
      <alignment horizontal="center"/>
    </xf>
    <xf numFmtId="0" fontId="23" fillId="0" borderId="0" xfId="0" applyFont="1"/>
    <xf numFmtId="0" fontId="109" fillId="0" borderId="0" xfId="0" applyFont="1"/>
    <xf numFmtId="37" fontId="12" fillId="0" borderId="0" xfId="65" applyNumberFormat="1" applyFont="1" applyAlignment="1">
      <alignment horizontal="right"/>
    </xf>
    <xf numFmtId="166" fontId="54" fillId="0" borderId="0" xfId="65" applyNumberFormat="1" applyFont="1" applyAlignment="1">
      <alignment horizontal="right"/>
    </xf>
    <xf numFmtId="17" fontId="45" fillId="0" borderId="0" xfId="61" applyNumberFormat="1" applyFont="1" applyAlignment="1">
      <alignment horizontal="right" vertical="center"/>
    </xf>
    <xf numFmtId="172" fontId="78" fillId="0" borderId="0" xfId="69" applyNumberFormat="1" applyFont="1" applyFill="1" applyBorder="1" applyAlignment="1">
      <alignment horizontal="right"/>
    </xf>
    <xf numFmtId="9" fontId="12" fillId="0" borderId="0" xfId="69" applyFont="1" applyAlignment="1">
      <alignment horizontal="left" indent="2"/>
    </xf>
    <xf numFmtId="168" fontId="103" fillId="6" borderId="0" xfId="69" applyNumberFormat="1" applyFont="1" applyFill="1"/>
    <xf numFmtId="0" fontId="12" fillId="9" borderId="0" xfId="0" applyFont="1" applyFill="1" applyAlignment="1">
      <alignment horizontal="left" indent="1"/>
    </xf>
    <xf numFmtId="168" fontId="46" fillId="0" borderId="0" xfId="69" applyNumberFormat="1" applyFont="1" applyAlignment="1"/>
    <xf numFmtId="0" fontId="93" fillId="9" borderId="0" xfId="0" applyFont="1" applyFill="1" applyAlignment="1">
      <alignment horizontal="left" indent="1"/>
    </xf>
    <xf numFmtId="0" fontId="70" fillId="0" borderId="0" xfId="0" applyFont="1"/>
    <xf numFmtId="168" fontId="46" fillId="0" borderId="0" xfId="69" applyNumberFormat="1" applyFont="1" applyAlignment="1">
      <alignment horizontal="right"/>
    </xf>
    <xf numFmtId="0" fontId="110" fillId="9" borderId="0" xfId="0" applyFont="1" applyFill="1"/>
    <xf numFmtId="0" fontId="58" fillId="0" borderId="37" xfId="66" applyFont="1" applyBorder="1" applyAlignment="1">
      <alignment vertical="center" textRotation="90"/>
    </xf>
    <xf numFmtId="37" fontId="39" fillId="0" borderId="0" xfId="10" applyFont="1" applyAlignment="1">
      <alignment horizontal="center"/>
    </xf>
    <xf numFmtId="37" fontId="46" fillId="0" borderId="0" xfId="10" applyFont="1" applyAlignment="1">
      <alignment horizontal="center"/>
    </xf>
    <xf numFmtId="37" fontId="39" fillId="0" borderId="0" xfId="10" applyFont="1" applyAlignment="1"/>
    <xf numFmtId="37" fontId="46" fillId="0" borderId="0" xfId="10" applyFont="1" applyAlignment="1">
      <alignment horizontal="right"/>
    </xf>
    <xf numFmtId="0" fontId="10" fillId="0" borderId="0" xfId="0" applyFont="1" applyAlignment="1">
      <alignment horizontal="center"/>
    </xf>
    <xf numFmtId="37" fontId="21" fillId="0" borderId="0" xfId="10" applyFont="1" applyAlignment="1">
      <alignment horizontal="center"/>
    </xf>
    <xf numFmtId="9" fontId="0" fillId="0" borderId="0" xfId="0" applyNumberFormat="1" applyAlignment="1">
      <alignment horizontal="center"/>
    </xf>
    <xf numFmtId="9" fontId="21" fillId="0" borderId="0" xfId="69" applyFont="1" applyAlignment="1">
      <alignment horizontal="center"/>
    </xf>
    <xf numFmtId="37" fontId="38" fillId="0" borderId="0" xfId="10" applyFont="1" applyAlignment="1">
      <alignment horizontal="center"/>
    </xf>
    <xf numFmtId="168" fontId="39" fillId="0" borderId="0" xfId="69" applyNumberFormat="1" applyFont="1" applyAlignment="1">
      <alignment horizontal="center"/>
    </xf>
    <xf numFmtId="168" fontId="46" fillId="0" borderId="0" xfId="69" applyNumberFormat="1" applyFont="1" applyAlignment="1">
      <alignment horizontal="center"/>
    </xf>
    <xf numFmtId="37" fontId="12" fillId="0" borderId="0" xfId="10" applyFont="1" applyAlignment="1">
      <alignment horizontal="center"/>
    </xf>
    <xf numFmtId="37" fontId="52" fillId="0" borderId="0" xfId="0" applyNumberFormat="1" applyFont="1"/>
    <xf numFmtId="37" fontId="50" fillId="0" borderId="6" xfId="10" applyFont="1" applyFill="1" applyBorder="1"/>
    <xf numFmtId="168" fontId="78" fillId="0" borderId="0" xfId="69" applyNumberFormat="1" applyFont="1" applyAlignment="1">
      <alignment horizontal="right"/>
    </xf>
    <xf numFmtId="0" fontId="56" fillId="9" borderId="33" xfId="66" applyFont="1" applyFill="1" applyBorder="1" applyAlignment="1">
      <alignment horizontal="left"/>
    </xf>
    <xf numFmtId="0" fontId="56" fillId="9" borderId="63" xfId="66" applyFont="1" applyFill="1" applyBorder="1" applyAlignment="1">
      <alignment horizontal="left" vertical="center"/>
    </xf>
    <xf numFmtId="9" fontId="12" fillId="0" borderId="0" xfId="69" applyFont="1" applyFill="1" applyAlignment="1">
      <alignment horizontal="right"/>
    </xf>
    <xf numFmtId="10" fontId="60" fillId="0" borderId="0" xfId="69" applyNumberFormat="1" applyFont="1" applyFill="1"/>
    <xf numFmtId="39" fontId="12" fillId="0" borderId="0" xfId="10" applyNumberFormat="1" applyFont="1" applyBorder="1"/>
    <xf numFmtId="39" fontId="54" fillId="0" borderId="0" xfId="10" applyNumberFormat="1" applyFont="1" applyBorder="1"/>
    <xf numFmtId="168" fontId="68" fillId="0" borderId="0" xfId="69" applyNumberFormat="1" applyFont="1" applyFill="1" applyBorder="1"/>
    <xf numFmtId="39" fontId="12" fillId="0" borderId="0" xfId="10" applyNumberFormat="1" applyFont="1" applyFill="1" applyAlignment="1">
      <alignment horizontal="right"/>
    </xf>
    <xf numFmtId="39" fontId="12" fillId="0" borderId="0" xfId="10" applyNumberFormat="1" applyFont="1" applyFill="1" applyBorder="1" applyAlignment="1">
      <alignment horizontal="right"/>
    </xf>
    <xf numFmtId="39" fontId="71" fillId="0" borderId="0" xfId="10" applyNumberFormat="1" applyFont="1" applyFill="1" applyBorder="1"/>
    <xf numFmtId="10" fontId="71" fillId="6" borderId="0" xfId="69" applyNumberFormat="1" applyFont="1" applyFill="1" applyBorder="1"/>
    <xf numFmtId="173" fontId="54" fillId="0" borderId="0" xfId="0" applyNumberFormat="1" applyFont="1"/>
    <xf numFmtId="189" fontId="12" fillId="0" borderId="16" xfId="62" applyNumberFormat="1" applyFont="1" applyBorder="1" applyAlignment="1">
      <alignment horizontal="right"/>
    </xf>
    <xf numFmtId="168" fontId="12" fillId="0" borderId="16" xfId="62" applyNumberFormat="1" applyFont="1" applyBorder="1" applyAlignment="1">
      <alignment horizontal="right"/>
    </xf>
    <xf numFmtId="168" fontId="12" fillId="0" borderId="0" xfId="62" applyNumberFormat="1" applyFont="1" applyAlignment="1">
      <alignment horizontal="right"/>
    </xf>
    <xf numFmtId="2" fontId="38" fillId="0" borderId="16" xfId="62" applyNumberFormat="1" applyFont="1" applyBorder="1" applyAlignment="1">
      <alignment horizontal="right"/>
    </xf>
    <xf numFmtId="198" fontId="54" fillId="0" borderId="0" xfId="0" applyNumberFormat="1" applyFont="1" applyAlignment="1">
      <alignment horizontal="right"/>
    </xf>
    <xf numFmtId="1" fontId="75" fillId="0" borderId="20" xfId="0" applyNumberFormat="1" applyFont="1" applyBorder="1" applyAlignment="1">
      <alignment horizontal="right"/>
    </xf>
    <xf numFmtId="192" fontId="38" fillId="0" borderId="20" xfId="0" applyNumberFormat="1" applyFont="1" applyBorder="1" applyAlignment="1">
      <alignment horizontal="center"/>
    </xf>
    <xf numFmtId="0" fontId="75" fillId="0" borderId="20" xfId="0" applyFont="1" applyBorder="1" applyAlignment="1">
      <alignment horizontal="left"/>
    </xf>
    <xf numFmtId="173" fontId="52" fillId="0" borderId="0" xfId="70" applyNumberFormat="1" applyFont="1" applyFill="1" applyBorder="1" applyAlignment="1">
      <alignment horizontal="right"/>
    </xf>
    <xf numFmtId="173" fontId="50" fillId="0" borderId="0" xfId="70" applyNumberFormat="1" applyFont="1" applyFill="1" applyBorder="1" applyAlignment="1">
      <alignment horizontal="right"/>
    </xf>
    <xf numFmtId="173" fontId="63" fillId="0" borderId="0" xfId="70" applyNumberFormat="1" applyFont="1" applyFill="1" applyBorder="1" applyAlignment="1">
      <alignment horizontal="right"/>
    </xf>
    <xf numFmtId="173" fontId="12" fillId="0" borderId="0" xfId="0" applyNumberFormat="1" applyFont="1" applyAlignment="1">
      <alignment horizontal="right"/>
    </xf>
    <xf numFmtId="173" fontId="38" fillId="0" borderId="0" xfId="0" applyNumberFormat="1" applyFont="1" applyAlignment="1">
      <alignment horizontal="right"/>
    </xf>
    <xf numFmtId="173" fontId="38" fillId="0" borderId="0" xfId="57" applyNumberFormat="1" applyFont="1" applyAlignment="1">
      <alignment horizontal="right"/>
    </xf>
    <xf numFmtId="173" fontId="12" fillId="0" borderId="0" xfId="0" applyNumberFormat="1" applyFont="1"/>
    <xf numFmtId="173" fontId="38" fillId="0" borderId="0" xfId="0" quotePrefix="1" applyNumberFormat="1" applyFont="1" applyAlignment="1">
      <alignment horizontal="center"/>
    </xf>
    <xf numFmtId="0" fontId="38" fillId="0" borderId="16" xfId="0" applyFont="1" applyBorder="1" applyAlignment="1">
      <alignment horizontal="right"/>
    </xf>
    <xf numFmtId="0" fontId="38" fillId="0" borderId="16" xfId="0" applyFont="1" applyBorder="1" applyAlignment="1">
      <alignment horizontal="left"/>
    </xf>
    <xf numFmtId="9" fontId="12" fillId="0" borderId="51" xfId="69" applyFont="1" applyFill="1" applyBorder="1" applyAlignment="1">
      <alignment horizontal="right"/>
    </xf>
    <xf numFmtId="9" fontId="12" fillId="9" borderId="0" xfId="69" applyFont="1" applyFill="1" applyBorder="1"/>
    <xf numFmtId="9" fontId="39" fillId="0" borderId="0" xfId="69" applyFont="1" applyFill="1"/>
    <xf numFmtId="168" fontId="55" fillId="0" borderId="0" xfId="69" applyNumberFormat="1" applyFont="1" applyFill="1"/>
    <xf numFmtId="172" fontId="55" fillId="0" borderId="0" xfId="70" applyNumberFormat="1" applyFont="1" applyFill="1" applyBorder="1" applyAlignment="1">
      <alignment horizontal="right"/>
    </xf>
    <xf numFmtId="37" fontId="38" fillId="0" borderId="0" xfId="0" applyNumberFormat="1" applyFont="1" applyAlignment="1">
      <alignment horizontal="center"/>
    </xf>
    <xf numFmtId="9" fontId="46" fillId="0" borderId="0" xfId="69" applyFont="1" applyAlignment="1">
      <alignment horizontal="center"/>
    </xf>
    <xf numFmtId="9" fontId="38" fillId="0" borderId="0" xfId="69" applyFont="1" applyAlignment="1">
      <alignment horizontal="center"/>
    </xf>
    <xf numFmtId="0" fontId="110" fillId="12" borderId="0" xfId="0" applyFont="1" applyFill="1"/>
    <xf numFmtId="0" fontId="93" fillId="0" borderId="0" xfId="57" applyFont="1"/>
    <xf numFmtId="9" fontId="39" fillId="0" borderId="0" xfId="69" applyFont="1" applyAlignment="1">
      <alignment horizontal="center"/>
    </xf>
    <xf numFmtId="186" fontId="38" fillId="0" borderId="39" xfId="99" quotePrefix="1" applyNumberFormat="1" applyFont="1" applyBorder="1" applyAlignment="1">
      <alignment horizontal="center"/>
    </xf>
    <xf numFmtId="37" fontId="78" fillId="0" borderId="0" xfId="10" applyFont="1" applyAlignment="1"/>
    <xf numFmtId="9" fontId="39" fillId="0" borderId="0" xfId="69" applyFont="1" applyFill="1" applyAlignment="1"/>
    <xf numFmtId="10" fontId="39" fillId="0" borderId="0" xfId="69" applyNumberFormat="1" applyFont="1" applyFill="1" applyAlignment="1"/>
    <xf numFmtId="171" fontId="39" fillId="0" borderId="0" xfId="69" applyNumberFormat="1" applyFont="1" applyFill="1" applyBorder="1" applyAlignment="1"/>
    <xf numFmtId="168" fontId="12" fillId="0" borderId="39" xfId="69" applyNumberFormat="1" applyFont="1" applyFill="1" applyBorder="1" applyAlignment="1">
      <alignment horizontal="center"/>
    </xf>
    <xf numFmtId="37" fontId="55" fillId="0" borderId="0" xfId="10" applyFont="1" applyAlignment="1">
      <alignment horizontal="right"/>
    </xf>
    <xf numFmtId="216" fontId="38" fillId="0" borderId="0" xfId="99" applyNumberFormat="1" applyFont="1" applyAlignment="1">
      <alignment horizontal="left"/>
    </xf>
    <xf numFmtId="198" fontId="60" fillId="0" borderId="0" xfId="0" applyNumberFormat="1" applyFont="1" applyAlignment="1">
      <alignment horizontal="right"/>
    </xf>
    <xf numFmtId="168" fontId="60" fillId="0" borderId="0" xfId="0" applyNumberFormat="1" applyFont="1" applyAlignment="1">
      <alignment horizontal="right"/>
    </xf>
    <xf numFmtId="171" fontId="12" fillId="8" borderId="0" xfId="10" applyNumberFormat="1" applyFont="1" applyFill="1" applyAlignment="1">
      <alignment horizontal="right"/>
    </xf>
    <xf numFmtId="37" fontId="60" fillId="0" borderId="0" xfId="0" applyNumberFormat="1" applyFont="1" applyAlignment="1">
      <alignment horizontal="right"/>
    </xf>
    <xf numFmtId="184" fontId="54" fillId="0" borderId="0" xfId="0" applyNumberFormat="1" applyFont="1" applyAlignment="1">
      <alignment horizontal="right"/>
    </xf>
    <xf numFmtId="9" fontId="60" fillId="0" borderId="0" xfId="81" applyFont="1" applyFill="1"/>
    <xf numFmtId="9" fontId="39" fillId="0" borderId="0" xfId="69" applyFont="1" applyFill="1" applyBorder="1"/>
    <xf numFmtId="9" fontId="12" fillId="0" borderId="59" xfId="69" applyFont="1" applyFill="1" applyBorder="1" applyAlignment="1">
      <alignment horizontal="right"/>
    </xf>
    <xf numFmtId="9" fontId="12" fillId="0" borderId="49" xfId="69" applyFont="1" applyFill="1" applyBorder="1" applyAlignment="1">
      <alignment horizontal="right"/>
    </xf>
    <xf numFmtId="221" fontId="12" fillId="0" borderId="51" xfId="69" applyNumberFormat="1" applyFont="1" applyFill="1" applyBorder="1" applyAlignment="1">
      <alignment horizontal="right"/>
    </xf>
    <xf numFmtId="37" fontId="12" fillId="0" borderId="6" xfId="10" applyFont="1" applyFill="1" applyBorder="1"/>
    <xf numFmtId="188" fontId="103" fillId="14" borderId="39" xfId="0" applyNumberFormat="1" applyFont="1" applyFill="1" applyBorder="1" applyAlignment="1">
      <alignment horizontal="center"/>
    </xf>
    <xf numFmtId="2" fontId="38" fillId="0" borderId="25" xfId="0" applyNumberFormat="1" applyFont="1" applyBorder="1" applyAlignment="1">
      <alignment horizontal="center"/>
    </xf>
    <xf numFmtId="216" fontId="72" fillId="0" borderId="38" xfId="10" applyNumberFormat="1" applyFont="1" applyFill="1" applyBorder="1"/>
    <xf numFmtId="37" fontId="60" fillId="10" borderId="0" xfId="0" applyNumberFormat="1" applyFont="1" applyFill="1"/>
    <xf numFmtId="171" fontId="38" fillId="0" borderId="0" xfId="10" applyNumberFormat="1" applyFont="1" applyFill="1" applyBorder="1"/>
    <xf numFmtId="17" fontId="45" fillId="9" borderId="66" xfId="61" applyNumberFormat="1" applyFont="1" applyFill="1" applyBorder="1" applyAlignment="1">
      <alignment horizontal="center" vertical="center"/>
    </xf>
    <xf numFmtId="37" fontId="12" fillId="0" borderId="66" xfId="10" applyFont="1" applyFill="1" applyBorder="1"/>
    <xf numFmtId="168" fontId="38" fillId="0" borderId="66" xfId="69" applyNumberFormat="1" applyFont="1" applyBorder="1" applyAlignment="1">
      <alignment horizontal="right"/>
    </xf>
    <xf numFmtId="37" fontId="12" fillId="0" borderId="66" xfId="10" applyFont="1" applyBorder="1"/>
    <xf numFmtId="37" fontId="38" fillId="0" borderId="66" xfId="10" applyFont="1" applyFill="1" applyBorder="1"/>
    <xf numFmtId="195" fontId="12" fillId="0" borderId="59" xfId="69" applyNumberFormat="1" applyFont="1" applyFill="1" applyBorder="1" applyAlignment="1">
      <alignment horizontal="right"/>
    </xf>
    <xf numFmtId="0" fontId="12" fillId="0" borderId="49" xfId="69" applyNumberFormat="1" applyFont="1" applyFill="1" applyBorder="1" applyAlignment="1">
      <alignment horizontal="right"/>
    </xf>
    <xf numFmtId="0" fontId="38" fillId="10" borderId="0" xfId="57" applyFont="1" applyFill="1"/>
    <xf numFmtId="37" fontId="38" fillId="10" borderId="0" xfId="57" applyNumberFormat="1" applyFont="1" applyFill="1"/>
    <xf numFmtId="169" fontId="57" fillId="10" borderId="0" xfId="57" applyNumberFormat="1" applyFont="1" applyFill="1"/>
    <xf numFmtId="0" fontId="12" fillId="10" borderId="0" xfId="57" applyFont="1" applyFill="1"/>
    <xf numFmtId="9" fontId="57" fillId="10" borderId="0" xfId="69" applyFont="1" applyFill="1" applyBorder="1"/>
    <xf numFmtId="37" fontId="46" fillId="10" borderId="0" xfId="57" applyNumberFormat="1" applyFont="1" applyFill="1"/>
    <xf numFmtId="9" fontId="39" fillId="10" borderId="0" xfId="69" applyFont="1" applyFill="1" applyBorder="1"/>
    <xf numFmtId="9" fontId="78" fillId="10" borderId="0" xfId="69" applyFont="1" applyFill="1" applyBorder="1"/>
    <xf numFmtId="9" fontId="114" fillId="10" borderId="0" xfId="69" applyFont="1" applyFill="1" applyBorder="1"/>
    <xf numFmtId="169" fontId="97" fillId="10" borderId="0" xfId="57" applyNumberFormat="1" applyFont="1" applyFill="1"/>
    <xf numFmtId="0" fontId="38" fillId="10" borderId="60" xfId="0" applyFont="1" applyFill="1" applyBorder="1"/>
    <xf numFmtId="0" fontId="39" fillId="10" borderId="0" xfId="0" applyFont="1" applyFill="1" applyAlignment="1">
      <alignment horizontal="left" indent="1"/>
    </xf>
    <xf numFmtId="0" fontId="55" fillId="10" borderId="0" xfId="0" applyFont="1" applyFill="1"/>
    <xf numFmtId="174" fontId="38" fillId="10" borderId="0" xfId="99" applyNumberFormat="1" applyFont="1" applyFill="1"/>
    <xf numFmtId="4" fontId="12" fillId="10" borderId="0" xfId="99" applyNumberFormat="1" applyFont="1" applyFill="1" applyAlignment="1">
      <alignment horizontal="left" indent="1"/>
    </xf>
    <xf numFmtId="174" fontId="12" fillId="10" borderId="0" xfId="99" applyNumberFormat="1" applyFont="1" applyFill="1" applyAlignment="1">
      <alignment horizontal="left" indent="1"/>
    </xf>
    <xf numFmtId="0" fontId="39" fillId="10" borderId="0" xfId="99" applyFont="1" applyFill="1" applyAlignment="1">
      <alignment horizontal="left" indent="1"/>
    </xf>
    <xf numFmtId="169" fontId="103" fillId="10" borderId="0" xfId="57" applyNumberFormat="1" applyFont="1" applyFill="1"/>
    <xf numFmtId="169" fontId="54" fillId="10" borderId="0" xfId="57" applyNumberFormat="1" applyFont="1" applyFill="1"/>
    <xf numFmtId="0" fontId="38" fillId="0" borderId="0" xfId="99" quotePrefix="1" applyFont="1" applyAlignment="1">
      <alignment horizontal="left"/>
    </xf>
    <xf numFmtId="0" fontId="38" fillId="0" borderId="0" xfId="38" applyNumberFormat="1" applyFont="1" applyAlignment="1">
      <alignment horizontal="right"/>
    </xf>
    <xf numFmtId="0" fontId="38" fillId="0" borderId="0" xfId="38" applyNumberFormat="1" applyFont="1" applyBorder="1" applyAlignment="1">
      <alignment horizontal="right"/>
    </xf>
    <xf numFmtId="37" fontId="67" fillId="10" borderId="0" xfId="0" applyNumberFormat="1" applyFont="1" applyFill="1"/>
    <xf numFmtId="3" fontId="10" fillId="0" borderId="0" xfId="0" applyNumberFormat="1" applyFont="1"/>
    <xf numFmtId="2" fontId="60" fillId="0" borderId="0" xfId="69" applyNumberFormat="1" applyFont="1" applyFill="1"/>
    <xf numFmtId="37" fontId="12" fillId="10" borderId="0" xfId="57" applyNumberFormat="1" applyFont="1" applyFill="1"/>
    <xf numFmtId="9" fontId="12" fillId="10" borderId="0" xfId="69" applyFont="1" applyFill="1" applyBorder="1"/>
    <xf numFmtId="9" fontId="54" fillId="10" borderId="0" xfId="69" applyFont="1" applyFill="1" applyBorder="1"/>
    <xf numFmtId="0" fontId="115" fillId="0" borderId="0" xfId="0" applyFont="1"/>
    <xf numFmtId="37" fontId="116" fillId="0" borderId="0" xfId="10" applyFont="1" applyFill="1" applyBorder="1" applyAlignment="1">
      <alignment vertical="center"/>
    </xf>
    <xf numFmtId="0" fontId="116" fillId="0" borderId="0" xfId="0" applyFont="1"/>
    <xf numFmtId="3" fontId="55" fillId="0" borderId="0" xfId="0" applyNumberFormat="1" applyFont="1" applyAlignment="1">
      <alignment horizontal="center"/>
    </xf>
    <xf numFmtId="0" fontId="116" fillId="0" borderId="0" xfId="0" applyFont="1" applyAlignment="1">
      <alignment horizontal="left" indent="1"/>
    </xf>
    <xf numFmtId="0" fontId="115" fillId="10" borderId="0" xfId="57" applyFont="1" applyFill="1"/>
    <xf numFmtId="37" fontId="115" fillId="10" borderId="0" xfId="57" applyNumberFormat="1" applyFont="1" applyFill="1"/>
    <xf numFmtId="169" fontId="115" fillId="10" borderId="0" xfId="57" applyNumberFormat="1" applyFont="1" applyFill="1"/>
    <xf numFmtId="169" fontId="116" fillId="10" borderId="0" xfId="57" applyNumberFormat="1" applyFont="1" applyFill="1"/>
    <xf numFmtId="0" fontId="39" fillId="0" borderId="0" xfId="0" applyFont="1" applyAlignment="1">
      <alignment horizontal="left"/>
    </xf>
    <xf numFmtId="0" fontId="115" fillId="0" borderId="2" xfId="0" applyFont="1" applyBorder="1"/>
    <xf numFmtId="172" fontId="117" fillId="0" borderId="0" xfId="38" applyNumberFormat="1" applyFont="1" applyFill="1" applyBorder="1"/>
    <xf numFmtId="172" fontId="117" fillId="0" borderId="0" xfId="38" applyNumberFormat="1" applyFont="1" applyBorder="1"/>
    <xf numFmtId="0" fontId="117" fillId="0" borderId="4" xfId="0" applyFont="1" applyBorder="1" applyAlignment="1">
      <alignment horizontal="left"/>
    </xf>
    <xf numFmtId="172" fontId="117" fillId="0" borderId="6" xfId="38" applyNumberFormat="1" applyFont="1" applyFill="1" applyBorder="1"/>
    <xf numFmtId="172" fontId="117" fillId="0" borderId="6" xfId="38" applyNumberFormat="1" applyFont="1" applyBorder="1"/>
    <xf numFmtId="0" fontId="115" fillId="0" borderId="5" xfId="0" applyFont="1" applyBorder="1" applyAlignment="1">
      <alignment horizontal="left"/>
    </xf>
    <xf numFmtId="37" fontId="115" fillId="0" borderId="5" xfId="37" applyFont="1" applyFill="1" applyBorder="1"/>
    <xf numFmtId="37" fontId="115" fillId="0" borderId="69" xfId="37" applyFont="1" applyFill="1" applyBorder="1"/>
    <xf numFmtId="37" fontId="115" fillId="0" borderId="5" xfId="37" applyFont="1" applyBorder="1"/>
    <xf numFmtId="170" fontId="116" fillId="0" borderId="6" xfId="10" applyNumberFormat="1" applyFont="1" applyFill="1" applyBorder="1" applyAlignment="1">
      <alignment horizontal="left" indent="1"/>
    </xf>
    <xf numFmtId="37" fontId="116" fillId="0" borderId="6" xfId="10" applyFont="1" applyFill="1" applyBorder="1" applyAlignment="1">
      <alignment vertical="center"/>
    </xf>
    <xf numFmtId="220" fontId="116" fillId="0" borderId="6" xfId="10" applyNumberFormat="1" applyFont="1" applyFill="1" applyBorder="1" applyAlignment="1">
      <alignment vertical="center"/>
    </xf>
    <xf numFmtId="37" fontId="116" fillId="0" borderId="0" xfId="10" applyFont="1" applyFill="1" applyAlignment="1">
      <alignment vertical="center"/>
    </xf>
    <xf numFmtId="37" fontId="116" fillId="0" borderId="0" xfId="10" applyFont="1" applyFill="1"/>
    <xf numFmtId="37" fontId="116" fillId="0" borderId="0" xfId="10" applyFont="1" applyFill="1" applyBorder="1"/>
    <xf numFmtId="37" fontId="116" fillId="0" borderId="0" xfId="10" applyFont="1"/>
    <xf numFmtId="0" fontId="116" fillId="0" borderId="0" xfId="0" applyFont="1" applyAlignment="1">
      <alignment horizontal="left" indent="2"/>
    </xf>
    <xf numFmtId="0" fontId="115" fillId="0" borderId="0" xfId="57" applyFont="1" applyAlignment="1">
      <alignment horizontal="left"/>
    </xf>
    <xf numFmtId="0" fontId="117" fillId="0" borderId="39" xfId="57" applyFont="1" applyBorder="1" applyAlignment="1">
      <alignment horizontal="left"/>
    </xf>
    <xf numFmtId="0" fontId="116" fillId="0" borderId="0" xfId="57" applyFont="1" applyAlignment="1">
      <alignment horizontal="left"/>
    </xf>
    <xf numFmtId="0" fontId="115" fillId="0" borderId="0" xfId="75" applyFont="1" applyBorder="1" applyProtection="1">
      <protection locked="0"/>
    </xf>
    <xf numFmtId="0" fontId="116" fillId="0" borderId="39" xfId="75" applyFont="1" applyBorder="1" applyAlignment="1" applyProtection="1">
      <alignment horizontal="left"/>
      <protection locked="0"/>
    </xf>
    <xf numFmtId="0" fontId="117" fillId="0" borderId="0" xfId="57" quotePrefix="1" applyFont="1" applyAlignment="1">
      <alignment horizontal="left"/>
    </xf>
    <xf numFmtId="173" fontId="52" fillId="0" borderId="0" xfId="70" applyNumberFormat="1" applyFont="1" applyFill="1" applyBorder="1"/>
    <xf numFmtId="0" fontId="116" fillId="0" borderId="0" xfId="57" quotePrefix="1" applyFont="1" applyAlignment="1">
      <alignment horizontal="left"/>
    </xf>
    <xf numFmtId="173" fontId="116" fillId="0" borderId="0" xfId="0" applyNumberFormat="1" applyFont="1"/>
    <xf numFmtId="173" fontId="115" fillId="0" borderId="0" xfId="70" applyNumberFormat="1" applyFont="1" applyFill="1" applyBorder="1" applyAlignment="1">
      <alignment horizontal="right"/>
    </xf>
    <xf numFmtId="173" fontId="116" fillId="0" borderId="0" xfId="0" applyNumberFormat="1" applyFont="1" applyAlignment="1">
      <alignment horizontal="right"/>
    </xf>
    <xf numFmtId="173" fontId="38" fillId="0" borderId="0" xfId="70" applyNumberFormat="1" applyFont="1" applyFill="1" applyBorder="1" applyAlignment="1">
      <alignment horizontal="right"/>
    </xf>
    <xf numFmtId="37" fontId="115" fillId="0" borderId="0" xfId="10" applyFont="1" applyFill="1" applyAlignment="1">
      <alignment vertical="center"/>
    </xf>
    <xf numFmtId="37" fontId="115" fillId="0" borderId="0" xfId="10" applyFont="1" applyFill="1" applyBorder="1" applyAlignment="1">
      <alignment vertical="center"/>
    </xf>
    <xf numFmtId="170" fontId="116" fillId="0" borderId="0" xfId="10" applyNumberFormat="1" applyFont="1" applyFill="1" applyBorder="1" applyAlignment="1">
      <alignment horizontal="left" indent="1"/>
    </xf>
    <xf numFmtId="37" fontId="115" fillId="0" borderId="5" xfId="10" applyFont="1" applyFill="1" applyBorder="1"/>
    <xf numFmtId="37" fontId="115" fillId="0" borderId="69" xfId="10" applyFont="1" applyFill="1" applyBorder="1"/>
    <xf numFmtId="37" fontId="115" fillId="0" borderId="5" xfId="10" applyFont="1" applyBorder="1"/>
    <xf numFmtId="0" fontId="117" fillId="0" borderId="3" xfId="0" applyFont="1" applyBorder="1" applyAlignment="1">
      <alignment horizontal="left" indent="1"/>
    </xf>
    <xf numFmtId="1" fontId="38" fillId="0" borderId="0" xfId="38" applyNumberFormat="1" applyFont="1" applyBorder="1"/>
    <xf numFmtId="1" fontId="38" fillId="0" borderId="0" xfId="0" applyNumberFormat="1" applyFont="1"/>
    <xf numFmtId="10" fontId="12" fillId="0" borderId="0" xfId="0" applyNumberFormat="1" applyFont="1"/>
    <xf numFmtId="1" fontId="57" fillId="0" borderId="0" xfId="38" applyNumberFormat="1" applyFont="1" applyBorder="1"/>
    <xf numFmtId="9" fontId="78" fillId="0" borderId="6" xfId="38" applyNumberFormat="1" applyFont="1" applyBorder="1"/>
    <xf numFmtId="0" fontId="12" fillId="0" borderId="0" xfId="69" applyNumberFormat="1" applyFont="1"/>
    <xf numFmtId="0" fontId="12" fillId="0" borderId="0" xfId="70" applyNumberFormat="1" applyFont="1" applyFill="1" applyBorder="1"/>
    <xf numFmtId="173" fontId="116" fillId="0" borderId="0" xfId="70" applyNumberFormat="1" applyFont="1" applyFill="1" applyBorder="1" applyAlignment="1">
      <alignment horizontal="right"/>
    </xf>
    <xf numFmtId="173" fontId="116" fillId="0" borderId="0" xfId="70" applyNumberFormat="1" applyFont="1" applyFill="1" applyBorder="1"/>
    <xf numFmtId="173" fontId="12" fillId="0" borderId="0" xfId="70" applyNumberFormat="1" applyFont="1" applyFill="1" applyBorder="1" applyAlignment="1">
      <alignment horizontal="right"/>
    </xf>
    <xf numFmtId="173" fontId="12" fillId="0" borderId="0" xfId="70" applyNumberFormat="1" applyFont="1" applyFill="1" applyBorder="1"/>
    <xf numFmtId="0" fontId="115" fillId="0" borderId="0" xfId="75" applyFont="1" applyProtection="1">
      <protection locked="0"/>
    </xf>
    <xf numFmtId="0" fontId="116" fillId="0" borderId="38" xfId="57" quotePrefix="1" applyFont="1" applyBorder="1" applyAlignment="1">
      <alignment horizontal="left"/>
    </xf>
    <xf numFmtId="0" fontId="117" fillId="0" borderId="0" xfId="57" applyFont="1"/>
    <xf numFmtId="193" fontId="116" fillId="0" borderId="0" xfId="57" applyNumberFormat="1" applyFont="1" applyAlignment="1">
      <alignment horizontal="right"/>
    </xf>
    <xf numFmtId="171" fontId="112" fillId="0" borderId="0" xfId="0" applyNumberFormat="1" applyFont="1" applyAlignment="1">
      <alignment horizontal="right"/>
    </xf>
    <xf numFmtId="172" fontId="60" fillId="0" borderId="0" xfId="0" applyNumberFormat="1" applyFont="1" applyAlignment="1">
      <alignment horizontal="right"/>
    </xf>
    <xf numFmtId="172" fontId="12" fillId="0" borderId="0" xfId="0" applyNumberFormat="1" applyFont="1" applyAlignment="1">
      <alignment horizontal="right"/>
    </xf>
    <xf numFmtId="37" fontId="50" fillId="0" borderId="0" xfId="10" applyFont="1" applyFill="1" applyBorder="1" applyAlignment="1">
      <alignment horizontal="right"/>
    </xf>
    <xf numFmtId="224" fontId="42" fillId="0" borderId="0" xfId="0" applyNumberFormat="1" applyFont="1"/>
    <xf numFmtId="168" fontId="116" fillId="0" borderId="0" xfId="69" applyNumberFormat="1" applyFont="1" applyFill="1" applyBorder="1" applyAlignment="1">
      <alignment vertical="center"/>
    </xf>
    <xf numFmtId="171" fontId="116" fillId="0" borderId="0" xfId="10" applyNumberFormat="1" applyFont="1" applyBorder="1"/>
    <xf numFmtId="0" fontId="116" fillId="10" borderId="0" xfId="57" applyFont="1" applyFill="1" applyAlignment="1">
      <alignment horizontal="left" indent="1"/>
    </xf>
    <xf numFmtId="168" fontId="116" fillId="10" borderId="0" xfId="69" applyNumberFormat="1" applyFont="1" applyFill="1" applyBorder="1"/>
    <xf numFmtId="0" fontId="115" fillId="10" borderId="0" xfId="57" applyFont="1" applyFill="1" applyAlignment="1">
      <alignment horizontal="left" indent="1"/>
    </xf>
    <xf numFmtId="37" fontId="71" fillId="0" borderId="0" xfId="10" applyFont="1" applyFill="1" applyAlignment="1">
      <alignment horizontal="right"/>
    </xf>
    <xf numFmtId="37" fontId="39" fillId="0" borderId="0" xfId="10" applyFont="1" applyBorder="1" applyAlignment="1">
      <alignment horizontal="right"/>
    </xf>
    <xf numFmtId="37" fontId="38" fillId="10" borderId="0" xfId="0" applyNumberFormat="1" applyFont="1" applyFill="1"/>
    <xf numFmtId="17" fontId="70" fillId="10" borderId="0" xfId="0" applyNumberFormat="1" applyFont="1" applyFill="1" applyAlignment="1">
      <alignment horizontal="center"/>
    </xf>
    <xf numFmtId="168" fontId="39" fillId="10" borderId="0" xfId="69" applyNumberFormat="1" applyFont="1" applyFill="1" applyAlignment="1"/>
    <xf numFmtId="168" fontId="46" fillId="10" borderId="0" xfId="69" applyNumberFormat="1" applyFont="1" applyFill="1" applyAlignment="1"/>
    <xf numFmtId="0" fontId="78" fillId="0" borderId="0" xfId="69" applyNumberFormat="1" applyFont="1" applyFill="1" applyBorder="1" applyAlignment="1"/>
    <xf numFmtId="37" fontId="116" fillId="10" borderId="0" xfId="57" applyNumberFormat="1" applyFont="1" applyFill="1"/>
    <xf numFmtId="37" fontId="55" fillId="10" borderId="0" xfId="10" applyFont="1" applyFill="1" applyBorder="1" applyAlignment="1">
      <alignment horizontal="right" vertical="center"/>
    </xf>
    <xf numFmtId="37" fontId="38" fillId="0" borderId="0" xfId="38" applyNumberFormat="1" applyFont="1" applyBorder="1" applyAlignment="1">
      <alignment horizontal="right"/>
    </xf>
    <xf numFmtId="37" fontId="12" fillId="10" borderId="0" xfId="57" applyNumberFormat="1" applyFont="1" applyFill="1" applyAlignment="1">
      <alignment horizontal="right"/>
    </xf>
    <xf numFmtId="168" fontId="12" fillId="0" borderId="0" xfId="69" applyNumberFormat="1" applyFont="1" applyFill="1" applyBorder="1" applyAlignment="1">
      <alignment vertical="center"/>
    </xf>
    <xf numFmtId="223" fontId="39" fillId="0" borderId="0" xfId="38" applyNumberFormat="1" applyFont="1" applyFill="1" applyBorder="1"/>
    <xf numFmtId="37" fontId="38" fillId="0" borderId="69" xfId="37" applyFont="1" applyFill="1" applyBorder="1"/>
    <xf numFmtId="0" fontId="12" fillId="0" borderId="6" xfId="69" applyNumberFormat="1" applyFont="1" applyFill="1" applyBorder="1" applyAlignment="1">
      <alignment vertical="center"/>
    </xf>
    <xf numFmtId="168" fontId="39" fillId="0" borderId="6" xfId="38" applyNumberFormat="1" applyFont="1" applyBorder="1"/>
    <xf numFmtId="191" fontId="39" fillId="0" borderId="69" xfId="69" applyNumberFormat="1" applyFont="1" applyBorder="1"/>
    <xf numFmtId="219" fontId="12" fillId="0" borderId="0" xfId="10" applyNumberFormat="1" applyFont="1" applyFill="1" applyBorder="1"/>
    <xf numFmtId="37" fontId="12" fillId="2" borderId="0" xfId="10" applyFont="1" applyFill="1" applyBorder="1" applyAlignment="1" applyProtection="1">
      <alignment horizontal="right" vertical="center"/>
    </xf>
    <xf numFmtId="37" fontId="83" fillId="2" borderId="0" xfId="10" applyFont="1" applyFill="1" applyBorder="1" applyAlignment="1" applyProtection="1">
      <alignment horizontal="right" vertical="center"/>
    </xf>
    <xf numFmtId="37" fontId="38" fillId="2" borderId="0" xfId="10" applyFont="1" applyFill="1" applyBorder="1" applyAlignment="1" applyProtection="1">
      <alignment horizontal="right" vertical="center"/>
    </xf>
    <xf numFmtId="17" fontId="45" fillId="9" borderId="66" xfId="61" applyNumberFormat="1" applyFont="1" applyFill="1" applyBorder="1" applyAlignment="1">
      <alignment horizontal="right" vertical="center"/>
    </xf>
    <xf numFmtId="170" fontId="38" fillId="0" borderId="66" xfId="0" applyNumberFormat="1" applyFont="1" applyBorder="1"/>
    <xf numFmtId="172" fontId="39" fillId="0" borderId="66" xfId="38" applyNumberFormat="1" applyFont="1" applyBorder="1"/>
    <xf numFmtId="37" fontId="116" fillId="0" borderId="66" xfId="10" applyFont="1" applyFill="1" applyBorder="1" applyAlignment="1">
      <alignment vertical="center"/>
    </xf>
    <xf numFmtId="37" fontId="12" fillId="0" borderId="66" xfId="10" applyFont="1" applyFill="1" applyBorder="1" applyAlignment="1">
      <alignment vertical="center"/>
    </xf>
    <xf numFmtId="168" fontId="12" fillId="0" borderId="66" xfId="69" applyNumberFormat="1" applyFont="1" applyFill="1" applyBorder="1" applyAlignment="1">
      <alignment vertical="center"/>
    </xf>
    <xf numFmtId="37" fontId="115" fillId="0" borderId="66" xfId="10" applyFont="1" applyFill="1" applyBorder="1" applyAlignment="1">
      <alignment vertical="center"/>
    </xf>
    <xf numFmtId="168" fontId="116" fillId="0" borderId="66" xfId="69" applyNumberFormat="1" applyFont="1" applyFill="1" applyBorder="1" applyAlignment="1">
      <alignment vertical="center"/>
    </xf>
    <xf numFmtId="37" fontId="116" fillId="0" borderId="66" xfId="10" applyFont="1" applyFill="1" applyBorder="1"/>
    <xf numFmtId="223" fontId="39" fillId="0" borderId="66" xfId="38" applyNumberFormat="1" applyFont="1" applyFill="1" applyBorder="1"/>
    <xf numFmtId="37" fontId="115" fillId="0" borderId="75" xfId="37" applyFont="1" applyFill="1" applyBorder="1"/>
    <xf numFmtId="1" fontId="38" fillId="0" borderId="66" xfId="38" applyNumberFormat="1" applyFont="1" applyBorder="1"/>
    <xf numFmtId="168" fontId="39" fillId="0" borderId="76" xfId="38" applyNumberFormat="1" applyFont="1" applyBorder="1"/>
    <xf numFmtId="37" fontId="115" fillId="0" borderId="75" xfId="10" applyFont="1" applyFill="1" applyBorder="1"/>
    <xf numFmtId="219" fontId="12" fillId="0" borderId="66" xfId="10" applyNumberFormat="1" applyFont="1" applyFill="1" applyBorder="1"/>
    <xf numFmtId="37" fontId="12" fillId="0" borderId="66" xfId="37" applyFont="1" applyBorder="1"/>
    <xf numFmtId="39" fontId="12" fillId="0" borderId="66" xfId="37" applyNumberFormat="1" applyFont="1" applyBorder="1"/>
    <xf numFmtId="0" fontId="54" fillId="0" borderId="66" xfId="0" applyFont="1" applyBorder="1"/>
    <xf numFmtId="0" fontId="12" fillId="0" borderId="66" xfId="0" applyFont="1" applyBorder="1"/>
    <xf numFmtId="37" fontId="12" fillId="0" borderId="66" xfId="73" applyNumberFormat="1" applyFont="1" applyFill="1" applyBorder="1" applyAlignment="1" applyProtection="1">
      <alignment horizontal="right" vertical="center"/>
    </xf>
    <xf numFmtId="37" fontId="83" fillId="0" borderId="66" xfId="73" applyNumberFormat="1" applyFont="1" applyFill="1" applyBorder="1" applyAlignment="1" applyProtection="1">
      <alignment horizontal="right" vertical="center"/>
    </xf>
    <xf numFmtId="37" fontId="54" fillId="2" borderId="66" xfId="10" quotePrefix="1" applyFont="1" applyFill="1" applyBorder="1" applyAlignment="1" applyProtection="1">
      <alignment horizontal="left" vertical="center"/>
    </xf>
    <xf numFmtId="37" fontId="12" fillId="2" borderId="66" xfId="10" applyFont="1" applyFill="1" applyBorder="1" applyAlignment="1" applyProtection="1">
      <alignment horizontal="right" vertical="center"/>
    </xf>
    <xf numFmtId="37" fontId="83" fillId="2" borderId="66" xfId="10" applyFont="1" applyFill="1" applyBorder="1" applyAlignment="1" applyProtection="1">
      <alignment horizontal="right" vertical="center"/>
    </xf>
    <xf numFmtId="37" fontId="54" fillId="2" borderId="66" xfId="10" applyFont="1" applyFill="1" applyBorder="1" applyAlignment="1" applyProtection="1">
      <alignment horizontal="right" vertical="center"/>
    </xf>
    <xf numFmtId="37" fontId="38" fillId="2" borderId="66" xfId="10" applyFont="1" applyFill="1" applyBorder="1" applyAlignment="1" applyProtection="1">
      <alignment horizontal="right" vertical="center"/>
    </xf>
    <xf numFmtId="37" fontId="82" fillId="0" borderId="66" xfId="73" applyNumberFormat="1" applyFont="1" applyFill="1" applyBorder="1" applyAlignment="1" applyProtection="1">
      <alignment horizontal="right" vertical="center"/>
    </xf>
    <xf numFmtId="37" fontId="83" fillId="2" borderId="66" xfId="73" applyNumberFormat="1" applyFont="1" applyFill="1" applyBorder="1" applyAlignment="1" applyProtection="1">
      <alignment horizontal="right" vertical="center"/>
    </xf>
    <xf numFmtId="37" fontId="85" fillId="2" borderId="66" xfId="73" applyNumberFormat="1" applyFont="1" applyFill="1" applyBorder="1" applyAlignment="1" applyProtection="1">
      <alignment horizontal="right" vertical="center"/>
    </xf>
    <xf numFmtId="37" fontId="67" fillId="2" borderId="66" xfId="73" applyNumberFormat="1" applyFont="1" applyFill="1" applyBorder="1" applyAlignment="1" applyProtection="1">
      <alignment horizontal="right" vertical="center"/>
    </xf>
    <xf numFmtId="17" fontId="70" fillId="9" borderId="66" xfId="61" applyNumberFormat="1" applyFont="1" applyFill="1" applyBorder="1" applyAlignment="1">
      <alignment horizontal="center" vertical="center"/>
    </xf>
    <xf numFmtId="166" fontId="57" fillId="0" borderId="66" xfId="63" applyNumberFormat="1" applyFont="1" applyBorder="1"/>
    <xf numFmtId="0" fontId="54" fillId="0" borderId="66" xfId="63" applyFont="1" applyBorder="1"/>
    <xf numFmtId="37" fontId="38" fillId="0" borderId="66" xfId="63" applyNumberFormat="1" applyFont="1" applyBorder="1"/>
    <xf numFmtId="37" fontId="12" fillId="0" borderId="66" xfId="63" applyNumberFormat="1" applyFont="1" applyBorder="1"/>
    <xf numFmtId="212" fontId="38" fillId="0" borderId="66" xfId="63" applyNumberFormat="1" applyFont="1" applyBorder="1"/>
    <xf numFmtId="17" fontId="70" fillId="9" borderId="66" xfId="61" applyNumberFormat="1" applyFont="1" applyFill="1" applyBorder="1" applyAlignment="1">
      <alignment horizontal="right" vertical="center"/>
    </xf>
    <xf numFmtId="37" fontId="75" fillId="0" borderId="66" xfId="10" applyFont="1" applyFill="1" applyBorder="1" applyAlignment="1">
      <alignment horizontal="right" vertical="center"/>
    </xf>
    <xf numFmtId="37" fontId="55" fillId="10" borderId="66" xfId="10" applyFont="1" applyFill="1" applyBorder="1" applyAlignment="1">
      <alignment horizontal="right" vertical="center"/>
    </xf>
    <xf numFmtId="37" fontId="55" fillId="0" borderId="66" xfId="10" applyFont="1" applyFill="1" applyBorder="1" applyAlignment="1">
      <alignment horizontal="right" vertical="center"/>
    </xf>
    <xf numFmtId="171" fontId="55" fillId="0" borderId="66" xfId="10" applyNumberFormat="1" applyFont="1" applyFill="1" applyBorder="1" applyAlignment="1">
      <alignment horizontal="right" vertical="center"/>
    </xf>
    <xf numFmtId="168" fontId="55" fillId="0" borderId="66" xfId="69" applyNumberFormat="1" applyFont="1" applyFill="1" applyBorder="1" applyAlignment="1">
      <alignment horizontal="right" vertical="center"/>
    </xf>
    <xf numFmtId="166" fontId="38" fillId="0" borderId="66" xfId="0" applyNumberFormat="1" applyFont="1" applyBorder="1" applyAlignment="1">
      <alignment horizontal="right"/>
    </xf>
    <xf numFmtId="166" fontId="54" fillId="0" borderId="66" xfId="0" applyNumberFormat="1" applyFont="1" applyBorder="1" applyAlignment="1">
      <alignment horizontal="right"/>
    </xf>
    <xf numFmtId="39" fontId="12" fillId="0" borderId="66" xfId="10" applyNumberFormat="1" applyFont="1" applyFill="1" applyBorder="1" applyAlignment="1">
      <alignment horizontal="right"/>
    </xf>
    <xf numFmtId="0" fontId="44" fillId="0" borderId="66" xfId="0" applyFont="1" applyBorder="1"/>
    <xf numFmtId="169" fontId="12" fillId="0" borderId="66" xfId="10" applyNumberFormat="1" applyFont="1" applyFill="1" applyBorder="1"/>
    <xf numFmtId="9" fontId="39" fillId="0" borderId="66" xfId="69" applyFont="1" applyFill="1" applyBorder="1"/>
    <xf numFmtId="9" fontId="38" fillId="10" borderId="66" xfId="69" applyFont="1" applyFill="1" applyBorder="1"/>
    <xf numFmtId="9" fontId="39" fillId="10" borderId="66" xfId="69" applyFont="1" applyFill="1" applyBorder="1"/>
    <xf numFmtId="9" fontId="12" fillId="10" borderId="66" xfId="69" applyFont="1" applyFill="1" applyBorder="1"/>
    <xf numFmtId="0" fontId="38" fillId="4" borderId="66" xfId="0" applyFont="1" applyFill="1" applyBorder="1" applyAlignment="1">
      <alignment horizontal="center"/>
    </xf>
    <xf numFmtId="37" fontId="75" fillId="0" borderId="66" xfId="10" applyFont="1" applyFill="1" applyBorder="1" applyAlignment="1">
      <alignment vertical="center"/>
    </xf>
    <xf numFmtId="37" fontId="55" fillId="0" borderId="66" xfId="10" applyFont="1" applyFill="1" applyBorder="1" applyAlignment="1">
      <alignment vertical="center"/>
    </xf>
    <xf numFmtId="0" fontId="12" fillId="0" borderId="66" xfId="60" applyFont="1" applyBorder="1"/>
    <xf numFmtId="37" fontId="12" fillId="0" borderId="66" xfId="10" applyFont="1" applyFill="1" applyBorder="1" applyAlignment="1"/>
    <xf numFmtId="171" fontId="55" fillId="0" borderId="66" xfId="10" applyNumberFormat="1" applyFont="1" applyFill="1" applyBorder="1" applyAlignment="1">
      <alignment vertical="center"/>
    </xf>
    <xf numFmtId="168" fontId="39" fillId="0" borderId="66" xfId="69" applyNumberFormat="1" applyFont="1" applyFill="1" applyBorder="1" applyAlignment="1"/>
    <xf numFmtId="39" fontId="55" fillId="0" borderId="66" xfId="10" applyNumberFormat="1" applyFont="1" applyFill="1" applyBorder="1" applyAlignment="1">
      <alignment vertical="center"/>
    </xf>
    <xf numFmtId="37" fontId="38" fillId="0" borderId="66" xfId="60" applyNumberFormat="1" applyFont="1" applyBorder="1"/>
    <xf numFmtId="171" fontId="12" fillId="0" borderId="66" xfId="60" applyNumberFormat="1" applyFont="1" applyBorder="1"/>
    <xf numFmtId="168" fontId="39" fillId="0" borderId="66" xfId="69" applyNumberFormat="1" applyFont="1" applyFill="1" applyBorder="1" applyAlignment="1">
      <alignment horizontal="right"/>
    </xf>
    <xf numFmtId="172" fontId="60" fillId="0" borderId="66" xfId="69" applyNumberFormat="1" applyFont="1" applyFill="1" applyBorder="1" applyAlignment="1">
      <alignment horizontal="right"/>
    </xf>
    <xf numFmtId="37" fontId="38" fillId="0" borderId="66" xfId="10" applyFont="1" applyFill="1" applyBorder="1" applyAlignment="1"/>
    <xf numFmtId="172" fontId="39" fillId="0" borderId="66" xfId="69" applyNumberFormat="1" applyFont="1" applyFill="1" applyBorder="1"/>
    <xf numFmtId="172" fontId="78" fillId="0" borderId="66" xfId="69" applyNumberFormat="1" applyFont="1" applyFill="1" applyBorder="1"/>
    <xf numFmtId="37" fontId="12" fillId="0" borderId="66" xfId="10" applyFont="1" applyFill="1" applyBorder="1" applyAlignment="1">
      <alignment horizontal="right"/>
    </xf>
    <xf numFmtId="168" fontId="46" fillId="0" borderId="66" xfId="69" applyNumberFormat="1" applyFont="1" applyFill="1" applyBorder="1" applyAlignment="1">
      <alignment horizontal="right"/>
    </xf>
    <xf numFmtId="168" fontId="78" fillId="0" borderId="66" xfId="69" applyNumberFormat="1" applyFont="1" applyFill="1" applyBorder="1" applyAlignment="1"/>
    <xf numFmtId="213" fontId="39" fillId="0" borderId="66" xfId="10" applyNumberFormat="1" applyFont="1" applyFill="1" applyBorder="1"/>
    <xf numFmtId="172" fontId="71" fillId="0" borderId="66" xfId="69" applyNumberFormat="1" applyFont="1" applyFill="1" applyBorder="1"/>
    <xf numFmtId="37" fontId="38" fillId="0" borderId="66" xfId="65" applyNumberFormat="1" applyFont="1" applyBorder="1"/>
    <xf numFmtId="221" fontId="39" fillId="0" borderId="66" xfId="69" applyNumberFormat="1" applyFont="1" applyFill="1" applyBorder="1"/>
    <xf numFmtId="37" fontId="61" fillId="0" borderId="66" xfId="0" applyNumberFormat="1" applyFont="1" applyBorder="1"/>
    <xf numFmtId="0" fontId="78" fillId="0" borderId="66" xfId="69" applyNumberFormat="1" applyFont="1" applyFill="1" applyBorder="1" applyAlignment="1"/>
    <xf numFmtId="171" fontId="12" fillId="0" borderId="66" xfId="60" applyNumberFormat="1" applyFont="1" applyBorder="1" applyAlignment="1">
      <alignment horizontal="right"/>
    </xf>
    <xf numFmtId="37" fontId="38" fillId="0" borderId="66" xfId="10" applyFont="1" applyFill="1" applyBorder="1" applyAlignment="1">
      <alignment horizontal="right"/>
    </xf>
    <xf numFmtId="172" fontId="39" fillId="0" borderId="66" xfId="69" applyNumberFormat="1" applyFont="1" applyFill="1" applyBorder="1" applyAlignment="1">
      <alignment horizontal="right"/>
    </xf>
    <xf numFmtId="168" fontId="38" fillId="0" borderId="66" xfId="69" applyNumberFormat="1" applyFont="1" applyFill="1" applyBorder="1" applyAlignment="1">
      <alignment horizontal="right"/>
    </xf>
    <xf numFmtId="37" fontId="12" fillId="0" borderId="66" xfId="65" applyNumberFormat="1" applyFont="1" applyBorder="1"/>
    <xf numFmtId="37" fontId="39" fillId="0" borderId="66" xfId="10" applyFont="1" applyFill="1" applyBorder="1" applyAlignment="1"/>
    <xf numFmtId="37" fontId="12" fillId="0" borderId="66" xfId="60" applyNumberFormat="1" applyFont="1" applyBorder="1" applyAlignment="1">
      <alignment horizontal="right"/>
    </xf>
    <xf numFmtId="9" fontId="12" fillId="0" borderId="66" xfId="69" applyFont="1" applyBorder="1" applyAlignment="1">
      <alignment horizontal="right"/>
    </xf>
    <xf numFmtId="37" fontId="54" fillId="0" borderId="66" xfId="10" applyFont="1" applyFill="1" applyBorder="1" applyAlignment="1">
      <alignment vertical="center"/>
    </xf>
    <xf numFmtId="172" fontId="46" fillId="0" borderId="66" xfId="69" applyNumberFormat="1" applyFont="1" applyFill="1" applyBorder="1"/>
    <xf numFmtId="37" fontId="12" fillId="0" borderId="66" xfId="0" applyNumberFormat="1" applyFont="1" applyBorder="1"/>
    <xf numFmtId="168" fontId="116" fillId="10" borderId="66" xfId="69" applyNumberFormat="1" applyFont="1" applyFill="1" applyBorder="1"/>
    <xf numFmtId="172" fontId="39" fillId="0" borderId="66" xfId="38" applyNumberFormat="1" applyFont="1" applyFill="1" applyBorder="1"/>
    <xf numFmtId="0" fontId="55" fillId="10" borderId="0" xfId="0" applyFont="1" applyFill="1" applyAlignment="1">
      <alignment horizontal="center"/>
    </xf>
    <xf numFmtId="224" fontId="12" fillId="0" borderId="0" xfId="0" applyNumberFormat="1" applyFont="1"/>
    <xf numFmtId="37" fontId="71" fillId="6" borderId="73" xfId="0" applyNumberFormat="1" applyFont="1" applyFill="1" applyBorder="1"/>
    <xf numFmtId="37" fontId="71" fillId="6" borderId="74" xfId="0" applyNumberFormat="1" applyFont="1" applyFill="1" applyBorder="1"/>
    <xf numFmtId="168" fontId="12" fillId="0" borderId="64" xfId="69" applyNumberFormat="1" applyFont="1" applyFill="1" applyBorder="1"/>
    <xf numFmtId="168" fontId="12" fillId="0" borderId="73" xfId="69" applyNumberFormat="1" applyFont="1" applyFill="1" applyBorder="1"/>
    <xf numFmtId="168" fontId="39" fillId="0" borderId="64" xfId="57" applyNumberFormat="1" applyFont="1" applyBorder="1"/>
    <xf numFmtId="168" fontId="39" fillId="0" borderId="73" xfId="57" applyNumberFormat="1" applyFont="1" applyBorder="1"/>
    <xf numFmtId="37" fontId="57" fillId="0" borderId="0" xfId="10" applyFont="1" applyFill="1" applyBorder="1" applyAlignment="1">
      <alignment horizontal="right"/>
    </xf>
    <xf numFmtId="37" fontId="54" fillId="0" borderId="0" xfId="10" applyFont="1" applyFill="1" applyBorder="1" applyAlignment="1">
      <alignment horizontal="right"/>
    </xf>
    <xf numFmtId="171" fontId="12" fillId="0" borderId="66" xfId="10" applyNumberFormat="1" applyFont="1" applyFill="1" applyBorder="1"/>
    <xf numFmtId="3" fontId="45" fillId="9" borderId="0" xfId="63" applyNumberFormat="1" applyFont="1" applyFill="1"/>
    <xf numFmtId="37" fontId="54" fillId="0" borderId="0" xfId="37" applyFont="1" applyBorder="1"/>
    <xf numFmtId="0" fontId="12" fillId="0" borderId="0" xfId="59" applyFont="1" applyAlignment="1">
      <alignment horizontal="left" indent="3"/>
    </xf>
    <xf numFmtId="0" fontId="116" fillId="10" borderId="0" xfId="57" applyFont="1" applyFill="1"/>
    <xf numFmtId="2" fontId="12" fillId="0" borderId="0" xfId="60" applyNumberFormat="1" applyFont="1"/>
    <xf numFmtId="0" fontId="12" fillId="0" borderId="0" xfId="0" applyFont="1" applyAlignment="1">
      <alignment horizontal="centerContinuous"/>
    </xf>
    <xf numFmtId="39" fontId="61" fillId="6" borderId="0" xfId="0" applyNumberFormat="1" applyFont="1" applyFill="1"/>
    <xf numFmtId="9" fontId="37" fillId="10" borderId="0" xfId="69" applyFont="1" applyFill="1" applyAlignment="1">
      <alignment horizontal="right"/>
    </xf>
    <xf numFmtId="170" fontId="38" fillId="0" borderId="66" xfId="10" applyNumberFormat="1" applyFont="1" applyFill="1" applyBorder="1"/>
    <xf numFmtId="168" fontId="12" fillId="10" borderId="66" xfId="69" applyNumberFormat="1" applyFont="1" applyFill="1" applyBorder="1" applyAlignment="1">
      <alignment horizontal="right"/>
    </xf>
    <xf numFmtId="168" fontId="54" fillId="10" borderId="0" xfId="69" applyNumberFormat="1" applyFont="1" applyFill="1" applyBorder="1" applyAlignment="1">
      <alignment horizontal="right"/>
    </xf>
    <xf numFmtId="0" fontId="50" fillId="0" borderId="0" xfId="70" applyNumberFormat="1" applyFont="1" applyFill="1" applyBorder="1"/>
    <xf numFmtId="188" fontId="12" fillId="0" borderId="0" xfId="75" applyNumberFormat="1" applyFont="1" applyBorder="1" applyAlignment="1" applyProtection="1">
      <alignment horizontal="left" indent="1"/>
      <protection locked="0"/>
    </xf>
    <xf numFmtId="168" fontId="12" fillId="0" borderId="0" xfId="65" applyNumberFormat="1" applyFont="1"/>
    <xf numFmtId="37" fontId="38" fillId="0" borderId="0" xfId="37" applyFont="1" applyFill="1" applyBorder="1"/>
    <xf numFmtId="37" fontId="38" fillId="0" borderId="66" xfId="37" applyFont="1" applyFill="1" applyBorder="1"/>
    <xf numFmtId="37" fontId="55" fillId="0" borderId="66" xfId="60" applyNumberFormat="1" applyFont="1" applyBorder="1"/>
    <xf numFmtId="166" fontId="38" fillId="0" borderId="0" xfId="37" applyNumberFormat="1" applyFont="1" applyFill="1" applyBorder="1"/>
    <xf numFmtId="168" fontId="60" fillId="0" borderId="7" xfId="69" applyNumberFormat="1" applyFont="1" applyFill="1" applyBorder="1"/>
    <xf numFmtId="9" fontId="60" fillId="6" borderId="0" xfId="69" applyFont="1" applyFill="1" applyBorder="1"/>
    <xf numFmtId="168" fontId="12" fillId="8" borderId="0" xfId="67" applyNumberFormat="1" applyFont="1" applyFill="1" applyAlignment="1">
      <alignment horizontal="right"/>
    </xf>
    <xf numFmtId="168" fontId="12" fillId="0" borderId="0" xfId="67" applyNumberFormat="1" applyFont="1" applyAlignment="1">
      <alignment horizontal="right"/>
    </xf>
    <xf numFmtId="0" fontId="117" fillId="0" borderId="39" xfId="57" applyFont="1" applyBorder="1" applyAlignment="1">
      <alignment horizontal="left" indent="1"/>
    </xf>
    <xf numFmtId="39" fontId="54" fillId="0" borderId="0" xfId="10" applyNumberFormat="1" applyFont="1"/>
    <xf numFmtId="0" fontId="12" fillId="0" borderId="16" xfId="62" applyFont="1" applyBorder="1" applyAlignment="1">
      <alignment horizontal="center"/>
    </xf>
    <xf numFmtId="0" fontId="12" fillId="0" borderId="0" xfId="67" applyFont="1" applyAlignment="1">
      <alignment horizontal="center"/>
    </xf>
    <xf numFmtId="0" fontId="12" fillId="0" borderId="0" xfId="62" applyFont="1" applyAlignment="1">
      <alignment horizontal="center"/>
    </xf>
    <xf numFmtId="39" fontId="71" fillId="7" borderId="0" xfId="0" applyNumberFormat="1" applyFont="1" applyFill="1"/>
    <xf numFmtId="171" fontId="0" fillId="0" borderId="0" xfId="10" applyNumberFormat="1" applyFont="1"/>
    <xf numFmtId="9" fontId="12" fillId="0" borderId="0" xfId="69" applyFont="1" applyFill="1" applyBorder="1" applyAlignment="1">
      <alignment horizontal="right"/>
    </xf>
    <xf numFmtId="0" fontId="12" fillId="0" borderId="69" xfId="0" applyFont="1" applyBorder="1"/>
    <xf numFmtId="0" fontId="12" fillId="0" borderId="71" xfId="0" applyFont="1" applyBorder="1"/>
    <xf numFmtId="0" fontId="38" fillId="0" borderId="3" xfId="0" applyFont="1" applyBorder="1" applyAlignment="1">
      <alignment horizontal="left" indent="1"/>
    </xf>
    <xf numFmtId="0" fontId="12" fillId="0" borderId="3" xfId="0" applyFont="1" applyBorder="1" applyAlignment="1">
      <alignment horizontal="left" indent="1"/>
    </xf>
    <xf numFmtId="17" fontId="38" fillId="0" borderId="72" xfId="61" applyNumberFormat="1" applyFont="1" applyBorder="1" applyAlignment="1">
      <alignment horizontal="left" vertical="center"/>
    </xf>
    <xf numFmtId="17" fontId="38" fillId="0" borderId="3" xfId="61" applyNumberFormat="1" applyFont="1" applyBorder="1" applyAlignment="1">
      <alignment horizontal="left" vertical="center"/>
    </xf>
    <xf numFmtId="0" fontId="12" fillId="0" borderId="3" xfId="0" applyFont="1" applyBorder="1" applyAlignment="1">
      <alignment horizontal="left" indent="2"/>
    </xf>
    <xf numFmtId="0" fontId="12" fillId="0" borderId="64" xfId="0" applyFont="1" applyBorder="1"/>
    <xf numFmtId="0" fontId="12" fillId="0" borderId="73" xfId="0" applyFont="1" applyBorder="1"/>
    <xf numFmtId="0" fontId="38" fillId="0" borderId="4" xfId="0" applyFont="1" applyBorder="1" applyAlignment="1">
      <alignment horizontal="left" indent="1"/>
    </xf>
    <xf numFmtId="0" fontId="38" fillId="11" borderId="77" xfId="10" applyNumberFormat="1" applyFont="1" applyFill="1" applyBorder="1" applyAlignment="1">
      <alignment horizontal="center" vertical="center"/>
    </xf>
    <xf numFmtId="0" fontId="38" fillId="11" borderId="69" xfId="10" applyNumberFormat="1" applyFont="1" applyFill="1" applyBorder="1" applyAlignment="1">
      <alignment horizontal="center" vertical="center"/>
    </xf>
    <xf numFmtId="0" fontId="38" fillId="11" borderId="70" xfId="10" applyNumberFormat="1" applyFont="1" applyFill="1" applyBorder="1" applyAlignment="1">
      <alignment horizontal="center" vertical="center"/>
    </xf>
    <xf numFmtId="171" fontId="12" fillId="0" borderId="0" xfId="10" applyNumberFormat="1" applyFont="1"/>
    <xf numFmtId="0" fontId="52" fillId="0" borderId="20" xfId="0" applyFont="1" applyBorder="1"/>
    <xf numFmtId="0" fontId="45" fillId="0" borderId="20" xfId="0" applyFont="1" applyBorder="1" applyAlignment="1">
      <alignment horizontal="right"/>
    </xf>
    <xf numFmtId="192" fontId="38" fillId="0" borderId="20" xfId="0" applyNumberFormat="1" applyFont="1" applyBorder="1" applyAlignment="1">
      <alignment horizontal="right"/>
    </xf>
    <xf numFmtId="1" fontId="39" fillId="0" borderId="0" xfId="0" applyNumberFormat="1" applyFont="1"/>
    <xf numFmtId="0" fontId="39" fillId="0" borderId="66" xfId="0" applyFont="1" applyBorder="1"/>
    <xf numFmtId="37" fontId="12" fillId="2" borderId="0" xfId="0" applyNumberFormat="1" applyFont="1" applyFill="1"/>
    <xf numFmtId="168" fontId="60" fillId="6" borderId="0" xfId="69" applyNumberFormat="1" applyFont="1" applyFill="1" applyBorder="1"/>
    <xf numFmtId="1" fontId="75" fillId="0" borderId="20" xfId="0" applyNumberFormat="1" applyFont="1" applyBorder="1"/>
    <xf numFmtId="0" fontId="75" fillId="0" borderId="20" xfId="0" applyFont="1" applyBorder="1"/>
    <xf numFmtId="0" fontId="75" fillId="0" borderId="20" xfId="0" applyFont="1" applyBorder="1" applyAlignment="1">
      <alignment horizontal="center"/>
    </xf>
    <xf numFmtId="0" fontId="38" fillId="0" borderId="20" xfId="0" applyFont="1" applyBorder="1" applyAlignment="1">
      <alignment horizontal="center"/>
    </xf>
    <xf numFmtId="225" fontId="50" fillId="2" borderId="0" xfId="0" applyNumberFormat="1" applyFont="1" applyFill="1"/>
    <xf numFmtId="0" fontId="67" fillId="0" borderId="0" xfId="0" applyFont="1" applyAlignment="1">
      <alignment horizontal="center"/>
    </xf>
    <xf numFmtId="3" fontId="67" fillId="0" borderId="0" xfId="0" applyNumberFormat="1" applyFont="1" applyAlignment="1">
      <alignment horizontal="center"/>
    </xf>
    <xf numFmtId="37" fontId="67" fillId="0" borderId="0" xfId="0" applyNumberFormat="1" applyFont="1" applyAlignment="1">
      <alignment horizontal="center"/>
    </xf>
    <xf numFmtId="168" fontId="39" fillId="5" borderId="0" xfId="69" applyNumberFormat="1" applyFont="1" applyFill="1" applyAlignment="1"/>
    <xf numFmtId="0" fontId="45" fillId="9" borderId="0" xfId="61" applyNumberFormat="1" applyFont="1" applyFill="1" applyAlignment="1">
      <alignment horizontal="center" vertical="center"/>
    </xf>
    <xf numFmtId="0" fontId="38" fillId="0" borderId="39" xfId="61" applyNumberFormat="1" applyFont="1" applyBorder="1" applyAlignment="1">
      <alignment horizontal="center" vertical="center"/>
    </xf>
    <xf numFmtId="0" fontId="70" fillId="12" borderId="0" xfId="0" applyFont="1" applyFill="1" applyAlignment="1">
      <alignment horizontal="right"/>
    </xf>
    <xf numFmtId="186" fontId="38" fillId="0" borderId="39" xfId="99" quotePrefix="1" applyNumberFormat="1" applyFont="1" applyBorder="1" applyAlignment="1">
      <alignment horizontal="right"/>
    </xf>
    <xf numFmtId="194" fontId="12" fillId="0" borderId="0" xfId="69" applyNumberFormat="1" applyFont="1" applyFill="1"/>
    <xf numFmtId="0" fontId="12" fillId="0" borderId="78" xfId="0" applyFont="1" applyBorder="1" applyAlignment="1">
      <alignment horizontal="left" indent="1"/>
    </xf>
    <xf numFmtId="0" fontId="12" fillId="0" borderId="60" xfId="0" applyFont="1" applyBorder="1" applyAlignment="1">
      <alignment horizontal="left" indent="1"/>
    </xf>
    <xf numFmtId="0" fontId="12" fillId="0" borderId="78" xfId="57" applyFont="1" applyBorder="1" applyAlignment="1">
      <alignment horizontal="left" indent="1"/>
    </xf>
    <xf numFmtId="0" fontId="12" fillId="0" borderId="60" xfId="57" applyFont="1" applyBorder="1" applyAlignment="1">
      <alignment horizontal="left" indent="1"/>
    </xf>
    <xf numFmtId="174" fontId="12" fillId="0" borderId="0" xfId="57" applyNumberFormat="1" applyFont="1"/>
    <xf numFmtId="37" fontId="38" fillId="0" borderId="0" xfId="10" applyFont="1" applyFill="1" applyAlignment="1">
      <alignment horizontal="center"/>
    </xf>
    <xf numFmtId="168" fontId="39" fillId="0" borderId="0" xfId="69" applyNumberFormat="1" applyFont="1" applyFill="1" applyAlignment="1">
      <alignment horizontal="center"/>
    </xf>
    <xf numFmtId="168" fontId="46" fillId="0" borderId="0" xfId="69" applyNumberFormat="1" applyFont="1" applyFill="1" applyAlignment="1">
      <alignment horizontal="center"/>
    </xf>
    <xf numFmtId="0" fontId="38" fillId="0" borderId="71" xfId="0" applyFont="1" applyBorder="1" applyAlignment="1">
      <alignment horizontal="center"/>
    </xf>
    <xf numFmtId="37" fontId="38" fillId="0" borderId="71" xfId="10" applyFont="1" applyBorder="1" applyAlignment="1">
      <alignment horizontal="center"/>
    </xf>
    <xf numFmtId="168" fontId="39" fillId="0" borderId="71" xfId="69" applyNumberFormat="1" applyFont="1" applyBorder="1" applyAlignment="1">
      <alignment horizontal="center"/>
    </xf>
    <xf numFmtId="168" fontId="46" fillId="0" borderId="71" xfId="69" applyNumberFormat="1" applyFont="1" applyBorder="1" applyAlignment="1">
      <alignment horizontal="center"/>
    </xf>
    <xf numFmtId="17" fontId="70" fillId="12" borderId="0" xfId="0" applyNumberFormat="1" applyFont="1" applyFill="1" applyAlignment="1">
      <alignment horizontal="centerContinuous"/>
    </xf>
    <xf numFmtId="17" fontId="70" fillId="12" borderId="71" xfId="0" applyNumberFormat="1" applyFont="1" applyFill="1" applyBorder="1" applyAlignment="1">
      <alignment horizontal="centerContinuous"/>
    </xf>
    <xf numFmtId="168" fontId="39" fillId="0" borderId="0" xfId="69" applyNumberFormat="1" applyFont="1" applyBorder="1" applyAlignment="1">
      <alignment horizontal="center"/>
    </xf>
    <xf numFmtId="168" fontId="39" fillId="0" borderId="71" xfId="69" applyNumberFormat="1" applyFont="1" applyFill="1" applyBorder="1" applyAlignment="1">
      <alignment horizontal="center"/>
    </xf>
    <xf numFmtId="37" fontId="38" fillId="0" borderId="0" xfId="10" applyFont="1" applyBorder="1" applyAlignment="1">
      <alignment horizontal="center"/>
    </xf>
    <xf numFmtId="168" fontId="46" fillId="0" borderId="0" xfId="69" applyNumberFormat="1" applyFont="1" applyBorder="1" applyAlignment="1">
      <alignment horizontal="center"/>
    </xf>
    <xf numFmtId="9" fontId="12" fillId="0" borderId="66" xfId="69" applyFont="1" applyBorder="1"/>
    <xf numFmtId="9" fontId="72" fillId="0" borderId="0" xfId="69" applyFont="1"/>
    <xf numFmtId="1" fontId="75" fillId="10" borderId="20" xfId="0" applyNumberFormat="1" applyFont="1" applyFill="1" applyBorder="1" applyAlignment="1">
      <alignment horizontal="right"/>
    </xf>
    <xf numFmtId="37" fontId="12" fillId="10" borderId="0" xfId="10" applyFont="1" applyFill="1" applyBorder="1" applyAlignment="1">
      <alignment horizontal="right"/>
    </xf>
    <xf numFmtId="37" fontId="54" fillId="10" borderId="0" xfId="10" applyFont="1" applyFill="1" applyBorder="1"/>
    <xf numFmtId="1" fontId="70" fillId="12" borderId="0" xfId="0" applyNumberFormat="1" applyFont="1" applyFill="1" applyAlignment="1">
      <alignment horizontal="right"/>
    </xf>
    <xf numFmtId="171" fontId="12" fillId="0" borderId="0" xfId="10" applyNumberFormat="1" applyFont="1" applyAlignment="1">
      <alignment horizontal="right"/>
    </xf>
    <xf numFmtId="37" fontId="46" fillId="0" borderId="0" xfId="10" applyFont="1" applyFill="1" applyBorder="1"/>
    <xf numFmtId="37" fontId="46" fillId="0" borderId="0" xfId="10" applyFont="1" applyAlignment="1"/>
    <xf numFmtId="168" fontId="12" fillId="10" borderId="16" xfId="62" applyNumberFormat="1" applyFont="1" applyFill="1" applyBorder="1" applyAlignment="1">
      <alignment horizontal="right"/>
    </xf>
    <xf numFmtId="194" fontId="12" fillId="10" borderId="0" xfId="62" applyNumberFormat="1" applyFont="1" applyFill="1" applyAlignment="1">
      <alignment horizontal="right"/>
    </xf>
    <xf numFmtId="194" fontId="12" fillId="8" borderId="0" xfId="62" applyNumberFormat="1" applyFont="1" applyFill="1" applyAlignment="1">
      <alignment horizontal="right"/>
    </xf>
    <xf numFmtId="194" fontId="12" fillId="0" borderId="0" xfId="62" applyNumberFormat="1" applyFont="1" applyAlignment="1">
      <alignment horizontal="right"/>
    </xf>
    <xf numFmtId="0" fontId="61" fillId="6" borderId="33" xfId="0" applyFont="1" applyFill="1" applyBorder="1" applyAlignment="1">
      <alignment horizontal="center"/>
    </xf>
    <xf numFmtId="0" fontId="61" fillId="6" borderId="34" xfId="0" applyFont="1" applyFill="1" applyBorder="1" applyAlignment="1">
      <alignment horizontal="right"/>
    </xf>
    <xf numFmtId="0" fontId="38" fillId="0" borderId="16" xfId="57" applyFont="1" applyBorder="1" applyAlignment="1">
      <alignment horizontal="left"/>
    </xf>
    <xf numFmtId="0" fontId="38" fillId="0" borderId="16" xfId="57" quotePrefix="1" applyFont="1" applyBorder="1" applyAlignment="1">
      <alignment horizontal="left"/>
    </xf>
    <xf numFmtId="9" fontId="12" fillId="0" borderId="0" xfId="69" applyFont="1" applyFill="1" applyAlignment="1">
      <alignment horizontal="left" indent="1"/>
    </xf>
    <xf numFmtId="39" fontId="12" fillId="0" borderId="0" xfId="57" applyNumberFormat="1" applyFont="1"/>
    <xf numFmtId="169" fontId="12" fillId="0" borderId="79" xfId="13" applyNumberFormat="1" applyFont="1" applyFill="1" applyBorder="1" applyAlignment="1">
      <alignment horizontal="right"/>
    </xf>
    <xf numFmtId="0" fontId="54" fillId="0" borderId="39" xfId="99" applyFont="1" applyBorder="1"/>
    <xf numFmtId="9" fontId="72" fillId="0" borderId="66" xfId="69" applyFont="1" applyFill="1" applyBorder="1"/>
    <xf numFmtId="9" fontId="38" fillId="0" borderId="0" xfId="69" applyFont="1" applyFill="1" applyBorder="1" applyAlignment="1"/>
    <xf numFmtId="0" fontId="49" fillId="0" borderId="0" xfId="0" applyFont="1" applyAlignment="1">
      <alignment horizontal="right"/>
    </xf>
    <xf numFmtId="201" fontId="55" fillId="0" borderId="0" xfId="0" applyNumberFormat="1" applyFont="1" applyAlignment="1">
      <alignment horizontal="right"/>
    </xf>
    <xf numFmtId="204" fontId="55" fillId="0" borderId="0" xfId="0" applyNumberFormat="1" applyFont="1" applyAlignment="1">
      <alignment horizontal="right"/>
    </xf>
    <xf numFmtId="227" fontId="54" fillId="0" borderId="0" xfId="0" applyNumberFormat="1" applyFont="1" applyAlignment="1">
      <alignment horizontal="right"/>
    </xf>
    <xf numFmtId="190" fontId="55" fillId="0" borderId="0" xfId="0" applyNumberFormat="1" applyFont="1" applyAlignment="1">
      <alignment horizontal="right"/>
    </xf>
    <xf numFmtId="228" fontId="54" fillId="0" borderId="0" xfId="0" applyNumberFormat="1" applyFont="1" applyAlignment="1">
      <alignment horizontal="right"/>
    </xf>
    <xf numFmtId="171" fontId="38" fillId="0" borderId="0" xfId="57" applyNumberFormat="1" applyFont="1" applyAlignment="1">
      <alignment horizontal="right"/>
    </xf>
    <xf numFmtId="172" fontId="75" fillId="0" borderId="0" xfId="70" applyNumberFormat="1" applyFont="1" applyFill="1" applyBorder="1" applyAlignment="1">
      <alignment horizontal="right"/>
    </xf>
    <xf numFmtId="171" fontId="75" fillId="0" borderId="0" xfId="10" applyNumberFormat="1" applyFont="1" applyFill="1" applyBorder="1" applyAlignment="1">
      <alignment horizontal="right"/>
    </xf>
    <xf numFmtId="172" fontId="63" fillId="0" borderId="0" xfId="70" applyNumberFormat="1" applyFont="1" applyFill="1" applyBorder="1" applyAlignment="1">
      <alignment horizontal="right"/>
    </xf>
    <xf numFmtId="37" fontId="12" fillId="0" borderId="16" xfId="57" applyNumberFormat="1" applyFont="1" applyBorder="1" applyAlignment="1">
      <alignment horizontal="right"/>
    </xf>
    <xf numFmtId="37" fontId="38" fillId="0" borderId="16" xfId="57" applyNumberFormat="1" applyFont="1" applyBorder="1" applyAlignment="1">
      <alignment horizontal="right"/>
    </xf>
    <xf numFmtId="168" fontId="39" fillId="0" borderId="39" xfId="69" applyNumberFormat="1" applyFont="1" applyFill="1" applyBorder="1" applyAlignment="1">
      <alignment horizontal="right"/>
    </xf>
    <xf numFmtId="37" fontId="116" fillId="0" borderId="0" xfId="57" applyNumberFormat="1" applyFont="1" applyAlignment="1">
      <alignment horizontal="right"/>
    </xf>
    <xf numFmtId="172" fontId="117" fillId="0" borderId="39" xfId="70" applyNumberFormat="1" applyFont="1" applyFill="1" applyBorder="1" applyAlignment="1">
      <alignment horizontal="right"/>
    </xf>
    <xf numFmtId="172" fontId="39" fillId="0" borderId="39" xfId="70" applyNumberFormat="1" applyFont="1" applyFill="1" applyBorder="1" applyAlignment="1">
      <alignment horizontal="right"/>
    </xf>
    <xf numFmtId="37" fontId="115" fillId="0" borderId="0" xfId="57" applyNumberFormat="1" applyFont="1" applyAlignment="1">
      <alignment horizontal="right"/>
    </xf>
    <xf numFmtId="37" fontId="12" fillId="0" borderId="38" xfId="57" applyNumberFormat="1" applyFont="1" applyBorder="1" applyAlignment="1">
      <alignment horizontal="right"/>
    </xf>
    <xf numFmtId="37" fontId="12" fillId="0" borderId="78" xfId="57" applyNumberFormat="1" applyFont="1" applyBorder="1" applyAlignment="1">
      <alignment horizontal="right"/>
    </xf>
    <xf numFmtId="37" fontId="12" fillId="0" borderId="60" xfId="57" applyNumberFormat="1" applyFont="1" applyBorder="1" applyAlignment="1">
      <alignment horizontal="right"/>
    </xf>
    <xf numFmtId="172" fontId="63" fillId="0" borderId="78" xfId="70" applyNumberFormat="1" applyFont="1" applyFill="1" applyBorder="1" applyAlignment="1">
      <alignment horizontal="right"/>
    </xf>
    <xf numFmtId="172" fontId="63" fillId="0" borderId="60" xfId="70" applyNumberFormat="1" applyFont="1" applyFill="1" applyBorder="1" applyAlignment="1">
      <alignment horizontal="right"/>
    </xf>
    <xf numFmtId="37" fontId="38" fillId="10" borderId="0" xfId="57" applyNumberFormat="1" applyFont="1" applyFill="1" applyAlignment="1">
      <alignment horizontal="right"/>
    </xf>
    <xf numFmtId="39" fontId="12" fillId="10" borderId="39" xfId="57" applyNumberFormat="1" applyFont="1" applyFill="1" applyBorder="1" applyAlignment="1">
      <alignment horizontal="right"/>
    </xf>
    <xf numFmtId="37" fontId="116" fillId="0" borderId="39" xfId="10" applyFont="1" applyFill="1" applyBorder="1" applyAlignment="1">
      <alignment horizontal="right"/>
    </xf>
    <xf numFmtId="172" fontId="117" fillId="0" borderId="0" xfId="57" applyNumberFormat="1" applyFont="1" applyAlignment="1">
      <alignment horizontal="right"/>
    </xf>
    <xf numFmtId="0" fontId="54" fillId="0" borderId="0" xfId="57" applyFont="1" applyAlignment="1">
      <alignment horizontal="right"/>
    </xf>
    <xf numFmtId="39" fontId="57" fillId="0" borderId="0" xfId="10" applyNumberFormat="1" applyFont="1" applyFill="1" applyAlignment="1">
      <alignment horizontal="right"/>
    </xf>
    <xf numFmtId="39" fontId="115" fillId="0" borderId="0" xfId="10" applyNumberFormat="1" applyFont="1" applyFill="1" applyAlignment="1">
      <alignment horizontal="right"/>
    </xf>
    <xf numFmtId="39" fontId="50" fillId="0" borderId="0" xfId="10" applyNumberFormat="1" applyFont="1" applyFill="1" applyAlignment="1">
      <alignment horizontal="right"/>
    </xf>
    <xf numFmtId="9" fontId="39" fillId="0" borderId="38" xfId="69" applyFont="1" applyFill="1" applyBorder="1" applyAlignment="1">
      <alignment horizontal="right"/>
    </xf>
    <xf numFmtId="0" fontId="64" fillId="0" borderId="0" xfId="57" applyFont="1" applyAlignment="1">
      <alignment horizontal="right"/>
    </xf>
    <xf numFmtId="166" fontId="64" fillId="0" borderId="38" xfId="57" applyNumberFormat="1" applyFont="1" applyBorder="1" applyAlignment="1">
      <alignment horizontal="right"/>
    </xf>
    <xf numFmtId="166" fontId="38" fillId="0" borderId="0" xfId="57" applyNumberFormat="1" applyFont="1" applyAlignment="1">
      <alignment horizontal="right"/>
    </xf>
    <xf numFmtId="166" fontId="12" fillId="0" borderId="0" xfId="57" applyNumberFormat="1" applyFont="1" applyAlignment="1">
      <alignment horizontal="right"/>
    </xf>
    <xf numFmtId="3" fontId="12" fillId="0" borderId="0" xfId="57" applyNumberFormat="1" applyFont="1" applyAlignment="1">
      <alignment horizontal="right"/>
    </xf>
    <xf numFmtId="37" fontId="38" fillId="0" borderId="38" xfId="10" applyFont="1" applyFill="1" applyBorder="1" applyAlignment="1">
      <alignment horizontal="right"/>
    </xf>
    <xf numFmtId="0" fontId="64" fillId="0" borderId="0" xfId="69" applyNumberFormat="1" applyFont="1" applyFill="1" applyAlignment="1">
      <alignment horizontal="right"/>
    </xf>
    <xf numFmtId="37" fontId="60" fillId="10" borderId="0" xfId="10" applyFont="1" applyFill="1"/>
    <xf numFmtId="37" fontId="38" fillId="0" borderId="0" xfId="99" applyNumberFormat="1" applyFont="1" applyAlignment="1">
      <alignment horizontal="right"/>
    </xf>
    <xf numFmtId="37" fontId="12" fillId="0" borderId="0" xfId="99" applyNumberFormat="1" applyFont="1" applyAlignment="1">
      <alignment horizontal="right"/>
    </xf>
    <xf numFmtId="192" fontId="12" fillId="0" borderId="20" xfId="0" applyNumberFormat="1" applyFont="1" applyBorder="1" applyAlignment="1">
      <alignment horizontal="center"/>
    </xf>
    <xf numFmtId="39" fontId="38" fillId="8" borderId="0" xfId="0" applyNumberFormat="1" applyFont="1" applyFill="1"/>
    <xf numFmtId="39" fontId="12" fillId="10" borderId="0" xfId="0" applyNumberFormat="1" applyFont="1" applyFill="1" applyAlignment="1">
      <alignment horizontal="right"/>
    </xf>
    <xf numFmtId="2" fontId="12" fillId="10" borderId="0" xfId="0" applyNumberFormat="1" applyFont="1" applyFill="1"/>
    <xf numFmtId="168" fontId="12" fillId="10" borderId="0" xfId="69" applyNumberFormat="1" applyFont="1" applyFill="1" applyBorder="1"/>
    <xf numFmtId="168" fontId="12" fillId="10" borderId="66" xfId="69" applyNumberFormat="1" applyFont="1" applyFill="1" applyBorder="1"/>
    <xf numFmtId="169" fontId="60" fillId="0" borderId="0" xfId="0" applyNumberFormat="1" applyFont="1"/>
    <xf numFmtId="1" fontId="67" fillId="0" borderId="0" xfId="69" applyNumberFormat="1" applyFont="1" applyFill="1" applyAlignment="1">
      <alignment horizontal="right"/>
    </xf>
    <xf numFmtId="37" fontId="75" fillId="0" borderId="0" xfId="10" applyFont="1" applyAlignment="1">
      <alignment horizontal="right"/>
    </xf>
    <xf numFmtId="37" fontId="67" fillId="0" borderId="0" xfId="10" applyFont="1" applyAlignment="1">
      <alignment horizontal="right"/>
    </xf>
    <xf numFmtId="37" fontId="55" fillId="0" borderId="0" xfId="0" applyNumberFormat="1" applyFont="1" applyAlignment="1">
      <alignment horizontal="right"/>
    </xf>
    <xf numFmtId="37" fontId="75" fillId="0" borderId="0" xfId="0" applyNumberFormat="1" applyFont="1" applyAlignment="1">
      <alignment horizontal="right"/>
    </xf>
    <xf numFmtId="37" fontId="42" fillId="0" borderId="0" xfId="0" applyNumberFormat="1" applyFont="1"/>
    <xf numFmtId="10" fontId="12" fillId="0" borderId="0" xfId="65" applyNumberFormat="1" applyFont="1"/>
    <xf numFmtId="168" fontId="54" fillId="0" borderId="0" xfId="69" applyNumberFormat="1" applyFont="1" applyFill="1" applyBorder="1" applyAlignment="1">
      <alignment vertical="center"/>
    </xf>
    <xf numFmtId="168" fontId="117" fillId="0" borderId="0" xfId="69" applyNumberFormat="1" applyFont="1" applyBorder="1"/>
    <xf numFmtId="168" fontId="117" fillId="0" borderId="66" xfId="69" applyNumberFormat="1" applyFont="1" applyBorder="1"/>
    <xf numFmtId="168" fontId="117" fillId="0" borderId="6" xfId="69" applyNumberFormat="1" applyFont="1" applyBorder="1"/>
    <xf numFmtId="168" fontId="117" fillId="0" borderId="76" xfId="69" applyNumberFormat="1" applyFont="1" applyBorder="1"/>
    <xf numFmtId="10" fontId="60" fillId="6" borderId="0" xfId="0" applyNumberFormat="1" applyFont="1" applyFill="1"/>
    <xf numFmtId="37" fontId="57" fillId="0" borderId="0" xfId="57" applyNumberFormat="1" applyFont="1" applyAlignment="1">
      <alignment horizontal="right"/>
    </xf>
    <xf numFmtId="168" fontId="57" fillId="0" borderId="0" xfId="69" applyNumberFormat="1" applyFont="1" applyFill="1" applyBorder="1" applyAlignment="1">
      <alignment horizontal="right"/>
    </xf>
    <xf numFmtId="37" fontId="12" fillId="0" borderId="0" xfId="69" applyNumberFormat="1" applyFont="1" applyFill="1" applyBorder="1" applyAlignment="1">
      <alignment horizontal="right"/>
    </xf>
    <xf numFmtId="0" fontId="38" fillId="0" borderId="0" xfId="57" applyFont="1" applyAlignment="1">
      <alignment horizontal="right"/>
    </xf>
    <xf numFmtId="171" fontId="12" fillId="0" borderId="0" xfId="14" applyNumberFormat="1" applyFont="1" applyFill="1" applyBorder="1" applyAlignment="1">
      <alignment horizontal="right"/>
    </xf>
    <xf numFmtId="0" fontId="12" fillId="0" borderId="0" xfId="57" applyFont="1" applyAlignment="1">
      <alignment horizontal="right" indent="1"/>
    </xf>
    <xf numFmtId="171" fontId="38" fillId="0" borderId="0" xfId="99" applyNumberFormat="1" applyFont="1" applyAlignment="1">
      <alignment horizontal="right"/>
    </xf>
    <xf numFmtId="171" fontId="57" fillId="0" borderId="0" xfId="57" applyNumberFormat="1" applyFont="1" applyAlignment="1">
      <alignment horizontal="right"/>
    </xf>
    <xf numFmtId="171" fontId="54" fillId="0" borderId="0" xfId="57" applyNumberFormat="1" applyFont="1" applyAlignment="1">
      <alignment horizontal="right"/>
    </xf>
    <xf numFmtId="172" fontId="38" fillId="0" borderId="0" xfId="70" applyNumberFormat="1" applyFont="1" applyFill="1" applyBorder="1" applyAlignment="1">
      <alignment horizontal="right"/>
    </xf>
    <xf numFmtId="172" fontId="57" fillId="0" borderId="0" xfId="70" applyNumberFormat="1" applyFont="1" applyFill="1" applyBorder="1" applyAlignment="1">
      <alignment horizontal="right"/>
    </xf>
    <xf numFmtId="172" fontId="12" fillId="0" borderId="0" xfId="70" applyNumberFormat="1" applyFont="1" applyFill="1" applyBorder="1" applyAlignment="1">
      <alignment horizontal="right"/>
    </xf>
    <xf numFmtId="172" fontId="54" fillId="0" borderId="0" xfId="70" applyNumberFormat="1" applyFont="1" applyFill="1" applyBorder="1" applyAlignment="1">
      <alignment horizontal="right"/>
    </xf>
    <xf numFmtId="171" fontId="38" fillId="0" borderId="0" xfId="10" applyNumberFormat="1" applyFont="1" applyFill="1" applyBorder="1" applyAlignment="1">
      <alignment horizontal="right"/>
    </xf>
    <xf numFmtId="171" fontId="57" fillId="0" borderId="0" xfId="10" applyNumberFormat="1" applyFont="1" applyFill="1" applyBorder="1" applyAlignment="1">
      <alignment horizontal="right"/>
    </xf>
    <xf numFmtId="0" fontId="38" fillId="0" borderId="0" xfId="57" quotePrefix="1" applyFont="1" applyAlignment="1">
      <alignment horizontal="right"/>
    </xf>
    <xf numFmtId="0" fontId="12" fillId="0" borderId="0" xfId="0" applyFont="1" applyAlignment="1">
      <alignment horizontal="right" indent="1"/>
    </xf>
    <xf numFmtId="0" fontId="38" fillId="0" borderId="20" xfId="0" applyFont="1" applyBorder="1" applyAlignment="1">
      <alignment horizontal="right"/>
    </xf>
    <xf numFmtId="172" fontId="39" fillId="0" borderId="0" xfId="70" applyNumberFormat="1" applyFont="1" applyFill="1" applyBorder="1" applyAlignment="1">
      <alignment horizontal="right"/>
    </xf>
    <xf numFmtId="172" fontId="78" fillId="0" borderId="0" xfId="70" applyNumberFormat="1" applyFont="1" applyFill="1" applyBorder="1" applyAlignment="1">
      <alignment horizontal="right"/>
    </xf>
    <xf numFmtId="1" fontId="12" fillId="0" borderId="0" xfId="0" applyNumberFormat="1" applyFont="1" applyAlignment="1">
      <alignment horizontal="right"/>
    </xf>
    <xf numFmtId="167" fontId="12" fillId="0" borderId="16" xfId="0" applyNumberFormat="1" applyFont="1" applyBorder="1" applyAlignment="1">
      <alignment horizontal="right"/>
    </xf>
    <xf numFmtId="198" fontId="12" fillId="0" borderId="16" xfId="0" applyNumberFormat="1" applyFont="1" applyBorder="1" applyAlignment="1">
      <alignment horizontal="right"/>
    </xf>
    <xf numFmtId="37" fontId="54" fillId="0" borderId="16" xfId="57" applyNumberFormat="1" applyFont="1" applyBorder="1" applyAlignment="1">
      <alignment horizontal="right"/>
    </xf>
    <xf numFmtId="0" fontId="38" fillId="0" borderId="16" xfId="57" quotePrefix="1" applyFont="1" applyBorder="1" applyAlignment="1">
      <alignment horizontal="right"/>
    </xf>
    <xf numFmtId="198" fontId="116" fillId="0" borderId="0" xfId="0" applyNumberFormat="1" applyFont="1" applyAlignment="1">
      <alignment horizontal="right"/>
    </xf>
    <xf numFmtId="198" fontId="38" fillId="0" borderId="0" xfId="0" applyNumberFormat="1" applyFont="1" applyAlignment="1">
      <alignment horizontal="right"/>
    </xf>
    <xf numFmtId="9" fontId="39" fillId="0" borderId="39" xfId="69" applyFont="1" applyFill="1" applyBorder="1" applyAlignment="1">
      <alignment horizontal="right"/>
    </xf>
    <xf numFmtId="172" fontId="78" fillId="0" borderId="39" xfId="70" applyNumberFormat="1" applyFont="1" applyFill="1" applyBorder="1" applyAlignment="1">
      <alignment horizontal="right"/>
    </xf>
    <xf numFmtId="198" fontId="115" fillId="0" borderId="0" xfId="0" applyNumberFormat="1" applyFont="1" applyAlignment="1">
      <alignment horizontal="right"/>
    </xf>
    <xf numFmtId="37" fontId="54" fillId="0" borderId="38" xfId="57" applyNumberFormat="1" applyFont="1" applyBorder="1" applyAlignment="1">
      <alignment horizontal="right"/>
    </xf>
    <xf numFmtId="37" fontId="38" fillId="0" borderId="78" xfId="57" applyNumberFormat="1" applyFont="1" applyBorder="1" applyAlignment="1">
      <alignment horizontal="right"/>
    </xf>
    <xf numFmtId="37" fontId="54" fillId="0" borderId="78" xfId="57" applyNumberFormat="1" applyFont="1" applyBorder="1" applyAlignment="1">
      <alignment horizontal="right"/>
    </xf>
    <xf numFmtId="37" fontId="38" fillId="0" borderId="60" xfId="57" applyNumberFormat="1" applyFont="1" applyBorder="1" applyAlignment="1">
      <alignment horizontal="right"/>
    </xf>
    <xf numFmtId="37" fontId="54" fillId="0" borderId="60" xfId="57" applyNumberFormat="1" applyFont="1" applyBorder="1" applyAlignment="1">
      <alignment horizontal="right"/>
    </xf>
    <xf numFmtId="0" fontId="12" fillId="0" borderId="78" xfId="0" applyFont="1" applyBorder="1" applyAlignment="1">
      <alignment horizontal="right" indent="1"/>
    </xf>
    <xf numFmtId="0" fontId="12" fillId="0" borderId="60" xfId="0" applyFont="1" applyBorder="1" applyAlignment="1">
      <alignment horizontal="right" indent="1"/>
    </xf>
    <xf numFmtId="172" fontId="39" fillId="0" borderId="78" xfId="70" applyNumberFormat="1" applyFont="1" applyFill="1" applyBorder="1" applyAlignment="1">
      <alignment horizontal="right"/>
    </xf>
    <xf numFmtId="172" fontId="78" fillId="0" borderId="78" xfId="70" applyNumberFormat="1" applyFont="1" applyFill="1" applyBorder="1" applyAlignment="1">
      <alignment horizontal="right"/>
    </xf>
    <xf numFmtId="172" fontId="39" fillId="0" borderId="60" xfId="70" applyNumberFormat="1" applyFont="1" applyFill="1" applyBorder="1" applyAlignment="1">
      <alignment horizontal="right"/>
    </xf>
    <xf numFmtId="172" fontId="78" fillId="0" borderId="60" xfId="70" applyNumberFormat="1" applyFont="1" applyFill="1" applyBorder="1" applyAlignment="1">
      <alignment horizontal="right"/>
    </xf>
    <xf numFmtId="168" fontId="116" fillId="0" borderId="0" xfId="69" applyNumberFormat="1" applyFont="1" applyFill="1" applyBorder="1" applyAlignment="1">
      <alignment horizontal="right"/>
    </xf>
    <xf numFmtId="37" fontId="54" fillId="0" borderId="39" xfId="10" applyFont="1" applyFill="1" applyBorder="1" applyAlignment="1">
      <alignment horizontal="right"/>
    </xf>
    <xf numFmtId="37" fontId="116" fillId="0" borderId="39" xfId="57" applyNumberFormat="1" applyFont="1" applyBorder="1" applyAlignment="1">
      <alignment horizontal="right"/>
    </xf>
    <xf numFmtId="37" fontId="116" fillId="0" borderId="0" xfId="10" applyFont="1" applyFill="1" applyBorder="1" applyAlignment="1">
      <alignment horizontal="right"/>
    </xf>
    <xf numFmtId="0" fontId="38" fillId="0" borderId="0" xfId="10" quotePrefix="1" applyNumberFormat="1" applyFont="1" applyFill="1" applyBorder="1" applyAlignment="1">
      <alignment horizontal="right"/>
    </xf>
    <xf numFmtId="0" fontId="12" fillId="0" borderId="0" xfId="10" quotePrefix="1" applyNumberFormat="1" applyFont="1" applyFill="1" applyBorder="1" applyAlignment="1">
      <alignment horizontal="right"/>
    </xf>
    <xf numFmtId="37" fontId="116" fillId="0" borderId="0" xfId="10" quotePrefix="1" applyFont="1" applyFill="1" applyBorder="1" applyAlignment="1">
      <alignment horizontal="right"/>
    </xf>
    <xf numFmtId="39" fontId="54" fillId="0" borderId="0" xfId="10" applyNumberFormat="1" applyFont="1" applyFill="1" applyAlignment="1">
      <alignment horizontal="right"/>
    </xf>
    <xf numFmtId="39" fontId="38" fillId="0" borderId="0" xfId="10" applyNumberFormat="1" applyFont="1" applyFill="1" applyAlignment="1">
      <alignment horizontal="right"/>
    </xf>
    <xf numFmtId="0" fontId="64" fillId="0" borderId="38" xfId="57" applyFont="1" applyBorder="1" applyAlignment="1">
      <alignment horizontal="right"/>
    </xf>
    <xf numFmtId="166" fontId="57" fillId="0" borderId="0" xfId="57" applyNumberFormat="1" applyFont="1" applyAlignment="1">
      <alignment horizontal="right"/>
    </xf>
    <xf numFmtId="166" fontId="54" fillId="0" borderId="0" xfId="57" applyNumberFormat="1" applyFont="1" applyAlignment="1">
      <alignment horizontal="right"/>
    </xf>
    <xf numFmtId="4" fontId="42" fillId="0" borderId="0" xfId="57" applyNumberFormat="1" applyFont="1" applyAlignment="1">
      <alignment horizontal="right"/>
    </xf>
    <xf numFmtId="3" fontId="42" fillId="0" borderId="0" xfId="57" applyNumberFormat="1" applyFont="1" applyAlignment="1">
      <alignment horizontal="right"/>
    </xf>
    <xf numFmtId="37" fontId="57" fillId="0" borderId="38" xfId="10" applyFont="1" applyFill="1" applyBorder="1" applyAlignment="1">
      <alignment horizontal="right"/>
    </xf>
    <xf numFmtId="3" fontId="64" fillId="0" borderId="0" xfId="69" applyNumberFormat="1" applyFont="1" applyFill="1" applyAlignment="1">
      <alignment horizontal="right"/>
    </xf>
    <xf numFmtId="172" fontId="39" fillId="0" borderId="0" xfId="57" applyNumberFormat="1" applyFont="1" applyAlignment="1">
      <alignment horizontal="right"/>
    </xf>
    <xf numFmtId="37" fontId="116" fillId="0" borderId="38" xfId="57" applyNumberFormat="1" applyFont="1" applyBorder="1" applyAlignment="1">
      <alignment horizontal="right"/>
    </xf>
    <xf numFmtId="194" fontId="117" fillId="0" borderId="0" xfId="57" applyNumberFormat="1" applyFont="1" applyAlignment="1">
      <alignment horizontal="right"/>
    </xf>
    <xf numFmtId="172" fontId="78" fillId="0" borderId="0" xfId="57" applyNumberFormat="1" applyFont="1" applyAlignment="1">
      <alignment horizontal="right"/>
    </xf>
    <xf numFmtId="168" fontId="39" fillId="0" borderId="38" xfId="69" applyNumberFormat="1" applyFont="1" applyFill="1" applyBorder="1" applyAlignment="1">
      <alignment horizontal="right"/>
    </xf>
    <xf numFmtId="173" fontId="64" fillId="0" borderId="0" xfId="57" applyNumberFormat="1" applyFont="1" applyAlignment="1">
      <alignment horizontal="right"/>
    </xf>
    <xf numFmtId="171" fontId="54" fillId="0" borderId="38" xfId="57" applyNumberFormat="1" applyFont="1" applyBorder="1" applyAlignment="1">
      <alignment horizontal="right"/>
    </xf>
    <xf numFmtId="218" fontId="12" fillId="0" borderId="0" xfId="57" applyNumberFormat="1" applyFont="1" applyAlignment="1">
      <alignment horizontal="right"/>
    </xf>
    <xf numFmtId="218" fontId="116" fillId="0" borderId="0" xfId="57" applyNumberFormat="1" applyFont="1" applyAlignment="1">
      <alignment horizontal="right"/>
    </xf>
    <xf numFmtId="171" fontId="12" fillId="0" borderId="38" xfId="57" applyNumberFormat="1" applyFont="1" applyBorder="1" applyAlignment="1">
      <alignment horizontal="right"/>
    </xf>
    <xf numFmtId="0" fontId="67" fillId="0" borderId="0" xfId="0" applyFont="1" applyAlignment="1">
      <alignment horizontal="right"/>
    </xf>
    <xf numFmtId="37" fontId="67" fillId="0" borderId="0" xfId="10" applyFont="1" applyBorder="1" applyAlignment="1">
      <alignment horizontal="right"/>
    </xf>
    <xf numFmtId="37" fontId="67" fillId="0" borderId="0" xfId="10" applyFont="1" applyFill="1" applyBorder="1" applyAlignment="1">
      <alignment horizontal="right"/>
    </xf>
    <xf numFmtId="1" fontId="75" fillId="0" borderId="20" xfId="0" applyNumberFormat="1" applyFont="1" applyBorder="1" applyAlignment="1">
      <alignment horizontal="center"/>
    </xf>
    <xf numFmtId="1" fontId="38" fillId="0" borderId="20" xfId="0" applyNumberFormat="1" applyFont="1" applyBorder="1" applyAlignment="1">
      <alignment horizontal="right"/>
    </xf>
    <xf numFmtId="1" fontId="56" fillId="9" borderId="33" xfId="66" applyNumberFormat="1" applyFont="1" applyFill="1" applyBorder="1"/>
    <xf numFmtId="37" fontId="78" fillId="0" borderId="73" xfId="69" applyNumberFormat="1" applyFont="1" applyFill="1" applyBorder="1"/>
    <xf numFmtId="37" fontId="78" fillId="0" borderId="74" xfId="69" applyNumberFormat="1" applyFont="1" applyFill="1" applyBorder="1"/>
    <xf numFmtId="9" fontId="116" fillId="10" borderId="0" xfId="69" applyFont="1" applyFill="1" applyBorder="1" applyAlignment="1">
      <alignment horizontal="left" indent="2"/>
    </xf>
    <xf numFmtId="9" fontId="115" fillId="10" borderId="0" xfId="69" applyFont="1" applyFill="1" applyBorder="1"/>
    <xf numFmtId="0" fontId="115" fillId="0" borderId="0" xfId="57" applyFont="1"/>
    <xf numFmtId="168" fontId="115" fillId="0" borderId="0" xfId="69" applyNumberFormat="1" applyFont="1" applyBorder="1"/>
    <xf numFmtId="0" fontId="116" fillId="0" borderId="0" xfId="65" applyFont="1"/>
    <xf numFmtId="168" fontId="111" fillId="10" borderId="0" xfId="69" applyNumberFormat="1" applyFont="1" applyFill="1" applyBorder="1"/>
    <xf numFmtId="37" fontId="45" fillId="9" borderId="0" xfId="0" applyNumberFormat="1" applyFont="1" applyFill="1"/>
    <xf numFmtId="168" fontId="71" fillId="0" borderId="0" xfId="69" applyNumberFormat="1" applyFont="1" applyAlignment="1"/>
    <xf numFmtId="168" fontId="60" fillId="0" borderId="0" xfId="69" applyNumberFormat="1" applyFont="1" applyFill="1" applyBorder="1" applyAlignment="1"/>
    <xf numFmtId="168" fontId="60" fillId="0" borderId="0" xfId="69" applyNumberFormat="1" applyFont="1" applyFill="1" applyAlignment="1"/>
    <xf numFmtId="39" fontId="39" fillId="0" borderId="0" xfId="10" applyNumberFormat="1" applyFont="1" applyAlignment="1"/>
    <xf numFmtId="39" fontId="12" fillId="0" borderId="0" xfId="10" applyNumberFormat="1" applyFont="1" applyFill="1" applyAlignment="1"/>
    <xf numFmtId="39" fontId="54" fillId="0" borderId="0" xfId="10" applyNumberFormat="1" applyFont="1" applyFill="1" applyAlignment="1"/>
    <xf numFmtId="0" fontId="115" fillId="12" borderId="0" xfId="0" applyFont="1" applyFill="1"/>
    <xf numFmtId="0" fontId="118" fillId="9" borderId="63" xfId="66" applyFont="1" applyFill="1" applyBorder="1"/>
    <xf numFmtId="188" fontId="39" fillId="0" borderId="0" xfId="10" applyNumberFormat="1" applyFont="1" applyBorder="1" applyAlignment="1"/>
    <xf numFmtId="188" fontId="78" fillId="0" borderId="0" xfId="10" applyNumberFormat="1" applyFont="1" applyBorder="1" applyAlignment="1"/>
    <xf numFmtId="171" fontId="12" fillId="10" borderId="66" xfId="10" applyNumberFormat="1" applyFont="1" applyFill="1" applyBorder="1"/>
    <xf numFmtId="171" fontId="12" fillId="10" borderId="0" xfId="10" applyNumberFormat="1" applyFont="1" applyFill="1" applyBorder="1"/>
    <xf numFmtId="171" fontId="103" fillId="10" borderId="0" xfId="10" applyNumberFormat="1" applyFont="1" applyFill="1" applyBorder="1"/>
    <xf numFmtId="174" fontId="12" fillId="10" borderId="0" xfId="99" applyNumberFormat="1" applyFont="1" applyFill="1"/>
    <xf numFmtId="171" fontId="12" fillId="10" borderId="0" xfId="57" applyNumberFormat="1" applyFont="1" applyFill="1"/>
    <xf numFmtId="14" fontId="70" fillId="12" borderId="0" xfId="0" applyNumberFormat="1" applyFont="1" applyFill="1" applyAlignment="1">
      <alignment horizontal="center"/>
    </xf>
    <xf numFmtId="14" fontId="38" fillId="0" borderId="39" xfId="57" quotePrefix="1" applyNumberFormat="1" applyFont="1" applyBorder="1" applyAlignment="1">
      <alignment horizontal="center"/>
    </xf>
    <xf numFmtId="4" fontId="12" fillId="0" borderId="0" xfId="0" applyNumberFormat="1" applyFont="1" applyAlignment="1">
      <alignment vertical="top"/>
    </xf>
    <xf numFmtId="4" fontId="54" fillId="0" borderId="0" xfId="0" applyNumberFormat="1" applyFont="1" applyAlignment="1">
      <alignment vertical="top"/>
    </xf>
    <xf numFmtId="168" fontId="39" fillId="0" borderId="0" xfId="0" applyNumberFormat="1" applyFont="1" applyAlignment="1">
      <alignment vertical="top"/>
    </xf>
    <xf numFmtId="168" fontId="78" fillId="0" borderId="0" xfId="0" applyNumberFormat="1" applyFont="1" applyAlignment="1">
      <alignment vertical="top"/>
    </xf>
    <xf numFmtId="9" fontId="57" fillId="0" borderId="0" xfId="69" applyFont="1" applyBorder="1"/>
    <xf numFmtId="9" fontId="78" fillId="0" borderId="0" xfId="69" applyFont="1" applyFill="1" applyBorder="1"/>
    <xf numFmtId="9" fontId="71" fillId="6" borderId="0" xfId="69" applyFont="1" applyFill="1" applyBorder="1"/>
    <xf numFmtId="9" fontId="39" fillId="0" borderId="0" xfId="69" applyFont="1" applyBorder="1" applyAlignment="1"/>
    <xf numFmtId="9" fontId="78" fillId="0" borderId="0" xfId="69" applyFont="1" applyBorder="1" applyAlignment="1"/>
    <xf numFmtId="14" fontId="39" fillId="0" borderId="0" xfId="0" applyNumberFormat="1" applyFont="1" applyAlignment="1">
      <alignment horizontal="right"/>
    </xf>
    <xf numFmtId="0" fontId="58" fillId="9" borderId="28" xfId="66" applyFont="1" applyFill="1" applyBorder="1" applyAlignment="1">
      <alignment horizontal="center" vertical="center" textRotation="90"/>
    </xf>
    <xf numFmtId="0" fontId="58" fillId="9" borderId="29" xfId="66" applyFont="1" applyFill="1" applyBorder="1" applyAlignment="1">
      <alignment horizontal="center" vertical="center" textRotation="90"/>
    </xf>
    <xf numFmtId="17" fontId="12" fillId="0" borderId="0" xfId="0" applyNumberFormat="1" applyFont="1" applyAlignment="1">
      <alignment horizontal="right"/>
    </xf>
    <xf numFmtId="0" fontId="10" fillId="0" borderId="0" xfId="0" quotePrefix="1" applyFont="1"/>
    <xf numFmtId="9" fontId="0" fillId="0" borderId="0" xfId="69" applyFont="1"/>
    <xf numFmtId="0" fontId="21" fillId="0" borderId="0" xfId="0" applyFont="1" applyAlignment="1">
      <alignment horizontal="right"/>
    </xf>
    <xf numFmtId="9" fontId="119" fillId="0" borderId="16" xfId="0" applyNumberFormat="1" applyFont="1" applyBorder="1"/>
    <xf numFmtId="9" fontId="37" fillId="11" borderId="0" xfId="69" applyFont="1" applyFill="1" applyAlignment="1">
      <alignment horizontal="right"/>
    </xf>
    <xf numFmtId="0" fontId="89" fillId="0" borderId="0" xfId="80" applyFont="1"/>
    <xf numFmtId="172" fontId="39" fillId="0" borderId="66" xfId="111" applyNumberFormat="1" applyFont="1" applyBorder="1" applyAlignment="1">
      <alignment horizontal="right"/>
    </xf>
    <xf numFmtId="37" fontId="115" fillId="10" borderId="66" xfId="99" applyNumberFormat="1" applyFont="1" applyFill="1" applyBorder="1"/>
    <xf numFmtId="172" fontId="39" fillId="0" borderId="66" xfId="111" applyNumberFormat="1" applyFont="1" applyFill="1" applyBorder="1"/>
    <xf numFmtId="172" fontId="71" fillId="0" borderId="0" xfId="111" applyNumberFormat="1" applyFont="1" applyFill="1" applyBorder="1"/>
    <xf numFmtId="0" fontId="54" fillId="0" borderId="67" xfId="99" applyFont="1" applyBorder="1"/>
    <xf numFmtId="37" fontId="12" fillId="0" borderId="66" xfId="97" applyFont="1" applyFill="1" applyBorder="1"/>
    <xf numFmtId="172" fontId="71" fillId="0" borderId="66" xfId="111" applyNumberFormat="1" applyFont="1" applyFill="1" applyBorder="1" applyAlignment="1">
      <alignment horizontal="right"/>
    </xf>
    <xf numFmtId="172" fontId="71" fillId="0" borderId="66" xfId="111" applyNumberFormat="1" applyFont="1" applyFill="1" applyBorder="1"/>
    <xf numFmtId="37" fontId="38" fillId="0" borderId="66" xfId="99" applyNumberFormat="1" applyFont="1" applyBorder="1" applyAlignment="1">
      <alignment horizontal="right"/>
    </xf>
    <xf numFmtId="37" fontId="55" fillId="0" borderId="66" xfId="99" applyNumberFormat="1" applyFont="1" applyBorder="1" applyAlignment="1">
      <alignment horizontal="right"/>
    </xf>
    <xf numFmtId="37" fontId="75" fillId="0" borderId="66" xfId="99" applyNumberFormat="1" applyFont="1" applyBorder="1" applyAlignment="1">
      <alignment horizontal="right"/>
    </xf>
    <xf numFmtId="37" fontId="54" fillId="0" borderId="66" xfId="99" applyNumberFormat="1" applyFont="1" applyBorder="1"/>
    <xf numFmtId="0" fontId="54" fillId="0" borderId="66" xfId="99" applyFont="1" applyBorder="1"/>
    <xf numFmtId="37" fontId="12" fillId="0" borderId="66" xfId="99" applyNumberFormat="1" applyFont="1" applyBorder="1" applyAlignment="1">
      <alignment horizontal="right"/>
    </xf>
    <xf numFmtId="9" fontId="12" fillId="0" borderId="66" xfId="99" applyNumberFormat="1" applyFont="1" applyBorder="1" applyAlignment="1">
      <alignment horizontal="right"/>
    </xf>
    <xf numFmtId="171" fontId="12" fillId="0" borderId="66" xfId="99" applyNumberFormat="1" applyFont="1" applyBorder="1" applyAlignment="1">
      <alignment horizontal="right"/>
    </xf>
    <xf numFmtId="37" fontId="55" fillId="2" borderId="66" xfId="99" applyNumberFormat="1" applyFont="1" applyFill="1" applyBorder="1" applyAlignment="1">
      <alignment horizontal="right"/>
    </xf>
    <xf numFmtId="172" fontId="79" fillId="0" borderId="66" xfId="99" applyNumberFormat="1" applyFont="1" applyBorder="1" applyAlignment="1">
      <alignment horizontal="right"/>
    </xf>
    <xf numFmtId="37" fontId="12" fillId="0" borderId="66" xfId="99" applyNumberFormat="1" applyFont="1" applyBorder="1"/>
    <xf numFmtId="37" fontId="54" fillId="0" borderId="0" xfId="99" applyNumberFormat="1" applyFont="1"/>
    <xf numFmtId="37" fontId="60" fillId="0" borderId="66" xfId="99" applyNumberFormat="1" applyFont="1" applyBorder="1"/>
    <xf numFmtId="37" fontId="60" fillId="0" borderId="0" xfId="99" applyNumberFormat="1" applyFont="1"/>
    <xf numFmtId="37" fontId="38" fillId="0" borderId="66" xfId="99" applyNumberFormat="1" applyFont="1" applyBorder="1"/>
    <xf numFmtId="0" fontId="54" fillId="0" borderId="0" xfId="99" applyFont="1"/>
    <xf numFmtId="37" fontId="12" fillId="10" borderId="66" xfId="99" applyNumberFormat="1" applyFont="1" applyFill="1" applyBorder="1"/>
    <xf numFmtId="37" fontId="38" fillId="10" borderId="66" xfId="99" applyNumberFormat="1" applyFont="1" applyFill="1" applyBorder="1"/>
    <xf numFmtId="171" fontId="12" fillId="10" borderId="66" xfId="99" applyNumberFormat="1" applyFont="1" applyFill="1" applyBorder="1"/>
    <xf numFmtId="37" fontId="46" fillId="10" borderId="66" xfId="99" applyNumberFormat="1" applyFont="1" applyFill="1" applyBorder="1"/>
    <xf numFmtId="37" fontId="115" fillId="0" borderId="0" xfId="37" applyFont="1" applyFill="1" applyBorder="1"/>
    <xf numFmtId="37" fontId="115" fillId="0" borderId="0" xfId="10" applyFont="1" applyFill="1" applyBorder="1"/>
    <xf numFmtId="9" fontId="72" fillId="0" borderId="0" xfId="69" applyFont="1" applyFill="1" applyBorder="1"/>
    <xf numFmtId="168" fontId="39" fillId="10" borderId="0" xfId="99" applyNumberFormat="1" applyFont="1" applyFill="1" applyAlignment="1">
      <alignment horizontal="left" indent="2"/>
    </xf>
    <xf numFmtId="168" fontId="46" fillId="10" borderId="0" xfId="57" applyNumberFormat="1" applyFont="1" applyFill="1"/>
    <xf numFmtId="168" fontId="39" fillId="10" borderId="0" xfId="69" applyNumberFormat="1" applyFont="1" applyFill="1" applyBorder="1"/>
    <xf numFmtId="168" fontId="39" fillId="10" borderId="66" xfId="69" applyNumberFormat="1" applyFont="1" applyFill="1" applyBorder="1"/>
    <xf numFmtId="168" fontId="46" fillId="10" borderId="0" xfId="0" applyNumberFormat="1" applyFont="1" applyFill="1"/>
    <xf numFmtId="171" fontId="12" fillId="10" borderId="0" xfId="13" applyNumberFormat="1" applyFont="1" applyFill="1" applyBorder="1" applyAlignment="1">
      <alignment horizontal="right"/>
    </xf>
    <xf numFmtId="171" fontId="12" fillId="8" borderId="0" xfId="13" applyNumberFormat="1" applyFont="1" applyFill="1" applyBorder="1" applyAlignment="1">
      <alignment horizontal="right"/>
    </xf>
    <xf numFmtId="171" fontId="12" fillId="0" borderId="0" xfId="13" applyNumberFormat="1" applyFont="1" applyFill="1" applyBorder="1" applyAlignment="1">
      <alignment horizontal="right"/>
    </xf>
    <xf numFmtId="9" fontId="50" fillId="2" borderId="0" xfId="69" applyFont="1" applyFill="1"/>
    <xf numFmtId="3" fontId="60" fillId="0" borderId="0" xfId="0" applyNumberFormat="1" applyFont="1"/>
    <xf numFmtId="0" fontId="61" fillId="0" borderId="0" xfId="0" applyFont="1"/>
    <xf numFmtId="10" fontId="60" fillId="0" borderId="0" xfId="0" applyNumberFormat="1" applyFont="1"/>
    <xf numFmtId="0" fontId="96" fillId="10" borderId="0" xfId="0" applyFont="1" applyFill="1"/>
    <xf numFmtId="3" fontId="60" fillId="10" borderId="0" xfId="0" applyNumberFormat="1" applyFont="1" applyFill="1"/>
    <xf numFmtId="3" fontId="96" fillId="0" borderId="0" xfId="0" applyNumberFormat="1" applyFont="1"/>
    <xf numFmtId="168" fontId="61" fillId="0" borderId="0" xfId="0" applyNumberFormat="1" applyFont="1"/>
    <xf numFmtId="39" fontId="38" fillId="0" borderId="0" xfId="10" applyNumberFormat="1" applyFont="1"/>
    <xf numFmtId="37" fontId="12" fillId="10" borderId="0" xfId="99" applyNumberFormat="1" applyFont="1" applyFill="1"/>
    <xf numFmtId="37" fontId="38" fillId="10" borderId="0" xfId="99" applyNumberFormat="1" applyFont="1" applyFill="1"/>
    <xf numFmtId="171" fontId="12" fillId="10" borderId="0" xfId="99" applyNumberFormat="1" applyFont="1" applyFill="1"/>
    <xf numFmtId="37" fontId="46" fillId="10" borderId="0" xfId="99" applyNumberFormat="1" applyFont="1" applyFill="1"/>
    <xf numFmtId="37" fontId="12" fillId="0" borderId="0" xfId="97" applyFont="1" applyFill="1" applyBorder="1"/>
    <xf numFmtId="172" fontId="39" fillId="0" borderId="0" xfId="111" applyNumberFormat="1" applyFont="1" applyBorder="1" applyAlignment="1">
      <alignment horizontal="right"/>
    </xf>
    <xf numFmtId="172" fontId="71" fillId="0" borderId="0" xfId="111" applyNumberFormat="1" applyFont="1" applyFill="1" applyBorder="1" applyAlignment="1">
      <alignment horizontal="right"/>
    </xf>
    <xf numFmtId="37" fontId="38" fillId="0" borderId="0" xfId="111" applyNumberFormat="1" applyFont="1" applyBorder="1" applyAlignment="1">
      <alignment horizontal="right"/>
    </xf>
    <xf numFmtId="37" fontId="55" fillId="0" borderId="0" xfId="99" applyNumberFormat="1" applyFont="1" applyAlignment="1">
      <alignment horizontal="right"/>
    </xf>
    <xf numFmtId="37" fontId="12" fillId="10" borderId="0" xfId="99" applyNumberFormat="1" applyFont="1" applyFill="1" applyAlignment="1">
      <alignment horizontal="right"/>
    </xf>
    <xf numFmtId="37" fontId="75" fillId="0" borderId="0" xfId="99" applyNumberFormat="1" applyFont="1" applyAlignment="1">
      <alignment horizontal="right"/>
    </xf>
    <xf numFmtId="9" fontId="12" fillId="0" borderId="0" xfId="99" applyNumberFormat="1" applyFont="1" applyAlignment="1">
      <alignment horizontal="right"/>
    </xf>
    <xf numFmtId="171" fontId="12" fillId="0" borderId="0" xfId="99" applyNumberFormat="1" applyFont="1" applyAlignment="1">
      <alignment horizontal="right"/>
    </xf>
    <xf numFmtId="37" fontId="55" fillId="2" borderId="0" xfId="99" applyNumberFormat="1" applyFont="1" applyFill="1" applyAlignment="1">
      <alignment horizontal="right"/>
    </xf>
    <xf numFmtId="172" fontId="79" fillId="0" borderId="0" xfId="99" applyNumberFormat="1" applyFont="1" applyAlignment="1">
      <alignment horizontal="right"/>
    </xf>
    <xf numFmtId="194" fontId="12" fillId="0" borderId="0" xfId="99" applyNumberFormat="1" applyFont="1"/>
    <xf numFmtId="37" fontId="115" fillId="10" borderId="0" xfId="99" applyNumberFormat="1" applyFont="1" applyFill="1"/>
    <xf numFmtId="37" fontId="116" fillId="10" borderId="0" xfId="99" applyNumberFormat="1" applyFont="1" applyFill="1"/>
    <xf numFmtId="172" fontId="39" fillId="0" borderId="0" xfId="111" applyNumberFormat="1" applyFont="1" applyBorder="1"/>
    <xf numFmtId="172" fontId="39" fillId="0" borderId="0" xfId="111" applyNumberFormat="1" applyFont="1" applyFill="1" applyBorder="1"/>
    <xf numFmtId="168" fontId="60" fillId="6" borderId="73" xfId="69" applyNumberFormat="1" applyFont="1" applyFill="1" applyBorder="1"/>
    <xf numFmtId="168" fontId="60" fillId="6" borderId="74" xfId="69" applyNumberFormat="1" applyFont="1" applyFill="1" applyBorder="1"/>
    <xf numFmtId="171" fontId="12" fillId="0" borderId="0" xfId="0" applyNumberFormat="1" applyFont="1" applyAlignment="1">
      <alignment horizontal="left" indent="1"/>
    </xf>
    <xf numFmtId="171" fontId="38" fillId="0" borderId="0" xfId="0" applyNumberFormat="1" applyFont="1" applyAlignment="1">
      <alignment horizontal="center"/>
    </xf>
    <xf numFmtId="168" fontId="12" fillId="0" borderId="74" xfId="69" applyNumberFormat="1" applyFont="1" applyFill="1" applyBorder="1"/>
    <xf numFmtId="39" fontId="12" fillId="0" borderId="0" xfId="0" applyNumberFormat="1" applyFont="1" applyAlignment="1">
      <alignment horizontal="left" indent="3"/>
    </xf>
    <xf numFmtId="39" fontId="55" fillId="0" borderId="0" xfId="10" applyNumberFormat="1" applyFont="1" applyFill="1" applyAlignment="1">
      <alignment vertical="center"/>
    </xf>
    <xf numFmtId="39" fontId="54" fillId="0" borderId="0" xfId="10" applyNumberFormat="1" applyFont="1" applyFill="1" applyBorder="1" applyAlignment="1">
      <alignment vertical="center"/>
    </xf>
    <xf numFmtId="0" fontId="38" fillId="0" borderId="38" xfId="57" applyFont="1" applyBorder="1" applyAlignment="1">
      <alignment horizontal="left"/>
    </xf>
    <xf numFmtId="198" fontId="38" fillId="0" borderId="38" xfId="0" applyNumberFormat="1" applyFont="1" applyBorder="1" applyAlignment="1">
      <alignment horizontal="right"/>
    </xf>
    <xf numFmtId="37" fontId="38" fillId="0" borderId="38" xfId="57" applyNumberFormat="1" applyFont="1" applyBorder="1" applyAlignment="1">
      <alignment horizontal="right"/>
    </xf>
    <xf numFmtId="37" fontId="57" fillId="0" borderId="38" xfId="57" applyNumberFormat="1" applyFont="1" applyBorder="1" applyAlignment="1">
      <alignment horizontal="right"/>
    </xf>
    <xf numFmtId="39" fontId="39" fillId="0" borderId="0" xfId="10" applyNumberFormat="1" applyFont="1" applyFill="1" applyBorder="1" applyAlignment="1"/>
    <xf numFmtId="39" fontId="39" fillId="0" borderId="0" xfId="10" applyNumberFormat="1" applyFont="1" applyFill="1" applyBorder="1" applyAlignment="1">
      <alignment horizontal="right"/>
    </xf>
    <xf numFmtId="39" fontId="39" fillId="0" borderId="66" xfId="10" applyNumberFormat="1" applyFont="1" applyFill="1" applyBorder="1" applyAlignment="1"/>
    <xf numFmtId="39" fontId="78" fillId="0" borderId="0" xfId="10" applyNumberFormat="1" applyFont="1" applyFill="1" applyBorder="1" applyAlignment="1"/>
    <xf numFmtId="0" fontId="120" fillId="9" borderId="0" xfId="0" applyFont="1" applyFill="1"/>
    <xf numFmtId="4" fontId="38" fillId="0" borderId="0" xfId="0" applyNumberFormat="1" applyFont="1"/>
    <xf numFmtId="168" fontId="71" fillId="6" borderId="73" xfId="69" applyNumberFormat="1" applyFont="1" applyFill="1" applyBorder="1"/>
    <xf numFmtId="168" fontId="71" fillId="6" borderId="74" xfId="69" applyNumberFormat="1" applyFont="1" applyFill="1" applyBorder="1"/>
    <xf numFmtId="168" fontId="60" fillId="6" borderId="74" xfId="0" applyNumberFormat="1" applyFont="1" applyFill="1" applyBorder="1"/>
    <xf numFmtId="1" fontId="12" fillId="0" borderId="39" xfId="0" applyNumberFormat="1" applyFont="1" applyBorder="1" applyAlignment="1">
      <alignment horizontal="center"/>
    </xf>
    <xf numFmtId="192" fontId="12" fillId="8" borderId="39" xfId="0" applyNumberFormat="1" applyFont="1" applyFill="1" applyBorder="1" applyAlignment="1">
      <alignment horizontal="center"/>
    </xf>
    <xf numFmtId="188" fontId="50" fillId="0" borderId="0" xfId="0" applyNumberFormat="1" applyFont="1" applyAlignment="1">
      <alignment horizontal="center"/>
    </xf>
    <xf numFmtId="188" fontId="50" fillId="8" borderId="0" xfId="0" applyNumberFormat="1" applyFont="1" applyFill="1" applyAlignment="1">
      <alignment horizontal="center"/>
    </xf>
    <xf numFmtId="190" fontId="38" fillId="0" borderId="38" xfId="0" applyNumberFormat="1" applyFont="1" applyBorder="1"/>
    <xf numFmtId="190" fontId="38" fillId="0" borderId="0" xfId="0" applyNumberFormat="1" applyFont="1"/>
    <xf numFmtId="0" fontId="38" fillId="0" borderId="38" xfId="57" quotePrefix="1" applyFont="1" applyBorder="1" applyAlignment="1">
      <alignment horizontal="left"/>
    </xf>
    <xf numFmtId="37" fontId="38" fillId="10" borderId="38" xfId="57" applyNumberFormat="1" applyFont="1" applyFill="1" applyBorder="1" applyAlignment="1">
      <alignment horizontal="right"/>
    </xf>
    <xf numFmtId="0" fontId="39" fillId="0" borderId="39" xfId="57" quotePrefix="1" applyFont="1" applyBorder="1" applyAlignment="1">
      <alignment horizontal="left"/>
    </xf>
    <xf numFmtId="168" fontId="78" fillId="0" borderId="39" xfId="69" applyNumberFormat="1" applyFont="1" applyFill="1" applyBorder="1" applyAlignment="1">
      <alignment horizontal="right"/>
    </xf>
    <xf numFmtId="9" fontId="78" fillId="11" borderId="0" xfId="69" applyFont="1" applyFill="1" applyBorder="1"/>
    <xf numFmtId="168" fontId="71" fillId="11" borderId="0" xfId="69" applyNumberFormat="1" applyFont="1" applyFill="1" applyBorder="1"/>
    <xf numFmtId="0" fontId="61" fillId="0" borderId="0" xfId="0" applyFont="1" applyAlignment="1">
      <alignment horizontal="right"/>
    </xf>
    <xf numFmtId="168" fontId="60" fillId="11" borderId="0" xfId="69" applyNumberFormat="1" applyFont="1" applyFill="1" applyAlignment="1"/>
    <xf numFmtId="39" fontId="54" fillId="11" borderId="0" xfId="10" applyNumberFormat="1" applyFont="1" applyFill="1" applyAlignment="1"/>
    <xf numFmtId="168" fontId="78" fillId="11" borderId="0" xfId="0" applyNumberFormat="1" applyFont="1" applyFill="1" applyAlignment="1">
      <alignment vertical="top"/>
    </xf>
    <xf numFmtId="37" fontId="39" fillId="0" borderId="0" xfId="0" applyNumberFormat="1" applyFont="1"/>
    <xf numFmtId="10" fontId="0" fillId="0" borderId="0" xfId="0" applyNumberFormat="1"/>
    <xf numFmtId="3" fontId="12" fillId="10" borderId="0" xfId="0" applyNumberFormat="1" applyFont="1" applyFill="1"/>
    <xf numFmtId="37" fontId="115" fillId="0" borderId="0" xfId="60" applyNumberFormat="1" applyFont="1"/>
    <xf numFmtId="0" fontId="117" fillId="0" borderId="0" xfId="0" applyFont="1" applyAlignment="1">
      <alignment horizontal="left" indent="2"/>
    </xf>
    <xf numFmtId="172" fontId="117" fillId="0" borderId="0" xfId="38" applyNumberFormat="1" applyFont="1" applyFill="1"/>
    <xf numFmtId="172" fontId="117" fillId="0" borderId="66" xfId="38" applyNumberFormat="1" applyFont="1" applyFill="1" applyBorder="1"/>
    <xf numFmtId="0" fontId="116" fillId="0" borderId="0" xfId="57" applyFont="1" applyAlignment="1">
      <alignment horizontal="left" indent="2"/>
    </xf>
    <xf numFmtId="0" fontId="117" fillId="0" borderId="0" xfId="0" applyFont="1"/>
    <xf numFmtId="172" fontId="117" fillId="0" borderId="0" xfId="38" applyNumberFormat="1" applyFont="1" applyBorder="1" applyAlignment="1">
      <alignment horizontal="right"/>
    </xf>
    <xf numFmtId="171" fontId="71" fillId="6" borderId="74" xfId="10" applyNumberFormat="1" applyFont="1" applyFill="1" applyBorder="1"/>
    <xf numFmtId="37" fontId="54" fillId="6" borderId="0" xfId="10" applyFont="1" applyFill="1"/>
    <xf numFmtId="9" fontId="12" fillId="7" borderId="74" xfId="0" applyNumberFormat="1" applyFont="1" applyFill="1" applyBorder="1"/>
    <xf numFmtId="171" fontId="12" fillId="0" borderId="0" xfId="10" applyNumberFormat="1" applyFont="1" applyBorder="1"/>
    <xf numFmtId="39" fontId="12" fillId="0" borderId="38" xfId="10" applyNumberFormat="1" applyFont="1" applyBorder="1"/>
    <xf numFmtId="9" fontId="38" fillId="0" borderId="0" xfId="69" applyFont="1" applyFill="1"/>
    <xf numFmtId="3" fontId="60" fillId="14" borderId="0" xfId="0" applyNumberFormat="1" applyFont="1" applyFill="1"/>
    <xf numFmtId="171" fontId="67" fillId="0" borderId="0" xfId="0" applyNumberFormat="1" applyFont="1"/>
    <xf numFmtId="37" fontId="116" fillId="0" borderId="0" xfId="99" applyNumberFormat="1" applyFont="1"/>
    <xf numFmtId="172" fontId="39" fillId="0" borderId="0" xfId="111" applyNumberFormat="1" applyFont="1" applyFill="1" applyBorder="1" applyAlignment="1">
      <alignment horizontal="right"/>
    </xf>
    <xf numFmtId="172" fontId="39" fillId="0" borderId="66" xfId="111" applyNumberFormat="1" applyFont="1" applyFill="1" applyBorder="1" applyAlignment="1">
      <alignment horizontal="right"/>
    </xf>
    <xf numFmtId="37" fontId="116" fillId="0" borderId="66" xfId="99" applyNumberFormat="1" applyFont="1" applyBorder="1"/>
    <xf numFmtId="172" fontId="39" fillId="0" borderId="66" xfId="0" applyNumberFormat="1" applyFont="1" applyBorder="1"/>
    <xf numFmtId="168" fontId="12" fillId="0" borderId="66" xfId="69" applyNumberFormat="1" applyFont="1" applyFill="1" applyBorder="1" applyAlignment="1">
      <alignment horizontal="right"/>
    </xf>
    <xf numFmtId="39" fontId="12" fillId="0" borderId="66" xfId="60" applyNumberFormat="1" applyFont="1" applyBorder="1" applyAlignment="1">
      <alignment horizontal="right"/>
    </xf>
    <xf numFmtId="166" fontId="12" fillId="0" borderId="66" xfId="0" applyNumberFormat="1" applyFont="1" applyBorder="1" applyAlignment="1">
      <alignment horizontal="right"/>
    </xf>
    <xf numFmtId="0" fontId="54" fillId="0" borderId="66" xfId="57" applyFont="1" applyBorder="1"/>
    <xf numFmtId="168" fontId="46" fillId="0" borderId="66" xfId="69" applyNumberFormat="1" applyFont="1" applyFill="1" applyBorder="1"/>
    <xf numFmtId="168" fontId="39" fillId="0" borderId="66" xfId="69" applyNumberFormat="1" applyFont="1" applyFill="1" applyBorder="1" applyAlignment="1">
      <alignment horizontal="right" vertical="center"/>
    </xf>
    <xf numFmtId="168" fontId="38" fillId="0" borderId="66" xfId="69" applyNumberFormat="1" applyFont="1" applyFill="1" applyBorder="1"/>
    <xf numFmtId="168" fontId="39" fillId="0" borderId="66" xfId="57" applyNumberFormat="1" applyFont="1" applyBorder="1"/>
    <xf numFmtId="39" fontId="38" fillId="0" borderId="66" xfId="10" applyNumberFormat="1" applyFont="1" applyBorder="1"/>
    <xf numFmtId="39" fontId="39" fillId="0" borderId="66" xfId="10" applyNumberFormat="1" applyFont="1" applyBorder="1"/>
    <xf numFmtId="39" fontId="39" fillId="0" borderId="66" xfId="10" applyNumberFormat="1" applyFont="1" applyFill="1" applyBorder="1"/>
    <xf numFmtId="39" fontId="78" fillId="0" borderId="66" xfId="10" applyNumberFormat="1" applyFont="1" applyFill="1" applyBorder="1"/>
    <xf numFmtId="168" fontId="38" fillId="0" borderId="66" xfId="69" applyNumberFormat="1" applyFont="1" applyBorder="1"/>
    <xf numFmtId="168" fontId="39" fillId="0" borderId="66" xfId="69" applyNumberFormat="1" applyFont="1" applyBorder="1"/>
    <xf numFmtId="37" fontId="38" fillId="0" borderId="66" xfId="10" applyFont="1" applyBorder="1"/>
    <xf numFmtId="37" fontId="39" fillId="0" borderId="66" xfId="10" applyFont="1" applyBorder="1"/>
    <xf numFmtId="168" fontId="54" fillId="0" borderId="66" xfId="69" applyNumberFormat="1" applyFont="1" applyFill="1" applyBorder="1"/>
    <xf numFmtId="37" fontId="46" fillId="0" borderId="66" xfId="69" applyNumberFormat="1" applyFont="1" applyBorder="1"/>
    <xf numFmtId="37" fontId="39" fillId="0" borderId="66" xfId="69" applyNumberFormat="1" applyFont="1" applyFill="1" applyBorder="1"/>
    <xf numFmtId="0" fontId="39" fillId="0" borderId="66" xfId="65" applyFont="1" applyBorder="1"/>
    <xf numFmtId="168" fontId="12" fillId="0" borderId="82" xfId="69" applyNumberFormat="1" applyFont="1" applyFill="1" applyBorder="1"/>
    <xf numFmtId="168" fontId="12" fillId="0" borderId="66" xfId="69" applyNumberFormat="1" applyFont="1" applyFill="1" applyBorder="1"/>
    <xf numFmtId="9" fontId="12" fillId="0" borderId="66" xfId="69" applyFont="1" applyFill="1" applyBorder="1"/>
    <xf numFmtId="0" fontId="12" fillId="0" borderId="66" xfId="65" applyFont="1" applyBorder="1"/>
    <xf numFmtId="171" fontId="54" fillId="0" borderId="66" xfId="10" applyNumberFormat="1" applyFont="1" applyFill="1" applyBorder="1"/>
    <xf numFmtId="168" fontId="73" fillId="0" borderId="0" xfId="0" applyNumberFormat="1" applyFont="1"/>
    <xf numFmtId="9" fontId="38" fillId="0" borderId="38" xfId="69" applyFont="1" applyBorder="1" applyAlignment="1">
      <alignment horizontal="right"/>
    </xf>
    <xf numFmtId="198" fontId="67" fillId="10" borderId="0" xfId="0" applyNumberFormat="1" applyFont="1" applyFill="1" applyAlignment="1">
      <alignment horizontal="right"/>
    </xf>
    <xf numFmtId="0" fontId="14" fillId="0" borderId="0" xfId="0" applyFont="1"/>
    <xf numFmtId="0" fontId="14" fillId="0" borderId="0" xfId="0" quotePrefix="1" applyFont="1" applyAlignment="1">
      <alignment horizontal="center"/>
    </xf>
    <xf numFmtId="0" fontId="121" fillId="0" borderId="0" xfId="15" applyFont="1" applyFill="1" applyAlignment="1" applyProtection="1">
      <alignment horizontal="left"/>
    </xf>
    <xf numFmtId="9" fontId="12" fillId="0" borderId="57" xfId="69" applyFont="1" applyBorder="1" applyAlignment="1">
      <alignment horizontal="left"/>
    </xf>
    <xf numFmtId="9" fontId="12" fillId="0" borderId="40" xfId="69" applyFont="1" applyBorder="1" applyAlignment="1">
      <alignment horizontal="left"/>
    </xf>
    <xf numFmtId="195" fontId="112" fillId="0" borderId="59" xfId="69" applyNumberFormat="1" applyFont="1" applyFill="1" applyBorder="1" applyAlignment="1">
      <alignment horizontal="right"/>
    </xf>
    <xf numFmtId="39" fontId="112" fillId="0" borderId="51" xfId="10" applyNumberFormat="1" applyFont="1" applyFill="1" applyBorder="1" applyAlignment="1">
      <alignment horizontal="right"/>
    </xf>
    <xf numFmtId="37" fontId="75" fillId="0" borderId="0" xfId="10" applyFont="1" applyFill="1"/>
    <xf numFmtId="171" fontId="55" fillId="0" borderId="0" xfId="10" applyNumberFormat="1" applyFont="1" applyFill="1" applyAlignment="1">
      <alignment horizontal="right"/>
    </xf>
    <xf numFmtId="171" fontId="75" fillId="0" borderId="0" xfId="10" applyNumberFormat="1" applyFont="1" applyFill="1" applyAlignment="1">
      <alignment horizontal="right"/>
    </xf>
    <xf numFmtId="17" fontId="45" fillId="12" borderId="66" xfId="61" applyNumberFormat="1" applyFont="1" applyFill="1" applyBorder="1" applyAlignment="1">
      <alignment horizontal="center" vertical="center"/>
    </xf>
    <xf numFmtId="3" fontId="61" fillId="0" borderId="0" xfId="0" applyNumberFormat="1" applyFont="1"/>
    <xf numFmtId="171" fontId="103" fillId="15" borderId="0" xfId="10" applyNumberFormat="1" applyFont="1" applyFill="1" applyBorder="1"/>
    <xf numFmtId="168" fontId="61" fillId="6" borderId="73" xfId="69" applyNumberFormat="1" applyFont="1" applyFill="1" applyBorder="1"/>
    <xf numFmtId="0" fontId="126" fillId="0" borderId="0" xfId="0" applyFont="1"/>
    <xf numFmtId="17" fontId="45" fillId="12" borderId="0" xfId="61" applyNumberFormat="1" applyFont="1" applyFill="1" applyAlignment="1">
      <alignment horizontal="center" vertical="center"/>
    </xf>
    <xf numFmtId="37" fontId="116" fillId="0" borderId="76" xfId="10" applyFont="1" applyFill="1" applyBorder="1" applyAlignment="1">
      <alignment vertical="center"/>
    </xf>
    <xf numFmtId="37" fontId="116" fillId="0" borderId="80" xfId="10" applyFont="1" applyFill="1" applyBorder="1" applyAlignment="1">
      <alignment vertical="center"/>
    </xf>
    <xf numFmtId="0" fontId="54" fillId="0" borderId="80" xfId="57" applyFont="1" applyBorder="1"/>
    <xf numFmtId="0" fontId="54" fillId="0" borderId="80" xfId="99" applyFont="1" applyBorder="1"/>
    <xf numFmtId="206" fontId="127" fillId="0" borderId="0" xfId="10" applyNumberFormat="1" applyFont="1" applyFill="1"/>
    <xf numFmtId="192" fontId="38" fillId="0" borderId="20" xfId="0" applyNumberFormat="1" applyFont="1" applyBorder="1" applyAlignment="1">
      <alignment horizontal="left"/>
    </xf>
    <xf numFmtId="168" fontId="57" fillId="0" borderId="66" xfId="69" applyNumberFormat="1" applyFont="1" applyBorder="1"/>
    <xf numFmtId="168" fontId="39" fillId="0" borderId="82" xfId="57" applyNumberFormat="1" applyFont="1" applyBorder="1"/>
    <xf numFmtId="168" fontId="115" fillId="0" borderId="66" xfId="69" applyNumberFormat="1" applyFont="1" applyBorder="1"/>
    <xf numFmtId="9" fontId="54" fillId="0" borderId="66" xfId="69" applyFont="1" applyFill="1" applyBorder="1"/>
    <xf numFmtId="0" fontId="49" fillId="0" borderId="66" xfId="65" applyFont="1" applyBorder="1"/>
    <xf numFmtId="37" fontId="38" fillId="0" borderId="66" xfId="69" applyNumberFormat="1" applyFont="1" applyBorder="1"/>
    <xf numFmtId="17" fontId="38" fillId="0" borderId="66" xfId="61" applyNumberFormat="1" applyFont="1" applyBorder="1" applyAlignment="1">
      <alignment horizontal="center" vertical="center"/>
    </xf>
    <xf numFmtId="168" fontId="46" fillId="0" borderId="66" xfId="69" applyNumberFormat="1" applyFont="1" applyBorder="1"/>
    <xf numFmtId="168" fontId="78" fillId="0" borderId="66" xfId="69" applyNumberFormat="1" applyFont="1" applyFill="1" applyBorder="1"/>
    <xf numFmtId="225" fontId="50" fillId="0" borderId="0" xfId="0" applyNumberFormat="1" applyFont="1" applyAlignment="1">
      <alignment horizontal="center"/>
    </xf>
    <xf numFmtId="225" fontId="50" fillId="8" borderId="0" xfId="0" applyNumberFormat="1" applyFont="1" applyFill="1" applyAlignment="1">
      <alignment horizontal="center"/>
    </xf>
    <xf numFmtId="213" fontId="38" fillId="0" borderId="0" xfId="10" applyNumberFormat="1" applyFont="1" applyFill="1" applyBorder="1"/>
    <xf numFmtId="213" fontId="38" fillId="0" borderId="66" xfId="10" applyNumberFormat="1" applyFont="1" applyFill="1" applyBorder="1"/>
    <xf numFmtId="213" fontId="12" fillId="0" borderId="0" xfId="10" applyNumberFormat="1" applyFont="1" applyFill="1" applyBorder="1" applyAlignment="1">
      <alignment horizontal="right"/>
    </xf>
    <xf numFmtId="213" fontId="12" fillId="0" borderId="0" xfId="10" applyNumberFormat="1" applyFont="1" applyFill="1" applyBorder="1"/>
    <xf numFmtId="213" fontId="38" fillId="0" borderId="5" xfId="37" applyNumberFormat="1" applyFont="1" applyFill="1" applyBorder="1"/>
    <xf numFmtId="37" fontId="12" fillId="9" borderId="0" xfId="10" applyFont="1" applyFill="1" applyBorder="1"/>
    <xf numFmtId="168" fontId="99" fillId="6" borderId="0" xfId="69" applyNumberFormat="1" applyFont="1" applyFill="1" applyBorder="1"/>
    <xf numFmtId="10" fontId="54" fillId="0" borderId="66" xfId="69" applyNumberFormat="1" applyFont="1" applyFill="1" applyBorder="1"/>
    <xf numFmtId="0" fontId="112" fillId="0" borderId="0" xfId="0" applyFont="1"/>
    <xf numFmtId="0" fontId="112" fillId="0" borderId="6" xfId="0" applyFont="1" applyBorder="1"/>
    <xf numFmtId="9" fontId="68" fillId="0" borderId="0" xfId="69" applyFont="1" applyFill="1" applyBorder="1"/>
    <xf numFmtId="0" fontId="38" fillId="0" borderId="0" xfId="99" applyFont="1" applyAlignment="1">
      <alignment horizontal="left"/>
    </xf>
    <xf numFmtId="0" fontId="12" fillId="0" borderId="0" xfId="99" applyFont="1" applyAlignment="1">
      <alignment horizontal="left" indent="1"/>
    </xf>
    <xf numFmtId="37" fontId="71" fillId="11" borderId="0" xfId="10" applyFont="1" applyFill="1" applyBorder="1"/>
    <xf numFmtId="39" fontId="71" fillId="11" borderId="0" xfId="10" applyNumberFormat="1" applyFont="1" applyFill="1" applyBorder="1"/>
    <xf numFmtId="0" fontId="38" fillId="11" borderId="0" xfId="57" applyFont="1" applyFill="1" applyAlignment="1">
      <alignment horizontal="left"/>
    </xf>
    <xf numFmtId="168" fontId="38" fillId="11" borderId="0" xfId="69" applyNumberFormat="1" applyFont="1" applyFill="1" applyBorder="1"/>
    <xf numFmtId="37" fontId="38" fillId="11" borderId="0" xfId="10" applyFont="1" applyFill="1" applyBorder="1"/>
    <xf numFmtId="37" fontId="38" fillId="11" borderId="66" xfId="10" applyFont="1" applyFill="1" applyBorder="1"/>
    <xf numFmtId="37" fontId="57" fillId="11" borderId="0" xfId="10" applyFont="1" applyFill="1" applyBorder="1"/>
    <xf numFmtId="168" fontId="57" fillId="11" borderId="0" xfId="69" applyNumberFormat="1" applyFont="1" applyFill="1" applyBorder="1"/>
    <xf numFmtId="0" fontId="12" fillId="11" borderId="0" xfId="65" applyFont="1" applyFill="1"/>
    <xf numFmtId="0" fontId="39" fillId="11" borderId="0" xfId="57" applyFont="1" applyFill="1" applyAlignment="1">
      <alignment horizontal="left" indent="1"/>
    </xf>
    <xf numFmtId="168" fontId="39" fillId="11" borderId="0" xfId="69" applyNumberFormat="1" applyFont="1" applyFill="1" applyBorder="1"/>
    <xf numFmtId="168" fontId="39" fillId="11" borderId="66" xfId="69" applyNumberFormat="1" applyFont="1" applyFill="1" applyBorder="1"/>
    <xf numFmtId="168" fontId="78" fillId="11" borderId="0" xfId="69" applyNumberFormat="1" applyFont="1" applyFill="1" applyBorder="1"/>
    <xf numFmtId="4" fontId="128" fillId="0" borderId="0" xfId="0" applyNumberFormat="1" applyFont="1"/>
    <xf numFmtId="213" fontId="38" fillId="10" borderId="0" xfId="0" applyNumberFormat="1" applyFont="1" applyFill="1"/>
    <xf numFmtId="37" fontId="67" fillId="5" borderId="0" xfId="10" applyFont="1" applyFill="1" applyAlignment="1">
      <alignment horizontal="right"/>
    </xf>
    <xf numFmtId="9" fontId="60" fillId="5" borderId="0" xfId="69" applyFont="1" applyFill="1"/>
    <xf numFmtId="168" fontId="60" fillId="5" borderId="0" xfId="69" applyNumberFormat="1" applyFont="1" applyFill="1" applyAlignment="1">
      <alignment horizontal="right"/>
    </xf>
    <xf numFmtId="37" fontId="12" fillId="8" borderId="0" xfId="10" applyFont="1" applyFill="1" applyBorder="1"/>
    <xf numFmtId="9" fontId="103" fillId="0" borderId="0" xfId="0" applyNumberFormat="1" applyFont="1"/>
    <xf numFmtId="9" fontId="103" fillId="0" borderId="0" xfId="69" applyFont="1" applyFill="1"/>
    <xf numFmtId="9" fontId="103" fillId="0" borderId="0" xfId="69" applyFont="1"/>
    <xf numFmtId="9" fontId="75" fillId="0" borderId="0" xfId="0" applyNumberFormat="1" applyFont="1"/>
    <xf numFmtId="168" fontId="61" fillId="7" borderId="73" xfId="69" applyNumberFormat="1" applyFont="1" applyFill="1" applyBorder="1"/>
    <xf numFmtId="37" fontId="57" fillId="17" borderId="0" xfId="60" applyNumberFormat="1" applyFont="1" applyFill="1"/>
    <xf numFmtId="171" fontId="12" fillId="0" borderId="0" xfId="10" applyNumberFormat="1" applyFont="1" applyFill="1" applyBorder="1" applyAlignment="1">
      <alignment horizontal="right"/>
    </xf>
    <xf numFmtId="229" fontId="54" fillId="0" borderId="0" xfId="0" applyNumberFormat="1" applyFont="1"/>
    <xf numFmtId="230" fontId="54" fillId="0" borderId="0" xfId="0" applyNumberFormat="1" applyFont="1"/>
    <xf numFmtId="2" fontId="38" fillId="0" borderId="0" xfId="62" applyNumberFormat="1" applyFont="1" applyAlignment="1">
      <alignment horizontal="right"/>
    </xf>
    <xf numFmtId="0" fontId="129" fillId="11" borderId="20" xfId="0" applyFont="1" applyFill="1" applyBorder="1"/>
    <xf numFmtId="0" fontId="52" fillId="11" borderId="20" xfId="0" applyFont="1" applyFill="1" applyBorder="1"/>
    <xf numFmtId="37" fontId="38" fillId="11" borderId="16" xfId="0" applyNumberFormat="1" applyFont="1" applyFill="1" applyBorder="1" applyAlignment="1">
      <alignment horizontal="right"/>
    </xf>
    <xf numFmtId="1" fontId="12" fillId="11" borderId="0" xfId="0" applyNumberFormat="1" applyFont="1" applyFill="1"/>
    <xf numFmtId="37" fontId="12" fillId="11" borderId="0" xfId="10" applyFont="1" applyFill="1" applyBorder="1" applyAlignment="1">
      <alignment horizontal="right"/>
    </xf>
    <xf numFmtId="168" fontId="38" fillId="11" borderId="0" xfId="69" applyNumberFormat="1" applyFont="1" applyFill="1" applyBorder="1" applyAlignment="1">
      <alignment horizontal="right"/>
    </xf>
    <xf numFmtId="168" fontId="12" fillId="11" borderId="0" xfId="69" applyNumberFormat="1" applyFont="1" applyFill="1" applyBorder="1" applyAlignment="1">
      <alignment horizontal="right"/>
    </xf>
    <xf numFmtId="168" fontId="12" fillId="11" borderId="0" xfId="0" applyNumberFormat="1" applyFont="1" applyFill="1"/>
    <xf numFmtId="1" fontId="12" fillId="11" borderId="0" xfId="0" applyNumberFormat="1" applyFont="1" applyFill="1" applyAlignment="1">
      <alignment horizontal="right"/>
    </xf>
    <xf numFmtId="37" fontId="38" fillId="11" borderId="0" xfId="0" applyNumberFormat="1" applyFont="1" applyFill="1" applyAlignment="1">
      <alignment horizontal="right"/>
    </xf>
    <xf numFmtId="37" fontId="12" fillId="11" borderId="0" xfId="0" applyNumberFormat="1" applyFont="1" applyFill="1" applyAlignment="1">
      <alignment horizontal="right"/>
    </xf>
    <xf numFmtId="2" fontId="12" fillId="11" borderId="0" xfId="0" applyNumberFormat="1" applyFont="1" applyFill="1"/>
    <xf numFmtId="39" fontId="75" fillId="0" borderId="38" xfId="10" applyNumberFormat="1" applyFont="1" applyBorder="1"/>
    <xf numFmtId="168" fontId="12" fillId="9" borderId="0" xfId="0" applyNumberFormat="1" applyFont="1" applyFill="1"/>
    <xf numFmtId="9" fontId="0" fillId="0" borderId="0" xfId="0" applyNumberFormat="1"/>
    <xf numFmtId="0" fontId="12" fillId="0" borderId="0" xfId="0" applyFont="1" applyAlignment="1">
      <alignment wrapText="1"/>
    </xf>
    <xf numFmtId="1" fontId="12" fillId="0" borderId="71" xfId="0" applyNumberFormat="1" applyFont="1" applyBorder="1"/>
    <xf numFmtId="0" fontId="12" fillId="0" borderId="81" xfId="0" applyFont="1" applyBorder="1"/>
    <xf numFmtId="166" fontId="67" fillId="5" borderId="0" xfId="10" applyNumberFormat="1" applyFont="1" applyFill="1"/>
    <xf numFmtId="9" fontId="39" fillId="0" borderId="38" xfId="57" applyNumberFormat="1" applyFont="1" applyBorder="1" applyAlignment="1">
      <alignment horizontal="right"/>
    </xf>
    <xf numFmtId="9" fontId="125" fillId="0" borderId="0" xfId="69" applyFont="1" applyFill="1" applyBorder="1" applyAlignment="1">
      <alignment vertical="center"/>
    </xf>
    <xf numFmtId="0" fontId="92" fillId="0" borderId="0" xfId="0" applyFont="1"/>
    <xf numFmtId="168" fontId="60" fillId="18" borderId="0" xfId="0" applyNumberFormat="1" applyFont="1" applyFill="1"/>
    <xf numFmtId="9" fontId="12" fillId="0" borderId="0" xfId="10" applyNumberFormat="1" applyFont="1" applyFill="1" applyBorder="1" applyAlignment="1">
      <alignment horizontal="right"/>
    </xf>
    <xf numFmtId="167" fontId="12" fillId="0" borderId="0" xfId="12" applyFont="1" applyBorder="1"/>
    <xf numFmtId="37" fontId="44" fillId="9" borderId="0" xfId="0" applyNumberFormat="1" applyFont="1" applyFill="1"/>
    <xf numFmtId="39" fontId="71" fillId="6" borderId="0" xfId="10" applyNumberFormat="1" applyFont="1" applyFill="1" applyBorder="1"/>
    <xf numFmtId="9" fontId="60" fillId="5" borderId="0" xfId="81" applyFont="1" applyFill="1"/>
    <xf numFmtId="0" fontId="0" fillId="5" borderId="0" xfId="0" applyFill="1"/>
    <xf numFmtId="171" fontId="38" fillId="10" borderId="0" xfId="0" applyNumberFormat="1" applyFont="1" applyFill="1"/>
    <xf numFmtId="171" fontId="38" fillId="0" borderId="0" xfId="0" applyNumberFormat="1" applyFont="1"/>
    <xf numFmtId="171" fontId="96" fillId="0" borderId="0" xfId="0" applyNumberFormat="1" applyFont="1"/>
    <xf numFmtId="37" fontId="12" fillId="9" borderId="0" xfId="57" applyNumberFormat="1" applyFont="1" applyFill="1"/>
    <xf numFmtId="37" fontId="45" fillId="9" borderId="0" xfId="63" applyNumberFormat="1" applyFont="1" applyFill="1"/>
    <xf numFmtId="0" fontId="38" fillId="0" borderId="5" xfId="0" quotePrefix="1" applyFont="1" applyBorder="1" applyAlignment="1">
      <alignment horizontal="center"/>
    </xf>
    <xf numFmtId="9" fontId="60" fillId="16" borderId="0" xfId="69" applyFont="1" applyFill="1"/>
    <xf numFmtId="9" fontId="38" fillId="5" borderId="0" xfId="69" applyFont="1" applyFill="1"/>
    <xf numFmtId="168" fontId="12" fillId="0" borderId="0" xfId="69" applyNumberFormat="1" applyFont="1" applyFill="1" applyAlignment="1">
      <alignment horizontal="center"/>
    </xf>
    <xf numFmtId="168" fontId="99" fillId="7" borderId="0" xfId="69" applyNumberFormat="1" applyFont="1" applyFill="1" applyBorder="1"/>
    <xf numFmtId="0" fontId="130" fillId="0" borderId="0" xfId="63" applyFont="1" applyAlignment="1">
      <alignment horizontal="center"/>
    </xf>
    <xf numFmtId="37" fontId="39" fillId="0" borderId="0" xfId="10" applyFont="1" applyFill="1"/>
    <xf numFmtId="0" fontId="56" fillId="19" borderId="63" xfId="66" applyFont="1" applyFill="1" applyBorder="1" applyAlignment="1">
      <alignment horizontal="left" vertical="center"/>
    </xf>
    <xf numFmtId="0" fontId="56" fillId="19" borderId="33" xfId="66" applyFont="1" applyFill="1" applyBorder="1"/>
    <xf numFmtId="0" fontId="56" fillId="19" borderId="33" xfId="66" applyFont="1" applyFill="1" applyBorder="1" applyAlignment="1">
      <alignment horizontal="left"/>
    </xf>
    <xf numFmtId="9" fontId="54" fillId="0" borderId="0" xfId="0" applyNumberFormat="1" applyFont="1"/>
    <xf numFmtId="168" fontId="60" fillId="7" borderId="0" xfId="0" applyNumberFormat="1" applyFont="1" applyFill="1"/>
    <xf numFmtId="168" fontId="61" fillId="7" borderId="0" xfId="0" applyNumberFormat="1" applyFont="1" applyFill="1"/>
    <xf numFmtId="0" fontId="56" fillId="20" borderId="63" xfId="66" applyFont="1" applyFill="1" applyBorder="1"/>
    <xf numFmtId="0" fontId="56" fillId="20" borderId="33" xfId="66" applyFont="1" applyFill="1" applyBorder="1"/>
    <xf numFmtId="0" fontId="56" fillId="20" borderId="65" xfId="66" applyFont="1" applyFill="1" applyBorder="1"/>
    <xf numFmtId="0" fontId="70" fillId="20" borderId="0" xfId="0" applyFont="1" applyFill="1"/>
    <xf numFmtId="231" fontId="12" fillId="0" borderId="0" xfId="0" applyNumberFormat="1" applyFont="1"/>
    <xf numFmtId="171" fontId="60" fillId="5" borderId="0" xfId="0" applyNumberFormat="1" applyFont="1" applyFill="1"/>
    <xf numFmtId="166" fontId="64" fillId="0" borderId="0" xfId="57" applyNumberFormat="1" applyFont="1" applyAlignment="1">
      <alignment horizontal="right"/>
    </xf>
    <xf numFmtId="166" fontId="39" fillId="0" borderId="38" xfId="57" applyNumberFormat="1" applyFont="1" applyBorder="1" applyAlignment="1">
      <alignment horizontal="right"/>
    </xf>
    <xf numFmtId="39" fontId="45" fillId="9" borderId="0" xfId="63" applyNumberFormat="1" applyFont="1" applyFill="1"/>
    <xf numFmtId="39" fontId="38" fillId="0" borderId="0" xfId="0" applyNumberFormat="1" applyFont="1"/>
    <xf numFmtId="39" fontId="38" fillId="0" borderId="12" xfId="0" applyNumberFormat="1" applyFont="1" applyBorder="1"/>
    <xf numFmtId="39" fontId="38" fillId="8" borderId="12" xfId="0" applyNumberFormat="1" applyFont="1" applyFill="1" applyBorder="1"/>
    <xf numFmtId="39" fontId="103" fillId="0" borderId="13" xfId="0" applyNumberFormat="1" applyFont="1" applyBorder="1" applyAlignment="1">
      <alignment horizontal="right"/>
    </xf>
    <xf numFmtId="39" fontId="12" fillId="8" borderId="13" xfId="0" applyNumberFormat="1" applyFont="1" applyFill="1" applyBorder="1"/>
    <xf numFmtId="39" fontId="103" fillId="0" borderId="0" xfId="0" applyNumberFormat="1" applyFont="1"/>
    <xf numFmtId="39" fontId="113" fillId="0" borderId="13" xfId="0" applyNumberFormat="1" applyFont="1" applyBorder="1" applyAlignment="1">
      <alignment horizontal="right"/>
    </xf>
    <xf numFmtId="39" fontId="38" fillId="8" borderId="13" xfId="0" applyNumberFormat="1" applyFont="1" applyFill="1" applyBorder="1"/>
    <xf numFmtId="39" fontId="12" fillId="0" borderId="80" xfId="0" applyNumberFormat="1" applyFont="1" applyBorder="1"/>
    <xf numFmtId="39" fontId="103" fillId="0" borderId="14" xfId="0" applyNumberFormat="1" applyFont="1" applyBorder="1" applyAlignment="1">
      <alignment horizontal="right"/>
    </xf>
    <xf numFmtId="39" fontId="38" fillId="0" borderId="80" xfId="0" applyNumberFormat="1" applyFont="1" applyBorder="1"/>
    <xf numFmtId="39" fontId="12" fillId="8" borderId="14" xfId="0" applyNumberFormat="1" applyFont="1" applyFill="1" applyBorder="1"/>
    <xf numFmtId="192" fontId="38" fillId="0" borderId="39" xfId="0" applyNumberFormat="1" applyFont="1" applyBorder="1" applyAlignment="1">
      <alignment horizontal="right"/>
    </xf>
    <xf numFmtId="37" fontId="38" fillId="0" borderId="38" xfId="0" applyNumberFormat="1" applyFont="1" applyBorder="1"/>
    <xf numFmtId="37" fontId="57" fillId="0" borderId="38" xfId="0" applyNumberFormat="1" applyFont="1" applyBorder="1"/>
    <xf numFmtId="168" fontId="52" fillId="0" borderId="0" xfId="69" applyNumberFormat="1" applyFont="1" applyFill="1" applyBorder="1"/>
    <xf numFmtId="37" fontId="57" fillId="0" borderId="0" xfId="0" applyNumberFormat="1" applyFont="1" applyAlignment="1">
      <alignment horizontal="right"/>
    </xf>
    <xf numFmtId="0" fontId="122" fillId="0" borderId="0" xfId="0" applyFont="1" applyAlignment="1">
      <alignment horizontal="center"/>
    </xf>
    <xf numFmtId="168" fontId="122" fillId="0" borderId="0" xfId="69" applyNumberFormat="1" applyFont="1" applyFill="1" applyBorder="1" applyAlignment="1">
      <alignment horizontal="center"/>
    </xf>
    <xf numFmtId="168" fontId="123" fillId="0" borderId="0" xfId="69" applyNumberFormat="1" applyFont="1" applyBorder="1" applyAlignment="1">
      <alignment horizontal="center"/>
    </xf>
    <xf numFmtId="37" fontId="122" fillId="0" borderId="0" xfId="0" applyNumberFormat="1" applyFont="1" applyAlignment="1">
      <alignment horizontal="center"/>
    </xf>
    <xf numFmtId="168" fontId="122" fillId="0" borderId="0" xfId="69" applyNumberFormat="1" applyFont="1" applyBorder="1" applyAlignment="1">
      <alignment horizontal="center"/>
    </xf>
    <xf numFmtId="37" fontId="122" fillId="0" borderId="0" xfId="10" applyFont="1" applyFill="1" applyBorder="1" applyAlignment="1">
      <alignment horizontal="center"/>
    </xf>
    <xf numFmtId="9" fontId="122" fillId="0" borderId="0" xfId="69" applyFont="1" applyFill="1" applyBorder="1" applyAlignment="1">
      <alignment horizontal="center"/>
    </xf>
    <xf numFmtId="168" fontId="124" fillId="0" borderId="0" xfId="69" applyNumberFormat="1" applyFont="1" applyBorder="1" applyAlignment="1">
      <alignment horizontal="center"/>
    </xf>
    <xf numFmtId="226" fontId="12" fillId="0" borderId="66" xfId="99" applyNumberFormat="1" applyFont="1" applyBorder="1"/>
    <xf numFmtId="37" fontId="66" fillId="0" borderId="0" xfId="0" applyNumberFormat="1" applyFont="1"/>
    <xf numFmtId="37" fontId="39" fillId="0" borderId="66" xfId="10" applyFont="1" applyBorder="1" applyAlignment="1">
      <alignment horizontal="right"/>
    </xf>
    <xf numFmtId="168" fontId="97" fillId="0" borderId="0" xfId="69" applyNumberFormat="1" applyFont="1" applyBorder="1" applyAlignment="1">
      <alignment horizontal="right"/>
    </xf>
    <xf numFmtId="171" fontId="2" fillId="0" borderId="0" xfId="10" applyNumberFormat="1" applyFont="1" applyFill="1" applyAlignment="1">
      <alignment horizontal="right"/>
    </xf>
    <xf numFmtId="222" fontId="38" fillId="0" borderId="83" xfId="37" applyNumberFormat="1" applyFont="1" applyFill="1" applyBorder="1"/>
    <xf numFmtId="169" fontId="112" fillId="0" borderId="0" xfId="11" applyNumberFormat="1" applyFont="1" applyFill="1" applyBorder="1" applyAlignment="1">
      <alignment vertical="top" shrinkToFit="1"/>
    </xf>
    <xf numFmtId="169" fontId="42" fillId="0" borderId="0" xfId="0" applyNumberFormat="1" applyFont="1"/>
    <xf numFmtId="232" fontId="12" fillId="0" borderId="0" xfId="0" applyNumberFormat="1" applyFont="1"/>
    <xf numFmtId="0" fontId="133" fillId="0" borderId="0" xfId="0" applyFont="1"/>
    <xf numFmtId="169" fontId="2" fillId="0" borderId="0" xfId="11" applyNumberFormat="1" applyFont="1" applyFill="1" applyBorder="1" applyAlignment="1">
      <alignment vertical="top" shrinkToFit="1"/>
    </xf>
    <xf numFmtId="3" fontId="75" fillId="0" borderId="0" xfId="0" applyNumberFormat="1" applyFont="1"/>
    <xf numFmtId="0" fontId="2" fillId="0" borderId="0" xfId="0" applyFont="1"/>
    <xf numFmtId="37" fontId="2" fillId="0" borderId="0" xfId="10" applyFont="1" applyFill="1"/>
    <xf numFmtId="168" fontId="61" fillId="6" borderId="0" xfId="0" applyNumberFormat="1" applyFont="1" applyFill="1"/>
    <xf numFmtId="37" fontId="122" fillId="0" borderId="0" xfId="0" applyNumberFormat="1" applyFont="1"/>
    <xf numFmtId="9" fontId="122" fillId="0" borderId="0" xfId="0" applyNumberFormat="1" applyFont="1"/>
    <xf numFmtId="168" fontId="135" fillId="10" borderId="0" xfId="69" applyNumberFormat="1" applyFont="1" applyFill="1" applyBorder="1"/>
    <xf numFmtId="37" fontId="39" fillId="10" borderId="66" xfId="10" applyFont="1" applyFill="1" applyBorder="1"/>
    <xf numFmtId="37" fontId="67" fillId="0" borderId="0" xfId="57" applyNumberFormat="1" applyFont="1"/>
    <xf numFmtId="0" fontId="12" fillId="0" borderId="0" xfId="60" applyFont="1" applyAlignment="1">
      <alignment horizontal="left" indent="2"/>
    </xf>
    <xf numFmtId="3" fontId="122" fillId="10" borderId="0" xfId="37" applyNumberFormat="1" applyFont="1" applyFill="1"/>
    <xf numFmtId="166" fontId="122" fillId="10" borderId="0" xfId="37" applyNumberFormat="1" applyFont="1" applyFill="1"/>
    <xf numFmtId="171" fontId="132" fillId="15" borderId="0" xfId="10" applyNumberFormat="1" applyFont="1" applyFill="1"/>
    <xf numFmtId="168" fontId="111" fillId="15" borderId="0" xfId="57" applyNumberFormat="1" applyFont="1" applyFill="1"/>
    <xf numFmtId="37" fontId="38" fillId="0" borderId="66" xfId="111" applyNumberFormat="1" applyFont="1" applyFill="1" applyBorder="1" applyAlignment="1">
      <alignment horizontal="right"/>
    </xf>
    <xf numFmtId="166" fontId="54" fillId="14" borderId="0" xfId="37" applyNumberFormat="1" applyFont="1" applyFill="1"/>
    <xf numFmtId="37" fontId="124" fillId="14" borderId="0" xfId="10" applyFont="1" applyFill="1"/>
    <xf numFmtId="166" fontId="136" fillId="0" borderId="0" xfId="37" applyNumberFormat="1" applyFont="1" applyFill="1"/>
    <xf numFmtId="37" fontId="112" fillId="2" borderId="0" xfId="10" applyFont="1" applyFill="1" applyBorder="1" applyAlignment="1" applyProtection="1">
      <alignment horizontal="right" vertical="center"/>
    </xf>
    <xf numFmtId="171" fontId="99" fillId="6" borderId="0" xfId="10" applyNumberFormat="1" applyFont="1" applyFill="1" applyBorder="1"/>
    <xf numFmtId="195" fontId="55" fillId="0" borderId="0" xfId="0" applyNumberFormat="1" applyFont="1" applyAlignment="1">
      <alignment horizontal="center"/>
    </xf>
    <xf numFmtId="14" fontId="12" fillId="0" borderId="0" xfId="62" applyNumberFormat="1" applyFont="1" applyAlignment="1">
      <alignment horizontal="center"/>
    </xf>
    <xf numFmtId="174" fontId="38" fillId="0" borderId="0" xfId="0" applyNumberFormat="1" applyFont="1" applyAlignment="1">
      <alignment horizontal="center"/>
    </xf>
    <xf numFmtId="172" fontId="39" fillId="10" borderId="0" xfId="0" applyNumberFormat="1" applyFont="1" applyFill="1" applyAlignment="1">
      <alignment horizontal="right"/>
    </xf>
    <xf numFmtId="39" fontId="54" fillId="0" borderId="0" xfId="57" applyNumberFormat="1" applyFont="1"/>
    <xf numFmtId="232" fontId="75" fillId="0" borderId="66" xfId="61" applyNumberFormat="1" applyFont="1" applyBorder="1" applyAlignment="1">
      <alignment horizontal="center" vertical="center"/>
    </xf>
    <xf numFmtId="168" fontId="12" fillId="0" borderId="0" xfId="69" applyNumberFormat="1" applyFont="1" applyAlignment="1">
      <alignment horizontal="left"/>
    </xf>
    <xf numFmtId="168" fontId="12" fillId="5" borderId="0" xfId="69" applyNumberFormat="1" applyFont="1" applyFill="1" applyAlignment="1">
      <alignment horizontal="center"/>
    </xf>
    <xf numFmtId="171" fontId="38" fillId="0" borderId="66" xfId="10" applyNumberFormat="1" applyFont="1" applyFill="1" applyBorder="1"/>
    <xf numFmtId="37" fontId="12" fillId="10" borderId="0" xfId="10" applyFont="1" applyFill="1" applyBorder="1" applyAlignment="1" applyProtection="1">
      <alignment horizontal="right" vertical="center"/>
    </xf>
    <xf numFmtId="168" fontId="57" fillId="0" borderId="0" xfId="69" applyNumberFormat="1" applyFont="1" applyBorder="1" applyAlignment="1">
      <alignment horizontal="right"/>
    </xf>
    <xf numFmtId="37" fontId="45" fillId="9" borderId="0" xfId="10" applyFont="1" applyFill="1" applyBorder="1"/>
    <xf numFmtId="167" fontId="12" fillId="0" borderId="0" xfId="65" applyNumberFormat="1" applyFont="1"/>
    <xf numFmtId="14" fontId="50" fillId="0" borderId="0" xfId="0" applyNumberFormat="1" applyFont="1"/>
    <xf numFmtId="37" fontId="45" fillId="9" borderId="0" xfId="0" applyNumberFormat="1" applyFont="1" applyFill="1" applyAlignment="1">
      <alignment horizontal="right"/>
    </xf>
    <xf numFmtId="171" fontId="125" fillId="0" borderId="0" xfId="10" applyNumberFormat="1" applyFont="1"/>
    <xf numFmtId="168" fontId="57" fillId="10" borderId="0" xfId="57" applyNumberFormat="1" applyFont="1" applyFill="1"/>
    <xf numFmtId="172" fontId="52" fillId="0" borderId="0" xfId="70" applyNumberFormat="1" applyFont="1" applyFill="1" applyBorder="1" applyAlignment="1">
      <alignment horizontal="right"/>
    </xf>
    <xf numFmtId="37" fontId="54" fillId="0" borderId="6" xfId="69" applyNumberFormat="1" applyFont="1" applyFill="1" applyBorder="1" applyAlignment="1">
      <alignment vertical="center"/>
    </xf>
    <xf numFmtId="37" fontId="103" fillId="0" borderId="0" xfId="10" applyFont="1" applyFill="1"/>
    <xf numFmtId="37" fontId="67" fillId="5" borderId="0" xfId="10" applyFont="1" applyFill="1"/>
    <xf numFmtId="169" fontId="129" fillId="10" borderId="0" xfId="57" applyNumberFormat="1" applyFont="1" applyFill="1"/>
    <xf numFmtId="10" fontId="42" fillId="0" borderId="0" xfId="0" applyNumberFormat="1" applyFont="1"/>
    <xf numFmtId="9" fontId="2" fillId="0" borderId="0" xfId="81" applyFont="1" applyFill="1"/>
    <xf numFmtId="9" fontId="2" fillId="0" borderId="0" xfId="69" applyFont="1" applyFill="1"/>
    <xf numFmtId="9" fontId="2" fillId="0" borderId="0" xfId="0" applyNumberFormat="1" applyFont="1"/>
    <xf numFmtId="37" fontId="116" fillId="0" borderId="0" xfId="0" applyNumberFormat="1" applyFont="1"/>
    <xf numFmtId="0" fontId="75" fillId="8" borderId="0" xfId="0" applyFont="1" applyFill="1"/>
    <xf numFmtId="0" fontId="75" fillId="8" borderId="0" xfId="0" applyFont="1" applyFill="1" applyAlignment="1">
      <alignment horizontal="center"/>
    </xf>
    <xf numFmtId="3" fontId="103" fillId="0" borderId="0" xfId="0" applyNumberFormat="1" applyFont="1"/>
    <xf numFmtId="10" fontId="103" fillId="0" borderId="0" xfId="0" applyNumberFormat="1" applyFont="1"/>
    <xf numFmtId="0" fontId="103" fillId="0" borderId="0" xfId="0" applyFont="1"/>
    <xf numFmtId="165" fontId="2" fillId="0" borderId="0" xfId="0" applyNumberFormat="1" applyFont="1"/>
    <xf numFmtId="0" fontId="134" fillId="8" borderId="0" xfId="0" applyFont="1" applyFill="1" applyAlignment="1">
      <alignment wrapText="1"/>
    </xf>
    <xf numFmtId="0" fontId="75" fillId="8" borderId="0" xfId="0" applyFont="1" applyFill="1" applyAlignment="1">
      <alignment horizontal="left"/>
    </xf>
    <xf numFmtId="232" fontId="12" fillId="0" borderId="0" xfId="10" applyNumberFormat="1" applyFont="1" applyFill="1" applyBorder="1" applyAlignment="1">
      <alignment vertical="center"/>
    </xf>
    <xf numFmtId="232" fontId="67" fillId="0" borderId="0" xfId="10" applyNumberFormat="1" applyFont="1" applyFill="1" applyBorder="1" applyAlignment="1">
      <alignment vertical="center"/>
    </xf>
    <xf numFmtId="0" fontId="105" fillId="9" borderId="0" xfId="63" applyFont="1" applyFill="1"/>
    <xf numFmtId="10" fontId="54" fillId="0" borderId="39" xfId="57" applyNumberFormat="1" applyFont="1" applyBorder="1"/>
    <xf numFmtId="0" fontId="56" fillId="21" borderId="63" xfId="66" applyFont="1" applyFill="1" applyBorder="1"/>
    <xf numFmtId="0" fontId="56" fillId="21" borderId="33" xfId="66" applyFont="1" applyFill="1" applyBorder="1"/>
    <xf numFmtId="0" fontId="56" fillId="21" borderId="65" xfId="66" applyFont="1" applyFill="1" applyBorder="1"/>
    <xf numFmtId="168" fontId="99" fillId="0" borderId="0" xfId="57" applyNumberFormat="1" applyFont="1"/>
    <xf numFmtId="232" fontId="12" fillId="0" borderId="0" xfId="10" applyNumberFormat="1" applyFont="1" applyFill="1" applyBorder="1" applyAlignment="1">
      <alignment horizontal="right"/>
    </xf>
    <xf numFmtId="39" fontId="71" fillId="7" borderId="0" xfId="0" applyNumberFormat="1" applyFont="1" applyFill="1" applyAlignment="1">
      <alignment horizontal="right"/>
    </xf>
    <xf numFmtId="37" fontId="61" fillId="0" borderId="0" xfId="57" applyNumberFormat="1" applyFont="1"/>
    <xf numFmtId="39" fontId="103" fillId="0" borderId="0" xfId="0" applyNumberFormat="1" applyFont="1" applyAlignment="1">
      <alignment horizontal="right"/>
    </xf>
    <xf numFmtId="49" fontId="137" fillId="0" borderId="0" xfId="0" applyNumberFormat="1" applyFont="1"/>
    <xf numFmtId="0" fontId="0" fillId="22" borderId="0" xfId="0" applyFill="1" applyAlignment="1">
      <alignment horizontal="left" vertical="top"/>
    </xf>
    <xf numFmtId="0" fontId="0" fillId="22" borderId="0" xfId="0" applyFill="1" applyAlignment="1">
      <alignment vertical="top"/>
    </xf>
    <xf numFmtId="0" fontId="0" fillId="22" borderId="0" xfId="0" applyFill="1"/>
    <xf numFmtId="49" fontId="137" fillId="22" borderId="0" xfId="0" applyNumberFormat="1" applyFont="1" applyFill="1" applyAlignment="1">
      <alignment vertical="top"/>
    </xf>
    <xf numFmtId="49" fontId="138" fillId="22" borderId="0" xfId="0" applyNumberFormat="1" applyFont="1" applyFill="1" applyAlignment="1">
      <alignment vertical="top"/>
    </xf>
    <xf numFmtId="0" fontId="137" fillId="22" borderId="0" xfId="0" applyFont="1" applyFill="1" applyAlignment="1">
      <alignment vertical="top"/>
    </xf>
    <xf numFmtId="0" fontId="139" fillId="22" borderId="0" xfId="0" applyFont="1" applyFill="1" applyAlignment="1">
      <alignment vertical="top"/>
    </xf>
    <xf numFmtId="0" fontId="137" fillId="22" borderId="84" xfId="0" applyFont="1" applyFill="1" applyBorder="1" applyAlignment="1">
      <alignment vertical="top"/>
    </xf>
    <xf numFmtId="9" fontId="137" fillId="22" borderId="84" xfId="0" applyNumberFormat="1" applyFont="1" applyFill="1" applyBorder="1" applyAlignment="1">
      <alignment vertical="top"/>
    </xf>
    <xf numFmtId="3" fontId="137" fillId="22" borderId="84" xfId="0" applyNumberFormat="1" applyFont="1" applyFill="1" applyBorder="1" applyAlignment="1">
      <alignment vertical="top"/>
    </xf>
    <xf numFmtId="0" fontId="10" fillId="22" borderId="0" xfId="0" applyFont="1" applyFill="1"/>
    <xf numFmtId="2" fontId="137" fillId="0" borderId="0" xfId="0" applyNumberFormat="1" applyFont="1"/>
    <xf numFmtId="0" fontId="0" fillId="22" borderId="89" xfId="0" applyFill="1" applyBorder="1" applyAlignment="1">
      <alignment vertical="top"/>
    </xf>
    <xf numFmtId="0" fontId="137" fillId="22" borderId="0" xfId="0" applyFont="1" applyFill="1" applyAlignment="1">
      <alignment vertical="top"/>
    </xf>
    <xf numFmtId="0" fontId="137" fillId="22" borderId="85" xfId="0" applyFont="1" applyFill="1" applyBorder="1" applyAlignment="1">
      <alignment vertical="top"/>
    </xf>
    <xf numFmtId="0" fontId="137" fillId="22" borderId="86" xfId="0" applyFont="1" applyFill="1" applyBorder="1" applyAlignment="1">
      <alignment vertical="top"/>
    </xf>
    <xf numFmtId="0" fontId="137" fillId="22" borderId="87" xfId="0" applyFont="1" applyFill="1" applyBorder="1" applyAlignment="1">
      <alignment vertical="top"/>
    </xf>
    <xf numFmtId="0" fontId="0" fillId="22" borderId="88" xfId="0" applyFill="1" applyBorder="1" applyAlignment="1">
      <alignment vertical="top"/>
    </xf>
    <xf numFmtId="0" fontId="139" fillId="22" borderId="0" xfId="0" applyFont="1" applyFill="1" applyAlignment="1">
      <alignment vertical="top"/>
    </xf>
    <xf numFmtId="0" fontId="0" fillId="22" borderId="0" xfId="0" applyFill="1" applyAlignment="1">
      <alignment vertical="top"/>
    </xf>
    <xf numFmtId="0" fontId="36" fillId="0" borderId="0" xfId="0" applyFont="1" applyAlignment="1">
      <alignment horizontal="center"/>
    </xf>
    <xf numFmtId="0" fontId="56" fillId="9" borderId="0" xfId="0" applyFont="1" applyFill="1" applyAlignment="1">
      <alignment horizontal="right"/>
    </xf>
    <xf numFmtId="0" fontId="38" fillId="0" borderId="0" xfId="0" applyFont="1" applyAlignment="1">
      <alignment horizontal="center"/>
    </xf>
    <xf numFmtId="0" fontId="58" fillId="9" borderId="36" xfId="66" applyFont="1" applyFill="1" applyBorder="1" applyAlignment="1">
      <alignment horizontal="center" vertical="center" textRotation="90"/>
    </xf>
    <xf numFmtId="0" fontId="58" fillId="9" borderId="37" xfId="66" applyFont="1" applyFill="1" applyBorder="1" applyAlignment="1">
      <alignment horizontal="center" vertical="center" textRotation="90"/>
    </xf>
    <xf numFmtId="0" fontId="58" fillId="9" borderId="35" xfId="66" applyFont="1" applyFill="1" applyBorder="1" applyAlignment="1">
      <alignment horizontal="center" vertical="center" textRotation="90"/>
    </xf>
    <xf numFmtId="0" fontId="58" fillId="9" borderId="26" xfId="66" applyFont="1" applyFill="1" applyBorder="1" applyAlignment="1">
      <alignment horizontal="center" vertical="center" textRotation="90"/>
    </xf>
    <xf numFmtId="0" fontId="58" fillId="9" borderId="27" xfId="66" applyFont="1" applyFill="1" applyBorder="1" applyAlignment="1">
      <alignment horizontal="center" vertical="center" textRotation="90"/>
    </xf>
    <xf numFmtId="0" fontId="58" fillId="9" borderId="28" xfId="66" applyFont="1" applyFill="1" applyBorder="1" applyAlignment="1">
      <alignment horizontal="center" vertical="center" textRotation="90"/>
    </xf>
    <xf numFmtId="0" fontId="58" fillId="9" borderId="29" xfId="66" applyFont="1" applyFill="1" applyBorder="1" applyAlignment="1">
      <alignment horizontal="center" vertical="center" textRotation="90"/>
    </xf>
    <xf numFmtId="0" fontId="58" fillId="9" borderId="30" xfId="66" applyFont="1" applyFill="1" applyBorder="1" applyAlignment="1">
      <alignment horizontal="center" vertical="center" textRotation="90"/>
    </xf>
    <xf numFmtId="0" fontId="58" fillId="9" borderId="68" xfId="66" applyFont="1" applyFill="1" applyBorder="1" applyAlignment="1">
      <alignment horizontal="center" vertical="center" textRotation="90"/>
    </xf>
    <xf numFmtId="0" fontId="58" fillId="9" borderId="0" xfId="66" applyFont="1" applyFill="1" applyAlignment="1">
      <alignment horizontal="center" vertical="center" textRotation="90"/>
    </xf>
    <xf numFmtId="0" fontId="58" fillId="9" borderId="62" xfId="66" applyFont="1" applyFill="1" applyBorder="1" applyAlignment="1">
      <alignment horizontal="center" vertical="center" textRotation="90"/>
    </xf>
    <xf numFmtId="0" fontId="58" fillId="9" borderId="31" xfId="66" applyFont="1" applyFill="1" applyBorder="1" applyAlignment="1">
      <alignment horizontal="center" vertical="center" textRotation="90"/>
    </xf>
    <xf numFmtId="0" fontId="33" fillId="9" borderId="0" xfId="0" applyFont="1" applyFill="1" applyAlignment="1">
      <alignment horizontal="left"/>
    </xf>
    <xf numFmtId="187" fontId="29" fillId="0" borderId="38" xfId="57" applyNumberFormat="1" applyFont="1" applyBorder="1" applyAlignment="1">
      <alignment horizontal="right"/>
    </xf>
    <xf numFmtId="0" fontId="45" fillId="12" borderId="0" xfId="0" applyFont="1" applyFill="1" applyAlignment="1">
      <alignment horizontal="center"/>
    </xf>
    <xf numFmtId="0" fontId="12" fillId="23" borderId="0" xfId="57" applyFont="1" applyFill="1" applyAlignment="1">
      <alignment horizontal="left" indent="2"/>
    </xf>
    <xf numFmtId="37" fontId="55" fillId="23" borderId="0" xfId="10" applyFont="1" applyFill="1"/>
    <xf numFmtId="37" fontId="12" fillId="23" borderId="0" xfId="10" applyFont="1" applyFill="1"/>
    <xf numFmtId="37" fontId="12" fillId="23" borderId="0" xfId="10" applyFont="1" applyFill="1" applyBorder="1"/>
    <xf numFmtId="37" fontId="12" fillId="23" borderId="66" xfId="10" applyFont="1" applyFill="1" applyBorder="1"/>
    <xf numFmtId="37" fontId="54" fillId="23" borderId="0" xfId="10" applyFont="1" applyFill="1"/>
    <xf numFmtId="0" fontId="12" fillId="23" borderId="0" xfId="0" applyFont="1" applyFill="1"/>
    <xf numFmtId="0" fontId="115" fillId="23" borderId="0" xfId="57" applyFont="1" applyFill="1" applyAlignment="1">
      <alignment horizontal="left" indent="2"/>
    </xf>
    <xf numFmtId="172" fontId="140" fillId="23" borderId="0" xfId="38" applyNumberFormat="1" applyFont="1" applyFill="1"/>
    <xf numFmtId="37" fontId="115" fillId="23" borderId="0" xfId="10" applyFont="1" applyFill="1" applyBorder="1"/>
    <xf numFmtId="37" fontId="115" fillId="23" borderId="66" xfId="10" applyFont="1" applyFill="1" applyBorder="1"/>
    <xf numFmtId="0" fontId="115" fillId="23" borderId="0" xfId="0" applyFont="1" applyFill="1"/>
    <xf numFmtId="0" fontId="45" fillId="23" borderId="0" xfId="63" applyFont="1" applyFill="1"/>
    <xf numFmtId="0" fontId="44" fillId="23" borderId="0" xfId="63" applyFont="1" applyFill="1"/>
    <xf numFmtId="17" fontId="45" fillId="23" borderId="0" xfId="61" applyNumberFormat="1" applyFont="1" applyFill="1" applyAlignment="1">
      <alignment horizontal="center" vertical="center"/>
    </xf>
    <xf numFmtId="0" fontId="38" fillId="23" borderId="0" xfId="0" applyFont="1" applyFill="1" applyAlignment="1">
      <alignment horizontal="center"/>
    </xf>
    <xf numFmtId="0" fontId="12" fillId="23" borderId="0" xfId="60" applyFont="1" applyFill="1"/>
    <xf numFmtId="37" fontId="75" fillId="23" borderId="0" xfId="10" applyFont="1" applyFill="1" applyAlignment="1">
      <alignment vertical="center"/>
    </xf>
    <xf numFmtId="37" fontId="55" fillId="23" borderId="0" xfId="10" applyFont="1" applyFill="1" applyAlignment="1">
      <alignment vertical="center"/>
    </xf>
    <xf numFmtId="168" fontId="39" fillId="23" borderId="0" xfId="69" applyNumberFormat="1" applyFont="1" applyFill="1" applyAlignment="1"/>
    <xf numFmtId="37" fontId="12" fillId="23" borderId="0" xfId="10" applyFont="1" applyFill="1" applyAlignment="1"/>
    <xf numFmtId="171" fontId="55" fillId="23" borderId="0" xfId="10" applyNumberFormat="1" applyFont="1" applyFill="1" applyAlignment="1">
      <alignment vertical="center"/>
    </xf>
    <xf numFmtId="39" fontId="55" fillId="23" borderId="0" xfId="10" applyNumberFormat="1" applyFont="1" applyFill="1" applyAlignment="1">
      <alignment vertical="center"/>
    </xf>
    <xf numFmtId="37" fontId="38" fillId="23" borderId="0" xfId="60" applyNumberFormat="1" applyFont="1" applyFill="1"/>
    <xf numFmtId="171" fontId="12" fillId="23" borderId="0" xfId="60" applyNumberFormat="1" applyFont="1" applyFill="1"/>
    <xf numFmtId="168" fontId="39" fillId="23" borderId="0" xfId="69" applyNumberFormat="1" applyFont="1" applyFill="1" applyAlignment="1">
      <alignment horizontal="right"/>
    </xf>
    <xf numFmtId="37" fontId="38" fillId="23" borderId="0" xfId="10" applyFont="1" applyFill="1" applyAlignment="1"/>
    <xf numFmtId="172" fontId="39" fillId="23" borderId="0" xfId="69" applyNumberFormat="1" applyFont="1" applyFill="1" applyBorder="1"/>
    <xf numFmtId="37" fontId="12" fillId="23" borderId="0" xfId="10" applyFont="1" applyFill="1" applyAlignment="1">
      <alignment horizontal="right"/>
    </xf>
    <xf numFmtId="168" fontId="46" fillId="23" borderId="0" xfId="69" applyNumberFormat="1" applyFont="1" applyFill="1" applyAlignment="1">
      <alignment horizontal="right"/>
    </xf>
    <xf numFmtId="37" fontId="38" fillId="23" borderId="0" xfId="65" applyNumberFormat="1" applyFont="1" applyFill="1"/>
    <xf numFmtId="168" fontId="39" fillId="23" borderId="0" xfId="69" applyNumberFormat="1" applyFont="1" applyFill="1"/>
    <xf numFmtId="221" fontId="39" fillId="23" borderId="0" xfId="69" applyNumberFormat="1" applyFont="1" applyFill="1"/>
    <xf numFmtId="171" fontId="55" fillId="23" borderId="0" xfId="10" applyNumberFormat="1" applyFont="1" applyFill="1" applyAlignment="1">
      <alignment horizontal="right" vertical="center"/>
    </xf>
    <xf numFmtId="39" fontId="39" fillId="23" borderId="0" xfId="10" applyNumberFormat="1" applyFont="1" applyFill="1" applyBorder="1" applyAlignment="1"/>
    <xf numFmtId="172" fontId="39" fillId="23" borderId="0" xfId="69" applyNumberFormat="1" applyFont="1" applyFill="1" applyBorder="1" applyAlignment="1">
      <alignment horizontal="right"/>
    </xf>
    <xf numFmtId="171" fontId="12" fillId="23" borderId="0" xfId="60" applyNumberFormat="1" applyFont="1" applyFill="1" applyAlignment="1">
      <alignment horizontal="right"/>
    </xf>
    <xf numFmtId="39" fontId="12" fillId="23" borderId="0" xfId="60" applyNumberFormat="1" applyFont="1" applyFill="1" applyAlignment="1">
      <alignment horizontal="right"/>
    </xf>
    <xf numFmtId="0" fontId="12" fillId="23" borderId="0" xfId="60" applyFont="1" applyFill="1" applyAlignment="1">
      <alignment horizontal="right"/>
    </xf>
    <xf numFmtId="37" fontId="38" fillId="23" borderId="0" xfId="10" applyFont="1" applyFill="1" applyAlignment="1">
      <alignment horizontal="right"/>
    </xf>
    <xf numFmtId="168" fontId="38" fillId="23" borderId="0" xfId="69" applyNumberFormat="1" applyFont="1" applyFill="1" applyAlignment="1">
      <alignment horizontal="right"/>
    </xf>
    <xf numFmtId="37" fontId="38" fillId="23" borderId="0" xfId="60" applyNumberFormat="1" applyFont="1" applyFill="1" applyAlignment="1">
      <alignment horizontal="right"/>
    </xf>
    <xf numFmtId="172" fontId="60" fillId="23" borderId="0" xfId="69" applyNumberFormat="1" applyFont="1" applyFill="1" applyBorder="1" applyAlignment="1">
      <alignment horizontal="right"/>
    </xf>
    <xf numFmtId="37" fontId="72" fillId="23" borderId="0" xfId="10" applyFont="1" applyFill="1"/>
    <xf numFmtId="37" fontId="12" fillId="23" borderId="0" xfId="65" applyNumberFormat="1" applyFont="1" applyFill="1"/>
    <xf numFmtId="37" fontId="12" fillId="23" borderId="0" xfId="60" applyNumberFormat="1" applyFont="1" applyFill="1" applyAlignment="1">
      <alignment horizontal="right"/>
    </xf>
    <xf numFmtId="9" fontId="12" fillId="23" borderId="0" xfId="69" applyFont="1" applyFill="1" applyAlignment="1">
      <alignment horizontal="right"/>
    </xf>
    <xf numFmtId="168" fontId="39" fillId="23" borderId="0" xfId="69" applyNumberFormat="1" applyFont="1" applyFill="1" applyAlignment="1">
      <alignment horizontal="right" indent="1"/>
    </xf>
    <xf numFmtId="9" fontId="38" fillId="23" borderId="0" xfId="69" applyFont="1" applyFill="1" applyAlignment="1">
      <alignment horizontal="right"/>
    </xf>
    <xf numFmtId="168" fontId="12" fillId="23" borderId="0" xfId="69" applyNumberFormat="1" applyFont="1" applyFill="1" applyAlignment="1">
      <alignment horizontal="right"/>
    </xf>
    <xf numFmtId="9" fontId="12" fillId="23" borderId="0" xfId="69" applyFont="1" applyFill="1"/>
    <xf numFmtId="170" fontId="38" fillId="23" borderId="0" xfId="10" applyNumberFormat="1" applyFont="1" applyFill="1" applyBorder="1"/>
    <xf numFmtId="172" fontId="46" fillId="23" borderId="0" xfId="69" applyNumberFormat="1" applyFont="1" applyFill="1" applyBorder="1"/>
    <xf numFmtId="37" fontId="38" fillId="23" borderId="0" xfId="10" applyFont="1" applyFill="1" applyAlignment="1">
      <alignment vertical="center"/>
    </xf>
    <xf numFmtId="172" fontId="39" fillId="23" borderId="0" xfId="38" applyNumberFormat="1" applyFont="1" applyFill="1" applyAlignment="1">
      <alignment horizontal="right"/>
    </xf>
    <xf numFmtId="37" fontId="12" fillId="23" borderId="0" xfId="65" applyNumberFormat="1" applyFont="1" applyFill="1" applyAlignment="1">
      <alignment horizontal="right"/>
    </xf>
    <xf numFmtId="37" fontId="115" fillId="23" borderId="0" xfId="57" applyNumberFormat="1" applyFont="1" applyFill="1"/>
    <xf numFmtId="9" fontId="115" fillId="23" borderId="0" xfId="69" applyFont="1" applyFill="1" applyBorder="1"/>
    <xf numFmtId="168" fontId="116" fillId="23" borderId="0" xfId="69" applyNumberFormat="1" applyFont="1" applyFill="1" applyBorder="1"/>
    <xf numFmtId="37" fontId="12" fillId="23" borderId="0" xfId="10" applyFont="1" applyFill="1" applyBorder="1" applyAlignment="1">
      <alignment vertical="center"/>
    </xf>
    <xf numFmtId="172" fontId="39" fillId="23" borderId="0" xfId="38" applyNumberFormat="1" applyFont="1" applyFill="1"/>
    <xf numFmtId="37" fontId="116" fillId="23" borderId="0" xfId="57" applyNumberFormat="1" applyFont="1" applyFill="1"/>
    <xf numFmtId="172" fontId="39" fillId="23" borderId="0" xfId="38" applyNumberFormat="1" applyFont="1" applyFill="1" applyBorder="1"/>
    <xf numFmtId="37" fontId="12" fillId="23" borderId="0" xfId="0" applyNumberFormat="1" applyFont="1" applyFill="1"/>
    <xf numFmtId="172" fontId="39" fillId="23" borderId="0" xfId="0" applyNumberFormat="1" applyFont="1" applyFill="1"/>
    <xf numFmtId="0" fontId="12" fillId="23" borderId="39" xfId="57" applyFont="1" applyFill="1" applyBorder="1"/>
    <xf numFmtId="0" fontId="39" fillId="23" borderId="0" xfId="57" applyFont="1" applyFill="1"/>
    <xf numFmtId="0" fontId="0" fillId="23" borderId="0" xfId="0" applyFill="1"/>
    <xf numFmtId="0" fontId="38" fillId="23" borderId="0" xfId="0" applyFont="1" applyFill="1"/>
    <xf numFmtId="37" fontId="61" fillId="23" borderId="0" xfId="0" applyNumberFormat="1" applyFont="1" applyFill="1"/>
    <xf numFmtId="0" fontId="12" fillId="24" borderId="0" xfId="57" applyFont="1" applyFill="1"/>
    <xf numFmtId="0" fontId="70" fillId="24" borderId="0" xfId="0" applyFont="1" applyFill="1" applyAlignment="1">
      <alignment horizontal="center"/>
    </xf>
    <xf numFmtId="37" fontId="61" fillId="24" borderId="0" xfId="0" applyNumberFormat="1" applyFont="1" applyFill="1"/>
    <xf numFmtId="37" fontId="60" fillId="24" borderId="0" xfId="0" applyNumberFormat="1" applyFont="1" applyFill="1"/>
    <xf numFmtId="37" fontId="38" fillId="24" borderId="0" xfId="0" applyNumberFormat="1" applyFont="1" applyFill="1"/>
    <xf numFmtId="37" fontId="12" fillId="24" borderId="0" xfId="0" applyNumberFormat="1" applyFont="1" applyFill="1"/>
    <xf numFmtId="197" fontId="67" fillId="24" borderId="0" xfId="0" applyNumberFormat="1" applyFont="1" applyFill="1" applyAlignment="1">
      <alignment horizontal="right"/>
    </xf>
    <xf numFmtId="171" fontId="61" fillId="24" borderId="0" xfId="0" applyNumberFormat="1" applyFont="1" applyFill="1"/>
    <xf numFmtId="171" fontId="60" fillId="24" borderId="0" xfId="0" applyNumberFormat="1" applyFont="1" applyFill="1" applyAlignment="1">
      <alignment horizontal="right"/>
    </xf>
    <xf numFmtId="0" fontId="55" fillId="24" borderId="0" xfId="0" applyFont="1" applyFill="1" applyAlignment="1">
      <alignment horizontal="center"/>
    </xf>
    <xf numFmtId="37" fontId="96" fillId="24" borderId="0" xfId="0" applyNumberFormat="1" applyFont="1" applyFill="1" applyAlignment="1">
      <alignment horizontal="right"/>
    </xf>
    <xf numFmtId="197" fontId="12" fillId="24" borderId="0" xfId="0" applyNumberFormat="1" applyFont="1" applyFill="1" applyAlignment="1">
      <alignment horizontal="right"/>
    </xf>
    <xf numFmtId="168" fontId="61" fillId="24" borderId="0" xfId="69" applyNumberFormat="1" applyFont="1" applyFill="1"/>
    <xf numFmtId="0" fontId="12" fillId="24" borderId="0" xfId="0" applyFont="1" applyFill="1"/>
    <xf numFmtId="37" fontId="54" fillId="24" borderId="0" xfId="0" applyNumberFormat="1" applyFont="1" applyFill="1" applyAlignment="1">
      <alignment horizontal="right"/>
    </xf>
    <xf numFmtId="198" fontId="67" fillId="24" borderId="0" xfId="0" applyNumberFormat="1" applyFont="1" applyFill="1" applyAlignment="1">
      <alignment horizontal="right"/>
    </xf>
    <xf numFmtId="37" fontId="12" fillId="24" borderId="0" xfId="0" applyNumberFormat="1" applyFont="1" applyFill="1" applyAlignment="1">
      <alignment horizontal="right"/>
    </xf>
    <xf numFmtId="198" fontId="12" fillId="24" borderId="0" xfId="0" applyNumberFormat="1" applyFont="1" applyFill="1" applyAlignment="1">
      <alignment horizontal="right"/>
    </xf>
    <xf numFmtId="168" fontId="60" fillId="24" borderId="0" xfId="69" applyNumberFormat="1" applyFont="1" applyFill="1" applyAlignment="1">
      <alignment horizontal="right"/>
    </xf>
    <xf numFmtId="9" fontId="12" fillId="24" borderId="0" xfId="69" applyFont="1" applyFill="1"/>
    <xf numFmtId="9" fontId="38" fillId="24" borderId="0" xfId="0" applyNumberFormat="1" applyFont="1" applyFill="1"/>
    <xf numFmtId="9" fontId="12" fillId="24" borderId="0" xfId="0" applyNumberFormat="1" applyFont="1" applyFill="1"/>
    <xf numFmtId="168" fontId="12" fillId="24" borderId="0" xfId="69" applyNumberFormat="1" applyFont="1" applyFill="1"/>
    <xf numFmtId="168" fontId="60" fillId="24" borderId="0" xfId="69" applyNumberFormat="1" applyFont="1" applyFill="1"/>
    <xf numFmtId="37" fontId="67" fillId="24" borderId="0" xfId="10" applyFont="1" applyFill="1" applyAlignment="1">
      <alignment horizontal="right"/>
    </xf>
    <xf numFmtId="0" fontId="67" fillId="24" borderId="0" xfId="0" applyFont="1" applyFill="1"/>
    <xf numFmtId="0" fontId="133" fillId="24" borderId="0" xfId="0" applyFont="1" applyFill="1"/>
    <xf numFmtId="166" fontId="73" fillId="24" borderId="0" xfId="0" applyNumberFormat="1" applyFont="1" applyFill="1"/>
    <xf numFmtId="0" fontId="12" fillId="24" borderId="39" xfId="57" applyFont="1" applyFill="1" applyBorder="1"/>
    <xf numFmtId="0" fontId="39" fillId="24" borderId="0" xfId="57" applyFont="1" applyFill="1"/>
    <xf numFmtId="0" fontId="38" fillId="24" borderId="0" xfId="0" applyFont="1" applyFill="1"/>
    <xf numFmtId="0" fontId="60" fillId="24" borderId="0" xfId="0" applyFont="1" applyFill="1"/>
  </cellXfs>
  <cellStyles count="141">
    <cellStyle name=" 1" xfId="1" xr:uid="{00000000-0005-0000-0000-000002000000}"/>
    <cellStyle name=" 1 2" xfId="83" xr:uid="{00000000-0005-0000-0000-000003000000}"/>
    <cellStyle name=" 1 3" xfId="84" xr:uid="{00000000-0005-0000-0000-000004000000}"/>
    <cellStyle name=" 1 4" xfId="85" xr:uid="{00000000-0005-0000-0000-000005000000}"/>
    <cellStyle name=" 1_13-Endividamento" xfId="86" xr:uid="{00000000-0005-0000-0000-000006000000}"/>
    <cellStyle name="%_Book2 (version 2)_Historical data - Cosan " xfId="87" xr:uid="{00000000-0005-0000-0000-00001E000000}"/>
    <cellStyle name="?? [0]_#3?? ??_??????? " xfId="2" xr:uid="{00000000-0005-0000-0000-00001F000000}"/>
    <cellStyle name="??_#3?? ??_??????? " xfId="3" xr:uid="{00000000-0005-0000-0000-000020000000}"/>
    <cellStyle name="_Cosan S.AxStandard " xfId="88" xr:uid="{00000000-0005-0000-0000-00004C000000}"/>
    <cellStyle name="_MWA RR_1-pager " xfId="118" xr:uid="{00000000-0005-0000-0000-000078000000}"/>
    <cellStyle name="_RRS1_1_1-pager " xfId="119" xr:uid="{00000000-0005-0000-0000-000079000000}"/>
    <cellStyle name="_RRS1_Valuation Anhanguera " xfId="4" xr:uid="{00000000-0005-0000-0000-00007A000000}"/>
    <cellStyle name="_RRS10_1_1-pager " xfId="120" xr:uid="{00000000-0005-0000-0000-00007D000000}"/>
    <cellStyle name="_RRS21_Valuation Anhanguera " xfId="5" xr:uid="{00000000-0005-0000-0000-00007E000000}"/>
    <cellStyle name="_SUMMARY " xfId="6" xr:uid="{00000000-0005-0000-0000-000095000000}"/>
    <cellStyle name="_SUMMARY _1-pager " xfId="121" xr:uid="{00000000-0005-0000-0000-000097000000}"/>
    <cellStyle name="0_Capex &amp; Depreciation " xfId="7" xr:uid="{00000000-0005-0000-0000-000072010000}"/>
    <cellStyle name="0_Valuing BP " xfId="8" xr:uid="{00000000-0005-0000-0000-000079010000}"/>
    <cellStyle name="1_Historical data - Cosan " xfId="89" xr:uid="{00000000-0005-0000-0000-000080010000}"/>
    <cellStyle name="Amount_EQU_RIGH.XLS_Equity market_Preferred Securities " xfId="90" xr:uid="{00000000-0005-0000-0000-0000B90D0000}"/>
    <cellStyle name="c_HardInc " xfId="9" xr:uid="{00000000-0005-0000-0000-00006F0E0000}"/>
    <cellStyle name="Comma [0] 2" xfId="91" xr:uid="{00000000-0005-0000-0000-0000EC0F0000}"/>
    <cellStyle name="Comma 2" xfId="82" xr:uid="{00000000-0005-0000-0000-0000A7100000}"/>
    <cellStyle name="Comma 2 2" xfId="92" xr:uid="{00000000-0005-0000-0000-0000B2100000}"/>
    <cellStyle name="Comma 3" xfId="11" xr:uid="{00000000-0005-0000-0000-0000D3100000}"/>
    <cellStyle name="Comma 4" xfId="137" xr:uid="{8AA2F5BE-611A-434F-902A-A2EA2761E9D0}"/>
    <cellStyle name="Comma 89" xfId="114" xr:uid="{00000000-0005-0000-0000-000069110000}"/>
    <cellStyle name="Comma 90" xfId="116" xr:uid="{00000000-0005-0000-0000-00006F110000}"/>
    <cellStyle name="Comma 91" xfId="124" xr:uid="{00000000-0005-0000-0000-000071110000}"/>
    <cellStyle name="Comma 91 2" xfId="128" xr:uid="{00000000-0005-0000-0000-000072110000}"/>
    <cellStyle name="Comma 92" xfId="134" xr:uid="{A834ECBA-29E7-450C-81CA-7CD7E59837D1}"/>
    <cellStyle name="Comma 93" xfId="139" xr:uid="{463A6407-15DF-4DB3-B07C-9DC40848F063}"/>
    <cellStyle name="Comma_DASA3" xfId="12" xr:uid="{00000000-0005-0000-0000-000075110000}"/>
    <cellStyle name="Comma_ODPV_Model (5)" xfId="13" xr:uid="{00000000-0005-0000-0000-000076110000}"/>
    <cellStyle name="Comma_RAIA3" xfId="14" xr:uid="{00000000-0005-0000-0000-000077110000}"/>
    <cellStyle name="Dollar_ Pies " xfId="93" xr:uid="{00000000-0005-0000-0000-0000CF110000}"/>
    <cellStyle name="Hipervínculo" xfId="15" builtinId="8"/>
    <cellStyle name="InLink_Acquis_CapitalCost " xfId="94" xr:uid="{00000000-0005-0000-0000-000090140000}"/>
    <cellStyle name="Input (1dp#)_ Pies " xfId="95" xr:uid="{00000000-0005-0000-0000-000091140000}"/>
    <cellStyle name="m_Macros (2)_IBM18_Margaux Final Annexe Debt 131101 " xfId="16" xr:uid="{00000000-0005-0000-0000-0000F5150000}"/>
    <cellStyle name="m_Macros (2)_Margaux Final Annexe Debt 131101 " xfId="17" xr:uid="{00000000-0005-0000-0000-0000F8150000}"/>
    <cellStyle name="m_Macros (2)_SPAD4_Margaux Final Annexe Debt 131101 " xfId="18" xr:uid="{00000000-0005-0000-0000-0000FB150000}"/>
    <cellStyle name="m_Macros (3)_Ibm21_Margaux Final Annexe Debt 131101 " xfId="19" xr:uid="{00000000-0005-0000-0000-0000FE150000}"/>
    <cellStyle name="m_Macros (3)_Margaux Final Annexe Debt 131101 " xfId="20" xr:uid="{00000000-0005-0000-0000-0000FF150000}"/>
    <cellStyle name="m_Macros (3)_perry13_Margaux Final Annexe Debt 131101 " xfId="21" xr:uid="{00000000-0005-0000-0000-000000160000}"/>
    <cellStyle name="m_Macros (3)_SPAD4_Margaux Final Annexe Debt 131101 " xfId="22" xr:uid="{00000000-0005-0000-0000-000003160000}"/>
    <cellStyle name="m_Macros (3)_ZeusCF1_Margaux Final Annexe Debt 131101 " xfId="23" xr:uid="{00000000-0005-0000-0000-000004160000}"/>
    <cellStyle name="m_Macros_IBM18_Margaux Final Annexe Debt 131101 " xfId="24" xr:uid="{00000000-0005-0000-0000-000005160000}"/>
    <cellStyle name="m_Macros_Margaux Final Annexe Debt 131101 " xfId="25" xr:uid="{00000000-0005-0000-0000-000008160000}"/>
    <cellStyle name="m_Macros_SPAD4_Margaux Final Annexe Debt 131101 " xfId="26" xr:uid="{00000000-0005-0000-0000-00000B160000}"/>
    <cellStyle name="m_Manager (2)_1_Ibm21_Margaux Final Annexe Debt 131101 " xfId="27" xr:uid="{00000000-0005-0000-0000-00000E160000}"/>
    <cellStyle name="m_Manager (2)_1_Margaux Final Annexe Debt 131101 " xfId="28" xr:uid="{00000000-0005-0000-0000-00000F160000}"/>
    <cellStyle name="m_Manager (2)_1_perry13_Margaux Final Annexe Debt 131101 " xfId="29" xr:uid="{00000000-0005-0000-0000-000010160000}"/>
    <cellStyle name="m_Manager (2)_1_SPAD4_Margaux Final Annexe Debt 131101 " xfId="30" xr:uid="{00000000-0005-0000-0000-000013160000}"/>
    <cellStyle name="m_Manager (2)_1_ZeusCF1_Margaux Final Annexe Debt 131101 " xfId="31" xr:uid="{00000000-0005-0000-0000-000014160000}"/>
    <cellStyle name="m_Manager (2)_IBM18_Margaux Final Annexe Debt 131101 " xfId="32" xr:uid="{00000000-0005-0000-0000-000015160000}"/>
    <cellStyle name="m_Manager (2)_Margaux Final Annexe Debt 131101 " xfId="33" xr:uid="{00000000-0005-0000-0000-000018160000}"/>
    <cellStyle name="m_Manager (2)_SPAD4_Margaux Final Annexe Debt 131101 " xfId="34" xr:uid="{00000000-0005-0000-0000-00001B160000}"/>
    <cellStyle name="m_Manager_Margaux Final Annexe Debt 131101 " xfId="35" xr:uid="{00000000-0005-0000-0000-00001E160000}"/>
    <cellStyle name="m_Margaux Final Annexe Debt 131101 " xfId="36" xr:uid="{00000000-0005-0000-0000-00001F160000}"/>
    <cellStyle name="Microsoft " xfId="96" xr:uid="{00000000-0005-0000-0000-00002A160000}"/>
    <cellStyle name="Millares" xfId="10" builtinId="3"/>
    <cellStyle name="MLComma0" xfId="37" xr:uid="{00000000-0005-0000-0000-00004C160000}"/>
    <cellStyle name="MLComma0 5" xfId="97" xr:uid="{00000000-0005-0000-0000-000054160000}"/>
    <cellStyle name="MLPercent0" xfId="38" xr:uid="{00000000-0005-0000-0000-000075160000}"/>
    <cellStyle name="MLPercent0 5" xfId="111" xr:uid="{00000000-0005-0000-0000-00007D160000}"/>
    <cellStyle name="n_Ibm21_Margaux Final Annexe Debt 131101 " xfId="39" xr:uid="{00000000-0005-0000-0000-0000D6160000}"/>
    <cellStyle name="n_IS (functional) and BS " xfId="40" xr:uid="{00000000-0005-0000-0000-0000D7160000}"/>
    <cellStyle name="n_IS (traditional) and BS " xfId="41" xr:uid="{00000000-0005-0000-0000-0000D8160000}"/>
    <cellStyle name="n_Macros (3)_BPPerry2_Margaux Final Annexe Debt 131101 " xfId="42" xr:uid="{00000000-0005-0000-0000-0000D9160000}"/>
    <cellStyle name="n_Macros (3)_IBM18_Margaux Final Annexe Debt 131101 " xfId="43" xr:uid="{00000000-0005-0000-0000-0000DA160000}"/>
    <cellStyle name="n_Macros (3)_SPAD4_Margaux Final Annexe Debt 131101 " xfId="44" xr:uid="{00000000-0005-0000-0000-0000DB160000}"/>
    <cellStyle name="n_Manager (2)_BPPerry2_Margaux Final Annexe Debt 131101 " xfId="45" xr:uid="{00000000-0005-0000-0000-0000DC160000}"/>
    <cellStyle name="n_Manager (2)_IBM18_Margaux Final Annexe Debt 131101 " xfId="46" xr:uid="{00000000-0005-0000-0000-0000DD160000}"/>
    <cellStyle name="n_Manager (2)_SPAD4_Margaux Final Annexe Debt 131101 " xfId="47" xr:uid="{00000000-0005-0000-0000-0000DE160000}"/>
    <cellStyle name="n_Manager_Ibm21_Margaux Final Annexe Debt 131101 " xfId="48" xr:uid="{00000000-0005-0000-0000-0000DF160000}"/>
    <cellStyle name="n_Manager_Margaux Final Annexe Debt 131101 " xfId="49" xr:uid="{00000000-0005-0000-0000-0000E0160000}"/>
    <cellStyle name="n_Manager_SPAD4_Margaux Final Annexe Debt 131101 " xfId="50" xr:uid="{00000000-0005-0000-0000-0000E1160000}"/>
    <cellStyle name="n_Manager_ZeusCF1_Margaux Final Annexe Debt 131101 " xfId="51" xr:uid="{00000000-0005-0000-0000-0000E2160000}"/>
    <cellStyle name="n_Margaux Final Annexe Debt 131101 " xfId="52" xr:uid="{00000000-0005-0000-0000-0000E3160000}"/>
    <cellStyle name="n_page 1_IS (functional) and BS " xfId="53" xr:uid="{00000000-0005-0000-0000-0000E4160000}"/>
    <cellStyle name="n_perry13_Margaux Final Annexe Debt 131101 " xfId="54" xr:uid="{00000000-0005-0000-0000-0000E5160000}"/>
    <cellStyle name="n_SPAD4_Margaux Final Annexe Debt 131101 " xfId="55" xr:uid="{00000000-0005-0000-0000-0000E8160000}"/>
    <cellStyle name="n_ZeusCF1_Margaux Final Annexe Debt 131101 " xfId="56" xr:uid="{00000000-0005-0000-0000-0000E9160000}"/>
    <cellStyle name="neg0.0_CapitalCost " xfId="98" xr:uid="{00000000-0005-0000-0000-0000EA160000}"/>
    <cellStyle name="Normal" xfId="0" builtinId="0"/>
    <cellStyle name="Normal - Style1" xfId="80" xr:uid="{00000000-0005-0000-0000-000082170000}"/>
    <cellStyle name="Normal 2" xfId="79" xr:uid="{00000000-0005-0000-0000-0000B4180000}"/>
    <cellStyle name="Normal 3" xfId="57" xr:uid="{00000000-0005-0000-0000-0000A3190000}"/>
    <cellStyle name="Normal 3 13" xfId="99" xr:uid="{00000000-0005-0000-0000-0000AB190000}"/>
    <cellStyle name="Normal 4" xfId="136" xr:uid="{42963CAA-C903-4B80-8982-D887B58F34ED}"/>
    <cellStyle name="Normal 5" xfId="138" xr:uid="{40184E44-FC95-436D-B104-9BEC72FAE342}"/>
    <cellStyle name="Normal 75" xfId="112" xr:uid="{00000000-0005-0000-0000-0000811B0000}"/>
    <cellStyle name="Normal 76" xfId="115" xr:uid="{00000000-0005-0000-0000-0000831B0000}"/>
    <cellStyle name="Normal 76 2" xfId="130" xr:uid="{00000000-0005-0000-0000-0000841B0000}"/>
    <cellStyle name="Normal 77" xfId="123" xr:uid="{00000000-0005-0000-0000-0000851B0000}"/>
    <cellStyle name="Normal 77 2" xfId="126" xr:uid="{00000000-0005-0000-0000-0000861B0000}"/>
    <cellStyle name="Normal 79" xfId="131" xr:uid="{00000000-0005-0000-0000-00008A1B0000}"/>
    <cellStyle name="Normal 80" xfId="133" xr:uid="{CED95B20-DB62-4145-BDA8-D5F324EF9932}"/>
    <cellStyle name="Normal_Basilea" xfId="58" xr:uid="{00000000-0005-0000-0000-0000B71B0000}"/>
    <cellStyle name="Normal_Debt" xfId="59" xr:uid="{00000000-0005-0000-0000-0000B81B0000}"/>
    <cellStyle name="Normal_LAEP Valuation2 (2)" xfId="60" xr:uid="{00000000-0005-0000-0000-0000B91B0000}"/>
    <cellStyle name="Normal_NEW MODEL v2b" xfId="61" xr:uid="{00000000-0005-0000-0000-0000BA1B0000}"/>
    <cellStyle name="Normal_ODPV_Model (5)" xfId="62" xr:uid="{00000000-0005-0000-0000-0000BB1B0000}"/>
    <cellStyle name="Normal_RAIA3" xfId="63" xr:uid="{00000000-0005-0000-0000-0000BC1B0000}"/>
    <cellStyle name="Normal_Relatório 2006 como base para 2007_2008-0055" xfId="64" xr:uid="{00000000-0005-0000-0000-0000BD1B0000}"/>
    <cellStyle name="Normal_sheet" xfId="65" xr:uid="{00000000-0005-0000-0000-0000BE1B0000}"/>
    <cellStyle name="Normal_sheet_Book3" xfId="66" xr:uid="{00000000-0005-0000-0000-0000BF1B0000}"/>
    <cellStyle name="Normal_Summary" xfId="67" xr:uid="{00000000-0005-0000-0000-0000C01B0000}"/>
    <cellStyle name="Output (1dp#)_ Pies " xfId="100" xr:uid="{00000000-0005-0000-0000-0000BC1C0000}"/>
    <cellStyle name="Output (1dpx)_ Pies " xfId="101" xr:uid="{00000000-0005-0000-0000-0000BD1C0000}"/>
    <cellStyle name="p " xfId="68" xr:uid="{00000000-0005-0000-0000-0000F31C0000}"/>
    <cellStyle name="Percent 2" xfId="70" xr:uid="{00000000-0005-0000-0000-0000DE1D0000}"/>
    <cellStyle name="Percent 2 2" xfId="81" xr:uid="{00000000-0005-0000-0000-0000FD1D0000}"/>
    <cellStyle name="Percent 30" xfId="113" xr:uid="{00000000-0005-0000-0000-0000741E0000}"/>
    <cellStyle name="Percent 31" xfId="117" xr:uid="{00000000-0005-0000-0000-0000761E0000}"/>
    <cellStyle name="Percent 32" xfId="125" xr:uid="{00000000-0005-0000-0000-0000781E0000}"/>
    <cellStyle name="Percent 32 2" xfId="129" xr:uid="{00000000-0005-0000-0000-0000791E0000}"/>
    <cellStyle name="Percent 33" xfId="127" xr:uid="{00000000-0005-0000-0000-00007C1E0000}"/>
    <cellStyle name="Percent 35" xfId="132" xr:uid="{00000000-0005-0000-0000-00007F1E0000}"/>
    <cellStyle name="Percent 36" xfId="135" xr:uid="{4BA6BF94-395E-4AA0-9F5D-174BE667751F}"/>
    <cellStyle name="Percent 38" xfId="140" xr:uid="{84E7CDC0-4E3A-4366-A1B6-8FC7FB708E9C}"/>
    <cellStyle name="PercentChange_ Pies " xfId="102" xr:uid="{00000000-0005-0000-0000-00009E1E0000}"/>
    <cellStyle name="Porcentaje" xfId="69" builtinId="5"/>
    <cellStyle name="RatioX_ Pies " xfId="103" xr:uid="{00000000-0005-0000-0000-00003F1F0000}"/>
    <cellStyle name="s_HardInc " xfId="71" xr:uid="{00000000-0005-0000-0000-00004C1F0000}"/>
    <cellStyle name="s_Valuation " xfId="72" xr:uid="{00000000-0005-0000-0000-0000531F0000}"/>
    <cellStyle name="s_Valuation _DB Dados do Mercado_Sistema Cosan V2_Fortis  Sugar #11 +10% " xfId="104" xr:uid="{00000000-0005-0000-0000-0000BD3F0000}"/>
    <cellStyle name="s_Valuation _DB Dados do Mercado_Sistema Cosan V2_Natixis Sugar #11 +10% " xfId="105" xr:uid="{00000000-0005-0000-0000-000009400000}"/>
    <cellStyle name="s_Valuation _NDF_Ajustes " xfId="106" xr:uid="{00000000-0005-0000-0000-000008450000}"/>
    <cellStyle name="s_Valuation _Sheet1_Ajustes " xfId="107" xr:uid="{00000000-0005-0000-0000-0000A6480000}"/>
    <cellStyle name="s_Valuation _Sheet3_Ajustes " xfId="108" xr:uid="{00000000-0005-0000-0000-0000DB490000}"/>
    <cellStyle name="ScripFactor_ Pies " xfId="109" xr:uid="{00000000-0005-0000-0000-000024500000}"/>
    <cellStyle name="Separador de milhares 2" xfId="73" xr:uid="{00000000-0005-0000-0000-000074500000}"/>
    <cellStyle name="ssp " xfId="74" xr:uid="{00000000-0005-0000-0000-000098510000}"/>
    <cellStyle name="Titles_Amil model" xfId="75" xr:uid="{00000000-0005-0000-0000-0000A0530000}"/>
    <cellStyle name="US CHECK " xfId="76" xr:uid="{00000000-0005-0000-0000-0000B6550000}"/>
    <cellStyle name="YearE_ Pies " xfId="110" xr:uid="{00000000-0005-0000-0000-000036560000}"/>
    <cellStyle name="콤마 [0]_#3이설 견적_준공내역총괄표 " xfId="77" xr:uid="{00000000-0005-0000-0000-000037560000}"/>
    <cellStyle name="콤마_#3이설 견적_준공내역총괄표 " xfId="78" xr:uid="{00000000-0005-0000-0000-000038560000}"/>
    <cellStyle name="표준_0N-HANDLING " xfId="122" xr:uid="{00000000-0005-0000-0000-000039560000}"/>
  </cellStyles>
  <dxfs count="14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ndense val="0"/>
        <extend val="0"/>
        <color indexed="8"/>
      </font>
      <fill>
        <patternFill>
          <bgColor theme="3" tint="0.79998168889431442"/>
        </patternFill>
      </fill>
    </dxf>
    <dxf>
      <font>
        <condense val="0"/>
        <extend val="0"/>
        <color indexed="8"/>
      </font>
      <fill>
        <patternFill>
          <bgColor theme="3" tint="0.79998168889431442"/>
        </patternFill>
      </fill>
    </dxf>
  </dxfs>
  <tableStyles count="1" defaultTableStyle="TableStyleMedium2" defaultPivotStyle="PivotStyleLight16">
    <tableStyle name="Invisible" pivot="0" table="0" count="0" xr9:uid="{26AC6856-E3E7-490D-88B6-0565D733EE1B}"/>
  </tableStyles>
  <colors>
    <mruColors>
      <color rgb="FFFF99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1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1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1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1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1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1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1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2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0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2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2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07642067997309E-2"/>
          <c:y val="5.9190211224114171E-2"/>
          <c:w val="0.85206860770310688"/>
          <c:h val="0.77533364473508604"/>
        </c:manualLayout>
      </c:layout>
      <c:areaChart>
        <c:grouping val="percentStacked"/>
        <c:varyColors val="0"/>
        <c:ser>
          <c:idx val="0"/>
          <c:order val="0"/>
          <c:tx>
            <c:strRef>
              <c:f>Charts_Support!$A$459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Charts_Support!$J$459:$CS$459</c:f>
              <c:numCache>
                <c:formatCode>#,##0_);\(#,##0\)</c:formatCode>
                <c:ptCount val="64"/>
                <c:pt idx="0">
                  <c:v>2242.4</c:v>
                </c:pt>
                <c:pt idx="1">
                  <c:v>2232.1000000000004</c:v>
                </c:pt>
                <c:pt idx="2">
                  <c:v>2215.6</c:v>
                </c:pt>
                <c:pt idx="3">
                  <c:v>2407.3999999999992</c:v>
                </c:pt>
                <c:pt idx="4">
                  <c:v>2172.6</c:v>
                </c:pt>
                <c:pt idx="5">
                  <c:v>2188.8000000000002</c:v>
                </c:pt>
                <c:pt idx="6">
                  <c:v>2233.6</c:v>
                </c:pt>
                <c:pt idx="7">
                  <c:v>2490.1000000000004</c:v>
                </c:pt>
                <c:pt idx="8">
                  <c:v>2427.3000000000002</c:v>
                </c:pt>
                <c:pt idx="9">
                  <c:v>2592.6</c:v>
                </c:pt>
                <c:pt idx="10">
                  <c:v>2641.4</c:v>
                </c:pt>
                <c:pt idx="11">
                  <c:v>2839.7</c:v>
                </c:pt>
                <c:pt idx="12">
                  <c:v>2861.2</c:v>
                </c:pt>
                <c:pt idx="13">
                  <c:v>3262</c:v>
                </c:pt>
                <c:pt idx="14">
                  <c:v>3220.3999999999996</c:v>
                </c:pt>
                <c:pt idx="15">
                  <c:v>3442.2</c:v>
                </c:pt>
                <c:pt idx="16">
                  <c:v>3253.1</c:v>
                </c:pt>
                <c:pt idx="17">
                  <c:v>3640</c:v>
                </c:pt>
                <c:pt idx="18">
                  <c:v>3724.6000000000004</c:v>
                </c:pt>
                <c:pt idx="19">
                  <c:v>4077</c:v>
                </c:pt>
                <c:pt idx="20">
                  <c:v>3826</c:v>
                </c:pt>
                <c:pt idx="21">
                  <c:v>4987</c:v>
                </c:pt>
                <c:pt idx="22">
                  <c:v>5388</c:v>
                </c:pt>
                <c:pt idx="23">
                  <c:v>6467</c:v>
                </c:pt>
                <c:pt idx="24">
                  <c:v>4659</c:v>
                </c:pt>
                <c:pt idx="25">
                  <c:v>4851</c:v>
                </c:pt>
                <c:pt idx="26">
                  <c:v>4982</c:v>
                </c:pt>
                <c:pt idx="27">
                  <c:v>5404</c:v>
                </c:pt>
                <c:pt idx="28">
                  <c:v>5155</c:v>
                </c:pt>
                <c:pt idx="29">
                  <c:v>5348</c:v>
                </c:pt>
                <c:pt idx="30">
                  <c:v>5516</c:v>
                </c:pt>
                <c:pt idx="31">
                  <c:v>5967</c:v>
                </c:pt>
                <c:pt idx="32">
                  <c:v>5574</c:v>
                </c:pt>
                <c:pt idx="33">
                  <c:v>5922</c:v>
                </c:pt>
                <c:pt idx="34">
                  <c:v>5799</c:v>
                </c:pt>
                <c:pt idx="35">
                  <c:v>6382</c:v>
                </c:pt>
                <c:pt idx="36">
                  <c:v>5997</c:v>
                </c:pt>
                <c:pt idx="37">
                  <c:v>6243</c:v>
                </c:pt>
                <c:pt idx="38">
                  <c:v>6290</c:v>
                </c:pt>
                <c:pt idx="39">
                  <c:v>6932</c:v>
                </c:pt>
                <c:pt idx="40">
                  <c:v>6387</c:v>
                </c:pt>
                <c:pt idx="41">
                  <c:v>6899</c:v>
                </c:pt>
                <c:pt idx="42">
                  <c:v>6680</c:v>
                </c:pt>
                <c:pt idx="43">
                  <c:v>7251</c:v>
                </c:pt>
                <c:pt idx="44">
                  <c:v>6210</c:v>
                </c:pt>
                <c:pt idx="45">
                  <c:v>2768</c:v>
                </c:pt>
                <c:pt idx="46">
                  <c:v>4569</c:v>
                </c:pt>
                <c:pt idx="47">
                  <c:v>5520</c:v>
                </c:pt>
                <c:pt idx="48">
                  <c:v>4975</c:v>
                </c:pt>
                <c:pt idx="49">
                  <c:v>6465</c:v>
                </c:pt>
                <c:pt idx="50">
                  <c:v>6705</c:v>
                </c:pt>
                <c:pt idx="51">
                  <c:v>7870</c:v>
                </c:pt>
                <c:pt idx="52">
                  <c:v>7335</c:v>
                </c:pt>
                <c:pt idx="53">
                  <c:v>8357</c:v>
                </c:pt>
                <c:pt idx="54">
                  <c:v>8403</c:v>
                </c:pt>
                <c:pt idx="55">
                  <c:v>9373</c:v>
                </c:pt>
                <c:pt idx="56">
                  <c:v>8953</c:v>
                </c:pt>
                <c:pt idx="57">
                  <c:v>9831</c:v>
                </c:pt>
                <c:pt idx="58">
                  <c:v>9900</c:v>
                </c:pt>
                <c:pt idx="59">
                  <c:v>10674</c:v>
                </c:pt>
                <c:pt idx="60">
                  <c:v>10122</c:v>
                </c:pt>
                <c:pt idx="61">
                  <c:v>10694</c:v>
                </c:pt>
                <c:pt idx="62">
                  <c:v>10752.462458866608</c:v>
                </c:pt>
                <c:pt idx="63">
                  <c:v>11493.143931378603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C-4193-8729-6733422E9503}"/>
            </c:ext>
          </c:extLst>
        </c:ser>
        <c:ser>
          <c:idx val="1"/>
          <c:order val="1"/>
          <c:tx>
            <c:strRef>
              <c:f>Charts_Support!$A$461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Charts_Support!$J$461:$CS$461</c:f>
              <c:numCache>
                <c:formatCode>#,##0_);\(#,##0\)</c:formatCode>
                <c:ptCount val="64"/>
                <c:pt idx="0">
                  <c:v>306.8</c:v>
                </c:pt>
                <c:pt idx="1">
                  <c:v>326.8</c:v>
                </c:pt>
                <c:pt idx="2">
                  <c:v>376</c:v>
                </c:pt>
                <c:pt idx="3">
                  <c:v>398.1</c:v>
                </c:pt>
                <c:pt idx="4">
                  <c:v>360.8</c:v>
                </c:pt>
                <c:pt idx="5">
                  <c:v>430</c:v>
                </c:pt>
                <c:pt idx="6">
                  <c:v>504.9</c:v>
                </c:pt>
                <c:pt idx="7">
                  <c:v>515</c:v>
                </c:pt>
                <c:pt idx="8">
                  <c:v>470.4</c:v>
                </c:pt>
                <c:pt idx="9">
                  <c:v>536.6</c:v>
                </c:pt>
                <c:pt idx="10">
                  <c:v>662.5</c:v>
                </c:pt>
                <c:pt idx="11">
                  <c:v>732.6</c:v>
                </c:pt>
                <c:pt idx="12">
                  <c:v>694.2</c:v>
                </c:pt>
                <c:pt idx="13">
                  <c:v>847</c:v>
                </c:pt>
                <c:pt idx="14">
                  <c:v>948.2</c:v>
                </c:pt>
                <c:pt idx="15">
                  <c:v>927.1</c:v>
                </c:pt>
                <c:pt idx="16">
                  <c:v>824</c:v>
                </c:pt>
                <c:pt idx="17">
                  <c:v>968</c:v>
                </c:pt>
                <c:pt idx="18">
                  <c:v>1172.5999999999999</c:v>
                </c:pt>
                <c:pt idx="19">
                  <c:v>1254.9000000000001</c:v>
                </c:pt>
                <c:pt idx="20">
                  <c:v>997</c:v>
                </c:pt>
                <c:pt idx="21">
                  <c:v>1091</c:v>
                </c:pt>
                <c:pt idx="22">
                  <c:v>1234</c:v>
                </c:pt>
                <c:pt idx="23">
                  <c:v>1299</c:v>
                </c:pt>
                <c:pt idx="24">
                  <c:v>1357</c:v>
                </c:pt>
                <c:pt idx="25">
                  <c:v>1605</c:v>
                </c:pt>
                <c:pt idx="26">
                  <c:v>1849</c:v>
                </c:pt>
                <c:pt idx="27">
                  <c:v>1907</c:v>
                </c:pt>
                <c:pt idx="28">
                  <c:v>1582</c:v>
                </c:pt>
                <c:pt idx="29">
                  <c:v>1929</c:v>
                </c:pt>
                <c:pt idx="30">
                  <c:v>2253</c:v>
                </c:pt>
                <c:pt idx="31">
                  <c:v>2360</c:v>
                </c:pt>
                <c:pt idx="32">
                  <c:v>2460</c:v>
                </c:pt>
                <c:pt idx="33">
                  <c:v>2449</c:v>
                </c:pt>
                <c:pt idx="34">
                  <c:v>2634</c:v>
                </c:pt>
                <c:pt idx="35">
                  <c:v>2740</c:v>
                </c:pt>
                <c:pt idx="36">
                  <c:v>2600.777</c:v>
                </c:pt>
                <c:pt idx="37">
                  <c:v>2725.201</c:v>
                </c:pt>
                <c:pt idx="38">
                  <c:v>2463</c:v>
                </c:pt>
                <c:pt idx="39">
                  <c:v>2406</c:v>
                </c:pt>
                <c:pt idx="40">
                  <c:v>2271.386</c:v>
                </c:pt>
                <c:pt idx="41">
                  <c:v>2440.2809999999999</c:v>
                </c:pt>
                <c:pt idx="42">
                  <c:v>2569.8229999999999</c:v>
                </c:pt>
                <c:pt idx="43">
                  <c:v>2450.9229999999998</c:v>
                </c:pt>
                <c:pt idx="44">
                  <c:v>1764.7919999999999</c:v>
                </c:pt>
                <c:pt idx="45">
                  <c:v>781.64</c:v>
                </c:pt>
                <c:pt idx="46">
                  <c:v>1265.3510000000001</c:v>
                </c:pt>
                <c:pt idx="47">
                  <c:v>1775.183</c:v>
                </c:pt>
                <c:pt idx="48">
                  <c:v>1756.93</c:v>
                </c:pt>
                <c:pt idx="49">
                  <c:v>1731.269</c:v>
                </c:pt>
                <c:pt idx="50">
                  <c:v>2423.442</c:v>
                </c:pt>
                <c:pt idx="51">
                  <c:v>3050.4380000000001</c:v>
                </c:pt>
                <c:pt idx="52">
                  <c:v>2708.33</c:v>
                </c:pt>
                <c:pt idx="53">
                  <c:v>3161.74</c:v>
                </c:pt>
                <c:pt idx="54">
                  <c:v>3679.9369999999999</c:v>
                </c:pt>
                <c:pt idx="55">
                  <c:v>3837.7049999999999</c:v>
                </c:pt>
                <c:pt idx="56">
                  <c:v>3135.5329999999999</c:v>
                </c:pt>
                <c:pt idx="57">
                  <c:v>3460.4700000000003</c:v>
                </c:pt>
                <c:pt idx="58">
                  <c:v>3931.7930000000001</c:v>
                </c:pt>
                <c:pt idx="59">
                  <c:v>3377.9769999999999</c:v>
                </c:pt>
                <c:pt idx="60">
                  <c:v>2639.1559999999999</c:v>
                </c:pt>
                <c:pt idx="61">
                  <c:v>3056.471</c:v>
                </c:pt>
                <c:pt idx="62">
                  <c:v>3235.8739780058768</c:v>
                </c:pt>
                <c:pt idx="63">
                  <c:v>2519.7343425433478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4C-4193-8729-6733422E9503}"/>
            </c:ext>
          </c:extLst>
        </c:ser>
        <c:ser>
          <c:idx val="2"/>
          <c:order val="2"/>
          <c:tx>
            <c:strRef>
              <c:f>Charts_Support!$A$463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Charts_Support!$J$463:$CS$463</c:f>
              <c:numCache>
                <c:formatCode>#,##0_);\(#,##0\)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1468</c:v>
                </c:pt>
                <c:pt idx="24">
                  <c:v>1328</c:v>
                </c:pt>
                <c:pt idx="25">
                  <c:v>1306</c:v>
                </c:pt>
                <c:pt idx="26">
                  <c:v>1392</c:v>
                </c:pt>
                <c:pt idx="27">
                  <c:v>1647</c:v>
                </c:pt>
                <c:pt idx="28">
                  <c:v>1798</c:v>
                </c:pt>
                <c:pt idx="29">
                  <c:v>1789</c:v>
                </c:pt>
                <c:pt idx="30">
                  <c:v>1832</c:v>
                </c:pt>
                <c:pt idx="31">
                  <c:v>2172</c:v>
                </c:pt>
                <c:pt idx="32">
                  <c:v>2060</c:v>
                </c:pt>
                <c:pt idx="33">
                  <c:v>1974</c:v>
                </c:pt>
                <c:pt idx="34">
                  <c:v>2043</c:v>
                </c:pt>
                <c:pt idx="35">
                  <c:v>2493</c:v>
                </c:pt>
                <c:pt idx="36">
                  <c:v>2481</c:v>
                </c:pt>
                <c:pt idx="37">
                  <c:v>2358</c:v>
                </c:pt>
                <c:pt idx="38">
                  <c:v>2358</c:v>
                </c:pt>
                <c:pt idx="39">
                  <c:v>2690</c:v>
                </c:pt>
                <c:pt idx="40">
                  <c:v>5033</c:v>
                </c:pt>
                <c:pt idx="41">
                  <c:v>5242</c:v>
                </c:pt>
                <c:pt idx="42">
                  <c:v>5241</c:v>
                </c:pt>
                <c:pt idx="43">
                  <c:v>5691</c:v>
                </c:pt>
                <c:pt idx="44">
                  <c:v>4150</c:v>
                </c:pt>
                <c:pt idx="45">
                  <c:v>1648</c:v>
                </c:pt>
                <c:pt idx="46">
                  <c:v>4060</c:v>
                </c:pt>
                <c:pt idx="47">
                  <c:v>4002</c:v>
                </c:pt>
                <c:pt idx="48">
                  <c:v>3492</c:v>
                </c:pt>
                <c:pt idx="49">
                  <c:v>4280</c:v>
                </c:pt>
                <c:pt idx="50">
                  <c:v>4830</c:v>
                </c:pt>
                <c:pt idx="51">
                  <c:v>5812</c:v>
                </c:pt>
                <c:pt idx="52">
                  <c:v>5185</c:v>
                </c:pt>
                <c:pt idx="53">
                  <c:v>5421</c:v>
                </c:pt>
                <c:pt idx="54">
                  <c:v>5435</c:v>
                </c:pt>
                <c:pt idx="55">
                  <c:v>5935</c:v>
                </c:pt>
                <c:pt idx="56">
                  <c:v>5577</c:v>
                </c:pt>
                <c:pt idx="57">
                  <c:v>5658</c:v>
                </c:pt>
                <c:pt idx="58">
                  <c:v>5637</c:v>
                </c:pt>
                <c:pt idx="59">
                  <c:v>6094</c:v>
                </c:pt>
                <c:pt idx="60">
                  <c:v>5441</c:v>
                </c:pt>
                <c:pt idx="61">
                  <c:v>5503</c:v>
                </c:pt>
                <c:pt idx="62">
                  <c:v>6119.6343958553243</c:v>
                </c:pt>
                <c:pt idx="63">
                  <c:v>6971.3152094981424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4C-4193-8729-6733422E9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177408"/>
        <c:axId val="332178944"/>
      </c:areaChart>
      <c:scatterChart>
        <c:scatterStyle val="lineMarker"/>
        <c:varyColors val="0"/>
        <c:ser>
          <c:idx val="4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C-4193-8729-6733422E9503}"/>
            </c:ext>
          </c:extLst>
        </c:ser>
        <c:ser>
          <c:idx val="5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4C-4193-8729-6733422E9503}"/>
            </c:ext>
          </c:extLst>
        </c:ser>
        <c:ser>
          <c:idx val="6"/>
          <c:order val="5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B44C-4193-8729-6733422E9503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4C-4193-8729-6733422E9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180480"/>
        <c:axId val="332186368"/>
      </c:scatterChart>
      <c:catAx>
        <c:axId val="33217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3217894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33217894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32177408"/>
        <c:crosses val="autoZero"/>
        <c:crossBetween val="midCat"/>
      </c:valAx>
      <c:valAx>
        <c:axId val="33218048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332186368"/>
        <c:crosses val="autoZero"/>
        <c:crossBetween val="midCat"/>
      </c:valAx>
      <c:valAx>
        <c:axId val="33218636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332180480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9199007100856578"/>
          <c:y val="1.1625517149339357E-2"/>
          <c:w val="0.47953630796150482"/>
          <c:h val="3.4718737488322438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88995782142019"/>
          <c:y val="6.7541246922848616E-2"/>
          <c:w val="0.76653769316339104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Charts_Support!$A$430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Charts_Support!$J$430:$CS$430</c:f>
              <c:numCache>
                <c:formatCode>#,##0.0_);\(#,##0.0\)</c:formatCode>
                <c:ptCount val="64"/>
                <c:pt idx="0">
                  <c:v>994</c:v>
                </c:pt>
                <c:pt idx="1">
                  <c:v>993</c:v>
                </c:pt>
                <c:pt idx="2">
                  <c:v>990</c:v>
                </c:pt>
                <c:pt idx="3">
                  <c:v>1001</c:v>
                </c:pt>
                <c:pt idx="4">
                  <c:v>1000</c:v>
                </c:pt>
                <c:pt idx="5">
                  <c:v>1010</c:v>
                </c:pt>
                <c:pt idx="6">
                  <c:v>1017</c:v>
                </c:pt>
                <c:pt idx="7">
                  <c:v>1037</c:v>
                </c:pt>
                <c:pt idx="8">
                  <c:v>1039</c:v>
                </c:pt>
                <c:pt idx="9">
                  <c:v>1051</c:v>
                </c:pt>
                <c:pt idx="10">
                  <c:v>1053</c:v>
                </c:pt>
                <c:pt idx="11">
                  <c:v>1075</c:v>
                </c:pt>
                <c:pt idx="12">
                  <c:v>1129</c:v>
                </c:pt>
                <c:pt idx="13">
                  <c:v>1139</c:v>
                </c:pt>
                <c:pt idx="14">
                  <c:v>1152</c:v>
                </c:pt>
                <c:pt idx="15">
                  <c:v>1186</c:v>
                </c:pt>
                <c:pt idx="16">
                  <c:v>1178</c:v>
                </c:pt>
                <c:pt idx="17">
                  <c:v>1505</c:v>
                </c:pt>
                <c:pt idx="18">
                  <c:v>1536</c:v>
                </c:pt>
                <c:pt idx="19">
                  <c:v>1575</c:v>
                </c:pt>
                <c:pt idx="20">
                  <c:v>1587</c:v>
                </c:pt>
                <c:pt idx="21">
                  <c:v>1943</c:v>
                </c:pt>
                <c:pt idx="22">
                  <c:v>1960</c:v>
                </c:pt>
                <c:pt idx="23">
                  <c:v>1999</c:v>
                </c:pt>
                <c:pt idx="24">
                  <c:v>1996</c:v>
                </c:pt>
                <c:pt idx="25">
                  <c:v>2020</c:v>
                </c:pt>
                <c:pt idx="26">
                  <c:v>2068</c:v>
                </c:pt>
                <c:pt idx="27">
                  <c:v>2092</c:v>
                </c:pt>
                <c:pt idx="28">
                  <c:v>2090</c:v>
                </c:pt>
                <c:pt idx="29">
                  <c:v>2106</c:v>
                </c:pt>
                <c:pt idx="30">
                  <c:v>2140</c:v>
                </c:pt>
                <c:pt idx="31">
                  <c:v>2215</c:v>
                </c:pt>
                <c:pt idx="32">
                  <c:v>2236</c:v>
                </c:pt>
                <c:pt idx="33">
                  <c:v>2257</c:v>
                </c:pt>
                <c:pt idx="34">
                  <c:v>2295</c:v>
                </c:pt>
                <c:pt idx="35">
                  <c:v>2346</c:v>
                </c:pt>
                <c:pt idx="36">
                  <c:v>2358</c:v>
                </c:pt>
                <c:pt idx="37">
                  <c:v>2387</c:v>
                </c:pt>
                <c:pt idx="38">
                  <c:v>2410</c:v>
                </c:pt>
                <c:pt idx="39">
                  <c:v>2467</c:v>
                </c:pt>
                <c:pt idx="40">
                  <c:v>2477</c:v>
                </c:pt>
                <c:pt idx="41">
                  <c:v>2463</c:v>
                </c:pt>
                <c:pt idx="42">
                  <c:v>2469</c:v>
                </c:pt>
                <c:pt idx="43">
                  <c:v>2272</c:v>
                </c:pt>
                <c:pt idx="44">
                  <c:v>2263</c:v>
                </c:pt>
                <c:pt idx="45">
                  <c:v>2236</c:v>
                </c:pt>
                <c:pt idx="46">
                  <c:v>2219</c:v>
                </c:pt>
                <c:pt idx="47">
                  <c:v>2184</c:v>
                </c:pt>
                <c:pt idx="48">
                  <c:v>2171</c:v>
                </c:pt>
                <c:pt idx="49">
                  <c:v>2169</c:v>
                </c:pt>
                <c:pt idx="50">
                  <c:v>2159</c:v>
                </c:pt>
                <c:pt idx="51">
                  <c:v>2174</c:v>
                </c:pt>
                <c:pt idx="52">
                  <c:v>2181</c:v>
                </c:pt>
                <c:pt idx="53">
                  <c:v>2192</c:v>
                </c:pt>
                <c:pt idx="54">
                  <c:v>2204</c:v>
                </c:pt>
                <c:pt idx="55">
                  <c:v>2248</c:v>
                </c:pt>
                <c:pt idx="56">
                  <c:v>2244</c:v>
                </c:pt>
                <c:pt idx="57">
                  <c:v>2237</c:v>
                </c:pt>
                <c:pt idx="58">
                  <c:v>2248</c:v>
                </c:pt>
                <c:pt idx="59">
                  <c:v>2313</c:v>
                </c:pt>
                <c:pt idx="60">
                  <c:v>2331</c:v>
                </c:pt>
                <c:pt idx="61">
                  <c:v>2358</c:v>
                </c:pt>
                <c:pt idx="62">
                  <c:v>2371</c:v>
                </c:pt>
                <c:pt idx="63">
                  <c:v>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6-471B-9EBD-DBA8A6C3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219136"/>
        <c:axId val="332220672"/>
      </c:areaChart>
      <c:lineChart>
        <c:grouping val="standard"/>
        <c:varyColors val="0"/>
        <c:ser>
          <c:idx val="1"/>
          <c:order val="1"/>
          <c:tx>
            <c:strRef>
              <c:f>Charts_Support!$A$431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Charts_Support!$J$431:$CS$431</c:f>
              <c:numCache>
                <c:formatCode>0.0%</c:formatCode>
                <c:ptCount val="64"/>
                <c:pt idx="4">
                  <c:v>6.0362173038228661E-3</c:v>
                </c:pt>
                <c:pt idx="5">
                  <c:v>1.7119838872104776E-2</c:v>
                </c:pt>
                <c:pt idx="6">
                  <c:v>2.7272727272727337E-2</c:v>
                </c:pt>
                <c:pt idx="7">
                  <c:v>3.5964035964035856E-2</c:v>
                </c:pt>
                <c:pt idx="8">
                  <c:v>3.8999999999999924E-2</c:v>
                </c:pt>
                <c:pt idx="9">
                  <c:v>4.059405940594063E-2</c:v>
                </c:pt>
                <c:pt idx="10">
                  <c:v>3.539823008849563E-2</c:v>
                </c:pt>
                <c:pt idx="11">
                  <c:v>3.6644165863066513E-2</c:v>
                </c:pt>
                <c:pt idx="12">
                  <c:v>8.6621751684311743E-2</c:v>
                </c:pt>
                <c:pt idx="13">
                  <c:v>8.3729781160799321E-2</c:v>
                </c:pt>
                <c:pt idx="14">
                  <c:v>9.4017094017094127E-2</c:v>
                </c:pt>
                <c:pt idx="15">
                  <c:v>0.10325581395348826</c:v>
                </c:pt>
                <c:pt idx="16">
                  <c:v>4.3401240035429556E-2</c:v>
                </c:pt>
                <c:pt idx="17">
                  <c:v>0.32133450395083396</c:v>
                </c:pt>
                <c:pt idx="18">
                  <c:v>0.33333333333333326</c:v>
                </c:pt>
                <c:pt idx="19">
                  <c:v>0.32799325463743667</c:v>
                </c:pt>
                <c:pt idx="20">
                  <c:v>0.34719864176570447</c:v>
                </c:pt>
                <c:pt idx="21">
                  <c:v>0.29102990033222587</c:v>
                </c:pt>
                <c:pt idx="22">
                  <c:v>0.27604166666666674</c:v>
                </c:pt>
                <c:pt idx="23">
                  <c:v>0.26920634920634923</c:v>
                </c:pt>
                <c:pt idx="24">
                  <c:v>0.25771896660365479</c:v>
                </c:pt>
                <c:pt idx="25">
                  <c:v>3.9629439011837464E-2</c:v>
                </c:pt>
                <c:pt idx="26">
                  <c:v>5.5102040816326525E-2</c:v>
                </c:pt>
                <c:pt idx="27">
                  <c:v>4.6523261630815327E-2</c:v>
                </c:pt>
                <c:pt idx="28">
                  <c:v>4.7094188376753499E-2</c:v>
                </c:pt>
                <c:pt idx="29">
                  <c:v>4.2574257425742612E-2</c:v>
                </c:pt>
                <c:pt idx="30">
                  <c:v>3.481624758220514E-2</c:v>
                </c:pt>
                <c:pt idx="31">
                  <c:v>5.8795411089866079E-2</c:v>
                </c:pt>
                <c:pt idx="32">
                  <c:v>6.9856459330143617E-2</c:v>
                </c:pt>
                <c:pt idx="33">
                  <c:v>7.1699905033238309E-2</c:v>
                </c:pt>
                <c:pt idx="34">
                  <c:v>7.2429906542056166E-2</c:v>
                </c:pt>
                <c:pt idx="35">
                  <c:v>5.914221218961635E-2</c:v>
                </c:pt>
                <c:pt idx="36">
                  <c:v>5.4561717352415107E-2</c:v>
                </c:pt>
                <c:pt idx="37">
                  <c:v>5.7598582188746139E-2</c:v>
                </c:pt>
                <c:pt idx="38">
                  <c:v>5.0108932461873534E-2</c:v>
                </c:pt>
                <c:pt idx="39">
                  <c:v>5.1577152600170484E-2</c:v>
                </c:pt>
                <c:pt idx="40">
                  <c:v>5.0466497031382618E-2</c:v>
                </c:pt>
                <c:pt idx="41">
                  <c:v>3.1839128613322165E-2</c:v>
                </c:pt>
                <c:pt idx="42">
                  <c:v>2.4481327800829789E-2</c:v>
                </c:pt>
                <c:pt idx="43">
                  <c:v>-7.9043372517227373E-2</c:v>
                </c:pt>
                <c:pt idx="44">
                  <c:v>-8.6394832458619342E-2</c:v>
                </c:pt>
                <c:pt idx="45">
                  <c:v>-9.2164027608607424E-2</c:v>
                </c:pt>
                <c:pt idx="46">
                  <c:v>-0.10125556905629807</c:v>
                </c:pt>
                <c:pt idx="47">
                  <c:v>-3.8732394366197131E-2</c:v>
                </c:pt>
                <c:pt idx="48">
                  <c:v>-4.0653999116217365E-2</c:v>
                </c:pt>
                <c:pt idx="49">
                  <c:v>-2.9964221824686943E-2</c:v>
                </c:pt>
                <c:pt idx="50">
                  <c:v>-2.703920684993244E-2</c:v>
                </c:pt>
                <c:pt idx="51">
                  <c:v>-4.5787545787545625E-3</c:v>
                </c:pt>
                <c:pt idx="52">
                  <c:v>4.6061722708430342E-3</c:v>
                </c:pt>
                <c:pt idx="53">
                  <c:v>1.0603964960811396E-2</c:v>
                </c:pt>
                <c:pt idx="54">
                  <c:v>2.0842982862436354E-2</c:v>
                </c:pt>
                <c:pt idx="55">
                  <c:v>3.4038638454461756E-2</c:v>
                </c:pt>
                <c:pt idx="56">
                  <c:v>2.8885832187070193E-2</c:v>
                </c:pt>
                <c:pt idx="57">
                  <c:v>2.0529197080291883E-2</c:v>
                </c:pt>
                <c:pt idx="58">
                  <c:v>1.9963702359346636E-2</c:v>
                </c:pt>
                <c:pt idx="59">
                  <c:v>2.8914590747330937E-2</c:v>
                </c:pt>
                <c:pt idx="60">
                  <c:v>3.8770053475935873E-2</c:v>
                </c:pt>
                <c:pt idx="61">
                  <c:v>5.4090299508269934E-2</c:v>
                </c:pt>
                <c:pt idx="62">
                  <c:v>5.4715302491103124E-2</c:v>
                </c:pt>
                <c:pt idx="63">
                  <c:v>3.2425421530480003E-2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A6-471B-9EBD-DBA8A6C3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2848"/>
        <c:axId val="332224384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A6-471B-9EBD-DBA8A6C35628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2FA6-471B-9EBD-DBA8A6C35628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A6-471B-9EBD-DBA8A6C35628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FA6-471B-9EBD-DBA8A6C3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222848"/>
        <c:axId val="332224384"/>
      </c:scatterChart>
      <c:catAx>
        <c:axId val="33221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3222067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33222067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4526609271117374"/>
              <c:y val="3.728826579604378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32219136"/>
        <c:crosses val="autoZero"/>
        <c:crossBetween val="midCat"/>
      </c:valAx>
      <c:catAx>
        <c:axId val="332222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2224384"/>
        <c:crosses val="autoZero"/>
        <c:auto val="1"/>
        <c:lblAlgn val="ctr"/>
        <c:lblOffset val="100"/>
        <c:noMultiLvlLbl val="0"/>
      </c:catAx>
      <c:valAx>
        <c:axId val="332224384"/>
        <c:scaling>
          <c:orientation val="minMax"/>
          <c:max val="0.30000000000000004"/>
          <c:min val="-0.1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76718608617502582"/>
              <c:y val="4.1467255617438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3322228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2348.1860242031798</c:v>
              </c:pt>
              <c:pt idx="10">
                <c:v>2673.5580399437299</c:v>
              </c:pt>
              <c:pt idx="11">
                <c:v>3050.1633831659401</c:v>
              </c:pt>
              <c:pt idx="12">
                <c:v>3448.2060187331599</c:v>
              </c:pt>
              <c:pt idx="13">
                <c:v>3867.34044746155</c:v>
              </c:pt>
            </c:numLit>
          </c:val>
          <c:extLst>
            <c:ext xmlns:c16="http://schemas.microsoft.com/office/drawing/2014/chart" uri="{C3380CC4-5D6E-409C-BE32-E72D297353CC}">
              <c16:uniqueId val="{00000000-EA57-4927-AE82-5D26AAF41C77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2325.5628432134099</c:v>
              </c:pt>
              <c:pt idx="10">
                <c:v>2558.94727152936</c:v>
              </c:pt>
              <c:pt idx="11">
                <c:v>2828.9343267752802</c:v>
              </c:pt>
              <c:pt idx="12">
                <c:v>3131.7475500823998</c:v>
              </c:pt>
              <c:pt idx="13">
                <c:v>3458.0628588384502</c:v>
              </c:pt>
            </c:numLit>
          </c:val>
          <c:extLst>
            <c:ext xmlns:c16="http://schemas.microsoft.com/office/drawing/2014/chart" uri="{C3380CC4-5D6E-409C-BE32-E72D297353CC}">
              <c16:uniqueId val="{00000001-EA57-4927-AE82-5D26AAF41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240768"/>
        <c:axId val="332242304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2327.9413297708402</c:v>
              </c:pt>
              <c:pt idx="10">
                <c:v>2569.9838740442901</c:v>
              </c:pt>
              <c:pt idx="11">
                <c:v>2849.7255386913698</c:v>
              </c:pt>
              <c:pt idx="12">
                <c:v>3163.0666465500199</c:v>
              </c:pt>
              <c:pt idx="13">
                <c:v>3500.6687357666901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A57-4927-AE82-5D26AAF41C77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A57-4927-AE82-5D26AAF41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40768"/>
        <c:axId val="332242304"/>
      </c:lineChart>
      <c:catAx>
        <c:axId val="33224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42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4230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407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58A-4316-97F1-4C9DD7A446FC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8A-4316-97F1-4C9DD7A44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279808"/>
        <c:axId val="332281344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58A-4316-97F1-4C9DD7A446FC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58A-4316-97F1-4C9DD7A44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79808"/>
        <c:axId val="332281344"/>
      </c:lineChart>
      <c:catAx>
        <c:axId val="33227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8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8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79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Gross margin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0.32312352743184097</c:v>
              </c:pt>
              <c:pt idx="1">
                <c:v>0.29345434543454302</c:v>
              </c:pt>
              <c:pt idx="2">
                <c:v>0.31584821428571402</c:v>
              </c:pt>
              <c:pt idx="3">
                <c:v>0.31402612152186199</c:v>
              </c:pt>
              <c:pt idx="4">
                <c:v>0.33855331841908998</c:v>
              </c:pt>
              <c:pt idx="5">
                <c:v>0.31928272007452202</c:v>
              </c:pt>
              <c:pt idx="6">
                <c:v>0.30813186813186799</c:v>
              </c:pt>
              <c:pt idx="7">
                <c:v>0.34028348072140902</c:v>
              </c:pt>
              <c:pt idx="8">
                <c:v>0.36786736800053199</c:v>
              </c:pt>
              <c:pt idx="9">
                <c:v>0.36653766438638902</c:v>
              </c:pt>
              <c:pt idx="10">
                <c:v>0.38457353840602199</c:v>
              </c:pt>
              <c:pt idx="11">
                <c:v>0.39510609240453498</c:v>
              </c:pt>
              <c:pt idx="12">
                <c:v>0.39814153347356002</c:v>
              </c:pt>
              <c:pt idx="13">
                <c:v>0.399495603847976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C0-41A9-AF90-0622369F8BB1}"/>
            </c:ext>
          </c:extLst>
        </c:ser>
        <c:ser>
          <c:idx val="1"/>
          <c:order val="1"/>
          <c:tx>
            <c:v>EBITDA Margin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0.21844496802423399</c:v>
              </c:pt>
              <c:pt idx="1">
                <c:v>0.23129812981298101</c:v>
              </c:pt>
              <c:pt idx="2">
                <c:v>0.18883928571428499</c:v>
              </c:pt>
              <c:pt idx="3">
                <c:v>0.22525080446715801</c:v>
              </c:pt>
              <c:pt idx="4">
                <c:v>0.204921700223713</c:v>
              </c:pt>
              <c:pt idx="5">
                <c:v>0.20901257568700499</c:v>
              </c:pt>
              <c:pt idx="6">
                <c:v>0.216791208791208</c:v>
              </c:pt>
              <c:pt idx="7">
                <c:v>0.213426001965174</c:v>
              </c:pt>
              <c:pt idx="8">
                <c:v>0.25587589053865101</c:v>
              </c:pt>
              <c:pt idx="9">
                <c:v>0.249455312813918</c:v>
              </c:pt>
              <c:pt idx="10">
                <c:v>0.27960789080543202</c:v>
              </c:pt>
              <c:pt idx="11">
                <c:v>0.291606270626382</c:v>
              </c:pt>
              <c:pt idx="12">
                <c:v>0.29637469574568698</c:v>
              </c:pt>
              <c:pt idx="13">
                <c:v>0.29903924581116897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AC0-41A9-AF90-0622369F8BB1}"/>
            </c:ext>
          </c:extLst>
        </c:ser>
        <c:ser>
          <c:idx val="2"/>
          <c:order val="2"/>
          <c:tx>
            <c:v>EBT Margin</c:v>
          </c:tx>
          <c:spPr>
            <a:ln w="38100">
              <a:solidFill>
                <a:srgbClr val="32C464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-0.20801077078424701</c:v>
              </c:pt>
              <c:pt idx="1">
                <c:v>-2.3333333333333199E-2</c:v>
              </c:pt>
              <c:pt idx="2">
                <c:v>-4.0176339285714201E-2</c:v>
              </c:pt>
              <c:pt idx="3">
                <c:v>3.9178497066060899E-2</c:v>
              </c:pt>
              <c:pt idx="4">
                <c:v>5.3662938105891102E-2</c:v>
              </c:pt>
              <c:pt idx="5">
                <c:v>3.3185840707964501E-2</c:v>
              </c:pt>
              <c:pt idx="6">
                <c:v>-4.0439560439560597E-3</c:v>
              </c:pt>
              <c:pt idx="7">
                <c:v>0.11408672700501001</c:v>
              </c:pt>
              <c:pt idx="8">
                <c:v>9.0697782808442595E-2</c:v>
              </c:pt>
              <c:pt idx="9">
                <c:v>0.126970722912576</c:v>
              </c:pt>
              <c:pt idx="10">
                <c:v>0.17738304968511001</c:v>
              </c:pt>
              <c:pt idx="11">
                <c:v>0.20479112110136799</c:v>
              </c:pt>
              <c:pt idx="12">
                <c:v>0.22328384368779999</c:v>
              </c:pt>
              <c:pt idx="13">
                <c:v>0.23992263138976699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AC0-41A9-AF90-0622369F8BB1}"/>
            </c:ext>
          </c:extLst>
        </c:ser>
        <c:ser>
          <c:idx val="3"/>
          <c:order val="3"/>
          <c:tx>
            <c:v>Net Profit Margin</c:v>
          </c:tx>
          <c:spPr>
            <a:ln w="38100">
              <a:solidFill>
                <a:srgbClr val="9DDEED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-0.20801077078424701</c:v>
              </c:pt>
              <c:pt idx="1">
                <c:v>-2.3333333333333199E-2</c:v>
              </c:pt>
              <c:pt idx="2">
                <c:v>-4.2147321428571402E-2</c:v>
              </c:pt>
              <c:pt idx="3">
                <c:v>1.9284497444633598E-2</c:v>
              </c:pt>
              <c:pt idx="4">
                <c:v>2.4647278150633799E-2</c:v>
              </c:pt>
              <c:pt idx="5">
                <c:v>6.5323707498835495E-2</c:v>
              </c:pt>
              <c:pt idx="6">
                <c:v>-1.1428571428571401E-2</c:v>
              </c:pt>
              <c:pt idx="7">
                <c:v>9.78214515204167E-2</c:v>
              </c:pt>
              <c:pt idx="8">
                <c:v>6.2466875291297602E-2</c:v>
              </c:pt>
              <c:pt idx="9">
                <c:v>9.9903575291400898E-2</c:v>
              </c:pt>
              <c:pt idx="10">
                <c:v>0.144273131752363</c:v>
              </c:pt>
              <c:pt idx="11">
                <c:v>0.15952954031503599</c:v>
              </c:pt>
              <c:pt idx="12">
                <c:v>0.16831986765981</c:v>
              </c:pt>
              <c:pt idx="13">
                <c:v>0.16978291485850999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AC0-41A9-AF90-0622369F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301440"/>
        <c:axId val="332302976"/>
      </c:lineChart>
      <c:catAx>
        <c:axId val="33230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0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0297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014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2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Operating CF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51.2</c:v>
              </c:pt>
              <c:pt idx="1">
                <c:v>77.900000000000006</c:v>
              </c:pt>
              <c:pt idx="2">
                <c:v>54.569000000000003</c:v>
              </c:pt>
              <c:pt idx="3">
                <c:v>107.495</c:v>
              </c:pt>
              <c:pt idx="4">
                <c:v>101.985999999999</c:v>
              </c:pt>
              <c:pt idx="5">
                <c:v>90.934999999999903</c:v>
              </c:pt>
              <c:pt idx="6">
                <c:v>291.91699999999901</c:v>
              </c:pt>
              <c:pt idx="7">
                <c:v>128.093999999999</c:v>
              </c:pt>
              <c:pt idx="8">
                <c:v>191.28199999999899</c:v>
              </c:pt>
              <c:pt idx="9">
                <c:v>119.252034030202</c:v>
              </c:pt>
              <c:pt idx="10">
                <c:v>491.02084504906099</c:v>
              </c:pt>
              <c:pt idx="11">
                <c:v>596.51417746679704</c:v>
              </c:pt>
              <c:pt idx="12">
                <c:v>698.68422494073695</c:v>
              </c:pt>
              <c:pt idx="13">
                <c:v>788.58057014269002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383-4769-B045-D8DB48DA2151}"/>
            </c:ext>
          </c:extLst>
        </c:ser>
        <c:ser>
          <c:idx val="1"/>
          <c:order val="1"/>
          <c:tx>
            <c:v>FCF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383-4769-B045-D8DB48DA2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324864"/>
        <c:axId val="332326400"/>
      </c:lineChart>
      <c:catAx>
        <c:axId val="33232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2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26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248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ROA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-0.18795620437956101</c:v>
              </c:pt>
              <c:pt idx="1">
                <c:v>-2.39175908750048E-2</c:v>
              </c:pt>
              <c:pt idx="2">
                <c:v>-3.5519120543415002E-2</c:v>
              </c:pt>
              <c:pt idx="3">
                <c:v>1.7169117832929601E-2</c:v>
              </c:pt>
              <c:pt idx="4">
                <c:v>1.62229711224046E-2</c:v>
              </c:pt>
              <c:pt idx="5">
                <c:v>4.6040213377102901E-2</c:v>
              </c:pt>
              <c:pt idx="6">
                <c:v>-7.0194384449244101E-3</c:v>
              </c:pt>
              <c:pt idx="7">
                <c:v>8.3900525177633495E-2</c:v>
              </c:pt>
              <c:pt idx="8">
                <c:v>4.8248392903059802E-2</c:v>
              </c:pt>
              <c:pt idx="9">
                <c:v>4.0132149746006401E-2</c:v>
              </c:pt>
              <c:pt idx="10">
                <c:v>6.5287051161286899E-2</c:v>
              </c:pt>
              <c:pt idx="11">
                <c:v>7.5832000787330697E-2</c:v>
              </c:pt>
              <c:pt idx="12">
                <c:v>8.3067743902193306E-2</c:v>
              </c:pt>
              <c:pt idx="13">
                <c:v>8.6582322648087101E-2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24-48C8-B3AB-DEA8E4B837CA}"/>
            </c:ext>
          </c:extLst>
        </c:ser>
        <c:ser>
          <c:idx val="1"/>
          <c:order val="1"/>
          <c:tx>
            <c:v>ROE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-0.51629072681704202</c:v>
              </c:pt>
              <c:pt idx="1">
                <c:v>-6.30368234909498E-2</c:v>
              </c:pt>
              <c:pt idx="2">
                <c:v>-7.7302241036264305E-2</c:v>
              </c:pt>
              <c:pt idx="3">
                <c:v>3.8304207898456899E-2</c:v>
              </c:pt>
              <c:pt idx="4">
                <c:v>3.5221203479921401E-2</c:v>
              </c:pt>
              <c:pt idx="5">
                <c:v>0.10946341463414599</c:v>
              </c:pt>
              <c:pt idx="6">
                <c:v>-2.7145541866777999E-2</c:v>
              </c:pt>
              <c:pt idx="7">
                <c:v>0.25184161721068199</c:v>
              </c:pt>
              <c:pt idx="8">
                <c:v>0.15257602862253999</c:v>
              </c:pt>
              <c:pt idx="9">
                <c:v>5.52346971218464E-2</c:v>
              </c:pt>
              <c:pt idx="10">
                <c:v>8.7290415243917799E-2</c:v>
              </c:pt>
              <c:pt idx="11">
                <c:v>9.9784395114014102E-2</c:v>
              </c:pt>
              <c:pt idx="12">
                <c:v>0.107688896291577</c:v>
              </c:pt>
              <c:pt idx="13">
                <c:v>0.110668576172213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24-48C8-B3AB-DEA8E4B837CA}"/>
            </c:ext>
          </c:extLst>
        </c:ser>
        <c:ser>
          <c:idx val="2"/>
          <c:order val="2"/>
          <c:tx>
            <c:v>ROCE</c:v>
          </c:tx>
          <c:spPr>
            <a:ln w="25400">
              <a:solidFill>
                <a:srgbClr val="32C464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-4.4960698689956197E-2</c:v>
              </c:pt>
              <c:pt idx="1">
                <c:v>-1.5009705480600899E-2</c:v>
              </c:pt>
              <c:pt idx="2">
                <c:v>-4.4352995952867E-2</c:v>
              </c:pt>
              <c:pt idx="3">
                <c:v>3.8096322714058703E-2</c:v>
              </c:pt>
              <c:pt idx="4">
                <c:v>6.5617045300101401E-2</c:v>
              </c:pt>
              <c:pt idx="5">
                <c:v>7.7740566578736001E-2</c:v>
              </c:pt>
              <c:pt idx="6">
                <c:v>9.7843665768194005E-2</c:v>
              </c:pt>
              <c:pt idx="7">
                <c:v>0.15767964601769899</c:v>
              </c:pt>
              <c:pt idx="8">
                <c:v>0.175576527751822</c:v>
              </c:pt>
              <c:pt idx="9">
                <c:v>5.6487779482805499E-2</c:v>
              </c:pt>
              <c:pt idx="10">
                <c:v>7.5483630545822897E-2</c:v>
              </c:pt>
              <c:pt idx="11">
                <c:v>8.7119985258781799E-2</c:v>
              </c:pt>
              <c:pt idx="12">
                <c:v>9.6428932290503894E-2</c:v>
              </c:pt>
              <c:pt idx="13">
                <c:v>0.106075949873614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24-48C8-B3AB-DEA8E4B8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337536"/>
        <c:axId val="332339072"/>
      </c:lineChart>
      <c:catAx>
        <c:axId val="33233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3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390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375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-61.799999999999898</c:v>
              </c:pt>
              <c:pt idx="1">
                <c:v>-8.4839999999999502</c:v>
              </c:pt>
              <c:pt idx="2">
                <c:v>-18.882000000000001</c:v>
              </c:pt>
              <c:pt idx="3">
                <c:v>10.187999999999899</c:v>
              </c:pt>
              <c:pt idx="4">
                <c:v>16.526</c:v>
              </c:pt>
              <c:pt idx="5">
                <c:v>56.099999999999902</c:v>
              </c:pt>
              <c:pt idx="6">
                <c:v>-13</c:v>
              </c:pt>
              <c:pt idx="7">
                <c:v>135.79299999999901</c:v>
              </c:pt>
              <c:pt idx="8">
                <c:v>93.818999999999903</c:v>
              </c:pt>
              <c:pt idx="9">
                <c:v>238.72543076602</c:v>
              </c:pt>
              <c:pt idx="10">
                <c:v>356.77173979109199</c:v>
              </c:pt>
              <c:pt idx="11">
                <c:v>470.18582981054902</c:v>
              </c:pt>
              <c:pt idx="12">
                <c:v>576.99046949830199</c:v>
              </c:pt>
              <c:pt idx="13">
                <c:v>671.82945896845104</c:v>
              </c:pt>
            </c:numLit>
          </c:val>
          <c:extLst>
            <c:ext xmlns:c16="http://schemas.microsoft.com/office/drawing/2014/chart" uri="{C3380CC4-5D6E-409C-BE32-E72D297353CC}">
              <c16:uniqueId val="{00000000-85FA-4762-B980-145B8B7AED31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3175">
              <a:solidFill>
                <a:srgbClr val="000000"/>
              </a:solidFill>
              <a:prstDash val="solid"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-61.799999999999898</c:v>
              </c:pt>
              <c:pt idx="1">
                <c:v>-8.4839999999999502</c:v>
              </c:pt>
              <c:pt idx="2">
                <c:v>-18.882000000000001</c:v>
              </c:pt>
              <c:pt idx="3">
                <c:v>10.187999999999899</c:v>
              </c:pt>
              <c:pt idx="4">
                <c:v>16.526</c:v>
              </c:pt>
              <c:pt idx="5">
                <c:v>56.099999999999902</c:v>
              </c:pt>
              <c:pt idx="6">
                <c:v>-13</c:v>
              </c:pt>
              <c:pt idx="7">
                <c:v>135.79299999999901</c:v>
              </c:pt>
              <c:pt idx="8">
                <c:v>93.818999999999903</c:v>
              </c:pt>
              <c:pt idx="9">
                <c:v>232.977698807737</c:v>
              </c:pt>
              <c:pt idx="10">
                <c:v>325.85221908413803</c:v>
              </c:pt>
              <c:pt idx="11">
                <c:v>409.50496375541798</c:v>
              </c:pt>
              <c:pt idx="12">
                <c:v>490.06913524555301</c:v>
              </c:pt>
              <c:pt idx="13">
                <c:v>558.87662902993304</c:v>
              </c:pt>
            </c:numLit>
          </c:val>
          <c:extLst>
            <c:ext xmlns:c16="http://schemas.microsoft.com/office/drawing/2014/chart" uri="{C3380CC4-5D6E-409C-BE32-E72D297353CC}">
              <c16:uniqueId val="{00000001-85FA-4762-B980-145B8B7A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67744"/>
        <c:axId val="332369280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-61.799999999999898</c:v>
              </c:pt>
              <c:pt idx="1">
                <c:v>-8.4839999999999502</c:v>
              </c:pt>
              <c:pt idx="2">
                <c:v>-18.882000000000001</c:v>
              </c:pt>
              <c:pt idx="3">
                <c:v>10.187999999999899</c:v>
              </c:pt>
              <c:pt idx="4">
                <c:v>16.526</c:v>
              </c:pt>
              <c:pt idx="5">
                <c:v>56.099999999999902</c:v>
              </c:pt>
              <c:pt idx="6">
                <c:v>-13</c:v>
              </c:pt>
              <c:pt idx="7">
                <c:v>135.79299999999901</c:v>
              </c:pt>
              <c:pt idx="8">
                <c:v>93.818999999999903</c:v>
              </c:pt>
              <c:pt idx="9">
                <c:v>233.67369611586901</c:v>
              </c:pt>
              <c:pt idx="10">
                <c:v>329.40225766987697</c:v>
              </c:pt>
              <c:pt idx="11">
                <c:v>416.40208082115799</c:v>
              </c:pt>
              <c:pt idx="12">
                <c:v>500.71483718971399</c:v>
              </c:pt>
              <c:pt idx="13">
                <c:v>573.70972508579302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5FA-4762-B980-145B8B7AED31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5FA-4762-B980-145B8B7A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67744"/>
        <c:axId val="332369280"/>
      </c:lineChart>
      <c:catAx>
        <c:axId val="33236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69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692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67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2348.1860242031798</c:v>
              </c:pt>
              <c:pt idx="10">
                <c:v>2673.5580399437299</c:v>
              </c:pt>
              <c:pt idx="11">
                <c:v>3050.1633831659401</c:v>
              </c:pt>
              <c:pt idx="12">
                <c:v>3448.2060187331599</c:v>
              </c:pt>
              <c:pt idx="13">
                <c:v>3867.34044746155</c:v>
              </c:pt>
            </c:numLit>
          </c:val>
          <c:extLst>
            <c:ext xmlns:c16="http://schemas.microsoft.com/office/drawing/2014/chart" uri="{C3380CC4-5D6E-409C-BE32-E72D297353CC}">
              <c16:uniqueId val="{00000000-6684-4563-89AA-B6BF249A228C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2325.5628432134099</c:v>
              </c:pt>
              <c:pt idx="10">
                <c:v>2558.94727152936</c:v>
              </c:pt>
              <c:pt idx="11">
                <c:v>2828.9343267752802</c:v>
              </c:pt>
              <c:pt idx="12">
                <c:v>3131.7475500823998</c:v>
              </c:pt>
              <c:pt idx="13">
                <c:v>3458.0628588384502</c:v>
              </c:pt>
            </c:numLit>
          </c:val>
          <c:extLst>
            <c:ext xmlns:c16="http://schemas.microsoft.com/office/drawing/2014/chart" uri="{C3380CC4-5D6E-409C-BE32-E72D297353CC}">
              <c16:uniqueId val="{00000001-6684-4563-89AA-B6BF249A2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84896"/>
        <c:axId val="332390784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297.10000000000002</c:v>
              </c:pt>
              <c:pt idx="1">
                <c:v>363.6</c:v>
              </c:pt>
              <c:pt idx="2">
                <c:v>448</c:v>
              </c:pt>
              <c:pt idx="3">
                <c:v>528.29999999999905</c:v>
              </c:pt>
              <c:pt idx="4">
                <c:v>670.5</c:v>
              </c:pt>
              <c:pt idx="5">
                <c:v>858.8</c:v>
              </c:pt>
              <c:pt idx="6">
                <c:v>1137.5</c:v>
              </c:pt>
              <c:pt idx="7">
                <c:v>1388.172</c:v>
              </c:pt>
              <c:pt idx="8">
                <c:v>1501.9</c:v>
              </c:pt>
              <c:pt idx="9">
                <c:v>2327.9413297708402</c:v>
              </c:pt>
              <c:pt idx="10">
                <c:v>2569.9838740442901</c:v>
              </c:pt>
              <c:pt idx="11">
                <c:v>2849.7255386913698</c:v>
              </c:pt>
              <c:pt idx="12">
                <c:v>3163.0666465500199</c:v>
              </c:pt>
              <c:pt idx="13">
                <c:v>3500.6687357666901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684-4563-89AA-B6BF249A2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84896"/>
        <c:axId val="332390784"/>
      </c:lineChart>
      <c:catAx>
        <c:axId val="33238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9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39078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3848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3"/>
              <c:pt idx="0">
                <c:v>2003</c:v>
              </c:pt>
              <c:pt idx="1">
                <c:v>2004</c:v>
              </c:pt>
              <c:pt idx="2">
                <c:v>2005</c:v>
              </c:pt>
              <c:pt idx="3">
                <c:v>2006</c:v>
              </c:pt>
              <c:pt idx="4">
                <c:v>2007</c:v>
              </c:pt>
              <c:pt idx="5">
                <c:v>2008</c:v>
              </c:pt>
              <c:pt idx="6">
                <c:v>2009</c:v>
              </c:pt>
              <c:pt idx="7">
                <c:v>2010</c:v>
              </c:pt>
              <c:pt idx="8">
                <c:v>2011</c:v>
              </c:pt>
              <c:pt idx="9">
                <c:v>2012</c:v>
              </c:pt>
              <c:pt idx="10">
                <c:v>2013</c:v>
              </c:pt>
              <c:pt idx="11">
                <c:v>2014</c:v>
              </c:pt>
              <c:pt idx="12">
                <c:v>2015</c:v>
              </c:pt>
            </c:numLit>
          </c:cat>
          <c:val>
            <c:numLit>
              <c:formatCode>General</c:formatCode>
              <c:ptCount val="13"/>
              <c:pt idx="0">
                <c:v>0.22383036014809801</c:v>
              </c:pt>
              <c:pt idx="1">
                <c:v>0.23212321232123201</c:v>
              </c:pt>
              <c:pt idx="2">
                <c:v>0.17924107142857101</c:v>
              </c:pt>
              <c:pt idx="3">
                <c:v>0.26916524701873901</c:v>
              </c:pt>
              <c:pt idx="4">
                <c:v>0.280835197613721</c:v>
              </c:pt>
              <c:pt idx="5">
                <c:v>0.32452258965998998</c:v>
              </c:pt>
              <c:pt idx="6">
                <c:v>0.220370989010989</c:v>
              </c:pt>
              <c:pt idx="7">
                <c:v>8.1926447154963403E-2</c:v>
              </c:pt>
              <c:pt idx="8">
                <c:v>0.56347694533802495</c:v>
              </c:pt>
              <c:pt idx="9">
                <c:v>0.138563134430955</c:v>
              </c:pt>
              <c:pt idx="10">
                <c:v>0.14086297645146101</c:v>
              </c:pt>
              <c:pt idx="11">
                <c:v>0.13049879156114599</c:v>
              </c:pt>
              <c:pt idx="12">
                <c:v>0.12155144630319401</c:v>
              </c:pt>
            </c:numLit>
          </c:val>
          <c:extLst>
            <c:ext xmlns:c16="http://schemas.microsoft.com/office/drawing/2014/chart" uri="{C3380CC4-5D6E-409C-BE32-E72D297353CC}">
              <c16:uniqueId val="{00000000-AF37-45B9-B58E-6B3B866A6DD9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3"/>
              <c:pt idx="0">
                <c:v>2003</c:v>
              </c:pt>
              <c:pt idx="1">
                <c:v>2004</c:v>
              </c:pt>
              <c:pt idx="2">
                <c:v>2005</c:v>
              </c:pt>
              <c:pt idx="3">
                <c:v>2006</c:v>
              </c:pt>
              <c:pt idx="4">
                <c:v>2007</c:v>
              </c:pt>
              <c:pt idx="5">
                <c:v>2008</c:v>
              </c:pt>
              <c:pt idx="6">
                <c:v>2009</c:v>
              </c:pt>
              <c:pt idx="7">
                <c:v>2010</c:v>
              </c:pt>
              <c:pt idx="8">
                <c:v>2011</c:v>
              </c:pt>
              <c:pt idx="9">
                <c:v>2012</c:v>
              </c:pt>
              <c:pt idx="10">
                <c:v>2013</c:v>
              </c:pt>
              <c:pt idx="11">
                <c:v>2014</c:v>
              </c:pt>
              <c:pt idx="12">
                <c:v>2015</c:v>
              </c:pt>
            </c:numLit>
          </c:cat>
          <c:val>
            <c:numLit>
              <c:formatCode>General</c:formatCode>
              <c:ptCount val="13"/>
              <c:pt idx="0">
                <c:v>0.22383036014809801</c:v>
              </c:pt>
              <c:pt idx="1">
                <c:v>0.23212321232123201</c:v>
              </c:pt>
              <c:pt idx="2">
                <c:v>0.17924107142857101</c:v>
              </c:pt>
              <c:pt idx="3">
                <c:v>0.26916524701873901</c:v>
              </c:pt>
              <c:pt idx="4">
                <c:v>0.280835197613721</c:v>
              </c:pt>
              <c:pt idx="5">
                <c:v>0.32452258965998998</c:v>
              </c:pt>
              <c:pt idx="6">
                <c:v>0.220370989010989</c:v>
              </c:pt>
              <c:pt idx="7">
                <c:v>8.1926447154963403E-2</c:v>
              </c:pt>
              <c:pt idx="8">
                <c:v>0.54841390452987304</c:v>
              </c:pt>
              <c:pt idx="9">
                <c:v>0.100356104758478</c:v>
              </c:pt>
              <c:pt idx="10">
                <c:v>0.105507080294216</c:v>
              </c:pt>
              <c:pt idx="11">
                <c:v>0.10704144682364999</c:v>
              </c:pt>
              <c:pt idx="12">
                <c:v>0.104195917307405</c:v>
              </c:pt>
            </c:numLit>
          </c:val>
          <c:extLst>
            <c:ext xmlns:c16="http://schemas.microsoft.com/office/drawing/2014/chart" uri="{C3380CC4-5D6E-409C-BE32-E72D297353CC}">
              <c16:uniqueId val="{00000001-AF37-45B9-B58E-6B3B866A6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31936"/>
        <c:axId val="350233728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3"/>
              <c:pt idx="0">
                <c:v>2003</c:v>
              </c:pt>
              <c:pt idx="1">
                <c:v>2004</c:v>
              </c:pt>
              <c:pt idx="2">
                <c:v>2005</c:v>
              </c:pt>
              <c:pt idx="3">
                <c:v>2006</c:v>
              </c:pt>
              <c:pt idx="4">
                <c:v>2007</c:v>
              </c:pt>
              <c:pt idx="5">
                <c:v>2008</c:v>
              </c:pt>
              <c:pt idx="6">
                <c:v>2009</c:v>
              </c:pt>
              <c:pt idx="7">
                <c:v>2010</c:v>
              </c:pt>
              <c:pt idx="8">
                <c:v>2011</c:v>
              </c:pt>
              <c:pt idx="9">
                <c:v>2012</c:v>
              </c:pt>
              <c:pt idx="10">
                <c:v>2013</c:v>
              </c:pt>
              <c:pt idx="11">
                <c:v>2014</c:v>
              </c:pt>
              <c:pt idx="12">
                <c:v>2015</c:v>
              </c:pt>
            </c:numLit>
          </c:cat>
          <c:val>
            <c:numLit>
              <c:formatCode>General</c:formatCode>
              <c:ptCount val="13"/>
              <c:pt idx="0">
                <c:v>0.22383036014809801</c:v>
              </c:pt>
              <c:pt idx="1">
                <c:v>0.23212321232123201</c:v>
              </c:pt>
              <c:pt idx="2">
                <c:v>0.17924107142857101</c:v>
              </c:pt>
              <c:pt idx="3">
                <c:v>0.26916524701873901</c:v>
              </c:pt>
              <c:pt idx="4">
                <c:v>0.280835197613721</c:v>
              </c:pt>
              <c:pt idx="5">
                <c:v>0.32452258965998998</c:v>
              </c:pt>
              <c:pt idx="6">
                <c:v>0.220370989010989</c:v>
              </c:pt>
              <c:pt idx="7">
                <c:v>8.1926447154963403E-2</c:v>
              </c:pt>
              <c:pt idx="8">
                <c:v>0.54999755627594904</c:v>
              </c:pt>
              <c:pt idx="9">
                <c:v>0.10397278538685201</c:v>
              </c:pt>
              <c:pt idx="10">
                <c:v>0.108849579747306</c:v>
              </c:pt>
              <c:pt idx="11">
                <c:v>0.10995483726567599</c:v>
              </c:pt>
              <c:pt idx="12">
                <c:v>0.106732524774619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F37-45B9-B58E-6B3B866A6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31936"/>
        <c:axId val="350233728"/>
      </c:lineChart>
      <c:catAx>
        <c:axId val="35023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3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337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31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B2C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804.75772572734797</c:v>
              </c:pt>
              <c:pt idx="1">
                <c:v>981.39626526160305</c:v>
              </c:pt>
              <c:pt idx="2">
                <c:v>1192.81054374977</c:v>
              </c:pt>
              <c:pt idx="3">
                <c:v>1263.05149012371</c:v>
              </c:pt>
              <c:pt idx="4">
                <c:v>2071.92194263386</c:v>
              </c:pt>
              <c:pt idx="5">
                <c:v>2473.0467594761899</c:v>
              </c:pt>
              <c:pt idx="6">
                <c:v>2789.54863256612</c:v>
              </c:pt>
              <c:pt idx="7">
                <c:v>3129.3908773910898</c:v>
              </c:pt>
              <c:pt idx="8">
                <c:v>3504.0427050714702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4AC-4A8E-B6F5-DFACDBAD6435}"/>
            </c:ext>
          </c:extLst>
        </c:ser>
        <c:ser>
          <c:idx val="1"/>
          <c:order val="1"/>
          <c:tx>
            <c:v>Lab-to-Lab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76.363670119999895</c:v>
              </c:pt>
              <c:pt idx="1">
                <c:v>105.380666629999</c:v>
              </c:pt>
              <c:pt idx="2">
                <c:v>143.46076728999901</c:v>
              </c:pt>
              <c:pt idx="3">
                <c:v>182.84391275152399</c:v>
              </c:pt>
              <c:pt idx="4">
                <c:v>224.70301817024301</c:v>
              </c:pt>
              <c:pt idx="5">
                <c:v>235.90274297322199</c:v>
              </c:pt>
              <c:pt idx="6">
                <c:v>245.463232413383</c:v>
              </c:pt>
              <c:pt idx="7">
                <c:v>255.41118219920801</c:v>
              </c:pt>
              <c:pt idx="8">
                <c:v>264.45312116583398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4AC-4A8E-B6F5-DFACDBAD6435}"/>
            </c:ext>
          </c:extLst>
        </c:ser>
        <c:ser>
          <c:idx val="2"/>
          <c:order val="2"/>
          <c:tx>
            <c:v>Public Sector</c:v>
          </c:tx>
          <c:spPr>
            <a:ln w="38100">
              <a:solidFill>
                <a:srgbClr val="32C464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49.5760497099999</c:v>
              </c:pt>
              <c:pt idx="1">
                <c:v>150.26596939000001</c:v>
              </c:pt>
              <c:pt idx="2">
                <c:v>171.68108282</c:v>
              </c:pt>
              <c:pt idx="3">
                <c:v>186.09467392715399</c:v>
              </c:pt>
              <c:pt idx="4">
                <c:v>151.19984795130401</c:v>
              </c:pt>
              <c:pt idx="5">
                <c:v>160.619765391485</c:v>
              </c:pt>
              <c:pt idx="6">
                <c:v>171.54894425223</c:v>
              </c:pt>
              <c:pt idx="7">
                <c:v>183.221785950976</c:v>
              </c:pt>
              <c:pt idx="8">
                <c:v>195.688892131605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4AC-4A8E-B6F5-DFACDBAD6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244224"/>
        <c:axId val="350246016"/>
      </c:lineChart>
      <c:catAx>
        <c:axId val="35024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4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4601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(mn)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442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v># of Standard Units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118</c:v>
              </c:pt>
              <c:pt idx="1">
                <c:v>131</c:v>
              </c:pt>
              <c:pt idx="2">
                <c:v>148</c:v>
              </c:pt>
              <c:pt idx="3">
                <c:v>192</c:v>
              </c:pt>
              <c:pt idx="4">
                <c:v>244</c:v>
              </c:pt>
              <c:pt idx="5">
                <c:v>244</c:v>
              </c:pt>
              <c:pt idx="6">
                <c:v>287</c:v>
              </c:pt>
              <c:pt idx="7">
                <c:v>281</c:v>
              </c:pt>
              <c:pt idx="8">
                <c:v>319</c:v>
              </c:pt>
              <c:pt idx="9">
                <c:v>413</c:v>
              </c:pt>
              <c:pt idx="10">
                <c:v>433</c:v>
              </c:pt>
              <c:pt idx="11">
                <c:v>453</c:v>
              </c:pt>
              <c:pt idx="12">
                <c:v>473</c:v>
              </c:pt>
              <c:pt idx="13">
                <c:v>493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417-4D1C-8B55-D67D41F8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65344"/>
        <c:axId val="350266880"/>
      </c:lineChart>
      <c:lineChart>
        <c:grouping val="standard"/>
        <c:varyColors val="0"/>
        <c:ser>
          <c:idx val="0"/>
          <c:order val="0"/>
          <c:tx>
            <c:v># of Mega Units, right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12</c:v>
              </c:pt>
              <c:pt idx="1">
                <c:v>14</c:v>
              </c:pt>
              <c:pt idx="2">
                <c:v>20</c:v>
              </c:pt>
              <c:pt idx="3">
                <c:v>23</c:v>
              </c:pt>
              <c:pt idx="4">
                <c:v>26</c:v>
              </c:pt>
              <c:pt idx="5">
                <c:v>34</c:v>
              </c:pt>
              <c:pt idx="6">
                <c:v>37</c:v>
              </c:pt>
              <c:pt idx="7">
                <c:v>40</c:v>
              </c:pt>
              <c:pt idx="8">
                <c:v>40</c:v>
              </c:pt>
              <c:pt idx="9">
                <c:v>61</c:v>
              </c:pt>
              <c:pt idx="10">
                <c:v>66</c:v>
              </c:pt>
              <c:pt idx="11">
                <c:v>71</c:v>
              </c:pt>
              <c:pt idx="12">
                <c:v>75</c:v>
              </c:pt>
              <c:pt idx="13">
                <c:v>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417-4D1C-8B55-D67D41F8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68416"/>
        <c:axId val="350278400"/>
      </c:lineChart>
      <c:catAx>
        <c:axId val="35026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66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668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65344"/>
        <c:crosses val="autoZero"/>
        <c:crossBetween val="between"/>
      </c:valAx>
      <c:catAx>
        <c:axId val="350268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0278400"/>
        <c:crosses val="autoZero"/>
        <c:auto val="1"/>
        <c:lblAlgn val="ctr"/>
        <c:lblOffset val="100"/>
        <c:noMultiLvlLbl val="0"/>
      </c:catAx>
      <c:valAx>
        <c:axId val="350278400"/>
        <c:scaling>
          <c:orientation val="minMax"/>
        </c:scaling>
        <c:delete val="0"/>
        <c:axPos val="r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68416"/>
        <c:crosses val="max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# Requisitions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1205.2629999999899</c:v>
              </c:pt>
              <c:pt idx="1">
                <c:v>1713.404</c:v>
              </c:pt>
              <c:pt idx="2">
                <c:v>2084.723</c:v>
              </c:pt>
              <c:pt idx="3">
                <c:v>2628.3240000000001</c:v>
              </c:pt>
              <c:pt idx="4">
                <c:v>2934.5237459999898</c:v>
              </c:pt>
              <c:pt idx="5">
                <c:v>3023.2197262228401</c:v>
              </c:pt>
              <c:pt idx="6">
                <c:v>3114.59654244793</c:v>
              </c:pt>
              <c:pt idx="7">
                <c:v>3208.73522294342</c:v>
              </c:pt>
              <c:pt idx="8">
                <c:v>3289.43491380044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CD-499C-8978-B48569E44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286592"/>
        <c:axId val="350288128"/>
      </c:lineChart>
      <c:catAx>
        <c:axId val="35028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881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86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v>Standard Unit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0</c:v>
              </c:pt>
            </c:numLit>
          </c:cat>
          <c:val>
            <c:numLit>
              <c:formatCode>General</c:formatCode>
              <c:ptCount val="8"/>
              <c:pt idx="0">
                <c:v>82.648253735229702</c:v>
              </c:pt>
              <c:pt idx="1">
                <c:v>88.430150828437206</c:v>
              </c:pt>
              <c:pt idx="2">
                <c:v>89.817290852570295</c:v>
              </c:pt>
              <c:pt idx="3">
                <c:v>89.459255865020296</c:v>
              </c:pt>
              <c:pt idx="4">
                <c:v>95.588655097861604</c:v>
              </c:pt>
              <c:pt idx="5">
                <c:v>96.564189327093203</c:v>
              </c:pt>
              <c:pt idx="6">
                <c:v>97.585689697255106</c:v>
              </c:pt>
              <c:pt idx="7">
                <c:v>98.653793170521794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622-48F3-8147-D21EDDC44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99584"/>
        <c:axId val="350501120"/>
      </c:lineChart>
      <c:lineChart>
        <c:grouping val="standard"/>
        <c:varyColors val="0"/>
        <c:ser>
          <c:idx val="0"/>
          <c:order val="0"/>
          <c:tx>
            <c:v>Mega Units, right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0</c:v>
              </c:pt>
            </c:numLit>
          </c:cat>
          <c:val>
            <c:numLit>
              <c:formatCode>General</c:formatCode>
              <c:ptCount val="8"/>
              <c:pt idx="0">
                <c:v>168.80862969199401</c:v>
              </c:pt>
              <c:pt idx="1">
                <c:v>164.24064448518999</c:v>
              </c:pt>
              <c:pt idx="2">
                <c:v>170.80844592120999</c:v>
              </c:pt>
              <c:pt idx="3">
                <c:v>178.421196126117</c:v>
              </c:pt>
              <c:pt idx="4">
                <c:v>181.947876804386</c:v>
              </c:pt>
              <c:pt idx="5">
                <c:v>181.704356211191</c:v>
              </c:pt>
              <c:pt idx="6">
                <c:v>181.67774601865</c:v>
              </c:pt>
              <c:pt idx="7">
                <c:v>181.87282123085299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622-48F3-8147-D21EDDC44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07008"/>
        <c:axId val="350508544"/>
      </c:lineChart>
      <c:catAx>
        <c:axId val="35049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01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5011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499584"/>
        <c:crosses val="autoZero"/>
        <c:crossBetween val="between"/>
      </c:valAx>
      <c:catAx>
        <c:axId val="350507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0508544"/>
        <c:crosses val="autoZero"/>
        <c:auto val="1"/>
        <c:lblAlgn val="ctr"/>
        <c:lblOffset val="100"/>
        <c:noMultiLvlLbl val="0"/>
      </c:catAx>
      <c:valAx>
        <c:axId val="350508544"/>
        <c:scaling>
          <c:orientation val="minMax"/>
        </c:scaling>
        <c:delete val="0"/>
        <c:axPos val="r"/>
        <c:numFmt formatCode="#,##0_);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07008"/>
        <c:crosses val="max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Average Revenue per Requisition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17.1471213170901</c:v>
              </c:pt>
              <c:pt idx="1">
                <c:v>16.7778971100802</c:v>
              </c:pt>
              <c:pt idx="2">
                <c:v>18.726912246854798</c:v>
              </c:pt>
              <c:pt idx="3">
                <c:v>17.9882725759837</c:v>
              </c:pt>
              <c:pt idx="4">
                <c:v>18.168155301743599</c:v>
              </c:pt>
              <c:pt idx="5">
                <c:v>18.349836854761001</c:v>
              </c:pt>
              <c:pt idx="6">
                <c:v>18.533335223308601</c:v>
              </c:pt>
              <c:pt idx="7">
                <c:v>18.718668575541699</c:v>
              </c:pt>
              <c:pt idx="8">
                <c:v>18.905855261297098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1FD-4808-8BA0-0F0D885CB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520832"/>
        <c:axId val="350522368"/>
      </c:lineChart>
      <c:catAx>
        <c:axId val="35052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22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5223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20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0.21844496802423399</c:v>
              </c:pt>
              <c:pt idx="1">
                <c:v>0.23129812981298101</c:v>
              </c:pt>
              <c:pt idx="2">
                <c:v>0.18883928571428499</c:v>
              </c:pt>
              <c:pt idx="3">
                <c:v>0.22525080446715801</c:v>
              </c:pt>
              <c:pt idx="4">
                <c:v>0.204921700223713</c:v>
              </c:pt>
              <c:pt idx="5">
                <c:v>0.20901257568700499</c:v>
              </c:pt>
              <c:pt idx="6">
                <c:v>0.216791208791208</c:v>
              </c:pt>
              <c:pt idx="7">
                <c:v>0.213426001965174</c:v>
              </c:pt>
              <c:pt idx="8">
                <c:v>0.25587589053865101</c:v>
              </c:pt>
              <c:pt idx="9">
                <c:v>0.24959222602564299</c:v>
              </c:pt>
              <c:pt idx="10">
                <c:v>0.264226797193573</c:v>
              </c:pt>
              <c:pt idx="11">
                <c:v>0.28468241178980902</c:v>
              </c:pt>
              <c:pt idx="12">
                <c:v>0.296284287869503</c:v>
              </c:pt>
              <c:pt idx="13">
                <c:v>0.30576494511321101</c:v>
              </c:pt>
            </c:numLit>
          </c:val>
          <c:extLst>
            <c:ext xmlns:c16="http://schemas.microsoft.com/office/drawing/2014/chart" uri="{C3380CC4-5D6E-409C-BE32-E72D297353CC}">
              <c16:uniqueId val="{00000000-2349-4B65-B506-AFB65AE7B560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0.21844496802423399</c:v>
              </c:pt>
              <c:pt idx="1">
                <c:v>0.23129812981298101</c:v>
              </c:pt>
              <c:pt idx="2">
                <c:v>0.18883928571428499</c:v>
              </c:pt>
              <c:pt idx="3">
                <c:v>0.22525080446715801</c:v>
              </c:pt>
              <c:pt idx="4">
                <c:v>0.204921700223713</c:v>
              </c:pt>
              <c:pt idx="5">
                <c:v>0.20901257568700499</c:v>
              </c:pt>
              <c:pt idx="6">
                <c:v>0.216791208791208</c:v>
              </c:pt>
              <c:pt idx="7">
                <c:v>0.213426001965174</c:v>
              </c:pt>
              <c:pt idx="8">
                <c:v>0.25587589053865101</c:v>
              </c:pt>
              <c:pt idx="9">
                <c:v>0.247582336429058</c:v>
              </c:pt>
              <c:pt idx="10">
                <c:v>0.25511244776508202</c:v>
              </c:pt>
              <c:pt idx="11">
                <c:v>0.27056337957237597</c:v>
              </c:pt>
              <c:pt idx="12">
                <c:v>0.28001749402762</c:v>
              </c:pt>
              <c:pt idx="13">
                <c:v>0.28870793446676202</c:v>
              </c:pt>
            </c:numLit>
          </c:val>
          <c:extLst>
            <c:ext xmlns:c16="http://schemas.microsoft.com/office/drawing/2014/chart" uri="{C3380CC4-5D6E-409C-BE32-E72D297353CC}">
              <c16:uniqueId val="{00000001-2349-4B65-B506-AFB65AE7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546944"/>
        <c:axId val="350548736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0.21844496802423399</c:v>
              </c:pt>
              <c:pt idx="1">
                <c:v>0.23129812981298101</c:v>
              </c:pt>
              <c:pt idx="2">
                <c:v>0.18883928571428499</c:v>
              </c:pt>
              <c:pt idx="3">
                <c:v>0.22525080446715801</c:v>
              </c:pt>
              <c:pt idx="4">
                <c:v>0.204921700223713</c:v>
              </c:pt>
              <c:pt idx="5">
                <c:v>0.20901257568700499</c:v>
              </c:pt>
              <c:pt idx="6">
                <c:v>0.216791208791208</c:v>
              </c:pt>
              <c:pt idx="7">
                <c:v>0.213426001965174</c:v>
              </c:pt>
              <c:pt idx="8">
                <c:v>0.25587589053865101</c:v>
              </c:pt>
              <c:pt idx="9">
                <c:v>0.24778899147251901</c:v>
              </c:pt>
              <c:pt idx="10">
                <c:v>0.25611800320199701</c:v>
              </c:pt>
              <c:pt idx="11">
                <c:v>0.27221226528790299</c:v>
              </c:pt>
              <c:pt idx="12">
                <c:v>0.28218705898763602</c:v>
              </c:pt>
              <c:pt idx="13">
                <c:v>0.29128924756979302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349-4B65-B506-AFB65AE7B560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349-4B65-B506-AFB65AE7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46944"/>
        <c:axId val="350548736"/>
      </c:lineChart>
      <c:catAx>
        <c:axId val="35054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48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548736"/>
        <c:scaling>
          <c:orientation val="minMax"/>
          <c:max val="0.33"/>
          <c:min val="0.1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469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0.306404657933042</c:v>
              </c:pt>
              <c:pt idx="1">
                <c:v>0.37381615598885798</c:v>
              </c:pt>
              <c:pt idx="2">
                <c:v>0.20142741281427301</c:v>
              </c:pt>
              <c:pt idx="3">
                <c:v>0.297118863746827</c:v>
              </c:pt>
              <c:pt idx="4">
                <c:v>0.52508190711209601</c:v>
              </c:pt>
              <c:pt idx="5">
                <c:v>0.20532155669968</c:v>
              </c:pt>
              <c:pt idx="6">
                <c:v>0.22918503008596999</c:v>
              </c:pt>
              <c:pt idx="7">
                <c:v>0.17657085764164601</c:v>
              </c:pt>
              <c:pt idx="8">
                <c:v>0.15743942713419101</c:v>
              </c:pt>
            </c:numLit>
          </c:val>
          <c:extLst>
            <c:ext xmlns:c16="http://schemas.microsoft.com/office/drawing/2014/chart" uri="{C3380CC4-5D6E-409C-BE32-E72D297353CC}">
              <c16:uniqueId val="{00000000-FBDA-49B8-9B0A-B2BE416BD133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0.306404657933042</c:v>
              </c:pt>
              <c:pt idx="1">
                <c:v>0.37381615598885798</c:v>
              </c:pt>
              <c:pt idx="2">
                <c:v>0.20142741281427301</c:v>
              </c:pt>
              <c:pt idx="3">
                <c:v>0.297118863746827</c:v>
              </c:pt>
              <c:pt idx="4">
                <c:v>0.49822607919693201</c:v>
              </c:pt>
              <c:pt idx="5">
                <c:v>0.13382296712682601</c:v>
              </c:pt>
              <c:pt idx="6">
                <c:v>0.17246231771891499</c:v>
              </c:pt>
              <c:pt idx="7">
                <c:v>0.14572405258319901</c:v>
              </c:pt>
              <c:pt idx="8">
                <c:v>0.13846502212111</c:v>
              </c:pt>
            </c:numLit>
          </c:val>
          <c:extLst>
            <c:ext xmlns:c16="http://schemas.microsoft.com/office/drawing/2014/chart" uri="{C3380CC4-5D6E-409C-BE32-E72D297353CC}">
              <c16:uniqueId val="{00000001-FBDA-49B8-9B0A-B2BE416BD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38848"/>
        <c:axId val="350640384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9"/>
              <c:pt idx="0">
                <c:v>2007</c:v>
              </c:pt>
              <c:pt idx="1">
                <c:v>2008</c:v>
              </c:pt>
              <c:pt idx="2">
                <c:v>2009</c:v>
              </c:pt>
              <c:pt idx="3">
                <c:v>2010</c:v>
              </c:pt>
              <c:pt idx="4">
                <c:v>2011</c:v>
              </c:pt>
              <c:pt idx="5">
                <c:v>2012</c:v>
              </c:pt>
              <c:pt idx="6">
                <c:v>2013</c:v>
              </c:pt>
              <c:pt idx="7">
                <c:v>2014</c:v>
              </c:pt>
              <c:pt idx="8">
                <c:v>2015</c:v>
              </c:pt>
            </c:numLit>
          </c:cat>
          <c:val>
            <c:numLit>
              <c:formatCode>General</c:formatCode>
              <c:ptCount val="9"/>
              <c:pt idx="0">
                <c:v>0.306404657933042</c:v>
              </c:pt>
              <c:pt idx="1">
                <c:v>0.37381615598885798</c:v>
              </c:pt>
              <c:pt idx="2">
                <c:v>0.20142741281427301</c:v>
              </c:pt>
              <c:pt idx="3">
                <c:v>0.297118863746827</c:v>
              </c:pt>
              <c:pt idx="4">
                <c:v>0.50101023760373398</c:v>
              </c:pt>
              <c:pt idx="5">
                <c:v>0.14108098064551999</c:v>
              </c:pt>
              <c:pt idx="6">
                <c:v>0.178528850736412</c:v>
              </c:pt>
              <c:pt idx="7">
                <c:v>0.15062740029671901</c:v>
              </c:pt>
              <c:pt idx="8">
                <c:v>0.14243114322525099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BDA-49B8-9B0A-B2BE416BD133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5.3295029882204498E-2</c:v>
              </c:pt>
              <c:pt idx="1">
                <c:v>0.61342911281965695</c:v>
              </c:pt>
              <c:pt idx="2">
                <c:v>0.16004995190983001</c:v>
              </c:pt>
              <c:pt idx="3">
                <c:v>0.124106356163772</c:v>
              </c:pt>
              <c:pt idx="4">
                <c:v>0.58091528260936698</c:v>
              </c:pt>
              <c:pt idx="5">
                <c:v>0.289961396480856</c:v>
              </c:pt>
              <c:pt idx="6">
                <c:v>0.211837108266313</c:v>
              </c:pt>
              <c:pt idx="7">
                <c:v>0.18615955738713599</c:v>
              </c:pt>
              <c:pt idx="8">
                <c:v>0.215110503057725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BDA-49B8-9B0A-B2BE416BD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638848"/>
        <c:axId val="350640384"/>
      </c:lineChart>
      <c:catAx>
        <c:axId val="35063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4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640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388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70</c:v>
              </c:pt>
              <c:pt idx="1">
                <c:v>51.3</c:v>
              </c:pt>
              <c:pt idx="2">
                <c:v>91.001953640220705</c:v>
              </c:pt>
              <c:pt idx="3">
                <c:v>139.07802412407401</c:v>
              </c:pt>
              <c:pt idx="4">
                <c:v>370.64491761981498</c:v>
              </c:pt>
              <c:pt idx="5">
                <c:v>398.15499999999901</c:v>
              </c:pt>
              <c:pt idx="6">
                <c:v>231.798</c:v>
              </c:pt>
              <c:pt idx="7">
                <c:v>112.36199999999999</c:v>
              </c:pt>
              <c:pt idx="8">
                <c:v>174.14500000000001</c:v>
              </c:pt>
              <c:pt idx="9">
                <c:v>532.36</c:v>
              </c:pt>
              <c:pt idx="10">
                <c:v>224.38898984003799</c:v>
              </c:pt>
              <c:pt idx="11">
                <c:v>246.615616600175</c:v>
              </c:pt>
              <c:pt idx="12">
                <c:v>286.107437028633</c:v>
              </c:pt>
              <c:pt idx="13">
                <c:v>286.34406033291901</c:v>
              </c:pt>
            </c:numLit>
          </c:val>
          <c:extLst>
            <c:ext xmlns:c16="http://schemas.microsoft.com/office/drawing/2014/chart" uri="{C3380CC4-5D6E-409C-BE32-E72D297353CC}">
              <c16:uniqueId val="{00000000-E078-4CE9-B7D9-6D78C0291932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70</c:v>
              </c:pt>
              <c:pt idx="1">
                <c:v>51.3</c:v>
              </c:pt>
              <c:pt idx="2">
                <c:v>91.001953640220705</c:v>
              </c:pt>
              <c:pt idx="3">
                <c:v>139.07802412407401</c:v>
              </c:pt>
              <c:pt idx="4">
                <c:v>370.64491761981498</c:v>
              </c:pt>
              <c:pt idx="5">
                <c:v>398.15499999999901</c:v>
              </c:pt>
              <c:pt idx="6">
                <c:v>231.798</c:v>
              </c:pt>
              <c:pt idx="7">
                <c:v>112.36199999999999</c:v>
              </c:pt>
              <c:pt idx="8">
                <c:v>174.14500000000001</c:v>
              </c:pt>
              <c:pt idx="9">
                <c:v>518.36</c:v>
              </c:pt>
              <c:pt idx="10">
                <c:v>198.20096619746801</c:v>
              </c:pt>
              <c:pt idx="11">
                <c:v>214.195941510745</c:v>
              </c:pt>
              <c:pt idx="12">
                <c:v>248.13565357182699</c:v>
              </c:pt>
              <c:pt idx="13">
                <c:v>242.967711188973</c:v>
              </c:pt>
            </c:numLit>
          </c:val>
          <c:extLst>
            <c:ext xmlns:c16="http://schemas.microsoft.com/office/drawing/2014/chart" uri="{C3380CC4-5D6E-409C-BE32-E72D297353CC}">
              <c16:uniqueId val="{00000001-E078-4CE9-B7D9-6D78C029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56768"/>
        <c:axId val="350666752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70</c:v>
              </c:pt>
              <c:pt idx="1">
                <c:v>51.3</c:v>
              </c:pt>
              <c:pt idx="2">
                <c:v>91.001953640220705</c:v>
              </c:pt>
              <c:pt idx="3">
                <c:v>139.07802412407401</c:v>
              </c:pt>
              <c:pt idx="4">
                <c:v>370.64491761981498</c:v>
              </c:pt>
              <c:pt idx="5">
                <c:v>398.15499999999901</c:v>
              </c:pt>
              <c:pt idx="6">
                <c:v>231.798</c:v>
              </c:pt>
              <c:pt idx="7">
                <c:v>112.36199999999999</c:v>
              </c:pt>
              <c:pt idx="8">
                <c:v>174.14500000000001</c:v>
              </c:pt>
              <c:pt idx="9">
                <c:v>518.36</c:v>
              </c:pt>
              <c:pt idx="10">
                <c:v>198.792919248392</c:v>
              </c:pt>
              <c:pt idx="11">
                <c:v>215.35905454909499</c:v>
              </c:pt>
              <c:pt idx="12">
                <c:v>249.91492892915099</c:v>
              </c:pt>
              <c:pt idx="13">
                <c:v>245.40752422173699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078-4CE9-B7D9-6D78C0291932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078-4CE9-B7D9-6D78C029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656768"/>
        <c:axId val="350666752"/>
      </c:lineChart>
      <c:catAx>
        <c:axId val="35065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6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66675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6567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-18.600000000000001</c:v>
              </c:pt>
              <c:pt idx="1">
                <c:v>-12</c:v>
              </c:pt>
              <c:pt idx="2">
                <c:v>-29.152999999999899</c:v>
              </c:pt>
              <c:pt idx="3">
                <c:v>-1.151</c:v>
              </c:pt>
              <c:pt idx="4">
                <c:v>-16.0719999999999</c:v>
              </c:pt>
              <c:pt idx="5">
                <c:v>-72.460999999999999</c:v>
              </c:pt>
              <c:pt idx="6">
                <c:v>-124.176999999999</c:v>
              </c:pt>
              <c:pt idx="7">
                <c:v>-31.27</c:v>
              </c:pt>
              <c:pt idx="8">
                <c:v>-184.81100000000001</c:v>
              </c:pt>
              <c:pt idx="9">
                <c:v>-361.49345019899602</c:v>
              </c:pt>
              <c:pt idx="10">
                <c:v>-35.424838159496602</c:v>
              </c:pt>
              <c:pt idx="11">
                <c:v>-56.242012464730401</c:v>
              </c:pt>
              <c:pt idx="12">
                <c:v>-56.737250843887402</c:v>
              </c:pt>
              <c:pt idx="13">
                <c:v>-53.6909701918349</c:v>
              </c:pt>
            </c:numLit>
          </c:val>
          <c:extLst>
            <c:ext xmlns:c16="http://schemas.microsoft.com/office/drawing/2014/chart" uri="{C3380CC4-5D6E-409C-BE32-E72D297353CC}">
              <c16:uniqueId val="{00000000-7049-44E8-82BD-6046C4FE6C70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-18.600000000000001</c:v>
              </c:pt>
              <c:pt idx="1">
                <c:v>-12</c:v>
              </c:pt>
              <c:pt idx="2">
                <c:v>-29.152999999999899</c:v>
              </c:pt>
              <c:pt idx="3">
                <c:v>-1.151</c:v>
              </c:pt>
              <c:pt idx="4">
                <c:v>-16.0719999999999</c:v>
              </c:pt>
              <c:pt idx="5">
                <c:v>-72.460999999999999</c:v>
              </c:pt>
              <c:pt idx="6">
                <c:v>-124.176999999999</c:v>
              </c:pt>
              <c:pt idx="7">
                <c:v>-31.27</c:v>
              </c:pt>
              <c:pt idx="8">
                <c:v>-184.81100000000001</c:v>
              </c:pt>
              <c:pt idx="9">
                <c:v>-353.964117963202</c:v>
              </c:pt>
              <c:pt idx="10">
                <c:v>-19.594944298682002</c:v>
              </c:pt>
              <c:pt idx="11">
                <c:v>-40.275540832613203</c:v>
              </c:pt>
              <c:pt idx="12">
                <c:v>-44.257711303841297</c:v>
              </c:pt>
              <c:pt idx="13">
                <c:v>-39.715527857086897</c:v>
              </c:pt>
            </c:numLit>
          </c:val>
          <c:extLst>
            <c:ext xmlns:c16="http://schemas.microsoft.com/office/drawing/2014/chart" uri="{C3380CC4-5D6E-409C-BE32-E72D297353CC}">
              <c16:uniqueId val="{00000001-7049-44E8-82BD-6046C4FE6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1344"/>
        <c:axId val="350762880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-18.600000000000001</c:v>
              </c:pt>
              <c:pt idx="1">
                <c:v>-12</c:v>
              </c:pt>
              <c:pt idx="2">
                <c:v>-29.152999999999899</c:v>
              </c:pt>
              <c:pt idx="3">
                <c:v>-1.151</c:v>
              </c:pt>
              <c:pt idx="4">
                <c:v>-16.0719999999999</c:v>
              </c:pt>
              <c:pt idx="5">
                <c:v>-72.460999999999999</c:v>
              </c:pt>
              <c:pt idx="6">
                <c:v>-124.176999999999</c:v>
              </c:pt>
              <c:pt idx="7">
                <c:v>-31.27</c:v>
              </c:pt>
              <c:pt idx="8">
                <c:v>-184.81100000000001</c:v>
              </c:pt>
              <c:pt idx="9">
                <c:v>-354.79395110427402</c:v>
              </c:pt>
              <c:pt idx="10">
                <c:v>-20.988788379026801</c:v>
              </c:pt>
              <c:pt idx="11">
                <c:v>-41.776547792065699</c:v>
              </c:pt>
              <c:pt idx="12">
                <c:v>-45.8736290319234</c:v>
              </c:pt>
              <c:pt idx="13">
                <c:v>-41.4439268578762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049-44E8-82BD-6046C4FE6C70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049-44E8-82BD-6046C4FE6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61344"/>
        <c:axId val="350762880"/>
      </c:lineChart>
      <c:catAx>
        <c:axId val="35076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762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762880"/>
        <c:scaling>
          <c:orientation val="minMax"/>
          <c:max val="350"/>
          <c:min val="-25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761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tx>
            <c:v>Bull</c:v>
          </c:tx>
          <c:spPr>
            <a:solidFill>
              <a:srgbClr val="C0C0C0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109.299999999999</c:v>
              </c:pt>
              <c:pt idx="1">
                <c:v>115.786</c:v>
              </c:pt>
              <c:pt idx="2">
                <c:v>7.0270000000000001</c:v>
              </c:pt>
              <c:pt idx="3">
                <c:v>101.06100000000001</c:v>
              </c:pt>
              <c:pt idx="4">
                <c:v>9.0490000000000297</c:v>
              </c:pt>
              <c:pt idx="5">
                <c:v>359.4</c:v>
              </c:pt>
              <c:pt idx="6">
                <c:v>522.79999999999905</c:v>
              </c:pt>
              <c:pt idx="7">
                <c:v>410</c:v>
              </c:pt>
              <c:pt idx="8">
                <c:v>455.3</c:v>
              </c:pt>
              <c:pt idx="9">
                <c:v>956.39104189720797</c:v>
              </c:pt>
              <c:pt idx="10">
                <c:v>794.40035674931596</c:v>
              </c:pt>
              <c:pt idx="11">
                <c:v>572.99941691348795</c:v>
              </c:pt>
              <c:pt idx="12">
                <c:v>289.17749163844297</c:v>
              </c:pt>
              <c:pt idx="13">
                <c:v>-85.648864212582296</c:v>
              </c:pt>
            </c:numLit>
          </c:val>
          <c:extLst>
            <c:ext xmlns:c16="http://schemas.microsoft.com/office/drawing/2014/chart" uri="{C3380CC4-5D6E-409C-BE32-E72D297353CC}">
              <c16:uniqueId val="{00000000-A369-4D5A-871C-03D304BC2951}"/>
            </c:ext>
          </c:extLst>
        </c:ser>
        <c:ser>
          <c:idx val="2"/>
          <c:order val="2"/>
          <c:tx>
            <c:v>Bear</c:v>
          </c:tx>
          <c:spPr>
            <a:solidFill>
              <a:srgbClr val="FFFFFF"/>
            </a:solidFill>
            <a:ln w="25400">
              <a:noFill/>
            </a:ln>
          </c:spP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109.299999999999</c:v>
              </c:pt>
              <c:pt idx="1">
                <c:v>115.786</c:v>
              </c:pt>
              <c:pt idx="2">
                <c:v>7.0270000000000001</c:v>
              </c:pt>
              <c:pt idx="3">
                <c:v>101.06100000000001</c:v>
              </c:pt>
              <c:pt idx="4">
                <c:v>9.0490000000000297</c:v>
              </c:pt>
              <c:pt idx="5">
                <c:v>359.4</c:v>
              </c:pt>
              <c:pt idx="6">
                <c:v>522.79999999999905</c:v>
              </c:pt>
              <c:pt idx="7">
                <c:v>410</c:v>
              </c:pt>
              <c:pt idx="8">
                <c:v>455.3</c:v>
              </c:pt>
              <c:pt idx="9">
                <c:v>939.985008630126</c:v>
              </c:pt>
              <c:pt idx="10">
                <c:v>762.76835656461105</c:v>
              </c:pt>
              <c:pt idx="11">
                <c:v>545.85224383574405</c:v>
              </c:pt>
              <c:pt idx="12">
                <c:v>288.62873233569002</c:v>
              </c:pt>
              <c:pt idx="13">
                <c:v>-41.814327667060397</c:v>
              </c:pt>
            </c:numLit>
          </c:val>
          <c:extLst>
            <c:ext xmlns:c16="http://schemas.microsoft.com/office/drawing/2014/chart" uri="{C3380CC4-5D6E-409C-BE32-E72D297353CC}">
              <c16:uniqueId val="{00000001-A369-4D5A-871C-03D304BC2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79648"/>
        <c:axId val="350785536"/>
      </c:areaChart>
      <c:lineChart>
        <c:grouping val="standard"/>
        <c:varyColors val="0"/>
        <c:ser>
          <c:idx val="0"/>
          <c:order val="0"/>
          <c:tx>
            <c:v>Base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109.299999999999</c:v>
              </c:pt>
              <c:pt idx="1">
                <c:v>115.786</c:v>
              </c:pt>
              <c:pt idx="2">
                <c:v>7.0270000000000001</c:v>
              </c:pt>
              <c:pt idx="3">
                <c:v>101.06100000000001</c:v>
              </c:pt>
              <c:pt idx="4">
                <c:v>9.0490000000000297</c:v>
              </c:pt>
              <c:pt idx="5">
                <c:v>359.4</c:v>
              </c:pt>
              <c:pt idx="6">
                <c:v>522.79999999999905</c:v>
              </c:pt>
              <c:pt idx="7">
                <c:v>410</c:v>
              </c:pt>
              <c:pt idx="8">
                <c:v>455.3</c:v>
              </c:pt>
              <c:pt idx="9">
                <c:v>940.29284379010005</c:v>
              </c:pt>
              <c:pt idx="10">
                <c:v>762.35903416855604</c:v>
              </c:pt>
              <c:pt idx="11">
                <c:v>542.77526524023494</c:v>
              </c:pt>
              <c:pt idx="12">
                <c:v>280.61032292258898</c:v>
              </c:pt>
              <c:pt idx="13">
                <c:v>-57.415585559182396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369-4D5A-871C-03D304BC2951}"/>
            </c:ext>
          </c:extLst>
        </c:ser>
        <c:ser>
          <c:idx val="3"/>
          <c:order val="3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369-4D5A-871C-03D304BC2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79648"/>
        <c:axId val="350785536"/>
      </c:lineChart>
      <c:catAx>
        <c:axId val="35077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785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78553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7796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Net Debt/Equity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0.91311612364243899</c:v>
              </c:pt>
              <c:pt idx="1">
                <c:v>0.86029958094332304</c:v>
              </c:pt>
              <c:pt idx="2">
                <c:v>2.87682897871957E-2</c:v>
              </c:pt>
              <c:pt idx="3">
                <c:v>0.379962853791319</c:v>
              </c:pt>
              <c:pt idx="4">
                <c:v>1.9285772134201198E-2</c:v>
              </c:pt>
              <c:pt idx="5">
                <c:v>0.70126829268292601</c:v>
              </c:pt>
              <c:pt idx="6">
                <c:v>1.0916684067655</c:v>
              </c:pt>
              <c:pt idx="7">
                <c:v>0.76038575667655695</c:v>
              </c:pt>
              <c:pt idx="8">
                <c:v>0.74044560091071698</c:v>
              </c:pt>
              <c:pt idx="9">
                <c:v>0.229559288380112</c:v>
              </c:pt>
              <c:pt idx="10">
                <c:v>0.17393442855340799</c:v>
              </c:pt>
              <c:pt idx="11">
                <c:v>0.11456809687521299</c:v>
              </c:pt>
              <c:pt idx="12">
                <c:v>5.4446887252386798E-2</c:v>
              </c:pt>
              <c:pt idx="13">
                <c:v>-1.02156938270032E-2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AAF-4CE3-B63F-6DB858AE7AB1}"/>
            </c:ext>
          </c:extLst>
        </c:ser>
        <c:ser>
          <c:idx val="1"/>
          <c:order val="1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AF-4CE3-B63F-6DB858AE7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807552"/>
        <c:axId val="350809088"/>
      </c:lineChart>
      <c:catAx>
        <c:axId val="35080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80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80908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%_);\(#,##0.0%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8075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Net Debt/EBITDA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1.6841294298921401</c:v>
              </c:pt>
              <c:pt idx="1">
                <c:v>1.3767657550535</c:v>
              </c:pt>
              <c:pt idx="2">
                <c:v>8.3061465721040201E-2</c:v>
              </c:pt>
              <c:pt idx="3">
                <c:v>0.84925210084033598</c:v>
              </c:pt>
              <c:pt idx="4">
                <c:v>6.5858806404658105E-2</c:v>
              </c:pt>
              <c:pt idx="5">
                <c:v>2.0022284122562599</c:v>
              </c:pt>
              <c:pt idx="6">
                <c:v>2.12003244120032</c:v>
              </c:pt>
              <c:pt idx="7">
                <c:v>1.3838634768050899</c:v>
              </c:pt>
              <c:pt idx="8">
                <c:v>1.1847514962268999</c:v>
              </c:pt>
              <c:pt idx="9">
                <c:v>1.6624487263738099</c:v>
              </c:pt>
              <c:pt idx="10">
                <c:v>1.03197744957418</c:v>
              </c:pt>
              <c:pt idx="11">
                <c:v>0.60978656786696905</c:v>
              </c:pt>
              <c:pt idx="12">
                <c:v>0.24053383493681299</c:v>
              </c:pt>
              <c:pt idx="13">
                <c:v>-0.108195511921176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E97-4378-89F4-4F066D9EAC8C}"/>
            </c:ext>
          </c:extLst>
        </c:ser>
        <c:ser>
          <c:idx val="1"/>
          <c:order val="1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E97-4378-89F4-4F066D9EA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54560"/>
        <c:axId val="351156096"/>
      </c:lineChart>
      <c:catAx>
        <c:axId val="35115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15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1560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%_);\(#,##0.0%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154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Operating CF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51.2</c:v>
              </c:pt>
              <c:pt idx="1">
                <c:v>77.900000000000006</c:v>
              </c:pt>
              <c:pt idx="2">
                <c:v>54.569000000000003</c:v>
              </c:pt>
              <c:pt idx="3">
                <c:v>107.495</c:v>
              </c:pt>
              <c:pt idx="4">
                <c:v>101.985999999999</c:v>
              </c:pt>
              <c:pt idx="5">
                <c:v>90.934999999999903</c:v>
              </c:pt>
              <c:pt idx="6">
                <c:v>291.91699999999901</c:v>
              </c:pt>
              <c:pt idx="7">
                <c:v>128.093999999999</c:v>
              </c:pt>
              <c:pt idx="8">
                <c:v>191.28199999999899</c:v>
              </c:pt>
              <c:pt idx="9">
                <c:v>119.252034030202</c:v>
              </c:pt>
              <c:pt idx="10">
                <c:v>491.02084504906099</c:v>
              </c:pt>
              <c:pt idx="11">
                <c:v>596.51417746679704</c:v>
              </c:pt>
              <c:pt idx="12">
                <c:v>698.68422494073695</c:v>
              </c:pt>
              <c:pt idx="13">
                <c:v>788.58057014269002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3E6-4AB1-9834-8927952904A5}"/>
            </c:ext>
          </c:extLst>
        </c:ser>
        <c:ser>
          <c:idx val="1"/>
          <c:order val="1"/>
          <c:tx>
            <c:v>FCF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3E6-4AB1-9834-892795290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81824"/>
        <c:axId val="351187712"/>
      </c:lineChart>
      <c:catAx>
        <c:axId val="35118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187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18771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181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ROA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-0.18795620437956101</c:v>
              </c:pt>
              <c:pt idx="1">
                <c:v>-2.39175908750048E-2</c:v>
              </c:pt>
              <c:pt idx="2">
                <c:v>-3.5519120543415002E-2</c:v>
              </c:pt>
              <c:pt idx="3">
                <c:v>1.7169117832929601E-2</c:v>
              </c:pt>
              <c:pt idx="4">
                <c:v>1.62229711224046E-2</c:v>
              </c:pt>
              <c:pt idx="5">
                <c:v>4.6040213377102901E-2</c:v>
              </c:pt>
              <c:pt idx="6">
                <c:v>-7.0194384449244101E-3</c:v>
              </c:pt>
              <c:pt idx="7">
                <c:v>8.3900525177633495E-2</c:v>
              </c:pt>
              <c:pt idx="8">
                <c:v>4.8248392903059802E-2</c:v>
              </c:pt>
              <c:pt idx="9">
                <c:v>4.0132149746006401E-2</c:v>
              </c:pt>
              <c:pt idx="10">
                <c:v>6.5287051161286899E-2</c:v>
              </c:pt>
              <c:pt idx="11">
                <c:v>7.5832000787330697E-2</c:v>
              </c:pt>
              <c:pt idx="12">
                <c:v>8.3067743902193306E-2</c:v>
              </c:pt>
              <c:pt idx="13">
                <c:v>8.6582322648087101E-2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1F6-4037-8518-641CC62B125B}"/>
            </c:ext>
          </c:extLst>
        </c:ser>
        <c:ser>
          <c:idx val="1"/>
          <c:order val="1"/>
          <c:tx>
            <c:v>ROE</c:v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-0.51629072681704202</c:v>
              </c:pt>
              <c:pt idx="1">
                <c:v>-6.30368234909498E-2</c:v>
              </c:pt>
              <c:pt idx="2">
                <c:v>-7.7302241036264305E-2</c:v>
              </c:pt>
              <c:pt idx="3">
                <c:v>3.8304207898456899E-2</c:v>
              </c:pt>
              <c:pt idx="4">
                <c:v>3.5221203479921401E-2</c:v>
              </c:pt>
              <c:pt idx="5">
                <c:v>0.10946341463414599</c:v>
              </c:pt>
              <c:pt idx="6">
                <c:v>-2.7145541866777999E-2</c:v>
              </c:pt>
              <c:pt idx="7">
                <c:v>0.25184161721068199</c:v>
              </c:pt>
              <c:pt idx="8">
                <c:v>0.15257602862253999</c:v>
              </c:pt>
              <c:pt idx="9">
                <c:v>5.52346971218464E-2</c:v>
              </c:pt>
              <c:pt idx="10">
                <c:v>8.7290415243917799E-2</c:v>
              </c:pt>
              <c:pt idx="11">
                <c:v>9.9784395114014102E-2</c:v>
              </c:pt>
              <c:pt idx="12">
                <c:v>0.107688896291577</c:v>
              </c:pt>
              <c:pt idx="13">
                <c:v>0.110668576172213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1F6-4037-8518-641CC62B125B}"/>
            </c:ext>
          </c:extLst>
        </c:ser>
        <c:ser>
          <c:idx val="2"/>
          <c:order val="2"/>
          <c:tx>
            <c:v>ROCE</c:v>
          </c:tx>
          <c:spPr>
            <a:ln w="25400">
              <a:solidFill>
                <a:srgbClr val="32C464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4"/>
              <c:pt idx="0">
                <c:v>2002</c:v>
              </c:pt>
              <c:pt idx="1">
                <c:v>2003</c:v>
              </c:pt>
              <c:pt idx="2">
                <c:v>2004</c:v>
              </c:pt>
              <c:pt idx="3">
                <c:v>2005</c:v>
              </c:pt>
              <c:pt idx="4">
                <c:v>2006</c:v>
              </c:pt>
              <c:pt idx="5">
                <c:v>2007</c:v>
              </c:pt>
              <c:pt idx="6">
                <c:v>2008</c:v>
              </c:pt>
              <c:pt idx="7">
                <c:v>2009</c:v>
              </c:pt>
              <c:pt idx="8">
                <c:v>2010</c:v>
              </c:pt>
              <c:pt idx="9">
                <c:v>2011</c:v>
              </c:pt>
              <c:pt idx="10">
                <c:v>2012</c:v>
              </c:pt>
              <c:pt idx="11">
                <c:v>2013</c:v>
              </c:pt>
              <c:pt idx="12">
                <c:v>2014</c:v>
              </c:pt>
              <c:pt idx="13">
                <c:v>2015</c:v>
              </c:pt>
            </c:numLit>
          </c:cat>
          <c:val>
            <c:numLit>
              <c:formatCode>General</c:formatCode>
              <c:ptCount val="14"/>
              <c:pt idx="0">
                <c:v>-4.4960698689956197E-2</c:v>
              </c:pt>
              <c:pt idx="1">
                <c:v>-1.5009705480600899E-2</c:v>
              </c:pt>
              <c:pt idx="2">
                <c:v>-4.4352995952867E-2</c:v>
              </c:pt>
              <c:pt idx="3">
                <c:v>3.8096322714058703E-2</c:v>
              </c:pt>
              <c:pt idx="4">
                <c:v>6.5617045300101401E-2</c:v>
              </c:pt>
              <c:pt idx="5">
                <c:v>7.7740566578736001E-2</c:v>
              </c:pt>
              <c:pt idx="6">
                <c:v>9.7843665768194005E-2</c:v>
              </c:pt>
              <c:pt idx="7">
                <c:v>0.15767964601769899</c:v>
              </c:pt>
              <c:pt idx="8">
                <c:v>0.175576527751822</c:v>
              </c:pt>
              <c:pt idx="9">
                <c:v>5.6487779482805499E-2</c:v>
              </c:pt>
              <c:pt idx="10">
                <c:v>7.5483630545822897E-2</c:v>
              </c:pt>
              <c:pt idx="11">
                <c:v>8.7119985258781799E-2</c:v>
              </c:pt>
              <c:pt idx="12">
                <c:v>9.6428932290503894E-2</c:v>
              </c:pt>
              <c:pt idx="13">
                <c:v>0.106075949873614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1F6-4037-8518-641CC62B1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98592"/>
        <c:axId val="444728448"/>
      </c:lineChart>
      <c:catAx>
        <c:axId val="35119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2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4728448"/>
        <c:scaling>
          <c:orientation val="minMax"/>
          <c:min val="-0.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198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Tax Rate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7"/>
              <c:pt idx="0">
                <c:v>2009</c:v>
              </c:pt>
              <c:pt idx="1">
                <c:v>2010</c:v>
              </c:pt>
              <c:pt idx="2">
                <c:v>2011</c:v>
              </c:pt>
              <c:pt idx="3">
                <c:v>2012</c:v>
              </c:pt>
              <c:pt idx="4">
                <c:v>2013</c:v>
              </c:pt>
              <c:pt idx="5">
                <c:v>2014</c:v>
              </c:pt>
              <c:pt idx="6">
                <c:v>2015</c:v>
              </c:pt>
            </c:numLit>
          </c:cat>
          <c:val>
            <c:numLit>
              <c:formatCode>General</c:formatCode>
              <c:ptCount val="7"/>
              <c:pt idx="0">
                <c:v>0.13387467481625501</c:v>
              </c:pt>
              <c:pt idx="1">
                <c:v>0.31126348013125898</c:v>
              </c:pt>
              <c:pt idx="2">
                <c:v>0.218394706828825</c:v>
              </c:pt>
              <c:pt idx="3">
                <c:v>0.19312921821919801</c:v>
              </c:pt>
              <c:pt idx="4">
                <c:v>0.226155086188393</c:v>
              </c:pt>
              <c:pt idx="5">
                <c:v>0.24616190370155699</c:v>
              </c:pt>
              <c:pt idx="6">
                <c:v>0.29234306128174697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EA-4FB0-9730-9389953D3F52}"/>
            </c:ext>
          </c:extLst>
        </c:ser>
        <c:ser>
          <c:idx val="1"/>
          <c:order val="1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Lit>
              <c:formatCode>General</c:formatCode>
              <c:ptCount val="7"/>
              <c:pt idx="0">
                <c:v>2009</c:v>
              </c:pt>
              <c:pt idx="1">
                <c:v>2010</c:v>
              </c:pt>
              <c:pt idx="2">
                <c:v>2011</c:v>
              </c:pt>
              <c:pt idx="3">
                <c:v>2012</c:v>
              </c:pt>
              <c:pt idx="4">
                <c:v>2013</c:v>
              </c:pt>
              <c:pt idx="5">
                <c:v>2014</c:v>
              </c:pt>
              <c:pt idx="6">
                <c:v>2015</c:v>
              </c:pt>
            </c:numLit>
          </c:cat>
          <c:val>
            <c:numLit>
              <c:formatCode>General</c:formatCode>
              <c:ptCount val="7"/>
              <c:pt idx="0">
                <c:v>0.34211974466211698</c:v>
              </c:pt>
              <c:pt idx="1">
                <c:v>0.33438636014540901</c:v>
              </c:pt>
              <c:pt idx="2">
                <c:v>0.34</c:v>
              </c:pt>
              <c:pt idx="3">
                <c:v>0.34</c:v>
              </c:pt>
              <c:pt idx="4">
                <c:v>0.34</c:v>
              </c:pt>
              <c:pt idx="5">
                <c:v>0.34</c:v>
              </c:pt>
              <c:pt idx="6">
                <c:v>0.34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EA-4FB0-9730-9389953D3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746368"/>
        <c:axId val="444752256"/>
      </c:lineChart>
      <c:catAx>
        <c:axId val="44474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5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47522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46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Charts_Support!$A$377</c:f>
              <c:strCache>
                <c:ptCount val="1"/>
                <c:pt idx="0">
                  <c:v>Bull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Ref>
              <c:f>Charts_Support!$K$376:$P$376</c:f>
              <c:numCache>
                <c:formatCode>#,##0.0\x</c:formatCode>
                <c:ptCount val="6"/>
                <c:pt idx="0">
                  <c:v>1.0172365969011579</c:v>
                </c:pt>
                <c:pt idx="1">
                  <c:v>2.9754325032941731</c:v>
                </c:pt>
                <c:pt idx="2">
                  <c:v>0.95884556905349005</c:v>
                </c:pt>
                <c:pt idx="3">
                  <c:v>1.8748226977674256</c:v>
                </c:pt>
                <c:pt idx="4">
                  <c:v>2.0301381315156375</c:v>
                </c:pt>
                <c:pt idx="5">
                  <c:v>1.6284341988787252</c:v>
                </c:pt>
              </c:numCache>
            </c:numRef>
          </c:cat>
          <c:val>
            <c:numRef>
              <c:f>Charts_Support!$K$377:$P$377</c:f>
              <c:numCache>
                <c:formatCode>#,##0.0\x</c:formatCode>
                <c:ptCount val="6"/>
                <c:pt idx="0">
                  <c:v>1.0172365969011579</c:v>
                </c:pt>
                <c:pt idx="1">
                  <c:v>2.9754325032941731</c:v>
                </c:pt>
                <c:pt idx="2">
                  <c:v>0.95884556905349005</c:v>
                </c:pt>
                <c:pt idx="3">
                  <c:v>1.8748226977674256</c:v>
                </c:pt>
                <c:pt idx="4">
                  <c:v>2.0301381315156375</c:v>
                </c:pt>
                <c:pt idx="5">
                  <c:v>1.6284341988787252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5-44BD-BFAF-198AB8667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63136"/>
        <c:axId val="444764928"/>
      </c:lineChart>
      <c:lineChart>
        <c:grouping val="standard"/>
        <c:varyColors val="0"/>
        <c:ser>
          <c:idx val="1"/>
          <c:order val="1"/>
          <c:tx>
            <c:strRef>
              <c:f>Charts_Support!#REF!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Charts_Support!$K$376:$P$376</c:f>
              <c:numCache>
                <c:formatCode>#,##0.0\x</c:formatCode>
                <c:ptCount val="6"/>
                <c:pt idx="0">
                  <c:v>1.0172365969011579</c:v>
                </c:pt>
                <c:pt idx="1">
                  <c:v>2.9754325032941731</c:v>
                </c:pt>
                <c:pt idx="2">
                  <c:v>0.95884556905349005</c:v>
                </c:pt>
                <c:pt idx="3">
                  <c:v>1.8748226977674256</c:v>
                </c:pt>
                <c:pt idx="4">
                  <c:v>2.0301381315156375</c:v>
                </c:pt>
                <c:pt idx="5">
                  <c:v>1.6284341988787252</c:v>
                </c:pt>
              </c:numCache>
            </c:numRef>
          </c:cat>
          <c:val>
            <c:numRef>
              <c:f>Charts_Support!#REF!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5-44BD-BFAF-198AB8667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66464"/>
        <c:axId val="444784640"/>
      </c:lineChart>
      <c:catAx>
        <c:axId val="444763136"/>
        <c:scaling>
          <c:orientation val="minMax"/>
        </c:scaling>
        <c:delete val="0"/>
        <c:axPos val="b"/>
        <c:numFmt formatCode="#,##0.0\x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64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47649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63136"/>
        <c:crosses val="autoZero"/>
        <c:crossBetween val="between"/>
      </c:valAx>
      <c:catAx>
        <c:axId val="444766464"/>
        <c:scaling>
          <c:orientation val="minMax"/>
        </c:scaling>
        <c:delete val="1"/>
        <c:axPos val="b"/>
        <c:numFmt formatCode="#,##0.0\x" sourceLinked="1"/>
        <c:majorTickMark val="out"/>
        <c:minorTickMark val="none"/>
        <c:tickLblPos val="nextTo"/>
        <c:crossAx val="444784640"/>
        <c:crosses val="autoZero"/>
        <c:auto val="1"/>
        <c:lblAlgn val="ctr"/>
        <c:lblOffset val="100"/>
        <c:noMultiLvlLbl val="0"/>
      </c:catAx>
      <c:valAx>
        <c:axId val="44478464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66464"/>
        <c:crosses val="max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Charts_Support!$A$277</c:f>
              <c:strCache>
                <c:ptCount val="1"/>
              </c:strCache>
            </c:strRef>
          </c:tx>
          <c:cat>
            <c:numRef>
              <c:f>Charts_Support!$K$276:$P$276</c:f>
              <c:numCache>
                <c:formatCode>0.0%</c:formatCode>
                <c:ptCount val="6"/>
                <c:pt idx="0">
                  <c:v>1.1363422149178406</c:v>
                </c:pt>
                <c:pt idx="1">
                  <c:v>1.8964170818354769</c:v>
                </c:pt>
                <c:pt idx="2">
                  <c:v>3.4140538420776352</c:v>
                </c:pt>
                <c:pt idx="3">
                  <c:v>3.4734207883532133</c:v>
                </c:pt>
                <c:pt idx="4">
                  <c:v>9.2886636364112665</c:v>
                </c:pt>
                <c:pt idx="5">
                  <c:v>1.7655932349571026</c:v>
                </c:pt>
              </c:numCache>
            </c:numRef>
          </c:cat>
          <c:val>
            <c:numRef>
              <c:f>Charts_Support!$K$277:$P$277</c:f>
              <c:numCache>
                <c:formatCode>#,##0_);\(#,##0\)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3-4D7B-A079-AB0497101592}"/>
            </c:ext>
          </c:extLst>
        </c:ser>
        <c:ser>
          <c:idx val="1"/>
          <c:order val="1"/>
          <c:tx>
            <c:strRef>
              <c:f>Charts_Support!$A$278</c:f>
              <c:strCache>
                <c:ptCount val="1"/>
                <c:pt idx="0">
                  <c:v>Depreciation/PP&amp;E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Charts_Support!$K$276:$P$276</c:f>
              <c:numCache>
                <c:formatCode>0.0%</c:formatCode>
                <c:ptCount val="6"/>
                <c:pt idx="0">
                  <c:v>1.1363422149178406</c:v>
                </c:pt>
                <c:pt idx="1">
                  <c:v>1.8964170818354769</c:v>
                </c:pt>
                <c:pt idx="2">
                  <c:v>3.4140538420776352</c:v>
                </c:pt>
                <c:pt idx="3">
                  <c:v>3.4734207883532133</c:v>
                </c:pt>
                <c:pt idx="4">
                  <c:v>9.2886636364112665</c:v>
                </c:pt>
                <c:pt idx="5">
                  <c:v>1.7655932349571026</c:v>
                </c:pt>
              </c:numCache>
            </c:numRef>
          </c:cat>
          <c:val>
            <c:numRef>
              <c:f>Charts_Support!$K$278:$P$278</c:f>
              <c:numCache>
                <c:formatCode>0.0%</c:formatCode>
                <c:ptCount val="6"/>
                <c:pt idx="0">
                  <c:v>0.16977778835594881</c:v>
                </c:pt>
                <c:pt idx="1">
                  <c:v>0.15036624818171038</c:v>
                </c:pt>
                <c:pt idx="2">
                  <c:v>0.12703907873606834</c:v>
                </c:pt>
                <c:pt idx="3">
                  <c:v>0.11313182026146074</c:v>
                </c:pt>
                <c:pt idx="4">
                  <c:v>5.6746655771063206E-2</c:v>
                </c:pt>
                <c:pt idx="5">
                  <c:v>7.8488153639657346E-2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3-4D7B-A079-AB0497101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53760"/>
        <c:axId val="476855296"/>
      </c:lineChart>
      <c:catAx>
        <c:axId val="476853760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85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552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8537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Charts_Support!$A$249</c:f>
              <c:strCache>
                <c:ptCount val="1"/>
                <c:pt idx="0">
                  <c:v>Gross margin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val>
            <c:numRef>
              <c:f>Charts_Support!$J$249:$P$249</c:f>
              <c:numCache>
                <c:formatCode>0.0%</c:formatCode>
                <c:ptCount val="7"/>
                <c:pt idx="0">
                  <c:v>0.63125315808713112</c:v>
                </c:pt>
                <c:pt idx="1">
                  <c:v>0.64669997238750132</c:v>
                </c:pt>
                <c:pt idx="2">
                  <c:v>0.64590309132778334</c:v>
                </c:pt>
                <c:pt idx="3">
                  <c:v>0.64796305902438944</c:v>
                </c:pt>
                <c:pt idx="4">
                  <c:v>0.6674181623550175</c:v>
                </c:pt>
                <c:pt idx="5">
                  <c:v>0.68085861320410679</c:v>
                </c:pt>
                <c:pt idx="6">
                  <c:v>0.68566780813008366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Charts_Support!#REF!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535-483D-BE2D-62D941E6933B}"/>
            </c:ext>
          </c:extLst>
        </c:ser>
        <c:ser>
          <c:idx val="1"/>
          <c:order val="1"/>
          <c:tx>
            <c:strRef>
              <c:f>Charts_Support!$A$250</c:f>
              <c:strCache>
                <c:ptCount val="1"/>
                <c:pt idx="0">
                  <c:v>Adj. EBITDA Margin</c:v>
                </c:pt>
              </c:strCache>
            </c:strRef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val>
            <c:numRef>
              <c:f>Charts_Support!$J$250:$P$250</c:f>
              <c:numCache>
                <c:formatCode>0.0%</c:formatCode>
                <c:ptCount val="7"/>
                <c:pt idx="0">
                  <c:v>0.11648149120754761</c:v>
                </c:pt>
                <c:pt idx="1">
                  <c:v>0.1111882949727438</c:v>
                </c:pt>
                <c:pt idx="2">
                  <c:v>0.10422536185654681</c:v>
                </c:pt>
                <c:pt idx="3">
                  <c:v>0.11894400338237031</c:v>
                </c:pt>
                <c:pt idx="4">
                  <c:v>0.14869571775379922</c:v>
                </c:pt>
                <c:pt idx="5">
                  <c:v>0.21876948306060612</c:v>
                </c:pt>
                <c:pt idx="6">
                  <c:v>0.20992074671082869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Charts_Support!#REF!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535-483D-BE2D-62D941E6933B}"/>
            </c:ext>
          </c:extLst>
        </c:ser>
        <c:ser>
          <c:idx val="2"/>
          <c:order val="2"/>
          <c:tx>
            <c:strRef>
              <c:f>Charts_Support!$A$251</c:f>
              <c:strCache>
                <c:ptCount val="1"/>
                <c:pt idx="0">
                  <c:v>EBIT Margin</c:v>
                </c:pt>
              </c:strCache>
            </c:strRef>
          </c:tx>
          <c:spPr>
            <a:ln w="38100">
              <a:solidFill>
                <a:srgbClr val="32C464"/>
              </a:solidFill>
              <a:prstDash val="solid"/>
            </a:ln>
          </c:spPr>
          <c:marker>
            <c:symbol val="none"/>
          </c:marker>
          <c:val>
            <c:numRef>
              <c:f>Charts_Support!$J$251:$P$251</c:f>
              <c:numCache>
                <c:formatCode>0.0%</c:formatCode>
                <c:ptCount val="7"/>
                <c:pt idx="0">
                  <c:v>3.9020128027207474E-2</c:v>
                </c:pt>
                <c:pt idx="1">
                  <c:v>3.6531447073074985E-2</c:v>
                </c:pt>
                <c:pt idx="2">
                  <c:v>4.2356642880702018E-2</c:v>
                </c:pt>
                <c:pt idx="3">
                  <c:v>5.9341190766265067E-2</c:v>
                </c:pt>
                <c:pt idx="4">
                  <c:v>7.1066747747756454E-2</c:v>
                </c:pt>
                <c:pt idx="5">
                  <c:v>6.3903276520372351E-2</c:v>
                </c:pt>
                <c:pt idx="6">
                  <c:v>7.2900321775241958E-2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Charts_Support!#REF!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535-483D-BE2D-62D941E6933B}"/>
            </c:ext>
          </c:extLst>
        </c:ser>
        <c:ser>
          <c:idx val="3"/>
          <c:order val="3"/>
          <c:tx>
            <c:strRef>
              <c:f>Charts_Support!$A$252</c:f>
              <c:strCache>
                <c:ptCount val="1"/>
                <c:pt idx="0">
                  <c:v>Net Profit Margin</c:v>
                </c:pt>
              </c:strCache>
            </c:strRef>
          </c:tx>
          <c:spPr>
            <a:ln w="38100">
              <a:solidFill>
                <a:srgbClr val="9DDEED"/>
              </a:solidFill>
              <a:prstDash val="solid"/>
            </a:ln>
          </c:spPr>
          <c:marker>
            <c:symbol val="none"/>
          </c:marker>
          <c:val>
            <c:numRef>
              <c:f>Charts_Support!$J$252:$P$252</c:f>
              <c:numCache>
                <c:formatCode>0.0%</c:formatCode>
                <c:ptCount val="7"/>
                <c:pt idx="0">
                  <c:v>1.2081870428379667E-2</c:v>
                </c:pt>
                <c:pt idx="1">
                  <c:v>1.6837611786083142E-2</c:v>
                </c:pt>
                <c:pt idx="2">
                  <c:v>1.9599300855681501E-2</c:v>
                </c:pt>
                <c:pt idx="3">
                  <c:v>2.7113772515326595E-2</c:v>
                </c:pt>
                <c:pt idx="4">
                  <c:v>4.3341661010401593E-2</c:v>
                </c:pt>
                <c:pt idx="5">
                  <c:v>2.9239409822390254E-2</c:v>
                </c:pt>
                <c:pt idx="6">
                  <c:v>3.0388830952662326E-2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Charts_Support!#REF!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535-483D-BE2D-62D941E69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888064"/>
        <c:axId val="476898048"/>
      </c:lineChart>
      <c:catAx>
        <c:axId val="47688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89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980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888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Charts_Support!$A$51</c:f>
              <c:strCache>
                <c:ptCount val="1"/>
                <c:pt idx="0">
                  <c:v>Base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Charts_Support!$J$453:$Y$453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Ref>
              <c:f>Charts_Support!$J$454:$Y$454</c:f>
              <c:numCache>
                <c:formatCode>#,##0_);\(#,##0\)</c:formatCode>
                <c:ptCount val="16"/>
                <c:pt idx="0">
                  <c:v>2084.1030000000001</c:v>
                </c:pt>
                <c:pt idx="1">
                  <c:v>2072.723</c:v>
                </c:pt>
                <c:pt idx="2">
                  <c:v>2119.5929999999998</c:v>
                </c:pt>
                <c:pt idx="3">
                  <c:v>2310.6619999999998</c:v>
                </c:pt>
                <c:pt idx="4">
                  <c:v>2095.8180000000002</c:v>
                </c:pt>
                <c:pt idx="5">
                  <c:v>2166.6999999999998</c:v>
                </c:pt>
                <c:pt idx="6">
                  <c:v>2274.9250000000002</c:v>
                </c:pt>
                <c:pt idx="7">
                  <c:v>2443.9969999999998</c:v>
                </c:pt>
                <c:pt idx="8">
                  <c:v>2396.7440000000001</c:v>
                </c:pt>
                <c:pt idx="9">
                  <c:v>2595.1480000000001</c:v>
                </c:pt>
                <c:pt idx="10">
                  <c:v>2768.78</c:v>
                </c:pt>
                <c:pt idx="11">
                  <c:v>2935.8319999999999</c:v>
                </c:pt>
                <c:pt idx="12">
                  <c:v>2962.0479999999998</c:v>
                </c:pt>
                <c:pt idx="13">
                  <c:v>3426.5659999999998</c:v>
                </c:pt>
                <c:pt idx="14">
                  <c:v>3502.4520000000002</c:v>
                </c:pt>
                <c:pt idx="15">
                  <c:v>3628.4470000000001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4-4F1A-92B9-969993E4E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85312"/>
        <c:axId val="479086848"/>
      </c:lineChart>
      <c:catAx>
        <c:axId val="47908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86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0868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853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Charts_Support!$A$455</c:f>
              <c:strCache>
                <c:ptCount val="1"/>
                <c:pt idx="0">
                  <c:v>Seasonality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Charts_Support!$J$453:$Y$453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Ref>
              <c:f>Charts_Support!$J$455:$Y$455</c:f>
              <c:numCache>
                <c:formatCode>0.0%</c:formatCode>
                <c:ptCount val="16"/>
                <c:pt idx="0">
                  <c:v>0.24270214756329886</c:v>
                </c:pt>
                <c:pt idx="1">
                  <c:v>0.24137690095155734</c:v>
                </c:pt>
                <c:pt idx="2">
                  <c:v>0.24683510030940664</c:v>
                </c:pt>
                <c:pt idx="3">
                  <c:v>0.26908585117573713</c:v>
                </c:pt>
                <c:pt idx="4">
                  <c:v>0.2333498859871023</c:v>
                </c:pt>
                <c:pt idx="5">
                  <c:v>0.24124193893184162</c:v>
                </c:pt>
                <c:pt idx="6">
                  <c:v>0.25329178839918765</c:v>
                </c:pt>
                <c:pt idx="7">
                  <c:v>0.27211638668186833</c:v>
                </c:pt>
                <c:pt idx="8">
                  <c:v>0.22406797585454089</c:v>
                </c:pt>
                <c:pt idx="9">
                  <c:v>0.2426164660902291</c:v>
                </c:pt>
                <c:pt idx="10">
                  <c:v>0.25884905946840203</c:v>
                </c:pt>
                <c:pt idx="11">
                  <c:v>0.27446649858682798</c:v>
                </c:pt>
                <c:pt idx="12">
                  <c:v>0.21909428246416865</c:v>
                </c:pt>
                <c:pt idx="13">
                  <c:v>0.2534533603392371</c:v>
                </c:pt>
                <c:pt idx="14">
                  <c:v>0.25906643234856169</c:v>
                </c:pt>
                <c:pt idx="15">
                  <c:v>0.26838592484803264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9-4FCA-B4E4-05FC376C5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04000"/>
        <c:axId val="483984128"/>
      </c:lineChart>
      <c:catAx>
        <c:axId val="47910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98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39841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104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Charts_Support!$J$453:$Y$453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61A-4E91-9585-B4E902F05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09472"/>
        <c:axId val="484011008"/>
      </c:lineChart>
      <c:catAx>
        <c:axId val="48400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1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01100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094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Charts_Support!$J$453:$Y$453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4D-45FC-9DCE-20C5583B7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19584"/>
        <c:axId val="484025472"/>
      </c:lineChart>
      <c:catAx>
        <c:axId val="48401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25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02547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195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Charts_Support!$A$555</c:f>
              <c:strCache>
                <c:ptCount val="1"/>
              </c:strCache>
            </c:strRef>
          </c:tx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E97-4D99-A210-FBADC662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65280"/>
        <c:axId val="484066816"/>
      </c:lineChart>
      <c:lineChart>
        <c:grouping val="standard"/>
        <c:varyColors val="0"/>
        <c:ser>
          <c:idx val="0"/>
          <c:order val="0"/>
          <c:tx>
            <c:v># of Mega Units, right</c:v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E97-4D99-A210-FBADC662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68352"/>
        <c:axId val="484074240"/>
      </c:lineChart>
      <c:catAx>
        <c:axId val="48406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6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06681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65280"/>
        <c:crosses val="autoZero"/>
        <c:crossBetween val="between"/>
      </c:valAx>
      <c:catAx>
        <c:axId val="48406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484074240"/>
        <c:crosses val="autoZero"/>
        <c:auto val="1"/>
        <c:lblAlgn val="ctr"/>
        <c:lblOffset val="100"/>
        <c:noMultiLvlLbl val="0"/>
      </c:catAx>
      <c:valAx>
        <c:axId val="484074240"/>
        <c:scaling>
          <c:orientation val="minMax"/>
        </c:scaling>
        <c:delete val="0"/>
        <c:axPos val="r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68352"/>
        <c:crosses val="max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38100">
              <a:solidFill>
                <a:srgbClr val="F6C54C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D85-4683-9331-76F5D80F2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84736"/>
        <c:axId val="484086528"/>
      </c:lineChart>
      <c:lineChart>
        <c:grouping val="standard"/>
        <c:varyColors val="0"/>
        <c:ser>
          <c:idx val="0"/>
          <c:order val="0"/>
          <c:tx>
            <c:v>Mega Units, right</c:v>
          </c:tx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D85-4683-9331-76F5D80F2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88064"/>
        <c:axId val="484106240"/>
      </c:lineChart>
      <c:catAx>
        <c:axId val="4840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8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0865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84736"/>
        <c:crosses val="autoZero"/>
        <c:crossBetween val="between"/>
      </c:valAx>
      <c:catAx>
        <c:axId val="484088064"/>
        <c:scaling>
          <c:orientation val="minMax"/>
        </c:scaling>
        <c:delete val="1"/>
        <c:axPos val="b"/>
        <c:majorTickMark val="out"/>
        <c:minorTickMark val="none"/>
        <c:tickLblPos val="nextTo"/>
        <c:crossAx val="484106240"/>
        <c:crosses val="autoZero"/>
        <c:auto val="1"/>
        <c:lblAlgn val="ctr"/>
        <c:lblOffset val="100"/>
        <c:noMultiLvlLbl val="0"/>
      </c:catAx>
      <c:valAx>
        <c:axId val="484106240"/>
        <c:scaling>
          <c:orientation val="minMax"/>
        </c:scaling>
        <c:delete val="0"/>
        <c:axPos val="r"/>
        <c:numFmt formatCode="#,##0_);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088064"/>
        <c:crosses val="max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Charts_Support!$A$51</c:f>
              <c:strCache>
                <c:ptCount val="1"/>
                <c:pt idx="0">
                  <c:v>Base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numRef>
              <c:f>Charts_Support!$J$264:$AD$264</c:f>
              <c:numCache>
                <c:formatCode>#,##0_);\(#,##0\)</c:formatCode>
                <c:ptCount val="21"/>
                <c:pt idx="0">
                  <c:v>103.74800000000091</c:v>
                </c:pt>
                <c:pt idx="1">
                  <c:v>151.22599999999855</c:v>
                </c:pt>
                <c:pt idx="2">
                  <c:v>209.64400000000063</c:v>
                </c:pt>
                <c:pt idx="3">
                  <c:v>366.56500000000062</c:v>
                </c:pt>
                <c:pt idx="4">
                  <c:v>681.01300000000174</c:v>
                </c:pt>
                <c:pt idx="5">
                  <c:v>666.66600000000255</c:v>
                </c:pt>
                <c:pt idx="6">
                  <c:v>981.20599999999945</c:v>
                </c:pt>
                <c:pt idx="7">
                  <c:v>996.47199999999748</c:v>
                </c:pt>
                <c:pt idx="8">
                  <c:v>1089.4689999999987</c:v>
                </c:pt>
                <c:pt idx="9">
                  <c:v>953.25299999999891</c:v>
                </c:pt>
                <c:pt idx="10">
                  <c:v>926.66999999999723</c:v>
                </c:pt>
                <c:pt idx="11">
                  <c:v>-3186.0470000000023</c:v>
                </c:pt>
                <c:pt idx="12">
                  <c:v>835.13</c:v>
                </c:pt>
                <c:pt idx="13">
                  <c:v>1632.3349999999978</c:v>
                </c:pt>
                <c:pt idx="14">
                  <c:v>2930.7289999999962</c:v>
                </c:pt>
                <c:pt idx="15">
                  <c:v>1849.0240059977878</c:v>
                </c:pt>
                <c:pt idx="16">
                  <c:v>3294.5881362709633</c:v>
                </c:pt>
                <c:pt idx="17">
                  <c:v>4304.3811835827928</c:v>
                </c:pt>
                <c:pt idx="18">
                  <c:v>5424.3461349487834</c:v>
                </c:pt>
                <c:pt idx="19">
                  <c:v>6110.9042548005673</c:v>
                </c:pt>
                <c:pt idx="20">
                  <c:v>6670.7883791866443</c:v>
                </c:pt>
              </c:numCache>
            </c:numRef>
          </c:cat>
          <c:val>
            <c:numRef>
              <c:f>Charts_Support!$J$265:$AD$265</c:f>
              <c:numCache>
                <c:formatCode>#,##0_);\(#,##0\)</c:formatCode>
                <c:ptCount val="21"/>
                <c:pt idx="0">
                  <c:v>103.74800000000091</c:v>
                </c:pt>
                <c:pt idx="1">
                  <c:v>151.22599999999855</c:v>
                </c:pt>
                <c:pt idx="2">
                  <c:v>209.64400000000063</c:v>
                </c:pt>
                <c:pt idx="3">
                  <c:v>366.56500000000062</c:v>
                </c:pt>
                <c:pt idx="4">
                  <c:v>681.01300000000174</c:v>
                </c:pt>
                <c:pt idx="5">
                  <c:v>666.66600000000255</c:v>
                </c:pt>
                <c:pt idx="6">
                  <c:v>981.20599999999945</c:v>
                </c:pt>
                <c:pt idx="7">
                  <c:v>996.47199999999748</c:v>
                </c:pt>
                <c:pt idx="8">
                  <c:v>1089.4689999999987</c:v>
                </c:pt>
                <c:pt idx="9">
                  <c:v>953.25299999999891</c:v>
                </c:pt>
                <c:pt idx="10">
                  <c:v>926.66999999999723</c:v>
                </c:pt>
                <c:pt idx="11">
                  <c:v>-3186.0470000000023</c:v>
                </c:pt>
                <c:pt idx="12">
                  <c:v>835.13</c:v>
                </c:pt>
                <c:pt idx="13">
                  <c:v>1632.3349999999978</c:v>
                </c:pt>
                <c:pt idx="14">
                  <c:v>2930.7289999999962</c:v>
                </c:pt>
                <c:pt idx="15">
                  <c:v>1123.5562842488389</c:v>
                </c:pt>
                <c:pt idx="16">
                  <c:v>1901.1917619047149</c:v>
                </c:pt>
                <c:pt idx="17">
                  <c:v>2805.9030071771958</c:v>
                </c:pt>
                <c:pt idx="18">
                  <c:v>3841.7683674160339</c:v>
                </c:pt>
                <c:pt idx="19">
                  <c:v>4060.716629850177</c:v>
                </c:pt>
                <c:pt idx="20">
                  <c:v>4382.4137503565798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B-43EE-B666-B48F09B48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397632"/>
        <c:axId val="485399168"/>
      </c:lineChart>
      <c:catAx>
        <c:axId val="485397632"/>
        <c:scaling>
          <c:orientation val="minMax"/>
        </c:scaling>
        <c:delete val="0"/>
        <c:axPos val="b"/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39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3991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3976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Charts_Support!$A$51</c:f>
              <c:strCache>
                <c:ptCount val="1"/>
                <c:pt idx="0">
                  <c:v>Base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Charts_Support!$J$486:$Y$486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Ref>
              <c:f>Charts_Support!$J$487:$Y$487</c:f>
              <c:numCache>
                <c:formatCode>#,##0_);\(#,##0\)</c:formatCode>
                <c:ptCount val="16"/>
                <c:pt idx="0">
                  <c:v>173.76999999999998</c:v>
                </c:pt>
                <c:pt idx="1">
                  <c:v>190.00599999999986</c:v>
                </c:pt>
                <c:pt idx="2">
                  <c:v>237.23299999999972</c:v>
                </c:pt>
                <c:pt idx="3">
                  <c:v>399.22699999999986</c:v>
                </c:pt>
                <c:pt idx="4">
                  <c:v>223.70600000000013</c:v>
                </c:pt>
                <c:pt idx="5">
                  <c:v>253.53999999999996</c:v>
                </c:pt>
                <c:pt idx="6">
                  <c:v>237.52099999999996</c:v>
                </c:pt>
                <c:pt idx="7">
                  <c:v>283.86399999999981</c:v>
                </c:pt>
                <c:pt idx="8">
                  <c:v>227.35200000000009</c:v>
                </c:pt>
                <c:pt idx="9">
                  <c:v>310.75700000000029</c:v>
                </c:pt>
                <c:pt idx="10">
                  <c:v>284.21600000000012</c:v>
                </c:pt>
                <c:pt idx="11">
                  <c:v>292.52199999999993</c:v>
                </c:pt>
                <c:pt idx="12">
                  <c:v>285.25699999999983</c:v>
                </c:pt>
                <c:pt idx="13">
                  <c:v>431.18499999999972</c:v>
                </c:pt>
                <c:pt idx="14">
                  <c:v>412.52399999999989</c:v>
                </c:pt>
                <c:pt idx="15">
                  <c:v>479.09899999999993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9-4EA7-A37A-A3C9AF922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493376"/>
        <c:axId val="485499264"/>
      </c:lineChart>
      <c:catAx>
        <c:axId val="48549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49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49926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R$ mn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4933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Charts_Support!$A$51</c:f>
              <c:strCache>
                <c:ptCount val="1"/>
                <c:pt idx="0">
                  <c:v>Base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Charts_Support!$J$531:$Y$531</c:f>
              <c:strCache>
                <c:ptCount val="16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</c:strCache>
            </c:strRef>
          </c:cat>
          <c:val>
            <c:numRef>
              <c:f>Charts_Support!$J$532:$Y$532</c:f>
              <c:numCache>
                <c:formatCode>0.0%</c:formatCode>
                <c:ptCount val="16"/>
                <c:pt idx="0">
                  <c:v>8.3378796537407207E-2</c:v>
                </c:pt>
                <c:pt idx="1">
                  <c:v>9.1669750371853764E-2</c:v>
                </c:pt>
                <c:pt idx="2">
                  <c:v>0.11192384575718062</c:v>
                </c:pt>
                <c:pt idx="3">
                  <c:v>0.17277602695677685</c:v>
                </c:pt>
                <c:pt idx="4">
                  <c:v>0.10673923021941796</c:v>
                </c:pt>
                <c:pt idx="5">
                  <c:v>0.11701666128213412</c:v>
                </c:pt>
                <c:pt idx="6">
                  <c:v>0.10440827719595148</c:v>
                </c:pt>
                <c:pt idx="7">
                  <c:v>0.11614744207951148</c:v>
                </c:pt>
                <c:pt idx="8">
                  <c:v>9.4858691624971236E-2</c:v>
                </c:pt>
                <c:pt idx="9">
                  <c:v>0.11974538639029461</c:v>
                </c:pt>
                <c:pt idx="10">
                  <c:v>0.10265026473753787</c:v>
                </c:pt>
                <c:pt idx="11">
                  <c:v>9.9638535175037249E-2</c:v>
                </c:pt>
                <c:pt idx="12">
                  <c:v>9.6303976167840574E-2</c:v>
                </c:pt>
                <c:pt idx="13">
                  <c:v>0.12583589517902172</c:v>
                </c:pt>
                <c:pt idx="14">
                  <c:v>0.11778148565633444</c:v>
                </c:pt>
                <c:pt idx="15">
                  <c:v>0.13203968529786983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6-4ADA-AEE5-532519D29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20128"/>
        <c:axId val="485521664"/>
      </c:lineChart>
      <c:catAx>
        <c:axId val="48552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521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52166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520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>
              <a:solidFill>
                <a:srgbClr val="0083C3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5B4-4016-810C-1C52BE02CB32}"/>
            </c:ext>
          </c:extLst>
        </c:ser>
        <c:ser>
          <c:idx val="1"/>
          <c:order val="1"/>
          <c:tx>
            <c:v>Fleury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5B4-4016-810C-1C52BE02C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48032"/>
        <c:axId val="485549568"/>
      </c:lineChart>
      <c:catAx>
        <c:axId val="48554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549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5495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5480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Charts_Support!$A$260</c:f>
              <c:strCache>
                <c:ptCount val="1"/>
                <c:pt idx="0">
                  <c:v>Effective Tax Rate</c:v>
                </c:pt>
              </c:strCache>
            </c:strRef>
          </c:tx>
          <c:spPr>
            <a:ln w="38100">
              <a:solidFill>
                <a:srgbClr val="0083C3"/>
              </a:solidFill>
              <a:prstDash val="sysDash"/>
            </a:ln>
          </c:spPr>
          <c:marker>
            <c:symbol val="none"/>
          </c:marker>
          <c:cat>
            <c:numRef>
              <c:f>Charts_Support!$J$376:$P$376</c:f>
              <c:numCache>
                <c:formatCode>#,##0.0\x</c:formatCode>
                <c:ptCount val="7"/>
                <c:pt idx="0">
                  <c:v>0.8647159270412188</c:v>
                </c:pt>
                <c:pt idx="1">
                  <c:v>1.0172365969011579</c:v>
                </c:pt>
                <c:pt idx="2">
                  <c:v>2.9754325032941731</c:v>
                </c:pt>
                <c:pt idx="3">
                  <c:v>0.95884556905349005</c:v>
                </c:pt>
                <c:pt idx="4">
                  <c:v>1.8748226977674256</c:v>
                </c:pt>
                <c:pt idx="5">
                  <c:v>2.0301381315156375</c:v>
                </c:pt>
                <c:pt idx="6">
                  <c:v>1.6284341988787252</c:v>
                </c:pt>
              </c:numCache>
            </c:numRef>
          </c:cat>
          <c:val>
            <c:numRef>
              <c:f>Charts_Support!$J$260:$P$260</c:f>
              <c:numCache>
                <c:formatCode>0.0%</c:formatCode>
                <c:ptCount val="7"/>
                <c:pt idx="0">
                  <c:v>0.24510310259156246</c:v>
                </c:pt>
                <c:pt idx="1">
                  <c:v>0.44552362950279045</c:v>
                </c:pt>
                <c:pt idx="2">
                  <c:v>0.31129682527677688</c:v>
                </c:pt>
                <c:pt idx="3">
                  <c:v>0.35542397740235715</c:v>
                </c:pt>
                <c:pt idx="4">
                  <c:v>0.29993745775239533</c:v>
                </c:pt>
                <c:pt idx="5">
                  <c:v>0.36613038147179916</c:v>
                </c:pt>
                <c:pt idx="6">
                  <c:v>0.3217492956451497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6-47FB-8A1D-076A8B877BF2}"/>
            </c:ext>
          </c:extLst>
        </c:ser>
        <c:ser>
          <c:idx val="1"/>
          <c:order val="1"/>
          <c:tx>
            <c:strRef>
              <c:f>Charts_Support!#REF!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Charts_Support!$J$376:$P$376</c:f>
              <c:numCache>
                <c:formatCode>#,##0.0\x</c:formatCode>
                <c:ptCount val="7"/>
                <c:pt idx="0">
                  <c:v>0.8647159270412188</c:v>
                </c:pt>
                <c:pt idx="1">
                  <c:v>1.0172365969011579</c:v>
                </c:pt>
                <c:pt idx="2">
                  <c:v>2.9754325032941731</c:v>
                </c:pt>
                <c:pt idx="3">
                  <c:v>0.95884556905349005</c:v>
                </c:pt>
                <c:pt idx="4">
                  <c:v>1.8748226977674256</c:v>
                </c:pt>
                <c:pt idx="5">
                  <c:v>2.0301381315156375</c:v>
                </c:pt>
                <c:pt idx="6">
                  <c:v>1.6284341988787252</c:v>
                </c:pt>
              </c:numCache>
            </c:numRef>
          </c:cat>
          <c:val>
            <c:numRef>
              <c:f>Charts_Support!#REF!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76-47FB-8A1D-076A8B877BF2}"/>
            </c:ext>
          </c:extLst>
        </c:ser>
        <c:ser>
          <c:idx val="2"/>
          <c:order val="2"/>
          <c:tx>
            <c:strRef>
              <c:f>Charts_Support!$A$273</c:f>
              <c:strCache>
                <c:ptCount val="1"/>
                <c:pt idx="0">
                  <c:v>CapEx &amp; Depreciation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Ref>
              <c:f>Charts_Support!$J$273:$P$273</c:f>
              <c:numCache>
                <c:formatCode>General</c:formatCode>
                <c:ptCount val="7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76-47FB-8A1D-076A8B877BF2}"/>
            </c:ext>
          </c:extLst>
        </c:ser>
        <c:ser>
          <c:idx val="3"/>
          <c:order val="3"/>
          <c:tx>
            <c:strRef>
              <c:f>Charts_Support!$A$274</c:f>
              <c:strCache>
                <c:ptCount val="1"/>
                <c:pt idx="0">
                  <c:v>CapEx/Revenue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Charts_Support!$J$274:$P$274</c:f>
              <c:numCache>
                <c:formatCode>0.0%</c:formatCode>
                <c:ptCount val="7"/>
                <c:pt idx="0">
                  <c:v>6.4604141966286346E-2</c:v>
                </c:pt>
                <c:pt idx="1">
                  <c:v>8.4835727901093824E-2</c:v>
                </c:pt>
                <c:pt idx="2">
                  <c:v>0.11732889549707082</c:v>
                </c:pt>
                <c:pt idx="3">
                  <c:v>0.20348721141064771</c:v>
                </c:pt>
                <c:pt idx="4">
                  <c:v>0.20383244981039181</c:v>
                </c:pt>
                <c:pt idx="5">
                  <c:v>0.54431000881349789</c:v>
                </c:pt>
                <c:pt idx="6">
                  <c:v>0.10651486466832522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76-47FB-8A1D-076A8B877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651584"/>
        <c:axId val="485653120"/>
      </c:lineChart>
      <c:catAx>
        <c:axId val="485651584"/>
        <c:scaling>
          <c:orientation val="minMax"/>
        </c:scaling>
        <c:delete val="0"/>
        <c:axPos val="b"/>
        <c:numFmt formatCode="#,##0.0\x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653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6531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56515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3916175507531"/>
          <c:y val="5.1389057137088634E-2"/>
          <c:w val="0.87229862475442044"/>
          <c:h val="0.8077771047849787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Charts_Support!$A$288</c:f>
              <c:strCache>
                <c:ptCount val="1"/>
                <c:pt idx="0">
                  <c:v>Operating CF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Charts_Support!$B$288:$AE$288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8683.2629602539855</c:v>
                </c:pt>
                <c:pt idx="24">
                  <c:v>11262.414983510953</c:v>
                </c:pt>
                <c:pt idx="25">
                  <c:v>12295.137684298537</c:v>
                </c:pt>
                <c:pt idx="26">
                  <c:v>13526.349601935235</c:v>
                </c:pt>
                <c:pt idx="27">
                  <c:v>14218.995134775021</c:v>
                </c:pt>
                <c:pt idx="28">
                  <c:v>15153.850204052929</c:v>
                </c:pt>
                <c:pt idx="29">
                  <c:v>16315.438882107876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C-44E9-A30C-EE9402937521}"/>
            </c:ext>
          </c:extLst>
        </c:ser>
        <c:ser>
          <c:idx val="1"/>
          <c:order val="1"/>
          <c:tx>
            <c:strRef>
              <c:f>Charts_Support!$A$289</c:f>
              <c:strCache>
                <c:ptCount val="1"/>
                <c:pt idx="0">
                  <c:v>FCF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Charts_Support!$B$289:$AE$289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-3716.5787073305432</c:v>
                </c:pt>
                <c:pt idx="24">
                  <c:v>1334.7688589051527</c:v>
                </c:pt>
                <c:pt idx="25">
                  <c:v>3059.9007994789117</c:v>
                </c:pt>
                <c:pt idx="26">
                  <c:v>4009.4752972430506</c:v>
                </c:pt>
                <c:pt idx="27">
                  <c:v>3163.1146089782633</c:v>
                </c:pt>
                <c:pt idx="28">
                  <c:v>3228.1944880808451</c:v>
                </c:pt>
                <c:pt idx="29">
                  <c:v>3686.7335182771685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C-44E9-A30C-EE9402937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8000"/>
        <c:axId val="485889536"/>
      </c:lineChart>
      <c:catAx>
        <c:axId val="48588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5889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5889536"/>
        <c:scaling>
          <c:orientation val="minMax"/>
          <c:min val="-1500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3228552717747216"/>
              <c:y val="2.966350360051147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58880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224412541670569"/>
          <c:y val="1.7790652664376377E-2"/>
          <c:w val="0.4060267185702911"/>
          <c:h val="0.1200951109486009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1722331368696"/>
          <c:y val="6.2164516669458873E-2"/>
          <c:w val="0.8434839554682384"/>
          <c:h val="0.74258698431926773"/>
        </c:manualLayout>
      </c:layout>
      <c:areaChart>
        <c:grouping val="standard"/>
        <c:varyColors val="0"/>
        <c:ser>
          <c:idx val="1"/>
          <c:order val="2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Charts_Support!$B$264:$AE$264</c:f>
              <c:numCache>
                <c:formatCode>#,##0_);\(#,##0\)</c:formatCode>
                <c:ptCount val="30"/>
                <c:pt idx="0">
                  <c:v>31.013999999999928</c:v>
                </c:pt>
                <c:pt idx="1">
                  <c:v>148.92700000000005</c:v>
                </c:pt>
                <c:pt idx="2">
                  <c:v>128.14800000000005</c:v>
                </c:pt>
                <c:pt idx="3">
                  <c:v>154.60900000000004</c:v>
                </c:pt>
                <c:pt idx="4">
                  <c:v>281.49800000000027</c:v>
                </c:pt>
                <c:pt idx="5">
                  <c:v>222.17700000000085</c:v>
                </c:pt>
                <c:pt idx="6">
                  <c:v>478.43499999999983</c:v>
                </c:pt>
                <c:pt idx="7">
                  <c:v>128.779</c:v>
                </c:pt>
                <c:pt idx="8">
                  <c:v>103.74800000000091</c:v>
                </c:pt>
                <c:pt idx="9">
                  <c:v>151.22599999999855</c:v>
                </c:pt>
                <c:pt idx="10">
                  <c:v>209.64400000000063</c:v>
                </c:pt>
                <c:pt idx="11">
                  <c:v>366.56500000000062</c:v>
                </c:pt>
                <c:pt idx="12">
                  <c:v>681.01300000000174</c:v>
                </c:pt>
                <c:pt idx="13">
                  <c:v>666.66600000000255</c:v>
                </c:pt>
                <c:pt idx="14">
                  <c:v>981.20599999999945</c:v>
                </c:pt>
                <c:pt idx="15">
                  <c:v>996.47199999999748</c:v>
                </c:pt>
                <c:pt idx="16">
                  <c:v>1089.4689999999987</c:v>
                </c:pt>
                <c:pt idx="17">
                  <c:v>953.25299999999891</c:v>
                </c:pt>
                <c:pt idx="18">
                  <c:v>926.66999999999723</c:v>
                </c:pt>
                <c:pt idx="19">
                  <c:v>-3186.0470000000023</c:v>
                </c:pt>
                <c:pt idx="20">
                  <c:v>835.13</c:v>
                </c:pt>
                <c:pt idx="21">
                  <c:v>1632.3349999999978</c:v>
                </c:pt>
                <c:pt idx="22">
                  <c:v>2930.7289999999962</c:v>
                </c:pt>
                <c:pt idx="23">
                  <c:v>1849.0240059977878</c:v>
                </c:pt>
                <c:pt idx="24">
                  <c:v>3294.5881362709633</c:v>
                </c:pt>
                <c:pt idx="25">
                  <c:v>4304.3811835827928</c:v>
                </c:pt>
                <c:pt idx="26">
                  <c:v>5424.3461349487834</c:v>
                </c:pt>
                <c:pt idx="27">
                  <c:v>6110.9042548005673</c:v>
                </c:pt>
                <c:pt idx="28">
                  <c:v>6670.7883791866443</c:v>
                </c:pt>
                <c:pt idx="29">
                  <c:v>7221.752619986677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D-42F3-8257-961C5C384DEF}"/>
            </c:ext>
          </c:extLst>
        </c:ser>
        <c:ser>
          <c:idx val="2"/>
          <c:order val="3"/>
          <c:tx>
            <c:strRef>
              <c:f>Charts_Support!$A$265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Charts_Support!$B$265:$AE$265</c:f>
              <c:numCache>
                <c:formatCode>#,##0_);\(#,##0\)</c:formatCode>
                <c:ptCount val="30"/>
                <c:pt idx="0">
                  <c:v>31.013999999999928</c:v>
                </c:pt>
                <c:pt idx="1">
                  <c:v>148.92700000000005</c:v>
                </c:pt>
                <c:pt idx="2">
                  <c:v>128.14800000000005</c:v>
                </c:pt>
                <c:pt idx="3">
                  <c:v>154.60900000000004</c:v>
                </c:pt>
                <c:pt idx="4">
                  <c:v>281.49800000000027</c:v>
                </c:pt>
                <c:pt idx="5">
                  <c:v>222.17700000000085</c:v>
                </c:pt>
                <c:pt idx="6">
                  <c:v>478.43499999999983</c:v>
                </c:pt>
                <c:pt idx="7">
                  <c:v>128.779</c:v>
                </c:pt>
                <c:pt idx="8">
                  <c:v>103.74800000000091</c:v>
                </c:pt>
                <c:pt idx="9">
                  <c:v>151.22599999999855</c:v>
                </c:pt>
                <c:pt idx="10">
                  <c:v>209.64400000000063</c:v>
                </c:pt>
                <c:pt idx="11">
                  <c:v>366.56500000000062</c:v>
                </c:pt>
                <c:pt idx="12">
                  <c:v>681.01300000000174</c:v>
                </c:pt>
                <c:pt idx="13">
                  <c:v>666.66600000000255</c:v>
                </c:pt>
                <c:pt idx="14">
                  <c:v>981.20599999999945</c:v>
                </c:pt>
                <c:pt idx="15">
                  <c:v>996.47199999999748</c:v>
                </c:pt>
                <c:pt idx="16">
                  <c:v>1089.4689999999987</c:v>
                </c:pt>
                <c:pt idx="17">
                  <c:v>953.25299999999891</c:v>
                </c:pt>
                <c:pt idx="18">
                  <c:v>926.66999999999723</c:v>
                </c:pt>
                <c:pt idx="19">
                  <c:v>-3186.0470000000023</c:v>
                </c:pt>
                <c:pt idx="20">
                  <c:v>835.13</c:v>
                </c:pt>
                <c:pt idx="21">
                  <c:v>1632.3349999999978</c:v>
                </c:pt>
                <c:pt idx="22">
                  <c:v>2930.7289999999962</c:v>
                </c:pt>
                <c:pt idx="23">
                  <c:v>1123.5562842488389</c:v>
                </c:pt>
                <c:pt idx="24">
                  <c:v>1901.1917619047149</c:v>
                </c:pt>
                <c:pt idx="25">
                  <c:v>2805.9030071771958</c:v>
                </c:pt>
                <c:pt idx="26">
                  <c:v>3841.7683674160339</c:v>
                </c:pt>
                <c:pt idx="27">
                  <c:v>4060.716629850177</c:v>
                </c:pt>
                <c:pt idx="28">
                  <c:v>4382.4137503565798</c:v>
                </c:pt>
                <c:pt idx="29">
                  <c:v>4679.1784124621299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D-42F3-8257-961C5C384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15744"/>
        <c:axId val="486017280"/>
      </c:areaChart>
      <c:lineChart>
        <c:grouping val="standard"/>
        <c:varyColors val="0"/>
        <c:ser>
          <c:idx val="4"/>
          <c:order val="0"/>
          <c:tx>
            <c:strRef>
              <c:f>Charts_Support!$A$266</c:f>
              <c:strCache>
                <c:ptCount val="1"/>
                <c:pt idx="0">
                  <c:v>Net income reported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Charts_Support!$B$266:$AE$266</c:f>
              <c:numCache>
                <c:formatCode>#,##0_);\(#,##0\)</c:formatCode>
                <c:ptCount val="30"/>
                <c:pt idx="0">
                  <c:v>31.013999999999928</c:v>
                </c:pt>
                <c:pt idx="1">
                  <c:v>148.92700000000005</c:v>
                </c:pt>
                <c:pt idx="2">
                  <c:v>128.14800000000005</c:v>
                </c:pt>
                <c:pt idx="3">
                  <c:v>154.60899999999998</c:v>
                </c:pt>
                <c:pt idx="4">
                  <c:v>281.49800000000027</c:v>
                </c:pt>
                <c:pt idx="5">
                  <c:v>222.17700000000085</c:v>
                </c:pt>
                <c:pt idx="6">
                  <c:v>478.43499999999983</c:v>
                </c:pt>
                <c:pt idx="7">
                  <c:v>128.779</c:v>
                </c:pt>
                <c:pt idx="8">
                  <c:v>103.74800000000091</c:v>
                </c:pt>
                <c:pt idx="9">
                  <c:v>151.22599999999855</c:v>
                </c:pt>
                <c:pt idx="10">
                  <c:v>209.64400000000066</c:v>
                </c:pt>
                <c:pt idx="11">
                  <c:v>366.56500000000062</c:v>
                </c:pt>
                <c:pt idx="12">
                  <c:v>681.01300000000174</c:v>
                </c:pt>
                <c:pt idx="13">
                  <c:v>666.66600000000255</c:v>
                </c:pt>
                <c:pt idx="14">
                  <c:v>981.20599999999945</c:v>
                </c:pt>
                <c:pt idx="15">
                  <c:v>996.47199999999748</c:v>
                </c:pt>
                <c:pt idx="16">
                  <c:v>1089.4689999999987</c:v>
                </c:pt>
                <c:pt idx="17">
                  <c:v>953.25299999999891</c:v>
                </c:pt>
                <c:pt idx="18">
                  <c:v>926.66999999999723</c:v>
                </c:pt>
                <c:pt idx="19">
                  <c:v>-3186.0470000000023</c:v>
                </c:pt>
                <c:pt idx="20">
                  <c:v>835.13</c:v>
                </c:pt>
                <c:pt idx="21">
                  <c:v>1632.3349999999978</c:v>
                </c:pt>
                <c:pt idx="22">
                  <c:v>2930.7289999999962</c:v>
                </c:pt>
                <c:pt idx="23">
                  <c:v>1660.0654959731608</c:v>
                </c:pt>
                <c:pt idx="24">
                  <c:v>2875.5533098732913</c:v>
                </c:pt>
                <c:pt idx="25">
                  <c:v>3765.6210517009854</c:v>
                </c:pt>
                <c:pt idx="26">
                  <c:v>4774.4737705758234</c:v>
                </c:pt>
                <c:pt idx="27">
                  <c:v>5332.0472933043065</c:v>
                </c:pt>
                <c:pt idx="28">
                  <c:v>5679.9003121099704</c:v>
                </c:pt>
                <c:pt idx="29">
                  <c:v>6018.5170778318061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7D-42F3-8257-961C5C384DEF}"/>
            </c:ext>
          </c:extLst>
        </c:ser>
        <c:ser>
          <c:idx val="0"/>
          <c:order val="1"/>
          <c:tx>
            <c:strRef>
              <c:f>Charts_Support!$A$263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Charts_Support!$B$263:$AE$263</c:f>
              <c:numCache>
                <c:formatCode>#,##0_);\(#,##0\)</c:formatCode>
                <c:ptCount val="30"/>
                <c:pt idx="0">
                  <c:v>31.013999999999928</c:v>
                </c:pt>
                <c:pt idx="1">
                  <c:v>148.92700000000005</c:v>
                </c:pt>
                <c:pt idx="2">
                  <c:v>128.14800000000005</c:v>
                </c:pt>
                <c:pt idx="3">
                  <c:v>154.60900000000004</c:v>
                </c:pt>
                <c:pt idx="4">
                  <c:v>281.49800000000027</c:v>
                </c:pt>
                <c:pt idx="5">
                  <c:v>222.17700000000085</c:v>
                </c:pt>
                <c:pt idx="6">
                  <c:v>478.43499999999983</c:v>
                </c:pt>
                <c:pt idx="7">
                  <c:v>128.779</c:v>
                </c:pt>
                <c:pt idx="8">
                  <c:v>103.74800000000091</c:v>
                </c:pt>
                <c:pt idx="9">
                  <c:v>151.22599999999855</c:v>
                </c:pt>
                <c:pt idx="10">
                  <c:v>209.64400000000063</c:v>
                </c:pt>
                <c:pt idx="11">
                  <c:v>366.56500000000062</c:v>
                </c:pt>
                <c:pt idx="12">
                  <c:v>681.01300000000174</c:v>
                </c:pt>
                <c:pt idx="13">
                  <c:v>666.66600000000255</c:v>
                </c:pt>
                <c:pt idx="14">
                  <c:v>981.20599999999945</c:v>
                </c:pt>
                <c:pt idx="15">
                  <c:v>996.47199999999748</c:v>
                </c:pt>
                <c:pt idx="16">
                  <c:v>1089.4689999999987</c:v>
                </c:pt>
                <c:pt idx="17">
                  <c:v>953.25299999999891</c:v>
                </c:pt>
                <c:pt idx="18">
                  <c:v>926.66999999999723</c:v>
                </c:pt>
                <c:pt idx="19">
                  <c:v>-3186.0470000000023</c:v>
                </c:pt>
                <c:pt idx="20">
                  <c:v>835.13</c:v>
                </c:pt>
                <c:pt idx="21">
                  <c:v>1632.3349999999978</c:v>
                </c:pt>
                <c:pt idx="22">
                  <c:v>2930.7289999999962</c:v>
                </c:pt>
                <c:pt idx="23">
                  <c:v>1660.0654959731608</c:v>
                </c:pt>
                <c:pt idx="24">
                  <c:v>2875.5533098732913</c:v>
                </c:pt>
                <c:pt idx="25">
                  <c:v>3765.6210517009854</c:v>
                </c:pt>
                <c:pt idx="26">
                  <c:v>4774.4737705758234</c:v>
                </c:pt>
                <c:pt idx="27">
                  <c:v>5332.0472933043065</c:v>
                </c:pt>
                <c:pt idx="28">
                  <c:v>5679.9003121099704</c:v>
                </c:pt>
                <c:pt idx="29">
                  <c:v>6018.5170778318061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7D-42F3-8257-961C5C384DEF}"/>
            </c:ext>
          </c:extLst>
        </c:ser>
        <c:ser>
          <c:idx val="3"/>
          <c:order val="4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7D-42F3-8257-961C5C384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15744"/>
        <c:axId val="486017280"/>
      </c:lineChart>
      <c:catAx>
        <c:axId val="48601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17280"/>
        <c:crossesAt val="-8000"/>
        <c:auto val="1"/>
        <c:lblAlgn val="ctr"/>
        <c:lblOffset val="100"/>
        <c:tickLblSkip val="1"/>
        <c:tickMarkSkip val="1"/>
        <c:noMultiLvlLbl val="0"/>
      </c:catAx>
      <c:valAx>
        <c:axId val="486017280"/>
        <c:scaling>
          <c:orientation val="minMax"/>
          <c:min val="-4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3228552717747216"/>
              <c:y val="5.480180362070125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15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2361821974542466"/>
          <c:y val="4.2391674319733334E-2"/>
          <c:w val="0.69104032919264269"/>
          <c:h val="7.9001491816604749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Charts_Support!$B$52:$AE$52</c:f>
              <c:numCache>
                <c:formatCode>#,##0_);\(#,##0\)</c:formatCode>
                <c:ptCount val="30"/>
                <c:pt idx="0">
                  <c:v>2474.654</c:v>
                </c:pt>
                <c:pt idx="1">
                  <c:v>2627.9160000000002</c:v>
                </c:pt>
                <c:pt idx="2">
                  <c:v>2871.491</c:v>
                </c:pt>
                <c:pt idx="3">
                  <c:v>3708.5940000000001</c:v>
                </c:pt>
                <c:pt idx="4">
                  <c:v>4665.3</c:v>
                </c:pt>
                <c:pt idx="5">
                  <c:v>6026.4440000000004</c:v>
                </c:pt>
                <c:pt idx="6">
                  <c:v>6985.4030000000002</c:v>
                </c:pt>
                <c:pt idx="7">
                  <c:v>7786.8429999999998</c:v>
                </c:pt>
                <c:pt idx="8">
                  <c:v>8587.0810000000019</c:v>
                </c:pt>
                <c:pt idx="9">
                  <c:v>8981.4399999999987</c:v>
                </c:pt>
                <c:pt idx="10">
                  <c:v>10696.504000000001</c:v>
                </c:pt>
                <c:pt idx="11">
                  <c:v>13519.513000000001</c:v>
                </c:pt>
                <c:pt idx="12">
                  <c:v>15712.665000000001</c:v>
                </c:pt>
                <c:pt idx="13">
                  <c:v>22800.255000000001</c:v>
                </c:pt>
                <c:pt idx="14">
                  <c:v>32288.376</c:v>
                </c:pt>
                <c:pt idx="15">
                  <c:v>37701.866999999998</c:v>
                </c:pt>
                <c:pt idx="16">
                  <c:v>42529.120999999999</c:v>
                </c:pt>
                <c:pt idx="17">
                  <c:v>46156.591</c:v>
                </c:pt>
                <c:pt idx="18">
                  <c:v>58154.618999999999</c:v>
                </c:pt>
                <c:pt idx="19">
                  <c:v>38495.419000000002</c:v>
                </c:pt>
                <c:pt idx="20">
                  <c:v>53379.468999999997</c:v>
                </c:pt>
                <c:pt idx="21">
                  <c:v>68831.305000000008</c:v>
                </c:pt>
                <c:pt idx="22">
                  <c:v>76231.047999999995</c:v>
                </c:pt>
                <c:pt idx="23">
                  <c:v>80122.118587727149</c:v>
                </c:pt>
                <c:pt idx="24">
                  <c:v>89777.109265819658</c:v>
                </c:pt>
                <c:pt idx="25">
                  <c:v>97873.652161340535</c:v>
                </c:pt>
                <c:pt idx="26">
                  <c:v>105498.08548757793</c:v>
                </c:pt>
                <c:pt idx="27">
                  <c:v>112469.11900170101</c:v>
                </c:pt>
                <c:pt idx="28">
                  <c:v>119833.16907300646</c:v>
                </c:pt>
                <c:pt idx="29">
                  <c:v>127494.10472130327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1F5-A234-D1B7CFCB782C}"/>
            </c:ext>
          </c:extLst>
        </c:ser>
        <c:ser>
          <c:idx val="2"/>
          <c:order val="2"/>
          <c:tx>
            <c:strRef>
              <c:f>Charts_Support!$A$53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Charts_Support!$B$53:$AE$53</c:f>
              <c:numCache>
                <c:formatCode>#,##0_);\(#,##0\)</c:formatCode>
                <c:ptCount val="30"/>
                <c:pt idx="0">
                  <c:v>2474.654</c:v>
                </c:pt>
                <c:pt idx="1">
                  <c:v>2627.9160000000002</c:v>
                </c:pt>
                <c:pt idx="2">
                  <c:v>2871.491</c:v>
                </c:pt>
                <c:pt idx="3">
                  <c:v>3708.5940000000001</c:v>
                </c:pt>
                <c:pt idx="4">
                  <c:v>4665.3</c:v>
                </c:pt>
                <c:pt idx="5">
                  <c:v>6026.4440000000004</c:v>
                </c:pt>
                <c:pt idx="6">
                  <c:v>6985.4030000000002</c:v>
                </c:pt>
                <c:pt idx="7">
                  <c:v>7786.8429999999998</c:v>
                </c:pt>
                <c:pt idx="8">
                  <c:v>8587.0810000000019</c:v>
                </c:pt>
                <c:pt idx="9">
                  <c:v>8981.4399999999987</c:v>
                </c:pt>
                <c:pt idx="10">
                  <c:v>10696.504000000001</c:v>
                </c:pt>
                <c:pt idx="11">
                  <c:v>13519.513000000001</c:v>
                </c:pt>
                <c:pt idx="12">
                  <c:v>15712.665000000001</c:v>
                </c:pt>
                <c:pt idx="13">
                  <c:v>22800.255000000001</c:v>
                </c:pt>
                <c:pt idx="14">
                  <c:v>32288.376</c:v>
                </c:pt>
                <c:pt idx="15">
                  <c:v>37701.866999999998</c:v>
                </c:pt>
                <c:pt idx="16">
                  <c:v>42529.120999999999</c:v>
                </c:pt>
                <c:pt idx="17">
                  <c:v>46156.591</c:v>
                </c:pt>
                <c:pt idx="18">
                  <c:v>58154.618999999999</c:v>
                </c:pt>
                <c:pt idx="19">
                  <c:v>38495.419000000002</c:v>
                </c:pt>
                <c:pt idx="20">
                  <c:v>53379.468999999997</c:v>
                </c:pt>
                <c:pt idx="21">
                  <c:v>68831.305000000008</c:v>
                </c:pt>
                <c:pt idx="22">
                  <c:v>76231.047999999995</c:v>
                </c:pt>
                <c:pt idx="23">
                  <c:v>78549.033316147907</c:v>
                </c:pt>
                <c:pt idx="24">
                  <c:v>86000.984261954174</c:v>
                </c:pt>
                <c:pt idx="25">
                  <c:v>91862.025037079569</c:v>
                </c:pt>
                <c:pt idx="26">
                  <c:v>97282.619721801486</c:v>
                </c:pt>
                <c:pt idx="27">
                  <c:v>102409.94176726675</c:v>
                </c:pt>
                <c:pt idx="28">
                  <c:v>107782.73332679388</c:v>
                </c:pt>
                <c:pt idx="29">
                  <c:v>113295.62029326905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0-41F5-A234-D1B7CFCB7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33664"/>
        <c:axId val="486043648"/>
      </c:areaChart>
      <c:lineChart>
        <c:grouping val="standard"/>
        <c:varyColors val="0"/>
        <c:ser>
          <c:idx val="0"/>
          <c:order val="0"/>
          <c:tx>
            <c:strRef>
              <c:f>Charts_Support!$A$51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Charts_Support!$B$51:$AE$51</c:f>
              <c:numCache>
                <c:formatCode>#,##0_);\(#,##0\)</c:formatCode>
                <c:ptCount val="30"/>
                <c:pt idx="0">
                  <c:v>2474.654</c:v>
                </c:pt>
                <c:pt idx="1">
                  <c:v>2627.9160000000002</c:v>
                </c:pt>
                <c:pt idx="2">
                  <c:v>2871.491</c:v>
                </c:pt>
                <c:pt idx="3">
                  <c:v>3708.5940000000001</c:v>
                </c:pt>
                <c:pt idx="4">
                  <c:v>4665.3</c:v>
                </c:pt>
                <c:pt idx="5">
                  <c:v>6026.4440000000004</c:v>
                </c:pt>
                <c:pt idx="6">
                  <c:v>6985.4030000000002</c:v>
                </c:pt>
                <c:pt idx="7">
                  <c:v>7786.8429999999998</c:v>
                </c:pt>
                <c:pt idx="8">
                  <c:v>8587.0810000000019</c:v>
                </c:pt>
                <c:pt idx="9">
                  <c:v>8981.4399999999987</c:v>
                </c:pt>
                <c:pt idx="10">
                  <c:v>10696.504000000001</c:v>
                </c:pt>
                <c:pt idx="11">
                  <c:v>13519.513000000001</c:v>
                </c:pt>
                <c:pt idx="12">
                  <c:v>15712.665000000001</c:v>
                </c:pt>
                <c:pt idx="13">
                  <c:v>22800.255000000001</c:v>
                </c:pt>
                <c:pt idx="14">
                  <c:v>32288.376</c:v>
                </c:pt>
                <c:pt idx="15">
                  <c:v>37701.866999999998</c:v>
                </c:pt>
                <c:pt idx="16">
                  <c:v>42529.120999999999</c:v>
                </c:pt>
                <c:pt idx="17">
                  <c:v>46156.591</c:v>
                </c:pt>
                <c:pt idx="18">
                  <c:v>58154.618999999999</c:v>
                </c:pt>
                <c:pt idx="19">
                  <c:v>38495.419000000002</c:v>
                </c:pt>
                <c:pt idx="20">
                  <c:v>53379.468999999997</c:v>
                </c:pt>
                <c:pt idx="21">
                  <c:v>68831.305000000008</c:v>
                </c:pt>
                <c:pt idx="22">
                  <c:v>76231.047999999995</c:v>
                </c:pt>
                <c:pt idx="23">
                  <c:v>79604.235698233228</c:v>
                </c:pt>
                <c:pt idx="24">
                  <c:v>88604.548944993992</c:v>
                </c:pt>
                <c:pt idx="25">
                  <c:v>96046.244130494029</c:v>
                </c:pt>
                <c:pt idx="26">
                  <c:v>102997.62486263641</c:v>
                </c:pt>
                <c:pt idx="27">
                  <c:v>109390.15741898434</c:v>
                </c:pt>
                <c:pt idx="28">
                  <c:v>116122.85198467033</c:v>
                </c:pt>
                <c:pt idx="29">
                  <c:v>123098.31423831571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0-41F5-A234-D1B7CFCB7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33664"/>
        <c:axId val="486043648"/>
      </c:lineChart>
      <c:catAx>
        <c:axId val="48603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0436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608321333374184"/>
              <c:y val="5.36418160495895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336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86082822498074"/>
          <c:y val="0.13802651463160442"/>
          <c:w val="0.75775337208047955"/>
          <c:h val="0.67506023074254351"/>
        </c:manualLayout>
      </c:layout>
      <c:areaChart>
        <c:grouping val="percentStacked"/>
        <c:varyColors val="0"/>
        <c:ser>
          <c:idx val="0"/>
          <c:order val="0"/>
          <c:tx>
            <c:strRef>
              <c:f>Charts_Support!$A$127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Charts_Support!$J$127:$AE$127</c:f>
              <c:numCache>
                <c:formatCode>#,##0_);\(#,##0\)</c:formatCode>
                <c:ptCount val="22"/>
                <c:pt idx="0">
                  <c:v>9097.5</c:v>
                </c:pt>
                <c:pt idx="1">
                  <c:v>9085.1</c:v>
                </c:pt>
                <c:pt idx="2">
                  <c:v>10501</c:v>
                </c:pt>
                <c:pt idx="3">
                  <c:v>12785.8</c:v>
                </c:pt>
                <c:pt idx="4">
                  <c:v>14694.7</c:v>
                </c:pt>
                <c:pt idx="5">
                  <c:v>20668</c:v>
                </c:pt>
                <c:pt idx="6">
                  <c:v>19896</c:v>
                </c:pt>
                <c:pt idx="7">
                  <c:v>21986</c:v>
                </c:pt>
                <c:pt idx="8">
                  <c:v>23677</c:v>
                </c:pt>
                <c:pt idx="9">
                  <c:v>25462</c:v>
                </c:pt>
                <c:pt idx="10">
                  <c:v>27217</c:v>
                </c:pt>
                <c:pt idx="11">
                  <c:v>19067</c:v>
                </c:pt>
                <c:pt idx="12">
                  <c:v>26015</c:v>
                </c:pt>
                <c:pt idx="13">
                  <c:v>33468</c:v>
                </c:pt>
                <c:pt idx="14">
                  <c:v>39358</c:v>
                </c:pt>
                <c:pt idx="15">
                  <c:v>43061.606390245215</c:v>
                </c:pt>
                <c:pt idx="16">
                  <c:v>45599.366837764588</c:v>
                </c:pt>
                <c:pt idx="17">
                  <c:v>48364.973472081801</c:v>
                </c:pt>
                <c:pt idx="18">
                  <c:v>51104.132916101604</c:v>
                </c:pt>
                <c:pt idx="19">
                  <c:v>53373.295293075018</c:v>
                </c:pt>
                <c:pt idx="20">
                  <c:v>55728.868830958374</c:v>
                </c:pt>
                <c:pt idx="21">
                  <c:v>58113.813698632242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2-460D-9CD1-7BDFAF221322}"/>
            </c:ext>
          </c:extLst>
        </c:ser>
        <c:ser>
          <c:idx val="1"/>
          <c:order val="1"/>
          <c:tx>
            <c:strRef>
              <c:f>Charts_Support!$A$128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Charts_Support!$J$128:$AE$128</c:f>
              <c:numCache>
                <c:formatCode>#,##0_);\(#,##0\)</c:formatCode>
                <c:ptCount val="22"/>
                <c:pt idx="0">
                  <c:v>1407.7</c:v>
                </c:pt>
                <c:pt idx="1">
                  <c:v>1810.6999999999998</c:v>
                </c:pt>
                <c:pt idx="2">
                  <c:v>2402.1</c:v>
                </c:pt>
                <c:pt idx="3">
                  <c:v>3416.5</c:v>
                </c:pt>
                <c:pt idx="4">
                  <c:v>4219.5</c:v>
                </c:pt>
                <c:pt idx="5">
                  <c:v>4621</c:v>
                </c:pt>
                <c:pt idx="6">
                  <c:v>6718</c:v>
                </c:pt>
                <c:pt idx="7">
                  <c:v>8124</c:v>
                </c:pt>
                <c:pt idx="8">
                  <c:v>10283</c:v>
                </c:pt>
                <c:pt idx="9">
                  <c:v>10194.977999999999</c:v>
                </c:pt>
                <c:pt idx="10">
                  <c:v>9732.4130000000005</c:v>
                </c:pt>
                <c:pt idx="11">
                  <c:v>5586.9660000000003</c:v>
                </c:pt>
                <c:pt idx="12">
                  <c:v>8962.0789999999997</c:v>
                </c:pt>
                <c:pt idx="13">
                  <c:v>13387.712</c:v>
                </c:pt>
                <c:pt idx="14">
                  <c:v>13905.773000000001</c:v>
                </c:pt>
                <c:pt idx="15">
                  <c:v>11451.235320549225</c:v>
                </c:pt>
                <c:pt idx="16">
                  <c:v>12469.62177028326</c:v>
                </c:pt>
                <c:pt idx="17">
                  <c:v>13066.206487212175</c:v>
                </c:pt>
                <c:pt idx="18">
                  <c:v>13331.040485867961</c:v>
                </c:pt>
                <c:pt idx="19">
                  <c:v>13692.446988378508</c:v>
                </c:pt>
                <c:pt idx="20">
                  <c:v>14059.080766815794</c:v>
                </c:pt>
                <c:pt idx="21">
                  <c:v>14430.749065539501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E2-460D-9CD1-7BDFAF221322}"/>
            </c:ext>
          </c:extLst>
        </c:ser>
        <c:ser>
          <c:idx val="2"/>
          <c:order val="2"/>
          <c:tx>
            <c:strRef>
              <c:f>Charts_Support!$A$129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Charts_Support!$J$129:$AE$129</c:f>
              <c:numCache>
                <c:formatCode>#,##0_);\(#,##0\)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1468</c:v>
                </c:pt>
                <c:pt idx="6">
                  <c:v>5673</c:v>
                </c:pt>
                <c:pt idx="7">
                  <c:v>7591</c:v>
                </c:pt>
                <c:pt idx="8">
                  <c:v>8570</c:v>
                </c:pt>
                <c:pt idx="9">
                  <c:v>9887</c:v>
                </c:pt>
                <c:pt idx="10">
                  <c:v>21207</c:v>
                </c:pt>
                <c:pt idx="11">
                  <c:v>13860</c:v>
                </c:pt>
                <c:pt idx="12">
                  <c:v>18414</c:v>
                </c:pt>
                <c:pt idx="13">
                  <c:v>21976</c:v>
                </c:pt>
                <c:pt idx="14">
                  <c:v>22966</c:v>
                </c:pt>
                <c:pt idx="15">
                  <c:v>24034.949605353468</c:v>
                </c:pt>
                <c:pt idx="16">
                  <c:v>27931.995653906328</c:v>
                </c:pt>
                <c:pt idx="17">
                  <c:v>30430.845077785587</c:v>
                </c:pt>
                <c:pt idx="18">
                  <c:v>32847.446319831914</c:v>
                </c:pt>
                <c:pt idx="19">
                  <c:v>35344.199485813224</c:v>
                </c:pt>
                <c:pt idx="20">
                  <c:v>37994.783729019713</c:v>
                </c:pt>
                <c:pt idx="21">
                  <c:v>40751.057529097307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E2-460D-9CD1-7BDFAF221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69760"/>
        <c:axId val="486071296"/>
      </c:areaChart>
      <c:catAx>
        <c:axId val="48606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7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0712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069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348874778165285"/>
          <c:y val="3.3499535466302854E-2"/>
          <c:w val="0.70442065108248042"/>
          <c:h val="0.1007231137759244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820714718352497E-2"/>
          <c:y val="6.5359685711823781E-2"/>
          <c:w val="0.85833414092469207"/>
          <c:h val="0.91292733970412465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Charts_Support!$B$172:$AE$172</c:f>
              <c:numCache>
                <c:formatCode>0.0%</c:formatCode>
                <c:ptCount val="30"/>
                <c:pt idx="0">
                  <c:v>0.13358069451325313</c:v>
                </c:pt>
                <c:pt idx="1">
                  <c:v>0.14608648069420788</c:v>
                </c:pt>
                <c:pt idx="2">
                  <c:v>0.14459700552779028</c:v>
                </c:pt>
                <c:pt idx="3">
                  <c:v>0.14707811100379281</c:v>
                </c:pt>
                <c:pt idx="4">
                  <c:v>0.15016290485070632</c:v>
                </c:pt>
                <c:pt idx="5">
                  <c:v>0.16716972728859683</c:v>
                </c:pt>
                <c:pt idx="6">
                  <c:v>0.18448126758041017</c:v>
                </c:pt>
                <c:pt idx="7">
                  <c:v>0.13253984958987872</c:v>
                </c:pt>
                <c:pt idx="8">
                  <c:v>0.11648149120754761</c:v>
                </c:pt>
                <c:pt idx="9">
                  <c:v>0.1111882949727438</c:v>
                </c:pt>
                <c:pt idx="10">
                  <c:v>0.10422536185654681</c:v>
                </c:pt>
                <c:pt idx="11">
                  <c:v>0.11894400338237031</c:v>
                </c:pt>
                <c:pt idx="12">
                  <c:v>0.12975023651302947</c:v>
                </c:pt>
                <c:pt idx="13">
                  <c:v>0.12250266499212399</c:v>
                </c:pt>
                <c:pt idx="14">
                  <c:v>0.13322841012505554</c:v>
                </c:pt>
                <c:pt idx="15">
                  <c:v>0.13673694196629571</c:v>
                </c:pt>
                <c:pt idx="16">
                  <c:v>0.15204273796300657</c:v>
                </c:pt>
                <c:pt idx="17">
                  <c:v>0.13883861136971748</c:v>
                </c:pt>
                <c:pt idx="18">
                  <c:v>0.13185829658689707</c:v>
                </c:pt>
                <c:pt idx="19">
                  <c:v>3.732241490864141E-2</c:v>
                </c:pt>
                <c:pt idx="20">
                  <c:v>0.12244945711243399</c:v>
                </c:pt>
                <c:pt idx="21">
                  <c:v>0.12820483354194717</c:v>
                </c:pt>
                <c:pt idx="22">
                  <c:v>0.14160410073333896</c:v>
                </c:pt>
                <c:pt idx="23">
                  <c:v>0.14627861608988468</c:v>
                </c:pt>
                <c:pt idx="24">
                  <c:v>0.14717788740932722</c:v>
                </c:pt>
                <c:pt idx="25">
                  <c:v>0.14810615487712794</c:v>
                </c:pt>
                <c:pt idx="26">
                  <c:v>0.14936063027952426</c:v>
                </c:pt>
                <c:pt idx="27">
                  <c:v>0.15214701604189462</c:v>
                </c:pt>
                <c:pt idx="28">
                  <c:v>0.15207711364211576</c:v>
                </c:pt>
                <c:pt idx="29">
                  <c:v>0.15201000066028225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9-4FE2-825C-C101C6CCB2D0}"/>
            </c:ext>
          </c:extLst>
        </c:ser>
        <c:ser>
          <c:idx val="2"/>
          <c:order val="2"/>
          <c:tx>
            <c:strRef>
              <c:f>Charts_Support!$A$173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Charts_Support!$B$173:$AE$173</c:f>
              <c:numCache>
                <c:formatCode>0.0%</c:formatCode>
                <c:ptCount val="30"/>
                <c:pt idx="0">
                  <c:v>0.13358069451325313</c:v>
                </c:pt>
                <c:pt idx="1">
                  <c:v>0.14608648069420788</c:v>
                </c:pt>
                <c:pt idx="2">
                  <c:v>0.14459700552779028</c:v>
                </c:pt>
                <c:pt idx="3">
                  <c:v>0.14707811100379281</c:v>
                </c:pt>
                <c:pt idx="4">
                  <c:v>0.15016290485070632</c:v>
                </c:pt>
                <c:pt idx="5">
                  <c:v>0.16716972728859683</c:v>
                </c:pt>
                <c:pt idx="6">
                  <c:v>0.18448126758041017</c:v>
                </c:pt>
                <c:pt idx="7">
                  <c:v>0.13253984958987872</c:v>
                </c:pt>
                <c:pt idx="8">
                  <c:v>0.11648149120754761</c:v>
                </c:pt>
                <c:pt idx="9">
                  <c:v>0.1111882949727438</c:v>
                </c:pt>
                <c:pt idx="10">
                  <c:v>0.10422536185654681</c:v>
                </c:pt>
                <c:pt idx="11">
                  <c:v>0.11894400338237031</c:v>
                </c:pt>
                <c:pt idx="12">
                  <c:v>0.12975023651302947</c:v>
                </c:pt>
                <c:pt idx="13">
                  <c:v>0.12250266499212399</c:v>
                </c:pt>
                <c:pt idx="14">
                  <c:v>0.13322841012505554</c:v>
                </c:pt>
                <c:pt idx="15">
                  <c:v>0.13673694196629571</c:v>
                </c:pt>
                <c:pt idx="16">
                  <c:v>0.15204273796300657</c:v>
                </c:pt>
                <c:pt idx="17">
                  <c:v>0.13883861136971748</c:v>
                </c:pt>
                <c:pt idx="18">
                  <c:v>0.13185829658689707</c:v>
                </c:pt>
                <c:pt idx="19">
                  <c:v>3.732241490864141E-2</c:v>
                </c:pt>
                <c:pt idx="20">
                  <c:v>0.12244945711243399</c:v>
                </c:pt>
                <c:pt idx="21">
                  <c:v>0.12820483354194717</c:v>
                </c:pt>
                <c:pt idx="22">
                  <c:v>0.14160410073333896</c:v>
                </c:pt>
                <c:pt idx="23">
                  <c:v>0.14125075234290496</c:v>
                </c:pt>
                <c:pt idx="24">
                  <c:v>0.13738244818065184</c:v>
                </c:pt>
                <c:pt idx="25">
                  <c:v>0.13842246604154979</c:v>
                </c:pt>
                <c:pt idx="26">
                  <c:v>0.13973350889772235</c:v>
                </c:pt>
                <c:pt idx="27">
                  <c:v>0.13359380206214011</c:v>
                </c:pt>
                <c:pt idx="28">
                  <c:v>0.13345025982993164</c:v>
                </c:pt>
                <c:pt idx="29">
                  <c:v>0.13331025298782001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9-4FE2-825C-C101C6CCB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23232"/>
        <c:axId val="486229120"/>
      </c:areaChart>
      <c:lineChart>
        <c:grouping val="standard"/>
        <c:varyColors val="0"/>
        <c:ser>
          <c:idx val="0"/>
          <c:order val="0"/>
          <c:tx>
            <c:strRef>
              <c:f>Charts_Support!$A$171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2-2429-4FE2-825C-C101C6CCB2D0}"/>
              </c:ext>
            </c:extLst>
          </c:dPt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Charts_Support!$B$171:$AE$171</c:f>
              <c:numCache>
                <c:formatCode>0.0%</c:formatCode>
                <c:ptCount val="30"/>
                <c:pt idx="0">
                  <c:v>0.13358069451325313</c:v>
                </c:pt>
                <c:pt idx="1">
                  <c:v>0.14608648069420788</c:v>
                </c:pt>
                <c:pt idx="2">
                  <c:v>0.14459700552779028</c:v>
                </c:pt>
                <c:pt idx="3">
                  <c:v>0.14707811100379281</c:v>
                </c:pt>
                <c:pt idx="4">
                  <c:v>0.15016290485070632</c:v>
                </c:pt>
                <c:pt idx="5">
                  <c:v>0.16716972728859683</c:v>
                </c:pt>
                <c:pt idx="6">
                  <c:v>0.18448126758041017</c:v>
                </c:pt>
                <c:pt idx="7">
                  <c:v>0.13253984958987872</c:v>
                </c:pt>
                <c:pt idx="8">
                  <c:v>0.11648149120754761</c:v>
                </c:pt>
                <c:pt idx="9">
                  <c:v>0.1111882949727438</c:v>
                </c:pt>
                <c:pt idx="10">
                  <c:v>0.10422536185654681</c:v>
                </c:pt>
                <c:pt idx="11">
                  <c:v>0.11894400338237031</c:v>
                </c:pt>
                <c:pt idx="12">
                  <c:v>0.12975023651302947</c:v>
                </c:pt>
                <c:pt idx="13">
                  <c:v>0.12250266499212399</c:v>
                </c:pt>
                <c:pt idx="14">
                  <c:v>0.13322841012505554</c:v>
                </c:pt>
                <c:pt idx="15">
                  <c:v>0.13673694196629571</c:v>
                </c:pt>
                <c:pt idx="16">
                  <c:v>0.15204273796300657</c:v>
                </c:pt>
                <c:pt idx="17">
                  <c:v>0.13883861136971748</c:v>
                </c:pt>
                <c:pt idx="18">
                  <c:v>0.13185829658689707</c:v>
                </c:pt>
                <c:pt idx="19">
                  <c:v>3.732241490864141E-2</c:v>
                </c:pt>
                <c:pt idx="20">
                  <c:v>0.12244945711243399</c:v>
                </c:pt>
                <c:pt idx="21">
                  <c:v>0.12820483354194717</c:v>
                </c:pt>
                <c:pt idx="22">
                  <c:v>0.14160410073333896</c:v>
                </c:pt>
                <c:pt idx="23">
                  <c:v>0.14469733938479157</c:v>
                </c:pt>
                <c:pt idx="24">
                  <c:v>0.14414857865421746</c:v>
                </c:pt>
                <c:pt idx="25">
                  <c:v>0.1451446680114471</c:v>
                </c:pt>
                <c:pt idx="26">
                  <c:v>0.14645393086732794</c:v>
                </c:pt>
                <c:pt idx="27">
                  <c:v>0.1464093871457442</c:v>
                </c:pt>
                <c:pt idx="28">
                  <c:v>0.1463724656849032</c:v>
                </c:pt>
                <c:pt idx="29">
                  <c:v>0.14633513536466855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29-4FE2-825C-C101C6CCB2D0}"/>
            </c:ext>
          </c:extLst>
        </c:ser>
        <c:ser>
          <c:idx val="3"/>
          <c:order val="3"/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29-4FE2-825C-C101C6CCB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23232"/>
        <c:axId val="486229120"/>
      </c:lineChart>
      <c:catAx>
        <c:axId val="48622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229120"/>
        <c:crossesAt val="-0.2"/>
        <c:auto val="1"/>
        <c:lblAlgn val="ctr"/>
        <c:lblOffset val="100"/>
        <c:tickLblSkip val="1"/>
        <c:tickMarkSkip val="1"/>
        <c:noMultiLvlLbl val="0"/>
      </c:catAx>
      <c:valAx>
        <c:axId val="4862291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2232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7067786299297937E-2"/>
          <c:y val="0.63734646170866971"/>
          <c:w val="0.57230790093937378"/>
          <c:h val="6.694863940496854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39805825242719"/>
          <c:y val="5.3047737283379533E-2"/>
          <c:w val="0.78640776699029125"/>
          <c:h val="0.81002091801159848"/>
        </c:manualLayout>
      </c:layout>
      <c:lineChart>
        <c:grouping val="standard"/>
        <c:varyColors val="0"/>
        <c:ser>
          <c:idx val="1"/>
          <c:order val="0"/>
          <c:tx>
            <c:v>Bull to Bear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Charts_Support!$B$187:$AE$187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Charts_Support!$B$189:$AE$189</c:f>
              <c:numCache>
                <c:formatCode>0.0%</c:formatCode>
                <c:ptCount val="30"/>
                <c:pt idx="0">
                  <c:v>#N/A</c:v>
                </c:pt>
                <c:pt idx="1">
                  <c:v>0.16135053211764094</c:v>
                </c:pt>
                <c:pt idx="2">
                  <c:v>8.1546640687882199E-2</c:v>
                </c:pt>
                <c:pt idx="3">
                  <c:v>0.31368298856720322</c:v>
                </c:pt>
                <c:pt idx="4">
                  <c:v>0.2843544723376723</c:v>
                </c:pt>
                <c:pt idx="5">
                  <c:v>0.43805839655701595</c:v>
                </c:pt>
                <c:pt idx="6">
                  <c:v>0.27916032633241206</c:v>
                </c:pt>
                <c:pt idx="7">
                  <c:v>-0.19912607979042052</c:v>
                </c:pt>
                <c:pt idx="8">
                  <c:v>-3.0841989909570433E-2</c:v>
                </c:pt>
                <c:pt idx="9">
                  <c:v>-1.6046213093705575E-3</c:v>
                </c:pt>
                <c:pt idx="10">
                  <c:v>0.11637531781008259</c:v>
                </c:pt>
                <c:pt idx="11">
                  <c:v>0.44240868926408616</c:v>
                </c:pt>
                <c:pt idx="12">
                  <c:v>0.45293007434401034</c:v>
                </c:pt>
                <c:pt idx="13">
                  <c:v>1.134902923550102</c:v>
                </c:pt>
                <c:pt idx="14">
                  <c:v>0.35886126704089816</c:v>
                </c:pt>
                <c:pt idx="15">
                  <c:v>0.1717320743582178</c:v>
                </c:pt>
                <c:pt idx="16">
                  <c:v>0.12012087635356328</c:v>
                </c:pt>
                <c:pt idx="17">
                  <c:v>3.6982913669064699E-2</c:v>
                </c:pt>
                <c:pt idx="18">
                  <c:v>0.21560975609756095</c:v>
                </c:pt>
                <c:pt idx="19">
                  <c:v>-0.61200285357588724</c:v>
                </c:pt>
                <c:pt idx="20">
                  <c:v>1.4433463571592737</c:v>
                </c:pt>
                <c:pt idx="21">
                  <c:v>0.20016931615087952</c:v>
                </c:pt>
                <c:pt idx="22">
                  <c:v>0.15659534446273216</c:v>
                </c:pt>
                <c:pt idx="23">
                  <c:v>7.2665608677505267E-2</c:v>
                </c:pt>
                <c:pt idx="24">
                  <c:v>0.11741798943166071</c:v>
                </c:pt>
                <c:pt idx="25">
                  <c:v>8.9837764673962761E-2</c:v>
                </c:pt>
                <c:pt idx="26">
                  <c:v>7.9301418097124987E-2</c:v>
                </c:pt>
                <c:pt idx="27">
                  <c:v>5.9515929037873283E-2</c:v>
                </c:pt>
                <c:pt idx="28">
                  <c:v>6.5095016559020724E-2</c:v>
                </c:pt>
                <c:pt idx="29">
                  <c:v>6.357115970255478E-2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716-8A38-8FC2E745CD8F}"/>
            </c:ext>
          </c:extLst>
        </c:ser>
        <c:ser>
          <c:idx val="2"/>
          <c:order val="1"/>
          <c:tx>
            <c:strRef>
              <c:f>Charts_Support!$A$178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Charts_Support!$B$187:$AE$187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Charts_Support!$B$190:$AE$190</c:f>
              <c:numCache>
                <c:formatCode>0.0%</c:formatCode>
                <c:ptCount val="30"/>
                <c:pt idx="0">
                  <c:v>#N/A</c:v>
                </c:pt>
                <c:pt idx="1">
                  <c:v>0.16135053211764094</c:v>
                </c:pt>
                <c:pt idx="2">
                  <c:v>8.1546640687882199E-2</c:v>
                </c:pt>
                <c:pt idx="3">
                  <c:v>0.31368298856720322</c:v>
                </c:pt>
                <c:pt idx="4">
                  <c:v>0.2843544723376723</c:v>
                </c:pt>
                <c:pt idx="5">
                  <c:v>0.43805839655701595</c:v>
                </c:pt>
                <c:pt idx="6">
                  <c:v>0.27916032633241206</c:v>
                </c:pt>
                <c:pt idx="7">
                  <c:v>-0.19912607979042052</c:v>
                </c:pt>
                <c:pt idx="8">
                  <c:v>-3.0841989909570433E-2</c:v>
                </c:pt>
                <c:pt idx="9">
                  <c:v>-1.6046213093705575E-3</c:v>
                </c:pt>
                <c:pt idx="10">
                  <c:v>0.11637531781008259</c:v>
                </c:pt>
                <c:pt idx="11">
                  <c:v>0.44240868926408616</c:v>
                </c:pt>
                <c:pt idx="12">
                  <c:v>0.45293007434401034</c:v>
                </c:pt>
                <c:pt idx="13">
                  <c:v>1.134902923550102</c:v>
                </c:pt>
                <c:pt idx="14">
                  <c:v>0.35886126704089816</c:v>
                </c:pt>
                <c:pt idx="15">
                  <c:v>0.1717320743582178</c:v>
                </c:pt>
                <c:pt idx="16">
                  <c:v>0.12012087635356328</c:v>
                </c:pt>
                <c:pt idx="17">
                  <c:v>3.6982913669064699E-2</c:v>
                </c:pt>
                <c:pt idx="18">
                  <c:v>0.21560975609756095</c:v>
                </c:pt>
                <c:pt idx="19">
                  <c:v>-0.61200285357588724</c:v>
                </c:pt>
                <c:pt idx="20">
                  <c:v>1.4433463571592737</c:v>
                </c:pt>
                <c:pt idx="21">
                  <c:v>0.20016931615087952</c:v>
                </c:pt>
                <c:pt idx="22">
                  <c:v>0.15659534446273216</c:v>
                </c:pt>
                <c:pt idx="23">
                  <c:v>3.3483323349601468E-2</c:v>
                </c:pt>
                <c:pt idx="24">
                  <c:v>7.2903296090914393E-2</c:v>
                </c:pt>
                <c:pt idx="25">
                  <c:v>6.841718779938244E-2</c:v>
                </c:pt>
                <c:pt idx="26">
                  <c:v>6.0737478542883583E-2</c:v>
                </c:pt>
                <c:pt idx="27">
                  <c:v>2.4315092661519877E-2</c:v>
                </c:pt>
                <c:pt idx="28">
                  <c:v>5.1642588894297292E-2</c:v>
                </c:pt>
                <c:pt idx="29">
                  <c:v>5.0355396708275046E-2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BE-4716-8A38-8FC2E745CD8F}"/>
            </c:ext>
          </c:extLst>
        </c:ser>
        <c:ser>
          <c:idx val="4"/>
          <c:order val="2"/>
          <c:tx>
            <c:strRef>
              <c:f>Charts_Support!$A$191</c:f>
              <c:strCache>
                <c:ptCount val="1"/>
                <c:pt idx="0">
                  <c:v>Consolidated EBITDA (IAS17)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Charts_Support!$B$187:$AE$187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Charts_Support!$B$191:$AE$191</c:f>
              <c:numCache>
                <c:formatCode>0.0%</c:formatCode>
                <c:ptCount val="30"/>
                <c:pt idx="0">
                  <c:v>#N/A</c:v>
                </c:pt>
                <c:pt idx="1">
                  <c:v>0.16135053211764094</c:v>
                </c:pt>
                <c:pt idx="2">
                  <c:v>8.1546640687882199E-2</c:v>
                </c:pt>
                <c:pt idx="3">
                  <c:v>0.31368298856720322</c:v>
                </c:pt>
                <c:pt idx="4">
                  <c:v>0.2843544723376723</c:v>
                </c:pt>
                <c:pt idx="5">
                  <c:v>0.43805839655701595</c:v>
                </c:pt>
                <c:pt idx="6">
                  <c:v>0.27916032633241206</c:v>
                </c:pt>
                <c:pt idx="7">
                  <c:v>-0.19912607979042052</c:v>
                </c:pt>
                <c:pt idx="8">
                  <c:v>-3.0841989909570433E-2</c:v>
                </c:pt>
                <c:pt idx="9">
                  <c:v>-1.6046213093705575E-3</c:v>
                </c:pt>
                <c:pt idx="10">
                  <c:v>0.11637531781008259</c:v>
                </c:pt>
                <c:pt idx="11">
                  <c:v>0.44240868926408616</c:v>
                </c:pt>
                <c:pt idx="12">
                  <c:v>0.26781069173198913</c:v>
                </c:pt>
                <c:pt idx="13">
                  <c:v>0.37002102297419648</c:v>
                </c:pt>
                <c:pt idx="14">
                  <c:v>0.54013151016865901</c:v>
                </c:pt>
                <c:pt idx="15">
                  <c:v>0.19841068556387431</c:v>
                </c:pt>
                <c:pt idx="16">
                  <c:v>0.2543056208074197</c:v>
                </c:pt>
                <c:pt idx="17">
                  <c:v>-8.958369031543012E-3</c:v>
                </c:pt>
                <c:pt idx="18">
                  <c:v>0.19659639184515987</c:v>
                </c:pt>
                <c:pt idx="19">
                  <c:v>-0.8126355848443092</c:v>
                </c:pt>
                <c:pt idx="20">
                  <c:v>3.5493811693400827</c:v>
                </c:pt>
                <c:pt idx="21">
                  <c:v>0.35007933403169078</c:v>
                </c:pt>
                <c:pt idx="22">
                  <c:v>0.22325589670401946</c:v>
                </c:pt>
                <c:pt idx="23">
                  <c:v>6.7060397285927609E-2</c:v>
                </c:pt>
                <c:pt idx="24">
                  <c:v>0.1088419834047214</c:v>
                </c:pt>
                <c:pt idx="25">
                  <c:v>9.1478258619859254E-2</c:v>
                </c:pt>
                <c:pt idx="26">
                  <c:v>8.2048605882995451E-2</c:v>
                </c:pt>
                <c:pt idx="27">
                  <c:v>6.1741828792893916E-2</c:v>
                </c:pt>
                <c:pt idx="28">
                  <c:v>6.1279834578936931E-2</c:v>
                </c:pt>
                <c:pt idx="29">
                  <c:v>5.9799320914684095E-2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BE-4716-8A38-8FC2E745CD8F}"/>
            </c:ext>
          </c:extLst>
        </c:ser>
        <c:ser>
          <c:idx val="0"/>
          <c:order val="3"/>
          <c:tx>
            <c:strRef>
              <c:f>Charts_Support!$A$188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Charts_Support!$B$187:$AE$187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Charts_Support!$B$188:$AE$188</c:f>
              <c:numCache>
                <c:formatCode>0.0%</c:formatCode>
                <c:ptCount val="30"/>
                <c:pt idx="0">
                  <c:v>#N/A</c:v>
                </c:pt>
                <c:pt idx="1">
                  <c:v>0.16135053211764094</c:v>
                </c:pt>
                <c:pt idx="2">
                  <c:v>8.1546640687882199E-2</c:v>
                </c:pt>
                <c:pt idx="3">
                  <c:v>0.31368298856720322</c:v>
                </c:pt>
                <c:pt idx="4">
                  <c:v>0.2843544723376723</c:v>
                </c:pt>
                <c:pt idx="5">
                  <c:v>0.43805839655701595</c:v>
                </c:pt>
                <c:pt idx="6">
                  <c:v>0.27916032633241206</c:v>
                </c:pt>
                <c:pt idx="7">
                  <c:v>-0.19912607979042052</c:v>
                </c:pt>
                <c:pt idx="8">
                  <c:v>-3.0841989909570433E-2</c:v>
                </c:pt>
                <c:pt idx="9">
                  <c:v>-1.6046213093705575E-3</c:v>
                </c:pt>
                <c:pt idx="10">
                  <c:v>0.11637531781008259</c:v>
                </c:pt>
                <c:pt idx="11">
                  <c:v>0.44240868926408616</c:v>
                </c:pt>
                <c:pt idx="12">
                  <c:v>0.45293007434401034</c:v>
                </c:pt>
                <c:pt idx="13">
                  <c:v>1.134902923550102</c:v>
                </c:pt>
                <c:pt idx="14">
                  <c:v>0.35886126704089816</c:v>
                </c:pt>
                <c:pt idx="15">
                  <c:v>0.1717320743582178</c:v>
                </c:pt>
                <c:pt idx="16">
                  <c:v>0.12012087635356328</c:v>
                </c:pt>
                <c:pt idx="17">
                  <c:v>3.6982913669064699E-2</c:v>
                </c:pt>
                <c:pt idx="18">
                  <c:v>0.21560975609756095</c:v>
                </c:pt>
                <c:pt idx="19">
                  <c:v>-0.61200285357588724</c:v>
                </c:pt>
                <c:pt idx="20">
                  <c:v>1.4433463571592737</c:v>
                </c:pt>
                <c:pt idx="21">
                  <c:v>0.20016931615087952</c:v>
                </c:pt>
                <c:pt idx="22">
                  <c:v>0.15659534446273216</c:v>
                </c:pt>
                <c:pt idx="23">
                  <c:v>6.0152705640699633E-2</c:v>
                </c:pt>
                <c:pt idx="24">
                  <c:v>0.10441716644999666</c:v>
                </c:pt>
                <c:pt idx="25">
                  <c:v>8.4015386396535829E-2</c:v>
                </c:pt>
                <c:pt idx="26">
                  <c:v>7.4082470677950374E-2</c:v>
                </c:pt>
                <c:pt idx="27">
                  <c:v>6.1820109509288734E-2</c:v>
                </c:pt>
                <c:pt idx="28">
                  <c:v>6.1344108794167518E-2</c:v>
                </c:pt>
                <c:pt idx="29">
                  <c:v>5.9871194356262425E-2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E-4716-8A38-8FC2E745C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63040"/>
        <c:axId val="486273024"/>
      </c:lineChart>
      <c:catAx>
        <c:axId val="48626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27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273024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2630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11997085541971728"/>
          <c:y val="0.63516843668073786"/>
          <c:w val="0.58172927247800399"/>
          <c:h val="0.20398415117986984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16741128044755"/>
          <c:y val="6.8879466989703209E-2"/>
          <c:w val="0.80544823596356319"/>
          <c:h val="0.71870482535836866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Charts_Support!$B$270:$AE$270</c:f>
              <c:numCache>
                <c:formatCode>#,##0_);\(#,##0\)</c:formatCode>
                <c:ptCount val="30"/>
                <c:pt idx="0">
                  <c:v>123.169</c:v>
                </c:pt>
                <c:pt idx="1">
                  <c:v>234.94300000000004</c:v>
                </c:pt>
                <c:pt idx="2">
                  <c:v>164.846</c:v>
                </c:pt>
                <c:pt idx="3">
                  <c:v>526.36199999999997</c:v>
                </c:pt>
                <c:pt idx="4">
                  <c:v>874.95</c:v>
                </c:pt>
                <c:pt idx="5">
                  <c:v>1117.8700000000001</c:v>
                </c:pt>
                <c:pt idx="6">
                  <c:v>1091.8439999999998</c:v>
                </c:pt>
                <c:pt idx="7">
                  <c:v>1094.98</c:v>
                </c:pt>
                <c:pt idx="8">
                  <c:v>554.76100000000019</c:v>
                </c:pt>
                <c:pt idx="9">
                  <c:v>761.947</c:v>
                </c:pt>
                <c:pt idx="10">
                  <c:v>1255.009</c:v>
                </c:pt>
                <c:pt idx="11">
                  <c:v>2751.0480000000002</c:v>
                </c:pt>
                <c:pt idx="12">
                  <c:v>3202.7510000000002</c:v>
                </c:pt>
                <c:pt idx="13">
                  <c:v>12410.406999999999</c:v>
                </c:pt>
                <c:pt idx="14">
                  <c:v>3439.192</c:v>
                </c:pt>
                <c:pt idx="15">
                  <c:v>5038.588999999999</c:v>
                </c:pt>
                <c:pt idx="16">
                  <c:v>3274.3160000000007</c:v>
                </c:pt>
                <c:pt idx="17">
                  <c:v>17497.725999999999</c:v>
                </c:pt>
                <c:pt idx="18">
                  <c:v>4828.8850000000002</c:v>
                </c:pt>
                <c:pt idx="19">
                  <c:v>1779.9180000000001</c:v>
                </c:pt>
                <c:pt idx="20">
                  <c:v>2541.7869999999998</c:v>
                </c:pt>
                <c:pt idx="21">
                  <c:v>4223.424</c:v>
                </c:pt>
                <c:pt idx="22">
                  <c:v>4739.5130000000008</c:v>
                </c:pt>
                <c:pt idx="23">
                  <c:v>5951.9994978732948</c:v>
                </c:pt>
                <c:pt idx="24">
                  <c:v>6032.5934403559986</c:v>
                </c:pt>
                <c:pt idx="25">
                  <c:v>6089.3202823513848</c:v>
                </c:pt>
                <c:pt idx="26">
                  <c:v>6326.138927601075</c:v>
                </c:pt>
                <c:pt idx="27">
                  <c:v>6963.0164365082765</c:v>
                </c:pt>
                <c:pt idx="28">
                  <c:v>7655.9727423404211</c:v>
                </c:pt>
                <c:pt idx="29">
                  <c:v>8191.7363875535302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E-4AD6-AE8C-0D78D260C5AB}"/>
            </c:ext>
          </c:extLst>
        </c:ser>
        <c:ser>
          <c:idx val="1"/>
          <c:order val="2"/>
          <c:tx>
            <c:strRef>
              <c:f>Charts_Support!$A$271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Charts_Support!$B$271:$AE$271</c:f>
              <c:numCache>
                <c:formatCode>#,##0_);\(#,##0\)</c:formatCode>
                <c:ptCount val="30"/>
                <c:pt idx="0">
                  <c:v>123.169</c:v>
                </c:pt>
                <c:pt idx="1">
                  <c:v>234.94300000000004</c:v>
                </c:pt>
                <c:pt idx="2">
                  <c:v>164.846</c:v>
                </c:pt>
                <c:pt idx="3">
                  <c:v>526.36199999999997</c:v>
                </c:pt>
                <c:pt idx="4">
                  <c:v>874.95</c:v>
                </c:pt>
                <c:pt idx="5">
                  <c:v>1117.8700000000001</c:v>
                </c:pt>
                <c:pt idx="6">
                  <c:v>1091.8439999999998</c:v>
                </c:pt>
                <c:pt idx="7">
                  <c:v>1094.98</c:v>
                </c:pt>
                <c:pt idx="8">
                  <c:v>554.76100000000019</c:v>
                </c:pt>
                <c:pt idx="9">
                  <c:v>761.947</c:v>
                </c:pt>
                <c:pt idx="10">
                  <c:v>1255.009</c:v>
                </c:pt>
                <c:pt idx="11">
                  <c:v>2751.0480000000002</c:v>
                </c:pt>
                <c:pt idx="12">
                  <c:v>3202.7510000000002</c:v>
                </c:pt>
                <c:pt idx="13">
                  <c:v>12410.406999999999</c:v>
                </c:pt>
                <c:pt idx="14">
                  <c:v>3439.192</c:v>
                </c:pt>
                <c:pt idx="15">
                  <c:v>5038.588999999999</c:v>
                </c:pt>
                <c:pt idx="16">
                  <c:v>3274.3160000000007</c:v>
                </c:pt>
                <c:pt idx="17">
                  <c:v>17497.725999999999</c:v>
                </c:pt>
                <c:pt idx="18">
                  <c:v>4828.8850000000002</c:v>
                </c:pt>
                <c:pt idx="19">
                  <c:v>1779.9180000000001</c:v>
                </c:pt>
                <c:pt idx="20">
                  <c:v>2541.7869999999998</c:v>
                </c:pt>
                <c:pt idx="21">
                  <c:v>4223.424</c:v>
                </c:pt>
                <c:pt idx="22">
                  <c:v>4739.5130000000008</c:v>
                </c:pt>
                <c:pt idx="23">
                  <c:v>5568.2348344935699</c:v>
                </c:pt>
                <c:pt idx="24">
                  <c:v>5216.9621919151159</c:v>
                </c:pt>
                <c:pt idx="25">
                  <c:v>5105.9704118421696</c:v>
                </c:pt>
                <c:pt idx="26">
                  <c:v>5232.888757502612</c:v>
                </c:pt>
                <c:pt idx="27">
                  <c:v>6494.1803888485501</c:v>
                </c:pt>
                <c:pt idx="28">
                  <c:v>7070.018149406571</c:v>
                </c:pt>
                <c:pt idx="29">
                  <c:v>7469.7879729180422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E-4AD6-AE8C-0D78D260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58400"/>
        <c:axId val="486360192"/>
      </c:areaChart>
      <c:lineChart>
        <c:grouping val="standard"/>
        <c:varyColors val="0"/>
        <c:ser>
          <c:idx val="0"/>
          <c:order val="0"/>
          <c:tx>
            <c:strRef>
              <c:f>Charts_Support!$A$269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Charts_Support!$B$269:$AE$269</c:f>
              <c:numCache>
                <c:formatCode>#,##0_);\(#,##0\)</c:formatCode>
                <c:ptCount val="30"/>
                <c:pt idx="0">
                  <c:v>123.169</c:v>
                </c:pt>
                <c:pt idx="1">
                  <c:v>234.94300000000004</c:v>
                </c:pt>
                <c:pt idx="2">
                  <c:v>164.846</c:v>
                </c:pt>
                <c:pt idx="3">
                  <c:v>526.36199999999997</c:v>
                </c:pt>
                <c:pt idx="4">
                  <c:v>874.95</c:v>
                </c:pt>
                <c:pt idx="5">
                  <c:v>1117.8700000000001</c:v>
                </c:pt>
                <c:pt idx="6">
                  <c:v>1091.8439999999998</c:v>
                </c:pt>
                <c:pt idx="7">
                  <c:v>1094.98</c:v>
                </c:pt>
                <c:pt idx="8">
                  <c:v>554.76100000000019</c:v>
                </c:pt>
                <c:pt idx="9">
                  <c:v>761.947</c:v>
                </c:pt>
                <c:pt idx="10">
                  <c:v>1255.009</c:v>
                </c:pt>
                <c:pt idx="11">
                  <c:v>2751.0480000000002</c:v>
                </c:pt>
                <c:pt idx="12">
                  <c:v>3202.7510000000002</c:v>
                </c:pt>
                <c:pt idx="13">
                  <c:v>12410.406999999999</c:v>
                </c:pt>
                <c:pt idx="14">
                  <c:v>3439.192</c:v>
                </c:pt>
                <c:pt idx="15">
                  <c:v>5038.588999999999</c:v>
                </c:pt>
                <c:pt idx="16">
                  <c:v>3274.3160000000007</c:v>
                </c:pt>
                <c:pt idx="17">
                  <c:v>17497.725999999999</c:v>
                </c:pt>
                <c:pt idx="18">
                  <c:v>4828.8850000000002</c:v>
                </c:pt>
                <c:pt idx="19">
                  <c:v>1779.9180000000001</c:v>
                </c:pt>
                <c:pt idx="20">
                  <c:v>2541.7869999999998</c:v>
                </c:pt>
                <c:pt idx="21">
                  <c:v>4223.424</c:v>
                </c:pt>
                <c:pt idx="22">
                  <c:v>4739.5130000000008</c:v>
                </c:pt>
                <c:pt idx="23">
                  <c:v>6051.5874705091046</c:v>
                </c:pt>
                <c:pt idx="24">
                  <c:v>6206.89505920378</c:v>
                </c:pt>
                <c:pt idx="25">
                  <c:v>6195.3866040332841</c:v>
                </c:pt>
                <c:pt idx="26">
                  <c:v>6382.3033586856191</c:v>
                </c:pt>
                <c:pt idx="27">
                  <c:v>7284.0839017145245</c:v>
                </c:pt>
                <c:pt idx="28">
                  <c:v>7963.0775370078054</c:v>
                </c:pt>
                <c:pt idx="29">
                  <c:v>8455.5855188113237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E-4AD6-AE8C-0D78D260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358400"/>
        <c:axId val="486360192"/>
      </c:lineChart>
      <c:catAx>
        <c:axId val="48635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360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6019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6.8244159299883464E-2"/>
              <c:y val="1.0054512416717101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3584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7612065536746886"/>
          <c:y val="8.3743553034891626E-3"/>
          <c:w val="0.54227866458326945"/>
          <c:h val="6.8160374183996231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256612154249942E-2"/>
          <c:y val="0.12030373561795342"/>
          <c:w val="0.87243670502725623"/>
          <c:h val="0.72273758233051055"/>
        </c:manualLayout>
      </c:layout>
      <c:areaChart>
        <c:grouping val="standard"/>
        <c:varyColors val="0"/>
        <c:ser>
          <c:idx val="5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Charts_Support!$B$373:$AE$373</c:f>
              <c:numCache>
                <c:formatCode>0%</c:formatCode>
                <c:ptCount val="30"/>
                <c:pt idx="0">
                  <c:v>4.6749801985669304E-2</c:v>
                </c:pt>
                <c:pt idx="1">
                  <c:v>-0.13048138142057086</c:v>
                </c:pt>
                <c:pt idx="2">
                  <c:v>-0.13257004425932462</c:v>
                </c:pt>
                <c:pt idx="3">
                  <c:v>-3.401745211472542E-2</c:v>
                </c:pt>
                <c:pt idx="4">
                  <c:v>0.34189571925965406</c:v>
                </c:pt>
                <c:pt idx="5">
                  <c:v>9.5337536493792494E-2</c:v>
                </c:pt>
                <c:pt idx="6">
                  <c:v>0.27493833993387118</c:v>
                </c:pt>
                <c:pt idx="7">
                  <c:v>0.37647256271206114</c:v>
                </c:pt>
                <c:pt idx="8">
                  <c:v>0.29736755519600744</c:v>
                </c:pt>
                <c:pt idx="9">
                  <c:v>0.35452974319170438</c:v>
                </c:pt>
                <c:pt idx="10">
                  <c:v>1.1079831588932703</c:v>
                </c:pt>
                <c:pt idx="11">
                  <c:v>0.34107164582554511</c:v>
                </c:pt>
                <c:pt idx="12">
                  <c:v>1.0254996749329908</c:v>
                </c:pt>
                <c:pt idx="13">
                  <c:v>1.1507024670550245</c:v>
                </c:pt>
                <c:pt idx="14">
                  <c:v>1.2170239149162609</c:v>
                </c:pt>
                <c:pt idx="15">
                  <c:v>1.379482332492352</c:v>
                </c:pt>
                <c:pt idx="16">
                  <c:v>1.7442235197728129</c:v>
                </c:pt>
                <c:pt idx="17">
                  <c:v>2.3581124865524434</c:v>
                </c:pt>
                <c:pt idx="18">
                  <c:v>2.6157354379992563</c:v>
                </c:pt>
                <c:pt idx="19">
                  <c:v>5.4636713281775933</c:v>
                </c:pt>
                <c:pt idx="20">
                  <c:v>3.9997978836956811</c:v>
                </c:pt>
                <c:pt idx="21">
                  <c:v>3.4852444916667622</c:v>
                </c:pt>
                <c:pt idx="22">
                  <c:v>2.9857931282508563</c:v>
                </c:pt>
                <c:pt idx="23">
                  <c:v>3.9078950790888296</c:v>
                </c:pt>
                <c:pt idx="24">
                  <c:v>2.8931257420316436</c:v>
                </c:pt>
                <c:pt idx="25">
                  <c:v>1.9810546028058453</c:v>
                </c:pt>
                <c:pt idx="26">
                  <c:v>1.2591711089945192</c:v>
                </c:pt>
                <c:pt idx="27">
                  <c:v>0.84859821349611064</c:v>
                </c:pt>
                <c:pt idx="28">
                  <c:v>0.56550779938615303</c:v>
                </c:pt>
                <c:pt idx="29">
                  <c:v>0.34877356544164434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D9-41A2-AAE1-F32F1A17DD32}"/>
            </c:ext>
          </c:extLst>
        </c:ser>
        <c:ser>
          <c:idx val="2"/>
          <c:order val="2"/>
          <c:tx>
            <c:strRef>
              <c:f>Charts_Support!$A$372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Charts_Support!$B$372:$AE$372</c:f>
              <c:numCache>
                <c:formatCode>0%</c:formatCode>
                <c:ptCount val="30"/>
                <c:pt idx="0">
                  <c:v>4.6749801985669304E-2</c:v>
                </c:pt>
                <c:pt idx="1">
                  <c:v>-0.13048138142057086</c:v>
                </c:pt>
                <c:pt idx="2">
                  <c:v>-0.13257004425932462</c:v>
                </c:pt>
                <c:pt idx="3">
                  <c:v>-3.401745211472542E-2</c:v>
                </c:pt>
                <c:pt idx="4">
                  <c:v>0.34189571925965406</c:v>
                </c:pt>
                <c:pt idx="5">
                  <c:v>9.5337536493792494E-2</c:v>
                </c:pt>
                <c:pt idx="6">
                  <c:v>0.27493833993387118</c:v>
                </c:pt>
                <c:pt idx="7">
                  <c:v>0.37647256271206114</c:v>
                </c:pt>
                <c:pt idx="8">
                  <c:v>0.29736755519600744</c:v>
                </c:pt>
                <c:pt idx="9">
                  <c:v>0.35452974319170438</c:v>
                </c:pt>
                <c:pt idx="10">
                  <c:v>1.1079831588932703</c:v>
                </c:pt>
                <c:pt idx="11">
                  <c:v>0.34107164582554511</c:v>
                </c:pt>
                <c:pt idx="12">
                  <c:v>1.0254996749329908</c:v>
                </c:pt>
                <c:pt idx="13">
                  <c:v>1.1507024670550245</c:v>
                </c:pt>
                <c:pt idx="14">
                  <c:v>1.2170239149162609</c:v>
                </c:pt>
                <c:pt idx="15">
                  <c:v>1.379482332492352</c:v>
                </c:pt>
                <c:pt idx="16">
                  <c:v>1.7442235197728129</c:v>
                </c:pt>
                <c:pt idx="17">
                  <c:v>2.3581124865524434</c:v>
                </c:pt>
                <c:pt idx="18">
                  <c:v>2.6157354379992563</c:v>
                </c:pt>
                <c:pt idx="19">
                  <c:v>5.4636713281775933</c:v>
                </c:pt>
                <c:pt idx="20">
                  <c:v>3.9997978836956811</c:v>
                </c:pt>
                <c:pt idx="21">
                  <c:v>3.4852444916667622</c:v>
                </c:pt>
                <c:pt idx="22">
                  <c:v>2.9857931282508563</c:v>
                </c:pt>
                <c:pt idx="23">
                  <c:v>3.5722808352183728</c:v>
                </c:pt>
                <c:pt idx="24">
                  <c:v>2.6274829294244908</c:v>
                </c:pt>
                <c:pt idx="25">
                  <c:v>1.8839473991974498</c:v>
                </c:pt>
                <c:pt idx="26">
                  <c:v>1.3294532166434079</c:v>
                </c:pt>
                <c:pt idx="27">
                  <c:v>0.93011579463029337</c:v>
                </c:pt>
                <c:pt idx="28">
                  <c:v>0.64809317631215957</c:v>
                </c:pt>
                <c:pt idx="29">
                  <c:v>0.43059073964519512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9-41A2-AAE1-F32F1A17D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01920"/>
        <c:axId val="486403456"/>
      </c:areaChart>
      <c:lineChart>
        <c:grouping val="standard"/>
        <c:varyColors val="0"/>
        <c:ser>
          <c:idx val="0"/>
          <c:order val="0"/>
          <c:tx>
            <c:strRef>
              <c:f>Charts_Support!$A$371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Charts_Support!$B$371:$AE$371</c:f>
              <c:numCache>
                <c:formatCode>0%</c:formatCode>
                <c:ptCount val="30"/>
                <c:pt idx="0">
                  <c:v>4.6749801985669304E-2</c:v>
                </c:pt>
                <c:pt idx="1">
                  <c:v>-0.13048138142057086</c:v>
                </c:pt>
                <c:pt idx="2">
                  <c:v>-0.13257004425932462</c:v>
                </c:pt>
                <c:pt idx="3">
                  <c:v>-3.401745211472542E-2</c:v>
                </c:pt>
                <c:pt idx="4">
                  <c:v>0.34189571925965406</c:v>
                </c:pt>
                <c:pt idx="5">
                  <c:v>9.5337536493792494E-2</c:v>
                </c:pt>
                <c:pt idx="6">
                  <c:v>0.27493833993387118</c:v>
                </c:pt>
                <c:pt idx="7">
                  <c:v>0.37647256271206114</c:v>
                </c:pt>
                <c:pt idx="8">
                  <c:v>0.29736755519600744</c:v>
                </c:pt>
                <c:pt idx="9">
                  <c:v>0.35452974319170438</c:v>
                </c:pt>
                <c:pt idx="10">
                  <c:v>1.1079831588932703</c:v>
                </c:pt>
                <c:pt idx="11">
                  <c:v>0.34107164582554511</c:v>
                </c:pt>
                <c:pt idx="12">
                  <c:v>1.0254996749329908</c:v>
                </c:pt>
                <c:pt idx="13">
                  <c:v>1.1507024670550245</c:v>
                </c:pt>
                <c:pt idx="14">
                  <c:v>1.2170239149162609</c:v>
                </c:pt>
                <c:pt idx="15">
                  <c:v>1.379482332492352</c:v>
                </c:pt>
                <c:pt idx="16">
                  <c:v>1.7442235197728129</c:v>
                </c:pt>
                <c:pt idx="17">
                  <c:v>2.3581124865524434</c:v>
                </c:pt>
                <c:pt idx="18">
                  <c:v>2.6157354379992563</c:v>
                </c:pt>
                <c:pt idx="19">
                  <c:v>5.4636713281775933</c:v>
                </c:pt>
                <c:pt idx="20">
                  <c:v>3.9997978836956811</c:v>
                </c:pt>
                <c:pt idx="21">
                  <c:v>3.4852444916667622</c:v>
                </c:pt>
                <c:pt idx="22">
                  <c:v>2.9857931282508563</c:v>
                </c:pt>
                <c:pt idx="23">
                  <c:v>3.6865744096794422</c:v>
                </c:pt>
                <c:pt idx="24">
                  <c:v>2.8154510140469808</c:v>
                </c:pt>
                <c:pt idx="25">
                  <c:v>2.0858307823707043</c:v>
                </c:pt>
                <c:pt idx="26">
                  <c:v>1.5189046476918115</c:v>
                </c:pt>
                <c:pt idx="27">
                  <c:v>1.1382645747545326</c:v>
                </c:pt>
                <c:pt idx="28">
                  <c:v>0.86154857624312053</c:v>
                </c:pt>
                <c:pt idx="29">
                  <c:v>0.64232890033161438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D9-41A2-AAE1-F32F1A17D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01920"/>
        <c:axId val="486403456"/>
      </c:lineChart>
      <c:catAx>
        <c:axId val="48640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403456"/>
        <c:crossesAt val="-1.6"/>
        <c:auto val="1"/>
        <c:lblAlgn val="ctr"/>
        <c:lblOffset val="100"/>
        <c:tickLblSkip val="1"/>
        <c:tickMarkSkip val="1"/>
        <c:noMultiLvlLbl val="0"/>
      </c:catAx>
      <c:valAx>
        <c:axId val="48640345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&quot;x&quot;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4019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29957238037552997"/>
          <c:y val="5.7698212251770416E-2"/>
          <c:w val="0.49230809610337167"/>
          <c:h val="6.4102900598963619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28710045554078"/>
          <c:y val="7.792207792207792E-2"/>
          <c:w val="0.8081410643415855"/>
          <c:h val="0.7459982354214179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Charts_Support!$A$392</c:f>
              <c:strCache>
                <c:ptCount val="1"/>
                <c:pt idx="0">
                  <c:v>ROA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Charts_Support!$B$391:$AE$391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Charts_Support!$B$392:$AE$392</c:f>
              <c:numCache>
                <c:formatCode>0.0%</c:formatCode>
                <c:ptCount val="30"/>
                <c:pt idx="0">
                  <c:v>2.1055161345509898E-2</c:v>
                </c:pt>
                <c:pt idx="1">
                  <c:v>9.0180085258925582E-2</c:v>
                </c:pt>
                <c:pt idx="2">
                  <c:v>7.1263527908323063E-2</c:v>
                </c:pt>
                <c:pt idx="3">
                  <c:v>7.0084912947456598E-2</c:v>
                </c:pt>
                <c:pt idx="4">
                  <c:v>8.6777269681008892E-2</c:v>
                </c:pt>
                <c:pt idx="5">
                  <c:v>5.4987964259568291E-2</c:v>
                </c:pt>
                <c:pt idx="6">
                  <c:v>9.0343694465777155E-2</c:v>
                </c:pt>
                <c:pt idx="7">
                  <c:v>1.9779775874568396E-2</c:v>
                </c:pt>
                <c:pt idx="8">
                  <c:v>1.7860459863631176E-2</c:v>
                </c:pt>
                <c:pt idx="9">
                  <c:v>2.4624712740723385E-2</c:v>
                </c:pt>
                <c:pt idx="10">
                  <c:v>2.2363999469606589E-2</c:v>
                </c:pt>
                <c:pt idx="11">
                  <c:v>3.7413781119505524E-2</c:v>
                </c:pt>
                <c:pt idx="12">
                  <c:v>5.4849033133096609E-2</c:v>
                </c:pt>
                <c:pt idx="13">
                  <c:v>2.2392685968196002E-2</c:v>
                </c:pt>
                <c:pt idx="14">
                  <c:v>3.0814422531297642E-2</c:v>
                </c:pt>
                <c:pt idx="15">
                  <c:v>2.6226300884105137E-2</c:v>
                </c:pt>
                <c:pt idx="16">
                  <c:v>2.7470736529431185E-2</c:v>
                </c:pt>
                <c:pt idx="17">
                  <c:v>1.7965525974478515E-2</c:v>
                </c:pt>
                <c:pt idx="18">
                  <c:v>1.0003815095192572E-2</c:v>
                </c:pt>
                <c:pt idx="19">
                  <c:v>-4.4442747908626783E-2</c:v>
                </c:pt>
                <c:pt idx="20">
                  <c:v>5.8797461414930533E-3</c:v>
                </c:pt>
                <c:pt idx="21">
                  <c:v>2.0652342259670782E-2</c:v>
                </c:pt>
                <c:pt idx="22">
                  <c:v>3.6233817409637166E-2</c:v>
                </c:pt>
                <c:pt idx="23">
                  <c:v>1.8726040423356197E-2</c:v>
                </c:pt>
                <c:pt idx="24">
                  <c:v>2.6056824412477125E-2</c:v>
                </c:pt>
                <c:pt idx="25">
                  <c:v>3.2039901268152524E-2</c:v>
                </c:pt>
                <c:pt idx="26">
                  <c:v>3.9008175283619773E-2</c:v>
                </c:pt>
                <c:pt idx="27">
                  <c:v>3.7625619978570279E-2</c:v>
                </c:pt>
                <c:pt idx="28">
                  <c:v>3.7438702515802155E-2</c:v>
                </c:pt>
                <c:pt idx="29">
                  <c:v>3.7147411124576944E-2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87-4AC8-868D-1F6D1F08BFAF}"/>
            </c:ext>
          </c:extLst>
        </c:ser>
        <c:ser>
          <c:idx val="1"/>
          <c:order val="1"/>
          <c:tx>
            <c:strRef>
              <c:f>Charts_Support!$A$393</c:f>
              <c:strCache>
                <c:ptCount val="1"/>
                <c:pt idx="0">
                  <c:v>ROE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Charts_Support!$B$391:$AE$391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Charts_Support!$B$393:$AE$393</c:f>
              <c:numCache>
                <c:formatCode>0.0%</c:formatCode>
                <c:ptCount val="30"/>
                <c:pt idx="0">
                  <c:v>#N/A</c:v>
                </c:pt>
                <c:pt idx="1">
                  <c:v>0.14867677698433543</c:v>
                </c:pt>
                <c:pt idx="2">
                  <c:v>0.11180242898166601</c:v>
                </c:pt>
                <c:pt idx="3">
                  <c:v>0.11724643143416798</c:v>
                </c:pt>
                <c:pt idx="4">
                  <c:v>0.17632836019097486</c:v>
                </c:pt>
                <c:pt idx="5">
                  <c:v>0.10050133736707226</c:v>
                </c:pt>
                <c:pt idx="6">
                  <c:v>0.16931679619008447</c:v>
                </c:pt>
                <c:pt idx="7">
                  <c:v>4.296533153258774E-2</c:v>
                </c:pt>
                <c:pt idx="8">
                  <c:v>3.5135107676364553E-2</c:v>
                </c:pt>
                <c:pt idx="9">
                  <c:v>5.2382464105389777E-2</c:v>
                </c:pt>
                <c:pt idx="10">
                  <c:v>7.1560708104341481E-2</c:v>
                </c:pt>
                <c:pt idx="11">
                  <c:v>9.7561072981505806E-2</c:v>
                </c:pt>
                <c:pt idx="12">
                  <c:v>0.15491410108827933</c:v>
                </c:pt>
                <c:pt idx="13">
                  <c:v>0.10200255440152305</c:v>
                </c:pt>
                <c:pt idx="14">
                  <c:v>0.10981966103516043</c:v>
                </c:pt>
                <c:pt idx="15">
                  <c:v>0.11084288566677228</c:v>
                </c:pt>
                <c:pt idx="16">
                  <c:v>0.11860740170438074</c:v>
                </c:pt>
                <c:pt idx="17">
                  <c:v>9.2817062745743431E-2</c:v>
                </c:pt>
                <c:pt idx="18">
                  <c:v>7.3995558218210897E-2</c:v>
                </c:pt>
                <c:pt idx="19">
                  <c:v>-0.4669192980724261</c:v>
                </c:pt>
                <c:pt idx="20">
                  <c:v>6.9988520228390527E-2</c:v>
                </c:pt>
                <c:pt idx="21">
                  <c:v>0.2178510068110881</c:v>
                </c:pt>
                <c:pt idx="22">
                  <c:v>0.34889031548801203</c:v>
                </c:pt>
                <c:pt idx="23">
                  <c:v>0.18464844037285721</c:v>
                </c:pt>
                <c:pt idx="24">
                  <c:v>0.25961477022259055</c:v>
                </c:pt>
                <c:pt idx="25">
                  <c:v>0.27285741680742082</c:v>
                </c:pt>
                <c:pt idx="26">
                  <c:v>0.2770820873022749</c:v>
                </c:pt>
                <c:pt idx="27">
                  <c:v>0.22107504499341635</c:v>
                </c:pt>
                <c:pt idx="28">
                  <c:v>0.18838820852489396</c:v>
                </c:pt>
                <c:pt idx="29">
                  <c:v>0.16399598012379613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7-4AC8-868D-1F6D1F08BFAF}"/>
            </c:ext>
          </c:extLst>
        </c:ser>
        <c:ser>
          <c:idx val="2"/>
          <c:order val="2"/>
          <c:tx>
            <c:strRef>
              <c:f>Charts_Support!$A$394</c:f>
              <c:strCache>
                <c:ptCount val="1"/>
                <c:pt idx="0">
                  <c:v>ROIC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Charts_Support!$B$391:$AE$391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Charts_Support!$B$394:$AE$394</c:f>
              <c:numCache>
                <c:formatCode>0.0%</c:formatCode>
                <c:ptCount val="30"/>
                <c:pt idx="0">
                  <c:v>#N/A</c:v>
                </c:pt>
                <c:pt idx="1">
                  <c:v>0.33347121469145202</c:v>
                </c:pt>
                <c:pt idx="2">
                  <c:v>0.30941124660718716</c:v>
                </c:pt>
                <c:pt idx="3">
                  <c:v>0.36399803037639328</c:v>
                </c:pt>
                <c:pt idx="4">
                  <c:v>0.32246417073560807</c:v>
                </c:pt>
                <c:pt idx="5">
                  <c:v>0.23413908556634691</c:v>
                </c:pt>
                <c:pt idx="6">
                  <c:v>0.29833991285980033</c:v>
                </c:pt>
                <c:pt idx="7">
                  <c:v>0.16946318514553602</c:v>
                </c:pt>
                <c:pt idx="8">
                  <c:v>0.1137103873560552</c:v>
                </c:pt>
                <c:pt idx="9">
                  <c:v>0.12242927172007949</c:v>
                </c:pt>
                <c:pt idx="10">
                  <c:v>0.14746690502899712</c:v>
                </c:pt>
                <c:pt idx="11">
                  <c:v>0.2063639419871246</c:v>
                </c:pt>
                <c:pt idx="12">
                  <c:v>0.19173831614810272</c:v>
                </c:pt>
                <c:pt idx="13">
                  <c:v>0.12274548135826327</c:v>
                </c:pt>
                <c:pt idx="14">
                  <c:v>0.12792247450464619</c:v>
                </c:pt>
                <c:pt idx="15">
                  <c:v>0.13643205279978415</c:v>
                </c:pt>
                <c:pt idx="16">
                  <c:v>7.5593457981945236E-2</c:v>
                </c:pt>
                <c:pt idx="17">
                  <c:v>5.6631731934722575E-2</c:v>
                </c:pt>
                <c:pt idx="18">
                  <c:v>6.188529283106349E-2</c:v>
                </c:pt>
                <c:pt idx="19">
                  <c:v>-5.116039345085685E-2</c:v>
                </c:pt>
                <c:pt idx="20">
                  <c:v>5.0170930832998901E-2</c:v>
                </c:pt>
                <c:pt idx="21">
                  <c:v>8.1374383644524262E-2</c:v>
                </c:pt>
                <c:pt idx="22">
                  <c:v>0.1132229138572384</c:v>
                </c:pt>
                <c:pt idx="23">
                  <c:v>0.11120161284489649</c:v>
                </c:pt>
                <c:pt idx="24">
                  <c:v>0.1129248236255532</c:v>
                </c:pt>
                <c:pt idx="25">
                  <c:v>0.122489066961031</c:v>
                </c:pt>
                <c:pt idx="26">
                  <c:v>0.13240849482841854</c:v>
                </c:pt>
                <c:pt idx="27">
                  <c:v>0.12724852606321269</c:v>
                </c:pt>
                <c:pt idx="28">
                  <c:v>0.1243081738990138</c:v>
                </c:pt>
                <c:pt idx="29">
                  <c:v>0.12153229907867207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87-4AC8-868D-1F6D1F08B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771328"/>
        <c:axId val="486781312"/>
      </c:lineChart>
      <c:catAx>
        <c:axId val="48677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781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781312"/>
        <c:scaling>
          <c:orientation val="minMax"/>
          <c:min val="-0.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7713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6679667948483177"/>
          <c:y val="4.6058497444690462E-2"/>
          <c:w val="0.35465177317951535"/>
          <c:h val="6.8181818181818177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6670735925451"/>
          <c:y val="8.1546503304423104E-2"/>
          <c:w val="0.78682319453880989"/>
          <c:h val="0.7330868472307768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Charts_Support!$A$260</c:f>
              <c:strCache>
                <c:ptCount val="1"/>
                <c:pt idx="0">
                  <c:v>Effective Tax Rate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Charts_Support!$B$259:$AE$259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Charts_Support!$B$260:$AE$260</c:f>
              <c:numCache>
                <c:formatCode>0.0%</c:formatCode>
                <c:ptCount val="30"/>
                <c:pt idx="0">
                  <c:v>0.67172976412781593</c:v>
                </c:pt>
                <c:pt idx="1">
                  <c:v>0.31601101910465706</c:v>
                </c:pt>
                <c:pt idx="2">
                  <c:v>0.37863708343285818</c:v>
                </c:pt>
                <c:pt idx="3">
                  <c:v>0.42813159899669156</c:v>
                </c:pt>
                <c:pt idx="4">
                  <c:v>0.28761515768310308</c:v>
                </c:pt>
                <c:pt idx="5">
                  <c:v>0.34672108723226019</c:v>
                </c:pt>
                <c:pt idx="6">
                  <c:v>0.24748632578863686</c:v>
                </c:pt>
                <c:pt idx="7">
                  <c:v>0.23342571161287207</c:v>
                </c:pt>
                <c:pt idx="8">
                  <c:v>0.24510310259156246</c:v>
                </c:pt>
                <c:pt idx="9">
                  <c:v>0.44552362950279045</c:v>
                </c:pt>
                <c:pt idx="10">
                  <c:v>0.31129682527677688</c:v>
                </c:pt>
                <c:pt idx="11">
                  <c:v>0.35542397740235715</c:v>
                </c:pt>
                <c:pt idx="12">
                  <c:v>0.29993745775239533</c:v>
                </c:pt>
                <c:pt idx="13">
                  <c:v>0.36613038147179916</c:v>
                </c:pt>
                <c:pt idx="14">
                  <c:v>0.3217492956451497</c:v>
                </c:pt>
                <c:pt idx="15">
                  <c:v>0.31963820013263144</c:v>
                </c:pt>
                <c:pt idx="16">
                  <c:v>0.4001958278324621</c:v>
                </c:pt>
                <c:pt idx="17">
                  <c:v>0.37999988027986237</c:v>
                </c:pt>
                <c:pt idx="18">
                  <c:v>0.23378991032066654</c:v>
                </c:pt>
                <c:pt idx="19">
                  <c:v>0.23449130377665717</c:v>
                </c:pt>
                <c:pt idx="20">
                  <c:v>0.2150716018154602</c:v>
                </c:pt>
                <c:pt idx="21">
                  <c:v>0.371563474747858</c:v>
                </c:pt>
                <c:pt idx="22">
                  <c:v>0.3277687971995587</c:v>
                </c:pt>
                <c:pt idx="23">
                  <c:v>0.33476473605099821</c:v>
                </c:pt>
                <c:pt idx="24">
                  <c:v>0.33999999999999864</c:v>
                </c:pt>
                <c:pt idx="25">
                  <c:v>0.33999999999999991</c:v>
                </c:pt>
                <c:pt idx="26">
                  <c:v>0.33999999999999991</c:v>
                </c:pt>
                <c:pt idx="27">
                  <c:v>0.33999999999999986</c:v>
                </c:pt>
                <c:pt idx="28">
                  <c:v>0.33999999999999997</c:v>
                </c:pt>
                <c:pt idx="29">
                  <c:v>0.34000000000000014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A-4828-9B4F-BF6C65D2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798464"/>
        <c:axId val="486800000"/>
      </c:lineChart>
      <c:catAx>
        <c:axId val="48679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0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800000"/>
        <c:scaling>
          <c:orientation val="minMax"/>
          <c:max val="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7984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6722325739816872"/>
          <c:y val="6.6246589751631238E-2"/>
          <c:w val="0.29263626930354636"/>
          <c:h val="0.10925704582910223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52824949105732"/>
          <c:y val="6.5146683419882778E-2"/>
          <c:w val="0.73694451636485481"/>
          <c:h val="0.7188682884288026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Charts_Support!$A$274</c:f>
              <c:strCache>
                <c:ptCount val="1"/>
                <c:pt idx="0">
                  <c:v>CapEx/Revenue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Charts_Support!$B$274:$AE$274</c:f>
              <c:numCache>
                <c:formatCode>0.0%</c:formatCode>
                <c:ptCount val="30"/>
                <c:pt idx="0">
                  <c:v>4.9772210579741655E-2</c:v>
                </c:pt>
                <c:pt idx="1">
                  <c:v>8.9402781519652849E-2</c:v>
                </c:pt>
                <c:pt idx="2">
                  <c:v>5.7407806606393684E-2</c:v>
                </c:pt>
                <c:pt idx="3">
                  <c:v>0.14193033802028476</c:v>
                </c:pt>
                <c:pt idx="4">
                  <c:v>0.18754420937560284</c:v>
                </c:pt>
                <c:pt idx="5">
                  <c:v>0.1854941321947072</c:v>
                </c:pt>
                <c:pt idx="6">
                  <c:v>0.1563036520584424</c:v>
                </c:pt>
                <c:pt idx="7">
                  <c:v>0.14061924710694695</c:v>
                </c:pt>
                <c:pt idx="8">
                  <c:v>6.4604141966286346E-2</c:v>
                </c:pt>
                <c:pt idx="9">
                  <c:v>8.4835727901093824E-2</c:v>
                </c:pt>
                <c:pt idx="10">
                  <c:v>0.11732889549707082</c:v>
                </c:pt>
                <c:pt idx="11">
                  <c:v>0.20348721141064771</c:v>
                </c:pt>
                <c:pt idx="12">
                  <c:v>0.20383244981039181</c:v>
                </c:pt>
                <c:pt idx="13">
                  <c:v>0.54431000881349789</c:v>
                </c:pt>
                <c:pt idx="14">
                  <c:v>0.10651486466832522</c:v>
                </c:pt>
                <c:pt idx="15">
                  <c:v>0.13364295725726261</c:v>
                </c:pt>
                <c:pt idx="16">
                  <c:v>7.698997588029155E-2</c:v>
                </c:pt>
                <c:pt idx="17">
                  <c:v>0.37909485126403719</c:v>
                </c:pt>
                <c:pt idx="18">
                  <c:v>8.3035278762637929E-2</c:v>
                </c:pt>
                <c:pt idx="19">
                  <c:v>4.6237137982573978E-2</c:v>
                </c:pt>
                <c:pt idx="20">
                  <c:v>4.7617315189103886E-2</c:v>
                </c:pt>
                <c:pt idx="21">
                  <c:v>6.1359057481185336E-2</c:v>
                </c:pt>
                <c:pt idx="22">
                  <c:v>6.2173000691266911E-2</c:v>
                </c:pt>
                <c:pt idx="23">
                  <c:v>7.6020922975125263E-2</c:v>
                </c:pt>
                <c:pt idx="24">
                  <c:v>7.0051652348651322E-2</c:v>
                </c:pt>
                <c:pt idx="25">
                  <c:v>6.4504204824666234E-2</c:v>
                </c:pt>
                <c:pt idx="26">
                  <c:v>6.1965539178184231E-2</c:v>
                </c:pt>
                <c:pt idx="27">
                  <c:v>6.6588110608664264E-2</c:v>
                </c:pt>
                <c:pt idx="28">
                  <c:v>6.8574594930367633E-2</c:v>
                </c:pt>
                <c:pt idx="29">
                  <c:v>6.8689693852683392E-2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6A-49A6-B7AA-1C216F1E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20096"/>
        <c:axId val="486830080"/>
      </c:lineChart>
      <c:lineChart>
        <c:grouping val="standard"/>
        <c:varyColors val="0"/>
        <c:ser>
          <c:idx val="1"/>
          <c:order val="1"/>
          <c:tx>
            <c:v>Capex/Depreciation</c:v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Charts_Support!$B$276:$AE$276</c:f>
              <c:numCache>
                <c:formatCode>0.0%</c:formatCode>
                <c:ptCount val="30"/>
                <c:pt idx="0">
                  <c:v>1.1078540718487471</c:v>
                </c:pt>
                <c:pt idx="1">
                  <c:v>2.0610300632494982</c:v>
                </c:pt>
                <c:pt idx="2">
                  <c:v>1.0209711383624427</c:v>
                </c:pt>
                <c:pt idx="3">
                  <c:v>2.8761379159608764</c:v>
                </c:pt>
                <c:pt idx="4">
                  <c:v>4.148058597639027</c:v>
                </c:pt>
                <c:pt idx="5">
                  <c:v>1.956514129494993</c:v>
                </c:pt>
                <c:pt idx="6">
                  <c:v>1.9055534224580262</c:v>
                </c:pt>
                <c:pt idx="7">
                  <c:v>1.911026562881776</c:v>
                </c:pt>
                <c:pt idx="8">
                  <c:v>0.83401762264213386</c:v>
                </c:pt>
                <c:pt idx="9">
                  <c:v>1.1363422149178406</c:v>
                </c:pt>
                <c:pt idx="10">
                  <c:v>1.8964170818354769</c:v>
                </c:pt>
                <c:pt idx="11">
                  <c:v>3.4140538420776352</c:v>
                </c:pt>
                <c:pt idx="12">
                  <c:v>3.4734207883532133</c:v>
                </c:pt>
                <c:pt idx="13">
                  <c:v>9.2886636364112665</c:v>
                </c:pt>
                <c:pt idx="14">
                  <c:v>1.7655932349571026</c:v>
                </c:pt>
                <c:pt idx="15">
                  <c:v>2.1097533912058939</c:v>
                </c:pt>
                <c:pt idx="16">
                  <c:v>1.1899351522490296</c:v>
                </c:pt>
                <c:pt idx="17">
                  <c:v>5.6177380496788158</c:v>
                </c:pt>
                <c:pt idx="18">
                  <c:v>1.1342642398299008</c:v>
                </c:pt>
                <c:pt idx="19">
                  <c:v>0.40886036637414191</c:v>
                </c:pt>
                <c:pt idx="20">
                  <c:v>0.67961419705222725</c:v>
                </c:pt>
                <c:pt idx="21">
                  <c:v>1.260349239554222</c:v>
                </c:pt>
                <c:pt idx="22">
                  <c:v>1.2110350942417543</c:v>
                </c:pt>
                <c:pt idx="23">
                  <c:v>1.4662242693521632</c:v>
                </c:pt>
                <c:pt idx="24">
                  <c:v>1.3864105638892581</c:v>
                </c:pt>
                <c:pt idx="25">
                  <c:v>1.3297722763463595</c:v>
                </c:pt>
                <c:pt idx="26">
                  <c:v>1.3267773200006814</c:v>
                </c:pt>
                <c:pt idx="27">
                  <c:v>1.4336495418341644</c:v>
                </c:pt>
                <c:pt idx="28">
                  <c:v>1.3873574550601195</c:v>
                </c:pt>
                <c:pt idx="29">
                  <c:v>1.3116204254571617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6A-49A6-B7AA-1C216F1E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33152"/>
        <c:axId val="486831616"/>
      </c:lineChart>
      <c:catAx>
        <c:axId val="48682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3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830080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20096"/>
        <c:crosses val="autoZero"/>
        <c:crossBetween val="between"/>
      </c:valAx>
      <c:valAx>
        <c:axId val="48683161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33152"/>
        <c:crosses val="max"/>
        <c:crossBetween val="between"/>
      </c:valAx>
      <c:catAx>
        <c:axId val="48683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683161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580791478735062"/>
          <c:y val="0.24507282608542733"/>
          <c:w val="0.32705659055969472"/>
          <c:h val="0.12126722178896968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78637229169872E-2"/>
          <c:y val="5.921062141919816E-2"/>
          <c:w val="0.88235458802943745"/>
          <c:h val="0.76824017019401103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Charts_Support!$A$249</c:f>
              <c:strCache>
                <c:ptCount val="1"/>
                <c:pt idx="0">
                  <c:v>Gross margin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Charts_Support!$B$249:$AE$249</c:f>
              <c:numCache>
                <c:formatCode>0.0%</c:formatCode>
                <c:ptCount val="30"/>
                <c:pt idx="0">
                  <c:v>0.53259283924136458</c:v>
                </c:pt>
                <c:pt idx="1">
                  <c:v>0.55827241053367005</c:v>
                </c:pt>
                <c:pt idx="2">
                  <c:v>0.56253876470446884</c:v>
                </c:pt>
                <c:pt idx="3">
                  <c:v>0.57630088383899669</c:v>
                </c:pt>
                <c:pt idx="4">
                  <c:v>0.62080466422309388</c:v>
                </c:pt>
                <c:pt idx="5">
                  <c:v>0.65709214256367443</c:v>
                </c:pt>
                <c:pt idx="6">
                  <c:v>0.66734961461779652</c:v>
                </c:pt>
                <c:pt idx="7">
                  <c:v>0.64281750640150315</c:v>
                </c:pt>
                <c:pt idx="8">
                  <c:v>0.63125315808713112</c:v>
                </c:pt>
                <c:pt idx="9">
                  <c:v>0.64669997238750132</c:v>
                </c:pt>
                <c:pt idx="10">
                  <c:v>0.64590309132778334</c:v>
                </c:pt>
                <c:pt idx="11">
                  <c:v>0.64796305902438944</c:v>
                </c:pt>
                <c:pt idx="12">
                  <c:v>0.6674181623550175</c:v>
                </c:pt>
                <c:pt idx="13">
                  <c:v>0.68085861320410679</c:v>
                </c:pt>
                <c:pt idx="14">
                  <c:v>0.68566780813008366</c:v>
                </c:pt>
                <c:pt idx="15">
                  <c:v>0.68755841719986965</c:v>
                </c:pt>
                <c:pt idx="16">
                  <c:v>0.69613319776818328</c:v>
                </c:pt>
                <c:pt idx="17">
                  <c:v>0.69262227359901862</c:v>
                </c:pt>
                <c:pt idx="18">
                  <c:v>0.7048553959230649</c:v>
                </c:pt>
                <c:pt idx="19">
                  <c:v>0.7024351391005772</c:v>
                </c:pt>
                <c:pt idx="20">
                  <c:v>0.68615159884786414</c:v>
                </c:pt>
                <c:pt idx="21">
                  <c:v>0.67293842532841719</c:v>
                </c:pt>
                <c:pt idx="22">
                  <c:v>0.67200305313918807</c:v>
                </c:pt>
                <c:pt idx="23">
                  <c:v>0.67485660188200858</c:v>
                </c:pt>
                <c:pt idx="24">
                  <c:v>0.66910245583646666</c:v>
                </c:pt>
                <c:pt idx="25">
                  <c:v>0.66810342324133265</c:v>
                </c:pt>
                <c:pt idx="26">
                  <c:v>0.66710272998857378</c:v>
                </c:pt>
                <c:pt idx="27">
                  <c:v>0.66210167766123251</c:v>
                </c:pt>
                <c:pt idx="28">
                  <c:v>0.66210065778264549</c:v>
                </c:pt>
                <c:pt idx="29">
                  <c:v>0.66210032445444955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5-4EA3-94EE-4199CBF66E52}"/>
            </c:ext>
          </c:extLst>
        </c:ser>
        <c:ser>
          <c:idx val="1"/>
          <c:order val="1"/>
          <c:tx>
            <c:strRef>
              <c:f>Charts_Support!$A$250</c:f>
              <c:strCache>
                <c:ptCount val="1"/>
                <c:pt idx="0">
                  <c:v>Adj. EBITDA Margin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Charts_Support!$B$250:$AE$250</c:f>
              <c:numCache>
                <c:formatCode>0.0%</c:formatCode>
                <c:ptCount val="30"/>
                <c:pt idx="0">
                  <c:v>0.13358069451325313</c:v>
                </c:pt>
                <c:pt idx="1">
                  <c:v>0.14608648069420788</c:v>
                </c:pt>
                <c:pt idx="2">
                  <c:v>0.14459700552779028</c:v>
                </c:pt>
                <c:pt idx="3">
                  <c:v>0.14707811100379281</c:v>
                </c:pt>
                <c:pt idx="4">
                  <c:v>0.15016290485070632</c:v>
                </c:pt>
                <c:pt idx="5">
                  <c:v>0.16716972728859683</c:v>
                </c:pt>
                <c:pt idx="6">
                  <c:v>0.18448126758041017</c:v>
                </c:pt>
                <c:pt idx="7">
                  <c:v>0.13253984958987872</c:v>
                </c:pt>
                <c:pt idx="8">
                  <c:v>0.11648149120754761</c:v>
                </c:pt>
                <c:pt idx="9">
                  <c:v>0.1111882949727438</c:v>
                </c:pt>
                <c:pt idx="10">
                  <c:v>0.10422536185654681</c:v>
                </c:pt>
                <c:pt idx="11">
                  <c:v>0.11894400338237031</c:v>
                </c:pt>
                <c:pt idx="12">
                  <c:v>0.14869571775379922</c:v>
                </c:pt>
                <c:pt idx="13">
                  <c:v>0.21876948306060612</c:v>
                </c:pt>
                <c:pt idx="14">
                  <c:v>0.20992074671082869</c:v>
                </c:pt>
                <c:pt idx="15">
                  <c:v>0.21065269791546398</c:v>
                </c:pt>
                <c:pt idx="16">
                  <c:v>0.20917432081420165</c:v>
                </c:pt>
                <c:pt idx="17">
                  <c:v>0.19986311380751667</c:v>
                </c:pt>
                <c:pt idx="18">
                  <c:v>0.19283077067360721</c:v>
                </c:pt>
                <c:pt idx="19">
                  <c:v>0.11302643569095844</c:v>
                </c:pt>
                <c:pt idx="20">
                  <c:v>0.19915896877880146</c:v>
                </c:pt>
                <c:pt idx="21">
                  <c:v>0.18536623706320834</c:v>
                </c:pt>
                <c:pt idx="22">
                  <c:v>0.19358254132882971</c:v>
                </c:pt>
                <c:pt idx="23">
                  <c:v>0.19416042131653813</c:v>
                </c:pt>
                <c:pt idx="24">
                  <c:v>0.19026491358448117</c:v>
                </c:pt>
                <c:pt idx="25">
                  <c:v>0.1903123539040191</c:v>
                </c:pt>
                <c:pt idx="26">
                  <c:v>0.19062315465951174</c:v>
                </c:pt>
                <c:pt idx="27">
                  <c:v>0.18548225292364198</c:v>
                </c:pt>
                <c:pt idx="28">
                  <c:v>0.18533756556998066</c:v>
                </c:pt>
                <c:pt idx="29">
                  <c:v>0.18519778869805781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25-4EA3-94EE-4199CBF66E52}"/>
            </c:ext>
          </c:extLst>
        </c:ser>
        <c:ser>
          <c:idx val="2"/>
          <c:order val="2"/>
          <c:tx>
            <c:strRef>
              <c:f>Charts_Support!$A$251</c:f>
              <c:strCache>
                <c:ptCount val="1"/>
                <c:pt idx="0">
                  <c:v>EBIT Margin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Charts_Support!$B$251:$AE$251</c:f>
              <c:numCache>
                <c:formatCode>0.0%</c:formatCode>
                <c:ptCount val="30"/>
                <c:pt idx="0">
                  <c:v>8.8654009813088991E-2</c:v>
                </c:pt>
                <c:pt idx="1">
                  <c:v>0.10270876238053271</c:v>
                </c:pt>
                <c:pt idx="2">
                  <c:v>8.8368377264633619E-2</c:v>
                </c:pt>
                <c:pt idx="3">
                  <c:v>9.7730568511948182E-2</c:v>
                </c:pt>
                <c:pt idx="4">
                  <c:v>0.10495037832508097</c:v>
                </c:pt>
                <c:pt idx="5">
                  <c:v>7.2361246532781323E-2</c:v>
                </c:pt>
                <c:pt idx="6">
                  <c:v>0.1024559356131636</c:v>
                </c:pt>
                <c:pt idx="7">
                  <c:v>5.8956755645387993E-2</c:v>
                </c:pt>
                <c:pt idx="8">
                  <c:v>3.9020128027207474E-2</c:v>
                </c:pt>
                <c:pt idx="9">
                  <c:v>3.6531447073074985E-2</c:v>
                </c:pt>
                <c:pt idx="10">
                  <c:v>4.2356642880702018E-2</c:v>
                </c:pt>
                <c:pt idx="11">
                  <c:v>5.9341190766265067E-2</c:v>
                </c:pt>
                <c:pt idx="12">
                  <c:v>7.1066747747756454E-2</c:v>
                </c:pt>
                <c:pt idx="13">
                  <c:v>6.3903276520372351E-2</c:v>
                </c:pt>
                <c:pt idx="14">
                  <c:v>7.2900321775241958E-2</c:v>
                </c:pt>
                <c:pt idx="15">
                  <c:v>7.3391643973493348E-2</c:v>
                </c:pt>
                <c:pt idx="16">
                  <c:v>8.7341753430549368E-2</c:v>
                </c:pt>
                <c:pt idx="17">
                  <c:v>7.1356851289125722E-2</c:v>
                </c:pt>
                <c:pt idx="18">
                  <c:v>7.859898454497645E-2</c:v>
                </c:pt>
                <c:pt idx="19">
                  <c:v>-3.7765480614719252E-2</c:v>
                </c:pt>
                <c:pt idx="20">
                  <c:v>7.7425667160533201E-2</c:v>
                </c:pt>
                <c:pt idx="21">
                  <c:v>9.2131000567256538E-2</c:v>
                </c:pt>
                <c:pt idx="22">
                  <c:v>0.1036370246411934</c:v>
                </c:pt>
                <c:pt idx="23">
                  <c:v>9.4545697441826573E-2</c:v>
                </c:pt>
                <c:pt idx="24">
                  <c:v>9.1538990698522879E-2</c:v>
                </c:pt>
                <c:pt idx="25">
                  <c:v>9.5923842333473619E-2</c:v>
                </c:pt>
                <c:pt idx="26">
                  <c:v>9.9326546631911122E-2</c:v>
                </c:pt>
                <c:pt idx="27">
                  <c:v>9.4785996348751053E-2</c:v>
                </c:pt>
                <c:pt idx="28">
                  <c:v>9.2273122095038226E-2</c:v>
                </c:pt>
                <c:pt idx="29">
                  <c:v>8.9344480396009479E-2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25-4EA3-94EE-4199CBF66E52}"/>
            </c:ext>
          </c:extLst>
        </c:ser>
        <c:ser>
          <c:idx val="3"/>
          <c:order val="3"/>
          <c:tx>
            <c:strRef>
              <c:f>Charts_Support!$A$252</c:f>
              <c:strCache>
                <c:ptCount val="1"/>
                <c:pt idx="0">
                  <c:v>Net Profit Margin</c:v>
                </c:pt>
              </c:strCache>
            </c:strRef>
          </c:tx>
          <c:spPr>
            <a:ln w="25400">
              <a:solidFill>
                <a:schemeClr val="accent4"/>
              </a:solidFill>
              <a:prstDash val="lgDash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Charts_Support!$B$252:$AE$252</c:f>
              <c:numCache>
                <c:formatCode>0.0%</c:formatCode>
                <c:ptCount val="30"/>
                <c:pt idx="0">
                  <c:v>1.2532661131616754E-2</c:v>
                </c:pt>
                <c:pt idx="1">
                  <c:v>5.6671141695548884E-2</c:v>
                </c:pt>
                <c:pt idx="2">
                  <c:v>4.4627686452787092E-2</c:v>
                </c:pt>
                <c:pt idx="3">
                  <c:v>4.1689384170928399E-2</c:v>
                </c:pt>
                <c:pt idx="4">
                  <c:v>6.03386706106789E-2</c:v>
                </c:pt>
                <c:pt idx="5">
                  <c:v>3.6867014776873534E-2</c:v>
                </c:pt>
                <c:pt idx="6">
                  <c:v>6.8490679778961908E-2</c:v>
                </c:pt>
                <c:pt idx="7">
                  <c:v>1.6538024459976913E-2</c:v>
                </c:pt>
                <c:pt idx="8">
                  <c:v>1.2081870428379667E-2</c:v>
                </c:pt>
                <c:pt idx="9">
                  <c:v>1.6837611786083142E-2</c:v>
                </c:pt>
                <c:pt idx="10">
                  <c:v>1.9599300855681501E-2</c:v>
                </c:pt>
                <c:pt idx="11">
                  <c:v>2.7113772515326595E-2</c:v>
                </c:pt>
                <c:pt idx="12">
                  <c:v>4.3341661010401593E-2</c:v>
                </c:pt>
                <c:pt idx="13">
                  <c:v>2.9239409822390254E-2</c:v>
                </c:pt>
                <c:pt idx="14">
                  <c:v>3.0388830952662326E-2</c:v>
                </c:pt>
                <c:pt idx="15">
                  <c:v>2.643030914092391E-2</c:v>
                </c:pt>
                <c:pt idx="16">
                  <c:v>2.5617011929308361E-2</c:v>
                </c:pt>
                <c:pt idx="17">
                  <c:v>2.0652586756244606E-2</c:v>
                </c:pt>
                <c:pt idx="18">
                  <c:v>1.3144510498813485E-2</c:v>
                </c:pt>
                <c:pt idx="19">
                  <c:v>-9.632870861855021E-2</c:v>
                </c:pt>
                <c:pt idx="20">
                  <c:v>9.1399747719483806E-3</c:v>
                </c:pt>
                <c:pt idx="21">
                  <c:v>2.4144246575014051E-2</c:v>
                </c:pt>
                <c:pt idx="22">
                  <c:v>3.6597896437157711E-2</c:v>
                </c:pt>
                <c:pt idx="23">
                  <c:v>2.0935992691653284E-2</c:v>
                </c:pt>
                <c:pt idx="24">
                  <c:v>2.7484117825933033E-2</c:v>
                </c:pt>
                <c:pt idx="25">
                  <c:v>3.3105387034681882E-2</c:v>
                </c:pt>
                <c:pt idx="26">
                  <c:v>4.0833436597827642E-2</c:v>
                </c:pt>
                <c:pt idx="27">
                  <c:v>3.8864660335382092E-2</c:v>
                </c:pt>
                <c:pt idx="28">
                  <c:v>3.8240104224651621E-2</c:v>
                </c:pt>
                <c:pt idx="29">
                  <c:v>3.767645589898861E-2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25-4EA3-94EE-4199CBF66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67328"/>
        <c:axId val="486868864"/>
      </c:lineChart>
      <c:catAx>
        <c:axId val="48686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68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86886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8673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592303778235714"/>
          <c:y val="1.9977454379020706E-2"/>
          <c:w val="0.68985560824405123"/>
          <c:h val="0.1077164329874388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330943554234701E-2"/>
          <c:y val="5.0124118690073029E-2"/>
          <c:w val="0.86575957188230845"/>
          <c:h val="0.7834112891704971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Charts_Support!$A$456</c:f>
              <c:strCache>
                <c:ptCount val="1"/>
                <c:pt idx="0">
                  <c:v>Growth YoY</c:v>
                </c:pt>
              </c:strCache>
            </c:strRef>
          </c:tx>
          <c:spPr>
            <a:ln w="254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Charts_Support!$O$453:$CS$453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Charts_Support!$N$456:$CS$456</c:f>
              <c:numCache>
                <c:formatCode>0.0%</c:formatCode>
                <c:ptCount val="60"/>
                <c:pt idx="0">
                  <c:v>5.6211233321963316E-3</c:v>
                </c:pt>
                <c:pt idx="1">
                  <c:v>4.5339874165529981E-2</c:v>
                </c:pt>
                <c:pt idx="2">
                  <c:v>7.3283880443085314E-2</c:v>
                </c:pt>
                <c:pt idx="3">
                  <c:v>5.7704242334015055E-2</c:v>
                </c:pt>
                <c:pt idx="4">
                  <c:v>0.1435840325829818</c:v>
                </c:pt>
                <c:pt idx="5">
                  <c:v>0.19774218858171433</c:v>
                </c:pt>
                <c:pt idx="6">
                  <c:v>0.21708627756959009</c:v>
                </c:pt>
                <c:pt idx="7">
                  <c:v>0.2012420637177541</c:v>
                </c:pt>
                <c:pt idx="8">
                  <c:v>0.23586332123914766</c:v>
                </c:pt>
                <c:pt idx="9">
                  <c:v>0.32037402105775836</c:v>
                </c:pt>
                <c:pt idx="10">
                  <c:v>0.26498024400638553</c:v>
                </c:pt>
                <c:pt idx="11">
                  <c:v>0.23591779093626619</c:v>
                </c:pt>
                <c:pt idx="12">
                  <c:v>0.14743110172421248</c:v>
                </c:pt>
                <c:pt idx="13">
                  <c:v>0.11500172475884018</c:v>
                </c:pt>
                <c:pt idx="14">
                  <c:v>0.16556658021294779</c:v>
                </c:pt>
                <c:pt idx="15">
                  <c:v>0.2156581038664751</c:v>
                </c:pt>
                <c:pt idx="16">
                  <c:v>0.17456144119036843</c:v>
                </c:pt>
                <c:pt idx="17">
                  <c:v>0.36190368753610347</c:v>
                </c:pt>
                <c:pt idx="18">
                  <c:v>0.39658813411226546</c:v>
                </c:pt>
                <c:pt idx="19">
                  <c:v>0.79180045300888624</c:v>
                </c:pt>
                <c:pt idx="20">
                  <c:v>0.83972138527808871</c:v>
                </c:pt>
                <c:pt idx="21">
                  <c:v>0.49172702229304877</c:v>
                </c:pt>
                <c:pt idx="22">
                  <c:v>0.44253123252058413</c:v>
                </c:pt>
                <c:pt idx="23">
                  <c:v>0.13339357635005245</c:v>
                </c:pt>
                <c:pt idx="24">
                  <c:v>0.16210349506837596</c:v>
                </c:pt>
                <c:pt idx="25">
                  <c:v>0.1679510101982209</c:v>
                </c:pt>
                <c:pt idx="26">
                  <c:v>0.16750332608901308</c:v>
                </c:pt>
                <c:pt idx="27">
                  <c:v>0.17210972840954941</c:v>
                </c:pt>
                <c:pt idx="28">
                  <c:v>0.18260384591951029</c:v>
                </c:pt>
                <c:pt idx="29">
                  <c:v>0.14106507170868943</c:v>
                </c:pt>
                <c:pt idx="30">
                  <c:v>9.0957243836273793E-2</c:v>
                </c:pt>
                <c:pt idx="31">
                  <c:v>0.10634441173935461</c:v>
                </c:pt>
                <c:pt idx="32">
                  <c:v>9.775106903234243E-2</c:v>
                </c:pt>
                <c:pt idx="33">
                  <c:v>9.4844042715659826E-2</c:v>
                </c:pt>
                <c:pt idx="34">
                  <c:v>8.5919960318286304E-2</c:v>
                </c:pt>
                <c:pt idx="35">
                  <c:v>6.540030047888612E-2</c:v>
                </c:pt>
                <c:pt idx="36">
                  <c:v>0.23562769040958531</c:v>
                </c:pt>
                <c:pt idx="37">
                  <c:v>0.28740688717892393</c:v>
                </c:pt>
                <c:pt idx="38">
                  <c:v>0.2738454995324997</c:v>
                </c:pt>
                <c:pt idx="39">
                  <c:v>0.24379592725234733</c:v>
                </c:pt>
                <c:pt idx="40">
                  <c:v>-0.11580934288578404</c:v>
                </c:pt>
                <c:pt idx="41">
                  <c:v>-0.64351264977414757</c:v>
                </c:pt>
                <c:pt idx="42">
                  <c:v>-0.31710292614532132</c:v>
                </c:pt>
                <c:pt idx="43">
                  <c:v>-0.26609262640667053</c:v>
                </c:pt>
                <c:pt idx="44">
                  <c:v>-0.15641155910447591</c:v>
                </c:pt>
                <c:pt idx="45">
                  <c:v>1.4005200684831229</c:v>
                </c:pt>
                <c:pt idx="46">
                  <c:v>0.41056536908931895</c:v>
                </c:pt>
                <c:pt idx="47">
                  <c:v>0.48110663382972918</c:v>
                </c:pt>
                <c:pt idx="48">
                  <c:v>0.49124554408789756</c:v>
                </c:pt>
                <c:pt idx="49">
                  <c:v>0.35758823495467951</c:v>
                </c:pt>
                <c:pt idx="50">
                  <c:v>0.25503874941566917</c:v>
                </c:pt>
                <c:pt idx="51">
                  <c:v>0.14425650509630827</c:v>
                </c:pt>
                <c:pt idx="52">
                  <c:v>0.16006345606922112</c:v>
                </c:pt>
                <c:pt idx="53">
                  <c:v>0.11863692156998873</c:v>
                </c:pt>
                <c:pt idx="54">
                  <c:v>0.11141559486558417</c:v>
                </c:pt>
                <c:pt idx="55">
                  <c:v>5.2275879632889044E-2</c:v>
                </c:pt>
                <c:pt idx="56">
                  <c:v>3.0408226769163882E-2</c:v>
                </c:pt>
                <c:pt idx="57">
                  <c:v>1.6112263753346401E-2</c:v>
                </c:pt>
                <c:pt idx="58">
                  <c:v>3.2768242665748293E-2</c:v>
                </c:pt>
                <c:pt idx="59">
                  <c:v>4.1570121876582711E-2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5-4C7D-86D1-98D253762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00096"/>
        <c:axId val="486901632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5-4C7D-86D1-98D253762132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5-4C7D-86D1-98D253762132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9815-4C7D-86D1-98D253762132}"/>
              </c:ext>
            </c:extLst>
          </c:dPt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15-4C7D-86D1-98D253762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903168"/>
        <c:axId val="486913152"/>
      </c:scatterChart>
      <c:catAx>
        <c:axId val="48690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90163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6901632"/>
        <c:scaling>
          <c:orientation val="minMax"/>
          <c:max val="1"/>
          <c:min val="-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6900096"/>
        <c:crosses val="autoZero"/>
        <c:crossBetween val="midCat"/>
      </c:valAx>
      <c:valAx>
        <c:axId val="48690316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6913152"/>
        <c:crosses val="autoZero"/>
        <c:crossBetween val="midCat"/>
      </c:valAx>
      <c:valAx>
        <c:axId val="48691315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69031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autoTitleDeleted val="0"/>
    <c:plotArea>
      <c:layout>
        <c:manualLayout>
          <c:layoutTarget val="inner"/>
          <c:xMode val="edge"/>
          <c:yMode val="edge"/>
          <c:x val="0.11350304387751105"/>
          <c:y val="5.2117346735906227E-2"/>
          <c:w val="0.84540198198422023"/>
          <c:h val="0.77055454606635709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Charts_Support!$A$553</c:f>
              <c:strCache>
                <c:ptCount val="1"/>
                <c:pt idx="0">
                  <c:v>Net Income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Charts_Support!$L$550:$CS$550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Charts_Support!$J$554:$CS$554</c:f>
              <c:numCache>
                <c:formatCode>#,##0_);\(#,##0\)</c:formatCode>
                <c:ptCount val="64"/>
                <c:pt idx="0">
                  <c:v>-43.301000000000023</c:v>
                </c:pt>
                <c:pt idx="1">
                  <c:v>-41.907000000000131</c:v>
                </c:pt>
                <c:pt idx="2">
                  <c:v>64.426999999999737</c:v>
                </c:pt>
                <c:pt idx="3">
                  <c:v>124.52899999999985</c:v>
                </c:pt>
                <c:pt idx="4">
                  <c:v>-0.65799999999988446</c:v>
                </c:pt>
                <c:pt idx="5">
                  <c:v>98.703999999999979</c:v>
                </c:pt>
                <c:pt idx="6">
                  <c:v>16.437999999999942</c:v>
                </c:pt>
                <c:pt idx="7">
                  <c:v>36.741999999999813</c:v>
                </c:pt>
                <c:pt idx="8">
                  <c:v>13.282000000000078</c:v>
                </c:pt>
                <c:pt idx="9">
                  <c:v>50.061000000000277</c:v>
                </c:pt>
                <c:pt idx="10">
                  <c:v>82.179000000000116</c:v>
                </c:pt>
                <c:pt idx="11">
                  <c:v>64.121999999999943</c:v>
                </c:pt>
                <c:pt idx="12">
                  <c:v>17.043999999999834</c:v>
                </c:pt>
                <c:pt idx="13">
                  <c:v>132.85499999999971</c:v>
                </c:pt>
                <c:pt idx="14">
                  <c:v>84.255999999999887</c:v>
                </c:pt>
                <c:pt idx="15">
                  <c:v>132.40999999999991</c:v>
                </c:pt>
                <c:pt idx="16">
                  <c:v>65.149000000000115</c:v>
                </c:pt>
                <c:pt idx="17">
                  <c:v>157.44300000000004</c:v>
                </c:pt>
                <c:pt idx="18">
                  <c:v>183.82299999999978</c:v>
                </c:pt>
                <c:pt idx="19">
                  <c:v>274.5980000000003</c:v>
                </c:pt>
                <c:pt idx="20">
                  <c:v>86.735000000000156</c:v>
                </c:pt>
                <c:pt idx="21">
                  <c:v>88.162999999999911</c:v>
                </c:pt>
                <c:pt idx="22">
                  <c:v>194.54700000000045</c:v>
                </c:pt>
                <c:pt idx="23">
                  <c:v>297.22099999999966</c:v>
                </c:pt>
                <c:pt idx="24">
                  <c:v>298.81400000000133</c:v>
                </c:pt>
                <c:pt idx="25">
                  <c:v>92.592999999999847</c:v>
                </c:pt>
                <c:pt idx="26">
                  <c:v>120.26199999999994</c:v>
                </c:pt>
                <c:pt idx="27">
                  <c:v>469.53699999999924</c:v>
                </c:pt>
                <c:pt idx="28">
                  <c:v>34.092000000000269</c:v>
                </c:pt>
                <c:pt idx="29">
                  <c:v>210.31999999999888</c:v>
                </c:pt>
                <c:pt idx="30">
                  <c:v>164.80799999999996</c:v>
                </c:pt>
                <c:pt idx="31">
                  <c:v>587.25200000000029</c:v>
                </c:pt>
                <c:pt idx="32">
                  <c:v>172.08199999999974</c:v>
                </c:pt>
                <c:pt idx="33">
                  <c:v>59.435000000000365</c:v>
                </c:pt>
                <c:pt idx="34">
                  <c:v>206.30399999999892</c:v>
                </c:pt>
                <c:pt idx="35">
                  <c:v>651.64800000000059</c:v>
                </c:pt>
                <c:pt idx="36">
                  <c:v>198.39900000000003</c:v>
                </c:pt>
                <c:pt idx="37">
                  <c:v>204.69599999999988</c:v>
                </c:pt>
                <c:pt idx="38">
                  <c:v>299.92100000000045</c:v>
                </c:pt>
                <c:pt idx="39">
                  <c:v>250.23699999999874</c:v>
                </c:pt>
                <c:pt idx="40">
                  <c:v>88.110999999999876</c:v>
                </c:pt>
                <c:pt idx="41">
                  <c:v>127.41300000000138</c:v>
                </c:pt>
                <c:pt idx="42">
                  <c:v>159.40299999999874</c:v>
                </c:pt>
                <c:pt idx="43">
                  <c:v>389.486999999999</c:v>
                </c:pt>
                <c:pt idx="44">
                  <c:v>-328.43800000000056</c:v>
                </c:pt>
                <c:pt idx="45">
                  <c:v>-2263.9620000000009</c:v>
                </c:pt>
                <c:pt idx="46">
                  <c:v>-919.46100000000069</c:v>
                </c:pt>
                <c:pt idx="47">
                  <c:v>-196.35300000000021</c:v>
                </c:pt>
                <c:pt idx="48">
                  <c:v>-352.40199999999982</c:v>
                </c:pt>
                <c:pt idx="49">
                  <c:v>104.16499999999971</c:v>
                </c:pt>
                <c:pt idx="50">
                  <c:v>162.20399999999944</c:v>
                </c:pt>
                <c:pt idx="51">
                  <c:v>573.92000000000053</c:v>
                </c:pt>
                <c:pt idx="52">
                  <c:v>386.30199999999974</c:v>
                </c:pt>
                <c:pt idx="53">
                  <c:v>201.23399999999978</c:v>
                </c:pt>
                <c:pt idx="54">
                  <c:v>292.32899999999842</c:v>
                </c:pt>
                <c:pt idx="55">
                  <c:v>782.01499999999976</c:v>
                </c:pt>
                <c:pt idx="56">
                  <c:v>507.41400000000033</c:v>
                </c:pt>
                <c:pt idx="57">
                  <c:v>442.04999999999933</c:v>
                </c:pt>
                <c:pt idx="58">
                  <c:v>493.38399999999785</c:v>
                </c:pt>
                <c:pt idx="59">
                  <c:v>1347.0479999999993</c:v>
                </c:pt>
                <c:pt idx="60">
                  <c:v>412.63000000000073</c:v>
                </c:pt>
                <c:pt idx="61">
                  <c:v>170.74200000000164</c:v>
                </c:pt>
                <c:pt idx="62">
                  <c:v>305.979442247858</c:v>
                </c:pt>
                <c:pt idx="63">
                  <c:v>755.15054519544333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F-4FCC-B21E-5386B7C57093}"/>
            </c:ext>
          </c:extLst>
        </c:ser>
        <c:ser>
          <c:idx val="4"/>
          <c:order val="1"/>
          <c:tx>
            <c:strRef>
              <c:f>Charts_Support!$A$550</c:f>
              <c:strCache>
                <c:ptCount val="1"/>
                <c:pt idx="0">
                  <c:v>Adj. Net Income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Charts_Support!$L$550:$CS$550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Charts_Support!$J$551:$CS$551</c:f>
              <c:numCache>
                <c:formatCode>#,##0_);\(#,##0\)</c:formatCode>
                <c:ptCount val="64"/>
                <c:pt idx="0">
                  <c:v>-43.301000000000023</c:v>
                </c:pt>
                <c:pt idx="1">
                  <c:v>-41.907000000000131</c:v>
                </c:pt>
                <c:pt idx="2">
                  <c:v>64.426999999999737</c:v>
                </c:pt>
                <c:pt idx="3">
                  <c:v>124.52899999999985</c:v>
                </c:pt>
                <c:pt idx="4">
                  <c:v>-0.65799999999988446</c:v>
                </c:pt>
                <c:pt idx="5">
                  <c:v>98.703999999999979</c:v>
                </c:pt>
                <c:pt idx="6">
                  <c:v>16.437999999999942</c:v>
                </c:pt>
                <c:pt idx="7">
                  <c:v>36.741999999999813</c:v>
                </c:pt>
                <c:pt idx="8">
                  <c:v>13.282000000000078</c:v>
                </c:pt>
                <c:pt idx="9">
                  <c:v>50.061000000000277</c:v>
                </c:pt>
                <c:pt idx="10">
                  <c:v>82.179000000000116</c:v>
                </c:pt>
                <c:pt idx="11">
                  <c:v>64.121999999999943</c:v>
                </c:pt>
                <c:pt idx="12">
                  <c:v>17.043999999999834</c:v>
                </c:pt>
                <c:pt idx="13">
                  <c:v>132.85499999999971</c:v>
                </c:pt>
                <c:pt idx="14">
                  <c:v>84.255999999999887</c:v>
                </c:pt>
                <c:pt idx="15">
                  <c:v>132.40999999999991</c:v>
                </c:pt>
                <c:pt idx="16">
                  <c:v>65.149000000000115</c:v>
                </c:pt>
                <c:pt idx="17">
                  <c:v>157.44300000000004</c:v>
                </c:pt>
                <c:pt idx="18">
                  <c:v>183.82299999999978</c:v>
                </c:pt>
                <c:pt idx="19">
                  <c:v>274.5980000000003</c:v>
                </c:pt>
                <c:pt idx="20">
                  <c:v>86.735000000000156</c:v>
                </c:pt>
                <c:pt idx="21">
                  <c:v>88.162999999999911</c:v>
                </c:pt>
                <c:pt idx="22">
                  <c:v>194.54700000000045</c:v>
                </c:pt>
                <c:pt idx="23">
                  <c:v>297.22099999999966</c:v>
                </c:pt>
                <c:pt idx="24">
                  <c:v>298.81400000000133</c:v>
                </c:pt>
                <c:pt idx="25">
                  <c:v>92.592999999999847</c:v>
                </c:pt>
                <c:pt idx="26">
                  <c:v>120.26199999999994</c:v>
                </c:pt>
                <c:pt idx="27">
                  <c:v>469.53699999999924</c:v>
                </c:pt>
                <c:pt idx="28">
                  <c:v>34.092000000000269</c:v>
                </c:pt>
                <c:pt idx="29">
                  <c:v>210.31999999999888</c:v>
                </c:pt>
                <c:pt idx="30">
                  <c:v>164.80799999999996</c:v>
                </c:pt>
                <c:pt idx="31">
                  <c:v>587.25200000000029</c:v>
                </c:pt>
                <c:pt idx="32">
                  <c:v>172.08199999999974</c:v>
                </c:pt>
                <c:pt idx="33">
                  <c:v>59.435000000000365</c:v>
                </c:pt>
                <c:pt idx="34">
                  <c:v>206.30399999999892</c:v>
                </c:pt>
                <c:pt idx="35">
                  <c:v>651.64800000000059</c:v>
                </c:pt>
                <c:pt idx="36">
                  <c:v>198.39900000000003</c:v>
                </c:pt>
                <c:pt idx="37">
                  <c:v>204.69599999999988</c:v>
                </c:pt>
                <c:pt idx="38">
                  <c:v>299.92100000000045</c:v>
                </c:pt>
                <c:pt idx="39">
                  <c:v>250.23699999999874</c:v>
                </c:pt>
                <c:pt idx="40">
                  <c:v>88.110999999999876</c:v>
                </c:pt>
                <c:pt idx="41">
                  <c:v>127.41300000000138</c:v>
                </c:pt>
                <c:pt idx="42">
                  <c:v>159.40299999999874</c:v>
                </c:pt>
                <c:pt idx="43">
                  <c:v>389.486999999999</c:v>
                </c:pt>
                <c:pt idx="44">
                  <c:v>-328.43800000000056</c:v>
                </c:pt>
                <c:pt idx="45">
                  <c:v>-2263.9620000000009</c:v>
                </c:pt>
                <c:pt idx="46">
                  <c:v>-919.46100000000069</c:v>
                </c:pt>
                <c:pt idx="47">
                  <c:v>-196.35300000000021</c:v>
                </c:pt>
                <c:pt idx="48">
                  <c:v>-352.40199999999982</c:v>
                </c:pt>
                <c:pt idx="49">
                  <c:v>104.16499999999971</c:v>
                </c:pt>
                <c:pt idx="50">
                  <c:v>162.20399999999944</c:v>
                </c:pt>
                <c:pt idx="51">
                  <c:v>573.92000000000053</c:v>
                </c:pt>
                <c:pt idx="52">
                  <c:v>386.30199999999974</c:v>
                </c:pt>
                <c:pt idx="53">
                  <c:v>201.23399999999978</c:v>
                </c:pt>
                <c:pt idx="54">
                  <c:v>292.32899999999842</c:v>
                </c:pt>
                <c:pt idx="55">
                  <c:v>782.01499999999976</c:v>
                </c:pt>
                <c:pt idx="56">
                  <c:v>507.41400000000033</c:v>
                </c:pt>
                <c:pt idx="57">
                  <c:v>442.04999999999933</c:v>
                </c:pt>
                <c:pt idx="58">
                  <c:v>493.38399999999785</c:v>
                </c:pt>
                <c:pt idx="59">
                  <c:v>1347.0479999999993</c:v>
                </c:pt>
                <c:pt idx="60">
                  <c:v>412.63000000000073</c:v>
                </c:pt>
                <c:pt idx="61">
                  <c:v>170.74200000000164</c:v>
                </c:pt>
                <c:pt idx="62">
                  <c:v>305.979442247858</c:v>
                </c:pt>
                <c:pt idx="63">
                  <c:v>755.15054519544333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F-4FCC-B21E-5386B7C5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41760"/>
        <c:axId val="487143296"/>
      </c:lineChart>
      <c:scatterChart>
        <c:scatterStyle val="lineMarker"/>
        <c:varyColors val="0"/>
        <c:ser>
          <c:idx val="1"/>
          <c:order val="2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99F-4FCC-B21E-5386B7C57093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9F-4FCC-B21E-5386B7C57093}"/>
            </c:ext>
          </c:extLst>
        </c:ser>
        <c:ser>
          <c:idx val="2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9F-4FCC-B21E-5386B7C57093}"/>
            </c:ext>
          </c:extLst>
        </c:ser>
        <c:ser>
          <c:idx val="3"/>
          <c:order val="4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0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7-099F-4FCC-B21E-5386B7C57093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9F-4FCC-B21E-5386B7C5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144832"/>
        <c:axId val="487146624"/>
      </c:scatterChart>
      <c:catAx>
        <c:axId val="48714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14329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7143296"/>
        <c:scaling>
          <c:orientation val="minMax"/>
          <c:max val="800"/>
          <c:min val="-2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141760"/>
        <c:crosses val="autoZero"/>
        <c:crossBetween val="midCat"/>
      </c:valAx>
      <c:valAx>
        <c:axId val="48714483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7146624"/>
        <c:crosses val="autoZero"/>
        <c:crossBetween val="midCat"/>
      </c:valAx>
      <c:valAx>
        <c:axId val="48714662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7144832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15952796880099113"/>
          <c:y val="8.9959184532892214E-2"/>
          <c:w val="0.30436661170778312"/>
          <c:h val="0.1425193350831146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2139880361481E-2"/>
          <c:y val="4.9844388399254036E-2"/>
          <c:w val="0.88326932156390747"/>
          <c:h val="0.89384717518634615"/>
        </c:manualLayout>
      </c:layout>
      <c:lineChart>
        <c:grouping val="standard"/>
        <c:varyColors val="0"/>
        <c:ser>
          <c:idx val="4"/>
          <c:order val="0"/>
          <c:tx>
            <c:strRef>
              <c:f>Charts_Support!$A$536</c:f>
              <c:strCache>
                <c:ptCount val="1"/>
                <c:pt idx="0">
                  <c:v>EBITDA (MS definition)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Charts_Support!$L$486:$CS$486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Charts_Support!$J$537:$CS$537</c:f>
              <c:numCache>
                <c:formatCode>#,##0_);\(#,##0\)</c:formatCode>
                <c:ptCount val="64"/>
                <c:pt idx="0">
                  <c:v>173.76999999999998</c:v>
                </c:pt>
                <c:pt idx="1">
                  <c:v>190.00599999999986</c:v>
                </c:pt>
                <c:pt idx="2">
                  <c:v>237.23299999999972</c:v>
                </c:pt>
                <c:pt idx="3">
                  <c:v>399.22699999999986</c:v>
                </c:pt>
                <c:pt idx="4">
                  <c:v>223.70600000000013</c:v>
                </c:pt>
                <c:pt idx="5">
                  <c:v>253.53999999999996</c:v>
                </c:pt>
                <c:pt idx="6">
                  <c:v>237.52099999999996</c:v>
                </c:pt>
                <c:pt idx="7">
                  <c:v>283.86399999999981</c:v>
                </c:pt>
                <c:pt idx="8">
                  <c:v>227.35200000000009</c:v>
                </c:pt>
                <c:pt idx="9">
                  <c:v>310.75700000000029</c:v>
                </c:pt>
                <c:pt idx="10">
                  <c:v>284.21600000000012</c:v>
                </c:pt>
                <c:pt idx="11">
                  <c:v>292.52199999999993</c:v>
                </c:pt>
                <c:pt idx="12">
                  <c:v>285.25699999999983</c:v>
                </c:pt>
                <c:pt idx="13">
                  <c:v>431.18499999999972</c:v>
                </c:pt>
                <c:pt idx="14">
                  <c:v>412.52399999999989</c:v>
                </c:pt>
                <c:pt idx="15">
                  <c:v>479.09899999999993</c:v>
                </c:pt>
                <c:pt idx="16">
                  <c:v>373.4670000000001</c:v>
                </c:pt>
                <c:pt idx="17">
                  <c:v>505.00700000000006</c:v>
                </c:pt>
                <c:pt idx="18">
                  <c:v>545.93199999999979</c:v>
                </c:pt>
                <c:pt idx="19">
                  <c:v>614.31600000000026</c:v>
                </c:pt>
                <c:pt idx="20">
                  <c:v>423.75300000000016</c:v>
                </c:pt>
                <c:pt idx="21">
                  <c:v>618.3119999999999</c:v>
                </c:pt>
                <c:pt idx="22">
                  <c:v>705.71200000000044</c:v>
                </c:pt>
                <c:pt idx="23">
                  <c:v>1045.3149999999996</c:v>
                </c:pt>
                <c:pt idx="24">
                  <c:v>850.23400000000129</c:v>
                </c:pt>
                <c:pt idx="25">
                  <c:v>997.69999999999982</c:v>
                </c:pt>
                <c:pt idx="26">
                  <c:v>1086.9549999999999</c:v>
                </c:pt>
                <c:pt idx="27">
                  <c:v>1366.8399999999992</c:v>
                </c:pt>
                <c:pt idx="28">
                  <c:v>1035.1620000000003</c:v>
                </c:pt>
                <c:pt idx="29">
                  <c:v>1223.0079999999989</c:v>
                </c:pt>
                <c:pt idx="30">
                  <c:v>1327.723</c:v>
                </c:pt>
                <c:pt idx="31">
                  <c:v>1569.3450000000003</c:v>
                </c:pt>
                <c:pt idx="32">
                  <c:v>1287.1059999999998</c:v>
                </c:pt>
                <c:pt idx="33">
                  <c:v>1406.4710000000005</c:v>
                </c:pt>
                <c:pt idx="34">
                  <c:v>1414.860999999999</c:v>
                </c:pt>
                <c:pt idx="35">
                  <c:v>2357.8060000000005</c:v>
                </c:pt>
                <c:pt idx="36">
                  <c:v>1427.924</c:v>
                </c:pt>
                <c:pt idx="37">
                  <c:v>1578.8879999999999</c:v>
                </c:pt>
                <c:pt idx="38">
                  <c:v>1536.9350000000004</c:v>
                </c:pt>
                <c:pt idx="39">
                  <c:v>1864.5699999999988</c:v>
                </c:pt>
                <c:pt idx="40">
                  <c:v>1543.943</c:v>
                </c:pt>
                <c:pt idx="41">
                  <c:v>1834.9660000000015</c:v>
                </c:pt>
                <c:pt idx="42">
                  <c:v>1919.4199999999987</c:v>
                </c:pt>
                <c:pt idx="43">
                  <c:v>2369.8399999999992</c:v>
                </c:pt>
                <c:pt idx="44">
                  <c:v>1226.6309999999994</c:v>
                </c:pt>
                <c:pt idx="45">
                  <c:v>-1751.5030000000004</c:v>
                </c:pt>
                <c:pt idx="46">
                  <c:v>416.38599999999906</c:v>
                </c:pt>
                <c:pt idx="47">
                  <c:v>1545.2279999999998</c:v>
                </c:pt>
                <c:pt idx="48">
                  <c:v>690.673</c:v>
                </c:pt>
                <c:pt idx="49">
                  <c:v>1530.3399999999997</c:v>
                </c:pt>
                <c:pt idx="50">
                  <c:v>1856.3349999999994</c:v>
                </c:pt>
                <c:pt idx="51">
                  <c:v>2458.9390000000003</c:v>
                </c:pt>
                <c:pt idx="52">
                  <c:v>1862.1709999999996</c:v>
                </c:pt>
                <c:pt idx="53">
                  <c:v>2221.8789999999999</c:v>
                </c:pt>
                <c:pt idx="54">
                  <c:v>2134.7519999999986</c:v>
                </c:pt>
                <c:pt idx="55">
                  <c:v>2605.7039999999997</c:v>
                </c:pt>
                <c:pt idx="56">
                  <c:v>2304.4430000000002</c:v>
                </c:pt>
                <c:pt idx="57">
                  <c:v>2574.3399999999992</c:v>
                </c:pt>
                <c:pt idx="58">
                  <c:v>2705.5589999999979</c:v>
                </c:pt>
                <c:pt idx="59">
                  <c:v>3210.2869999999994</c:v>
                </c:pt>
                <c:pt idx="60">
                  <c:v>2589.1290000000008</c:v>
                </c:pt>
                <c:pt idx="61">
                  <c:v>2746.6760000000017</c:v>
                </c:pt>
                <c:pt idx="62">
                  <c:v>2711.3457648214589</c:v>
                </c:pt>
                <c:pt idx="63">
                  <c:v>3047.9592868923373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E-477E-936F-AD1076E8E3F1}"/>
            </c:ext>
          </c:extLst>
        </c:ser>
        <c:ser>
          <c:idx val="0"/>
          <c:order val="1"/>
          <c:tx>
            <c:strRef>
              <c:f>Charts_Support!$A$487</c:f>
              <c:strCache>
                <c:ptCount val="1"/>
                <c:pt idx="0">
                  <c:v>Adj. EBITDA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Charts_Support!$L$486:$CS$486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Charts_Support!$J$487:$CS$487</c:f>
              <c:numCache>
                <c:formatCode>#,##0_);\(#,##0\)</c:formatCode>
                <c:ptCount val="64"/>
                <c:pt idx="0">
                  <c:v>173.76999999999998</c:v>
                </c:pt>
                <c:pt idx="1">
                  <c:v>190.00599999999986</c:v>
                </c:pt>
                <c:pt idx="2">
                  <c:v>237.23299999999972</c:v>
                </c:pt>
                <c:pt idx="3">
                  <c:v>399.22699999999986</c:v>
                </c:pt>
                <c:pt idx="4">
                  <c:v>223.70600000000013</c:v>
                </c:pt>
                <c:pt idx="5">
                  <c:v>253.53999999999996</c:v>
                </c:pt>
                <c:pt idx="6">
                  <c:v>237.52099999999996</c:v>
                </c:pt>
                <c:pt idx="7">
                  <c:v>283.86399999999981</c:v>
                </c:pt>
                <c:pt idx="8">
                  <c:v>227.35200000000009</c:v>
                </c:pt>
                <c:pt idx="9">
                  <c:v>310.75700000000029</c:v>
                </c:pt>
                <c:pt idx="10">
                  <c:v>284.21600000000012</c:v>
                </c:pt>
                <c:pt idx="11">
                  <c:v>292.52199999999993</c:v>
                </c:pt>
                <c:pt idx="12">
                  <c:v>285.25699999999983</c:v>
                </c:pt>
                <c:pt idx="13">
                  <c:v>431.18499999999972</c:v>
                </c:pt>
                <c:pt idx="14">
                  <c:v>412.52399999999989</c:v>
                </c:pt>
                <c:pt idx="15">
                  <c:v>479.09899999999993</c:v>
                </c:pt>
                <c:pt idx="16">
                  <c:v>373.4670000000001</c:v>
                </c:pt>
                <c:pt idx="17">
                  <c:v>505.00700000000006</c:v>
                </c:pt>
                <c:pt idx="18">
                  <c:v>545.93199999999979</c:v>
                </c:pt>
                <c:pt idx="19">
                  <c:v>912</c:v>
                </c:pt>
                <c:pt idx="20">
                  <c:v>761</c:v>
                </c:pt>
                <c:pt idx="21">
                  <c:v>1081</c:v>
                </c:pt>
                <c:pt idx="22">
                  <c:v>1231</c:v>
                </c:pt>
                <c:pt idx="23">
                  <c:v>1915</c:v>
                </c:pt>
                <c:pt idx="24">
                  <c:v>1417</c:v>
                </c:pt>
                <c:pt idx="25">
                  <c:v>1591</c:v>
                </c:pt>
                <c:pt idx="26">
                  <c:v>1711</c:v>
                </c:pt>
                <c:pt idx="27">
                  <c:v>2059</c:v>
                </c:pt>
                <c:pt idx="28">
                  <c:v>1708</c:v>
                </c:pt>
                <c:pt idx="29">
                  <c:v>1880</c:v>
                </c:pt>
                <c:pt idx="30">
                  <c:v>2030</c:v>
                </c:pt>
                <c:pt idx="31">
                  <c:v>2324</c:v>
                </c:pt>
                <c:pt idx="32">
                  <c:v>2014</c:v>
                </c:pt>
                <c:pt idx="33">
                  <c:v>2172</c:v>
                </c:pt>
                <c:pt idx="34">
                  <c:v>2089</c:v>
                </c:pt>
                <c:pt idx="35">
                  <c:v>2621</c:v>
                </c:pt>
                <c:pt idx="36">
                  <c:v>2196</c:v>
                </c:pt>
                <c:pt idx="37">
                  <c:v>2330</c:v>
                </c:pt>
                <c:pt idx="38">
                  <c:v>2220</c:v>
                </c:pt>
                <c:pt idx="39">
                  <c:v>2479</c:v>
                </c:pt>
                <c:pt idx="40">
                  <c:v>2430</c:v>
                </c:pt>
                <c:pt idx="41">
                  <c:v>2852</c:v>
                </c:pt>
                <c:pt idx="42">
                  <c:v>2715</c:v>
                </c:pt>
                <c:pt idx="43">
                  <c:v>3217</c:v>
                </c:pt>
                <c:pt idx="44">
                  <c:v>1747</c:v>
                </c:pt>
                <c:pt idx="45">
                  <c:v>-1038</c:v>
                </c:pt>
                <c:pt idx="46">
                  <c:v>1136</c:v>
                </c:pt>
                <c:pt idx="47">
                  <c:v>2506</c:v>
                </c:pt>
                <c:pt idx="48">
                  <c:v>1488</c:v>
                </c:pt>
                <c:pt idx="49">
                  <c:v>2447</c:v>
                </c:pt>
                <c:pt idx="50">
                  <c:v>2695</c:v>
                </c:pt>
                <c:pt idx="51">
                  <c:v>4001</c:v>
                </c:pt>
                <c:pt idx="52">
                  <c:v>2809</c:v>
                </c:pt>
                <c:pt idx="53">
                  <c:v>3263</c:v>
                </c:pt>
                <c:pt idx="54">
                  <c:v>3081</c:v>
                </c:pt>
                <c:pt idx="55">
                  <c:v>3606</c:v>
                </c:pt>
                <c:pt idx="56">
                  <c:v>3202</c:v>
                </c:pt>
                <c:pt idx="57">
                  <c:v>3749</c:v>
                </c:pt>
                <c:pt idx="58">
                  <c:v>3753</c:v>
                </c:pt>
                <c:pt idx="59">
                  <c:v>4053</c:v>
                </c:pt>
                <c:pt idx="60">
                  <c:v>3582</c:v>
                </c:pt>
                <c:pt idx="61">
                  <c:v>3794</c:v>
                </c:pt>
                <c:pt idx="62">
                  <c:v>3756.9602481233051</c:v>
                </c:pt>
                <c:pt idx="63">
                  <c:v>4118.1531545467624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E-477E-936F-AD1076E8E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83104"/>
        <c:axId val="487184640"/>
      </c:lineChart>
      <c:scatterChart>
        <c:scatterStyle val="lineMarker"/>
        <c:varyColors val="0"/>
        <c:ser>
          <c:idx val="1"/>
          <c:order val="2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9BE-477E-936F-AD1076E8E3F1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BE-477E-936F-AD1076E8E3F1}"/>
            </c:ext>
          </c:extLst>
        </c:ser>
        <c:ser>
          <c:idx val="2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BE-477E-936F-AD1076E8E3F1}"/>
            </c:ext>
          </c:extLst>
        </c:ser>
        <c:ser>
          <c:idx val="3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BE-477E-936F-AD1076E8E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87840"/>
        <c:axId val="487589376"/>
      </c:scatterChart>
      <c:catAx>
        <c:axId val="48718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18464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7184640"/>
        <c:scaling>
          <c:orientation val="minMax"/>
          <c:max val="4000"/>
          <c:min val="-1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183104"/>
        <c:crosses val="autoZero"/>
        <c:crossBetween val="midCat"/>
      </c:valAx>
      <c:valAx>
        <c:axId val="48758784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7589376"/>
        <c:crosses val="autoZero"/>
        <c:crossBetween val="midCat"/>
      </c:valAx>
      <c:valAx>
        <c:axId val="487589376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7587840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9.8097572433795965E-2"/>
          <c:y val="3.9703190783115815E-2"/>
          <c:w val="0.36022508859544305"/>
          <c:h val="0.1662733300279834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69549736515494"/>
          <c:y val="5.0156816585056732E-2"/>
          <c:w val="0.82687480925349444"/>
          <c:h val="0.7374145770240258"/>
        </c:manualLayout>
      </c:layout>
      <c:lineChart>
        <c:grouping val="standard"/>
        <c:varyColors val="0"/>
        <c:ser>
          <c:idx val="4"/>
          <c:order val="0"/>
          <c:tx>
            <c:strRef>
              <c:f>Charts_Support!$A$536</c:f>
              <c:strCache>
                <c:ptCount val="1"/>
                <c:pt idx="0">
                  <c:v>EBITDA (MS definition)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Charts_Support!$L$531:$CS$531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Charts_Support!$J$538:$CS$538</c:f>
              <c:numCache>
                <c:formatCode>0.0%</c:formatCode>
                <c:ptCount val="64"/>
                <c:pt idx="0">
                  <c:v>8.3378796537407207E-2</c:v>
                </c:pt>
                <c:pt idx="1">
                  <c:v>9.1669750371853764E-2</c:v>
                </c:pt>
                <c:pt idx="2">
                  <c:v>0.11192384575718062</c:v>
                </c:pt>
                <c:pt idx="3">
                  <c:v>0.17277602695677685</c:v>
                </c:pt>
                <c:pt idx="4">
                  <c:v>0.10673923021941796</c:v>
                </c:pt>
                <c:pt idx="5">
                  <c:v>0.11701666128213412</c:v>
                </c:pt>
                <c:pt idx="6">
                  <c:v>0.10440827719595148</c:v>
                </c:pt>
                <c:pt idx="7">
                  <c:v>0.11614744207951148</c:v>
                </c:pt>
                <c:pt idx="8">
                  <c:v>9.4858691624971236E-2</c:v>
                </c:pt>
                <c:pt idx="9">
                  <c:v>0.11974538639029461</c:v>
                </c:pt>
                <c:pt idx="10">
                  <c:v>0.10265026473753787</c:v>
                </c:pt>
                <c:pt idx="11">
                  <c:v>9.9638535175037249E-2</c:v>
                </c:pt>
                <c:pt idx="12">
                  <c:v>9.6303976167840574E-2</c:v>
                </c:pt>
                <c:pt idx="13">
                  <c:v>0.12583589517902172</c:v>
                </c:pt>
                <c:pt idx="14">
                  <c:v>0.11778148565633444</c:v>
                </c:pt>
                <c:pt idx="15">
                  <c:v>0.13203968529786983</c:v>
                </c:pt>
                <c:pt idx="16">
                  <c:v>0.10988376301141659</c:v>
                </c:pt>
                <c:pt idx="17">
                  <c:v>0.13217908997659286</c:v>
                </c:pt>
                <c:pt idx="18">
                  <c:v>0.13373013180427598</c:v>
                </c:pt>
                <c:pt idx="19">
                  <c:v>0.13927064707814715</c:v>
                </c:pt>
                <c:pt idx="20">
                  <c:v>0.10614959384133814</c:v>
                </c:pt>
                <c:pt idx="21">
                  <c:v>0.11883014825517368</c:v>
                </c:pt>
                <c:pt idx="22">
                  <c:v>0.12377982824766567</c:v>
                </c:pt>
                <c:pt idx="23">
                  <c:v>0.13225902202859877</c:v>
                </c:pt>
                <c:pt idx="24">
                  <c:v>0.11576891477041734</c:v>
                </c:pt>
                <c:pt idx="25">
                  <c:v>0.12853742014562847</c:v>
                </c:pt>
                <c:pt idx="26">
                  <c:v>0.13216264240901496</c:v>
                </c:pt>
                <c:pt idx="27">
                  <c:v>0.15258612971495533</c:v>
                </c:pt>
                <c:pt idx="28">
                  <c:v>0.12128776907610761</c:v>
                </c:pt>
                <c:pt idx="29">
                  <c:v>0.13490693578162991</c:v>
                </c:pt>
                <c:pt idx="30">
                  <c:v>0.13827590214688965</c:v>
                </c:pt>
                <c:pt idx="31">
                  <c:v>0.14946776315758145</c:v>
                </c:pt>
                <c:pt idx="32">
                  <c:v>0.12752158870689687</c:v>
                </c:pt>
                <c:pt idx="33">
                  <c:v>0.13596444376732039</c:v>
                </c:pt>
                <c:pt idx="34">
                  <c:v>0.13506569801841534</c:v>
                </c:pt>
                <c:pt idx="35">
                  <c:v>0.20297699990117191</c:v>
                </c:pt>
                <c:pt idx="36">
                  <c:v>0.12887557745514047</c:v>
                </c:pt>
                <c:pt idx="37">
                  <c:v>0.13940990549827875</c:v>
                </c:pt>
                <c:pt idx="38">
                  <c:v>0.13511046120943837</c:v>
                </c:pt>
                <c:pt idx="39">
                  <c:v>0.15066231560214738</c:v>
                </c:pt>
                <c:pt idx="40">
                  <c:v>0.11277404593579181</c:v>
                </c:pt>
                <c:pt idx="41">
                  <c:v>0.12585037162897372</c:v>
                </c:pt>
                <c:pt idx="42">
                  <c:v>0.13246060504342941</c:v>
                </c:pt>
                <c:pt idx="43">
                  <c:v>0.1539557241517035</c:v>
                </c:pt>
                <c:pt idx="44">
                  <c:v>0.10133183644235602</c:v>
                </c:pt>
                <c:pt idx="45">
                  <c:v>-0.33697155533990786</c:v>
                </c:pt>
                <c:pt idx="46">
                  <c:v>4.2078241886882431E-2</c:v>
                </c:pt>
                <c:pt idx="47">
                  <c:v>0.13678174288932829</c:v>
                </c:pt>
                <c:pt idx="48">
                  <c:v>6.7635364641038712E-2</c:v>
                </c:pt>
                <c:pt idx="49">
                  <c:v>0.12264926385115832</c:v>
                </c:pt>
                <c:pt idx="50">
                  <c:v>0.13299171996539683</c:v>
                </c:pt>
                <c:pt idx="51">
                  <c:v>0.1469592720871101</c:v>
                </c:pt>
                <c:pt idx="52">
                  <c:v>0.12228459710826765</c:v>
                </c:pt>
                <c:pt idx="53">
                  <c:v>0.13116844031168545</c:v>
                </c:pt>
                <c:pt idx="54">
                  <c:v>0.12185926206015961</c:v>
                </c:pt>
                <c:pt idx="55">
                  <c:v>0.13609774411427908</c:v>
                </c:pt>
                <c:pt idx="56">
                  <c:v>0.13044769885869451</c:v>
                </c:pt>
                <c:pt idx="57">
                  <c:v>0.13585815284546182</c:v>
                </c:pt>
                <c:pt idx="58">
                  <c:v>0.13896058618260088</c:v>
                </c:pt>
                <c:pt idx="59">
                  <c:v>0.15934560575276546</c:v>
                </c:pt>
                <c:pt idx="60">
                  <c:v>0.14223773360930514</c:v>
                </c:pt>
                <c:pt idx="61">
                  <c:v>0.14265452119895256</c:v>
                </c:pt>
                <c:pt idx="62">
                  <c:v>0.13483935238300934</c:v>
                </c:pt>
                <c:pt idx="63">
                  <c:v>0.14525024701571554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6-42BC-923E-93A786114C1D}"/>
            </c:ext>
          </c:extLst>
        </c:ser>
        <c:ser>
          <c:idx val="0"/>
          <c:order val="1"/>
          <c:tx>
            <c:strRef>
              <c:f>Charts_Support!$A$532</c:f>
              <c:strCache>
                <c:ptCount val="1"/>
                <c:pt idx="0">
                  <c:v>Adj. EBITDA Mg.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Charts_Support!$L$531:$CS$531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Charts_Support!$J$532:$CS$532</c:f>
              <c:numCache>
                <c:formatCode>0.0%</c:formatCode>
                <c:ptCount val="64"/>
                <c:pt idx="0">
                  <c:v>8.3378796537407207E-2</c:v>
                </c:pt>
                <c:pt idx="1">
                  <c:v>9.1669750371853764E-2</c:v>
                </c:pt>
                <c:pt idx="2">
                  <c:v>0.11192384575718062</c:v>
                </c:pt>
                <c:pt idx="3">
                  <c:v>0.17277602695677685</c:v>
                </c:pt>
                <c:pt idx="4">
                  <c:v>0.10673923021941796</c:v>
                </c:pt>
                <c:pt idx="5">
                  <c:v>0.11701666128213412</c:v>
                </c:pt>
                <c:pt idx="6">
                  <c:v>0.10440827719595148</c:v>
                </c:pt>
                <c:pt idx="7">
                  <c:v>0.11614744207951148</c:v>
                </c:pt>
                <c:pt idx="8">
                  <c:v>9.4858691624971236E-2</c:v>
                </c:pt>
                <c:pt idx="9">
                  <c:v>0.11974538639029461</c:v>
                </c:pt>
                <c:pt idx="10">
                  <c:v>0.10265026473753787</c:v>
                </c:pt>
                <c:pt idx="11">
                  <c:v>9.9638535175037249E-2</c:v>
                </c:pt>
                <c:pt idx="12">
                  <c:v>9.6303976167840574E-2</c:v>
                </c:pt>
                <c:pt idx="13">
                  <c:v>0.12583589517902172</c:v>
                </c:pt>
                <c:pt idx="14">
                  <c:v>0.11778148565633444</c:v>
                </c:pt>
                <c:pt idx="15">
                  <c:v>0.13203968529786983</c:v>
                </c:pt>
                <c:pt idx="16">
                  <c:v>0.10988376301141659</c:v>
                </c:pt>
                <c:pt idx="17">
                  <c:v>0.13217908997659286</c:v>
                </c:pt>
                <c:pt idx="18">
                  <c:v>0.13373013180427598</c:v>
                </c:pt>
                <c:pt idx="19">
                  <c:v>0.20675813447032171</c:v>
                </c:pt>
                <c:pt idx="20">
                  <c:v>0.19062954342095112</c:v>
                </c:pt>
                <c:pt idx="21">
                  <c:v>0.2077517341792538</c:v>
                </c:pt>
                <c:pt idx="22">
                  <c:v>0.21591381267836787</c:v>
                </c:pt>
                <c:pt idx="23">
                  <c:v>0.24229636730054266</c:v>
                </c:pt>
                <c:pt idx="24">
                  <c:v>0.19294047548049259</c:v>
                </c:pt>
                <c:pt idx="25">
                  <c:v>0.20497447674821584</c:v>
                </c:pt>
                <c:pt idx="26">
                  <c:v>0.20804014992508854</c:v>
                </c:pt>
                <c:pt idx="27">
                  <c:v>0.22985487773484328</c:v>
                </c:pt>
                <c:pt idx="28">
                  <c:v>0.20012279197071739</c:v>
                </c:pt>
                <c:pt idx="29">
                  <c:v>0.20737807051913351</c:v>
                </c:pt>
                <c:pt idx="30">
                  <c:v>0.21141464097419865</c:v>
                </c:pt>
                <c:pt idx="31">
                  <c:v>0.22134271404835729</c:v>
                </c:pt>
                <c:pt idx="32">
                  <c:v>0.1995394937601801</c:v>
                </c:pt>
                <c:pt idx="33">
                  <c:v>0.2099686178119704</c:v>
                </c:pt>
                <c:pt idx="34">
                  <c:v>0.19942046827248036</c:v>
                </c:pt>
                <c:pt idx="35">
                  <c:v>0.22563464370731581</c:v>
                </c:pt>
                <c:pt idx="36">
                  <c:v>0.19819736070791477</c:v>
                </c:pt>
                <c:pt idx="37">
                  <c:v>0.20573028600571383</c:v>
                </c:pt>
                <c:pt idx="38">
                  <c:v>0.19515804109149254</c:v>
                </c:pt>
                <c:pt idx="39">
                  <c:v>0.20030992688808871</c:v>
                </c:pt>
                <c:pt idx="40">
                  <c:v>0.17749420258647766</c:v>
                </c:pt>
                <c:pt idx="41">
                  <c:v>0.19560322092389326</c:v>
                </c:pt>
                <c:pt idx="42">
                  <c:v>0.18736417391342755</c:v>
                </c:pt>
                <c:pt idx="43">
                  <c:v>0.20899114058165541</c:v>
                </c:pt>
                <c:pt idx="44">
                  <c:v>0.14431945570004023</c:v>
                </c:pt>
                <c:pt idx="45">
                  <c:v>-0.19970075668886911</c:v>
                </c:pt>
                <c:pt idx="46">
                  <c:v>0.114799447588292</c:v>
                </c:pt>
                <c:pt idx="47">
                  <c:v>0.22182813648254932</c:v>
                </c:pt>
                <c:pt idx="48">
                  <c:v>0.14571500925309894</c:v>
                </c:pt>
                <c:pt idx="49">
                  <c:v>0.1961150781158334</c:v>
                </c:pt>
                <c:pt idx="50">
                  <c:v>0.19307543374808134</c:v>
                </c:pt>
                <c:pt idx="51">
                  <c:v>0.23912103863517048</c:v>
                </c:pt>
                <c:pt idx="52">
                  <c:v>0.1844607360318273</c:v>
                </c:pt>
                <c:pt idx="53">
                  <c:v>0.19263093117898394</c:v>
                </c:pt>
                <c:pt idx="54">
                  <c:v>0.17587447460283537</c:v>
                </c:pt>
                <c:pt idx="55">
                  <c:v>0.18834390447882429</c:v>
                </c:pt>
                <c:pt idx="56">
                  <c:v>0.18125574455325638</c:v>
                </c:pt>
                <c:pt idx="57">
                  <c:v>0.19784962942643028</c:v>
                </c:pt>
                <c:pt idx="58">
                  <c:v>0.19275834677539888</c:v>
                </c:pt>
                <c:pt idx="59">
                  <c:v>0.20117445577792842</c:v>
                </c:pt>
                <c:pt idx="60">
                  <c:v>0.19678260982304507</c:v>
                </c:pt>
                <c:pt idx="61">
                  <c:v>0.19704954404117037</c:v>
                </c:pt>
                <c:pt idx="62">
                  <c:v>0.18683935238300933</c:v>
                </c:pt>
                <c:pt idx="63">
                  <c:v>0.19625024701571556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26-42BC-923E-93A786114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7280"/>
        <c:axId val="487618816"/>
      </c:lineChart>
      <c:scatterChart>
        <c:scatterStyle val="lineMarker"/>
        <c:varyColors val="0"/>
        <c:ser>
          <c:idx val="1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6-42BC-923E-93A786114C1D}"/>
            </c:ext>
          </c:extLst>
        </c:ser>
        <c:ser>
          <c:idx val="2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6-42BC-923E-93A786114C1D}"/>
            </c:ext>
          </c:extLst>
        </c:ser>
        <c:ser>
          <c:idx val="3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26-42BC-923E-93A786114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20608"/>
        <c:axId val="487622144"/>
      </c:scatterChart>
      <c:catAx>
        <c:axId val="48761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61881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7618816"/>
        <c:scaling>
          <c:orientation val="minMax"/>
          <c:max val="0.25"/>
          <c:min val="5.000000000000001E-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617280"/>
        <c:crosses val="autoZero"/>
        <c:crossBetween val="midCat"/>
      </c:valAx>
      <c:valAx>
        <c:axId val="48762060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7622144"/>
        <c:crosses val="autoZero"/>
        <c:crossBetween val="midCat"/>
      </c:valAx>
      <c:valAx>
        <c:axId val="48762214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7620608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13159311616691918"/>
          <c:y val="1.7451035421967232E-2"/>
          <c:w val="0.32265336019044133"/>
          <c:h val="0.14492861284548611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5"/>
          <c:y val="3.2895639288506057E-2"/>
          <c:w val="0.8203125"/>
          <c:h val="0.78613627858981483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Charts_Support!$A$278</c:f>
              <c:strCache>
                <c:ptCount val="1"/>
                <c:pt idx="0">
                  <c:v>Depreciation/PP&amp;E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Charts_Support!$B$278:$AE$278</c:f>
              <c:numCache>
                <c:formatCode>0.0%</c:formatCode>
                <c:ptCount val="30"/>
                <c:pt idx="0">
                  <c:v>0.11065856867862255</c:v>
                </c:pt>
                <c:pt idx="1">
                  <c:v>0.10327146026658356</c:v>
                </c:pt>
                <c:pt idx="2">
                  <c:v>0.14211689567972033</c:v>
                </c:pt>
                <c:pt idx="3">
                  <c:v>0.11108319008633666</c:v>
                </c:pt>
                <c:pt idx="4">
                  <c:v>8.7312366168020725E-2</c:v>
                </c:pt>
                <c:pt idx="5">
                  <c:v>0.19069281248185213</c:v>
                </c:pt>
                <c:pt idx="6">
                  <c:v>0.16015845339114521</c:v>
                </c:pt>
                <c:pt idx="7">
                  <c:v>0.14157389711196464</c:v>
                </c:pt>
                <c:pt idx="8">
                  <c:v>0.17098186813384544</c:v>
                </c:pt>
                <c:pt idx="9">
                  <c:v>0.16977778835594881</c:v>
                </c:pt>
                <c:pt idx="10">
                  <c:v>0.15036624818171038</c:v>
                </c:pt>
                <c:pt idx="11">
                  <c:v>0.12703907873606834</c:v>
                </c:pt>
                <c:pt idx="12">
                  <c:v>0.11313182026146074</c:v>
                </c:pt>
                <c:pt idx="13">
                  <c:v>5.6746655771063206E-2</c:v>
                </c:pt>
                <c:pt idx="14">
                  <c:v>7.8488153639657346E-2</c:v>
                </c:pt>
                <c:pt idx="15">
                  <c:v>8.2670016433022908E-2</c:v>
                </c:pt>
                <c:pt idx="16">
                  <c:v>8.8391684228498205E-2</c:v>
                </c:pt>
                <c:pt idx="17">
                  <c:v>7.1206544697530821E-2</c:v>
                </c:pt>
                <c:pt idx="18">
                  <c:v>0.1233003774953698</c:v>
                </c:pt>
                <c:pt idx="19">
                  <c:v>0.12299668232530828</c:v>
                </c:pt>
                <c:pt idx="20">
                  <c:v>0.12514895655771602</c:v>
                </c:pt>
                <c:pt idx="21">
                  <c:v>0.12293007045991475</c:v>
                </c:pt>
                <c:pt idx="22">
                  <c:v>0.13947603099485045</c:v>
                </c:pt>
                <c:pt idx="23">
                  <c:v>0.1372234304339775</c:v>
                </c:pt>
                <c:pt idx="24">
                  <c:v>0.14332908584331921</c:v>
                </c:pt>
                <c:pt idx="25">
                  <c:v>0.14642082293065362</c:v>
                </c:pt>
                <c:pt idx="26">
                  <c:v>0.14921038710280579</c:v>
                </c:pt>
                <c:pt idx="27">
                  <c:v>0.15238167044303444</c:v>
                </c:pt>
                <c:pt idx="28">
                  <c:v>0.1605882934355328</c:v>
                </c:pt>
                <c:pt idx="29">
                  <c:v>0.16994006429050335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D4-451F-8C74-6BCCFECF4994}"/>
            </c:ext>
          </c:extLst>
        </c:ser>
        <c:ser>
          <c:idx val="1"/>
          <c:order val="1"/>
          <c:tx>
            <c:strRef>
              <c:f>Charts_Support!$A$279</c:f>
              <c:strCache>
                <c:ptCount val="1"/>
                <c:pt idx="0">
                  <c:v>Depreciation&amp;Amortization/sales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Charts_Support!$B$279:$AE$279</c:f>
              <c:numCache>
                <c:formatCode>0.0%</c:formatCode>
                <c:ptCount val="30"/>
                <c:pt idx="0">
                  <c:v>4.4926684700164143E-2</c:v>
                </c:pt>
                <c:pt idx="1">
                  <c:v>4.3377718313675165E-2</c:v>
                </c:pt>
                <c:pt idx="2">
                  <c:v>5.6228628263156673E-2</c:v>
                </c:pt>
                <c:pt idx="3">
                  <c:v>4.9347542491844615E-2</c:v>
                </c:pt>
                <c:pt idx="4">
                  <c:v>4.5212526525625359E-2</c:v>
                </c:pt>
                <c:pt idx="5">
                  <c:v>9.4808480755815522E-2</c:v>
                </c:pt>
                <c:pt idx="6">
                  <c:v>8.2025331967246554E-2</c:v>
                </c:pt>
                <c:pt idx="7">
                  <c:v>7.3583093944490724E-2</c:v>
                </c:pt>
                <c:pt idx="8">
                  <c:v>7.7461363180340304E-2</c:v>
                </c:pt>
                <c:pt idx="9">
                  <c:v>7.4656847899668657E-2</c:v>
                </c:pt>
                <c:pt idx="10">
                  <c:v>6.1868718975844811E-2</c:v>
                </c:pt>
                <c:pt idx="11">
                  <c:v>5.9602812616105318E-2</c:v>
                </c:pt>
                <c:pt idx="12">
                  <c:v>5.8683488765273094E-2</c:v>
                </c:pt>
                <c:pt idx="13">
                  <c:v>5.8599388471751737E-2</c:v>
                </c:pt>
                <c:pt idx="14">
                  <c:v>6.0328088349813562E-2</c:v>
                </c:pt>
                <c:pt idx="15">
                  <c:v>6.3345297992802321E-2</c:v>
                </c:pt>
                <c:pt idx="16">
                  <c:v>6.4700984532457179E-2</c:v>
                </c:pt>
                <c:pt idx="17">
                  <c:v>6.7481760080591743E-2</c:v>
                </c:pt>
                <c:pt idx="18">
                  <c:v>7.3206291661888467E-2</c:v>
                </c:pt>
                <c:pt idx="19">
                  <c:v>0.11308784559534214</c:v>
                </c:pt>
                <c:pt idx="20">
                  <c:v>7.0065215523219232E-2</c:v>
                </c:pt>
                <c:pt idx="21">
                  <c:v>4.8684170669145377E-2</c:v>
                </c:pt>
                <c:pt idx="22">
                  <c:v>5.1338727495914789E-2</c:v>
                </c:pt>
                <c:pt idx="23">
                  <c:v>5.1848086656425596E-2</c:v>
                </c:pt>
                <c:pt idx="24">
                  <c:v>5.0527350391890713E-2</c:v>
                </c:pt>
                <c:pt idx="25">
                  <c:v>4.8507707651941699E-2</c:v>
                </c:pt>
                <c:pt idx="26">
                  <c:v>4.6703797422579102E-2</c:v>
                </c:pt>
                <c:pt idx="27">
                  <c:v>4.6446574748995918E-2</c:v>
                </c:pt>
                <c:pt idx="28">
                  <c:v>4.9428209492986104E-2</c:v>
                </c:pt>
                <c:pt idx="29">
                  <c:v>5.2370100769619982E-2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D4-451F-8C74-6BCCFECF4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665664"/>
        <c:axId val="487667200"/>
      </c:lineChart>
      <c:catAx>
        <c:axId val="48766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66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66720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6656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693160413771809"/>
          <c:y val="3.0797909510008104E-2"/>
          <c:w val="0.43419271251807812"/>
          <c:h val="0.15982029600474876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1382293166662"/>
          <c:y val="8.8781142104870966E-2"/>
          <c:w val="0.83657669250487654"/>
          <c:h val="0.7118620267103835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Charts_Support!$A$455</c:f>
              <c:strCache>
                <c:ptCount val="1"/>
                <c:pt idx="0">
                  <c:v>Seasonality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Charts_Support!$L$453:$CS$453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Charts_Support!$J$455:$CS$455</c:f>
              <c:numCache>
                <c:formatCode>0.0%</c:formatCode>
                <c:ptCount val="64"/>
                <c:pt idx="0">
                  <c:v>0.24270214756329886</c:v>
                </c:pt>
                <c:pt idx="1">
                  <c:v>0.24137690095155734</c:v>
                </c:pt>
                <c:pt idx="2">
                  <c:v>0.24683510030940664</c:v>
                </c:pt>
                <c:pt idx="3">
                  <c:v>0.26908585117573713</c:v>
                </c:pt>
                <c:pt idx="4">
                  <c:v>0.2333498859871023</c:v>
                </c:pt>
                <c:pt idx="5">
                  <c:v>0.24124193893184162</c:v>
                </c:pt>
                <c:pt idx="6">
                  <c:v>0.25329178839918765</c:v>
                </c:pt>
                <c:pt idx="7">
                  <c:v>0.27211638668186833</c:v>
                </c:pt>
                <c:pt idx="8">
                  <c:v>0.22406797585454089</c:v>
                </c:pt>
                <c:pt idx="9">
                  <c:v>0.2426164660902291</c:v>
                </c:pt>
                <c:pt idx="10">
                  <c:v>0.25884905946840203</c:v>
                </c:pt>
                <c:pt idx="11">
                  <c:v>0.27446649858682798</c:v>
                </c:pt>
                <c:pt idx="12">
                  <c:v>0.21909428246416865</c:v>
                </c:pt>
                <c:pt idx="13">
                  <c:v>0.2534533603392371</c:v>
                </c:pt>
                <c:pt idx="14">
                  <c:v>0.25906643234856169</c:v>
                </c:pt>
                <c:pt idx="15">
                  <c:v>0.26838592484803264</c:v>
                </c:pt>
                <c:pt idx="16">
                  <c:v>0.21630614539290438</c:v>
                </c:pt>
                <c:pt idx="17">
                  <c:v>0.24315588730492249</c:v>
                </c:pt>
                <c:pt idx="18">
                  <c:v>0.25981213244220502</c:v>
                </c:pt>
                <c:pt idx="19">
                  <c:v>0.28072583485996805</c:v>
                </c:pt>
                <c:pt idx="20">
                  <c:v>0.17508734003194262</c:v>
                </c:pt>
                <c:pt idx="21">
                  <c:v>0.22821350024374726</c:v>
                </c:pt>
                <c:pt idx="22">
                  <c:v>0.25005636998358133</c:v>
                </c:pt>
                <c:pt idx="23">
                  <c:v>0.34664278974072876</c:v>
                </c:pt>
                <c:pt idx="24">
                  <c:v>0.2274575221745436</c:v>
                </c:pt>
                <c:pt idx="25">
                  <c:v>0.24039431404044603</c:v>
                </c:pt>
                <c:pt idx="26">
                  <c:v>0.25471624834894147</c:v>
                </c:pt>
                <c:pt idx="27">
                  <c:v>0.2675663019056001</c:v>
                </c:pt>
                <c:pt idx="28">
                  <c:v>0.24537491926981272</c:v>
                </c:pt>
                <c:pt idx="29">
                  <c:v>0.24045408679628516</c:v>
                </c:pt>
                <c:pt idx="30">
                  <c:v>0.25468192331164929</c:v>
                </c:pt>
                <c:pt idx="31">
                  <c:v>0.27848899366177277</c:v>
                </c:pt>
                <c:pt idx="32">
                  <c:v>0.23732538464644026</c:v>
                </c:pt>
                <c:pt idx="33">
                  <c:v>0.24323105572767423</c:v>
                </c:pt>
                <c:pt idx="34">
                  <c:v>0.24631014593506412</c:v>
                </c:pt>
                <c:pt idx="35">
                  <c:v>0.27313341369082139</c:v>
                </c:pt>
                <c:pt idx="36">
                  <c:v>0.24004946552486944</c:v>
                </c:pt>
                <c:pt idx="37">
                  <c:v>0.24537141401972254</c:v>
                </c:pt>
                <c:pt idx="38">
                  <c:v>0.24645225640689106</c:v>
                </c:pt>
                <c:pt idx="39">
                  <c:v>0.26812686404851693</c:v>
                </c:pt>
                <c:pt idx="40">
                  <c:v>0.23541703540349904</c:v>
                </c:pt>
                <c:pt idx="41">
                  <c:v>0.25072018784956701</c:v>
                </c:pt>
                <c:pt idx="42">
                  <c:v>0.24917190154749355</c:v>
                </c:pt>
                <c:pt idx="43">
                  <c:v>0.26469087519944029</c:v>
                </c:pt>
                <c:pt idx="44">
                  <c:v>0.31445533817932991</c:v>
                </c:pt>
                <c:pt idx="45">
                  <c:v>0.13502326081968352</c:v>
                </c:pt>
                <c:pt idx="46">
                  <c:v>0.25705702800637137</c:v>
                </c:pt>
                <c:pt idx="47">
                  <c:v>0.29346437299461531</c:v>
                </c:pt>
                <c:pt idx="48">
                  <c:v>0.19130415103979395</c:v>
                </c:pt>
                <c:pt idx="49">
                  <c:v>0.23374844736653336</c:v>
                </c:pt>
                <c:pt idx="50">
                  <c:v>0.26149145470143209</c:v>
                </c:pt>
                <c:pt idx="51">
                  <c:v>0.31345594689224054</c:v>
                </c:pt>
                <c:pt idx="52">
                  <c:v>0.22123905685065831</c:v>
                </c:pt>
                <c:pt idx="53">
                  <c:v>0.24609627843028695</c:v>
                </c:pt>
                <c:pt idx="54">
                  <c:v>0.25450884593863216</c:v>
                </c:pt>
                <c:pt idx="55">
                  <c:v>0.27815581878042273</c:v>
                </c:pt>
                <c:pt idx="56">
                  <c:v>0.23173821511675927</c:v>
                </c:pt>
                <c:pt idx="57">
                  <c:v>0.2485697691051027</c:v>
                </c:pt>
                <c:pt idx="58">
                  <c:v>0.25362020530654683</c:v>
                </c:pt>
                <c:pt idx="59">
                  <c:v>0.26428461274728904</c:v>
                </c:pt>
                <c:pt idx="60">
                  <c:v>0.23423586353882822</c:v>
                </c:pt>
                <c:pt idx="61">
                  <c:v>0.24512129796054161</c:v>
                </c:pt>
                <c:pt idx="62">
                  <c:v>0.25599259448294276</c:v>
                </c:pt>
                <c:pt idx="63">
                  <c:v>0.26714769867328486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7-4357-8407-DA455373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21312"/>
        <c:axId val="487822848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7797-4357-8407-DA4553735378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97-4357-8407-DA4553735378}"/>
            </c:ext>
          </c:extLst>
        </c:ser>
        <c:ser>
          <c:idx val="2"/>
          <c:order val="2"/>
          <c:tx>
            <c:v>2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797-4357-8407-DA4553735378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797-4357-8407-DA4553735378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797-4357-8407-DA455373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24384"/>
        <c:axId val="487838464"/>
      </c:scatterChart>
      <c:catAx>
        <c:axId val="48782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8228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7822848"/>
        <c:scaling>
          <c:orientation val="minMax"/>
          <c:max val="0.32000000000000006"/>
          <c:min val="0.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821312"/>
        <c:crosses val="autoZero"/>
        <c:crossBetween val="midCat"/>
      </c:valAx>
      <c:valAx>
        <c:axId val="48782438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7838464"/>
        <c:crosses val="autoZero"/>
        <c:crossBetween val="midCat"/>
      </c:valAx>
      <c:valAx>
        <c:axId val="48783846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782438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600626406541"/>
          <c:y val="5.4794612175279887E-2"/>
          <c:w val="0.7840474374234685"/>
          <c:h val="0.76712457045391835"/>
        </c:manualLayout>
      </c:layout>
      <c:areaChart>
        <c:grouping val="standard"/>
        <c:varyColors val="0"/>
        <c:ser>
          <c:idx val="0"/>
          <c:order val="0"/>
          <c:tx>
            <c:v>Stores</c:v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Charts_Support!$J$7:$AE$7</c:f>
              <c:numCache>
                <c:formatCode>#,##0_);\(#,##0\)</c:formatCode>
                <c:ptCount val="22"/>
                <c:pt idx="0">
                  <c:v>1001</c:v>
                </c:pt>
                <c:pt idx="1">
                  <c:v>1037</c:v>
                </c:pt>
                <c:pt idx="2">
                  <c:v>1075</c:v>
                </c:pt>
                <c:pt idx="3">
                  <c:v>1186</c:v>
                </c:pt>
                <c:pt idx="4">
                  <c:v>1575</c:v>
                </c:pt>
                <c:pt idx="5">
                  <c:v>1999</c:v>
                </c:pt>
                <c:pt idx="6">
                  <c:v>2092</c:v>
                </c:pt>
                <c:pt idx="7">
                  <c:v>2215</c:v>
                </c:pt>
                <c:pt idx="8">
                  <c:v>2346</c:v>
                </c:pt>
                <c:pt idx="9">
                  <c:v>2467</c:v>
                </c:pt>
                <c:pt idx="10">
                  <c:v>2272</c:v>
                </c:pt>
                <c:pt idx="11">
                  <c:v>2184</c:v>
                </c:pt>
                <c:pt idx="12">
                  <c:v>2174</c:v>
                </c:pt>
                <c:pt idx="13">
                  <c:v>2248</c:v>
                </c:pt>
                <c:pt idx="14">
                  <c:v>2313</c:v>
                </c:pt>
                <c:pt idx="15">
                  <c:v>2388</c:v>
                </c:pt>
                <c:pt idx="16">
                  <c:v>2471</c:v>
                </c:pt>
                <c:pt idx="17">
                  <c:v>2541</c:v>
                </c:pt>
                <c:pt idx="18">
                  <c:v>2600</c:v>
                </c:pt>
                <c:pt idx="19">
                  <c:v>2659</c:v>
                </c:pt>
                <c:pt idx="20">
                  <c:v>2718</c:v>
                </c:pt>
                <c:pt idx="21">
                  <c:v>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3-4C3E-AF45-473AD2401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85056"/>
        <c:axId val="487895040"/>
      </c:areaChart>
      <c:lineChart>
        <c:grouping val="standard"/>
        <c:varyColors val="0"/>
        <c:ser>
          <c:idx val="1"/>
          <c:order val="1"/>
          <c:tx>
            <c:v>Sales Per Store</c:v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Charts_Support!$J$46:$AE$46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7.0002290950744568</c:v>
                </c:pt>
                <c:pt idx="2">
                  <c:v>7.6131701657458564</c:v>
                </c:pt>
                <c:pt idx="3">
                  <c:v>8.9584669464847835</c:v>
                </c:pt>
                <c:pt idx="4">
                  <c:v>8.9112074468085112</c:v>
                </c:pt>
                <c:pt idx="5">
                  <c:v>9.8949027415143611</c:v>
                </c:pt>
                <c:pt idx="6">
                  <c:v>8.0820922208281054</c:v>
                </c:pt>
                <c:pt idx="7">
                  <c:v>8.2098127208480562</c:v>
                </c:pt>
                <c:pt idx="8">
                  <c:v>8.7364655267512408</c:v>
                </c:pt>
                <c:pt idx="9">
                  <c:v>12.428149713093374</c:v>
                </c:pt>
                <c:pt idx="10">
                  <c:v>13.615288622129434</c:v>
                </c:pt>
                <c:pt idx="11">
                  <c:v>10.041501372872048</c:v>
                </c:pt>
                <c:pt idx="12">
                  <c:v>14.185298490776971</c:v>
                </c:pt>
                <c:pt idx="13">
                  <c:v>17.879829241680305</c:v>
                </c:pt>
                <c:pt idx="14">
                  <c:v>20.264267963263102</c:v>
                </c:pt>
                <c:pt idx="15">
                  <c:v>21.506897585490705</c:v>
                </c:pt>
                <c:pt idx="16">
                  <c:v>22.11526459618462</c:v>
                </c:pt>
                <c:pt idx="17">
                  <c:v>22.898670907243105</c:v>
                </c:pt>
                <c:pt idx="18">
                  <c:v>23.722831645448004</c:v>
                </c:pt>
                <c:pt idx="19">
                  <c:v>24.305225672167232</c:v>
                </c:pt>
                <c:pt idx="20">
                  <c:v>24.903219248216953</c:v>
                </c:pt>
                <c:pt idx="21">
                  <c:v>25.566886946723688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D3-4C3E-AF45-473AD2401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96960"/>
        <c:axId val="487898496"/>
      </c:lineChart>
      <c:catAx>
        <c:axId val="48788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895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6796388778250967"/>
              <c:y val="4.094132702938092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885056"/>
        <c:crosses val="autoZero"/>
        <c:crossBetween val="midCat"/>
      </c:valAx>
      <c:catAx>
        <c:axId val="487896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898496"/>
        <c:crosses val="autoZero"/>
        <c:auto val="1"/>
        <c:lblAlgn val="ctr"/>
        <c:lblOffset val="100"/>
        <c:noMultiLvlLbl val="0"/>
      </c:catAx>
      <c:valAx>
        <c:axId val="48789849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store- $Mex mn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70882032742016199"/>
              <c:y val="3.066742503688167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896960"/>
        <c:crosses val="max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6823520913096871"/>
          <c:y val="5.6701982019689359E-2"/>
          <c:w val="0.43105809021578723"/>
          <c:h val="7.0651284868461214E-2"/>
        </c:manualLayout>
      </c:layout>
      <c:overlay val="0"/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16741128044755"/>
          <c:y val="5.4237377908795535E-2"/>
          <c:w val="0.80155718168354595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Charts_Support!$A$440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Charts_Support!$J$440:$CS$440</c:f>
              <c:numCache>
                <c:formatCode>#,##0.0_);\(#,##0.0\)</c:formatCode>
                <c:ptCount val="64"/>
                <c:pt idx="1">
                  <c:v>1.7534772182254201</c:v>
                </c:pt>
                <c:pt idx="2">
                  <c:v>1.7574954846478024</c:v>
                </c:pt>
                <c:pt idx="3">
                  <c:v>1.9426682692307684</c:v>
                </c:pt>
                <c:pt idx="4">
                  <c:v>1.762104004781829</c:v>
                </c:pt>
                <c:pt idx="5">
                  <c:v>1.761094586555622</c:v>
                </c:pt>
                <c:pt idx="6">
                  <c:v>1.7719858156028367</c:v>
                </c:pt>
                <c:pt idx="7">
                  <c:v>1.9266705403834983</c:v>
                </c:pt>
                <c:pt idx="8">
                  <c:v>1.8631315789473686</c:v>
                </c:pt>
                <c:pt idx="9">
                  <c:v>1.9494344122657581</c:v>
                </c:pt>
                <c:pt idx="10">
                  <c:v>1.9684841986455981</c:v>
                </c:pt>
                <c:pt idx="11">
                  <c:v>2.0111535455053042</c:v>
                </c:pt>
                <c:pt idx="12">
                  <c:v>2.0798887688984879</c:v>
                </c:pt>
                <c:pt idx="13">
                  <c:v>2.3057080679405519</c:v>
                </c:pt>
                <c:pt idx="14">
                  <c:v>2.2970578249336864</c:v>
                </c:pt>
                <c:pt idx="15">
                  <c:v>2.3929384534455549</c:v>
                </c:pt>
                <c:pt idx="16">
                  <c:v>2.3329027196652721</c:v>
                </c:pt>
                <c:pt idx="17">
                  <c:v>2.4662161895360315</c:v>
                </c:pt>
                <c:pt idx="18">
                  <c:v>2.3568933025404162</c:v>
                </c:pt>
                <c:pt idx="19">
                  <c:v>2.4905417789757411</c:v>
                </c:pt>
                <c:pt idx="20">
                  <c:v>2.3444616063548103</c:v>
                </c:pt>
                <c:pt idx="21">
                  <c:v>2.8251111957349582</c:v>
                </c:pt>
                <c:pt idx="22">
                  <c:v>2.7431662216288384</c:v>
                </c:pt>
                <c:pt idx="23">
                  <c:v>3.0816328947368423</c:v>
                </c:pt>
                <c:pt idx="24">
                  <c:v>2.0102406801831263</c:v>
                </c:pt>
                <c:pt idx="25">
                  <c:v>1.9759785226163358</c:v>
                </c:pt>
                <c:pt idx="26">
                  <c:v>2.1198231162196679</c:v>
                </c:pt>
                <c:pt idx="27">
                  <c:v>2.1726725385341306</c:v>
                </c:pt>
                <c:pt idx="28">
                  <c:v>2.0972668972021378</c:v>
                </c:pt>
                <c:pt idx="29">
                  <c:v>2.1661744587386256</c:v>
                </c:pt>
                <c:pt idx="30">
                  <c:v>2.1379654747225647</c:v>
                </c:pt>
                <c:pt idx="31">
                  <c:v>2.20525433871933</c:v>
                </c:pt>
                <c:pt idx="32">
                  <c:v>2.1583985993580392</c:v>
                </c:pt>
                <c:pt idx="33">
                  <c:v>2.2835480713874499</c:v>
                </c:pt>
                <c:pt idx="34">
                  <c:v>2.2430255536626915</c:v>
                </c:pt>
                <c:pt idx="35">
                  <c:v>2.3533732590529248</c:v>
                </c:pt>
                <c:pt idx="36">
                  <c:v>3.0933024538185827</c:v>
                </c:pt>
                <c:pt idx="37">
                  <c:v>3.1818162428219852</c:v>
                </c:pt>
                <c:pt idx="38">
                  <c:v>3.1926157582298971</c:v>
                </c:pt>
                <c:pt idx="39">
                  <c:v>3.4292015873015873</c:v>
                </c:pt>
                <c:pt idx="40">
                  <c:v>3.0829927159209154</c:v>
                </c:pt>
                <c:pt idx="41">
                  <c:v>3.3214488680718186</c:v>
                </c:pt>
                <c:pt idx="42">
                  <c:v>3.6276185755283068</c:v>
                </c:pt>
                <c:pt idx="43">
                  <c:v>3.5621633185494392</c:v>
                </c:pt>
                <c:pt idx="44">
                  <c:v>3.1275989515072085</c:v>
                </c:pt>
                <c:pt idx="45">
                  <c:v>1.390707284768212</c:v>
                </c:pt>
                <c:pt idx="46">
                  <c:v>2.3431311563169164</c:v>
                </c:pt>
                <c:pt idx="47">
                  <c:v>2.8892963868513992</c:v>
                </c:pt>
                <c:pt idx="48">
                  <c:v>2.6701229666390955</c:v>
                </c:pt>
                <c:pt idx="49">
                  <c:v>3.5122207432057682</c:v>
                </c:pt>
                <c:pt idx="50">
                  <c:v>3.634882862734135</c:v>
                </c:pt>
                <c:pt idx="51">
                  <c:v>4.3195227145260793</c:v>
                </c:pt>
                <c:pt idx="52">
                  <c:v>4.0183293262510489</c:v>
                </c:pt>
                <c:pt idx="53">
                  <c:v>4.5788029034059186</c:v>
                </c:pt>
                <c:pt idx="54">
                  <c:v>4.56582298914556</c:v>
                </c:pt>
                <c:pt idx="55">
                  <c:v>5.0571629955947133</c:v>
                </c:pt>
                <c:pt idx="56">
                  <c:v>4.6874543965046422</c:v>
                </c:pt>
                <c:pt idx="57">
                  <c:v>5.1735693911135501</c:v>
                </c:pt>
                <c:pt idx="58">
                  <c:v>5.1887339752407158</c:v>
                </c:pt>
                <c:pt idx="59">
                  <c:v>5.4862305805396563</c:v>
                </c:pt>
                <c:pt idx="60">
                  <c:v>5.1810228679042227</c:v>
                </c:pt>
                <c:pt idx="61">
                  <c:v>5.4505363515312917</c:v>
                </c:pt>
                <c:pt idx="62">
                  <c:v>5.3888405141952749</c:v>
                </c:pt>
                <c:pt idx="63">
                  <c:v>5.688552709539473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7-4DF2-B0F4-D7FF94911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1072"/>
        <c:axId val="488050688"/>
      </c:areaChart>
      <c:lineChart>
        <c:grouping val="standard"/>
        <c:varyColors val="0"/>
        <c:ser>
          <c:idx val="1"/>
          <c:order val="1"/>
          <c:tx>
            <c:strRef>
              <c:f>Charts_Support!$A$441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Charts_Support!$J$441:$CS$441</c:f>
              <c:numCache>
                <c:formatCode>0.0%</c:formatCode>
                <c:ptCount val="64"/>
                <c:pt idx="5">
                  <c:v>4.3441501554899453E-3</c:v>
                </c:pt>
                <c:pt idx="6">
                  <c:v>8.2448752111237145E-3</c:v>
                </c:pt>
                <c:pt idx="7">
                  <c:v>-8.234925695062012E-3</c:v>
                </c:pt>
                <c:pt idx="8">
                  <c:v>5.7333491037634854E-2</c:v>
                </c:pt>
                <c:pt idx="9">
                  <c:v>0.10694475308023876</c:v>
                </c:pt>
                <c:pt idx="10">
                  <c:v>0.11089162300992328</c:v>
                </c:pt>
                <c:pt idx="11">
                  <c:v>4.3849222454499071E-2</c:v>
                </c:pt>
                <c:pt idx="12">
                  <c:v>0.11634024799986631</c:v>
                </c:pt>
                <c:pt idx="13">
                  <c:v>0.18275744668973481</c:v>
                </c:pt>
                <c:pt idx="14">
                  <c:v>0.16691707584656301</c:v>
                </c:pt>
                <c:pt idx="15">
                  <c:v>0.18983379403999057</c:v>
                </c:pt>
                <c:pt idx="16">
                  <c:v>0.12164782778301197</c:v>
                </c:pt>
                <c:pt idx="17">
                  <c:v>6.9613375529732568E-2</c:v>
                </c:pt>
                <c:pt idx="18">
                  <c:v>2.6048746773911668E-2</c:v>
                </c:pt>
                <c:pt idx="19">
                  <c:v>4.0788063474699321E-2</c:v>
                </c:pt>
                <c:pt idx="20">
                  <c:v>4.9547229689872463E-3</c:v>
                </c:pt>
                <c:pt idx="21">
                  <c:v>0.14552455203306636</c:v>
                </c:pt>
                <c:pt idx="22">
                  <c:v>0.16389071099318397</c:v>
                </c:pt>
                <c:pt idx="23">
                  <c:v>0.23733435060229868</c:v>
                </c:pt>
                <c:pt idx="24">
                  <c:v>-0.14255764533134485</c:v>
                </c:pt>
                <c:pt idx="25">
                  <c:v>-0.30056610670778172</c:v>
                </c:pt>
                <c:pt idx="26">
                  <c:v>-0.22723490122266143</c:v>
                </c:pt>
                <c:pt idx="27">
                  <c:v>-0.29496062225813335</c:v>
                </c:pt>
                <c:pt idx="28">
                  <c:v>4.3291441605431968E-2</c:v>
                </c:pt>
                <c:pt idx="29">
                  <c:v>9.6254050307417849E-2</c:v>
                </c:pt>
                <c:pt idx="30">
                  <c:v>8.5584303539676387E-3</c:v>
                </c:pt>
                <c:pt idx="31">
                  <c:v>1.4996185392568195E-2</c:v>
                </c:pt>
                <c:pt idx="32">
                  <c:v>2.9148270178418478E-2</c:v>
                </c:pt>
                <c:pt idx="33">
                  <c:v>5.4184745912465138E-2</c:v>
                </c:pt>
                <c:pt idx="34">
                  <c:v>4.9140213058753934E-2</c:v>
                </c:pt>
                <c:pt idx="35">
                  <c:v>6.7166366134263189E-2</c:v>
                </c:pt>
                <c:pt idx="36">
                  <c:v>0.43314698904021109</c:v>
                </c:pt>
                <c:pt idx="37">
                  <c:v>0.39336512451378391</c:v>
                </c:pt>
                <c:pt idx="38">
                  <c:v>0.42335237911872925</c:v>
                </c:pt>
                <c:pt idx="39">
                  <c:v>0.45714309198941572</c:v>
                </c:pt>
                <c:pt idx="40">
                  <c:v>-3.3329226778132659E-3</c:v>
                </c:pt>
                <c:pt idx="41">
                  <c:v>4.3884566107435408E-2</c:v>
                </c:pt>
                <c:pt idx="42">
                  <c:v>0.13625279402228818</c:v>
                </c:pt>
                <c:pt idx="43">
                  <c:v>3.8773378543918824E-2</c:v>
                </c:pt>
                <c:pt idx="44">
                  <c:v>1.4468485558185584E-2</c:v>
                </c:pt>
                <c:pt idx="45">
                  <c:v>-0.58129498902220011</c:v>
                </c:pt>
                <c:pt idx="46">
                  <c:v>-0.35408557776070071</c:v>
                </c:pt>
                <c:pt idx="47">
                  <c:v>-0.18889277989983921</c:v>
                </c:pt>
                <c:pt idx="48">
                  <c:v>-0.14627066703921632</c:v>
                </c:pt>
                <c:pt idx="49">
                  <c:v>1.5254924466661919</c:v>
                </c:pt>
                <c:pt idx="50">
                  <c:v>0.55129295811493395</c:v>
                </c:pt>
                <c:pt idx="51">
                  <c:v>0.49500851978473004</c:v>
                </c:pt>
                <c:pt idx="52">
                  <c:v>0.50492294791537295</c:v>
                </c:pt>
                <c:pt idx="53">
                  <c:v>0.30367742752599058</c:v>
                </c:pt>
                <c:pt idx="54">
                  <c:v>0.25611282717132133</c:v>
                </c:pt>
                <c:pt idx="55">
                  <c:v>0.17076893208317467</c:v>
                </c:pt>
                <c:pt idx="56">
                  <c:v>0.16651822584135045</c:v>
                </c:pt>
                <c:pt idx="57">
                  <c:v>0.12989562998337778</c:v>
                </c:pt>
                <c:pt idx="58">
                  <c:v>0.13642907041644348</c:v>
                </c:pt>
                <c:pt idx="59">
                  <c:v>8.484353486702001E-2</c:v>
                </c:pt>
                <c:pt idx="60">
                  <c:v>0.10529563162633138</c:v>
                </c:pt>
                <c:pt idx="61">
                  <c:v>5.353498512912136E-2</c:v>
                </c:pt>
                <c:pt idx="62">
                  <c:v>3.8565580719577275E-2</c:v>
                </c:pt>
                <c:pt idx="63">
                  <c:v>3.6878167264328798E-2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7-4DF2-B0F4-D7FF94911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52608"/>
        <c:axId val="488054144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7-4DF2-B0F4-D7FF949113BD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97-4DF2-B0F4-D7FF949113BD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97-4DF2-B0F4-D7FF94911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1072"/>
        <c:axId val="488050688"/>
      </c:scatterChart>
      <c:catAx>
        <c:axId val="48797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05068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8050688"/>
        <c:scaling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retail store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12581083979288582"/>
              <c:y val="2.607399130541054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7971072"/>
        <c:crosses val="autoZero"/>
        <c:crossBetween val="midCat"/>
        <c:minorUnit val="1"/>
      </c:valAx>
      <c:catAx>
        <c:axId val="488052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8054144"/>
        <c:crosses val="autoZero"/>
        <c:auto val="1"/>
        <c:lblAlgn val="ctr"/>
        <c:lblOffset val="100"/>
        <c:noMultiLvlLbl val="0"/>
      </c:catAx>
      <c:valAx>
        <c:axId val="48805414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75875547657710096"/>
              <c:y val="3.7032665816994603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05260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692509590147373E-2"/>
          <c:y val="6.5359685711823781E-2"/>
          <c:w val="0.86346234605289729"/>
          <c:h val="0.78205363752607848"/>
        </c:manualLayout>
      </c:layout>
      <c:areaChart>
        <c:grouping val="standard"/>
        <c:varyColors val="0"/>
        <c:ser>
          <c:idx val="2"/>
          <c:order val="1"/>
          <c:tx>
            <c:strRef>
              <c:f>Charts_Support!$A$147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Charts_Support!$B$147:$AE$147</c:f>
              <c:numCache>
                <c:formatCode>0.0%</c:formatCode>
                <c:ptCount val="30"/>
                <c:pt idx="0">
                  <c:v>0.53259283924136458</c:v>
                </c:pt>
                <c:pt idx="1">
                  <c:v>0.55827241053367005</c:v>
                </c:pt>
                <c:pt idx="2">
                  <c:v>0.56253876470446884</c:v>
                </c:pt>
                <c:pt idx="3">
                  <c:v>0.57630088383899669</c:v>
                </c:pt>
                <c:pt idx="4">
                  <c:v>0.62080466422309388</c:v>
                </c:pt>
                <c:pt idx="5">
                  <c:v>0.65709214256367443</c:v>
                </c:pt>
                <c:pt idx="6">
                  <c:v>0.66734961461779652</c:v>
                </c:pt>
                <c:pt idx="7">
                  <c:v>0.64281750640150315</c:v>
                </c:pt>
                <c:pt idx="8">
                  <c:v>0.63125315808713112</c:v>
                </c:pt>
                <c:pt idx="9">
                  <c:v>0.64669997238750132</c:v>
                </c:pt>
                <c:pt idx="10">
                  <c:v>0.64590309132778334</c:v>
                </c:pt>
                <c:pt idx="11">
                  <c:v>0.64796305902438944</c:v>
                </c:pt>
                <c:pt idx="12">
                  <c:v>0.6674181623550175</c:v>
                </c:pt>
                <c:pt idx="13">
                  <c:v>0.68085861320410679</c:v>
                </c:pt>
                <c:pt idx="14">
                  <c:v>0.68566780813008366</c:v>
                </c:pt>
                <c:pt idx="15">
                  <c:v>0.68755841719986965</c:v>
                </c:pt>
                <c:pt idx="16">
                  <c:v>0.69613319776818328</c:v>
                </c:pt>
                <c:pt idx="17">
                  <c:v>0.69262227359901862</c:v>
                </c:pt>
                <c:pt idx="18">
                  <c:v>0.7048553959230649</c:v>
                </c:pt>
                <c:pt idx="19">
                  <c:v>0.7024351391005772</c:v>
                </c:pt>
                <c:pt idx="20">
                  <c:v>0.68615159884786414</c:v>
                </c:pt>
                <c:pt idx="21">
                  <c:v>0.67293842532841719</c:v>
                </c:pt>
                <c:pt idx="22">
                  <c:v>0.67200305313918807</c:v>
                </c:pt>
                <c:pt idx="23">
                  <c:v>0.67485660188200858</c:v>
                </c:pt>
                <c:pt idx="24">
                  <c:v>0.66910245583646666</c:v>
                </c:pt>
                <c:pt idx="25">
                  <c:v>0.66810342324133265</c:v>
                </c:pt>
                <c:pt idx="26">
                  <c:v>0.66710272998857378</c:v>
                </c:pt>
                <c:pt idx="27">
                  <c:v>0.66210167766123251</c:v>
                </c:pt>
                <c:pt idx="28">
                  <c:v>0.66210065778264549</c:v>
                </c:pt>
                <c:pt idx="29">
                  <c:v>0.66210032445444955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FD-4800-8FDD-44DECB8A3A58}"/>
            </c:ext>
          </c:extLst>
        </c:ser>
        <c:ser>
          <c:idx val="1"/>
          <c:order val="2"/>
          <c:tx>
            <c:v>Bull to Bear</c:v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Charts_Support!$B$146:$AE$146</c:f>
              <c:numCache>
                <c:formatCode>0.0%</c:formatCode>
                <c:ptCount val="30"/>
                <c:pt idx="0">
                  <c:v>0.53259283924136458</c:v>
                </c:pt>
                <c:pt idx="1">
                  <c:v>0.55827241053367005</c:v>
                </c:pt>
                <c:pt idx="2">
                  <c:v>0.56253876470446884</c:v>
                </c:pt>
                <c:pt idx="3">
                  <c:v>0.57630088383899669</c:v>
                </c:pt>
                <c:pt idx="4">
                  <c:v>0.62080466422309388</c:v>
                </c:pt>
                <c:pt idx="5">
                  <c:v>0.65709214256367443</c:v>
                </c:pt>
                <c:pt idx="6">
                  <c:v>0.66734961461779652</c:v>
                </c:pt>
                <c:pt idx="7">
                  <c:v>0.64281750640150315</c:v>
                </c:pt>
                <c:pt idx="8">
                  <c:v>0.63125315808713112</c:v>
                </c:pt>
                <c:pt idx="9">
                  <c:v>0.64669997238750132</c:v>
                </c:pt>
                <c:pt idx="10">
                  <c:v>0.64590309132778334</c:v>
                </c:pt>
                <c:pt idx="11">
                  <c:v>0.64796305902438944</c:v>
                </c:pt>
                <c:pt idx="12">
                  <c:v>0.6674181623550175</c:v>
                </c:pt>
                <c:pt idx="13">
                  <c:v>0.68085861320410679</c:v>
                </c:pt>
                <c:pt idx="14">
                  <c:v>0.68566780813008366</c:v>
                </c:pt>
                <c:pt idx="15">
                  <c:v>0.68755841719986965</c:v>
                </c:pt>
                <c:pt idx="16">
                  <c:v>0.69613319776818328</c:v>
                </c:pt>
                <c:pt idx="17">
                  <c:v>0.69262227359901862</c:v>
                </c:pt>
                <c:pt idx="18">
                  <c:v>0.7048553959230649</c:v>
                </c:pt>
                <c:pt idx="19">
                  <c:v>0.7024351391005772</c:v>
                </c:pt>
                <c:pt idx="20">
                  <c:v>0.68615159884786414</c:v>
                </c:pt>
                <c:pt idx="21">
                  <c:v>0.67293842532841719</c:v>
                </c:pt>
                <c:pt idx="22">
                  <c:v>0.67200305313918807</c:v>
                </c:pt>
                <c:pt idx="23">
                  <c:v>0.6811354498019393</c:v>
                </c:pt>
                <c:pt idx="24">
                  <c:v>0.68108791662924983</c:v>
                </c:pt>
                <c:pt idx="25">
                  <c:v>0.6800901779646461</c:v>
                </c:pt>
                <c:pt idx="26">
                  <c:v>0.67909058097009467</c:v>
                </c:pt>
                <c:pt idx="27">
                  <c:v>0.67609014324826955</c:v>
                </c:pt>
                <c:pt idx="28">
                  <c:v>0.67608969284586251</c:v>
                </c:pt>
                <c:pt idx="29">
                  <c:v>0.6760898660714395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D-4800-8FDD-44DECB8A3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30816"/>
        <c:axId val="488169472"/>
      </c:areaChart>
      <c:lineChart>
        <c:grouping val="standard"/>
        <c:varyColors val="0"/>
        <c:ser>
          <c:idx val="0"/>
          <c:order val="0"/>
          <c:tx>
            <c:strRef>
              <c:f>Charts_Support!$A$145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Charts_Support!$B$145:$AE$145</c:f>
              <c:numCache>
                <c:formatCode>0.0%</c:formatCode>
                <c:ptCount val="30"/>
                <c:pt idx="0">
                  <c:v>0.53259283924136458</c:v>
                </c:pt>
                <c:pt idx="1">
                  <c:v>0.55827241053367005</c:v>
                </c:pt>
                <c:pt idx="2">
                  <c:v>0.56253876470446884</c:v>
                </c:pt>
                <c:pt idx="3">
                  <c:v>0.57630088383899669</c:v>
                </c:pt>
                <c:pt idx="4">
                  <c:v>0.62080466422309388</c:v>
                </c:pt>
                <c:pt idx="5">
                  <c:v>0.65709214256367443</c:v>
                </c:pt>
                <c:pt idx="6">
                  <c:v>0.66734961461779652</c:v>
                </c:pt>
                <c:pt idx="7">
                  <c:v>0.64281750640150315</c:v>
                </c:pt>
                <c:pt idx="8">
                  <c:v>0.63125315808713112</c:v>
                </c:pt>
                <c:pt idx="9">
                  <c:v>0.64669997238750132</c:v>
                </c:pt>
                <c:pt idx="10">
                  <c:v>0.64590309132778334</c:v>
                </c:pt>
                <c:pt idx="11">
                  <c:v>0.64796305902438944</c:v>
                </c:pt>
                <c:pt idx="12">
                  <c:v>0.6674181623550175</c:v>
                </c:pt>
                <c:pt idx="13">
                  <c:v>0.68085861320410679</c:v>
                </c:pt>
                <c:pt idx="14">
                  <c:v>0.68566780813008366</c:v>
                </c:pt>
                <c:pt idx="15">
                  <c:v>0.68755841719986965</c:v>
                </c:pt>
                <c:pt idx="16">
                  <c:v>0.69613319776818328</c:v>
                </c:pt>
                <c:pt idx="17">
                  <c:v>0.69262227359901862</c:v>
                </c:pt>
                <c:pt idx="18">
                  <c:v>0.7048553959230649</c:v>
                </c:pt>
                <c:pt idx="19">
                  <c:v>0.7024351391005772</c:v>
                </c:pt>
                <c:pt idx="20">
                  <c:v>0.68615159884786414</c:v>
                </c:pt>
                <c:pt idx="21">
                  <c:v>0.67293842532841719</c:v>
                </c:pt>
                <c:pt idx="22">
                  <c:v>0.67200305313918807</c:v>
                </c:pt>
                <c:pt idx="23">
                  <c:v>0.68007611587266381</c:v>
                </c:pt>
                <c:pt idx="24">
                  <c:v>0.67909246911692589</c:v>
                </c:pt>
                <c:pt idx="25">
                  <c:v>0.67809448991164134</c:v>
                </c:pt>
                <c:pt idx="26">
                  <c:v>0.67709464870364977</c:v>
                </c:pt>
                <c:pt idx="27">
                  <c:v>0.67709394923044197</c:v>
                </c:pt>
                <c:pt idx="28">
                  <c:v>0.67709324030936113</c:v>
                </c:pt>
                <c:pt idx="29">
                  <c:v>0.67709316791860363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D-4800-8FDD-44DECB8A3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30816"/>
        <c:axId val="488169472"/>
      </c:lineChart>
      <c:catAx>
        <c:axId val="48813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16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816947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1308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26538481728245505"/>
          <c:y val="4.5751633986928102E-2"/>
          <c:w val="0.59423137492428824"/>
          <c:h val="6.5359820218551107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03236245954692"/>
          <c:y val="6.6006813398609601E-2"/>
          <c:w val="0.8375404530744337"/>
          <c:h val="0.79163857757521128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Charts_Support!$B$899:$AE$899</c:f>
              <c:numCache>
                <c:formatCode>0.0%</c:formatCode>
                <c:ptCount val="30"/>
                <c:pt idx="0">
                  <c:v>0.39901214472811147</c:v>
                </c:pt>
                <c:pt idx="1">
                  <c:v>0.41218592983946212</c:v>
                </c:pt>
                <c:pt idx="2">
                  <c:v>0.41794175917667858</c:v>
                </c:pt>
                <c:pt idx="3">
                  <c:v>0.42922277283520388</c:v>
                </c:pt>
                <c:pt idx="4">
                  <c:v>0.47064175937238761</c:v>
                </c:pt>
                <c:pt idx="5">
                  <c:v>0.48992241527507757</c:v>
                </c:pt>
                <c:pt idx="6">
                  <c:v>0.4828683470373864</c:v>
                </c:pt>
                <c:pt idx="7">
                  <c:v>0.51027765681162451</c:v>
                </c:pt>
                <c:pt idx="8">
                  <c:v>0.51477166687958331</c:v>
                </c:pt>
                <c:pt idx="9">
                  <c:v>0.53551167741475769</c:v>
                </c:pt>
                <c:pt idx="10">
                  <c:v>0.54167772947123649</c:v>
                </c:pt>
                <c:pt idx="11">
                  <c:v>0.52901905564201901</c:v>
                </c:pt>
                <c:pt idx="12">
                  <c:v>0.53766792584198797</c:v>
                </c:pt>
                <c:pt idx="13">
                  <c:v>0.55835594821198264</c:v>
                </c:pt>
                <c:pt idx="14">
                  <c:v>0.55243939800502817</c:v>
                </c:pt>
                <c:pt idx="15">
                  <c:v>0.55082147523357394</c:v>
                </c:pt>
                <c:pt idx="16">
                  <c:v>0.54409045980517678</c:v>
                </c:pt>
                <c:pt idx="17">
                  <c:v>0.55378366222930109</c:v>
                </c:pt>
                <c:pt idx="18">
                  <c:v>0.57299709933616794</c:v>
                </c:pt>
                <c:pt idx="19">
                  <c:v>0.66511272419193557</c:v>
                </c:pt>
                <c:pt idx="20">
                  <c:v>0.5637021417354301</c:v>
                </c:pt>
                <c:pt idx="21">
                  <c:v>0.54473359178646985</c:v>
                </c:pt>
                <c:pt idx="22">
                  <c:v>0.53905807677972428</c:v>
                </c:pt>
                <c:pt idx="23">
                  <c:v>0.5483786197206314</c:v>
                </c:pt>
                <c:pt idx="24">
                  <c:v>0.54758713457060992</c:v>
                </c:pt>
                <c:pt idx="25">
                  <c:v>0.54670862005684862</c:v>
                </c:pt>
                <c:pt idx="26">
                  <c:v>0.54626039666356241</c:v>
                </c:pt>
                <c:pt idx="27">
                  <c:v>0.54836931230155506</c:v>
                </c:pt>
                <c:pt idx="28">
                  <c:v>0.54960977863954852</c:v>
                </c:pt>
                <c:pt idx="29">
                  <c:v>0.55090935519417616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97-4DB2-91E4-75139A0D6946}"/>
            </c:ext>
          </c:extLst>
        </c:ser>
        <c:ser>
          <c:idx val="2"/>
          <c:order val="2"/>
          <c:tx>
            <c:strRef>
              <c:f>Charts_Support!$A$898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Charts_Support!$B$898:$AE$898</c:f>
              <c:numCache>
                <c:formatCode>0.0%</c:formatCode>
                <c:ptCount val="30"/>
                <c:pt idx="0">
                  <c:v>0.39901214472811147</c:v>
                </c:pt>
                <c:pt idx="1">
                  <c:v>0.41218592983946212</c:v>
                </c:pt>
                <c:pt idx="2">
                  <c:v>0.41794175917667858</c:v>
                </c:pt>
                <c:pt idx="3">
                  <c:v>0.42922277283520388</c:v>
                </c:pt>
                <c:pt idx="4">
                  <c:v>0.47064175937238761</c:v>
                </c:pt>
                <c:pt idx="5">
                  <c:v>0.48992241527507757</c:v>
                </c:pt>
                <c:pt idx="6">
                  <c:v>0.4828683470373864</c:v>
                </c:pt>
                <c:pt idx="7">
                  <c:v>0.51027765681162451</c:v>
                </c:pt>
                <c:pt idx="8">
                  <c:v>0.51477166687958331</c:v>
                </c:pt>
                <c:pt idx="9">
                  <c:v>0.53551167741475769</c:v>
                </c:pt>
                <c:pt idx="10">
                  <c:v>0.54167772947123649</c:v>
                </c:pt>
                <c:pt idx="11">
                  <c:v>0.52901905564201901</c:v>
                </c:pt>
                <c:pt idx="12">
                  <c:v>0.53766792584198797</c:v>
                </c:pt>
                <c:pt idx="13">
                  <c:v>0.55835594821198264</c:v>
                </c:pt>
                <c:pt idx="14">
                  <c:v>0.55243939800502817</c:v>
                </c:pt>
                <c:pt idx="15">
                  <c:v>0.55082147523357394</c:v>
                </c:pt>
                <c:pt idx="16">
                  <c:v>0.54409045980517678</c:v>
                </c:pt>
                <c:pt idx="17">
                  <c:v>0.55378366222930109</c:v>
                </c:pt>
                <c:pt idx="18">
                  <c:v>0.57299709933616794</c:v>
                </c:pt>
                <c:pt idx="19">
                  <c:v>0.66511272419193557</c:v>
                </c:pt>
                <c:pt idx="20">
                  <c:v>0.5637021417354301</c:v>
                </c:pt>
                <c:pt idx="21">
                  <c:v>0.54473359178646985</c:v>
                </c:pt>
                <c:pt idx="22">
                  <c:v>0.51867815481136326</c:v>
                </c:pt>
                <c:pt idx="23">
                  <c:v>0.52486358804418654</c:v>
                </c:pt>
                <c:pt idx="24">
                  <c:v>0.52155441095348221</c:v>
                </c:pt>
                <c:pt idx="25">
                  <c:v>0.52068401135574294</c:v>
                </c:pt>
                <c:pt idx="26">
                  <c:v>0.52003051585752114</c:v>
                </c:pt>
                <c:pt idx="27">
                  <c:v>0.51793122272444958</c:v>
                </c:pt>
                <c:pt idx="28">
                  <c:v>0.51884589784499857</c:v>
                </c:pt>
                <c:pt idx="29">
                  <c:v>0.51973836213917202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97-4DB2-91E4-75139A0D6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92256"/>
        <c:axId val="488206336"/>
      </c:areaChart>
      <c:lineChart>
        <c:grouping val="standard"/>
        <c:varyColors val="0"/>
        <c:ser>
          <c:idx val="0"/>
          <c:order val="0"/>
          <c:tx>
            <c:strRef>
              <c:f>Charts_Support!$A$897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Charts_Support!$B$897:$AE$897</c:f>
              <c:numCache>
                <c:formatCode>0.0%</c:formatCode>
                <c:ptCount val="30"/>
                <c:pt idx="0">
                  <c:v>0.39901214472811147</c:v>
                </c:pt>
                <c:pt idx="1">
                  <c:v>0.41218592983946212</c:v>
                </c:pt>
                <c:pt idx="2">
                  <c:v>0.41794175917667858</c:v>
                </c:pt>
                <c:pt idx="3">
                  <c:v>0.42922277283520388</c:v>
                </c:pt>
                <c:pt idx="4">
                  <c:v>0.47064175937238761</c:v>
                </c:pt>
                <c:pt idx="5">
                  <c:v>0.48992241527507757</c:v>
                </c:pt>
                <c:pt idx="6">
                  <c:v>0.4828683470373864</c:v>
                </c:pt>
                <c:pt idx="7">
                  <c:v>0.51027765681162451</c:v>
                </c:pt>
                <c:pt idx="8">
                  <c:v>0.51477166687958331</c:v>
                </c:pt>
                <c:pt idx="9">
                  <c:v>0.53551167741475769</c:v>
                </c:pt>
                <c:pt idx="10">
                  <c:v>0.54167772947123649</c:v>
                </c:pt>
                <c:pt idx="11">
                  <c:v>0.52901905564201901</c:v>
                </c:pt>
                <c:pt idx="12">
                  <c:v>0.53766792584198797</c:v>
                </c:pt>
                <c:pt idx="13">
                  <c:v>0.55835594821198264</c:v>
                </c:pt>
                <c:pt idx="14">
                  <c:v>0.55243939800502817</c:v>
                </c:pt>
                <c:pt idx="15">
                  <c:v>0.55082147523357394</c:v>
                </c:pt>
                <c:pt idx="16">
                  <c:v>0.54409045980517678</c:v>
                </c:pt>
                <c:pt idx="17">
                  <c:v>0.55378366222930109</c:v>
                </c:pt>
                <c:pt idx="18">
                  <c:v>0.57299709933616794</c:v>
                </c:pt>
                <c:pt idx="19">
                  <c:v>0.66511272419193557</c:v>
                </c:pt>
                <c:pt idx="20">
                  <c:v>0.5637021417354301</c:v>
                </c:pt>
                <c:pt idx="21">
                  <c:v>0.54473359178646985</c:v>
                </c:pt>
                <c:pt idx="22">
                  <c:v>0.53039895240584922</c:v>
                </c:pt>
                <c:pt idx="23">
                  <c:v>0.53043130566902286</c:v>
                </c:pt>
                <c:pt idx="24">
                  <c:v>0.52553096992534976</c:v>
                </c:pt>
                <c:pt idx="25">
                  <c:v>0.52273568794127134</c:v>
                </c:pt>
                <c:pt idx="26">
                  <c:v>0.51983466485419239</c:v>
                </c:pt>
                <c:pt idx="27">
                  <c:v>0.51951218589730785</c:v>
                </c:pt>
                <c:pt idx="28">
                  <c:v>0.51920788861073808</c:v>
                </c:pt>
                <c:pt idx="29">
                  <c:v>0.51890962526965112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97-4DB2-91E4-75139A0D6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92256"/>
        <c:axId val="488206336"/>
      </c:lineChart>
      <c:catAx>
        <c:axId val="48819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206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8206336"/>
        <c:scaling>
          <c:orientation val="minMax"/>
          <c:min val="0.3000000000000000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192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6148867313915858"/>
          <c:y val="3.3780377884729852E-2"/>
          <c:w val="0.56116504854368943"/>
          <c:h val="6.6006947151408063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5280683704963"/>
          <c:y val="7.4772299616394103E-2"/>
          <c:w val="0.82973159079565251"/>
          <c:h val="0.737414577024025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Charts_Support!$A$477</c:f>
              <c:strCache>
                <c:ptCount val="1"/>
                <c:pt idx="0">
                  <c:v>Gross Margin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Charts_Support!$L$531:$CS$531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Charts_Support!$J$477:$CS$477</c:f>
              <c:numCache>
                <c:formatCode>0.0%</c:formatCode>
                <c:ptCount val="64"/>
                <c:pt idx="0">
                  <c:v>0.61971697176195228</c:v>
                </c:pt>
                <c:pt idx="1">
                  <c:v>0.62750401283721935</c:v>
                </c:pt>
                <c:pt idx="2">
                  <c:v>0.62943593416283206</c:v>
                </c:pt>
                <c:pt idx="3">
                  <c:v>0.64668826509459187</c:v>
                </c:pt>
                <c:pt idx="4">
                  <c:v>0.64816458299337065</c:v>
                </c:pt>
                <c:pt idx="5">
                  <c:v>0.65453362255965297</c:v>
                </c:pt>
                <c:pt idx="6">
                  <c:v>0.64651274217831356</c:v>
                </c:pt>
                <c:pt idx="7">
                  <c:v>0.63867345172682288</c:v>
                </c:pt>
                <c:pt idx="8">
                  <c:v>0.65174920642338108</c:v>
                </c:pt>
                <c:pt idx="9">
                  <c:v>0.65396501471207036</c:v>
                </c:pt>
                <c:pt idx="10">
                  <c:v>0.64067387080230287</c:v>
                </c:pt>
                <c:pt idx="11">
                  <c:v>0.6389357429171697</c:v>
                </c:pt>
                <c:pt idx="12">
                  <c:v>0.64071007627155263</c:v>
                </c:pt>
                <c:pt idx="13">
                  <c:v>0.64349001303345676</c:v>
                </c:pt>
                <c:pt idx="14">
                  <c:v>0.64885143322449523</c:v>
                </c:pt>
                <c:pt idx="15">
                  <c:v>0.65725060886930409</c:v>
                </c:pt>
                <c:pt idx="16">
                  <c:v>0.65800886562279148</c:v>
                </c:pt>
                <c:pt idx="17">
                  <c:v>0.67131049432462275</c:v>
                </c:pt>
                <c:pt idx="18">
                  <c:v>0.66565605372015713</c:v>
                </c:pt>
                <c:pt idx="19">
                  <c:v>0.67292767478033655</c:v>
                </c:pt>
                <c:pt idx="20">
                  <c:v>0.6652144419539302</c:v>
                </c:pt>
                <c:pt idx="21">
                  <c:v>0.68247021232188787</c:v>
                </c:pt>
                <c:pt idx="22">
                  <c:v>0.67929361980822434</c:v>
                </c:pt>
                <c:pt idx="23">
                  <c:v>0.68882832815253503</c:v>
                </c:pt>
                <c:pt idx="24">
                  <c:v>0.68583748829353763</c:v>
                </c:pt>
                <c:pt idx="25">
                  <c:v>0.68407261997062074</c:v>
                </c:pt>
                <c:pt idx="26">
                  <c:v>0.68318524911440071</c:v>
                </c:pt>
                <c:pt idx="27">
                  <c:v>0.68919021200009911</c:v>
                </c:pt>
                <c:pt idx="28">
                  <c:v>0.68224917865294399</c:v>
                </c:pt>
                <c:pt idx="29">
                  <c:v>0.68803256453429062</c:v>
                </c:pt>
                <c:pt idx="30">
                  <c:v>0.68867340332997851</c:v>
                </c:pt>
                <c:pt idx="31">
                  <c:v>0.69044507124349552</c:v>
                </c:pt>
                <c:pt idx="32">
                  <c:v>0.69200524311321243</c:v>
                </c:pt>
                <c:pt idx="33">
                  <c:v>0.69735208498740819</c:v>
                </c:pt>
                <c:pt idx="34">
                  <c:v>0.69756897953042918</c:v>
                </c:pt>
                <c:pt idx="35">
                  <c:v>0.69733974947237132</c:v>
                </c:pt>
                <c:pt idx="36">
                  <c:v>0.69871194278991666</c:v>
                </c:pt>
                <c:pt idx="37">
                  <c:v>0.69518541684840973</c:v>
                </c:pt>
                <c:pt idx="38">
                  <c:v>0.68978293151288972</c:v>
                </c:pt>
                <c:pt idx="39">
                  <c:v>0.68743449930032918</c:v>
                </c:pt>
                <c:pt idx="40">
                  <c:v>0.70019498066847097</c:v>
                </c:pt>
                <c:pt idx="41">
                  <c:v>0.70505489612625383</c:v>
                </c:pt>
                <c:pt idx="42">
                  <c:v>0.70472751900780206</c:v>
                </c:pt>
                <c:pt idx="43">
                  <c:v>0.70893179541319984</c:v>
                </c:pt>
                <c:pt idx="44">
                  <c:v>0.70170151564341943</c:v>
                </c:pt>
                <c:pt idx="45">
                  <c:v>0.66136080866878277</c:v>
                </c:pt>
                <c:pt idx="46">
                  <c:v>0.71683584426808167</c:v>
                </c:pt>
                <c:pt idx="47">
                  <c:v>0.70950543301896762</c:v>
                </c:pt>
                <c:pt idx="48">
                  <c:v>0.6737836566907377</c:v>
                </c:pt>
                <c:pt idx="49">
                  <c:v>0.68265735209540979</c:v>
                </c:pt>
                <c:pt idx="50">
                  <c:v>0.69053475447360069</c:v>
                </c:pt>
                <c:pt idx="51">
                  <c:v>0.69264902123533478</c:v>
                </c:pt>
                <c:pt idx="52">
                  <c:v>0.68195377081676178</c:v>
                </c:pt>
                <c:pt idx="53">
                  <c:v>0.67261856690615951</c:v>
                </c:pt>
                <c:pt idx="54">
                  <c:v>0.67137497648156974</c:v>
                </c:pt>
                <c:pt idx="55">
                  <c:v>0.66748134371623935</c:v>
                </c:pt>
                <c:pt idx="56">
                  <c:v>0.66855654932989428</c:v>
                </c:pt>
                <c:pt idx="57">
                  <c:v>0.6682880766598972</c:v>
                </c:pt>
                <c:pt idx="58">
                  <c:v>0.67300249091241726</c:v>
                </c:pt>
                <c:pt idx="59">
                  <c:v>0.67755333344286328</c:v>
                </c:pt>
                <c:pt idx="60">
                  <c:v>0.68036461147685401</c:v>
                </c:pt>
                <c:pt idx="61">
                  <c:v>0.6821940391629997</c:v>
                </c:pt>
                <c:pt idx="62">
                  <c:v>0.67</c:v>
                </c:pt>
                <c:pt idx="63">
                  <c:v>0.66800000000000004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F-4895-8803-91434A201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74976"/>
        <c:axId val="488576512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3F-4895-8803-91434A201C28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3F-4895-8803-91434A201C28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3F-4895-8803-91434A201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78048"/>
        <c:axId val="488583936"/>
      </c:scatterChart>
      <c:catAx>
        <c:axId val="48857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57651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8576512"/>
        <c:scaling>
          <c:orientation val="minMax"/>
          <c:max val="0.72000000000000008"/>
          <c:min val="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574976"/>
        <c:crosses val="autoZero"/>
        <c:crossBetween val="midCat"/>
      </c:valAx>
      <c:valAx>
        <c:axId val="48857804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8583936"/>
        <c:crosses val="autoZero"/>
        <c:crossBetween val="midCat"/>
      </c:valAx>
      <c:valAx>
        <c:axId val="488583936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85780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677313681141946E-2"/>
          <c:y val="6.5970175824264746E-2"/>
          <c:w val="0.85882517391462532"/>
          <c:h val="0.72727272727272729"/>
        </c:manualLayout>
      </c:layout>
      <c:areaChart>
        <c:grouping val="standard"/>
        <c:varyColors val="0"/>
        <c:ser>
          <c:idx val="2"/>
          <c:order val="0"/>
          <c:tx>
            <c:strRef>
              <c:f>Charts_Support!$A$314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Charts_Support!$B$314:$AE$314</c:f>
              <c:numCache>
                <c:formatCode>0.0%</c:formatCode>
                <c:ptCount val="30"/>
                <c:pt idx="0">
                  <c:v>4.0478386069325231E-3</c:v>
                </c:pt>
                <c:pt idx="1">
                  <c:v>-3.3843928040317883E-2</c:v>
                </c:pt>
                <c:pt idx="2">
                  <c:v>-3.9209595293873412E-3</c:v>
                </c:pt>
                <c:pt idx="3">
                  <c:v>-1.7267999678584381E-3</c:v>
                </c:pt>
                <c:pt idx="4">
                  <c:v>-3.3070327738837807E-2</c:v>
                </c:pt>
                <c:pt idx="5">
                  <c:v>-4.1261480236106082E-2</c:v>
                </c:pt>
                <c:pt idx="6">
                  <c:v>-5.2434054270025635E-2</c:v>
                </c:pt>
                <c:pt idx="7">
                  <c:v>-8.05741171357892E-2</c:v>
                </c:pt>
                <c:pt idx="8">
                  <c:v>-2.4444860832219914E-3</c:v>
                </c:pt>
                <c:pt idx="9">
                  <c:v>-3.2114003990451382E-3</c:v>
                </c:pt>
                <c:pt idx="10">
                  <c:v>-2.175626728134725E-2</c:v>
                </c:pt>
                <c:pt idx="11">
                  <c:v>-3.2018165151363096E-3</c:v>
                </c:pt>
                <c:pt idx="12">
                  <c:v>-8.7742594906720268E-3</c:v>
                </c:pt>
                <c:pt idx="13">
                  <c:v>-3.2600424863669278E-2</c:v>
                </c:pt>
                <c:pt idx="14">
                  <c:v>-2.2616715067986078E-2</c:v>
                </c:pt>
                <c:pt idx="15">
                  <c:v>-3.641652547339367E-2</c:v>
                </c:pt>
                <c:pt idx="16">
                  <c:v>-1.6469632654763776E-2</c:v>
                </c:pt>
                <c:pt idx="17">
                  <c:v>-4.485927047775258E-2</c:v>
                </c:pt>
                <c:pt idx="18">
                  <c:v>-3.8237512999612297E-2</c:v>
                </c:pt>
                <c:pt idx="19">
                  <c:v>-7.2735927358005895E-3</c:v>
                </c:pt>
                <c:pt idx="20">
                  <c:v>-4.0924348647979293E-3</c:v>
                </c:pt>
                <c:pt idx="21">
                  <c:v>-1.0225710525174557E-2</c:v>
                </c:pt>
                <c:pt idx="22">
                  <c:v>-8.4610275855055862E-3</c:v>
                </c:pt>
                <c:pt idx="23">
                  <c:v>-9.7380581868239269E-3</c:v>
                </c:pt>
                <c:pt idx="24">
                  <c:v>-9.7508084988119203E-3</c:v>
                </c:pt>
                <c:pt idx="25">
                  <c:v>-9.8445297454662472E-3</c:v>
                </c:pt>
                <c:pt idx="26">
                  <c:v>-9.9724825174591376E-3</c:v>
                </c:pt>
                <c:pt idx="27">
                  <c:v>-1.0595347694445164E-2</c:v>
                </c:pt>
                <c:pt idx="28">
                  <c:v>-1.0605884202481578E-2</c:v>
                </c:pt>
                <c:pt idx="29">
                  <c:v>-1.0607488252642988E-2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0-4BE2-BD41-4F0A4745A70F}"/>
            </c:ext>
          </c:extLst>
        </c:ser>
        <c:ser>
          <c:idx val="1"/>
          <c:order val="1"/>
          <c:tx>
            <c:v>Bull to Bear</c:v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Charts_Support!$B$313:$AE$313</c:f>
              <c:numCache>
                <c:formatCode>0.0%</c:formatCode>
                <c:ptCount val="30"/>
                <c:pt idx="0">
                  <c:v>4.0478386069325231E-3</c:v>
                </c:pt>
                <c:pt idx="1">
                  <c:v>-3.3843928040317883E-2</c:v>
                </c:pt>
                <c:pt idx="2">
                  <c:v>-3.9209595293873412E-3</c:v>
                </c:pt>
                <c:pt idx="3">
                  <c:v>-1.7267999678584381E-3</c:v>
                </c:pt>
                <c:pt idx="4">
                  <c:v>-3.3070327738837807E-2</c:v>
                </c:pt>
                <c:pt idx="5">
                  <c:v>-4.1261480236106082E-2</c:v>
                </c:pt>
                <c:pt idx="6">
                  <c:v>-5.2434054270025635E-2</c:v>
                </c:pt>
                <c:pt idx="7">
                  <c:v>-8.05741171357892E-2</c:v>
                </c:pt>
                <c:pt idx="8">
                  <c:v>-2.4444860832219914E-3</c:v>
                </c:pt>
                <c:pt idx="9">
                  <c:v>-3.2114003990451382E-3</c:v>
                </c:pt>
                <c:pt idx="10">
                  <c:v>-2.175626728134725E-2</c:v>
                </c:pt>
                <c:pt idx="11">
                  <c:v>-3.2018165151363096E-3</c:v>
                </c:pt>
                <c:pt idx="12">
                  <c:v>-8.7742594906720268E-3</c:v>
                </c:pt>
                <c:pt idx="13">
                  <c:v>-3.2600424863669278E-2</c:v>
                </c:pt>
                <c:pt idx="14">
                  <c:v>-2.2616715067986078E-2</c:v>
                </c:pt>
                <c:pt idx="15">
                  <c:v>-3.641652547339367E-2</c:v>
                </c:pt>
                <c:pt idx="16">
                  <c:v>-1.6469632654763776E-2</c:v>
                </c:pt>
                <c:pt idx="17">
                  <c:v>-4.485927047775258E-2</c:v>
                </c:pt>
                <c:pt idx="18">
                  <c:v>-3.8237512999612297E-2</c:v>
                </c:pt>
                <c:pt idx="19">
                  <c:v>-7.2735927358005895E-3</c:v>
                </c:pt>
                <c:pt idx="20">
                  <c:v>-4.0924348647979293E-3</c:v>
                </c:pt>
                <c:pt idx="21">
                  <c:v>-1.0225710525174557E-2</c:v>
                </c:pt>
                <c:pt idx="22">
                  <c:v>-8.4610275855055862E-3</c:v>
                </c:pt>
                <c:pt idx="23">
                  <c:v>-8.3315933480370974E-3</c:v>
                </c:pt>
                <c:pt idx="24">
                  <c:v>-8.3306728511648182E-3</c:v>
                </c:pt>
                <c:pt idx="25">
                  <c:v>-8.4168838054885474E-3</c:v>
                </c:pt>
                <c:pt idx="26">
                  <c:v>-8.5353517899665176E-3</c:v>
                </c:pt>
                <c:pt idx="27">
                  <c:v>-8.9082079536744688E-3</c:v>
                </c:pt>
                <c:pt idx="28">
                  <c:v>-8.9126990690188007E-3</c:v>
                </c:pt>
                <c:pt idx="29">
                  <c:v>-8.9103082290653123E-3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0-4BE2-BD41-4F0A4745A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02624"/>
        <c:axId val="488616704"/>
      </c:areaChart>
      <c:lineChart>
        <c:grouping val="standard"/>
        <c:varyColors val="0"/>
        <c:ser>
          <c:idx val="0"/>
          <c:order val="2"/>
          <c:tx>
            <c:strRef>
              <c:f>Charts_Support!$A$312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Charts_Support!$B$312:$AE$312</c:f>
              <c:numCache>
                <c:formatCode>0.0%</c:formatCode>
                <c:ptCount val="30"/>
                <c:pt idx="0">
                  <c:v>4.0478386069325231E-3</c:v>
                </c:pt>
                <c:pt idx="1">
                  <c:v>-3.3843928040317883E-2</c:v>
                </c:pt>
                <c:pt idx="2">
                  <c:v>-3.9209595293873412E-3</c:v>
                </c:pt>
                <c:pt idx="3">
                  <c:v>-1.7267999678584381E-3</c:v>
                </c:pt>
                <c:pt idx="4">
                  <c:v>-3.3070327738837807E-2</c:v>
                </c:pt>
                <c:pt idx="5">
                  <c:v>-4.1261480236106082E-2</c:v>
                </c:pt>
                <c:pt idx="6">
                  <c:v>-5.2434054270025635E-2</c:v>
                </c:pt>
                <c:pt idx="7">
                  <c:v>-8.05741171357892E-2</c:v>
                </c:pt>
                <c:pt idx="8">
                  <c:v>-2.4444860832219914E-3</c:v>
                </c:pt>
                <c:pt idx="9">
                  <c:v>-3.2114003990451382E-3</c:v>
                </c:pt>
                <c:pt idx="10">
                  <c:v>-2.175626728134725E-2</c:v>
                </c:pt>
                <c:pt idx="11">
                  <c:v>-3.2018165151363096E-3</c:v>
                </c:pt>
                <c:pt idx="12">
                  <c:v>-8.7742594906720268E-3</c:v>
                </c:pt>
                <c:pt idx="13">
                  <c:v>-3.2600424863669278E-2</c:v>
                </c:pt>
                <c:pt idx="14">
                  <c:v>-2.2616715067986078E-2</c:v>
                </c:pt>
                <c:pt idx="15">
                  <c:v>-3.641652547339367E-2</c:v>
                </c:pt>
                <c:pt idx="16">
                  <c:v>-1.6469632654763776E-2</c:v>
                </c:pt>
                <c:pt idx="17">
                  <c:v>-4.485927047775258E-2</c:v>
                </c:pt>
                <c:pt idx="18">
                  <c:v>-3.8237512999612297E-2</c:v>
                </c:pt>
                <c:pt idx="19">
                  <c:v>-7.2735927358005895E-3</c:v>
                </c:pt>
                <c:pt idx="20">
                  <c:v>-4.0924348647979293E-3</c:v>
                </c:pt>
                <c:pt idx="21">
                  <c:v>-1.0225710525174557E-2</c:v>
                </c:pt>
                <c:pt idx="22">
                  <c:v>-8.4610275855055862E-3</c:v>
                </c:pt>
                <c:pt idx="23">
                  <c:v>-8.5551558155235637E-3</c:v>
                </c:pt>
                <c:pt idx="24">
                  <c:v>-8.56283748714258E-3</c:v>
                </c:pt>
                <c:pt idx="25">
                  <c:v>-8.6505520857758818E-3</c:v>
                </c:pt>
                <c:pt idx="26">
                  <c:v>-8.7709984776418014E-3</c:v>
                </c:pt>
                <c:pt idx="27">
                  <c:v>-8.7778143638752425E-3</c:v>
                </c:pt>
                <c:pt idx="28">
                  <c:v>-8.7847365450783657E-3</c:v>
                </c:pt>
                <c:pt idx="29">
                  <c:v>-8.7847604551879038E-3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20-4BE2-BD41-4F0A4745A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2624"/>
        <c:axId val="488616704"/>
      </c:lineChart>
      <c:catAx>
        <c:axId val="48860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1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861670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0262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0619773705142"/>
          <c:y val="6.4935064935064929E-2"/>
          <c:w val="0.77647207504609961"/>
          <c:h val="0.7682246449962985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Charts_Support!$B$408:$AE$408</c:f>
              <c:numCache>
                <c:formatCode>0.0%</c:formatCode>
                <c:ptCount val="30"/>
                <c:pt idx="0">
                  <c:v>#N/A</c:v>
                </c:pt>
                <c:pt idx="1">
                  <c:v>0.33347121469145202</c:v>
                </c:pt>
                <c:pt idx="2">
                  <c:v>0.30941124660718716</c:v>
                </c:pt>
                <c:pt idx="3">
                  <c:v>0.36399803037639328</c:v>
                </c:pt>
                <c:pt idx="4">
                  <c:v>0.32246417073560807</c:v>
                </c:pt>
                <c:pt idx="5">
                  <c:v>0.23413908556634691</c:v>
                </c:pt>
                <c:pt idx="6">
                  <c:v>0.29833991285980033</c:v>
                </c:pt>
                <c:pt idx="7">
                  <c:v>0.16946318514553602</c:v>
                </c:pt>
                <c:pt idx="8">
                  <c:v>0.1137103873560552</c:v>
                </c:pt>
                <c:pt idx="9">
                  <c:v>0.12242927172007949</c:v>
                </c:pt>
                <c:pt idx="10">
                  <c:v>0.14746690502899712</c:v>
                </c:pt>
                <c:pt idx="11">
                  <c:v>0.2063639419871246</c:v>
                </c:pt>
                <c:pt idx="12">
                  <c:v>0.19173831614810272</c:v>
                </c:pt>
                <c:pt idx="13">
                  <c:v>0.12274548135826327</c:v>
                </c:pt>
                <c:pt idx="14">
                  <c:v>0.12792247450464619</c:v>
                </c:pt>
                <c:pt idx="15">
                  <c:v>0.13643205279978415</c:v>
                </c:pt>
                <c:pt idx="16">
                  <c:v>7.5593457981945236E-2</c:v>
                </c:pt>
                <c:pt idx="17">
                  <c:v>5.6631731934722575E-2</c:v>
                </c:pt>
                <c:pt idx="18">
                  <c:v>6.188529283106349E-2</c:v>
                </c:pt>
                <c:pt idx="19">
                  <c:v>-5.116039345085685E-2</c:v>
                </c:pt>
                <c:pt idx="20">
                  <c:v>5.0170930832998901E-2</c:v>
                </c:pt>
                <c:pt idx="21">
                  <c:v>8.1374383644524262E-2</c:v>
                </c:pt>
                <c:pt idx="22">
                  <c:v>0.1132229138572384</c:v>
                </c:pt>
                <c:pt idx="23">
                  <c:v>0.12037910940604005</c:v>
                </c:pt>
                <c:pt idx="24">
                  <c:v>0.13050191715305504</c:v>
                </c:pt>
                <c:pt idx="25">
                  <c:v>0.1414302173256432</c:v>
                </c:pt>
                <c:pt idx="26">
                  <c:v>0.15223432949411714</c:v>
                </c:pt>
                <c:pt idx="27">
                  <c:v>0.16184546295388119</c:v>
                </c:pt>
                <c:pt idx="28">
                  <c:v>0.16269575988090479</c:v>
                </c:pt>
                <c:pt idx="29">
                  <c:v>0.16360093794057678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5-42DC-8177-D652B4F574FE}"/>
            </c:ext>
          </c:extLst>
        </c:ser>
        <c:ser>
          <c:idx val="2"/>
          <c:order val="1"/>
          <c:tx>
            <c:strRef>
              <c:f>Charts_Support!$A$409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Charts_Support!$B$409:$AE$409</c:f>
              <c:numCache>
                <c:formatCode>0.0%</c:formatCode>
                <c:ptCount val="30"/>
                <c:pt idx="0">
                  <c:v>#N/A</c:v>
                </c:pt>
                <c:pt idx="1">
                  <c:v>0.33347121469145202</c:v>
                </c:pt>
                <c:pt idx="2">
                  <c:v>0.30941124660718716</c:v>
                </c:pt>
                <c:pt idx="3">
                  <c:v>0.36399803037639328</c:v>
                </c:pt>
                <c:pt idx="4">
                  <c:v>0.32246417073560807</c:v>
                </c:pt>
                <c:pt idx="5">
                  <c:v>0.23413908556634691</c:v>
                </c:pt>
                <c:pt idx="6">
                  <c:v>0.29833991285980033</c:v>
                </c:pt>
                <c:pt idx="7">
                  <c:v>0.16946318514553602</c:v>
                </c:pt>
                <c:pt idx="8">
                  <c:v>0.1137103873560552</c:v>
                </c:pt>
                <c:pt idx="9">
                  <c:v>0.12242927172007949</c:v>
                </c:pt>
                <c:pt idx="10">
                  <c:v>0.14746690502899712</c:v>
                </c:pt>
                <c:pt idx="11">
                  <c:v>0.2063639419871246</c:v>
                </c:pt>
                <c:pt idx="12">
                  <c:v>0.19173831614810272</c:v>
                </c:pt>
                <c:pt idx="13">
                  <c:v>0.12274548135826327</c:v>
                </c:pt>
                <c:pt idx="14">
                  <c:v>0.12792247450464619</c:v>
                </c:pt>
                <c:pt idx="15">
                  <c:v>0.13643205279978415</c:v>
                </c:pt>
                <c:pt idx="16">
                  <c:v>7.5593457981945236E-2</c:v>
                </c:pt>
                <c:pt idx="17">
                  <c:v>5.6631731934722575E-2</c:v>
                </c:pt>
                <c:pt idx="18">
                  <c:v>6.188529283106349E-2</c:v>
                </c:pt>
                <c:pt idx="19">
                  <c:v>-5.116039345085685E-2</c:v>
                </c:pt>
                <c:pt idx="20">
                  <c:v>5.0170930832998901E-2</c:v>
                </c:pt>
                <c:pt idx="21">
                  <c:v>8.1374383644524262E-2</c:v>
                </c:pt>
                <c:pt idx="22">
                  <c:v>0.1132229138572384</c:v>
                </c:pt>
                <c:pt idx="23">
                  <c:v>0.11120161284489649</c:v>
                </c:pt>
                <c:pt idx="24">
                  <c:v>0.1129248236255532</c:v>
                </c:pt>
                <c:pt idx="25">
                  <c:v>0.122489066961031</c:v>
                </c:pt>
                <c:pt idx="26">
                  <c:v>0.13240849482841854</c:v>
                </c:pt>
                <c:pt idx="27">
                  <c:v>0.12724852606321269</c:v>
                </c:pt>
                <c:pt idx="28">
                  <c:v>0.1243081738990138</c:v>
                </c:pt>
                <c:pt idx="29">
                  <c:v>0.12153229907867207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5-42DC-8177-D652B4F57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42048"/>
        <c:axId val="488643584"/>
      </c:areaChart>
      <c:lineChart>
        <c:grouping val="standard"/>
        <c:varyColors val="0"/>
        <c:ser>
          <c:idx val="0"/>
          <c:order val="2"/>
          <c:tx>
            <c:strRef>
              <c:f>Charts_Support!$A$407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Charts_Support!$B$407:$AE$407</c:f>
              <c:numCache>
                <c:formatCode>0.0%</c:formatCode>
                <c:ptCount val="30"/>
                <c:pt idx="0">
                  <c:v>#N/A</c:v>
                </c:pt>
                <c:pt idx="1">
                  <c:v>0.33347121469145202</c:v>
                </c:pt>
                <c:pt idx="2">
                  <c:v>0.30941124660718716</c:v>
                </c:pt>
                <c:pt idx="3">
                  <c:v>0.36399803037639328</c:v>
                </c:pt>
                <c:pt idx="4">
                  <c:v>0.32246417073560807</c:v>
                </c:pt>
                <c:pt idx="5">
                  <c:v>0.23413908556634691</c:v>
                </c:pt>
                <c:pt idx="6">
                  <c:v>0.29833991285980033</c:v>
                </c:pt>
                <c:pt idx="7">
                  <c:v>0.16946318514553602</c:v>
                </c:pt>
                <c:pt idx="8">
                  <c:v>0.1137103873560552</c:v>
                </c:pt>
                <c:pt idx="9">
                  <c:v>0.12242927172007949</c:v>
                </c:pt>
                <c:pt idx="10">
                  <c:v>0.14746690502899712</c:v>
                </c:pt>
                <c:pt idx="11">
                  <c:v>0.2063639419871246</c:v>
                </c:pt>
                <c:pt idx="12">
                  <c:v>0.19173831614810272</c:v>
                </c:pt>
                <c:pt idx="13">
                  <c:v>0.12274548135826327</c:v>
                </c:pt>
                <c:pt idx="14">
                  <c:v>0.12792247450464619</c:v>
                </c:pt>
                <c:pt idx="15">
                  <c:v>0.13643205279978415</c:v>
                </c:pt>
                <c:pt idx="16">
                  <c:v>7.5593457981945236E-2</c:v>
                </c:pt>
                <c:pt idx="17">
                  <c:v>5.6631731934722575E-2</c:v>
                </c:pt>
                <c:pt idx="18">
                  <c:v>6.188529283106349E-2</c:v>
                </c:pt>
                <c:pt idx="19">
                  <c:v>-5.116039345085685E-2</c:v>
                </c:pt>
                <c:pt idx="20">
                  <c:v>5.0170930832998901E-2</c:v>
                </c:pt>
                <c:pt idx="21">
                  <c:v>8.1374383644524262E-2</c:v>
                </c:pt>
                <c:pt idx="22">
                  <c:v>0.1132229138572384</c:v>
                </c:pt>
                <c:pt idx="23">
                  <c:v>0.11704153130184565</c:v>
                </c:pt>
                <c:pt idx="24">
                  <c:v>0.1230797892730917</c:v>
                </c:pt>
                <c:pt idx="25">
                  <c:v>0.13192297645177506</c:v>
                </c:pt>
                <c:pt idx="26">
                  <c:v>0.14098989511002483</c:v>
                </c:pt>
                <c:pt idx="27">
                  <c:v>0.14422095817762537</c:v>
                </c:pt>
                <c:pt idx="28">
                  <c:v>0.14247048284654443</c:v>
                </c:pt>
                <c:pt idx="29">
                  <c:v>0.14107281831741164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65-42DC-8177-D652B4F574FE}"/>
            </c:ext>
          </c:extLst>
        </c:ser>
        <c:ser>
          <c:idx val="3"/>
          <c:order val="3"/>
          <c:spPr>
            <a:ln w="1270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65-42DC-8177-D652B4F57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42048"/>
        <c:axId val="488643584"/>
      </c:lineChart>
      <c:catAx>
        <c:axId val="48864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43584"/>
        <c:crossesAt val="-0.30000000000000004"/>
        <c:auto val="1"/>
        <c:lblAlgn val="ctr"/>
        <c:lblOffset val="100"/>
        <c:tickLblSkip val="1"/>
        <c:tickMarkSkip val="1"/>
        <c:noMultiLvlLbl val="0"/>
      </c:catAx>
      <c:valAx>
        <c:axId val="48864358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420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8022500075808885"/>
          <c:y val="2.4607344435927814E-2"/>
          <c:w val="0.49193528543307086"/>
          <c:h val="0.123167104111986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0619773705142"/>
          <c:y val="6.4935064935064929E-2"/>
          <c:w val="0.77843286311439785"/>
          <c:h val="0.7272727272727272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Charts_Support!$B$403:$AE$403</c:f>
              <c:numCache>
                <c:formatCode>0.0%</c:formatCode>
                <c:ptCount val="30"/>
                <c:pt idx="0">
                  <c:v>#N/A</c:v>
                </c:pt>
                <c:pt idx="1">
                  <c:v>0.14867677698433543</c:v>
                </c:pt>
                <c:pt idx="2">
                  <c:v>0.11180242898166601</c:v>
                </c:pt>
                <c:pt idx="3">
                  <c:v>0.11724643143416798</c:v>
                </c:pt>
                <c:pt idx="4">
                  <c:v>0.17632836019097486</c:v>
                </c:pt>
                <c:pt idx="5">
                  <c:v>0.10050133736707226</c:v>
                </c:pt>
                <c:pt idx="6">
                  <c:v>0.16931679619008447</c:v>
                </c:pt>
                <c:pt idx="7">
                  <c:v>4.296533153258774E-2</c:v>
                </c:pt>
                <c:pt idx="8">
                  <c:v>3.5135107676364553E-2</c:v>
                </c:pt>
                <c:pt idx="9">
                  <c:v>5.2382464105389777E-2</c:v>
                </c:pt>
                <c:pt idx="10">
                  <c:v>7.1560708104341481E-2</c:v>
                </c:pt>
                <c:pt idx="11">
                  <c:v>9.7561072981505806E-2</c:v>
                </c:pt>
                <c:pt idx="12">
                  <c:v>0.15491410108827933</c:v>
                </c:pt>
                <c:pt idx="13">
                  <c:v>0.10200255440152305</c:v>
                </c:pt>
                <c:pt idx="14">
                  <c:v>0.10981966103516043</c:v>
                </c:pt>
                <c:pt idx="15">
                  <c:v>0.11084288566677228</c:v>
                </c:pt>
                <c:pt idx="16">
                  <c:v>0.11860740170438074</c:v>
                </c:pt>
                <c:pt idx="17">
                  <c:v>9.2817062745743431E-2</c:v>
                </c:pt>
                <c:pt idx="18">
                  <c:v>7.3995558218210897E-2</c:v>
                </c:pt>
                <c:pt idx="19">
                  <c:v>-0.4669192980724261</c:v>
                </c:pt>
                <c:pt idx="20">
                  <c:v>6.9988520228390527E-2</c:v>
                </c:pt>
                <c:pt idx="21">
                  <c:v>0.2178510068110881</c:v>
                </c:pt>
                <c:pt idx="22">
                  <c:v>0.34889031548801203</c:v>
                </c:pt>
                <c:pt idx="23">
                  <c:v>0.22612905912569595</c:v>
                </c:pt>
                <c:pt idx="24">
                  <c:v>0.31932795263485242</c:v>
                </c:pt>
                <c:pt idx="25">
                  <c:v>0.31751082471878384</c:v>
                </c:pt>
                <c:pt idx="26">
                  <c:v>0.31491520625723357</c:v>
                </c:pt>
                <c:pt idx="27">
                  <c:v>0.28976071527826197</c:v>
                </c:pt>
                <c:pt idx="28">
                  <c:v>0.2537045204034557</c:v>
                </c:pt>
                <c:pt idx="29">
                  <c:v>0.22604076117296182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5-4344-962A-5C07A97011D9}"/>
            </c:ext>
          </c:extLst>
        </c:ser>
        <c:ser>
          <c:idx val="2"/>
          <c:order val="2"/>
          <c:tx>
            <c:strRef>
              <c:f>Charts_Support!$A$409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Charts_Support!$B$404:$AE$404</c:f>
              <c:numCache>
                <c:formatCode>0.0%</c:formatCode>
                <c:ptCount val="30"/>
                <c:pt idx="0">
                  <c:v>#N/A</c:v>
                </c:pt>
                <c:pt idx="1">
                  <c:v>0.14867677698433543</c:v>
                </c:pt>
                <c:pt idx="2">
                  <c:v>0.11180242898166601</c:v>
                </c:pt>
                <c:pt idx="3">
                  <c:v>0.11724643143416798</c:v>
                </c:pt>
                <c:pt idx="4">
                  <c:v>0.17632836019097486</c:v>
                </c:pt>
                <c:pt idx="5">
                  <c:v>0.10050133736707226</c:v>
                </c:pt>
                <c:pt idx="6">
                  <c:v>0.16931679619008447</c:v>
                </c:pt>
                <c:pt idx="7">
                  <c:v>4.296533153258774E-2</c:v>
                </c:pt>
                <c:pt idx="8">
                  <c:v>3.5135107676364553E-2</c:v>
                </c:pt>
                <c:pt idx="9">
                  <c:v>5.2382464105389777E-2</c:v>
                </c:pt>
                <c:pt idx="10">
                  <c:v>7.1560708104341481E-2</c:v>
                </c:pt>
                <c:pt idx="11">
                  <c:v>9.7561072981505806E-2</c:v>
                </c:pt>
                <c:pt idx="12">
                  <c:v>0.15491410108827933</c:v>
                </c:pt>
                <c:pt idx="13">
                  <c:v>0.10200255440152305</c:v>
                </c:pt>
                <c:pt idx="14">
                  <c:v>0.10981966103516043</c:v>
                </c:pt>
                <c:pt idx="15">
                  <c:v>0.11084288566677228</c:v>
                </c:pt>
                <c:pt idx="16">
                  <c:v>0.11860740170438074</c:v>
                </c:pt>
                <c:pt idx="17">
                  <c:v>9.2817062745743431E-2</c:v>
                </c:pt>
                <c:pt idx="18">
                  <c:v>7.3995558218210897E-2</c:v>
                </c:pt>
                <c:pt idx="19">
                  <c:v>-0.4669192980724261</c:v>
                </c:pt>
                <c:pt idx="20">
                  <c:v>6.9988520228390527E-2</c:v>
                </c:pt>
                <c:pt idx="21">
                  <c:v>0.2178510068110881</c:v>
                </c:pt>
                <c:pt idx="22">
                  <c:v>0.34889031548801203</c:v>
                </c:pt>
                <c:pt idx="23">
                  <c:v>0.18464844037285721</c:v>
                </c:pt>
                <c:pt idx="24">
                  <c:v>0.25961477022259055</c:v>
                </c:pt>
                <c:pt idx="25">
                  <c:v>0.27285741680742082</c:v>
                </c:pt>
                <c:pt idx="26">
                  <c:v>0.2770820873022749</c:v>
                </c:pt>
                <c:pt idx="27">
                  <c:v>0.22107504499341635</c:v>
                </c:pt>
                <c:pt idx="28">
                  <c:v>0.18838820852489396</c:v>
                </c:pt>
                <c:pt idx="29">
                  <c:v>0.16399598012379613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45-4344-962A-5C07A970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76736"/>
        <c:axId val="488678528"/>
      </c:areaChart>
      <c:lineChart>
        <c:grouping val="standard"/>
        <c:varyColors val="0"/>
        <c:ser>
          <c:idx val="0"/>
          <c:order val="0"/>
          <c:tx>
            <c:strRef>
              <c:f>Charts_Support!$A$402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Charts_Support!$B$402:$AE$402</c:f>
              <c:numCache>
                <c:formatCode>0.0%</c:formatCode>
                <c:ptCount val="30"/>
                <c:pt idx="0">
                  <c:v>#N/A</c:v>
                </c:pt>
                <c:pt idx="1">
                  <c:v>0.14867677698433543</c:v>
                </c:pt>
                <c:pt idx="2">
                  <c:v>0.11180242898166601</c:v>
                </c:pt>
                <c:pt idx="3">
                  <c:v>0.11724643143416798</c:v>
                </c:pt>
                <c:pt idx="4">
                  <c:v>0.17632836019097486</c:v>
                </c:pt>
                <c:pt idx="5">
                  <c:v>0.10050133736707226</c:v>
                </c:pt>
                <c:pt idx="6">
                  <c:v>0.16931679619008447</c:v>
                </c:pt>
                <c:pt idx="7">
                  <c:v>4.296533153258774E-2</c:v>
                </c:pt>
                <c:pt idx="8">
                  <c:v>3.5135107676364553E-2</c:v>
                </c:pt>
                <c:pt idx="9">
                  <c:v>5.2382464105389777E-2</c:v>
                </c:pt>
                <c:pt idx="10">
                  <c:v>7.1560708104341481E-2</c:v>
                </c:pt>
                <c:pt idx="11">
                  <c:v>9.7561072981505806E-2</c:v>
                </c:pt>
                <c:pt idx="12">
                  <c:v>0.15491410108827933</c:v>
                </c:pt>
                <c:pt idx="13">
                  <c:v>0.10200255440152305</c:v>
                </c:pt>
                <c:pt idx="14">
                  <c:v>0.10981966103516043</c:v>
                </c:pt>
                <c:pt idx="15">
                  <c:v>0.11084288566677228</c:v>
                </c:pt>
                <c:pt idx="16">
                  <c:v>0.11860740170438074</c:v>
                </c:pt>
                <c:pt idx="17">
                  <c:v>9.2817062745743431E-2</c:v>
                </c:pt>
                <c:pt idx="18">
                  <c:v>7.3995558218210897E-2</c:v>
                </c:pt>
                <c:pt idx="19">
                  <c:v>-0.4669192980724261</c:v>
                </c:pt>
                <c:pt idx="20">
                  <c:v>6.9988520228390527E-2</c:v>
                </c:pt>
                <c:pt idx="21">
                  <c:v>0.2178510068110881</c:v>
                </c:pt>
                <c:pt idx="22">
                  <c:v>0.34889031548801203</c:v>
                </c:pt>
                <c:pt idx="23">
                  <c:v>0.2120453639159903</c:v>
                </c:pt>
                <c:pt idx="24">
                  <c:v>0.29593971230837535</c:v>
                </c:pt>
                <c:pt idx="25">
                  <c:v>0.2995382892162507</c:v>
                </c:pt>
                <c:pt idx="26">
                  <c:v>0.30285298622062107</c:v>
                </c:pt>
                <c:pt idx="27">
                  <c:v>0.26862480637750891</c:v>
                </c:pt>
                <c:pt idx="28">
                  <c:v>0.23300566162354797</c:v>
                </c:pt>
                <c:pt idx="29">
                  <c:v>0.20618616746186713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45-4344-962A-5C07A97011D9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45-4344-962A-5C07A970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76736"/>
        <c:axId val="488678528"/>
      </c:lineChart>
      <c:catAx>
        <c:axId val="4886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8528"/>
        <c:crossesAt val="-0.8"/>
        <c:auto val="1"/>
        <c:lblAlgn val="ctr"/>
        <c:lblOffset val="100"/>
        <c:tickLblSkip val="1"/>
        <c:tickMarkSkip val="1"/>
        <c:noMultiLvlLbl val="0"/>
      </c:catAx>
      <c:valAx>
        <c:axId val="488678528"/>
        <c:scaling>
          <c:orientation val="minMax"/>
          <c:min val="-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67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320323194894758"/>
          <c:y val="3.1486074811473093E-2"/>
          <c:w val="0.19741181508101457"/>
          <c:h val="0.13644567894623214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353098868525709E-2"/>
          <c:y val="6.4935064935064929E-2"/>
          <c:w val="0.86078596198292356"/>
          <c:h val="0.7240259740259740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Charts_Support!$B$398:$AE$398</c:f>
              <c:numCache>
                <c:formatCode>0.0%</c:formatCode>
                <c:ptCount val="30"/>
                <c:pt idx="0">
                  <c:v>2.1055161345509898E-2</c:v>
                </c:pt>
                <c:pt idx="1">
                  <c:v>9.0180085258925582E-2</c:v>
                </c:pt>
                <c:pt idx="2">
                  <c:v>7.1263527908323063E-2</c:v>
                </c:pt>
                <c:pt idx="3">
                  <c:v>7.0084912947456598E-2</c:v>
                </c:pt>
                <c:pt idx="4">
                  <c:v>8.6777269681008892E-2</c:v>
                </c:pt>
                <c:pt idx="5">
                  <c:v>5.4987964259568291E-2</c:v>
                </c:pt>
                <c:pt idx="6">
                  <c:v>9.0343694465777155E-2</c:v>
                </c:pt>
                <c:pt idx="7">
                  <c:v>1.9779775874568396E-2</c:v>
                </c:pt>
                <c:pt idx="8">
                  <c:v>1.7860459863631176E-2</c:v>
                </c:pt>
                <c:pt idx="9">
                  <c:v>2.4624712740723385E-2</c:v>
                </c:pt>
                <c:pt idx="10">
                  <c:v>2.2363999469606589E-2</c:v>
                </c:pt>
                <c:pt idx="11">
                  <c:v>3.7413781119505524E-2</c:v>
                </c:pt>
                <c:pt idx="12">
                  <c:v>5.4849033133096609E-2</c:v>
                </c:pt>
                <c:pt idx="13">
                  <c:v>2.2392685968196002E-2</c:v>
                </c:pt>
                <c:pt idx="14">
                  <c:v>3.0814422531297642E-2</c:v>
                </c:pt>
                <c:pt idx="15">
                  <c:v>2.6226300884105137E-2</c:v>
                </c:pt>
                <c:pt idx="16">
                  <c:v>2.7470736529431185E-2</c:v>
                </c:pt>
                <c:pt idx="17">
                  <c:v>1.7965525974478515E-2</c:v>
                </c:pt>
                <c:pt idx="18">
                  <c:v>1.0003815095192572E-2</c:v>
                </c:pt>
                <c:pt idx="19">
                  <c:v>-4.4442747908626783E-2</c:v>
                </c:pt>
                <c:pt idx="20">
                  <c:v>5.8797461414930533E-3</c:v>
                </c:pt>
                <c:pt idx="21">
                  <c:v>2.0652342259670782E-2</c:v>
                </c:pt>
                <c:pt idx="22">
                  <c:v>3.6233817409637166E-2</c:v>
                </c:pt>
                <c:pt idx="23">
                  <c:v>2.3769004711078758E-2</c:v>
                </c:pt>
                <c:pt idx="24">
                  <c:v>3.5199564855820355E-2</c:v>
                </c:pt>
                <c:pt idx="25">
                  <c:v>4.1346198141260296E-2</c:v>
                </c:pt>
                <c:pt idx="26">
                  <c:v>4.8281205241583573E-2</c:v>
                </c:pt>
                <c:pt idx="27">
                  <c:v>5.2627037178173436E-2</c:v>
                </c:pt>
                <c:pt idx="28">
                  <c:v>5.3333488045511239E-2</c:v>
                </c:pt>
                <c:pt idx="29">
                  <c:v>5.3827378020028821E-2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E0-466F-956C-F7B7C53E4BF0}"/>
            </c:ext>
          </c:extLst>
        </c:ser>
        <c:ser>
          <c:idx val="2"/>
          <c:order val="2"/>
          <c:tx>
            <c:strRef>
              <c:f>Charts_Support!$A$409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Charts_Support!$B$399:$AE$399</c:f>
              <c:numCache>
                <c:formatCode>0.0%</c:formatCode>
                <c:ptCount val="30"/>
                <c:pt idx="0">
                  <c:v>2.1055161345509898E-2</c:v>
                </c:pt>
                <c:pt idx="1">
                  <c:v>9.0180085258925582E-2</c:v>
                </c:pt>
                <c:pt idx="2">
                  <c:v>7.1263527908323063E-2</c:v>
                </c:pt>
                <c:pt idx="3">
                  <c:v>7.0084912947456598E-2</c:v>
                </c:pt>
                <c:pt idx="4">
                  <c:v>8.6777269681008892E-2</c:v>
                </c:pt>
                <c:pt idx="5">
                  <c:v>5.4987964259568291E-2</c:v>
                </c:pt>
                <c:pt idx="6">
                  <c:v>9.0343694465777155E-2</c:v>
                </c:pt>
                <c:pt idx="7">
                  <c:v>1.9779775874568396E-2</c:v>
                </c:pt>
                <c:pt idx="8">
                  <c:v>1.7860459863631176E-2</c:v>
                </c:pt>
                <c:pt idx="9">
                  <c:v>2.4624712740723385E-2</c:v>
                </c:pt>
                <c:pt idx="10">
                  <c:v>2.2363999469606589E-2</c:v>
                </c:pt>
                <c:pt idx="11">
                  <c:v>3.7413781119505524E-2</c:v>
                </c:pt>
                <c:pt idx="12">
                  <c:v>5.4849033133096609E-2</c:v>
                </c:pt>
                <c:pt idx="13">
                  <c:v>2.2392685968196002E-2</c:v>
                </c:pt>
                <c:pt idx="14">
                  <c:v>3.0814422531297642E-2</c:v>
                </c:pt>
                <c:pt idx="15">
                  <c:v>2.6226300884105137E-2</c:v>
                </c:pt>
                <c:pt idx="16">
                  <c:v>2.7470736529431185E-2</c:v>
                </c:pt>
                <c:pt idx="17">
                  <c:v>1.7965525974478515E-2</c:v>
                </c:pt>
                <c:pt idx="18">
                  <c:v>1.0003815095192572E-2</c:v>
                </c:pt>
                <c:pt idx="19">
                  <c:v>-4.4442747908626783E-2</c:v>
                </c:pt>
                <c:pt idx="20">
                  <c:v>5.8797461414930533E-3</c:v>
                </c:pt>
                <c:pt idx="21">
                  <c:v>2.0652342259670782E-2</c:v>
                </c:pt>
                <c:pt idx="22">
                  <c:v>3.6233817409637166E-2</c:v>
                </c:pt>
                <c:pt idx="23">
                  <c:v>1.8726040423356197E-2</c:v>
                </c:pt>
                <c:pt idx="24">
                  <c:v>2.6056824412477125E-2</c:v>
                </c:pt>
                <c:pt idx="25">
                  <c:v>3.2039901268152524E-2</c:v>
                </c:pt>
                <c:pt idx="26">
                  <c:v>3.9008175283619773E-2</c:v>
                </c:pt>
                <c:pt idx="27">
                  <c:v>3.7625619978570279E-2</c:v>
                </c:pt>
                <c:pt idx="28">
                  <c:v>3.7438702515802155E-2</c:v>
                </c:pt>
                <c:pt idx="29">
                  <c:v>3.7147411124576944E-2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0-466F-956C-F7B7C53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12064"/>
        <c:axId val="488713600"/>
      </c:areaChart>
      <c:lineChart>
        <c:grouping val="standard"/>
        <c:varyColors val="0"/>
        <c:ser>
          <c:idx val="0"/>
          <c:order val="0"/>
          <c:tx>
            <c:strRef>
              <c:f>Charts_Support!$A$397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Charts_Support!$B$397:$AE$397</c:f>
              <c:numCache>
                <c:formatCode>0.0%</c:formatCode>
                <c:ptCount val="30"/>
                <c:pt idx="0">
                  <c:v>2.1055161345509898E-2</c:v>
                </c:pt>
                <c:pt idx="1">
                  <c:v>9.0180085258925582E-2</c:v>
                </c:pt>
                <c:pt idx="2">
                  <c:v>7.1263527908323063E-2</c:v>
                </c:pt>
                <c:pt idx="3">
                  <c:v>7.0084912947456598E-2</c:v>
                </c:pt>
                <c:pt idx="4">
                  <c:v>8.6777269681008892E-2</c:v>
                </c:pt>
                <c:pt idx="5">
                  <c:v>5.4987964259568291E-2</c:v>
                </c:pt>
                <c:pt idx="6">
                  <c:v>9.0343694465777155E-2</c:v>
                </c:pt>
                <c:pt idx="7">
                  <c:v>1.9779775874568396E-2</c:v>
                </c:pt>
                <c:pt idx="8">
                  <c:v>1.7860459863631176E-2</c:v>
                </c:pt>
                <c:pt idx="9">
                  <c:v>2.4624712740723385E-2</c:v>
                </c:pt>
                <c:pt idx="10">
                  <c:v>2.2363999469606589E-2</c:v>
                </c:pt>
                <c:pt idx="11">
                  <c:v>3.7413781119505524E-2</c:v>
                </c:pt>
                <c:pt idx="12">
                  <c:v>5.4849033133096609E-2</c:v>
                </c:pt>
                <c:pt idx="13">
                  <c:v>2.2392685968196002E-2</c:v>
                </c:pt>
                <c:pt idx="14">
                  <c:v>3.0814422531297642E-2</c:v>
                </c:pt>
                <c:pt idx="15">
                  <c:v>2.6226300884105137E-2</c:v>
                </c:pt>
                <c:pt idx="16">
                  <c:v>2.7470736529431185E-2</c:v>
                </c:pt>
                <c:pt idx="17">
                  <c:v>1.7965525974478515E-2</c:v>
                </c:pt>
                <c:pt idx="18">
                  <c:v>1.0003815095192572E-2</c:v>
                </c:pt>
                <c:pt idx="19">
                  <c:v>-4.4442747908626783E-2</c:v>
                </c:pt>
                <c:pt idx="20">
                  <c:v>5.8797461414930533E-3</c:v>
                </c:pt>
                <c:pt idx="21">
                  <c:v>2.0652342259670782E-2</c:v>
                </c:pt>
                <c:pt idx="22">
                  <c:v>3.6233817409637166E-2</c:v>
                </c:pt>
                <c:pt idx="23">
                  <c:v>2.2102885368401604E-2</c:v>
                </c:pt>
                <c:pt idx="24">
                  <c:v>3.1667702412941659E-2</c:v>
                </c:pt>
                <c:pt idx="25">
                  <c:v>3.7237818056468176E-2</c:v>
                </c:pt>
                <c:pt idx="26">
                  <c:v>4.3838797131996843E-2</c:v>
                </c:pt>
                <c:pt idx="27">
                  <c:v>4.5840606660549794E-2</c:v>
                </c:pt>
                <c:pt idx="28">
                  <c:v>4.5742376851967144E-2</c:v>
                </c:pt>
                <c:pt idx="29">
                  <c:v>4.5570688537380083E-2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E0-466F-956C-F7B7C53E4BF0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E0-466F-956C-F7B7C53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12064"/>
        <c:axId val="488713600"/>
      </c:lineChart>
      <c:catAx>
        <c:axId val="48871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713600"/>
        <c:crossesAt val="-0.1"/>
        <c:auto val="1"/>
        <c:lblAlgn val="ctr"/>
        <c:lblOffset val="100"/>
        <c:tickLblSkip val="1"/>
        <c:tickMarkSkip val="1"/>
        <c:noMultiLvlLbl val="0"/>
      </c:catAx>
      <c:valAx>
        <c:axId val="488713600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712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6568814033380962"/>
          <c:y val="3.710915068275384E-3"/>
          <c:w val="0.19697625634633506"/>
          <c:h val="0.13644567894623214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15863613647807"/>
          <c:y val="5.1224874845915827E-2"/>
          <c:w val="0.82974638972525316"/>
          <c:h val="0.80415285150059113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Charts_Support!$A$545</c:f>
              <c:strCache>
                <c:ptCount val="1"/>
                <c:pt idx="0">
                  <c:v>All-in cost of financing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Charts_Support!$L$553:$CS$553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Charts_Support!$J$545:$CS$545</c:f>
              <c:numCache>
                <c:formatCode>#,##0_);\(#,##0\)</c:formatCode>
                <c:ptCount val="64"/>
                <c:pt idx="0">
                  <c:v>-58.679999999999993</c:v>
                </c:pt>
                <c:pt idx="1">
                  <c:v>-7.1539999999999964</c:v>
                </c:pt>
                <c:pt idx="2">
                  <c:v>-34.14</c:v>
                </c:pt>
                <c:pt idx="3">
                  <c:v>-27.863000000000003</c:v>
                </c:pt>
                <c:pt idx="4">
                  <c:v>-40.28</c:v>
                </c:pt>
                <c:pt idx="5">
                  <c:v>-14.41</c:v>
                </c:pt>
                <c:pt idx="6">
                  <c:v>-20.149000000000001</c:v>
                </c:pt>
                <c:pt idx="7">
                  <c:v>-4.7859999999999978</c:v>
                </c:pt>
                <c:pt idx="8">
                  <c:v>-40.17</c:v>
                </c:pt>
                <c:pt idx="9">
                  <c:v>-44.128</c:v>
                </c:pt>
                <c:pt idx="10">
                  <c:v>6.070999999999998</c:v>
                </c:pt>
                <c:pt idx="11">
                  <c:v>-39.867000000000004</c:v>
                </c:pt>
                <c:pt idx="12">
                  <c:v>-58.448</c:v>
                </c:pt>
                <c:pt idx="13">
                  <c:v>-36.602000000000004</c:v>
                </c:pt>
                <c:pt idx="14">
                  <c:v>-55.564</c:v>
                </c:pt>
                <c:pt idx="15">
                  <c:v>-38.722999999999999</c:v>
                </c:pt>
                <c:pt idx="16">
                  <c:v>-55.975999999999999</c:v>
                </c:pt>
                <c:pt idx="17">
                  <c:v>-45.97</c:v>
                </c:pt>
                <c:pt idx="18">
                  <c:v>-37.563000000000002</c:v>
                </c:pt>
                <c:pt idx="19">
                  <c:v>-70.962000000000003</c:v>
                </c:pt>
                <c:pt idx="20">
                  <c:v>-87.582999999999998</c:v>
                </c:pt>
                <c:pt idx="21">
                  <c:v>-168.762</c:v>
                </c:pt>
                <c:pt idx="22">
                  <c:v>-91.403999999999996</c:v>
                </c:pt>
                <c:pt idx="23">
                  <c:v>-145.714</c:v>
                </c:pt>
                <c:pt idx="24">
                  <c:v>-7.6090000000000089</c:v>
                </c:pt>
                <c:pt idx="25">
                  <c:v>-321.82</c:v>
                </c:pt>
                <c:pt idx="26">
                  <c:v>-342.76400000000001</c:v>
                </c:pt>
                <c:pt idx="27">
                  <c:v>-186.673</c:v>
                </c:pt>
                <c:pt idx="28">
                  <c:v>-377.22199999999998</c:v>
                </c:pt>
                <c:pt idx="29">
                  <c:v>-261.38499999999999</c:v>
                </c:pt>
                <c:pt idx="30">
                  <c:v>-263.46800000000002</c:v>
                </c:pt>
                <c:pt idx="31">
                  <c:v>-277.08199999999999</c:v>
                </c:pt>
                <c:pt idx="32">
                  <c:v>-254.58300000000003</c:v>
                </c:pt>
                <c:pt idx="33">
                  <c:v>-576.54600000000005</c:v>
                </c:pt>
                <c:pt idx="34">
                  <c:v>-389.77100000000002</c:v>
                </c:pt>
                <c:pt idx="35">
                  <c:v>-405.68200000000002</c:v>
                </c:pt>
                <c:pt idx="36">
                  <c:v>-260.65699999999998</c:v>
                </c:pt>
                <c:pt idx="37">
                  <c:v>-330.34300000000002</c:v>
                </c:pt>
                <c:pt idx="38">
                  <c:v>-322.00799999999998</c:v>
                </c:pt>
                <c:pt idx="39">
                  <c:v>-542.96199999999999</c:v>
                </c:pt>
                <c:pt idx="40">
                  <c:v>-622.26599999999996</c:v>
                </c:pt>
                <c:pt idx="41">
                  <c:v>-782.65800000000002</c:v>
                </c:pt>
                <c:pt idx="42">
                  <c:v>-942.49599999999998</c:v>
                </c:pt>
                <c:pt idx="43">
                  <c:v>-502.37799999999999</c:v>
                </c:pt>
                <c:pt idx="44">
                  <c:v>-854.03699999999992</c:v>
                </c:pt>
                <c:pt idx="45">
                  <c:v>-411.36600000000004</c:v>
                </c:pt>
                <c:pt idx="46">
                  <c:v>-963.32499999999993</c:v>
                </c:pt>
                <c:pt idx="47">
                  <c:v>-1338.877</c:v>
                </c:pt>
                <c:pt idx="48">
                  <c:v>-658.07299999999998</c:v>
                </c:pt>
                <c:pt idx="49">
                  <c:v>-788.52700000000004</c:v>
                </c:pt>
                <c:pt idx="50">
                  <c:v>-839.88800000000003</c:v>
                </c:pt>
                <c:pt idx="51">
                  <c:v>-848.87699999999995</c:v>
                </c:pt>
                <c:pt idx="52">
                  <c:v>-715.18999999999994</c:v>
                </c:pt>
                <c:pt idx="53">
                  <c:v>-1337.4069999999999</c:v>
                </c:pt>
                <c:pt idx="54">
                  <c:v>-1075.241</c:v>
                </c:pt>
                <c:pt idx="55">
                  <c:v>-691.85299999999995</c:v>
                </c:pt>
                <c:pt idx="56">
                  <c:v>-682.59800000000007</c:v>
                </c:pt>
                <c:pt idx="57">
                  <c:v>-1001.112</c:v>
                </c:pt>
                <c:pt idx="58">
                  <c:v>-999.29300000000001</c:v>
                </c:pt>
                <c:pt idx="59">
                  <c:v>-772.89</c:v>
                </c:pt>
                <c:pt idx="60">
                  <c:v>-1174.5339999999999</c:v>
                </c:pt>
                <c:pt idx="61">
                  <c:v>-1737.74</c:v>
                </c:pt>
                <c:pt idx="62">
                  <c:v>-1547.1644217266805</c:v>
                </c:pt>
                <c:pt idx="63">
                  <c:v>-1278.1847913060647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8-4337-8EE9-55CCCEC0A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8064"/>
        <c:axId val="488729600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28-4337-8EE9-55CCCEC0A313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28-4337-8EE9-55CCCEC0A313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28-4337-8EE9-55CCCEC0A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4160"/>
        <c:axId val="488765696"/>
      </c:scatterChart>
      <c:catAx>
        <c:axId val="4887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72960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872960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728064"/>
        <c:crossesAt val="1"/>
        <c:crossBetween val="midCat"/>
      </c:valAx>
      <c:valAx>
        <c:axId val="48876416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8765696"/>
        <c:crosses val="autoZero"/>
        <c:crossBetween val="midCat"/>
      </c:valAx>
      <c:valAx>
        <c:axId val="488765696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876416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3728005759815"/>
          <c:y val="4.2705173035479188E-2"/>
          <c:w val="0.82745256482185359"/>
          <c:h val="0.81267255331102783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Charts_Support!$A$548</c:f>
              <c:strCache>
                <c:ptCount val="1"/>
                <c:pt idx="0">
                  <c:v>Tax Rate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Charts_Support!$L$553:$CS$553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Charts_Support!$J$548:$CS$548</c:f>
              <c:numCache>
                <c:formatCode>0.0%</c:formatCode>
                <c:ptCount val="64"/>
                <c:pt idx="0">
                  <c:v>0.10540157098861544</c:v>
                </c:pt>
                <c:pt idx="1">
                  <c:v>-0.30081245538294044</c:v>
                </c:pt>
                <c:pt idx="2">
                  <c:v>0.12867300069212903</c:v>
                </c:pt>
                <c:pt idx="3">
                  <c:v>0.17848937921545036</c:v>
                </c:pt>
                <c:pt idx="4">
                  <c:v>0.24001784519294495</c:v>
                </c:pt>
                <c:pt idx="5">
                  <c:v>0.31189446022350231</c:v>
                </c:pt>
                <c:pt idx="6">
                  <c:v>0.63037100949094127</c:v>
                </c:pt>
                <c:pt idx="7">
                  <c:v>0.5920966151823871</c:v>
                </c:pt>
                <c:pt idx="8">
                  <c:v>0.27097462470471606</c:v>
                </c:pt>
                <c:pt idx="9">
                  <c:v>0.43943274939888982</c:v>
                </c:pt>
                <c:pt idx="10">
                  <c:v>0.30590015368284268</c:v>
                </c:pt>
                <c:pt idx="11">
                  <c:v>0.18471415948010705</c:v>
                </c:pt>
                <c:pt idx="12">
                  <c:v>0.58543608866791175</c:v>
                </c:pt>
                <c:pt idx="13">
                  <c:v>0.31753109715222133</c:v>
                </c:pt>
                <c:pt idx="14">
                  <c:v>0.36990326191237638</c:v>
                </c:pt>
                <c:pt idx="15">
                  <c:v>0.33046362008357116</c:v>
                </c:pt>
                <c:pt idx="16">
                  <c:v>0.37401750471940931</c:v>
                </c:pt>
                <c:pt idx="17">
                  <c:v>0.3620340338947679</c:v>
                </c:pt>
                <c:pt idx="18">
                  <c:v>0.30974430113977225</c:v>
                </c:pt>
                <c:pt idx="19">
                  <c:v>0.22406179047347316</c:v>
                </c:pt>
                <c:pt idx="20">
                  <c:v>0.28874858278118093</c:v>
                </c:pt>
                <c:pt idx="21">
                  <c:v>0.39140091681923356</c:v>
                </c:pt>
                <c:pt idx="22">
                  <c:v>0.29266826923076872</c:v>
                </c:pt>
                <c:pt idx="23">
                  <c:v>0.41250311562799036</c:v>
                </c:pt>
                <c:pt idx="24">
                  <c:v>0.25326140696974214</c:v>
                </c:pt>
                <c:pt idx="25">
                  <c:v>0.5705038167938935</c:v>
                </c:pt>
                <c:pt idx="26">
                  <c:v>0.48931238434466173</c:v>
                </c:pt>
                <c:pt idx="27">
                  <c:v>0.20606450767807849</c:v>
                </c:pt>
                <c:pt idx="28">
                  <c:v>0.46062737568086404</c:v>
                </c:pt>
                <c:pt idx="29">
                  <c:v>0.42031736638063022</c:v>
                </c:pt>
                <c:pt idx="30">
                  <c:v>0.62472463522977606</c:v>
                </c:pt>
                <c:pt idx="31">
                  <c:v>6.6099506266615992E-3</c:v>
                </c:pt>
                <c:pt idx="32">
                  <c:v>0.37589907491052166</c:v>
                </c:pt>
                <c:pt idx="33">
                  <c:v>0.45486865037317442</c:v>
                </c:pt>
                <c:pt idx="34">
                  <c:v>0.397136023113905</c:v>
                </c:pt>
                <c:pt idx="35">
                  <c:v>0.4003810951168178</c:v>
                </c:pt>
                <c:pt idx="36">
                  <c:v>0.38317895744446689</c:v>
                </c:pt>
                <c:pt idx="37">
                  <c:v>0.44726206407228125</c:v>
                </c:pt>
                <c:pt idx="38">
                  <c:v>0.3518646263848979</c:v>
                </c:pt>
                <c:pt idx="39">
                  <c:v>0.34584080397760786</c:v>
                </c:pt>
                <c:pt idx="40">
                  <c:v>0.35229040455278893</c:v>
                </c:pt>
                <c:pt idx="41">
                  <c:v>0.38059861191439986</c:v>
                </c:pt>
                <c:pt idx="42">
                  <c:v>0.43031755867663879</c:v>
                </c:pt>
                <c:pt idx="43">
                  <c:v>0.33658926931654237</c:v>
                </c:pt>
                <c:pt idx="44">
                  <c:v>-6.8206315724327789E-3</c:v>
                </c:pt>
                <c:pt idx="45">
                  <c:v>0.12245868631502854</c:v>
                </c:pt>
                <c:pt idx="46">
                  <c:v>0.33240803348718534</c:v>
                </c:pt>
                <c:pt idx="47">
                  <c:v>1.3287797303973459</c:v>
                </c:pt>
                <c:pt idx="48">
                  <c:v>0.24283534520022967</c:v>
                </c:pt>
                <c:pt idx="49">
                  <c:v>0.19338124214657942</c:v>
                </c:pt>
                <c:pt idx="50">
                  <c:v>0.29598511377880049</c:v>
                </c:pt>
                <c:pt idx="51">
                  <c:v>0.20426035604834542</c:v>
                </c:pt>
                <c:pt idx="52">
                  <c:v>0.28961738768141104</c:v>
                </c:pt>
                <c:pt idx="53">
                  <c:v>0.30774851237447232</c:v>
                </c:pt>
                <c:pt idx="54">
                  <c:v>0.34595139027890859</c:v>
                </c:pt>
                <c:pt idx="55">
                  <c:v>0.46537108755512746</c:v>
                </c:pt>
                <c:pt idx="56">
                  <c:v>0.36449004707838328</c:v>
                </c:pt>
                <c:pt idx="57">
                  <c:v>0.34400584619214558</c:v>
                </c:pt>
                <c:pt idx="58">
                  <c:v>0.43025251418727734</c:v>
                </c:pt>
                <c:pt idx="59">
                  <c:v>0.24923774274919322</c:v>
                </c:pt>
                <c:pt idx="60">
                  <c:v>0.33728135759394196</c:v>
                </c:pt>
                <c:pt idx="61">
                  <c:v>0.3083664207346602</c:v>
                </c:pt>
                <c:pt idx="62">
                  <c:v>0.33</c:v>
                </c:pt>
                <c:pt idx="63">
                  <c:v>0.33999999999999997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26-4448-B873-1E5410588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27296"/>
        <c:axId val="489129088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26-4448-B873-1E541058809D}"/>
            </c:ext>
          </c:extLst>
        </c:ser>
        <c:ser>
          <c:idx val="2"/>
          <c:order val="2"/>
          <c:tx>
            <c:v>2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126-4448-B873-1E541058809D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26-4448-B873-1E541058809D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26-4448-B873-1E5410588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130624"/>
        <c:axId val="489140608"/>
      </c:scatterChart>
      <c:catAx>
        <c:axId val="48912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12908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912908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127296"/>
        <c:crosses val="autoZero"/>
        <c:crossBetween val="midCat"/>
      </c:valAx>
      <c:valAx>
        <c:axId val="48913062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140608"/>
        <c:crosses val="autoZero"/>
        <c:crossBetween val="midCat"/>
      </c:valAx>
      <c:valAx>
        <c:axId val="48914060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13062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6113044009035"/>
          <c:y val="5.3378790417155306E-2"/>
          <c:w val="0.78488520637492121"/>
          <c:h val="0.7394148568156695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Charts_Support!$A$127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Charts_Support!$J$127:$AE$127</c:f>
              <c:numCache>
                <c:formatCode>#,##0_);\(#,##0\)</c:formatCode>
                <c:ptCount val="22"/>
                <c:pt idx="0">
                  <c:v>9097.5</c:v>
                </c:pt>
                <c:pt idx="1">
                  <c:v>9085.1</c:v>
                </c:pt>
                <c:pt idx="2">
                  <c:v>10501</c:v>
                </c:pt>
                <c:pt idx="3">
                  <c:v>12785.8</c:v>
                </c:pt>
                <c:pt idx="4">
                  <c:v>14694.7</c:v>
                </c:pt>
                <c:pt idx="5">
                  <c:v>20668</c:v>
                </c:pt>
                <c:pt idx="6">
                  <c:v>19896</c:v>
                </c:pt>
                <c:pt idx="7">
                  <c:v>21986</c:v>
                </c:pt>
                <c:pt idx="8">
                  <c:v>23677</c:v>
                </c:pt>
                <c:pt idx="9">
                  <c:v>25462</c:v>
                </c:pt>
                <c:pt idx="10">
                  <c:v>27217</c:v>
                </c:pt>
                <c:pt idx="11">
                  <c:v>19067</c:v>
                </c:pt>
                <c:pt idx="12">
                  <c:v>26015</c:v>
                </c:pt>
                <c:pt idx="13">
                  <c:v>33468</c:v>
                </c:pt>
                <c:pt idx="14">
                  <c:v>39358</c:v>
                </c:pt>
                <c:pt idx="15">
                  <c:v>43061.606390245215</c:v>
                </c:pt>
                <c:pt idx="16">
                  <c:v>45599.366837764588</c:v>
                </c:pt>
                <c:pt idx="17">
                  <c:v>48364.973472081801</c:v>
                </c:pt>
                <c:pt idx="18">
                  <c:v>51104.132916101604</c:v>
                </c:pt>
                <c:pt idx="19">
                  <c:v>53373.295293075018</c:v>
                </c:pt>
                <c:pt idx="20">
                  <c:v>55728.868830958374</c:v>
                </c:pt>
                <c:pt idx="21">
                  <c:v>58113.813698632242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7-431F-987B-A4BF061A92E4}"/>
            </c:ext>
          </c:extLst>
        </c:ser>
        <c:ser>
          <c:idx val="1"/>
          <c:order val="1"/>
          <c:tx>
            <c:strRef>
              <c:f>Charts_Support!$A$128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Charts_Support!$J$128:$AE$128</c:f>
              <c:numCache>
                <c:formatCode>#,##0_);\(#,##0\)</c:formatCode>
                <c:ptCount val="22"/>
                <c:pt idx="0">
                  <c:v>1407.7</c:v>
                </c:pt>
                <c:pt idx="1">
                  <c:v>1810.6999999999998</c:v>
                </c:pt>
                <c:pt idx="2">
                  <c:v>2402.1</c:v>
                </c:pt>
                <c:pt idx="3">
                  <c:v>3416.5</c:v>
                </c:pt>
                <c:pt idx="4">
                  <c:v>4219.5</c:v>
                </c:pt>
                <c:pt idx="5">
                  <c:v>4621</c:v>
                </c:pt>
                <c:pt idx="6">
                  <c:v>6718</c:v>
                </c:pt>
                <c:pt idx="7">
                  <c:v>8124</c:v>
                </c:pt>
                <c:pt idx="8">
                  <c:v>10283</c:v>
                </c:pt>
                <c:pt idx="9">
                  <c:v>10194.977999999999</c:v>
                </c:pt>
                <c:pt idx="10">
                  <c:v>9732.4130000000005</c:v>
                </c:pt>
                <c:pt idx="11">
                  <c:v>5586.9660000000003</c:v>
                </c:pt>
                <c:pt idx="12">
                  <c:v>8962.0789999999997</c:v>
                </c:pt>
                <c:pt idx="13">
                  <c:v>13387.712</c:v>
                </c:pt>
                <c:pt idx="14">
                  <c:v>13905.773000000001</c:v>
                </c:pt>
                <c:pt idx="15">
                  <c:v>11451.235320549225</c:v>
                </c:pt>
                <c:pt idx="16">
                  <c:v>12469.62177028326</c:v>
                </c:pt>
                <c:pt idx="17">
                  <c:v>13066.206487212175</c:v>
                </c:pt>
                <c:pt idx="18">
                  <c:v>13331.040485867961</c:v>
                </c:pt>
                <c:pt idx="19">
                  <c:v>13692.446988378508</c:v>
                </c:pt>
                <c:pt idx="20">
                  <c:v>14059.080766815794</c:v>
                </c:pt>
                <c:pt idx="21">
                  <c:v>14430.749065539501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7-431F-987B-A4BF061A92E4}"/>
            </c:ext>
          </c:extLst>
        </c:ser>
        <c:ser>
          <c:idx val="2"/>
          <c:order val="2"/>
          <c:tx>
            <c:strRef>
              <c:f>Charts_Support!$A$129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Charts_Support!$J$129:$AE$129</c:f>
              <c:numCache>
                <c:formatCode>#,##0_);\(#,##0\)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1468</c:v>
                </c:pt>
                <c:pt idx="6">
                  <c:v>5673</c:v>
                </c:pt>
                <c:pt idx="7">
                  <c:v>7591</c:v>
                </c:pt>
                <c:pt idx="8">
                  <c:v>8570</c:v>
                </c:pt>
                <c:pt idx="9">
                  <c:v>9887</c:v>
                </c:pt>
                <c:pt idx="10">
                  <c:v>21207</c:v>
                </c:pt>
                <c:pt idx="11">
                  <c:v>13860</c:v>
                </c:pt>
                <c:pt idx="12">
                  <c:v>18414</c:v>
                </c:pt>
                <c:pt idx="13">
                  <c:v>21976</c:v>
                </c:pt>
                <c:pt idx="14">
                  <c:v>22966</c:v>
                </c:pt>
                <c:pt idx="15">
                  <c:v>24034.949605353468</c:v>
                </c:pt>
                <c:pt idx="16">
                  <c:v>27931.995653906328</c:v>
                </c:pt>
                <c:pt idx="17">
                  <c:v>30430.845077785587</c:v>
                </c:pt>
                <c:pt idx="18">
                  <c:v>32847.446319831914</c:v>
                </c:pt>
                <c:pt idx="19">
                  <c:v>35344.199485813224</c:v>
                </c:pt>
                <c:pt idx="20">
                  <c:v>37994.783729019713</c:v>
                </c:pt>
                <c:pt idx="21">
                  <c:v>40751.057529097307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F7-431F-987B-A4BF061A9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158912"/>
        <c:axId val="489181184"/>
      </c:areaChart>
      <c:catAx>
        <c:axId val="48915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181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18118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158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087895989745464"/>
          <c:y val="7.9334556864602446E-2"/>
          <c:w val="0.43219678935481903"/>
          <c:h val="0.1662348802144413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2266511433138E-2"/>
          <c:y val="6.7750647888256868E-2"/>
          <c:w val="0.88132377421693886"/>
          <c:h val="0.77255503945287596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Charts_Support!$A$454</c:f>
              <c:strCache>
                <c:ptCount val="1"/>
                <c:pt idx="0">
                  <c:v>Revenue</c:v>
                </c:pt>
              </c:strCache>
            </c:strRef>
          </c:tx>
          <c:spPr>
            <a:ln w="254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Charts_Support!$L$453:$CS$453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Charts_Support!$J$454:$CS$454</c:f>
              <c:numCache>
                <c:formatCode>#,##0_);\(#,##0\)</c:formatCode>
                <c:ptCount val="64"/>
                <c:pt idx="0">
                  <c:v>2084.1030000000001</c:v>
                </c:pt>
                <c:pt idx="1">
                  <c:v>2072.723</c:v>
                </c:pt>
                <c:pt idx="2">
                  <c:v>2119.5929999999998</c:v>
                </c:pt>
                <c:pt idx="3">
                  <c:v>2310.6619999999998</c:v>
                </c:pt>
                <c:pt idx="4">
                  <c:v>2095.8180000000002</c:v>
                </c:pt>
                <c:pt idx="5">
                  <c:v>2166.6999999999998</c:v>
                </c:pt>
                <c:pt idx="6">
                  <c:v>2274.9250000000002</c:v>
                </c:pt>
                <c:pt idx="7">
                  <c:v>2443.9969999999998</c:v>
                </c:pt>
                <c:pt idx="8">
                  <c:v>2396.7440000000001</c:v>
                </c:pt>
                <c:pt idx="9">
                  <c:v>2595.1480000000001</c:v>
                </c:pt>
                <c:pt idx="10">
                  <c:v>2768.78</c:v>
                </c:pt>
                <c:pt idx="11">
                  <c:v>2935.8319999999999</c:v>
                </c:pt>
                <c:pt idx="12">
                  <c:v>2962.0479999999998</c:v>
                </c:pt>
                <c:pt idx="13">
                  <c:v>3426.5659999999998</c:v>
                </c:pt>
                <c:pt idx="14">
                  <c:v>3502.4520000000002</c:v>
                </c:pt>
                <c:pt idx="15">
                  <c:v>3628.4470000000001</c:v>
                </c:pt>
                <c:pt idx="16">
                  <c:v>3398.7460000000001</c:v>
                </c:pt>
                <c:pt idx="17">
                  <c:v>3820.627</c:v>
                </c:pt>
                <c:pt idx="18">
                  <c:v>4082.3409999999999</c:v>
                </c:pt>
                <c:pt idx="19">
                  <c:v>4410.951</c:v>
                </c:pt>
                <c:pt idx="20">
                  <c:v>3992.0360000000001</c:v>
                </c:pt>
                <c:pt idx="21">
                  <c:v>5203.326</c:v>
                </c:pt>
                <c:pt idx="22">
                  <c:v>5701.3490000000002</c:v>
                </c:pt>
                <c:pt idx="23">
                  <c:v>7903.5439999999999</c:v>
                </c:pt>
                <c:pt idx="24">
                  <c:v>7344.2340000000004</c:v>
                </c:pt>
                <c:pt idx="25">
                  <c:v>7761.942</c:v>
                </c:pt>
                <c:pt idx="26">
                  <c:v>8224.3739999999998</c:v>
                </c:pt>
                <c:pt idx="27">
                  <c:v>8957.8259999999991</c:v>
                </c:pt>
                <c:pt idx="28">
                  <c:v>8534.76</c:v>
                </c:pt>
                <c:pt idx="29">
                  <c:v>9065.5679999999993</c:v>
                </c:pt>
                <c:pt idx="30">
                  <c:v>9601.9840000000004</c:v>
                </c:pt>
                <c:pt idx="31">
                  <c:v>10499.555</c:v>
                </c:pt>
                <c:pt idx="32">
                  <c:v>10093.24</c:v>
                </c:pt>
                <c:pt idx="33">
                  <c:v>10344.403</c:v>
                </c:pt>
                <c:pt idx="34">
                  <c:v>10475.353999999999</c:v>
                </c:pt>
                <c:pt idx="35">
                  <c:v>11616.124</c:v>
                </c:pt>
                <c:pt idx="36">
                  <c:v>11079.865</c:v>
                </c:pt>
                <c:pt idx="37">
                  <c:v>11325.508</c:v>
                </c:pt>
                <c:pt idx="38">
                  <c:v>11375.396000000001</c:v>
                </c:pt>
                <c:pt idx="39">
                  <c:v>12375.822</c:v>
                </c:pt>
                <c:pt idx="40">
                  <c:v>13690.588</c:v>
                </c:pt>
                <c:pt idx="41">
                  <c:v>14580.537</c:v>
                </c:pt>
                <c:pt idx="42">
                  <c:v>14490.496999999999</c:v>
                </c:pt>
                <c:pt idx="43">
                  <c:v>15392.996999999999</c:v>
                </c:pt>
                <c:pt idx="44">
                  <c:v>12105.09</c:v>
                </c:pt>
                <c:pt idx="45">
                  <c:v>5197.777</c:v>
                </c:pt>
                <c:pt idx="46">
                  <c:v>9895.518</c:v>
                </c:pt>
                <c:pt idx="47">
                  <c:v>11297.034</c:v>
                </c:pt>
                <c:pt idx="48">
                  <c:v>10211.714</c:v>
                </c:pt>
                <c:pt idx="49">
                  <c:v>12477.368</c:v>
                </c:pt>
                <c:pt idx="50">
                  <c:v>13958.275</c:v>
                </c:pt>
                <c:pt idx="51">
                  <c:v>16732.112000000001</c:v>
                </c:pt>
                <c:pt idx="52">
                  <c:v>15228.173000000001</c:v>
                </c:pt>
                <c:pt idx="53">
                  <c:v>16939.128000000001</c:v>
                </c:pt>
                <c:pt idx="54">
                  <c:v>17518.175999999999</c:v>
                </c:pt>
                <c:pt idx="55">
                  <c:v>19145.828000000001</c:v>
                </c:pt>
                <c:pt idx="56">
                  <c:v>17665.647000000001</c:v>
                </c:pt>
                <c:pt idx="57">
                  <c:v>18948.734</c:v>
                </c:pt>
                <c:pt idx="58">
                  <c:v>19469.973999999998</c:v>
                </c:pt>
                <c:pt idx="59">
                  <c:v>20146.692999999999</c:v>
                </c:pt>
                <c:pt idx="60">
                  <c:v>18202.828000000001</c:v>
                </c:pt>
                <c:pt idx="61">
                  <c:v>19254.041000000001</c:v>
                </c:pt>
                <c:pt idx="62">
                  <c:v>20107.970832727809</c:v>
                </c:pt>
                <c:pt idx="63">
                  <c:v>20984.193483420095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4-43E1-A2F7-A1CDBA1E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9968"/>
        <c:axId val="48922150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C4-43E1-A2F7-A1CDBA1E2BDC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C4-43E1-A2F7-A1CDBA1E2BDC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0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FAC4-43E1-A2F7-A1CDBA1E2BDC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C4-43E1-A2F7-A1CDBA1E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44160"/>
        <c:axId val="489245696"/>
      </c:scatterChart>
      <c:catAx>
        <c:axId val="48921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22150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9221504"/>
        <c:scaling>
          <c:orientation val="minMax"/>
          <c:max val="22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 mn</a:t>
                </a:r>
              </a:p>
            </c:rich>
          </c:tx>
          <c:layout>
            <c:manualLayout>
              <c:xMode val="edge"/>
              <c:yMode val="edge"/>
              <c:x val="9.8573281452658881E-2"/>
              <c:y val="4.540135953037416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219968"/>
        <c:crosses val="autoZero"/>
        <c:crossBetween val="midCat"/>
      </c:valAx>
      <c:valAx>
        <c:axId val="48924416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245696"/>
        <c:crosses val="autoZero"/>
        <c:crossBetween val="midCat"/>
      </c:valAx>
      <c:valAx>
        <c:axId val="489245696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24416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81083979288582"/>
          <c:y val="4.5368297920631323E-2"/>
          <c:w val="0.83852219734370947"/>
          <c:h val="0.7783169509576269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Charts_Support!$A$427</c:f>
              <c:strCache>
                <c:ptCount val="1"/>
                <c:pt idx="0">
                  <c:v>Store detail (Eop)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Charts_Support!$N$429:$CS$429</c:f>
              <c:numCache>
                <c:formatCode>0.0%</c:formatCode>
                <c:ptCount val="60"/>
                <c:pt idx="0">
                  <c:v>1.9147084421235805E-2</c:v>
                </c:pt>
                <c:pt idx="1">
                  <c:v>2.857142857142847E-2</c:v>
                </c:pt>
                <c:pt idx="2">
                  <c:v>1.6450216450216493E-2</c:v>
                </c:pt>
                <c:pt idx="3">
                  <c:v>2.9888983774551736E-2</c:v>
                </c:pt>
                <c:pt idx="4">
                  <c:v>3.415883859948754E-2</c:v>
                </c:pt>
                <c:pt idx="5">
                  <c:v>3.2828282828282873E-2</c:v>
                </c:pt>
                <c:pt idx="6">
                  <c:v>5.7921635434412311E-2</c:v>
                </c:pt>
                <c:pt idx="7">
                  <c:v>6.3847429519071408E-2</c:v>
                </c:pt>
                <c:pt idx="8">
                  <c:v>0.10734929810074312</c:v>
                </c:pt>
                <c:pt idx="9">
                  <c:v>0.11083944580277105</c:v>
                </c:pt>
                <c:pt idx="10">
                  <c:v>0.11755233494363937</c:v>
                </c:pt>
                <c:pt idx="11">
                  <c:v>0.11847233047544825</c:v>
                </c:pt>
                <c:pt idx="12">
                  <c:v>6.7114093959731447E-2</c:v>
                </c:pt>
                <c:pt idx="13">
                  <c:v>0.29713866471019812</c:v>
                </c:pt>
                <c:pt idx="14">
                  <c:v>0.30475504322766578</c:v>
                </c:pt>
                <c:pt idx="15">
                  <c:v>0.29756097560975614</c:v>
                </c:pt>
                <c:pt idx="16">
                  <c:v>0.31446540880503138</c:v>
                </c:pt>
                <c:pt idx="17">
                  <c:v>0.26753393665158365</c:v>
                </c:pt>
                <c:pt idx="18">
                  <c:v>0.25731639977912746</c:v>
                </c:pt>
                <c:pt idx="19">
                  <c:v>0.49516648764769067</c:v>
                </c:pt>
                <c:pt idx="20">
                  <c:v>0.48219032429558739</c:v>
                </c:pt>
                <c:pt idx="21">
                  <c:v>0.26282909415439537</c:v>
                </c:pt>
                <c:pt idx="22">
                  <c:v>0.27580149319279745</c:v>
                </c:pt>
                <c:pt idx="23">
                  <c:v>6.1063218390804641E-2</c:v>
                </c:pt>
                <c:pt idx="24">
                  <c:v>7.6757532281205076E-2</c:v>
                </c:pt>
                <c:pt idx="25">
                  <c:v>7.314487632508837E-2</c:v>
                </c:pt>
                <c:pt idx="26">
                  <c:v>6.4716006884681487E-2</c:v>
                </c:pt>
                <c:pt idx="27">
                  <c:v>8.1584292484766507E-2</c:v>
                </c:pt>
                <c:pt idx="28">
                  <c:v>7.7614923384410339E-2</c:v>
                </c:pt>
                <c:pt idx="29">
                  <c:v>8.3635166282515661E-2</c:v>
                </c:pt>
                <c:pt idx="30">
                  <c:v>8.4060782411897739E-2</c:v>
                </c:pt>
                <c:pt idx="31">
                  <c:v>7.6056338028168913E-2</c:v>
                </c:pt>
                <c:pt idx="32">
                  <c:v>7.2024729520865582E-2</c:v>
                </c:pt>
                <c:pt idx="33">
                  <c:v>6.9887572166514644E-2</c:v>
                </c:pt>
                <c:pt idx="34">
                  <c:v>7.0086489710706745E-2</c:v>
                </c:pt>
                <c:pt idx="35">
                  <c:v>7.271669575334494E-2</c:v>
                </c:pt>
                <c:pt idx="36">
                  <c:v>0.28633217993079585</c:v>
                </c:pt>
                <c:pt idx="37">
                  <c:v>0.27066174382277763</c:v>
                </c:pt>
                <c:pt idx="38">
                  <c:v>0.25278706800445927</c:v>
                </c:pt>
                <c:pt idx="39">
                  <c:v>0.16865509761388275</c:v>
                </c:pt>
                <c:pt idx="40">
                  <c:v>-3.3624747814391398E-2</c:v>
                </c:pt>
                <c:pt idx="41">
                  <c:v>-4.8725972284309305E-2</c:v>
                </c:pt>
                <c:pt idx="42">
                  <c:v>-5.7619577308120173E-2</c:v>
                </c:pt>
                <c:pt idx="43">
                  <c:v>-2.7146171693735455E-2</c:v>
                </c:pt>
                <c:pt idx="44">
                  <c:v>-2.9227557411273475E-2</c:v>
                </c:pt>
                <c:pt idx="45">
                  <c:v>-1.2218045112781906E-2</c:v>
                </c:pt>
                <c:pt idx="46">
                  <c:v>-4.0132200188857103E-3</c:v>
                </c:pt>
                <c:pt idx="47">
                  <c:v>1.6455998092058222E-2</c:v>
                </c:pt>
                <c:pt idx="48">
                  <c:v>2.7240143369175573E-2</c:v>
                </c:pt>
                <c:pt idx="49">
                  <c:v>3.1398667935299773E-2</c:v>
                </c:pt>
                <c:pt idx="50">
                  <c:v>3.3657264754681115E-2</c:v>
                </c:pt>
                <c:pt idx="51">
                  <c:v>4.3406851243547706E-2</c:v>
                </c:pt>
                <c:pt idx="52">
                  <c:v>3.4891835310537411E-2</c:v>
                </c:pt>
                <c:pt idx="53">
                  <c:v>3.2518450184501946E-2</c:v>
                </c:pt>
                <c:pt idx="54">
                  <c:v>3.5542306810364632E-2</c:v>
                </c:pt>
                <c:pt idx="55">
                  <c:v>3.9352372385878187E-2</c:v>
                </c:pt>
                <c:pt idx="56">
                  <c:v>4.3155765340525898E-2</c:v>
                </c:pt>
                <c:pt idx="57">
                  <c:v>4.6683046683046792E-2</c:v>
                </c:pt>
                <c:pt idx="58">
                  <c:v>4.4286979627989442E-2</c:v>
                </c:pt>
                <c:pt idx="59">
                  <c:v>3.5266118563392457E-2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7-4F84-B696-4149DEA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76544"/>
        <c:axId val="489278080"/>
      </c:lineChart>
      <c:scatterChart>
        <c:scatterStyle val="lineMarker"/>
        <c:varyColors val="0"/>
        <c:ser>
          <c:idx val="0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FF7-4F84-B696-4149DEA84728}"/>
              </c:ext>
            </c:extLst>
          </c:dPt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F7-4F84-B696-4149DEA84728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F7-4F84-B696-4149DEA84728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5-FFF7-4F84-B696-4149DEA84728}"/>
              </c:ext>
            </c:extLst>
          </c:dPt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F7-4F84-B696-4149DEA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9872"/>
        <c:axId val="489281408"/>
      </c:scatterChart>
      <c:catAx>
        <c:axId val="4892765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27808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92780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276544"/>
        <c:crosses val="autoZero"/>
        <c:crossBetween val="midCat"/>
      </c:valAx>
      <c:valAx>
        <c:axId val="48927987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281408"/>
        <c:crosses val="autoZero"/>
        <c:crossBetween val="midCat"/>
      </c:valAx>
      <c:valAx>
        <c:axId val="48928140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2798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5.332611694048222E-2"/>
          <c:w val="0.84824983304375257"/>
          <c:h val="0.7961192101541630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Charts_Support!$A$437</c:f>
              <c:strCache>
                <c:ptCount val="1"/>
                <c:pt idx="0">
                  <c:v>Sales Per Retail Store: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Charts_Support!$N$439:$CS$439</c:f>
              <c:numCache>
                <c:formatCode>0.0%</c:formatCode>
                <c:ptCount val="60"/>
                <c:pt idx="0">
                  <c:v>-1.3271843972080699E-2</c:v>
                </c:pt>
                <c:pt idx="1">
                  <c:v>1.630265543870979E-2</c:v>
                </c:pt>
                <c:pt idx="2">
                  <c:v>5.5913868749372542E-2</c:v>
                </c:pt>
                <c:pt idx="3">
                  <c:v>2.700801639563144E-2</c:v>
                </c:pt>
                <c:pt idx="4">
                  <c:v>0.10581081928544323</c:v>
                </c:pt>
                <c:pt idx="5">
                  <c:v>0.15967214346787029</c:v>
                </c:pt>
                <c:pt idx="6">
                  <c:v>0.1504503139023341</c:v>
                </c:pt>
                <c:pt idx="7">
                  <c:v>0.12914881437537917</c:v>
                </c:pt>
                <c:pt idx="8">
                  <c:v>0.11605554214810421</c:v>
                </c:pt>
                <c:pt idx="9">
                  <c:v>0.18862723685830485</c:v>
                </c:pt>
                <c:pt idx="10">
                  <c:v>0.13192036243222693</c:v>
                </c:pt>
                <c:pt idx="11">
                  <c:v>0.10500524443988124</c:v>
                </c:pt>
                <c:pt idx="12">
                  <c:v>7.5265623628349987E-2</c:v>
                </c:pt>
                <c:pt idx="13">
                  <c:v>-0.14041439431770408</c:v>
                </c:pt>
                <c:pt idx="14">
                  <c:v>-0.10667785017362152</c:v>
                </c:pt>
                <c:pt idx="15">
                  <c:v>-6.3120634238242768E-2</c:v>
                </c:pt>
                <c:pt idx="16">
                  <c:v>-0.10643411890302112</c:v>
                </c:pt>
                <c:pt idx="17">
                  <c:v>7.4451458975381746E-2</c:v>
                </c:pt>
                <c:pt idx="18">
                  <c:v>0.11076904298520573</c:v>
                </c:pt>
                <c:pt idx="19">
                  <c:v>0.19839527424660419</c:v>
                </c:pt>
                <c:pt idx="20">
                  <c:v>0.24121805082786407</c:v>
                </c:pt>
                <c:pt idx="21">
                  <c:v>0.18125804132817058</c:v>
                </c:pt>
                <c:pt idx="22">
                  <c:v>0.13068627072267458</c:v>
                </c:pt>
                <c:pt idx="23">
                  <c:v>6.8167811969717773E-2</c:v>
                </c:pt>
                <c:pt idx="24">
                  <c:v>7.9262006745713487E-2</c:v>
                </c:pt>
                <c:pt idx="25">
                  <c:v>8.8344207725046253E-2</c:v>
                </c:pt>
                <c:pt idx="26">
                  <c:v>9.6539658030579734E-2</c:v>
                </c:pt>
                <c:pt idx="27">
                  <c:v>8.3697069709486538E-2</c:v>
                </c:pt>
                <c:pt idx="28">
                  <c:v>9.7427123786822278E-2</c:v>
                </c:pt>
                <c:pt idx="29">
                  <c:v>5.2997454506013453E-2</c:v>
                </c:pt>
                <c:pt idx="30">
                  <c:v>6.3616925695182402E-3</c:v>
                </c:pt>
                <c:pt idx="31">
                  <c:v>2.8147293632122761E-2</c:v>
                </c:pt>
                <c:pt idx="32">
                  <c:v>2.3997897439339111E-2</c:v>
                </c:pt>
                <c:pt idx="33">
                  <c:v>2.3326255205122548E-2</c:v>
                </c:pt>
                <c:pt idx="34">
                  <c:v>1.4796440063326033E-2</c:v>
                </c:pt>
                <c:pt idx="35">
                  <c:v>-6.8204357249428416E-3</c:v>
                </c:pt>
                <c:pt idx="36">
                  <c:v>-3.9417881564572599E-2</c:v>
                </c:pt>
                <c:pt idx="37">
                  <c:v>1.3178285596108896E-2</c:v>
                </c:pt>
                <c:pt idx="38">
                  <c:v>1.6809266367654896E-2</c:v>
                </c:pt>
                <c:pt idx="39">
                  <c:v>6.4296839839131481E-2</c:v>
                </c:pt>
                <c:pt idx="40">
                  <c:v>-8.5044184322310978E-2</c:v>
                </c:pt>
                <c:pt idx="41">
                  <c:v>-0.62525272441013535</c:v>
                </c:pt>
                <c:pt idx="42">
                  <c:v>-0.27534883215845596</c:v>
                </c:pt>
                <c:pt idx="43">
                  <c:v>-0.24561393270039356</c:v>
                </c:pt>
                <c:pt idx="44">
                  <c:v>-0.13101319744310536</c:v>
                </c:pt>
                <c:pt idx="45">
                  <c:v>1.4302125146204023</c:v>
                </c:pt>
                <c:pt idx="46">
                  <c:v>0.41624908828214169</c:v>
                </c:pt>
                <c:pt idx="47">
                  <c:v>0.45712813600376712</c:v>
                </c:pt>
                <c:pt idx="48">
                  <c:v>0.45170100069966312</c:v>
                </c:pt>
                <c:pt idx="49">
                  <c:v>0.31625944182414045</c:v>
                </c:pt>
                <c:pt idx="50">
                  <c:v>0.2141730070590937</c:v>
                </c:pt>
                <c:pt idx="51">
                  <c:v>9.6654199397451235E-2</c:v>
                </c:pt>
                <c:pt idx="52">
                  <c:v>0.12095140427996887</c:v>
                </c:pt>
                <c:pt idx="53">
                  <c:v>8.340623004857517E-2</c:v>
                </c:pt>
                <c:pt idx="54">
                  <c:v>7.3269134014351645E-2</c:v>
                </c:pt>
                <c:pt idx="55">
                  <c:v>1.243419228201148E-2</c:v>
                </c:pt>
                <c:pt idx="56">
                  <c:v>-1.2220167874162913E-2</c:v>
                </c:pt>
                <c:pt idx="57">
                  <c:v>-2.9207297306075186E-2</c:v>
                </c:pt>
                <c:pt idx="58">
                  <c:v>-1.1030240907862532E-2</c:v>
                </c:pt>
                <c:pt idx="59">
                  <c:v>6.0892587907139806E-3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F-44FE-9541-8796C66CE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316736"/>
        <c:axId val="489318272"/>
      </c:lineChart>
      <c:scatterChart>
        <c:scatterStyle val="lineMarker"/>
        <c:varyColors val="0"/>
        <c:ser>
          <c:idx val="0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F-44FE-9541-8796C66CE061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F-44FE-9541-8796C66CE061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F-44FE-9541-8796C66CE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19808"/>
        <c:axId val="489321600"/>
      </c:scatterChart>
      <c:catAx>
        <c:axId val="48931673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318272"/>
        <c:crosses val="autoZero"/>
        <c:auto val="1"/>
        <c:lblAlgn val="ctr"/>
        <c:lblOffset val="100"/>
        <c:tickLblSkip val="3"/>
        <c:tickMarkSkip val="3"/>
        <c:noMultiLvlLbl val="0"/>
      </c:catAx>
      <c:valAx>
        <c:axId val="489318272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316736"/>
        <c:crosses val="autoZero"/>
        <c:crossBetween val="midCat"/>
      </c:valAx>
      <c:valAx>
        <c:axId val="48931980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321600"/>
        <c:crosses val="autoZero"/>
        <c:crossBetween val="midCat"/>
      </c:valAx>
      <c:valAx>
        <c:axId val="48932160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31980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4.0022347539151841E-2"/>
          <c:w val="0.85019536018376107"/>
          <c:h val="0.80942297955549347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Charts_Support!$A$440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Charts_Support!$N$441:$CS$441</c:f>
              <c:numCache>
                <c:formatCode>0.0%</c:formatCode>
                <c:ptCount val="60"/>
                <c:pt idx="1">
                  <c:v>4.3441501554899453E-3</c:v>
                </c:pt>
                <c:pt idx="2">
                  <c:v>8.2448752111237145E-3</c:v>
                </c:pt>
                <c:pt idx="3">
                  <c:v>-8.234925695062012E-3</c:v>
                </c:pt>
                <c:pt idx="4">
                  <c:v>5.7333491037634854E-2</c:v>
                </c:pt>
                <c:pt idx="5">
                  <c:v>0.10694475308023876</c:v>
                </c:pt>
                <c:pt idx="6">
                  <c:v>0.11089162300992328</c:v>
                </c:pt>
                <c:pt idx="7">
                  <c:v>4.3849222454499071E-2</c:v>
                </c:pt>
                <c:pt idx="8">
                  <c:v>0.11634024799986631</c:v>
                </c:pt>
                <c:pt idx="9">
                  <c:v>0.18275744668973481</c:v>
                </c:pt>
                <c:pt idx="10">
                  <c:v>0.16691707584656301</c:v>
                </c:pt>
                <c:pt idx="11">
                  <c:v>0.18983379403999057</c:v>
                </c:pt>
                <c:pt idx="12">
                  <c:v>0.12164782778301197</c:v>
                </c:pt>
                <c:pt idx="13">
                  <c:v>6.9613375529732568E-2</c:v>
                </c:pt>
                <c:pt idx="14">
                  <c:v>2.6048746773911668E-2</c:v>
                </c:pt>
                <c:pt idx="15">
                  <c:v>4.0788063474699321E-2</c:v>
                </c:pt>
                <c:pt idx="16">
                  <c:v>4.9547229689872463E-3</c:v>
                </c:pt>
                <c:pt idx="17">
                  <c:v>0.14552455203306636</c:v>
                </c:pt>
                <c:pt idx="18">
                  <c:v>0.16389071099318397</c:v>
                </c:pt>
                <c:pt idx="19">
                  <c:v>0.23733435060229868</c:v>
                </c:pt>
                <c:pt idx="20">
                  <c:v>-0.14255764533134485</c:v>
                </c:pt>
                <c:pt idx="21">
                  <c:v>-0.30056610670778172</c:v>
                </c:pt>
                <c:pt idx="22">
                  <c:v>-0.22723490122266143</c:v>
                </c:pt>
                <c:pt idx="23">
                  <c:v>-0.29496062225813335</c:v>
                </c:pt>
                <c:pt idx="24">
                  <c:v>4.3291441605431968E-2</c:v>
                </c:pt>
                <c:pt idx="25">
                  <c:v>9.6254050307417849E-2</c:v>
                </c:pt>
                <c:pt idx="26">
                  <c:v>8.5584303539676387E-3</c:v>
                </c:pt>
                <c:pt idx="27">
                  <c:v>1.4996185392568195E-2</c:v>
                </c:pt>
                <c:pt idx="28">
                  <c:v>2.9148270178418478E-2</c:v>
                </c:pt>
                <c:pt idx="29">
                  <c:v>5.4184745912465138E-2</c:v>
                </c:pt>
                <c:pt idx="30">
                  <c:v>4.9140213058753934E-2</c:v>
                </c:pt>
                <c:pt idx="31">
                  <c:v>6.7166366134263189E-2</c:v>
                </c:pt>
                <c:pt idx="32">
                  <c:v>0.43314698904021109</c:v>
                </c:pt>
                <c:pt idx="33">
                  <c:v>0.39336512451378391</c:v>
                </c:pt>
                <c:pt idx="34">
                  <c:v>0.42335237911872925</c:v>
                </c:pt>
                <c:pt idx="35">
                  <c:v>0.45714309198941572</c:v>
                </c:pt>
                <c:pt idx="36">
                  <c:v>-3.3329226778132659E-3</c:v>
                </c:pt>
                <c:pt idx="37">
                  <c:v>4.3884566107435408E-2</c:v>
                </c:pt>
                <c:pt idx="38">
                  <c:v>0.13625279402228818</c:v>
                </c:pt>
                <c:pt idx="39">
                  <c:v>3.8773378543918824E-2</c:v>
                </c:pt>
                <c:pt idx="40">
                  <c:v>1.4468485558185584E-2</c:v>
                </c:pt>
                <c:pt idx="41">
                  <c:v>-0.58129498902220011</c:v>
                </c:pt>
                <c:pt idx="42">
                  <c:v>-0.35408557776070071</c:v>
                </c:pt>
                <c:pt idx="43">
                  <c:v>-0.18889277989983921</c:v>
                </c:pt>
                <c:pt idx="44">
                  <c:v>-0.14627066703921632</c:v>
                </c:pt>
                <c:pt idx="45">
                  <c:v>1.5254924466661919</c:v>
                </c:pt>
                <c:pt idx="46">
                  <c:v>0.55129295811493395</c:v>
                </c:pt>
                <c:pt idx="47">
                  <c:v>0.49500851978473004</c:v>
                </c:pt>
                <c:pt idx="48">
                  <c:v>0.50492294791537295</c:v>
                </c:pt>
                <c:pt idx="49">
                  <c:v>0.30367742752599058</c:v>
                </c:pt>
                <c:pt idx="50">
                  <c:v>0.25611282717132133</c:v>
                </c:pt>
                <c:pt idx="51">
                  <c:v>0.17076893208317467</c:v>
                </c:pt>
                <c:pt idx="52">
                  <c:v>0.16651822584135045</c:v>
                </c:pt>
                <c:pt idx="53">
                  <c:v>0.12989562998337778</c:v>
                </c:pt>
                <c:pt idx="54">
                  <c:v>0.13642907041644348</c:v>
                </c:pt>
                <c:pt idx="55">
                  <c:v>8.484353486702001E-2</c:v>
                </c:pt>
                <c:pt idx="56">
                  <c:v>0.10529563162633138</c:v>
                </c:pt>
                <c:pt idx="57">
                  <c:v>5.353498512912136E-2</c:v>
                </c:pt>
                <c:pt idx="58">
                  <c:v>3.8565580719577275E-2</c:v>
                </c:pt>
                <c:pt idx="59">
                  <c:v>3.6878167264328798E-2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C7-4251-8348-782A1F7C40D8}"/>
            </c:ext>
          </c:extLst>
        </c:ser>
        <c:ser>
          <c:idx val="0"/>
          <c:order val="1"/>
          <c:tx>
            <c:strRef>
              <c:f>Charts_Support!$A$442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Charts_Support!$N$443:$CS$443</c:f>
              <c:numCache>
                <c:formatCode>0.0%</c:formatCode>
                <c:ptCount val="60"/>
                <c:pt idx="1">
                  <c:v>0.17072108243516748</c:v>
                </c:pt>
                <c:pt idx="2">
                  <c:v>0.19077067902381839</c:v>
                </c:pt>
                <c:pt idx="3">
                  <c:v>0.12525712547330725</c:v>
                </c:pt>
                <c:pt idx="4">
                  <c:v>0.10088557297453615</c:v>
                </c:pt>
                <c:pt idx="5">
                  <c:v>6.6847250933258495E-2</c:v>
                </c:pt>
                <c:pt idx="6">
                  <c:v>0.11137198290649608</c:v>
                </c:pt>
                <c:pt idx="7">
                  <c:v>0.15699826864321165</c:v>
                </c:pt>
                <c:pt idx="8">
                  <c:v>0.18720533862314781</c:v>
                </c:pt>
                <c:pt idx="9">
                  <c:v>0.25762073042491962</c:v>
                </c:pt>
                <c:pt idx="10">
                  <c:v>0.13231836193705826</c:v>
                </c:pt>
                <c:pt idx="11">
                  <c:v>2.6773495420238991E-2</c:v>
                </c:pt>
                <c:pt idx="12">
                  <c:v>-1.4216448852841235E-2</c:v>
                </c:pt>
                <c:pt idx="13">
                  <c:v>-4.1001845439621598E-2</c:v>
                </c:pt>
                <c:pt idx="14">
                  <c:v>-4.2704897875010084E-2</c:v>
                </c:pt>
                <c:pt idx="15">
                  <c:v>-1.2637198285372908E-2</c:v>
                </c:pt>
                <c:pt idx="16">
                  <c:v>-0.10836766571234702</c:v>
                </c:pt>
                <c:pt idx="17">
                  <c:v>-0.16131750130415634</c:v>
                </c:pt>
                <c:pt idx="18">
                  <c:v>-0.13468868659503408</c:v>
                </c:pt>
                <c:pt idx="19">
                  <c:v>-9.4789635477687151E-2</c:v>
                </c:pt>
                <c:pt idx="20">
                  <c:v>0.17613608913403489</c:v>
                </c:pt>
                <c:pt idx="21">
                  <c:v>0.24785007642142109</c:v>
                </c:pt>
                <c:pt idx="22">
                  <c:v>0.26103954722791123</c:v>
                </c:pt>
                <c:pt idx="23">
                  <c:v>0.2624269927364713</c:v>
                </c:pt>
                <c:pt idx="24">
                  <c:v>-3.6771200676923521E-2</c:v>
                </c:pt>
                <c:pt idx="25">
                  <c:v>-4.6541551090218514E-2</c:v>
                </c:pt>
                <c:pt idx="26">
                  <c:v>-2.2997493556595416E-2</c:v>
                </c:pt>
                <c:pt idx="27">
                  <c:v>3.9757497778634132E-3</c:v>
                </c:pt>
                <c:pt idx="28">
                  <c:v>0.33497155362845055</c:v>
                </c:pt>
                <c:pt idx="29">
                  <c:v>0.13054675057662712</c:v>
                </c:pt>
                <c:pt idx="30">
                  <c:v>3.4083518623882592E-2</c:v>
                </c:pt>
                <c:pt idx="31">
                  <c:v>2.5990777085190375E-2</c:v>
                </c:pt>
                <c:pt idx="32">
                  <c:v>-6.6699343465135175E-2</c:v>
                </c:pt>
                <c:pt idx="33">
                  <c:v>-1.0728873041026654E-2</c:v>
                </c:pt>
                <c:pt idx="34">
                  <c:v>-0.17918126602939599</c:v>
                </c:pt>
                <c:pt idx="35">
                  <c:v>-0.24534090167060574</c:v>
                </c:pt>
                <c:pt idx="36">
                  <c:v>-0.24377937608061995</c:v>
                </c:pt>
                <c:pt idx="37">
                  <c:v>-0.20590371177023814</c:v>
                </c:pt>
                <c:pt idx="38">
                  <c:v>-2.817386646373532E-2</c:v>
                </c:pt>
                <c:pt idx="39">
                  <c:v>-3.2797252355598605E-3</c:v>
                </c:pt>
                <c:pt idx="40">
                  <c:v>-0.23149790719876273</c:v>
                </c:pt>
                <c:pt idx="41">
                  <c:v>-0.67872554305900701</c:v>
                </c:pt>
                <c:pt idx="42">
                  <c:v>-0.49874289463796662</c:v>
                </c:pt>
                <c:pt idx="43">
                  <c:v>-0.26152428573776021</c:v>
                </c:pt>
                <c:pt idx="44">
                  <c:v>1.7208826015260525E-2</c:v>
                </c:pt>
                <c:pt idx="45">
                  <c:v>1.2278058356708028</c:v>
                </c:pt>
                <c:pt idx="46">
                  <c:v>0.87776513273804313</c:v>
                </c:pt>
                <c:pt idx="47">
                  <c:v>0.66310393200657902</c:v>
                </c:pt>
                <c:pt idx="48">
                  <c:v>0.48044290142929502</c:v>
                </c:pt>
                <c:pt idx="49">
                  <c:v>0.73526915077480037</c:v>
                </c:pt>
                <c:pt idx="50">
                  <c:v>0.43919107994343576</c:v>
                </c:pt>
                <c:pt idx="51">
                  <c:v>0.17700164634870674</c:v>
                </c:pt>
                <c:pt idx="52">
                  <c:v>7.2176817697046092E-2</c:v>
                </c:pt>
                <c:pt idx="53">
                  <c:v>1.5818430865331967E-2</c:v>
                </c:pt>
                <c:pt idx="54">
                  <c:v>-1.2323670810342024E-2</c:v>
                </c:pt>
                <c:pt idx="55">
                  <c:v>-0.18379632081859576</c:v>
                </c:pt>
                <c:pt idx="56">
                  <c:v>-0.21393249045915386</c:v>
                </c:pt>
                <c:pt idx="57">
                  <c:v>-0.16515630546101501</c:v>
                </c:pt>
                <c:pt idx="58">
                  <c:v>-0.21251882572559011</c:v>
                </c:pt>
                <c:pt idx="59">
                  <c:v>-0.2822062784932301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C7-4251-8348-782A1F7C40D8}"/>
            </c:ext>
          </c:extLst>
        </c:ser>
        <c:ser>
          <c:idx val="2"/>
          <c:order val="2"/>
          <c:tx>
            <c:strRef>
              <c:f>Charts_Support!$A$444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Charts_Support!$N$445:$CS$445</c:f>
              <c:numCache>
                <c:formatCode>0.0%</c:formatCode>
                <c:ptCount val="60"/>
                <c:pt idx="23">
                  <c:v>#N/A</c:v>
                </c:pt>
                <c:pt idx="24">
                  <c:v>0.28355469120576826</c:v>
                </c:pt>
                <c:pt idx="25">
                  <c:v>0.27259041839184772</c:v>
                </c:pt>
                <c:pt idx="26">
                  <c:v>0.21593274899840798</c:v>
                </c:pt>
                <c:pt idx="27">
                  <c:v>0.20739931188018623</c:v>
                </c:pt>
                <c:pt idx="28">
                  <c:v>4.5302571183818419E-2</c:v>
                </c:pt>
                <c:pt idx="29">
                  <c:v>8.4760261147696081E-3</c:v>
                </c:pt>
                <c:pt idx="30">
                  <c:v>1.3374494917465451E-2</c:v>
                </c:pt>
                <c:pt idx="31">
                  <c:v>3.7159688477667707E-2</c:v>
                </c:pt>
                <c:pt idx="32">
                  <c:v>8.8624385323414545E-2</c:v>
                </c:pt>
                <c:pt idx="33">
                  <c:v>7.8880219929142514E-2</c:v>
                </c:pt>
                <c:pt idx="34">
                  <c:v>4.3094713656387507E-2</c:v>
                </c:pt>
                <c:pt idx="35">
                  <c:v>-2.1809610598997553E-2</c:v>
                </c:pt>
                <c:pt idx="36">
                  <c:v>0.20900578139993975</c:v>
                </c:pt>
                <c:pt idx="37">
                  <c:v>-5.0682651455585814E-3</c:v>
                </c:pt>
                <c:pt idx="38">
                  <c:v>6.2861471359387799E-4</c:v>
                </c:pt>
                <c:pt idx="39">
                  <c:v>-2.2285234150704603E-2</c:v>
                </c:pt>
                <c:pt idx="40">
                  <c:v>-0.40250766700851215</c:v>
                </c:pt>
                <c:pt idx="41">
                  <c:v>-0.68880969216339971</c:v>
                </c:pt>
                <c:pt idx="42">
                  <c:v>-0.21428471857387177</c:v>
                </c:pt>
                <c:pt idx="43">
                  <c:v>-0.27816153069006644</c:v>
                </c:pt>
                <c:pt idx="44">
                  <c:v>-0.13026212676794124</c:v>
                </c:pt>
                <c:pt idx="45">
                  <c:v>1.6616765962703623</c:v>
                </c:pt>
                <c:pt idx="46">
                  <c:v>0.20131173606280428</c:v>
                </c:pt>
                <c:pt idx="47">
                  <c:v>0.44396090449337433</c:v>
                </c:pt>
                <c:pt idx="48">
                  <c:v>0.45035035590166284</c:v>
                </c:pt>
                <c:pt idx="49">
                  <c:v>0.22547957993609069</c:v>
                </c:pt>
                <c:pt idx="50">
                  <c:v>7.7441510244562473E-2</c:v>
                </c:pt>
                <c:pt idx="51">
                  <c:v>-3.0976667801880686E-2</c:v>
                </c:pt>
                <c:pt idx="52">
                  <c:v>2.1244284070053299E-2</c:v>
                </c:pt>
                <c:pt idx="53">
                  <c:v>-6.8553660389455429E-3</c:v>
                </c:pt>
                <c:pt idx="54">
                  <c:v>-1.2948675330297754E-2</c:v>
                </c:pt>
                <c:pt idx="55">
                  <c:v>-2.2584897227722833E-2</c:v>
                </c:pt>
                <c:pt idx="56">
                  <c:v>-7.1794229771802165E-2</c:v>
                </c:pt>
                <c:pt idx="57">
                  <c:v>-7.1873733716128263E-2</c:v>
                </c:pt>
                <c:pt idx="58">
                  <c:v>4.1844056130839968E-2</c:v>
                </c:pt>
                <c:pt idx="59">
                  <c:v>0.1051078569583852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C7-4251-8348-782A1F7C4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354368"/>
        <c:axId val="489355904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C7-4251-8348-782A1F7C40D8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C7-4251-8348-782A1F7C40D8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C7-4251-8348-782A1F7C4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13344"/>
        <c:axId val="489514880"/>
      </c:scatterChart>
      <c:catAx>
        <c:axId val="4893543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3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89355904"/>
        <c:scaling>
          <c:orientation val="minMax"/>
          <c:max val="0.70000000000000007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354368"/>
        <c:crosses val="autoZero"/>
        <c:crossBetween val="midCat"/>
      </c:valAx>
      <c:valAx>
        <c:axId val="48951334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514880"/>
        <c:crosses val="autoZero"/>
        <c:crossBetween val="midCat"/>
      </c:valAx>
      <c:valAx>
        <c:axId val="48951488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513344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5057667111800596"/>
          <c:y val="2.3853453238908341E-2"/>
          <c:w val="0.23714166079434629"/>
          <c:h val="0.11775302477434225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24663745825546"/>
          <c:y val="9.0100389336033662E-2"/>
          <c:w val="0.86251702972926048"/>
          <c:h val="0.8590536486496503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Charts_Support!$A$430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Charts_Support!$N$431:$CS$431</c:f>
              <c:numCache>
                <c:formatCode>0.0%</c:formatCode>
                <c:ptCount val="60"/>
                <c:pt idx="0">
                  <c:v>6.0362173038228661E-3</c:v>
                </c:pt>
                <c:pt idx="1">
                  <c:v>1.7119838872104776E-2</c:v>
                </c:pt>
                <c:pt idx="2">
                  <c:v>2.7272727272727337E-2</c:v>
                </c:pt>
                <c:pt idx="3">
                  <c:v>3.5964035964035856E-2</c:v>
                </c:pt>
                <c:pt idx="4">
                  <c:v>3.8999999999999924E-2</c:v>
                </c:pt>
                <c:pt idx="5">
                  <c:v>4.059405940594063E-2</c:v>
                </c:pt>
                <c:pt idx="6">
                  <c:v>3.539823008849563E-2</c:v>
                </c:pt>
                <c:pt idx="7">
                  <c:v>3.6644165863066513E-2</c:v>
                </c:pt>
                <c:pt idx="8">
                  <c:v>8.6621751684311743E-2</c:v>
                </c:pt>
                <c:pt idx="9">
                  <c:v>8.3729781160799321E-2</c:v>
                </c:pt>
                <c:pt idx="10">
                  <c:v>9.4017094017094127E-2</c:v>
                </c:pt>
                <c:pt idx="11">
                  <c:v>0.10325581395348826</c:v>
                </c:pt>
                <c:pt idx="12">
                  <c:v>4.3401240035429556E-2</c:v>
                </c:pt>
                <c:pt idx="13">
                  <c:v>0.32133450395083396</c:v>
                </c:pt>
                <c:pt idx="14">
                  <c:v>0.33333333333333326</c:v>
                </c:pt>
                <c:pt idx="15">
                  <c:v>0.32799325463743667</c:v>
                </c:pt>
                <c:pt idx="16">
                  <c:v>0.34719864176570447</c:v>
                </c:pt>
                <c:pt idx="17">
                  <c:v>0.29102990033222587</c:v>
                </c:pt>
                <c:pt idx="18">
                  <c:v>0.27604166666666674</c:v>
                </c:pt>
                <c:pt idx="19">
                  <c:v>0.26920634920634923</c:v>
                </c:pt>
                <c:pt idx="20">
                  <c:v>0.25771896660365479</c:v>
                </c:pt>
                <c:pt idx="21">
                  <c:v>3.9629439011837464E-2</c:v>
                </c:pt>
                <c:pt idx="22">
                  <c:v>5.5102040816326525E-2</c:v>
                </c:pt>
                <c:pt idx="23">
                  <c:v>4.6523261630815327E-2</c:v>
                </c:pt>
                <c:pt idx="24">
                  <c:v>4.7094188376753499E-2</c:v>
                </c:pt>
                <c:pt idx="25">
                  <c:v>4.2574257425742612E-2</c:v>
                </c:pt>
                <c:pt idx="26">
                  <c:v>3.481624758220514E-2</c:v>
                </c:pt>
                <c:pt idx="27">
                  <c:v>5.8795411089866079E-2</c:v>
                </c:pt>
                <c:pt idx="28">
                  <c:v>6.9856459330143617E-2</c:v>
                </c:pt>
                <c:pt idx="29">
                  <c:v>7.1699905033238309E-2</c:v>
                </c:pt>
                <c:pt idx="30">
                  <c:v>7.2429906542056166E-2</c:v>
                </c:pt>
                <c:pt idx="31">
                  <c:v>5.914221218961635E-2</c:v>
                </c:pt>
                <c:pt idx="32">
                  <c:v>5.4561717352415107E-2</c:v>
                </c:pt>
                <c:pt idx="33">
                  <c:v>5.7598582188746139E-2</c:v>
                </c:pt>
                <c:pt idx="34">
                  <c:v>5.0108932461873534E-2</c:v>
                </c:pt>
                <c:pt idx="35">
                  <c:v>5.1577152600170484E-2</c:v>
                </c:pt>
                <c:pt idx="36">
                  <c:v>5.0466497031382618E-2</c:v>
                </c:pt>
                <c:pt idx="37">
                  <c:v>3.1839128613322165E-2</c:v>
                </c:pt>
                <c:pt idx="38">
                  <c:v>2.4481327800829789E-2</c:v>
                </c:pt>
                <c:pt idx="39">
                  <c:v>-7.9043372517227373E-2</c:v>
                </c:pt>
                <c:pt idx="40">
                  <c:v>-8.6394832458619342E-2</c:v>
                </c:pt>
                <c:pt idx="41">
                  <c:v>-9.2164027608607424E-2</c:v>
                </c:pt>
                <c:pt idx="42">
                  <c:v>-0.10125556905629807</c:v>
                </c:pt>
                <c:pt idx="43">
                  <c:v>-3.8732394366197131E-2</c:v>
                </c:pt>
                <c:pt idx="44">
                  <c:v>-4.0653999116217365E-2</c:v>
                </c:pt>
                <c:pt idx="45">
                  <c:v>-2.9964221824686943E-2</c:v>
                </c:pt>
                <c:pt idx="46">
                  <c:v>-2.703920684993244E-2</c:v>
                </c:pt>
                <c:pt idx="47">
                  <c:v>-4.5787545787545625E-3</c:v>
                </c:pt>
                <c:pt idx="48">
                  <c:v>4.6061722708430342E-3</c:v>
                </c:pt>
                <c:pt idx="49">
                  <c:v>1.0603964960811396E-2</c:v>
                </c:pt>
                <c:pt idx="50">
                  <c:v>2.0842982862436354E-2</c:v>
                </c:pt>
                <c:pt idx="51">
                  <c:v>3.4038638454461756E-2</c:v>
                </c:pt>
                <c:pt idx="52">
                  <c:v>2.8885832187070193E-2</c:v>
                </c:pt>
                <c:pt idx="53">
                  <c:v>2.0529197080291883E-2</c:v>
                </c:pt>
                <c:pt idx="54">
                  <c:v>1.9963702359346636E-2</c:v>
                </c:pt>
                <c:pt idx="55">
                  <c:v>2.8914590747330937E-2</c:v>
                </c:pt>
                <c:pt idx="56">
                  <c:v>3.8770053475935873E-2</c:v>
                </c:pt>
                <c:pt idx="57">
                  <c:v>5.4090299508269934E-2</c:v>
                </c:pt>
                <c:pt idx="58">
                  <c:v>5.4715302491103124E-2</c:v>
                </c:pt>
                <c:pt idx="59">
                  <c:v>3.2425421530480003E-2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B-413E-8845-F9003FF4C322}"/>
            </c:ext>
          </c:extLst>
        </c:ser>
        <c:ser>
          <c:idx val="2"/>
          <c:order val="1"/>
          <c:tx>
            <c:strRef>
              <c:f>Charts_Support!$A$432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25400">
                <a:solidFill>
                  <a:schemeClr val="accent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C7B-413E-8845-F9003FF4C322}"/>
              </c:ext>
            </c:extLst>
          </c:dPt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Charts_Support!$N$433:$CS$433</c:f>
              <c:numCache>
                <c:formatCode>0.0%</c:formatCode>
                <c:ptCount val="60"/>
                <c:pt idx="0">
                  <c:v>0.10322580645161294</c:v>
                </c:pt>
                <c:pt idx="1">
                  <c:v>9.8765432098765427E-2</c:v>
                </c:pt>
                <c:pt idx="2">
                  <c:v>-4.8484848484848464E-2</c:v>
                </c:pt>
                <c:pt idx="3">
                  <c:v>-5.8823529411764497E-3</c:v>
                </c:pt>
                <c:pt idx="4">
                  <c:v>5.8479532163742132E-3</c:v>
                </c:pt>
                <c:pt idx="5">
                  <c:v>-1.1235955056179803E-2</c:v>
                </c:pt>
                <c:pt idx="6">
                  <c:v>0.20382165605095537</c:v>
                </c:pt>
                <c:pt idx="7">
                  <c:v>0.23076923076923084</c:v>
                </c:pt>
                <c:pt idx="8">
                  <c:v>0.23255813953488369</c:v>
                </c:pt>
                <c:pt idx="9">
                  <c:v>0.27272727272727271</c:v>
                </c:pt>
                <c:pt idx="10">
                  <c:v>0.24867724867724861</c:v>
                </c:pt>
                <c:pt idx="11">
                  <c:v>0.19711538461538458</c:v>
                </c:pt>
                <c:pt idx="12">
                  <c:v>0.19339622641509435</c:v>
                </c:pt>
                <c:pt idx="13">
                  <c:v>0.17410714285714279</c:v>
                </c:pt>
                <c:pt idx="14">
                  <c:v>0.1652542372881356</c:v>
                </c:pt>
                <c:pt idx="15">
                  <c:v>0.15261044176706817</c:v>
                </c:pt>
                <c:pt idx="16">
                  <c:v>0.1620553359683794</c:v>
                </c:pt>
                <c:pt idx="17">
                  <c:v>0.13307984790874516</c:v>
                </c:pt>
                <c:pt idx="18">
                  <c:v>0.15272727272727282</c:v>
                </c:pt>
                <c:pt idx="19">
                  <c:v>0.19512195121951215</c:v>
                </c:pt>
                <c:pt idx="20">
                  <c:v>0.19047619047619047</c:v>
                </c:pt>
                <c:pt idx="21">
                  <c:v>0.22483221476510074</c:v>
                </c:pt>
                <c:pt idx="22">
                  <c:v>0.20504731861198744</c:v>
                </c:pt>
                <c:pt idx="23">
                  <c:v>0.15160349854227406</c:v>
                </c:pt>
                <c:pt idx="24">
                  <c:v>0.26857142857142846</c:v>
                </c:pt>
                <c:pt idx="25">
                  <c:v>0.24931506849315066</c:v>
                </c:pt>
                <c:pt idx="26">
                  <c:v>0.23036649214659688</c:v>
                </c:pt>
                <c:pt idx="27">
                  <c:v>0.21772151898734182</c:v>
                </c:pt>
                <c:pt idx="28">
                  <c:v>0.11036036036036045</c:v>
                </c:pt>
                <c:pt idx="29">
                  <c:v>0.1293859649122806</c:v>
                </c:pt>
                <c:pt idx="30">
                  <c:v>0.123404255319149</c:v>
                </c:pt>
                <c:pt idx="31">
                  <c:v>0.12889812889812879</c:v>
                </c:pt>
                <c:pt idx="32">
                  <c:v>0.12576064908722118</c:v>
                </c:pt>
                <c:pt idx="33">
                  <c:v>0.11262135922330097</c:v>
                </c:pt>
                <c:pt idx="34">
                  <c:v>0.14962121212121215</c:v>
                </c:pt>
                <c:pt idx="35">
                  <c:v>0.15653775322283603</c:v>
                </c:pt>
                <c:pt idx="36">
                  <c:v>0.13693693693693687</c:v>
                </c:pt>
                <c:pt idx="37">
                  <c:v>0.11518324607329844</c:v>
                </c:pt>
                <c:pt idx="38">
                  <c:v>4.1186161449752845E-2</c:v>
                </c:pt>
                <c:pt idx="39">
                  <c:v>1.9108280254777066E-2</c:v>
                </c:pt>
                <c:pt idx="40">
                  <c:v>1.9017432646592614E-2</c:v>
                </c:pt>
                <c:pt idx="41">
                  <c:v>-1.4084507042253502E-2</c:v>
                </c:pt>
                <c:pt idx="42">
                  <c:v>-1.1075949367088556E-2</c:v>
                </c:pt>
                <c:pt idx="43">
                  <c:v>-1.0937500000000044E-2</c:v>
                </c:pt>
                <c:pt idx="44">
                  <c:v>-6.2208398133748455E-3</c:v>
                </c:pt>
                <c:pt idx="45">
                  <c:v>2.6984126984126888E-2</c:v>
                </c:pt>
                <c:pt idx="46">
                  <c:v>4.9600000000000088E-2</c:v>
                </c:pt>
                <c:pt idx="47">
                  <c:v>4.8973143759873716E-2</c:v>
                </c:pt>
                <c:pt idx="48">
                  <c:v>5.946791862284817E-2</c:v>
                </c:pt>
                <c:pt idx="49">
                  <c:v>6.9551777434312179E-2</c:v>
                </c:pt>
                <c:pt idx="50">
                  <c:v>6.25E-2</c:v>
                </c:pt>
                <c:pt idx="51">
                  <c:v>8.8855421686746983E-2</c:v>
                </c:pt>
                <c:pt idx="52">
                  <c:v>7.5332348596750309E-2</c:v>
                </c:pt>
                <c:pt idx="53">
                  <c:v>7.6589595375722519E-2</c:v>
                </c:pt>
                <c:pt idx="54">
                  <c:v>8.1779053084648501E-2</c:v>
                </c:pt>
                <c:pt idx="55">
                  <c:v>7.1922544951590561E-2</c:v>
                </c:pt>
                <c:pt idx="56">
                  <c:v>6.5934065934065922E-2</c:v>
                </c:pt>
                <c:pt idx="57">
                  <c:v>4.6979865771812124E-2</c:v>
                </c:pt>
                <c:pt idx="58">
                  <c:v>4.1114058355437688E-2</c:v>
                </c:pt>
                <c:pt idx="59">
                  <c:v>3.0967741935483906E-2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7B-413E-8845-F9003FF4C322}"/>
            </c:ext>
          </c:extLst>
        </c:ser>
        <c:ser>
          <c:idx val="3"/>
          <c:order val="2"/>
          <c:tx>
            <c:strRef>
              <c:f>Charts_Support!$A$434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Charts_Support!$N$427:$CS$427</c:f>
              <c:strCache>
                <c:ptCount val="60"/>
                <c:pt idx="0">
                  <c:v>1Q10</c:v>
                </c:pt>
                <c:pt idx="1">
                  <c:v>2Q10</c:v>
                </c:pt>
                <c:pt idx="2">
                  <c:v>3Q10</c:v>
                </c:pt>
                <c:pt idx="3">
                  <c:v>4Q10</c:v>
                </c:pt>
                <c:pt idx="4">
                  <c:v>1Q11</c:v>
                </c:pt>
                <c:pt idx="5">
                  <c:v>2Q11</c:v>
                </c:pt>
                <c:pt idx="6">
                  <c:v>3Q11</c:v>
                </c:pt>
                <c:pt idx="7">
                  <c:v>4Q11</c:v>
                </c:pt>
                <c:pt idx="8">
                  <c:v>1Q12</c:v>
                </c:pt>
                <c:pt idx="9">
                  <c:v>2Q12</c:v>
                </c:pt>
                <c:pt idx="10">
                  <c:v>3Q12</c:v>
                </c:pt>
                <c:pt idx="11">
                  <c:v>4Q12</c:v>
                </c:pt>
                <c:pt idx="12">
                  <c:v>1Q13</c:v>
                </c:pt>
                <c:pt idx="13">
                  <c:v>2Q13</c:v>
                </c:pt>
                <c:pt idx="14">
                  <c:v>3Q13</c:v>
                </c:pt>
                <c:pt idx="15">
                  <c:v>4Q13</c:v>
                </c:pt>
                <c:pt idx="16">
                  <c:v>1Q14</c:v>
                </c:pt>
                <c:pt idx="17">
                  <c:v>2Q14</c:v>
                </c:pt>
                <c:pt idx="18">
                  <c:v>3Q14</c:v>
                </c:pt>
                <c:pt idx="19">
                  <c:v>4Q14</c:v>
                </c:pt>
                <c:pt idx="20">
                  <c:v>1Q15</c:v>
                </c:pt>
                <c:pt idx="21">
                  <c:v>2Q15</c:v>
                </c:pt>
                <c:pt idx="22">
                  <c:v>3Q15</c:v>
                </c:pt>
                <c:pt idx="23">
                  <c:v>4Q15</c:v>
                </c:pt>
                <c:pt idx="24">
                  <c:v>1Q16</c:v>
                </c:pt>
                <c:pt idx="25">
                  <c:v>2Q16</c:v>
                </c:pt>
                <c:pt idx="26">
                  <c:v>3Q16</c:v>
                </c:pt>
                <c:pt idx="27">
                  <c:v>4Q16</c:v>
                </c:pt>
                <c:pt idx="28">
                  <c:v>1Q17</c:v>
                </c:pt>
                <c:pt idx="29">
                  <c:v>2Q17</c:v>
                </c:pt>
                <c:pt idx="30">
                  <c:v>3Q17</c:v>
                </c:pt>
                <c:pt idx="31">
                  <c:v>4Q17</c:v>
                </c:pt>
                <c:pt idx="32">
                  <c:v>1Q18</c:v>
                </c:pt>
                <c:pt idx="33">
                  <c:v>2Q18</c:v>
                </c:pt>
                <c:pt idx="34">
                  <c:v>3Q18</c:v>
                </c:pt>
                <c:pt idx="35">
                  <c:v>4Q18</c:v>
                </c:pt>
                <c:pt idx="36">
                  <c:v>1Q19</c:v>
                </c:pt>
                <c:pt idx="37">
                  <c:v>2Q19</c:v>
                </c:pt>
                <c:pt idx="38">
                  <c:v>3Q19</c:v>
                </c:pt>
                <c:pt idx="39">
                  <c:v>4Q19</c:v>
                </c:pt>
                <c:pt idx="40">
                  <c:v>1Q20</c:v>
                </c:pt>
                <c:pt idx="41">
                  <c:v>2Q20</c:v>
                </c:pt>
                <c:pt idx="42">
                  <c:v>3Q20</c:v>
                </c:pt>
                <c:pt idx="43">
                  <c:v>4Q20</c:v>
                </c:pt>
                <c:pt idx="44">
                  <c:v>1Q21</c:v>
                </c:pt>
                <c:pt idx="45">
                  <c:v>2Q21</c:v>
                </c:pt>
                <c:pt idx="46">
                  <c:v>3Q21</c:v>
                </c:pt>
                <c:pt idx="47">
                  <c:v>4Q21</c:v>
                </c:pt>
                <c:pt idx="48">
                  <c:v>1Q22</c:v>
                </c:pt>
                <c:pt idx="49">
                  <c:v>2Q22</c:v>
                </c:pt>
                <c:pt idx="50">
                  <c:v>3Q22</c:v>
                </c:pt>
                <c:pt idx="51">
                  <c:v>4Q22</c:v>
                </c:pt>
                <c:pt idx="52">
                  <c:v>1Q23</c:v>
                </c:pt>
                <c:pt idx="53">
                  <c:v>2Q23</c:v>
                </c:pt>
                <c:pt idx="54">
                  <c:v>3Q23</c:v>
                </c:pt>
                <c:pt idx="55">
                  <c:v>4Q23</c:v>
                </c:pt>
                <c:pt idx="56">
                  <c:v>1Q24</c:v>
                </c:pt>
                <c:pt idx="57">
                  <c:v>2Q24e</c:v>
                </c:pt>
                <c:pt idx="58">
                  <c:v>3Q24e</c:v>
                </c:pt>
                <c:pt idx="59">
                  <c:v>4Q24e</c:v>
                </c:pt>
              </c:strCache>
            </c:strRef>
          </c:cat>
          <c:val>
            <c:numRef>
              <c:f>Charts_Support!$N$435:$CS$435</c:f>
              <c:numCache>
                <c:formatCode>0.0%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6.7415730337078594E-2</c:v>
                </c:pt>
                <c:pt idx="26">
                  <c:v>6.1538461538461542E-2</c:v>
                </c:pt>
                <c:pt idx="27">
                  <c:v>6.85224839400429E-2</c:v>
                </c:pt>
                <c:pt idx="28">
                  <c:v>8.119658119658113E-2</c:v>
                </c:pt>
                <c:pt idx="29">
                  <c:v>9.2631578947368398E-2</c:v>
                </c:pt>
                <c:pt idx="30">
                  <c:v>9.7308488612836364E-2</c:v>
                </c:pt>
                <c:pt idx="31">
                  <c:v>0.10020040080160331</c:v>
                </c:pt>
                <c:pt idx="32">
                  <c:v>9.6837944664031728E-2</c:v>
                </c:pt>
                <c:pt idx="33">
                  <c:v>8.092485549132955E-2</c:v>
                </c:pt>
                <c:pt idx="34">
                  <c:v>7.735849056603783E-2</c:v>
                </c:pt>
                <c:pt idx="35">
                  <c:v>8.0145719489981726E-2</c:v>
                </c:pt>
                <c:pt idx="36">
                  <c:v>1.4378378378378378</c:v>
                </c:pt>
                <c:pt idx="37">
                  <c:v>1.4456327985739752</c:v>
                </c:pt>
                <c:pt idx="38">
                  <c:v>1.4413309982486866</c:v>
                </c:pt>
                <c:pt idx="39">
                  <c:v>1.357504215851602</c:v>
                </c:pt>
                <c:pt idx="40">
                  <c:v>3.8433111603843217E-2</c:v>
                </c:pt>
                <c:pt idx="41">
                  <c:v>1.3119533527696792E-2</c:v>
                </c:pt>
                <c:pt idx="42">
                  <c:v>-1.4347202295552641E-3</c:v>
                </c:pt>
                <c:pt idx="43">
                  <c:v>-1.5736766809728131E-2</c:v>
                </c:pt>
                <c:pt idx="44">
                  <c:v>-2.1352313167259829E-2</c:v>
                </c:pt>
                <c:pt idx="45">
                  <c:v>-1.4388489208633226E-3</c:v>
                </c:pt>
                <c:pt idx="46">
                  <c:v>8.6206896551723755E-3</c:v>
                </c:pt>
                <c:pt idx="47">
                  <c:v>3.488372093023262E-2</c:v>
                </c:pt>
                <c:pt idx="48">
                  <c:v>4.8000000000000043E-2</c:v>
                </c:pt>
                <c:pt idx="49">
                  <c:v>4.6109510086455252E-2</c:v>
                </c:pt>
                <c:pt idx="50">
                  <c:v>3.9886039886039892E-2</c:v>
                </c:pt>
                <c:pt idx="51">
                  <c:v>3.6516853932584192E-2</c:v>
                </c:pt>
                <c:pt idx="52">
                  <c:v>2.4982650936849371E-2</c:v>
                </c:pt>
                <c:pt idx="53">
                  <c:v>2.8925619834710758E-2</c:v>
                </c:pt>
                <c:pt idx="54">
                  <c:v>3.6986301369863028E-2</c:v>
                </c:pt>
                <c:pt idx="55">
                  <c:v>3.9295392953929476E-2</c:v>
                </c:pt>
                <c:pt idx="56">
                  <c:v>3.8591740013540932E-2</c:v>
                </c:pt>
                <c:pt idx="57">
                  <c:v>3.6144578313253017E-2</c:v>
                </c:pt>
                <c:pt idx="58">
                  <c:v>3.0383091149273511E-2</c:v>
                </c:pt>
                <c:pt idx="59">
                  <c:v>4.1720990873533204E-2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7B-413E-8845-F9003FF4C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641088"/>
        <c:axId val="489642624"/>
      </c:lineChart>
      <c:scatterChart>
        <c:scatterStyle val="lineMarker"/>
        <c:varyColors val="0"/>
        <c:ser>
          <c:idx val="0"/>
          <c:order val="3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AC7B-413E-8845-F9003FF4C322}"/>
              </c:ext>
            </c:extLst>
          </c:dPt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C7B-413E-8845-F9003FF4C322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C7B-413E-8845-F9003FF4C322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9-AC7B-413E-8845-F9003FF4C322}"/>
              </c:ext>
            </c:extLst>
          </c:dPt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C7B-413E-8845-F9003FF4C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56704"/>
        <c:axId val="489658240"/>
      </c:scatterChart>
      <c:catAx>
        <c:axId val="4896410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64262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9642624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641088"/>
        <c:crosses val="autoZero"/>
        <c:crossBetween val="midCat"/>
      </c:valAx>
      <c:valAx>
        <c:axId val="48965670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658240"/>
        <c:crosses val="autoZero"/>
        <c:crossBetween val="midCat"/>
      </c:valAx>
      <c:valAx>
        <c:axId val="48965824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656704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53728154325028288"/>
          <c:y val="2.3805447709800923E-2"/>
          <c:w val="0.26459184819796361"/>
          <c:h val="0.15203170557117168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509450853527"/>
          <c:y val="5.0156816585056732E-2"/>
          <c:w val="0.82816679891757716"/>
          <c:h val="0.8031790026246719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Charts_Support!$A$478</c:f>
              <c:strCache>
                <c:ptCount val="1"/>
                <c:pt idx="0">
                  <c:v>Growth (Bps YoY)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Charts_Support!$O$531:$CS$531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Charts_Support!$N$478:$CS$478</c:f>
              <c:numCache>
                <c:formatCode>0</c:formatCode>
                <c:ptCount val="60"/>
                <c:pt idx="0">
                  <c:v>284.47611231418369</c:v>
                </c:pt>
                <c:pt idx="1">
                  <c:v>270.29609722433622</c:v>
                </c:pt>
                <c:pt idx="2">
                  <c:v>170.76808015481504</c:v>
                </c:pt>
                <c:pt idx="3">
                  <c:v>-80.148133677689913</c:v>
                </c:pt>
                <c:pt idx="4">
                  <c:v>35.84623430010425</c:v>
                </c:pt>
                <c:pt idx="5">
                  <c:v>-5.6860784758261396</c:v>
                </c:pt>
                <c:pt idx="6">
                  <c:v>-58.388713760106903</c:v>
                </c:pt>
                <c:pt idx="7">
                  <c:v>2.6229119034681947</c:v>
                </c:pt>
                <c:pt idx="8">
                  <c:v>-110.39130151828446</c:v>
                </c:pt>
                <c:pt idx="9">
                  <c:v>-104.75001678613593</c:v>
                </c:pt>
                <c:pt idx="10">
                  <c:v>81.775624221923636</c:v>
                </c:pt>
                <c:pt idx="11">
                  <c:v>183.14865952134386</c:v>
                </c:pt>
                <c:pt idx="12">
                  <c:v>172.98789351238852</c:v>
                </c:pt>
                <c:pt idx="13">
                  <c:v>278.20481291165987</c:v>
                </c:pt>
                <c:pt idx="14">
                  <c:v>168.04620495661894</c:v>
                </c:pt>
                <c:pt idx="15">
                  <c:v>156.77065911032463</c:v>
                </c:pt>
                <c:pt idx="16">
                  <c:v>72.055763311387182</c:v>
                </c:pt>
                <c:pt idx="17">
                  <c:v>111.59717997265118</c:v>
                </c:pt>
                <c:pt idx="18">
                  <c:v>136.37566088067211</c:v>
                </c:pt>
                <c:pt idx="19">
                  <c:v>159.00653372198482</c:v>
                </c:pt>
                <c:pt idx="20">
                  <c:v>206.23046339607433</c:v>
                </c:pt>
                <c:pt idx="21">
                  <c:v>16.024076487328731</c:v>
                </c:pt>
                <c:pt idx="22">
                  <c:v>38.916293061763696</c:v>
                </c:pt>
                <c:pt idx="23">
                  <c:v>3.6188384756408176</c:v>
                </c:pt>
                <c:pt idx="24">
                  <c:v>-35.883096405936456</c:v>
                </c:pt>
                <c:pt idx="25">
                  <c:v>39.599445636698817</c:v>
                </c:pt>
                <c:pt idx="26">
                  <c:v>54.881542155778007</c:v>
                </c:pt>
                <c:pt idx="27">
                  <c:v>12.548592433964112</c:v>
                </c:pt>
                <c:pt idx="28">
                  <c:v>97.560644602684434</c:v>
                </c:pt>
                <c:pt idx="29">
                  <c:v>93.19520453117569</c:v>
                </c:pt>
                <c:pt idx="30">
                  <c:v>88.955762004506724</c:v>
                </c:pt>
                <c:pt idx="31">
                  <c:v>68.946782288757944</c:v>
                </c:pt>
                <c:pt idx="32">
                  <c:v>67.066996767042312</c:v>
                </c:pt>
                <c:pt idx="33">
                  <c:v>-21.666681389984621</c:v>
                </c:pt>
                <c:pt idx="34">
                  <c:v>-77.860480175394599</c:v>
                </c:pt>
                <c:pt idx="35">
                  <c:v>-99.052501720421347</c:v>
                </c:pt>
                <c:pt idx="36">
                  <c:v>14.830378785543052</c:v>
                </c:pt>
                <c:pt idx="37">
                  <c:v>98.694792778440956</c:v>
                </c:pt>
                <c:pt idx="38">
                  <c:v>149.44587494912344</c:v>
                </c:pt>
                <c:pt idx="39">
                  <c:v>214.97296112870657</c:v>
                </c:pt>
                <c:pt idx="40">
                  <c:v>15.065349749484591</c:v>
                </c:pt>
                <c:pt idx="41">
                  <c:v>-436.94087457471056</c:v>
                </c:pt>
                <c:pt idx="42">
                  <c:v>121.08325260279607</c:v>
                </c:pt>
                <c:pt idx="43">
                  <c:v>5.73637605767785</c:v>
                </c:pt>
                <c:pt idx="44">
                  <c:v>-279.17858952681729</c:v>
                </c:pt>
                <c:pt idx="45">
                  <c:v>212.96543426627014</c:v>
                </c:pt>
                <c:pt idx="46">
                  <c:v>-263.01089794480981</c:v>
                </c:pt>
                <c:pt idx="47">
                  <c:v>-168.56411783632842</c:v>
                </c:pt>
                <c:pt idx="48">
                  <c:v>81.70114126024086</c:v>
                </c:pt>
                <c:pt idx="49">
                  <c:v>-100.38785189250277</c:v>
                </c:pt>
                <c:pt idx="50">
                  <c:v>-191.59777992030945</c:v>
                </c:pt>
                <c:pt idx="51">
                  <c:v>-251.67677519095432</c:v>
                </c:pt>
                <c:pt idx="52">
                  <c:v>-133.97221486867505</c:v>
                </c:pt>
                <c:pt idx="53">
                  <c:v>-43.304902462623083</c:v>
                </c:pt>
                <c:pt idx="54">
                  <c:v>16.275144308475209</c:v>
                </c:pt>
                <c:pt idx="55">
                  <c:v>100.71989726623931</c:v>
                </c:pt>
                <c:pt idx="56">
                  <c:v>118.0806214695973</c:v>
                </c:pt>
                <c:pt idx="57">
                  <c:v>139.05962503102498</c:v>
                </c:pt>
                <c:pt idx="58">
                  <c:v>-30.024909124172218</c:v>
                </c:pt>
                <c:pt idx="59">
                  <c:v>-95.533334428632429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6B9-B03B-09ED7EE92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682048"/>
        <c:axId val="48968358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1D6-46B9-B03B-09ED7EE92EA2}"/>
              </c:ext>
            </c:extLst>
          </c:dPt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D6-46B9-B03B-09ED7EE92EA2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D6-46B9-B03B-09ED7EE92EA2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1D6-46B9-B03B-09ED7EE92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85376"/>
        <c:axId val="489686912"/>
      </c:scatterChart>
      <c:catAx>
        <c:axId val="48968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6835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89683584"/>
        <c:scaling>
          <c:orientation val="minMax"/>
          <c:max val="300"/>
          <c:min val="-5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682048"/>
        <c:crosses val="autoZero"/>
        <c:crossBetween val="midCat"/>
      </c:valAx>
      <c:valAx>
        <c:axId val="489685376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686912"/>
        <c:crosses val="autoZero"/>
        <c:crossBetween val="midCat"/>
      </c:valAx>
      <c:valAx>
        <c:axId val="48968691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68537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4215955563694"/>
          <c:y val="4.1128366646476885E-2"/>
          <c:w val="0.84625465421473478"/>
          <c:h val="0.8195892590349283"/>
        </c:manualLayout>
      </c:layout>
      <c:lineChart>
        <c:grouping val="standard"/>
        <c:varyColors val="0"/>
        <c:ser>
          <c:idx val="4"/>
          <c:order val="0"/>
          <c:tx>
            <c:strRef>
              <c:f>Charts_Support!$A$536</c:f>
              <c:strCache>
                <c:ptCount val="1"/>
                <c:pt idx="0">
                  <c:v>EBITDA (MS definition)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Charts_Support!$O$531:$CS$531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Charts_Support!$N$539:$CS$539</c:f>
              <c:numCache>
                <c:formatCode>#,##0_);\(#,##0\)</c:formatCode>
                <c:ptCount val="60"/>
                <c:pt idx="0">
                  <c:v>233.60433682010753</c:v>
                </c:pt>
                <c:pt idx="1">
                  <c:v>253.46910910280351</c:v>
                </c:pt>
                <c:pt idx="2">
                  <c:v>-75.155685612291322</c:v>
                </c:pt>
                <c:pt idx="3">
                  <c:v>-566.28584877265371</c:v>
                </c:pt>
                <c:pt idx="4">
                  <c:v>-118.80538594446725</c:v>
                </c:pt>
                <c:pt idx="5">
                  <c:v>27.287251081604957</c:v>
                </c:pt>
                <c:pt idx="6">
                  <c:v>-17.580124584136158</c:v>
                </c:pt>
                <c:pt idx="7">
                  <c:v>-165.08906904474236</c:v>
                </c:pt>
                <c:pt idx="8">
                  <c:v>14.452845428693378</c:v>
                </c:pt>
                <c:pt idx="9">
                  <c:v>60.905087887271058</c:v>
                </c:pt>
                <c:pt idx="10">
                  <c:v>151.31220918796566</c:v>
                </c:pt>
                <c:pt idx="11">
                  <c:v>324.01150122832581</c:v>
                </c:pt>
                <c:pt idx="12">
                  <c:v>135.79786843576011</c:v>
                </c:pt>
                <c:pt idx="13">
                  <c:v>63.431947975711445</c:v>
                </c:pt>
                <c:pt idx="14">
                  <c:v>159.48646147941545</c:v>
                </c:pt>
                <c:pt idx="15">
                  <c:v>72.309617802773232</c:v>
                </c:pt>
                <c:pt idx="16">
                  <c:v>-37.341691700784466</c:v>
                </c:pt>
                <c:pt idx="17">
                  <c:v>-133.48941721419177</c:v>
                </c:pt>
                <c:pt idx="18">
                  <c:v>-99.503035566103065</c:v>
                </c:pt>
                <c:pt idx="19">
                  <c:v>-70.116250495483868</c:v>
                </c:pt>
                <c:pt idx="20">
                  <c:v>96.193209290792026</c:v>
                </c:pt>
                <c:pt idx="21">
                  <c:v>97.072718904547827</c:v>
                </c:pt>
                <c:pt idx="22">
                  <c:v>83.828141613492832</c:v>
                </c:pt>
                <c:pt idx="23">
                  <c:v>203.27107686356567</c:v>
                </c:pt>
                <c:pt idx="24">
                  <c:v>55.188543056902681</c:v>
                </c:pt>
                <c:pt idx="25">
                  <c:v>63.69515636001438</c:v>
                </c:pt>
                <c:pt idx="26">
                  <c:v>61.13259737874688</c:v>
                </c:pt>
                <c:pt idx="27">
                  <c:v>-31.183665573738807</c:v>
                </c:pt>
                <c:pt idx="28">
                  <c:v>62.338196307892559</c:v>
                </c:pt>
                <c:pt idx="29">
                  <c:v>10.575079856904868</c:v>
                </c:pt>
                <c:pt idx="30">
                  <c:v>-32.102041284743088</c:v>
                </c:pt>
                <c:pt idx="31">
                  <c:v>535.09236743590452</c:v>
                </c:pt>
                <c:pt idx="32">
                  <c:v>13.539887482436065</c:v>
                </c:pt>
                <c:pt idx="33">
                  <c:v>34.454617309583604</c:v>
                </c:pt>
                <c:pt idx="34">
                  <c:v>0.44763191023033944</c:v>
                </c:pt>
                <c:pt idx="35">
                  <c:v>-523.14684299024532</c:v>
                </c:pt>
                <c:pt idx="36">
                  <c:v>-161.01531519348663</c:v>
                </c:pt>
                <c:pt idx="37">
                  <c:v>-135.59533869305028</c:v>
                </c:pt>
                <c:pt idx="38">
                  <c:v>-26.498561660089624</c:v>
                </c:pt>
                <c:pt idx="39">
                  <c:v>32.934085495561206</c:v>
                </c:pt>
                <c:pt idx="40">
                  <c:v>-114.42209493435787</c:v>
                </c:pt>
                <c:pt idx="41" formatCode="_-* #,##0_-;\-* #,##0_-;_-* &quot;-&quot;??_-;_-@_-">
                  <c:v>-4628.219269688816</c:v>
                </c:pt>
                <c:pt idx="42" formatCode="_-* #,##0_-;\-* #,##0_-;_-* &quot;-&quot;??_-;_-@_-">
                  <c:v>-903.82363156546978</c:v>
                </c:pt>
                <c:pt idx="43" formatCode="_-* #,##0_-;\-* #,##0_-;_-* &quot;-&quot;??_-;_-@_-">
                  <c:v>-171.7398126237521</c:v>
                </c:pt>
                <c:pt idx="44" formatCode="_-* #,##0_-;\-* #,##0_-;_-* &quot;-&quot;??_-;_-@_-">
                  <c:v>-336.96471801317313</c:v>
                </c:pt>
                <c:pt idx="45" formatCode="_-* #,##0_-;\-* #,##0_-;_-* &quot;-&quot;??_-;_-@_-">
                  <c:v>4596.2081919106622</c:v>
                </c:pt>
                <c:pt idx="46" formatCode="_-* #,##0_-;\-* #,##0_-;_-* &quot;-&quot;??_-;_-@_-">
                  <c:v>909.1347807851439</c:v>
                </c:pt>
                <c:pt idx="47" formatCode="_-* #,##0_-;\-* #,##0_-;_-* &quot;-&quot;??_-;_-@_-">
                  <c:v>101.7752919778181</c:v>
                </c:pt>
                <c:pt idx="48" formatCode="_-* #,##0_-;\-* #,##0_-;_-* &quot;-&quot;??_-;_-@_-">
                  <c:v>546.49232467228944</c:v>
                </c:pt>
                <c:pt idx="49" formatCode="_-* #,##0_-;\-* #,##0_-;_-* &quot;-&quot;??_-;_-@_-">
                  <c:v>85.191764605271331</c:v>
                </c:pt>
                <c:pt idx="50" formatCode="_-* #,##0_-;\-* #,##0_-;_-* &quot;-&quot;??_-;_-@_-">
                  <c:v>-111.32457905237217</c:v>
                </c:pt>
                <c:pt idx="51" formatCode="_-* #,##0_-;\-* #,##0_-;_-* &quot;-&quot;??_-;_-@_-">
                  <c:v>-108.6152797283102</c:v>
                </c:pt>
                <c:pt idx="52" formatCode="_-* #,##0_-;\-* #,##0_-;_-* &quot;-&quot;??_-;_-@_-">
                  <c:v>81.631017504268513</c:v>
                </c:pt>
                <c:pt idx="53" formatCode="_-* #,##0_-;\-* #,##0_-;_-* &quot;-&quot;??_-;_-@_-">
                  <c:v>46.89712533776369</c:v>
                </c:pt>
                <c:pt idx="54" formatCode="_-* #,##0_-;\-* #,##0_-;_-* &quot;-&quot;??_-;_-@_-">
                  <c:v>171.01324122441267</c:v>
                </c:pt>
                <c:pt idx="55" formatCode="_-* #,##0_-;\-* #,##0_-;_-* &quot;-&quot;??_-;_-@_-">
                  <c:v>232.47861638486384</c:v>
                </c:pt>
                <c:pt idx="56" formatCode="_-* #,##0_-;\-* #,##0_-;_-* &quot;-&quot;??_-;_-@_-">
                  <c:v>117.90034750610634</c:v>
                </c:pt>
                <c:pt idx="57" formatCode="_-* #,##0_-;\-* #,##0_-;_-* &quot;-&quot;??_-;_-@_-">
                  <c:v>67.963683534907332</c:v>
                </c:pt>
                <c:pt idx="58" formatCode="_-* #,##0_-;\-* #,##0_-;_-* &quot;-&quot;??_-;_-@_-">
                  <c:v>-41.212337995915341</c:v>
                </c:pt>
                <c:pt idx="59" formatCode="_-* #,##0_-;\-* #,##0_-;_-* &quot;-&quot;??_-;_-@_-">
                  <c:v>-140.95358737049924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65-4D2F-908A-F05B80BE785C}"/>
            </c:ext>
          </c:extLst>
        </c:ser>
        <c:ser>
          <c:idx val="0"/>
          <c:order val="1"/>
          <c:tx>
            <c:strRef>
              <c:f>Charts_Support!$A$532</c:f>
              <c:strCache>
                <c:ptCount val="1"/>
                <c:pt idx="0">
                  <c:v>Adj. EBITDA Mg.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Charts_Support!$O$531:$CS$531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Charts_Support!$N$533:$CS$533</c:f>
              <c:numCache>
                <c:formatCode>#,##0_);\(#,##0\)</c:formatCode>
                <c:ptCount val="60"/>
                <c:pt idx="0">
                  <c:v>233.60433682010753</c:v>
                </c:pt>
                <c:pt idx="1">
                  <c:v>253.46910910280351</c:v>
                </c:pt>
                <c:pt idx="2">
                  <c:v>-75.155685612291322</c:v>
                </c:pt>
                <c:pt idx="3">
                  <c:v>-566.28584877265371</c:v>
                </c:pt>
                <c:pt idx="4">
                  <c:v>-118.80538594446725</c:v>
                </c:pt>
                <c:pt idx="5">
                  <c:v>27.287251081604957</c:v>
                </c:pt>
                <c:pt idx="6">
                  <c:v>-17.580124584136158</c:v>
                </c:pt>
                <c:pt idx="7">
                  <c:v>-165.08906904474236</c:v>
                </c:pt>
                <c:pt idx="8">
                  <c:v>14.452845428693378</c:v>
                </c:pt>
                <c:pt idx="9">
                  <c:v>60.905087887271058</c:v>
                </c:pt>
                <c:pt idx="10">
                  <c:v>151.31220918796566</c:v>
                </c:pt>
                <c:pt idx="11">
                  <c:v>324.01150122832581</c:v>
                </c:pt>
                <c:pt idx="12">
                  <c:v>135.79786843576011</c:v>
                </c:pt>
                <c:pt idx="13">
                  <c:v>63.431947975711445</c:v>
                </c:pt>
                <c:pt idx="14">
                  <c:v>159.48646147941545</c:v>
                </c:pt>
                <c:pt idx="15">
                  <c:v>747.18449172451881</c:v>
                </c:pt>
                <c:pt idx="16">
                  <c:v>807.4578040953453</c:v>
                </c:pt>
                <c:pt idx="17">
                  <c:v>755.72644202660933</c:v>
                </c:pt>
                <c:pt idx="18">
                  <c:v>821.83680874091897</c:v>
                </c:pt>
                <c:pt idx="19">
                  <c:v>355.38232830220949</c:v>
                </c:pt>
                <c:pt idx="20">
                  <c:v>23.109320595414708</c:v>
                </c:pt>
                <c:pt idx="21">
                  <c:v>-27.772574310379603</c:v>
                </c:pt>
                <c:pt idx="22">
                  <c:v>-78.736627532793307</c:v>
                </c:pt>
                <c:pt idx="23">
                  <c:v>-124.41489565699376</c:v>
                </c:pt>
                <c:pt idx="24">
                  <c:v>71.823164902247996</c:v>
                </c:pt>
                <c:pt idx="25">
                  <c:v>24.035937709176725</c:v>
                </c:pt>
                <c:pt idx="26">
                  <c:v>33.744910491101123</c:v>
                </c:pt>
                <c:pt idx="27">
                  <c:v>-85.121636864859965</c:v>
                </c:pt>
                <c:pt idx="28">
                  <c:v>-5.8329821053729187</c:v>
                </c:pt>
                <c:pt idx="29">
                  <c:v>25.905472928368923</c:v>
                </c:pt>
                <c:pt idx="30">
                  <c:v>-119.94172701718291</c:v>
                </c:pt>
                <c:pt idx="31">
                  <c:v>42.919296589585265</c:v>
                </c:pt>
                <c:pt idx="32">
                  <c:v>-13.421330522653264</c:v>
                </c:pt>
                <c:pt idx="33">
                  <c:v>-42.383318062565735</c:v>
                </c:pt>
                <c:pt idx="34">
                  <c:v>-42.624271809878209</c:v>
                </c:pt>
                <c:pt idx="35">
                  <c:v>-253.247168192271</c:v>
                </c:pt>
                <c:pt idx="36">
                  <c:v>-207.0315812143711</c:v>
                </c:pt>
                <c:pt idx="37">
                  <c:v>-101.27065081820568</c:v>
                </c:pt>
                <c:pt idx="38">
                  <c:v>-77.938671780649898</c:v>
                </c:pt>
                <c:pt idx="39">
                  <c:v>86.81213693566697</c:v>
                </c:pt>
                <c:pt idx="40">
                  <c:v>-331.7474688643743</c:v>
                </c:pt>
                <c:pt idx="41" formatCode="_-* #,##0_-;\-* #,##0_-;_-* &quot;-&quot;??_-;_-@_-">
                  <c:v>-3953.0397761276236</c:v>
                </c:pt>
                <c:pt idx="42" formatCode="_-* #,##0_-;\-* #,##0_-;_-* &quot;-&quot;??_-;_-@_-">
                  <c:v>-725.64726325135553</c:v>
                </c:pt>
                <c:pt idx="43" formatCode="_-* #,##0_-;\-* #,##0_-;_-* &quot;-&quot;??_-;_-@_-">
                  <c:v>128.36995900893905</c:v>
                </c:pt>
                <c:pt idx="44" formatCode="_-* #,##0_-;\-* #,##0_-;_-* &quot;-&quot;??_-;_-@_-">
                  <c:v>13.955535530587039</c:v>
                </c:pt>
                <c:pt idx="45" formatCode="_-* #,##0_-;\-* #,##0_-;_-* &quot;-&quot;??_-;_-@_-">
                  <c:v>3958.1583480470249</c:v>
                </c:pt>
                <c:pt idx="46" formatCode="_-* #,##0_-;\-* #,##0_-;_-* &quot;-&quot;??_-;_-@_-">
                  <c:v>782.7598615978934</c:v>
                </c:pt>
                <c:pt idx="47" formatCode="_-* #,##0_-;\-* #,##0_-;_-* &quot;-&quot;??_-;_-@_-">
                  <c:v>172.92902152621164</c:v>
                </c:pt>
                <c:pt idx="48" formatCode="_-* #,##0_-;\-* #,##0_-;_-* &quot;-&quot;??_-;_-@_-">
                  <c:v>387.45726778728368</c:v>
                </c:pt>
                <c:pt idx="49" formatCode="_-* #,##0_-;\-* #,##0_-;_-* &quot;-&quot;??_-;_-@_-">
                  <c:v>-34.841469368494529</c:v>
                </c:pt>
                <c:pt idx="50" formatCode="_-* #,##0_-;\-* #,##0_-;_-* &quot;-&quot;??_-;_-@_-">
                  <c:v>-172.00959145245969</c:v>
                </c:pt>
                <c:pt idx="51" formatCode="_-* #,##0_-;\-* #,##0_-;_-* &quot;-&quot;??_-;_-@_-">
                  <c:v>-507.77134156346187</c:v>
                </c:pt>
                <c:pt idx="52" formatCode="_-* #,##0_-;\-* #,##0_-;_-* &quot;-&quot;??_-;_-@_-">
                  <c:v>-32.049914785709234</c:v>
                </c:pt>
                <c:pt idx="53" formatCode="_-* #,##0_-;\-* #,##0_-;_-* &quot;-&quot;??_-;_-@_-">
                  <c:v>52.186982474463349</c:v>
                </c:pt>
                <c:pt idx="54" formatCode="_-* #,##0_-;\-* #,##0_-;_-* &quot;-&quot;??_-;_-@_-">
                  <c:v>168.83872172563514</c:v>
                </c:pt>
                <c:pt idx="55" formatCode="_-* #,##0_-;\-* #,##0_-;_-* &quot;-&quot;??_-;_-@_-">
                  <c:v>128.30551299104127</c:v>
                </c:pt>
                <c:pt idx="56" formatCode="_-* #,##0_-;\-* #,##0_-;_-* &quot;-&quot;??_-;_-@_-">
                  <c:v>155.26865269788692</c:v>
                </c:pt>
                <c:pt idx="57" formatCode="_-* #,##0_-;\-* #,##0_-;_-* &quot;-&quot;??_-;_-@_-">
                  <c:v>-8.000853852599132</c:v>
                </c:pt>
                <c:pt idx="58" formatCode="_-* #,##0_-;\-* #,##0_-;_-* &quot;-&quot;??_-;_-@_-">
                  <c:v>-59.189943923895484</c:v>
                </c:pt>
                <c:pt idx="59" formatCode="_-* #,##0_-;\-* #,##0_-;_-* &quot;-&quot;??_-;_-@_-">
                  <c:v>-49.242087622128615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65-4D2F-908A-F05B80BE7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38624"/>
        <c:axId val="489740160"/>
      </c:lineChart>
      <c:scatterChart>
        <c:scatterStyle val="lineMarker"/>
        <c:varyColors val="0"/>
        <c:ser>
          <c:idx val="1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65-4D2F-908A-F05B80BE785C}"/>
            </c:ext>
          </c:extLst>
        </c:ser>
        <c:ser>
          <c:idx val="2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65-4D2F-908A-F05B80BE785C}"/>
            </c:ext>
          </c:extLst>
        </c:ser>
        <c:ser>
          <c:idx val="3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65-4D2F-908A-F05B80BE7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42336"/>
        <c:axId val="489743872"/>
      </c:scatterChart>
      <c:catAx>
        <c:axId val="4897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74016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89740160"/>
        <c:scaling>
          <c:orientation val="minMax"/>
          <c:max val="1000"/>
          <c:min val="-1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bps</a:t>
                </a:r>
              </a:p>
            </c:rich>
          </c:tx>
          <c:layout>
            <c:manualLayout>
              <c:xMode val="edge"/>
              <c:yMode val="edge"/>
              <c:x val="0.10852713178294573"/>
              <c:y val="8.8565450129833006E-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738624"/>
        <c:crosses val="autoZero"/>
        <c:crossBetween val="between"/>
      </c:valAx>
      <c:valAx>
        <c:axId val="489742336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89743872"/>
        <c:crosses val="autoZero"/>
        <c:crossBetween val="midCat"/>
      </c:valAx>
      <c:valAx>
        <c:axId val="48974387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89742336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21795865633074935"/>
          <c:y val="0.61174161127404425"/>
          <c:w val="0.35882907078475657"/>
          <c:h val="0.1278528390994882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2653721682848"/>
          <c:y val="5.9634558459745246E-2"/>
          <c:w val="0.81165048543689322"/>
          <c:h val="0.76659439324358258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Charts_Support!$B$287:$AE$287</c15:sqref>
                  </c15:fullRef>
                </c:ext>
              </c:extLst>
              <c:f>Charts_Support!$N$287:$AE$287</c:f>
              <c:numCache>
                <c:formatCode>General</c:formatCode>
                <c:ptCount val="1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 formatCode="###0&quot;E&quot;">
                  <c:v>2024</c:v>
                </c:pt>
                <c:pt idx="12" formatCode="###0&quot;E&quot;">
                  <c:v>2025</c:v>
                </c:pt>
                <c:pt idx="13" formatCode="###0&quot;E&quot;">
                  <c:v>2026</c:v>
                </c:pt>
                <c:pt idx="14" formatCode="###0&quot;E&quot;">
                  <c:v>2027</c:v>
                </c:pt>
                <c:pt idx="15" formatCode="###0&quot;E&quot;">
                  <c:v>2028</c:v>
                </c:pt>
                <c:pt idx="16" formatCode="###0&quot;E&quot;">
                  <c:v>2029</c:v>
                </c:pt>
                <c:pt idx="17" formatCode="###0&quot;E&quot;">
                  <c:v>2030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Charts_Support!$B$424:$AE$424</c15:sqref>
                  </c15:fullRef>
                </c:ext>
              </c:extLst>
              <c:f>Charts_Support!$N$424:$AE$424</c:f>
              <c:numCache>
                <c:formatCode>#,##0.0\x_);\(#,##0.0\x\)</c:formatCode>
                <c:ptCount val="18"/>
                <c:pt idx="0">
                  <c:v>6.5665371315019545</c:v>
                </c:pt>
                <c:pt idx="1">
                  <c:v>3.8805062835449671</c:v>
                </c:pt>
                <c:pt idx="2">
                  <c:v>5.5268325137714962</c:v>
                </c:pt>
                <c:pt idx="3">
                  <c:v>5.5550570369770993</c:v>
                </c:pt>
                <c:pt idx="4">
                  <c:v>5.6665044111822462</c:v>
                </c:pt>
                <c:pt idx="5">
                  <c:v>3.8574577078865859</c:v>
                </c:pt>
                <c:pt idx="6">
                  <c:v>4.360971059591078</c:v>
                </c:pt>
                <c:pt idx="7">
                  <c:v>3.4443327824097074</c:v>
                </c:pt>
                <c:pt idx="8">
                  <c:v>4.1660136721731158</c:v>
                </c:pt>
                <c:pt idx="9">
                  <c:v>3.9676723156232576</c:v>
                </c:pt>
                <c:pt idx="10">
                  <c:v>6.2029515580825159</c:v>
                </c:pt>
                <c:pt idx="11">
                  <c:v>6.6143822163239463</c:v>
                </c:pt>
                <c:pt idx="12">
                  <c:v>5.2835913038246778</c:v>
                </c:pt>
                <c:pt idx="13">
                  <c:v>4.073893394182206</c:v>
                </c:pt>
                <c:pt idx="14">
                  <c:v>3.1016090538944407</c:v>
                </c:pt>
                <c:pt idx="15">
                  <c:v>2.4768014206045756</c:v>
                </c:pt>
                <c:pt idx="16">
                  <c:v>2.0344921994795926</c:v>
                </c:pt>
                <c:pt idx="17">
                  <c:v>1.7086898119704634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3-4CB5-B61A-C123E54E692D}"/>
            </c:ext>
          </c:extLst>
        </c:ser>
        <c:ser>
          <c:idx val="2"/>
          <c:order val="2"/>
          <c:tx>
            <c:strRef>
              <c:f>Charts_Support!$A$423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/>
            </a:solidFill>
            <a:ln w="12700">
              <a:noFill/>
              <a:prstDash val="solid"/>
            </a:ln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Charts_Support!$B$287:$AE$287</c15:sqref>
                  </c15:fullRef>
                </c:ext>
              </c:extLst>
              <c:f>Charts_Support!$N$287:$AE$287</c:f>
              <c:numCache>
                <c:formatCode>General</c:formatCode>
                <c:ptCount val="1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 formatCode="###0&quot;E&quot;">
                  <c:v>2024</c:v>
                </c:pt>
                <c:pt idx="12" formatCode="###0&quot;E&quot;">
                  <c:v>2025</c:v>
                </c:pt>
                <c:pt idx="13" formatCode="###0&quot;E&quot;">
                  <c:v>2026</c:v>
                </c:pt>
                <c:pt idx="14" formatCode="###0&quot;E&quot;">
                  <c:v>2027</c:v>
                </c:pt>
                <c:pt idx="15" formatCode="###0&quot;E&quot;">
                  <c:v>2028</c:v>
                </c:pt>
                <c:pt idx="16" formatCode="###0&quot;E&quot;">
                  <c:v>2029</c:v>
                </c:pt>
                <c:pt idx="17" formatCode="###0&quot;E&quot;">
                  <c:v>2030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Charts_Support!$B$423:$AE$423</c15:sqref>
                  </c15:fullRef>
                </c:ext>
              </c:extLst>
              <c:f>Charts_Support!$N$423:$AE$423</c:f>
              <c:numCache>
                <c:formatCode>#,##0.0\x_);\(#,##0.0\x\)</c:formatCode>
                <c:ptCount val="18"/>
                <c:pt idx="0">
                  <c:v>6.5665371315019545</c:v>
                </c:pt>
                <c:pt idx="1">
                  <c:v>3.8805062835449671</c:v>
                </c:pt>
                <c:pt idx="2">
                  <c:v>5.5268325137714962</c:v>
                </c:pt>
                <c:pt idx="3">
                  <c:v>5.5550570369770993</c:v>
                </c:pt>
                <c:pt idx="4">
                  <c:v>5.6665044111822462</c:v>
                </c:pt>
                <c:pt idx="5">
                  <c:v>3.8574577078865859</c:v>
                </c:pt>
                <c:pt idx="6">
                  <c:v>4.360971059591078</c:v>
                </c:pt>
                <c:pt idx="7">
                  <c:v>3.4443327824097074</c:v>
                </c:pt>
                <c:pt idx="8">
                  <c:v>4.1660136721731158</c:v>
                </c:pt>
                <c:pt idx="9">
                  <c:v>3.9676723156232576</c:v>
                </c:pt>
                <c:pt idx="10">
                  <c:v>6.2029515580825159</c:v>
                </c:pt>
                <c:pt idx="11">
                  <c:v>6.034409505952282</c:v>
                </c:pt>
                <c:pt idx="12">
                  <c:v>4.6428330930565496</c:v>
                </c:pt>
                <c:pt idx="13">
                  <c:v>3.5814304522596361</c:v>
                </c:pt>
                <c:pt idx="14">
                  <c:v>2.806137630957521</c:v>
                </c:pt>
                <c:pt idx="15">
                  <c:v>2.254464001500053</c:v>
                </c:pt>
                <c:pt idx="16">
                  <c:v>1.8572064886930637</c:v>
                </c:pt>
                <c:pt idx="17">
                  <c:v>1.5599961642189974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3-4CB5-B61A-C123E54E6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98272"/>
        <c:axId val="489800064"/>
      </c:areaChart>
      <c:lineChart>
        <c:grouping val="standard"/>
        <c:varyColors val="0"/>
        <c:ser>
          <c:idx val="0"/>
          <c:order val="0"/>
          <c:tx>
            <c:strRef>
              <c:f>Charts_Support!$A$422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Charts_Support!$B$287:$AE$287</c15:sqref>
                  </c15:fullRef>
                </c:ext>
              </c:extLst>
              <c:f>Charts_Support!$N$287:$AE$287</c:f>
              <c:numCache>
                <c:formatCode>General</c:formatCode>
                <c:ptCount val="1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 formatCode="###0&quot;E&quot;">
                  <c:v>2024</c:v>
                </c:pt>
                <c:pt idx="12" formatCode="###0&quot;E&quot;">
                  <c:v>2025</c:v>
                </c:pt>
                <c:pt idx="13" formatCode="###0&quot;E&quot;">
                  <c:v>2026</c:v>
                </c:pt>
                <c:pt idx="14" formatCode="###0&quot;E&quot;">
                  <c:v>2027</c:v>
                </c:pt>
                <c:pt idx="15" formatCode="###0&quot;E&quot;">
                  <c:v>2028</c:v>
                </c:pt>
                <c:pt idx="16" formatCode="###0&quot;E&quot;">
                  <c:v>2029</c:v>
                </c:pt>
                <c:pt idx="17" formatCode="###0&quot;E&quot;">
                  <c:v>2030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Charts_Support!$B$422:$AE$422</c15:sqref>
                  </c15:fullRef>
                </c:ext>
              </c:extLst>
              <c:f>Charts_Support!$N$422:$AE$422</c:f>
              <c:numCache>
                <c:formatCode>#,##0.0\x_);\(#,##0.0\x\)</c:formatCode>
                <c:ptCount val="18"/>
                <c:pt idx="0">
                  <c:v>6.5665371315019545</c:v>
                </c:pt>
                <c:pt idx="1">
                  <c:v>3.8805062835449671</c:v>
                </c:pt>
                <c:pt idx="2">
                  <c:v>5.5268325137714962</c:v>
                </c:pt>
                <c:pt idx="3">
                  <c:v>5.5550570369770993</c:v>
                </c:pt>
                <c:pt idx="4">
                  <c:v>5.6665044111822462</c:v>
                </c:pt>
                <c:pt idx="5">
                  <c:v>3.8574577078865859</c:v>
                </c:pt>
                <c:pt idx="6">
                  <c:v>4.360971059591078</c:v>
                </c:pt>
                <c:pt idx="7">
                  <c:v>3.4443327824097074</c:v>
                </c:pt>
                <c:pt idx="8">
                  <c:v>4.1660136721731158</c:v>
                </c:pt>
                <c:pt idx="9">
                  <c:v>3.9676723156232576</c:v>
                </c:pt>
                <c:pt idx="10">
                  <c:v>6.2029515580825159</c:v>
                </c:pt>
                <c:pt idx="11">
                  <c:v>6.1754471493517</c:v>
                </c:pt>
                <c:pt idx="12">
                  <c:v>4.8695638407790653</c:v>
                </c:pt>
                <c:pt idx="13">
                  <c:v>3.8261885445430974</c:v>
                </c:pt>
                <c:pt idx="14">
                  <c:v>3.038348043490477</c:v>
                </c:pt>
                <c:pt idx="15">
                  <c:v>2.4687832005198209</c:v>
                </c:pt>
                <c:pt idx="16">
                  <c:v>2.0595166267620089</c:v>
                </c:pt>
                <c:pt idx="17">
                  <c:v>1.7519926143113242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3-4CB5-B61A-C123E54E6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98272"/>
        <c:axId val="489800064"/>
      </c:lineChart>
      <c:catAx>
        <c:axId val="48979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00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80006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\x_);\(#,##0.0\x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798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13718981866986685"/>
          <c:y val="2.1651076203606994E-2"/>
          <c:w val="0.72623941044384488"/>
          <c:h val="9.0775959766982606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85436893203884"/>
          <c:y val="5.5374680906900363E-2"/>
          <c:w val="0.81165048543689322"/>
          <c:h val="0.76666567622443416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Charts_Support!$B$419:$AE$419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51.223479223479032</c:v>
                </c:pt>
                <c:pt idx="14">
                  <c:v>51.084456271160214</c:v>
                </c:pt>
                <c:pt idx="15">
                  <c:v>49.674269823938978</c:v>
                </c:pt>
                <c:pt idx="16">
                  <c:v>49.205012717204497</c:v>
                </c:pt>
                <c:pt idx="17">
                  <c:v>44.836932063156418</c:v>
                </c:pt>
                <c:pt idx="18">
                  <c:v>45.08881802583457</c:v>
                </c:pt>
                <c:pt idx="19">
                  <c:v>0</c:v>
                </c:pt>
                <c:pt idx="20">
                  <c:v>38.107683833654647</c:v>
                </c:pt>
                <c:pt idx="21">
                  <c:v>18.516542253887859</c:v>
                </c:pt>
                <c:pt idx="22">
                  <c:v>17.726085216340394</c:v>
                </c:pt>
                <c:pt idx="23">
                  <c:v>44.436492145454878</c:v>
                </c:pt>
                <c:pt idx="24">
                  <c:v>26.260843856161348</c:v>
                </c:pt>
                <c:pt idx="25">
                  <c:v>17.793523109064139</c:v>
                </c:pt>
                <c:pt idx="26">
                  <c:v>12.99581214303681</c:v>
                </c:pt>
                <c:pt idx="27">
                  <c:v>12.295095804762443</c:v>
                </c:pt>
                <c:pt idx="28">
                  <c:v>11.392557354023829</c:v>
                </c:pt>
                <c:pt idx="29">
                  <c:v>10.670014177495112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F-46D7-A95D-8A6DBD7AB37F}"/>
            </c:ext>
          </c:extLst>
        </c:ser>
        <c:ser>
          <c:idx val="2"/>
          <c:order val="1"/>
          <c:tx>
            <c:strRef>
              <c:f>Charts_Support!$A$419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Charts_Support!$B$418:$AE$418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51.223479223479032</c:v>
                </c:pt>
                <c:pt idx="14">
                  <c:v>51.084456271160214</c:v>
                </c:pt>
                <c:pt idx="15">
                  <c:v>49.674269823938978</c:v>
                </c:pt>
                <c:pt idx="16">
                  <c:v>49.205012717204497</c:v>
                </c:pt>
                <c:pt idx="17">
                  <c:v>44.836932063156418</c:v>
                </c:pt>
                <c:pt idx="18">
                  <c:v>45.08881802583457</c:v>
                </c:pt>
                <c:pt idx="19">
                  <c:v>0</c:v>
                </c:pt>
                <c:pt idx="20">
                  <c:v>38.107683833654647</c:v>
                </c:pt>
                <c:pt idx="21">
                  <c:v>18.516542253887859</c:v>
                </c:pt>
                <c:pt idx="22">
                  <c:v>17.726085216340394</c:v>
                </c:pt>
                <c:pt idx="23">
                  <c:v>27.001758678118389</c:v>
                </c:pt>
                <c:pt idx="24">
                  <c:v>15.154215924698445</c:v>
                </c:pt>
                <c:pt idx="25">
                  <c:v>11.599088898173015</c:v>
                </c:pt>
                <c:pt idx="26">
                  <c:v>9.2042245752577525</c:v>
                </c:pt>
                <c:pt idx="27">
                  <c:v>8.1701329162175504</c:v>
                </c:pt>
                <c:pt idx="28">
                  <c:v>7.4844077134534253</c:v>
                </c:pt>
                <c:pt idx="29">
                  <c:v>6.9134049069783989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BF-46D7-A95D-8A6DBD7AB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24640"/>
        <c:axId val="489826176"/>
      </c:areaChart>
      <c:lineChart>
        <c:grouping val="standard"/>
        <c:varyColors val="0"/>
        <c:ser>
          <c:idx val="0"/>
          <c:order val="2"/>
          <c:tx>
            <c:strRef>
              <c:f>Charts_Support!$A$417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Charts_Support!$B$417:$AE$417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51.223479223479032</c:v>
                </c:pt>
                <c:pt idx="14">
                  <c:v>51.084456271160214</c:v>
                </c:pt>
                <c:pt idx="15">
                  <c:v>49.674269823938978</c:v>
                </c:pt>
                <c:pt idx="16">
                  <c:v>49.205012717204497</c:v>
                </c:pt>
                <c:pt idx="17">
                  <c:v>44.836932063156418</c:v>
                </c:pt>
                <c:pt idx="18">
                  <c:v>45.08881802583457</c:v>
                </c:pt>
                <c:pt idx="19">
                  <c:v>0</c:v>
                </c:pt>
                <c:pt idx="20">
                  <c:v>38.107683833654647</c:v>
                </c:pt>
                <c:pt idx="21">
                  <c:v>18.516542253887859</c:v>
                </c:pt>
                <c:pt idx="22">
                  <c:v>17.726085216340394</c:v>
                </c:pt>
                <c:pt idx="23">
                  <c:v>30.075259151586625</c:v>
                </c:pt>
                <c:pt idx="24">
                  <c:v>17.362536743302453</c:v>
                </c:pt>
                <c:pt idx="25">
                  <c:v>13.258609752419803</c:v>
                </c:pt>
                <c:pt idx="26">
                  <c:v>10.45704770810346</c:v>
                </c:pt>
                <c:pt idx="27">
                  <c:v>9.3635516066587527</c:v>
                </c:pt>
                <c:pt idx="28">
                  <c:v>8.7901014553991601</c:v>
                </c:pt>
                <c:pt idx="29">
                  <c:v>8.2955484472906669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BF-46D7-A95D-8A6DBD7AB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24640"/>
        <c:axId val="489826176"/>
      </c:lineChart>
      <c:catAx>
        <c:axId val="48982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6176"/>
        <c:crosses val="autoZero"/>
        <c:auto val="1"/>
        <c:lblAlgn val="ctr"/>
        <c:lblOffset val="100"/>
        <c:noMultiLvlLbl val="0"/>
      </c:catAx>
      <c:valAx>
        <c:axId val="48982617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464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2382197737927137"/>
          <c:y val="2.4669593884676651E-2"/>
          <c:w val="0.33928056184008781"/>
          <c:h val="7.1844718734482518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Charts_Support!$B$6:$Z$6</c:f>
              <c:numCache>
                <c:formatCode>General</c:formatCode>
                <c:ptCount val="2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</c:numCache>
            </c:numRef>
          </c:cat>
          <c:val>
            <c:numRef>
              <c:f>Charts_Support!$B$32:$AE$32</c:f>
              <c:numCache>
                <c:formatCode>#,##0_);\(#,##0\)</c:formatCode>
                <c:ptCount val="30"/>
                <c:pt idx="0">
                  <c:v>437</c:v>
                </c:pt>
                <c:pt idx="1">
                  <c:v>518</c:v>
                </c:pt>
                <c:pt idx="2">
                  <c:v>560</c:v>
                </c:pt>
                <c:pt idx="3">
                  <c:v>626</c:v>
                </c:pt>
                <c:pt idx="4">
                  <c:v>728</c:v>
                </c:pt>
                <c:pt idx="5">
                  <c:v>865</c:v>
                </c:pt>
                <c:pt idx="6">
                  <c:v>989</c:v>
                </c:pt>
                <c:pt idx="7">
                  <c:v>1135</c:v>
                </c:pt>
                <c:pt idx="8">
                  <c:v>1171</c:v>
                </c:pt>
                <c:pt idx="9">
                  <c:v>1206</c:v>
                </c:pt>
                <c:pt idx="10">
                  <c:v>1283</c:v>
                </c:pt>
                <c:pt idx="11">
                  <c:v>1435</c:v>
                </c:pt>
                <c:pt idx="12">
                  <c:v>1862</c:v>
                </c:pt>
                <c:pt idx="13">
                  <c:v>2784</c:v>
                </c:pt>
                <c:pt idx="14">
                  <c:v>2954</c:v>
                </c:pt>
                <c:pt idx="15">
                  <c:v>3195</c:v>
                </c:pt>
                <c:pt idx="16">
                  <c:v>3438</c:v>
                </c:pt>
                <c:pt idx="17">
                  <c:v>3688</c:v>
                </c:pt>
                <c:pt idx="18">
                  <c:v>4310</c:v>
                </c:pt>
                <c:pt idx="19">
                  <c:v>4193</c:v>
                </c:pt>
                <c:pt idx="20">
                  <c:v>4262</c:v>
                </c:pt>
                <c:pt idx="21">
                  <c:v>4447</c:v>
                </c:pt>
                <c:pt idx="22">
                  <c:v>4622</c:v>
                </c:pt>
                <c:pt idx="23">
                  <c:v>4809</c:v>
                </c:pt>
                <c:pt idx="24">
                  <c:v>4990</c:v>
                </c:pt>
                <c:pt idx="25">
                  <c:v>5136</c:v>
                </c:pt>
                <c:pt idx="26">
                  <c:v>5262</c:v>
                </c:pt>
                <c:pt idx="27">
                  <c:v>5385</c:v>
                </c:pt>
                <c:pt idx="28">
                  <c:v>5508</c:v>
                </c:pt>
                <c:pt idx="29">
                  <c:v>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4-44E8-AF54-F45E0DEF35CB}"/>
            </c:ext>
          </c:extLst>
        </c:ser>
        <c:ser>
          <c:idx val="2"/>
          <c:order val="2"/>
          <c:tx>
            <c:strRef>
              <c:f>Charts_Support!$A$53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Charts_Support!$B$6:$Z$6</c:f>
              <c:numCache>
                <c:formatCode>General</c:formatCode>
                <c:ptCount val="2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</c:numCache>
            </c:numRef>
          </c:cat>
          <c:val>
            <c:numRef>
              <c:f>Charts_Support!$B$33:$AE$33</c:f>
              <c:numCache>
                <c:formatCode>#,##0_);\(#,##0\)</c:formatCode>
                <c:ptCount val="30"/>
                <c:pt idx="0">
                  <c:v>437</c:v>
                </c:pt>
                <c:pt idx="1">
                  <c:v>518</c:v>
                </c:pt>
                <c:pt idx="2">
                  <c:v>560</c:v>
                </c:pt>
                <c:pt idx="3">
                  <c:v>626</c:v>
                </c:pt>
                <c:pt idx="4">
                  <c:v>728</c:v>
                </c:pt>
                <c:pt idx="5">
                  <c:v>865</c:v>
                </c:pt>
                <c:pt idx="6">
                  <c:v>989</c:v>
                </c:pt>
                <c:pt idx="7">
                  <c:v>1135</c:v>
                </c:pt>
                <c:pt idx="8">
                  <c:v>1171</c:v>
                </c:pt>
                <c:pt idx="9">
                  <c:v>1206</c:v>
                </c:pt>
                <c:pt idx="10">
                  <c:v>1283</c:v>
                </c:pt>
                <c:pt idx="11">
                  <c:v>1435</c:v>
                </c:pt>
                <c:pt idx="12">
                  <c:v>1862</c:v>
                </c:pt>
                <c:pt idx="13">
                  <c:v>2784</c:v>
                </c:pt>
                <c:pt idx="14">
                  <c:v>2954</c:v>
                </c:pt>
                <c:pt idx="15">
                  <c:v>3195</c:v>
                </c:pt>
                <c:pt idx="16">
                  <c:v>3438</c:v>
                </c:pt>
                <c:pt idx="17">
                  <c:v>3688</c:v>
                </c:pt>
                <c:pt idx="18">
                  <c:v>4310</c:v>
                </c:pt>
                <c:pt idx="19">
                  <c:v>4193</c:v>
                </c:pt>
                <c:pt idx="20">
                  <c:v>4262</c:v>
                </c:pt>
                <c:pt idx="21">
                  <c:v>4447</c:v>
                </c:pt>
                <c:pt idx="22">
                  <c:v>4622</c:v>
                </c:pt>
                <c:pt idx="23">
                  <c:v>4785</c:v>
                </c:pt>
                <c:pt idx="24">
                  <c:v>4928</c:v>
                </c:pt>
                <c:pt idx="25">
                  <c:v>5044</c:v>
                </c:pt>
                <c:pt idx="26">
                  <c:v>5146</c:v>
                </c:pt>
                <c:pt idx="27">
                  <c:v>5245</c:v>
                </c:pt>
                <c:pt idx="28">
                  <c:v>5344</c:v>
                </c:pt>
                <c:pt idx="29">
                  <c:v>5429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84-44E8-AF54-F45E0DEF3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53312"/>
        <c:axId val="489854848"/>
      </c:areaChart>
      <c:lineChart>
        <c:grouping val="standard"/>
        <c:varyColors val="0"/>
        <c:ser>
          <c:idx val="0"/>
          <c:order val="0"/>
          <c:tx>
            <c:strRef>
              <c:f>Charts_Support!$A$31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Charts_Support!$B$31:$AE$31</c:f>
              <c:numCache>
                <c:formatCode>#,##0_);\(#,##0\)</c:formatCode>
                <c:ptCount val="30"/>
                <c:pt idx="0">
                  <c:v>437</c:v>
                </c:pt>
                <c:pt idx="1">
                  <c:v>518</c:v>
                </c:pt>
                <c:pt idx="2">
                  <c:v>560</c:v>
                </c:pt>
                <c:pt idx="3">
                  <c:v>626</c:v>
                </c:pt>
                <c:pt idx="4">
                  <c:v>728</c:v>
                </c:pt>
                <c:pt idx="5">
                  <c:v>865</c:v>
                </c:pt>
                <c:pt idx="6">
                  <c:v>989</c:v>
                </c:pt>
                <c:pt idx="7">
                  <c:v>1135</c:v>
                </c:pt>
                <c:pt idx="8">
                  <c:v>1171</c:v>
                </c:pt>
                <c:pt idx="9">
                  <c:v>1206</c:v>
                </c:pt>
                <c:pt idx="10">
                  <c:v>1283</c:v>
                </c:pt>
                <c:pt idx="11">
                  <c:v>1435</c:v>
                </c:pt>
                <c:pt idx="12">
                  <c:v>1862</c:v>
                </c:pt>
                <c:pt idx="13">
                  <c:v>2784</c:v>
                </c:pt>
                <c:pt idx="14">
                  <c:v>2954</c:v>
                </c:pt>
                <c:pt idx="15">
                  <c:v>3195</c:v>
                </c:pt>
                <c:pt idx="16">
                  <c:v>3438</c:v>
                </c:pt>
                <c:pt idx="17">
                  <c:v>3688</c:v>
                </c:pt>
                <c:pt idx="18">
                  <c:v>4310</c:v>
                </c:pt>
                <c:pt idx="19">
                  <c:v>4193</c:v>
                </c:pt>
                <c:pt idx="20">
                  <c:v>4262</c:v>
                </c:pt>
                <c:pt idx="21">
                  <c:v>4447</c:v>
                </c:pt>
                <c:pt idx="22">
                  <c:v>4622</c:v>
                </c:pt>
                <c:pt idx="23">
                  <c:v>4809</c:v>
                </c:pt>
                <c:pt idx="24">
                  <c:v>4990</c:v>
                </c:pt>
                <c:pt idx="25">
                  <c:v>5136</c:v>
                </c:pt>
                <c:pt idx="26">
                  <c:v>5262</c:v>
                </c:pt>
                <c:pt idx="27">
                  <c:v>5385</c:v>
                </c:pt>
                <c:pt idx="28">
                  <c:v>5508</c:v>
                </c:pt>
                <c:pt idx="29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84-44E8-AF54-F45E0DEF3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53312"/>
        <c:axId val="489854848"/>
      </c:lineChart>
      <c:catAx>
        <c:axId val="48985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5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8548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533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6.4353656767985254E-2"/>
          <c:w val="0.86111253535168564"/>
          <c:h val="0.748733076837768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Charts_Support!$A$7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invertIfNegative val="0"/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Charts_Support!$J$7:$AE$7</c:f>
              <c:numCache>
                <c:formatCode>#,##0_);\(#,##0\)</c:formatCode>
                <c:ptCount val="22"/>
                <c:pt idx="0">
                  <c:v>1001</c:v>
                </c:pt>
                <c:pt idx="1">
                  <c:v>1037</c:v>
                </c:pt>
                <c:pt idx="2">
                  <c:v>1075</c:v>
                </c:pt>
                <c:pt idx="3">
                  <c:v>1186</c:v>
                </c:pt>
                <c:pt idx="4">
                  <c:v>1575</c:v>
                </c:pt>
                <c:pt idx="5">
                  <c:v>1999</c:v>
                </c:pt>
                <c:pt idx="6">
                  <c:v>2092</c:v>
                </c:pt>
                <c:pt idx="7">
                  <c:v>2215</c:v>
                </c:pt>
                <c:pt idx="8">
                  <c:v>2346</c:v>
                </c:pt>
                <c:pt idx="9">
                  <c:v>2467</c:v>
                </c:pt>
                <c:pt idx="10">
                  <c:v>2272</c:v>
                </c:pt>
                <c:pt idx="11">
                  <c:v>2184</c:v>
                </c:pt>
                <c:pt idx="12">
                  <c:v>2174</c:v>
                </c:pt>
                <c:pt idx="13">
                  <c:v>2248</c:v>
                </c:pt>
                <c:pt idx="14">
                  <c:v>2313</c:v>
                </c:pt>
                <c:pt idx="15">
                  <c:v>2388</c:v>
                </c:pt>
                <c:pt idx="16">
                  <c:v>2471</c:v>
                </c:pt>
                <c:pt idx="17">
                  <c:v>2541</c:v>
                </c:pt>
                <c:pt idx="18">
                  <c:v>2600</c:v>
                </c:pt>
                <c:pt idx="19">
                  <c:v>2659</c:v>
                </c:pt>
                <c:pt idx="20">
                  <c:v>2718</c:v>
                </c:pt>
                <c:pt idx="21">
                  <c:v>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7-4C75-A8B9-F3D3AFBA0C16}"/>
            </c:ext>
          </c:extLst>
        </c:ser>
        <c:ser>
          <c:idx val="1"/>
          <c:order val="1"/>
          <c:tx>
            <c:strRef>
              <c:f>Charts_Support!$A$8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invertIfNegative val="0"/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Charts_Support!$J$8:$AE$8</c:f>
              <c:numCache>
                <c:formatCode>#,##0_);\(#,##0\)</c:formatCode>
                <c:ptCount val="22"/>
                <c:pt idx="0">
                  <c:v>170</c:v>
                </c:pt>
                <c:pt idx="1">
                  <c:v>169</c:v>
                </c:pt>
                <c:pt idx="2">
                  <c:v>208</c:v>
                </c:pt>
                <c:pt idx="3">
                  <c:v>249</c:v>
                </c:pt>
                <c:pt idx="4">
                  <c:v>287</c:v>
                </c:pt>
                <c:pt idx="5">
                  <c:v>343</c:v>
                </c:pt>
                <c:pt idx="6">
                  <c:v>395</c:v>
                </c:pt>
                <c:pt idx="7">
                  <c:v>481</c:v>
                </c:pt>
                <c:pt idx="8">
                  <c:v>543</c:v>
                </c:pt>
                <c:pt idx="9">
                  <c:v>628</c:v>
                </c:pt>
                <c:pt idx="10">
                  <c:v>640</c:v>
                </c:pt>
                <c:pt idx="11">
                  <c:v>633</c:v>
                </c:pt>
                <c:pt idx="12">
                  <c:v>664</c:v>
                </c:pt>
                <c:pt idx="13">
                  <c:v>723</c:v>
                </c:pt>
                <c:pt idx="14">
                  <c:v>775</c:v>
                </c:pt>
                <c:pt idx="15">
                  <c:v>799</c:v>
                </c:pt>
                <c:pt idx="16">
                  <c:v>823</c:v>
                </c:pt>
                <c:pt idx="17">
                  <c:v>841</c:v>
                </c:pt>
                <c:pt idx="18">
                  <c:v>860</c:v>
                </c:pt>
                <c:pt idx="19">
                  <c:v>876</c:v>
                </c:pt>
                <c:pt idx="20">
                  <c:v>892</c:v>
                </c:pt>
                <c:pt idx="21">
                  <c:v>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7-4C75-A8B9-F3D3AFBA0C16}"/>
            </c:ext>
          </c:extLst>
        </c:ser>
        <c:ser>
          <c:idx val="2"/>
          <c:order val="2"/>
          <c:tx>
            <c:strRef>
              <c:f>Charts_Support!$A$9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invertIfNegative val="0"/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Charts_Support!$J$9:$AE$9</c:f>
              <c:numCache>
                <c:formatCode>#,##0_);\(#,##0\)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442</c:v>
                </c:pt>
                <c:pt idx="6">
                  <c:v>467</c:v>
                </c:pt>
                <c:pt idx="7">
                  <c:v>499</c:v>
                </c:pt>
                <c:pt idx="8">
                  <c:v>549</c:v>
                </c:pt>
                <c:pt idx="9">
                  <c:v>593</c:v>
                </c:pt>
                <c:pt idx="10">
                  <c:v>1398</c:v>
                </c:pt>
                <c:pt idx="11">
                  <c:v>1376</c:v>
                </c:pt>
                <c:pt idx="12">
                  <c:v>1424</c:v>
                </c:pt>
                <c:pt idx="13">
                  <c:v>1476</c:v>
                </c:pt>
                <c:pt idx="14">
                  <c:v>1534</c:v>
                </c:pt>
                <c:pt idx="15">
                  <c:v>1598</c:v>
                </c:pt>
                <c:pt idx="16">
                  <c:v>1634</c:v>
                </c:pt>
                <c:pt idx="17">
                  <c:v>1662</c:v>
                </c:pt>
                <c:pt idx="18">
                  <c:v>1686</c:v>
                </c:pt>
                <c:pt idx="19">
                  <c:v>1710</c:v>
                </c:pt>
                <c:pt idx="20">
                  <c:v>1734</c:v>
                </c:pt>
                <c:pt idx="21">
                  <c:v>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7-4C75-A8B9-F3D3AFBA0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9892096"/>
        <c:axId val="489902080"/>
      </c:barChart>
      <c:catAx>
        <c:axId val="48989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902080"/>
        <c:crosses val="autoZero"/>
        <c:auto val="1"/>
        <c:lblAlgn val="ctr"/>
        <c:lblOffset val="100"/>
        <c:noMultiLvlLbl val="0"/>
      </c:catAx>
      <c:valAx>
        <c:axId val="4899020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920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1563348186127895"/>
          <c:y val="6.816901408450704E-2"/>
          <c:w val="0.19280305289502589"/>
          <c:h val="0.21774099056730536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6113044009035"/>
          <c:y val="5.3378790417155306E-2"/>
          <c:w val="0.78488520637492121"/>
          <c:h val="0.7394148568156695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Charts_Support!$A$381</c:f>
              <c:strCache>
                <c:ptCount val="1"/>
                <c:pt idx="0">
                  <c:v>Cash and Cash Equivalents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Charts_Support!$B$380:$AE$380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Charts_Support!$B$381:$AE$381</c:f>
              <c:numCache>
                <c:formatCode>#,##0.0_);\(#,##0.0\)</c:formatCode>
                <c:ptCount val="30"/>
                <c:pt idx="0">
                  <c:v>99.13</c:v>
                </c:pt>
                <c:pt idx="1">
                  <c:v>207.08600000000001</c:v>
                </c:pt>
                <c:pt idx="2">
                  <c:v>205.8</c:v>
                </c:pt>
                <c:pt idx="3">
                  <c:v>147.19499999999999</c:v>
                </c:pt>
                <c:pt idx="4">
                  <c:v>165.05500000000001</c:v>
                </c:pt>
                <c:pt idx="5">
                  <c:v>244.262</c:v>
                </c:pt>
                <c:pt idx="6">
                  <c:v>209.327</c:v>
                </c:pt>
                <c:pt idx="7">
                  <c:v>661.86300000000006</c:v>
                </c:pt>
                <c:pt idx="8">
                  <c:v>463.214</c:v>
                </c:pt>
                <c:pt idx="9">
                  <c:v>640.20299999999997</c:v>
                </c:pt>
                <c:pt idx="10">
                  <c:v>739.37900000000002</c:v>
                </c:pt>
                <c:pt idx="11">
                  <c:v>932.59400000000005</c:v>
                </c:pt>
                <c:pt idx="12">
                  <c:v>663.27</c:v>
                </c:pt>
                <c:pt idx="13">
                  <c:v>1112.8499999999999</c:v>
                </c:pt>
                <c:pt idx="14">
                  <c:v>1195.8139999999999</c:v>
                </c:pt>
                <c:pt idx="15">
                  <c:v>2547.8420000000001</c:v>
                </c:pt>
                <c:pt idx="16">
                  <c:v>1540.403</c:v>
                </c:pt>
                <c:pt idx="17">
                  <c:v>1987.857</c:v>
                </c:pt>
                <c:pt idx="18">
                  <c:v>2625.3890000000001</c:v>
                </c:pt>
                <c:pt idx="19">
                  <c:v>3932</c:v>
                </c:pt>
                <c:pt idx="20">
                  <c:v>6893.433</c:v>
                </c:pt>
                <c:pt idx="21">
                  <c:v>6099.7089999999998</c:v>
                </c:pt>
                <c:pt idx="22">
                  <c:v>6409.7979999999998</c:v>
                </c:pt>
                <c:pt idx="23">
                  <c:v>5027.6001092946917</c:v>
                </c:pt>
                <c:pt idx="24">
                  <c:v>10021.567702024999</c:v>
                </c:pt>
                <c:pt idx="25">
                  <c:v>16668.287619622075</c:v>
                </c:pt>
                <c:pt idx="26">
                  <c:v>23837.458151008566</c:v>
                </c:pt>
                <c:pt idx="27">
                  <c:v>27372.725024565363</c:v>
                </c:pt>
                <c:pt idx="28">
                  <c:v>30976.411823377985</c:v>
                </c:pt>
                <c:pt idx="29">
                  <c:v>35042.007675271117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A-4FE7-8C91-57982F42DF28}"/>
            </c:ext>
          </c:extLst>
        </c:ser>
        <c:ser>
          <c:idx val="1"/>
          <c:order val="1"/>
          <c:tx>
            <c:strRef>
              <c:f>Charts_Support!$A$382</c:f>
              <c:strCache>
                <c:ptCount val="1"/>
                <c:pt idx="0">
                  <c:v>Accounts Receivable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Charts_Support!$B$380:$AE$380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Charts_Support!$B$382:$AE$382</c:f>
              <c:numCache>
                <c:formatCode>#,##0.0_);\(#,##0.0\)</c:formatCode>
                <c:ptCount val="30"/>
                <c:pt idx="0">
                  <c:v>110.291</c:v>
                </c:pt>
                <c:pt idx="1">
                  <c:v>121.56</c:v>
                </c:pt>
                <c:pt idx="2">
                  <c:v>133.27799999999999</c:v>
                </c:pt>
                <c:pt idx="3">
                  <c:v>142.49700000000001</c:v>
                </c:pt>
                <c:pt idx="4">
                  <c:v>189.31799999999998</c:v>
                </c:pt>
                <c:pt idx="5">
                  <c:v>210.517</c:v>
                </c:pt>
                <c:pt idx="6">
                  <c:v>309.786</c:v>
                </c:pt>
                <c:pt idx="7">
                  <c:v>182.87299999999999</c:v>
                </c:pt>
                <c:pt idx="8">
                  <c:v>196.14699999999999</c:v>
                </c:pt>
                <c:pt idx="9">
                  <c:v>246.70599999999999</c:v>
                </c:pt>
                <c:pt idx="10">
                  <c:v>385.57799999999997</c:v>
                </c:pt>
                <c:pt idx="11">
                  <c:v>535.93100000000004</c:v>
                </c:pt>
                <c:pt idx="12">
                  <c:v>628.81799999999998</c:v>
                </c:pt>
                <c:pt idx="13">
                  <c:v>895.54300000000001</c:v>
                </c:pt>
                <c:pt idx="14">
                  <c:v>904.85299999999995</c:v>
                </c:pt>
                <c:pt idx="15">
                  <c:v>953.63800000000003</c:v>
                </c:pt>
                <c:pt idx="16">
                  <c:v>1250.588</c:v>
                </c:pt>
                <c:pt idx="17">
                  <c:v>1025.1179999999999</c:v>
                </c:pt>
                <c:pt idx="18">
                  <c:v>1447.221</c:v>
                </c:pt>
                <c:pt idx="19">
                  <c:v>1706</c:v>
                </c:pt>
                <c:pt idx="20">
                  <c:v>1751.527</c:v>
                </c:pt>
                <c:pt idx="21">
                  <c:v>2029.42</c:v>
                </c:pt>
                <c:pt idx="22">
                  <c:v>2372.241</c:v>
                </c:pt>
                <c:pt idx="23">
                  <c:v>2470.8553474906266</c:v>
                </c:pt>
                <c:pt idx="24">
                  <c:v>2674.727110579985</c:v>
                </c:pt>
                <c:pt idx="25">
                  <c:v>2848.6329347755423</c:v>
                </c:pt>
                <c:pt idx="26">
                  <c:v>3018.4303820045948</c:v>
                </c:pt>
                <c:pt idx="27">
                  <c:v>3180.7981301458003</c:v>
                </c:pt>
                <c:pt idx="28">
                  <c:v>3351.0032516326623</c:v>
                </c:pt>
                <c:pt idx="29">
                  <c:v>3522.9335880553758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9A-4FE7-8C91-57982F42DF28}"/>
            </c:ext>
          </c:extLst>
        </c:ser>
        <c:ser>
          <c:idx val="2"/>
          <c:order val="2"/>
          <c:tx>
            <c:strRef>
              <c:f>Charts_Support!$A$383</c:f>
              <c:strCache>
                <c:ptCount val="1"/>
                <c:pt idx="0">
                  <c:v>Fixed assets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Charts_Support!$B$380:$AE$380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Charts_Support!$B$383:$AE$383</c:f>
              <c:numCache>
                <c:formatCode>#,##0.0_);\(#,##0.0\)</c:formatCode>
                <c:ptCount val="30"/>
                <c:pt idx="0">
                  <c:v>1068.8120000000001</c:v>
                </c:pt>
                <c:pt idx="1">
                  <c:v>1188.6669999999999</c:v>
                </c:pt>
                <c:pt idx="2">
                  <c:v>1241.338</c:v>
                </c:pt>
                <c:pt idx="3">
                  <c:v>1655.3</c:v>
                </c:pt>
                <c:pt idx="4">
                  <c:v>2431.7550000000001</c:v>
                </c:pt>
                <c:pt idx="5">
                  <c:v>3099.3919999999998</c:v>
                </c:pt>
                <c:pt idx="6">
                  <c:v>3868.8169999999996</c:v>
                </c:pt>
                <c:pt idx="7">
                  <c:v>4418.05</c:v>
                </c:pt>
                <c:pt idx="8">
                  <c:v>4373.451</c:v>
                </c:pt>
                <c:pt idx="9">
                  <c:v>4505.3909999999996</c:v>
                </c:pt>
                <c:pt idx="10">
                  <c:v>5123.9279999999999</c:v>
                </c:pt>
                <c:pt idx="11">
                  <c:v>7212.1990000000005</c:v>
                </c:pt>
                <c:pt idx="12">
                  <c:v>9680.3859999999986</c:v>
                </c:pt>
                <c:pt idx="13">
                  <c:v>25695.370000000003</c:v>
                </c:pt>
                <c:pt idx="14">
                  <c:v>27451.612000000001</c:v>
                </c:pt>
                <c:pt idx="15">
                  <c:v>31790.37</c:v>
                </c:pt>
                <c:pt idx="16">
                  <c:v>33586.557000000001</c:v>
                </c:pt>
                <c:pt idx="17">
                  <c:v>46487.01</c:v>
                </c:pt>
                <c:pt idx="18">
                  <c:v>69181.731999999989</c:v>
                </c:pt>
                <c:pt idx="19">
                  <c:v>74908</c:v>
                </c:pt>
                <c:pt idx="20">
                  <c:v>71232.444999999992</c:v>
                </c:pt>
                <c:pt idx="21">
                  <c:v>68095.490999999995</c:v>
                </c:pt>
                <c:pt idx="22">
                  <c:v>64324.724999999999</c:v>
                </c:pt>
                <c:pt idx="23">
                  <c:v>66870.844908046696</c:v>
                </c:pt>
                <c:pt idx="24">
                  <c:v>67493.194813991868</c:v>
                </c:pt>
                <c:pt idx="25">
                  <c:v>68113.975904966399</c:v>
                </c:pt>
                <c:pt idx="26">
                  <c:v>68754.091644551416</c:v>
                </c:pt>
                <c:pt idx="27">
                  <c:v>70540.09587304866</c:v>
                </c:pt>
                <c:pt idx="28">
                  <c:v>72423.998861382614</c:v>
                </c:pt>
                <c:pt idx="29">
                  <c:v>74102.664681265902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9A-4FE7-8C91-57982F42DF28}"/>
            </c:ext>
          </c:extLst>
        </c:ser>
        <c:ser>
          <c:idx val="3"/>
          <c:order val="3"/>
          <c:tx>
            <c:strRef>
              <c:f>Charts_Support!$A$384</c:f>
              <c:strCache>
                <c:ptCount val="1"/>
                <c:pt idx="0">
                  <c:v>Other assets</c:v>
                </c:pt>
              </c:strCache>
            </c:strRef>
          </c:tx>
          <c:spPr>
            <a:ln w="25400">
              <a:noFill/>
            </a:ln>
          </c:spPr>
          <c:cat>
            <c:numRef>
              <c:f>Charts_Support!$B$380:$AE$380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Charts_Support!$B$384:$AE$384</c:f>
              <c:numCache>
                <c:formatCode>#,##0.0_);\(#,##0.0\)</c:formatCode>
                <c:ptCount val="30"/>
                <c:pt idx="0">
                  <c:v>194.755</c:v>
                </c:pt>
                <c:pt idx="1">
                  <c:v>134.12700000000001</c:v>
                </c:pt>
                <c:pt idx="2">
                  <c:v>217.81099999999998</c:v>
                </c:pt>
                <c:pt idx="3">
                  <c:v>261.03199999999998</c:v>
                </c:pt>
                <c:pt idx="4">
                  <c:v>457.78600000000006</c:v>
                </c:pt>
                <c:pt idx="5">
                  <c:v>486.29499999999996</c:v>
                </c:pt>
                <c:pt idx="6">
                  <c:v>907.79099999999994</c:v>
                </c:pt>
                <c:pt idx="7">
                  <c:v>1247.8539999999998</c:v>
                </c:pt>
                <c:pt idx="8">
                  <c:v>775.99700000000007</c:v>
                </c:pt>
                <c:pt idx="9">
                  <c:v>748.92900000000009</c:v>
                </c:pt>
                <c:pt idx="10">
                  <c:v>3125.288</c:v>
                </c:pt>
                <c:pt idx="11">
                  <c:v>1116.8690000000001</c:v>
                </c:pt>
                <c:pt idx="12">
                  <c:v>1443.6610000000001</c:v>
                </c:pt>
                <c:pt idx="13">
                  <c:v>2067.8329999999996</c:v>
                </c:pt>
                <c:pt idx="14">
                  <c:v>2290.1480000000001</c:v>
                </c:pt>
                <c:pt idx="15">
                  <c:v>2703.2910000000002</c:v>
                </c:pt>
                <c:pt idx="16">
                  <c:v>3281.7089999999998</c:v>
                </c:pt>
                <c:pt idx="17">
                  <c:v>3560.1370000000002</c:v>
                </c:pt>
                <c:pt idx="18">
                  <c:v>3157.9059999999999</c:v>
                </c:pt>
                <c:pt idx="19">
                  <c:v>2892</c:v>
                </c:pt>
                <c:pt idx="20">
                  <c:v>3100.1570000000002</c:v>
                </c:pt>
                <c:pt idx="21">
                  <c:v>4244.7029999999995</c:v>
                </c:pt>
                <c:pt idx="22">
                  <c:v>3890.2570000000001</c:v>
                </c:pt>
                <c:pt idx="23">
                  <c:v>4136.8589539160203</c:v>
                </c:pt>
                <c:pt idx="24">
                  <c:v>4487.8120260262367</c:v>
                </c:pt>
                <c:pt idx="25">
                  <c:v>4789.8450030149725</c:v>
                </c:pt>
                <c:pt idx="26">
                  <c:v>5086.2058941837822</c:v>
                </c:pt>
                <c:pt idx="27">
                  <c:v>5416.9945803951814</c:v>
                </c:pt>
                <c:pt idx="28">
                  <c:v>5706.8590052738436</c:v>
                </c:pt>
                <c:pt idx="29">
                  <c:v>5999.6615229126064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9A-4FE7-8C91-57982F42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27808"/>
        <c:axId val="489929344"/>
      </c:areaChart>
      <c:catAx>
        <c:axId val="48992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929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92934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927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795906325662779"/>
          <c:y val="0.16096733121125817"/>
          <c:w val="0.32586705731550997"/>
          <c:h val="0.2741057367829021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6113044009035"/>
          <c:y val="5.3378790417155306E-2"/>
          <c:w val="0.78488520637492121"/>
          <c:h val="0.7394148568156695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Charts_Support!$A$387</c:f>
              <c:strCache>
                <c:ptCount val="1"/>
                <c:pt idx="0">
                  <c:v>Debt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Charts_Support!$B$386:$AE$386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Charts_Support!$B$387:$AE$387</c:f>
              <c:numCache>
                <c:formatCode>#,##0.0_);\(#,##0.0\)</c:formatCode>
                <c:ptCount val="30"/>
                <c:pt idx="0">
                  <c:v>142.27600000000001</c:v>
                </c:pt>
                <c:pt idx="1">
                  <c:v>66.106999999999999</c:v>
                </c:pt>
                <c:pt idx="2">
                  <c:v>45.132000000000005</c:v>
                </c:pt>
                <c:pt idx="3">
                  <c:v>98.706999999999994</c:v>
                </c:pt>
                <c:pt idx="4">
                  <c:v>769.35500000000002</c:v>
                </c:pt>
                <c:pt idx="5">
                  <c:v>497.27600000000001</c:v>
                </c:pt>
                <c:pt idx="6">
                  <c:v>1033.45</c:v>
                </c:pt>
                <c:pt idx="7">
                  <c:v>1790.1779999999999</c:v>
                </c:pt>
                <c:pt idx="8">
                  <c:v>1328.134</c:v>
                </c:pt>
                <c:pt idx="9">
                  <c:v>1656.047</c:v>
                </c:pt>
                <c:pt idx="10">
                  <c:v>4056.5309999999999</c:v>
                </c:pt>
                <c:pt idx="11">
                  <c:v>2474.48</c:v>
                </c:pt>
                <c:pt idx="12">
                  <c:v>5043.6170000000002</c:v>
                </c:pt>
                <c:pt idx="13">
                  <c:v>11239.179</c:v>
                </c:pt>
                <c:pt idx="14">
                  <c:v>12233.341</c:v>
                </c:pt>
                <c:pt idx="15">
                  <c:v>14839.888999999999</c:v>
                </c:pt>
                <c:pt idx="16">
                  <c:v>18041.436000000002</c:v>
                </c:pt>
                <c:pt idx="17">
                  <c:v>28115.931999999997</c:v>
                </c:pt>
                <c:pt idx="18">
                  <c:v>27686.744999999999</c:v>
                </c:pt>
                <c:pt idx="19">
                  <c:v>38368.148999999998</c:v>
                </c:pt>
                <c:pt idx="20">
                  <c:v>37448.553</c:v>
                </c:pt>
                <c:pt idx="21">
                  <c:v>32649.838</c:v>
                </c:pt>
                <c:pt idx="22">
                  <c:v>31416.120000000003</c:v>
                </c:pt>
                <c:pt idx="23">
                  <c:v>34525.30381662523</c:v>
                </c:pt>
                <c:pt idx="24">
                  <c:v>37359.942550450389</c:v>
                </c:pt>
                <c:pt idx="25">
                  <c:v>40946.76166856855</c:v>
                </c:pt>
                <c:pt idx="26">
                  <c:v>44106.456902711994</c:v>
                </c:pt>
                <c:pt idx="27">
                  <c:v>44478.609167290524</c:v>
                </c:pt>
                <c:pt idx="28">
                  <c:v>44854.101478022312</c:v>
                </c:pt>
                <c:pt idx="29">
                  <c:v>45232.96381163827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B-4E50-9AF2-7CA8F3F74FC6}"/>
            </c:ext>
          </c:extLst>
        </c:ser>
        <c:ser>
          <c:idx val="1"/>
          <c:order val="1"/>
          <c:tx>
            <c:strRef>
              <c:f>Charts_Support!$A$388</c:f>
              <c:strCache>
                <c:ptCount val="1"/>
                <c:pt idx="0">
                  <c:v>Equity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Charts_Support!$B$386:$AE$386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Charts_Support!$B$388:$AE$388</c:f>
              <c:numCache>
                <c:formatCode>#,##0.0_);\(#,##0.0\)</c:formatCode>
                <c:ptCount val="30"/>
                <c:pt idx="0">
                  <c:v>922.91300000000001</c:v>
                </c:pt>
                <c:pt idx="1">
                  <c:v>1080.4529999999997</c:v>
                </c:pt>
                <c:pt idx="2">
                  <c:v>1211.9480000000003</c:v>
                </c:pt>
                <c:pt idx="3">
                  <c:v>1425.3859999999997</c:v>
                </c:pt>
                <c:pt idx="4">
                  <c:v>1767.4979999999998</c:v>
                </c:pt>
                <c:pt idx="5">
                  <c:v>2653.8759999999997</c:v>
                </c:pt>
                <c:pt idx="6">
                  <c:v>2997.4830000000002</c:v>
                </c:pt>
                <c:pt idx="7">
                  <c:v>2997.0709999999999</c:v>
                </c:pt>
                <c:pt idx="8">
                  <c:v>2908.5889999999999</c:v>
                </c:pt>
                <c:pt idx="9">
                  <c:v>2865.3280000000004</c:v>
                </c:pt>
                <c:pt idx="10">
                  <c:v>2993.8649999999998</c:v>
                </c:pt>
                <c:pt idx="11">
                  <c:v>4520.71</c:v>
                </c:pt>
                <c:pt idx="12">
                  <c:v>4271.4269999999997</c:v>
                </c:pt>
                <c:pt idx="13">
                  <c:v>8800.1280000000006</c:v>
                </c:pt>
                <c:pt idx="14">
                  <c:v>9069.2769999999982</c:v>
                </c:pt>
                <c:pt idx="15">
                  <c:v>8910.6229999999996</c:v>
                </c:pt>
                <c:pt idx="16">
                  <c:v>9460.389000000001</c:v>
                </c:pt>
                <c:pt idx="17">
                  <c:v>11080.08</c:v>
                </c:pt>
                <c:pt idx="18">
                  <c:v>9580.9979999999996</c:v>
                </c:pt>
                <c:pt idx="19">
                  <c:v>6302.7489999999998</c:v>
                </c:pt>
                <c:pt idx="20">
                  <c:v>7639.1659999999993</c:v>
                </c:pt>
                <c:pt idx="21">
                  <c:v>7617.8669999999993</c:v>
                </c:pt>
                <c:pt idx="22">
                  <c:v>8375.1020000000008</c:v>
                </c:pt>
                <c:pt idx="23">
                  <c:v>7548.2332842488358</c:v>
                </c:pt>
                <c:pt idx="24">
                  <c:v>9449.4250461535503</c:v>
                </c:pt>
                <c:pt idx="25">
                  <c:v>12255.328053330746</c:v>
                </c:pt>
                <c:pt idx="26">
                  <c:v>16097.096420746779</c:v>
                </c:pt>
                <c:pt idx="27">
                  <c:v>20157.813050596957</c:v>
                </c:pt>
                <c:pt idx="28">
                  <c:v>24540.226800953533</c:v>
                </c:pt>
                <c:pt idx="29">
                  <c:v>29219.405213415666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B-4E50-9AF2-7CA8F3F74FC6}"/>
            </c:ext>
          </c:extLst>
        </c:ser>
        <c:ser>
          <c:idx val="2"/>
          <c:order val="2"/>
          <c:tx>
            <c:strRef>
              <c:f>Charts_Support!$A$389</c:f>
              <c:strCache>
                <c:ptCount val="1"/>
                <c:pt idx="0">
                  <c:v>Other Liabilities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Charts_Support!$B$386:$AE$386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Charts_Support!$B$389:$AE$389</c:f>
              <c:numCache>
                <c:formatCode>#,##0.0_);\(#,##0.0\)</c:formatCode>
                <c:ptCount val="30"/>
                <c:pt idx="0">
                  <c:v>407.79900000000004</c:v>
                </c:pt>
                <c:pt idx="1">
                  <c:v>504.88000000000011</c:v>
                </c:pt>
                <c:pt idx="2">
                  <c:v>541.14699999999993</c:v>
                </c:pt>
                <c:pt idx="3">
                  <c:v>681.93100000000015</c:v>
                </c:pt>
                <c:pt idx="4">
                  <c:v>707.06100000000038</c:v>
                </c:pt>
                <c:pt idx="5">
                  <c:v>889.31400000000008</c:v>
                </c:pt>
                <c:pt idx="6">
                  <c:v>1264.7879999999993</c:v>
                </c:pt>
                <c:pt idx="7">
                  <c:v>1723.3909999999996</c:v>
                </c:pt>
                <c:pt idx="8">
                  <c:v>1572.0860000000002</c:v>
                </c:pt>
                <c:pt idx="9">
                  <c:v>1619.3899999999999</c:v>
                </c:pt>
                <c:pt idx="10">
                  <c:v>2323.7779999999993</c:v>
                </c:pt>
                <c:pt idx="11">
                  <c:v>2802.4029999999989</c:v>
                </c:pt>
                <c:pt idx="12">
                  <c:v>3101.090000000002</c:v>
                </c:pt>
                <c:pt idx="13">
                  <c:v>9732.2890000000007</c:v>
                </c:pt>
                <c:pt idx="14">
                  <c:v>10539.809000000001</c:v>
                </c:pt>
                <c:pt idx="15">
                  <c:v>14244.628999999997</c:v>
                </c:pt>
                <c:pt idx="16">
                  <c:v>12157.432000000001</c:v>
                </c:pt>
                <c:pt idx="17">
                  <c:v>13864.109999999997</c:v>
                </c:pt>
                <c:pt idx="18">
                  <c:v>39144.505000000005</c:v>
                </c:pt>
                <c:pt idx="19">
                  <c:v>38766.446000000004</c:v>
                </c:pt>
                <c:pt idx="20">
                  <c:v>37889.842999999993</c:v>
                </c:pt>
                <c:pt idx="21">
                  <c:v>40201.617999999988</c:v>
                </c:pt>
                <c:pt idx="22">
                  <c:v>37205.798999999992</c:v>
                </c:pt>
                <c:pt idx="23">
                  <c:v>36432.621217873959</c:v>
                </c:pt>
                <c:pt idx="24">
                  <c:v>37867.933056019159</c:v>
                </c:pt>
                <c:pt idx="25">
                  <c:v>39218.650740479716</c:v>
                </c:pt>
                <c:pt idx="26">
                  <c:v>40492.631748289605</c:v>
                </c:pt>
                <c:pt idx="27">
                  <c:v>41874.190390267533</c:v>
                </c:pt>
                <c:pt idx="28">
                  <c:v>43063.943662691272</c:v>
                </c:pt>
                <c:pt idx="29">
                  <c:v>44214.897442451067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7B-4E50-9AF2-7CA8F3F7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82976"/>
        <c:axId val="489984768"/>
      </c:areaChart>
      <c:catAx>
        <c:axId val="48998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984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9847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9829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9121487721011615"/>
          <c:y val="9.2223923137427374E-2"/>
          <c:w val="0.3971947687001407"/>
          <c:h val="0.1662348802144413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15124262401963E-2"/>
          <c:y val="4.8450700648445477E-2"/>
          <c:w val="0.87162476964303193"/>
          <c:h val="0.73615752264467538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Charts_Support!$B$37:$AE$37</c:f>
              <c:numCache>
                <c:formatCode>0.0%</c:formatCode>
                <c:ptCount val="30"/>
                <c:pt idx="0">
                  <c:v>#N/A</c:v>
                </c:pt>
                <c:pt idx="1">
                  <c:v>0.18535469107551483</c:v>
                </c:pt>
                <c:pt idx="2">
                  <c:v>8.1081081081081141E-2</c:v>
                </c:pt>
                <c:pt idx="3">
                  <c:v>0.11785714285714288</c:v>
                </c:pt>
                <c:pt idx="4">
                  <c:v>0.16293929712460065</c:v>
                </c:pt>
                <c:pt idx="5">
                  <c:v>0.18818681318681318</c:v>
                </c:pt>
                <c:pt idx="6">
                  <c:v>0.14335260115606929</c:v>
                </c:pt>
                <c:pt idx="7">
                  <c:v>0.14762386248736092</c:v>
                </c:pt>
                <c:pt idx="8">
                  <c:v>3.1718061674008702E-2</c:v>
                </c:pt>
                <c:pt idx="9">
                  <c:v>2.9888983774551736E-2</c:v>
                </c:pt>
                <c:pt idx="10">
                  <c:v>6.3847429519071408E-2</c:v>
                </c:pt>
                <c:pt idx="11">
                  <c:v>0.11847233047544825</c:v>
                </c:pt>
                <c:pt idx="12">
                  <c:v>0.29756097560975614</c:v>
                </c:pt>
                <c:pt idx="13">
                  <c:v>0.49516648764769067</c:v>
                </c:pt>
                <c:pt idx="14">
                  <c:v>6.1063218390804641E-2</c:v>
                </c:pt>
                <c:pt idx="15">
                  <c:v>8.1584292484766507E-2</c:v>
                </c:pt>
                <c:pt idx="16">
                  <c:v>7.6056338028168913E-2</c:v>
                </c:pt>
                <c:pt idx="17">
                  <c:v>7.271669575334494E-2</c:v>
                </c:pt>
                <c:pt idx="18">
                  <c:v>0.16865509761388275</c:v>
                </c:pt>
                <c:pt idx="19">
                  <c:v>-2.7146171693735455E-2</c:v>
                </c:pt>
                <c:pt idx="20">
                  <c:v>1.6455998092058222E-2</c:v>
                </c:pt>
                <c:pt idx="21">
                  <c:v>4.3406851243547706E-2</c:v>
                </c:pt>
                <c:pt idx="22">
                  <c:v>3.9352372385878187E-2</c:v>
                </c:pt>
                <c:pt idx="23">
                  <c:v>4.045867589787977E-2</c:v>
                </c:pt>
                <c:pt idx="24">
                  <c:v>3.7637762528592189E-2</c:v>
                </c:pt>
                <c:pt idx="25">
                  <c:v>2.9258517034068232E-2</c:v>
                </c:pt>
                <c:pt idx="26">
                  <c:v>2.4532710280373848E-2</c:v>
                </c:pt>
                <c:pt idx="27">
                  <c:v>2.3375142531356863E-2</c:v>
                </c:pt>
                <c:pt idx="28">
                  <c:v>2.2841225626740957E-2</c:v>
                </c:pt>
                <c:pt idx="29">
                  <c:v>1.9244734931009422E-2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B-4156-9085-9FAB1EF1EA81}"/>
            </c:ext>
          </c:extLst>
        </c:ser>
        <c:ser>
          <c:idx val="2"/>
          <c:order val="2"/>
          <c:tx>
            <c:strRef>
              <c:f>Charts_Support!$A$38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Charts_Support!$B$38:$AE$38</c:f>
              <c:numCache>
                <c:formatCode>0.0%</c:formatCode>
                <c:ptCount val="30"/>
                <c:pt idx="0">
                  <c:v>#N/A</c:v>
                </c:pt>
                <c:pt idx="1">
                  <c:v>0.18535469107551483</c:v>
                </c:pt>
                <c:pt idx="2">
                  <c:v>8.1081081081081141E-2</c:v>
                </c:pt>
                <c:pt idx="3">
                  <c:v>0.11785714285714288</c:v>
                </c:pt>
                <c:pt idx="4">
                  <c:v>0.16293929712460065</c:v>
                </c:pt>
                <c:pt idx="5">
                  <c:v>0.18818681318681318</c:v>
                </c:pt>
                <c:pt idx="6">
                  <c:v>0.14335260115606929</c:v>
                </c:pt>
                <c:pt idx="7">
                  <c:v>0.14762386248736092</c:v>
                </c:pt>
                <c:pt idx="8">
                  <c:v>3.1718061674008702E-2</c:v>
                </c:pt>
                <c:pt idx="9">
                  <c:v>2.9888983774551736E-2</c:v>
                </c:pt>
                <c:pt idx="10">
                  <c:v>6.3847429519071408E-2</c:v>
                </c:pt>
                <c:pt idx="11">
                  <c:v>0.11847233047544825</c:v>
                </c:pt>
                <c:pt idx="12">
                  <c:v>0.29756097560975614</c:v>
                </c:pt>
                <c:pt idx="13">
                  <c:v>0.49516648764769067</c:v>
                </c:pt>
                <c:pt idx="14">
                  <c:v>6.1063218390804641E-2</c:v>
                </c:pt>
                <c:pt idx="15">
                  <c:v>8.1584292484766507E-2</c:v>
                </c:pt>
                <c:pt idx="16">
                  <c:v>7.6056338028168913E-2</c:v>
                </c:pt>
                <c:pt idx="17">
                  <c:v>7.271669575334494E-2</c:v>
                </c:pt>
                <c:pt idx="18">
                  <c:v>0.16865509761388275</c:v>
                </c:pt>
                <c:pt idx="19">
                  <c:v>-2.7146171693735455E-2</c:v>
                </c:pt>
                <c:pt idx="20">
                  <c:v>1.6455998092058222E-2</c:v>
                </c:pt>
                <c:pt idx="21">
                  <c:v>4.3406851243547706E-2</c:v>
                </c:pt>
                <c:pt idx="22">
                  <c:v>3.9352372385878187E-2</c:v>
                </c:pt>
                <c:pt idx="23">
                  <c:v>3.5266118563392457E-2</c:v>
                </c:pt>
                <c:pt idx="24">
                  <c:v>2.9885057471264354E-2</c:v>
                </c:pt>
                <c:pt idx="25">
                  <c:v>2.3538961038961137E-2</c:v>
                </c:pt>
                <c:pt idx="26">
                  <c:v>2.02220459952418E-2</c:v>
                </c:pt>
                <c:pt idx="27">
                  <c:v>1.9238243295763624E-2</c:v>
                </c:pt>
                <c:pt idx="28">
                  <c:v>1.8875119161105847E-2</c:v>
                </c:pt>
                <c:pt idx="29">
                  <c:v>1.5905688622754433E-2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7B-4156-9085-9FAB1EF1E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30208"/>
        <c:axId val="490031744"/>
      </c:areaChart>
      <c:lineChart>
        <c:grouping val="standard"/>
        <c:varyColors val="0"/>
        <c:ser>
          <c:idx val="0"/>
          <c:order val="0"/>
          <c:tx>
            <c:strRef>
              <c:f>Charts_Support!$A$36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Charts_Support!$B$36:$AE$36</c:f>
              <c:numCache>
                <c:formatCode>0.0%</c:formatCode>
                <c:ptCount val="30"/>
                <c:pt idx="0">
                  <c:v>#N/A</c:v>
                </c:pt>
                <c:pt idx="1">
                  <c:v>0.18535469107551483</c:v>
                </c:pt>
                <c:pt idx="2">
                  <c:v>8.1081081081081141E-2</c:v>
                </c:pt>
                <c:pt idx="3">
                  <c:v>0.11785714285714288</c:v>
                </c:pt>
                <c:pt idx="4">
                  <c:v>0.16293929712460065</c:v>
                </c:pt>
                <c:pt idx="5">
                  <c:v>0.18818681318681318</c:v>
                </c:pt>
                <c:pt idx="6">
                  <c:v>0.14335260115606929</c:v>
                </c:pt>
                <c:pt idx="7">
                  <c:v>0.14762386248736092</c:v>
                </c:pt>
                <c:pt idx="8">
                  <c:v>3.1718061674008702E-2</c:v>
                </c:pt>
                <c:pt idx="9">
                  <c:v>2.9888983774551736E-2</c:v>
                </c:pt>
                <c:pt idx="10">
                  <c:v>6.3847429519071408E-2</c:v>
                </c:pt>
                <c:pt idx="11">
                  <c:v>0.11847233047544825</c:v>
                </c:pt>
                <c:pt idx="12">
                  <c:v>0.29756097560975614</c:v>
                </c:pt>
                <c:pt idx="13">
                  <c:v>0.49516648764769067</c:v>
                </c:pt>
                <c:pt idx="14">
                  <c:v>6.1063218390804641E-2</c:v>
                </c:pt>
                <c:pt idx="15">
                  <c:v>8.1584292484766507E-2</c:v>
                </c:pt>
                <c:pt idx="16">
                  <c:v>7.6056338028168913E-2</c:v>
                </c:pt>
                <c:pt idx="17">
                  <c:v>7.271669575334494E-2</c:v>
                </c:pt>
                <c:pt idx="18">
                  <c:v>0.16865509761388275</c:v>
                </c:pt>
                <c:pt idx="19">
                  <c:v>-2.7146171693735455E-2</c:v>
                </c:pt>
                <c:pt idx="20">
                  <c:v>1.6455998092058222E-2</c:v>
                </c:pt>
                <c:pt idx="21">
                  <c:v>4.3406851243547706E-2</c:v>
                </c:pt>
                <c:pt idx="22">
                  <c:v>3.9352372385878187E-2</c:v>
                </c:pt>
                <c:pt idx="23">
                  <c:v>4.045867589787977E-2</c:v>
                </c:pt>
                <c:pt idx="24">
                  <c:v>3.7637762528592189E-2</c:v>
                </c:pt>
                <c:pt idx="25">
                  <c:v>2.9258517034068232E-2</c:v>
                </c:pt>
                <c:pt idx="26">
                  <c:v>2.4532710280373848E-2</c:v>
                </c:pt>
                <c:pt idx="27">
                  <c:v>2.3375142531356863E-2</c:v>
                </c:pt>
                <c:pt idx="28">
                  <c:v>2.2841225626740957E-2</c:v>
                </c:pt>
                <c:pt idx="29">
                  <c:v>1.9244734931009422E-2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7B-4156-9085-9FAB1EF1EA81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7B-4156-9085-9FAB1EF1E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30208"/>
        <c:axId val="490031744"/>
      </c:lineChart>
      <c:catAx>
        <c:axId val="49003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031744"/>
        <c:crossesAt val="-0.1"/>
        <c:auto val="1"/>
        <c:lblAlgn val="ctr"/>
        <c:lblOffset val="100"/>
        <c:tickLblSkip val="1"/>
        <c:tickMarkSkip val="1"/>
        <c:noMultiLvlLbl val="0"/>
      </c:catAx>
      <c:valAx>
        <c:axId val="49003174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030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6710344422454126"/>
          <c:y val="8.3697871099445903E-2"/>
          <c:w val="0.20141339680493567"/>
          <c:h val="0.1378354635468446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7.1661351761871064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Charts_Support!$B$257:$AE$257</c:f>
              <c:numCache>
                <c:formatCode>#,##0_);\(#,##0\)</c:formatCode>
                <c:ptCount val="30"/>
                <c:pt idx="0">
                  <c:v>-43.086999999999996</c:v>
                </c:pt>
                <c:pt idx="1">
                  <c:v>-18.219000000000001</c:v>
                </c:pt>
                <c:pt idx="2">
                  <c:v>-4.6790000000000003</c:v>
                </c:pt>
                <c:pt idx="3">
                  <c:v>-2.0659999999999998</c:v>
                </c:pt>
                <c:pt idx="4">
                  <c:v>-31.681000000000001</c:v>
                </c:pt>
                <c:pt idx="5">
                  <c:v>-49.722000000000001</c:v>
                </c:pt>
                <c:pt idx="6">
                  <c:v>-37.064999999999998</c:v>
                </c:pt>
                <c:pt idx="7">
                  <c:v>-194.4</c:v>
                </c:pt>
                <c:pt idx="8">
                  <c:v>-127.83699999999999</c:v>
                </c:pt>
                <c:pt idx="9">
                  <c:v>-79.625</c:v>
                </c:pt>
                <c:pt idx="10">
                  <c:v>-118.09400000000001</c:v>
                </c:pt>
                <c:pt idx="11">
                  <c:v>-189.33699999999999</c:v>
                </c:pt>
                <c:pt idx="12">
                  <c:v>-210.471</c:v>
                </c:pt>
                <c:pt idx="13">
                  <c:v>-493.46300000000002</c:v>
                </c:pt>
                <c:pt idx="14">
                  <c:v>-858.86599999999999</c:v>
                </c:pt>
                <c:pt idx="15">
                  <c:v>-1179.1569999999999</c:v>
                </c:pt>
                <c:pt idx="16">
                  <c:v>-1626.5820000000001</c:v>
                </c:pt>
                <c:pt idx="17">
                  <c:v>-1455.97</c:v>
                </c:pt>
                <c:pt idx="18">
                  <c:v>-1852.0450000000003</c:v>
                </c:pt>
                <c:pt idx="19">
                  <c:v>-2626.9479999999994</c:v>
                </c:pt>
                <c:pt idx="20">
                  <c:v>-2145.9099999999994</c:v>
                </c:pt>
                <c:pt idx="21">
                  <c:v>-2879.3719999999998</c:v>
                </c:pt>
                <c:pt idx="22">
                  <c:v>-2577.3910000000001</c:v>
                </c:pt>
                <c:pt idx="23">
                  <c:v>-4757.9871125950858</c:v>
                </c:pt>
                <c:pt idx="24">
                  <c:v>-3995.0096716532789</c:v>
                </c:pt>
                <c:pt idx="25">
                  <c:v>-3570.1918316964347</c:v>
                </c:pt>
                <c:pt idx="26">
                  <c:v>-2831.7851220824296</c:v>
                </c:pt>
                <c:pt idx="27">
                  <c:v>-2528.5234400668865</c:v>
                </c:pt>
                <c:pt idx="28">
                  <c:v>-2264.6590732681193</c:v>
                </c:pt>
                <c:pt idx="29">
                  <c:v>-1977.7333921047139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2-4DC6-A0D4-42D28062875B}"/>
            </c:ext>
          </c:extLst>
        </c:ser>
        <c:ser>
          <c:idx val="2"/>
          <c:order val="2"/>
          <c:tx>
            <c:strRef>
              <c:f>Charts_Support!$A$256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Charts_Support!$B$256:$AE$256</c:f>
              <c:numCache>
                <c:formatCode>#,##0_);\(#,##0\)</c:formatCode>
                <c:ptCount val="30"/>
                <c:pt idx="0">
                  <c:v>-43.086999999999996</c:v>
                </c:pt>
                <c:pt idx="1">
                  <c:v>-18.219000000000001</c:v>
                </c:pt>
                <c:pt idx="2">
                  <c:v>-4.6790000000000003</c:v>
                </c:pt>
                <c:pt idx="3">
                  <c:v>-2.0659999999999998</c:v>
                </c:pt>
                <c:pt idx="4">
                  <c:v>-31.681000000000001</c:v>
                </c:pt>
                <c:pt idx="5">
                  <c:v>-49.722000000000001</c:v>
                </c:pt>
                <c:pt idx="6">
                  <c:v>-37.064999999999998</c:v>
                </c:pt>
                <c:pt idx="7">
                  <c:v>-194.4</c:v>
                </c:pt>
                <c:pt idx="8">
                  <c:v>-127.83699999999999</c:v>
                </c:pt>
                <c:pt idx="9">
                  <c:v>-79.625</c:v>
                </c:pt>
                <c:pt idx="10">
                  <c:v>-118.09400000000001</c:v>
                </c:pt>
                <c:pt idx="11">
                  <c:v>-189.33699999999999</c:v>
                </c:pt>
                <c:pt idx="12">
                  <c:v>-210.471</c:v>
                </c:pt>
                <c:pt idx="13">
                  <c:v>-493.46300000000002</c:v>
                </c:pt>
                <c:pt idx="14">
                  <c:v>-858.86599999999999</c:v>
                </c:pt>
                <c:pt idx="15">
                  <c:v>-1179.1569999999999</c:v>
                </c:pt>
                <c:pt idx="16">
                  <c:v>-1626.5820000000001</c:v>
                </c:pt>
                <c:pt idx="17">
                  <c:v>-1455.97</c:v>
                </c:pt>
                <c:pt idx="18">
                  <c:v>-1852.0450000000003</c:v>
                </c:pt>
                <c:pt idx="19">
                  <c:v>-2626.9479999999994</c:v>
                </c:pt>
                <c:pt idx="20">
                  <c:v>-2145.9099999999994</c:v>
                </c:pt>
                <c:pt idx="21">
                  <c:v>-2879.3719999999998</c:v>
                </c:pt>
                <c:pt idx="22">
                  <c:v>-2577.3910000000001</c:v>
                </c:pt>
                <c:pt idx="23">
                  <c:v>-4756.5388144832978</c:v>
                </c:pt>
                <c:pt idx="24">
                  <c:v>-4042.0501677297325</c:v>
                </c:pt>
                <c:pt idx="25">
                  <c:v>-3701.5968571570902</c:v>
                </c:pt>
                <c:pt idx="26">
                  <c:v>-3072.0558170179565</c:v>
                </c:pt>
                <c:pt idx="27">
                  <c:v>-2854.7677969001411</c:v>
                </c:pt>
                <c:pt idx="28">
                  <c:v>-2599.7343946470851</c:v>
                </c:pt>
                <c:pt idx="29">
                  <c:v>-2320.3052562466455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82-4DC6-A0D4-42D280628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62592"/>
        <c:axId val="490064128"/>
      </c:areaChart>
      <c:lineChart>
        <c:grouping val="standard"/>
        <c:varyColors val="0"/>
        <c:ser>
          <c:idx val="0"/>
          <c:order val="0"/>
          <c:tx>
            <c:strRef>
              <c:f>Charts_Support!$A$255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Charts_Support!$B$255:$AE$255</c:f>
              <c:numCache>
                <c:formatCode>#,##0_);\(#,##0\)</c:formatCode>
                <c:ptCount val="30"/>
                <c:pt idx="0">
                  <c:v>-43.086999999999996</c:v>
                </c:pt>
                <c:pt idx="1">
                  <c:v>-18.219000000000001</c:v>
                </c:pt>
                <c:pt idx="2">
                  <c:v>-4.6790000000000003</c:v>
                </c:pt>
                <c:pt idx="3">
                  <c:v>-2.0659999999999998</c:v>
                </c:pt>
                <c:pt idx="4">
                  <c:v>-31.681000000000001</c:v>
                </c:pt>
                <c:pt idx="5">
                  <c:v>-49.722000000000001</c:v>
                </c:pt>
                <c:pt idx="6">
                  <c:v>-37.064999999999998</c:v>
                </c:pt>
                <c:pt idx="7">
                  <c:v>-194.4</c:v>
                </c:pt>
                <c:pt idx="8">
                  <c:v>-127.83699999999999</c:v>
                </c:pt>
                <c:pt idx="9">
                  <c:v>-79.625</c:v>
                </c:pt>
                <c:pt idx="10">
                  <c:v>-118.09400000000001</c:v>
                </c:pt>
                <c:pt idx="11">
                  <c:v>-189.33699999999999</c:v>
                </c:pt>
                <c:pt idx="12">
                  <c:v>-210.471</c:v>
                </c:pt>
                <c:pt idx="13">
                  <c:v>-493.46300000000002</c:v>
                </c:pt>
                <c:pt idx="14">
                  <c:v>-858.86599999999999</c:v>
                </c:pt>
                <c:pt idx="15">
                  <c:v>-1179.1569999999999</c:v>
                </c:pt>
                <c:pt idx="16">
                  <c:v>-1626.5820000000001</c:v>
                </c:pt>
                <c:pt idx="17">
                  <c:v>-1455.97</c:v>
                </c:pt>
                <c:pt idx="18">
                  <c:v>-1852.0450000000003</c:v>
                </c:pt>
                <c:pt idx="19">
                  <c:v>-2626.9479999999994</c:v>
                </c:pt>
                <c:pt idx="20">
                  <c:v>-2145.9099999999994</c:v>
                </c:pt>
                <c:pt idx="21">
                  <c:v>-2879.3719999999998</c:v>
                </c:pt>
                <c:pt idx="22">
                  <c:v>-2577.3910000000001</c:v>
                </c:pt>
                <c:pt idx="23">
                  <c:v>-4760.0969888418449</c:v>
                </c:pt>
                <c:pt idx="24">
                  <c:v>-4072.5802231644857</c:v>
                </c:pt>
                <c:pt idx="25">
                  <c:v>-3761.2166162217263</c:v>
                </c:pt>
                <c:pt idx="26">
                  <c:v>-3161.291243937083</c:v>
                </c:pt>
                <c:pt idx="27">
                  <c:v>-3001.620411950772</c:v>
                </c:pt>
                <c:pt idx="28">
                  <c:v>-2837.6166701476104</c:v>
                </c:pt>
                <c:pt idx="29">
                  <c:v>-2649.5603149104263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82-4DC6-A0D4-42D280628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62592"/>
        <c:axId val="490064128"/>
      </c:lineChart>
      <c:catAx>
        <c:axId val="49006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06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0641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346996321598127"/>
              <c:y val="9.92736964874849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0625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12516233136227622"/>
          <c:y val="0.67565320824258679"/>
          <c:w val="0.24902764586333323"/>
          <c:h val="0.1076997822080750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6.4353656767985254E-2"/>
          <c:w val="0.86111253535168564"/>
          <c:h val="0.74873307683776802"/>
        </c:manualLayout>
      </c:layout>
      <c:areaChart>
        <c:grouping val="percentStacked"/>
        <c:varyColors val="0"/>
        <c:ser>
          <c:idx val="0"/>
          <c:order val="0"/>
          <c:tx>
            <c:strRef>
              <c:f>Charts_Support!$A$7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Charts_Support!$J$7:$AE$7</c:f>
              <c:numCache>
                <c:formatCode>#,##0_);\(#,##0\)</c:formatCode>
                <c:ptCount val="22"/>
                <c:pt idx="0">
                  <c:v>1001</c:v>
                </c:pt>
                <c:pt idx="1">
                  <c:v>1037</c:v>
                </c:pt>
                <c:pt idx="2">
                  <c:v>1075</c:v>
                </c:pt>
                <c:pt idx="3">
                  <c:v>1186</c:v>
                </c:pt>
                <c:pt idx="4">
                  <c:v>1575</c:v>
                </c:pt>
                <c:pt idx="5">
                  <c:v>1999</c:v>
                </c:pt>
                <c:pt idx="6">
                  <c:v>2092</c:v>
                </c:pt>
                <c:pt idx="7">
                  <c:v>2215</c:v>
                </c:pt>
                <c:pt idx="8">
                  <c:v>2346</c:v>
                </c:pt>
                <c:pt idx="9">
                  <c:v>2467</c:v>
                </c:pt>
                <c:pt idx="10">
                  <c:v>2272</c:v>
                </c:pt>
                <c:pt idx="11">
                  <c:v>2184</c:v>
                </c:pt>
                <c:pt idx="12">
                  <c:v>2174</c:v>
                </c:pt>
                <c:pt idx="13">
                  <c:v>2248</c:v>
                </c:pt>
                <c:pt idx="14">
                  <c:v>2313</c:v>
                </c:pt>
                <c:pt idx="15">
                  <c:v>2388</c:v>
                </c:pt>
                <c:pt idx="16">
                  <c:v>2471</c:v>
                </c:pt>
                <c:pt idx="17">
                  <c:v>2541</c:v>
                </c:pt>
                <c:pt idx="18">
                  <c:v>2600</c:v>
                </c:pt>
                <c:pt idx="19">
                  <c:v>2659</c:v>
                </c:pt>
                <c:pt idx="20">
                  <c:v>2718</c:v>
                </c:pt>
                <c:pt idx="21">
                  <c:v>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D-411D-86E4-8D3F8EC2336C}"/>
            </c:ext>
          </c:extLst>
        </c:ser>
        <c:ser>
          <c:idx val="1"/>
          <c:order val="1"/>
          <c:tx>
            <c:strRef>
              <c:f>Charts_Support!$A$8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Charts_Support!$J$8:$AE$8</c:f>
              <c:numCache>
                <c:formatCode>#,##0_);\(#,##0\)</c:formatCode>
                <c:ptCount val="22"/>
                <c:pt idx="0">
                  <c:v>170</c:v>
                </c:pt>
                <c:pt idx="1">
                  <c:v>169</c:v>
                </c:pt>
                <c:pt idx="2">
                  <c:v>208</c:v>
                </c:pt>
                <c:pt idx="3">
                  <c:v>249</c:v>
                </c:pt>
                <c:pt idx="4">
                  <c:v>287</c:v>
                </c:pt>
                <c:pt idx="5">
                  <c:v>343</c:v>
                </c:pt>
                <c:pt idx="6">
                  <c:v>395</c:v>
                </c:pt>
                <c:pt idx="7">
                  <c:v>481</c:v>
                </c:pt>
                <c:pt idx="8">
                  <c:v>543</c:v>
                </c:pt>
                <c:pt idx="9">
                  <c:v>628</c:v>
                </c:pt>
                <c:pt idx="10">
                  <c:v>640</c:v>
                </c:pt>
                <c:pt idx="11">
                  <c:v>633</c:v>
                </c:pt>
                <c:pt idx="12">
                  <c:v>664</c:v>
                </c:pt>
                <c:pt idx="13">
                  <c:v>723</c:v>
                </c:pt>
                <c:pt idx="14">
                  <c:v>775</c:v>
                </c:pt>
                <c:pt idx="15">
                  <c:v>799</c:v>
                </c:pt>
                <c:pt idx="16">
                  <c:v>823</c:v>
                </c:pt>
                <c:pt idx="17">
                  <c:v>841</c:v>
                </c:pt>
                <c:pt idx="18">
                  <c:v>860</c:v>
                </c:pt>
                <c:pt idx="19">
                  <c:v>876</c:v>
                </c:pt>
                <c:pt idx="20">
                  <c:v>892</c:v>
                </c:pt>
                <c:pt idx="21">
                  <c:v>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D-411D-86E4-8D3F8EC2336C}"/>
            </c:ext>
          </c:extLst>
        </c:ser>
        <c:ser>
          <c:idx val="2"/>
          <c:order val="2"/>
          <c:tx>
            <c:strRef>
              <c:f>Charts_Support!$A$9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Charts_Support!$J$6:$AE$6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Charts_Support!$J$9:$AE$9</c:f>
              <c:numCache>
                <c:formatCode>#,##0_);\(#,##0\)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442</c:v>
                </c:pt>
                <c:pt idx="6">
                  <c:v>467</c:v>
                </c:pt>
                <c:pt idx="7">
                  <c:v>499</c:v>
                </c:pt>
                <c:pt idx="8">
                  <c:v>549</c:v>
                </c:pt>
                <c:pt idx="9">
                  <c:v>593</c:v>
                </c:pt>
                <c:pt idx="10">
                  <c:v>1398</c:v>
                </c:pt>
                <c:pt idx="11">
                  <c:v>1376</c:v>
                </c:pt>
                <c:pt idx="12">
                  <c:v>1424</c:v>
                </c:pt>
                <c:pt idx="13">
                  <c:v>1476</c:v>
                </c:pt>
                <c:pt idx="14">
                  <c:v>1534</c:v>
                </c:pt>
                <c:pt idx="15">
                  <c:v>1598</c:v>
                </c:pt>
                <c:pt idx="16">
                  <c:v>1634</c:v>
                </c:pt>
                <c:pt idx="17">
                  <c:v>1662</c:v>
                </c:pt>
                <c:pt idx="18">
                  <c:v>1686</c:v>
                </c:pt>
                <c:pt idx="19">
                  <c:v>1710</c:v>
                </c:pt>
                <c:pt idx="20">
                  <c:v>1734</c:v>
                </c:pt>
                <c:pt idx="21">
                  <c:v>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3D-411D-86E4-8D3F8EC2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624512"/>
        <c:axId val="490626048"/>
      </c:areaChart>
      <c:catAx>
        <c:axId val="4906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626048"/>
        <c:crosses val="autoZero"/>
        <c:auto val="1"/>
        <c:lblAlgn val="ctr"/>
        <c:lblOffset val="100"/>
        <c:noMultiLvlLbl val="0"/>
      </c:catAx>
      <c:valAx>
        <c:axId val="4906260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6245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3449653095688619"/>
          <c:y val="7.4972914409534141E-3"/>
          <c:w val="0.53506561679790021"/>
          <c:h val="4.7014442804616918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600626406541"/>
          <c:y val="5.4794612175279887E-2"/>
          <c:w val="0.7840474374234685"/>
          <c:h val="0.76712457045391835"/>
        </c:manualLayout>
      </c:layout>
      <c:areaChart>
        <c:grouping val="standard"/>
        <c:varyColors val="0"/>
        <c:ser>
          <c:idx val="0"/>
          <c:order val="0"/>
          <c:tx>
            <c:v>Stores</c:v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Charts_Support!$J$8:$AE$8</c:f>
              <c:numCache>
                <c:formatCode>#,##0_);\(#,##0\)</c:formatCode>
                <c:ptCount val="22"/>
                <c:pt idx="0">
                  <c:v>170</c:v>
                </c:pt>
                <c:pt idx="1">
                  <c:v>169</c:v>
                </c:pt>
                <c:pt idx="2">
                  <c:v>208</c:v>
                </c:pt>
                <c:pt idx="3">
                  <c:v>249</c:v>
                </c:pt>
                <c:pt idx="4">
                  <c:v>287</c:v>
                </c:pt>
                <c:pt idx="5">
                  <c:v>343</c:v>
                </c:pt>
                <c:pt idx="6">
                  <c:v>395</c:v>
                </c:pt>
                <c:pt idx="7">
                  <c:v>481</c:v>
                </c:pt>
                <c:pt idx="8">
                  <c:v>543</c:v>
                </c:pt>
                <c:pt idx="9">
                  <c:v>628</c:v>
                </c:pt>
                <c:pt idx="10">
                  <c:v>640</c:v>
                </c:pt>
                <c:pt idx="11">
                  <c:v>633</c:v>
                </c:pt>
                <c:pt idx="12">
                  <c:v>664</c:v>
                </c:pt>
                <c:pt idx="13">
                  <c:v>723</c:v>
                </c:pt>
                <c:pt idx="14">
                  <c:v>775</c:v>
                </c:pt>
                <c:pt idx="15">
                  <c:v>799</c:v>
                </c:pt>
                <c:pt idx="16">
                  <c:v>823</c:v>
                </c:pt>
                <c:pt idx="17">
                  <c:v>841</c:v>
                </c:pt>
                <c:pt idx="18">
                  <c:v>860</c:v>
                </c:pt>
                <c:pt idx="19">
                  <c:v>876</c:v>
                </c:pt>
                <c:pt idx="20">
                  <c:v>892</c:v>
                </c:pt>
                <c:pt idx="21">
                  <c:v>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B-4E91-9C7C-5D918A07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649088"/>
        <c:axId val="490650624"/>
      </c:areaChart>
      <c:lineChart>
        <c:grouping val="standard"/>
        <c:varyColors val="0"/>
        <c:ser>
          <c:idx val="1"/>
          <c:order val="1"/>
          <c:tx>
            <c:v>Sales Per Store</c:v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Charts_Support!$J$47:$AE$47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12.911599710069305</c:v>
                </c:pt>
                <c:pt idx="2">
                  <c:v>13.827911166266013</c:v>
                </c:pt>
                <c:pt idx="3">
                  <c:v>16.268668544978865</c:v>
                </c:pt>
                <c:pt idx="4">
                  <c:v>14.831914646240275</c:v>
                </c:pt>
                <c:pt idx="5">
                  <c:v>14.114728690337516</c:v>
                </c:pt>
                <c:pt idx="6">
                  <c:v>17.827631110956158</c:v>
                </c:pt>
                <c:pt idx="7">
                  <c:v>17.625241036320851</c:v>
                </c:pt>
                <c:pt idx="8">
                  <c:v>19.662802795865222</c:v>
                </c:pt>
                <c:pt idx="9">
                  <c:v>16.687195762203377</c:v>
                </c:pt>
                <c:pt idx="10">
                  <c:v>15.800690047736646</c:v>
                </c:pt>
                <c:pt idx="11">
                  <c:v>9.2787851126798078</c:v>
                </c:pt>
                <c:pt idx="12">
                  <c:v>14.370728514241682</c:v>
                </c:pt>
                <c:pt idx="13">
                  <c:v>19.772459494154706</c:v>
                </c:pt>
                <c:pt idx="14">
                  <c:v>19.121633060550586</c:v>
                </c:pt>
                <c:pt idx="15">
                  <c:v>15.232710860260394</c:v>
                </c:pt>
                <c:pt idx="16">
                  <c:v>16.225849392371387</c:v>
                </c:pt>
                <c:pt idx="17">
                  <c:v>16.757235119305488</c:v>
                </c:pt>
                <c:pt idx="18">
                  <c:v>16.830903641208568</c:v>
                </c:pt>
                <c:pt idx="19">
                  <c:v>17.022813916407564</c:v>
                </c:pt>
                <c:pt idx="20">
                  <c:v>17.212581136192931</c:v>
                </c:pt>
                <c:pt idx="21">
                  <c:v>17.419237011475754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CB-4E91-9C7C-5D918A07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0992"/>
        <c:axId val="490662528"/>
      </c:lineChart>
      <c:catAx>
        <c:axId val="49064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65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65062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6796388778250967"/>
              <c:y val="4.094132702938092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649088"/>
        <c:crosses val="autoZero"/>
        <c:crossBetween val="midCat"/>
      </c:valAx>
      <c:catAx>
        <c:axId val="490660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662528"/>
        <c:crosses val="autoZero"/>
        <c:auto val="1"/>
        <c:lblAlgn val="ctr"/>
        <c:lblOffset val="100"/>
        <c:noMultiLvlLbl val="0"/>
      </c:catAx>
      <c:valAx>
        <c:axId val="49066252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store- $Mex mn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70882032742016199"/>
              <c:y val="3.066742503688167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0660992"/>
        <c:crosses val="max"/>
        <c:crossBetween val="midCat"/>
      </c:valAx>
      <c:spPr>
        <a:noFill/>
        <a:ln w="25400">
          <a:noFill/>
        </a:ln>
      </c:spPr>
    </c:plotArea>
    <c:legend>
      <c:legendPos val="t"/>
      <c:overlay val="0"/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600626406541"/>
          <c:y val="5.4794612175279887E-2"/>
          <c:w val="0.7840474374234685"/>
          <c:h val="0.76712457045391835"/>
        </c:manualLayout>
      </c:layout>
      <c:areaChart>
        <c:grouping val="standard"/>
        <c:varyColors val="0"/>
        <c:ser>
          <c:idx val="0"/>
          <c:order val="0"/>
          <c:tx>
            <c:v>Stores</c:v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Charts_Support!$J$9:$AE$9</c:f>
              <c:numCache>
                <c:formatCode>#,##0_);\(#,##0\)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442</c:v>
                </c:pt>
                <c:pt idx="6">
                  <c:v>467</c:v>
                </c:pt>
                <c:pt idx="7">
                  <c:v>499</c:v>
                </c:pt>
                <c:pt idx="8">
                  <c:v>549</c:v>
                </c:pt>
                <c:pt idx="9">
                  <c:v>593</c:v>
                </c:pt>
                <c:pt idx="10">
                  <c:v>1398</c:v>
                </c:pt>
                <c:pt idx="11">
                  <c:v>1376</c:v>
                </c:pt>
                <c:pt idx="12">
                  <c:v>1424</c:v>
                </c:pt>
                <c:pt idx="13">
                  <c:v>1476</c:v>
                </c:pt>
                <c:pt idx="14">
                  <c:v>1534</c:v>
                </c:pt>
                <c:pt idx="15">
                  <c:v>1598</c:v>
                </c:pt>
                <c:pt idx="16">
                  <c:v>1634</c:v>
                </c:pt>
                <c:pt idx="17">
                  <c:v>1662</c:v>
                </c:pt>
                <c:pt idx="18">
                  <c:v>1686</c:v>
                </c:pt>
                <c:pt idx="19">
                  <c:v>1710</c:v>
                </c:pt>
                <c:pt idx="20">
                  <c:v>1734</c:v>
                </c:pt>
                <c:pt idx="21">
                  <c:v>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B-47ED-A945-F5BA03EB4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194048"/>
        <c:axId val="492195840"/>
      </c:areaChart>
      <c:lineChart>
        <c:grouping val="standard"/>
        <c:varyColors val="0"/>
        <c:ser>
          <c:idx val="1"/>
          <c:order val="1"/>
          <c:tx>
            <c:v>Sales Per Store</c:v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Charts_Support!$J$50:$AE$50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Charts_Support!$J$48:$AE$48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4.7615958481998053</c:v>
                </c:pt>
                <c:pt idx="6">
                  <c:v>17.741467954900582</c:v>
                </c:pt>
                <c:pt idx="7">
                  <c:v>21.61944251530355</c:v>
                </c:pt>
                <c:pt idx="8">
                  <c:v>22.050724993631402</c:v>
                </c:pt>
                <c:pt idx="9">
                  <c:v>23.103154590079431</c:v>
                </c:pt>
                <c:pt idx="10">
                  <c:v>23.308689842247077</c:v>
                </c:pt>
                <c:pt idx="11">
                  <c:v>15.667476604444849</c:v>
                </c:pt>
                <c:pt idx="12">
                  <c:v>20.415123119621477</c:v>
                </c:pt>
                <c:pt idx="13">
                  <c:v>23.04809144753866</c:v>
                </c:pt>
                <c:pt idx="14">
                  <c:v>22.930954127181923</c:v>
                </c:pt>
                <c:pt idx="15">
                  <c:v>23.275597362125197</c:v>
                </c:pt>
                <c:pt idx="16">
                  <c:v>26.475775431986204</c:v>
                </c:pt>
                <c:pt idx="17">
                  <c:v>28.444483824040628</c:v>
                </c:pt>
                <c:pt idx="18">
                  <c:v>30.298973899364444</c:v>
                </c:pt>
                <c:pt idx="19">
                  <c:v>32.174378856650236</c:v>
                </c:pt>
                <c:pt idx="20">
                  <c:v>34.138580096370951</c:v>
                </c:pt>
                <c:pt idx="21">
                  <c:v>36.242580589052089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7ED-A945-F5BA03EB4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97760"/>
        <c:axId val="492199296"/>
      </c:lineChart>
      <c:catAx>
        <c:axId val="49219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19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19584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6796388778250967"/>
              <c:y val="4.094132702938092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194048"/>
        <c:crosses val="autoZero"/>
        <c:crossBetween val="midCat"/>
      </c:valAx>
      <c:catAx>
        <c:axId val="492197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199296"/>
        <c:crosses val="autoZero"/>
        <c:auto val="1"/>
        <c:lblAlgn val="ctr"/>
        <c:lblOffset val="100"/>
        <c:noMultiLvlLbl val="0"/>
      </c:catAx>
      <c:valAx>
        <c:axId val="49219929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store- $Mex mn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70882032742016199"/>
              <c:y val="3.066742503688167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197760"/>
        <c:crosses val="max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3204631531150349"/>
          <c:y val="0.12757684359222535"/>
          <c:w val="0.43105809021578723"/>
          <c:h val="7.0651284868461214E-2"/>
        </c:manualLayout>
      </c:layout>
      <c:overlay val="0"/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88995782142019"/>
          <c:y val="6.7541246922848616E-2"/>
          <c:w val="0.76653769316339104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Charts_Support!$A$432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Charts_Support!$J$432:$CS$432</c:f>
              <c:numCache>
                <c:formatCode>#,##0.0_);\(#,##0.0\)</c:formatCode>
                <c:ptCount val="64"/>
                <c:pt idx="0">
                  <c:v>155</c:v>
                </c:pt>
                <c:pt idx="1">
                  <c:v>162</c:v>
                </c:pt>
                <c:pt idx="2">
                  <c:v>165</c:v>
                </c:pt>
                <c:pt idx="3">
                  <c:v>170</c:v>
                </c:pt>
                <c:pt idx="4">
                  <c:v>171</c:v>
                </c:pt>
                <c:pt idx="5">
                  <c:v>178</c:v>
                </c:pt>
                <c:pt idx="6">
                  <c:v>157</c:v>
                </c:pt>
                <c:pt idx="7">
                  <c:v>169</c:v>
                </c:pt>
                <c:pt idx="8">
                  <c:v>172</c:v>
                </c:pt>
                <c:pt idx="9">
                  <c:v>176</c:v>
                </c:pt>
                <c:pt idx="10">
                  <c:v>189</c:v>
                </c:pt>
                <c:pt idx="11">
                  <c:v>208</c:v>
                </c:pt>
                <c:pt idx="12">
                  <c:v>212</c:v>
                </c:pt>
                <c:pt idx="13">
                  <c:v>224</c:v>
                </c:pt>
                <c:pt idx="14">
                  <c:v>236</c:v>
                </c:pt>
                <c:pt idx="15">
                  <c:v>249</c:v>
                </c:pt>
                <c:pt idx="16">
                  <c:v>253</c:v>
                </c:pt>
                <c:pt idx="17">
                  <c:v>263</c:v>
                </c:pt>
                <c:pt idx="18">
                  <c:v>275</c:v>
                </c:pt>
                <c:pt idx="19">
                  <c:v>287</c:v>
                </c:pt>
                <c:pt idx="20">
                  <c:v>294</c:v>
                </c:pt>
                <c:pt idx="21">
                  <c:v>298</c:v>
                </c:pt>
                <c:pt idx="22">
                  <c:v>317</c:v>
                </c:pt>
                <c:pt idx="23">
                  <c:v>343</c:v>
                </c:pt>
                <c:pt idx="24">
                  <c:v>350</c:v>
                </c:pt>
                <c:pt idx="25">
                  <c:v>365</c:v>
                </c:pt>
                <c:pt idx="26">
                  <c:v>382</c:v>
                </c:pt>
                <c:pt idx="27">
                  <c:v>395</c:v>
                </c:pt>
                <c:pt idx="28">
                  <c:v>444</c:v>
                </c:pt>
                <c:pt idx="29">
                  <c:v>456</c:v>
                </c:pt>
                <c:pt idx="30">
                  <c:v>470</c:v>
                </c:pt>
                <c:pt idx="31">
                  <c:v>481</c:v>
                </c:pt>
                <c:pt idx="32">
                  <c:v>493</c:v>
                </c:pt>
                <c:pt idx="33">
                  <c:v>515</c:v>
                </c:pt>
                <c:pt idx="34">
                  <c:v>528</c:v>
                </c:pt>
                <c:pt idx="35">
                  <c:v>543</c:v>
                </c:pt>
                <c:pt idx="36">
                  <c:v>555</c:v>
                </c:pt>
                <c:pt idx="37">
                  <c:v>573</c:v>
                </c:pt>
                <c:pt idx="38">
                  <c:v>607</c:v>
                </c:pt>
                <c:pt idx="39">
                  <c:v>628</c:v>
                </c:pt>
                <c:pt idx="40">
                  <c:v>631</c:v>
                </c:pt>
                <c:pt idx="41">
                  <c:v>639</c:v>
                </c:pt>
                <c:pt idx="42">
                  <c:v>632</c:v>
                </c:pt>
                <c:pt idx="43">
                  <c:v>640</c:v>
                </c:pt>
                <c:pt idx="44">
                  <c:v>643</c:v>
                </c:pt>
                <c:pt idx="45">
                  <c:v>630</c:v>
                </c:pt>
                <c:pt idx="46">
                  <c:v>625</c:v>
                </c:pt>
                <c:pt idx="47">
                  <c:v>633</c:v>
                </c:pt>
                <c:pt idx="48">
                  <c:v>639</c:v>
                </c:pt>
                <c:pt idx="49">
                  <c:v>647</c:v>
                </c:pt>
                <c:pt idx="50">
                  <c:v>656</c:v>
                </c:pt>
                <c:pt idx="51">
                  <c:v>664</c:v>
                </c:pt>
                <c:pt idx="52">
                  <c:v>677</c:v>
                </c:pt>
                <c:pt idx="53">
                  <c:v>692</c:v>
                </c:pt>
                <c:pt idx="54">
                  <c:v>697</c:v>
                </c:pt>
                <c:pt idx="55">
                  <c:v>723</c:v>
                </c:pt>
                <c:pt idx="56">
                  <c:v>728</c:v>
                </c:pt>
                <c:pt idx="57">
                  <c:v>745</c:v>
                </c:pt>
                <c:pt idx="58">
                  <c:v>754</c:v>
                </c:pt>
                <c:pt idx="59">
                  <c:v>775</c:v>
                </c:pt>
                <c:pt idx="60">
                  <c:v>776</c:v>
                </c:pt>
                <c:pt idx="61">
                  <c:v>780</c:v>
                </c:pt>
                <c:pt idx="62">
                  <c:v>785</c:v>
                </c:pt>
                <c:pt idx="63">
                  <c:v>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5-4823-9004-1EB6B0F3A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32064"/>
        <c:axId val="492242048"/>
      </c:areaChart>
      <c:lineChart>
        <c:grouping val="standard"/>
        <c:varyColors val="0"/>
        <c:ser>
          <c:idx val="1"/>
          <c:order val="1"/>
          <c:tx>
            <c:strRef>
              <c:f>Charts_Support!$A$433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Charts_Support!$J$433:$CS$433</c:f>
              <c:numCache>
                <c:formatCode>0.0%</c:formatCode>
                <c:ptCount val="64"/>
                <c:pt idx="4">
                  <c:v>0.10322580645161294</c:v>
                </c:pt>
                <c:pt idx="5">
                  <c:v>9.8765432098765427E-2</c:v>
                </c:pt>
                <c:pt idx="6">
                  <c:v>-4.8484848484848464E-2</c:v>
                </c:pt>
                <c:pt idx="7">
                  <c:v>-5.8823529411764497E-3</c:v>
                </c:pt>
                <c:pt idx="8">
                  <c:v>5.8479532163742132E-3</c:v>
                </c:pt>
                <c:pt idx="9">
                  <c:v>-1.1235955056179803E-2</c:v>
                </c:pt>
                <c:pt idx="10">
                  <c:v>0.20382165605095537</c:v>
                </c:pt>
                <c:pt idx="11">
                  <c:v>0.23076923076923084</c:v>
                </c:pt>
                <c:pt idx="12">
                  <c:v>0.23255813953488369</c:v>
                </c:pt>
                <c:pt idx="13">
                  <c:v>0.27272727272727271</c:v>
                </c:pt>
                <c:pt idx="14">
                  <c:v>0.24867724867724861</c:v>
                </c:pt>
                <c:pt idx="15">
                  <c:v>0.19711538461538458</c:v>
                </c:pt>
                <c:pt idx="16">
                  <c:v>0.19339622641509435</c:v>
                </c:pt>
                <c:pt idx="17">
                  <c:v>0.17410714285714279</c:v>
                </c:pt>
                <c:pt idx="18">
                  <c:v>0.1652542372881356</c:v>
                </c:pt>
                <c:pt idx="19">
                  <c:v>0.15261044176706817</c:v>
                </c:pt>
                <c:pt idx="20">
                  <c:v>0.1620553359683794</c:v>
                </c:pt>
                <c:pt idx="21">
                  <c:v>0.13307984790874516</c:v>
                </c:pt>
                <c:pt idx="22">
                  <c:v>0.15272727272727282</c:v>
                </c:pt>
                <c:pt idx="23">
                  <c:v>0.19512195121951215</c:v>
                </c:pt>
                <c:pt idx="24">
                  <c:v>0.19047619047619047</c:v>
                </c:pt>
                <c:pt idx="25">
                  <c:v>0.22483221476510074</c:v>
                </c:pt>
                <c:pt idx="26">
                  <c:v>0.20504731861198744</c:v>
                </c:pt>
                <c:pt idx="27">
                  <c:v>0.15160349854227406</c:v>
                </c:pt>
                <c:pt idx="28">
                  <c:v>0.26857142857142846</c:v>
                </c:pt>
                <c:pt idx="29">
                  <c:v>0.24931506849315066</c:v>
                </c:pt>
                <c:pt idx="30">
                  <c:v>0.23036649214659688</c:v>
                </c:pt>
                <c:pt idx="31">
                  <c:v>0.21772151898734182</c:v>
                </c:pt>
                <c:pt idx="32">
                  <c:v>0.11036036036036045</c:v>
                </c:pt>
                <c:pt idx="33">
                  <c:v>0.1293859649122806</c:v>
                </c:pt>
                <c:pt idx="34">
                  <c:v>0.123404255319149</c:v>
                </c:pt>
                <c:pt idx="35">
                  <c:v>0.12889812889812879</c:v>
                </c:pt>
                <c:pt idx="36">
                  <c:v>0.12576064908722118</c:v>
                </c:pt>
                <c:pt idx="37">
                  <c:v>0.11262135922330097</c:v>
                </c:pt>
                <c:pt idx="38">
                  <c:v>0.14962121212121215</c:v>
                </c:pt>
                <c:pt idx="39">
                  <c:v>0.15653775322283603</c:v>
                </c:pt>
                <c:pt idx="40">
                  <c:v>0.13693693693693687</c:v>
                </c:pt>
                <c:pt idx="41">
                  <c:v>0.11518324607329844</c:v>
                </c:pt>
                <c:pt idx="42">
                  <c:v>4.1186161449752845E-2</c:v>
                </c:pt>
                <c:pt idx="43">
                  <c:v>1.9108280254777066E-2</c:v>
                </c:pt>
                <c:pt idx="44">
                  <c:v>1.9017432646592614E-2</c:v>
                </c:pt>
                <c:pt idx="45">
                  <c:v>-1.4084507042253502E-2</c:v>
                </c:pt>
                <c:pt idx="46">
                  <c:v>-1.1075949367088556E-2</c:v>
                </c:pt>
                <c:pt idx="47">
                  <c:v>-1.0937500000000044E-2</c:v>
                </c:pt>
                <c:pt idx="48">
                  <c:v>-6.2208398133748455E-3</c:v>
                </c:pt>
                <c:pt idx="49">
                  <c:v>2.6984126984126888E-2</c:v>
                </c:pt>
                <c:pt idx="50">
                  <c:v>4.9600000000000088E-2</c:v>
                </c:pt>
                <c:pt idx="51">
                  <c:v>4.8973143759873716E-2</c:v>
                </c:pt>
                <c:pt idx="52">
                  <c:v>5.946791862284817E-2</c:v>
                </c:pt>
                <c:pt idx="53">
                  <c:v>6.9551777434312179E-2</c:v>
                </c:pt>
                <c:pt idx="54">
                  <c:v>6.25E-2</c:v>
                </c:pt>
                <c:pt idx="55">
                  <c:v>8.8855421686746983E-2</c:v>
                </c:pt>
                <c:pt idx="56">
                  <c:v>7.5332348596750309E-2</c:v>
                </c:pt>
                <c:pt idx="57">
                  <c:v>7.6589595375722519E-2</c:v>
                </c:pt>
                <c:pt idx="58">
                  <c:v>8.1779053084648501E-2</c:v>
                </c:pt>
                <c:pt idx="59">
                  <c:v>7.1922544951590561E-2</c:v>
                </c:pt>
                <c:pt idx="60">
                  <c:v>6.5934065934065922E-2</c:v>
                </c:pt>
                <c:pt idx="61">
                  <c:v>4.6979865771812124E-2</c:v>
                </c:pt>
                <c:pt idx="62">
                  <c:v>4.1114058355437688E-2</c:v>
                </c:pt>
                <c:pt idx="63">
                  <c:v>3.0967741935483906E-2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45-4823-9004-1EB6B0F3A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43968"/>
        <c:axId val="492245760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45-4823-9004-1EB6B0F3A8F8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F545-4823-9004-1EB6B0F3A8F8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545-4823-9004-1EB6B0F3A8F8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545-4823-9004-1EB6B0F3A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43968"/>
        <c:axId val="492245760"/>
      </c:scatterChart>
      <c:catAx>
        <c:axId val="4922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420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2420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4526609271117374"/>
              <c:y val="3.728826579604378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32064"/>
        <c:crosses val="autoZero"/>
        <c:crossBetween val="midCat"/>
      </c:valAx>
      <c:catAx>
        <c:axId val="492243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245760"/>
        <c:crosses val="autoZero"/>
        <c:auto val="1"/>
        <c:lblAlgn val="ctr"/>
        <c:lblOffset val="100"/>
        <c:noMultiLvlLbl val="0"/>
      </c:catAx>
      <c:valAx>
        <c:axId val="492245760"/>
        <c:scaling>
          <c:orientation val="minMax"/>
          <c:max val="0.4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76718608617502582"/>
              <c:y val="4.1467255617438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439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88995782142019"/>
          <c:y val="6.7541246922848616E-2"/>
          <c:w val="0.76653769316339104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Charts_Support!$A$434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Charts_Support!$J$434:$CS$434</c:f>
              <c:numCache>
                <c:formatCode>#,##0.0_);\(#,##0.0\)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442</c:v>
                </c:pt>
                <c:pt idx="24">
                  <c:v>442</c:v>
                </c:pt>
                <c:pt idx="25">
                  <c:v>445</c:v>
                </c:pt>
                <c:pt idx="26">
                  <c:v>455</c:v>
                </c:pt>
                <c:pt idx="27">
                  <c:v>467</c:v>
                </c:pt>
                <c:pt idx="28">
                  <c:v>468</c:v>
                </c:pt>
                <c:pt idx="29">
                  <c:v>475</c:v>
                </c:pt>
                <c:pt idx="30">
                  <c:v>483</c:v>
                </c:pt>
                <c:pt idx="31">
                  <c:v>499</c:v>
                </c:pt>
                <c:pt idx="32">
                  <c:v>506</c:v>
                </c:pt>
                <c:pt idx="33">
                  <c:v>519</c:v>
                </c:pt>
                <c:pt idx="34">
                  <c:v>530</c:v>
                </c:pt>
                <c:pt idx="35">
                  <c:v>549</c:v>
                </c:pt>
                <c:pt idx="36">
                  <c:v>555</c:v>
                </c:pt>
                <c:pt idx="37">
                  <c:v>561</c:v>
                </c:pt>
                <c:pt idx="38">
                  <c:v>571</c:v>
                </c:pt>
                <c:pt idx="39">
                  <c:v>593</c:v>
                </c:pt>
                <c:pt idx="40">
                  <c:v>1353</c:v>
                </c:pt>
                <c:pt idx="41">
                  <c:v>1372</c:v>
                </c:pt>
                <c:pt idx="42">
                  <c:v>1394</c:v>
                </c:pt>
                <c:pt idx="43">
                  <c:v>1398</c:v>
                </c:pt>
                <c:pt idx="44">
                  <c:v>1405</c:v>
                </c:pt>
                <c:pt idx="45">
                  <c:v>1390</c:v>
                </c:pt>
                <c:pt idx="46">
                  <c:v>1392</c:v>
                </c:pt>
                <c:pt idx="47">
                  <c:v>1376</c:v>
                </c:pt>
                <c:pt idx="48">
                  <c:v>1375</c:v>
                </c:pt>
                <c:pt idx="49">
                  <c:v>1388</c:v>
                </c:pt>
                <c:pt idx="50">
                  <c:v>1404</c:v>
                </c:pt>
                <c:pt idx="51">
                  <c:v>1424</c:v>
                </c:pt>
                <c:pt idx="52">
                  <c:v>1441</c:v>
                </c:pt>
                <c:pt idx="53">
                  <c:v>1452</c:v>
                </c:pt>
                <c:pt idx="54">
                  <c:v>1460</c:v>
                </c:pt>
                <c:pt idx="55">
                  <c:v>1476</c:v>
                </c:pt>
                <c:pt idx="56">
                  <c:v>1477</c:v>
                </c:pt>
                <c:pt idx="57">
                  <c:v>1494</c:v>
                </c:pt>
                <c:pt idx="58">
                  <c:v>1514</c:v>
                </c:pt>
                <c:pt idx="59">
                  <c:v>1534</c:v>
                </c:pt>
                <c:pt idx="60">
                  <c:v>1534</c:v>
                </c:pt>
                <c:pt idx="61">
                  <c:v>1548</c:v>
                </c:pt>
                <c:pt idx="62">
                  <c:v>1560</c:v>
                </c:pt>
                <c:pt idx="63">
                  <c:v>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4-4CC8-BFF2-EEF8E6CB3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81216"/>
        <c:axId val="492295296"/>
      </c:areaChart>
      <c:lineChart>
        <c:grouping val="standard"/>
        <c:varyColors val="0"/>
        <c:ser>
          <c:idx val="1"/>
          <c:order val="1"/>
          <c:tx>
            <c:strRef>
              <c:f>Charts_Support!$A$435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Charts_Support!$J$435:$CS$435</c:f>
              <c:numCache>
                <c:formatCode>0.0%</c:formatCode>
                <c:ptCount val="64"/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6.7415730337078594E-2</c:v>
                </c:pt>
                <c:pt idx="30">
                  <c:v>6.1538461538461542E-2</c:v>
                </c:pt>
                <c:pt idx="31">
                  <c:v>6.85224839400429E-2</c:v>
                </c:pt>
                <c:pt idx="32">
                  <c:v>8.119658119658113E-2</c:v>
                </c:pt>
                <c:pt idx="33">
                  <c:v>9.2631578947368398E-2</c:v>
                </c:pt>
                <c:pt idx="34">
                  <c:v>9.7308488612836364E-2</c:v>
                </c:pt>
                <c:pt idx="35">
                  <c:v>0.10020040080160331</c:v>
                </c:pt>
                <c:pt idx="36">
                  <c:v>9.6837944664031728E-2</c:v>
                </c:pt>
                <c:pt idx="37">
                  <c:v>8.092485549132955E-2</c:v>
                </c:pt>
                <c:pt idx="38">
                  <c:v>7.735849056603783E-2</c:v>
                </c:pt>
                <c:pt idx="39">
                  <c:v>8.0145719489981726E-2</c:v>
                </c:pt>
                <c:pt idx="40">
                  <c:v>1.4378378378378378</c:v>
                </c:pt>
                <c:pt idx="41">
                  <c:v>1.4456327985739752</c:v>
                </c:pt>
                <c:pt idx="42">
                  <c:v>1.4413309982486866</c:v>
                </c:pt>
                <c:pt idx="43">
                  <c:v>1.357504215851602</c:v>
                </c:pt>
                <c:pt idx="44">
                  <c:v>3.8433111603843217E-2</c:v>
                </c:pt>
                <c:pt idx="45">
                  <c:v>1.3119533527696792E-2</c:v>
                </c:pt>
                <c:pt idx="46">
                  <c:v>-1.4347202295552641E-3</c:v>
                </c:pt>
                <c:pt idx="47">
                  <c:v>-1.5736766809728131E-2</c:v>
                </c:pt>
                <c:pt idx="48">
                  <c:v>-2.1352313167259829E-2</c:v>
                </c:pt>
                <c:pt idx="49">
                  <c:v>-1.4388489208633226E-3</c:v>
                </c:pt>
                <c:pt idx="50">
                  <c:v>8.6206896551723755E-3</c:v>
                </c:pt>
                <c:pt idx="51">
                  <c:v>3.488372093023262E-2</c:v>
                </c:pt>
                <c:pt idx="52">
                  <c:v>4.8000000000000043E-2</c:v>
                </c:pt>
                <c:pt idx="53">
                  <c:v>4.6109510086455252E-2</c:v>
                </c:pt>
                <c:pt idx="54">
                  <c:v>3.9886039886039892E-2</c:v>
                </c:pt>
                <c:pt idx="55">
                  <c:v>3.6516853932584192E-2</c:v>
                </c:pt>
                <c:pt idx="56">
                  <c:v>2.4982650936849371E-2</c:v>
                </c:pt>
                <c:pt idx="57">
                  <c:v>2.8925619834710758E-2</c:v>
                </c:pt>
                <c:pt idx="58">
                  <c:v>3.6986301369863028E-2</c:v>
                </c:pt>
                <c:pt idx="59">
                  <c:v>3.9295392953929476E-2</c:v>
                </c:pt>
                <c:pt idx="60">
                  <c:v>3.8591740013540932E-2</c:v>
                </c:pt>
                <c:pt idx="61">
                  <c:v>3.6144578313253017E-2</c:v>
                </c:pt>
                <c:pt idx="62">
                  <c:v>3.0383091149273511E-2</c:v>
                </c:pt>
                <c:pt idx="63">
                  <c:v>4.1720990873533204E-2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04-4CC8-BFF2-EEF8E6CB3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97216"/>
        <c:axId val="492299008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4-4CC8-BFF2-EEF8E6CB3F00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7E04-4CC8-BFF2-EEF8E6CB3F00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04-4CC8-BFF2-EEF8E6CB3F00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04-4CC8-BFF2-EEF8E6CB3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97216"/>
        <c:axId val="492299008"/>
      </c:scatterChart>
      <c:catAx>
        <c:axId val="49228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9529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2952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Stores</a:t>
                </a:r>
              </a:p>
            </c:rich>
          </c:tx>
          <c:layout>
            <c:manualLayout>
              <c:xMode val="edge"/>
              <c:yMode val="edge"/>
              <c:x val="0.14526609271117374"/>
              <c:y val="3.728826579604378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81216"/>
        <c:crosses val="autoZero"/>
        <c:crossBetween val="midCat"/>
      </c:valAx>
      <c:catAx>
        <c:axId val="492297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299008"/>
        <c:crosses val="autoZero"/>
        <c:auto val="1"/>
        <c:lblAlgn val="ctr"/>
        <c:lblOffset val="100"/>
        <c:noMultiLvlLbl val="0"/>
      </c:catAx>
      <c:valAx>
        <c:axId val="492299008"/>
        <c:scaling>
          <c:orientation val="minMax"/>
          <c:max val="0.4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8183403708631436"/>
              <c:y val="1.0087161803694804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2972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16741128044755"/>
          <c:y val="5.4237377908795535E-2"/>
          <c:w val="0.80155718168354595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Charts_Support!$A$442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Charts_Support!$J$442:$CS$442</c:f>
              <c:numCache>
                <c:formatCode>#,##0.0_);\(#,##0.0\)</c:formatCode>
                <c:ptCount val="64"/>
                <c:pt idx="1">
                  <c:v>2.9750995348837206</c:v>
                </c:pt>
                <c:pt idx="2">
                  <c:v>3.3152909666423178</c:v>
                </c:pt>
                <c:pt idx="3">
                  <c:v>3.4183575138504159</c:v>
                </c:pt>
                <c:pt idx="4">
                  <c:v>3.0323974285766915</c:v>
                </c:pt>
                <c:pt idx="5">
                  <c:v>3.4830117478314326</c:v>
                </c:pt>
                <c:pt idx="6">
                  <c:v>3.9477512755102038</c:v>
                </c:pt>
                <c:pt idx="7">
                  <c:v>3.8465311498754002</c:v>
                </c:pt>
                <c:pt idx="8">
                  <c:v>3.3383225806451611</c:v>
                </c:pt>
                <c:pt idx="9">
                  <c:v>3.7158415081422076</c:v>
                </c:pt>
                <c:pt idx="10">
                  <c:v>4.3874201630854239</c:v>
                </c:pt>
                <c:pt idx="11">
                  <c:v>4.45042988068802</c:v>
                </c:pt>
                <c:pt idx="12">
                  <c:v>3.9632743897881388</c:v>
                </c:pt>
                <c:pt idx="13">
                  <c:v>4.6731193116130383</c:v>
                </c:pt>
                <c:pt idx="14">
                  <c:v>4.9679564121945079</c:v>
                </c:pt>
                <c:pt idx="15">
                  <c:v>4.5695834447167156</c:v>
                </c:pt>
                <c:pt idx="16">
                  <c:v>3.9069307021359401</c:v>
                </c:pt>
                <c:pt idx="17">
                  <c:v>4.4815127958773697</c:v>
                </c:pt>
                <c:pt idx="18">
                  <c:v>4.7558003409642398</c:v>
                </c:pt>
                <c:pt idx="19">
                  <c:v>4.5118367126442731</c:v>
                </c:pt>
                <c:pt idx="20">
                  <c:v>3.4835457418455671</c:v>
                </c:pt>
                <c:pt idx="21">
                  <c:v>3.7585663495838286</c:v>
                </c:pt>
                <c:pt idx="22">
                  <c:v>4.115247839331551</c:v>
                </c:pt>
                <c:pt idx="23">
                  <c:v>4.0841613553178764</c:v>
                </c:pt>
                <c:pt idx="24">
                  <c:v>4.0971238651337654</c:v>
                </c:pt>
                <c:pt idx="25">
                  <c:v>4.6901273065631619</c:v>
                </c:pt>
                <c:pt idx="26">
                  <c:v>5.189490272041299</c:v>
                </c:pt>
                <c:pt idx="27">
                  <c:v>5.1559555376444575</c:v>
                </c:pt>
                <c:pt idx="28">
                  <c:v>3.946467701290719</c:v>
                </c:pt>
                <c:pt idx="29">
                  <c:v>4.4718415069051236</c:v>
                </c:pt>
                <c:pt idx="30">
                  <c:v>5.0701450029480144</c:v>
                </c:pt>
                <c:pt idx="31">
                  <c:v>5.1764543267279208</c:v>
                </c:pt>
                <c:pt idx="32">
                  <c:v>5.2684221185365709</c:v>
                </c:pt>
                <c:pt idx="33">
                  <c:v>5.0556258847252753</c:v>
                </c:pt>
                <c:pt idx="34">
                  <c:v>5.242953384581778</c:v>
                </c:pt>
                <c:pt idx="35">
                  <c:v>5.310994397225576</c:v>
                </c:pt>
                <c:pt idx="36">
                  <c:v>4.9170218221329849</c:v>
                </c:pt>
                <c:pt idx="37">
                  <c:v>5.0013847164651297</c:v>
                </c:pt>
                <c:pt idx="38">
                  <c:v>4.3035143593993084</c:v>
                </c:pt>
                <c:pt idx="39">
                  <c:v>4.0079902430427179</c:v>
                </c:pt>
                <c:pt idx="40">
                  <c:v>3.7183533101586126</c:v>
                </c:pt>
                <c:pt idx="41">
                  <c:v>3.9715810393540196</c:v>
                </c:pt>
                <c:pt idx="42">
                  <c:v>4.1822677205128249</c:v>
                </c:pt>
                <c:pt idx="43">
                  <c:v>3.9948451362987329</c:v>
                </c:pt>
                <c:pt idx="44">
                  <c:v>2.8575623006313018</c:v>
                </c:pt>
                <c:pt idx="45">
                  <c:v>1.2759675416156071</c:v>
                </c:pt>
                <c:pt idx="46">
                  <c:v>2.0963914114333284</c:v>
                </c:pt>
                <c:pt idx="47">
                  <c:v>2.9500961153952416</c:v>
                </c:pt>
                <c:pt idx="48">
                  <c:v>2.9067375930906336</c:v>
                </c:pt>
                <c:pt idx="49">
                  <c:v>2.8426079353377776</c:v>
                </c:pt>
                <c:pt idx="50">
                  <c:v>3.9365306969609977</c:v>
                </c:pt>
                <c:pt idx="51">
                  <c:v>4.9063164493111611</c:v>
                </c:pt>
                <c:pt idx="52">
                  <c:v>4.3032590360087033</c:v>
                </c:pt>
                <c:pt idx="53">
                  <c:v>4.9326898579392937</c:v>
                </c:pt>
                <c:pt idx="54">
                  <c:v>5.6654198649897838</c:v>
                </c:pt>
                <c:pt idx="55">
                  <c:v>5.7747425383469775</c:v>
                </c:pt>
                <c:pt idx="56">
                  <c:v>4.6138545789538696</c:v>
                </c:pt>
                <c:pt idx="57">
                  <c:v>5.0107172714372306</c:v>
                </c:pt>
                <c:pt idx="58">
                  <c:v>5.5956010955712774</c:v>
                </c:pt>
                <c:pt idx="59">
                  <c:v>4.7133661061241643</c:v>
                </c:pt>
                <c:pt idx="60">
                  <c:v>3.6268011782618976</c:v>
                </c:pt>
                <c:pt idx="61">
                  <c:v>4.1831657191769596</c:v>
                </c:pt>
                <c:pt idx="62">
                  <c:v>4.4064305215116439</c:v>
                </c:pt>
                <c:pt idx="63">
                  <c:v>3.383224598138737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89-4DDB-B806-AEA789534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405120"/>
        <c:axId val="492406656"/>
      </c:areaChart>
      <c:lineChart>
        <c:grouping val="standard"/>
        <c:varyColors val="0"/>
        <c:ser>
          <c:idx val="1"/>
          <c:order val="1"/>
          <c:tx>
            <c:strRef>
              <c:f>Charts_Support!$A$443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Charts_Support!$J$443:$CS$443</c:f>
              <c:numCache>
                <c:formatCode>0.0%</c:formatCode>
                <c:ptCount val="64"/>
                <c:pt idx="5">
                  <c:v>0.17072108243516748</c:v>
                </c:pt>
                <c:pt idx="6">
                  <c:v>0.19077067902381839</c:v>
                </c:pt>
                <c:pt idx="7">
                  <c:v>0.12525712547330725</c:v>
                </c:pt>
                <c:pt idx="8">
                  <c:v>0.10088557297453615</c:v>
                </c:pt>
                <c:pt idx="9">
                  <c:v>6.6847250933258495E-2</c:v>
                </c:pt>
                <c:pt idx="10">
                  <c:v>0.11137198290649608</c:v>
                </c:pt>
                <c:pt idx="11">
                  <c:v>0.15699826864321165</c:v>
                </c:pt>
                <c:pt idx="12">
                  <c:v>0.18720533862314781</c:v>
                </c:pt>
                <c:pt idx="13">
                  <c:v>0.25762073042491962</c:v>
                </c:pt>
                <c:pt idx="14">
                  <c:v>0.13231836193705826</c:v>
                </c:pt>
                <c:pt idx="15">
                  <c:v>2.6773495420238991E-2</c:v>
                </c:pt>
                <c:pt idx="16">
                  <c:v>-1.4216448852841235E-2</c:v>
                </c:pt>
                <c:pt idx="17">
                  <c:v>-4.1001845439621598E-2</c:v>
                </c:pt>
                <c:pt idx="18">
                  <c:v>-4.2704897875010084E-2</c:v>
                </c:pt>
                <c:pt idx="19">
                  <c:v>-1.2637198285372908E-2</c:v>
                </c:pt>
                <c:pt idx="20">
                  <c:v>-0.10836766571234702</c:v>
                </c:pt>
                <c:pt idx="21">
                  <c:v>-0.16131750130415634</c:v>
                </c:pt>
                <c:pt idx="22">
                  <c:v>-0.13468868659503408</c:v>
                </c:pt>
                <c:pt idx="23">
                  <c:v>-9.4789635477687151E-2</c:v>
                </c:pt>
                <c:pt idx="24">
                  <c:v>0.17613608913403489</c:v>
                </c:pt>
                <c:pt idx="25">
                  <c:v>0.24785007642142109</c:v>
                </c:pt>
                <c:pt idx="26">
                  <c:v>0.26103954722791123</c:v>
                </c:pt>
                <c:pt idx="27">
                  <c:v>0.2624269927364713</c:v>
                </c:pt>
                <c:pt idx="28">
                  <c:v>-3.6771200676923521E-2</c:v>
                </c:pt>
                <c:pt idx="29">
                  <c:v>-4.6541551090218514E-2</c:v>
                </c:pt>
                <c:pt idx="30">
                  <c:v>-2.2997493556595416E-2</c:v>
                </c:pt>
                <c:pt idx="31">
                  <c:v>3.9757497778634132E-3</c:v>
                </c:pt>
                <c:pt idx="32">
                  <c:v>0.33497155362845055</c:v>
                </c:pt>
                <c:pt idx="33">
                  <c:v>0.13054675057662712</c:v>
                </c:pt>
                <c:pt idx="34">
                  <c:v>3.4083518623882592E-2</c:v>
                </c:pt>
                <c:pt idx="35">
                  <c:v>2.5990777085190375E-2</c:v>
                </c:pt>
                <c:pt idx="36">
                  <c:v>-6.6699343465135175E-2</c:v>
                </c:pt>
                <c:pt idx="37">
                  <c:v>-1.0728873041026654E-2</c:v>
                </c:pt>
                <c:pt idx="38">
                  <c:v>-0.17918126602939599</c:v>
                </c:pt>
                <c:pt idx="39">
                  <c:v>-0.24534090167060574</c:v>
                </c:pt>
                <c:pt idx="40">
                  <c:v>-0.24377937608061995</c:v>
                </c:pt>
                <c:pt idx="41">
                  <c:v>-0.20590371177023814</c:v>
                </c:pt>
                <c:pt idx="42">
                  <c:v>-2.817386646373532E-2</c:v>
                </c:pt>
                <c:pt idx="43">
                  <c:v>-3.2797252355598605E-3</c:v>
                </c:pt>
                <c:pt idx="44">
                  <c:v>-0.23149790719876273</c:v>
                </c:pt>
                <c:pt idx="45">
                  <c:v>-0.67872554305900701</c:v>
                </c:pt>
                <c:pt idx="46">
                  <c:v>-0.49874289463796662</c:v>
                </c:pt>
                <c:pt idx="47">
                  <c:v>-0.26152428573776021</c:v>
                </c:pt>
                <c:pt idx="48">
                  <c:v>1.7208826015260525E-2</c:v>
                </c:pt>
                <c:pt idx="49">
                  <c:v>1.2278058356708028</c:v>
                </c:pt>
                <c:pt idx="50">
                  <c:v>0.87776513273804313</c:v>
                </c:pt>
                <c:pt idx="51">
                  <c:v>0.66310393200657902</c:v>
                </c:pt>
                <c:pt idx="52">
                  <c:v>0.48044290142929502</c:v>
                </c:pt>
                <c:pt idx="53">
                  <c:v>0.73526915077480037</c:v>
                </c:pt>
                <c:pt idx="54">
                  <c:v>0.43919107994343576</c:v>
                </c:pt>
                <c:pt idx="55">
                  <c:v>0.17700164634870674</c:v>
                </c:pt>
                <c:pt idx="56">
                  <c:v>7.2176817697046092E-2</c:v>
                </c:pt>
                <c:pt idx="57">
                  <c:v>1.5818430865331967E-2</c:v>
                </c:pt>
                <c:pt idx="58">
                  <c:v>-1.2323670810342024E-2</c:v>
                </c:pt>
                <c:pt idx="59">
                  <c:v>-0.18379632081859576</c:v>
                </c:pt>
                <c:pt idx="60">
                  <c:v>-0.21393249045915386</c:v>
                </c:pt>
                <c:pt idx="61">
                  <c:v>-0.16515630546101501</c:v>
                </c:pt>
                <c:pt idx="62">
                  <c:v>-0.21251882572559011</c:v>
                </c:pt>
                <c:pt idx="63">
                  <c:v>-0.2822062784932301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89-4DDB-B806-AEA789534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7024"/>
        <c:axId val="492418560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9-4DDB-B806-AEA7895344EB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89-4DDB-B806-AEA7895344EB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89-4DDB-B806-AEA789534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405120"/>
        <c:axId val="492406656"/>
      </c:scatterChart>
      <c:catAx>
        <c:axId val="49240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40665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406656"/>
        <c:scaling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retail store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12581083979288582"/>
              <c:y val="2.607399130541054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405120"/>
        <c:crosses val="autoZero"/>
        <c:crossBetween val="midCat"/>
        <c:minorUnit val="1"/>
      </c:valAx>
      <c:catAx>
        <c:axId val="492417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418560"/>
        <c:crosses val="autoZero"/>
        <c:auto val="1"/>
        <c:lblAlgn val="ctr"/>
        <c:lblOffset val="100"/>
        <c:noMultiLvlLbl val="0"/>
      </c:catAx>
      <c:valAx>
        <c:axId val="49241856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75875547657710096"/>
              <c:y val="3.7032665816994603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41702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16741128044755"/>
          <c:y val="5.4237377908795535E-2"/>
          <c:w val="0.80155718168354595"/>
          <c:h val="0.76271312684243719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Charts_Support!$A$444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Charts_Support!$J$444:$CS$444</c:f>
              <c:numCache>
                <c:formatCode>0.0%</c:formatCode>
                <c:ptCount val="64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 formatCode="#,##0.0_);\(#,##0.0\)">
                  <c:v>4.411960132890365</c:v>
                </c:pt>
                <c:pt idx="25" formatCode="#,##0.0_);\(#,##0.0\)">
                  <c:v>4.3388704318936879</c:v>
                </c:pt>
                <c:pt idx="26" formatCode="#,##0.0_);\(#,##0.0\)">
                  <c:v>4.5864909390444808</c:v>
                </c:pt>
                <c:pt idx="27" formatCode="#,##0.0_);\(#,##0.0\)">
                  <c:v>5.3300970873786406</c:v>
                </c:pt>
                <c:pt idx="28" formatCode="#,##0.0_);\(#,##0.0\)">
                  <c:v>5.6629921259842524</c:v>
                </c:pt>
                <c:pt idx="29">
                  <c:v>5.5216049382716053</c:v>
                </c:pt>
                <c:pt idx="30" formatCode="#,##0.0_);\(#,##0.0\)">
                  <c:v>5.576864535768645</c:v>
                </c:pt>
                <c:pt idx="31" formatCode="#,##0.0_);\(#,##0.0\)">
                  <c:v>6.4355555555555553</c:v>
                </c:pt>
                <c:pt idx="32" formatCode="#,##0.0_);\(#,##0.0\)">
                  <c:v>5.9195402298850572</c:v>
                </c:pt>
                <c:pt idx="33" formatCode="#,##0.0_);\(#,##0.0\)">
                  <c:v>5.5684062059238366</c:v>
                </c:pt>
                <c:pt idx="34" formatCode="#,##0.0_);\(#,##0.0\)">
                  <c:v>5.6514522821576767</c:v>
                </c:pt>
                <c:pt idx="35" formatCode="#,##0.0_);\(#,##0.0\)">
                  <c:v>6.6746987951807233</c:v>
                </c:pt>
                <c:pt idx="36" formatCode="#,##0.0_);\(#,##0.0\)">
                  <c:v>6.4441558441558442</c:v>
                </c:pt>
                <c:pt idx="37" formatCode="#,##0.0_);\(#,##0.0\)">
                  <c:v>6.0076433121019113</c:v>
                </c:pt>
                <c:pt idx="38" formatCode="#,##0.0_);\(#,##0.0\)">
                  <c:v>5.8949999999999996</c:v>
                </c:pt>
                <c:pt idx="39" formatCode="#,##0.0_);\(#,##0.0\)">
                  <c:v>6.5291262135922334</c:v>
                </c:pt>
                <c:pt idx="40" formatCode="#,##0.0_);\(#,##0.0\)">
                  <c:v>7.7910216718266252</c:v>
                </c:pt>
                <c:pt idx="41" formatCode="#,##0.0_);\(#,##0.0\)">
                  <c:v>5.9771949828962372</c:v>
                </c:pt>
                <c:pt idx="42" formatCode="#,##0.0_);\(#,##0.0\)">
                  <c:v>5.898705683736635</c:v>
                </c:pt>
                <c:pt idx="43" formatCode="#,##0.0_);\(#,##0.0\)">
                  <c:v>6.3836231071228271</c:v>
                </c:pt>
                <c:pt idx="44" formatCode="#,##0.0_);\(#,##0.0\)">
                  <c:v>4.655075715086932</c:v>
                </c:pt>
                <c:pt idx="45" formatCode="#,##0.0_);\(#,##0.0\)">
                  <c:v>1.8600451467268624</c:v>
                </c:pt>
                <c:pt idx="46" formatCode="#,##0.0_);\(#,##0.0\)">
                  <c:v>4.634703196347032</c:v>
                </c:pt>
                <c:pt idx="47" formatCode="#,##0.0_);\(#,##0.0\)">
                  <c:v>4.6079447322970637</c:v>
                </c:pt>
                <c:pt idx="48" formatCode="#,##0.0_);\(#,##0.0\)">
                  <c:v>4.0486956521739135</c:v>
                </c:pt>
                <c:pt idx="49" formatCode="#,##0.0_);\(#,##0.0\)">
                  <c:v>4.9508386350491618</c:v>
                </c:pt>
                <c:pt idx="50" formatCode="#,##0.0_);\(#,##0.0\)">
                  <c:v>5.5677233429394812</c:v>
                </c:pt>
                <c:pt idx="51" formatCode="#,##0.0_);\(#,##0.0\)">
                  <c:v>6.6536920435031481</c:v>
                </c:pt>
                <c:pt idx="52" formatCode="#,##0.0_);\(#,##0.0\)">
                  <c:v>5.87202718006795</c:v>
                </c:pt>
                <c:pt idx="53" formatCode="#,##0.0_);\(#,##0.0\)">
                  <c:v>6.0671516508114154</c:v>
                </c:pt>
                <c:pt idx="54" formatCode="#,##0.0_);\(#,##0.0\)">
                  <c:v>5.9988962472406184</c:v>
                </c:pt>
                <c:pt idx="55" formatCode="#,##0.0_);\(#,##0.0\)">
                  <c:v>6.4475828354155347</c:v>
                </c:pt>
                <c:pt idx="56" formatCode="#,##0.0_);\(#,##0.0\)">
                  <c:v>5.9967741935483874</c:v>
                </c:pt>
                <c:pt idx="57" formatCode="#,##0.0_);\(#,##0.0\)">
                  <c:v>6.0255591054313102</c:v>
                </c:pt>
                <c:pt idx="58" formatCode="#,##0.0_);\(#,##0.0\)">
                  <c:v>5.9212184873949578</c:v>
                </c:pt>
                <c:pt idx="59" formatCode="#,##0.0_);\(#,##0.0\)">
                  <c:v>6.3019648397104451</c:v>
                </c:pt>
                <c:pt idx="60" formatCode="#,##0.0_);\(#,##0.0\)">
                  <c:v>5.5662404092071611</c:v>
                </c:pt>
                <c:pt idx="61" formatCode="#,##0.0_);\(#,##0.0\)">
                  <c:v>5.5924796747967482</c:v>
                </c:pt>
                <c:pt idx="62" formatCode="#,##0.0_);\(#,##0.0\)">
                  <c:v>6.16898628614448</c:v>
                </c:pt>
                <c:pt idx="63" formatCode="#,##0.0_);\(#,##0.0\)">
                  <c:v>6.9643508586395031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0-4559-96C4-ED2CB6627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27616"/>
        <c:axId val="492529152"/>
      </c:areaChart>
      <c:lineChart>
        <c:grouping val="standard"/>
        <c:varyColors val="0"/>
        <c:ser>
          <c:idx val="1"/>
          <c:order val="1"/>
          <c:tx>
            <c:strRef>
              <c:f>Charts_Support!$A$445</c:f>
              <c:strCache>
                <c:ptCount val="1"/>
                <c:pt idx="0">
                  <c:v>Growth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Charts_Support!$J$445:$CS$445</c:f>
              <c:numCache>
                <c:formatCode>0.0%</c:formatCode>
                <c:ptCount val="64"/>
                <c:pt idx="27">
                  <c:v>#N/A</c:v>
                </c:pt>
                <c:pt idx="28">
                  <c:v>0.28355469120576826</c:v>
                </c:pt>
                <c:pt idx="29">
                  <c:v>0.27259041839184772</c:v>
                </c:pt>
                <c:pt idx="30">
                  <c:v>0.21593274899840798</c:v>
                </c:pt>
                <c:pt idx="31">
                  <c:v>0.20739931188018623</c:v>
                </c:pt>
                <c:pt idx="32">
                  <c:v>4.5302571183818419E-2</c:v>
                </c:pt>
                <c:pt idx="33">
                  <c:v>8.4760261147696081E-3</c:v>
                </c:pt>
                <c:pt idx="34">
                  <c:v>1.3374494917465451E-2</c:v>
                </c:pt>
                <c:pt idx="35">
                  <c:v>3.7159688477667707E-2</c:v>
                </c:pt>
                <c:pt idx="36">
                  <c:v>8.8624385323414545E-2</c:v>
                </c:pt>
                <c:pt idx="37">
                  <c:v>7.8880219929142514E-2</c:v>
                </c:pt>
                <c:pt idx="38">
                  <c:v>4.3094713656387507E-2</c:v>
                </c:pt>
                <c:pt idx="39">
                  <c:v>-2.1809610598997553E-2</c:v>
                </c:pt>
                <c:pt idx="40">
                  <c:v>0.20900578139993975</c:v>
                </c:pt>
                <c:pt idx="41">
                  <c:v>-5.0682651455585814E-3</c:v>
                </c:pt>
                <c:pt idx="42">
                  <c:v>6.2861471359387799E-4</c:v>
                </c:pt>
                <c:pt idx="43">
                  <c:v>-2.2285234150704603E-2</c:v>
                </c:pt>
                <c:pt idx="44">
                  <c:v>-0.40250766700851215</c:v>
                </c:pt>
                <c:pt idx="45">
                  <c:v>-0.68880969216339971</c:v>
                </c:pt>
                <c:pt idx="46">
                  <c:v>-0.21428471857387177</c:v>
                </c:pt>
                <c:pt idx="47">
                  <c:v>-0.27816153069006644</c:v>
                </c:pt>
                <c:pt idx="48">
                  <c:v>-0.13026212676794124</c:v>
                </c:pt>
                <c:pt idx="49">
                  <c:v>1.6616765962703623</c:v>
                </c:pt>
                <c:pt idx="50">
                  <c:v>0.20131173606280428</c:v>
                </c:pt>
                <c:pt idx="51">
                  <c:v>0.44396090449337433</c:v>
                </c:pt>
                <c:pt idx="52">
                  <c:v>0.45035035590166284</c:v>
                </c:pt>
                <c:pt idx="53">
                  <c:v>0.22547957993609069</c:v>
                </c:pt>
                <c:pt idx="54">
                  <c:v>7.7441510244562473E-2</c:v>
                </c:pt>
                <c:pt idx="55">
                  <c:v>-3.0976667801880686E-2</c:v>
                </c:pt>
                <c:pt idx="56">
                  <c:v>2.1244284070053299E-2</c:v>
                </c:pt>
                <c:pt idx="57">
                  <c:v>-6.8553660389455429E-3</c:v>
                </c:pt>
                <c:pt idx="58">
                  <c:v>-1.2948675330297754E-2</c:v>
                </c:pt>
                <c:pt idx="59">
                  <c:v>-2.2584897227722833E-2</c:v>
                </c:pt>
                <c:pt idx="60">
                  <c:v>-7.1794229771802165E-2</c:v>
                </c:pt>
                <c:pt idx="61">
                  <c:v>-7.1873733716128263E-2</c:v>
                </c:pt>
                <c:pt idx="62">
                  <c:v>4.1844056130839968E-2</c:v>
                </c:pt>
                <c:pt idx="63">
                  <c:v>0.1051078569583852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0-4559-96C4-ED2CB6627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31072"/>
        <c:axId val="492545152"/>
      </c:lineChart>
      <c:scatterChart>
        <c:scatterStyle val="lineMarker"/>
        <c:varyColors val="0"/>
        <c:ser>
          <c:idx val="2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E0-4559-96C4-ED2CB6627941}"/>
            </c:ext>
          </c:extLst>
        </c:ser>
        <c:ser>
          <c:idx val="3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E0-4559-96C4-ED2CB6627941}"/>
            </c:ext>
          </c:extLst>
        </c:ser>
        <c:ser>
          <c:idx val="4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E0-4559-96C4-ED2CB6627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27616"/>
        <c:axId val="492529152"/>
      </c:scatterChart>
      <c:catAx>
        <c:axId val="49252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52915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529152"/>
        <c:scaling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Sales</a:t>
                </a:r>
                <a:r>
                  <a:rPr lang="en-US" baseline="0">
                    <a:solidFill>
                      <a:schemeClr val="bg1">
                        <a:lumMod val="50000"/>
                      </a:schemeClr>
                    </a:solidFill>
                  </a:rPr>
                  <a:t> per retail store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12581083979288582"/>
              <c:y val="2.607399130541054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527616"/>
        <c:crosses val="autoZero"/>
        <c:crossBetween val="midCat"/>
        <c:minorUnit val="1"/>
      </c:valAx>
      <c:catAx>
        <c:axId val="492531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545152"/>
        <c:crosses val="autoZero"/>
        <c:auto val="1"/>
        <c:lblAlgn val="ctr"/>
        <c:lblOffset val="100"/>
        <c:noMultiLvlLbl val="0"/>
      </c:catAx>
      <c:valAx>
        <c:axId val="49254515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0.75875547657710096"/>
              <c:y val="3.7032665816994603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531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07642067997309E-2"/>
          <c:y val="5.9190211224114171E-2"/>
          <c:w val="0.85206860770310688"/>
          <c:h val="0.7753336447350860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Charts_Support!$A$459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Charts_Support!$J$459:$CS$459</c:f>
              <c:numCache>
                <c:formatCode>#,##0_);\(#,##0\)</c:formatCode>
                <c:ptCount val="64"/>
                <c:pt idx="0">
                  <c:v>2242.4</c:v>
                </c:pt>
                <c:pt idx="1">
                  <c:v>2232.1000000000004</c:v>
                </c:pt>
                <c:pt idx="2">
                  <c:v>2215.6</c:v>
                </c:pt>
                <c:pt idx="3">
                  <c:v>2407.3999999999992</c:v>
                </c:pt>
                <c:pt idx="4">
                  <c:v>2172.6</c:v>
                </c:pt>
                <c:pt idx="5">
                  <c:v>2188.8000000000002</c:v>
                </c:pt>
                <c:pt idx="6">
                  <c:v>2233.6</c:v>
                </c:pt>
                <c:pt idx="7">
                  <c:v>2490.1000000000004</c:v>
                </c:pt>
                <c:pt idx="8">
                  <c:v>2427.3000000000002</c:v>
                </c:pt>
                <c:pt idx="9">
                  <c:v>2592.6</c:v>
                </c:pt>
                <c:pt idx="10">
                  <c:v>2641.4</c:v>
                </c:pt>
                <c:pt idx="11">
                  <c:v>2839.7</c:v>
                </c:pt>
                <c:pt idx="12">
                  <c:v>2861.2</c:v>
                </c:pt>
                <c:pt idx="13">
                  <c:v>3262</c:v>
                </c:pt>
                <c:pt idx="14">
                  <c:v>3220.3999999999996</c:v>
                </c:pt>
                <c:pt idx="15">
                  <c:v>3442.2</c:v>
                </c:pt>
                <c:pt idx="16">
                  <c:v>3253.1</c:v>
                </c:pt>
                <c:pt idx="17">
                  <c:v>3640</c:v>
                </c:pt>
                <c:pt idx="18">
                  <c:v>3724.6000000000004</c:v>
                </c:pt>
                <c:pt idx="19">
                  <c:v>4077</c:v>
                </c:pt>
                <c:pt idx="20">
                  <c:v>3826</c:v>
                </c:pt>
                <c:pt idx="21">
                  <c:v>4987</c:v>
                </c:pt>
                <c:pt idx="22">
                  <c:v>5388</c:v>
                </c:pt>
                <c:pt idx="23">
                  <c:v>6467</c:v>
                </c:pt>
                <c:pt idx="24">
                  <c:v>4659</c:v>
                </c:pt>
                <c:pt idx="25">
                  <c:v>4851</c:v>
                </c:pt>
                <c:pt idx="26">
                  <c:v>4982</c:v>
                </c:pt>
                <c:pt idx="27">
                  <c:v>5404</c:v>
                </c:pt>
                <c:pt idx="28">
                  <c:v>5155</c:v>
                </c:pt>
                <c:pt idx="29">
                  <c:v>5348</c:v>
                </c:pt>
                <c:pt idx="30">
                  <c:v>5516</c:v>
                </c:pt>
                <c:pt idx="31">
                  <c:v>5967</c:v>
                </c:pt>
                <c:pt idx="32">
                  <c:v>5574</c:v>
                </c:pt>
                <c:pt idx="33">
                  <c:v>5922</c:v>
                </c:pt>
                <c:pt idx="34">
                  <c:v>5799</c:v>
                </c:pt>
                <c:pt idx="35">
                  <c:v>6382</c:v>
                </c:pt>
                <c:pt idx="36">
                  <c:v>5997</c:v>
                </c:pt>
                <c:pt idx="37">
                  <c:v>6243</c:v>
                </c:pt>
                <c:pt idx="38">
                  <c:v>6290</c:v>
                </c:pt>
                <c:pt idx="39">
                  <c:v>6932</c:v>
                </c:pt>
                <c:pt idx="40">
                  <c:v>6387</c:v>
                </c:pt>
                <c:pt idx="41">
                  <c:v>6899</c:v>
                </c:pt>
                <c:pt idx="42">
                  <c:v>6680</c:v>
                </c:pt>
                <c:pt idx="43">
                  <c:v>7251</c:v>
                </c:pt>
                <c:pt idx="44">
                  <c:v>6210</c:v>
                </c:pt>
                <c:pt idx="45">
                  <c:v>2768</c:v>
                </c:pt>
                <c:pt idx="46">
                  <c:v>4569</c:v>
                </c:pt>
                <c:pt idx="47">
                  <c:v>5520</c:v>
                </c:pt>
                <c:pt idx="48">
                  <c:v>4975</c:v>
                </c:pt>
                <c:pt idx="49">
                  <c:v>6465</c:v>
                </c:pt>
                <c:pt idx="50">
                  <c:v>6705</c:v>
                </c:pt>
                <c:pt idx="51">
                  <c:v>7870</c:v>
                </c:pt>
                <c:pt idx="52">
                  <c:v>7335</c:v>
                </c:pt>
                <c:pt idx="53">
                  <c:v>8357</c:v>
                </c:pt>
                <c:pt idx="54">
                  <c:v>8403</c:v>
                </c:pt>
                <c:pt idx="55">
                  <c:v>9373</c:v>
                </c:pt>
                <c:pt idx="56">
                  <c:v>8953</c:v>
                </c:pt>
                <c:pt idx="57">
                  <c:v>9831</c:v>
                </c:pt>
                <c:pt idx="58">
                  <c:v>9900</c:v>
                </c:pt>
                <c:pt idx="59">
                  <c:v>10674</c:v>
                </c:pt>
                <c:pt idx="60">
                  <c:v>10122</c:v>
                </c:pt>
                <c:pt idx="61">
                  <c:v>10694</c:v>
                </c:pt>
                <c:pt idx="62">
                  <c:v>10752.462458866608</c:v>
                </c:pt>
                <c:pt idx="63">
                  <c:v>11493.143931378603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3-4555-ABFD-95A34FD1C587}"/>
            </c:ext>
          </c:extLst>
        </c:ser>
        <c:ser>
          <c:idx val="1"/>
          <c:order val="1"/>
          <c:tx>
            <c:strRef>
              <c:f>Charts_Support!$A$461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Charts_Support!$J$461:$CS$461</c:f>
              <c:numCache>
                <c:formatCode>#,##0_);\(#,##0\)</c:formatCode>
                <c:ptCount val="64"/>
                <c:pt idx="0">
                  <c:v>306.8</c:v>
                </c:pt>
                <c:pt idx="1">
                  <c:v>326.8</c:v>
                </c:pt>
                <c:pt idx="2">
                  <c:v>376</c:v>
                </c:pt>
                <c:pt idx="3">
                  <c:v>398.1</c:v>
                </c:pt>
                <c:pt idx="4">
                  <c:v>360.8</c:v>
                </c:pt>
                <c:pt idx="5">
                  <c:v>430</c:v>
                </c:pt>
                <c:pt idx="6">
                  <c:v>504.9</c:v>
                </c:pt>
                <c:pt idx="7">
                  <c:v>515</c:v>
                </c:pt>
                <c:pt idx="8">
                  <c:v>470.4</c:v>
                </c:pt>
                <c:pt idx="9">
                  <c:v>536.6</c:v>
                </c:pt>
                <c:pt idx="10">
                  <c:v>662.5</c:v>
                </c:pt>
                <c:pt idx="11">
                  <c:v>732.6</c:v>
                </c:pt>
                <c:pt idx="12">
                  <c:v>694.2</c:v>
                </c:pt>
                <c:pt idx="13">
                  <c:v>847</c:v>
                </c:pt>
                <c:pt idx="14">
                  <c:v>948.2</c:v>
                </c:pt>
                <c:pt idx="15">
                  <c:v>927.1</c:v>
                </c:pt>
                <c:pt idx="16">
                  <c:v>824</c:v>
                </c:pt>
                <c:pt idx="17">
                  <c:v>968</c:v>
                </c:pt>
                <c:pt idx="18">
                  <c:v>1172.5999999999999</c:v>
                </c:pt>
                <c:pt idx="19">
                  <c:v>1254.9000000000001</c:v>
                </c:pt>
                <c:pt idx="20">
                  <c:v>997</c:v>
                </c:pt>
                <c:pt idx="21">
                  <c:v>1091</c:v>
                </c:pt>
                <c:pt idx="22">
                  <c:v>1234</c:v>
                </c:pt>
                <c:pt idx="23">
                  <c:v>1299</c:v>
                </c:pt>
                <c:pt idx="24">
                  <c:v>1357</c:v>
                </c:pt>
                <c:pt idx="25">
                  <c:v>1605</c:v>
                </c:pt>
                <c:pt idx="26">
                  <c:v>1849</c:v>
                </c:pt>
                <c:pt idx="27">
                  <c:v>1907</c:v>
                </c:pt>
                <c:pt idx="28">
                  <c:v>1582</c:v>
                </c:pt>
                <c:pt idx="29">
                  <c:v>1929</c:v>
                </c:pt>
                <c:pt idx="30">
                  <c:v>2253</c:v>
                </c:pt>
                <c:pt idx="31">
                  <c:v>2360</c:v>
                </c:pt>
                <c:pt idx="32">
                  <c:v>2460</c:v>
                </c:pt>
                <c:pt idx="33">
                  <c:v>2449</c:v>
                </c:pt>
                <c:pt idx="34">
                  <c:v>2634</c:v>
                </c:pt>
                <c:pt idx="35">
                  <c:v>2740</c:v>
                </c:pt>
                <c:pt idx="36">
                  <c:v>2600.777</c:v>
                </c:pt>
                <c:pt idx="37">
                  <c:v>2725.201</c:v>
                </c:pt>
                <c:pt idx="38">
                  <c:v>2463</c:v>
                </c:pt>
                <c:pt idx="39">
                  <c:v>2406</c:v>
                </c:pt>
                <c:pt idx="40">
                  <c:v>2271.386</c:v>
                </c:pt>
                <c:pt idx="41">
                  <c:v>2440.2809999999999</c:v>
                </c:pt>
                <c:pt idx="42">
                  <c:v>2569.8229999999999</c:v>
                </c:pt>
                <c:pt idx="43">
                  <c:v>2450.9229999999998</c:v>
                </c:pt>
                <c:pt idx="44">
                  <c:v>1764.7919999999999</c:v>
                </c:pt>
                <c:pt idx="45">
                  <c:v>781.64</c:v>
                </c:pt>
                <c:pt idx="46">
                  <c:v>1265.3510000000001</c:v>
                </c:pt>
                <c:pt idx="47">
                  <c:v>1775.183</c:v>
                </c:pt>
                <c:pt idx="48">
                  <c:v>1756.93</c:v>
                </c:pt>
                <c:pt idx="49">
                  <c:v>1731.269</c:v>
                </c:pt>
                <c:pt idx="50">
                  <c:v>2423.442</c:v>
                </c:pt>
                <c:pt idx="51">
                  <c:v>3050.4380000000001</c:v>
                </c:pt>
                <c:pt idx="52">
                  <c:v>2708.33</c:v>
                </c:pt>
                <c:pt idx="53">
                  <c:v>3161.74</c:v>
                </c:pt>
                <c:pt idx="54">
                  <c:v>3679.9369999999999</c:v>
                </c:pt>
                <c:pt idx="55">
                  <c:v>3837.7049999999999</c:v>
                </c:pt>
                <c:pt idx="56">
                  <c:v>3135.5329999999999</c:v>
                </c:pt>
                <c:pt idx="57">
                  <c:v>3460.4700000000003</c:v>
                </c:pt>
                <c:pt idx="58">
                  <c:v>3931.7930000000001</c:v>
                </c:pt>
                <c:pt idx="59">
                  <c:v>3377.9769999999999</c:v>
                </c:pt>
                <c:pt idx="60">
                  <c:v>2639.1559999999999</c:v>
                </c:pt>
                <c:pt idx="61">
                  <c:v>3056.471</c:v>
                </c:pt>
                <c:pt idx="62">
                  <c:v>3235.8739780058768</c:v>
                </c:pt>
                <c:pt idx="63">
                  <c:v>2519.7343425433478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3-4555-ABFD-95A34FD1C587}"/>
            </c:ext>
          </c:extLst>
        </c:ser>
        <c:ser>
          <c:idx val="2"/>
          <c:order val="2"/>
          <c:tx>
            <c:strRef>
              <c:f>Charts_Support!$A$463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strRef>
              <c:f>Charts_Support!$L$458:$CS$458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Charts_Support!$J$463:$CS$463</c:f>
              <c:numCache>
                <c:formatCode>#,##0_);\(#,##0\)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1468</c:v>
                </c:pt>
                <c:pt idx="24">
                  <c:v>1328</c:v>
                </c:pt>
                <c:pt idx="25">
                  <c:v>1306</c:v>
                </c:pt>
                <c:pt idx="26">
                  <c:v>1392</c:v>
                </c:pt>
                <c:pt idx="27">
                  <c:v>1647</c:v>
                </c:pt>
                <c:pt idx="28">
                  <c:v>1798</c:v>
                </c:pt>
                <c:pt idx="29">
                  <c:v>1789</c:v>
                </c:pt>
                <c:pt idx="30">
                  <c:v>1832</c:v>
                </c:pt>
                <c:pt idx="31">
                  <c:v>2172</c:v>
                </c:pt>
                <c:pt idx="32">
                  <c:v>2060</c:v>
                </c:pt>
                <c:pt idx="33">
                  <c:v>1974</c:v>
                </c:pt>
                <c:pt idx="34">
                  <c:v>2043</c:v>
                </c:pt>
                <c:pt idx="35">
                  <c:v>2493</c:v>
                </c:pt>
                <c:pt idx="36">
                  <c:v>2481</c:v>
                </c:pt>
                <c:pt idx="37">
                  <c:v>2358</c:v>
                </c:pt>
                <c:pt idx="38">
                  <c:v>2358</c:v>
                </c:pt>
                <c:pt idx="39">
                  <c:v>2690</c:v>
                </c:pt>
                <c:pt idx="40">
                  <c:v>5033</c:v>
                </c:pt>
                <c:pt idx="41">
                  <c:v>5242</c:v>
                </c:pt>
                <c:pt idx="42">
                  <c:v>5241</c:v>
                </c:pt>
                <c:pt idx="43">
                  <c:v>5691</c:v>
                </c:pt>
                <c:pt idx="44">
                  <c:v>4150</c:v>
                </c:pt>
                <c:pt idx="45">
                  <c:v>1648</c:v>
                </c:pt>
                <c:pt idx="46">
                  <c:v>4060</c:v>
                </c:pt>
                <c:pt idx="47">
                  <c:v>4002</c:v>
                </c:pt>
                <c:pt idx="48">
                  <c:v>3492</c:v>
                </c:pt>
                <c:pt idx="49">
                  <c:v>4280</c:v>
                </c:pt>
                <c:pt idx="50">
                  <c:v>4830</c:v>
                </c:pt>
                <c:pt idx="51">
                  <c:v>5812</c:v>
                </c:pt>
                <c:pt idx="52">
                  <c:v>5185</c:v>
                </c:pt>
                <c:pt idx="53">
                  <c:v>5421</c:v>
                </c:pt>
                <c:pt idx="54">
                  <c:v>5435</c:v>
                </c:pt>
                <c:pt idx="55">
                  <c:v>5935</c:v>
                </c:pt>
                <c:pt idx="56">
                  <c:v>5577</c:v>
                </c:pt>
                <c:pt idx="57">
                  <c:v>5658</c:v>
                </c:pt>
                <c:pt idx="58">
                  <c:v>5637</c:v>
                </c:pt>
                <c:pt idx="59">
                  <c:v>6094</c:v>
                </c:pt>
                <c:pt idx="60">
                  <c:v>5441</c:v>
                </c:pt>
                <c:pt idx="61">
                  <c:v>5503</c:v>
                </c:pt>
                <c:pt idx="62">
                  <c:v>6119.6343958553243</c:v>
                </c:pt>
                <c:pt idx="63">
                  <c:v>6971.3152094981424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23-4555-ABFD-95A34FD1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74208"/>
        <c:axId val="492575744"/>
      </c:areaChart>
      <c:scatterChart>
        <c:scatterStyle val="lineMarker"/>
        <c:varyColors val="0"/>
        <c:ser>
          <c:idx val="4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23-4555-ABFD-95A34FD1C587}"/>
            </c:ext>
          </c:extLst>
        </c:ser>
        <c:ser>
          <c:idx val="5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23-4555-ABFD-95A34FD1C587}"/>
            </c:ext>
          </c:extLst>
        </c:ser>
        <c:ser>
          <c:idx val="6"/>
          <c:order val="5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B923-4555-ABFD-95A34FD1C587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23-4555-ABFD-95A34FD1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81632"/>
        <c:axId val="492583168"/>
      </c:scatterChart>
      <c:catAx>
        <c:axId val="4925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57574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575744"/>
        <c:scaling>
          <c:orientation val="minMax"/>
          <c:max val="22000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574208"/>
        <c:crosses val="autoZero"/>
        <c:crossBetween val="between"/>
      </c:valAx>
      <c:valAx>
        <c:axId val="49258163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583168"/>
        <c:crosses val="autoZero"/>
        <c:crossBetween val="midCat"/>
      </c:valAx>
      <c:valAx>
        <c:axId val="49258316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581632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9199007100856578"/>
          <c:y val="1.1625517149339357E-2"/>
          <c:w val="0.19298032909233431"/>
          <c:h val="0.2140031765372926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2266511433138E-2"/>
          <c:y val="6.7750647888256868E-2"/>
          <c:w val="0.88132377421693886"/>
          <c:h val="0.77255503945287596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Charts_Support!$A$428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Charts_Support!$I$453:$CS$453</c:f>
              <c:strCache>
                <c:ptCount val="65"/>
                <c:pt idx="1">
                  <c:v>1Q09</c:v>
                </c:pt>
                <c:pt idx="2">
                  <c:v>2Q09</c:v>
                </c:pt>
                <c:pt idx="3">
                  <c:v>3Q09</c:v>
                </c:pt>
                <c:pt idx="4">
                  <c:v>4Q09</c:v>
                </c:pt>
                <c:pt idx="5">
                  <c:v>1Q10</c:v>
                </c:pt>
                <c:pt idx="6">
                  <c:v>2Q10</c:v>
                </c:pt>
                <c:pt idx="7">
                  <c:v>3Q10</c:v>
                </c:pt>
                <c:pt idx="8">
                  <c:v>4Q10</c:v>
                </c:pt>
                <c:pt idx="9">
                  <c:v>1Q11</c:v>
                </c:pt>
                <c:pt idx="10">
                  <c:v>2Q11</c:v>
                </c:pt>
                <c:pt idx="11">
                  <c:v>3Q11</c:v>
                </c:pt>
                <c:pt idx="12">
                  <c:v>4Q11</c:v>
                </c:pt>
                <c:pt idx="13">
                  <c:v>1Q12</c:v>
                </c:pt>
                <c:pt idx="14">
                  <c:v>2Q12</c:v>
                </c:pt>
                <c:pt idx="15">
                  <c:v>3Q12</c:v>
                </c:pt>
                <c:pt idx="16">
                  <c:v>4Q12</c:v>
                </c:pt>
                <c:pt idx="17">
                  <c:v>1Q13</c:v>
                </c:pt>
                <c:pt idx="18">
                  <c:v>2Q13</c:v>
                </c:pt>
                <c:pt idx="19">
                  <c:v>3Q13</c:v>
                </c:pt>
                <c:pt idx="20">
                  <c:v>4Q13</c:v>
                </c:pt>
                <c:pt idx="21">
                  <c:v>1Q14</c:v>
                </c:pt>
                <c:pt idx="22">
                  <c:v>2Q14</c:v>
                </c:pt>
                <c:pt idx="23">
                  <c:v>3Q14</c:v>
                </c:pt>
                <c:pt idx="24">
                  <c:v>4Q14</c:v>
                </c:pt>
                <c:pt idx="25">
                  <c:v>1Q15</c:v>
                </c:pt>
                <c:pt idx="26">
                  <c:v>2Q15</c:v>
                </c:pt>
                <c:pt idx="27">
                  <c:v>3Q15</c:v>
                </c:pt>
                <c:pt idx="28">
                  <c:v>4Q15</c:v>
                </c:pt>
                <c:pt idx="29">
                  <c:v>1Q16</c:v>
                </c:pt>
                <c:pt idx="30">
                  <c:v>2Q16</c:v>
                </c:pt>
                <c:pt idx="31">
                  <c:v>3Q16</c:v>
                </c:pt>
                <c:pt idx="32">
                  <c:v>4Q16</c:v>
                </c:pt>
                <c:pt idx="33">
                  <c:v>1Q17</c:v>
                </c:pt>
                <c:pt idx="34">
                  <c:v>2Q17</c:v>
                </c:pt>
                <c:pt idx="35">
                  <c:v>3Q17</c:v>
                </c:pt>
                <c:pt idx="36">
                  <c:v>4Q17</c:v>
                </c:pt>
                <c:pt idx="37">
                  <c:v>1Q18</c:v>
                </c:pt>
                <c:pt idx="38">
                  <c:v>2Q18</c:v>
                </c:pt>
                <c:pt idx="39">
                  <c:v>3Q18</c:v>
                </c:pt>
                <c:pt idx="40">
                  <c:v>4Q18</c:v>
                </c:pt>
                <c:pt idx="41">
                  <c:v>1Q19</c:v>
                </c:pt>
                <c:pt idx="42">
                  <c:v>2Q19</c:v>
                </c:pt>
                <c:pt idx="43">
                  <c:v>3Q19</c:v>
                </c:pt>
                <c:pt idx="44">
                  <c:v>4Q19</c:v>
                </c:pt>
                <c:pt idx="45">
                  <c:v>1Q20</c:v>
                </c:pt>
                <c:pt idx="46">
                  <c:v>2Q20</c:v>
                </c:pt>
                <c:pt idx="47">
                  <c:v>3Q20</c:v>
                </c:pt>
                <c:pt idx="48">
                  <c:v>4Q20</c:v>
                </c:pt>
                <c:pt idx="49">
                  <c:v>1Q21</c:v>
                </c:pt>
                <c:pt idx="50">
                  <c:v>2Q21</c:v>
                </c:pt>
                <c:pt idx="51">
                  <c:v>3Q21</c:v>
                </c:pt>
                <c:pt idx="52">
                  <c:v>4Q21</c:v>
                </c:pt>
                <c:pt idx="53">
                  <c:v>1Q22</c:v>
                </c:pt>
                <c:pt idx="54">
                  <c:v>2Q22</c:v>
                </c:pt>
                <c:pt idx="55">
                  <c:v>3Q22</c:v>
                </c:pt>
                <c:pt idx="56">
                  <c:v>4Q22</c:v>
                </c:pt>
                <c:pt idx="57">
                  <c:v>1Q23</c:v>
                </c:pt>
                <c:pt idx="58">
                  <c:v>2Q23</c:v>
                </c:pt>
                <c:pt idx="59">
                  <c:v>3Q23</c:v>
                </c:pt>
                <c:pt idx="60">
                  <c:v>4Q23</c:v>
                </c:pt>
                <c:pt idx="61">
                  <c:v>1Q24</c:v>
                </c:pt>
                <c:pt idx="62">
                  <c:v>2Q24e</c:v>
                </c:pt>
                <c:pt idx="63">
                  <c:v>3Q24e</c:v>
                </c:pt>
                <c:pt idx="64">
                  <c:v>4Q24e</c:v>
                </c:pt>
              </c:strCache>
            </c:strRef>
          </c:cat>
          <c:val>
            <c:numRef>
              <c:f>Charts_Support!$I$428:$CS$428</c:f>
              <c:numCache>
                <c:formatCode>#,##0.0_);\(#,##0.0\)</c:formatCode>
                <c:ptCount val="65"/>
                <c:pt idx="1">
                  <c:v>1149</c:v>
                </c:pt>
                <c:pt idx="2">
                  <c:v>1155</c:v>
                </c:pt>
                <c:pt idx="3">
                  <c:v>1155</c:v>
                </c:pt>
                <c:pt idx="4">
                  <c:v>1171</c:v>
                </c:pt>
                <c:pt idx="5">
                  <c:v>1171</c:v>
                </c:pt>
                <c:pt idx="6">
                  <c:v>1188</c:v>
                </c:pt>
                <c:pt idx="7">
                  <c:v>1174</c:v>
                </c:pt>
                <c:pt idx="8">
                  <c:v>1206</c:v>
                </c:pt>
                <c:pt idx="9">
                  <c:v>1211</c:v>
                </c:pt>
                <c:pt idx="10">
                  <c:v>1227</c:v>
                </c:pt>
                <c:pt idx="11">
                  <c:v>1242</c:v>
                </c:pt>
                <c:pt idx="12">
                  <c:v>1283</c:v>
                </c:pt>
                <c:pt idx="13">
                  <c:v>1341</c:v>
                </c:pt>
                <c:pt idx="14">
                  <c:v>1363</c:v>
                </c:pt>
                <c:pt idx="15">
                  <c:v>1388</c:v>
                </c:pt>
                <c:pt idx="16">
                  <c:v>1435</c:v>
                </c:pt>
                <c:pt idx="17">
                  <c:v>1431</c:v>
                </c:pt>
                <c:pt idx="18">
                  <c:v>1768</c:v>
                </c:pt>
                <c:pt idx="19">
                  <c:v>1811</c:v>
                </c:pt>
                <c:pt idx="20">
                  <c:v>1862</c:v>
                </c:pt>
                <c:pt idx="21">
                  <c:v>1881</c:v>
                </c:pt>
                <c:pt idx="22">
                  <c:v>2241</c:v>
                </c:pt>
                <c:pt idx="23">
                  <c:v>2277</c:v>
                </c:pt>
                <c:pt idx="24">
                  <c:v>2784</c:v>
                </c:pt>
                <c:pt idx="25">
                  <c:v>2788</c:v>
                </c:pt>
                <c:pt idx="26">
                  <c:v>2830</c:v>
                </c:pt>
                <c:pt idx="27">
                  <c:v>2905</c:v>
                </c:pt>
                <c:pt idx="28">
                  <c:v>2954</c:v>
                </c:pt>
                <c:pt idx="29">
                  <c:v>3002</c:v>
                </c:pt>
                <c:pt idx="30">
                  <c:v>3037</c:v>
                </c:pt>
                <c:pt idx="31">
                  <c:v>3093</c:v>
                </c:pt>
                <c:pt idx="32">
                  <c:v>3195</c:v>
                </c:pt>
                <c:pt idx="33">
                  <c:v>3235</c:v>
                </c:pt>
                <c:pt idx="34">
                  <c:v>3291</c:v>
                </c:pt>
                <c:pt idx="35">
                  <c:v>3353</c:v>
                </c:pt>
                <c:pt idx="36">
                  <c:v>3438</c:v>
                </c:pt>
                <c:pt idx="37">
                  <c:v>3468</c:v>
                </c:pt>
                <c:pt idx="38">
                  <c:v>3521</c:v>
                </c:pt>
                <c:pt idx="39">
                  <c:v>3588</c:v>
                </c:pt>
                <c:pt idx="40">
                  <c:v>3688</c:v>
                </c:pt>
                <c:pt idx="41">
                  <c:v>4461</c:v>
                </c:pt>
                <c:pt idx="42">
                  <c:v>4474</c:v>
                </c:pt>
                <c:pt idx="43">
                  <c:v>4495</c:v>
                </c:pt>
                <c:pt idx="44">
                  <c:v>4310</c:v>
                </c:pt>
                <c:pt idx="45">
                  <c:v>4311</c:v>
                </c:pt>
                <c:pt idx="46">
                  <c:v>4256</c:v>
                </c:pt>
                <c:pt idx="47">
                  <c:v>4236</c:v>
                </c:pt>
                <c:pt idx="48">
                  <c:v>4193</c:v>
                </c:pt>
                <c:pt idx="49">
                  <c:v>4185</c:v>
                </c:pt>
                <c:pt idx="50">
                  <c:v>4204</c:v>
                </c:pt>
                <c:pt idx="51">
                  <c:v>4219</c:v>
                </c:pt>
                <c:pt idx="52">
                  <c:v>4262</c:v>
                </c:pt>
                <c:pt idx="53">
                  <c:v>4299</c:v>
                </c:pt>
                <c:pt idx="54">
                  <c:v>4336</c:v>
                </c:pt>
                <c:pt idx="55">
                  <c:v>4361</c:v>
                </c:pt>
                <c:pt idx="56">
                  <c:v>4447</c:v>
                </c:pt>
                <c:pt idx="57">
                  <c:v>4449</c:v>
                </c:pt>
                <c:pt idx="58">
                  <c:v>4477</c:v>
                </c:pt>
                <c:pt idx="59">
                  <c:v>4516</c:v>
                </c:pt>
                <c:pt idx="60">
                  <c:v>4622</c:v>
                </c:pt>
                <c:pt idx="61">
                  <c:v>4641</c:v>
                </c:pt>
                <c:pt idx="62">
                  <c:v>4686</c:v>
                </c:pt>
                <c:pt idx="63">
                  <c:v>4716</c:v>
                </c:pt>
                <c:pt idx="64">
                  <c:v>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D-48D7-9577-261CA950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18880"/>
        <c:axId val="492620416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7D-48D7-9577-261CA950C785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7D-48D7-9577-261CA950C785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0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827D-48D7-9577-261CA950C785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7D-48D7-9577-261CA950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26304"/>
        <c:axId val="492627840"/>
      </c:scatterChart>
      <c:catAx>
        <c:axId val="492618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62041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62041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618880"/>
        <c:crosses val="autoZero"/>
        <c:crossBetween val="midCat"/>
      </c:valAx>
      <c:valAx>
        <c:axId val="49262630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627840"/>
        <c:crosses val="autoZero"/>
        <c:crossBetween val="midCat"/>
      </c:valAx>
      <c:valAx>
        <c:axId val="49262784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62630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2266511433138E-2"/>
          <c:y val="6.7750647888256868E-2"/>
          <c:w val="0.88132377421693886"/>
          <c:h val="0.77255503945287596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Charts_Support!$A$438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Charts_Support!$J$453:$CS$453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Charts_Support!$J$438:$CS$438</c:f>
              <c:numCache>
                <c:formatCode>#,##0.0_);\(#,##0.0\)</c:formatCode>
                <c:ptCount val="64"/>
                <c:pt idx="0">
                  <c:v>1.813840731070496</c:v>
                </c:pt>
                <c:pt idx="1">
                  <c:v>1.7945653679653679</c:v>
                </c:pt>
                <c:pt idx="2">
                  <c:v>1.8351454545454544</c:v>
                </c:pt>
                <c:pt idx="3">
                  <c:v>1.9732382578992314</c:v>
                </c:pt>
                <c:pt idx="4">
                  <c:v>1.7897677198975237</c:v>
                </c:pt>
                <c:pt idx="5">
                  <c:v>1.8238215488215486</c:v>
                </c:pt>
                <c:pt idx="6">
                  <c:v>1.9377555366269166</c:v>
                </c:pt>
                <c:pt idx="7">
                  <c:v>2.0265315091210612</c:v>
                </c:pt>
                <c:pt idx="8">
                  <c:v>1.9791445086705204</c:v>
                </c:pt>
                <c:pt idx="9">
                  <c:v>2.1150350448247761</c:v>
                </c:pt>
                <c:pt idx="10">
                  <c:v>2.2292914653784219</c:v>
                </c:pt>
                <c:pt idx="11">
                  <c:v>2.2882556508183942</c:v>
                </c:pt>
                <c:pt idx="12">
                  <c:v>2.208835197613721</c:v>
                </c:pt>
                <c:pt idx="13">
                  <c:v>2.5139882611885547</c:v>
                </c:pt>
                <c:pt idx="14">
                  <c:v>2.5233804034582135</c:v>
                </c:pt>
                <c:pt idx="15">
                  <c:v>2.5285344947735191</c:v>
                </c:pt>
                <c:pt idx="16">
                  <c:v>2.3750845562543677</c:v>
                </c:pt>
                <c:pt idx="17">
                  <c:v>2.1609881221719456</c:v>
                </c:pt>
                <c:pt idx="18">
                  <c:v>2.2541916068470456</c:v>
                </c:pt>
                <c:pt idx="19">
                  <c:v>2.3689317937701397</c:v>
                </c:pt>
                <c:pt idx="20">
                  <c:v>2.122294524189261</c:v>
                </c:pt>
                <c:pt idx="21">
                  <c:v>2.3218768406961177</c:v>
                </c:pt>
                <c:pt idx="22">
                  <c:v>2.5038862538427757</c:v>
                </c:pt>
                <c:pt idx="23">
                  <c:v>2.8389166666666665</c:v>
                </c:pt>
                <c:pt idx="24">
                  <c:v>2.6342302725968438</c:v>
                </c:pt>
                <c:pt idx="25">
                  <c:v>2.7427356890459365</c:v>
                </c:pt>
                <c:pt idx="26">
                  <c:v>2.8311098106712564</c:v>
                </c:pt>
                <c:pt idx="27">
                  <c:v>3.0324394041976976</c:v>
                </c:pt>
                <c:pt idx="28">
                  <c:v>2.8430246502331777</c:v>
                </c:pt>
                <c:pt idx="29">
                  <c:v>2.9850405004939082</c:v>
                </c:pt>
                <c:pt idx="30">
                  <c:v>3.1044241836404787</c:v>
                </c:pt>
                <c:pt idx="31">
                  <c:v>3.2862456964006261</c:v>
                </c:pt>
                <c:pt idx="32">
                  <c:v>3.1200123647604325</c:v>
                </c:pt>
                <c:pt idx="33">
                  <c:v>3.1432400486174417</c:v>
                </c:pt>
                <c:pt idx="34">
                  <c:v>3.1241735759021769</c:v>
                </c:pt>
                <c:pt idx="35">
                  <c:v>3.3787446189645141</c:v>
                </c:pt>
                <c:pt idx="36">
                  <c:v>3.1948861014994234</c:v>
                </c:pt>
                <c:pt idx="37">
                  <c:v>3.2165600681624538</c:v>
                </c:pt>
                <c:pt idx="38">
                  <c:v>3.1704002229654407</c:v>
                </c:pt>
                <c:pt idx="39">
                  <c:v>3.3557001084598701</c:v>
                </c:pt>
                <c:pt idx="40">
                  <c:v>3.06895045953822</c:v>
                </c:pt>
                <c:pt idx="41">
                  <c:v>3.258948815377738</c:v>
                </c:pt>
                <c:pt idx="42">
                  <c:v>3.2236923248053393</c:v>
                </c:pt>
                <c:pt idx="43">
                  <c:v>3.5714610208816704</c:v>
                </c:pt>
                <c:pt idx="44">
                  <c:v>2.8079540709812107</c:v>
                </c:pt>
                <c:pt idx="45">
                  <c:v>1.221282189849624</c:v>
                </c:pt>
                <c:pt idx="46">
                  <c:v>2.3360524079320113</c:v>
                </c:pt>
                <c:pt idx="47">
                  <c:v>2.6942604340567611</c:v>
                </c:pt>
                <c:pt idx="48">
                  <c:v>2.440075029868578</c:v>
                </c:pt>
                <c:pt idx="49">
                  <c:v>2.9679752616555661</c:v>
                </c:pt>
                <c:pt idx="50">
                  <c:v>3.3084320929130127</c:v>
                </c:pt>
                <c:pt idx="51">
                  <c:v>3.9258826841858285</c:v>
                </c:pt>
                <c:pt idx="52">
                  <c:v>3.5422593626424752</c:v>
                </c:pt>
                <c:pt idx="53">
                  <c:v>3.9066254612546127</c:v>
                </c:pt>
                <c:pt idx="54">
                  <c:v>4.0170089429030034</c:v>
                </c:pt>
                <c:pt idx="55">
                  <c:v>4.305335731954127</c:v>
                </c:pt>
                <c:pt idx="56">
                  <c:v>3.9707006068779505</c:v>
                </c:pt>
                <c:pt idx="57">
                  <c:v>4.2324623631896356</c:v>
                </c:pt>
                <c:pt idx="58">
                  <c:v>4.3113317094774128</c:v>
                </c:pt>
                <c:pt idx="59">
                  <c:v>4.3588691042838592</c:v>
                </c:pt>
                <c:pt idx="60">
                  <c:v>3.9221779788838615</c:v>
                </c:pt>
                <c:pt idx="61">
                  <c:v>4.1088435766111822</c:v>
                </c:pt>
                <c:pt idx="62">
                  <c:v>4.26377668208817</c:v>
                </c:pt>
                <c:pt idx="63">
                  <c:v>4.3854113862946908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4-4D85-8400-669A0F462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11008"/>
        <c:axId val="49281254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A4-4D85-8400-669A0F462C0A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A4-4D85-8400-669A0F462C0A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0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F5A4-4D85-8400-669A0F462C0A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5A4-4D85-8400-669A0F462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818816"/>
        <c:axId val="492820352"/>
      </c:scatterChart>
      <c:catAx>
        <c:axId val="49281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8125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2812544"/>
        <c:scaling>
          <c:orientation val="minMax"/>
          <c:min val="1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 mn</a:t>
                </a:r>
              </a:p>
            </c:rich>
          </c:tx>
          <c:layout>
            <c:manualLayout>
              <c:xMode val="edge"/>
              <c:yMode val="edge"/>
              <c:x val="9.8573281452658881E-2"/>
              <c:y val="4.540135953037416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_);\(#,##0.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811008"/>
        <c:crosses val="autoZero"/>
        <c:crossBetween val="midCat"/>
      </c:valAx>
      <c:valAx>
        <c:axId val="492818816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820352"/>
        <c:crosses val="autoZero"/>
        <c:crossBetween val="midCat"/>
      </c:valAx>
      <c:valAx>
        <c:axId val="49282035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8188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4.0022347539151841E-2"/>
          <c:w val="0.85019536018376107"/>
          <c:h val="0.80942297955549347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Charts_Support!$A$440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Charts_Support!$K$427:$CS$427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Charts_Support!$J$440:$CS$440</c:f>
              <c:numCache>
                <c:formatCode>#,##0.0_);\(#,##0.0\)</c:formatCode>
                <c:ptCount val="64"/>
                <c:pt idx="1">
                  <c:v>1.7534772182254201</c:v>
                </c:pt>
                <c:pt idx="2">
                  <c:v>1.7574954846478024</c:v>
                </c:pt>
                <c:pt idx="3">
                  <c:v>1.9426682692307684</c:v>
                </c:pt>
                <c:pt idx="4">
                  <c:v>1.762104004781829</c:v>
                </c:pt>
                <c:pt idx="5">
                  <c:v>1.761094586555622</c:v>
                </c:pt>
                <c:pt idx="6">
                  <c:v>1.7719858156028367</c:v>
                </c:pt>
                <c:pt idx="7">
                  <c:v>1.9266705403834983</c:v>
                </c:pt>
                <c:pt idx="8">
                  <c:v>1.8631315789473686</c:v>
                </c:pt>
                <c:pt idx="9">
                  <c:v>1.9494344122657581</c:v>
                </c:pt>
                <c:pt idx="10">
                  <c:v>1.9684841986455981</c:v>
                </c:pt>
                <c:pt idx="11">
                  <c:v>2.0111535455053042</c:v>
                </c:pt>
                <c:pt idx="12">
                  <c:v>2.0798887688984879</c:v>
                </c:pt>
                <c:pt idx="13">
                  <c:v>2.3057080679405519</c:v>
                </c:pt>
                <c:pt idx="14">
                  <c:v>2.2970578249336864</c:v>
                </c:pt>
                <c:pt idx="15">
                  <c:v>2.3929384534455549</c:v>
                </c:pt>
                <c:pt idx="16">
                  <c:v>2.3329027196652721</c:v>
                </c:pt>
                <c:pt idx="17">
                  <c:v>2.4662161895360315</c:v>
                </c:pt>
                <c:pt idx="18">
                  <c:v>2.3568933025404162</c:v>
                </c:pt>
                <c:pt idx="19">
                  <c:v>2.4905417789757411</c:v>
                </c:pt>
                <c:pt idx="20">
                  <c:v>2.3444616063548103</c:v>
                </c:pt>
                <c:pt idx="21">
                  <c:v>2.8251111957349582</c:v>
                </c:pt>
                <c:pt idx="22">
                  <c:v>2.7431662216288384</c:v>
                </c:pt>
                <c:pt idx="23">
                  <c:v>3.0816328947368423</c:v>
                </c:pt>
                <c:pt idx="24">
                  <c:v>2.0102406801831263</c:v>
                </c:pt>
                <c:pt idx="25">
                  <c:v>1.9759785226163358</c:v>
                </c:pt>
                <c:pt idx="26">
                  <c:v>2.1198231162196679</c:v>
                </c:pt>
                <c:pt idx="27">
                  <c:v>2.1726725385341306</c:v>
                </c:pt>
                <c:pt idx="28">
                  <c:v>2.0972668972021378</c:v>
                </c:pt>
                <c:pt idx="29">
                  <c:v>2.1661744587386256</c:v>
                </c:pt>
                <c:pt idx="30">
                  <c:v>2.1379654747225647</c:v>
                </c:pt>
                <c:pt idx="31">
                  <c:v>2.20525433871933</c:v>
                </c:pt>
                <c:pt idx="32">
                  <c:v>2.1583985993580392</c:v>
                </c:pt>
                <c:pt idx="33">
                  <c:v>2.2835480713874499</c:v>
                </c:pt>
                <c:pt idx="34">
                  <c:v>2.2430255536626915</c:v>
                </c:pt>
                <c:pt idx="35">
                  <c:v>2.3533732590529248</c:v>
                </c:pt>
                <c:pt idx="36">
                  <c:v>3.0933024538185827</c:v>
                </c:pt>
                <c:pt idx="37">
                  <c:v>3.1818162428219852</c:v>
                </c:pt>
                <c:pt idx="38">
                  <c:v>3.1926157582298971</c:v>
                </c:pt>
                <c:pt idx="39">
                  <c:v>3.4292015873015873</c:v>
                </c:pt>
                <c:pt idx="40">
                  <c:v>3.0829927159209154</c:v>
                </c:pt>
                <c:pt idx="41">
                  <c:v>3.3214488680718186</c:v>
                </c:pt>
                <c:pt idx="42">
                  <c:v>3.6276185755283068</c:v>
                </c:pt>
                <c:pt idx="43">
                  <c:v>3.5621633185494392</c:v>
                </c:pt>
                <c:pt idx="44">
                  <c:v>3.1275989515072085</c:v>
                </c:pt>
                <c:pt idx="45">
                  <c:v>1.390707284768212</c:v>
                </c:pt>
                <c:pt idx="46">
                  <c:v>2.3431311563169164</c:v>
                </c:pt>
                <c:pt idx="47">
                  <c:v>2.8892963868513992</c:v>
                </c:pt>
                <c:pt idx="48">
                  <c:v>2.6701229666390955</c:v>
                </c:pt>
                <c:pt idx="49">
                  <c:v>3.5122207432057682</c:v>
                </c:pt>
                <c:pt idx="50">
                  <c:v>3.634882862734135</c:v>
                </c:pt>
                <c:pt idx="51">
                  <c:v>4.3195227145260793</c:v>
                </c:pt>
                <c:pt idx="52">
                  <c:v>4.0183293262510489</c:v>
                </c:pt>
                <c:pt idx="53">
                  <c:v>4.5788029034059186</c:v>
                </c:pt>
                <c:pt idx="54">
                  <c:v>4.56582298914556</c:v>
                </c:pt>
                <c:pt idx="55">
                  <c:v>5.0571629955947133</c:v>
                </c:pt>
                <c:pt idx="56">
                  <c:v>4.6874543965046422</c:v>
                </c:pt>
                <c:pt idx="57">
                  <c:v>5.1735693911135501</c:v>
                </c:pt>
                <c:pt idx="58">
                  <c:v>5.1887339752407158</c:v>
                </c:pt>
                <c:pt idx="59">
                  <c:v>5.4862305805396563</c:v>
                </c:pt>
                <c:pt idx="60">
                  <c:v>5.1810228679042227</c:v>
                </c:pt>
                <c:pt idx="61">
                  <c:v>5.4505363515312917</c:v>
                </c:pt>
                <c:pt idx="62">
                  <c:v>5.3888405141952749</c:v>
                </c:pt>
                <c:pt idx="63">
                  <c:v>5.688552709539473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7-4EB1-91EF-357F93BEF1D8}"/>
            </c:ext>
          </c:extLst>
        </c:ser>
        <c:ser>
          <c:idx val="0"/>
          <c:order val="1"/>
          <c:tx>
            <c:strRef>
              <c:f>Charts_Support!$A$442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Charts_Support!$K$427:$CS$427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Charts_Support!$J$442:$CS$442</c:f>
              <c:numCache>
                <c:formatCode>#,##0.0_);\(#,##0.0\)</c:formatCode>
                <c:ptCount val="64"/>
                <c:pt idx="1">
                  <c:v>2.9750995348837206</c:v>
                </c:pt>
                <c:pt idx="2">
                  <c:v>3.3152909666423178</c:v>
                </c:pt>
                <c:pt idx="3">
                  <c:v>3.4183575138504159</c:v>
                </c:pt>
                <c:pt idx="4">
                  <c:v>3.0323974285766915</c:v>
                </c:pt>
                <c:pt idx="5">
                  <c:v>3.4830117478314326</c:v>
                </c:pt>
                <c:pt idx="6">
                  <c:v>3.9477512755102038</c:v>
                </c:pt>
                <c:pt idx="7">
                  <c:v>3.8465311498754002</c:v>
                </c:pt>
                <c:pt idx="8">
                  <c:v>3.3383225806451611</c:v>
                </c:pt>
                <c:pt idx="9">
                  <c:v>3.7158415081422076</c:v>
                </c:pt>
                <c:pt idx="10">
                  <c:v>4.3874201630854239</c:v>
                </c:pt>
                <c:pt idx="11">
                  <c:v>4.45042988068802</c:v>
                </c:pt>
                <c:pt idx="12">
                  <c:v>3.9632743897881388</c:v>
                </c:pt>
                <c:pt idx="13">
                  <c:v>4.6731193116130383</c:v>
                </c:pt>
                <c:pt idx="14">
                  <c:v>4.9679564121945079</c:v>
                </c:pt>
                <c:pt idx="15">
                  <c:v>4.5695834447167156</c:v>
                </c:pt>
                <c:pt idx="16">
                  <c:v>3.9069307021359401</c:v>
                </c:pt>
                <c:pt idx="17">
                  <c:v>4.4815127958773697</c:v>
                </c:pt>
                <c:pt idx="18">
                  <c:v>4.7558003409642398</c:v>
                </c:pt>
                <c:pt idx="19">
                  <c:v>4.5118367126442731</c:v>
                </c:pt>
                <c:pt idx="20">
                  <c:v>3.4835457418455671</c:v>
                </c:pt>
                <c:pt idx="21">
                  <c:v>3.7585663495838286</c:v>
                </c:pt>
                <c:pt idx="22">
                  <c:v>4.115247839331551</c:v>
                </c:pt>
                <c:pt idx="23">
                  <c:v>4.0841613553178764</c:v>
                </c:pt>
                <c:pt idx="24">
                  <c:v>4.0971238651337654</c:v>
                </c:pt>
                <c:pt idx="25">
                  <c:v>4.6901273065631619</c:v>
                </c:pt>
                <c:pt idx="26">
                  <c:v>5.189490272041299</c:v>
                </c:pt>
                <c:pt idx="27">
                  <c:v>5.1559555376444575</c:v>
                </c:pt>
                <c:pt idx="28">
                  <c:v>3.946467701290719</c:v>
                </c:pt>
                <c:pt idx="29">
                  <c:v>4.4718415069051236</c:v>
                </c:pt>
                <c:pt idx="30">
                  <c:v>5.0701450029480144</c:v>
                </c:pt>
                <c:pt idx="31">
                  <c:v>5.1764543267279208</c:v>
                </c:pt>
                <c:pt idx="32">
                  <c:v>5.2684221185365709</c:v>
                </c:pt>
                <c:pt idx="33">
                  <c:v>5.0556258847252753</c:v>
                </c:pt>
                <c:pt idx="34">
                  <c:v>5.242953384581778</c:v>
                </c:pt>
                <c:pt idx="35">
                  <c:v>5.310994397225576</c:v>
                </c:pt>
                <c:pt idx="36">
                  <c:v>4.9170218221329849</c:v>
                </c:pt>
                <c:pt idx="37">
                  <c:v>5.0013847164651297</c:v>
                </c:pt>
                <c:pt idx="38">
                  <c:v>4.3035143593993084</c:v>
                </c:pt>
                <c:pt idx="39">
                  <c:v>4.0079902430427179</c:v>
                </c:pt>
                <c:pt idx="40">
                  <c:v>3.7183533101586126</c:v>
                </c:pt>
                <c:pt idx="41">
                  <c:v>3.9715810393540196</c:v>
                </c:pt>
                <c:pt idx="42">
                  <c:v>4.1822677205128249</c:v>
                </c:pt>
                <c:pt idx="43">
                  <c:v>3.9948451362987329</c:v>
                </c:pt>
                <c:pt idx="44">
                  <c:v>2.8575623006313018</c:v>
                </c:pt>
                <c:pt idx="45">
                  <c:v>1.2759675416156071</c:v>
                </c:pt>
                <c:pt idx="46">
                  <c:v>2.0963914114333284</c:v>
                </c:pt>
                <c:pt idx="47">
                  <c:v>2.9500961153952416</c:v>
                </c:pt>
                <c:pt idx="48">
                  <c:v>2.9067375930906336</c:v>
                </c:pt>
                <c:pt idx="49">
                  <c:v>2.8426079353377776</c:v>
                </c:pt>
                <c:pt idx="50">
                  <c:v>3.9365306969609977</c:v>
                </c:pt>
                <c:pt idx="51">
                  <c:v>4.9063164493111611</c:v>
                </c:pt>
                <c:pt idx="52">
                  <c:v>4.3032590360087033</c:v>
                </c:pt>
                <c:pt idx="53">
                  <c:v>4.9326898579392937</c:v>
                </c:pt>
                <c:pt idx="54">
                  <c:v>5.6654198649897838</c:v>
                </c:pt>
                <c:pt idx="55">
                  <c:v>5.7747425383469775</c:v>
                </c:pt>
                <c:pt idx="56">
                  <c:v>4.6138545789538696</c:v>
                </c:pt>
                <c:pt idx="57">
                  <c:v>5.0107172714372306</c:v>
                </c:pt>
                <c:pt idx="58">
                  <c:v>5.5956010955712774</c:v>
                </c:pt>
                <c:pt idx="59">
                  <c:v>4.7133661061241643</c:v>
                </c:pt>
                <c:pt idx="60">
                  <c:v>3.6268011782618976</c:v>
                </c:pt>
                <c:pt idx="61">
                  <c:v>4.1831657191769596</c:v>
                </c:pt>
                <c:pt idx="62">
                  <c:v>4.4064305215116439</c:v>
                </c:pt>
                <c:pt idx="63">
                  <c:v>3.383224598138737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7-4EB1-91EF-357F93BEF1D8}"/>
            </c:ext>
          </c:extLst>
        </c:ser>
        <c:ser>
          <c:idx val="2"/>
          <c:order val="2"/>
          <c:tx>
            <c:strRef>
              <c:f>Charts_Support!$A$444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Charts_Support!$K$427:$CS$427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Charts_Support!$J$444:$CS$444</c:f>
              <c:numCache>
                <c:formatCode>0.0%</c:formatCode>
                <c:ptCount val="64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 formatCode="#,##0.0_);\(#,##0.0\)">
                  <c:v>4.411960132890365</c:v>
                </c:pt>
                <c:pt idx="25" formatCode="#,##0.0_);\(#,##0.0\)">
                  <c:v>4.3388704318936879</c:v>
                </c:pt>
                <c:pt idx="26" formatCode="#,##0.0_);\(#,##0.0\)">
                  <c:v>4.5864909390444808</c:v>
                </c:pt>
                <c:pt idx="27" formatCode="#,##0.0_);\(#,##0.0\)">
                  <c:v>5.3300970873786406</c:v>
                </c:pt>
                <c:pt idx="28" formatCode="#,##0.0_);\(#,##0.0\)">
                  <c:v>5.6629921259842524</c:v>
                </c:pt>
                <c:pt idx="29">
                  <c:v>5.5216049382716053</c:v>
                </c:pt>
                <c:pt idx="30" formatCode="#,##0.0_);\(#,##0.0\)">
                  <c:v>5.576864535768645</c:v>
                </c:pt>
                <c:pt idx="31" formatCode="#,##0.0_);\(#,##0.0\)">
                  <c:v>6.4355555555555553</c:v>
                </c:pt>
                <c:pt idx="32" formatCode="#,##0.0_);\(#,##0.0\)">
                  <c:v>5.9195402298850572</c:v>
                </c:pt>
                <c:pt idx="33" formatCode="#,##0.0_);\(#,##0.0\)">
                  <c:v>5.5684062059238366</c:v>
                </c:pt>
                <c:pt idx="34" formatCode="#,##0.0_);\(#,##0.0\)">
                  <c:v>5.6514522821576767</c:v>
                </c:pt>
                <c:pt idx="35" formatCode="#,##0.0_);\(#,##0.0\)">
                  <c:v>6.6746987951807233</c:v>
                </c:pt>
                <c:pt idx="36" formatCode="#,##0.0_);\(#,##0.0\)">
                  <c:v>6.4441558441558442</c:v>
                </c:pt>
                <c:pt idx="37" formatCode="#,##0.0_);\(#,##0.0\)">
                  <c:v>6.0076433121019113</c:v>
                </c:pt>
                <c:pt idx="38" formatCode="#,##0.0_);\(#,##0.0\)">
                  <c:v>5.8949999999999996</c:v>
                </c:pt>
                <c:pt idx="39" formatCode="#,##0.0_);\(#,##0.0\)">
                  <c:v>6.5291262135922334</c:v>
                </c:pt>
                <c:pt idx="40" formatCode="#,##0.0_);\(#,##0.0\)">
                  <c:v>7.7910216718266252</c:v>
                </c:pt>
                <c:pt idx="41" formatCode="#,##0.0_);\(#,##0.0\)">
                  <c:v>5.9771949828962372</c:v>
                </c:pt>
                <c:pt idx="42" formatCode="#,##0.0_);\(#,##0.0\)">
                  <c:v>5.898705683736635</c:v>
                </c:pt>
                <c:pt idx="43" formatCode="#,##0.0_);\(#,##0.0\)">
                  <c:v>6.3836231071228271</c:v>
                </c:pt>
                <c:pt idx="44" formatCode="#,##0.0_);\(#,##0.0\)">
                  <c:v>4.655075715086932</c:v>
                </c:pt>
                <c:pt idx="45" formatCode="#,##0.0_);\(#,##0.0\)">
                  <c:v>1.8600451467268624</c:v>
                </c:pt>
                <c:pt idx="46" formatCode="#,##0.0_);\(#,##0.0\)">
                  <c:v>4.634703196347032</c:v>
                </c:pt>
                <c:pt idx="47" formatCode="#,##0.0_);\(#,##0.0\)">
                  <c:v>4.6079447322970637</c:v>
                </c:pt>
                <c:pt idx="48" formatCode="#,##0.0_);\(#,##0.0\)">
                  <c:v>4.0486956521739135</c:v>
                </c:pt>
                <c:pt idx="49" formatCode="#,##0.0_);\(#,##0.0\)">
                  <c:v>4.9508386350491618</c:v>
                </c:pt>
                <c:pt idx="50" formatCode="#,##0.0_);\(#,##0.0\)">
                  <c:v>5.5677233429394812</c:v>
                </c:pt>
                <c:pt idx="51" formatCode="#,##0.0_);\(#,##0.0\)">
                  <c:v>6.6536920435031481</c:v>
                </c:pt>
                <c:pt idx="52" formatCode="#,##0.0_);\(#,##0.0\)">
                  <c:v>5.87202718006795</c:v>
                </c:pt>
                <c:pt idx="53" formatCode="#,##0.0_);\(#,##0.0\)">
                  <c:v>6.0671516508114154</c:v>
                </c:pt>
                <c:pt idx="54" formatCode="#,##0.0_);\(#,##0.0\)">
                  <c:v>5.9988962472406184</c:v>
                </c:pt>
                <c:pt idx="55" formatCode="#,##0.0_);\(#,##0.0\)">
                  <c:v>6.4475828354155347</c:v>
                </c:pt>
                <c:pt idx="56" formatCode="#,##0.0_);\(#,##0.0\)">
                  <c:v>5.9967741935483874</c:v>
                </c:pt>
                <c:pt idx="57" formatCode="#,##0.0_);\(#,##0.0\)">
                  <c:v>6.0255591054313102</c:v>
                </c:pt>
                <c:pt idx="58" formatCode="#,##0.0_);\(#,##0.0\)">
                  <c:v>5.9212184873949578</c:v>
                </c:pt>
                <c:pt idx="59" formatCode="#,##0.0_);\(#,##0.0\)">
                  <c:v>6.3019648397104451</c:v>
                </c:pt>
                <c:pt idx="60" formatCode="#,##0.0_);\(#,##0.0\)">
                  <c:v>5.5662404092071611</c:v>
                </c:pt>
                <c:pt idx="61" formatCode="#,##0.0_);\(#,##0.0\)">
                  <c:v>5.5924796747967482</c:v>
                </c:pt>
                <c:pt idx="62" formatCode="#,##0.0_);\(#,##0.0\)">
                  <c:v>6.16898628614448</c:v>
                </c:pt>
                <c:pt idx="63" formatCode="#,##0.0_);\(#,##0.0\)">
                  <c:v>6.9643508586395031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7-4EB1-91EF-357F93BEF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43776"/>
        <c:axId val="492845312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7-4EB1-91EF-357F93BEF1D8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17-4EB1-91EF-357F93BEF1D8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17-4EB1-91EF-357F93BEF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863488"/>
        <c:axId val="492865024"/>
      </c:scatterChart>
      <c:catAx>
        <c:axId val="49284377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 sz="80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8453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284531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843776"/>
        <c:crosses val="autoZero"/>
        <c:crossBetween val="midCat"/>
      </c:valAx>
      <c:valAx>
        <c:axId val="49286348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865024"/>
        <c:crosses val="autoZero"/>
        <c:crossBetween val="midCat"/>
      </c:valAx>
      <c:valAx>
        <c:axId val="49286502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863488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718302235566861"/>
          <c:y val="4.6074689666009042E-2"/>
          <c:w val="0.23714166079434629"/>
          <c:h val="0.20531078776443268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07642067997309E-2"/>
          <c:y val="5.9190211224114171E-2"/>
          <c:w val="0.85206860770310688"/>
          <c:h val="0.7753336447350860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Charts_Support!$A$430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strRef>
              <c:f>Charts_Support!$J$458:$CS$458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Charts_Support!$J$430:$CS$430</c:f>
              <c:numCache>
                <c:formatCode>#,##0.0_);\(#,##0.0\)</c:formatCode>
                <c:ptCount val="64"/>
                <c:pt idx="0">
                  <c:v>994</c:v>
                </c:pt>
                <c:pt idx="1">
                  <c:v>993</c:v>
                </c:pt>
                <c:pt idx="2">
                  <c:v>990</c:v>
                </c:pt>
                <c:pt idx="3">
                  <c:v>1001</c:v>
                </c:pt>
                <c:pt idx="4">
                  <c:v>1000</c:v>
                </c:pt>
                <c:pt idx="5">
                  <c:v>1010</c:v>
                </c:pt>
                <c:pt idx="6">
                  <c:v>1017</c:v>
                </c:pt>
                <c:pt idx="7">
                  <c:v>1037</c:v>
                </c:pt>
                <c:pt idx="8">
                  <c:v>1039</c:v>
                </c:pt>
                <c:pt idx="9">
                  <c:v>1051</c:v>
                </c:pt>
                <c:pt idx="10">
                  <c:v>1053</c:v>
                </c:pt>
                <c:pt idx="11">
                  <c:v>1075</c:v>
                </c:pt>
                <c:pt idx="12">
                  <c:v>1129</c:v>
                </c:pt>
                <c:pt idx="13">
                  <c:v>1139</c:v>
                </c:pt>
                <c:pt idx="14">
                  <c:v>1152</c:v>
                </c:pt>
                <c:pt idx="15">
                  <c:v>1186</c:v>
                </c:pt>
                <c:pt idx="16">
                  <c:v>1178</c:v>
                </c:pt>
                <c:pt idx="17">
                  <c:v>1505</c:v>
                </c:pt>
                <c:pt idx="18">
                  <c:v>1536</c:v>
                </c:pt>
                <c:pt idx="19">
                  <c:v>1575</c:v>
                </c:pt>
                <c:pt idx="20">
                  <c:v>1587</c:v>
                </c:pt>
                <c:pt idx="21">
                  <c:v>1943</c:v>
                </c:pt>
                <c:pt idx="22">
                  <c:v>1960</c:v>
                </c:pt>
                <c:pt idx="23">
                  <c:v>1999</c:v>
                </c:pt>
                <c:pt idx="24">
                  <c:v>1996</c:v>
                </c:pt>
                <c:pt idx="25">
                  <c:v>2020</c:v>
                </c:pt>
                <c:pt idx="26">
                  <c:v>2068</c:v>
                </c:pt>
                <c:pt idx="27">
                  <c:v>2092</c:v>
                </c:pt>
                <c:pt idx="28">
                  <c:v>2090</c:v>
                </c:pt>
                <c:pt idx="29">
                  <c:v>2106</c:v>
                </c:pt>
                <c:pt idx="30">
                  <c:v>2140</c:v>
                </c:pt>
                <c:pt idx="31">
                  <c:v>2215</c:v>
                </c:pt>
                <c:pt idx="32">
                  <c:v>2236</c:v>
                </c:pt>
                <c:pt idx="33">
                  <c:v>2257</c:v>
                </c:pt>
                <c:pt idx="34">
                  <c:v>2295</c:v>
                </c:pt>
                <c:pt idx="35">
                  <c:v>2346</c:v>
                </c:pt>
                <c:pt idx="36">
                  <c:v>2358</c:v>
                </c:pt>
                <c:pt idx="37">
                  <c:v>2387</c:v>
                </c:pt>
                <c:pt idx="38">
                  <c:v>2410</c:v>
                </c:pt>
                <c:pt idx="39">
                  <c:v>2467</c:v>
                </c:pt>
                <c:pt idx="40">
                  <c:v>2477</c:v>
                </c:pt>
                <c:pt idx="41">
                  <c:v>2463</c:v>
                </c:pt>
                <c:pt idx="42">
                  <c:v>2469</c:v>
                </c:pt>
                <c:pt idx="43">
                  <c:v>2272</c:v>
                </c:pt>
                <c:pt idx="44">
                  <c:v>2263</c:v>
                </c:pt>
                <c:pt idx="45">
                  <c:v>2236</c:v>
                </c:pt>
                <c:pt idx="46">
                  <c:v>2219</c:v>
                </c:pt>
                <c:pt idx="47">
                  <c:v>2184</c:v>
                </c:pt>
                <c:pt idx="48">
                  <c:v>2171</c:v>
                </c:pt>
                <c:pt idx="49">
                  <c:v>2169</c:v>
                </c:pt>
                <c:pt idx="50">
                  <c:v>2159</c:v>
                </c:pt>
                <c:pt idx="51">
                  <c:v>2174</c:v>
                </c:pt>
                <c:pt idx="52">
                  <c:v>2181</c:v>
                </c:pt>
                <c:pt idx="53">
                  <c:v>2192</c:v>
                </c:pt>
                <c:pt idx="54">
                  <c:v>2204</c:v>
                </c:pt>
                <c:pt idx="55">
                  <c:v>2248</c:v>
                </c:pt>
                <c:pt idx="56">
                  <c:v>2244</c:v>
                </c:pt>
                <c:pt idx="57">
                  <c:v>2237</c:v>
                </c:pt>
                <c:pt idx="58">
                  <c:v>2248</c:v>
                </c:pt>
                <c:pt idx="59">
                  <c:v>2313</c:v>
                </c:pt>
                <c:pt idx="60">
                  <c:v>2331</c:v>
                </c:pt>
                <c:pt idx="61">
                  <c:v>2358</c:v>
                </c:pt>
                <c:pt idx="62">
                  <c:v>2371</c:v>
                </c:pt>
                <c:pt idx="63">
                  <c:v>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5-48DD-B76D-9279677792CD}"/>
            </c:ext>
          </c:extLst>
        </c:ser>
        <c:ser>
          <c:idx val="1"/>
          <c:order val="1"/>
          <c:tx>
            <c:strRef>
              <c:f>Charts_Support!$A$432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strRef>
              <c:f>Charts_Support!$J$458:$CS$458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Charts_Support!$J$432:$CS$432</c:f>
              <c:numCache>
                <c:formatCode>#,##0.0_);\(#,##0.0\)</c:formatCode>
                <c:ptCount val="64"/>
                <c:pt idx="0">
                  <c:v>155</c:v>
                </c:pt>
                <c:pt idx="1">
                  <c:v>162</c:v>
                </c:pt>
                <c:pt idx="2">
                  <c:v>165</c:v>
                </c:pt>
                <c:pt idx="3">
                  <c:v>170</c:v>
                </c:pt>
                <c:pt idx="4">
                  <c:v>171</c:v>
                </c:pt>
                <c:pt idx="5">
                  <c:v>178</c:v>
                </c:pt>
                <c:pt idx="6">
                  <c:v>157</c:v>
                </c:pt>
                <c:pt idx="7">
                  <c:v>169</c:v>
                </c:pt>
                <c:pt idx="8">
                  <c:v>172</c:v>
                </c:pt>
                <c:pt idx="9">
                  <c:v>176</c:v>
                </c:pt>
                <c:pt idx="10">
                  <c:v>189</c:v>
                </c:pt>
                <c:pt idx="11">
                  <c:v>208</c:v>
                </c:pt>
                <c:pt idx="12">
                  <c:v>212</c:v>
                </c:pt>
                <c:pt idx="13">
                  <c:v>224</c:v>
                </c:pt>
                <c:pt idx="14">
                  <c:v>236</c:v>
                </c:pt>
                <c:pt idx="15">
                  <c:v>249</c:v>
                </c:pt>
                <c:pt idx="16">
                  <c:v>253</c:v>
                </c:pt>
                <c:pt idx="17">
                  <c:v>263</c:v>
                </c:pt>
                <c:pt idx="18">
                  <c:v>275</c:v>
                </c:pt>
                <c:pt idx="19">
                  <c:v>287</c:v>
                </c:pt>
                <c:pt idx="20">
                  <c:v>294</c:v>
                </c:pt>
                <c:pt idx="21">
                  <c:v>298</c:v>
                </c:pt>
                <c:pt idx="22">
                  <c:v>317</c:v>
                </c:pt>
                <c:pt idx="23">
                  <c:v>343</c:v>
                </c:pt>
                <c:pt idx="24">
                  <c:v>350</c:v>
                </c:pt>
                <c:pt idx="25">
                  <c:v>365</c:v>
                </c:pt>
                <c:pt idx="26">
                  <c:v>382</c:v>
                </c:pt>
                <c:pt idx="27">
                  <c:v>395</c:v>
                </c:pt>
                <c:pt idx="28">
                  <c:v>444</c:v>
                </c:pt>
                <c:pt idx="29">
                  <c:v>456</c:v>
                </c:pt>
                <c:pt idx="30">
                  <c:v>470</c:v>
                </c:pt>
                <c:pt idx="31">
                  <c:v>481</c:v>
                </c:pt>
                <c:pt idx="32">
                  <c:v>493</c:v>
                </c:pt>
                <c:pt idx="33">
                  <c:v>515</c:v>
                </c:pt>
                <c:pt idx="34">
                  <c:v>528</c:v>
                </c:pt>
                <c:pt idx="35">
                  <c:v>543</c:v>
                </c:pt>
                <c:pt idx="36">
                  <c:v>555</c:v>
                </c:pt>
                <c:pt idx="37">
                  <c:v>573</c:v>
                </c:pt>
                <c:pt idx="38">
                  <c:v>607</c:v>
                </c:pt>
                <c:pt idx="39">
                  <c:v>628</c:v>
                </c:pt>
                <c:pt idx="40">
                  <c:v>631</c:v>
                </c:pt>
                <c:pt idx="41">
                  <c:v>639</c:v>
                </c:pt>
                <c:pt idx="42">
                  <c:v>632</c:v>
                </c:pt>
                <c:pt idx="43">
                  <c:v>640</c:v>
                </c:pt>
                <c:pt idx="44">
                  <c:v>643</c:v>
                </c:pt>
                <c:pt idx="45">
                  <c:v>630</c:v>
                </c:pt>
                <c:pt idx="46">
                  <c:v>625</c:v>
                </c:pt>
                <c:pt idx="47">
                  <c:v>633</c:v>
                </c:pt>
                <c:pt idx="48">
                  <c:v>639</c:v>
                </c:pt>
                <c:pt idx="49">
                  <c:v>647</c:v>
                </c:pt>
                <c:pt idx="50">
                  <c:v>656</c:v>
                </c:pt>
                <c:pt idx="51">
                  <c:v>664</c:v>
                </c:pt>
                <c:pt idx="52">
                  <c:v>677</c:v>
                </c:pt>
                <c:pt idx="53">
                  <c:v>692</c:v>
                </c:pt>
                <c:pt idx="54">
                  <c:v>697</c:v>
                </c:pt>
                <c:pt idx="55">
                  <c:v>723</c:v>
                </c:pt>
                <c:pt idx="56">
                  <c:v>728</c:v>
                </c:pt>
                <c:pt idx="57">
                  <c:v>745</c:v>
                </c:pt>
                <c:pt idx="58">
                  <c:v>754</c:v>
                </c:pt>
                <c:pt idx="59">
                  <c:v>775</c:v>
                </c:pt>
                <c:pt idx="60">
                  <c:v>776</c:v>
                </c:pt>
                <c:pt idx="61">
                  <c:v>780</c:v>
                </c:pt>
                <c:pt idx="62">
                  <c:v>785</c:v>
                </c:pt>
                <c:pt idx="63">
                  <c:v>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5-48DD-B76D-9279677792CD}"/>
            </c:ext>
          </c:extLst>
        </c:ser>
        <c:ser>
          <c:idx val="2"/>
          <c:order val="2"/>
          <c:tx>
            <c:strRef>
              <c:f>Charts_Support!$A$434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strRef>
              <c:f>Charts_Support!$J$458:$CS$458</c:f>
              <c:strCache>
                <c:ptCount val="64"/>
                <c:pt idx="0">
                  <c:v>1Q09</c:v>
                </c:pt>
                <c:pt idx="1">
                  <c:v>2Q09</c:v>
                </c:pt>
                <c:pt idx="2">
                  <c:v>3Q09</c:v>
                </c:pt>
                <c:pt idx="3">
                  <c:v>4Q09</c:v>
                </c:pt>
                <c:pt idx="4">
                  <c:v>1Q10</c:v>
                </c:pt>
                <c:pt idx="5">
                  <c:v>2Q10</c:v>
                </c:pt>
                <c:pt idx="6">
                  <c:v>3Q10</c:v>
                </c:pt>
                <c:pt idx="7">
                  <c:v>4Q10</c:v>
                </c:pt>
                <c:pt idx="8">
                  <c:v>1Q11</c:v>
                </c:pt>
                <c:pt idx="9">
                  <c:v>2Q11</c:v>
                </c:pt>
                <c:pt idx="10">
                  <c:v>3Q11</c:v>
                </c:pt>
                <c:pt idx="11">
                  <c:v>4Q11</c:v>
                </c:pt>
                <c:pt idx="12">
                  <c:v>1Q12</c:v>
                </c:pt>
                <c:pt idx="13">
                  <c:v>2Q12</c:v>
                </c:pt>
                <c:pt idx="14">
                  <c:v>3Q12</c:v>
                </c:pt>
                <c:pt idx="15">
                  <c:v>4Q12</c:v>
                </c:pt>
                <c:pt idx="16">
                  <c:v>1Q13</c:v>
                </c:pt>
                <c:pt idx="17">
                  <c:v>2Q13</c:v>
                </c:pt>
                <c:pt idx="18">
                  <c:v>3Q13</c:v>
                </c:pt>
                <c:pt idx="19">
                  <c:v>4Q13</c:v>
                </c:pt>
                <c:pt idx="20">
                  <c:v>1Q14</c:v>
                </c:pt>
                <c:pt idx="21">
                  <c:v>2Q14</c:v>
                </c:pt>
                <c:pt idx="22">
                  <c:v>3Q14</c:v>
                </c:pt>
                <c:pt idx="23">
                  <c:v>4Q14</c:v>
                </c:pt>
                <c:pt idx="24">
                  <c:v>1Q15</c:v>
                </c:pt>
                <c:pt idx="25">
                  <c:v>2Q15</c:v>
                </c:pt>
                <c:pt idx="26">
                  <c:v>3Q15</c:v>
                </c:pt>
                <c:pt idx="27">
                  <c:v>4Q15</c:v>
                </c:pt>
                <c:pt idx="28">
                  <c:v>1Q16</c:v>
                </c:pt>
                <c:pt idx="29">
                  <c:v>2Q16</c:v>
                </c:pt>
                <c:pt idx="30">
                  <c:v>3Q16</c:v>
                </c:pt>
                <c:pt idx="31">
                  <c:v>4Q16</c:v>
                </c:pt>
                <c:pt idx="32">
                  <c:v>1Q17</c:v>
                </c:pt>
                <c:pt idx="33">
                  <c:v>2Q17</c:v>
                </c:pt>
                <c:pt idx="34">
                  <c:v>3Q17</c:v>
                </c:pt>
                <c:pt idx="35">
                  <c:v>4Q17</c:v>
                </c:pt>
                <c:pt idx="36">
                  <c:v>1Q18</c:v>
                </c:pt>
                <c:pt idx="37">
                  <c:v>2Q18</c:v>
                </c:pt>
                <c:pt idx="38">
                  <c:v>3Q18</c:v>
                </c:pt>
                <c:pt idx="39">
                  <c:v>4Q18</c:v>
                </c:pt>
                <c:pt idx="40">
                  <c:v>1Q19</c:v>
                </c:pt>
                <c:pt idx="41">
                  <c:v>2Q19</c:v>
                </c:pt>
                <c:pt idx="42">
                  <c:v>3Q19</c:v>
                </c:pt>
                <c:pt idx="43">
                  <c:v>4Q19</c:v>
                </c:pt>
                <c:pt idx="44">
                  <c:v>1Q20</c:v>
                </c:pt>
                <c:pt idx="45">
                  <c:v>2Q20</c:v>
                </c:pt>
                <c:pt idx="46">
                  <c:v>3Q20</c:v>
                </c:pt>
                <c:pt idx="47">
                  <c:v>4Q20</c:v>
                </c:pt>
                <c:pt idx="48">
                  <c:v>1Q21</c:v>
                </c:pt>
                <c:pt idx="49">
                  <c:v>2Q21</c:v>
                </c:pt>
                <c:pt idx="50">
                  <c:v>3Q21</c:v>
                </c:pt>
                <c:pt idx="51">
                  <c:v>4Q21</c:v>
                </c:pt>
                <c:pt idx="52">
                  <c:v>1Q22</c:v>
                </c:pt>
                <c:pt idx="53">
                  <c:v>2Q22</c:v>
                </c:pt>
                <c:pt idx="54">
                  <c:v>3Q22</c:v>
                </c:pt>
                <c:pt idx="55">
                  <c:v>4Q22</c:v>
                </c:pt>
                <c:pt idx="56">
                  <c:v>1Q23</c:v>
                </c:pt>
                <c:pt idx="57">
                  <c:v>2Q23</c:v>
                </c:pt>
                <c:pt idx="58">
                  <c:v>3Q23</c:v>
                </c:pt>
                <c:pt idx="59">
                  <c:v>4Q23</c:v>
                </c:pt>
                <c:pt idx="60">
                  <c:v>1Q24</c:v>
                </c:pt>
                <c:pt idx="61">
                  <c:v>2Q24e</c:v>
                </c:pt>
                <c:pt idx="62">
                  <c:v>3Q24e</c:v>
                </c:pt>
                <c:pt idx="63">
                  <c:v>4Q24e</c:v>
                </c:pt>
              </c:strCache>
            </c:strRef>
          </c:cat>
          <c:val>
            <c:numRef>
              <c:f>Charts_Support!$J$434:$CS$434</c:f>
              <c:numCache>
                <c:formatCode>#,##0.0_);\(#,##0.0\)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442</c:v>
                </c:pt>
                <c:pt idx="24">
                  <c:v>442</c:v>
                </c:pt>
                <c:pt idx="25">
                  <c:v>445</c:v>
                </c:pt>
                <c:pt idx="26">
                  <c:v>455</c:v>
                </c:pt>
                <c:pt idx="27">
                  <c:v>467</c:v>
                </c:pt>
                <c:pt idx="28">
                  <c:v>468</c:v>
                </c:pt>
                <c:pt idx="29">
                  <c:v>475</c:v>
                </c:pt>
                <c:pt idx="30">
                  <c:v>483</c:v>
                </c:pt>
                <c:pt idx="31">
                  <c:v>499</c:v>
                </c:pt>
                <c:pt idx="32">
                  <c:v>506</c:v>
                </c:pt>
                <c:pt idx="33">
                  <c:v>519</c:v>
                </c:pt>
                <c:pt idx="34">
                  <c:v>530</c:v>
                </c:pt>
                <c:pt idx="35">
                  <c:v>549</c:v>
                </c:pt>
                <c:pt idx="36">
                  <c:v>555</c:v>
                </c:pt>
                <c:pt idx="37">
                  <c:v>561</c:v>
                </c:pt>
                <c:pt idx="38">
                  <c:v>571</c:v>
                </c:pt>
                <c:pt idx="39">
                  <c:v>593</c:v>
                </c:pt>
                <c:pt idx="40">
                  <c:v>1353</c:v>
                </c:pt>
                <c:pt idx="41">
                  <c:v>1372</c:v>
                </c:pt>
                <c:pt idx="42">
                  <c:v>1394</c:v>
                </c:pt>
                <c:pt idx="43">
                  <c:v>1398</c:v>
                </c:pt>
                <c:pt idx="44">
                  <c:v>1405</c:v>
                </c:pt>
                <c:pt idx="45">
                  <c:v>1390</c:v>
                </c:pt>
                <c:pt idx="46">
                  <c:v>1392</c:v>
                </c:pt>
                <c:pt idx="47">
                  <c:v>1376</c:v>
                </c:pt>
                <c:pt idx="48">
                  <c:v>1375</c:v>
                </c:pt>
                <c:pt idx="49">
                  <c:v>1388</c:v>
                </c:pt>
                <c:pt idx="50">
                  <c:v>1404</c:v>
                </c:pt>
                <c:pt idx="51">
                  <c:v>1424</c:v>
                </c:pt>
                <c:pt idx="52">
                  <c:v>1441</c:v>
                </c:pt>
                <c:pt idx="53">
                  <c:v>1452</c:v>
                </c:pt>
                <c:pt idx="54">
                  <c:v>1460</c:v>
                </c:pt>
                <c:pt idx="55">
                  <c:v>1476</c:v>
                </c:pt>
                <c:pt idx="56">
                  <c:v>1477</c:v>
                </c:pt>
                <c:pt idx="57">
                  <c:v>1494</c:v>
                </c:pt>
                <c:pt idx="58">
                  <c:v>1514</c:v>
                </c:pt>
                <c:pt idx="59">
                  <c:v>1534</c:v>
                </c:pt>
                <c:pt idx="60">
                  <c:v>1534</c:v>
                </c:pt>
                <c:pt idx="61">
                  <c:v>1548</c:v>
                </c:pt>
                <c:pt idx="62">
                  <c:v>1560</c:v>
                </c:pt>
                <c:pt idx="63">
                  <c:v>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25-48DD-B76D-927967779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894848"/>
        <c:axId val="492904832"/>
      </c:areaChart>
      <c:scatterChart>
        <c:scatterStyle val="lineMarker"/>
        <c:varyColors val="0"/>
        <c:ser>
          <c:idx val="4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5-48DD-B76D-9279677792CD}"/>
            </c:ext>
          </c:extLst>
        </c:ser>
        <c:ser>
          <c:idx val="5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25-48DD-B76D-9279677792CD}"/>
            </c:ext>
          </c:extLst>
        </c:ser>
        <c:ser>
          <c:idx val="6"/>
          <c:order val="5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C225-48DD-B76D-9279677792CD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25-48DD-B76D-927967779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06368"/>
        <c:axId val="492907904"/>
      </c:scatterChart>
      <c:catAx>
        <c:axId val="49289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9048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290483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894848"/>
        <c:crosses val="autoZero"/>
        <c:crossBetween val="between"/>
      </c:valAx>
      <c:valAx>
        <c:axId val="49290636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907904"/>
        <c:crosses val="autoZero"/>
        <c:crossBetween val="midCat"/>
      </c:valAx>
      <c:valAx>
        <c:axId val="49290790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906368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9199007100856578"/>
          <c:y val="1.1625517149339357E-2"/>
          <c:w val="0.25505989766843346"/>
          <c:h val="0.16702106651842388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4.0022347539151841E-2"/>
          <c:w val="0.85019536018376107"/>
          <c:h val="0.80942297955549347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Charts_Support!$A$459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Charts_Support!$O$427:$CS$427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Charts_Support!$N$460:$CS$460</c:f>
              <c:numCache>
                <c:formatCode>0.0%</c:formatCode>
                <c:ptCount val="60"/>
                <c:pt idx="0">
                  <c:v>-3.1127363539065422E-2</c:v>
                </c:pt>
                <c:pt idx="1">
                  <c:v>-1.939877245643129E-2</c:v>
                </c:pt>
                <c:pt idx="2">
                  <c:v>8.1242101462357663E-3</c:v>
                </c:pt>
                <c:pt idx="3">
                  <c:v>3.4352413392041647E-2</c:v>
                </c:pt>
                <c:pt idx="4">
                  <c:v>0.1172328086164045</c:v>
                </c:pt>
                <c:pt idx="5">
                  <c:v>0.18448464912280693</c:v>
                </c:pt>
                <c:pt idx="6">
                  <c:v>0.18257521489971351</c:v>
                </c:pt>
                <c:pt idx="7">
                  <c:v>0.14039596803341214</c:v>
                </c:pt>
                <c:pt idx="8">
                  <c:v>0.17875829110534314</c:v>
                </c:pt>
                <c:pt idx="9">
                  <c:v>0.25819640515312825</c:v>
                </c:pt>
                <c:pt idx="10">
                  <c:v>0.21920193836601776</c:v>
                </c:pt>
                <c:pt idx="11">
                  <c:v>0.21217029967954359</c:v>
                </c:pt>
                <c:pt idx="12">
                  <c:v>0.13697050188731996</c:v>
                </c:pt>
                <c:pt idx="13">
                  <c:v>0.11587982832618016</c:v>
                </c:pt>
                <c:pt idx="14">
                  <c:v>0.15656440193764776</c:v>
                </c:pt>
                <c:pt idx="15">
                  <c:v>0.1844169426529545</c:v>
                </c:pt>
                <c:pt idx="16">
                  <c:v>0.17610894223970974</c:v>
                </c:pt>
                <c:pt idx="17">
                  <c:v>0.37005494505494507</c:v>
                </c:pt>
                <c:pt idx="18">
                  <c:v>0.44659829243408677</c:v>
                </c:pt>
                <c:pt idx="19">
                  <c:v>0.58621535442727501</c:v>
                </c:pt>
                <c:pt idx="20">
                  <c:v>0.21772085729221113</c:v>
                </c:pt>
                <c:pt idx="21">
                  <c:v>-2.7270904351313408E-2</c:v>
                </c:pt>
                <c:pt idx="22">
                  <c:v>-7.5352635486265807E-2</c:v>
                </c:pt>
                <c:pt idx="23">
                  <c:v>-0.16437297046543997</c:v>
                </c:pt>
                <c:pt idx="24">
                  <c:v>0.10646061386563632</c:v>
                </c:pt>
                <c:pt idx="25">
                  <c:v>0.10245310245310235</c:v>
                </c:pt>
                <c:pt idx="26">
                  <c:v>0.10718586912886385</c:v>
                </c:pt>
                <c:pt idx="27">
                  <c:v>0.10418208734270906</c:v>
                </c:pt>
                <c:pt idx="28">
                  <c:v>8.1280310378273546E-2</c:v>
                </c:pt>
                <c:pt idx="29">
                  <c:v>0.10732984293193715</c:v>
                </c:pt>
                <c:pt idx="30">
                  <c:v>5.13052936910805E-2</c:v>
                </c:pt>
                <c:pt idx="31">
                  <c:v>6.9549187196245921E-2</c:v>
                </c:pt>
                <c:pt idx="32">
                  <c:v>7.5888051668460799E-2</c:v>
                </c:pt>
                <c:pt idx="33">
                  <c:v>5.4204660587639397E-2</c:v>
                </c:pt>
                <c:pt idx="34">
                  <c:v>8.4669770650112053E-2</c:v>
                </c:pt>
                <c:pt idx="35">
                  <c:v>8.6179880915073559E-2</c:v>
                </c:pt>
                <c:pt idx="36">
                  <c:v>6.5032516258129114E-2</c:v>
                </c:pt>
                <c:pt idx="37">
                  <c:v>0.10507768700945053</c:v>
                </c:pt>
                <c:pt idx="38">
                  <c:v>6.2003179650238494E-2</c:v>
                </c:pt>
                <c:pt idx="39">
                  <c:v>4.6018465089440186E-2</c:v>
                </c:pt>
                <c:pt idx="40">
                  <c:v>-2.771254109910759E-2</c:v>
                </c:pt>
                <c:pt idx="41">
                  <c:v>-0.59878243223655603</c:v>
                </c:pt>
                <c:pt idx="42">
                  <c:v>-0.31601796407185634</c:v>
                </c:pt>
                <c:pt idx="43">
                  <c:v>-0.23872569300786095</c:v>
                </c:pt>
                <c:pt idx="44">
                  <c:v>-0.19887278582930756</c:v>
                </c:pt>
                <c:pt idx="45">
                  <c:v>1.3356213872832372</c:v>
                </c:pt>
                <c:pt idx="46">
                  <c:v>0.46749835850295463</c:v>
                </c:pt>
                <c:pt idx="47">
                  <c:v>0.42572463768115942</c:v>
                </c:pt>
                <c:pt idx="48">
                  <c:v>0.47437185929648251</c:v>
                </c:pt>
                <c:pt idx="49">
                  <c:v>0.29265274555297749</c:v>
                </c:pt>
                <c:pt idx="50">
                  <c:v>0.25324384787472032</c:v>
                </c:pt>
                <c:pt idx="51">
                  <c:v>0.19097839898348168</c:v>
                </c:pt>
                <c:pt idx="52">
                  <c:v>0.22058623040218128</c:v>
                </c:pt>
                <c:pt idx="53">
                  <c:v>0.17637908340313513</c:v>
                </c:pt>
                <c:pt idx="54">
                  <c:v>0.17815066047840067</c:v>
                </c:pt>
                <c:pt idx="55">
                  <c:v>0.13880294462818732</c:v>
                </c:pt>
                <c:pt idx="56">
                  <c:v>0.13057075840500398</c:v>
                </c:pt>
                <c:pt idx="57">
                  <c:v>8.7783541857389791E-2</c:v>
                </c:pt>
                <c:pt idx="58">
                  <c:v>8.6107319077435296E-2</c:v>
                </c:pt>
                <c:pt idx="59">
                  <c:v>7.674198345312E-2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1-4EF9-8334-7884893BD99C}"/>
            </c:ext>
          </c:extLst>
        </c:ser>
        <c:ser>
          <c:idx val="0"/>
          <c:order val="1"/>
          <c:tx>
            <c:strRef>
              <c:f>Charts_Support!$A$461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Charts_Support!$O$427:$CS$427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Charts_Support!$N$462:$CS$462</c:f>
              <c:numCache>
                <c:formatCode>0.0%</c:formatCode>
                <c:ptCount val="60"/>
                <c:pt idx="0">
                  <c:v>0.17601043024771834</c:v>
                </c:pt>
                <c:pt idx="1">
                  <c:v>0.3157894736842104</c:v>
                </c:pt>
                <c:pt idx="2">
                  <c:v>0.34281914893617005</c:v>
                </c:pt>
                <c:pt idx="3">
                  <c:v>0.29364481286109001</c:v>
                </c:pt>
                <c:pt idx="4">
                  <c:v>0.30376940133037689</c:v>
                </c:pt>
                <c:pt idx="5">
                  <c:v>0.24790697674418616</c:v>
                </c:pt>
                <c:pt idx="6">
                  <c:v>0.31214101802337102</c:v>
                </c:pt>
                <c:pt idx="7">
                  <c:v>0.42252427184466024</c:v>
                </c:pt>
                <c:pt idx="8">
                  <c:v>0.47576530612244916</c:v>
                </c:pt>
                <c:pt idx="9">
                  <c:v>0.57845695117405893</c:v>
                </c:pt>
                <c:pt idx="10">
                  <c:v>0.431245283018868</c:v>
                </c:pt>
                <c:pt idx="11">
                  <c:v>0.26549276549276546</c:v>
                </c:pt>
                <c:pt idx="12">
                  <c:v>0.18697781619129916</c:v>
                </c:pt>
                <c:pt idx="13">
                  <c:v>0.14285714285714279</c:v>
                </c:pt>
                <c:pt idx="14">
                  <c:v>0.23665893271461691</c:v>
                </c:pt>
                <c:pt idx="15">
                  <c:v>0.35357566605544166</c:v>
                </c:pt>
                <c:pt idx="16">
                  <c:v>0.20995145631067968</c:v>
                </c:pt>
                <c:pt idx="17">
                  <c:v>0.12706611570247928</c:v>
                </c:pt>
                <c:pt idx="18">
                  <c:v>5.2362271874467181E-2</c:v>
                </c:pt>
                <c:pt idx="19">
                  <c:v>3.514224240975361E-2</c:v>
                </c:pt>
                <c:pt idx="20">
                  <c:v>0.36108324974924777</c:v>
                </c:pt>
                <c:pt idx="21">
                  <c:v>0.47112740604949588</c:v>
                </c:pt>
                <c:pt idx="22">
                  <c:v>0.49837925445705022</c:v>
                </c:pt>
                <c:pt idx="23">
                  <c:v>0.46805234795996919</c:v>
                </c:pt>
                <c:pt idx="24">
                  <c:v>0.16580692704495203</c:v>
                </c:pt>
                <c:pt idx="25">
                  <c:v>0.20186915887850465</c:v>
                </c:pt>
                <c:pt idx="26">
                  <c:v>0.21849648458626292</c:v>
                </c:pt>
                <c:pt idx="27">
                  <c:v>0.23754588358678563</c:v>
                </c:pt>
                <c:pt idx="28">
                  <c:v>0.5549936788874843</c:v>
                </c:pt>
                <c:pt idx="29">
                  <c:v>0.26956972524624168</c:v>
                </c:pt>
                <c:pt idx="30">
                  <c:v>0.16910785619174429</c:v>
                </c:pt>
                <c:pt idx="31">
                  <c:v>0.16101694915254239</c:v>
                </c:pt>
                <c:pt idx="32">
                  <c:v>5.7226422764227625E-2</c:v>
                </c:pt>
                <c:pt idx="33">
                  <c:v>0.112781135157207</c:v>
                </c:pt>
                <c:pt idx="34">
                  <c:v>-6.4920273348519353E-2</c:v>
                </c:pt>
                <c:pt idx="35">
                  <c:v>-0.12189781021897805</c:v>
                </c:pt>
                <c:pt idx="36">
                  <c:v>-0.12665099699051474</c:v>
                </c:pt>
                <c:pt idx="37">
                  <c:v>-0.1045500863972969</c:v>
                </c:pt>
                <c:pt idx="38">
                  <c:v>4.3371092164027569E-2</c:v>
                </c:pt>
                <c:pt idx="39">
                  <c:v>1.8671238570241E-2</c:v>
                </c:pt>
                <c:pt idx="40">
                  <c:v>-0.22303298514651404</c:v>
                </c:pt>
                <c:pt idx="41">
                  <c:v>-0.67969262556238408</c:v>
                </c:pt>
                <c:pt idx="42">
                  <c:v>-0.50761161371814323</c:v>
                </c:pt>
                <c:pt idx="43">
                  <c:v>-0.27570837598733211</c:v>
                </c:pt>
                <c:pt idx="44">
                  <c:v>-4.4549159334357213E-3</c:v>
                </c:pt>
                <c:pt idx="45">
                  <c:v>1.214918632618597</c:v>
                </c:pt>
                <c:pt idx="46">
                  <c:v>0.91523300649385009</c:v>
                </c:pt>
                <c:pt idx="47">
                  <c:v>0.71837945721652363</c:v>
                </c:pt>
                <c:pt idx="48">
                  <c:v>0.54151275235780583</c:v>
                </c:pt>
                <c:pt idx="49">
                  <c:v>0.82625576961177027</c:v>
                </c:pt>
                <c:pt idx="50">
                  <c:v>0.51847537510697594</c:v>
                </c:pt>
                <c:pt idx="51">
                  <c:v>0.25808326541958881</c:v>
                </c:pt>
                <c:pt idx="52">
                  <c:v>0.1577366864451526</c:v>
                </c:pt>
                <c:pt idx="53">
                  <c:v>9.4482784795713926E-2</c:v>
                </c:pt>
                <c:pt idx="54">
                  <c:v>6.8440302102998007E-2</c:v>
                </c:pt>
                <c:pt idx="55">
                  <c:v>-0.11979242802664614</c:v>
                </c:pt>
                <c:pt idx="56">
                  <c:v>-0.15830705656741617</c:v>
                </c:pt>
                <c:pt idx="57">
                  <c:v>-0.11674685808575147</c:v>
                </c:pt>
                <c:pt idx="58">
                  <c:v>-0.17699787908318754</c:v>
                </c:pt>
                <c:pt idx="59">
                  <c:v>-0.2540700121571734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1-4EF9-8334-7884893BD99C}"/>
            </c:ext>
          </c:extLst>
        </c:ser>
        <c:ser>
          <c:idx val="2"/>
          <c:order val="2"/>
          <c:tx>
            <c:strRef>
              <c:f>Charts_Support!$A$463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Charts_Support!$O$427:$CS$427</c:f>
              <c:strCache>
                <c:ptCount val="59"/>
                <c:pt idx="0">
                  <c:v>2Q10</c:v>
                </c:pt>
                <c:pt idx="1">
                  <c:v>3Q10</c:v>
                </c:pt>
                <c:pt idx="2">
                  <c:v>4Q10</c:v>
                </c:pt>
                <c:pt idx="3">
                  <c:v>1Q11</c:v>
                </c:pt>
                <c:pt idx="4">
                  <c:v>2Q11</c:v>
                </c:pt>
                <c:pt idx="5">
                  <c:v>3Q11</c:v>
                </c:pt>
                <c:pt idx="6">
                  <c:v>4Q11</c:v>
                </c:pt>
                <c:pt idx="7">
                  <c:v>1Q12</c:v>
                </c:pt>
                <c:pt idx="8">
                  <c:v>2Q12</c:v>
                </c:pt>
                <c:pt idx="9">
                  <c:v>3Q12</c:v>
                </c:pt>
                <c:pt idx="10">
                  <c:v>4Q12</c:v>
                </c:pt>
                <c:pt idx="11">
                  <c:v>1Q13</c:v>
                </c:pt>
                <c:pt idx="12">
                  <c:v>2Q13</c:v>
                </c:pt>
                <c:pt idx="13">
                  <c:v>3Q13</c:v>
                </c:pt>
                <c:pt idx="14">
                  <c:v>4Q13</c:v>
                </c:pt>
                <c:pt idx="15">
                  <c:v>1Q14</c:v>
                </c:pt>
                <c:pt idx="16">
                  <c:v>2Q14</c:v>
                </c:pt>
                <c:pt idx="17">
                  <c:v>3Q14</c:v>
                </c:pt>
                <c:pt idx="18">
                  <c:v>4Q14</c:v>
                </c:pt>
                <c:pt idx="19">
                  <c:v>1Q15</c:v>
                </c:pt>
                <c:pt idx="20">
                  <c:v>2Q15</c:v>
                </c:pt>
                <c:pt idx="21">
                  <c:v>3Q15</c:v>
                </c:pt>
                <c:pt idx="22">
                  <c:v>4Q15</c:v>
                </c:pt>
                <c:pt idx="23">
                  <c:v>1Q16</c:v>
                </c:pt>
                <c:pt idx="24">
                  <c:v>2Q16</c:v>
                </c:pt>
                <c:pt idx="25">
                  <c:v>3Q16</c:v>
                </c:pt>
                <c:pt idx="26">
                  <c:v>4Q16</c:v>
                </c:pt>
                <c:pt idx="27">
                  <c:v>1Q17</c:v>
                </c:pt>
                <c:pt idx="28">
                  <c:v>2Q17</c:v>
                </c:pt>
                <c:pt idx="29">
                  <c:v>3Q17</c:v>
                </c:pt>
                <c:pt idx="30">
                  <c:v>4Q17</c:v>
                </c:pt>
                <c:pt idx="31">
                  <c:v>1Q18</c:v>
                </c:pt>
                <c:pt idx="32">
                  <c:v>2Q18</c:v>
                </c:pt>
                <c:pt idx="33">
                  <c:v>3Q18</c:v>
                </c:pt>
                <c:pt idx="34">
                  <c:v>4Q18</c:v>
                </c:pt>
                <c:pt idx="35">
                  <c:v>1Q19</c:v>
                </c:pt>
                <c:pt idx="36">
                  <c:v>2Q19</c:v>
                </c:pt>
                <c:pt idx="37">
                  <c:v>3Q19</c:v>
                </c:pt>
                <c:pt idx="38">
                  <c:v>4Q19</c:v>
                </c:pt>
                <c:pt idx="39">
                  <c:v>1Q20</c:v>
                </c:pt>
                <c:pt idx="40">
                  <c:v>2Q20</c:v>
                </c:pt>
                <c:pt idx="41">
                  <c:v>3Q20</c:v>
                </c:pt>
                <c:pt idx="42">
                  <c:v>4Q20</c:v>
                </c:pt>
                <c:pt idx="43">
                  <c:v>1Q21</c:v>
                </c:pt>
                <c:pt idx="44">
                  <c:v>2Q21</c:v>
                </c:pt>
                <c:pt idx="45">
                  <c:v>3Q21</c:v>
                </c:pt>
                <c:pt idx="46">
                  <c:v>4Q21</c:v>
                </c:pt>
                <c:pt idx="47">
                  <c:v>1Q22</c:v>
                </c:pt>
                <c:pt idx="48">
                  <c:v>2Q22</c:v>
                </c:pt>
                <c:pt idx="49">
                  <c:v>3Q22</c:v>
                </c:pt>
                <c:pt idx="50">
                  <c:v>4Q22</c:v>
                </c:pt>
                <c:pt idx="51">
                  <c:v>1Q23</c:v>
                </c:pt>
                <c:pt idx="52">
                  <c:v>2Q23</c:v>
                </c:pt>
                <c:pt idx="53">
                  <c:v>3Q23</c:v>
                </c:pt>
                <c:pt idx="54">
                  <c:v>4Q23</c:v>
                </c:pt>
                <c:pt idx="55">
                  <c:v>1Q24</c:v>
                </c:pt>
                <c:pt idx="56">
                  <c:v>2Q24e</c:v>
                </c:pt>
                <c:pt idx="57">
                  <c:v>3Q24e</c:v>
                </c:pt>
                <c:pt idx="58">
                  <c:v>4Q24e</c:v>
                </c:pt>
              </c:strCache>
            </c:strRef>
          </c:cat>
          <c:val>
            <c:numRef>
              <c:f>Charts_Support!$N$464:$CS$464</c:f>
              <c:numCache>
                <c:formatCode>0.0%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0.36983154670750373</c:v>
                </c:pt>
                <c:pt idx="26">
                  <c:v>0.31609195402298851</c:v>
                </c:pt>
                <c:pt idx="27">
                  <c:v>0.31876138433515488</c:v>
                </c:pt>
                <c:pt idx="28">
                  <c:v>0.14571746384872086</c:v>
                </c:pt>
                <c:pt idx="29">
                  <c:v>0.10340972610396859</c:v>
                </c:pt>
                <c:pt idx="30">
                  <c:v>0.11517467248908297</c:v>
                </c:pt>
                <c:pt idx="31">
                  <c:v>0.14779005524861888</c:v>
                </c:pt>
                <c:pt idx="32">
                  <c:v>0.20436893203883488</c:v>
                </c:pt>
                <c:pt idx="33">
                  <c:v>0.19452887537993924</c:v>
                </c:pt>
                <c:pt idx="34">
                  <c:v>0.15418502202643181</c:v>
                </c:pt>
                <c:pt idx="35">
                  <c:v>7.9021259526674603E-2</c:v>
                </c:pt>
                <c:pt idx="36">
                  <c:v>1.0286174929463927</c:v>
                </c:pt>
                <c:pt idx="37">
                  <c:v>1.2230703986429177</c:v>
                </c:pt>
                <c:pt idx="38">
                  <c:v>1.22264631043257</c:v>
                </c:pt>
                <c:pt idx="39">
                  <c:v>1.1156133828996282</c:v>
                </c:pt>
                <c:pt idx="40">
                  <c:v>-0.17544208225710312</c:v>
                </c:pt>
                <c:pt idx="41">
                  <c:v>-0.68561617703166733</c:v>
                </c:pt>
                <c:pt idx="42">
                  <c:v>-0.22533867582522416</c:v>
                </c:pt>
                <c:pt idx="43">
                  <c:v>-0.29678439641539267</c:v>
                </c:pt>
                <c:pt idx="44">
                  <c:v>-0.15855421686746984</c:v>
                </c:pt>
                <c:pt idx="45">
                  <c:v>1.5970873786407767</c:v>
                </c:pt>
                <c:pt idx="46">
                  <c:v>0.18965517241379315</c:v>
                </c:pt>
                <c:pt idx="47">
                  <c:v>0.45227386306846573</c:v>
                </c:pt>
                <c:pt idx="48">
                  <c:v>0.48482245131729673</c:v>
                </c:pt>
                <c:pt idx="49">
                  <c:v>0.266588785046729</c:v>
                </c:pt>
                <c:pt idx="50">
                  <c:v>0.12525879917184257</c:v>
                </c:pt>
                <c:pt idx="51">
                  <c:v>2.1163110805230589E-2</c:v>
                </c:pt>
                <c:pt idx="52">
                  <c:v>7.5602700096432107E-2</c:v>
                </c:pt>
                <c:pt idx="53">
                  <c:v>4.3718871057000452E-2</c:v>
                </c:pt>
                <c:pt idx="54">
                  <c:v>3.7166513339466523E-2</c:v>
                </c:pt>
                <c:pt idx="55">
                  <c:v>2.6790227464195349E-2</c:v>
                </c:pt>
                <c:pt idx="56">
                  <c:v>-2.4385870539716747E-2</c:v>
                </c:pt>
                <c:pt idx="57">
                  <c:v>-2.7394839165783003E-2</c:v>
                </c:pt>
                <c:pt idx="58">
                  <c:v>8.5619016472471943E-2</c:v>
                </c:pt>
                <c:pt idx="59">
                  <c:v>0.14396376919890752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D1-4EF9-8334-7884893BD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39904"/>
        <c:axId val="492958080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Charts_Support!$N$791:$O$791</c:f>
              <c:numCache>
                <c:formatCode>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D1-4EF9-8334-7884893BD99C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Charts_Support!$N$792:$O$792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D1-4EF9-8334-7884893BD99C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Charts_Support!$N$793:$O$793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D1-4EF9-8334-7884893BD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9616"/>
        <c:axId val="492961152"/>
      </c:scatterChart>
      <c:catAx>
        <c:axId val="49293990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95808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49295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2939904"/>
        <c:crosses val="autoZero"/>
        <c:crossBetween val="midCat"/>
      </c:valAx>
      <c:valAx>
        <c:axId val="492959616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492961152"/>
        <c:crosses val="autoZero"/>
        <c:crossBetween val="midCat"/>
      </c:valAx>
      <c:valAx>
        <c:axId val="49296115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492959616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977705607810702"/>
          <c:y val="3.277092026467867E-2"/>
          <c:w val="0.23714166079434629"/>
          <c:h val="0.2063311491657948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D4-4CDD-9786-00788B194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08608"/>
        <c:axId val="493114496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6D4-4CDD-9786-00788B194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16032"/>
        <c:axId val="493121920"/>
      </c:lineChart>
      <c:catAx>
        <c:axId val="49310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114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1144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108608"/>
        <c:crosses val="autoZero"/>
        <c:crossBetween val="between"/>
      </c:valAx>
      <c:catAx>
        <c:axId val="493116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3121920"/>
        <c:crosses val="autoZero"/>
        <c:auto val="1"/>
        <c:lblAlgn val="ctr"/>
        <c:lblOffset val="100"/>
        <c:noMultiLvlLbl val="0"/>
      </c:catAx>
      <c:valAx>
        <c:axId val="49312192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1160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0BB-4B9C-8DE7-816E1D905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48800"/>
        <c:axId val="497549696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0BB-4B9C-8DE7-816E1D905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1232"/>
        <c:axId val="497552768"/>
      </c:lineChart>
      <c:catAx>
        <c:axId val="49314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4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5496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148800"/>
        <c:crosses val="autoZero"/>
        <c:crossBetween val="between"/>
      </c:valAx>
      <c:catAx>
        <c:axId val="49755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552768"/>
        <c:crosses val="autoZero"/>
        <c:auto val="1"/>
        <c:lblAlgn val="ctr"/>
        <c:lblOffset val="100"/>
        <c:noMultiLvlLbl val="0"/>
      </c:catAx>
      <c:valAx>
        <c:axId val="497552768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1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6B0-4337-9A0F-FF0E7974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67616"/>
        <c:axId val="497569152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6B0-4337-9A0F-FF0E7974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83232"/>
        <c:axId val="497584768"/>
      </c:lineChart>
      <c:catAx>
        <c:axId val="49756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6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569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67616"/>
        <c:crosses val="autoZero"/>
        <c:crossBetween val="between"/>
      </c:valAx>
      <c:catAx>
        <c:axId val="49758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584768"/>
        <c:crosses val="autoZero"/>
        <c:auto val="1"/>
        <c:lblAlgn val="ctr"/>
        <c:lblOffset val="100"/>
        <c:noMultiLvlLbl val="0"/>
      </c:catAx>
      <c:valAx>
        <c:axId val="497584768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83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4DD-4E07-A22B-F8BA13D9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7808"/>
        <c:axId val="497609344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4DD-4E07-A22B-F8BA13D9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11136"/>
        <c:axId val="497612672"/>
      </c:lineChart>
      <c:catAx>
        <c:axId val="49760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09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093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07808"/>
        <c:crosses val="autoZero"/>
        <c:crossBetween val="between"/>
      </c:valAx>
      <c:catAx>
        <c:axId val="497611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612672"/>
        <c:crosses val="autoZero"/>
        <c:auto val="1"/>
        <c:lblAlgn val="ctr"/>
        <c:lblOffset val="100"/>
        <c:noMultiLvlLbl val="0"/>
      </c:catAx>
      <c:valAx>
        <c:axId val="497612672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1113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778-40E3-B5CC-C5E3D19F9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5712"/>
        <c:axId val="497637248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778-40E3-B5CC-C5E3D19F9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8784"/>
        <c:axId val="497644672"/>
      </c:lineChart>
      <c:catAx>
        <c:axId val="49763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3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372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35712"/>
        <c:crosses val="autoZero"/>
        <c:crossBetween val="between"/>
      </c:valAx>
      <c:catAx>
        <c:axId val="497638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644672"/>
        <c:crosses val="autoZero"/>
        <c:auto val="1"/>
        <c:lblAlgn val="ctr"/>
        <c:lblOffset val="100"/>
        <c:noMultiLvlLbl val="0"/>
      </c:catAx>
      <c:valAx>
        <c:axId val="497644672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3878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F8B-441C-A58D-1430F066B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59264"/>
        <c:axId val="497673344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F8B-441C-A58D-1430F066B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74880"/>
        <c:axId val="497676672"/>
      </c:lineChart>
      <c:catAx>
        <c:axId val="49765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7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733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9264"/>
        <c:crosses val="autoZero"/>
        <c:crossBetween val="between"/>
      </c:valAx>
      <c:catAx>
        <c:axId val="497674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676672"/>
        <c:crosses val="autoZero"/>
        <c:auto val="1"/>
        <c:lblAlgn val="ctr"/>
        <c:lblOffset val="100"/>
        <c:noMultiLvlLbl val="0"/>
      </c:catAx>
      <c:valAx>
        <c:axId val="497676672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748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417-4339-A890-4944AB438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87168"/>
        <c:axId val="497701248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417-4339-A890-4944AB438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02784"/>
        <c:axId val="497704320"/>
      </c:lineChart>
      <c:catAx>
        <c:axId val="49768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012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87168"/>
        <c:crosses val="autoZero"/>
        <c:crossBetween val="between"/>
      </c:valAx>
      <c:catAx>
        <c:axId val="497702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704320"/>
        <c:crosses val="autoZero"/>
        <c:auto val="1"/>
        <c:lblAlgn val="ctr"/>
        <c:lblOffset val="100"/>
        <c:noMultiLvlLbl val="0"/>
      </c:catAx>
      <c:valAx>
        <c:axId val="49770432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0278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BE5-4F6A-8248-8CDCB858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31456"/>
        <c:axId val="497732992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E5-4F6A-8248-8CDCB858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34784"/>
        <c:axId val="497736320"/>
      </c:lineChart>
      <c:catAx>
        <c:axId val="49773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29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1456"/>
        <c:crosses val="autoZero"/>
        <c:crossBetween val="between"/>
      </c:valAx>
      <c:catAx>
        <c:axId val="497734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736320"/>
        <c:crosses val="autoZero"/>
        <c:auto val="1"/>
        <c:lblAlgn val="ctr"/>
        <c:lblOffset val="100"/>
        <c:noMultiLvlLbl val="0"/>
      </c:catAx>
      <c:valAx>
        <c:axId val="49773632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478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610-494F-8262-8BE0FEC3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7072"/>
        <c:axId val="497748608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610-494F-8262-8BE0FEC3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74976"/>
        <c:axId val="497776512"/>
      </c:lineChart>
      <c:catAx>
        <c:axId val="49774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48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4860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47072"/>
        <c:crosses val="autoZero"/>
        <c:crossBetween val="between"/>
      </c:valAx>
      <c:catAx>
        <c:axId val="497774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776512"/>
        <c:crosses val="autoZero"/>
        <c:auto val="1"/>
        <c:lblAlgn val="ctr"/>
        <c:lblOffset val="100"/>
        <c:noMultiLvlLbl val="0"/>
      </c:catAx>
      <c:valAx>
        <c:axId val="497776512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749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DB-4960-AACA-E3D9B7E63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5456"/>
        <c:axId val="497796992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6DB-4960-AACA-E3D9B7E63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8528"/>
        <c:axId val="497808512"/>
      </c:lineChart>
      <c:catAx>
        <c:axId val="49779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9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969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95456"/>
        <c:crosses val="autoZero"/>
        <c:crossBetween val="between"/>
      </c:valAx>
      <c:catAx>
        <c:axId val="49779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808512"/>
        <c:crosses val="autoZero"/>
        <c:auto val="1"/>
        <c:lblAlgn val="ctr"/>
        <c:lblOffset val="100"/>
        <c:noMultiLvlLbl val="0"/>
      </c:catAx>
      <c:valAx>
        <c:axId val="497808512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9852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785-428D-8941-729238C0F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2224"/>
        <c:axId val="498218112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785-428D-8941-729238C0F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9648"/>
        <c:axId val="498233728"/>
      </c:lineChart>
      <c:catAx>
        <c:axId val="4982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1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218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12224"/>
        <c:crosses val="autoZero"/>
        <c:crossBetween val="between"/>
      </c:valAx>
      <c:catAx>
        <c:axId val="498219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8233728"/>
        <c:crosses val="autoZero"/>
        <c:auto val="1"/>
        <c:lblAlgn val="ctr"/>
        <c:lblOffset val="100"/>
        <c:noMultiLvlLbl val="0"/>
      </c:catAx>
      <c:valAx>
        <c:axId val="498233728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1964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rgbClr val="2270AB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6E2-473E-9E44-172EDDB10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56512"/>
        <c:axId val="498258304"/>
      </c:lineChart>
      <c:lineChart>
        <c:grouping val="standard"/>
        <c:varyColors val="0"/>
        <c:ser>
          <c:idx val="1"/>
          <c:order val="1"/>
          <c:tx>
            <c:v/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6E2-473E-9E44-172EDDB10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59840"/>
        <c:axId val="498261376"/>
      </c:lineChart>
      <c:catAx>
        <c:axId val="49825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5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25830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56512"/>
        <c:crosses val="autoZero"/>
        <c:crossBetween val="between"/>
      </c:valAx>
      <c:catAx>
        <c:axId val="49825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8261376"/>
        <c:crosses val="autoZero"/>
        <c:auto val="1"/>
        <c:lblAlgn val="ctr"/>
        <c:lblOffset val="100"/>
        <c:noMultiLvlLbl val="0"/>
      </c:catAx>
      <c:valAx>
        <c:axId val="498261376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2598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52380952380953"/>
          <c:y val="0"/>
          <c:w val="0.16791979949874686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Charts_Support!$B$363:$AE$363</c:f>
              <c:numCache>
                <c:formatCode>#,##0_);\(#,##0\)</c:formatCode>
                <c:ptCount val="30"/>
                <c:pt idx="0">
                  <c:v>43.146000000000015</c:v>
                </c:pt>
                <c:pt idx="1">
                  <c:v>-140.97900000000001</c:v>
                </c:pt>
                <c:pt idx="2">
                  <c:v>-160.66800000000001</c:v>
                </c:pt>
                <c:pt idx="3">
                  <c:v>-48.488</c:v>
                </c:pt>
                <c:pt idx="4">
                  <c:v>604.29999999999995</c:v>
                </c:pt>
                <c:pt idx="5">
                  <c:v>253.01400000000001</c:v>
                </c:pt>
                <c:pt idx="6">
                  <c:v>824.12300000000005</c:v>
                </c:pt>
                <c:pt idx="7">
                  <c:v>1128.3149999999998</c:v>
                </c:pt>
                <c:pt idx="8">
                  <c:v>864.92000000000007</c:v>
                </c:pt>
                <c:pt idx="9">
                  <c:v>1015.8440000000001</c:v>
                </c:pt>
                <c:pt idx="10">
                  <c:v>3317.152</c:v>
                </c:pt>
                <c:pt idx="11">
                  <c:v>1541.886</c:v>
                </c:pt>
                <c:pt idx="12">
                  <c:v>4380.3469999999998</c:v>
                </c:pt>
                <c:pt idx="13">
                  <c:v>10126.329</c:v>
                </c:pt>
                <c:pt idx="14">
                  <c:v>11037.527</c:v>
                </c:pt>
                <c:pt idx="15">
                  <c:v>12292.046999999999</c:v>
                </c:pt>
                <c:pt idx="16">
                  <c:v>16501.033000000003</c:v>
                </c:pt>
                <c:pt idx="17">
                  <c:v>26128.074999999997</c:v>
                </c:pt>
                <c:pt idx="18">
                  <c:v>25061.356</c:v>
                </c:pt>
                <c:pt idx="19">
                  <c:v>34436.148999999998</c:v>
                </c:pt>
                <c:pt idx="20">
                  <c:v>30555.119999999999</c:v>
                </c:pt>
                <c:pt idx="21">
                  <c:v>26550.129000000001</c:v>
                </c:pt>
                <c:pt idx="22">
                  <c:v>25006.322000000004</c:v>
                </c:pt>
                <c:pt idx="23">
                  <c:v>29497.70370733054</c:v>
                </c:pt>
                <c:pt idx="24">
                  <c:v>27338.374848425388</c:v>
                </c:pt>
                <c:pt idx="25">
                  <c:v>24278.474048946475</c:v>
                </c:pt>
                <c:pt idx="26">
                  <c:v>20268.998751703428</c:v>
                </c:pt>
                <c:pt idx="27">
                  <c:v>17105.884142725161</c:v>
                </c:pt>
                <c:pt idx="28">
                  <c:v>13877.689654644328</c:v>
                </c:pt>
                <c:pt idx="29">
                  <c:v>10190.956136367153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E-4B93-8713-332CB51A8F4E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Charts_Support!$B$362:$AE$362</c:f>
              <c:numCache>
                <c:formatCode>#,##0_);\(#,##0\)</c:formatCode>
                <c:ptCount val="30"/>
                <c:pt idx="0">
                  <c:v>43.146000000000015</c:v>
                </c:pt>
                <c:pt idx="1">
                  <c:v>-140.97900000000001</c:v>
                </c:pt>
                <c:pt idx="2">
                  <c:v>-160.66800000000001</c:v>
                </c:pt>
                <c:pt idx="3">
                  <c:v>-48.488</c:v>
                </c:pt>
                <c:pt idx="4">
                  <c:v>604.29999999999995</c:v>
                </c:pt>
                <c:pt idx="5">
                  <c:v>253.01400000000001</c:v>
                </c:pt>
                <c:pt idx="6">
                  <c:v>824.12300000000005</c:v>
                </c:pt>
                <c:pt idx="7">
                  <c:v>1128.3149999999998</c:v>
                </c:pt>
                <c:pt idx="8">
                  <c:v>864.92000000000007</c:v>
                </c:pt>
                <c:pt idx="9">
                  <c:v>1015.8440000000001</c:v>
                </c:pt>
                <c:pt idx="10">
                  <c:v>3317.152</c:v>
                </c:pt>
                <c:pt idx="11">
                  <c:v>1541.886</c:v>
                </c:pt>
                <c:pt idx="12">
                  <c:v>4380.3469999999998</c:v>
                </c:pt>
                <c:pt idx="13">
                  <c:v>10126.329</c:v>
                </c:pt>
                <c:pt idx="14">
                  <c:v>11037.527</c:v>
                </c:pt>
                <c:pt idx="15">
                  <c:v>12292.046999999999</c:v>
                </c:pt>
                <c:pt idx="16">
                  <c:v>16501.033000000003</c:v>
                </c:pt>
                <c:pt idx="17">
                  <c:v>26128.074999999997</c:v>
                </c:pt>
                <c:pt idx="18">
                  <c:v>25061.356</c:v>
                </c:pt>
                <c:pt idx="19">
                  <c:v>34436.148999999998</c:v>
                </c:pt>
                <c:pt idx="20">
                  <c:v>30555.119999999999</c:v>
                </c:pt>
                <c:pt idx="21">
                  <c:v>26550.129000000001</c:v>
                </c:pt>
                <c:pt idx="22">
                  <c:v>25006.322000000004</c:v>
                </c:pt>
                <c:pt idx="23">
                  <c:v>29555.983540052861</c:v>
                </c:pt>
                <c:pt idx="24">
                  <c:v>28254.747659412751</c:v>
                </c:pt>
                <c:pt idx="25">
                  <c:v>26263.152295934149</c:v>
                </c:pt>
                <c:pt idx="26">
                  <c:v>23653.67866129391</c:v>
                </c:pt>
                <c:pt idx="27">
                  <c:v>20598.154699311617</c:v>
                </c:pt>
                <c:pt idx="28">
                  <c:v>17422.555543185579</c:v>
                </c:pt>
                <c:pt idx="29">
                  <c:v>13780.842089412807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E-4B93-8713-332CB51A8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14624"/>
        <c:axId val="498316416"/>
      </c:areaChart>
      <c:lineChart>
        <c:grouping val="standard"/>
        <c:varyColors val="0"/>
        <c:ser>
          <c:idx val="0"/>
          <c:order val="0"/>
          <c:tx>
            <c:strRef>
              <c:f>Charts_Support!$A$361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Charts_Support!$B$361:$AE$361</c:f>
              <c:numCache>
                <c:formatCode>#,##0_);\(#,##0\)</c:formatCode>
                <c:ptCount val="30"/>
                <c:pt idx="0">
                  <c:v>43.146000000000015</c:v>
                </c:pt>
                <c:pt idx="1">
                  <c:v>-140.97900000000001</c:v>
                </c:pt>
                <c:pt idx="2">
                  <c:v>-160.66800000000001</c:v>
                </c:pt>
                <c:pt idx="3">
                  <c:v>-48.488</c:v>
                </c:pt>
                <c:pt idx="4">
                  <c:v>604.29999999999995</c:v>
                </c:pt>
                <c:pt idx="5">
                  <c:v>253.01400000000001</c:v>
                </c:pt>
                <c:pt idx="6">
                  <c:v>824.12300000000005</c:v>
                </c:pt>
                <c:pt idx="7">
                  <c:v>1128.3149999999998</c:v>
                </c:pt>
                <c:pt idx="8">
                  <c:v>864.92000000000007</c:v>
                </c:pt>
                <c:pt idx="9">
                  <c:v>1015.8440000000001</c:v>
                </c:pt>
                <c:pt idx="10">
                  <c:v>3317.152</c:v>
                </c:pt>
                <c:pt idx="11">
                  <c:v>1541.886</c:v>
                </c:pt>
                <c:pt idx="12">
                  <c:v>4380.3469999999998</c:v>
                </c:pt>
                <c:pt idx="13">
                  <c:v>10126.329</c:v>
                </c:pt>
                <c:pt idx="14">
                  <c:v>11037.527</c:v>
                </c:pt>
                <c:pt idx="15">
                  <c:v>12292.046999999999</c:v>
                </c:pt>
                <c:pt idx="16">
                  <c:v>16501.033000000003</c:v>
                </c:pt>
                <c:pt idx="17">
                  <c:v>26128.074999999997</c:v>
                </c:pt>
                <c:pt idx="18">
                  <c:v>25061.356</c:v>
                </c:pt>
                <c:pt idx="19">
                  <c:v>34436.148999999998</c:v>
                </c:pt>
                <c:pt idx="20">
                  <c:v>30555.119999999999</c:v>
                </c:pt>
                <c:pt idx="21">
                  <c:v>26550.129000000001</c:v>
                </c:pt>
                <c:pt idx="22">
                  <c:v>25006.322000000004</c:v>
                </c:pt>
                <c:pt idx="23">
                  <c:v>29805.004794502551</c:v>
                </c:pt>
                <c:pt idx="24">
                  <c:v>28866.392520840924</c:v>
                </c:pt>
                <c:pt idx="25">
                  <c:v>27217.442025136697</c:v>
                </c:pt>
                <c:pt idx="26">
                  <c:v>24959.023577735155</c:v>
                </c:pt>
                <c:pt idx="27">
                  <c:v>23019.44601103332</c:v>
                </c:pt>
                <c:pt idx="28">
                  <c:v>20885.701553602106</c:v>
                </c:pt>
                <c:pt idx="29">
                  <c:v>18304.581030766731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E-4B93-8713-332CB51A8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14624"/>
        <c:axId val="498316416"/>
      </c:lineChart>
      <c:catAx>
        <c:axId val="49831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1641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9831641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3228552717747216"/>
              <c:y val="5.480180362070125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1462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256612154249942E-2"/>
          <c:y val="0.12030373561795342"/>
          <c:w val="0.87243670502725623"/>
          <c:h val="0.72273758233051055"/>
        </c:manualLayout>
      </c:layout>
      <c:lineChart>
        <c:grouping val="standard"/>
        <c:varyColors val="0"/>
        <c:ser>
          <c:idx val="5"/>
          <c:order val="0"/>
          <c:tx>
            <c:v>Bear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Charts_Support!$B$378:$AE$378</c:f>
              <c:numCache>
                <c:formatCode>#,##0.0\x</c:formatCode>
                <c:ptCount val="30"/>
                <c:pt idx="0">
                  <c:v>0.13052159024219073</c:v>
                </c:pt>
                <c:pt idx="1">
                  <c:v>-0.36722557521040472</c:v>
                </c:pt>
                <c:pt idx="2">
                  <c:v>-0.38695693012434695</c:v>
                </c:pt>
                <c:pt idx="3">
                  <c:v>-8.8894918535602524E-2</c:v>
                </c:pt>
                <c:pt idx="4">
                  <c:v>0.86260179429166828</c:v>
                </c:pt>
                <c:pt idx="5">
                  <c:v>0.25114572693731313</c:v>
                </c:pt>
                <c:pt idx="6">
                  <c:v>0.63951140550456442</c:v>
                </c:pt>
                <c:pt idx="7">
                  <c:v>1.0932575113824974</c:v>
                </c:pt>
                <c:pt idx="8">
                  <c:v>0.8647159270412188</c:v>
                </c:pt>
                <c:pt idx="9">
                  <c:v>1.0172365969011579</c:v>
                </c:pt>
                <c:pt idx="10">
                  <c:v>2.9754325032941731</c:v>
                </c:pt>
                <c:pt idx="11">
                  <c:v>0.95884556905349005</c:v>
                </c:pt>
                <c:pt idx="12">
                  <c:v>1.8748226977674256</c:v>
                </c:pt>
                <c:pt idx="13">
                  <c:v>2.0301381315156375</c:v>
                </c:pt>
                <c:pt idx="14">
                  <c:v>1.6284341988787252</c:v>
                </c:pt>
                <c:pt idx="15">
                  <c:v>1.5477268949886678</c:v>
                </c:pt>
                <c:pt idx="16">
                  <c:v>1.8548823066546767</c:v>
                </c:pt>
                <c:pt idx="17">
                  <c:v>2.8323116531165309</c:v>
                </c:pt>
                <c:pt idx="18">
                  <c:v>2.2348275370073121</c:v>
                </c:pt>
                <c:pt idx="19">
                  <c:v>7.9145366582394843</c:v>
                </c:pt>
                <c:pt idx="20">
                  <c:v>2.8741529489229611</c:v>
                </c:pt>
                <c:pt idx="21">
                  <c:v>2.0808941923348225</c:v>
                </c:pt>
                <c:pt idx="22">
                  <c:v>1.6945396760859255</c:v>
                </c:pt>
                <c:pt idx="23">
                  <c:v>1.934134441762545</c:v>
                </c:pt>
                <c:pt idx="24">
                  <c:v>1.6707465159308739</c:v>
                </c:pt>
                <c:pt idx="25">
                  <c:v>1.3887318344997344</c:v>
                </c:pt>
                <c:pt idx="26">
                  <c:v>1.0930030812321858</c:v>
                </c:pt>
                <c:pt idx="27">
                  <c:v>0.90053592906156643</c:v>
                </c:pt>
                <c:pt idx="28">
                  <c:v>0.69471155749983526</c:v>
                </c:pt>
                <c:pt idx="29">
                  <c:v>0.48569766319807156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7-4273-9DD7-BA5426E7F5E9}"/>
            </c:ext>
          </c:extLst>
        </c:ser>
        <c:ser>
          <c:idx val="2"/>
          <c:order val="1"/>
          <c:tx>
            <c:strRef>
              <c:f>Charts_Support!$A$377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Charts_Support!$B$377:$AE$377</c:f>
              <c:numCache>
                <c:formatCode>#,##0.0\x</c:formatCode>
                <c:ptCount val="30"/>
                <c:pt idx="0">
                  <c:v>0.13052159024219073</c:v>
                </c:pt>
                <c:pt idx="1">
                  <c:v>-0.36722557521040472</c:v>
                </c:pt>
                <c:pt idx="2">
                  <c:v>-0.38695693012434695</c:v>
                </c:pt>
                <c:pt idx="3">
                  <c:v>-8.8894918535602524E-2</c:v>
                </c:pt>
                <c:pt idx="4">
                  <c:v>0.86260179429166828</c:v>
                </c:pt>
                <c:pt idx="5">
                  <c:v>0.25114572693731313</c:v>
                </c:pt>
                <c:pt idx="6">
                  <c:v>0.63951140550456442</c:v>
                </c:pt>
                <c:pt idx="7">
                  <c:v>1.0932575113824974</c:v>
                </c:pt>
                <c:pt idx="8">
                  <c:v>0.8647159270412188</c:v>
                </c:pt>
                <c:pt idx="9">
                  <c:v>1.0172365969011579</c:v>
                </c:pt>
                <c:pt idx="10">
                  <c:v>2.9754325032941731</c:v>
                </c:pt>
                <c:pt idx="11">
                  <c:v>0.95884556905349005</c:v>
                </c:pt>
                <c:pt idx="12">
                  <c:v>1.8748226977674256</c:v>
                </c:pt>
                <c:pt idx="13">
                  <c:v>2.0301381315156375</c:v>
                </c:pt>
                <c:pt idx="14">
                  <c:v>1.6284341988787252</c:v>
                </c:pt>
                <c:pt idx="15">
                  <c:v>1.5477268949886678</c:v>
                </c:pt>
                <c:pt idx="16">
                  <c:v>1.8548823066546767</c:v>
                </c:pt>
                <c:pt idx="17">
                  <c:v>2.8323116531165309</c:v>
                </c:pt>
                <c:pt idx="18">
                  <c:v>2.2348275370073121</c:v>
                </c:pt>
                <c:pt idx="19">
                  <c:v>7.9145366582394843</c:v>
                </c:pt>
                <c:pt idx="20">
                  <c:v>2.8741529489229611</c:v>
                </c:pt>
                <c:pt idx="21">
                  <c:v>2.0808941923348225</c:v>
                </c:pt>
                <c:pt idx="22">
                  <c:v>1.6945396760859255</c:v>
                </c:pt>
                <c:pt idx="23">
                  <c:v>1.867166221542558</c:v>
                </c:pt>
                <c:pt idx="24">
                  <c:v>1.597398749820591</c:v>
                </c:pt>
                <c:pt idx="25">
                  <c:v>1.3624071257489578</c:v>
                </c:pt>
                <c:pt idx="26">
                  <c:v>1.1368835936374162</c:v>
                </c:pt>
                <c:pt idx="27">
                  <c:v>0.93441140757612118</c:v>
                </c:pt>
                <c:pt idx="28">
                  <c:v>0.74205025953964254</c:v>
                </c:pt>
                <c:pt idx="29">
                  <c:v>0.55186222500106419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7-4273-9DD7-BA5426E7F5E9}"/>
            </c:ext>
          </c:extLst>
        </c:ser>
        <c:ser>
          <c:idx val="0"/>
          <c:order val="2"/>
          <c:tx>
            <c:strRef>
              <c:f>Charts_Support!$A$376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Charts_Support!$B$376:$AE$376</c:f>
              <c:numCache>
                <c:formatCode>#,##0.0\x</c:formatCode>
                <c:ptCount val="30"/>
                <c:pt idx="0">
                  <c:v>0.13052159024219073</c:v>
                </c:pt>
                <c:pt idx="1">
                  <c:v>-0.36722557521040472</c:v>
                </c:pt>
                <c:pt idx="2">
                  <c:v>-0.38695693012434695</c:v>
                </c:pt>
                <c:pt idx="3">
                  <c:v>-8.8894918535602524E-2</c:v>
                </c:pt>
                <c:pt idx="4">
                  <c:v>0.86260179429166828</c:v>
                </c:pt>
                <c:pt idx="5">
                  <c:v>0.25114572693731313</c:v>
                </c:pt>
                <c:pt idx="6">
                  <c:v>0.63951140550456442</c:v>
                </c:pt>
                <c:pt idx="7">
                  <c:v>1.0932575113824974</c:v>
                </c:pt>
                <c:pt idx="8">
                  <c:v>0.8647159270412188</c:v>
                </c:pt>
                <c:pt idx="9">
                  <c:v>1.0172365969011579</c:v>
                </c:pt>
                <c:pt idx="10">
                  <c:v>2.9754325032941731</c:v>
                </c:pt>
                <c:pt idx="11">
                  <c:v>0.95884556905349005</c:v>
                </c:pt>
                <c:pt idx="12">
                  <c:v>1.8748226977674256</c:v>
                </c:pt>
                <c:pt idx="13">
                  <c:v>2.0301381315156375</c:v>
                </c:pt>
                <c:pt idx="14">
                  <c:v>1.6284341988787252</c:v>
                </c:pt>
                <c:pt idx="15">
                  <c:v>1.5477268949886678</c:v>
                </c:pt>
                <c:pt idx="16">
                  <c:v>1.8548823066546767</c:v>
                </c:pt>
                <c:pt idx="17">
                  <c:v>2.8323116531165309</c:v>
                </c:pt>
                <c:pt idx="18">
                  <c:v>2.2348275370073121</c:v>
                </c:pt>
                <c:pt idx="19">
                  <c:v>7.9145366582394843</c:v>
                </c:pt>
                <c:pt idx="20">
                  <c:v>2.8741529489229611</c:v>
                </c:pt>
                <c:pt idx="21">
                  <c:v>2.0808941923348225</c:v>
                </c:pt>
                <c:pt idx="22">
                  <c:v>1.6945396760859255</c:v>
                </c:pt>
                <c:pt idx="23">
                  <c:v>1.9051215634544245</c:v>
                </c:pt>
                <c:pt idx="24">
                  <c:v>1.6706784127048888</c:v>
                </c:pt>
                <c:pt idx="25">
                  <c:v>1.4531558953833097</c:v>
                </c:pt>
                <c:pt idx="26">
                  <c:v>1.2406659525602726</c:v>
                </c:pt>
                <c:pt idx="27">
                  <c:v>1.0776337746598841</c:v>
                </c:pt>
                <c:pt idx="28">
                  <c:v>0.92123235156301964</c:v>
                </c:pt>
                <c:pt idx="29">
                  <c:v>0.7617751776519085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7-4273-9DD7-BA5426E7F5E9}"/>
            </c:ext>
          </c:extLst>
        </c:ser>
        <c:ser>
          <c:idx val="1"/>
          <c:order val="3"/>
          <c:tx>
            <c:v>Zero Line</c:v>
          </c:tx>
          <c:spPr>
            <a:ln w="952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7-4273-9DD7-BA5426E7F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355200"/>
        <c:axId val="498356992"/>
      </c:lineChart>
      <c:catAx>
        <c:axId val="49835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56992"/>
        <c:crossesAt val="-1.6"/>
        <c:auto val="1"/>
        <c:lblAlgn val="ctr"/>
        <c:lblOffset val="100"/>
        <c:tickLblSkip val="1"/>
        <c:tickMarkSkip val="1"/>
        <c:noMultiLvlLbl val="0"/>
      </c:catAx>
      <c:valAx>
        <c:axId val="498356992"/>
        <c:scaling>
          <c:orientation val="minMax"/>
          <c:max val="5"/>
          <c:min val="-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.0&quot;x&quot;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5520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3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Charts_Support!$B$318:$AE$318</c:f>
              <c:numCache>
                <c:formatCode>#,##0_);\(#,##0\)</c:formatCode>
                <c:ptCount val="30"/>
                <c:pt idx="0">
                  <c:v>79.549000000000007</c:v>
                </c:pt>
                <c:pt idx="1">
                  <c:v>134.40600000000001</c:v>
                </c:pt>
                <c:pt idx="2">
                  <c:v>-127.19</c:v>
                </c:pt>
                <c:pt idx="3">
                  <c:v>69.669000000000011</c:v>
                </c:pt>
                <c:pt idx="4">
                  <c:v>-99.646000000000001</c:v>
                </c:pt>
                <c:pt idx="5">
                  <c:v>279.66800000000001</c:v>
                </c:pt>
                <c:pt idx="6">
                  <c:v>-212.05200000000005</c:v>
                </c:pt>
                <c:pt idx="7">
                  <c:v>-40.324999999999989</c:v>
                </c:pt>
                <c:pt idx="8">
                  <c:v>302.99300000000005</c:v>
                </c:pt>
                <c:pt idx="9">
                  <c:v>-77.469000000000008</c:v>
                </c:pt>
                <c:pt idx="10">
                  <c:v>22.838999999999942</c:v>
                </c:pt>
                <c:pt idx="11">
                  <c:v>-349.32</c:v>
                </c:pt>
                <c:pt idx="12">
                  <c:v>-290.34099999999995</c:v>
                </c:pt>
                <c:pt idx="13">
                  <c:v>71.646000000000043</c:v>
                </c:pt>
                <c:pt idx="14">
                  <c:v>-128.899</c:v>
                </c:pt>
                <c:pt idx="15">
                  <c:v>1044.1950000000002</c:v>
                </c:pt>
                <c:pt idx="16">
                  <c:v>-371.01099999999997</c:v>
                </c:pt>
                <c:pt idx="17">
                  <c:v>843.87400000000002</c:v>
                </c:pt>
                <c:pt idx="18">
                  <c:v>347.36900000000003</c:v>
                </c:pt>
                <c:pt idx="19">
                  <c:v>-1772.485999999999</c:v>
                </c:pt>
                <c:pt idx="20">
                  <c:v>2483.4550000000013</c:v>
                </c:pt>
                <c:pt idx="21">
                  <c:v>1631.2390000000016</c:v>
                </c:pt>
                <c:pt idx="22">
                  <c:v>443.18800000000329</c:v>
                </c:pt>
                <c:pt idx="23">
                  <c:v>-734.24809137255431</c:v>
                </c:pt>
                <c:pt idx="24">
                  <c:v>674.6335650040005</c:v>
                </c:pt>
                <c:pt idx="25">
                  <c:v>621.66246352631197</c:v>
                </c:pt>
                <c:pt idx="26">
                  <c:v>617.57000948664336</c:v>
                </c:pt>
                <c:pt idx="27">
                  <c:v>666.65249986869867</c:v>
                </c:pt>
                <c:pt idx="28">
                  <c:v>577.68070546453646</c:v>
                </c:pt>
                <c:pt idx="29">
                  <c:v>593.71810385417302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0-40FE-824C-ACA6EBB7729D}"/>
            </c:ext>
          </c:extLst>
        </c:ser>
        <c:ser>
          <c:idx val="2"/>
          <c:order val="2"/>
          <c:tx>
            <c:strRef>
              <c:f>Charts_Support!$A$319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Charts_Support!$B$319:$AE$319</c:f>
              <c:numCache>
                <c:formatCode>#,##0_);\(#,##0\)</c:formatCode>
                <c:ptCount val="30"/>
                <c:pt idx="0">
                  <c:v>79.549000000000007</c:v>
                </c:pt>
                <c:pt idx="1">
                  <c:v>134.40600000000001</c:v>
                </c:pt>
                <c:pt idx="2">
                  <c:v>-127.19</c:v>
                </c:pt>
                <c:pt idx="3">
                  <c:v>69.669000000000011</c:v>
                </c:pt>
                <c:pt idx="4">
                  <c:v>-99.646000000000001</c:v>
                </c:pt>
                <c:pt idx="5">
                  <c:v>279.66800000000001</c:v>
                </c:pt>
                <c:pt idx="6">
                  <c:v>-212.05200000000005</c:v>
                </c:pt>
                <c:pt idx="7">
                  <c:v>-40.324999999999989</c:v>
                </c:pt>
                <c:pt idx="8">
                  <c:v>302.99300000000005</c:v>
                </c:pt>
                <c:pt idx="9">
                  <c:v>-77.469000000000008</c:v>
                </c:pt>
                <c:pt idx="10">
                  <c:v>22.838999999999942</c:v>
                </c:pt>
                <c:pt idx="11">
                  <c:v>-349.32</c:v>
                </c:pt>
                <c:pt idx="12">
                  <c:v>-290.34099999999995</c:v>
                </c:pt>
                <c:pt idx="13">
                  <c:v>71.646000000000043</c:v>
                </c:pt>
                <c:pt idx="14">
                  <c:v>-128.899</c:v>
                </c:pt>
                <c:pt idx="15">
                  <c:v>1044.1950000000002</c:v>
                </c:pt>
                <c:pt idx="16">
                  <c:v>-371.01099999999997</c:v>
                </c:pt>
                <c:pt idx="17">
                  <c:v>843.87400000000002</c:v>
                </c:pt>
                <c:pt idx="18">
                  <c:v>347.36900000000003</c:v>
                </c:pt>
                <c:pt idx="19">
                  <c:v>-1772.485999999999</c:v>
                </c:pt>
                <c:pt idx="20">
                  <c:v>2483.4550000000013</c:v>
                </c:pt>
                <c:pt idx="21">
                  <c:v>1631.2390000000016</c:v>
                </c:pt>
                <c:pt idx="22">
                  <c:v>443.18800000000329</c:v>
                </c:pt>
                <c:pt idx="23">
                  <c:v>-798.33017098079961</c:v>
                </c:pt>
                <c:pt idx="24">
                  <c:v>535.67677535936718</c:v>
                </c:pt>
                <c:pt idx="25">
                  <c:v>465.76018732989814</c:v>
                </c:pt>
                <c:pt idx="26">
                  <c:v>459.60016367353319</c:v>
                </c:pt>
                <c:pt idx="27">
                  <c:v>596.36927271044487</c:v>
                </c:pt>
                <c:pt idx="28">
                  <c:v>436.8450266316845</c:v>
                </c:pt>
                <c:pt idx="29">
                  <c:v>441.27292843636133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0-40FE-824C-ACA6EBB77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93088"/>
        <c:axId val="498394624"/>
      </c:areaChart>
      <c:lineChart>
        <c:grouping val="standard"/>
        <c:varyColors val="0"/>
        <c:ser>
          <c:idx val="0"/>
          <c:order val="0"/>
          <c:tx>
            <c:strRef>
              <c:f>Charts_Support!$A$317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Charts_Support!$B$262:$AE$262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Charts_Support!$B$317:$AE$317</c:f>
              <c:numCache>
                <c:formatCode>#,##0_);\(#,##0\)</c:formatCode>
                <c:ptCount val="30"/>
                <c:pt idx="0">
                  <c:v>79.549000000000007</c:v>
                </c:pt>
                <c:pt idx="1">
                  <c:v>134.40600000000001</c:v>
                </c:pt>
                <c:pt idx="2">
                  <c:v>-127.19</c:v>
                </c:pt>
                <c:pt idx="3">
                  <c:v>69.669000000000011</c:v>
                </c:pt>
                <c:pt idx="4">
                  <c:v>-99.646000000000001</c:v>
                </c:pt>
                <c:pt idx="5">
                  <c:v>279.66800000000001</c:v>
                </c:pt>
                <c:pt idx="6">
                  <c:v>-212.05200000000005</c:v>
                </c:pt>
                <c:pt idx="7">
                  <c:v>-40.324999999999989</c:v>
                </c:pt>
                <c:pt idx="8">
                  <c:v>302.99300000000005</c:v>
                </c:pt>
                <c:pt idx="9">
                  <c:v>-77.469000000000008</c:v>
                </c:pt>
                <c:pt idx="10">
                  <c:v>22.838999999999942</c:v>
                </c:pt>
                <c:pt idx="11">
                  <c:v>-349.32</c:v>
                </c:pt>
                <c:pt idx="12">
                  <c:v>-290.34099999999995</c:v>
                </c:pt>
                <c:pt idx="13">
                  <c:v>71.646000000000043</c:v>
                </c:pt>
                <c:pt idx="14">
                  <c:v>-128.899</c:v>
                </c:pt>
                <c:pt idx="15">
                  <c:v>1044.1950000000002</c:v>
                </c:pt>
                <c:pt idx="16">
                  <c:v>-371.01099999999997</c:v>
                </c:pt>
                <c:pt idx="17">
                  <c:v>843.87400000000002</c:v>
                </c:pt>
                <c:pt idx="18">
                  <c:v>347.36900000000003</c:v>
                </c:pt>
                <c:pt idx="19">
                  <c:v>-1772.485999999999</c:v>
                </c:pt>
                <c:pt idx="20">
                  <c:v>2483.4550000000013</c:v>
                </c:pt>
                <c:pt idx="21">
                  <c:v>1631.2390000000016</c:v>
                </c:pt>
                <c:pt idx="22">
                  <c:v>443.18800000000329</c:v>
                </c:pt>
                <c:pt idx="23">
                  <c:v>-773.58491165174962</c:v>
                </c:pt>
                <c:pt idx="24">
                  <c:v>634.66077947221629</c:v>
                </c:pt>
                <c:pt idx="25">
                  <c:v>574.55869989775329</c:v>
                </c:pt>
                <c:pt idx="26">
                  <c:v>568.13509567178198</c:v>
                </c:pt>
                <c:pt idx="27">
                  <c:v>497.36481170680008</c:v>
                </c:pt>
                <c:pt idx="28">
                  <c:v>524.39497044962081</c:v>
                </c:pt>
                <c:pt idx="29">
                  <c:v>536.46152748542272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E0-40FE-824C-ACA6EBB77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3088"/>
        <c:axId val="498394624"/>
      </c:lineChart>
      <c:catAx>
        <c:axId val="49839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9462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9839462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3228552717747216"/>
              <c:y val="5.480180362070125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98393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691750073501353"/>
          <c:y val="7.1410528505083809E-2"/>
          <c:w val="0.28560700050018306"/>
          <c:h val="0.13956642653710841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Charts_Support!$K$97:$AE$97</c:f>
              <c:numCache>
                <c:formatCode>0.0%</c:formatCode>
                <c:ptCount val="21"/>
                <c:pt idx="0">
                  <c:v>3.7999999999999999E-2</c:v>
                </c:pt>
                <c:pt idx="1">
                  <c:v>0.122</c:v>
                </c:pt>
                <c:pt idx="2">
                  <c:v>0.105</c:v>
                </c:pt>
                <c:pt idx="3">
                  <c:v>0.08</c:v>
                </c:pt>
                <c:pt idx="4">
                  <c:v>4.4999999999999998E-2</c:v>
                </c:pt>
                <c:pt idx="5">
                  <c:v>0.104</c:v>
                </c:pt>
                <c:pt idx="6">
                  <c:v>8.8999999999999996E-2</c:v>
                </c:pt>
                <c:pt idx="7">
                  <c:v>6.6000000000000003E-2</c:v>
                </c:pt>
                <c:pt idx="8">
                  <c:v>4.9000000000000002E-2</c:v>
                </c:pt>
                <c:pt idx="9">
                  <c:v>5.0999999999999997E-2</c:v>
                </c:pt>
                <c:pt idx="10">
                  <c:v>-0.23</c:v>
                </c:pt>
                <c:pt idx="11">
                  <c:v>0.307</c:v>
                </c:pt>
                <c:pt idx="12">
                  <c:v>0.35870779740410264</c:v>
                </c:pt>
                <c:pt idx="13">
                  <c:v>0.18932600635373661</c:v>
                </c:pt>
                <c:pt idx="14">
                  <c:v>9.4324838023244179E-2</c:v>
                </c:pt>
                <c:pt idx="15">
                  <c:v>5.3256384283964037E-2</c:v>
                </c:pt>
                <c:pt idx="16">
                  <c:v>4.5537668816271394E-2</c:v>
                </c:pt>
                <c:pt idx="17">
                  <c:v>4.1543319079351881E-2</c:v>
                </c:pt>
                <c:pt idx="18">
                  <c:v>3.672410905885181E-2</c:v>
                </c:pt>
                <c:pt idx="19">
                  <c:v>3.6277820422093335E-2</c:v>
                </c:pt>
                <c:pt idx="20">
                  <c:v>3.5852893734396235E-2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D-447B-9C9B-50D3696FBB15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Charts_Support!$K$96:$AE$96</c:f>
              <c:numCache>
                <c:formatCode>0.0%</c:formatCode>
                <c:ptCount val="21"/>
                <c:pt idx="0">
                  <c:v>3.7999999999999999E-2</c:v>
                </c:pt>
                <c:pt idx="1">
                  <c:v>0.122</c:v>
                </c:pt>
                <c:pt idx="2">
                  <c:v>0.105</c:v>
                </c:pt>
                <c:pt idx="3">
                  <c:v>0.08</c:v>
                </c:pt>
                <c:pt idx="4">
                  <c:v>4.4999999999999998E-2</c:v>
                </c:pt>
                <c:pt idx="5">
                  <c:v>0.104</c:v>
                </c:pt>
                <c:pt idx="6">
                  <c:v>8.8999999999999996E-2</c:v>
                </c:pt>
                <c:pt idx="7">
                  <c:v>6.6000000000000003E-2</c:v>
                </c:pt>
                <c:pt idx="8">
                  <c:v>4.9000000000000002E-2</c:v>
                </c:pt>
                <c:pt idx="9">
                  <c:v>5.0999999999999997E-2</c:v>
                </c:pt>
                <c:pt idx="10">
                  <c:v>-0.23</c:v>
                </c:pt>
                <c:pt idx="11">
                  <c:v>0.307</c:v>
                </c:pt>
                <c:pt idx="12">
                  <c:v>0.35870779740410264</c:v>
                </c:pt>
                <c:pt idx="13">
                  <c:v>0.18932600635373661</c:v>
                </c:pt>
                <c:pt idx="14">
                  <c:v>0.1159211772715807</c:v>
                </c:pt>
                <c:pt idx="15">
                  <c:v>7.6569721163340806E-2</c:v>
                </c:pt>
                <c:pt idx="16">
                  <c:v>6.6584022518558272E-2</c:v>
                </c:pt>
                <c:pt idx="17">
                  <c:v>6.0766839011253307E-2</c:v>
                </c:pt>
                <c:pt idx="18">
                  <c:v>5.1090038120319099E-2</c:v>
                </c:pt>
                <c:pt idx="19">
                  <c:v>5.0631135739548958E-2</c:v>
                </c:pt>
                <c:pt idx="20">
                  <c:v>5.0275116506088194E-2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D-447B-9C9B-50D3696FB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02944"/>
        <c:axId val="507204736"/>
      </c:areaChart>
      <c:lineChart>
        <c:grouping val="standard"/>
        <c:varyColors val="0"/>
        <c:ser>
          <c:idx val="0"/>
          <c:order val="0"/>
          <c:tx>
            <c:strRef>
              <c:f>Charts_Support!$A$95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Charts_Support!$K$95:$AE$95</c:f>
              <c:numCache>
                <c:formatCode>0.0%</c:formatCode>
                <c:ptCount val="21"/>
                <c:pt idx="0">
                  <c:v>3.7999999999999999E-2</c:v>
                </c:pt>
                <c:pt idx="1">
                  <c:v>0.122</c:v>
                </c:pt>
                <c:pt idx="2">
                  <c:v>0.105</c:v>
                </c:pt>
                <c:pt idx="3">
                  <c:v>0.08</c:v>
                </c:pt>
                <c:pt idx="4">
                  <c:v>4.4999999999999998E-2</c:v>
                </c:pt>
                <c:pt idx="5">
                  <c:v>0.104</c:v>
                </c:pt>
                <c:pt idx="6">
                  <c:v>8.8999999999999996E-2</c:v>
                </c:pt>
                <c:pt idx="7">
                  <c:v>6.6000000000000003E-2</c:v>
                </c:pt>
                <c:pt idx="8">
                  <c:v>4.9000000000000002E-2</c:v>
                </c:pt>
                <c:pt idx="9">
                  <c:v>5.0999999999999997E-2</c:v>
                </c:pt>
                <c:pt idx="10">
                  <c:v>-0.23</c:v>
                </c:pt>
                <c:pt idx="11">
                  <c:v>0.307</c:v>
                </c:pt>
                <c:pt idx="12">
                  <c:v>0.35870779740410264</c:v>
                </c:pt>
                <c:pt idx="13">
                  <c:v>0.18932600635373661</c:v>
                </c:pt>
                <c:pt idx="14">
                  <c:v>0.10821226165079655</c:v>
                </c:pt>
                <c:pt idx="15">
                  <c:v>6.8226675467136011E-2</c:v>
                </c:pt>
                <c:pt idx="16">
                  <c:v>5.9055224409396756E-2</c:v>
                </c:pt>
                <c:pt idx="17">
                  <c:v>5.3831284214149143E-2</c:v>
                </c:pt>
                <c:pt idx="18">
                  <c:v>4.5517599445134296E-2</c:v>
                </c:pt>
                <c:pt idx="19">
                  <c:v>4.4976964446341187E-2</c:v>
                </c:pt>
                <c:pt idx="20">
                  <c:v>4.4535096968639512E-2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FD-447B-9C9B-50D3696FB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2944"/>
        <c:axId val="507204736"/>
      </c:lineChart>
      <c:catAx>
        <c:axId val="50720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20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204736"/>
        <c:scaling>
          <c:orientation val="minMax"/>
          <c:max val="0.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20294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18371890063310747"/>
          <c:y val="2.6669615957530212E-2"/>
          <c:w val="0.36994182940282294"/>
          <c:h val="7.0894629117340707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4852991446276"/>
          <c:y val="2.9793092235244886E-2"/>
          <c:w val="0.81068377996909269"/>
          <c:h val="0.88883505550142194"/>
        </c:manualLayout>
      </c:layout>
      <c:scatterChart>
        <c:scatterStyle val="lineMarker"/>
        <c:varyColors val="0"/>
        <c:ser>
          <c:idx val="0"/>
          <c:order val="0"/>
          <c:spPr>
            <a:ln w="15875">
              <a:solidFill>
                <a:schemeClr val="accent1"/>
              </a:solidFill>
              <a:prstDash val="solid"/>
            </a:ln>
          </c:spPr>
          <c:marker>
            <c:symbol val="circle"/>
            <c:size val="5"/>
            <c:spPr>
              <a:ln>
                <a:solidFill>
                  <a:schemeClr val="accent1"/>
                </a:solidFill>
                <a:prstDash val="solid"/>
              </a:ln>
            </c:spPr>
          </c:marker>
          <c:dPt>
            <c:idx val="6"/>
            <c:bubble3D val="0"/>
            <c:spPr>
              <a:ln w="12700">
                <a:solidFill>
                  <a:schemeClr val="accent1"/>
                </a:solidFill>
                <a:prstDash val="solid"/>
                <a:tailEnd type="arrow"/>
              </a:ln>
            </c:spPr>
            <c:extLst>
              <c:ext xmlns:c16="http://schemas.microsoft.com/office/drawing/2014/chart" uri="{C3380CC4-5D6E-409C-BE32-E72D297353CC}">
                <c16:uniqueId val="{00000001-9B49-4F26-B80F-5CCF2B6C6A92}"/>
              </c:ext>
            </c:extLst>
          </c:dPt>
          <c:dPt>
            <c:idx val="7"/>
            <c:bubble3D val="0"/>
            <c:spPr>
              <a:ln w="12700">
                <a:solidFill>
                  <a:schemeClr val="accent1"/>
                </a:solidFill>
                <a:prstDash val="solid"/>
                <a:tailEnd type="arrow"/>
              </a:ln>
            </c:spPr>
            <c:extLst>
              <c:ext xmlns:c16="http://schemas.microsoft.com/office/drawing/2014/chart" uri="{C3380CC4-5D6E-409C-BE32-E72D297353CC}">
                <c16:uniqueId val="{00000003-9B49-4F26-B80F-5CCF2B6C6A92}"/>
              </c:ext>
            </c:extLst>
          </c:dPt>
          <c:dPt>
            <c:idx val="8"/>
            <c:marker>
              <c:spPr>
                <a:solidFill>
                  <a:srgbClr val="0070C0"/>
                </a:solidFill>
                <a:ln>
                  <a:solidFill>
                    <a:srgbClr val="0070C0"/>
                  </a:solidFill>
                  <a:prstDash val="sysDash"/>
                </a:ln>
              </c:spPr>
            </c:marker>
            <c:bubble3D val="0"/>
            <c:spPr>
              <a:ln w="19050">
                <a:solidFill>
                  <a:srgbClr val="0070C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B49-4F26-B80F-5CCF2B6C6A92}"/>
              </c:ext>
            </c:extLst>
          </c:dPt>
          <c:dPt>
            <c:idx val="9"/>
            <c:marker>
              <c:spPr>
                <a:solidFill>
                  <a:schemeClr val="accent1"/>
                </a:solidFill>
                <a:ln>
                  <a:solidFill>
                    <a:schemeClr val="accent1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9B49-4F26-B80F-5CCF2B6C6A92}"/>
              </c:ext>
            </c:extLst>
          </c:dPt>
          <c:dPt>
            <c:idx val="10"/>
            <c:bubble3D val="0"/>
            <c:spPr>
              <a:ln w="12700">
                <a:solidFill>
                  <a:schemeClr val="accen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9B49-4F26-B80F-5CCF2B6C6A92}"/>
              </c:ext>
            </c:extLst>
          </c:dPt>
          <c:dPt>
            <c:idx val="11"/>
            <c:marker>
              <c:spPr>
                <a:ln>
                  <a:solidFill>
                    <a:schemeClr val="accent1"/>
                  </a:solidFill>
                  <a:prstDash val="sysDash"/>
                  <a:headEnd type="none" w="med" len="med"/>
                  <a:tailEnd type="arrow" w="med" len="med"/>
                </a:ln>
              </c:spPr>
            </c:marker>
            <c:bubble3D val="0"/>
            <c:spPr>
              <a:ln w="15875">
                <a:solidFill>
                  <a:schemeClr val="accent1"/>
                </a:solidFill>
                <a:prstDash val="solid"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A-9B49-4F26-B80F-5CCF2B6C6A92}"/>
              </c:ext>
            </c:extLst>
          </c:dPt>
          <c:dPt>
            <c:idx val="13"/>
            <c:marker>
              <c:spPr>
                <a:solidFill>
                  <a:srgbClr val="0070C0"/>
                </a:solidFill>
                <a:ln>
                  <a:noFill/>
                  <a:prstDash val="solid"/>
                </a:ln>
              </c:spPr>
            </c:marker>
            <c:bubble3D val="0"/>
            <c:spPr>
              <a:ln w="15875">
                <a:solidFill>
                  <a:srgbClr val="0070C0"/>
                </a:solidFill>
                <a:prstDash val="solid"/>
                <a:tailEnd type="arrow"/>
              </a:ln>
            </c:spPr>
            <c:extLst>
              <c:ext xmlns:c16="http://schemas.microsoft.com/office/drawing/2014/chart" uri="{C3380CC4-5D6E-409C-BE32-E72D297353CC}">
                <c16:uniqueId val="{0000000C-EA0D-4062-8AC1-607107F89C9B}"/>
              </c:ext>
            </c:extLst>
          </c:dPt>
          <c:dPt>
            <c:idx val="14"/>
            <c:marker>
              <c:spPr>
                <a:solidFill>
                  <a:srgbClr val="FF0000"/>
                </a:solidFill>
                <a:ln>
                  <a:noFill/>
                  <a:prstDash val="solid"/>
                </a:ln>
              </c:spPr>
            </c:marker>
            <c:bubble3D val="0"/>
            <c:spPr>
              <a:ln w="15875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D-A3BB-4DF3-81CB-6BAC3C5F9FB5}"/>
              </c:ext>
            </c:extLst>
          </c:dPt>
          <c:dLbls>
            <c:dLbl>
              <c:idx val="0"/>
              <c:layout>
                <c:manualLayout>
                  <c:x val="-5.8280534126781906E-2"/>
                  <c:y val="-4.10993925703948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B49-4F26-B80F-5CCF2B6C6A92}"/>
                </c:ext>
              </c:extLst>
            </c:dLbl>
            <c:dLbl>
              <c:idx val="1"/>
              <c:layout>
                <c:manualLayout>
                  <c:x val="-5.1310447130251235E-2"/>
                  <c:y val="-5.4328332669722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B49-4F26-B80F-5CCF2B6C6A92}"/>
                </c:ext>
              </c:extLst>
            </c:dLbl>
            <c:dLbl>
              <c:idx val="2"/>
              <c:layout>
                <c:manualLayout>
                  <c:x val="0"/>
                  <c:y val="-7.104474272194492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B49-4F26-B80F-5CCF2B6C6A92}"/>
                </c:ext>
              </c:extLst>
            </c:dLbl>
            <c:dLbl>
              <c:idx val="3"/>
              <c:layout>
                <c:manualLayout>
                  <c:x val="-3.7196841643086481E-2"/>
                  <c:y val="-3.88450981225876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B49-4F26-B80F-5CCF2B6C6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2014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B49-4F26-B80F-5CCF2B6C6A92}"/>
                </c:ext>
              </c:extLst>
            </c:dLbl>
            <c:dLbl>
              <c:idx val="5"/>
              <c:layout>
                <c:manualLayout>
                  <c:x val="-4.9051446728004676E-2"/>
                  <c:y val="-4.68084949544329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B49-4F26-B80F-5CCF2B6C6A92}"/>
                </c:ext>
              </c:extLst>
            </c:dLbl>
            <c:dLbl>
              <c:idx val="6"/>
              <c:layout>
                <c:manualLayout>
                  <c:x val="-1.1753464768036653E-2"/>
                  <c:y val="-2.33533176902939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B49-4F26-B80F-5CCF2B6C6A92}"/>
                </c:ext>
              </c:extLst>
            </c:dLbl>
            <c:dLbl>
              <c:idx val="7"/>
              <c:layout>
                <c:manualLayout>
                  <c:x val="-5.5505270596935198E-2"/>
                  <c:y val="-5.02325909193714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B49-4F26-B80F-5CCF2B6C6A92}"/>
                </c:ext>
              </c:extLst>
            </c:dLbl>
            <c:dLbl>
              <c:idx val="8"/>
              <c:layout>
                <c:manualLayout>
                  <c:x val="-0.10082797382978718"/>
                  <c:y val="-4.25531772313026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B49-4F26-B80F-5CCF2B6C6A92}"/>
                </c:ext>
              </c:extLst>
            </c:dLbl>
            <c:dLbl>
              <c:idx val="9"/>
              <c:layout>
                <c:manualLayout>
                  <c:x val="-8.924292666589824E-2"/>
                  <c:y val="-2.1566419310966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B49-4F26-B80F-5CCF2B6C6A92}"/>
                </c:ext>
              </c:extLst>
            </c:dLbl>
            <c:dLbl>
              <c:idx val="10"/>
              <c:layout>
                <c:manualLayout>
                  <c:x val="-3.9133186442267126E-2"/>
                  <c:y val="-8.65196872497454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B49-4F26-B80F-5CCF2B6C6A92}"/>
                </c:ext>
              </c:extLst>
            </c:dLbl>
            <c:dLbl>
              <c:idx val="11"/>
              <c:layout>
                <c:manualLayout>
                  <c:x val="-5.3275256626661247E-3"/>
                  <c:y val="3.28230660133665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B49-4F26-B80F-5CCF2B6C6A92}"/>
                </c:ext>
              </c:extLst>
            </c:dLbl>
            <c:dLbl>
              <c:idx val="12"/>
              <c:layout>
                <c:manualLayout>
                  <c:x val="-3.9487234496652236E-2"/>
                  <c:y val="-4.255317723130269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r>
                      <a:rPr lang="en-US"/>
                      <a:t>2022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932287610091768E-2"/>
                      <c:h val="5.193632034299871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5CD8-4FA3-B228-857415E38F30}"/>
                </c:ext>
              </c:extLst>
            </c:dLbl>
            <c:dLbl>
              <c:idx val="13"/>
              <c:layout>
                <c:manualLayout>
                  <c:x val="-3.6632033057858303E-2"/>
                  <c:y val="-2.54569842511821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2023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A0D-4062-8AC1-607107F89C9B}"/>
                </c:ext>
              </c:extLst>
            </c:dLbl>
            <c:dLbl>
              <c:idx val="14"/>
              <c:layout>
                <c:manualLayout>
                  <c:x val="-9.76814333276146E-2"/>
                  <c:y val="-1.67997973441769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2024e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3BB-4DF3-81CB-6BAC3C5F9F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Charts_Support!$K$56:$Y$56</c:f>
              <c:numCache>
                <c:formatCode>0.0%</c:formatCode>
                <c:ptCount val="15"/>
                <c:pt idx="0">
                  <c:v>4.5924686165181861E-2</c:v>
                </c:pt>
                <c:pt idx="1">
                  <c:v>0.19095646132468769</c:v>
                </c:pt>
                <c:pt idx="2">
                  <c:v>0.26391884675591193</c:v>
                </c:pt>
                <c:pt idx="3">
                  <c:v>0.16222122793920168</c:v>
                </c:pt>
                <c:pt idx="4">
                  <c:v>0.4510749767782869</c:v>
                </c:pt>
                <c:pt idx="5">
                  <c:v>0.41614100368614304</c:v>
                </c:pt>
                <c:pt idx="6">
                  <c:v>0.16766067763829295</c:v>
                </c:pt>
                <c:pt idx="7">
                  <c:v>0.12803753193442646</c:v>
                </c:pt>
                <c:pt idx="8">
                  <c:v>8.5293791987847589E-2</c:v>
                </c:pt>
                <c:pt idx="9">
                  <c:v>0.25994181416040885</c:v>
                </c:pt>
                <c:pt idx="10">
                  <c:v>-0.3380505338707489</c:v>
                </c:pt>
                <c:pt idx="11">
                  <c:v>0.38664470699747411</c:v>
                </c:pt>
                <c:pt idx="12">
                  <c:v>0.28947151947127847</c:v>
                </c:pt>
                <c:pt idx="13">
                  <c:v>0.10750548751037026</c:v>
                </c:pt>
                <c:pt idx="14">
                  <c:v>4.4249525445763771E-2</c:v>
                </c:pt>
              </c:numCache>
            </c:numRef>
          </c:xVal>
          <c:yVal>
            <c:numRef>
              <c:f>Charts_Support!$K$797:$Y$797</c:f>
              <c:numCache>
                <c:formatCode>0.0%</c:formatCode>
                <c:ptCount val="15"/>
                <c:pt idx="0">
                  <c:v>0.1111882949727438</c:v>
                </c:pt>
                <c:pt idx="1">
                  <c:v>0.10422536185654681</c:v>
                </c:pt>
                <c:pt idx="2">
                  <c:v>0.11894400338237031</c:v>
                </c:pt>
                <c:pt idx="3">
                  <c:v>0.12975023651302947</c:v>
                </c:pt>
                <c:pt idx="4">
                  <c:v>0.12250266499212399</c:v>
                </c:pt>
                <c:pt idx="5">
                  <c:v>0.13322841012505554</c:v>
                </c:pt>
                <c:pt idx="6">
                  <c:v>0.13673694196629571</c:v>
                </c:pt>
                <c:pt idx="7">
                  <c:v>0.15204273796300657</c:v>
                </c:pt>
                <c:pt idx="8">
                  <c:v>0.13883861136971748</c:v>
                </c:pt>
                <c:pt idx="9">
                  <c:v>0.13185829658689707</c:v>
                </c:pt>
                <c:pt idx="10">
                  <c:v>3.732241490864141E-2</c:v>
                </c:pt>
                <c:pt idx="11">
                  <c:v>0.12244945711243399</c:v>
                </c:pt>
                <c:pt idx="12">
                  <c:v>0.12820483354194717</c:v>
                </c:pt>
                <c:pt idx="13">
                  <c:v>0.14160410073333896</c:v>
                </c:pt>
                <c:pt idx="14">
                  <c:v>0.14469733938479157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B49-4F26-B80F-5CCF2B6C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67328"/>
        <c:axId val="507273600"/>
      </c:scatterChart>
      <c:valAx>
        <c:axId val="507267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>
                    <a:solidFill>
                      <a:schemeClr val="bg1">
                        <a:lumMod val="6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EBITDA</a:t>
                </a:r>
                <a:r>
                  <a:rPr lang="en-US" sz="1000" baseline="0">
                    <a:solidFill>
                      <a:schemeClr val="bg1">
                        <a:lumMod val="6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margin (%)</a:t>
                </a:r>
                <a:endParaRPr lang="en-US" sz="1000">
                  <a:solidFill>
                    <a:schemeClr val="bg1">
                      <a:lumMod val="6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3.5504594028408906E-3"/>
              <c:y val="8.9988721634115738E-4"/>
            </c:manualLayout>
          </c:layout>
          <c:overlay val="0"/>
          <c:spPr>
            <a:solidFill>
              <a:schemeClr val="bg1"/>
            </a:solidFill>
          </c:spPr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273600"/>
        <c:crossesAt val="5.000000000000001E-2"/>
        <c:crossBetween val="midCat"/>
      </c:valAx>
      <c:valAx>
        <c:axId val="507273600"/>
        <c:scaling>
          <c:orientation val="minMax"/>
          <c:min val="8.0000000000000016E-2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Revenue</a:t>
                </a:r>
                <a:r>
                  <a:rPr lang="en-US" baseline="0">
                    <a:solidFill>
                      <a:schemeClr val="bg1">
                        <a:lumMod val="6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growth (%)</a:t>
                </a:r>
                <a:endParaRPr lang="en-US">
                  <a:solidFill>
                    <a:schemeClr val="bg1">
                      <a:lumMod val="6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77465936366881483"/>
              <c:y val="0.8046861906451154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267328"/>
        <c:crossesAt val="-0.1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Charts_Support!$O$225:$AE$225</c:f>
              <c:numCache>
                <c:formatCode>0.0%</c:formatCode>
                <c:ptCount val="17"/>
                <c:pt idx="0">
                  <c:v>0.19445519643893941</c:v>
                </c:pt>
                <c:pt idx="1">
                  <c:v>0.2349718536389224</c:v>
                </c:pt>
                <c:pt idx="2">
                  <c:v>0.23719639770763212</c:v>
                </c:pt>
                <c:pt idx="3">
                  <c:v>0.23685433120750096</c:v>
                </c:pt>
                <c:pt idx="4">
                  <c:v>0.2317571282695782</c:v>
                </c:pt>
                <c:pt idx="5">
                  <c:v>0.22779880221920124</c:v>
                </c:pt>
                <c:pt idx="6">
                  <c:v>0.1503645041170609</c:v>
                </c:pt>
                <c:pt idx="7">
                  <c:v>0.22875264270613108</c:v>
                </c:pt>
                <c:pt idx="8">
                  <c:v>0.2260965698577746</c:v>
                </c:pt>
                <c:pt idx="9">
                  <c:v>0.22879719497941969</c:v>
                </c:pt>
                <c:pt idx="10">
                  <c:v>0.23887009047031696</c:v>
                </c:pt>
                <c:pt idx="11">
                  <c:v>0.23983039641460743</c:v>
                </c:pt>
                <c:pt idx="12">
                  <c:v>0.23983756667644332</c:v>
                </c:pt>
                <c:pt idx="13">
                  <c:v>0.23984096920099787</c:v>
                </c:pt>
                <c:pt idx="14">
                  <c:v>0.23984046255155733</c:v>
                </c:pt>
                <c:pt idx="15">
                  <c:v>0.23983997928700967</c:v>
                </c:pt>
                <c:pt idx="16">
                  <c:v>0.23984307074503716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3-4C09-A104-A9EDE43F73F9}"/>
            </c:ext>
          </c:extLst>
        </c:ser>
        <c:ser>
          <c:idx val="2"/>
          <c:order val="2"/>
          <c:tx>
            <c:strRef>
              <c:f>Charts_Support!$A$226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Charts_Support!$O$226:$AE$226</c:f>
              <c:numCache>
                <c:formatCode>0.0%</c:formatCode>
                <c:ptCount val="17"/>
                <c:pt idx="0">
                  <c:v>0.19445519643893941</c:v>
                </c:pt>
                <c:pt idx="1">
                  <c:v>0.2349718536389224</c:v>
                </c:pt>
                <c:pt idx="2">
                  <c:v>0.23719639770763212</c:v>
                </c:pt>
                <c:pt idx="3">
                  <c:v>0.23685433120750096</c:v>
                </c:pt>
                <c:pt idx="4">
                  <c:v>0.2317571282695782</c:v>
                </c:pt>
                <c:pt idx="5">
                  <c:v>0.22779880221920124</c:v>
                </c:pt>
                <c:pt idx="6">
                  <c:v>0.1503645041170609</c:v>
                </c:pt>
                <c:pt idx="7">
                  <c:v>0.22875264270613108</c:v>
                </c:pt>
                <c:pt idx="8">
                  <c:v>0.2260965698577746</c:v>
                </c:pt>
                <c:pt idx="9">
                  <c:v>0.22879719497941969</c:v>
                </c:pt>
                <c:pt idx="10">
                  <c:v>0.23529135579100743</c:v>
                </c:pt>
                <c:pt idx="11">
                  <c:v>0.23287866550961106</c:v>
                </c:pt>
                <c:pt idx="12">
                  <c:v>0.23288245341338293</c:v>
                </c:pt>
                <c:pt idx="13">
                  <c:v>0.23288508354672782</c:v>
                </c:pt>
                <c:pt idx="14">
                  <c:v>0.22788395210611792</c:v>
                </c:pt>
                <c:pt idx="15">
                  <c:v>0.22788282674035559</c:v>
                </c:pt>
                <c:pt idx="16">
                  <c:v>0.22788503960381304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F3-4C09-A104-A9EDE43F7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91680"/>
        <c:axId val="507609856"/>
      </c:areaChart>
      <c:lineChart>
        <c:grouping val="standard"/>
        <c:varyColors val="0"/>
        <c:ser>
          <c:idx val="0"/>
          <c:order val="0"/>
          <c:tx>
            <c:strRef>
              <c:f>Charts_Support!$A$224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Charts_Support!$O$224:$AE$224</c:f>
              <c:numCache>
                <c:formatCode>0.0%</c:formatCode>
                <c:ptCount val="17"/>
                <c:pt idx="0">
                  <c:v>0.19445519643893941</c:v>
                </c:pt>
                <c:pt idx="1">
                  <c:v>0.2349718536389224</c:v>
                </c:pt>
                <c:pt idx="2">
                  <c:v>0.23719639770763212</c:v>
                </c:pt>
                <c:pt idx="3">
                  <c:v>0.23685433120750096</c:v>
                </c:pt>
                <c:pt idx="4">
                  <c:v>0.2317571282695782</c:v>
                </c:pt>
                <c:pt idx="5">
                  <c:v>0.22779880221920124</c:v>
                </c:pt>
                <c:pt idx="6">
                  <c:v>0.1503645041170609</c:v>
                </c:pt>
                <c:pt idx="7">
                  <c:v>0.22875264270613108</c:v>
                </c:pt>
                <c:pt idx="8">
                  <c:v>0.2260965698577746</c:v>
                </c:pt>
                <c:pt idx="9">
                  <c:v>0.22879719497941969</c:v>
                </c:pt>
                <c:pt idx="10">
                  <c:v>0.23784280180607983</c:v>
                </c:pt>
                <c:pt idx="11">
                  <c:v>0.23784343211492265</c:v>
                </c:pt>
                <c:pt idx="12">
                  <c:v>0.23785037355315886</c:v>
                </c:pt>
                <c:pt idx="13">
                  <c:v>0.23785355394819771</c:v>
                </c:pt>
                <c:pt idx="14">
                  <c:v>0.23785286430443711</c:v>
                </c:pt>
                <c:pt idx="15">
                  <c:v>0.23785219347587619</c:v>
                </c:pt>
                <c:pt idx="16">
                  <c:v>0.23785510389458306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F3-4C09-A104-A9EDE43F7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91680"/>
        <c:axId val="507609856"/>
      </c:lineChart>
      <c:catAx>
        <c:axId val="50759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6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609856"/>
        <c:scaling>
          <c:orientation val="minMax"/>
          <c:min val="0.1200000000000000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5916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30205221891728623"/>
          <c:y val="4.8090036539550742E-3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90662550274008447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Charts_Support!$O$235:$AE$235</c:f>
              <c:numCache>
                <c:formatCode>0.0%</c:formatCode>
                <c:ptCount val="17"/>
                <c:pt idx="0">
                  <c:v>0.14693789223111881</c:v>
                </c:pt>
                <c:pt idx="1">
                  <c:v>0.15197975587972612</c:v>
                </c:pt>
                <c:pt idx="2">
                  <c:v>0.15103397341211225</c:v>
                </c:pt>
                <c:pt idx="3">
                  <c:v>0.15190119614898376</c:v>
                </c:pt>
                <c:pt idx="4">
                  <c:v>0.13810721317888083</c:v>
                </c:pt>
                <c:pt idx="5">
                  <c:v>0.12977254458889073</c:v>
                </c:pt>
                <c:pt idx="6">
                  <c:v>5.3159442889038518E-2</c:v>
                </c:pt>
                <c:pt idx="7">
                  <c:v>0.14036921566971236</c:v>
                </c:pt>
                <c:pt idx="8">
                  <c:v>0.14700047326981638</c:v>
                </c:pt>
                <c:pt idx="9">
                  <c:v>0.15899871226144707</c:v>
                </c:pt>
                <c:pt idx="10">
                  <c:v>0.14826900720019973</c:v>
                </c:pt>
                <c:pt idx="11">
                  <c:v>0.15075828682741088</c:v>
                </c:pt>
                <c:pt idx="12">
                  <c:v>0.15127510990676343</c:v>
                </c:pt>
                <c:pt idx="13">
                  <c:v>0.15177651955797111</c:v>
                </c:pt>
                <c:pt idx="14">
                  <c:v>0.14827685068753518</c:v>
                </c:pt>
                <c:pt idx="15">
                  <c:v>0.14877720827657417</c:v>
                </c:pt>
                <c:pt idx="16">
                  <c:v>0.14927573692933505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5-4ECC-9816-5BC3A77DD1D5}"/>
            </c:ext>
          </c:extLst>
        </c:ser>
        <c:ser>
          <c:idx val="2"/>
          <c:order val="1"/>
          <c:tx>
            <c:strRef>
              <c:f>Charts_Support!$A$236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Charts_Support!$O$236:$AE$236</c:f>
              <c:numCache>
                <c:formatCode>0.0%</c:formatCode>
                <c:ptCount val="17"/>
                <c:pt idx="0">
                  <c:v>0.14693789223111881</c:v>
                </c:pt>
                <c:pt idx="1">
                  <c:v>0.15197975587972612</c:v>
                </c:pt>
                <c:pt idx="2">
                  <c:v>0.15103397341211225</c:v>
                </c:pt>
                <c:pt idx="3">
                  <c:v>0.15190119614898376</c:v>
                </c:pt>
                <c:pt idx="4">
                  <c:v>0.13810721317888083</c:v>
                </c:pt>
                <c:pt idx="5">
                  <c:v>0.12977254458889073</c:v>
                </c:pt>
                <c:pt idx="6">
                  <c:v>5.3159442889038518E-2</c:v>
                </c:pt>
                <c:pt idx="7">
                  <c:v>0.14036921566971236</c:v>
                </c:pt>
                <c:pt idx="8">
                  <c:v>0.14700047326981638</c:v>
                </c:pt>
                <c:pt idx="9">
                  <c:v>0.15899871226144707</c:v>
                </c:pt>
                <c:pt idx="10">
                  <c:v>0.14318801417938049</c:v>
                </c:pt>
                <c:pt idx="11">
                  <c:v>0.14090836291321834</c:v>
                </c:pt>
                <c:pt idx="12">
                  <c:v>0.14142781776345562</c:v>
                </c:pt>
                <c:pt idx="13">
                  <c:v>0.1419286522684246</c:v>
                </c:pt>
                <c:pt idx="14">
                  <c:v>0.14242917003870945</c:v>
                </c:pt>
                <c:pt idx="15">
                  <c:v>0.14292954592698645</c:v>
                </c:pt>
                <c:pt idx="16">
                  <c:v>0.14342804020045091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5-4ECC-9816-5BC3A77DD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43008"/>
        <c:axId val="507644544"/>
      </c:areaChart>
      <c:lineChart>
        <c:grouping val="standard"/>
        <c:varyColors val="0"/>
        <c:ser>
          <c:idx val="0"/>
          <c:order val="2"/>
          <c:tx>
            <c:strRef>
              <c:f>Charts_Support!$A$234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Charts_Support!$O$234:$AE$234</c:f>
              <c:numCache>
                <c:formatCode>0.0%</c:formatCode>
                <c:ptCount val="17"/>
                <c:pt idx="0">
                  <c:v>0.14693789223111881</c:v>
                </c:pt>
                <c:pt idx="1">
                  <c:v>0.15197975587972612</c:v>
                </c:pt>
                <c:pt idx="2">
                  <c:v>0.15103397341211225</c:v>
                </c:pt>
                <c:pt idx="3">
                  <c:v>0.15190119614898376</c:v>
                </c:pt>
                <c:pt idx="4">
                  <c:v>0.13810721317888083</c:v>
                </c:pt>
                <c:pt idx="5">
                  <c:v>0.12977254458889073</c:v>
                </c:pt>
                <c:pt idx="6">
                  <c:v>5.3159442889038518E-2</c:v>
                </c:pt>
                <c:pt idx="7">
                  <c:v>0.14036921566971236</c:v>
                </c:pt>
                <c:pt idx="8">
                  <c:v>0.14700047326981638</c:v>
                </c:pt>
                <c:pt idx="9">
                  <c:v>0.15899871226144707</c:v>
                </c:pt>
                <c:pt idx="10">
                  <c:v>0.14558648137980121</c:v>
                </c:pt>
                <c:pt idx="11">
                  <c:v>0.14580404043864195</c:v>
                </c:pt>
                <c:pt idx="12">
                  <c:v>0.14632127838762551</c:v>
                </c:pt>
                <c:pt idx="13">
                  <c:v>0.14682267457041054</c:v>
                </c:pt>
                <c:pt idx="14">
                  <c:v>0.14732302095188748</c:v>
                </c:pt>
                <c:pt idx="15">
                  <c:v>0.14782340179761524</c:v>
                </c:pt>
                <c:pt idx="16">
                  <c:v>0.14832195281673682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95-4ECC-9816-5BC3A77DD1D5}"/>
            </c:ext>
          </c:extLst>
        </c:ser>
        <c:ser>
          <c:idx val="3"/>
          <c:order val="3"/>
          <c:tx>
            <c:v>Zero Line</c:v>
          </c:tx>
          <c:spPr>
            <a:ln w="952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Charts_Support!$O$565:$Z$565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95-4ECC-9816-5BC3A77DD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43008"/>
        <c:axId val="507644544"/>
      </c:lineChart>
      <c:catAx>
        <c:axId val="50764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644544"/>
        <c:crossesAt val="-0.25"/>
        <c:auto val="1"/>
        <c:lblAlgn val="ctr"/>
        <c:lblOffset val="100"/>
        <c:tickLblSkip val="1"/>
        <c:tickMarkSkip val="1"/>
        <c:noMultiLvlLbl val="0"/>
      </c:catAx>
      <c:valAx>
        <c:axId val="507644544"/>
        <c:scaling>
          <c:orientation val="minMax"/>
          <c:max val="0.2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643008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90662550274008447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Charts_Support!$O$245:$AE$245</c:f>
              <c:numCache>
                <c:formatCode>0.0%</c:formatCode>
                <c:ptCount val="17"/>
                <c:pt idx="0">
                  <c:v>0.19754768392370572</c:v>
                </c:pt>
                <c:pt idx="1">
                  <c:v>0.1907280098713203</c:v>
                </c:pt>
                <c:pt idx="2">
                  <c:v>0.19760242392306679</c:v>
                </c:pt>
                <c:pt idx="3">
                  <c:v>0.2014002333722287</c:v>
                </c:pt>
                <c:pt idx="4">
                  <c:v>0.19378982502275716</c:v>
                </c:pt>
                <c:pt idx="5">
                  <c:v>0.17687555995661811</c:v>
                </c:pt>
                <c:pt idx="6">
                  <c:v>8.5642135642135644E-2</c:v>
                </c:pt>
                <c:pt idx="7">
                  <c:v>0.18583686325621809</c:v>
                </c:pt>
                <c:pt idx="8">
                  <c:v>0.14670549690571533</c:v>
                </c:pt>
                <c:pt idx="9">
                  <c:v>0.15418444657319516</c:v>
                </c:pt>
                <c:pt idx="10">
                  <c:v>0.14891095475907293</c:v>
                </c:pt>
                <c:pt idx="11">
                  <c:v>0.1502879376596653</c:v>
                </c:pt>
                <c:pt idx="12">
                  <c:v>0.15119888377883081</c:v>
                </c:pt>
                <c:pt idx="13">
                  <c:v>0.15218630089896468</c:v>
                </c:pt>
                <c:pt idx="14">
                  <c:v>0.15118124892901849</c:v>
                </c:pt>
                <c:pt idx="15">
                  <c:v>0.15167646484949177</c:v>
                </c:pt>
                <c:pt idx="16">
                  <c:v>0.1521656584282283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9-4288-9C27-82E243806AD2}"/>
            </c:ext>
          </c:extLst>
        </c:ser>
        <c:ser>
          <c:idx val="2"/>
          <c:order val="2"/>
          <c:tx>
            <c:strRef>
              <c:f>Charts_Support!$A$246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Charts_Support!$O$246:$AE$246</c:f>
              <c:numCache>
                <c:formatCode>0.0%</c:formatCode>
                <c:ptCount val="17"/>
                <c:pt idx="0">
                  <c:v>0.19754768392370572</c:v>
                </c:pt>
                <c:pt idx="1">
                  <c:v>0.1907280098713203</c:v>
                </c:pt>
                <c:pt idx="2">
                  <c:v>0.19760242392306679</c:v>
                </c:pt>
                <c:pt idx="3">
                  <c:v>0.2014002333722287</c:v>
                </c:pt>
                <c:pt idx="4">
                  <c:v>0.19378982502275716</c:v>
                </c:pt>
                <c:pt idx="5">
                  <c:v>0.17687555995661811</c:v>
                </c:pt>
                <c:pt idx="6">
                  <c:v>8.5642135642135644E-2</c:v>
                </c:pt>
                <c:pt idx="7">
                  <c:v>0.18583686325621809</c:v>
                </c:pt>
                <c:pt idx="8">
                  <c:v>0.14670549690571533</c:v>
                </c:pt>
                <c:pt idx="9">
                  <c:v>0.15418444657319516</c:v>
                </c:pt>
                <c:pt idx="10">
                  <c:v>0.14476460588647724</c:v>
                </c:pt>
                <c:pt idx="11">
                  <c:v>0.14273151840348389</c:v>
                </c:pt>
                <c:pt idx="12">
                  <c:v>0.14364370942175347</c:v>
                </c:pt>
                <c:pt idx="13">
                  <c:v>0.14463447007137967</c:v>
                </c:pt>
                <c:pt idx="14">
                  <c:v>0.13813031453901403</c:v>
                </c:pt>
                <c:pt idx="15">
                  <c:v>0.13862637704265693</c:v>
                </c:pt>
                <c:pt idx="16">
                  <c:v>0.13911431746536007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9-4288-9C27-82E24380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93312"/>
        <c:axId val="507703296"/>
      </c:areaChart>
      <c:lineChart>
        <c:grouping val="standard"/>
        <c:varyColors val="0"/>
        <c:ser>
          <c:idx val="0"/>
          <c:order val="0"/>
          <c:tx>
            <c:strRef>
              <c:f>Charts_Support!$A$244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Charts_Support!$O$244:$AE$244</c:f>
              <c:numCache>
                <c:formatCode>0.0%</c:formatCode>
                <c:ptCount val="17"/>
                <c:pt idx="0">
                  <c:v>0.19754768392370572</c:v>
                </c:pt>
                <c:pt idx="1">
                  <c:v>0.1907280098713203</c:v>
                </c:pt>
                <c:pt idx="2">
                  <c:v>0.19760242392306679</c:v>
                </c:pt>
                <c:pt idx="3">
                  <c:v>0.2014002333722287</c:v>
                </c:pt>
                <c:pt idx="4">
                  <c:v>0.19378982502275716</c:v>
                </c:pt>
                <c:pt idx="5">
                  <c:v>0.17687555995661811</c:v>
                </c:pt>
                <c:pt idx="6">
                  <c:v>8.5642135642135644E-2</c:v>
                </c:pt>
                <c:pt idx="7">
                  <c:v>0.18583686325621809</c:v>
                </c:pt>
                <c:pt idx="8">
                  <c:v>0.14670549690571533</c:v>
                </c:pt>
                <c:pt idx="9">
                  <c:v>0.15418444657319516</c:v>
                </c:pt>
                <c:pt idx="10">
                  <c:v>0.1480687785451015</c:v>
                </c:pt>
                <c:pt idx="11">
                  <c:v>0.14876716722168598</c:v>
                </c:pt>
                <c:pt idx="12">
                  <c:v>0.14967855248834114</c:v>
                </c:pt>
                <c:pt idx="13">
                  <c:v>0.15066635314157684</c:v>
                </c:pt>
                <c:pt idx="14">
                  <c:v>0.1511616488236161</c:v>
                </c:pt>
                <c:pt idx="15">
                  <c:v>0.15165718678828413</c:v>
                </c:pt>
                <c:pt idx="16">
                  <c:v>0.15214667807391741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9-4288-9C27-82E24380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93312"/>
        <c:axId val="507703296"/>
      </c:lineChart>
      <c:catAx>
        <c:axId val="50769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70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703296"/>
        <c:scaling>
          <c:orientation val="minMax"/>
          <c:max val="0.2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6933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3078916000081"/>
          <c:y val="2.6485106232493637E-2"/>
          <c:w val="0.82852982209553194"/>
          <c:h val="0.821334150915217"/>
        </c:manualLayout>
      </c:layout>
      <c:areaChart>
        <c:grouping val="standard"/>
        <c:varyColors val="0"/>
        <c:ser>
          <c:idx val="3"/>
          <c:order val="3"/>
          <c:tx>
            <c:strRef>
              <c:f>Charts_Support!$A$175</c:f>
              <c:strCache>
                <c:ptCount val="1"/>
                <c:pt idx="0">
                  <c:v>Adj. EBITDA Margin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Charts_Support!$O$176:$AE$176</c:f>
              <c:numCache>
                <c:formatCode>0.0%</c:formatCode>
                <c:ptCount val="17"/>
                <c:pt idx="0">
                  <c:v>0.21876948306060612</c:v>
                </c:pt>
                <c:pt idx="1">
                  <c:v>0.20992074671082869</c:v>
                </c:pt>
                <c:pt idx="2">
                  <c:v>0.21065269791546398</c:v>
                </c:pt>
                <c:pt idx="3">
                  <c:v>0.20917432081420165</c:v>
                </c:pt>
                <c:pt idx="4">
                  <c:v>0.19986311380751667</c:v>
                </c:pt>
                <c:pt idx="5">
                  <c:v>0.19283077067360721</c:v>
                </c:pt>
                <c:pt idx="6">
                  <c:v>0.11302643569095844</c:v>
                </c:pt>
                <c:pt idx="7">
                  <c:v>0.19915896877880146</c:v>
                </c:pt>
                <c:pt idx="8">
                  <c:v>0.18536623706320834</c:v>
                </c:pt>
                <c:pt idx="9">
                  <c:v>0.19358254132882971</c:v>
                </c:pt>
                <c:pt idx="10">
                  <c:v>0.19653066623799051</c:v>
                </c:pt>
                <c:pt idx="11">
                  <c:v>0.19500405066544105</c:v>
                </c:pt>
                <c:pt idx="12">
                  <c:v>0.19500902540336285</c:v>
                </c:pt>
                <c:pt idx="13">
                  <c:v>0.1953194610535379</c:v>
                </c:pt>
                <c:pt idx="14">
                  <c:v>0.1952744512079278</c:v>
                </c:pt>
                <c:pt idx="15">
                  <c:v>0.19523703038506776</c:v>
                </c:pt>
                <c:pt idx="16">
                  <c:v>0.19520047502044466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C-40A6-AED1-0AD645C81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10944"/>
        <c:axId val="507812480"/>
      </c:areaChart>
      <c:lineChart>
        <c:grouping val="standard"/>
        <c:varyColors val="0"/>
        <c:ser>
          <c:idx val="0"/>
          <c:order val="0"/>
          <c:tx>
            <c:strRef>
              <c:f>Charts_Support!$A$204</c:f>
              <c:strCache>
                <c:ptCount val="1"/>
                <c:pt idx="0">
                  <c:v>Mexico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Charts_Support!$O$204:$AE$204</c:f>
              <c:numCache>
                <c:formatCode>0.0%</c:formatCode>
                <c:ptCount val="17"/>
                <c:pt idx="0">
                  <c:v>0.19445519643893941</c:v>
                </c:pt>
                <c:pt idx="1">
                  <c:v>0.2349718536389224</c:v>
                </c:pt>
                <c:pt idx="2">
                  <c:v>0.23719639770763212</c:v>
                </c:pt>
                <c:pt idx="3">
                  <c:v>0.23685433120750096</c:v>
                </c:pt>
                <c:pt idx="4">
                  <c:v>0.2317571282695782</c:v>
                </c:pt>
                <c:pt idx="5">
                  <c:v>0.22779880221920124</c:v>
                </c:pt>
                <c:pt idx="6">
                  <c:v>0.1503645041170609</c:v>
                </c:pt>
                <c:pt idx="7">
                  <c:v>0.22875264270613108</c:v>
                </c:pt>
                <c:pt idx="8">
                  <c:v>0.2260965698577746</c:v>
                </c:pt>
                <c:pt idx="9">
                  <c:v>0.22879719497941969</c:v>
                </c:pt>
                <c:pt idx="10">
                  <c:v>0.23529135579100743</c:v>
                </c:pt>
                <c:pt idx="11">
                  <c:v>0.23287866550961106</c:v>
                </c:pt>
                <c:pt idx="12">
                  <c:v>0.23288245341338293</c:v>
                </c:pt>
                <c:pt idx="13">
                  <c:v>0.23288508354672782</c:v>
                </c:pt>
                <c:pt idx="14">
                  <c:v>0.22788395210611792</c:v>
                </c:pt>
                <c:pt idx="15">
                  <c:v>0.22788282674035559</c:v>
                </c:pt>
                <c:pt idx="16">
                  <c:v>0.22788503960381304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8C-40A6-AED1-0AD645C81FF3}"/>
            </c:ext>
          </c:extLst>
        </c:ser>
        <c:ser>
          <c:idx val="1"/>
          <c:order val="1"/>
          <c:tx>
            <c:strRef>
              <c:f>Charts_Support!$A$205</c:f>
              <c:strCache>
                <c:ptCount val="1"/>
                <c:pt idx="0">
                  <c:v>South America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Charts_Support!$O$205:$AE$205</c:f>
              <c:numCache>
                <c:formatCode>0.0%</c:formatCode>
                <c:ptCount val="17"/>
                <c:pt idx="0">
                  <c:v>0.14693789223111881</c:v>
                </c:pt>
                <c:pt idx="1">
                  <c:v>0.15197975587972612</c:v>
                </c:pt>
                <c:pt idx="2">
                  <c:v>0.15103397341211225</c:v>
                </c:pt>
                <c:pt idx="3">
                  <c:v>0.15190119614898376</c:v>
                </c:pt>
                <c:pt idx="4">
                  <c:v>0.13810721317888083</c:v>
                </c:pt>
                <c:pt idx="5">
                  <c:v>0.12977254458889073</c:v>
                </c:pt>
                <c:pt idx="6">
                  <c:v>5.3159442889038518E-2</c:v>
                </c:pt>
                <c:pt idx="7">
                  <c:v>0.14036921566971236</c:v>
                </c:pt>
                <c:pt idx="8">
                  <c:v>0.14700047326981638</c:v>
                </c:pt>
                <c:pt idx="9">
                  <c:v>0.15899871226144707</c:v>
                </c:pt>
                <c:pt idx="10">
                  <c:v>0.14318801417938049</c:v>
                </c:pt>
                <c:pt idx="11">
                  <c:v>0.14090836291321834</c:v>
                </c:pt>
                <c:pt idx="12">
                  <c:v>0.14142781776345562</c:v>
                </c:pt>
                <c:pt idx="13">
                  <c:v>0.1419286522684246</c:v>
                </c:pt>
                <c:pt idx="14">
                  <c:v>0.14242917003870945</c:v>
                </c:pt>
                <c:pt idx="15">
                  <c:v>0.14292954592698645</c:v>
                </c:pt>
                <c:pt idx="16">
                  <c:v>0.14342804020045091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8C-40A6-AED1-0AD645C81FF3}"/>
            </c:ext>
          </c:extLst>
        </c:ser>
        <c:ser>
          <c:idx val="2"/>
          <c:order val="2"/>
          <c:tx>
            <c:strRef>
              <c:f>Charts_Support!$A$206</c:f>
              <c:strCache>
                <c:ptCount val="1"/>
                <c:pt idx="0">
                  <c:v>Europe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Charts_Support!$O$206:$AE$206</c:f>
              <c:numCache>
                <c:formatCode>0.0%</c:formatCode>
                <c:ptCount val="17"/>
                <c:pt idx="0">
                  <c:v>0.19754768392370572</c:v>
                </c:pt>
                <c:pt idx="1">
                  <c:v>0.1907280098713203</c:v>
                </c:pt>
                <c:pt idx="2">
                  <c:v>0.19760242392306679</c:v>
                </c:pt>
                <c:pt idx="3">
                  <c:v>0.2014002333722287</c:v>
                </c:pt>
                <c:pt idx="4">
                  <c:v>0.19378982502275716</c:v>
                </c:pt>
                <c:pt idx="5">
                  <c:v>0.17687555995661811</c:v>
                </c:pt>
                <c:pt idx="6">
                  <c:v>8.5642135642135644E-2</c:v>
                </c:pt>
                <c:pt idx="7">
                  <c:v>0.18583686325621809</c:v>
                </c:pt>
                <c:pt idx="8">
                  <c:v>0.14670549690571533</c:v>
                </c:pt>
                <c:pt idx="9">
                  <c:v>0.15418444657319516</c:v>
                </c:pt>
                <c:pt idx="10">
                  <c:v>0.14476460588647724</c:v>
                </c:pt>
                <c:pt idx="11">
                  <c:v>0.14273151840348389</c:v>
                </c:pt>
                <c:pt idx="12">
                  <c:v>0.14364370942175347</c:v>
                </c:pt>
                <c:pt idx="13">
                  <c:v>0.14463447007137967</c:v>
                </c:pt>
                <c:pt idx="14">
                  <c:v>0.13813031453901403</c:v>
                </c:pt>
                <c:pt idx="15">
                  <c:v>0.13862637704265693</c:v>
                </c:pt>
                <c:pt idx="16">
                  <c:v>0.13911431746536007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8C-40A6-AED1-0AD645C81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10944"/>
        <c:axId val="507812480"/>
      </c:lineChart>
      <c:catAx>
        <c:axId val="5078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81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8124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07810944"/>
        <c:crosses val="autoZero"/>
        <c:crossBetween val="between"/>
        <c:majorUnit val="2.0000000000000004E-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1112705476987377"/>
          <c:y val="2.518518714378825E-2"/>
          <c:w val="0.61150746617562024"/>
          <c:h val="0.11346125116836793"/>
        </c:manualLayout>
      </c:layout>
      <c:overlay val="0"/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353098868525709E-2"/>
          <c:y val="6.1688311688311688E-2"/>
          <c:w val="0.85882517391462532"/>
          <c:h val="0.7272727272727272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Charts_Support!$B$352:$AE$352</c:f>
              <c:numCache>
                <c:formatCode>#,##0_);\(#,##0\)</c:formatCode>
                <c:ptCount val="30"/>
                <c:pt idx="0">
                  <c:v>1.4572218984957084</c:v>
                </c:pt>
                <c:pt idx="1">
                  <c:v>-12.183814094514439</c:v>
                </c:pt>
                <c:pt idx="2">
                  <c:v>-1.4115454305794428</c:v>
                </c:pt>
                <c:pt idx="3">
                  <c:v>-0.62164798842903768</c:v>
                </c:pt>
                <c:pt idx="4">
                  <c:v>-11.905317985981611</c:v>
                </c:pt>
                <c:pt idx="5">
                  <c:v>-14.85413288499819</c:v>
                </c:pt>
                <c:pt idx="6">
                  <c:v>-18.876259537209229</c:v>
                </c:pt>
                <c:pt idx="7">
                  <c:v>-29.006682168884112</c:v>
                </c:pt>
                <c:pt idx="8">
                  <c:v>-0.88001498995991689</c:v>
                </c:pt>
                <c:pt idx="9">
                  <c:v>-1.1561041436562498</c:v>
                </c:pt>
                <c:pt idx="10">
                  <c:v>-7.83225622128501</c:v>
                </c:pt>
                <c:pt idx="11">
                  <c:v>-1.1526539454490714</c:v>
                </c:pt>
                <c:pt idx="12">
                  <c:v>-3.1587334166419296</c:v>
                </c:pt>
                <c:pt idx="13">
                  <c:v>-11.736152950920941</c:v>
                </c:pt>
                <c:pt idx="14">
                  <c:v>-8.1420174244749877</c:v>
                </c:pt>
                <c:pt idx="15">
                  <c:v>-13.109949170421721</c:v>
                </c:pt>
                <c:pt idx="16">
                  <c:v>-5.9290677557149589</c:v>
                </c:pt>
                <c:pt idx="17">
                  <c:v>-16.149337371990928</c:v>
                </c:pt>
                <c:pt idx="18">
                  <c:v>-13.765504679860427</c:v>
                </c:pt>
                <c:pt idx="19">
                  <c:v>-2.6184933848882124</c:v>
                </c:pt>
                <c:pt idx="20">
                  <c:v>-1.4732765513272545</c:v>
                </c:pt>
                <c:pt idx="21">
                  <c:v>-3.6812557890628406</c:v>
                </c:pt>
                <c:pt idx="22">
                  <c:v>-3.0459699307820109</c:v>
                </c:pt>
                <c:pt idx="23">
                  <c:v>-2.9993736052933553</c:v>
                </c:pt>
                <c:pt idx="24">
                  <c:v>-2.9990422264193346</c:v>
                </c:pt>
                <c:pt idx="25">
                  <c:v>-3.030078169975877</c:v>
                </c:pt>
                <c:pt idx="26">
                  <c:v>-3.0727266443879464</c:v>
                </c:pt>
                <c:pt idx="27">
                  <c:v>-3.2069548633228089</c:v>
                </c:pt>
                <c:pt idx="28">
                  <c:v>-3.2085716648467684</c:v>
                </c:pt>
                <c:pt idx="29">
                  <c:v>-3.2077109624635125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3-4311-9E9A-85D3621A1536}"/>
            </c:ext>
          </c:extLst>
        </c:ser>
        <c:ser>
          <c:idx val="2"/>
          <c:order val="2"/>
          <c:tx>
            <c:strRef>
              <c:f>Charts_Support!$A$353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Charts_Support!$B$353:$AE$353</c:f>
              <c:numCache>
                <c:formatCode>#,##0_);\(#,##0\)</c:formatCode>
                <c:ptCount val="30"/>
                <c:pt idx="0">
                  <c:v>1.4572218984957084</c:v>
                </c:pt>
                <c:pt idx="1">
                  <c:v>-12.183814094514439</c:v>
                </c:pt>
                <c:pt idx="2">
                  <c:v>-1.4115454305794428</c:v>
                </c:pt>
                <c:pt idx="3">
                  <c:v>-0.62164798842903768</c:v>
                </c:pt>
                <c:pt idx="4">
                  <c:v>-11.905317985981611</c:v>
                </c:pt>
                <c:pt idx="5">
                  <c:v>-14.85413288499819</c:v>
                </c:pt>
                <c:pt idx="6">
                  <c:v>-18.876259537209229</c:v>
                </c:pt>
                <c:pt idx="7">
                  <c:v>-29.006682168884112</c:v>
                </c:pt>
                <c:pt idx="8">
                  <c:v>-0.88001498995991689</c:v>
                </c:pt>
                <c:pt idx="9">
                  <c:v>-1.1561041436562498</c:v>
                </c:pt>
                <c:pt idx="10">
                  <c:v>-7.83225622128501</c:v>
                </c:pt>
                <c:pt idx="11">
                  <c:v>-1.1526539454490714</c:v>
                </c:pt>
                <c:pt idx="12">
                  <c:v>-3.1587334166419296</c:v>
                </c:pt>
                <c:pt idx="13">
                  <c:v>-11.736152950920941</c:v>
                </c:pt>
                <c:pt idx="14">
                  <c:v>-8.1420174244749877</c:v>
                </c:pt>
                <c:pt idx="15">
                  <c:v>-13.109949170421721</c:v>
                </c:pt>
                <c:pt idx="16">
                  <c:v>-5.9290677557149589</c:v>
                </c:pt>
                <c:pt idx="17">
                  <c:v>-16.149337371990928</c:v>
                </c:pt>
                <c:pt idx="18">
                  <c:v>-13.765504679860427</c:v>
                </c:pt>
                <c:pt idx="19">
                  <c:v>-2.6184933848882124</c:v>
                </c:pt>
                <c:pt idx="20">
                  <c:v>-1.4732765513272545</c:v>
                </c:pt>
                <c:pt idx="21">
                  <c:v>-3.6812557890628406</c:v>
                </c:pt>
                <c:pt idx="22">
                  <c:v>-3.0459699307820109</c:v>
                </c:pt>
                <c:pt idx="23">
                  <c:v>-3.5057009472566136</c:v>
                </c:pt>
                <c:pt idx="24">
                  <c:v>-3.5102910595722912</c:v>
                </c:pt>
                <c:pt idx="25">
                  <c:v>-3.5440307083678491</c:v>
                </c:pt>
                <c:pt idx="26">
                  <c:v>-3.5900937062852893</c:v>
                </c:pt>
                <c:pt idx="27">
                  <c:v>-3.8143251700002589</c:v>
                </c:pt>
                <c:pt idx="28">
                  <c:v>-3.8181183128933682</c:v>
                </c:pt>
                <c:pt idx="29">
                  <c:v>-3.8186957709514759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63-4311-9E9A-85D3621A1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35392"/>
        <c:axId val="534245376"/>
      </c:areaChart>
      <c:lineChart>
        <c:grouping val="standard"/>
        <c:varyColors val="0"/>
        <c:ser>
          <c:idx val="0"/>
          <c:order val="0"/>
          <c:tx>
            <c:strRef>
              <c:f>Charts_Support!$A$351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Charts_Support!$B$351:$AE$351</c:f>
              <c:numCache>
                <c:formatCode>#,##0_);\(#,##0\)</c:formatCode>
                <c:ptCount val="30"/>
                <c:pt idx="0">
                  <c:v>1.4572218984957084</c:v>
                </c:pt>
                <c:pt idx="1">
                  <c:v>-12.183814094514439</c:v>
                </c:pt>
                <c:pt idx="2">
                  <c:v>-1.4115454305794428</c:v>
                </c:pt>
                <c:pt idx="3">
                  <c:v>-0.62164798842903768</c:v>
                </c:pt>
                <c:pt idx="4">
                  <c:v>-11.905317985981611</c:v>
                </c:pt>
                <c:pt idx="5">
                  <c:v>-14.85413288499819</c:v>
                </c:pt>
                <c:pt idx="6">
                  <c:v>-18.876259537209229</c:v>
                </c:pt>
                <c:pt idx="7">
                  <c:v>-29.006682168884112</c:v>
                </c:pt>
                <c:pt idx="8">
                  <c:v>-0.88001498995991689</c:v>
                </c:pt>
                <c:pt idx="9">
                  <c:v>-1.1561041436562498</c:v>
                </c:pt>
                <c:pt idx="10">
                  <c:v>-7.83225622128501</c:v>
                </c:pt>
                <c:pt idx="11">
                  <c:v>-1.1526539454490714</c:v>
                </c:pt>
                <c:pt idx="12">
                  <c:v>-3.1587334166419296</c:v>
                </c:pt>
                <c:pt idx="13">
                  <c:v>-11.736152950920941</c:v>
                </c:pt>
                <c:pt idx="14">
                  <c:v>-8.1420174244749877</c:v>
                </c:pt>
                <c:pt idx="15">
                  <c:v>-13.109949170421721</c:v>
                </c:pt>
                <c:pt idx="16">
                  <c:v>-5.9290677557149589</c:v>
                </c:pt>
                <c:pt idx="17">
                  <c:v>-16.149337371990928</c:v>
                </c:pt>
                <c:pt idx="18">
                  <c:v>-13.765504679860427</c:v>
                </c:pt>
                <c:pt idx="19">
                  <c:v>-2.6184933848882124</c:v>
                </c:pt>
                <c:pt idx="20">
                  <c:v>-1.4732765513272545</c:v>
                </c:pt>
                <c:pt idx="21">
                  <c:v>-3.6812557890628406</c:v>
                </c:pt>
                <c:pt idx="22">
                  <c:v>-3.0459699307820109</c:v>
                </c:pt>
                <c:pt idx="23">
                  <c:v>-3.0798560935884831</c:v>
                </c:pt>
                <c:pt idx="24">
                  <c:v>-3.0826214953713289</c:v>
                </c:pt>
                <c:pt idx="25">
                  <c:v>-3.1141987508793174</c:v>
                </c:pt>
                <c:pt idx="26">
                  <c:v>-3.1575594519510486</c:v>
                </c:pt>
                <c:pt idx="27">
                  <c:v>-3.1600131709950872</c:v>
                </c:pt>
                <c:pt idx="28">
                  <c:v>-3.1625051562282116</c:v>
                </c:pt>
                <c:pt idx="29">
                  <c:v>-3.1625137638676453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63-4311-9E9A-85D3621A1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35392"/>
        <c:axId val="534245376"/>
      </c:lineChart>
      <c:catAx>
        <c:axId val="53423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424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424537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4235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10494335362403791"/>
          <c:y val="0.6669535990267571"/>
          <c:w val="0.20006607997529718"/>
          <c:h val="9.7021582493271141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6.5059493174320623E-2"/>
          <c:w val="0.85019536018376107"/>
          <c:h val="0.75374010951246073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Charts_Support!$A$498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Charts_Support!$AB$498:$CS$498</c:f>
              <c:numCache>
                <c:formatCode>0.0%</c:formatCode>
                <c:ptCount val="46"/>
                <c:pt idx="1">
                  <c:v>0.17537404954623498</c:v>
                </c:pt>
                <c:pt idx="2">
                  <c:v>0.16387872451646629</c:v>
                </c:pt>
                <c:pt idx="3">
                  <c:v>0.18929215961499898</c:v>
                </c:pt>
                <c:pt idx="4">
                  <c:v>0.19450631031922791</c:v>
                </c:pt>
                <c:pt idx="5">
                  <c:v>0.21648368640791713</c:v>
                </c:pt>
                <c:pt idx="6">
                  <c:v>0.21420905773771196</c:v>
                </c:pt>
                <c:pt idx="7">
                  <c:v>0.23005565862708721</c:v>
                </c:pt>
                <c:pt idx="8">
                  <c:v>0.23103171417101565</c:v>
                </c:pt>
                <c:pt idx="9">
                  <c:v>0.26091783863804591</c:v>
                </c:pt>
                <c:pt idx="10">
                  <c:v>0.22580019398642096</c:v>
                </c:pt>
                <c:pt idx="11">
                  <c:v>0.23915482423335827</c:v>
                </c:pt>
                <c:pt idx="12">
                  <c:v>0.24274836838288616</c:v>
                </c:pt>
                <c:pt idx="13">
                  <c:v>0.24015418133065192</c:v>
                </c:pt>
                <c:pt idx="14">
                  <c:v>0.22371725870111231</c:v>
                </c:pt>
                <c:pt idx="15">
                  <c:v>0.23843296183721716</c:v>
                </c:pt>
                <c:pt idx="16">
                  <c:v>0.22314192102086566</c:v>
                </c:pt>
                <c:pt idx="17">
                  <c:v>0.25932309620808525</c:v>
                </c:pt>
                <c:pt idx="18">
                  <c:v>0.22761380690345173</c:v>
                </c:pt>
                <c:pt idx="19">
                  <c:v>0.24299215120935447</c:v>
                </c:pt>
                <c:pt idx="20">
                  <c:v>0.22655007949125597</c:v>
                </c:pt>
                <c:pt idx="21">
                  <c:v>0.22994806693594921</c:v>
                </c:pt>
                <c:pt idx="22">
                  <c:v>0.20948802254579615</c:v>
                </c:pt>
                <c:pt idx="23">
                  <c:v>0.24249891288592548</c:v>
                </c:pt>
                <c:pt idx="24">
                  <c:v>0.2284431137724551</c:v>
                </c:pt>
                <c:pt idx="25">
                  <c:v>0.22934767618259549</c:v>
                </c:pt>
                <c:pt idx="26">
                  <c:v>0.20499194847020935</c:v>
                </c:pt>
                <c:pt idx="27">
                  <c:v>-0.12066473988439307</c:v>
                </c:pt>
                <c:pt idx="28">
                  <c:v>0.11337272926242066</c:v>
                </c:pt>
                <c:pt idx="29">
                  <c:v>0.25543478260869568</c:v>
                </c:pt>
                <c:pt idx="30">
                  <c:v>0.18110552763819096</c:v>
                </c:pt>
                <c:pt idx="31">
                  <c:v>0.24114462490332561</c:v>
                </c:pt>
                <c:pt idx="32">
                  <c:v>0.20671140939597316</c:v>
                </c:pt>
                <c:pt idx="33">
                  <c:v>0.26747141041931383</c:v>
                </c:pt>
                <c:pt idx="34">
                  <c:v>0.22440354464894341</c:v>
                </c:pt>
                <c:pt idx="35">
                  <c:v>0.22795261457460811</c:v>
                </c:pt>
                <c:pt idx="36">
                  <c:v>0.22242056408425562</c:v>
                </c:pt>
                <c:pt idx="37">
                  <c:v>0.22906219993598634</c:v>
                </c:pt>
                <c:pt idx="38">
                  <c:v>0.22026136490561823</c:v>
                </c:pt>
                <c:pt idx="39">
                  <c:v>0.23975180551317263</c:v>
                </c:pt>
                <c:pt idx="40">
                  <c:v>0.22787878787878788</c:v>
                </c:pt>
                <c:pt idx="41">
                  <c:v>0.22671913059771406</c:v>
                </c:pt>
                <c:pt idx="42">
                  <c:v>0.24007113218731477</c:v>
                </c:pt>
                <c:pt idx="43">
                  <c:v>0.2471479334206097</c:v>
                </c:pt>
                <c:pt idx="44">
                  <c:v>0.22999999999999995</c:v>
                </c:pt>
                <c:pt idx="45">
                  <c:v>0.22500000000000001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B-489C-BBA3-1C24EEB23072}"/>
            </c:ext>
          </c:extLst>
        </c:ser>
        <c:ser>
          <c:idx val="0"/>
          <c:order val="1"/>
          <c:tx>
            <c:strRef>
              <c:f>Charts_Support!$A$499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Charts_Support!$AC$499:$CS$499</c:f>
              <c:numCache>
                <c:formatCode>0.0%</c:formatCode>
                <c:ptCount val="45"/>
                <c:pt idx="0">
                  <c:v>0.15698462028846918</c:v>
                </c:pt>
                <c:pt idx="1">
                  <c:v>0.13440320962888666</c:v>
                </c:pt>
                <c:pt idx="2">
                  <c:v>0.12557286892758937</c:v>
                </c:pt>
                <c:pt idx="3">
                  <c:v>0.14829821717990274</c:v>
                </c:pt>
                <c:pt idx="4">
                  <c:v>0.17321016166281755</c:v>
                </c:pt>
                <c:pt idx="5">
                  <c:v>0.12380250552689757</c:v>
                </c:pt>
                <c:pt idx="6">
                  <c:v>0.14205607476635515</c:v>
                </c:pt>
                <c:pt idx="7">
                  <c:v>0.16982152514872903</c:v>
                </c:pt>
                <c:pt idx="8">
                  <c:v>0.16308337703198741</c:v>
                </c:pt>
                <c:pt idx="9">
                  <c:v>0.12199747155499367</c:v>
                </c:pt>
                <c:pt idx="10">
                  <c:v>0.13582166925868325</c:v>
                </c:pt>
                <c:pt idx="11">
                  <c:v>0.1584553928095872</c:v>
                </c:pt>
                <c:pt idx="12">
                  <c:v>0.17584745762711865</c:v>
                </c:pt>
                <c:pt idx="13">
                  <c:v>0.14512195121951219</c:v>
                </c:pt>
                <c:pt idx="14">
                  <c:v>0.15108207431604737</c:v>
                </c:pt>
                <c:pt idx="15">
                  <c:v>0.16059225512528474</c:v>
                </c:pt>
                <c:pt idx="16">
                  <c:v>0.15036496350364964</c:v>
                </c:pt>
                <c:pt idx="17">
                  <c:v>0.12842315969419907</c:v>
                </c:pt>
                <c:pt idx="18">
                  <c:v>0.13356812947008312</c:v>
                </c:pt>
                <c:pt idx="19">
                  <c:v>0.15306536743808363</c:v>
                </c:pt>
                <c:pt idx="20">
                  <c:v>0.13840399002493767</c:v>
                </c:pt>
                <c:pt idx="21">
                  <c:v>0.12195197117530882</c:v>
                </c:pt>
                <c:pt idx="22">
                  <c:v>0.12867370601992148</c:v>
                </c:pt>
                <c:pt idx="23">
                  <c:v>0.15098316109708723</c:v>
                </c:pt>
                <c:pt idx="24">
                  <c:v>0.11587471332228716</c:v>
                </c:pt>
                <c:pt idx="25">
                  <c:v>4.7597677233351017E-2</c:v>
                </c:pt>
                <c:pt idx="26">
                  <c:v>-0.17655186530883782</c:v>
                </c:pt>
                <c:pt idx="27">
                  <c:v>8.6142106024336321E-2</c:v>
                </c:pt>
                <c:pt idx="28">
                  <c:v>0.13632397335936633</c:v>
                </c:pt>
                <c:pt idx="29">
                  <c:v>0.11895749972964204</c:v>
                </c:pt>
                <c:pt idx="30">
                  <c:v>0.10916847699577593</c:v>
                </c:pt>
                <c:pt idx="31">
                  <c:v>0.16216604317330474</c:v>
                </c:pt>
                <c:pt idx="32">
                  <c:v>0.15309276897284915</c:v>
                </c:pt>
                <c:pt idx="33">
                  <c:v>0.13735401520494178</c:v>
                </c:pt>
                <c:pt idx="34">
                  <c:v>0.14454066431774909</c:v>
                </c:pt>
                <c:pt idx="35">
                  <c:v>0.16576370736781634</c:v>
                </c:pt>
                <c:pt idx="36">
                  <c:v>0.13784279927717216</c:v>
                </c:pt>
                <c:pt idx="37">
                  <c:v>0.16073822217785622</c:v>
                </c:pt>
                <c:pt idx="38">
                  <c:v>0.15200247365242292</c:v>
                </c:pt>
                <c:pt idx="39">
                  <c:v>0.15590851298631439</c:v>
                </c:pt>
                <c:pt idx="40">
                  <c:v>0.16814797732489004</c:v>
                </c:pt>
                <c:pt idx="41">
                  <c:v>0.15648942313375944</c:v>
                </c:pt>
                <c:pt idx="42">
                  <c:v>0.13545032817258859</c:v>
                </c:pt>
                <c:pt idx="43">
                  <c:v>0.13045032817258859</c:v>
                </c:pt>
                <c:pt idx="44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B-489C-BBA3-1C24EEB23072}"/>
            </c:ext>
          </c:extLst>
        </c:ser>
        <c:ser>
          <c:idx val="2"/>
          <c:order val="2"/>
          <c:tx>
            <c:strRef>
              <c:f>Charts_Support!$A$500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Charts_Support!$AG$500:$CS$500</c:f>
              <c:numCache>
                <c:formatCode>0.0%</c:formatCode>
                <c:ptCount val="41"/>
                <c:pt idx="0">
                  <c:v>0.19754768392370572</c:v>
                </c:pt>
                <c:pt idx="1">
                  <c:v>0.18900602409638553</c:v>
                </c:pt>
                <c:pt idx="2">
                  <c:v>0.1891271056661562</c:v>
                </c:pt>
                <c:pt idx="3">
                  <c:v>0.17672413793103448</c:v>
                </c:pt>
                <c:pt idx="4">
                  <c:v>0.20522161505768063</c:v>
                </c:pt>
                <c:pt idx="5">
                  <c:v>0.19521690767519467</c:v>
                </c:pt>
                <c:pt idx="6">
                  <c:v>0.18949133594186696</c:v>
                </c:pt>
                <c:pt idx="7">
                  <c:v>0.18231441048034935</c:v>
                </c:pt>
                <c:pt idx="8">
                  <c:v>0.21915285451197053</c:v>
                </c:pt>
                <c:pt idx="9">
                  <c:v>0.19902912621359223</c:v>
                </c:pt>
                <c:pt idx="10">
                  <c:v>0.19756838905775076</c:v>
                </c:pt>
                <c:pt idx="11">
                  <c:v>0.18208516886930984</c:v>
                </c:pt>
                <c:pt idx="12">
                  <c:v>0.22222222222222221</c:v>
                </c:pt>
                <c:pt idx="13">
                  <c:v>0.20032245062474807</c:v>
                </c:pt>
                <c:pt idx="14">
                  <c:v>0.19041560644614081</c:v>
                </c:pt>
                <c:pt idx="15">
                  <c:v>0.17726887192536048</c:v>
                </c:pt>
                <c:pt idx="16">
                  <c:v>0.20520446096654274</c:v>
                </c:pt>
                <c:pt idx="17">
                  <c:v>0.16193125372541228</c:v>
                </c:pt>
                <c:pt idx="18">
                  <c:v>0.16501335368180084</c:v>
                </c:pt>
                <c:pt idx="19">
                  <c:v>0.15283342873497424</c:v>
                </c:pt>
                <c:pt idx="20">
                  <c:v>0.22315937445088738</c:v>
                </c:pt>
                <c:pt idx="21">
                  <c:v>9.3975903614457831E-2</c:v>
                </c:pt>
                <c:pt idx="22">
                  <c:v>-0.34344660194174759</c:v>
                </c:pt>
                <c:pt idx="23">
                  <c:v>0.12536945812807881</c:v>
                </c:pt>
                <c:pt idx="24">
                  <c:v>0.21339330334832585</c:v>
                </c:pt>
                <c:pt idx="25">
                  <c:v>0.10824742268041238</c:v>
                </c:pt>
                <c:pt idx="26">
                  <c:v>0.16331775700934578</c:v>
                </c:pt>
                <c:pt idx="27">
                  <c:v>0.189648033126294</c:v>
                </c:pt>
                <c:pt idx="28">
                  <c:v>0.24587061252580866</c:v>
                </c:pt>
                <c:pt idx="29">
                  <c:v>0.15255544840887175</c:v>
                </c:pt>
                <c:pt idx="30">
                  <c:v>0.16620549714074895</c:v>
                </c:pt>
                <c:pt idx="31">
                  <c:v>0.11076356945722171</c:v>
                </c:pt>
                <c:pt idx="32">
                  <c:v>0.15669755686604886</c:v>
                </c:pt>
                <c:pt idx="33">
                  <c:v>0.13017751479289941</c:v>
                </c:pt>
                <c:pt idx="34">
                  <c:v>0.15305761753269706</c:v>
                </c:pt>
                <c:pt idx="35">
                  <c:v>0.15682100408018448</c:v>
                </c:pt>
                <c:pt idx="36">
                  <c:v>0.1747620610436495</c:v>
                </c:pt>
                <c:pt idx="37">
                  <c:v>0.13582062120933652</c:v>
                </c:pt>
                <c:pt idx="38">
                  <c:v>0.13392694893694349</c:v>
                </c:pt>
                <c:pt idx="39">
                  <c:v>0.14082100408018447</c:v>
                </c:pt>
                <c:pt idx="40">
                  <c:v>0.16376206104364949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7B-489C-BBA3-1C24EEB23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2080"/>
        <c:axId val="534307968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7B-489C-BBA3-1C24EEB23072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7B-489C-BBA3-1C24EEB23072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7B-489C-BBA3-1C24EEB23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309504"/>
        <c:axId val="534319488"/>
      </c:scatterChart>
      <c:catAx>
        <c:axId val="53430208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4307968"/>
        <c:crossesAt val="1.8000000000000002E-2"/>
        <c:auto val="1"/>
        <c:lblAlgn val="ctr"/>
        <c:lblOffset val="100"/>
        <c:tickLblSkip val="2"/>
        <c:tickMarkSkip val="2"/>
        <c:noMultiLvlLbl val="0"/>
      </c:catAx>
      <c:valAx>
        <c:axId val="5343079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4302080"/>
        <c:crosses val="autoZero"/>
        <c:crossBetween val="midCat"/>
      </c:valAx>
      <c:valAx>
        <c:axId val="534309504"/>
        <c:scaling>
          <c:orientation val="minMax"/>
        </c:scaling>
        <c:delete val="1"/>
        <c:axPos val="t"/>
        <c:numFmt formatCode="00" sourceLinked="1"/>
        <c:majorTickMark val="out"/>
        <c:minorTickMark val="none"/>
        <c:tickLblPos val="nextTo"/>
        <c:crossAx val="534319488"/>
        <c:crosses val="max"/>
        <c:crossBetween val="midCat"/>
      </c:valAx>
      <c:valAx>
        <c:axId val="534319488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4309504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1343841473690713"/>
          <c:y val="0.72918391280974204"/>
          <c:w val="0.55568596471117193"/>
          <c:h val="8.2504948345288473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50304387751105"/>
          <c:y val="5.2117346735906227E-2"/>
          <c:w val="0.84540198198422023"/>
          <c:h val="0.77055454606635709"/>
        </c:manualLayout>
      </c:layout>
      <c:lineChart>
        <c:grouping val="standard"/>
        <c:varyColors val="0"/>
        <c:ser>
          <c:idx val="4"/>
          <c:order val="0"/>
          <c:tx>
            <c:strRef>
              <c:f>Charts_Support!$A$541</c:f>
              <c:strCache>
                <c:ptCount val="1"/>
                <c:pt idx="0">
                  <c:v>Net Debt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Charts_Support!$K$550:$CS$550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Charts_Support!$K$542:$CS$542</c:f>
              <c:numCache>
                <c:formatCode>#,##0_);\(#,##0\)</c:formatCode>
                <c:ptCount val="63"/>
                <c:pt idx="0">
                  <c:v>1350.7820000000002</c:v>
                </c:pt>
                <c:pt idx="1">
                  <c:v>881.99499999999989</c:v>
                </c:pt>
                <c:pt idx="2">
                  <c:v>864.92000000000007</c:v>
                </c:pt>
                <c:pt idx="3">
                  <c:v>906.024</c:v>
                </c:pt>
                <c:pt idx="4">
                  <c:v>980.822</c:v>
                </c:pt>
                <c:pt idx="5">
                  <c:v>877.221</c:v>
                </c:pt>
                <c:pt idx="6">
                  <c:v>1015.8440000000001</c:v>
                </c:pt>
                <c:pt idx="7">
                  <c:v>1148.8280000000002</c:v>
                </c:pt>
                <c:pt idx="8">
                  <c:v>1186.963</c:v>
                </c:pt>
                <c:pt idx="9">
                  <c:v>1099.9699999999998</c:v>
                </c:pt>
                <c:pt idx="10">
                  <c:v>3317.152</c:v>
                </c:pt>
                <c:pt idx="11">
                  <c:v>3054.9050000000002</c:v>
                </c:pt>
                <c:pt idx="12">
                  <c:v>2985.8419999999996</c:v>
                </c:pt>
                <c:pt idx="13">
                  <c:v>2809.82</c:v>
                </c:pt>
                <c:pt idx="14">
                  <c:v>1541.886</c:v>
                </c:pt>
                <c:pt idx="15">
                  <c:v>1566.8830000000003</c:v>
                </c:pt>
                <c:pt idx="16">
                  <c:v>2821.2719999999999</c:v>
                </c:pt>
                <c:pt idx="17">
                  <c:v>4471.2240000000002</c:v>
                </c:pt>
                <c:pt idx="18">
                  <c:v>4380.3469999999998</c:v>
                </c:pt>
                <c:pt idx="19">
                  <c:v>4579.8850000000002</c:v>
                </c:pt>
                <c:pt idx="20">
                  <c:v>6141.1350000000002</c:v>
                </c:pt>
                <c:pt idx="21">
                  <c:v>6722.3290000000006</c:v>
                </c:pt>
                <c:pt idx="22">
                  <c:v>10126.329</c:v>
                </c:pt>
                <c:pt idx="23">
                  <c:v>10688.098</c:v>
                </c:pt>
                <c:pt idx="24">
                  <c:v>11577.710000000001</c:v>
                </c:pt>
                <c:pt idx="25">
                  <c:v>11754.452000000001</c:v>
                </c:pt>
                <c:pt idx="26">
                  <c:v>11037.527</c:v>
                </c:pt>
                <c:pt idx="27">
                  <c:v>16757.112000000001</c:v>
                </c:pt>
                <c:pt idx="28">
                  <c:v>17583.052000000003</c:v>
                </c:pt>
                <c:pt idx="29">
                  <c:v>17888.481</c:v>
                </c:pt>
                <c:pt idx="30">
                  <c:v>17842.142</c:v>
                </c:pt>
                <c:pt idx="31">
                  <c:v>18633.111999999997</c:v>
                </c:pt>
                <c:pt idx="32">
                  <c:v>19747.028000000002</c:v>
                </c:pt>
                <c:pt idx="33">
                  <c:v>20659.212000000003</c:v>
                </c:pt>
                <c:pt idx="34">
                  <c:v>19081.171999999999</c:v>
                </c:pt>
                <c:pt idx="35">
                  <c:v>19087.416000000001</c:v>
                </c:pt>
                <c:pt idx="36">
                  <c:v>19752.237000000001</c:v>
                </c:pt>
                <c:pt idx="37">
                  <c:v>19871.702999999998</c:v>
                </c:pt>
                <c:pt idx="38">
                  <c:v>28769.674999999999</c:v>
                </c:pt>
                <c:pt idx="39">
                  <c:v>32844.054999999993</c:v>
                </c:pt>
                <c:pt idx="40">
                  <c:v>30551.843999999997</c:v>
                </c:pt>
                <c:pt idx="41">
                  <c:v>30255.258000000002</c:v>
                </c:pt>
                <c:pt idx="42">
                  <c:v>30056.912</c:v>
                </c:pt>
                <c:pt idx="43">
                  <c:v>33909.474999999999</c:v>
                </c:pt>
                <c:pt idx="44">
                  <c:v>36424.815000000002</c:v>
                </c:pt>
                <c:pt idx="45">
                  <c:v>36379.738999999994</c:v>
                </c:pt>
                <c:pt idx="46">
                  <c:v>39309.148999999998</c:v>
                </c:pt>
                <c:pt idx="47">
                  <c:v>39332.432000000001</c:v>
                </c:pt>
                <c:pt idx="48">
                  <c:v>38476.966999999997</c:v>
                </c:pt>
                <c:pt idx="49">
                  <c:v>39111.396999999997</c:v>
                </c:pt>
                <c:pt idx="50">
                  <c:v>35507.777000000002</c:v>
                </c:pt>
                <c:pt idx="51">
                  <c:v>35007.223000000005</c:v>
                </c:pt>
                <c:pt idx="52">
                  <c:v>33981.728999999999</c:v>
                </c:pt>
                <c:pt idx="53">
                  <c:v>32929.531999999999</c:v>
                </c:pt>
                <c:pt idx="54">
                  <c:v>32279.905999999999</c:v>
                </c:pt>
                <c:pt idx="55">
                  <c:v>32696.763999999996</c:v>
                </c:pt>
                <c:pt idx="56">
                  <c:v>32253.778999999995</c:v>
                </c:pt>
                <c:pt idx="57">
                  <c:v>31914.882000000001</c:v>
                </c:pt>
                <c:pt idx="58">
                  <c:v>30071.727999999999</c:v>
                </c:pt>
                <c:pt idx="59">
                  <c:v>31910.704000000002</c:v>
                </c:pt>
                <c:pt idx="60">
                  <c:v>35214.481999999996</c:v>
                </c:pt>
                <c:pt idx="61">
                  <c:v>35085.237908501644</c:v>
                </c:pt>
                <c:pt idx="62">
                  <c:v>33741.590707330535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2-48A2-8957-38ECB680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52640"/>
        <c:axId val="534354176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172-48A2-8957-38ECB680E563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72-48A2-8957-38ECB680E563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72-48A2-8957-38ECB680E563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0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8172-48A2-8957-38ECB680E563}"/>
              </c:ext>
            </c:extLst>
          </c:dPt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172-48A2-8957-38ECB680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360064"/>
        <c:axId val="534361600"/>
      </c:scatterChart>
      <c:catAx>
        <c:axId val="53435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3541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435417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352640"/>
        <c:crosses val="autoZero"/>
        <c:crossBetween val="midCat"/>
      </c:valAx>
      <c:valAx>
        <c:axId val="53436006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4361600"/>
        <c:crosses val="autoZero"/>
        <c:crossBetween val="midCat"/>
      </c:valAx>
      <c:valAx>
        <c:axId val="53436160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4360064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2985428191339091"/>
          <c:y val="8.9959283935661882E-2"/>
          <c:w val="0.30436661170778312"/>
          <c:h val="9.80749040985261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4421429998533E-2"/>
          <c:y val="5.0124192711999541E-2"/>
          <c:w val="0.86575957188230845"/>
          <c:h val="0.7834112891704971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Charts_Support!$A$449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rgbClr val="0083C3"/>
              </a:solidFill>
              <a:prstDash val="solid"/>
            </a:ln>
          </c:spPr>
          <c:marker>
            <c:symbol val="none"/>
          </c:marker>
          <c:cat>
            <c:strRef>
              <c:f>Charts_Support!$AC$447:$CS$447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Charts_Support!$AB$449:$CS$449</c:f>
              <c:numCache>
                <c:formatCode>0.0%</c:formatCode>
                <c:ptCount val="46"/>
                <c:pt idx="0">
                  <c:v>#N/A</c:v>
                </c:pt>
                <c:pt idx="1">
                  <c:v>4.7E-2</c:v>
                </c:pt>
                <c:pt idx="2">
                  <c:v>2.5999999999999999E-2</c:v>
                </c:pt>
                <c:pt idx="3">
                  <c:v>1.7999999999999999E-2</c:v>
                </c:pt>
                <c:pt idx="4">
                  <c:v>-2.5000000000000001E-2</c:v>
                </c:pt>
                <c:pt idx="5">
                  <c:v>-2.8000000000000001E-2</c:v>
                </c:pt>
                <c:pt idx="6">
                  <c:v>2.5999999999999999E-2</c:v>
                </c:pt>
                <c:pt idx="7">
                  <c:v>0.02</c:v>
                </c:pt>
                <c:pt idx="8">
                  <c:v>5.8000000000000003E-2</c:v>
                </c:pt>
                <c:pt idx="9">
                  <c:v>6.0999999999999999E-2</c:v>
                </c:pt>
                <c:pt idx="10">
                  <c:v>6.2E-2</c:v>
                </c:pt>
                <c:pt idx="11">
                  <c:v>6.2E-2</c:v>
                </c:pt>
                <c:pt idx="12">
                  <c:v>6.4000000000000001E-2</c:v>
                </c:pt>
                <c:pt idx="13">
                  <c:v>4.9000000000000002E-2</c:v>
                </c:pt>
                <c:pt idx="14">
                  <c:v>1.9E-2</c:v>
                </c:pt>
                <c:pt idx="15">
                  <c:v>0.05</c:v>
                </c:pt>
                <c:pt idx="16">
                  <c:v>1.7000000000000001E-2</c:v>
                </c:pt>
                <c:pt idx="17">
                  <c:v>3.9E-2</c:v>
                </c:pt>
                <c:pt idx="18">
                  <c:v>7.0999999999999994E-2</c:v>
                </c:pt>
                <c:pt idx="19">
                  <c:v>2.8000000000000001E-2</c:v>
                </c:pt>
                <c:pt idx="20">
                  <c:v>2.8000000000000001E-2</c:v>
                </c:pt>
                <c:pt idx="21">
                  <c:v>3.5000000000000003E-2</c:v>
                </c:pt>
                <c:pt idx="22">
                  <c:v>2.1000000000000001E-2</c:v>
                </c:pt>
                <c:pt idx="23">
                  <c:v>6.3E-2</c:v>
                </c:pt>
                <c:pt idx="24">
                  <c:v>3.5999999999999997E-2</c:v>
                </c:pt>
                <c:pt idx="25">
                  <c:v>2.3E-2</c:v>
                </c:pt>
                <c:pt idx="26">
                  <c:v>-2.5999999999999999E-2</c:v>
                </c:pt>
                <c:pt idx="27">
                  <c:v>-0.443</c:v>
                </c:pt>
                <c:pt idx="28">
                  <c:v>-0.29599999999999999</c:v>
                </c:pt>
                <c:pt idx="29">
                  <c:v>-0.218</c:v>
                </c:pt>
                <c:pt idx="30">
                  <c:v>-8.4000000000000005E-2</c:v>
                </c:pt>
                <c:pt idx="31">
                  <c:v>0.86</c:v>
                </c:pt>
                <c:pt idx="32">
                  <c:v>0.435</c:v>
                </c:pt>
                <c:pt idx="33">
                  <c:v>0.44500000000000001</c:v>
                </c:pt>
                <c:pt idx="34">
                  <c:v>0.44400000000000001</c:v>
                </c:pt>
                <c:pt idx="35">
                  <c:v>0.28100000000000003</c:v>
                </c:pt>
                <c:pt idx="36">
                  <c:v>0.23499999999999999</c:v>
                </c:pt>
                <c:pt idx="37">
                  <c:v>0.16</c:v>
                </c:pt>
                <c:pt idx="38">
                  <c:v>0.184</c:v>
                </c:pt>
                <c:pt idx="39">
                  <c:v>0.14099999999999999</c:v>
                </c:pt>
                <c:pt idx="40">
                  <c:v>0.16200000000000001</c:v>
                </c:pt>
                <c:pt idx="41">
                  <c:v>0.13500000000000001</c:v>
                </c:pt>
                <c:pt idx="42">
                  <c:v>0.10100000000000001</c:v>
                </c:pt>
                <c:pt idx="43">
                  <c:v>7.2999999999999995E-2</c:v>
                </c:pt>
                <c:pt idx="44">
                  <c:v>4.691657931847279E-2</c:v>
                </c:pt>
                <c:pt idx="45">
                  <c:v>4.3916423901643048E-2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A-4062-A59A-09A47BD8D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89248"/>
        <c:axId val="53559078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A-4062-A59A-09A47BD8D4F1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A-4062-A59A-09A47BD8D4F1}"/>
            </c:ext>
          </c:extLst>
        </c:ser>
        <c:ser>
          <c:idx val="3"/>
          <c:order val="3"/>
          <c:tx>
            <c:v>3</c:v>
          </c:tx>
          <c:spPr>
            <a:ln w="28575">
              <a:solidFill>
                <a:srgbClr val="FF000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429A-4062-A59A-09A47BD8D4F1}"/>
              </c:ext>
            </c:extLst>
          </c:dPt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9A-4062-A59A-09A47BD8D4F1}"/>
            </c:ext>
          </c:extLst>
        </c:ser>
        <c:ser>
          <c:idx val="4"/>
          <c:order val="4"/>
          <c:tx>
            <c:strRef>
              <c:f>Charts_Support!$AY$447</c:f>
              <c:strCache>
                <c:ptCount val="1"/>
                <c:pt idx="0">
                  <c:v>2Q19</c:v>
                </c:pt>
              </c:strCache>
            </c:strRef>
          </c:tx>
          <c:marker>
            <c:symbol val="none"/>
          </c:marker>
          <c:yVal>
            <c:numRef>
              <c:f>Charts_Support!$AY$449</c:f>
              <c:numCache>
                <c:formatCode>0.0%</c:formatCode>
                <c:ptCount val="1"/>
                <c:pt idx="0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29A-4062-A59A-09A47BD8D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92320"/>
        <c:axId val="535594112"/>
      </c:scatterChart>
      <c:catAx>
        <c:axId val="53558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590784"/>
        <c:crosses val="autoZero"/>
        <c:auto val="1"/>
        <c:lblAlgn val="ctr"/>
        <c:lblOffset val="100"/>
        <c:tickLblSkip val="2"/>
        <c:tickMarkSkip val="3"/>
        <c:noMultiLvlLbl val="0"/>
      </c:catAx>
      <c:valAx>
        <c:axId val="53559078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589248"/>
        <c:crossesAt val="1"/>
        <c:crossBetween val="midCat"/>
      </c:valAx>
      <c:valAx>
        <c:axId val="53559232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5594112"/>
        <c:crosses val="autoZero"/>
        <c:crossBetween val="midCat"/>
      </c:valAx>
      <c:valAx>
        <c:axId val="53559411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559232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5280683704963"/>
          <c:y val="7.4772299616394103E-2"/>
          <c:w val="0.82973159079565251"/>
          <c:h val="0.737414577024025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Charts_Support!$AD$447:$CS$447</c:f>
              <c:strCache>
                <c:ptCount val="44"/>
                <c:pt idx="0">
                  <c:v>1Q14</c:v>
                </c:pt>
                <c:pt idx="1">
                  <c:v>2Q14</c:v>
                </c:pt>
                <c:pt idx="2">
                  <c:v>3Q14</c:v>
                </c:pt>
                <c:pt idx="3">
                  <c:v>4Q14</c:v>
                </c:pt>
                <c:pt idx="4">
                  <c:v>1Q15</c:v>
                </c:pt>
                <c:pt idx="5">
                  <c:v>2Q15</c:v>
                </c:pt>
                <c:pt idx="6">
                  <c:v>3Q15</c:v>
                </c:pt>
                <c:pt idx="7">
                  <c:v>4Q15</c:v>
                </c:pt>
                <c:pt idx="8">
                  <c:v>1Q16</c:v>
                </c:pt>
                <c:pt idx="9">
                  <c:v>2Q16</c:v>
                </c:pt>
                <c:pt idx="10">
                  <c:v>3Q16</c:v>
                </c:pt>
                <c:pt idx="11">
                  <c:v>4Q16</c:v>
                </c:pt>
                <c:pt idx="12">
                  <c:v>1Q17</c:v>
                </c:pt>
                <c:pt idx="13">
                  <c:v>2Q17</c:v>
                </c:pt>
                <c:pt idx="14">
                  <c:v>3Q17</c:v>
                </c:pt>
                <c:pt idx="15">
                  <c:v>4Q17</c:v>
                </c:pt>
                <c:pt idx="16">
                  <c:v>1Q18</c:v>
                </c:pt>
                <c:pt idx="17">
                  <c:v>2Q18</c:v>
                </c:pt>
                <c:pt idx="18">
                  <c:v>3Q18</c:v>
                </c:pt>
                <c:pt idx="19">
                  <c:v>4Q18</c:v>
                </c:pt>
                <c:pt idx="20">
                  <c:v>1Q19</c:v>
                </c:pt>
                <c:pt idx="21">
                  <c:v>2Q19</c:v>
                </c:pt>
                <c:pt idx="22">
                  <c:v>3Q19</c:v>
                </c:pt>
                <c:pt idx="23">
                  <c:v>4Q19</c:v>
                </c:pt>
                <c:pt idx="24">
                  <c:v>1Q20</c:v>
                </c:pt>
                <c:pt idx="25">
                  <c:v>2Q20</c:v>
                </c:pt>
                <c:pt idx="26">
                  <c:v>3Q20</c:v>
                </c:pt>
                <c:pt idx="27">
                  <c:v>4Q20</c:v>
                </c:pt>
                <c:pt idx="28">
                  <c:v>1Q21</c:v>
                </c:pt>
                <c:pt idx="29">
                  <c:v>2Q21</c:v>
                </c:pt>
                <c:pt idx="30">
                  <c:v>3Q21</c:v>
                </c:pt>
                <c:pt idx="31">
                  <c:v>4Q21</c:v>
                </c:pt>
                <c:pt idx="32">
                  <c:v>1Q22</c:v>
                </c:pt>
                <c:pt idx="33">
                  <c:v>2Q22</c:v>
                </c:pt>
                <c:pt idx="34">
                  <c:v>3Q22</c:v>
                </c:pt>
                <c:pt idx="35">
                  <c:v>4Q22</c:v>
                </c:pt>
                <c:pt idx="36">
                  <c:v>1Q23</c:v>
                </c:pt>
                <c:pt idx="37">
                  <c:v>2Q23</c:v>
                </c:pt>
                <c:pt idx="38">
                  <c:v>3Q23</c:v>
                </c:pt>
                <c:pt idx="39">
                  <c:v>4Q23</c:v>
                </c:pt>
                <c:pt idx="40">
                  <c:v>1Q24</c:v>
                </c:pt>
                <c:pt idx="41">
                  <c:v>2Q24e</c:v>
                </c:pt>
                <c:pt idx="42">
                  <c:v>3Q24e</c:v>
                </c:pt>
                <c:pt idx="43">
                  <c:v>4Q24e</c:v>
                </c:pt>
              </c:strCache>
            </c:strRef>
          </c:cat>
          <c:val>
            <c:numRef>
              <c:f>Charts_Support!$AB$450:$CS$450</c:f>
              <c:numCache>
                <c:formatCode>0.0%</c:formatCode>
                <c:ptCount val="46"/>
                <c:pt idx="0">
                  <c:v>#N/A</c:v>
                </c:pt>
                <c:pt idx="1">
                  <c:v>0.26</c:v>
                </c:pt>
                <c:pt idx="2">
                  <c:v>0.26500000000000001</c:v>
                </c:pt>
                <c:pt idx="3">
                  <c:v>0.19800000000000001</c:v>
                </c:pt>
                <c:pt idx="4">
                  <c:v>0.16400000000000001</c:v>
                </c:pt>
                <c:pt idx="5">
                  <c:v>0.16700000000000001</c:v>
                </c:pt>
                <c:pt idx="6">
                  <c:v>0.154</c:v>
                </c:pt>
                <c:pt idx="7">
                  <c:v>0.27400000000000002</c:v>
                </c:pt>
                <c:pt idx="8">
                  <c:v>0.29299999999999998</c:v>
                </c:pt>
                <c:pt idx="9">
                  <c:v>0.28399999999999997</c:v>
                </c:pt>
                <c:pt idx="10">
                  <c:v>0.26800000000000002</c:v>
                </c:pt>
                <c:pt idx="11">
                  <c:v>0.23</c:v>
                </c:pt>
                <c:pt idx="12">
                  <c:v>0.23599999999999999</c:v>
                </c:pt>
                <c:pt idx="13">
                  <c:v>0.22</c:v>
                </c:pt>
                <c:pt idx="14">
                  <c:v>0.247</c:v>
                </c:pt>
                <c:pt idx="15">
                  <c:v>0.16600000000000001</c:v>
                </c:pt>
                <c:pt idx="16">
                  <c:v>0.216</c:v>
                </c:pt>
                <c:pt idx="17">
                  <c:v>0.184</c:v>
                </c:pt>
                <c:pt idx="18">
                  <c:v>9.6000000000000002E-2</c:v>
                </c:pt>
                <c:pt idx="19">
                  <c:v>0.126</c:v>
                </c:pt>
                <c:pt idx="20">
                  <c:v>0.10100000000000001</c:v>
                </c:pt>
                <c:pt idx="21">
                  <c:v>0.15</c:v>
                </c:pt>
                <c:pt idx="22">
                  <c:v>0.13100000000000001</c:v>
                </c:pt>
                <c:pt idx="23">
                  <c:v>0.16400000000000001</c:v>
                </c:pt>
                <c:pt idx="24">
                  <c:v>0.186</c:v>
                </c:pt>
                <c:pt idx="25">
                  <c:v>0.11600000000000001</c:v>
                </c:pt>
                <c:pt idx="26">
                  <c:v>6.8000000000000005E-2</c:v>
                </c:pt>
                <c:pt idx="27">
                  <c:v>-0.442</c:v>
                </c:pt>
                <c:pt idx="28">
                  <c:v>-0.36499999999999999</c:v>
                </c:pt>
                <c:pt idx="29">
                  <c:v>-0.14199999999999999</c:v>
                </c:pt>
                <c:pt idx="30">
                  <c:v>4.9000000000000002E-2</c:v>
                </c:pt>
                <c:pt idx="31">
                  <c:v>0.98299999999999998</c:v>
                </c:pt>
                <c:pt idx="32">
                  <c:v>1.01</c:v>
                </c:pt>
                <c:pt idx="33">
                  <c:v>0.78400000000000003</c:v>
                </c:pt>
                <c:pt idx="34">
                  <c:v>0.66400000000000003</c:v>
                </c:pt>
                <c:pt idx="35">
                  <c:v>1.002</c:v>
                </c:pt>
                <c:pt idx="36">
                  <c:v>0.68200000000000005</c:v>
                </c:pt>
                <c:pt idx="37">
                  <c:v>0.53500000000000003</c:v>
                </c:pt>
                <c:pt idx="38">
                  <c:v>0.58299999999999996</c:v>
                </c:pt>
                <c:pt idx="39">
                  <c:v>0.49</c:v>
                </c:pt>
                <c:pt idx="40">
                  <c:v>0.41399999999999998</c:v>
                </c:pt>
                <c:pt idx="41">
                  <c:v>0.28100000000000003</c:v>
                </c:pt>
                <c:pt idx="42">
                  <c:v>0.33400000000000002</c:v>
                </c:pt>
                <c:pt idx="43">
                  <c:v>0.48099999999999998</c:v>
                </c:pt>
                <c:pt idx="44">
                  <c:v>0.43545757945564589</c:v>
                </c:pt>
                <c:pt idx="45">
                  <c:v>0.29217100852820443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F-4ECB-8BF1-ED2720F4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23168"/>
        <c:axId val="53562470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F-4ECB-8BF1-ED2720F4DA08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F-4ECB-8BF1-ED2720F4DA08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F-4ECB-8BF1-ED2720F4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896832"/>
        <c:axId val="535898368"/>
      </c:scatterChart>
      <c:catAx>
        <c:axId val="5356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62470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53562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623168"/>
        <c:crosses val="autoZero"/>
        <c:crossBetween val="midCat"/>
      </c:valAx>
      <c:valAx>
        <c:axId val="53589683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5898368"/>
        <c:crosses val="autoZero"/>
        <c:crossBetween val="midCat"/>
      </c:valAx>
      <c:valAx>
        <c:axId val="53589836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589683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5280683704963"/>
          <c:y val="7.4772299616394103E-2"/>
          <c:w val="0.82973159079565251"/>
          <c:h val="0.737414577024025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Charts_Support!$A$451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Charts_Support!$AD$447:$CS$447</c:f>
              <c:strCache>
                <c:ptCount val="44"/>
                <c:pt idx="0">
                  <c:v>1Q14</c:v>
                </c:pt>
                <c:pt idx="1">
                  <c:v>2Q14</c:v>
                </c:pt>
                <c:pt idx="2">
                  <c:v>3Q14</c:v>
                </c:pt>
                <c:pt idx="3">
                  <c:v>4Q14</c:v>
                </c:pt>
                <c:pt idx="4">
                  <c:v>1Q15</c:v>
                </c:pt>
                <c:pt idx="5">
                  <c:v>2Q15</c:v>
                </c:pt>
                <c:pt idx="6">
                  <c:v>3Q15</c:v>
                </c:pt>
                <c:pt idx="7">
                  <c:v>4Q15</c:v>
                </c:pt>
                <c:pt idx="8">
                  <c:v>1Q16</c:v>
                </c:pt>
                <c:pt idx="9">
                  <c:v>2Q16</c:v>
                </c:pt>
                <c:pt idx="10">
                  <c:v>3Q16</c:v>
                </c:pt>
                <c:pt idx="11">
                  <c:v>4Q16</c:v>
                </c:pt>
                <c:pt idx="12">
                  <c:v>1Q17</c:v>
                </c:pt>
                <c:pt idx="13">
                  <c:v>2Q17</c:v>
                </c:pt>
                <c:pt idx="14">
                  <c:v>3Q17</c:v>
                </c:pt>
                <c:pt idx="15">
                  <c:v>4Q17</c:v>
                </c:pt>
                <c:pt idx="16">
                  <c:v>1Q18</c:v>
                </c:pt>
                <c:pt idx="17">
                  <c:v>2Q18</c:v>
                </c:pt>
                <c:pt idx="18">
                  <c:v>3Q18</c:v>
                </c:pt>
                <c:pt idx="19">
                  <c:v>4Q18</c:v>
                </c:pt>
                <c:pt idx="20">
                  <c:v>1Q19</c:v>
                </c:pt>
                <c:pt idx="21">
                  <c:v>2Q19</c:v>
                </c:pt>
                <c:pt idx="22">
                  <c:v>3Q19</c:v>
                </c:pt>
                <c:pt idx="23">
                  <c:v>4Q19</c:v>
                </c:pt>
                <c:pt idx="24">
                  <c:v>1Q20</c:v>
                </c:pt>
                <c:pt idx="25">
                  <c:v>2Q20</c:v>
                </c:pt>
                <c:pt idx="26">
                  <c:v>3Q20</c:v>
                </c:pt>
                <c:pt idx="27">
                  <c:v>4Q20</c:v>
                </c:pt>
                <c:pt idx="28">
                  <c:v>1Q21</c:v>
                </c:pt>
                <c:pt idx="29">
                  <c:v>2Q21</c:v>
                </c:pt>
                <c:pt idx="30">
                  <c:v>3Q21</c:v>
                </c:pt>
                <c:pt idx="31">
                  <c:v>4Q21</c:v>
                </c:pt>
                <c:pt idx="32">
                  <c:v>1Q22</c:v>
                </c:pt>
                <c:pt idx="33">
                  <c:v>2Q22</c:v>
                </c:pt>
                <c:pt idx="34">
                  <c:v>3Q22</c:v>
                </c:pt>
                <c:pt idx="35">
                  <c:v>4Q22</c:v>
                </c:pt>
                <c:pt idx="36">
                  <c:v>1Q23</c:v>
                </c:pt>
                <c:pt idx="37">
                  <c:v>2Q23</c:v>
                </c:pt>
                <c:pt idx="38">
                  <c:v>3Q23</c:v>
                </c:pt>
                <c:pt idx="39">
                  <c:v>4Q23</c:v>
                </c:pt>
                <c:pt idx="40">
                  <c:v>1Q24</c:v>
                </c:pt>
                <c:pt idx="41">
                  <c:v>2Q24e</c:v>
                </c:pt>
                <c:pt idx="42">
                  <c:v>3Q24e</c:v>
                </c:pt>
                <c:pt idx="43">
                  <c:v>4Q24e</c:v>
                </c:pt>
              </c:strCache>
            </c:strRef>
          </c:cat>
          <c:val>
            <c:numRef>
              <c:f>Charts_Support!$AB$451:$CS$451</c:f>
              <c:numCache>
                <c:formatCode>0.0%</c:formatCode>
                <c:ptCount val="4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8.8999999999999996E-2</c:v>
                </c:pt>
                <c:pt idx="6">
                  <c:v>9.7000000000000003E-2</c:v>
                </c:pt>
                <c:pt idx="7">
                  <c:v>3.6999999999999998E-2</c:v>
                </c:pt>
                <c:pt idx="8">
                  <c:v>7.0999999999999994E-2</c:v>
                </c:pt>
                <c:pt idx="9">
                  <c:v>7.1999999999999995E-2</c:v>
                </c:pt>
                <c:pt idx="10">
                  <c:v>8.5000000000000006E-2</c:v>
                </c:pt>
                <c:pt idx="11">
                  <c:v>7.2999999999999995E-2</c:v>
                </c:pt>
                <c:pt idx="12">
                  <c:v>1.9E-2</c:v>
                </c:pt>
                <c:pt idx="13">
                  <c:v>3.0000000000000001E-3</c:v>
                </c:pt>
                <c:pt idx="14">
                  <c:v>0.02</c:v>
                </c:pt>
                <c:pt idx="15">
                  <c:v>1.7000000000000001E-2</c:v>
                </c:pt>
                <c:pt idx="16">
                  <c:v>3.5000000000000003E-2</c:v>
                </c:pt>
                <c:pt idx="17">
                  <c:v>2.1000000000000001E-2</c:v>
                </c:pt>
                <c:pt idx="18">
                  <c:v>3.6999999999999998E-2</c:v>
                </c:pt>
                <c:pt idx="19">
                  <c:v>3.0000000000000001E-3</c:v>
                </c:pt>
                <c:pt idx="20">
                  <c:v>-8.0000000000000002E-3</c:v>
                </c:pt>
                <c:pt idx="21">
                  <c:v>0.01</c:v>
                </c:pt>
                <c:pt idx="22">
                  <c:v>-1.4999999999999999E-2</c:v>
                </c:pt>
                <c:pt idx="23">
                  <c:v>5.2999999999999999E-2</c:v>
                </c:pt>
                <c:pt idx="24">
                  <c:v>2.5999999999999999E-2</c:v>
                </c:pt>
                <c:pt idx="25">
                  <c:v>1.7000000000000001E-2</c:v>
                </c:pt>
                <c:pt idx="26">
                  <c:v>-4.8000000000000001E-2</c:v>
                </c:pt>
                <c:pt idx="27">
                  <c:v>-0.35699999999999998</c:v>
                </c:pt>
                <c:pt idx="28">
                  <c:v>-0.29799999999999999</c:v>
                </c:pt>
                <c:pt idx="29">
                  <c:v>-0.34599999999999997</c:v>
                </c:pt>
                <c:pt idx="30">
                  <c:v>-0.29199999999999998</c:v>
                </c:pt>
                <c:pt idx="31">
                  <c:v>0.24399999999999999</c:v>
                </c:pt>
                <c:pt idx="32">
                  <c:v>0.21099999999999999</c:v>
                </c:pt>
                <c:pt idx="33">
                  <c:v>0.38400000000000001</c:v>
                </c:pt>
                <c:pt idx="34">
                  <c:v>0.41599999999999998</c:v>
                </c:pt>
                <c:pt idx="35">
                  <c:v>0.31</c:v>
                </c:pt>
                <c:pt idx="36">
                  <c:v>0.23599999999999999</c:v>
                </c:pt>
                <c:pt idx="37">
                  <c:v>0.16200000000000001</c:v>
                </c:pt>
                <c:pt idx="38">
                  <c:v>0.16200000000000001</c:v>
                </c:pt>
                <c:pt idx="39">
                  <c:v>0.115</c:v>
                </c:pt>
                <c:pt idx="40">
                  <c:v>8.3000000000000004E-2</c:v>
                </c:pt>
                <c:pt idx="41">
                  <c:v>3.7999999999999999E-2</c:v>
                </c:pt>
                <c:pt idx="42">
                  <c:v>1.6E-2</c:v>
                </c:pt>
                <c:pt idx="43">
                  <c:v>-2.5999999999999999E-2</c:v>
                </c:pt>
                <c:pt idx="44">
                  <c:v>8.0000000000000002E-3</c:v>
                </c:pt>
                <c:pt idx="45">
                  <c:v>1.5360000000000002E-2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4-42CD-A48C-BB5FF05C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31520"/>
        <c:axId val="535933312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4-42CD-A48C-BB5FF05CD14D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4-42CD-A48C-BB5FF05CD14D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34-42CD-A48C-BB5FF05C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34848"/>
        <c:axId val="535936384"/>
      </c:scatterChart>
      <c:catAx>
        <c:axId val="53593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93331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535933312"/>
        <c:scaling>
          <c:orientation val="minMax"/>
          <c:max val="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931520"/>
        <c:crosses val="autoZero"/>
        <c:crossBetween val="midCat"/>
      </c:valAx>
      <c:valAx>
        <c:axId val="53593484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5936384"/>
        <c:crosses val="autoZero"/>
        <c:crossBetween val="midCat"/>
      </c:valAx>
      <c:valAx>
        <c:axId val="53593638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59348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5280683704963"/>
          <c:y val="7.4772299616394103E-2"/>
          <c:w val="0.82973159079565251"/>
          <c:h val="0.737414577024025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Charts_Support!$A$448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Charts_Support!$AD$447:$CS$447</c:f>
              <c:strCache>
                <c:ptCount val="44"/>
                <c:pt idx="0">
                  <c:v>1Q14</c:v>
                </c:pt>
                <c:pt idx="1">
                  <c:v>2Q14</c:v>
                </c:pt>
                <c:pt idx="2">
                  <c:v>3Q14</c:v>
                </c:pt>
                <c:pt idx="3">
                  <c:v>4Q14</c:v>
                </c:pt>
                <c:pt idx="4">
                  <c:v>1Q15</c:v>
                </c:pt>
                <c:pt idx="5">
                  <c:v>2Q15</c:v>
                </c:pt>
                <c:pt idx="6">
                  <c:v>3Q15</c:v>
                </c:pt>
                <c:pt idx="7">
                  <c:v>4Q15</c:v>
                </c:pt>
                <c:pt idx="8">
                  <c:v>1Q16</c:v>
                </c:pt>
                <c:pt idx="9">
                  <c:v>2Q16</c:v>
                </c:pt>
                <c:pt idx="10">
                  <c:v>3Q16</c:v>
                </c:pt>
                <c:pt idx="11">
                  <c:v>4Q16</c:v>
                </c:pt>
                <c:pt idx="12">
                  <c:v>1Q17</c:v>
                </c:pt>
                <c:pt idx="13">
                  <c:v>2Q17</c:v>
                </c:pt>
                <c:pt idx="14">
                  <c:v>3Q17</c:v>
                </c:pt>
                <c:pt idx="15">
                  <c:v>4Q17</c:v>
                </c:pt>
                <c:pt idx="16">
                  <c:v>1Q18</c:v>
                </c:pt>
                <c:pt idx="17">
                  <c:v>2Q18</c:v>
                </c:pt>
                <c:pt idx="18">
                  <c:v>3Q18</c:v>
                </c:pt>
                <c:pt idx="19">
                  <c:v>4Q18</c:v>
                </c:pt>
                <c:pt idx="20">
                  <c:v>1Q19</c:v>
                </c:pt>
                <c:pt idx="21">
                  <c:v>2Q19</c:v>
                </c:pt>
                <c:pt idx="22">
                  <c:v>3Q19</c:v>
                </c:pt>
                <c:pt idx="23">
                  <c:v>4Q19</c:v>
                </c:pt>
                <c:pt idx="24">
                  <c:v>1Q20</c:v>
                </c:pt>
                <c:pt idx="25">
                  <c:v>2Q20</c:v>
                </c:pt>
                <c:pt idx="26">
                  <c:v>3Q20</c:v>
                </c:pt>
                <c:pt idx="27">
                  <c:v>4Q20</c:v>
                </c:pt>
                <c:pt idx="28">
                  <c:v>1Q21</c:v>
                </c:pt>
                <c:pt idx="29">
                  <c:v>2Q21</c:v>
                </c:pt>
                <c:pt idx="30">
                  <c:v>3Q21</c:v>
                </c:pt>
                <c:pt idx="31">
                  <c:v>4Q21</c:v>
                </c:pt>
                <c:pt idx="32">
                  <c:v>1Q22</c:v>
                </c:pt>
                <c:pt idx="33">
                  <c:v>2Q22</c:v>
                </c:pt>
                <c:pt idx="34">
                  <c:v>3Q22</c:v>
                </c:pt>
                <c:pt idx="35">
                  <c:v>4Q22</c:v>
                </c:pt>
                <c:pt idx="36">
                  <c:v>1Q23</c:v>
                </c:pt>
                <c:pt idx="37">
                  <c:v>2Q23</c:v>
                </c:pt>
                <c:pt idx="38">
                  <c:v>3Q23</c:v>
                </c:pt>
                <c:pt idx="39">
                  <c:v>4Q23</c:v>
                </c:pt>
                <c:pt idx="40">
                  <c:v>1Q24</c:v>
                </c:pt>
                <c:pt idx="41">
                  <c:v>2Q24e</c:v>
                </c:pt>
                <c:pt idx="42">
                  <c:v>3Q24e</c:v>
                </c:pt>
                <c:pt idx="43">
                  <c:v>4Q24e</c:v>
                </c:pt>
              </c:strCache>
            </c:strRef>
          </c:cat>
          <c:val>
            <c:numRef>
              <c:f>Charts_Support!$AB$448:$CS$448</c:f>
              <c:numCache>
                <c:formatCode>0.0%</c:formatCode>
                <c:ptCount val="4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2.106763750540264E-2</c:v>
                </c:pt>
                <c:pt idx="6">
                  <c:v>6.2488205032682778E-2</c:v>
                </c:pt>
                <c:pt idx="7">
                  <c:v>7.5382165957952288E-2</c:v>
                </c:pt>
                <c:pt idx="8">
                  <c:v>0.11302319179550929</c:v>
                </c:pt>
                <c:pt idx="9">
                  <c:v>0.1104973461194714</c:v>
                </c:pt>
                <c:pt idx="10">
                  <c:v>0.1050311900979055</c:v>
                </c:pt>
                <c:pt idx="11">
                  <c:v>9.9921262517693343E-2</c:v>
                </c:pt>
                <c:pt idx="12">
                  <c:v>9.576562510414513E-2</c:v>
                </c:pt>
                <c:pt idx="13">
                  <c:v>7.7917492693737975E-2</c:v>
                </c:pt>
                <c:pt idx="14">
                  <c:v>7.4775394224253069E-2</c:v>
                </c:pt>
                <c:pt idx="15">
                  <c:v>7.1168147644673163E-2</c:v>
                </c:pt>
                <c:pt idx="16">
                  <c:v>7.0549596700980238E-2</c:v>
                </c:pt>
                <c:pt idx="17">
                  <c:v>6.9335606265911065E-2</c:v>
                </c:pt>
                <c:pt idx="18">
                  <c:v>6.9248009068702543E-2</c:v>
                </c:pt>
                <c:pt idx="19">
                  <c:v>4.6377904284734962E-2</c:v>
                </c:pt>
                <c:pt idx="20">
                  <c:v>3.5692735444111133E-2</c:v>
                </c:pt>
                <c:pt idx="21">
                  <c:v>5.0939646675590519E-2</c:v>
                </c:pt>
                <c:pt idx="22">
                  <c:v>2.6016674082953928E-2</c:v>
                </c:pt>
                <c:pt idx="23">
                  <c:v>7.6311941322874458E-2</c:v>
                </c:pt>
                <c:pt idx="24">
                  <c:v>5.8985766878803393E-2</c:v>
                </c:pt>
                <c:pt idx="25">
                  <c:v>3.5589370153193689E-2</c:v>
                </c:pt>
                <c:pt idx="26">
                  <c:v>-1.9880409315420206E-2</c:v>
                </c:pt>
                <c:pt idx="27">
                  <c:v>-0.41557090271475666</c:v>
                </c:pt>
                <c:pt idx="28">
                  <c:v>-0.305608773082925</c:v>
                </c:pt>
                <c:pt idx="29">
                  <c:v>-0.25140474800730883</c:v>
                </c:pt>
                <c:pt idx="30">
                  <c:v>-0.13234550340912407</c:v>
                </c:pt>
                <c:pt idx="31">
                  <c:v>0.66568986560306631</c:v>
                </c:pt>
                <c:pt idx="32">
                  <c:v>0.45732595324278974</c:v>
                </c:pt>
                <c:pt idx="33">
                  <c:v>0.48562317727732163</c:v>
                </c:pt>
                <c:pt idx="34">
                  <c:v>0.47359792405825696</c:v>
                </c:pt>
                <c:pt idx="35">
                  <c:v>0.42486782554568331</c:v>
                </c:pt>
                <c:pt idx="36">
                  <c:v>0.32920562243466439</c:v>
                </c:pt>
                <c:pt idx="37">
                  <c:v>0.2357862075748304</c:v>
                </c:pt>
                <c:pt idx="38">
                  <c:v>0.24787327285550309</c:v>
                </c:pt>
                <c:pt idx="39">
                  <c:v>0.19697734423840663</c:v>
                </c:pt>
                <c:pt idx="40">
                  <c:v>0.19000710026628698</c:v>
                </c:pt>
                <c:pt idx="41">
                  <c:v>0.13013418812705391</c:v>
                </c:pt>
                <c:pt idx="42">
                  <c:v>0.10937070349728074</c:v>
                </c:pt>
                <c:pt idx="43">
                  <c:v>0.10947034708194502</c:v>
                </c:pt>
                <c:pt idx="44">
                  <c:v>9.7598693532960482E-2</c:v>
                </c:pt>
                <c:pt idx="45">
                  <c:v>6.4239328884383121E-2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8-46E8-A9C0-257182667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73888"/>
        <c:axId val="53597542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E8-46E8-A9C0-2571826670DD}"/>
            </c:ext>
          </c:extLst>
        </c:ser>
        <c:ser>
          <c:idx val="2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E8-46E8-A9C0-2571826670DD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E8-46E8-A9C0-257182667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76960"/>
        <c:axId val="535982848"/>
      </c:scatterChart>
      <c:catAx>
        <c:axId val="53597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97542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535975424"/>
        <c:scaling>
          <c:orientation val="minMax"/>
          <c:max val="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5973888"/>
        <c:crosses val="autoZero"/>
        <c:crossBetween val="midCat"/>
      </c:valAx>
      <c:valAx>
        <c:axId val="53597696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5982848"/>
        <c:crosses val="autoZero"/>
        <c:crossBetween val="midCat"/>
      </c:valAx>
      <c:valAx>
        <c:axId val="53598284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597696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Charts_Support!$A$498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Charts_Support!$AG$492:$CS$492</c:f>
              <c:strCache>
                <c:ptCount val="41"/>
                <c:pt idx="0">
                  <c:v>4Q14</c:v>
                </c:pt>
                <c:pt idx="1">
                  <c:v>1Q15</c:v>
                </c:pt>
                <c:pt idx="2">
                  <c:v>2Q15</c:v>
                </c:pt>
                <c:pt idx="3">
                  <c:v>3Q15</c:v>
                </c:pt>
                <c:pt idx="4">
                  <c:v>4Q15</c:v>
                </c:pt>
                <c:pt idx="5">
                  <c:v>1Q16</c:v>
                </c:pt>
                <c:pt idx="6">
                  <c:v>2Q16</c:v>
                </c:pt>
                <c:pt idx="7">
                  <c:v>3Q16</c:v>
                </c:pt>
                <c:pt idx="8">
                  <c:v>4Q16</c:v>
                </c:pt>
                <c:pt idx="9">
                  <c:v>1Q17</c:v>
                </c:pt>
                <c:pt idx="10">
                  <c:v>2Q17</c:v>
                </c:pt>
                <c:pt idx="11">
                  <c:v>3Q17</c:v>
                </c:pt>
                <c:pt idx="12">
                  <c:v>4Q17</c:v>
                </c:pt>
                <c:pt idx="13">
                  <c:v>1Q18</c:v>
                </c:pt>
                <c:pt idx="14">
                  <c:v>2Q18</c:v>
                </c:pt>
                <c:pt idx="15">
                  <c:v>3Q18</c:v>
                </c:pt>
                <c:pt idx="16">
                  <c:v>4Q18</c:v>
                </c:pt>
                <c:pt idx="17">
                  <c:v>1Q19</c:v>
                </c:pt>
                <c:pt idx="18">
                  <c:v>2Q19</c:v>
                </c:pt>
                <c:pt idx="19">
                  <c:v>3Q19</c:v>
                </c:pt>
                <c:pt idx="20">
                  <c:v>4Q19</c:v>
                </c:pt>
                <c:pt idx="21">
                  <c:v>1Q20</c:v>
                </c:pt>
                <c:pt idx="22">
                  <c:v>2Q20</c:v>
                </c:pt>
                <c:pt idx="23">
                  <c:v>3Q20</c:v>
                </c:pt>
                <c:pt idx="24">
                  <c:v>4Q20</c:v>
                </c:pt>
                <c:pt idx="25">
                  <c:v>1Q21</c:v>
                </c:pt>
                <c:pt idx="26">
                  <c:v>2Q21</c:v>
                </c:pt>
                <c:pt idx="27">
                  <c:v>3Q21</c:v>
                </c:pt>
                <c:pt idx="28">
                  <c:v>4Q21</c:v>
                </c:pt>
                <c:pt idx="29">
                  <c:v>1Q22</c:v>
                </c:pt>
                <c:pt idx="30">
                  <c:v>2Q22</c:v>
                </c:pt>
                <c:pt idx="31">
                  <c:v>3Q22</c:v>
                </c:pt>
                <c:pt idx="32">
                  <c:v>4Q22</c:v>
                </c:pt>
                <c:pt idx="33">
                  <c:v>1Q23</c:v>
                </c:pt>
                <c:pt idx="34">
                  <c:v>2Q23</c:v>
                </c:pt>
                <c:pt idx="35">
                  <c:v>3Q23</c:v>
                </c:pt>
                <c:pt idx="36">
                  <c:v>4Q23</c:v>
                </c:pt>
                <c:pt idx="37">
                  <c:v>1Q24</c:v>
                </c:pt>
                <c:pt idx="38">
                  <c:v>2Q24e</c:v>
                </c:pt>
                <c:pt idx="39">
                  <c:v>3Q24e</c:v>
                </c:pt>
                <c:pt idx="40">
                  <c:v>4Q24e</c:v>
                </c:pt>
              </c:strCache>
            </c:strRef>
          </c:cat>
          <c:val>
            <c:numRef>
              <c:f>Charts_Support!$AB$498:$CS$498</c:f>
              <c:numCache>
                <c:formatCode>0.0%</c:formatCode>
                <c:ptCount val="46"/>
                <c:pt idx="1">
                  <c:v>0.17537404954623498</c:v>
                </c:pt>
                <c:pt idx="2">
                  <c:v>0.16387872451646629</c:v>
                </c:pt>
                <c:pt idx="3">
                  <c:v>0.18929215961499898</c:v>
                </c:pt>
                <c:pt idx="4">
                  <c:v>0.19450631031922791</c:v>
                </c:pt>
                <c:pt idx="5">
                  <c:v>0.21648368640791713</c:v>
                </c:pt>
                <c:pt idx="6">
                  <c:v>0.21420905773771196</c:v>
                </c:pt>
                <c:pt idx="7">
                  <c:v>0.23005565862708721</c:v>
                </c:pt>
                <c:pt idx="8">
                  <c:v>0.23103171417101565</c:v>
                </c:pt>
                <c:pt idx="9">
                  <c:v>0.26091783863804591</c:v>
                </c:pt>
                <c:pt idx="10">
                  <c:v>0.22580019398642096</c:v>
                </c:pt>
                <c:pt idx="11">
                  <c:v>0.23915482423335827</c:v>
                </c:pt>
                <c:pt idx="12">
                  <c:v>0.24274836838288616</c:v>
                </c:pt>
                <c:pt idx="13">
                  <c:v>0.24015418133065192</c:v>
                </c:pt>
                <c:pt idx="14">
                  <c:v>0.22371725870111231</c:v>
                </c:pt>
                <c:pt idx="15">
                  <c:v>0.23843296183721716</c:v>
                </c:pt>
                <c:pt idx="16">
                  <c:v>0.22314192102086566</c:v>
                </c:pt>
                <c:pt idx="17">
                  <c:v>0.25932309620808525</c:v>
                </c:pt>
                <c:pt idx="18">
                  <c:v>0.22761380690345173</c:v>
                </c:pt>
                <c:pt idx="19">
                  <c:v>0.24299215120935447</c:v>
                </c:pt>
                <c:pt idx="20">
                  <c:v>0.22655007949125597</c:v>
                </c:pt>
                <c:pt idx="21">
                  <c:v>0.22994806693594921</c:v>
                </c:pt>
                <c:pt idx="22">
                  <c:v>0.20948802254579615</c:v>
                </c:pt>
                <c:pt idx="23">
                  <c:v>0.24249891288592548</c:v>
                </c:pt>
                <c:pt idx="24">
                  <c:v>0.2284431137724551</c:v>
                </c:pt>
                <c:pt idx="25">
                  <c:v>0.22934767618259549</c:v>
                </c:pt>
                <c:pt idx="26">
                  <c:v>0.20499194847020935</c:v>
                </c:pt>
                <c:pt idx="27">
                  <c:v>-0.12066473988439307</c:v>
                </c:pt>
                <c:pt idx="28">
                  <c:v>0.11337272926242066</c:v>
                </c:pt>
                <c:pt idx="29">
                  <c:v>0.25543478260869568</c:v>
                </c:pt>
                <c:pt idx="30">
                  <c:v>0.18110552763819096</c:v>
                </c:pt>
                <c:pt idx="31">
                  <c:v>0.24114462490332561</c:v>
                </c:pt>
                <c:pt idx="32">
                  <c:v>0.20671140939597316</c:v>
                </c:pt>
                <c:pt idx="33">
                  <c:v>0.26747141041931383</c:v>
                </c:pt>
                <c:pt idx="34">
                  <c:v>0.22440354464894341</c:v>
                </c:pt>
                <c:pt idx="35">
                  <c:v>0.22795261457460811</c:v>
                </c:pt>
                <c:pt idx="36">
                  <c:v>0.22242056408425562</c:v>
                </c:pt>
                <c:pt idx="37">
                  <c:v>0.22906219993598634</c:v>
                </c:pt>
                <c:pt idx="38">
                  <c:v>0.22026136490561823</c:v>
                </c:pt>
                <c:pt idx="39">
                  <c:v>0.23975180551317263</c:v>
                </c:pt>
                <c:pt idx="40">
                  <c:v>0.22787878787878788</c:v>
                </c:pt>
                <c:pt idx="41">
                  <c:v>0.22671913059771406</c:v>
                </c:pt>
                <c:pt idx="42">
                  <c:v>0.24007113218731477</c:v>
                </c:pt>
                <c:pt idx="43">
                  <c:v>0.2471479334206097</c:v>
                </c:pt>
                <c:pt idx="44">
                  <c:v>0.22999999999999995</c:v>
                </c:pt>
                <c:pt idx="45">
                  <c:v>0.22500000000000001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4-4237-877D-4AB398CBDD5E}"/>
            </c:ext>
          </c:extLst>
        </c:ser>
        <c:ser>
          <c:idx val="0"/>
          <c:order val="1"/>
          <c:tx>
            <c:strRef>
              <c:f>Charts_Support!$A$499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Charts_Support!$AG$492:$CS$492</c:f>
              <c:strCache>
                <c:ptCount val="41"/>
                <c:pt idx="0">
                  <c:v>4Q14</c:v>
                </c:pt>
                <c:pt idx="1">
                  <c:v>1Q15</c:v>
                </c:pt>
                <c:pt idx="2">
                  <c:v>2Q15</c:v>
                </c:pt>
                <c:pt idx="3">
                  <c:v>3Q15</c:v>
                </c:pt>
                <c:pt idx="4">
                  <c:v>4Q15</c:v>
                </c:pt>
                <c:pt idx="5">
                  <c:v>1Q16</c:v>
                </c:pt>
                <c:pt idx="6">
                  <c:v>2Q16</c:v>
                </c:pt>
                <c:pt idx="7">
                  <c:v>3Q16</c:v>
                </c:pt>
                <c:pt idx="8">
                  <c:v>4Q16</c:v>
                </c:pt>
                <c:pt idx="9">
                  <c:v>1Q17</c:v>
                </c:pt>
                <c:pt idx="10">
                  <c:v>2Q17</c:v>
                </c:pt>
                <c:pt idx="11">
                  <c:v>3Q17</c:v>
                </c:pt>
                <c:pt idx="12">
                  <c:v>4Q17</c:v>
                </c:pt>
                <c:pt idx="13">
                  <c:v>1Q18</c:v>
                </c:pt>
                <c:pt idx="14">
                  <c:v>2Q18</c:v>
                </c:pt>
                <c:pt idx="15">
                  <c:v>3Q18</c:v>
                </c:pt>
                <c:pt idx="16">
                  <c:v>4Q18</c:v>
                </c:pt>
                <c:pt idx="17">
                  <c:v>1Q19</c:v>
                </c:pt>
                <c:pt idx="18">
                  <c:v>2Q19</c:v>
                </c:pt>
                <c:pt idx="19">
                  <c:v>3Q19</c:v>
                </c:pt>
                <c:pt idx="20">
                  <c:v>4Q19</c:v>
                </c:pt>
                <c:pt idx="21">
                  <c:v>1Q20</c:v>
                </c:pt>
                <c:pt idx="22">
                  <c:v>2Q20</c:v>
                </c:pt>
                <c:pt idx="23">
                  <c:v>3Q20</c:v>
                </c:pt>
                <c:pt idx="24">
                  <c:v>4Q20</c:v>
                </c:pt>
                <c:pt idx="25">
                  <c:v>1Q21</c:v>
                </c:pt>
                <c:pt idx="26">
                  <c:v>2Q21</c:v>
                </c:pt>
                <c:pt idx="27">
                  <c:v>3Q21</c:v>
                </c:pt>
                <c:pt idx="28">
                  <c:v>4Q21</c:v>
                </c:pt>
                <c:pt idx="29">
                  <c:v>1Q22</c:v>
                </c:pt>
                <c:pt idx="30">
                  <c:v>2Q22</c:v>
                </c:pt>
                <c:pt idx="31">
                  <c:v>3Q22</c:v>
                </c:pt>
                <c:pt idx="32">
                  <c:v>4Q22</c:v>
                </c:pt>
                <c:pt idx="33">
                  <c:v>1Q23</c:v>
                </c:pt>
                <c:pt idx="34">
                  <c:v>2Q23</c:v>
                </c:pt>
                <c:pt idx="35">
                  <c:v>3Q23</c:v>
                </c:pt>
                <c:pt idx="36">
                  <c:v>4Q23</c:v>
                </c:pt>
                <c:pt idx="37">
                  <c:v>1Q24</c:v>
                </c:pt>
                <c:pt idx="38">
                  <c:v>2Q24e</c:v>
                </c:pt>
                <c:pt idx="39">
                  <c:v>3Q24e</c:v>
                </c:pt>
                <c:pt idx="40">
                  <c:v>4Q24e</c:v>
                </c:pt>
              </c:strCache>
            </c:strRef>
          </c:cat>
          <c:val>
            <c:numRef>
              <c:f>Charts_Support!$AB$499:$CS$499</c:f>
              <c:numCache>
                <c:formatCode>0.0%</c:formatCode>
                <c:ptCount val="46"/>
                <c:pt idx="1">
                  <c:v>0.15698462028846918</c:v>
                </c:pt>
                <c:pt idx="2">
                  <c:v>0.13440320962888666</c:v>
                </c:pt>
                <c:pt idx="3">
                  <c:v>0.12557286892758937</c:v>
                </c:pt>
                <c:pt idx="4">
                  <c:v>0.14829821717990274</c:v>
                </c:pt>
                <c:pt idx="5">
                  <c:v>0.17321016166281755</c:v>
                </c:pt>
                <c:pt idx="6">
                  <c:v>0.12380250552689757</c:v>
                </c:pt>
                <c:pt idx="7">
                  <c:v>0.14205607476635515</c:v>
                </c:pt>
                <c:pt idx="8">
                  <c:v>0.16982152514872903</c:v>
                </c:pt>
                <c:pt idx="9">
                  <c:v>0.16308337703198741</c:v>
                </c:pt>
                <c:pt idx="10">
                  <c:v>0.12199747155499367</c:v>
                </c:pt>
                <c:pt idx="11">
                  <c:v>0.13582166925868325</c:v>
                </c:pt>
                <c:pt idx="12">
                  <c:v>0.1584553928095872</c:v>
                </c:pt>
                <c:pt idx="13">
                  <c:v>0.17584745762711865</c:v>
                </c:pt>
                <c:pt idx="14">
                  <c:v>0.14512195121951219</c:v>
                </c:pt>
                <c:pt idx="15">
                  <c:v>0.15108207431604737</c:v>
                </c:pt>
                <c:pt idx="16">
                  <c:v>0.16059225512528474</c:v>
                </c:pt>
                <c:pt idx="17">
                  <c:v>0.15036496350364964</c:v>
                </c:pt>
                <c:pt idx="18">
                  <c:v>0.12842315969419907</c:v>
                </c:pt>
                <c:pt idx="19">
                  <c:v>0.13356812947008312</c:v>
                </c:pt>
                <c:pt idx="20">
                  <c:v>0.15306536743808363</c:v>
                </c:pt>
                <c:pt idx="21">
                  <c:v>0.13840399002493767</c:v>
                </c:pt>
                <c:pt idx="22">
                  <c:v>0.12195197117530882</c:v>
                </c:pt>
                <c:pt idx="23">
                  <c:v>0.12867370601992148</c:v>
                </c:pt>
                <c:pt idx="24">
                  <c:v>0.15098316109708723</c:v>
                </c:pt>
                <c:pt idx="25">
                  <c:v>0.11587471332228716</c:v>
                </c:pt>
                <c:pt idx="26">
                  <c:v>4.7597677233351017E-2</c:v>
                </c:pt>
                <c:pt idx="27">
                  <c:v>-0.17655186530883782</c:v>
                </c:pt>
                <c:pt idx="28">
                  <c:v>8.6142106024336321E-2</c:v>
                </c:pt>
                <c:pt idx="29">
                  <c:v>0.13632397335936633</c:v>
                </c:pt>
                <c:pt idx="30">
                  <c:v>0.11895749972964204</c:v>
                </c:pt>
                <c:pt idx="31">
                  <c:v>0.10916847699577593</c:v>
                </c:pt>
                <c:pt idx="32">
                  <c:v>0.16216604317330474</c:v>
                </c:pt>
                <c:pt idx="33">
                  <c:v>0.15309276897284915</c:v>
                </c:pt>
                <c:pt idx="34">
                  <c:v>0.13735401520494178</c:v>
                </c:pt>
                <c:pt idx="35">
                  <c:v>0.14454066431774909</c:v>
                </c:pt>
                <c:pt idx="36">
                  <c:v>0.16576370736781634</c:v>
                </c:pt>
                <c:pt idx="37">
                  <c:v>0.13784279927717216</c:v>
                </c:pt>
                <c:pt idx="38">
                  <c:v>0.16073822217785622</c:v>
                </c:pt>
                <c:pt idx="39">
                  <c:v>0.15200247365242292</c:v>
                </c:pt>
                <c:pt idx="40">
                  <c:v>0.15590851298631439</c:v>
                </c:pt>
                <c:pt idx="41">
                  <c:v>0.16814797732489004</c:v>
                </c:pt>
                <c:pt idx="42">
                  <c:v>0.15648942313375944</c:v>
                </c:pt>
                <c:pt idx="43">
                  <c:v>0.13545032817258859</c:v>
                </c:pt>
                <c:pt idx="44">
                  <c:v>0.13045032817258859</c:v>
                </c:pt>
                <c:pt idx="45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4-4237-877D-4AB398CBDD5E}"/>
            </c:ext>
          </c:extLst>
        </c:ser>
        <c:ser>
          <c:idx val="2"/>
          <c:order val="2"/>
          <c:tx>
            <c:strRef>
              <c:f>Charts_Support!$A$500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Charts_Support!$AG$492:$CS$492</c:f>
              <c:strCache>
                <c:ptCount val="41"/>
                <c:pt idx="0">
                  <c:v>4Q14</c:v>
                </c:pt>
                <c:pt idx="1">
                  <c:v>1Q15</c:v>
                </c:pt>
                <c:pt idx="2">
                  <c:v>2Q15</c:v>
                </c:pt>
                <c:pt idx="3">
                  <c:v>3Q15</c:v>
                </c:pt>
                <c:pt idx="4">
                  <c:v>4Q15</c:v>
                </c:pt>
                <c:pt idx="5">
                  <c:v>1Q16</c:v>
                </c:pt>
                <c:pt idx="6">
                  <c:v>2Q16</c:v>
                </c:pt>
                <c:pt idx="7">
                  <c:v>3Q16</c:v>
                </c:pt>
                <c:pt idx="8">
                  <c:v>4Q16</c:v>
                </c:pt>
                <c:pt idx="9">
                  <c:v>1Q17</c:v>
                </c:pt>
                <c:pt idx="10">
                  <c:v>2Q17</c:v>
                </c:pt>
                <c:pt idx="11">
                  <c:v>3Q17</c:v>
                </c:pt>
                <c:pt idx="12">
                  <c:v>4Q17</c:v>
                </c:pt>
                <c:pt idx="13">
                  <c:v>1Q18</c:v>
                </c:pt>
                <c:pt idx="14">
                  <c:v>2Q18</c:v>
                </c:pt>
                <c:pt idx="15">
                  <c:v>3Q18</c:v>
                </c:pt>
                <c:pt idx="16">
                  <c:v>4Q18</c:v>
                </c:pt>
                <c:pt idx="17">
                  <c:v>1Q19</c:v>
                </c:pt>
                <c:pt idx="18">
                  <c:v>2Q19</c:v>
                </c:pt>
                <c:pt idx="19">
                  <c:v>3Q19</c:v>
                </c:pt>
                <c:pt idx="20">
                  <c:v>4Q19</c:v>
                </c:pt>
                <c:pt idx="21">
                  <c:v>1Q20</c:v>
                </c:pt>
                <c:pt idx="22">
                  <c:v>2Q20</c:v>
                </c:pt>
                <c:pt idx="23">
                  <c:v>3Q20</c:v>
                </c:pt>
                <c:pt idx="24">
                  <c:v>4Q20</c:v>
                </c:pt>
                <c:pt idx="25">
                  <c:v>1Q21</c:v>
                </c:pt>
                <c:pt idx="26">
                  <c:v>2Q21</c:v>
                </c:pt>
                <c:pt idx="27">
                  <c:v>3Q21</c:v>
                </c:pt>
                <c:pt idx="28">
                  <c:v>4Q21</c:v>
                </c:pt>
                <c:pt idx="29">
                  <c:v>1Q22</c:v>
                </c:pt>
                <c:pt idx="30">
                  <c:v>2Q22</c:v>
                </c:pt>
                <c:pt idx="31">
                  <c:v>3Q22</c:v>
                </c:pt>
                <c:pt idx="32">
                  <c:v>4Q22</c:v>
                </c:pt>
                <c:pt idx="33">
                  <c:v>1Q23</c:v>
                </c:pt>
                <c:pt idx="34">
                  <c:v>2Q23</c:v>
                </c:pt>
                <c:pt idx="35">
                  <c:v>3Q23</c:v>
                </c:pt>
                <c:pt idx="36">
                  <c:v>4Q23</c:v>
                </c:pt>
                <c:pt idx="37">
                  <c:v>1Q24</c:v>
                </c:pt>
                <c:pt idx="38">
                  <c:v>2Q24e</c:v>
                </c:pt>
                <c:pt idx="39">
                  <c:v>3Q24e</c:v>
                </c:pt>
                <c:pt idx="40">
                  <c:v>4Q24e</c:v>
                </c:pt>
              </c:strCache>
            </c:strRef>
          </c:cat>
          <c:val>
            <c:numRef>
              <c:f>Charts_Support!$AB$500:$CS$500</c:f>
              <c:numCache>
                <c:formatCode>0.0%</c:formatCode>
                <c:ptCount val="46"/>
                <c:pt idx="5">
                  <c:v>0.19754768392370572</c:v>
                </c:pt>
                <c:pt idx="6">
                  <c:v>0.18900602409638553</c:v>
                </c:pt>
                <c:pt idx="7">
                  <c:v>0.1891271056661562</c:v>
                </c:pt>
                <c:pt idx="8">
                  <c:v>0.17672413793103448</c:v>
                </c:pt>
                <c:pt idx="9">
                  <c:v>0.20522161505768063</c:v>
                </c:pt>
                <c:pt idx="10">
                  <c:v>0.19521690767519467</c:v>
                </c:pt>
                <c:pt idx="11">
                  <c:v>0.18949133594186696</c:v>
                </c:pt>
                <c:pt idx="12">
                  <c:v>0.18231441048034935</c:v>
                </c:pt>
                <c:pt idx="13">
                  <c:v>0.21915285451197053</c:v>
                </c:pt>
                <c:pt idx="14">
                  <c:v>0.19902912621359223</c:v>
                </c:pt>
                <c:pt idx="15">
                  <c:v>0.19756838905775076</c:v>
                </c:pt>
                <c:pt idx="16">
                  <c:v>0.18208516886930984</c:v>
                </c:pt>
                <c:pt idx="17">
                  <c:v>0.22222222222222221</c:v>
                </c:pt>
                <c:pt idx="18">
                  <c:v>0.20032245062474807</c:v>
                </c:pt>
                <c:pt idx="19">
                  <c:v>0.19041560644614081</c:v>
                </c:pt>
                <c:pt idx="20">
                  <c:v>0.17726887192536048</c:v>
                </c:pt>
                <c:pt idx="21">
                  <c:v>0.20520446096654274</c:v>
                </c:pt>
                <c:pt idx="22">
                  <c:v>0.16193125372541228</c:v>
                </c:pt>
                <c:pt idx="23">
                  <c:v>0.16501335368180084</c:v>
                </c:pt>
                <c:pt idx="24">
                  <c:v>0.15283342873497424</c:v>
                </c:pt>
                <c:pt idx="25">
                  <c:v>0.22315937445088738</c:v>
                </c:pt>
                <c:pt idx="26">
                  <c:v>9.3975903614457831E-2</c:v>
                </c:pt>
                <c:pt idx="27">
                  <c:v>-0.34344660194174759</c:v>
                </c:pt>
                <c:pt idx="28">
                  <c:v>0.12536945812807881</c:v>
                </c:pt>
                <c:pt idx="29">
                  <c:v>0.21339330334832585</c:v>
                </c:pt>
                <c:pt idx="30">
                  <c:v>0.10824742268041238</c:v>
                </c:pt>
                <c:pt idx="31">
                  <c:v>0.16331775700934578</c:v>
                </c:pt>
                <c:pt idx="32">
                  <c:v>0.189648033126294</c:v>
                </c:pt>
                <c:pt idx="33">
                  <c:v>0.24587061252580866</c:v>
                </c:pt>
                <c:pt idx="34">
                  <c:v>0.15255544840887175</c:v>
                </c:pt>
                <c:pt idx="35">
                  <c:v>0.16620549714074895</c:v>
                </c:pt>
                <c:pt idx="36">
                  <c:v>0.11076356945722171</c:v>
                </c:pt>
                <c:pt idx="37">
                  <c:v>0.15669755686604886</c:v>
                </c:pt>
                <c:pt idx="38">
                  <c:v>0.13017751479289941</c:v>
                </c:pt>
                <c:pt idx="39">
                  <c:v>0.15305761753269706</c:v>
                </c:pt>
                <c:pt idx="40">
                  <c:v>0.15682100408018448</c:v>
                </c:pt>
                <c:pt idx="41">
                  <c:v>0.1747620610436495</c:v>
                </c:pt>
                <c:pt idx="42">
                  <c:v>0.13582062120933652</c:v>
                </c:pt>
                <c:pt idx="43">
                  <c:v>0.13392694893694349</c:v>
                </c:pt>
                <c:pt idx="44">
                  <c:v>0.14082100408018447</c:v>
                </c:pt>
                <c:pt idx="45">
                  <c:v>0.16376206104364949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D4-4237-877D-4AB398CBD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23808"/>
        <c:axId val="536025344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D4-4237-877D-4AB398CBDD5E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D4-4237-877D-4AB398CBDD5E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D4-4237-877D-4AB398CBD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31232"/>
        <c:axId val="536032768"/>
      </c:scatterChart>
      <c:catAx>
        <c:axId val="5360238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6025344"/>
        <c:crossesAt val="1.8000000000000002E-2"/>
        <c:auto val="1"/>
        <c:lblAlgn val="ctr"/>
        <c:lblOffset val="100"/>
        <c:tickLblSkip val="4"/>
        <c:tickMarkSkip val="1"/>
        <c:noMultiLvlLbl val="0"/>
      </c:catAx>
      <c:valAx>
        <c:axId val="536025344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6023808"/>
        <c:crosses val="autoZero"/>
        <c:crossBetween val="midCat"/>
      </c:valAx>
      <c:valAx>
        <c:axId val="53603123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6032768"/>
        <c:crosses val="autoZero"/>
        <c:crossBetween val="midCat"/>
      </c:valAx>
      <c:valAx>
        <c:axId val="536032768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6031232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32168187733574"/>
          <c:y val="0.57979011926517388"/>
          <c:w val="0.49057701443538954"/>
          <c:h val="0.1490304040298832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1382293166662"/>
          <c:y val="8.8781142104870966E-2"/>
          <c:w val="0.83657669250487654"/>
          <c:h val="0.7118620267103835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Charts_Support!$A$490</c:f>
              <c:strCache>
                <c:ptCount val="1"/>
                <c:pt idx="0">
                  <c:v>Seasonality (% revenue)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Charts_Support!$K$453:$CS$453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Charts_Support!$K$490:$CS$490</c:f>
              <c:numCache>
                <c:formatCode>0.0%</c:formatCode>
                <c:ptCount val="63"/>
                <c:pt idx="0">
                  <c:v>2.2126960255760934E-2</c:v>
                </c:pt>
                <c:pt idx="1">
                  <c:v>2.7626733694488235E-2</c:v>
                </c:pt>
                <c:pt idx="2">
                  <c:v>4.6491584276426398E-2</c:v>
                </c:pt>
                <c:pt idx="3">
                  <c:v>2.4907587202052245E-2</c:v>
                </c:pt>
                <c:pt idx="4">
                  <c:v>2.8229326255032595E-2</c:v>
                </c:pt>
                <c:pt idx="5">
                  <c:v>2.6445759254640676E-2</c:v>
                </c:pt>
                <c:pt idx="6">
                  <c:v>3.1605622261018256E-2</c:v>
                </c:pt>
                <c:pt idx="7">
                  <c:v>2.1254795024617395E-2</c:v>
                </c:pt>
                <c:pt idx="8">
                  <c:v>2.9052202476622293E-2</c:v>
                </c:pt>
                <c:pt idx="9">
                  <c:v>2.6570924481494149E-2</c:v>
                </c:pt>
                <c:pt idx="10">
                  <c:v>2.7347439873812968E-2</c:v>
                </c:pt>
                <c:pt idx="11">
                  <c:v>2.109965055693943E-2</c:v>
                </c:pt>
                <c:pt idx="12">
                  <c:v>3.1893530484419057E-2</c:v>
                </c:pt>
                <c:pt idx="13">
                  <c:v>3.0513229285699855E-2</c:v>
                </c:pt>
                <c:pt idx="14">
                  <c:v>3.5437593055311974E-2</c:v>
                </c:pt>
                <c:pt idx="15">
                  <c:v>2.3768533218266927E-2</c:v>
                </c:pt>
                <c:pt idx="16">
                  <c:v>3.2140123906415623E-2</c:v>
                </c:pt>
                <c:pt idx="17">
                  <c:v>3.4744710715846089E-2</c:v>
                </c:pt>
                <c:pt idx="18">
                  <c:v>5.8042349913270598E-2</c:v>
                </c:pt>
                <c:pt idx="19">
                  <c:v>3.337681968907804E-2</c:v>
                </c:pt>
                <c:pt idx="20">
                  <c:v>4.7411750438756055E-2</c:v>
                </c:pt>
                <c:pt idx="21">
                  <c:v>5.3990624227667629E-2</c:v>
                </c:pt>
                <c:pt idx="22">
                  <c:v>8.3990288705104388E-2</c:v>
                </c:pt>
                <c:pt idx="23">
                  <c:v>4.3885762479971127E-2</c:v>
                </c:pt>
                <c:pt idx="24">
                  <c:v>4.9274698733686707E-2</c:v>
                </c:pt>
                <c:pt idx="25">
                  <c:v>5.2991206494869859E-2</c:v>
                </c:pt>
                <c:pt idx="26">
                  <c:v>6.3769079002301027E-2</c:v>
                </c:pt>
                <c:pt idx="27">
                  <c:v>4.5302796277966823E-2</c:v>
                </c:pt>
                <c:pt idx="28">
                  <c:v>4.9864904568253876E-2</c:v>
                </c:pt>
                <c:pt idx="29">
                  <c:v>5.3843487379550727E-2</c:v>
                </c:pt>
                <c:pt idx="30">
                  <c:v>6.1641509689692557E-2</c:v>
                </c:pt>
                <c:pt idx="31">
                  <c:v>4.7355787108790702E-2</c:v>
                </c:pt>
                <c:pt idx="32">
                  <c:v>5.1070888580086099E-2</c:v>
                </c:pt>
                <c:pt idx="33">
                  <c:v>4.911928464263346E-2</c:v>
                </c:pt>
                <c:pt idx="34">
                  <c:v>6.162836048269138E-2</c:v>
                </c:pt>
                <c:pt idx="35">
                  <c:v>4.7577170506374701E-2</c:v>
                </c:pt>
                <c:pt idx="36">
                  <c:v>5.0480331183903944E-2</c:v>
                </c:pt>
                <c:pt idx="37">
                  <c:v>4.8097139582947104E-2</c:v>
                </c:pt>
                <c:pt idx="38">
                  <c:v>5.3708472534290931E-2</c:v>
                </c:pt>
                <c:pt idx="39">
                  <c:v>4.1785158974216641E-2</c:v>
                </c:pt>
                <c:pt idx="40">
                  <c:v>4.9041676294018878E-2</c:v>
                </c:pt>
                <c:pt idx="41">
                  <c:v>4.6685887495884031E-2</c:v>
                </c:pt>
                <c:pt idx="42">
                  <c:v>5.5318047909487633E-2</c:v>
                </c:pt>
                <c:pt idx="43">
                  <c:v>4.5382023248012972E-2</c:v>
                </c:pt>
                <c:pt idx="44">
                  <c:v>-2.6964247356289332E-2</c:v>
                </c:pt>
                <c:pt idx="45">
                  <c:v>2.9510004813819539E-2</c:v>
                </c:pt>
                <c:pt idx="46">
                  <c:v>6.5098654985415283E-2</c:v>
                </c:pt>
                <c:pt idx="47">
                  <c:v>2.7875886138919812E-2</c:v>
                </c:pt>
                <c:pt idx="48">
                  <c:v>4.5841595014742463E-2</c:v>
                </c:pt>
                <c:pt idx="49">
                  <c:v>5.0487576037895762E-2</c:v>
                </c:pt>
                <c:pt idx="50">
                  <c:v>7.4953911587243391E-2</c:v>
                </c:pt>
                <c:pt idx="51">
                  <c:v>4.0809919265659723E-2</c:v>
                </c:pt>
                <c:pt idx="52">
                  <c:v>4.7405755273708675E-2</c:v>
                </c:pt>
                <c:pt idx="53">
                  <c:v>4.4761609561230903E-2</c:v>
                </c:pt>
                <c:pt idx="54">
                  <c:v>5.2388952962609099E-2</c:v>
                </c:pt>
                <c:pt idx="55">
                  <c:v>4.2003882722430892E-2</c:v>
                </c:pt>
                <c:pt idx="56">
                  <c:v>4.9179436704057909E-2</c:v>
                </c:pt>
                <c:pt idx="57">
                  <c:v>4.9231908762424469E-2</c:v>
                </c:pt>
                <c:pt idx="58">
                  <c:v>5.3167313139916433E-2</c:v>
                </c:pt>
                <c:pt idx="59">
                  <c:v>4.6988728267254046E-2</c:v>
                </c:pt>
                <c:pt idx="60">
                  <c:v>4.8301039997904589E-2</c:v>
                </c:pt>
                <c:pt idx="61">
                  <c:v>4.7829490568039354E-2</c:v>
                </c:pt>
                <c:pt idx="62">
                  <c:v>5.2427801854312103E-2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9-4E2C-93D3-B6C13E31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61056"/>
        <c:axId val="536062592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289-4E2C-93D3-B6C13E31EB9B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89-4E2C-93D3-B6C13E31EB9B}"/>
            </c:ext>
          </c:extLst>
        </c:ser>
        <c:ser>
          <c:idx val="2"/>
          <c:order val="2"/>
          <c:tx>
            <c:v>2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289-4E2C-93D3-B6C13E31EB9B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289-4E2C-93D3-B6C13E31EB9B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289-4E2C-93D3-B6C13E31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80768"/>
        <c:axId val="536082304"/>
      </c:scatterChart>
      <c:catAx>
        <c:axId val="53606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60625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6062592"/>
        <c:scaling>
          <c:orientation val="minMax"/>
          <c:max val="0.1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6061056"/>
        <c:crosses val="autoZero"/>
        <c:crossBetween val="midCat"/>
      </c:valAx>
      <c:valAx>
        <c:axId val="53608076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6082304"/>
        <c:crosses val="autoZero"/>
        <c:crossBetween val="midCat"/>
      </c:valAx>
      <c:valAx>
        <c:axId val="53608230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60807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1382293166662"/>
          <c:y val="8.8781142104870966E-2"/>
          <c:w val="0.83657669250487654"/>
          <c:h val="0.7118620267103835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Charts_Support!$A$534</c:f>
              <c:strCache>
                <c:ptCount val="1"/>
                <c:pt idx="0">
                  <c:v>Seasonality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Charts_Support!$L$453:$CS$453</c:f>
              <c:strCache>
                <c:ptCount val="62"/>
                <c:pt idx="0">
                  <c:v>3Q09</c:v>
                </c:pt>
                <c:pt idx="1">
                  <c:v>4Q09</c:v>
                </c:pt>
                <c:pt idx="2">
                  <c:v>1Q10</c:v>
                </c:pt>
                <c:pt idx="3">
                  <c:v>2Q10</c:v>
                </c:pt>
                <c:pt idx="4">
                  <c:v>3Q10</c:v>
                </c:pt>
                <c:pt idx="5">
                  <c:v>4Q10</c:v>
                </c:pt>
                <c:pt idx="6">
                  <c:v>1Q11</c:v>
                </c:pt>
                <c:pt idx="7">
                  <c:v>2Q11</c:v>
                </c:pt>
                <c:pt idx="8">
                  <c:v>3Q11</c:v>
                </c:pt>
                <c:pt idx="9">
                  <c:v>4Q11</c:v>
                </c:pt>
                <c:pt idx="10">
                  <c:v>1Q12</c:v>
                </c:pt>
                <c:pt idx="11">
                  <c:v>2Q12</c:v>
                </c:pt>
                <c:pt idx="12">
                  <c:v>3Q12</c:v>
                </c:pt>
                <c:pt idx="13">
                  <c:v>4Q12</c:v>
                </c:pt>
                <c:pt idx="14">
                  <c:v>1Q13</c:v>
                </c:pt>
                <c:pt idx="15">
                  <c:v>2Q13</c:v>
                </c:pt>
                <c:pt idx="16">
                  <c:v>3Q13</c:v>
                </c:pt>
                <c:pt idx="17">
                  <c:v>4Q13</c:v>
                </c:pt>
                <c:pt idx="18">
                  <c:v>1Q14</c:v>
                </c:pt>
                <c:pt idx="19">
                  <c:v>2Q14</c:v>
                </c:pt>
                <c:pt idx="20">
                  <c:v>3Q14</c:v>
                </c:pt>
                <c:pt idx="21">
                  <c:v>4Q14</c:v>
                </c:pt>
                <c:pt idx="22">
                  <c:v>1Q15</c:v>
                </c:pt>
                <c:pt idx="23">
                  <c:v>2Q15</c:v>
                </c:pt>
                <c:pt idx="24">
                  <c:v>3Q15</c:v>
                </c:pt>
                <c:pt idx="25">
                  <c:v>4Q15</c:v>
                </c:pt>
                <c:pt idx="26">
                  <c:v>1Q16</c:v>
                </c:pt>
                <c:pt idx="27">
                  <c:v>2Q16</c:v>
                </c:pt>
                <c:pt idx="28">
                  <c:v>3Q16</c:v>
                </c:pt>
                <c:pt idx="29">
                  <c:v>4Q16</c:v>
                </c:pt>
                <c:pt idx="30">
                  <c:v>1Q17</c:v>
                </c:pt>
                <c:pt idx="31">
                  <c:v>2Q17</c:v>
                </c:pt>
                <c:pt idx="32">
                  <c:v>3Q17</c:v>
                </c:pt>
                <c:pt idx="33">
                  <c:v>4Q17</c:v>
                </c:pt>
                <c:pt idx="34">
                  <c:v>1Q18</c:v>
                </c:pt>
                <c:pt idx="35">
                  <c:v>2Q18</c:v>
                </c:pt>
                <c:pt idx="36">
                  <c:v>3Q18</c:v>
                </c:pt>
                <c:pt idx="37">
                  <c:v>4Q18</c:v>
                </c:pt>
                <c:pt idx="38">
                  <c:v>1Q19</c:v>
                </c:pt>
                <c:pt idx="39">
                  <c:v>2Q19</c:v>
                </c:pt>
                <c:pt idx="40">
                  <c:v>3Q19</c:v>
                </c:pt>
                <c:pt idx="41">
                  <c:v>4Q19</c:v>
                </c:pt>
                <c:pt idx="42">
                  <c:v>1Q20</c:v>
                </c:pt>
                <c:pt idx="43">
                  <c:v>2Q20</c:v>
                </c:pt>
                <c:pt idx="44">
                  <c:v>3Q20</c:v>
                </c:pt>
                <c:pt idx="45">
                  <c:v>4Q20</c:v>
                </c:pt>
                <c:pt idx="46">
                  <c:v>1Q21</c:v>
                </c:pt>
                <c:pt idx="47">
                  <c:v>2Q21</c:v>
                </c:pt>
                <c:pt idx="48">
                  <c:v>3Q21</c:v>
                </c:pt>
                <c:pt idx="49">
                  <c:v>4Q21</c:v>
                </c:pt>
                <c:pt idx="50">
                  <c:v>1Q22</c:v>
                </c:pt>
                <c:pt idx="51">
                  <c:v>2Q22</c:v>
                </c:pt>
                <c:pt idx="52">
                  <c:v>3Q22</c:v>
                </c:pt>
                <c:pt idx="53">
                  <c:v>4Q22</c:v>
                </c:pt>
                <c:pt idx="54">
                  <c:v>1Q23</c:v>
                </c:pt>
                <c:pt idx="55">
                  <c:v>2Q23</c:v>
                </c:pt>
                <c:pt idx="56">
                  <c:v>3Q23</c:v>
                </c:pt>
                <c:pt idx="57">
                  <c:v>4Q23</c:v>
                </c:pt>
                <c:pt idx="58">
                  <c:v>1Q24</c:v>
                </c:pt>
                <c:pt idx="59">
                  <c:v>2Q24e</c:v>
                </c:pt>
                <c:pt idx="60">
                  <c:v>3Q24e</c:v>
                </c:pt>
                <c:pt idx="61">
                  <c:v>4Q24e</c:v>
                </c:pt>
              </c:strCache>
            </c:strRef>
          </c:cat>
          <c:val>
            <c:numRef>
              <c:f>Charts_Support!$J$534:$CS$534</c:f>
              <c:numCache>
                <c:formatCode>0.0%</c:formatCode>
                <c:ptCount val="64"/>
                <c:pt idx="0">
                  <c:v>0.18135744024033698</c:v>
                </c:pt>
                <c:pt idx="1">
                  <c:v>0.19939111579106822</c:v>
                </c:pt>
                <c:pt idx="2">
                  <c:v>0.24344585207907082</c:v>
                </c:pt>
                <c:pt idx="3">
                  <c:v>0.375805591889524</c:v>
                </c:pt>
                <c:pt idx="4">
                  <c:v>0.24023506843035611</c:v>
                </c:pt>
                <c:pt idx="5">
                  <c:v>0.26336620165629843</c:v>
                </c:pt>
                <c:pt idx="6">
                  <c:v>0.23498885616192117</c:v>
                </c:pt>
                <c:pt idx="7">
                  <c:v>0.26140987375142433</c:v>
                </c:pt>
                <c:pt idx="8">
                  <c:v>0.22753732828554127</c:v>
                </c:pt>
                <c:pt idx="9">
                  <c:v>0.28723298652998591</c:v>
                </c:pt>
                <c:pt idx="10">
                  <c:v>0.24622695702492997</c:v>
                </c:pt>
                <c:pt idx="11">
                  <c:v>0.23900272815954282</c:v>
                </c:pt>
                <c:pt idx="12">
                  <c:v>0.20405068964655715</c:v>
                </c:pt>
                <c:pt idx="13">
                  <c:v>0.2666234792717283</c:v>
                </c:pt>
                <c:pt idx="14">
                  <c:v>0.2495576437455212</c:v>
                </c:pt>
                <c:pt idx="15">
                  <c:v>0.27976818733619324</c:v>
                </c:pt>
                <c:pt idx="16">
                  <c:v>0.18862509980327113</c:v>
                </c:pt>
                <c:pt idx="17">
                  <c:v>0.22689698054980148</c:v>
                </c:pt>
                <c:pt idx="18">
                  <c:v>0.22955947964455289</c:v>
                </c:pt>
                <c:pt idx="19">
                  <c:v>0.35491844000237444</c:v>
                </c:pt>
                <c:pt idx="20">
                  <c:v>0.22254429662385986</c:v>
                </c:pt>
                <c:pt idx="21">
                  <c:v>0.24253304459327474</c:v>
                </c:pt>
                <c:pt idx="22">
                  <c:v>0.25206159922325155</c:v>
                </c:pt>
                <c:pt idx="23">
                  <c:v>0.28286105955961394</c:v>
                </c:pt>
                <c:pt idx="24">
                  <c:v>0.23084251220139673</c:v>
                </c:pt>
                <c:pt idx="25">
                  <c:v>0.24524052318150802</c:v>
                </c:pt>
                <c:pt idx="26">
                  <c:v>0.24890843006302332</c:v>
                </c:pt>
                <c:pt idx="27">
                  <c:v>0.27500853455407193</c:v>
                </c:pt>
                <c:pt idx="28">
                  <c:v>0.23816820567751543</c:v>
                </c:pt>
                <c:pt idx="29">
                  <c:v>0.24680278775859932</c:v>
                </c:pt>
                <c:pt idx="30">
                  <c:v>0.25160675202926774</c:v>
                </c:pt>
                <c:pt idx="31">
                  <c:v>0.26342225453461759</c:v>
                </c:pt>
                <c:pt idx="32">
                  <c:v>0.2390945204977151</c:v>
                </c:pt>
                <c:pt idx="33">
                  <c:v>0.25159102616376083</c:v>
                </c:pt>
                <c:pt idx="34">
                  <c:v>0.2389519004009498</c:v>
                </c:pt>
                <c:pt idx="35">
                  <c:v>0.27036255293757427</c:v>
                </c:pt>
                <c:pt idx="36">
                  <c:v>0.24793401047612512</c:v>
                </c:pt>
                <c:pt idx="37">
                  <c:v>0.25735728621011827</c:v>
                </c:pt>
                <c:pt idx="38">
                  <c:v>0.2441319885978982</c:v>
                </c:pt>
                <c:pt idx="39">
                  <c:v>0.25057671471585841</c:v>
                </c:pt>
                <c:pt idx="40">
                  <c:v>0.23067589966158464</c:v>
                </c:pt>
                <c:pt idx="41">
                  <c:v>0.25421083227402436</c:v>
                </c:pt>
                <c:pt idx="42">
                  <c:v>0.24350316095970473</c:v>
                </c:pt>
                <c:pt idx="43">
                  <c:v>0.27161010710468625</c:v>
                </c:pt>
                <c:pt idx="44">
                  <c:v>0.51314262403231892</c:v>
                </c:pt>
                <c:pt idx="45">
                  <c:v>-0.71005651879365683</c:v>
                </c:pt>
                <c:pt idx="46">
                  <c:v>0.40818120805108049</c:v>
                </c:pt>
                <c:pt idx="47">
                  <c:v>0.78873268671025754</c:v>
                </c:pt>
                <c:pt idx="48">
                  <c:v>0.18825582587211437</c:v>
                </c:pt>
                <c:pt idx="49">
                  <c:v>0.25336995952519054</c:v>
                </c:pt>
                <c:pt idx="50">
                  <c:v>0.24944290517614437</c:v>
                </c:pt>
                <c:pt idx="51">
                  <c:v>0.30893130942655056</c:v>
                </c:pt>
                <c:pt idx="52">
                  <c:v>0.24883075165967947</c:v>
                </c:pt>
                <c:pt idx="53">
                  <c:v>0.25985204455597621</c:v>
                </c:pt>
                <c:pt idx="54">
                  <c:v>0.23724820064484486</c:v>
                </c:pt>
                <c:pt idx="55">
                  <c:v>0.25406900313949948</c:v>
                </c:pt>
                <c:pt idx="56">
                  <c:v>0.23447191879470586</c:v>
                </c:pt>
                <c:pt idx="57">
                  <c:v>0.2559377213603638</c:v>
                </c:pt>
                <c:pt idx="58">
                  <c:v>0.24935165251462424</c:v>
                </c:pt>
                <c:pt idx="59">
                  <c:v>0.26023870733030591</c:v>
                </c:pt>
                <c:pt idx="60">
                  <c:v>0.25328497882391798</c:v>
                </c:pt>
                <c:pt idx="61">
                  <c:v>0.25362855810587814</c:v>
                </c:pt>
                <c:pt idx="62">
                  <c:v>0.24048670486868923</c:v>
                </c:pt>
                <c:pt idx="63">
                  <c:v>0.25259975820151465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B-4E35-959B-37C85D59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018368"/>
        <c:axId val="537019904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9ABB-4E35-959B-37C85D59E3FC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BB-4E35-959B-37C85D59E3FC}"/>
            </c:ext>
          </c:extLst>
        </c:ser>
        <c:ser>
          <c:idx val="2"/>
          <c:order val="2"/>
          <c:tx>
            <c:v>2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ABB-4E35-959B-37C85D59E3FC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BB-4E35-959B-37C85D59E3FC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BB-4E35-959B-37C85D59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21440"/>
        <c:axId val="537023232"/>
      </c:scatterChart>
      <c:catAx>
        <c:axId val="53701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01990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537019904"/>
        <c:scaling>
          <c:orientation val="minMax"/>
          <c:max val="0.30000000000000004"/>
          <c:min val="0.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018368"/>
        <c:crosses val="autoZero"/>
        <c:crossBetween val="midCat"/>
      </c:valAx>
      <c:valAx>
        <c:axId val="53702144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7023232"/>
        <c:crosses val="autoZero"/>
        <c:crossBetween val="midCat"/>
      </c:valAx>
      <c:valAx>
        <c:axId val="53702323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702144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51382293166662"/>
          <c:y val="8.8781142104870966E-2"/>
          <c:w val="0.83657669250487654"/>
          <c:h val="0.71186202671038357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Charts_Support!$A$455</c:f>
              <c:strCache>
                <c:ptCount val="1"/>
                <c:pt idx="0">
                  <c:v>Seasonality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Charts_Support!$K$453:$CS$453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Charts_Support!$K$455:$CS$455</c:f>
              <c:numCache>
                <c:formatCode>0.0%</c:formatCode>
                <c:ptCount val="63"/>
                <c:pt idx="0">
                  <c:v>0.24137690095155734</c:v>
                </c:pt>
                <c:pt idx="1">
                  <c:v>0.24683510030940664</c:v>
                </c:pt>
                <c:pt idx="2">
                  <c:v>0.26908585117573713</c:v>
                </c:pt>
                <c:pt idx="3">
                  <c:v>0.2333498859871023</c:v>
                </c:pt>
                <c:pt idx="4">
                  <c:v>0.24124193893184162</c:v>
                </c:pt>
                <c:pt idx="5">
                  <c:v>0.25329178839918765</c:v>
                </c:pt>
                <c:pt idx="6">
                  <c:v>0.27211638668186833</c:v>
                </c:pt>
                <c:pt idx="7">
                  <c:v>0.22406797585454089</c:v>
                </c:pt>
                <c:pt idx="8">
                  <c:v>0.2426164660902291</c:v>
                </c:pt>
                <c:pt idx="9">
                  <c:v>0.25884905946840203</c:v>
                </c:pt>
                <c:pt idx="10">
                  <c:v>0.27446649858682798</c:v>
                </c:pt>
                <c:pt idx="11">
                  <c:v>0.21909428246416865</c:v>
                </c:pt>
                <c:pt idx="12">
                  <c:v>0.2534533603392371</c:v>
                </c:pt>
                <c:pt idx="13">
                  <c:v>0.25906643234856169</c:v>
                </c:pt>
                <c:pt idx="14">
                  <c:v>0.26838592484803264</c:v>
                </c:pt>
                <c:pt idx="15">
                  <c:v>0.21630614539290438</c:v>
                </c:pt>
                <c:pt idx="16">
                  <c:v>0.24315588730492249</c:v>
                </c:pt>
                <c:pt idx="17">
                  <c:v>0.25981213244220502</c:v>
                </c:pt>
                <c:pt idx="18">
                  <c:v>0.28072583485996805</c:v>
                </c:pt>
                <c:pt idx="19">
                  <c:v>0.17508734003194262</c:v>
                </c:pt>
                <c:pt idx="20">
                  <c:v>0.22821350024374726</c:v>
                </c:pt>
                <c:pt idx="21">
                  <c:v>0.25005636998358133</c:v>
                </c:pt>
                <c:pt idx="22">
                  <c:v>0.34664278974072876</c:v>
                </c:pt>
                <c:pt idx="23">
                  <c:v>0.2274575221745436</c:v>
                </c:pt>
                <c:pt idx="24">
                  <c:v>0.24039431404044603</c:v>
                </c:pt>
                <c:pt idx="25">
                  <c:v>0.25471624834894147</c:v>
                </c:pt>
                <c:pt idx="26">
                  <c:v>0.2675663019056001</c:v>
                </c:pt>
                <c:pt idx="27">
                  <c:v>0.24537491926981272</c:v>
                </c:pt>
                <c:pt idx="28">
                  <c:v>0.24045408679628516</c:v>
                </c:pt>
                <c:pt idx="29">
                  <c:v>0.25468192331164929</c:v>
                </c:pt>
                <c:pt idx="30">
                  <c:v>0.27848899366177277</c:v>
                </c:pt>
                <c:pt idx="31">
                  <c:v>0.23732538464644026</c:v>
                </c:pt>
                <c:pt idx="32">
                  <c:v>0.24323105572767423</c:v>
                </c:pt>
                <c:pt idx="33">
                  <c:v>0.24631014593506412</c:v>
                </c:pt>
                <c:pt idx="34">
                  <c:v>0.27313341369082139</c:v>
                </c:pt>
                <c:pt idx="35">
                  <c:v>0.24004946552486944</c:v>
                </c:pt>
                <c:pt idx="36">
                  <c:v>0.24537141401972254</c:v>
                </c:pt>
                <c:pt idx="37">
                  <c:v>0.24645225640689106</c:v>
                </c:pt>
                <c:pt idx="38">
                  <c:v>0.26812686404851693</c:v>
                </c:pt>
                <c:pt idx="39">
                  <c:v>0.23541703540349904</c:v>
                </c:pt>
                <c:pt idx="40">
                  <c:v>0.25072018784956701</c:v>
                </c:pt>
                <c:pt idx="41">
                  <c:v>0.24917190154749355</c:v>
                </c:pt>
                <c:pt idx="42">
                  <c:v>0.26469087519944029</c:v>
                </c:pt>
                <c:pt idx="43">
                  <c:v>0.31445533817932991</c:v>
                </c:pt>
                <c:pt idx="44">
                  <c:v>0.13502326081968352</c:v>
                </c:pt>
                <c:pt idx="45">
                  <c:v>0.25705702800637137</c:v>
                </c:pt>
                <c:pt idx="46">
                  <c:v>0.29346437299461531</c:v>
                </c:pt>
                <c:pt idx="47">
                  <c:v>0.19130415103979395</c:v>
                </c:pt>
                <c:pt idx="48">
                  <c:v>0.23374844736653336</c:v>
                </c:pt>
                <c:pt idx="49">
                  <c:v>0.26149145470143209</c:v>
                </c:pt>
                <c:pt idx="50">
                  <c:v>0.31345594689224054</c:v>
                </c:pt>
                <c:pt idx="51">
                  <c:v>0.22123905685065831</c:v>
                </c:pt>
                <c:pt idx="52">
                  <c:v>0.24609627843028695</c:v>
                </c:pt>
                <c:pt idx="53">
                  <c:v>0.25450884593863216</c:v>
                </c:pt>
                <c:pt idx="54">
                  <c:v>0.27815581878042273</c:v>
                </c:pt>
                <c:pt idx="55">
                  <c:v>0.23173821511675927</c:v>
                </c:pt>
                <c:pt idx="56">
                  <c:v>0.2485697691051027</c:v>
                </c:pt>
                <c:pt idx="57">
                  <c:v>0.25362020530654683</c:v>
                </c:pt>
                <c:pt idx="58">
                  <c:v>0.26428461274728904</c:v>
                </c:pt>
                <c:pt idx="59">
                  <c:v>0.23423586353882822</c:v>
                </c:pt>
                <c:pt idx="60">
                  <c:v>0.24512129796054161</c:v>
                </c:pt>
                <c:pt idx="61">
                  <c:v>0.25599259448294276</c:v>
                </c:pt>
                <c:pt idx="62">
                  <c:v>0.26714769867328486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1-469D-A78B-3078DFA9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146880"/>
        <c:axId val="537148416"/>
      </c:lineChart>
      <c:scatterChart>
        <c:scatterStyle val="lineMarker"/>
        <c:varyColors val="0"/>
        <c:ser>
          <c:idx val="1"/>
          <c:order val="1"/>
          <c:tx>
            <c:v>1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B8C1-469D-A78B-3078DFA916F9}"/>
              </c:ext>
            </c:extLst>
          </c:dPt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1-469D-A78B-3078DFA916F9}"/>
            </c:ext>
          </c:extLst>
        </c:ser>
        <c:ser>
          <c:idx val="2"/>
          <c:order val="2"/>
          <c:tx>
            <c:v>2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8C1-469D-A78B-3078DFA916F9}"/>
              </c:ext>
            </c:extLst>
          </c:dPt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C1-469D-A78B-3078DFA916F9}"/>
            </c:ext>
          </c:extLst>
        </c:ser>
        <c:ser>
          <c:idx val="3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8C1-469D-A78B-3078DFA9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150208"/>
        <c:axId val="537151744"/>
      </c:scatterChart>
      <c:catAx>
        <c:axId val="53714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148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7148416"/>
        <c:scaling>
          <c:orientation val="minMax"/>
          <c:max val="0.35000000000000003"/>
          <c:min val="0.1500000000000000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146880"/>
        <c:crosses val="autoZero"/>
        <c:crossBetween val="midCat"/>
      </c:valAx>
      <c:valAx>
        <c:axId val="537150208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7151744"/>
        <c:crosses val="autoZero"/>
        <c:crossBetween val="midCat"/>
      </c:valAx>
      <c:valAx>
        <c:axId val="53715174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715020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Charts_Support!$A$449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Charts_Support!$AE$492:$CS$492</c:f>
              <c:strCache>
                <c:ptCount val="43"/>
                <c:pt idx="0">
                  <c:v>2Q14</c:v>
                </c:pt>
                <c:pt idx="1">
                  <c:v>3Q14</c:v>
                </c:pt>
                <c:pt idx="2">
                  <c:v>4Q14</c:v>
                </c:pt>
                <c:pt idx="3">
                  <c:v>1Q15</c:v>
                </c:pt>
                <c:pt idx="4">
                  <c:v>2Q15</c:v>
                </c:pt>
                <c:pt idx="5">
                  <c:v>3Q15</c:v>
                </c:pt>
                <c:pt idx="6">
                  <c:v>4Q15</c:v>
                </c:pt>
                <c:pt idx="7">
                  <c:v>1Q16</c:v>
                </c:pt>
                <c:pt idx="8">
                  <c:v>2Q16</c:v>
                </c:pt>
                <c:pt idx="9">
                  <c:v>3Q16</c:v>
                </c:pt>
                <c:pt idx="10">
                  <c:v>4Q16</c:v>
                </c:pt>
                <c:pt idx="11">
                  <c:v>1Q17</c:v>
                </c:pt>
                <c:pt idx="12">
                  <c:v>2Q17</c:v>
                </c:pt>
                <c:pt idx="13">
                  <c:v>3Q17</c:v>
                </c:pt>
                <c:pt idx="14">
                  <c:v>4Q17</c:v>
                </c:pt>
                <c:pt idx="15">
                  <c:v>1Q18</c:v>
                </c:pt>
                <c:pt idx="16">
                  <c:v>2Q18</c:v>
                </c:pt>
                <c:pt idx="17">
                  <c:v>3Q18</c:v>
                </c:pt>
                <c:pt idx="18">
                  <c:v>4Q18</c:v>
                </c:pt>
                <c:pt idx="19">
                  <c:v>1Q19</c:v>
                </c:pt>
                <c:pt idx="20">
                  <c:v>2Q19</c:v>
                </c:pt>
                <c:pt idx="21">
                  <c:v>3Q19</c:v>
                </c:pt>
                <c:pt idx="22">
                  <c:v>4Q19</c:v>
                </c:pt>
                <c:pt idx="23">
                  <c:v>1Q20</c:v>
                </c:pt>
                <c:pt idx="24">
                  <c:v>2Q20</c:v>
                </c:pt>
                <c:pt idx="25">
                  <c:v>3Q20</c:v>
                </c:pt>
                <c:pt idx="26">
                  <c:v>4Q20</c:v>
                </c:pt>
                <c:pt idx="27">
                  <c:v>1Q21</c:v>
                </c:pt>
                <c:pt idx="28">
                  <c:v>2Q21</c:v>
                </c:pt>
                <c:pt idx="29">
                  <c:v>3Q21</c:v>
                </c:pt>
                <c:pt idx="30">
                  <c:v>4Q21</c:v>
                </c:pt>
                <c:pt idx="31">
                  <c:v>1Q22</c:v>
                </c:pt>
                <c:pt idx="32">
                  <c:v>2Q22</c:v>
                </c:pt>
                <c:pt idx="33">
                  <c:v>3Q22</c:v>
                </c:pt>
                <c:pt idx="34">
                  <c:v>4Q22</c:v>
                </c:pt>
                <c:pt idx="35">
                  <c:v>1Q23</c:v>
                </c:pt>
                <c:pt idx="36">
                  <c:v>2Q23</c:v>
                </c:pt>
                <c:pt idx="37">
                  <c:v>3Q23</c:v>
                </c:pt>
                <c:pt idx="38">
                  <c:v>4Q23</c:v>
                </c:pt>
                <c:pt idx="39">
                  <c:v>1Q24</c:v>
                </c:pt>
                <c:pt idx="40">
                  <c:v>2Q24e</c:v>
                </c:pt>
                <c:pt idx="41">
                  <c:v>3Q24e</c:v>
                </c:pt>
                <c:pt idx="42">
                  <c:v>4Q24e</c:v>
                </c:pt>
              </c:strCache>
            </c:strRef>
          </c:cat>
          <c:val>
            <c:numRef>
              <c:f>Charts_Support!$AB$449:$CS$449</c:f>
              <c:numCache>
                <c:formatCode>0.0%</c:formatCode>
                <c:ptCount val="46"/>
                <c:pt idx="0">
                  <c:v>#N/A</c:v>
                </c:pt>
                <c:pt idx="1">
                  <c:v>4.7E-2</c:v>
                </c:pt>
                <c:pt idx="2">
                  <c:v>2.5999999999999999E-2</c:v>
                </c:pt>
                <c:pt idx="3">
                  <c:v>1.7999999999999999E-2</c:v>
                </c:pt>
                <c:pt idx="4">
                  <c:v>-2.5000000000000001E-2</c:v>
                </c:pt>
                <c:pt idx="5">
                  <c:v>-2.8000000000000001E-2</c:v>
                </c:pt>
                <c:pt idx="6">
                  <c:v>2.5999999999999999E-2</c:v>
                </c:pt>
                <c:pt idx="7">
                  <c:v>0.02</c:v>
                </c:pt>
                <c:pt idx="8">
                  <c:v>5.8000000000000003E-2</c:v>
                </c:pt>
                <c:pt idx="9">
                  <c:v>6.0999999999999999E-2</c:v>
                </c:pt>
                <c:pt idx="10">
                  <c:v>6.2E-2</c:v>
                </c:pt>
                <c:pt idx="11">
                  <c:v>6.2E-2</c:v>
                </c:pt>
                <c:pt idx="12">
                  <c:v>6.4000000000000001E-2</c:v>
                </c:pt>
                <c:pt idx="13">
                  <c:v>4.9000000000000002E-2</c:v>
                </c:pt>
                <c:pt idx="14">
                  <c:v>1.9E-2</c:v>
                </c:pt>
                <c:pt idx="15">
                  <c:v>0.05</c:v>
                </c:pt>
                <c:pt idx="16">
                  <c:v>1.7000000000000001E-2</c:v>
                </c:pt>
                <c:pt idx="17">
                  <c:v>3.9E-2</c:v>
                </c:pt>
                <c:pt idx="18">
                  <c:v>7.0999999999999994E-2</c:v>
                </c:pt>
                <c:pt idx="19">
                  <c:v>2.8000000000000001E-2</c:v>
                </c:pt>
                <c:pt idx="20">
                  <c:v>2.8000000000000001E-2</c:v>
                </c:pt>
                <c:pt idx="21">
                  <c:v>3.5000000000000003E-2</c:v>
                </c:pt>
                <c:pt idx="22">
                  <c:v>2.1000000000000001E-2</c:v>
                </c:pt>
                <c:pt idx="23">
                  <c:v>6.3E-2</c:v>
                </c:pt>
                <c:pt idx="24">
                  <c:v>3.5999999999999997E-2</c:v>
                </c:pt>
                <c:pt idx="25">
                  <c:v>2.3E-2</c:v>
                </c:pt>
                <c:pt idx="26">
                  <c:v>-2.5999999999999999E-2</c:v>
                </c:pt>
                <c:pt idx="27">
                  <c:v>-0.443</c:v>
                </c:pt>
                <c:pt idx="28">
                  <c:v>-0.29599999999999999</c:v>
                </c:pt>
                <c:pt idx="29">
                  <c:v>-0.218</c:v>
                </c:pt>
                <c:pt idx="30">
                  <c:v>-8.4000000000000005E-2</c:v>
                </c:pt>
                <c:pt idx="31">
                  <c:v>0.86</c:v>
                </c:pt>
                <c:pt idx="32">
                  <c:v>0.435</c:v>
                </c:pt>
                <c:pt idx="33">
                  <c:v>0.44500000000000001</c:v>
                </c:pt>
                <c:pt idx="34">
                  <c:v>0.44400000000000001</c:v>
                </c:pt>
                <c:pt idx="35">
                  <c:v>0.28100000000000003</c:v>
                </c:pt>
                <c:pt idx="36">
                  <c:v>0.23499999999999999</c:v>
                </c:pt>
                <c:pt idx="37">
                  <c:v>0.16</c:v>
                </c:pt>
                <c:pt idx="38">
                  <c:v>0.184</c:v>
                </c:pt>
                <c:pt idx="39">
                  <c:v>0.14099999999999999</c:v>
                </c:pt>
                <c:pt idx="40">
                  <c:v>0.16200000000000001</c:v>
                </c:pt>
                <c:pt idx="41">
                  <c:v>0.13500000000000001</c:v>
                </c:pt>
                <c:pt idx="42">
                  <c:v>0.10100000000000001</c:v>
                </c:pt>
                <c:pt idx="43">
                  <c:v>7.2999999999999995E-2</c:v>
                </c:pt>
                <c:pt idx="44">
                  <c:v>4.691657931847279E-2</c:v>
                </c:pt>
                <c:pt idx="45">
                  <c:v>4.3916423901643048E-2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6B-41A0-AED9-3615B81C3070}"/>
            </c:ext>
          </c:extLst>
        </c:ser>
        <c:ser>
          <c:idx val="0"/>
          <c:order val="1"/>
          <c:tx>
            <c:strRef>
              <c:f>Charts_Support!$A$450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Charts_Support!$AE$492:$CS$492</c:f>
              <c:strCache>
                <c:ptCount val="43"/>
                <c:pt idx="0">
                  <c:v>2Q14</c:v>
                </c:pt>
                <c:pt idx="1">
                  <c:v>3Q14</c:v>
                </c:pt>
                <c:pt idx="2">
                  <c:v>4Q14</c:v>
                </c:pt>
                <c:pt idx="3">
                  <c:v>1Q15</c:v>
                </c:pt>
                <c:pt idx="4">
                  <c:v>2Q15</c:v>
                </c:pt>
                <c:pt idx="5">
                  <c:v>3Q15</c:v>
                </c:pt>
                <c:pt idx="6">
                  <c:v>4Q15</c:v>
                </c:pt>
                <c:pt idx="7">
                  <c:v>1Q16</c:v>
                </c:pt>
                <c:pt idx="8">
                  <c:v>2Q16</c:v>
                </c:pt>
                <c:pt idx="9">
                  <c:v>3Q16</c:v>
                </c:pt>
                <c:pt idx="10">
                  <c:v>4Q16</c:v>
                </c:pt>
                <c:pt idx="11">
                  <c:v>1Q17</c:v>
                </c:pt>
                <c:pt idx="12">
                  <c:v>2Q17</c:v>
                </c:pt>
                <c:pt idx="13">
                  <c:v>3Q17</c:v>
                </c:pt>
                <c:pt idx="14">
                  <c:v>4Q17</c:v>
                </c:pt>
                <c:pt idx="15">
                  <c:v>1Q18</c:v>
                </c:pt>
                <c:pt idx="16">
                  <c:v>2Q18</c:v>
                </c:pt>
                <c:pt idx="17">
                  <c:v>3Q18</c:v>
                </c:pt>
                <c:pt idx="18">
                  <c:v>4Q18</c:v>
                </c:pt>
                <c:pt idx="19">
                  <c:v>1Q19</c:v>
                </c:pt>
                <c:pt idx="20">
                  <c:v>2Q19</c:v>
                </c:pt>
                <c:pt idx="21">
                  <c:v>3Q19</c:v>
                </c:pt>
                <c:pt idx="22">
                  <c:v>4Q19</c:v>
                </c:pt>
                <c:pt idx="23">
                  <c:v>1Q20</c:v>
                </c:pt>
                <c:pt idx="24">
                  <c:v>2Q20</c:v>
                </c:pt>
                <c:pt idx="25">
                  <c:v>3Q20</c:v>
                </c:pt>
                <c:pt idx="26">
                  <c:v>4Q20</c:v>
                </c:pt>
                <c:pt idx="27">
                  <c:v>1Q21</c:v>
                </c:pt>
                <c:pt idx="28">
                  <c:v>2Q21</c:v>
                </c:pt>
                <c:pt idx="29">
                  <c:v>3Q21</c:v>
                </c:pt>
                <c:pt idx="30">
                  <c:v>4Q21</c:v>
                </c:pt>
                <c:pt idx="31">
                  <c:v>1Q22</c:v>
                </c:pt>
                <c:pt idx="32">
                  <c:v>2Q22</c:v>
                </c:pt>
                <c:pt idx="33">
                  <c:v>3Q22</c:v>
                </c:pt>
                <c:pt idx="34">
                  <c:v>4Q22</c:v>
                </c:pt>
                <c:pt idx="35">
                  <c:v>1Q23</c:v>
                </c:pt>
                <c:pt idx="36">
                  <c:v>2Q23</c:v>
                </c:pt>
                <c:pt idx="37">
                  <c:v>3Q23</c:v>
                </c:pt>
                <c:pt idx="38">
                  <c:v>4Q23</c:v>
                </c:pt>
                <c:pt idx="39">
                  <c:v>1Q24</c:v>
                </c:pt>
                <c:pt idx="40">
                  <c:v>2Q24e</c:v>
                </c:pt>
                <c:pt idx="41">
                  <c:v>3Q24e</c:v>
                </c:pt>
                <c:pt idx="42">
                  <c:v>4Q24e</c:v>
                </c:pt>
              </c:strCache>
            </c:strRef>
          </c:cat>
          <c:val>
            <c:numRef>
              <c:f>Charts_Support!$AB$450:$CS$450</c:f>
              <c:numCache>
                <c:formatCode>0.0%</c:formatCode>
                <c:ptCount val="46"/>
                <c:pt idx="0">
                  <c:v>#N/A</c:v>
                </c:pt>
                <c:pt idx="1">
                  <c:v>0.26</c:v>
                </c:pt>
                <c:pt idx="2">
                  <c:v>0.26500000000000001</c:v>
                </c:pt>
                <c:pt idx="3">
                  <c:v>0.19800000000000001</c:v>
                </c:pt>
                <c:pt idx="4">
                  <c:v>0.16400000000000001</c:v>
                </c:pt>
                <c:pt idx="5">
                  <c:v>0.16700000000000001</c:v>
                </c:pt>
                <c:pt idx="6">
                  <c:v>0.154</c:v>
                </c:pt>
                <c:pt idx="7">
                  <c:v>0.27400000000000002</c:v>
                </c:pt>
                <c:pt idx="8">
                  <c:v>0.29299999999999998</c:v>
                </c:pt>
                <c:pt idx="9">
                  <c:v>0.28399999999999997</c:v>
                </c:pt>
                <c:pt idx="10">
                  <c:v>0.26800000000000002</c:v>
                </c:pt>
                <c:pt idx="11">
                  <c:v>0.23</c:v>
                </c:pt>
                <c:pt idx="12">
                  <c:v>0.23599999999999999</c:v>
                </c:pt>
                <c:pt idx="13">
                  <c:v>0.22</c:v>
                </c:pt>
                <c:pt idx="14">
                  <c:v>0.247</c:v>
                </c:pt>
                <c:pt idx="15">
                  <c:v>0.16600000000000001</c:v>
                </c:pt>
                <c:pt idx="16">
                  <c:v>0.216</c:v>
                </c:pt>
                <c:pt idx="17">
                  <c:v>0.184</c:v>
                </c:pt>
                <c:pt idx="18">
                  <c:v>9.6000000000000002E-2</c:v>
                </c:pt>
                <c:pt idx="19">
                  <c:v>0.126</c:v>
                </c:pt>
                <c:pt idx="20">
                  <c:v>0.10100000000000001</c:v>
                </c:pt>
                <c:pt idx="21">
                  <c:v>0.15</c:v>
                </c:pt>
                <c:pt idx="22">
                  <c:v>0.13100000000000001</c:v>
                </c:pt>
                <c:pt idx="23">
                  <c:v>0.16400000000000001</c:v>
                </c:pt>
                <c:pt idx="24">
                  <c:v>0.186</c:v>
                </c:pt>
                <c:pt idx="25">
                  <c:v>0.11600000000000001</c:v>
                </c:pt>
                <c:pt idx="26">
                  <c:v>6.8000000000000005E-2</c:v>
                </c:pt>
                <c:pt idx="27">
                  <c:v>-0.442</c:v>
                </c:pt>
                <c:pt idx="28">
                  <c:v>-0.36499999999999999</c:v>
                </c:pt>
                <c:pt idx="29">
                  <c:v>-0.14199999999999999</c:v>
                </c:pt>
                <c:pt idx="30">
                  <c:v>4.9000000000000002E-2</c:v>
                </c:pt>
                <c:pt idx="31">
                  <c:v>0.98299999999999998</c:v>
                </c:pt>
                <c:pt idx="32">
                  <c:v>1.01</c:v>
                </c:pt>
                <c:pt idx="33">
                  <c:v>0.78400000000000003</c:v>
                </c:pt>
                <c:pt idx="34">
                  <c:v>0.66400000000000003</c:v>
                </c:pt>
                <c:pt idx="35">
                  <c:v>1.002</c:v>
                </c:pt>
                <c:pt idx="36">
                  <c:v>0.68200000000000005</c:v>
                </c:pt>
                <c:pt idx="37">
                  <c:v>0.53500000000000003</c:v>
                </c:pt>
                <c:pt idx="38">
                  <c:v>0.58299999999999996</c:v>
                </c:pt>
                <c:pt idx="39">
                  <c:v>0.49</c:v>
                </c:pt>
                <c:pt idx="40">
                  <c:v>0.41399999999999998</c:v>
                </c:pt>
                <c:pt idx="41">
                  <c:v>0.28100000000000003</c:v>
                </c:pt>
                <c:pt idx="42">
                  <c:v>0.33400000000000002</c:v>
                </c:pt>
                <c:pt idx="43">
                  <c:v>0.48099999999999998</c:v>
                </c:pt>
                <c:pt idx="44">
                  <c:v>0.43545757945564589</c:v>
                </c:pt>
                <c:pt idx="45">
                  <c:v>0.29217100852820443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6B-41A0-AED9-3615B81C3070}"/>
            </c:ext>
          </c:extLst>
        </c:ser>
        <c:ser>
          <c:idx val="2"/>
          <c:order val="2"/>
          <c:tx>
            <c:strRef>
              <c:f>Charts_Support!$A$451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Charts_Support!$AE$492:$CS$492</c:f>
              <c:strCache>
                <c:ptCount val="43"/>
                <c:pt idx="0">
                  <c:v>2Q14</c:v>
                </c:pt>
                <c:pt idx="1">
                  <c:v>3Q14</c:v>
                </c:pt>
                <c:pt idx="2">
                  <c:v>4Q14</c:v>
                </c:pt>
                <c:pt idx="3">
                  <c:v>1Q15</c:v>
                </c:pt>
                <c:pt idx="4">
                  <c:v>2Q15</c:v>
                </c:pt>
                <c:pt idx="5">
                  <c:v>3Q15</c:v>
                </c:pt>
                <c:pt idx="6">
                  <c:v>4Q15</c:v>
                </c:pt>
                <c:pt idx="7">
                  <c:v>1Q16</c:v>
                </c:pt>
                <c:pt idx="8">
                  <c:v>2Q16</c:v>
                </c:pt>
                <c:pt idx="9">
                  <c:v>3Q16</c:v>
                </c:pt>
                <c:pt idx="10">
                  <c:v>4Q16</c:v>
                </c:pt>
                <c:pt idx="11">
                  <c:v>1Q17</c:v>
                </c:pt>
                <c:pt idx="12">
                  <c:v>2Q17</c:v>
                </c:pt>
                <c:pt idx="13">
                  <c:v>3Q17</c:v>
                </c:pt>
                <c:pt idx="14">
                  <c:v>4Q17</c:v>
                </c:pt>
                <c:pt idx="15">
                  <c:v>1Q18</c:v>
                </c:pt>
                <c:pt idx="16">
                  <c:v>2Q18</c:v>
                </c:pt>
                <c:pt idx="17">
                  <c:v>3Q18</c:v>
                </c:pt>
                <c:pt idx="18">
                  <c:v>4Q18</c:v>
                </c:pt>
                <c:pt idx="19">
                  <c:v>1Q19</c:v>
                </c:pt>
                <c:pt idx="20">
                  <c:v>2Q19</c:v>
                </c:pt>
                <c:pt idx="21">
                  <c:v>3Q19</c:v>
                </c:pt>
                <c:pt idx="22">
                  <c:v>4Q19</c:v>
                </c:pt>
                <c:pt idx="23">
                  <c:v>1Q20</c:v>
                </c:pt>
                <c:pt idx="24">
                  <c:v>2Q20</c:v>
                </c:pt>
                <c:pt idx="25">
                  <c:v>3Q20</c:v>
                </c:pt>
                <c:pt idx="26">
                  <c:v>4Q20</c:v>
                </c:pt>
                <c:pt idx="27">
                  <c:v>1Q21</c:v>
                </c:pt>
                <c:pt idx="28">
                  <c:v>2Q21</c:v>
                </c:pt>
                <c:pt idx="29">
                  <c:v>3Q21</c:v>
                </c:pt>
                <c:pt idx="30">
                  <c:v>4Q21</c:v>
                </c:pt>
                <c:pt idx="31">
                  <c:v>1Q22</c:v>
                </c:pt>
                <c:pt idx="32">
                  <c:v>2Q22</c:v>
                </c:pt>
                <c:pt idx="33">
                  <c:v>3Q22</c:v>
                </c:pt>
                <c:pt idx="34">
                  <c:v>4Q22</c:v>
                </c:pt>
                <c:pt idx="35">
                  <c:v>1Q23</c:v>
                </c:pt>
                <c:pt idx="36">
                  <c:v>2Q23</c:v>
                </c:pt>
                <c:pt idx="37">
                  <c:v>3Q23</c:v>
                </c:pt>
                <c:pt idx="38">
                  <c:v>4Q23</c:v>
                </c:pt>
                <c:pt idx="39">
                  <c:v>1Q24</c:v>
                </c:pt>
                <c:pt idx="40">
                  <c:v>2Q24e</c:v>
                </c:pt>
                <c:pt idx="41">
                  <c:v>3Q24e</c:v>
                </c:pt>
                <c:pt idx="42">
                  <c:v>4Q24e</c:v>
                </c:pt>
              </c:strCache>
            </c:strRef>
          </c:cat>
          <c:val>
            <c:numRef>
              <c:f>Charts_Support!$AB$451:$CS$451</c:f>
              <c:numCache>
                <c:formatCode>0.0%</c:formatCode>
                <c:ptCount val="4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8.8999999999999996E-2</c:v>
                </c:pt>
                <c:pt idx="6">
                  <c:v>9.7000000000000003E-2</c:v>
                </c:pt>
                <c:pt idx="7">
                  <c:v>3.6999999999999998E-2</c:v>
                </c:pt>
                <c:pt idx="8">
                  <c:v>7.0999999999999994E-2</c:v>
                </c:pt>
                <c:pt idx="9">
                  <c:v>7.1999999999999995E-2</c:v>
                </c:pt>
                <c:pt idx="10">
                  <c:v>8.5000000000000006E-2</c:v>
                </c:pt>
                <c:pt idx="11">
                  <c:v>7.2999999999999995E-2</c:v>
                </c:pt>
                <c:pt idx="12">
                  <c:v>1.9E-2</c:v>
                </c:pt>
                <c:pt idx="13">
                  <c:v>3.0000000000000001E-3</c:v>
                </c:pt>
                <c:pt idx="14">
                  <c:v>0.02</c:v>
                </c:pt>
                <c:pt idx="15">
                  <c:v>1.7000000000000001E-2</c:v>
                </c:pt>
                <c:pt idx="16">
                  <c:v>3.5000000000000003E-2</c:v>
                </c:pt>
                <c:pt idx="17">
                  <c:v>2.1000000000000001E-2</c:v>
                </c:pt>
                <c:pt idx="18">
                  <c:v>3.6999999999999998E-2</c:v>
                </c:pt>
                <c:pt idx="19">
                  <c:v>3.0000000000000001E-3</c:v>
                </c:pt>
                <c:pt idx="20">
                  <c:v>-8.0000000000000002E-3</c:v>
                </c:pt>
                <c:pt idx="21">
                  <c:v>0.01</c:v>
                </c:pt>
                <c:pt idx="22">
                  <c:v>-1.4999999999999999E-2</c:v>
                </c:pt>
                <c:pt idx="23">
                  <c:v>5.2999999999999999E-2</c:v>
                </c:pt>
                <c:pt idx="24">
                  <c:v>2.5999999999999999E-2</c:v>
                </c:pt>
                <c:pt idx="25">
                  <c:v>1.7000000000000001E-2</c:v>
                </c:pt>
                <c:pt idx="26">
                  <c:v>-4.8000000000000001E-2</c:v>
                </c:pt>
                <c:pt idx="27">
                  <c:v>-0.35699999999999998</c:v>
                </c:pt>
                <c:pt idx="28">
                  <c:v>-0.29799999999999999</c:v>
                </c:pt>
                <c:pt idx="29">
                  <c:v>-0.34599999999999997</c:v>
                </c:pt>
                <c:pt idx="30">
                  <c:v>-0.29199999999999998</c:v>
                </c:pt>
                <c:pt idx="31">
                  <c:v>0.24399999999999999</c:v>
                </c:pt>
                <c:pt idx="32">
                  <c:v>0.21099999999999999</c:v>
                </c:pt>
                <c:pt idx="33">
                  <c:v>0.38400000000000001</c:v>
                </c:pt>
                <c:pt idx="34">
                  <c:v>0.41599999999999998</c:v>
                </c:pt>
                <c:pt idx="35">
                  <c:v>0.31</c:v>
                </c:pt>
                <c:pt idx="36">
                  <c:v>0.23599999999999999</c:v>
                </c:pt>
                <c:pt idx="37">
                  <c:v>0.16200000000000001</c:v>
                </c:pt>
                <c:pt idx="38">
                  <c:v>0.16200000000000001</c:v>
                </c:pt>
                <c:pt idx="39">
                  <c:v>0.115</c:v>
                </c:pt>
                <c:pt idx="40">
                  <c:v>8.3000000000000004E-2</c:v>
                </c:pt>
                <c:pt idx="41">
                  <c:v>3.7999999999999999E-2</c:v>
                </c:pt>
                <c:pt idx="42">
                  <c:v>1.6E-2</c:v>
                </c:pt>
                <c:pt idx="43">
                  <c:v>-2.5999999999999999E-2</c:v>
                </c:pt>
                <c:pt idx="44">
                  <c:v>8.0000000000000002E-3</c:v>
                </c:pt>
                <c:pt idx="45">
                  <c:v>1.5360000000000002E-2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6B-41A0-AED9-3615B81C3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187456"/>
        <c:axId val="537188992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6B-41A0-AED9-3615B81C3070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6B-41A0-AED9-3615B81C3070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6B-41A0-AED9-3615B81C3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190784"/>
        <c:axId val="537192320"/>
      </c:scatterChart>
      <c:catAx>
        <c:axId val="5371874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188992"/>
        <c:crossesAt val="1.8000000000000002E-2"/>
        <c:auto val="1"/>
        <c:lblAlgn val="ctr"/>
        <c:lblOffset val="100"/>
        <c:tickLblSkip val="2"/>
        <c:tickMarkSkip val="1"/>
        <c:noMultiLvlLbl val="0"/>
      </c:catAx>
      <c:valAx>
        <c:axId val="53718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37187456"/>
        <c:crosses val="autoZero"/>
        <c:crossBetween val="midCat"/>
      </c:valAx>
      <c:valAx>
        <c:axId val="53719078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37192320"/>
        <c:crosses val="autoZero"/>
        <c:crossBetween val="midCat"/>
      </c:valAx>
      <c:valAx>
        <c:axId val="53719232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37190784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3244367454068243"/>
          <c:y val="1.6249179307836798E-3"/>
          <c:w val="0.23714166079434629"/>
          <c:h val="0.1876831305177761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9053775550349E-2"/>
          <c:y val="0.11768240239040059"/>
          <c:w val="0.91981828482830652"/>
          <c:h val="0.67511129053817764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Charts_Support!$A$322</c:f>
              <c:strCache>
                <c:ptCount val="1"/>
                <c:pt idx="0">
                  <c:v>Receivables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Charts_Support!$K$322:$AE$322</c:f>
              <c:numCache>
                <c:formatCode>#,##0_);\(#,##0\)</c:formatCode>
                <c:ptCount val="21"/>
                <c:pt idx="0">
                  <c:v>9.0849293186530105</c:v>
                </c:pt>
                <c:pt idx="1">
                  <c:v>11.820165459058964</c:v>
                </c:pt>
                <c:pt idx="2">
                  <c:v>13.293232614393983</c:v>
                </c:pt>
                <c:pt idx="3">
                  <c:v>12.830253611976191</c:v>
                </c:pt>
                <c:pt idx="4">
                  <c:v>10.197813790876598</c:v>
                </c:pt>
                <c:pt idx="5">
                  <c:v>9.0911310400536927</c:v>
                </c:pt>
                <c:pt idx="6">
                  <c:v>8.1743864382823848</c:v>
                </c:pt>
                <c:pt idx="7">
                  <c:v>9.689369707141557</c:v>
                </c:pt>
                <c:pt idx="8">
                  <c:v>7.4549084497175215</c:v>
                </c:pt>
                <c:pt idx="9">
                  <c:v>8.4616329100824235</c:v>
                </c:pt>
                <c:pt idx="10">
                  <c:v>13.591178003005037</c:v>
                </c:pt>
                <c:pt idx="11">
                  <c:v>9.4212511845486091</c:v>
                </c:pt>
                <c:pt idx="12">
                  <c:v>9.5398224615827516</c:v>
                </c:pt>
                <c:pt idx="13">
                  <c:v>10.59735659842536</c:v>
                </c:pt>
                <c:pt idx="14">
                  <c:v>10.59735659842536</c:v>
                </c:pt>
                <c:pt idx="15">
                  <c:v>10.59735659842536</c:v>
                </c:pt>
                <c:pt idx="16">
                  <c:v>10.645177771278176</c:v>
                </c:pt>
                <c:pt idx="17">
                  <c:v>9.292510595567963</c:v>
                </c:pt>
                <c:pt idx="18">
                  <c:v>11.047235091325753</c:v>
                </c:pt>
                <c:pt idx="19">
                  <c:v>10.59735659842536</c:v>
                </c:pt>
                <c:pt idx="20">
                  <c:v>10.645177771278176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4-4D6F-82DC-EFBE659F1CB7}"/>
            </c:ext>
          </c:extLst>
        </c:ser>
        <c:ser>
          <c:idx val="1"/>
          <c:order val="1"/>
          <c:tx>
            <c:strRef>
              <c:f>Charts_Support!$A$323</c:f>
              <c:strCache>
                <c:ptCount val="1"/>
                <c:pt idx="0">
                  <c:v>Inventories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Charts_Support!$K$323:$AE$323</c:f>
              <c:numCache>
                <c:formatCode>#,##0_);\(#,##0\)</c:formatCode>
                <c:ptCount val="21"/>
                <c:pt idx="0">
                  <c:v>35.907521507087118</c:v>
                </c:pt>
                <c:pt idx="1">
                  <c:v>34.227243911458608</c:v>
                </c:pt>
                <c:pt idx="2">
                  <c:v>39.830772051255664</c:v>
                </c:pt>
                <c:pt idx="3">
                  <c:v>40.042420461634435</c:v>
                </c:pt>
                <c:pt idx="4">
                  <c:v>38.613988441703711</c:v>
                </c:pt>
                <c:pt idx="5">
                  <c:v>44.543919574165464</c:v>
                </c:pt>
                <c:pt idx="6">
                  <c:v>43.622900083656674</c:v>
                </c:pt>
                <c:pt idx="7">
                  <c:v>51.448674090994807</c:v>
                </c:pt>
                <c:pt idx="8">
                  <c:v>49.329405636391606</c:v>
                </c:pt>
                <c:pt idx="9">
                  <c:v>35.748529376316277</c:v>
                </c:pt>
                <c:pt idx="10">
                  <c:v>44.372978008225544</c:v>
                </c:pt>
                <c:pt idx="11">
                  <c:v>35.163561219928091</c:v>
                </c:pt>
                <c:pt idx="12">
                  <c:v>40.930760114319909</c:v>
                </c:pt>
                <c:pt idx="13">
                  <c:v>38.108210079870894</c:v>
                </c:pt>
                <c:pt idx="14">
                  <c:v>38.108210079870894</c:v>
                </c:pt>
                <c:pt idx="15">
                  <c:v>38.108210079870894</c:v>
                </c:pt>
                <c:pt idx="16">
                  <c:v>38.909099752709913</c:v>
                </c:pt>
                <c:pt idx="17">
                  <c:v>43.203978265250043</c:v>
                </c:pt>
                <c:pt idx="18">
                  <c:v>41.391077513027689</c:v>
                </c:pt>
                <c:pt idx="19">
                  <c:v>38.108210079870894</c:v>
                </c:pt>
                <c:pt idx="20">
                  <c:v>38.909099752709913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84-4D6F-82DC-EFBE659F1CB7}"/>
            </c:ext>
          </c:extLst>
        </c:ser>
        <c:ser>
          <c:idx val="2"/>
          <c:order val="2"/>
          <c:tx>
            <c:strRef>
              <c:f>Charts_Support!$A$324</c:f>
              <c:strCache>
                <c:ptCount val="1"/>
                <c:pt idx="0">
                  <c:v>Payables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</c:spP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Charts_Support!$K$324:$AE$324</c:f>
              <c:numCache>
                <c:formatCode>#,##0_);\(#,##0\)</c:formatCode>
                <c:ptCount val="21"/>
                <c:pt idx="0">
                  <c:v>72.416143026517389</c:v>
                </c:pt>
                <c:pt idx="1">
                  <c:v>86.722715712097084</c:v>
                </c:pt>
                <c:pt idx="2">
                  <c:v>81.747471953478808</c:v>
                </c:pt>
                <c:pt idx="3">
                  <c:v>87.870555208983149</c:v>
                </c:pt>
                <c:pt idx="4">
                  <c:v>98.587213172212756</c:v>
                </c:pt>
                <c:pt idx="5">
                  <c:v>97.399661659806483</c:v>
                </c:pt>
                <c:pt idx="6">
                  <c:v>108.04832580505318</c:v>
                </c:pt>
                <c:pt idx="7">
                  <c:v>101.39334575177509</c:v>
                </c:pt>
                <c:pt idx="8">
                  <c:v>121.35418425103828</c:v>
                </c:pt>
                <c:pt idx="9">
                  <c:v>109.4876877394311</c:v>
                </c:pt>
                <c:pt idx="10">
                  <c:v>98.838203177778041</c:v>
                </c:pt>
                <c:pt idx="11">
                  <c:v>69.639709712790989</c:v>
                </c:pt>
                <c:pt idx="12">
                  <c:v>79.570546365300657</c:v>
                </c:pt>
                <c:pt idx="13">
                  <c:v>79.909515266845375</c:v>
                </c:pt>
                <c:pt idx="14">
                  <c:v>79.909515266845375</c:v>
                </c:pt>
                <c:pt idx="15">
                  <c:v>79.909515266845375</c:v>
                </c:pt>
                <c:pt idx="16">
                  <c:v>81.023400778375972</c:v>
                </c:pt>
                <c:pt idx="17">
                  <c:v>75.447591611049361</c:v>
                </c:pt>
                <c:pt idx="18">
                  <c:v>76.858747787095623</c:v>
                </c:pt>
                <c:pt idx="19">
                  <c:v>79.909515266845375</c:v>
                </c:pt>
                <c:pt idx="20">
                  <c:v>81.023400778375972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84-4D6F-82DC-EFBE659F1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496448"/>
        <c:axId val="543502336"/>
      </c:areaChart>
      <c:catAx>
        <c:axId val="54349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0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350233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4964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978232948508642"/>
          <c:y val="4.010669676062479E-2"/>
          <c:w val="0.20161185830158854"/>
          <c:h val="0.13583318371848471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6113044009035"/>
          <c:y val="5.3378790417155306E-2"/>
          <c:w val="0.78488520637492121"/>
          <c:h val="0.73941485681566954"/>
        </c:manualLayout>
      </c:layout>
      <c:areaChart>
        <c:grouping val="stacked"/>
        <c:varyColors val="0"/>
        <c:ser>
          <c:idx val="1"/>
          <c:order val="0"/>
          <c:tx>
            <c:strRef>
              <c:f>Charts_Support!$A$282</c:f>
              <c:strCache>
                <c:ptCount val="1"/>
                <c:pt idx="0">
                  <c:v>Maintenance Capex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Charts_Support!$K$380:$AE$380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Charts_Support!$K$282:$AE$282</c:f>
              <c:numCache>
                <c:formatCode>#,##0_);\(#,##0\)</c:formatCode>
                <c:ptCount val="21"/>
                <c:pt idx="0">
                  <c:v>44.666235</c:v>
                </c:pt>
                <c:pt idx="1">
                  <c:v>168.70128</c:v>
                </c:pt>
                <c:pt idx="2">
                  <c:v>40.002850000000109</c:v>
                </c:pt>
                <c:pt idx="3">
                  <c:v>24.427701999999996</c:v>
                </c:pt>
                <c:pt idx="4">
                  <c:v>358.67054999999988</c:v>
                </c:pt>
                <c:pt idx="5">
                  <c:v>984.98993999999993</c:v>
                </c:pt>
                <c:pt idx="6">
                  <c:v>1474.1690400000002</c:v>
                </c:pt>
                <c:pt idx="7">
                  <c:v>1666.4432600000002</c:v>
                </c:pt>
                <c:pt idx="8">
                  <c:v>1185.01395</c:v>
                </c:pt>
                <c:pt idx="9">
                  <c:v>1262.5419240000001</c:v>
                </c:pt>
                <c:pt idx="10">
                  <c:v>787.33572800000002</c:v>
                </c:pt>
                <c:pt idx="11">
                  <c:v>1603.2631229999997</c:v>
                </c:pt>
                <c:pt idx="12">
                  <c:v>1879.43371</c:v>
                </c:pt>
                <c:pt idx="13">
                  <c:v>1951.3558800000001</c:v>
                </c:pt>
                <c:pt idx="14">
                  <c:v>2772.1527455943597</c:v>
                </c:pt>
                <c:pt idx="15">
                  <c:v>2851.5894529741131</c:v>
                </c:pt>
                <c:pt idx="16">
                  <c:v>3138.7305733219396</c:v>
                </c:pt>
                <c:pt idx="17">
                  <c:v>3421.3125570039906</c:v>
                </c:pt>
                <c:pt idx="18">
                  <c:v>4707.6744650288629</c:v>
                </c:pt>
                <c:pt idx="19">
                  <c:v>5256.4629827993112</c:v>
                </c:pt>
                <c:pt idx="20">
                  <c:v>5842.6645377460372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0-446A-96E4-BEF0472AD832}"/>
            </c:ext>
          </c:extLst>
        </c:ser>
        <c:ser>
          <c:idx val="0"/>
          <c:order val="1"/>
          <c:tx>
            <c:strRef>
              <c:f>Charts_Support!$A$281</c:f>
              <c:strCache>
                <c:ptCount val="1"/>
                <c:pt idx="0">
                  <c:v>Expansion Capex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Charts_Support!$K$380:$AE$380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Charts_Support!$K$281:$AE$281</c:f>
              <c:numCache>
                <c:formatCode>#,##0_);\(#,##0\)</c:formatCode>
                <c:ptCount val="21"/>
                <c:pt idx="0">
                  <c:v>468.738765</c:v>
                </c:pt>
                <c:pt idx="1">
                  <c:v>789.82871999999998</c:v>
                </c:pt>
                <c:pt idx="2">
                  <c:v>760.05414999999994</c:v>
                </c:pt>
                <c:pt idx="3">
                  <c:v>915.09929799999998</c:v>
                </c:pt>
                <c:pt idx="4">
                  <c:v>1690.8754499999998</c:v>
                </c:pt>
                <c:pt idx="5">
                  <c:v>1999.8280600000003</c:v>
                </c:pt>
                <c:pt idx="6">
                  <c:v>2620.74496</c:v>
                </c:pt>
                <c:pt idx="7">
                  <c:v>2718.9337400000004</c:v>
                </c:pt>
                <c:pt idx="8">
                  <c:v>2901.2410500000001</c:v>
                </c:pt>
                <c:pt idx="9">
                  <c:v>2077.5160759999999</c:v>
                </c:pt>
                <c:pt idx="10">
                  <c:v>542.62327200000004</c:v>
                </c:pt>
                <c:pt idx="11">
                  <c:v>710.24787700000002</c:v>
                </c:pt>
                <c:pt idx="12">
                  <c:v>1956.1452900000002</c:v>
                </c:pt>
                <c:pt idx="13">
                  <c:v>2290.7221200000004</c:v>
                </c:pt>
                <c:pt idx="14">
                  <c:v>2438.5323199999998</c:v>
                </c:pt>
                <c:pt idx="15">
                  <c:v>2024</c:v>
                </c:pt>
                <c:pt idx="16">
                  <c:v>1645.5202825539068</c:v>
                </c:pt>
                <c:pt idx="17">
                  <c:v>1508.3783733603063</c:v>
                </c:pt>
                <c:pt idx="18">
                  <c:v>1223.9996090063551</c:v>
                </c:pt>
                <c:pt idx="19">
                  <c:v>1269.134330471335</c:v>
                </c:pt>
                <c:pt idx="20">
                  <c:v>1100.2066006164719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0-446A-96E4-BEF0472AD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524736"/>
        <c:axId val="543526272"/>
      </c:areaChart>
      <c:catAx>
        <c:axId val="543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26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352627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247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9394623995296587"/>
          <c:y val="1.7644976788324926E-2"/>
          <c:w val="0.32586705731550997"/>
          <c:h val="0.12209695996410611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6113044009035"/>
          <c:y val="5.3378790417155306E-2"/>
          <c:w val="0.78488520637492121"/>
          <c:h val="0.73941485681566954"/>
        </c:manualLayout>
      </c:layout>
      <c:areaChart>
        <c:grouping val="stacked"/>
        <c:varyColors val="0"/>
        <c:ser>
          <c:idx val="1"/>
          <c:order val="0"/>
          <c:tx>
            <c:strRef>
              <c:f>Charts_Support!$A$282</c:f>
              <c:strCache>
                <c:ptCount val="1"/>
                <c:pt idx="0">
                  <c:v>Maintenance Capex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  <a:prstDash val="solid"/>
            </a:ln>
          </c:spPr>
          <c:cat>
            <c:numRef>
              <c:f>Charts_Support!$K$380:$AE$380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Charts_Support!$K$285:$AE$285</c:f>
              <c:numCache>
                <c:formatCode>0.0%</c:formatCode>
                <c:ptCount val="21"/>
                <c:pt idx="0">
                  <c:v>4.9731707833042373E-3</c:v>
                </c:pt>
                <c:pt idx="1">
                  <c:v>1.5771627814097015E-2</c:v>
                </c:pt>
                <c:pt idx="2">
                  <c:v>2.9588972620537518E-3</c:v>
                </c:pt>
                <c:pt idx="3">
                  <c:v>1.5546504682687498E-3</c:v>
                </c:pt>
                <c:pt idx="4">
                  <c:v>1.5730988534996642E-2</c:v>
                </c:pt>
                <c:pt idx="5">
                  <c:v>3.0506022972477773E-2</c:v>
                </c:pt>
                <c:pt idx="6">
                  <c:v>3.9100690689933215E-2</c:v>
                </c:pt>
                <c:pt idx="7">
                  <c:v>3.9183581057318354E-2</c:v>
                </c:pt>
                <c:pt idx="8">
                  <c:v>2.5673775387788061E-2</c:v>
                </c:pt>
                <c:pt idx="9">
                  <c:v>2.1710088479816196E-2</c:v>
                </c:pt>
                <c:pt idx="10">
                  <c:v>2.0452712256489532E-2</c:v>
                </c:pt>
                <c:pt idx="11">
                  <c:v>3.0035201792659269E-2</c:v>
                </c:pt>
                <c:pt idx="12">
                  <c:v>2.7304926297707123E-2</c:v>
                </c:pt>
                <c:pt idx="13">
                  <c:v>2.5597914907322279E-2</c:v>
                </c:pt>
                <c:pt idx="14">
                  <c:v>3.4824186442831286E-2</c:v>
                </c:pt>
                <c:pt idx="15">
                  <c:v>3.2183330166765924E-2</c:v>
                </c:pt>
                <c:pt idx="16">
                  <c:v>3.2679368170372987E-2</c:v>
                </c:pt>
                <c:pt idx="17">
                  <c:v>3.3217392746355566E-2</c:v>
                </c:pt>
                <c:pt idx="18">
                  <c:v>4.3035631139990115E-2</c:v>
                </c:pt>
                <c:pt idx="19">
                  <c:v>4.5266395829592875E-2</c:v>
                </c:pt>
                <c:pt idx="20">
                  <c:v>4.7463400079019467E-2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8-47BB-9620-57B780EB6ACC}"/>
            </c:ext>
          </c:extLst>
        </c:ser>
        <c:ser>
          <c:idx val="0"/>
          <c:order val="1"/>
          <c:tx>
            <c:strRef>
              <c:f>Charts_Support!$A$281</c:f>
              <c:strCache>
                <c:ptCount val="1"/>
                <c:pt idx="0">
                  <c:v>Expansion Capex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Charts_Support!$K$380:$AE$380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Charts_Support!$K$284:$AE$284</c:f>
              <c:numCache>
                <c:formatCode>0.0%</c:formatCode>
                <c:ptCount val="21"/>
                <c:pt idx="0">
                  <c:v>5.2189711783411134E-2</c:v>
                </c:pt>
                <c:pt idx="1">
                  <c:v>7.3839893856908756E-2</c:v>
                </c:pt>
                <c:pt idx="2">
                  <c:v>5.6219047979021129E-2</c:v>
                </c:pt>
                <c:pt idx="3">
                  <c:v>5.8239598311298553E-2</c:v>
                </c:pt>
                <c:pt idx="4">
                  <c:v>7.4160374522127037E-2</c:v>
                </c:pt>
                <c:pt idx="5">
                  <c:v>6.193647088351549E-2</c:v>
                </c:pt>
                <c:pt idx="6">
                  <c:v>6.9512339004325699E-2</c:v>
                </c:pt>
                <c:pt idx="7">
                  <c:v>6.3931105935624691E-2</c:v>
                </c:pt>
                <c:pt idx="8">
                  <c:v>6.2856484570101803E-2</c:v>
                </c:pt>
                <c:pt idx="9">
                  <c:v>3.5724008027634056E-2</c:v>
                </c:pt>
                <c:pt idx="10">
                  <c:v>1.4095788176769814E-2</c:v>
                </c:pt>
                <c:pt idx="11">
                  <c:v>1.3305637734987585E-2</c:v>
                </c:pt>
                <c:pt idx="12">
                  <c:v>2.841941308536864E-2</c:v>
                </c:pt>
                <c:pt idx="13">
                  <c:v>3.0049726195552243E-2</c:v>
                </c:pt>
                <c:pt idx="14">
                  <c:v>3.0633198078103295E-2</c:v>
                </c:pt>
                <c:pt idx="15">
                  <c:v>2.2843070972084132E-2</c:v>
                </c:pt>
                <c:pt idx="16">
                  <c:v>1.7132583345145769E-2</c:v>
                </c:pt>
                <c:pt idx="17">
                  <c:v>1.4644787929546599E-2</c:v>
                </c:pt>
                <c:pt idx="18">
                  <c:v>1.11893029307766E-2</c:v>
                </c:pt>
                <c:pt idx="19">
                  <c:v>1.0929238377979872E-2</c:v>
                </c:pt>
                <c:pt idx="20">
                  <c:v>8.9376252422636374E-3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68-47BB-9620-57B780EB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544448"/>
        <c:axId val="543545984"/>
      </c:areaChart>
      <c:catAx>
        <c:axId val="54354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4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3545984"/>
        <c:scaling>
          <c:orientation val="minMax"/>
          <c:max val="0.1400000000000000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44448"/>
        <c:crosses val="autoZero"/>
        <c:crossBetween val="midCat"/>
        <c:majorUnit val="1.0000000000000002E-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9394623995296587"/>
          <c:y val="1.7644976788324926E-2"/>
          <c:w val="0.32586705731550997"/>
          <c:h val="0.18724358152299367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20953630796149"/>
          <c:y val="6.0856884526758095E-2"/>
          <c:w val="0.54985151161660351"/>
          <c:h val="0.87124359235025195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Charts_Support!$A$7:$A$9</c:f>
              <c:strCache>
                <c:ptCount val="3"/>
                <c:pt idx="0">
                  <c:v>Mexico</c:v>
                </c:pt>
                <c:pt idx="1">
                  <c:v>South America</c:v>
                </c:pt>
                <c:pt idx="2">
                  <c:v>Europe</c:v>
                </c:pt>
              </c:strCache>
            </c:strRef>
          </c:cat>
          <c:val>
            <c:numRef>
              <c:f>Charts_Support!$X$7:$X$9</c:f>
              <c:numCache>
                <c:formatCode>#,##0_);\(#,##0\)</c:formatCode>
                <c:ptCount val="3"/>
                <c:pt idx="0">
                  <c:v>2313</c:v>
                </c:pt>
                <c:pt idx="1">
                  <c:v>775</c:v>
                </c:pt>
                <c:pt idx="2">
                  <c:v>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2-436D-ACEA-A4F49964EE0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1.3847574608729464E-2"/>
          <c:y val="0.25739873082044462"/>
          <c:w val="0.24826091183046567"/>
          <c:h val="0.3362406126552258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418537960532713"/>
          <c:y val="5.3835022823043858E-2"/>
          <c:w val="0.56274059492563433"/>
          <c:h val="0.89232995435391227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Charts_Support!$A$61:$A$63</c:f>
              <c:strCache>
                <c:ptCount val="3"/>
                <c:pt idx="0">
                  <c:v>Mexico</c:v>
                </c:pt>
                <c:pt idx="1">
                  <c:v>Europe</c:v>
                </c:pt>
                <c:pt idx="2">
                  <c:v>South America</c:v>
                </c:pt>
              </c:strCache>
            </c:strRef>
          </c:cat>
          <c:val>
            <c:numRef>
              <c:f>Charts_Support!$X$61:$X$63</c:f>
              <c:numCache>
                <c:formatCode>#,##0_);\(#,##0\)</c:formatCode>
                <c:ptCount val="3"/>
                <c:pt idx="0">
                  <c:v>39358</c:v>
                </c:pt>
                <c:pt idx="1">
                  <c:v>22966</c:v>
                </c:pt>
                <c:pt idx="2">
                  <c:v>13905.773000000001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6-4EF2-9788-C009FD0F57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061728395061727"/>
          <c:y val="6.4599483204134361E-2"/>
          <c:w val="0.57012345679012344"/>
          <c:h val="0.85234403839055006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Charts_Support!$A$194:$A$196</c:f>
              <c:strCache>
                <c:ptCount val="3"/>
                <c:pt idx="0">
                  <c:v>Mexico</c:v>
                </c:pt>
                <c:pt idx="1">
                  <c:v>South America</c:v>
                </c:pt>
                <c:pt idx="2">
                  <c:v>Europe</c:v>
                </c:pt>
              </c:strCache>
            </c:strRef>
          </c:cat>
          <c:val>
            <c:numRef>
              <c:f>Charts_Support!$X$194:$X$196</c:f>
              <c:numCache>
                <c:formatCode>#,##0_);\(#,##0\)</c:formatCode>
                <c:ptCount val="3"/>
                <c:pt idx="0">
                  <c:v>9005</c:v>
                </c:pt>
                <c:pt idx="1">
                  <c:v>2211</c:v>
                </c:pt>
                <c:pt idx="2">
                  <c:v>3541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7-423D-A032-B8408DFBBA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80411913710629"/>
          <c:y val="4.1159987514723502E-2"/>
          <c:w val="0.75569631104590695"/>
          <c:h val="0.578341658629168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Charts_Support!$A$746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(Charts_Support!$B$743:$E$743,Charts_Support!$G$743:$K$743)</c:f>
              <c:strCache>
                <c:ptCount val="9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Chilli's</c:v>
                </c:pt>
                <c:pt idx="4">
                  <c:v>P.F. Changs</c:v>
                </c:pt>
                <c:pt idx="5">
                  <c:v>Italiannis</c:v>
                </c:pt>
                <c:pt idx="6">
                  <c:v> Cheesecake  Factory</c:v>
                </c:pt>
                <c:pt idx="7">
                  <c:v>El Portón</c:v>
                </c:pt>
                <c:pt idx="8">
                  <c:v>Vips</c:v>
                </c:pt>
              </c:strCache>
            </c:strRef>
          </c:cat>
          <c:val>
            <c:numRef>
              <c:f>(Charts_Support!$B$746:$E$746,Charts_Support!$G$746:$K$746)</c:f>
              <c:numCache>
                <c:formatCode>0.0%</c:formatCode>
                <c:ptCount val="9"/>
                <c:pt idx="0">
                  <c:v>0.47227722772277225</c:v>
                </c:pt>
                <c:pt idx="1">
                  <c:v>0.29917355371900828</c:v>
                </c:pt>
                <c:pt idx="2">
                  <c:v>0.71207729468599035</c:v>
                </c:pt>
                <c:pt idx="3">
                  <c:v>0.85882352941176465</c:v>
                </c:pt>
                <c:pt idx="4">
                  <c:v>0.6</c:v>
                </c:pt>
                <c:pt idx="5">
                  <c:v>0.67500000000000004</c:v>
                </c:pt>
                <c:pt idx="6">
                  <c:v>0.4</c:v>
                </c:pt>
                <c:pt idx="7">
                  <c:v>0.6705882352941176</c:v>
                </c:pt>
                <c:pt idx="8">
                  <c:v>0.76216216216216215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D-4F18-A823-39ED1A79964E}"/>
            </c:ext>
          </c:extLst>
        </c:ser>
        <c:ser>
          <c:idx val="1"/>
          <c:order val="1"/>
          <c:tx>
            <c:strRef>
              <c:f>Charts_Support!$A$745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(Charts_Support!$B$743:$E$743,Charts_Support!$G$743:$K$743)</c:f>
              <c:strCache>
                <c:ptCount val="9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Chilli's</c:v>
                </c:pt>
                <c:pt idx="4">
                  <c:v>P.F. Changs</c:v>
                </c:pt>
                <c:pt idx="5">
                  <c:v>Italiannis</c:v>
                </c:pt>
                <c:pt idx="6">
                  <c:v> Cheesecake  Factory</c:v>
                </c:pt>
                <c:pt idx="7">
                  <c:v>El Portón</c:v>
                </c:pt>
                <c:pt idx="8">
                  <c:v>Vips</c:v>
                </c:pt>
              </c:strCache>
            </c:strRef>
          </c:cat>
          <c:val>
            <c:numRef>
              <c:f>(Charts_Support!$B$745:$E$745,Charts_Support!$G$745:$K$745)</c:f>
              <c:numCache>
                <c:formatCode>0.0%</c:formatCode>
                <c:ptCount val="9"/>
                <c:pt idx="0">
                  <c:v>0.2881188118811881</c:v>
                </c:pt>
                <c:pt idx="1">
                  <c:v>0.39008264462809916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0.11666666666666667</c:v>
                </c:pt>
                <c:pt idx="6">
                  <c:v>0</c:v>
                </c:pt>
                <c:pt idx="7">
                  <c:v>0</c:v>
                </c:pt>
                <c:pt idx="8">
                  <c:v>1.6216216216216217E-2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BD-4F18-A823-39ED1A79964E}"/>
            </c:ext>
          </c:extLst>
        </c:ser>
        <c:ser>
          <c:idx val="2"/>
          <c:order val="2"/>
          <c:tx>
            <c:strRef>
              <c:f>Charts_Support!$A$747</c:f>
              <c:strCache>
                <c:ptCount val="1"/>
                <c:pt idx="0">
                  <c:v>Available capacity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invertIfNegative val="0"/>
          <c:cat>
            <c:strRef>
              <c:f>(Charts_Support!$B$743:$E$743,Charts_Support!$G$743:$K$743)</c:f>
              <c:strCache>
                <c:ptCount val="9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Chilli's</c:v>
                </c:pt>
                <c:pt idx="4">
                  <c:v>P.F. Changs</c:v>
                </c:pt>
                <c:pt idx="5">
                  <c:v>Italiannis</c:v>
                </c:pt>
                <c:pt idx="6">
                  <c:v> Cheesecake  Factory</c:v>
                </c:pt>
                <c:pt idx="7">
                  <c:v>El Portón</c:v>
                </c:pt>
                <c:pt idx="8">
                  <c:v>Vips</c:v>
                </c:pt>
              </c:strCache>
            </c:strRef>
          </c:cat>
          <c:val>
            <c:numRef>
              <c:f>(Charts_Support!$B$747:$E$747,Charts_Support!$G$747:$K$747)</c:f>
              <c:numCache>
                <c:formatCode>0.0%</c:formatCode>
                <c:ptCount val="9"/>
                <c:pt idx="0">
                  <c:v>0.23960396039603959</c:v>
                </c:pt>
                <c:pt idx="1">
                  <c:v>0.3107438016528925</c:v>
                </c:pt>
                <c:pt idx="2">
                  <c:v>0.28792270531400965</c:v>
                </c:pt>
                <c:pt idx="3">
                  <c:v>0.14117647058823535</c:v>
                </c:pt>
                <c:pt idx="4">
                  <c:v>0.4</c:v>
                </c:pt>
                <c:pt idx="5">
                  <c:v>0.20833333333333326</c:v>
                </c:pt>
                <c:pt idx="6">
                  <c:v>0.6</c:v>
                </c:pt>
                <c:pt idx="7">
                  <c:v>0.3294117647058824</c:v>
                </c:pt>
                <c:pt idx="8">
                  <c:v>0.22162162162162158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BD-4F18-A823-39ED1A799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23744"/>
        <c:axId val="543825280"/>
      </c:barChart>
      <c:catAx>
        <c:axId val="543823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25280"/>
        <c:crosses val="autoZero"/>
        <c:auto val="1"/>
        <c:lblAlgn val="ctr"/>
        <c:lblOffset val="100"/>
        <c:noMultiLvlLbl val="0"/>
      </c:catAx>
      <c:valAx>
        <c:axId val="5438252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23744"/>
        <c:crosses val="autoZero"/>
        <c:crossBetween val="between"/>
        <c:majorUnit val="0.25"/>
      </c:valAx>
    </c:plotArea>
    <c:legend>
      <c:legendPos val="r"/>
      <c:layout>
        <c:manualLayout>
          <c:xMode val="edge"/>
          <c:yMode val="edge"/>
          <c:x val="0.6359880883100596"/>
          <c:y val="0.74453257231786374"/>
          <c:w val="0.36119860886586591"/>
          <c:h val="0.20147641352748621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3538854888795"/>
          <c:y val="6.1680637934979028E-2"/>
          <c:w val="0.71243696080690166"/>
          <c:h val="0.5782756309580867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Charts_Support!$A$754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Charts_Support!$B$751:$H$751</c:f>
              <c:strCache>
                <c:ptCount val="7"/>
                <c:pt idx="0">
                  <c:v>Domino's</c:v>
                </c:pt>
                <c:pt idx="1">
                  <c:v>Foster's Hollywood</c:v>
                </c:pt>
                <c:pt idx="2">
                  <c:v>LAVACA</c:v>
                </c:pt>
                <c:pt idx="3">
                  <c:v>Cañas y Tapas</c:v>
                </c:pt>
                <c:pt idx="4">
                  <c:v>Starbucks</c:v>
                </c:pt>
                <c:pt idx="5">
                  <c:v>Vips</c:v>
                </c:pt>
                <c:pt idx="6">
                  <c:v>TGI</c:v>
                </c:pt>
              </c:strCache>
            </c:strRef>
          </c:cat>
          <c:val>
            <c:numRef>
              <c:f>Charts_Support!$B$754:$H$754</c:f>
              <c:numCache>
                <c:formatCode>0.0%</c:formatCode>
                <c:ptCount val="7"/>
                <c:pt idx="0">
                  <c:v>0.73428571428571432</c:v>
                </c:pt>
                <c:pt idx="1">
                  <c:v>0.3193548387096774</c:v>
                </c:pt>
                <c:pt idx="2">
                  <c:v>0.13333333333333333</c:v>
                </c:pt>
                <c:pt idx="3">
                  <c:v>0.1111111111111111</c:v>
                </c:pt>
                <c:pt idx="4">
                  <c:v>0.29610389610389609</c:v>
                </c:pt>
                <c:pt idx="5">
                  <c:v>0.4</c:v>
                </c:pt>
                <c:pt idx="6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B-4486-A482-A40C2F4D1524}"/>
            </c:ext>
          </c:extLst>
        </c:ser>
        <c:ser>
          <c:idx val="1"/>
          <c:order val="1"/>
          <c:tx>
            <c:strRef>
              <c:f>Charts_Support!$A$753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Charts_Support!$B$751:$H$751</c:f>
              <c:strCache>
                <c:ptCount val="7"/>
                <c:pt idx="0">
                  <c:v>Domino's</c:v>
                </c:pt>
                <c:pt idx="1">
                  <c:v>Foster's Hollywood</c:v>
                </c:pt>
                <c:pt idx="2">
                  <c:v>LAVACA</c:v>
                </c:pt>
                <c:pt idx="3">
                  <c:v>Cañas y Tapas</c:v>
                </c:pt>
                <c:pt idx="4">
                  <c:v>Starbucks</c:v>
                </c:pt>
                <c:pt idx="5">
                  <c:v>Vips</c:v>
                </c:pt>
                <c:pt idx="6">
                  <c:v>TGI</c:v>
                </c:pt>
              </c:strCache>
            </c:strRef>
          </c:cat>
          <c:val>
            <c:numRef>
              <c:f>Charts_Support!$B$753:$H$753</c:f>
              <c:numCache>
                <c:formatCode>0.0%</c:formatCode>
                <c:ptCount val="7"/>
                <c:pt idx="0">
                  <c:v>0.11428571428571428</c:v>
                </c:pt>
                <c:pt idx="1">
                  <c:v>0.43225806451612903</c:v>
                </c:pt>
                <c:pt idx="2">
                  <c:v>0</c:v>
                </c:pt>
                <c:pt idx="3">
                  <c:v>8.8888888888888892E-2</c:v>
                </c:pt>
                <c:pt idx="4">
                  <c:v>0.31428571428571428</c:v>
                </c:pt>
                <c:pt idx="5">
                  <c:v>6.6666666666666666E-2</c:v>
                </c:pt>
                <c:pt idx="6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B-4486-A482-A40C2F4D1524}"/>
            </c:ext>
          </c:extLst>
        </c:ser>
        <c:ser>
          <c:idx val="2"/>
          <c:order val="2"/>
          <c:tx>
            <c:strRef>
              <c:f>Charts_Support!$A$755</c:f>
              <c:strCache>
                <c:ptCount val="1"/>
                <c:pt idx="0">
                  <c:v>Available capacity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invertIfNegative val="0"/>
          <c:cat>
            <c:strRef>
              <c:f>Charts_Support!$B$751:$H$751</c:f>
              <c:strCache>
                <c:ptCount val="7"/>
                <c:pt idx="0">
                  <c:v>Domino's</c:v>
                </c:pt>
                <c:pt idx="1">
                  <c:v>Foster's Hollywood</c:v>
                </c:pt>
                <c:pt idx="2">
                  <c:v>LAVACA</c:v>
                </c:pt>
                <c:pt idx="3">
                  <c:v>Cañas y Tapas</c:v>
                </c:pt>
                <c:pt idx="4">
                  <c:v>Starbucks</c:v>
                </c:pt>
                <c:pt idx="5">
                  <c:v>Vips</c:v>
                </c:pt>
                <c:pt idx="6">
                  <c:v>TGI</c:v>
                </c:pt>
              </c:strCache>
            </c:strRef>
          </c:cat>
          <c:val>
            <c:numRef>
              <c:f>Charts_Support!$B$755:$H$755</c:f>
              <c:numCache>
                <c:formatCode>0.0%</c:formatCode>
                <c:ptCount val="7"/>
                <c:pt idx="0">
                  <c:v>0.15142857142857136</c:v>
                </c:pt>
                <c:pt idx="1">
                  <c:v>0.24838709677419357</c:v>
                </c:pt>
                <c:pt idx="2">
                  <c:v>0.8666666666666667</c:v>
                </c:pt>
                <c:pt idx="3">
                  <c:v>0.8</c:v>
                </c:pt>
                <c:pt idx="4">
                  <c:v>0.38961038961038963</c:v>
                </c:pt>
                <c:pt idx="5">
                  <c:v>0.53333333333333333</c:v>
                </c:pt>
                <c:pt idx="6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B-4486-A482-A40C2F4D1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44224"/>
        <c:axId val="543845760"/>
      </c:barChart>
      <c:catAx>
        <c:axId val="54384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45760"/>
        <c:crosses val="autoZero"/>
        <c:auto val="1"/>
        <c:lblAlgn val="ctr"/>
        <c:lblOffset val="100"/>
        <c:noMultiLvlLbl val="0"/>
      </c:catAx>
      <c:valAx>
        <c:axId val="543845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44224"/>
        <c:crosses val="autoZero"/>
        <c:crossBetween val="between"/>
        <c:majorUnit val="0.25"/>
      </c:valAx>
    </c:plotArea>
    <c:legend>
      <c:legendPos val="r"/>
      <c:layout>
        <c:manualLayout>
          <c:xMode val="edge"/>
          <c:yMode val="edge"/>
          <c:x val="0.74217290018687776"/>
          <c:y val="0.72598035678051587"/>
          <c:w val="0.23977720595694563"/>
          <c:h val="0.23556279951421258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3538854888795"/>
          <c:y val="6.1680637934979028E-2"/>
          <c:w val="0.66096036153519444"/>
          <c:h val="0.759115590938061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Charts_Support!$A$762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Charts_Support!$B$759:$D$759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Charts_Support!$B$762:$D$762</c:f>
              <c:numCache>
                <c:formatCode>0.0%</c:formatCode>
                <c:ptCount val="3"/>
                <c:pt idx="0">
                  <c:v>0.50416666666666665</c:v>
                </c:pt>
                <c:pt idx="1">
                  <c:v>0.58399999999999996</c:v>
                </c:pt>
                <c:pt idx="2">
                  <c:v>0.14285714285714285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5-40CF-A592-6925DB80DA57}"/>
            </c:ext>
          </c:extLst>
        </c:ser>
        <c:ser>
          <c:idx val="1"/>
          <c:order val="1"/>
          <c:tx>
            <c:strRef>
              <c:f>Charts_Support!$A$761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Charts_Support!$B$759:$D$759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Charts_Support!$B$761:$D$761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55-40CF-A592-6925DB80DA57}"/>
            </c:ext>
          </c:extLst>
        </c:ser>
        <c:ser>
          <c:idx val="3"/>
          <c:order val="2"/>
          <c:tx>
            <c:strRef>
              <c:f>Charts_Support!$A$763</c:f>
              <c:strCache>
                <c:ptCount val="1"/>
                <c:pt idx="0">
                  <c:v>Available capacity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Charts_Support!$B$759:$D$759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Charts_Support!$B$763:$D$763</c:f>
              <c:numCache>
                <c:formatCode>0.0%</c:formatCode>
                <c:ptCount val="3"/>
                <c:pt idx="0">
                  <c:v>0.49583333333333335</c:v>
                </c:pt>
                <c:pt idx="1">
                  <c:v>0.41600000000000004</c:v>
                </c:pt>
                <c:pt idx="2">
                  <c:v>0.85714285714285721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55-40CF-A592-6925DB80D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72896"/>
        <c:axId val="543874432"/>
      </c:barChart>
      <c:catAx>
        <c:axId val="543872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74432"/>
        <c:crosses val="autoZero"/>
        <c:auto val="1"/>
        <c:lblAlgn val="ctr"/>
        <c:lblOffset val="100"/>
        <c:noMultiLvlLbl val="0"/>
      </c:catAx>
      <c:valAx>
        <c:axId val="5438744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3872896"/>
        <c:crosses val="autoZero"/>
        <c:crossBetween val="between"/>
        <c:majorUnit val="0.25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74488217511683252"/>
          <c:y val="0.44650017589719876"/>
          <c:w val="0.17173232806974861"/>
          <c:h val="0.15644251706693016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3538854888795"/>
          <c:y val="6.1680637934979028E-2"/>
          <c:w val="0.66096036153519444"/>
          <c:h val="0.759115590938061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Charts_Support!$A$770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Charts_Support!$I$759:$M$759</c:f>
              <c:strCache>
                <c:ptCount val="5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P.F. Changs</c:v>
                </c:pt>
                <c:pt idx="4">
                  <c:v>Archies</c:v>
                </c:pt>
              </c:strCache>
            </c:strRef>
          </c:cat>
          <c:val>
            <c:numRef>
              <c:f>Charts_Support!$I$762:$M$762</c:f>
              <c:numCache>
                <c:formatCode>0.0%</c:formatCode>
                <c:ptCount val="5"/>
                <c:pt idx="0">
                  <c:v>0.32</c:v>
                </c:pt>
                <c:pt idx="1">
                  <c:v>0.2</c:v>
                </c:pt>
                <c:pt idx="2">
                  <c:v>0.23571428571428571</c:v>
                </c:pt>
                <c:pt idx="3">
                  <c:v>0.4</c:v>
                </c:pt>
                <c:pt idx="4">
                  <c:v>0.36470588235294116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1-4190-B555-7157CF59B403}"/>
            </c:ext>
          </c:extLst>
        </c:ser>
        <c:ser>
          <c:idx val="1"/>
          <c:order val="1"/>
          <c:tx>
            <c:strRef>
              <c:f>Charts_Support!$A$769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Charts_Support!$I$759:$M$759</c:f>
              <c:strCache>
                <c:ptCount val="5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P.F. Changs</c:v>
                </c:pt>
                <c:pt idx="4">
                  <c:v>Archies</c:v>
                </c:pt>
              </c:strCache>
            </c:strRef>
          </c:cat>
          <c:val>
            <c:numRef>
              <c:f>Charts_Support!$I$761:$M$761</c:f>
              <c:numCache>
                <c:formatCode>0.0%</c:formatCode>
                <c:ptCount val="5"/>
                <c:pt idx="0">
                  <c:v>8.7999999999999995E-2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1-4190-B555-7157CF59B403}"/>
            </c:ext>
          </c:extLst>
        </c:ser>
        <c:ser>
          <c:idx val="2"/>
          <c:order val="2"/>
          <c:tx>
            <c:strRef>
              <c:f>Charts_Support!$A$771</c:f>
              <c:strCache>
                <c:ptCount val="1"/>
                <c:pt idx="0">
                  <c:v>Available capacity</c:v>
                </c:pt>
              </c:strCache>
            </c:strRef>
          </c:tx>
          <c:invertIfNegative val="0"/>
          <c:cat>
            <c:strRef>
              <c:f>Charts_Support!$I$759:$M$759</c:f>
              <c:strCache>
                <c:ptCount val="5"/>
                <c:pt idx="0">
                  <c:v>Domino's</c:v>
                </c:pt>
                <c:pt idx="1">
                  <c:v>BK</c:v>
                </c:pt>
                <c:pt idx="2">
                  <c:v>Starbucks</c:v>
                </c:pt>
                <c:pt idx="3">
                  <c:v>P.F. Changs</c:v>
                </c:pt>
                <c:pt idx="4">
                  <c:v>Archies</c:v>
                </c:pt>
              </c:strCache>
            </c:strRef>
          </c:cat>
          <c:val>
            <c:numRef>
              <c:f>Charts_Support!$I$763:$M$763</c:f>
              <c:numCache>
                <c:formatCode>0.0%</c:formatCode>
                <c:ptCount val="5"/>
                <c:pt idx="0">
                  <c:v>0.59199999999999997</c:v>
                </c:pt>
                <c:pt idx="1">
                  <c:v>0.8</c:v>
                </c:pt>
                <c:pt idx="2">
                  <c:v>0.76428571428571423</c:v>
                </c:pt>
                <c:pt idx="3">
                  <c:v>0.6</c:v>
                </c:pt>
                <c:pt idx="4">
                  <c:v>0.63529411764705879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1-4190-B555-7157CF59B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098560"/>
        <c:axId val="544100352"/>
      </c:barChart>
      <c:catAx>
        <c:axId val="544098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100352"/>
        <c:crosses val="autoZero"/>
        <c:auto val="1"/>
        <c:lblAlgn val="ctr"/>
        <c:lblOffset val="100"/>
        <c:noMultiLvlLbl val="0"/>
      </c:catAx>
      <c:valAx>
        <c:axId val="54410035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098560"/>
        <c:crosses val="autoZero"/>
        <c:crossBetween val="between"/>
        <c:majorUnit val="0.25"/>
      </c:valAx>
    </c:plotArea>
    <c:legend>
      <c:legendPos val="r"/>
      <c:layout>
        <c:manualLayout>
          <c:xMode val="edge"/>
          <c:yMode val="edge"/>
          <c:x val="0.74488217511683252"/>
          <c:y val="0.44650017589719876"/>
          <c:w val="0.19551063409517563"/>
          <c:h val="0.23288592237440145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3538854888795"/>
          <c:y val="6.1680637934979028E-2"/>
          <c:w val="0.66096036153519444"/>
          <c:h val="0.759115590938061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Charts_Support!$A$778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Charts_Support!$E$759:$G$759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Charts_Support!$E$762:$G$762</c:f>
              <c:numCache>
                <c:formatCode>0.0%</c:formatCode>
                <c:ptCount val="3"/>
                <c:pt idx="0">
                  <c:v>0.65333333333333332</c:v>
                </c:pt>
                <c:pt idx="1">
                  <c:v>0.65789473684210531</c:v>
                </c:pt>
                <c:pt idx="2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2-4D70-96FF-9C62CF93EDDE}"/>
            </c:ext>
          </c:extLst>
        </c:ser>
        <c:ser>
          <c:idx val="1"/>
          <c:order val="1"/>
          <c:tx>
            <c:strRef>
              <c:f>Charts_Support!$A$777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Charts_Support!$E$759:$G$759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Charts_Support!$E$761:$G$761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2-4D70-96FF-9C62CF93EDDE}"/>
            </c:ext>
          </c:extLst>
        </c:ser>
        <c:ser>
          <c:idx val="3"/>
          <c:order val="2"/>
          <c:tx>
            <c:strRef>
              <c:f>Charts_Support!$A$779</c:f>
              <c:strCache>
                <c:ptCount val="1"/>
                <c:pt idx="0">
                  <c:v>Available capacity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Charts_Support!$E$759:$G$759</c:f>
              <c:strCache>
                <c:ptCount val="3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</c:strCache>
            </c:strRef>
          </c:cat>
          <c:val>
            <c:numRef>
              <c:f>Charts_Support!$E$763:$G$763</c:f>
              <c:numCache>
                <c:formatCode>0.0%</c:formatCode>
                <c:ptCount val="3"/>
                <c:pt idx="0">
                  <c:v>0.34666666666666668</c:v>
                </c:pt>
                <c:pt idx="1">
                  <c:v>0.34210526315789469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2-4D70-96FF-9C62CF93E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135424"/>
        <c:axId val="544137216"/>
      </c:barChart>
      <c:catAx>
        <c:axId val="544135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44137216"/>
        <c:crosses val="autoZero"/>
        <c:auto val="1"/>
        <c:lblAlgn val="ctr"/>
        <c:lblOffset val="100"/>
        <c:noMultiLvlLbl val="0"/>
      </c:catAx>
      <c:valAx>
        <c:axId val="5441372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135424"/>
        <c:crosses val="autoZero"/>
        <c:crossBetween val="between"/>
        <c:majorUnit val="0.25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74488217511683252"/>
          <c:y val="0.44650017589719876"/>
          <c:w val="0.2186355248087794"/>
          <c:h val="0.2308604947591851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Charts_Support!$A$784</c:f>
              <c:strCache>
                <c:ptCount val="1"/>
                <c:pt idx="0">
                  <c:v>Per-Capita Expense in food services (USD)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1.6518217078853748E-2"/>
                  <c:y val="-0.6497370389941796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</a:rPr>
                      <a:t>$USD </a:t>
                    </a:r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A96-458E-9BEB-9B3EA2BB4D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96-458E-9BEB-9B3EA2BB4D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96-458E-9BEB-9B3EA2BB4D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96-458E-9BEB-9B3EA2BB4D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96-458E-9BEB-9B3EA2BB4D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96-458E-9BEB-9B3EA2BB4D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96-458E-9BEB-9B3EA2BB4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Charts_Support!$B$783:$H$783</c:f>
              <c:strCache>
                <c:ptCount val="7"/>
                <c:pt idx="0">
                  <c:v>Colombia</c:v>
                </c:pt>
                <c:pt idx="1">
                  <c:v>Chile</c:v>
                </c:pt>
                <c:pt idx="2">
                  <c:v>Mexico</c:v>
                </c:pt>
                <c:pt idx="3">
                  <c:v>Argentina</c:v>
                </c:pt>
                <c:pt idx="4">
                  <c:v>Brazil</c:v>
                </c:pt>
                <c:pt idx="5">
                  <c:v>United States</c:v>
                </c:pt>
                <c:pt idx="6">
                  <c:v>Europe</c:v>
                </c:pt>
              </c:strCache>
            </c:strRef>
          </c:cat>
          <c:val>
            <c:numRef>
              <c:f>Charts_Support!$B$784:$H$784</c:f>
              <c:numCache>
                <c:formatCode>#,##0_);\(#,##0\)</c:formatCode>
                <c:ptCount val="7"/>
                <c:pt idx="0">
                  <c:v>325</c:v>
                </c:pt>
                <c:pt idx="1">
                  <c:v>328</c:v>
                </c:pt>
                <c:pt idx="2">
                  <c:v>500</c:v>
                </c:pt>
                <c:pt idx="3">
                  <c:v>515</c:v>
                </c:pt>
                <c:pt idx="4">
                  <c:v>750</c:v>
                </c:pt>
                <c:pt idx="5">
                  <c:v>1580</c:v>
                </c:pt>
                <c:pt idx="6">
                  <c:v>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96-458E-9BEB-9B3EA2BB4D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4151808"/>
        <c:axId val="544162944"/>
      </c:barChart>
      <c:catAx>
        <c:axId val="544151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162944"/>
        <c:crosses val="autoZero"/>
        <c:auto val="1"/>
        <c:lblAlgn val="ctr"/>
        <c:lblOffset val="100"/>
        <c:noMultiLvlLbl val="0"/>
      </c:catAx>
      <c:valAx>
        <c:axId val="544162944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151808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3538854888795"/>
          <c:y val="6.1680637934979028E-2"/>
          <c:w val="0.89806453380274354"/>
          <c:h val="0.5029216312173132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Charts_Support!$A$762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strRef>
              <c:f>Charts_Support!$B$759:$M$759</c:f>
              <c:strCache>
                <c:ptCount val="12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  <c:pt idx="3">
                  <c:v>BK</c:v>
                </c:pt>
                <c:pt idx="4">
                  <c:v>Starbucks</c:v>
                </c:pt>
                <c:pt idx="5">
                  <c:v>P.F. Changs</c:v>
                </c:pt>
                <c:pt idx="6">
                  <c:v>Chilli's</c:v>
                </c:pt>
                <c:pt idx="7">
                  <c:v>Domino's</c:v>
                </c:pt>
                <c:pt idx="8">
                  <c:v>BK</c:v>
                </c:pt>
                <c:pt idx="9">
                  <c:v>Starbucks</c:v>
                </c:pt>
                <c:pt idx="10">
                  <c:v>P.F. Changs</c:v>
                </c:pt>
                <c:pt idx="11">
                  <c:v>Archies</c:v>
                </c:pt>
              </c:strCache>
            </c:strRef>
          </c:cat>
          <c:val>
            <c:numRef>
              <c:f>Charts_Support!$B$762:$M$762</c:f>
              <c:numCache>
                <c:formatCode>0.0%</c:formatCode>
                <c:ptCount val="12"/>
                <c:pt idx="0">
                  <c:v>0.50416666666666665</c:v>
                </c:pt>
                <c:pt idx="1">
                  <c:v>0.58399999999999996</c:v>
                </c:pt>
                <c:pt idx="2">
                  <c:v>0.14285714285714285</c:v>
                </c:pt>
                <c:pt idx="3">
                  <c:v>0.65333333333333332</c:v>
                </c:pt>
                <c:pt idx="4">
                  <c:v>0.65789473684210531</c:v>
                </c:pt>
                <c:pt idx="5">
                  <c:v>0.6</c:v>
                </c:pt>
                <c:pt idx="6">
                  <c:v>0.2</c:v>
                </c:pt>
                <c:pt idx="7">
                  <c:v>0.32</c:v>
                </c:pt>
                <c:pt idx="8">
                  <c:v>0.2</c:v>
                </c:pt>
                <c:pt idx="9">
                  <c:v>0.23571428571428571</c:v>
                </c:pt>
                <c:pt idx="10">
                  <c:v>0.4</c:v>
                </c:pt>
                <c:pt idx="11">
                  <c:v>0.36470588235294116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2-4663-A89E-410A532EF676}"/>
            </c:ext>
          </c:extLst>
        </c:ser>
        <c:ser>
          <c:idx val="1"/>
          <c:order val="1"/>
          <c:tx>
            <c:strRef>
              <c:f>Charts_Support!$A$761</c:f>
              <c:strCache>
                <c:ptCount val="1"/>
                <c:pt idx="0">
                  <c:v>Franchises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Charts_Support!$B$759:$M$759</c:f>
              <c:strCache>
                <c:ptCount val="12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  <c:pt idx="3">
                  <c:v>BK</c:v>
                </c:pt>
                <c:pt idx="4">
                  <c:v>Starbucks</c:v>
                </c:pt>
                <c:pt idx="5">
                  <c:v>P.F. Changs</c:v>
                </c:pt>
                <c:pt idx="6">
                  <c:v>Chilli's</c:v>
                </c:pt>
                <c:pt idx="7">
                  <c:v>Domino's</c:v>
                </c:pt>
                <c:pt idx="8">
                  <c:v>BK</c:v>
                </c:pt>
                <c:pt idx="9">
                  <c:v>Starbucks</c:v>
                </c:pt>
                <c:pt idx="10">
                  <c:v>P.F. Changs</c:v>
                </c:pt>
                <c:pt idx="11">
                  <c:v>Archies</c:v>
                </c:pt>
              </c:strCache>
            </c:strRef>
          </c:cat>
          <c:val>
            <c:numRef>
              <c:f>Charts_Support!$B$761:$M$761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8.7999999999999995E-2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2-4663-A89E-410A532EF676}"/>
            </c:ext>
          </c:extLst>
        </c:ser>
        <c:ser>
          <c:idx val="3"/>
          <c:order val="2"/>
          <c:tx>
            <c:strRef>
              <c:f>Charts_Support!$A$763</c:f>
              <c:strCache>
                <c:ptCount val="1"/>
                <c:pt idx="0">
                  <c:v>Available capacity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Charts_Support!$B$759:$M$759</c:f>
              <c:strCache>
                <c:ptCount val="12"/>
                <c:pt idx="0">
                  <c:v>BK</c:v>
                </c:pt>
                <c:pt idx="1">
                  <c:v>Starbucks</c:v>
                </c:pt>
                <c:pt idx="2">
                  <c:v>P.F. Changs</c:v>
                </c:pt>
                <c:pt idx="3">
                  <c:v>BK</c:v>
                </c:pt>
                <c:pt idx="4">
                  <c:v>Starbucks</c:v>
                </c:pt>
                <c:pt idx="5">
                  <c:v>P.F. Changs</c:v>
                </c:pt>
                <c:pt idx="6">
                  <c:v>Chilli's</c:v>
                </c:pt>
                <c:pt idx="7">
                  <c:v>Domino's</c:v>
                </c:pt>
                <c:pt idx="8">
                  <c:v>BK</c:v>
                </c:pt>
                <c:pt idx="9">
                  <c:v>Starbucks</c:v>
                </c:pt>
                <c:pt idx="10">
                  <c:v>P.F. Changs</c:v>
                </c:pt>
                <c:pt idx="11">
                  <c:v>Archies</c:v>
                </c:pt>
              </c:strCache>
            </c:strRef>
          </c:cat>
          <c:val>
            <c:numRef>
              <c:f>Charts_Support!$B$763:$M$763</c:f>
              <c:numCache>
                <c:formatCode>0.0%</c:formatCode>
                <c:ptCount val="12"/>
                <c:pt idx="0">
                  <c:v>0.49583333333333335</c:v>
                </c:pt>
                <c:pt idx="1">
                  <c:v>0.41600000000000004</c:v>
                </c:pt>
                <c:pt idx="2">
                  <c:v>0.85714285714285721</c:v>
                </c:pt>
                <c:pt idx="3">
                  <c:v>0.34666666666666668</c:v>
                </c:pt>
                <c:pt idx="4">
                  <c:v>0.34210526315789469</c:v>
                </c:pt>
                <c:pt idx="5">
                  <c:v>0.4</c:v>
                </c:pt>
                <c:pt idx="6">
                  <c:v>0.8</c:v>
                </c:pt>
                <c:pt idx="7">
                  <c:v>0.59199999999999997</c:v>
                </c:pt>
                <c:pt idx="8">
                  <c:v>0.8</c:v>
                </c:pt>
                <c:pt idx="9">
                  <c:v>0.76428571428571423</c:v>
                </c:pt>
                <c:pt idx="10">
                  <c:v>0.6</c:v>
                </c:pt>
                <c:pt idx="11">
                  <c:v>0.63529411764705879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12-4663-A89E-410A532EF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189824"/>
        <c:axId val="544191616"/>
      </c:barChart>
      <c:catAx>
        <c:axId val="544189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44191616"/>
        <c:crosses val="autoZero"/>
        <c:auto val="1"/>
        <c:lblAlgn val="ctr"/>
        <c:lblOffset val="100"/>
        <c:noMultiLvlLbl val="0"/>
      </c:catAx>
      <c:valAx>
        <c:axId val="5441916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44189824"/>
        <c:crosses val="autoZero"/>
        <c:crossBetween val="between"/>
        <c:majorUnit val="0.25"/>
      </c:valAx>
    </c:plotArea>
    <c:legend>
      <c:legendPos val="b"/>
      <c:layout>
        <c:manualLayout>
          <c:xMode val="edge"/>
          <c:yMode val="edge"/>
          <c:x val="0.20017644388982614"/>
          <c:y val="0.92147906682859582"/>
          <c:w val="0.59964711222034772"/>
          <c:h val="7.852093317140418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0.12351186477116984"/>
          <c:w val="0.86111253535168564"/>
          <c:h val="0.6895749464764003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Charts_Support!$A$12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rgbClr val="0070C0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Charts_Support!$B$12:$AE$12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689</c:v>
                </c:pt>
                <c:pt idx="6">
                  <c:v>806</c:v>
                </c:pt>
                <c:pt idx="7">
                  <c:v>929</c:v>
                </c:pt>
                <c:pt idx="8">
                  <c:v>952</c:v>
                </c:pt>
                <c:pt idx="9">
                  <c:v>1011</c:v>
                </c:pt>
                <c:pt idx="10">
                  <c:v>1077</c:v>
                </c:pt>
                <c:pt idx="11">
                  <c:v>1161</c:v>
                </c:pt>
                <c:pt idx="12">
                  <c:v>1411</c:v>
                </c:pt>
                <c:pt idx="13">
                  <c:v>2161</c:v>
                </c:pt>
                <c:pt idx="14">
                  <c:v>2283</c:v>
                </c:pt>
                <c:pt idx="15">
                  <c:v>2502</c:v>
                </c:pt>
                <c:pt idx="16">
                  <c:v>2716</c:v>
                </c:pt>
                <c:pt idx="17">
                  <c:v>2947</c:v>
                </c:pt>
                <c:pt idx="18">
                  <c:v>3419</c:v>
                </c:pt>
                <c:pt idx="19">
                  <c:v>3284</c:v>
                </c:pt>
                <c:pt idx="20">
                  <c:v>3289</c:v>
                </c:pt>
                <c:pt idx="21">
                  <c:v>3436</c:v>
                </c:pt>
                <c:pt idx="22">
                  <c:v>3552</c:v>
                </c:pt>
                <c:pt idx="23">
                  <c:v>3657</c:v>
                </c:pt>
                <c:pt idx="24">
                  <c:v>3745</c:v>
                </c:pt>
                <c:pt idx="25">
                  <c:v>3814</c:v>
                </c:pt>
                <c:pt idx="26">
                  <c:v>3875</c:v>
                </c:pt>
                <c:pt idx="27">
                  <c:v>3936</c:v>
                </c:pt>
                <c:pt idx="28">
                  <c:v>3997</c:v>
                </c:pt>
                <c:pt idx="29">
                  <c:v>4048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E-4543-BAB3-5AA636BE8E54}"/>
            </c:ext>
          </c:extLst>
        </c:ser>
        <c:ser>
          <c:idx val="3"/>
          <c:order val="1"/>
          <c:tx>
            <c:strRef>
              <c:f>Charts_Support!$A$13</c:f>
              <c:strCache>
                <c:ptCount val="1"/>
                <c:pt idx="0">
                  <c:v>Franchised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Charts_Support!$B$13:$AE$13</c:f>
              <c:numCache>
                <c:formatCode>#,##0_);\(#,##0\)</c:formatCode>
                <c:ptCount val="30"/>
                <c:pt idx="0">
                  <c:v>154</c:v>
                </c:pt>
                <c:pt idx="1">
                  <c:v>176</c:v>
                </c:pt>
                <c:pt idx="2">
                  <c:v>197</c:v>
                </c:pt>
                <c:pt idx="3">
                  <c:v>201</c:v>
                </c:pt>
                <c:pt idx="4">
                  <c:v>169</c:v>
                </c:pt>
                <c:pt idx="5">
                  <c:v>176</c:v>
                </c:pt>
                <c:pt idx="6">
                  <c:v>183</c:v>
                </c:pt>
                <c:pt idx="7">
                  <c:v>206</c:v>
                </c:pt>
                <c:pt idx="8">
                  <c:v>219</c:v>
                </c:pt>
                <c:pt idx="9">
                  <c:v>195</c:v>
                </c:pt>
                <c:pt idx="10">
                  <c:v>206</c:v>
                </c:pt>
                <c:pt idx="11">
                  <c:v>274</c:v>
                </c:pt>
                <c:pt idx="12">
                  <c:v>451</c:v>
                </c:pt>
                <c:pt idx="13">
                  <c:v>623</c:v>
                </c:pt>
                <c:pt idx="14">
                  <c:v>671</c:v>
                </c:pt>
                <c:pt idx="15">
                  <c:v>693</c:v>
                </c:pt>
                <c:pt idx="16">
                  <c:v>722</c:v>
                </c:pt>
                <c:pt idx="17">
                  <c:v>741</c:v>
                </c:pt>
                <c:pt idx="18">
                  <c:v>891</c:v>
                </c:pt>
                <c:pt idx="19">
                  <c:v>909</c:v>
                </c:pt>
                <c:pt idx="20">
                  <c:v>973</c:v>
                </c:pt>
                <c:pt idx="21">
                  <c:v>1011</c:v>
                </c:pt>
                <c:pt idx="22">
                  <c:v>1070</c:v>
                </c:pt>
                <c:pt idx="23">
                  <c:v>1128</c:v>
                </c:pt>
                <c:pt idx="24">
                  <c:v>1183</c:v>
                </c:pt>
                <c:pt idx="25">
                  <c:v>1230</c:v>
                </c:pt>
                <c:pt idx="26">
                  <c:v>1271</c:v>
                </c:pt>
                <c:pt idx="27">
                  <c:v>1309</c:v>
                </c:pt>
                <c:pt idx="28">
                  <c:v>1347</c:v>
                </c:pt>
                <c:pt idx="29">
                  <c:v>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E-4543-BAB3-5AA636BE8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215808"/>
        <c:axId val="544217344"/>
      </c:barChart>
      <c:catAx>
        <c:axId val="54421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217344"/>
        <c:crosses val="autoZero"/>
        <c:auto val="1"/>
        <c:lblAlgn val="ctr"/>
        <c:lblOffset val="100"/>
        <c:noMultiLvlLbl val="0"/>
      </c:catAx>
      <c:valAx>
        <c:axId val="54421734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2158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3214049646231708"/>
          <c:y val="2.1149301729775239E-2"/>
          <c:w val="0.15504665773458351"/>
          <c:h val="0.14516066037820358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600626406541"/>
          <c:y val="5.4794612175279887E-2"/>
          <c:w val="0.7840474374234685"/>
          <c:h val="0.76712457045391835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Charts_Support!$A$46</c:f>
              <c:strCache>
                <c:ptCount val="1"/>
                <c:pt idx="0">
                  <c:v>Mexico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Charts_Support!$J$45:$AE$45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Charts_Support!$J$46:$AE$46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7.0002290950744568</c:v>
                </c:pt>
                <c:pt idx="2">
                  <c:v>7.6131701657458564</c:v>
                </c:pt>
                <c:pt idx="3">
                  <c:v>8.9584669464847835</c:v>
                </c:pt>
                <c:pt idx="4">
                  <c:v>8.9112074468085112</c:v>
                </c:pt>
                <c:pt idx="5">
                  <c:v>9.8949027415143611</c:v>
                </c:pt>
                <c:pt idx="6">
                  <c:v>8.0820922208281054</c:v>
                </c:pt>
                <c:pt idx="7">
                  <c:v>8.2098127208480562</c:v>
                </c:pt>
                <c:pt idx="8">
                  <c:v>8.7364655267512408</c:v>
                </c:pt>
                <c:pt idx="9">
                  <c:v>12.428149713093374</c:v>
                </c:pt>
                <c:pt idx="10">
                  <c:v>13.615288622129434</c:v>
                </c:pt>
                <c:pt idx="11">
                  <c:v>10.041501372872048</c:v>
                </c:pt>
                <c:pt idx="12">
                  <c:v>14.185298490776971</c:v>
                </c:pt>
                <c:pt idx="13">
                  <c:v>17.879829241680305</c:v>
                </c:pt>
                <c:pt idx="14">
                  <c:v>20.264267963263102</c:v>
                </c:pt>
                <c:pt idx="15">
                  <c:v>21.506897585490705</c:v>
                </c:pt>
                <c:pt idx="16">
                  <c:v>22.11526459618462</c:v>
                </c:pt>
                <c:pt idx="17">
                  <c:v>22.898670907243105</c:v>
                </c:pt>
                <c:pt idx="18">
                  <c:v>23.722831645448004</c:v>
                </c:pt>
                <c:pt idx="19">
                  <c:v>24.305225672167232</c:v>
                </c:pt>
                <c:pt idx="20">
                  <c:v>24.903219248216953</c:v>
                </c:pt>
                <c:pt idx="21">
                  <c:v>25.566886946723688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6-40EA-B4F1-25619F150C5C}"/>
            </c:ext>
          </c:extLst>
        </c:ser>
        <c:ser>
          <c:idx val="2"/>
          <c:order val="1"/>
          <c:tx>
            <c:strRef>
              <c:f>Charts_Support!$A$47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Charts_Support!$J$45:$AE$45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Charts_Support!$J$47:$AE$47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12.911599710069305</c:v>
                </c:pt>
                <c:pt idx="2">
                  <c:v>13.827911166266013</c:v>
                </c:pt>
                <c:pt idx="3">
                  <c:v>16.268668544978865</c:v>
                </c:pt>
                <c:pt idx="4">
                  <c:v>14.831914646240275</c:v>
                </c:pt>
                <c:pt idx="5">
                  <c:v>14.114728690337516</c:v>
                </c:pt>
                <c:pt idx="6">
                  <c:v>17.827631110956158</c:v>
                </c:pt>
                <c:pt idx="7">
                  <c:v>17.625241036320851</c:v>
                </c:pt>
                <c:pt idx="8">
                  <c:v>19.662802795865222</c:v>
                </c:pt>
                <c:pt idx="9">
                  <c:v>16.687195762203377</c:v>
                </c:pt>
                <c:pt idx="10">
                  <c:v>15.800690047736646</c:v>
                </c:pt>
                <c:pt idx="11">
                  <c:v>9.2787851126798078</c:v>
                </c:pt>
                <c:pt idx="12">
                  <c:v>14.370728514241682</c:v>
                </c:pt>
                <c:pt idx="13">
                  <c:v>19.772459494154706</c:v>
                </c:pt>
                <c:pt idx="14">
                  <c:v>19.121633060550586</c:v>
                </c:pt>
                <c:pt idx="15">
                  <c:v>15.232710860260394</c:v>
                </c:pt>
                <c:pt idx="16">
                  <c:v>16.225849392371387</c:v>
                </c:pt>
                <c:pt idx="17">
                  <c:v>16.757235119305488</c:v>
                </c:pt>
                <c:pt idx="18">
                  <c:v>16.830903641208568</c:v>
                </c:pt>
                <c:pt idx="19">
                  <c:v>17.022813916407564</c:v>
                </c:pt>
                <c:pt idx="20">
                  <c:v>17.212581136192931</c:v>
                </c:pt>
                <c:pt idx="21">
                  <c:v>17.419237011475754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6-40EA-B4F1-25619F150C5C}"/>
            </c:ext>
          </c:extLst>
        </c:ser>
        <c:ser>
          <c:idx val="3"/>
          <c:order val="2"/>
          <c:tx>
            <c:strRef>
              <c:f>Charts_Support!$A$48</c:f>
              <c:strCache>
                <c:ptCount val="1"/>
                <c:pt idx="0">
                  <c:v>Europe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Charts_Support!$J$45:$AE$45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Charts_Support!$J$48:$AE$48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4.7615958481998053</c:v>
                </c:pt>
                <c:pt idx="6">
                  <c:v>17.741467954900582</c:v>
                </c:pt>
                <c:pt idx="7">
                  <c:v>21.61944251530355</c:v>
                </c:pt>
                <c:pt idx="8">
                  <c:v>22.050724993631402</c:v>
                </c:pt>
                <c:pt idx="9">
                  <c:v>23.103154590079431</c:v>
                </c:pt>
                <c:pt idx="10">
                  <c:v>23.308689842247077</c:v>
                </c:pt>
                <c:pt idx="11">
                  <c:v>15.667476604444849</c:v>
                </c:pt>
                <c:pt idx="12">
                  <c:v>20.415123119621477</c:v>
                </c:pt>
                <c:pt idx="13">
                  <c:v>23.04809144753866</c:v>
                </c:pt>
                <c:pt idx="14">
                  <c:v>22.930954127181923</c:v>
                </c:pt>
                <c:pt idx="15">
                  <c:v>23.275597362125197</c:v>
                </c:pt>
                <c:pt idx="16">
                  <c:v>26.475775431986204</c:v>
                </c:pt>
                <c:pt idx="17">
                  <c:v>28.444483824040628</c:v>
                </c:pt>
                <c:pt idx="18">
                  <c:v>30.298973899364444</c:v>
                </c:pt>
                <c:pt idx="19">
                  <c:v>32.174378856650236</c:v>
                </c:pt>
                <c:pt idx="20">
                  <c:v>34.138580096370951</c:v>
                </c:pt>
                <c:pt idx="21">
                  <c:v>36.242580589052089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06-40EA-B4F1-25619F150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258304"/>
        <c:axId val="544268288"/>
      </c:lineChart>
      <c:catAx>
        <c:axId val="5442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26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26828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 b="0" i="0" baseline="0">
                    <a:effectLst/>
                  </a:rPr>
                  <a:t>Sales per store- $Mex mn</a:t>
                </a:r>
                <a:endParaRPr lang="en-US" sz="9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Arial"/>
                    <a:ea typeface="Arial"/>
                    <a:cs typeface="Arial"/>
                  </a:defRPr>
                </a:pP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1470584725242346"/>
              <c:y val="4.0941475166829736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25830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44152000610431108"/>
          <c:y val="2.2713538631945116E-2"/>
          <c:w val="0.37645555795153574"/>
          <c:h val="0.2028785303275254"/>
        </c:manualLayout>
      </c:layout>
      <c:overlay val="0"/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1488130221669"/>
          <c:y val="8.1546641433604544E-2"/>
          <c:w val="0.78682319453880989"/>
          <c:h val="0.73308684723077688"/>
        </c:manualLayout>
      </c:layout>
      <c:areaChart>
        <c:grouping val="standard"/>
        <c:varyColors val="0"/>
        <c:ser>
          <c:idx val="3"/>
          <c:order val="3"/>
          <c:tx>
            <c:strRef>
              <c:f>Charts_Support!$A$55</c:f>
              <c:strCache>
                <c:ptCount val="1"/>
                <c:pt idx="0">
                  <c:v>Revenue Growth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Charts_Support!$C$55:$AE$55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Charts_Support!$C$56:$AE$56</c:f>
              <c:numCache>
                <c:formatCode>0.0%</c:formatCode>
                <c:ptCount val="29"/>
                <c:pt idx="0">
                  <c:v>6.1932698470170022E-2</c:v>
                </c:pt>
                <c:pt idx="1">
                  <c:v>9.2687513603935567E-2</c:v>
                </c:pt>
                <c:pt idx="2">
                  <c:v>0.29152206989330631</c:v>
                </c:pt>
                <c:pt idx="3">
                  <c:v>0.25797000156932803</c:v>
                </c:pt>
                <c:pt idx="4">
                  <c:v>0.2917591580391401</c:v>
                </c:pt>
                <c:pt idx="5">
                  <c:v>0.15912518227996464</c:v>
                </c:pt>
                <c:pt idx="6">
                  <c:v>0.11473067480859722</c:v>
                </c:pt>
                <c:pt idx="7">
                  <c:v>0.10276796385903797</c:v>
                </c:pt>
                <c:pt idx="8">
                  <c:v>4.5924686165181861E-2</c:v>
                </c:pt>
                <c:pt idx="9">
                  <c:v>0.19095646132468769</c:v>
                </c:pt>
                <c:pt idx="10">
                  <c:v>0.26391884675591193</c:v>
                </c:pt>
                <c:pt idx="11">
                  <c:v>0.16222122793920168</c:v>
                </c:pt>
                <c:pt idx="12">
                  <c:v>0.4510749767782869</c:v>
                </c:pt>
                <c:pt idx="13">
                  <c:v>0.41614100368614304</c:v>
                </c:pt>
                <c:pt idx="14">
                  <c:v>0.16766067763829295</c:v>
                </c:pt>
                <c:pt idx="15">
                  <c:v>0.12803753193442646</c:v>
                </c:pt>
                <c:pt idx="16">
                  <c:v>8.5293791987847589E-2</c:v>
                </c:pt>
                <c:pt idx="17">
                  <c:v>0.25994181416040885</c:v>
                </c:pt>
                <c:pt idx="18">
                  <c:v>-0.3380505338707489</c:v>
                </c:pt>
                <c:pt idx="19">
                  <c:v>0.38664470699747411</c:v>
                </c:pt>
                <c:pt idx="20">
                  <c:v>0.28947151947127847</c:v>
                </c:pt>
                <c:pt idx="21">
                  <c:v>0.10750548751037026</c:v>
                </c:pt>
                <c:pt idx="22">
                  <c:v>4.4249525445763771E-2</c:v>
                </c:pt>
                <c:pt idx="23">
                  <c:v>0.11306324553984148</c:v>
                </c:pt>
                <c:pt idx="24">
                  <c:v>8.3987732843376461E-2</c:v>
                </c:pt>
                <c:pt idx="25">
                  <c:v>7.2375352051224695E-2</c:v>
                </c:pt>
                <c:pt idx="26">
                  <c:v>6.206485406700768E-2</c:v>
                </c:pt>
                <c:pt idx="27">
                  <c:v>6.1547535212866933E-2</c:v>
                </c:pt>
                <c:pt idx="28">
                  <c:v>6.0069677366916707E-2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9-490F-8428-A37B0BA0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744576"/>
        <c:axId val="544746112"/>
      </c:areaChart>
      <c:lineChart>
        <c:grouping val="standard"/>
        <c:varyColors val="0"/>
        <c:ser>
          <c:idx val="2"/>
          <c:order val="0"/>
          <c:tx>
            <c:strRef>
              <c:f>Charts_Support!$A$67</c:f>
              <c:strCache>
                <c:ptCount val="1"/>
                <c:pt idx="0">
                  <c:v>Mexico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Charts_Support!$C$55:$AE$55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Charts_Support!$C$67:$AE$67</c:f>
              <c:numCache>
                <c:formatCode>0.0%</c:formatCode>
                <c:ptCount val="29"/>
                <c:pt idx="0">
                  <c:v>6.196664260943141E-2</c:v>
                </c:pt>
                <c:pt idx="1">
                  <c:v>9.2465753424657571E-2</c:v>
                </c:pt>
                <c:pt idx="2">
                  <c:v>0.62835249042145591</c:v>
                </c:pt>
                <c:pt idx="3">
                  <c:v>0.20385026737967915</c:v>
                </c:pt>
                <c:pt idx="4">
                  <c:v>0.25728500355366024</c:v>
                </c:pt>
                <c:pt idx="5">
                  <c:v>0.1317128321085359</c:v>
                </c:pt>
                <c:pt idx="6">
                  <c:v>8.5676823176823236E-2</c:v>
                </c:pt>
                <c:pt idx="7">
                  <c:v>4.63992822718855E-2</c:v>
                </c:pt>
                <c:pt idx="8">
                  <c:v>-1.3630118164330574E-3</c:v>
                </c:pt>
                <c:pt idx="9">
                  <c:v>0.15584858724725104</c:v>
                </c:pt>
                <c:pt idx="10">
                  <c:v>0.21757927816398426</c:v>
                </c:pt>
                <c:pt idx="11">
                  <c:v>0.1492984404573825</c:v>
                </c:pt>
                <c:pt idx="12">
                  <c:v>0.40649349765561715</c:v>
                </c:pt>
                <c:pt idx="13">
                  <c:v>-3.7352428875556454E-2</c:v>
                </c:pt>
                <c:pt idx="14">
                  <c:v>0.10504624045034183</c:v>
                </c:pt>
                <c:pt idx="15">
                  <c:v>7.6912580733193847E-2</c:v>
                </c:pt>
                <c:pt idx="16">
                  <c:v>7.5389618617223375E-2</c:v>
                </c:pt>
                <c:pt idx="17">
                  <c:v>6.8926243028827328E-2</c:v>
                </c:pt>
                <c:pt idx="18">
                  <c:v>-0.2994451996913694</c:v>
                </c:pt>
                <c:pt idx="19">
                  <c:v>0.36439922378979395</c:v>
                </c:pt>
                <c:pt idx="20">
                  <c:v>0.28648856428983271</c:v>
                </c:pt>
                <c:pt idx="21">
                  <c:v>0.17598900442213461</c:v>
                </c:pt>
                <c:pt idx="22">
                  <c:v>9.4100472337141472E-2</c:v>
                </c:pt>
                <c:pt idx="23">
                  <c:v>5.8933250759875433E-2</c:v>
                </c:pt>
                <c:pt idx="24">
                  <c:v>6.0650110431506921E-2</c:v>
                </c:pt>
                <c:pt idx="25">
                  <c:v>5.6635189629556049E-2</c:v>
                </c:pt>
                <c:pt idx="26">
                  <c:v>4.4402717500338529E-2</c:v>
                </c:pt>
                <c:pt idx="27">
                  <c:v>4.4133934862908619E-2</c:v>
                </c:pt>
                <c:pt idx="28">
                  <c:v>4.2795501105685307E-2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D9-490F-8428-A37B0BA068D2}"/>
            </c:ext>
          </c:extLst>
        </c:ser>
        <c:ser>
          <c:idx val="0"/>
          <c:order val="1"/>
          <c:tx>
            <c:strRef>
              <c:f>Charts_Support!$A$68</c:f>
              <c:strCache>
                <c:ptCount val="1"/>
                <c:pt idx="0">
                  <c:v>Europe</c:v>
                </c:pt>
              </c:strCache>
            </c:strRef>
          </c:tx>
          <c:spPr>
            <a:ln w="28575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Charts_Support!$C$55:$AE$55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Charts_Support!$C$68:$AE$68</c:f>
              <c:numCache>
                <c:formatCode>0.0%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2.8644414168937331</c:v>
                </c:pt>
                <c:pt idx="14">
                  <c:v>0.33809271990128686</c:v>
                </c:pt>
                <c:pt idx="15">
                  <c:v>0.12896851534712162</c:v>
                </c:pt>
                <c:pt idx="16">
                  <c:v>0.15367561260210039</c:v>
                </c:pt>
                <c:pt idx="17">
                  <c:v>1.1449377971073127</c:v>
                </c:pt>
                <c:pt idx="18">
                  <c:v>-0.34644221247701235</c:v>
                </c:pt>
                <c:pt idx="19">
                  <c:v>0.32857142857142851</c:v>
                </c:pt>
                <c:pt idx="20">
                  <c:v>0.1934397740849354</c:v>
                </c:pt>
                <c:pt idx="21">
                  <c:v>4.5049144521295936E-2</c:v>
                </c:pt>
                <c:pt idx="22">
                  <c:v>4.6544875265761121E-2</c:v>
                </c:pt>
                <c:pt idx="23">
                  <c:v>0.16214080381033313</c:v>
                </c:pt>
                <c:pt idx="24">
                  <c:v>8.9461900783655235E-2</c:v>
                </c:pt>
                <c:pt idx="25">
                  <c:v>7.9412886361491131E-2</c:v>
                </c:pt>
                <c:pt idx="26">
                  <c:v>7.6010571466369248E-2</c:v>
                </c:pt>
                <c:pt idx="27">
                  <c:v>7.4993472246284831E-2</c:v>
                </c:pt>
                <c:pt idx="28">
                  <c:v>7.2543479119014043E-2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D9-490F-8428-A37B0BA068D2}"/>
            </c:ext>
          </c:extLst>
        </c:ser>
        <c:ser>
          <c:idx val="1"/>
          <c:order val="2"/>
          <c:tx>
            <c:strRef>
              <c:f>Charts_Support!$A$69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Charts_Support!$C$55:$AE$55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Charts_Support!$C$69:$AE$69</c:f>
              <c:numCache>
                <c:formatCode>0.0%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0.85014409221902021</c:v>
                </c:pt>
                <c:pt idx="6">
                  <c:v>0.51401869158878499</c:v>
                </c:pt>
                <c:pt idx="7">
                  <c:v>0.44825102880658441</c:v>
                </c:pt>
                <c:pt idx="8">
                  <c:v>0.28628258861973421</c:v>
                </c:pt>
                <c:pt idx="9">
                  <c:v>0.32661401667863266</c:v>
                </c:pt>
                <c:pt idx="10">
                  <c:v>0.42229715665459389</c:v>
                </c:pt>
                <c:pt idx="11">
                  <c:v>0.23503585540758087</c:v>
                </c:pt>
                <c:pt idx="12">
                  <c:v>9.5153454200734622E-2</c:v>
                </c:pt>
                <c:pt idx="13">
                  <c:v>0.45379787924691617</c:v>
                </c:pt>
                <c:pt idx="14">
                  <c:v>0.20928847871390288</c:v>
                </c:pt>
                <c:pt idx="15">
                  <c:v>0.26575578532742483</c:v>
                </c:pt>
                <c:pt idx="16">
                  <c:v>-8.5599533210153345E-3</c:v>
                </c:pt>
                <c:pt idx="17">
                  <c:v>-4.5371848767108536E-2</c:v>
                </c:pt>
                <c:pt idx="18">
                  <c:v>-0.42594236393379525</c:v>
                </c:pt>
                <c:pt idx="19">
                  <c:v>0.60410480393114963</c:v>
                </c:pt>
                <c:pt idx="20">
                  <c:v>0.49381767333227033</c:v>
                </c:pt>
                <c:pt idx="21">
                  <c:v>3.8696754157842683E-2</c:v>
                </c:pt>
                <c:pt idx="22">
                  <c:v>-0.17651213488461059</c:v>
                </c:pt>
                <c:pt idx="23">
                  <c:v>8.8932453244283671E-2</c:v>
                </c:pt>
                <c:pt idx="24">
                  <c:v>4.7843048323298332E-2</c:v>
                </c:pt>
                <c:pt idx="25">
                  <c:v>2.0268621876975423E-2</c:v>
                </c:pt>
                <c:pt idx="26">
                  <c:v>2.7110149646133674E-2</c:v>
                </c:pt>
                <c:pt idx="27">
                  <c:v>2.677635186380245E-2</c:v>
                </c:pt>
                <c:pt idx="28">
                  <c:v>2.6436173522878637E-2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D9-490F-8428-A37B0BA0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744576"/>
        <c:axId val="544746112"/>
      </c:lineChart>
      <c:catAx>
        <c:axId val="54474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74611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544746112"/>
        <c:scaling>
          <c:orientation val="minMax"/>
          <c:max val="0.60000000000000009"/>
          <c:min val="-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744576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5118051032824917"/>
          <c:y val="2.7722487016624272E-2"/>
          <c:w val="0.23160111795654195"/>
          <c:h val="0.23139207190370498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3078916000081"/>
          <c:y val="2.6485106232493637E-2"/>
          <c:w val="0.82852982209553194"/>
          <c:h val="0.821334150915217"/>
        </c:manualLayout>
      </c:layout>
      <c:areaChart>
        <c:grouping val="standard"/>
        <c:varyColors val="0"/>
        <c:ser>
          <c:idx val="3"/>
          <c:order val="3"/>
          <c:tx>
            <c:strRef>
              <c:f>Charts_Support!$A$175</c:f>
              <c:strCache>
                <c:ptCount val="1"/>
                <c:pt idx="0">
                  <c:v>Adj. EBITDA Margin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Charts_Support!$O$175:$Z$175</c:f>
              <c:numCache>
                <c:formatCode>General</c:formatCod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</c:numCache>
            </c:numRef>
          </c:cat>
          <c:val>
            <c:numRef>
              <c:f>Charts_Support!$O$176:$AE$176</c:f>
              <c:numCache>
                <c:formatCode>0.0%</c:formatCode>
                <c:ptCount val="17"/>
                <c:pt idx="0">
                  <c:v>0.21876948306060612</c:v>
                </c:pt>
                <c:pt idx="1">
                  <c:v>0.20992074671082869</c:v>
                </c:pt>
                <c:pt idx="2">
                  <c:v>0.21065269791546398</c:v>
                </c:pt>
                <c:pt idx="3">
                  <c:v>0.20917432081420165</c:v>
                </c:pt>
                <c:pt idx="4">
                  <c:v>0.19986311380751667</c:v>
                </c:pt>
                <c:pt idx="5">
                  <c:v>0.19283077067360721</c:v>
                </c:pt>
                <c:pt idx="6">
                  <c:v>0.11302643569095844</c:v>
                </c:pt>
                <c:pt idx="7">
                  <c:v>0.19915896877880146</c:v>
                </c:pt>
                <c:pt idx="8">
                  <c:v>0.18536623706320834</c:v>
                </c:pt>
                <c:pt idx="9">
                  <c:v>0.19358254132882971</c:v>
                </c:pt>
                <c:pt idx="10">
                  <c:v>0.19653066623799051</c:v>
                </c:pt>
                <c:pt idx="11">
                  <c:v>0.19500405066544105</c:v>
                </c:pt>
                <c:pt idx="12">
                  <c:v>0.19500902540336285</c:v>
                </c:pt>
                <c:pt idx="13">
                  <c:v>0.1953194610535379</c:v>
                </c:pt>
                <c:pt idx="14">
                  <c:v>0.1952744512079278</c:v>
                </c:pt>
                <c:pt idx="15">
                  <c:v>0.19523703038506776</c:v>
                </c:pt>
                <c:pt idx="16">
                  <c:v>0.19520047502044466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2-45B9-AE19-D71B8077E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784384"/>
        <c:axId val="544785920"/>
      </c:areaChart>
      <c:lineChart>
        <c:grouping val="standard"/>
        <c:varyColors val="0"/>
        <c:ser>
          <c:idx val="0"/>
          <c:order val="0"/>
          <c:tx>
            <c:strRef>
              <c:f>Charts_Support!$A$204</c:f>
              <c:strCache>
                <c:ptCount val="1"/>
                <c:pt idx="0">
                  <c:v>Mexico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Charts_Support!$O$204:$AE$204</c:f>
              <c:numCache>
                <c:formatCode>0.0%</c:formatCode>
                <c:ptCount val="17"/>
                <c:pt idx="0">
                  <c:v>0.19445519643893941</c:v>
                </c:pt>
                <c:pt idx="1">
                  <c:v>0.2349718536389224</c:v>
                </c:pt>
                <c:pt idx="2">
                  <c:v>0.23719639770763212</c:v>
                </c:pt>
                <c:pt idx="3">
                  <c:v>0.23685433120750096</c:v>
                </c:pt>
                <c:pt idx="4">
                  <c:v>0.2317571282695782</c:v>
                </c:pt>
                <c:pt idx="5">
                  <c:v>0.22779880221920124</c:v>
                </c:pt>
                <c:pt idx="6">
                  <c:v>0.1503645041170609</c:v>
                </c:pt>
                <c:pt idx="7">
                  <c:v>0.22875264270613108</c:v>
                </c:pt>
                <c:pt idx="8">
                  <c:v>0.2260965698577746</c:v>
                </c:pt>
                <c:pt idx="9">
                  <c:v>0.22879719497941969</c:v>
                </c:pt>
                <c:pt idx="10">
                  <c:v>0.23529135579100743</c:v>
                </c:pt>
                <c:pt idx="11">
                  <c:v>0.23287866550961106</c:v>
                </c:pt>
                <c:pt idx="12">
                  <c:v>0.23288245341338293</c:v>
                </c:pt>
                <c:pt idx="13">
                  <c:v>0.23288508354672782</c:v>
                </c:pt>
                <c:pt idx="14">
                  <c:v>0.22788395210611792</c:v>
                </c:pt>
                <c:pt idx="15">
                  <c:v>0.22788282674035559</c:v>
                </c:pt>
                <c:pt idx="16">
                  <c:v>0.22788503960381304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12-45B9-AE19-D71B8077E016}"/>
            </c:ext>
          </c:extLst>
        </c:ser>
        <c:ser>
          <c:idx val="1"/>
          <c:order val="1"/>
          <c:tx>
            <c:strRef>
              <c:f>Charts_Support!$A$205</c:f>
              <c:strCache>
                <c:ptCount val="1"/>
                <c:pt idx="0">
                  <c:v>South America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Charts_Support!$O$205:$AE$205</c:f>
              <c:numCache>
                <c:formatCode>0.0%</c:formatCode>
                <c:ptCount val="17"/>
                <c:pt idx="0">
                  <c:v>0.14693789223111881</c:v>
                </c:pt>
                <c:pt idx="1">
                  <c:v>0.15197975587972612</c:v>
                </c:pt>
                <c:pt idx="2">
                  <c:v>0.15103397341211225</c:v>
                </c:pt>
                <c:pt idx="3">
                  <c:v>0.15190119614898376</c:v>
                </c:pt>
                <c:pt idx="4">
                  <c:v>0.13810721317888083</c:v>
                </c:pt>
                <c:pt idx="5">
                  <c:v>0.12977254458889073</c:v>
                </c:pt>
                <c:pt idx="6">
                  <c:v>5.3159442889038518E-2</c:v>
                </c:pt>
                <c:pt idx="7">
                  <c:v>0.14036921566971236</c:v>
                </c:pt>
                <c:pt idx="8">
                  <c:v>0.14700047326981638</c:v>
                </c:pt>
                <c:pt idx="9">
                  <c:v>0.15899871226144707</c:v>
                </c:pt>
                <c:pt idx="10">
                  <c:v>0.14318801417938049</c:v>
                </c:pt>
                <c:pt idx="11">
                  <c:v>0.14090836291321834</c:v>
                </c:pt>
                <c:pt idx="12">
                  <c:v>0.14142781776345562</c:v>
                </c:pt>
                <c:pt idx="13">
                  <c:v>0.1419286522684246</c:v>
                </c:pt>
                <c:pt idx="14">
                  <c:v>0.14242917003870945</c:v>
                </c:pt>
                <c:pt idx="15">
                  <c:v>0.14292954592698645</c:v>
                </c:pt>
                <c:pt idx="16">
                  <c:v>0.14342804020045091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12-45B9-AE19-D71B8077E016}"/>
            </c:ext>
          </c:extLst>
        </c:ser>
        <c:ser>
          <c:idx val="2"/>
          <c:order val="2"/>
          <c:tx>
            <c:strRef>
              <c:f>Charts_Support!$A$206</c:f>
              <c:strCache>
                <c:ptCount val="1"/>
                <c:pt idx="0">
                  <c:v>Europe</c:v>
                </c:pt>
              </c:strCache>
            </c:strRef>
          </c:tx>
          <c:marker>
            <c:symbol val="none"/>
          </c:marker>
          <c:cat>
            <c:numRef>
              <c:f>Charts_Support!$O$175:$AE$175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Charts_Support!$O$206:$AE$206</c:f>
              <c:numCache>
                <c:formatCode>0.0%</c:formatCode>
                <c:ptCount val="17"/>
                <c:pt idx="0">
                  <c:v>0.19754768392370572</c:v>
                </c:pt>
                <c:pt idx="1">
                  <c:v>0.1907280098713203</c:v>
                </c:pt>
                <c:pt idx="2">
                  <c:v>0.19760242392306679</c:v>
                </c:pt>
                <c:pt idx="3">
                  <c:v>0.2014002333722287</c:v>
                </c:pt>
                <c:pt idx="4">
                  <c:v>0.19378982502275716</c:v>
                </c:pt>
                <c:pt idx="5">
                  <c:v>0.17687555995661811</c:v>
                </c:pt>
                <c:pt idx="6">
                  <c:v>8.5642135642135644E-2</c:v>
                </c:pt>
                <c:pt idx="7">
                  <c:v>0.18583686325621809</c:v>
                </c:pt>
                <c:pt idx="8">
                  <c:v>0.14670549690571533</c:v>
                </c:pt>
                <c:pt idx="9">
                  <c:v>0.15418444657319516</c:v>
                </c:pt>
                <c:pt idx="10">
                  <c:v>0.14476460588647724</c:v>
                </c:pt>
                <c:pt idx="11">
                  <c:v>0.14273151840348389</c:v>
                </c:pt>
                <c:pt idx="12">
                  <c:v>0.14364370942175347</c:v>
                </c:pt>
                <c:pt idx="13">
                  <c:v>0.14463447007137967</c:v>
                </c:pt>
                <c:pt idx="14">
                  <c:v>0.13813031453901403</c:v>
                </c:pt>
                <c:pt idx="15">
                  <c:v>0.13862637704265693</c:v>
                </c:pt>
                <c:pt idx="16">
                  <c:v>0.13911431746536007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12-45B9-AE19-D71B8077E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784384"/>
        <c:axId val="544785920"/>
      </c:lineChart>
      <c:catAx>
        <c:axId val="54478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7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7859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4784384"/>
        <c:crosses val="autoZero"/>
        <c:crossBetween val="between"/>
        <c:majorUnit val="2.0000000000000004E-2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11585905153401489"/>
          <c:y val="1.5914699625097409E-2"/>
          <c:w val="0.81544610980427579"/>
          <c:h val="0.11290403376080611"/>
        </c:manualLayout>
      </c:layout>
      <c:overlay val="0"/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areaChart>
        <c:grouping val="stacked"/>
        <c:varyColors val="0"/>
        <c:ser>
          <c:idx val="0"/>
          <c:order val="0"/>
          <c:tx>
            <c:strRef>
              <c:f>Charts_Support!$A$194</c:f>
              <c:strCache>
                <c:ptCount val="1"/>
                <c:pt idx="0">
                  <c:v>Mexico</c:v>
                </c:pt>
              </c:strCache>
            </c:strRef>
          </c:tx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Charts_Support!$O$194:$AE$194</c:f>
              <c:numCache>
                <c:formatCode>#,##0_);\(#,##0\)</c:formatCode>
                <c:ptCount val="17"/>
                <c:pt idx="0">
                  <c:v>4019</c:v>
                </c:pt>
                <c:pt idx="1">
                  <c:v>4675</c:v>
                </c:pt>
                <c:pt idx="2">
                  <c:v>5215</c:v>
                </c:pt>
                <c:pt idx="3">
                  <c:v>5608</c:v>
                </c:pt>
                <c:pt idx="4">
                  <c:v>5901</c:v>
                </c:pt>
                <c:pt idx="5">
                  <c:v>6200</c:v>
                </c:pt>
                <c:pt idx="6">
                  <c:v>2867</c:v>
                </c:pt>
                <c:pt idx="7">
                  <c:v>5951</c:v>
                </c:pt>
                <c:pt idx="8">
                  <c:v>7567</c:v>
                </c:pt>
                <c:pt idx="9">
                  <c:v>9005</c:v>
                </c:pt>
                <c:pt idx="10">
                  <c:v>10132.023750099506</c:v>
                </c:pt>
                <c:pt idx="11">
                  <c:v>10619.119697261831</c:v>
                </c:pt>
                <c:pt idx="12">
                  <c:v>11263.353681451592</c:v>
                </c:pt>
                <c:pt idx="13">
                  <c:v>11901.390263749405</c:v>
                </c:pt>
                <c:pt idx="14">
                  <c:v>12162.917468312797</c:v>
                </c:pt>
                <c:pt idx="15">
                  <c:v>12699.65216024129</c:v>
                </c:pt>
                <c:pt idx="16">
                  <c:v>13243.268736241422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1-4E98-A538-AE137466EC34}"/>
            </c:ext>
          </c:extLst>
        </c:ser>
        <c:ser>
          <c:idx val="1"/>
          <c:order val="1"/>
          <c:tx>
            <c:strRef>
              <c:f>Charts_Support!$A$195</c:f>
              <c:strCache>
                <c:ptCount val="1"/>
                <c:pt idx="0">
                  <c:v>South America</c:v>
                </c:pt>
              </c:strCache>
            </c:strRef>
          </c:tx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Charts_Support!$O$195:$AE$195</c:f>
              <c:numCache>
                <c:formatCode>#,##0_);\(#,##0\)</c:formatCode>
                <c:ptCount val="17"/>
                <c:pt idx="0">
                  <c:v>679</c:v>
                </c:pt>
                <c:pt idx="1">
                  <c:v>1021</c:v>
                </c:pt>
                <c:pt idx="2">
                  <c:v>1227</c:v>
                </c:pt>
                <c:pt idx="3">
                  <c:v>1562</c:v>
                </c:pt>
                <c:pt idx="4">
                  <c:v>1408</c:v>
                </c:pt>
                <c:pt idx="5">
                  <c:v>1263</c:v>
                </c:pt>
                <c:pt idx="6">
                  <c:v>297</c:v>
                </c:pt>
                <c:pt idx="7">
                  <c:v>1258</c:v>
                </c:pt>
                <c:pt idx="8">
                  <c:v>1968</c:v>
                </c:pt>
                <c:pt idx="9">
                  <c:v>2211</c:v>
                </c:pt>
                <c:pt idx="10">
                  <c:v>1639.6796454502253</c:v>
                </c:pt>
                <c:pt idx="11">
                  <c:v>1757.0739897976418</c:v>
                </c:pt>
                <c:pt idx="12">
                  <c:v>1847.9250699331251</c:v>
                </c:pt>
                <c:pt idx="13">
                  <c:v>1892.0566094950441</c:v>
                </c:pt>
                <c:pt idx="14">
                  <c:v>1950.2038603537776</c:v>
                </c:pt>
                <c:pt idx="15">
                  <c:v>2009.4580301518099</c:v>
                </c:pt>
                <c:pt idx="16">
                  <c:v>2069.774057094819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1-4E98-A538-AE137466EC34}"/>
            </c:ext>
          </c:extLst>
        </c:ser>
        <c:ser>
          <c:idx val="2"/>
          <c:order val="2"/>
          <c:tx>
            <c:strRef>
              <c:f>Charts_Support!$A$196</c:f>
              <c:strCache>
                <c:ptCount val="1"/>
                <c:pt idx="0">
                  <c:v>Europe</c:v>
                </c:pt>
              </c:strCache>
            </c:strRef>
          </c:tx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Charts_Support!$O$196:$AE$196</c:f>
              <c:numCache>
                <c:formatCode>#,##0_);\(#,##0\)</c:formatCode>
                <c:ptCount val="17"/>
                <c:pt idx="0">
                  <c:v>290</c:v>
                </c:pt>
                <c:pt idx="1">
                  <c:v>1082</c:v>
                </c:pt>
                <c:pt idx="2">
                  <c:v>1500</c:v>
                </c:pt>
                <c:pt idx="3">
                  <c:v>1726</c:v>
                </c:pt>
                <c:pt idx="4">
                  <c:v>1916</c:v>
                </c:pt>
                <c:pt idx="5">
                  <c:v>3751</c:v>
                </c:pt>
                <c:pt idx="6">
                  <c:v>1187</c:v>
                </c:pt>
                <c:pt idx="7">
                  <c:v>3422</c:v>
                </c:pt>
                <c:pt idx="8">
                  <c:v>3224</c:v>
                </c:pt>
                <c:pt idx="9">
                  <c:v>3541</c:v>
                </c:pt>
                <c:pt idx="10">
                  <c:v>3479.4100071203366</c:v>
                </c:pt>
                <c:pt idx="11">
                  <c:v>3986.7761517215631</c:v>
                </c:pt>
                <c:pt idx="12">
                  <c:v>4371.1994678118299</c:v>
                </c:pt>
                <c:pt idx="13">
                  <c:v>4750.872991666979</c:v>
                </c:pt>
                <c:pt idx="14">
                  <c:v>4882.1053921050388</c:v>
                </c:pt>
                <c:pt idx="15">
                  <c:v>5267.0792148732935</c:v>
                </c:pt>
                <c:pt idx="16">
                  <c:v>5669.0555541519943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81-4E98-A538-AE137466E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27552"/>
        <c:axId val="549529088"/>
      </c:areaChart>
      <c:catAx>
        <c:axId val="54952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29088"/>
        <c:crossesAt val="0"/>
        <c:auto val="1"/>
        <c:lblAlgn val="ctr"/>
        <c:lblOffset val="100"/>
        <c:noMultiLvlLbl val="0"/>
      </c:catAx>
      <c:valAx>
        <c:axId val="54952908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27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2178333824006425"/>
          <c:y val="5.6939340915718867E-2"/>
          <c:w val="0.30588406297409992"/>
          <c:h val="0.2215212160979877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areaChart>
        <c:grouping val="stacked"/>
        <c:varyColors val="0"/>
        <c:ser>
          <c:idx val="0"/>
          <c:order val="0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DE0-4A20-9C35-CC54B30CB579}"/>
            </c:ext>
          </c:extLst>
        </c:ser>
        <c:ser>
          <c:idx val="2"/>
          <c:order val="1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DE0-4A20-9C35-CC54B30CB579}"/>
            </c:ext>
          </c:extLst>
        </c:ser>
        <c:ser>
          <c:idx val="3"/>
          <c:order val="2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DE0-4A20-9C35-CC54B30CB579}"/>
            </c:ext>
          </c:extLst>
        </c:ser>
        <c:ser>
          <c:idx val="4"/>
          <c:order val="3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DE0-4A20-9C35-CC54B30CB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5088"/>
        <c:axId val="549546624"/>
      </c:areaChart>
      <c:catAx>
        <c:axId val="54954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46624"/>
        <c:crossesAt val="0"/>
        <c:auto val="1"/>
        <c:lblAlgn val="ctr"/>
        <c:lblOffset val="100"/>
        <c:noMultiLvlLbl val="0"/>
      </c:catAx>
      <c:valAx>
        <c:axId val="54954662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45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705586919559583"/>
          <c:y val="1.5272674249052202E-2"/>
          <c:w val="0.81965346902391922"/>
          <c:h val="9.6053878681831434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1496062992126"/>
          <c:y val="0.13247265966754157"/>
          <c:w val="0.84793438320209968"/>
          <c:h val="0.6914202391367745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53-497C-9A60-25E92B300281}"/>
            </c:ext>
          </c:extLst>
        </c:ser>
        <c:ser>
          <c:idx val="2"/>
          <c:order val="1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B53-497C-9A60-25E92B300281}"/>
            </c:ext>
          </c:extLst>
        </c:ser>
        <c:ser>
          <c:idx val="3"/>
          <c:order val="2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B53-497C-9A60-25E92B300281}"/>
            </c:ext>
          </c:extLst>
        </c:ser>
        <c:ser>
          <c:idx val="4"/>
          <c:order val="3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B53-497C-9A60-25E92B300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579008"/>
        <c:axId val="549580800"/>
      </c:lineChart>
      <c:catAx>
        <c:axId val="54957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80800"/>
        <c:crossesAt val="0"/>
        <c:auto val="1"/>
        <c:lblAlgn val="ctr"/>
        <c:lblOffset val="100"/>
        <c:noMultiLvlLbl val="0"/>
      </c:catAx>
      <c:valAx>
        <c:axId val="549580800"/>
        <c:scaling>
          <c:orientation val="minMax"/>
          <c:max val="1"/>
          <c:min val="-0.30000000000000004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9579008"/>
        <c:crosses val="autoZero"/>
        <c:crossBetween val="midCat"/>
        <c:maj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200240594925633"/>
          <c:y val="1.8545858850976964E-2"/>
          <c:w val="0.83897287839020118"/>
          <c:h val="0.11896835812190143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94390966772709E-2"/>
          <c:y val="0.10686533974919801"/>
          <c:w val="0.87921284352034645"/>
          <c:h val="0.7128102216389616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Charts_Support!$A$214</c:f>
              <c:strCache>
                <c:ptCount val="1"/>
                <c:pt idx="0">
                  <c:v>Mexico</c:v>
                </c:pt>
              </c:strCache>
            </c:strRef>
          </c:tx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Charts_Support!$P$214:$AE$214</c:f>
              <c:numCache>
                <c:formatCode>0.0%</c:formatCode>
                <c:ptCount val="16"/>
                <c:pt idx="0">
                  <c:v>0.1632246827569046</c:v>
                </c:pt>
                <c:pt idx="1">
                  <c:v>0.1155080213903743</c:v>
                </c:pt>
                <c:pt idx="2">
                  <c:v>7.5359539789070062E-2</c:v>
                </c:pt>
                <c:pt idx="3">
                  <c:v>5.2246790299572021E-2</c:v>
                </c:pt>
                <c:pt idx="4">
                  <c:v>5.0669378071513282E-2</c:v>
                </c:pt>
                <c:pt idx="5">
                  <c:v>-0.53758064516129034</c:v>
                </c:pt>
                <c:pt idx="6">
                  <c:v>1.0756888733868153</c:v>
                </c:pt>
                <c:pt idx="7">
                  <c:v>0.27155099983196096</c:v>
                </c:pt>
                <c:pt idx="8">
                  <c:v>0.19003568124752213</c:v>
                </c:pt>
                <c:pt idx="9">
                  <c:v>0.1251553303830657</c:v>
                </c:pt>
                <c:pt idx="10">
                  <c:v>4.8074891963961308E-2</c:v>
                </c:pt>
                <c:pt idx="11">
                  <c:v>6.0667362508012745E-2</c:v>
                </c:pt>
                <c:pt idx="12">
                  <c:v>5.6647123080981299E-2</c:v>
                </c:pt>
                <c:pt idx="13">
                  <c:v>2.1974508756340994E-2</c:v>
                </c:pt>
                <c:pt idx="14">
                  <c:v>4.4128778586783213E-2</c:v>
                </c:pt>
                <c:pt idx="15">
                  <c:v>4.280562720465908E-2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9E-4550-9DA3-4D12F3D9A432}"/>
            </c:ext>
          </c:extLst>
        </c:ser>
        <c:ser>
          <c:idx val="1"/>
          <c:order val="1"/>
          <c:tx>
            <c:strRef>
              <c:f>Charts_Support!$A$215</c:f>
              <c:strCache>
                <c:ptCount val="1"/>
                <c:pt idx="0">
                  <c:v>South America</c:v>
                </c:pt>
              </c:strCache>
            </c:strRef>
          </c:tx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Charts_Support!$P$215:$AE$215</c:f>
              <c:numCache>
                <c:formatCode>0.0%</c:formatCode>
                <c:ptCount val="16"/>
                <c:pt idx="0">
                  <c:v>0.50368188512518408</c:v>
                </c:pt>
                <c:pt idx="1">
                  <c:v>0.2017629774730656</c:v>
                </c:pt>
                <c:pt idx="2">
                  <c:v>0.27302363488182557</c:v>
                </c:pt>
                <c:pt idx="3">
                  <c:v>-9.8591549295774628E-2</c:v>
                </c:pt>
                <c:pt idx="4">
                  <c:v>-0.10298295454545459</c:v>
                </c:pt>
                <c:pt idx="5">
                  <c:v>-0.76484560570071258</c:v>
                </c:pt>
                <c:pt idx="6">
                  <c:v>3.2356902356902353</c:v>
                </c:pt>
                <c:pt idx="7">
                  <c:v>0.56438791732909377</c:v>
                </c:pt>
                <c:pt idx="8">
                  <c:v>0.12347560975609762</c:v>
                </c:pt>
                <c:pt idx="9">
                  <c:v>-0.25839907487552005</c:v>
                </c:pt>
                <c:pt idx="10">
                  <c:v>7.1595902695481994E-2</c:v>
                </c:pt>
                <c:pt idx="11">
                  <c:v>5.1705893242404821E-2</c:v>
                </c:pt>
                <c:pt idx="12">
                  <c:v>2.3881671546085004E-2</c:v>
                </c:pt>
                <c:pt idx="13">
                  <c:v>3.0732299745646507E-2</c:v>
                </c:pt>
                <c:pt idx="14">
                  <c:v>3.038357732882524E-2</c:v>
                </c:pt>
                <c:pt idx="15">
                  <c:v>3.0016067037962557E-2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9E-4550-9DA3-4D12F3D9A432}"/>
            </c:ext>
          </c:extLst>
        </c:ser>
        <c:ser>
          <c:idx val="2"/>
          <c:order val="2"/>
          <c:tx>
            <c:strRef>
              <c:f>Charts_Support!$A$216</c:f>
              <c:strCache>
                <c:ptCount val="1"/>
                <c:pt idx="0">
                  <c:v>Europe</c:v>
                </c:pt>
              </c:strCache>
            </c:strRef>
          </c:tx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Charts_Support!$P$216:$AE$216</c:f>
              <c:numCache>
                <c:formatCode>0.0%</c:formatCode>
                <c:ptCount val="16"/>
                <c:pt idx="0">
                  <c:v>2.7310344827586208</c:v>
                </c:pt>
                <c:pt idx="1">
                  <c:v>0.38632162661737524</c:v>
                </c:pt>
                <c:pt idx="2">
                  <c:v>0.15066666666666673</c:v>
                </c:pt>
                <c:pt idx="3">
                  <c:v>0.1100811123986094</c:v>
                </c:pt>
                <c:pt idx="4">
                  <c:v>0.95772442588726503</c:v>
                </c:pt>
                <c:pt idx="5">
                  <c:v>-0.68355105305251929</c:v>
                </c:pt>
                <c:pt idx="6">
                  <c:v>1.8828980623420386</c:v>
                </c:pt>
                <c:pt idx="7">
                  <c:v>-5.7860900058445353E-2</c:v>
                </c:pt>
                <c:pt idx="8">
                  <c:v>9.8325062034739563E-2</c:v>
                </c:pt>
                <c:pt idx="9">
                  <c:v>-1.7393389686434224E-2</c:v>
                </c:pt>
                <c:pt idx="10">
                  <c:v>0.14581959112692733</c:v>
                </c:pt>
                <c:pt idx="11">
                  <c:v>9.6424605109636241E-2</c:v>
                </c:pt>
                <c:pt idx="12">
                  <c:v>8.6857972657378824E-2</c:v>
                </c:pt>
                <c:pt idx="13">
                  <c:v>2.7622797045562253E-2</c:v>
                </c:pt>
                <c:pt idx="14">
                  <c:v>7.8854058208330358E-2</c:v>
                </c:pt>
                <c:pt idx="15">
                  <c:v>7.6318643194807301E-2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9E-4550-9DA3-4D12F3D9A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058240"/>
        <c:axId val="550068224"/>
      </c:lineChart>
      <c:catAx>
        <c:axId val="55005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0068224"/>
        <c:crosses val="autoZero"/>
        <c:auto val="1"/>
        <c:lblAlgn val="ctr"/>
        <c:lblOffset val="100"/>
        <c:noMultiLvlLbl val="0"/>
      </c:catAx>
      <c:valAx>
        <c:axId val="550068224"/>
        <c:scaling>
          <c:orientation val="minMax"/>
          <c:max val="1"/>
          <c:min val="-1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0058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42302205971206802"/>
          <c:y val="0.65207651928124366"/>
          <c:w val="0.57405846085277079"/>
          <c:h val="7.384040536599591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1496062992126"/>
          <c:y val="0.13710228929717119"/>
          <c:w val="0.84793438320209968"/>
          <c:h val="0.68679060950714499"/>
        </c:manualLayout>
      </c:layout>
      <c:areaChart>
        <c:grouping val="standard"/>
        <c:varyColors val="0"/>
        <c:ser>
          <c:idx val="5"/>
          <c:order val="4"/>
          <c:tx>
            <c:v>Total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c:spPr>
          <c:cat>
            <c:strRef>
              <c:f>Charts_Support!$Q$515:$AE$515</c:f>
              <c:strCache>
                <c:ptCount val="15"/>
                <c:pt idx="0">
                  <c:v>4Q10</c:v>
                </c:pt>
                <c:pt idx="1">
                  <c:v>1Q11</c:v>
                </c:pt>
                <c:pt idx="2">
                  <c:v>2Q11</c:v>
                </c:pt>
                <c:pt idx="3">
                  <c:v>3Q11</c:v>
                </c:pt>
                <c:pt idx="4">
                  <c:v>4Q11</c:v>
                </c:pt>
                <c:pt idx="5">
                  <c:v>1Q12</c:v>
                </c:pt>
                <c:pt idx="6">
                  <c:v>2Q12</c:v>
                </c:pt>
                <c:pt idx="7">
                  <c:v>3Q12</c:v>
                </c:pt>
                <c:pt idx="8">
                  <c:v>4Q12</c:v>
                </c:pt>
                <c:pt idx="9">
                  <c:v>1Q13</c:v>
                </c:pt>
                <c:pt idx="10">
                  <c:v>2Q13</c:v>
                </c:pt>
                <c:pt idx="11">
                  <c:v>3Q13</c:v>
                </c:pt>
                <c:pt idx="12">
                  <c:v>4Q13</c:v>
                </c:pt>
                <c:pt idx="13">
                  <c:v>1Q14</c:v>
                </c:pt>
                <c:pt idx="14">
                  <c:v>2Q14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9-4360-8F4E-ECAE76794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98048"/>
        <c:axId val="550099584"/>
      </c:area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9-4360-8F4E-ECAE767946F1}"/>
            </c:ext>
          </c:extLst>
        </c:ser>
        <c:ser>
          <c:idx val="2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49-4360-8F4E-ECAE767946F1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49-4360-8F4E-ECAE767946F1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49-4360-8F4E-ECAE76794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098048"/>
        <c:axId val="550099584"/>
      </c:lineChart>
      <c:catAx>
        <c:axId val="55009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099584"/>
        <c:crossesAt val="0"/>
        <c:auto val="1"/>
        <c:lblAlgn val="ctr"/>
        <c:lblOffset val="100"/>
        <c:noMultiLvlLbl val="0"/>
      </c:catAx>
      <c:valAx>
        <c:axId val="55009958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0980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866907261592302"/>
          <c:y val="1.8545858850976964E-2"/>
          <c:w val="0.7750839895013123"/>
          <c:h val="0.11410505978419365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Charts_Support!$A$105</c:f>
              <c:strCache>
                <c:ptCount val="1"/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Charts_Support!$M$104:$AE$104</c:f>
              <c:numCache>
                <c:formatCode>\$\ #,##0.0_);\(\$\ #,##0.0\)</c:formatCode>
                <c:ptCount val="19"/>
              </c:numCache>
            </c:numRef>
          </c:cat>
          <c:val>
            <c:numRef>
              <c:f>Charts_Support!$M$105:$AE$105</c:f>
              <c:numCache>
                <c:formatCode>\$\ #,##0.0_);\(\$\ #,##0.0\)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E-494C-BC15-F487DEC1FCFF}"/>
            </c:ext>
          </c:extLst>
        </c:ser>
        <c:ser>
          <c:idx val="1"/>
          <c:order val="1"/>
          <c:tx>
            <c:strRef>
              <c:f>Charts_Support!$A$106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Charts_Support!$M$104:$AE$104</c:f>
              <c:numCache>
                <c:formatCode>\$\ #,##0.0_);\(\$\ #,##0.0\)</c:formatCode>
                <c:ptCount val="19"/>
              </c:numCache>
            </c:numRef>
          </c:cat>
          <c:val>
            <c:numRef>
              <c:f>Charts_Support!$M$106:$AE$106</c:f>
              <c:numCache>
                <c:formatCode>\$\ #,##0.0_);\(\$\ #,##0.0\)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E-494C-BC15-F487DEC1FCFF}"/>
            </c:ext>
          </c:extLst>
        </c:ser>
        <c:ser>
          <c:idx val="2"/>
          <c:order val="2"/>
          <c:tx>
            <c:strRef>
              <c:f>Charts_Support!$A$107</c:f>
              <c:strCache>
                <c:ptCount val="1"/>
              </c:strCache>
            </c:strRef>
          </c:tx>
          <c:marker>
            <c:symbol val="none"/>
          </c:marker>
          <c:cat>
            <c:numRef>
              <c:f>Charts_Support!$M$104:$AE$104</c:f>
              <c:numCache>
                <c:formatCode>\$\ #,##0.0_);\(\$\ #,##0.0\)</c:formatCode>
                <c:ptCount val="19"/>
              </c:numCache>
            </c:numRef>
          </c:cat>
          <c:val>
            <c:numRef>
              <c:f>Charts_Support!$M$107:$AE$107</c:f>
              <c:numCache>
                <c:formatCode>\$\ #,##0.0_);\(\$\ #,##0.0\)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AE-494C-BC15-F487DEC1F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89568"/>
        <c:axId val="550591104"/>
      </c:lineChart>
      <c:catAx>
        <c:axId val="550589568"/>
        <c:scaling>
          <c:orientation val="minMax"/>
        </c:scaling>
        <c:delete val="0"/>
        <c:axPos val="b"/>
        <c:numFmt formatCode="\$\ #,##0.0_);\(\$\ #,##0.0\)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591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0591104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5895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2532764158317934"/>
          <c:y val="1.8101739334953581E-2"/>
          <c:w val="0.2675446305889464"/>
          <c:h val="0.1992136313237089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0.12351186477116984"/>
          <c:w val="0.86111253535168564"/>
          <c:h val="0.68957494647640039"/>
        </c:manualLayout>
      </c:layout>
      <c:barChart>
        <c:barDir val="col"/>
        <c:grouping val="stacked"/>
        <c:varyColors val="0"/>
        <c:ser>
          <c:idx val="2"/>
          <c:order val="0"/>
          <c:tx>
            <c:v>Corporate</c:v>
          </c:tx>
          <c:spPr>
            <a:solidFill>
              <a:srgbClr val="0070C0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Charts_Support!$B$16:$AE$16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639</c:v>
                </c:pt>
                <c:pt idx="6">
                  <c:v>745</c:v>
                </c:pt>
                <c:pt idx="7">
                  <c:v>831</c:v>
                </c:pt>
                <c:pt idx="8">
                  <c:v>836</c:v>
                </c:pt>
                <c:pt idx="9">
                  <c:v>873</c:v>
                </c:pt>
                <c:pt idx="10">
                  <c:v>905</c:v>
                </c:pt>
                <c:pt idx="11">
                  <c:v>953</c:v>
                </c:pt>
                <c:pt idx="12">
                  <c:v>1128</c:v>
                </c:pt>
                <c:pt idx="13">
                  <c:v>1532</c:v>
                </c:pt>
                <c:pt idx="14">
                  <c:v>1594</c:v>
                </c:pt>
                <c:pt idx="15">
                  <c:v>1698</c:v>
                </c:pt>
                <c:pt idx="16">
                  <c:v>1813</c:v>
                </c:pt>
                <c:pt idx="17">
                  <c:v>1917</c:v>
                </c:pt>
                <c:pt idx="18">
                  <c:v>1916</c:v>
                </c:pt>
                <c:pt idx="19">
                  <c:v>1821</c:v>
                </c:pt>
                <c:pt idx="20">
                  <c:v>1789</c:v>
                </c:pt>
                <c:pt idx="21">
                  <c:v>1833</c:v>
                </c:pt>
                <c:pt idx="22">
                  <c:v>1851</c:v>
                </c:pt>
                <c:pt idx="23">
                  <c:v>1900</c:v>
                </c:pt>
                <c:pt idx="24">
                  <c:v>1951</c:v>
                </c:pt>
                <c:pt idx="25">
                  <c:v>1993</c:v>
                </c:pt>
                <c:pt idx="26">
                  <c:v>2028</c:v>
                </c:pt>
                <c:pt idx="27">
                  <c:v>2063</c:v>
                </c:pt>
                <c:pt idx="28">
                  <c:v>2098</c:v>
                </c:pt>
                <c:pt idx="29">
                  <c:v>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F-4361-90F2-3D211F6677C2}"/>
            </c:ext>
          </c:extLst>
        </c:ser>
        <c:ser>
          <c:idx val="3"/>
          <c:order val="1"/>
          <c:tx>
            <c:v>Franchised</c:v>
          </c:tx>
          <c:spPr>
            <a:solidFill>
              <a:schemeClr val="accent2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Charts_Support!$B$21:$AE$21</c:f>
              <c:numCache>
                <c:formatCode>#,##0_);\(#,##0\)</c:formatCode>
                <c:ptCount val="30"/>
                <c:pt idx="0">
                  <c:v>142</c:v>
                </c:pt>
                <c:pt idx="1">
                  <c:v>153</c:v>
                </c:pt>
                <c:pt idx="2">
                  <c:v>168</c:v>
                </c:pt>
                <c:pt idx="3">
                  <c:v>172</c:v>
                </c:pt>
                <c:pt idx="4">
                  <c:v>142</c:v>
                </c:pt>
                <c:pt idx="5">
                  <c:v>151</c:v>
                </c:pt>
                <c:pt idx="6">
                  <c:v>154</c:v>
                </c:pt>
                <c:pt idx="7">
                  <c:v>159</c:v>
                </c:pt>
                <c:pt idx="8">
                  <c:v>165</c:v>
                </c:pt>
                <c:pt idx="9">
                  <c:v>164</c:v>
                </c:pt>
                <c:pt idx="10">
                  <c:v>170</c:v>
                </c:pt>
                <c:pt idx="11">
                  <c:v>233</c:v>
                </c:pt>
                <c:pt idx="12">
                  <c:v>447</c:v>
                </c:pt>
                <c:pt idx="13">
                  <c:v>467</c:v>
                </c:pt>
                <c:pt idx="14">
                  <c:v>498</c:v>
                </c:pt>
                <c:pt idx="15">
                  <c:v>517</c:v>
                </c:pt>
                <c:pt idx="16">
                  <c:v>533</c:v>
                </c:pt>
                <c:pt idx="17">
                  <c:v>550</c:v>
                </c:pt>
                <c:pt idx="18">
                  <c:v>356</c:v>
                </c:pt>
                <c:pt idx="19">
                  <c:v>363</c:v>
                </c:pt>
                <c:pt idx="20">
                  <c:v>385</c:v>
                </c:pt>
                <c:pt idx="21">
                  <c:v>415</c:v>
                </c:pt>
                <c:pt idx="22">
                  <c:v>462</c:v>
                </c:pt>
                <c:pt idx="23">
                  <c:v>488</c:v>
                </c:pt>
                <c:pt idx="24">
                  <c:v>520</c:v>
                </c:pt>
                <c:pt idx="25">
                  <c:v>548</c:v>
                </c:pt>
                <c:pt idx="26">
                  <c:v>572</c:v>
                </c:pt>
                <c:pt idx="27">
                  <c:v>596</c:v>
                </c:pt>
                <c:pt idx="28">
                  <c:v>620</c:v>
                </c:pt>
                <c:pt idx="29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F-4361-90F2-3D211F667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612992"/>
        <c:axId val="550614528"/>
      </c:barChart>
      <c:catAx>
        <c:axId val="55061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614528"/>
        <c:crosses val="autoZero"/>
        <c:auto val="1"/>
        <c:lblAlgn val="ctr"/>
        <c:lblOffset val="100"/>
        <c:noMultiLvlLbl val="0"/>
      </c:catAx>
      <c:valAx>
        <c:axId val="5506145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612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3214049646231708"/>
          <c:y val="2.1149301729775239E-2"/>
          <c:w val="0.2426530910398616"/>
          <c:h val="0.14518974176655558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0.12351186477116984"/>
          <c:w val="0.86111253535168564"/>
          <c:h val="0.68957494647640039"/>
        </c:manualLayout>
      </c:layout>
      <c:barChart>
        <c:barDir val="col"/>
        <c:grouping val="stacked"/>
        <c:varyColors val="0"/>
        <c:ser>
          <c:idx val="2"/>
          <c:order val="0"/>
          <c:tx>
            <c:v>Corporate</c:v>
          </c:tx>
          <c:spPr>
            <a:solidFill>
              <a:srgbClr val="0070C0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Charts_Support!$B$17:$AE$17</c:f>
              <c:numCache>
                <c:formatCode>#,##0_);\(#,##0\)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61</c:v>
                </c:pt>
                <c:pt idx="7">
                  <c:v>98</c:v>
                </c:pt>
                <c:pt idx="8">
                  <c:v>116</c:v>
                </c:pt>
                <c:pt idx="9">
                  <c:v>138</c:v>
                </c:pt>
                <c:pt idx="10">
                  <c:v>172</c:v>
                </c:pt>
                <c:pt idx="11">
                  <c:v>208</c:v>
                </c:pt>
                <c:pt idx="12">
                  <c:v>283</c:v>
                </c:pt>
                <c:pt idx="13">
                  <c:v>327</c:v>
                </c:pt>
                <c:pt idx="14">
                  <c:v>376</c:v>
                </c:pt>
                <c:pt idx="15">
                  <c:v>460</c:v>
                </c:pt>
                <c:pt idx="16">
                  <c:v>522</c:v>
                </c:pt>
                <c:pt idx="17">
                  <c:v>610</c:v>
                </c:pt>
                <c:pt idx="18">
                  <c:v>615</c:v>
                </c:pt>
                <c:pt idx="19">
                  <c:v>601</c:v>
                </c:pt>
                <c:pt idx="20">
                  <c:v>622</c:v>
                </c:pt>
                <c:pt idx="21">
                  <c:v>675</c:v>
                </c:pt>
                <c:pt idx="22">
                  <c:v>725</c:v>
                </c:pt>
                <c:pt idx="23">
                  <c:v>750</c:v>
                </c:pt>
                <c:pt idx="24">
                  <c:v>765</c:v>
                </c:pt>
                <c:pt idx="25">
                  <c:v>775</c:v>
                </c:pt>
                <c:pt idx="26">
                  <c:v>786</c:v>
                </c:pt>
                <c:pt idx="27">
                  <c:v>797</c:v>
                </c:pt>
                <c:pt idx="28">
                  <c:v>808</c:v>
                </c:pt>
                <c:pt idx="29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4-4B42-8AEA-C6C0D408D3F3}"/>
            </c:ext>
          </c:extLst>
        </c:ser>
        <c:ser>
          <c:idx val="3"/>
          <c:order val="1"/>
          <c:tx>
            <c:v>Franchised</c:v>
          </c:tx>
          <c:spPr>
            <a:solidFill>
              <a:schemeClr val="accent2"/>
            </a:solidFill>
            <a:ln w="25400">
              <a:noFill/>
            </a:ln>
          </c:spPr>
          <c:invertIfNegative val="0"/>
          <c:cat>
            <c:numRef>
              <c:f>Charts_Support!$B$11:$AE$11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Charts_Support!$B$22:$AE$22</c:f>
              <c:numCache>
                <c:formatCode>#,##0_);\(#,##0\)</c:formatCode>
                <c:ptCount val="30"/>
                <c:pt idx="0">
                  <c:v>12</c:v>
                </c:pt>
                <c:pt idx="1">
                  <c:v>23</c:v>
                </c:pt>
                <c:pt idx="2">
                  <c:v>29</c:v>
                </c:pt>
                <c:pt idx="3">
                  <c:v>29</c:v>
                </c:pt>
                <c:pt idx="4">
                  <c:v>27</c:v>
                </c:pt>
                <c:pt idx="5">
                  <c:v>25</c:v>
                </c:pt>
                <c:pt idx="6">
                  <c:v>29</c:v>
                </c:pt>
                <c:pt idx="7">
                  <c:v>47</c:v>
                </c:pt>
                <c:pt idx="8">
                  <c:v>54</c:v>
                </c:pt>
                <c:pt idx="9">
                  <c:v>31</c:v>
                </c:pt>
                <c:pt idx="10">
                  <c:v>36</c:v>
                </c:pt>
                <c:pt idx="11">
                  <c:v>41</c:v>
                </c:pt>
                <c:pt idx="12">
                  <c:v>4</c:v>
                </c:pt>
                <c:pt idx="13">
                  <c:v>16</c:v>
                </c:pt>
                <c:pt idx="14">
                  <c:v>19</c:v>
                </c:pt>
                <c:pt idx="15">
                  <c:v>21</c:v>
                </c:pt>
                <c:pt idx="16">
                  <c:v>21</c:v>
                </c:pt>
                <c:pt idx="17">
                  <c:v>18</c:v>
                </c:pt>
                <c:pt idx="18">
                  <c:v>25</c:v>
                </c:pt>
                <c:pt idx="19">
                  <c:v>32</c:v>
                </c:pt>
                <c:pt idx="20">
                  <c:v>42</c:v>
                </c:pt>
                <c:pt idx="21">
                  <c:v>48</c:v>
                </c:pt>
                <c:pt idx="22">
                  <c:v>50</c:v>
                </c:pt>
                <c:pt idx="23">
                  <c:v>49</c:v>
                </c:pt>
                <c:pt idx="24">
                  <c:v>58</c:v>
                </c:pt>
                <c:pt idx="25">
                  <c:v>66</c:v>
                </c:pt>
                <c:pt idx="26">
                  <c:v>74</c:v>
                </c:pt>
                <c:pt idx="27">
                  <c:v>79</c:v>
                </c:pt>
                <c:pt idx="28">
                  <c:v>84</c:v>
                </c:pt>
                <c:pt idx="2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4-4B42-8AEA-C6C0D408D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632064"/>
        <c:axId val="550900096"/>
      </c:barChart>
      <c:catAx>
        <c:axId val="5506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900096"/>
        <c:crosses val="autoZero"/>
        <c:auto val="1"/>
        <c:lblAlgn val="ctr"/>
        <c:lblOffset val="100"/>
        <c:noMultiLvlLbl val="0"/>
      </c:catAx>
      <c:valAx>
        <c:axId val="5509000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632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3214049646231708"/>
          <c:y val="2.1149301729775239E-2"/>
          <c:w val="0.22035022785149008"/>
          <c:h val="0.1655988774365672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0169891554252E-2"/>
          <c:y val="0.12351186477116984"/>
          <c:w val="0.86111253535168564"/>
          <c:h val="0.68957494647640039"/>
        </c:manualLayout>
      </c:layout>
      <c:barChart>
        <c:barDir val="col"/>
        <c:grouping val="stacked"/>
        <c:varyColors val="0"/>
        <c:ser>
          <c:idx val="2"/>
          <c:order val="0"/>
          <c:tx>
            <c:v>Corporate</c:v>
          </c:tx>
          <c:spPr>
            <a:solidFill>
              <a:srgbClr val="0070C0"/>
            </a:solidFill>
            <a:ln w="25400">
              <a:noFill/>
            </a:ln>
          </c:spPr>
          <c:invertIfNegative val="0"/>
          <c:cat>
            <c:numRef>
              <c:f>Charts_Support!$O$11:$AE$11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Charts_Support!$O$18:$AE$18</c:f>
              <c:numCache>
                <c:formatCode>#,##0_);\(#,##0\)</c:formatCode>
                <c:ptCount val="17"/>
                <c:pt idx="0">
                  <c:v>302</c:v>
                </c:pt>
                <c:pt idx="1">
                  <c:v>313</c:v>
                </c:pt>
                <c:pt idx="2">
                  <c:v>344</c:v>
                </c:pt>
                <c:pt idx="3">
                  <c:v>381</c:v>
                </c:pt>
                <c:pt idx="4">
                  <c:v>420</c:v>
                </c:pt>
                <c:pt idx="5">
                  <c:v>888</c:v>
                </c:pt>
                <c:pt idx="6">
                  <c:v>862</c:v>
                </c:pt>
                <c:pt idx="7">
                  <c:v>878</c:v>
                </c:pt>
                <c:pt idx="8">
                  <c:v>928</c:v>
                </c:pt>
                <c:pt idx="9">
                  <c:v>976</c:v>
                </c:pt>
                <c:pt idx="10">
                  <c:v>1007</c:v>
                </c:pt>
                <c:pt idx="11">
                  <c:v>1029</c:v>
                </c:pt>
                <c:pt idx="12">
                  <c:v>1046</c:v>
                </c:pt>
                <c:pt idx="13">
                  <c:v>1061</c:v>
                </c:pt>
                <c:pt idx="14">
                  <c:v>1076</c:v>
                </c:pt>
                <c:pt idx="15">
                  <c:v>1091</c:v>
                </c:pt>
                <c:pt idx="16">
                  <c:v>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E-48C8-85B9-0984A938DB26}"/>
            </c:ext>
          </c:extLst>
        </c:ser>
        <c:ser>
          <c:idx val="3"/>
          <c:order val="1"/>
          <c:tx>
            <c:v>Franchised</c:v>
          </c:tx>
          <c:spPr>
            <a:solidFill>
              <a:schemeClr val="accent2"/>
            </a:solidFill>
            <a:ln w="25400">
              <a:noFill/>
            </a:ln>
          </c:spPr>
          <c:invertIfNegative val="0"/>
          <c:cat>
            <c:numRef>
              <c:f>Charts_Support!$O$11:$AE$11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Charts_Support!$O$23:$AE$23</c:f>
              <c:numCache>
                <c:formatCode>#,##0_);\(#,##0\)</c:formatCode>
                <c:ptCount val="17"/>
                <c:pt idx="0">
                  <c:v>140</c:v>
                </c:pt>
                <c:pt idx="1">
                  <c:v>154</c:v>
                </c:pt>
                <c:pt idx="2">
                  <c:v>155</c:v>
                </c:pt>
                <c:pt idx="3">
                  <c:v>168</c:v>
                </c:pt>
                <c:pt idx="4">
                  <c:v>173</c:v>
                </c:pt>
                <c:pt idx="5">
                  <c:v>510</c:v>
                </c:pt>
                <c:pt idx="6">
                  <c:v>514</c:v>
                </c:pt>
                <c:pt idx="7">
                  <c:v>546</c:v>
                </c:pt>
                <c:pt idx="8">
                  <c:v>548</c:v>
                </c:pt>
                <c:pt idx="9">
                  <c:v>558</c:v>
                </c:pt>
                <c:pt idx="10">
                  <c:v>591</c:v>
                </c:pt>
                <c:pt idx="11">
                  <c:v>605</c:v>
                </c:pt>
                <c:pt idx="12">
                  <c:v>616</c:v>
                </c:pt>
                <c:pt idx="13">
                  <c:v>625</c:v>
                </c:pt>
                <c:pt idx="14">
                  <c:v>634</c:v>
                </c:pt>
                <c:pt idx="15">
                  <c:v>643</c:v>
                </c:pt>
                <c:pt idx="16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E-48C8-85B9-0984A938D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925824"/>
        <c:axId val="550927360"/>
      </c:barChart>
      <c:catAx>
        <c:axId val="55092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927360"/>
        <c:crosses val="autoZero"/>
        <c:auto val="1"/>
        <c:lblAlgn val="ctr"/>
        <c:lblOffset val="100"/>
        <c:noMultiLvlLbl val="0"/>
      </c:catAx>
      <c:valAx>
        <c:axId val="55092736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925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3214049646231708"/>
          <c:y val="2.1149301729775239E-2"/>
          <c:w val="0.19445551543161416"/>
          <c:h val="0.1558287598412778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80796150481189"/>
          <c:y val="5.1400554097404488E-2"/>
          <c:w val="0.82451115485564308"/>
          <c:h val="0.772434383202099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Charts_Support!$A$15</c:f>
              <c:strCache>
                <c:ptCount val="1"/>
                <c:pt idx="0">
                  <c:v>Corportate Stores (EOP)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Charts_Support!$B$15:$AE$15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Charts_Support!$B$16:$AE$16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639</c:v>
                </c:pt>
                <c:pt idx="6">
                  <c:v>745</c:v>
                </c:pt>
                <c:pt idx="7">
                  <c:v>831</c:v>
                </c:pt>
                <c:pt idx="8">
                  <c:v>836</c:v>
                </c:pt>
                <c:pt idx="9">
                  <c:v>873</c:v>
                </c:pt>
                <c:pt idx="10">
                  <c:v>905</c:v>
                </c:pt>
                <c:pt idx="11">
                  <c:v>953</c:v>
                </c:pt>
                <c:pt idx="12">
                  <c:v>1128</c:v>
                </c:pt>
                <c:pt idx="13">
                  <c:v>1532</c:v>
                </c:pt>
                <c:pt idx="14">
                  <c:v>1594</c:v>
                </c:pt>
                <c:pt idx="15">
                  <c:v>1698</c:v>
                </c:pt>
                <c:pt idx="16">
                  <c:v>1813</c:v>
                </c:pt>
                <c:pt idx="17">
                  <c:v>1917</c:v>
                </c:pt>
                <c:pt idx="18">
                  <c:v>1916</c:v>
                </c:pt>
                <c:pt idx="19">
                  <c:v>1821</c:v>
                </c:pt>
                <c:pt idx="20">
                  <c:v>1789</c:v>
                </c:pt>
                <c:pt idx="21">
                  <c:v>1833</c:v>
                </c:pt>
                <c:pt idx="22">
                  <c:v>1851</c:v>
                </c:pt>
                <c:pt idx="23">
                  <c:v>1900</c:v>
                </c:pt>
                <c:pt idx="24">
                  <c:v>1951</c:v>
                </c:pt>
                <c:pt idx="25">
                  <c:v>1993</c:v>
                </c:pt>
                <c:pt idx="26">
                  <c:v>2028</c:v>
                </c:pt>
                <c:pt idx="27">
                  <c:v>2063</c:v>
                </c:pt>
                <c:pt idx="28">
                  <c:v>2098</c:v>
                </c:pt>
                <c:pt idx="29">
                  <c:v>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4-4302-A424-8F4154E15EF3}"/>
            </c:ext>
          </c:extLst>
        </c:ser>
        <c:ser>
          <c:idx val="1"/>
          <c:order val="1"/>
          <c:tx>
            <c:strRef>
              <c:f>Charts_Support!$A$20</c:f>
              <c:strCache>
                <c:ptCount val="1"/>
                <c:pt idx="0">
                  <c:v>Franchised Stores (EOP)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cat>
            <c:numRef>
              <c:f>Charts_Support!$B$15:$AE$15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Charts_Support!$B$21:$AE$21</c:f>
              <c:numCache>
                <c:formatCode>#,##0_);\(#,##0\)</c:formatCode>
                <c:ptCount val="30"/>
                <c:pt idx="0">
                  <c:v>142</c:v>
                </c:pt>
                <c:pt idx="1">
                  <c:v>153</c:v>
                </c:pt>
                <c:pt idx="2">
                  <c:v>168</c:v>
                </c:pt>
                <c:pt idx="3">
                  <c:v>172</c:v>
                </c:pt>
                <c:pt idx="4">
                  <c:v>142</c:v>
                </c:pt>
                <c:pt idx="5">
                  <c:v>151</c:v>
                </c:pt>
                <c:pt idx="6">
                  <c:v>154</c:v>
                </c:pt>
                <c:pt idx="7">
                  <c:v>159</c:v>
                </c:pt>
                <c:pt idx="8">
                  <c:v>165</c:v>
                </c:pt>
                <c:pt idx="9">
                  <c:v>164</c:v>
                </c:pt>
                <c:pt idx="10">
                  <c:v>170</c:v>
                </c:pt>
                <c:pt idx="11">
                  <c:v>233</c:v>
                </c:pt>
                <c:pt idx="12">
                  <c:v>447</c:v>
                </c:pt>
                <c:pt idx="13">
                  <c:v>467</c:v>
                </c:pt>
                <c:pt idx="14">
                  <c:v>498</c:v>
                </c:pt>
                <c:pt idx="15">
                  <c:v>517</c:v>
                </c:pt>
                <c:pt idx="16">
                  <c:v>533</c:v>
                </c:pt>
                <c:pt idx="17">
                  <c:v>550</c:v>
                </c:pt>
                <c:pt idx="18">
                  <c:v>356</c:v>
                </c:pt>
                <c:pt idx="19">
                  <c:v>363</c:v>
                </c:pt>
                <c:pt idx="20">
                  <c:v>385</c:v>
                </c:pt>
                <c:pt idx="21">
                  <c:v>415</c:v>
                </c:pt>
                <c:pt idx="22">
                  <c:v>462</c:v>
                </c:pt>
                <c:pt idx="23">
                  <c:v>488</c:v>
                </c:pt>
                <c:pt idx="24">
                  <c:v>520</c:v>
                </c:pt>
                <c:pt idx="25">
                  <c:v>548</c:v>
                </c:pt>
                <c:pt idx="26">
                  <c:v>572</c:v>
                </c:pt>
                <c:pt idx="27">
                  <c:v>596</c:v>
                </c:pt>
                <c:pt idx="28">
                  <c:v>620</c:v>
                </c:pt>
                <c:pt idx="29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4-4302-A424-8F4154E15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550955648"/>
        <c:axId val="550965632"/>
      </c:barChart>
      <c:lineChart>
        <c:grouping val="standard"/>
        <c:varyColors val="0"/>
        <c:ser>
          <c:idx val="2"/>
          <c:order val="2"/>
          <c:tx>
            <c:strRef>
              <c:f>Charts_Support!$A$45</c:f>
              <c:strCache>
                <c:ptCount val="1"/>
                <c:pt idx="0">
                  <c:v>Sales Per Store (Mex$ mn)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Charts_Support!$B$46:$AE$46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#,##0_);\(#,##0\)">
                  <c:v>7.0002290950744568</c:v>
                </c:pt>
                <c:pt idx="10" formatCode="#,##0_);\(#,##0\)">
                  <c:v>7.6131701657458564</c:v>
                </c:pt>
                <c:pt idx="11" formatCode="#,##0_);\(#,##0\)">
                  <c:v>8.9584669464847835</c:v>
                </c:pt>
                <c:pt idx="12" formatCode="#,##0_);\(#,##0\)">
                  <c:v>8.9112074468085112</c:v>
                </c:pt>
                <c:pt idx="13" formatCode="#,##0_);\(#,##0\)">
                  <c:v>9.8949027415143611</c:v>
                </c:pt>
                <c:pt idx="14" formatCode="#,##0_);\(#,##0\)">
                  <c:v>8.0820922208281054</c:v>
                </c:pt>
                <c:pt idx="15" formatCode="#,##0_);\(#,##0\)">
                  <c:v>8.2098127208480562</c:v>
                </c:pt>
                <c:pt idx="16" formatCode="#,##0_);\(#,##0\)">
                  <c:v>8.7364655267512408</c:v>
                </c:pt>
                <c:pt idx="17" formatCode="#,##0_);\(#,##0\)">
                  <c:v>12.428149713093374</c:v>
                </c:pt>
                <c:pt idx="18" formatCode="#,##0_);\(#,##0\)">
                  <c:v>13.615288622129434</c:v>
                </c:pt>
                <c:pt idx="19" formatCode="#,##0_);\(#,##0\)">
                  <c:v>10.041501372872048</c:v>
                </c:pt>
                <c:pt idx="20" formatCode="#,##0_);\(#,##0\)">
                  <c:v>14.185298490776971</c:v>
                </c:pt>
                <c:pt idx="21" formatCode="#,##0_);\(#,##0\)">
                  <c:v>17.879829241680305</c:v>
                </c:pt>
                <c:pt idx="22" formatCode="#,##0_);\(#,##0\)">
                  <c:v>20.264267963263102</c:v>
                </c:pt>
                <c:pt idx="23" formatCode="#,##0_);\(#,##0\)">
                  <c:v>21.506897585490705</c:v>
                </c:pt>
                <c:pt idx="24" formatCode="#,##0_);\(#,##0\)">
                  <c:v>22.11526459618462</c:v>
                </c:pt>
                <c:pt idx="25" formatCode="#,##0_);\(#,##0\)">
                  <c:v>22.898670907243105</c:v>
                </c:pt>
                <c:pt idx="26" formatCode="#,##0_);\(#,##0\)">
                  <c:v>23.722831645448004</c:v>
                </c:pt>
                <c:pt idx="27" formatCode="#,##0_);\(#,##0\)">
                  <c:v>24.305225672167232</c:v>
                </c:pt>
                <c:pt idx="28" formatCode="#,##0_);\(#,##0\)">
                  <c:v>24.903219248216953</c:v>
                </c:pt>
                <c:pt idx="29" formatCode="#,##0_);\(#,##0\)">
                  <c:v>25.566886946723688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84-4302-A424-8F4154E15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968704"/>
        <c:axId val="550967168"/>
      </c:lineChart>
      <c:catAx>
        <c:axId val="5509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0965632"/>
        <c:crosses val="autoZero"/>
        <c:auto val="1"/>
        <c:lblAlgn val="ctr"/>
        <c:lblOffset val="100"/>
        <c:noMultiLvlLbl val="0"/>
      </c:catAx>
      <c:valAx>
        <c:axId val="550965632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0955648"/>
        <c:crosses val="autoZero"/>
        <c:crossBetween val="between"/>
      </c:valAx>
      <c:valAx>
        <c:axId val="550967168"/>
        <c:scaling>
          <c:orientation val="minMax"/>
          <c:min val="6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0968704"/>
        <c:crosses val="max"/>
        <c:crossBetween val="between"/>
      </c:valAx>
      <c:catAx>
        <c:axId val="55096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55096716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18223622047244095"/>
          <c:y val="2.7393919510061242E-2"/>
          <c:w val="0.47261524576055952"/>
          <c:h val="0.1791535433070866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74628171478563E-2"/>
          <c:y val="5.1400554097404488E-2"/>
          <c:w val="0.83284448818897638"/>
          <c:h val="0.77243438320209978"/>
        </c:manualLayout>
      </c:layout>
      <c:areaChart>
        <c:grouping val="stacked"/>
        <c:varyColors val="0"/>
        <c:ser>
          <c:idx val="0"/>
          <c:order val="0"/>
          <c:tx>
            <c:v>Corportate Stores (EOP)</c:v>
          </c:tx>
          <c:spPr>
            <a:solidFill>
              <a:schemeClr val="bg1">
                <a:lumMod val="65000"/>
              </a:schemeClr>
            </a:solidFill>
          </c:spPr>
          <c:cat>
            <c:numLit>
              <c:formatCode>General</c:formatCode>
              <c:ptCount val="17"/>
              <c:pt idx="0">
                <c:v>2009</c:v>
              </c:pt>
              <c:pt idx="1">
                <c:v>2010</c:v>
              </c:pt>
              <c:pt idx="2">
                <c:v>2011</c:v>
              </c:pt>
              <c:pt idx="3">
                <c:v>2012</c:v>
              </c:pt>
              <c:pt idx="4">
                <c:v>2013</c:v>
              </c:pt>
              <c:pt idx="5">
                <c:v>2014</c:v>
              </c:pt>
              <c:pt idx="6">
                <c:v>2015</c:v>
              </c:pt>
              <c:pt idx="7">
                <c:v>2016</c:v>
              </c:pt>
              <c:pt idx="8">
                <c:v>2017</c:v>
              </c:pt>
              <c:pt idx="9">
                <c:v>2018</c:v>
              </c:pt>
              <c:pt idx="10">
                <c:v>2019</c:v>
              </c:pt>
              <c:pt idx="11">
                <c:v>2020</c:v>
              </c:pt>
              <c:pt idx="12">
                <c:v>2021</c:v>
              </c:pt>
              <c:pt idx="13">
                <c:v>2022</c:v>
              </c:pt>
              <c:pt idx="14">
                <c:v>2023</c:v>
              </c:pt>
              <c:pt idx="15">
                <c:v>2024</c:v>
              </c:pt>
              <c:pt idx="16">
                <c:v>2025</c:v>
              </c:pt>
            </c:numLit>
          </c:cat>
          <c:val>
            <c:numLit>
              <c:formatCode>General</c:formatCode>
              <c:ptCount val="17"/>
              <c:pt idx="0">
                <c:v>116</c:v>
              </c:pt>
              <c:pt idx="1">
                <c:v>138</c:v>
              </c:pt>
              <c:pt idx="2">
                <c:v>172</c:v>
              </c:pt>
              <c:pt idx="3">
                <c:v>208</c:v>
              </c:pt>
              <c:pt idx="4">
                <c:v>283</c:v>
              </c:pt>
              <c:pt idx="5">
                <c:v>327</c:v>
              </c:pt>
              <c:pt idx="6">
                <c:v>376</c:v>
              </c:pt>
              <c:pt idx="7">
                <c:v>460</c:v>
              </c:pt>
              <c:pt idx="8">
                <c:v>522</c:v>
              </c:pt>
              <c:pt idx="9">
                <c:v>602</c:v>
              </c:pt>
              <c:pt idx="10">
                <c:v>662</c:v>
              </c:pt>
              <c:pt idx="11">
                <c:v>722</c:v>
              </c:pt>
              <c:pt idx="12">
                <c:v>782</c:v>
              </c:pt>
              <c:pt idx="13">
                <c:v>842</c:v>
              </c:pt>
              <c:pt idx="14">
                <c:v>902</c:v>
              </c:pt>
              <c:pt idx="15">
                <c:v>945</c:v>
              </c:pt>
              <c:pt idx="16">
                <c:v>976</c:v>
              </c:pt>
            </c:numLit>
          </c:val>
          <c:extLst>
            <c:ext xmlns:c16="http://schemas.microsoft.com/office/drawing/2014/chart" uri="{C3380CC4-5D6E-409C-BE32-E72D297353CC}">
              <c16:uniqueId val="{00000000-D452-450E-B0BC-656E693A2592}"/>
            </c:ext>
          </c:extLst>
        </c:ser>
        <c:ser>
          <c:idx val="1"/>
          <c:order val="1"/>
          <c:tx>
            <c:v>Franchised Stores (EOP)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Lit>
              <c:formatCode>General</c:formatCode>
              <c:ptCount val="17"/>
              <c:pt idx="0">
                <c:v>2009</c:v>
              </c:pt>
              <c:pt idx="1">
                <c:v>2010</c:v>
              </c:pt>
              <c:pt idx="2">
                <c:v>2011</c:v>
              </c:pt>
              <c:pt idx="3">
                <c:v>2012</c:v>
              </c:pt>
              <c:pt idx="4">
                <c:v>2013</c:v>
              </c:pt>
              <c:pt idx="5">
                <c:v>2014</c:v>
              </c:pt>
              <c:pt idx="6">
                <c:v>2015</c:v>
              </c:pt>
              <c:pt idx="7">
                <c:v>2016</c:v>
              </c:pt>
              <c:pt idx="8">
                <c:v>2017</c:v>
              </c:pt>
              <c:pt idx="9">
                <c:v>2018</c:v>
              </c:pt>
              <c:pt idx="10">
                <c:v>2019</c:v>
              </c:pt>
              <c:pt idx="11">
                <c:v>2020</c:v>
              </c:pt>
              <c:pt idx="12">
                <c:v>2021</c:v>
              </c:pt>
              <c:pt idx="13">
                <c:v>2022</c:v>
              </c:pt>
              <c:pt idx="14">
                <c:v>2023</c:v>
              </c:pt>
              <c:pt idx="15">
                <c:v>2024</c:v>
              </c:pt>
              <c:pt idx="16">
                <c:v>2025</c:v>
              </c:pt>
            </c:numLit>
          </c:cat>
          <c:val>
            <c:numLit>
              <c:formatCode>General</c:formatCode>
              <c:ptCount val="17"/>
              <c:pt idx="0">
                <c:v>54</c:v>
              </c:pt>
              <c:pt idx="1">
                <c:v>31</c:v>
              </c:pt>
              <c:pt idx="2">
                <c:v>36</c:v>
              </c:pt>
              <c:pt idx="3">
                <c:v>41</c:v>
              </c:pt>
              <c:pt idx="4">
                <c:v>4</c:v>
              </c:pt>
              <c:pt idx="5">
                <c:v>16</c:v>
              </c:pt>
              <c:pt idx="6">
                <c:v>19</c:v>
              </c:pt>
              <c:pt idx="7">
                <c:v>21</c:v>
              </c:pt>
              <c:pt idx="8">
                <c:v>21</c:v>
              </c:pt>
              <c:pt idx="9">
                <c:v>21</c:v>
              </c:pt>
              <c:pt idx="10">
                <c:v>22</c:v>
              </c:pt>
              <c:pt idx="11">
                <c:v>23</c:v>
              </c:pt>
              <c:pt idx="12">
                <c:v>24</c:v>
              </c:pt>
              <c:pt idx="13">
                <c:v>25</c:v>
              </c:pt>
              <c:pt idx="14">
                <c:v>26</c:v>
              </c:pt>
              <c:pt idx="15">
                <c:v>27</c:v>
              </c:pt>
              <c:pt idx="16">
                <c:v>28</c:v>
              </c:pt>
            </c:numLit>
          </c:val>
          <c:extLst>
            <c:ext xmlns:c16="http://schemas.microsoft.com/office/drawing/2014/chart" uri="{C3380CC4-5D6E-409C-BE32-E72D297353CC}">
              <c16:uniqueId val="{00000001-D452-450E-B0BC-656E693A2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6592"/>
        <c:axId val="551008128"/>
      </c:areaChart>
      <c:lineChart>
        <c:grouping val="standard"/>
        <c:varyColors val="0"/>
        <c:ser>
          <c:idx val="2"/>
          <c:order val="2"/>
          <c:tx>
            <c:v>Sales Per Store (Mex$ mn)</c:v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val>
            <c:numLit>
              <c:formatCode>General</c:formatCode>
              <c:ptCount val="17"/>
              <c:pt idx="0">
                <c:v>#N/A</c:v>
              </c:pt>
              <c:pt idx="1">
                <c:v>12.911599710069305</c:v>
              </c:pt>
              <c:pt idx="2">
                <c:v>13.827911166266013</c:v>
              </c:pt>
              <c:pt idx="3">
                <c:v>16.268668544978865</c:v>
              </c:pt>
              <c:pt idx="4">
                <c:v>14.831914646240275</c:v>
              </c:pt>
              <c:pt idx="5">
                <c:v>14.114728690337516</c:v>
              </c:pt>
              <c:pt idx="6">
                <c:v>17.827631110956158</c:v>
              </c:pt>
              <c:pt idx="7">
                <c:v>17.625241036320851</c:v>
              </c:pt>
              <c:pt idx="8">
                <c:v>19.662802795865222</c:v>
              </c:pt>
              <c:pt idx="9">
                <c:v>16.149784601584017</c:v>
              </c:pt>
              <c:pt idx="10">
                <c:v>15.403120275829608</c:v>
              </c:pt>
              <c:pt idx="11">
                <c:v>16.882141941931309</c:v>
              </c:pt>
              <c:pt idx="12">
                <c:v>17.273347561419673</c:v>
              </c:pt>
              <c:pt idx="13">
                <c:v>17.536604949266021</c:v>
              </c:pt>
              <c:pt idx="14">
                <c:v>17.813517266982767</c:v>
              </c:pt>
              <c:pt idx="15">
                <c:v>18.300361924432615</c:v>
              </c:pt>
              <c:pt idx="16">
                <c:v>18.79909966577415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452-450E-B0BC-656E693A2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19648"/>
        <c:axId val="551009664"/>
      </c:lineChart>
      <c:catAx>
        <c:axId val="55100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008128"/>
        <c:crosses val="autoZero"/>
        <c:auto val="1"/>
        <c:lblAlgn val="ctr"/>
        <c:lblOffset val="100"/>
        <c:noMultiLvlLbl val="0"/>
      </c:catAx>
      <c:valAx>
        <c:axId val="551008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006592"/>
        <c:crosses val="autoZero"/>
        <c:crossBetween val="midCat"/>
      </c:valAx>
      <c:valAx>
        <c:axId val="55100966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019648"/>
        <c:crosses val="max"/>
        <c:crossBetween val="between"/>
      </c:valAx>
      <c:catAx>
        <c:axId val="551019648"/>
        <c:scaling>
          <c:orientation val="minMax"/>
        </c:scaling>
        <c:delete val="1"/>
        <c:axPos val="b"/>
        <c:majorTickMark val="out"/>
        <c:minorTickMark val="none"/>
        <c:tickLblPos val="nextTo"/>
        <c:crossAx val="55100966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21279177602799651"/>
          <c:y val="2.7393919510061242E-2"/>
          <c:w val="0.62091819772528434"/>
          <c:h val="0.1745239136774569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74628171478563E-2"/>
          <c:y val="4.214129483814523E-2"/>
          <c:w val="0.83284448818897638"/>
          <c:h val="0.781693642461358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Charts_Support!$A$15</c:f>
              <c:strCache>
                <c:ptCount val="1"/>
                <c:pt idx="0">
                  <c:v>Corportate Stores (EOP)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Charts_Support!$J$15:$AE$15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Charts_Support!$J$17:$AE$17</c:f>
              <c:numCache>
                <c:formatCode>#,##0_);\(#,##0\)</c:formatCode>
                <c:ptCount val="22"/>
                <c:pt idx="0">
                  <c:v>116</c:v>
                </c:pt>
                <c:pt idx="1">
                  <c:v>138</c:v>
                </c:pt>
                <c:pt idx="2">
                  <c:v>172</c:v>
                </c:pt>
                <c:pt idx="3">
                  <c:v>208</c:v>
                </c:pt>
                <c:pt idx="4">
                  <c:v>283</c:v>
                </c:pt>
                <c:pt idx="5">
                  <c:v>327</c:v>
                </c:pt>
                <c:pt idx="6">
                  <c:v>376</c:v>
                </c:pt>
                <c:pt idx="7">
                  <c:v>460</c:v>
                </c:pt>
                <c:pt idx="8">
                  <c:v>522</c:v>
                </c:pt>
                <c:pt idx="9">
                  <c:v>610</c:v>
                </c:pt>
                <c:pt idx="10">
                  <c:v>615</c:v>
                </c:pt>
                <c:pt idx="11">
                  <c:v>601</c:v>
                </c:pt>
                <c:pt idx="12">
                  <c:v>622</c:v>
                </c:pt>
                <c:pt idx="13">
                  <c:v>675</c:v>
                </c:pt>
                <c:pt idx="14">
                  <c:v>725</c:v>
                </c:pt>
                <c:pt idx="15">
                  <c:v>750</c:v>
                </c:pt>
                <c:pt idx="16">
                  <c:v>765</c:v>
                </c:pt>
                <c:pt idx="17">
                  <c:v>775</c:v>
                </c:pt>
                <c:pt idx="18">
                  <c:v>786</c:v>
                </c:pt>
                <c:pt idx="19">
                  <c:v>797</c:v>
                </c:pt>
                <c:pt idx="20">
                  <c:v>808</c:v>
                </c:pt>
                <c:pt idx="21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7A-469B-9B80-F1109584E535}"/>
            </c:ext>
          </c:extLst>
        </c:ser>
        <c:ser>
          <c:idx val="1"/>
          <c:order val="1"/>
          <c:tx>
            <c:strRef>
              <c:f>Charts_Support!$A$20</c:f>
              <c:strCache>
                <c:ptCount val="1"/>
                <c:pt idx="0">
                  <c:v>Franchised Stores (EOP)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cat>
            <c:numRef>
              <c:f>Charts_Support!$J$15:$AE$15</c:f>
              <c:numCache>
                <c:formatCode>General</c:formatCode>
                <c:ptCount val="2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 formatCode="###0&quot;E&quot;">
                  <c:v>2024</c:v>
                </c:pt>
                <c:pt idx="16" formatCode="###0&quot;E&quot;">
                  <c:v>2025</c:v>
                </c:pt>
                <c:pt idx="17" formatCode="###0&quot;E&quot;">
                  <c:v>2026</c:v>
                </c:pt>
                <c:pt idx="18" formatCode="###0&quot;E&quot;">
                  <c:v>2027</c:v>
                </c:pt>
                <c:pt idx="19" formatCode="###0&quot;E&quot;">
                  <c:v>2028</c:v>
                </c:pt>
                <c:pt idx="20" formatCode="###0&quot;E&quot;">
                  <c:v>2029</c:v>
                </c:pt>
                <c:pt idx="21" formatCode="###0&quot;E&quot;">
                  <c:v>2030</c:v>
                </c:pt>
              </c:numCache>
            </c:numRef>
          </c:cat>
          <c:val>
            <c:numRef>
              <c:f>Charts_Support!$J$22:$AE$22</c:f>
              <c:numCache>
                <c:formatCode>#,##0_);\(#,##0\)</c:formatCode>
                <c:ptCount val="22"/>
                <c:pt idx="0">
                  <c:v>54</c:v>
                </c:pt>
                <c:pt idx="1">
                  <c:v>31</c:v>
                </c:pt>
                <c:pt idx="2">
                  <c:v>36</c:v>
                </c:pt>
                <c:pt idx="3">
                  <c:v>41</c:v>
                </c:pt>
                <c:pt idx="4">
                  <c:v>4</c:v>
                </c:pt>
                <c:pt idx="5">
                  <c:v>16</c:v>
                </c:pt>
                <c:pt idx="6">
                  <c:v>19</c:v>
                </c:pt>
                <c:pt idx="7">
                  <c:v>21</c:v>
                </c:pt>
                <c:pt idx="8">
                  <c:v>21</c:v>
                </c:pt>
                <c:pt idx="9">
                  <c:v>18</c:v>
                </c:pt>
                <c:pt idx="10">
                  <c:v>25</c:v>
                </c:pt>
                <c:pt idx="11">
                  <c:v>32</c:v>
                </c:pt>
                <c:pt idx="12">
                  <c:v>42</c:v>
                </c:pt>
                <c:pt idx="13">
                  <c:v>48</c:v>
                </c:pt>
                <c:pt idx="14">
                  <c:v>50</c:v>
                </c:pt>
                <c:pt idx="15">
                  <c:v>49</c:v>
                </c:pt>
                <c:pt idx="16">
                  <c:v>58</c:v>
                </c:pt>
                <c:pt idx="17">
                  <c:v>66</c:v>
                </c:pt>
                <c:pt idx="18">
                  <c:v>74</c:v>
                </c:pt>
                <c:pt idx="19">
                  <c:v>79</c:v>
                </c:pt>
                <c:pt idx="20">
                  <c:v>84</c:v>
                </c:pt>
                <c:pt idx="2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A-469B-9B80-F1109584E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551826176"/>
        <c:axId val="551827712"/>
      </c:barChart>
      <c:lineChart>
        <c:grouping val="standard"/>
        <c:varyColors val="0"/>
        <c:ser>
          <c:idx val="2"/>
          <c:order val="2"/>
          <c:tx>
            <c:strRef>
              <c:f>Charts_Support!$A$45</c:f>
              <c:strCache>
                <c:ptCount val="1"/>
                <c:pt idx="0">
                  <c:v>Sales Per Store (Mex$ mn)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Charts_Support!$J$47:$AE$47</c:f>
              <c:numCache>
                <c:formatCode>#,##0_);\(#,##0\)</c:formatCode>
                <c:ptCount val="22"/>
                <c:pt idx="0" formatCode="0.0%">
                  <c:v>#N/A</c:v>
                </c:pt>
                <c:pt idx="1">
                  <c:v>12.911599710069305</c:v>
                </c:pt>
                <c:pt idx="2">
                  <c:v>13.827911166266013</c:v>
                </c:pt>
                <c:pt idx="3">
                  <c:v>16.268668544978865</c:v>
                </c:pt>
                <c:pt idx="4">
                  <c:v>14.831914646240275</c:v>
                </c:pt>
                <c:pt idx="5">
                  <c:v>14.114728690337516</c:v>
                </c:pt>
                <c:pt idx="6">
                  <c:v>17.827631110956158</c:v>
                </c:pt>
                <c:pt idx="7">
                  <c:v>17.625241036320851</c:v>
                </c:pt>
                <c:pt idx="8">
                  <c:v>19.662802795865222</c:v>
                </c:pt>
                <c:pt idx="9">
                  <c:v>16.687195762203377</c:v>
                </c:pt>
                <c:pt idx="10">
                  <c:v>15.800690047736646</c:v>
                </c:pt>
                <c:pt idx="11">
                  <c:v>9.2787851126798078</c:v>
                </c:pt>
                <c:pt idx="12">
                  <c:v>14.370728514241682</c:v>
                </c:pt>
                <c:pt idx="13">
                  <c:v>19.772459494154706</c:v>
                </c:pt>
                <c:pt idx="14">
                  <c:v>19.121633060550586</c:v>
                </c:pt>
                <c:pt idx="15">
                  <c:v>15.232710860260394</c:v>
                </c:pt>
                <c:pt idx="16">
                  <c:v>16.225849392371387</c:v>
                </c:pt>
                <c:pt idx="17">
                  <c:v>16.757235119305488</c:v>
                </c:pt>
                <c:pt idx="18">
                  <c:v>16.830903641208568</c:v>
                </c:pt>
                <c:pt idx="19">
                  <c:v>17.022813916407564</c:v>
                </c:pt>
                <c:pt idx="20">
                  <c:v>17.212581136192931</c:v>
                </c:pt>
                <c:pt idx="21">
                  <c:v>17.419237011475754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7A-469B-9B80-F1109584E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831040"/>
        <c:axId val="551829504"/>
      </c:lineChart>
      <c:catAx>
        <c:axId val="551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27712"/>
        <c:crosses val="autoZero"/>
        <c:auto val="1"/>
        <c:lblAlgn val="ctr"/>
        <c:lblOffset val="100"/>
        <c:noMultiLvlLbl val="0"/>
      </c:catAx>
      <c:valAx>
        <c:axId val="551827712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26176"/>
        <c:crosses val="autoZero"/>
        <c:crossBetween val="between"/>
      </c:valAx>
      <c:valAx>
        <c:axId val="551829504"/>
        <c:scaling>
          <c:orientation val="minMax"/>
          <c:min val="0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31040"/>
        <c:crosses val="max"/>
        <c:crossBetween val="between"/>
      </c:valAx>
      <c:catAx>
        <c:axId val="551831040"/>
        <c:scaling>
          <c:orientation val="minMax"/>
        </c:scaling>
        <c:delete val="1"/>
        <c:axPos val="b"/>
        <c:majorTickMark val="out"/>
        <c:minorTickMark val="none"/>
        <c:tickLblPos val="nextTo"/>
        <c:crossAx val="55182950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9.4834123929099318E-2"/>
          <c:y val="8.6986340034578558E-3"/>
          <c:w val="0.45083981855141364"/>
          <c:h val="0.1467461358996792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67104111986006E-2"/>
          <c:y val="8.226086322543015E-2"/>
          <c:w val="0.84441601049868764"/>
          <c:h val="0.740557742782152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Charts_Support!$A$15</c:f>
              <c:strCache>
                <c:ptCount val="1"/>
                <c:pt idx="0">
                  <c:v>Corportate Stores (EOP)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Charts_Support!$O$15:$AE$15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Charts_Support!$O$18:$AE$18</c:f>
              <c:numCache>
                <c:formatCode>#,##0_);\(#,##0\)</c:formatCode>
                <c:ptCount val="17"/>
                <c:pt idx="0">
                  <c:v>302</c:v>
                </c:pt>
                <c:pt idx="1">
                  <c:v>313</c:v>
                </c:pt>
                <c:pt idx="2">
                  <c:v>344</c:v>
                </c:pt>
                <c:pt idx="3">
                  <c:v>381</c:v>
                </c:pt>
                <c:pt idx="4">
                  <c:v>420</c:v>
                </c:pt>
                <c:pt idx="5">
                  <c:v>888</c:v>
                </c:pt>
                <c:pt idx="6">
                  <c:v>862</c:v>
                </c:pt>
                <c:pt idx="7">
                  <c:v>878</c:v>
                </c:pt>
                <c:pt idx="8">
                  <c:v>928</c:v>
                </c:pt>
                <c:pt idx="9">
                  <c:v>976</c:v>
                </c:pt>
                <c:pt idx="10">
                  <c:v>1007</c:v>
                </c:pt>
                <c:pt idx="11">
                  <c:v>1029</c:v>
                </c:pt>
                <c:pt idx="12">
                  <c:v>1046</c:v>
                </c:pt>
                <c:pt idx="13">
                  <c:v>1061</c:v>
                </c:pt>
                <c:pt idx="14">
                  <c:v>1076</c:v>
                </c:pt>
                <c:pt idx="15">
                  <c:v>1091</c:v>
                </c:pt>
                <c:pt idx="16">
                  <c:v>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5-4682-90E1-1437AA0D26F9}"/>
            </c:ext>
          </c:extLst>
        </c:ser>
        <c:ser>
          <c:idx val="1"/>
          <c:order val="1"/>
          <c:tx>
            <c:strRef>
              <c:f>Charts_Support!$A$20</c:f>
              <c:strCache>
                <c:ptCount val="1"/>
                <c:pt idx="0">
                  <c:v>Franchised Stores (EOP)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Charts_Support!$O$15:$AE$15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Charts_Support!$O$23:$AE$23</c:f>
              <c:numCache>
                <c:formatCode>#,##0_);\(#,##0\)</c:formatCode>
                <c:ptCount val="17"/>
                <c:pt idx="0">
                  <c:v>140</c:v>
                </c:pt>
                <c:pt idx="1">
                  <c:v>154</c:v>
                </c:pt>
                <c:pt idx="2">
                  <c:v>155</c:v>
                </c:pt>
                <c:pt idx="3">
                  <c:v>168</c:v>
                </c:pt>
                <c:pt idx="4">
                  <c:v>173</c:v>
                </c:pt>
                <c:pt idx="5">
                  <c:v>510</c:v>
                </c:pt>
                <c:pt idx="6">
                  <c:v>514</c:v>
                </c:pt>
                <c:pt idx="7">
                  <c:v>546</c:v>
                </c:pt>
                <c:pt idx="8">
                  <c:v>548</c:v>
                </c:pt>
                <c:pt idx="9">
                  <c:v>558</c:v>
                </c:pt>
                <c:pt idx="10">
                  <c:v>591</c:v>
                </c:pt>
                <c:pt idx="11">
                  <c:v>605</c:v>
                </c:pt>
                <c:pt idx="12">
                  <c:v>616</c:v>
                </c:pt>
                <c:pt idx="13">
                  <c:v>625</c:v>
                </c:pt>
                <c:pt idx="14">
                  <c:v>634</c:v>
                </c:pt>
                <c:pt idx="15">
                  <c:v>643</c:v>
                </c:pt>
                <c:pt idx="16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5-4682-90E1-1437AA0D2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1864576"/>
        <c:axId val="551870464"/>
      </c:barChart>
      <c:lineChart>
        <c:grouping val="standard"/>
        <c:varyColors val="0"/>
        <c:ser>
          <c:idx val="2"/>
          <c:order val="2"/>
          <c:tx>
            <c:strRef>
              <c:f>Charts_Support!$A$45</c:f>
              <c:strCache>
                <c:ptCount val="1"/>
                <c:pt idx="0">
                  <c:v>Sales Per Store (Mex$ mn)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Charts_Support!$O$48:$AE$48</c:f>
              <c:numCache>
                <c:formatCode>#,##0_);\(#,##0\)</c:formatCode>
                <c:ptCount val="17"/>
                <c:pt idx="0">
                  <c:v>4.7615958481998053</c:v>
                </c:pt>
                <c:pt idx="1">
                  <c:v>17.741467954900582</c:v>
                </c:pt>
                <c:pt idx="2">
                  <c:v>21.61944251530355</c:v>
                </c:pt>
                <c:pt idx="3">
                  <c:v>22.050724993631402</c:v>
                </c:pt>
                <c:pt idx="4">
                  <c:v>23.103154590079431</c:v>
                </c:pt>
                <c:pt idx="5">
                  <c:v>23.308689842247077</c:v>
                </c:pt>
                <c:pt idx="6">
                  <c:v>15.667476604444849</c:v>
                </c:pt>
                <c:pt idx="7">
                  <c:v>20.415123119621477</c:v>
                </c:pt>
                <c:pt idx="8">
                  <c:v>23.04809144753866</c:v>
                </c:pt>
                <c:pt idx="9">
                  <c:v>22.930954127181923</c:v>
                </c:pt>
                <c:pt idx="10">
                  <c:v>23.275597362125197</c:v>
                </c:pt>
                <c:pt idx="11">
                  <c:v>26.475775431986204</c:v>
                </c:pt>
                <c:pt idx="12">
                  <c:v>28.444483824040628</c:v>
                </c:pt>
                <c:pt idx="13">
                  <c:v>30.298973899364444</c:v>
                </c:pt>
                <c:pt idx="14">
                  <c:v>32.174378856650236</c:v>
                </c:pt>
                <c:pt idx="15">
                  <c:v>34.138580096370951</c:v>
                </c:pt>
                <c:pt idx="16">
                  <c:v>36.242580589052089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D5-4682-90E1-1437AA0D2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873536"/>
        <c:axId val="551872000"/>
      </c:lineChart>
      <c:catAx>
        <c:axId val="55186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70464"/>
        <c:crosses val="autoZero"/>
        <c:auto val="1"/>
        <c:lblAlgn val="ctr"/>
        <c:lblOffset val="100"/>
        <c:noMultiLvlLbl val="0"/>
      </c:catAx>
      <c:valAx>
        <c:axId val="551870464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64576"/>
        <c:crosses val="autoZero"/>
        <c:crossBetween val="between"/>
      </c:valAx>
      <c:valAx>
        <c:axId val="551872000"/>
        <c:scaling>
          <c:orientation val="minMax"/>
        </c:scaling>
        <c:delete val="0"/>
        <c:axPos val="r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873536"/>
        <c:crosses val="max"/>
        <c:crossBetween val="between"/>
      </c:valAx>
      <c:catAx>
        <c:axId val="55187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551872000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0.13583346439369709"/>
          <c:y val="2.2264632158473692E-2"/>
          <c:w val="0.40292038495188098"/>
          <c:h val="0.18240303295421409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669523211912111E-2"/>
          <c:y val="2.3264071157771946E-2"/>
          <c:w val="0.87069094488188981"/>
          <c:h val="0.89719889180519097"/>
        </c:manualLayout>
      </c:layout>
      <c:areaChart>
        <c:grouping val="standard"/>
        <c:varyColors val="0"/>
        <c:ser>
          <c:idx val="3"/>
          <c:order val="3"/>
          <c:tx>
            <c:strRef>
              <c:f>Charts_Support!$A$187</c:f>
              <c:strCache>
                <c:ptCount val="1"/>
                <c:pt idx="0">
                  <c:v>Adj. EBITDA Growth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val>
            <c:numRef>
              <c:f>Charts_Support!$P$188:$AE$188</c:f>
              <c:numCache>
                <c:formatCode>0.0%</c:formatCode>
                <c:ptCount val="16"/>
                <c:pt idx="0">
                  <c:v>0.35886126704089816</c:v>
                </c:pt>
                <c:pt idx="1">
                  <c:v>0.1717320743582178</c:v>
                </c:pt>
                <c:pt idx="2">
                  <c:v>0.12012087635356328</c:v>
                </c:pt>
                <c:pt idx="3">
                  <c:v>3.6982913669064699E-2</c:v>
                </c:pt>
                <c:pt idx="4">
                  <c:v>0.21560975609756095</c:v>
                </c:pt>
                <c:pt idx="5">
                  <c:v>-0.61200285357588724</c:v>
                </c:pt>
                <c:pt idx="6">
                  <c:v>1.4433463571592737</c:v>
                </c:pt>
                <c:pt idx="7">
                  <c:v>0.20016931615087952</c:v>
                </c:pt>
                <c:pt idx="8">
                  <c:v>0.15659534446273216</c:v>
                </c:pt>
                <c:pt idx="9">
                  <c:v>6.0152705640699633E-2</c:v>
                </c:pt>
                <c:pt idx="10">
                  <c:v>0.10441716644999666</c:v>
                </c:pt>
                <c:pt idx="11">
                  <c:v>8.4015386396535829E-2</c:v>
                </c:pt>
                <c:pt idx="12">
                  <c:v>7.4082470677950374E-2</c:v>
                </c:pt>
                <c:pt idx="13">
                  <c:v>6.1820109509288734E-2</c:v>
                </c:pt>
                <c:pt idx="14">
                  <c:v>6.1344108794167518E-2</c:v>
                </c:pt>
                <c:pt idx="15">
                  <c:v>5.9871194356262425E-2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5-4B9E-B630-CC85AD914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974400"/>
        <c:axId val="551975936"/>
      </c:areaChart>
      <c:lineChart>
        <c:grouping val="standard"/>
        <c:varyColors val="0"/>
        <c:ser>
          <c:idx val="0"/>
          <c:order val="0"/>
          <c:tx>
            <c:strRef>
              <c:f>Charts_Support!$A$214</c:f>
              <c:strCache>
                <c:ptCount val="1"/>
                <c:pt idx="0">
                  <c:v>Mexico</c:v>
                </c:pt>
              </c:strCache>
            </c:strRef>
          </c:tx>
          <c:marker>
            <c:symbol val="none"/>
          </c:marker>
          <c:cat>
            <c:numRef>
              <c:f>Charts_Support!$P$213:$AE$213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Charts_Support!$P$214:$AE$214</c:f>
              <c:numCache>
                <c:formatCode>0.0%</c:formatCode>
                <c:ptCount val="16"/>
                <c:pt idx="0">
                  <c:v>0.1632246827569046</c:v>
                </c:pt>
                <c:pt idx="1">
                  <c:v>0.1155080213903743</c:v>
                </c:pt>
                <c:pt idx="2">
                  <c:v>7.5359539789070062E-2</c:v>
                </c:pt>
                <c:pt idx="3">
                  <c:v>5.2246790299572021E-2</c:v>
                </c:pt>
                <c:pt idx="4">
                  <c:v>5.0669378071513282E-2</c:v>
                </c:pt>
                <c:pt idx="5">
                  <c:v>-0.53758064516129034</c:v>
                </c:pt>
                <c:pt idx="6">
                  <c:v>1.0756888733868153</c:v>
                </c:pt>
                <c:pt idx="7">
                  <c:v>0.27155099983196096</c:v>
                </c:pt>
                <c:pt idx="8">
                  <c:v>0.19003568124752213</c:v>
                </c:pt>
                <c:pt idx="9">
                  <c:v>0.1251553303830657</c:v>
                </c:pt>
                <c:pt idx="10">
                  <c:v>4.8074891963961308E-2</c:v>
                </c:pt>
                <c:pt idx="11">
                  <c:v>6.0667362508012745E-2</c:v>
                </c:pt>
                <c:pt idx="12">
                  <c:v>5.6647123080981299E-2</c:v>
                </c:pt>
                <c:pt idx="13">
                  <c:v>2.1974508756340994E-2</c:v>
                </c:pt>
                <c:pt idx="14">
                  <c:v>4.4128778586783213E-2</c:v>
                </c:pt>
                <c:pt idx="15">
                  <c:v>4.280562720465908E-2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5-4B9E-B630-CC85AD9142C8}"/>
            </c:ext>
          </c:extLst>
        </c:ser>
        <c:ser>
          <c:idx val="1"/>
          <c:order val="1"/>
          <c:tx>
            <c:strRef>
              <c:f>Charts_Support!$A$215</c:f>
              <c:strCache>
                <c:ptCount val="1"/>
                <c:pt idx="0">
                  <c:v>South America</c:v>
                </c:pt>
              </c:strCache>
            </c:strRef>
          </c:tx>
          <c:marker>
            <c:symbol val="none"/>
          </c:marker>
          <c:cat>
            <c:numRef>
              <c:f>Charts_Support!$P$213:$AE$213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Charts_Support!$P$215:$AE$215</c:f>
              <c:numCache>
                <c:formatCode>0.0%</c:formatCode>
                <c:ptCount val="16"/>
                <c:pt idx="0">
                  <c:v>0.50368188512518408</c:v>
                </c:pt>
                <c:pt idx="1">
                  <c:v>0.2017629774730656</c:v>
                </c:pt>
                <c:pt idx="2">
                  <c:v>0.27302363488182557</c:v>
                </c:pt>
                <c:pt idx="3">
                  <c:v>-9.8591549295774628E-2</c:v>
                </c:pt>
                <c:pt idx="4">
                  <c:v>-0.10298295454545459</c:v>
                </c:pt>
                <c:pt idx="5">
                  <c:v>-0.76484560570071258</c:v>
                </c:pt>
                <c:pt idx="6">
                  <c:v>3.2356902356902353</c:v>
                </c:pt>
                <c:pt idx="7">
                  <c:v>0.56438791732909377</c:v>
                </c:pt>
                <c:pt idx="8">
                  <c:v>0.12347560975609762</c:v>
                </c:pt>
                <c:pt idx="9">
                  <c:v>-0.25839907487552005</c:v>
                </c:pt>
                <c:pt idx="10">
                  <c:v>7.1595902695481994E-2</c:v>
                </c:pt>
                <c:pt idx="11">
                  <c:v>5.1705893242404821E-2</c:v>
                </c:pt>
                <c:pt idx="12">
                  <c:v>2.3881671546085004E-2</c:v>
                </c:pt>
                <c:pt idx="13">
                  <c:v>3.0732299745646507E-2</c:v>
                </c:pt>
                <c:pt idx="14">
                  <c:v>3.038357732882524E-2</c:v>
                </c:pt>
                <c:pt idx="15">
                  <c:v>3.0016067037962557E-2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5-4B9E-B630-CC85AD914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974400"/>
        <c:axId val="551975936"/>
      </c:lineChart>
      <c:lineChart>
        <c:grouping val="standard"/>
        <c:varyColors val="0"/>
        <c:ser>
          <c:idx val="2"/>
          <c:order val="2"/>
          <c:tx>
            <c:v>Europe</c:v>
          </c:tx>
          <c:marker>
            <c:symbol val="none"/>
          </c:marker>
          <c:val>
            <c:numRef>
              <c:f>Charts_Support!$P$216:$AE$216</c:f>
              <c:numCache>
                <c:formatCode>0.0%</c:formatCode>
                <c:ptCount val="16"/>
                <c:pt idx="0">
                  <c:v>2.7310344827586208</c:v>
                </c:pt>
                <c:pt idx="1">
                  <c:v>0.38632162661737524</c:v>
                </c:pt>
                <c:pt idx="2">
                  <c:v>0.15066666666666673</c:v>
                </c:pt>
                <c:pt idx="3">
                  <c:v>0.1100811123986094</c:v>
                </c:pt>
                <c:pt idx="4">
                  <c:v>0.95772442588726503</c:v>
                </c:pt>
                <c:pt idx="5">
                  <c:v>-0.68355105305251929</c:v>
                </c:pt>
                <c:pt idx="6">
                  <c:v>1.8828980623420386</c:v>
                </c:pt>
                <c:pt idx="7">
                  <c:v>-5.7860900058445353E-2</c:v>
                </c:pt>
                <c:pt idx="8">
                  <c:v>9.8325062034739563E-2</c:v>
                </c:pt>
                <c:pt idx="9">
                  <c:v>-1.7393389686434224E-2</c:v>
                </c:pt>
                <c:pt idx="10">
                  <c:v>0.14581959112692733</c:v>
                </c:pt>
                <c:pt idx="11">
                  <c:v>9.6424605109636241E-2</c:v>
                </c:pt>
                <c:pt idx="12">
                  <c:v>8.6857972657378824E-2</c:v>
                </c:pt>
                <c:pt idx="13">
                  <c:v>2.7622797045562253E-2</c:v>
                </c:pt>
                <c:pt idx="14">
                  <c:v>7.8854058208330358E-2</c:v>
                </c:pt>
                <c:pt idx="15">
                  <c:v>7.6318643194807301E-2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5-4B9E-B630-CC85AD914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979264"/>
        <c:axId val="551977728"/>
      </c:lineChart>
      <c:catAx>
        <c:axId val="55197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975936"/>
        <c:crosses val="autoZero"/>
        <c:auto val="1"/>
        <c:lblAlgn val="ctr"/>
        <c:lblOffset val="100"/>
        <c:noMultiLvlLbl val="0"/>
      </c:catAx>
      <c:valAx>
        <c:axId val="551975936"/>
        <c:scaling>
          <c:orientation val="minMax"/>
          <c:max val="0.5"/>
          <c:min val="-0.5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1974400"/>
        <c:crosses val="autoZero"/>
        <c:crossBetween val="between"/>
      </c:valAx>
      <c:valAx>
        <c:axId val="551977728"/>
        <c:scaling>
          <c:orientation val="minMax"/>
          <c:max val="2.25"/>
          <c:min val="-0.75000000000000011"/>
        </c:scaling>
        <c:delete val="1"/>
        <c:axPos val="r"/>
        <c:numFmt formatCode="0%" sourceLinked="0"/>
        <c:majorTickMark val="out"/>
        <c:minorTickMark val="none"/>
        <c:tickLblPos val="nextTo"/>
        <c:crossAx val="551979264"/>
        <c:crosses val="max"/>
        <c:crossBetween val="between"/>
      </c:valAx>
      <c:catAx>
        <c:axId val="55197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55197772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0.54793135464409137"/>
          <c:y val="4.6296296296296294E-3"/>
          <c:w val="0.32311805646309943"/>
          <c:h val="0.21597608429468224"/>
        </c:manualLayout>
      </c:layout>
      <c:overlay val="0"/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66907261592301"/>
          <c:y val="7.0302930883639536E-2"/>
          <c:w val="0.85033092738407701"/>
          <c:h val="0.7771270778652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Charts_Support!$A$194</c:f>
              <c:strCache>
                <c:ptCount val="1"/>
                <c:pt idx="0">
                  <c:v>Mexico</c:v>
                </c:pt>
              </c:strCache>
            </c:strRef>
          </c:tx>
          <c:invertIfNegative val="0"/>
          <c:dLbls>
            <c:dLbl>
              <c:idx val="0"/>
              <c:tx>
                <c:strRef>
                  <c:f>Charts_Support!$O$199</c:f>
                  <c:strCache>
                    <c:ptCount val="1"/>
                    <c:pt idx="0">
                      <c:v>80.6%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{496A1D4F-197B-4F04-9E2C-7C2915437082}</c15:txfldGUID>
                      <c15:f>Charts_Support!$O$199</c15:f>
                      <c15:dlblFieldTableCache>
                        <c:ptCount val="1"/>
                        <c:pt idx="0">
                          <c:v>80.6%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BAC-4077-BCA7-87F4F9D0C6AA}"/>
                </c:ext>
              </c:extLst>
            </c:dLbl>
            <c:dLbl>
              <c:idx val="1"/>
              <c:tx>
                <c:strRef>
                  <c:f>Charts_Support!$P$199</c:f>
                  <c:strCache>
                    <c:ptCount val="1"/>
                    <c:pt idx="0">
                      <c:v>69.0%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{20160A45-3618-4FA0-A8F7-ECB2FF69394C}</c15:txfldGUID>
                      <c15:f>Charts_Support!$P$199</c15:f>
                      <c15:dlblFieldTableCache>
                        <c:ptCount val="1"/>
                        <c:pt idx="0">
                          <c:v>69.0%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BAC-4077-BCA7-87F4F9D0C6AA}"/>
                </c:ext>
              </c:extLst>
            </c:dLbl>
            <c:dLbl>
              <c:idx val="2"/>
              <c:tx>
                <c:strRef>
                  <c:f>Charts_Support!$Q$199</c:f>
                  <c:strCache>
                    <c:ptCount val="1"/>
                    <c:pt idx="0">
                      <c:v>65.7%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{08056201-5782-4E46-8A38-372FDB9BF250}</c15:txfldGUID>
                      <c15:f>Charts_Support!$Q$199</c15:f>
                      <c15:dlblFieldTableCache>
                        <c:ptCount val="1"/>
                        <c:pt idx="0">
                          <c:v>65.7%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BAC-4077-BCA7-87F4F9D0C6AA}"/>
                </c:ext>
              </c:extLst>
            </c:dLbl>
            <c:dLbl>
              <c:idx val="3"/>
              <c:tx>
                <c:strRef>
                  <c:f>Charts_Support!$R$199</c:f>
                  <c:strCache>
                    <c:ptCount val="1"/>
                    <c:pt idx="0">
                      <c:v>63.0%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{F314734E-44D8-46FB-A97F-BE0DD50FBD0E}</c15:txfldGUID>
                      <c15:f>Charts_Support!$R$199</c15:f>
                      <c15:dlblFieldTableCache>
                        <c:ptCount val="1"/>
                        <c:pt idx="0">
                          <c:v>63.0%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BAC-4077-BCA7-87F4F9D0C6AA}"/>
                </c:ext>
              </c:extLst>
            </c:dLbl>
            <c:dLbl>
              <c:idx val="4"/>
              <c:layout>
                <c:manualLayout>
                  <c:x val="2.7777777777777779E-3"/>
                  <c:y val="0"/>
                </c:manualLayout>
              </c:layout>
              <c:tx>
                <c:strRef>
                  <c:f>Charts_Support!$S$199</c:f>
                  <c:strCache>
                    <c:ptCount val="1"/>
                    <c:pt idx="0">
                      <c:v>64.0%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{EE42838B-91A0-4645-BA3E-C8D035CC1273}</c15:txfldGUID>
                      <c15:f>Charts_Support!$S$199</c15:f>
                      <c15:dlblFieldTableCache>
                        <c:ptCount val="1"/>
                        <c:pt idx="0">
                          <c:v>64.0%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AC-4077-BCA7-87F4F9D0C6AA}"/>
                </c:ext>
              </c:extLst>
            </c:dLbl>
            <c:dLbl>
              <c:idx val="5"/>
              <c:tx>
                <c:strRef>
                  <c:f>Charts_Support!$T$199</c:f>
                  <c:strCache>
                    <c:ptCount val="1"/>
                    <c:pt idx="0">
                      <c:v>55.3%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{45A6381F-8017-454D-ABAD-A7184F8BA0BC}</c15:txfldGUID>
                      <c15:f>Charts_Support!$T$199</c15:f>
                      <c15:dlblFieldTableCache>
                        <c:ptCount val="1"/>
                        <c:pt idx="0">
                          <c:v>55.3%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BAC-4077-BCA7-87F4F9D0C6AA}"/>
                </c:ext>
              </c:extLst>
            </c:dLbl>
            <c:dLbl>
              <c:idx val="6"/>
              <c:layout>
                <c:manualLayout>
                  <c:x val="2.7777777777777779E-3"/>
                  <c:y val="0"/>
                </c:manualLayout>
              </c:layout>
              <c:tx>
                <c:strRef>
                  <c:f>Charts_Support!$U$199</c:f>
                  <c:strCache>
                    <c:ptCount val="1"/>
                    <c:pt idx="0">
                      <c:v>65.9%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{E5BB742F-A8D6-47BE-92CF-9B73B21F8F70}</c15:txfldGUID>
                      <c15:f>Charts_Support!$U$199</c15:f>
                      <c15:dlblFieldTableCache>
                        <c:ptCount val="1"/>
                        <c:pt idx="0">
                          <c:v>65.9%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BAC-4077-BCA7-87F4F9D0C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Charts_Support!$O$194:$AE$194</c:f>
              <c:numCache>
                <c:formatCode>#,##0_);\(#,##0\)</c:formatCode>
                <c:ptCount val="17"/>
                <c:pt idx="0">
                  <c:v>4019</c:v>
                </c:pt>
                <c:pt idx="1">
                  <c:v>4675</c:v>
                </c:pt>
                <c:pt idx="2">
                  <c:v>5215</c:v>
                </c:pt>
                <c:pt idx="3">
                  <c:v>5608</c:v>
                </c:pt>
                <c:pt idx="4">
                  <c:v>5901</c:v>
                </c:pt>
                <c:pt idx="5">
                  <c:v>6200</c:v>
                </c:pt>
                <c:pt idx="6">
                  <c:v>2867</c:v>
                </c:pt>
                <c:pt idx="7">
                  <c:v>5951</c:v>
                </c:pt>
                <c:pt idx="8">
                  <c:v>7567</c:v>
                </c:pt>
                <c:pt idx="9">
                  <c:v>9005</c:v>
                </c:pt>
                <c:pt idx="10">
                  <c:v>10132.023750099506</c:v>
                </c:pt>
                <c:pt idx="11">
                  <c:v>10619.119697261831</c:v>
                </c:pt>
                <c:pt idx="12">
                  <c:v>11263.353681451592</c:v>
                </c:pt>
                <c:pt idx="13">
                  <c:v>11901.390263749405</c:v>
                </c:pt>
                <c:pt idx="14">
                  <c:v>12162.917468312797</c:v>
                </c:pt>
                <c:pt idx="15">
                  <c:v>12699.65216024129</c:v>
                </c:pt>
                <c:pt idx="16">
                  <c:v>13243.268736241422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AC-4077-BCA7-87F4F9D0C6AA}"/>
            </c:ext>
          </c:extLst>
        </c:ser>
        <c:ser>
          <c:idx val="1"/>
          <c:order val="1"/>
          <c:tx>
            <c:strRef>
              <c:f>Charts_Support!$A$195</c:f>
              <c:strCache>
                <c:ptCount val="1"/>
                <c:pt idx="0">
                  <c:v>South America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0"/>
                  <c:y val="-4.6296296296296294E-3"/>
                </c:manualLayout>
              </c:layout>
              <c:tx>
                <c:strRef>
                  <c:f>Charts_Support!$O$200</c:f>
                  <c:strCache>
                    <c:ptCount val="1"/>
                    <c:pt idx="0">
                      <c:v>13.6%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{E8EC5834-9BC4-4A18-8D70-09F8D028D858}</c15:txfldGUID>
                      <c15:f>Charts_Support!$O$200</c15:f>
                      <c15:dlblFieldTableCache>
                        <c:ptCount val="1"/>
                        <c:pt idx="0">
                          <c:v>13.6%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BAC-4077-BCA7-87F4F9D0C6AA}"/>
                </c:ext>
              </c:extLst>
            </c:dLbl>
            <c:dLbl>
              <c:idx val="1"/>
              <c:tx>
                <c:strRef>
                  <c:f>Charts_Support!$P$200</c:f>
                  <c:strCache>
                    <c:ptCount val="1"/>
                    <c:pt idx="0">
                      <c:v>15.1%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{BF29B282-32A0-477E-9F74-E04DAB8D82C7}</c15:txfldGUID>
                      <c15:f>Charts_Support!$P$200</c15:f>
                      <c15:dlblFieldTableCache>
                        <c:ptCount val="1"/>
                        <c:pt idx="0">
                          <c:v>15.1%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AC-4077-BCA7-87F4F9D0C6AA}"/>
                </c:ext>
              </c:extLst>
            </c:dLbl>
            <c:dLbl>
              <c:idx val="2"/>
              <c:tx>
                <c:strRef>
                  <c:f>Charts_Support!$Q$200</c:f>
                  <c:strCache>
                    <c:ptCount val="1"/>
                    <c:pt idx="0">
                      <c:v>15.4%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{4993CAAE-FE65-4ADA-BDCD-95FF2032912C}</c15:txfldGUID>
                      <c15:f>Charts_Support!$Q$200</c15:f>
                      <c15:dlblFieldTableCache>
                        <c:ptCount val="1"/>
                        <c:pt idx="0">
                          <c:v>15.4%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BAC-4077-BCA7-87F4F9D0C6AA}"/>
                </c:ext>
              </c:extLst>
            </c:dLbl>
            <c:dLbl>
              <c:idx val="3"/>
              <c:tx>
                <c:strRef>
                  <c:f>Charts_Support!$R$200</c:f>
                  <c:strCache>
                    <c:ptCount val="1"/>
                    <c:pt idx="0">
                      <c:v>17.6%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{CFB2E546-814E-4880-B100-8919E0C465F4}</c15:txfldGUID>
                      <c15:f>Charts_Support!$R$200</c15:f>
                      <c15:dlblFieldTableCache>
                        <c:ptCount val="1"/>
                        <c:pt idx="0">
                          <c:v>17.6%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AC-4077-BCA7-87F4F9D0C6AA}"/>
                </c:ext>
              </c:extLst>
            </c:dLbl>
            <c:dLbl>
              <c:idx val="4"/>
              <c:tx>
                <c:strRef>
                  <c:f>Charts_Support!$S$200</c:f>
                  <c:strCache>
                    <c:ptCount val="1"/>
                    <c:pt idx="0">
                      <c:v>15.3%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{C3059147-A5AC-40E2-BACA-2E6C034C2A19}</c15:txfldGUID>
                      <c15:f>Charts_Support!$S$200</c15:f>
                      <c15:dlblFieldTableCache>
                        <c:ptCount val="1"/>
                        <c:pt idx="0">
                          <c:v>15.3%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BAC-4077-BCA7-87F4F9D0C6AA}"/>
                </c:ext>
              </c:extLst>
            </c:dLbl>
            <c:dLbl>
              <c:idx val="5"/>
              <c:tx>
                <c:strRef>
                  <c:f>Charts_Support!$T$200</c:f>
                  <c:strCache>
                    <c:ptCount val="1"/>
                    <c:pt idx="0">
                      <c:v>11.3%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{B9DD3F1A-509A-4DFC-A230-2B2733922F91}</c15:txfldGUID>
                      <c15:f>Charts_Support!$T$200</c15:f>
                      <c15:dlblFieldTableCache>
                        <c:ptCount val="1"/>
                        <c:pt idx="0">
                          <c:v>11.3%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AC-4077-BCA7-87F4F9D0C6AA}"/>
                </c:ext>
              </c:extLst>
            </c:dLbl>
            <c:dLbl>
              <c:idx val="6"/>
              <c:tx>
                <c:strRef>
                  <c:f>Charts_Support!$U$200</c:f>
                  <c:strCache>
                    <c:ptCount val="1"/>
                    <c:pt idx="0">
                      <c:v>6.8%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{1CE758B3-38C0-4C46-8930-7932CB6A65CA}</c15:txfldGUID>
                      <c15:f>Charts_Support!$U$200</c15:f>
                      <c15:dlblFieldTableCache>
                        <c:ptCount val="1"/>
                        <c:pt idx="0">
                          <c:v>6.8%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BAC-4077-BCA7-87F4F9D0C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Charts_Support!$O$195:$AE$195</c:f>
              <c:numCache>
                <c:formatCode>#,##0_);\(#,##0\)</c:formatCode>
                <c:ptCount val="17"/>
                <c:pt idx="0">
                  <c:v>679</c:v>
                </c:pt>
                <c:pt idx="1">
                  <c:v>1021</c:v>
                </c:pt>
                <c:pt idx="2">
                  <c:v>1227</c:v>
                </c:pt>
                <c:pt idx="3">
                  <c:v>1562</c:v>
                </c:pt>
                <c:pt idx="4">
                  <c:v>1408</c:v>
                </c:pt>
                <c:pt idx="5">
                  <c:v>1263</c:v>
                </c:pt>
                <c:pt idx="6">
                  <c:v>297</c:v>
                </c:pt>
                <c:pt idx="7">
                  <c:v>1258</c:v>
                </c:pt>
                <c:pt idx="8">
                  <c:v>1968</c:v>
                </c:pt>
                <c:pt idx="9">
                  <c:v>2211</c:v>
                </c:pt>
                <c:pt idx="10">
                  <c:v>1639.6796454502253</c:v>
                </c:pt>
                <c:pt idx="11">
                  <c:v>1757.0739897976418</c:v>
                </c:pt>
                <c:pt idx="12">
                  <c:v>1847.9250699331251</c:v>
                </c:pt>
                <c:pt idx="13">
                  <c:v>1892.0566094950441</c:v>
                </c:pt>
                <c:pt idx="14">
                  <c:v>1950.2038603537776</c:v>
                </c:pt>
                <c:pt idx="15">
                  <c:v>2009.4580301518099</c:v>
                </c:pt>
                <c:pt idx="16">
                  <c:v>2069.774057094819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AC-4077-BCA7-87F4F9D0C6AA}"/>
            </c:ext>
          </c:extLst>
        </c:ser>
        <c:ser>
          <c:idx val="2"/>
          <c:order val="2"/>
          <c:tx>
            <c:strRef>
              <c:f>Charts_Support!$A$196</c:f>
              <c:strCache>
                <c:ptCount val="1"/>
                <c:pt idx="0">
                  <c:v>Europe</c:v>
                </c:pt>
              </c:strCache>
            </c:strRef>
          </c:tx>
          <c:invertIfNegative val="0"/>
          <c:dLbls>
            <c:dLbl>
              <c:idx val="0"/>
              <c:tx>
                <c:strRef>
                  <c:f>Charts_Support!$O$201</c:f>
                  <c:strCache>
                    <c:ptCount val="1"/>
                    <c:pt idx="0">
                      <c:v>5.8%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{D048254C-CE50-410C-B1B1-7924FCAB77E5}</c15:txfldGUID>
                      <c15:f>Charts_Support!$O$201</c15:f>
                      <c15:dlblFieldTableCache>
                        <c:ptCount val="1"/>
                        <c:pt idx="0">
                          <c:v>5.8%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BAC-4077-BCA7-87F4F9D0C6AA}"/>
                </c:ext>
              </c:extLst>
            </c:dLbl>
            <c:dLbl>
              <c:idx val="1"/>
              <c:tx>
                <c:strRef>
                  <c:f>Charts_Support!$P$201</c:f>
                  <c:strCache>
                    <c:ptCount val="1"/>
                    <c:pt idx="0">
                      <c:v>16.0%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{5CD47036-5659-4334-9633-C5098760D990}</c15:txfldGUID>
                      <c15:f>Charts_Support!$P$201</c15:f>
                      <c15:dlblFieldTableCache>
                        <c:ptCount val="1"/>
                        <c:pt idx="0">
                          <c:v>16.0%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AC-4077-BCA7-87F4F9D0C6AA}"/>
                </c:ext>
              </c:extLst>
            </c:dLbl>
            <c:dLbl>
              <c:idx val="2"/>
              <c:tx>
                <c:strRef>
                  <c:f>Charts_Support!$Q$201</c:f>
                  <c:strCache>
                    <c:ptCount val="1"/>
                    <c:pt idx="0">
                      <c:v>18.9%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{C8FA8A84-1004-4568-8350-742277E43B37}</c15:txfldGUID>
                      <c15:f>Charts_Support!$Q$201</c15:f>
                      <c15:dlblFieldTableCache>
                        <c:ptCount val="1"/>
                        <c:pt idx="0">
                          <c:v>18.9%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BAC-4077-BCA7-87F4F9D0C6AA}"/>
                </c:ext>
              </c:extLst>
            </c:dLbl>
            <c:dLbl>
              <c:idx val="3"/>
              <c:tx>
                <c:strRef>
                  <c:f>Charts_Support!$R$201</c:f>
                  <c:strCache>
                    <c:ptCount val="1"/>
                    <c:pt idx="0">
                      <c:v>19.4%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{8E7D70E0-93B2-429E-AE04-45F034F6F397}</c15:txfldGUID>
                      <c15:f>Charts_Support!$R$201</c15:f>
                      <c15:dlblFieldTableCache>
                        <c:ptCount val="1"/>
                        <c:pt idx="0">
                          <c:v>19.4%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BAC-4077-BCA7-87F4F9D0C6AA}"/>
                </c:ext>
              </c:extLst>
            </c:dLbl>
            <c:dLbl>
              <c:idx val="4"/>
              <c:tx>
                <c:strRef>
                  <c:f>Charts_Support!$S$201</c:f>
                  <c:strCache>
                    <c:ptCount val="1"/>
                    <c:pt idx="0">
                      <c:v>20.8%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{E4A6F00E-5D1D-4997-9EE7-0C3C5188C0CB}</c15:txfldGUID>
                      <c15:f>Charts_Support!$S$201</c15:f>
                      <c15:dlblFieldTableCache>
                        <c:ptCount val="1"/>
                        <c:pt idx="0">
                          <c:v>20.8%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BAC-4077-BCA7-87F4F9D0C6AA}"/>
                </c:ext>
              </c:extLst>
            </c:dLbl>
            <c:dLbl>
              <c:idx val="5"/>
              <c:tx>
                <c:strRef>
                  <c:f>Charts_Support!$T$201</c:f>
                  <c:strCache>
                    <c:ptCount val="1"/>
                    <c:pt idx="0">
                      <c:v>33.4%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{1DA429F4-E8D4-407B-8FB9-4F8D0BF8083B}</c15:txfldGUID>
                      <c15:f>Charts_Support!$T$201</c15:f>
                      <c15:dlblFieldTableCache>
                        <c:ptCount val="1"/>
                        <c:pt idx="0">
                          <c:v>33.4%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BAC-4077-BCA7-87F4F9D0C6AA}"/>
                </c:ext>
              </c:extLst>
            </c:dLbl>
            <c:dLbl>
              <c:idx val="6"/>
              <c:tx>
                <c:strRef>
                  <c:f>Charts_Support!$U$201</c:f>
                  <c:strCache>
                    <c:ptCount val="1"/>
                    <c:pt idx="0">
                      <c:v>27.3%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{DEAA08DB-701D-40CD-B5A8-73860406C853}</c15:txfldGUID>
                      <c15:f>Charts_Support!$U$201</c15:f>
                      <c15:dlblFieldTableCache>
                        <c:ptCount val="1"/>
                        <c:pt idx="0">
                          <c:v>27.3%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AC-4077-BCA7-87F4F9D0C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Charts_Support!$O$193:$AE$193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Charts_Support!$O$196:$AE$196</c:f>
              <c:numCache>
                <c:formatCode>#,##0_);\(#,##0\)</c:formatCode>
                <c:ptCount val="17"/>
                <c:pt idx="0">
                  <c:v>290</c:v>
                </c:pt>
                <c:pt idx="1">
                  <c:v>1082</c:v>
                </c:pt>
                <c:pt idx="2">
                  <c:v>1500</c:v>
                </c:pt>
                <c:pt idx="3">
                  <c:v>1726</c:v>
                </c:pt>
                <c:pt idx="4">
                  <c:v>1916</c:v>
                </c:pt>
                <c:pt idx="5">
                  <c:v>3751</c:v>
                </c:pt>
                <c:pt idx="6">
                  <c:v>1187</c:v>
                </c:pt>
                <c:pt idx="7">
                  <c:v>3422</c:v>
                </c:pt>
                <c:pt idx="8">
                  <c:v>3224</c:v>
                </c:pt>
                <c:pt idx="9">
                  <c:v>3541</c:v>
                </c:pt>
                <c:pt idx="10">
                  <c:v>3479.4100071203366</c:v>
                </c:pt>
                <c:pt idx="11">
                  <c:v>3986.7761517215631</c:v>
                </c:pt>
                <c:pt idx="12">
                  <c:v>4371.1994678118299</c:v>
                </c:pt>
                <c:pt idx="13">
                  <c:v>4750.872991666979</c:v>
                </c:pt>
                <c:pt idx="14">
                  <c:v>4882.1053921050388</c:v>
                </c:pt>
                <c:pt idx="15">
                  <c:v>5267.0792148732935</c:v>
                </c:pt>
                <c:pt idx="16">
                  <c:v>5669.0555541519943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AC-4077-BCA7-87F4F9D0C6A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552007936"/>
        <c:axId val="552431616"/>
      </c:barChart>
      <c:catAx>
        <c:axId val="55200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431616"/>
        <c:crosses val="autoZero"/>
        <c:auto val="1"/>
        <c:lblAlgn val="ctr"/>
        <c:lblOffset val="100"/>
        <c:noMultiLvlLbl val="0"/>
      </c:catAx>
      <c:valAx>
        <c:axId val="552431616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00793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210310249674E-2"/>
          <c:y val="8.8346821230679495E-2"/>
          <c:w val="0.85042692980685108"/>
          <c:h val="0.75447688830562842"/>
        </c:manualLayout>
      </c:layout>
      <c:lineChart>
        <c:grouping val="standard"/>
        <c:varyColors val="0"/>
        <c:ser>
          <c:idx val="0"/>
          <c:order val="0"/>
          <c:tx>
            <c:v>South America Revenue per Store</c:v>
          </c:tx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Charts_Support!$B$47:$AE$47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#,##0_);\(#,##0\)">
                  <c:v>12.911599710069305</c:v>
                </c:pt>
                <c:pt idx="10" formatCode="#,##0_);\(#,##0\)">
                  <c:v>13.827911166266013</c:v>
                </c:pt>
                <c:pt idx="11" formatCode="#,##0_);\(#,##0\)">
                  <c:v>16.268668544978865</c:v>
                </c:pt>
                <c:pt idx="12" formatCode="#,##0_);\(#,##0\)">
                  <c:v>14.831914646240275</c:v>
                </c:pt>
                <c:pt idx="13" formatCode="#,##0_);\(#,##0\)">
                  <c:v>14.114728690337516</c:v>
                </c:pt>
                <c:pt idx="14" formatCode="#,##0_);\(#,##0\)">
                  <c:v>17.827631110956158</c:v>
                </c:pt>
                <c:pt idx="15" formatCode="#,##0_);\(#,##0\)">
                  <c:v>17.625241036320851</c:v>
                </c:pt>
                <c:pt idx="16" formatCode="#,##0_);\(#,##0\)">
                  <c:v>19.662802795865222</c:v>
                </c:pt>
                <c:pt idx="17" formatCode="#,##0_);\(#,##0\)">
                  <c:v>16.687195762203377</c:v>
                </c:pt>
                <c:pt idx="18" formatCode="#,##0_);\(#,##0\)">
                  <c:v>15.800690047736646</c:v>
                </c:pt>
                <c:pt idx="19" formatCode="#,##0_);\(#,##0\)">
                  <c:v>9.2787851126798078</c:v>
                </c:pt>
                <c:pt idx="20" formatCode="#,##0_);\(#,##0\)">
                  <c:v>14.370728514241682</c:v>
                </c:pt>
                <c:pt idx="21" formatCode="#,##0_);\(#,##0\)">
                  <c:v>19.772459494154706</c:v>
                </c:pt>
                <c:pt idx="22" formatCode="#,##0_);\(#,##0\)">
                  <c:v>19.121633060550586</c:v>
                </c:pt>
                <c:pt idx="23" formatCode="#,##0_);\(#,##0\)">
                  <c:v>15.232710860260394</c:v>
                </c:pt>
                <c:pt idx="24" formatCode="#,##0_);\(#,##0\)">
                  <c:v>16.225849392371387</c:v>
                </c:pt>
                <c:pt idx="25" formatCode="#,##0_);\(#,##0\)">
                  <c:v>16.757235119305488</c:v>
                </c:pt>
                <c:pt idx="26" formatCode="#,##0_);\(#,##0\)">
                  <c:v>16.830903641208568</c:v>
                </c:pt>
                <c:pt idx="27" formatCode="#,##0_);\(#,##0\)">
                  <c:v>17.022813916407564</c:v>
                </c:pt>
                <c:pt idx="28" formatCode="#,##0_);\(#,##0\)">
                  <c:v>17.212581136192931</c:v>
                </c:pt>
                <c:pt idx="29" formatCode="#,##0_);\(#,##0\)">
                  <c:v>17.419237011475754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6-40C2-95BE-E4707AE2F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50304"/>
        <c:axId val="552456192"/>
      </c:lineChart>
      <c:lineChart>
        <c:grouping val="standard"/>
        <c:varyColors val="0"/>
        <c:ser>
          <c:idx val="1"/>
          <c:order val="1"/>
          <c:tx>
            <c:v>Argentine Peso</c:v>
          </c:tx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Charts_Support!$B$132:$AE$132</c:f>
              <c:numCache>
                <c:formatCode>#,##0.00_);\(#,##0.00\)</c:formatCode>
                <c:ptCount val="30"/>
                <c:pt idx="0">
                  <c:v>1</c:v>
                </c:pt>
                <c:pt idx="1">
                  <c:v>3.36</c:v>
                </c:pt>
                <c:pt idx="2">
                  <c:v>2.93</c:v>
                </c:pt>
                <c:pt idx="3">
                  <c:v>2.972</c:v>
                </c:pt>
                <c:pt idx="4">
                  <c:v>3.03</c:v>
                </c:pt>
                <c:pt idx="5">
                  <c:v>3.0590000000000002</c:v>
                </c:pt>
                <c:pt idx="6">
                  <c:v>3.1496</c:v>
                </c:pt>
                <c:pt idx="7">
                  <c:v>3.45</c:v>
                </c:pt>
                <c:pt idx="8">
                  <c:v>3.81</c:v>
                </c:pt>
                <c:pt idx="9">
                  <c:v>3.98</c:v>
                </c:pt>
                <c:pt idx="10">
                  <c:v>4.3089000000000004</c:v>
                </c:pt>
                <c:pt idx="11">
                  <c:v>4.9150999999999998</c:v>
                </c:pt>
                <c:pt idx="12">
                  <c:v>6.5186999999999999</c:v>
                </c:pt>
                <c:pt idx="13">
                  <c:v>8.4700000000000006</c:v>
                </c:pt>
                <c:pt idx="14">
                  <c:v>13.1</c:v>
                </c:pt>
                <c:pt idx="15">
                  <c:v>15.9</c:v>
                </c:pt>
                <c:pt idx="16">
                  <c:v>18.600000000000001</c:v>
                </c:pt>
                <c:pt idx="17">
                  <c:v>37.646500000000003</c:v>
                </c:pt>
                <c:pt idx="18">
                  <c:v>59.89</c:v>
                </c:pt>
                <c:pt idx="19">
                  <c:v>84.1</c:v>
                </c:pt>
                <c:pt idx="20">
                  <c:v>95.092500000000001</c:v>
                </c:pt>
                <c:pt idx="21">
                  <c:v>130.73057947261049</c:v>
                </c:pt>
                <c:pt idx="22">
                  <c:v>295.58596153846173</c:v>
                </c:pt>
                <c:pt idx="23">
                  <c:v>1155.7814615384614</c:v>
                </c:pt>
                <c:pt idx="24">
                  <c:v>1549.8345152528973</c:v>
                </c:pt>
                <c:pt idx="25">
                  <c:v>2078.2363315223079</c:v>
                </c:pt>
                <c:pt idx="26">
                  <c:v>2078.2363315223079</c:v>
                </c:pt>
                <c:pt idx="27">
                  <c:v>2078.2363315223079</c:v>
                </c:pt>
                <c:pt idx="28">
                  <c:v>2078.2363315223079</c:v>
                </c:pt>
                <c:pt idx="29">
                  <c:v>2078.2363315223079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6-40C2-95BE-E4707AE2F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59264"/>
        <c:axId val="552457728"/>
      </c:lineChart>
      <c:catAx>
        <c:axId val="55245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ysClr val="window" lastClr="FFFFFF"/>
          </a:solidFill>
        </c:spPr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456192"/>
        <c:crosses val="autoZero"/>
        <c:auto val="1"/>
        <c:lblAlgn val="ctr"/>
        <c:lblOffset val="100"/>
        <c:noMultiLvlLbl val="0"/>
      </c:catAx>
      <c:valAx>
        <c:axId val="552456192"/>
        <c:scaling>
          <c:orientation val="minMax"/>
        </c:scaling>
        <c:delete val="0"/>
        <c:axPos val="l"/>
        <c:numFmt formatCode="#,##0.0_);\(#,##0.0\)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450304"/>
        <c:crosses val="autoZero"/>
        <c:crossBetween val="between"/>
      </c:valAx>
      <c:valAx>
        <c:axId val="552457728"/>
        <c:scaling>
          <c:orientation val="minMax"/>
          <c:min val="0"/>
        </c:scaling>
        <c:delete val="0"/>
        <c:axPos val="r"/>
        <c:numFmt formatCode="#,##0_);\(#,##0\)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459264"/>
        <c:crosses val="max"/>
        <c:crossBetween val="between"/>
      </c:valAx>
      <c:catAx>
        <c:axId val="552459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245772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0.18469950871525675"/>
          <c:y val="1.8518518518518517E-2"/>
          <c:w val="0.59320782017632412"/>
          <c:h val="0.13127267478735113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56612154249942E-2"/>
          <c:y val="0.10178514144065325"/>
          <c:w val="0.87243670502725623"/>
          <c:h val="0.71380212890055406"/>
        </c:manualLayout>
      </c:layout>
      <c:areaChart>
        <c:grouping val="standard"/>
        <c:varyColors val="0"/>
        <c:ser>
          <c:idx val="0"/>
          <c:order val="0"/>
          <c:tx>
            <c:strRef>
              <c:f>Charts_Support!$A$375</c:f>
              <c:strCache>
                <c:ptCount val="1"/>
                <c:pt idx="0">
                  <c:v>Net Debt/EBITDA- IAS 17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solidFill>
                <a:schemeClr val="bg1">
                  <a:lumMod val="85000"/>
                </a:schemeClr>
              </a:solidFill>
              <a:prstDash val="solid"/>
            </a:ln>
          </c:spPr>
          <c:cat>
            <c:numRef>
              <c:f>Charts_Support!$R$6:$AE$6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 formatCode="###0&quot;E&quot;">
                  <c:v>2024</c:v>
                </c:pt>
                <c:pt idx="8" formatCode="###0&quot;E&quot;">
                  <c:v>2025</c:v>
                </c:pt>
                <c:pt idx="9" formatCode="###0&quot;E&quot;">
                  <c:v>2026</c:v>
                </c:pt>
                <c:pt idx="10" formatCode="###0&quot;E&quot;">
                  <c:v>2027</c:v>
                </c:pt>
                <c:pt idx="11" formatCode="###0&quot;E&quot;">
                  <c:v>2028</c:v>
                </c:pt>
                <c:pt idx="12" formatCode="###0&quot;E&quot;">
                  <c:v>2029</c:v>
                </c:pt>
                <c:pt idx="13" formatCode="###0&quot;E&quot;">
                  <c:v>2030</c:v>
                </c:pt>
              </c:numCache>
            </c:numRef>
          </c:cat>
          <c:val>
            <c:numRef>
              <c:f>Charts_Support!$R$376:$AE$376</c:f>
              <c:numCache>
                <c:formatCode>#,##0.0\x</c:formatCode>
                <c:ptCount val="14"/>
                <c:pt idx="0">
                  <c:v>1.8548823066546767</c:v>
                </c:pt>
                <c:pt idx="1">
                  <c:v>2.8323116531165309</c:v>
                </c:pt>
                <c:pt idx="2">
                  <c:v>2.2348275370073121</c:v>
                </c:pt>
                <c:pt idx="3">
                  <c:v>7.9145366582394843</c:v>
                </c:pt>
                <c:pt idx="4">
                  <c:v>2.8741529489229611</c:v>
                </c:pt>
                <c:pt idx="5">
                  <c:v>2.0808941923348225</c:v>
                </c:pt>
                <c:pt idx="6">
                  <c:v>1.6945396760859255</c:v>
                </c:pt>
                <c:pt idx="7">
                  <c:v>1.9051215634544245</c:v>
                </c:pt>
                <c:pt idx="8">
                  <c:v>1.6706784127048888</c:v>
                </c:pt>
                <c:pt idx="9">
                  <c:v>1.4531558953833097</c:v>
                </c:pt>
                <c:pt idx="10">
                  <c:v>1.2406659525602726</c:v>
                </c:pt>
                <c:pt idx="11">
                  <c:v>1.0776337746598841</c:v>
                </c:pt>
                <c:pt idx="12">
                  <c:v>0.92123235156301964</c:v>
                </c:pt>
                <c:pt idx="13">
                  <c:v>0.7617751776519085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2-4168-B2ED-E428A025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531072"/>
        <c:axId val="552508800"/>
      </c:areaChart>
      <c:lineChart>
        <c:grouping val="standard"/>
        <c:varyColors val="0"/>
        <c:ser>
          <c:idx val="1"/>
          <c:order val="1"/>
          <c:tx>
            <c:strRef>
              <c:f>Charts_Support!$A$302</c:f>
              <c:strCache>
                <c:ptCount val="1"/>
                <c:pt idx="0">
                  <c:v>Dividends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Charts_Support!$R$301:$AE$301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 formatCode="###0&quot;E&quot;">
                  <c:v>2024</c:v>
                </c:pt>
                <c:pt idx="8" formatCode="###0&quot;E&quot;">
                  <c:v>2025</c:v>
                </c:pt>
                <c:pt idx="9" formatCode="###0&quot;E&quot;">
                  <c:v>2026</c:v>
                </c:pt>
                <c:pt idx="10" formatCode="###0&quot;E&quot;">
                  <c:v>2027</c:v>
                </c:pt>
                <c:pt idx="11" formatCode="###0&quot;E&quot;">
                  <c:v>2028</c:v>
                </c:pt>
                <c:pt idx="12" formatCode="###0&quot;E&quot;">
                  <c:v>2029</c:v>
                </c:pt>
                <c:pt idx="13" formatCode="###0&quot;E&quot;">
                  <c:v>2030</c:v>
                </c:pt>
              </c:numCache>
            </c:numRef>
          </c:cat>
          <c:val>
            <c:numRef>
              <c:f>Charts_Support!$R$302:$AE$302</c:f>
              <c:numCache>
                <c:formatCode>#,##0.00_);\(#,##0.00\)</c:formatCode>
                <c:ptCount val="14"/>
                <c:pt idx="0">
                  <c:v>0.86383045148895299</c:v>
                </c:pt>
                <c:pt idx="1">
                  <c:v>0.86182862613690758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1.2000208588957055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2-4168-B2ED-E428A025492F}"/>
            </c:ext>
          </c:extLst>
        </c:ser>
        <c:ser>
          <c:idx val="2"/>
          <c:order val="2"/>
          <c:tx>
            <c:strRef>
              <c:f>Charts_Support!$A$303</c:f>
              <c:strCache>
                <c:ptCount val="1"/>
                <c:pt idx="0">
                  <c:v>EPS</c:v>
                </c:pt>
              </c:strCache>
            </c:strRef>
          </c:tx>
          <c:marker>
            <c:symbol val="none"/>
          </c:marker>
          <c:cat>
            <c:numRef>
              <c:f>Charts_Support!$R$301:$AE$301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 formatCode="###0&quot;E&quot;">
                  <c:v>2024</c:v>
                </c:pt>
                <c:pt idx="8" formatCode="###0&quot;E&quot;">
                  <c:v>2025</c:v>
                </c:pt>
                <c:pt idx="9" formatCode="###0&quot;E&quot;">
                  <c:v>2026</c:v>
                </c:pt>
                <c:pt idx="10" formatCode="###0&quot;E&quot;">
                  <c:v>2027</c:v>
                </c:pt>
                <c:pt idx="11" formatCode="###0&quot;E&quot;">
                  <c:v>2028</c:v>
                </c:pt>
                <c:pt idx="12" formatCode="###0&quot;E&quot;">
                  <c:v>2029</c:v>
                </c:pt>
                <c:pt idx="13" formatCode="###0&quot;E&quot;">
                  <c:v>2030</c:v>
                </c:pt>
              </c:numCache>
            </c:numRef>
          </c:cat>
          <c:val>
            <c:numRef>
              <c:f>Charts_Support!$R$303:$AE$303</c:f>
              <c:numCache>
                <c:formatCode>#,##0.00_);\(#,##0.00\)</c:formatCode>
                <c:ptCount val="14"/>
                <c:pt idx="0">
                  <c:v>1.3082000480307392</c:v>
                </c:pt>
                <c:pt idx="1">
                  <c:v>1.1408006223073228</c:v>
                </c:pt>
                <c:pt idx="2">
                  <c:v>0.9116446034585548</c:v>
                </c:pt>
                <c:pt idx="3">
                  <c:v>-4.4224376863446651</c:v>
                </c:pt>
                <c:pt idx="4">
                  <c:v>0.58178750298115978</c:v>
                </c:pt>
                <c:pt idx="5">
                  <c:v>2.0266829268292659</c:v>
                </c:pt>
                <c:pt idx="6">
                  <c:v>3.4455921946399881</c:v>
                </c:pt>
                <c:pt idx="7">
                  <c:v>1.8038153532335182</c:v>
                </c:pt>
                <c:pt idx="8">
                  <c:v>2.7072657434168819</c:v>
                </c:pt>
                <c:pt idx="9">
                  <c:v>3.6333146399804575</c:v>
                </c:pt>
                <c:pt idx="10">
                  <c:v>4.8196005848819041</c:v>
                </c:pt>
                <c:pt idx="11">
                  <c:v>4.9172121120304002</c:v>
                </c:pt>
                <c:pt idx="12">
                  <c:v>5.1660022406183526</c:v>
                </c:pt>
                <c:pt idx="13">
                  <c:v>5.4088119897491316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E2-4168-B2ED-E428A025492F}"/>
            </c:ext>
          </c:extLst>
        </c:ser>
        <c:ser>
          <c:idx val="3"/>
          <c:order val="3"/>
          <c:tx>
            <c:strRef>
              <c:f>Charts_Support!$A$304</c:f>
              <c:strCache>
                <c:ptCount val="1"/>
                <c:pt idx="0">
                  <c:v>FCF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Charts_Support!$R$301:$AE$301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 formatCode="###0&quot;E&quot;">
                  <c:v>2024</c:v>
                </c:pt>
                <c:pt idx="8" formatCode="###0&quot;E&quot;">
                  <c:v>2025</c:v>
                </c:pt>
                <c:pt idx="9" formatCode="###0&quot;E&quot;">
                  <c:v>2026</c:v>
                </c:pt>
                <c:pt idx="10" formatCode="###0&quot;E&quot;">
                  <c:v>2027</c:v>
                </c:pt>
                <c:pt idx="11" formatCode="###0&quot;E&quot;">
                  <c:v>2028</c:v>
                </c:pt>
                <c:pt idx="12" formatCode="###0&quot;E&quot;">
                  <c:v>2029</c:v>
                </c:pt>
                <c:pt idx="13" formatCode="###0&quot;E&quot;">
                  <c:v>2030</c:v>
                </c:pt>
              </c:numCache>
            </c:numRef>
          </c:cat>
          <c:val>
            <c:numRef>
              <c:f>Charts_Support!$R$304:$AE$304</c:f>
              <c:numCache>
                <c:formatCode>#,##0.00_);\(#,##0.00\)</c:formatCode>
                <c:ptCount val="14"/>
                <c:pt idx="0">
                  <c:v>0.43043828049951816</c:v>
                </c:pt>
                <c:pt idx="1">
                  <c:v>-14.839396840593585</c:v>
                </c:pt>
                <c:pt idx="2">
                  <c:v>5.5454776386404268</c:v>
                </c:pt>
                <c:pt idx="3">
                  <c:v>-3.9711890280262394</c:v>
                </c:pt>
                <c:pt idx="4">
                  <c:v>3.775352969234441</c:v>
                </c:pt>
                <c:pt idx="5">
                  <c:v>2.8198024390243908</c:v>
                </c:pt>
                <c:pt idx="6">
                  <c:v>2.0053130789181171</c:v>
                </c:pt>
                <c:pt idx="7">
                  <c:v>-4.5602192727982125</c:v>
                </c:pt>
                <c:pt idx="8">
                  <c:v>1.6377532011106168</c:v>
                </c:pt>
                <c:pt idx="9">
                  <c:v>3.7544795085630818</c:v>
                </c:pt>
                <c:pt idx="10">
                  <c:v>4.9196015917092648</c:v>
                </c:pt>
                <c:pt idx="11">
                  <c:v>3.8811222196052308</c:v>
                </c:pt>
                <c:pt idx="12">
                  <c:v>3.9609748320010367</c:v>
                </c:pt>
                <c:pt idx="13">
                  <c:v>4.5235994089290408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E2-4168-B2ED-E428A025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505344"/>
        <c:axId val="552506880"/>
      </c:lineChart>
      <c:catAx>
        <c:axId val="55250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506880"/>
        <c:crossesAt val="0"/>
        <c:auto val="1"/>
        <c:lblAlgn val="ctr"/>
        <c:lblOffset val="100"/>
        <c:tickMarkSkip val="1"/>
        <c:noMultiLvlLbl val="0"/>
      </c:catAx>
      <c:valAx>
        <c:axId val="5525068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 sz="9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effectLst/>
                  </a:rPr>
                  <a:t>Mex$mn</a:t>
                </a:r>
                <a:endParaRPr lang="en-US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8.7718370501762455E-2"/>
              <c:y val="0.10320546316149838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505344"/>
        <c:crosses val="autoZero"/>
        <c:crossBetween val="between"/>
      </c:valAx>
      <c:valAx>
        <c:axId val="552508800"/>
        <c:scaling>
          <c:orientation val="minMax"/>
        </c:scaling>
        <c:delete val="0"/>
        <c:axPos val="r"/>
        <c:numFmt formatCode="#,##0.0&quot;x&quot;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531072"/>
        <c:crosses val="max"/>
        <c:crossBetween val="between"/>
      </c:valAx>
      <c:catAx>
        <c:axId val="552531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250880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0683508311461083E-2"/>
          <c:y val="2.5290901137357831E-2"/>
          <c:w val="0.86355161854768159"/>
          <c:h val="8.7729294254884821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793118736622503E-2"/>
          <c:y val="9.0769902052262014E-2"/>
          <c:w val="0.89323628531902965"/>
          <c:h val="0.72551928361637008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Charts_Support!$A$483</c:f>
              <c:strCache>
                <c:ptCount val="1"/>
                <c:pt idx="0">
                  <c:v>Non-store related expenses (% of Revenues)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Charts_Support!$AC$453:$CS$453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Charts_Support!$AC$484:$CS$484</c:f>
              <c:numCache>
                <c:formatCode>0.0%</c:formatCode>
                <c:ptCount val="45"/>
                <c:pt idx="0">
                  <c:v>6.7487487392174556E-2</c:v>
                </c:pt>
                <c:pt idx="1">
                  <c:v>8.4479949579612967E-2</c:v>
                </c:pt>
                <c:pt idx="2">
                  <c:v>8.8921585924080115E-2</c:v>
                </c:pt>
                <c:pt idx="3">
                  <c:v>9.2133984430702198E-2</c:v>
                </c:pt>
                <c:pt idx="4">
                  <c:v>0.11003734527194388</c:v>
                </c:pt>
                <c:pt idx="5">
                  <c:v>7.7171560710075235E-2</c:v>
                </c:pt>
                <c:pt idx="6">
                  <c:v>7.6437056602587372E-2</c:v>
                </c:pt>
                <c:pt idx="7">
                  <c:v>7.587750751607357E-2</c:v>
                </c:pt>
                <c:pt idx="8">
                  <c:v>7.7268748019887951E-2</c:v>
                </c:pt>
                <c:pt idx="9">
                  <c:v>7.883502289460978E-2</c:v>
                </c:pt>
                <c:pt idx="10">
                  <c:v>7.2471134737503606E-2</c:v>
                </c:pt>
                <c:pt idx="11">
                  <c:v>7.3138738827309022E-2</c:v>
                </c:pt>
                <c:pt idx="12">
                  <c:v>7.1874950890775821E-2</c:v>
                </c:pt>
                <c:pt idx="13">
                  <c:v>7.2017905053283218E-2</c:v>
                </c:pt>
                <c:pt idx="14">
                  <c:v>7.4004174044649998E-2</c:v>
                </c:pt>
                <c:pt idx="15">
                  <c:v>6.4354770254065025E-2</c:v>
                </c:pt>
                <c:pt idx="16">
                  <c:v>7.5084770100594611E-2</c:v>
                </c:pt>
                <c:pt idx="17">
                  <c:v>6.9321783252774299E-2</c:v>
                </c:pt>
                <c:pt idx="18">
                  <c:v>6.6320380507435078E-2</c:v>
                </c:pt>
                <c:pt idx="19">
                  <c:v>6.0047579882054176E-2</c:v>
                </c:pt>
                <c:pt idx="20">
                  <c:v>4.9647611285941348E-2</c:v>
                </c:pt>
                <c:pt idx="21">
                  <c:v>6.4720156650685867E-2</c:v>
                </c:pt>
                <c:pt idx="22">
                  <c:v>6.9752849294919553E-2</c:v>
                </c:pt>
                <c:pt idx="23">
                  <c:v>5.4903568869998129E-2</c:v>
                </c:pt>
                <c:pt idx="24">
                  <c:v>5.5035416429951932E-2</c:v>
                </c:pt>
                <c:pt idx="25">
                  <c:v>4.2987619257684212E-2</c:v>
                </c:pt>
                <c:pt idx="26">
                  <c:v>0.13727079865103878</c:v>
                </c:pt>
                <c:pt idx="27">
                  <c:v>7.2721205701409566E-2</c:v>
                </c:pt>
                <c:pt idx="28">
                  <c:v>8.504639359322104E-2</c:v>
                </c:pt>
                <c:pt idx="29">
                  <c:v>7.8079644612060226E-2</c:v>
                </c:pt>
                <c:pt idx="30">
                  <c:v>7.3465814264675078E-2</c:v>
                </c:pt>
                <c:pt idx="31">
                  <c:v>6.0083713782684511E-2</c:v>
                </c:pt>
                <c:pt idx="32">
                  <c:v>9.2161766548060381E-2</c:v>
                </c:pt>
                <c:pt idx="33">
                  <c:v>6.2176138923559665E-2</c:v>
                </c:pt>
                <c:pt idx="34">
                  <c:v>6.1462490867298485E-2</c:v>
                </c:pt>
                <c:pt idx="35">
                  <c:v>5.4015212542675758E-2</c:v>
                </c:pt>
                <c:pt idx="36">
                  <c:v>5.2246160364545227E-2</c:v>
                </c:pt>
                <c:pt idx="37">
                  <c:v>5.0808045694561869E-2</c:v>
                </c:pt>
                <c:pt idx="38">
                  <c:v>6.1991476580968458E-2</c:v>
                </c:pt>
                <c:pt idx="39">
                  <c:v>5.3797760592798026E-2</c:v>
                </c:pt>
                <c:pt idx="40">
                  <c:v>4.182885002516297E-2</c:v>
                </c:pt>
                <c:pt idx="41">
                  <c:v>5.4544876213739928E-2</c:v>
                </c:pt>
                <c:pt idx="42">
                  <c:v>5.4395022842217811E-2</c:v>
                </c:pt>
                <c:pt idx="43">
                  <c:v>5.2000000000000005E-2</c:v>
                </c:pt>
                <c:pt idx="44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C52-8F72-538D04C6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25280"/>
        <c:axId val="552626816"/>
      </c:lineChart>
      <c:scatterChart>
        <c:scatterStyle val="lineMarker"/>
        <c:varyColors val="0"/>
        <c:ser>
          <c:idx val="2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D-4C52-8F72-538D04C6230C}"/>
            </c:ext>
          </c:extLst>
        </c:ser>
        <c:ser>
          <c:idx val="3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D-4C52-8F72-538D04C6230C}"/>
            </c:ext>
          </c:extLst>
        </c:ser>
        <c:ser>
          <c:idx val="4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1D-4C52-8F72-538D04C6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25280"/>
        <c:axId val="552626816"/>
      </c:scatterChart>
      <c:catAx>
        <c:axId val="55262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6268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2626816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6252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GDP</c:v>
          </c:tx>
          <c:marker>
            <c:symbol val="none"/>
          </c:marker>
          <c:dPt>
            <c:idx val="16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1-C6FD-47C7-A63A-1CBF718DC4F4}"/>
              </c:ext>
            </c:extLst>
          </c:dPt>
          <c:dPt>
            <c:idx val="17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C6FD-47C7-A63A-1CBF718DC4F4}"/>
              </c:ext>
            </c:extLst>
          </c:dPt>
          <c:cat>
            <c:numRef>
              <c:f>Charts_Support!$B$808:$AE$808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Charts_Support!$B$809:$AE$809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4.2000000000000003E-2</c:v>
                </c:pt>
                <c:pt idx="4">
                  <c:v>3.1E-2</c:v>
                </c:pt>
                <c:pt idx="5">
                  <c:v>4.9000000000000002E-2</c:v>
                </c:pt>
                <c:pt idx="6">
                  <c:v>3.2000000000000001E-2</c:v>
                </c:pt>
                <c:pt idx="7">
                  <c:v>1.2E-2</c:v>
                </c:pt>
                <c:pt idx="8">
                  <c:v>-6.0999999999999999E-2</c:v>
                </c:pt>
                <c:pt idx="9">
                  <c:v>5.3999999999999999E-2</c:v>
                </c:pt>
                <c:pt idx="10">
                  <c:v>4.0399999999999998E-2</c:v>
                </c:pt>
                <c:pt idx="11">
                  <c:v>3.5532108214104019E-2</c:v>
                </c:pt>
                <c:pt idx="12">
                  <c:v>8.5210151223158448E-3</c:v>
                </c:pt>
                <c:pt idx="13">
                  <c:v>2.5037634374001527E-2</c:v>
                </c:pt>
                <c:pt idx="14">
                  <c:v>2.7023235204256091E-2</c:v>
                </c:pt>
                <c:pt idx="15">
                  <c:v>1.7724931803662303E-2</c:v>
                </c:pt>
                <c:pt idx="16">
                  <c:v>1.8717285674045403E-2</c:v>
                </c:pt>
                <c:pt idx="17">
                  <c:v>1.9720820509635084E-2</c:v>
                </c:pt>
                <c:pt idx="18">
                  <c:v>-2.6051943474039163E-3</c:v>
                </c:pt>
                <c:pt idx="19">
                  <c:v>-8.6161421874233035E-2</c:v>
                </c:pt>
                <c:pt idx="20">
                  <c:v>5.7392083649113301E-2</c:v>
                </c:pt>
                <c:pt idx="21">
                  <c:v>3.9490000237718315E-2</c:v>
                </c:pt>
                <c:pt idx="22">
                  <c:v>3.2287368076647338E-2</c:v>
                </c:pt>
                <c:pt idx="23">
                  <c:v>1.7464451937096486E-2</c:v>
                </c:pt>
                <c:pt idx="24">
                  <c:v>1.6272700474236013E-2</c:v>
                </c:pt>
                <c:pt idx="25">
                  <c:v>1.93553190479634E-2</c:v>
                </c:pt>
                <c:pt idx="26">
                  <c:v>1.93553190479634E-2</c:v>
                </c:pt>
                <c:pt idx="27">
                  <c:v>1.93553190479634E-2</c:v>
                </c:pt>
                <c:pt idx="28">
                  <c:v>1.93553190479634E-2</c:v>
                </c:pt>
                <c:pt idx="29">
                  <c:v>1.93553190479634E-2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FD-47C7-A63A-1CBF718DC4F4}"/>
            </c:ext>
          </c:extLst>
        </c:ser>
        <c:ser>
          <c:idx val="1"/>
          <c:order val="1"/>
          <c:tx>
            <c:v>Inflation</c:v>
          </c:tx>
          <c:marker>
            <c:symbol val="none"/>
          </c:marker>
          <c:dPt>
            <c:idx val="16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C6FD-47C7-A63A-1CBF718DC4F4}"/>
              </c:ext>
            </c:extLst>
          </c:dPt>
          <c:dPt>
            <c:idx val="17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8-C6FD-47C7-A63A-1CBF718DC4F4}"/>
              </c:ext>
            </c:extLst>
          </c:dPt>
          <c:cat>
            <c:numRef>
              <c:f>Charts_Support!$B$808:$AE$808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Charts_Support!$B$810:$AE$810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5.1999999999999998E-2</c:v>
                </c:pt>
                <c:pt idx="4">
                  <c:v>3.3000000000000002E-2</c:v>
                </c:pt>
                <c:pt idx="5">
                  <c:v>4.1000000000000002E-2</c:v>
                </c:pt>
                <c:pt idx="6">
                  <c:v>3.7999999999999999E-2</c:v>
                </c:pt>
                <c:pt idx="7">
                  <c:v>6.5000000000000002E-2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3.4000000000000002E-2</c:v>
                </c:pt>
                <c:pt idx="11">
                  <c:v>3.5682148898864119E-2</c:v>
                </c:pt>
                <c:pt idx="12">
                  <c:v>3.9741486095010048E-2</c:v>
                </c:pt>
                <c:pt idx="13">
                  <c:v>4.0812891473210433E-2</c:v>
                </c:pt>
                <c:pt idx="14">
                  <c:v>2.1307733773755944E-2</c:v>
                </c:pt>
                <c:pt idx="15">
                  <c:v>3.3602555060934236E-2</c:v>
                </c:pt>
                <c:pt idx="16">
                  <c:v>6.7731070524451598E-2</c:v>
                </c:pt>
                <c:pt idx="17">
                  <c:v>4.8305280499506775E-2</c:v>
                </c:pt>
                <c:pt idx="18">
                  <c:v>2.8285769753445988E-2</c:v>
                </c:pt>
                <c:pt idx="19">
                  <c:v>3.1500745747352177E-2</c:v>
                </c:pt>
                <c:pt idx="20">
                  <c:v>7.3551079426380284E-2</c:v>
                </c:pt>
                <c:pt idx="21">
                  <c:v>7.8170286766460872E-2</c:v>
                </c:pt>
                <c:pt idx="22">
                  <c:v>4.6608896408861566E-2</c:v>
                </c:pt>
                <c:pt idx="23">
                  <c:v>3.9895529877053804E-2</c:v>
                </c:pt>
                <c:pt idx="24">
                  <c:v>3.6874784217962642E-2</c:v>
                </c:pt>
                <c:pt idx="25">
                  <c:v>4.3866829932875023E-2</c:v>
                </c:pt>
                <c:pt idx="26">
                  <c:v>4.3866829932875023E-2</c:v>
                </c:pt>
                <c:pt idx="27">
                  <c:v>4.3866829932875023E-2</c:v>
                </c:pt>
                <c:pt idx="28">
                  <c:v>4.3866829932875023E-2</c:v>
                </c:pt>
                <c:pt idx="29">
                  <c:v>4.3866829932875023E-2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FD-47C7-A63A-1CBF718DC4F4}"/>
            </c:ext>
          </c:extLst>
        </c:ser>
        <c:ser>
          <c:idx val="2"/>
          <c:order val="2"/>
          <c:tx>
            <c:v>Interest rate</c:v>
          </c:tx>
          <c:marker>
            <c:symbol val="none"/>
          </c:marker>
          <c:dPt>
            <c:idx val="16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B-C6FD-47C7-A63A-1CBF718DC4F4}"/>
              </c:ext>
            </c:extLst>
          </c:dPt>
          <c:dPt>
            <c:idx val="17"/>
            <c:bubble3D val="0"/>
            <c:spPr>
              <a:ln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D-C6FD-47C7-A63A-1CBF718DC4F4}"/>
              </c:ext>
            </c:extLst>
          </c:dPt>
          <c:cat>
            <c:numRef>
              <c:f>Charts_Support!$B$808:$AE$808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Charts_Support!$B$812:$AE$812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8.7499999999999994E-2</c:v>
                </c:pt>
                <c:pt idx="4">
                  <c:v>8.2500000000000004E-2</c:v>
                </c:pt>
                <c:pt idx="5">
                  <c:v>7.0000000000000007E-2</c:v>
                </c:pt>
                <c:pt idx="6">
                  <c:v>7.4999999999999997E-2</c:v>
                </c:pt>
                <c:pt idx="7">
                  <c:v>8.2500000000000004E-2</c:v>
                </c:pt>
                <c:pt idx="8">
                  <c:v>4.4999999999999998E-2</c:v>
                </c:pt>
                <c:pt idx="9">
                  <c:v>4.4999999999999998E-2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3.5000000000000003E-2</c:v>
                </c:pt>
                <c:pt idx="13">
                  <c:v>0.03</c:v>
                </c:pt>
                <c:pt idx="14">
                  <c:v>3.2500000000000001E-2</c:v>
                </c:pt>
                <c:pt idx="15">
                  <c:v>5.7500000000000002E-2</c:v>
                </c:pt>
                <c:pt idx="16">
                  <c:v>7.2499999999999995E-2</c:v>
                </c:pt>
                <c:pt idx="17">
                  <c:v>8.2500000000000004E-2</c:v>
                </c:pt>
                <c:pt idx="18">
                  <c:v>7.2499999999999995E-2</c:v>
                </c:pt>
                <c:pt idx="19">
                  <c:v>4.2500000000000003E-2</c:v>
                </c:pt>
                <c:pt idx="20">
                  <c:v>5.5E-2</c:v>
                </c:pt>
                <c:pt idx="21">
                  <c:v>0.105</c:v>
                </c:pt>
                <c:pt idx="22">
                  <c:v>0.1125</c:v>
                </c:pt>
                <c:pt idx="23">
                  <c:v>9.7500000000000003E-2</c:v>
                </c:pt>
                <c:pt idx="24">
                  <c:v>7.7499999999999999E-2</c:v>
                </c:pt>
                <c:pt idx="25">
                  <c:v>6.5909090909090903E-2</c:v>
                </c:pt>
                <c:pt idx="26">
                  <c:v>6.5909090909090903E-2</c:v>
                </c:pt>
                <c:pt idx="27">
                  <c:v>6.5909090909090903E-2</c:v>
                </c:pt>
                <c:pt idx="28">
                  <c:v>6.5909090909090903E-2</c:v>
                </c:pt>
                <c:pt idx="29">
                  <c:v>6.5909090909090903E-2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FD-47C7-A63A-1CBF718DC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58432"/>
        <c:axId val="552659968"/>
      </c:lineChart>
      <c:catAx>
        <c:axId val="5526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52659968"/>
        <c:crosses val="autoZero"/>
        <c:auto val="1"/>
        <c:lblAlgn val="ctr"/>
        <c:lblOffset val="100"/>
        <c:noMultiLvlLbl val="0"/>
      </c:catAx>
      <c:valAx>
        <c:axId val="55265996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5526584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"/>
          <c:y val="0"/>
          <c:w val="1"/>
          <c:h val="8.371719160104987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Charts_Support!$B$816:$AE$816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639</c:v>
                </c:pt>
                <c:pt idx="6">
                  <c:v>745</c:v>
                </c:pt>
                <c:pt idx="7">
                  <c:v>831</c:v>
                </c:pt>
                <c:pt idx="8">
                  <c:v>836</c:v>
                </c:pt>
                <c:pt idx="9">
                  <c:v>873</c:v>
                </c:pt>
                <c:pt idx="10">
                  <c:v>905</c:v>
                </c:pt>
                <c:pt idx="11">
                  <c:v>953</c:v>
                </c:pt>
                <c:pt idx="12">
                  <c:v>1128</c:v>
                </c:pt>
                <c:pt idx="13">
                  <c:v>1532</c:v>
                </c:pt>
                <c:pt idx="14">
                  <c:v>1594</c:v>
                </c:pt>
                <c:pt idx="15">
                  <c:v>1698</c:v>
                </c:pt>
                <c:pt idx="16">
                  <c:v>1813</c:v>
                </c:pt>
                <c:pt idx="17">
                  <c:v>1917</c:v>
                </c:pt>
                <c:pt idx="18">
                  <c:v>1916</c:v>
                </c:pt>
                <c:pt idx="19">
                  <c:v>1821</c:v>
                </c:pt>
                <c:pt idx="20">
                  <c:v>1789</c:v>
                </c:pt>
                <c:pt idx="21">
                  <c:v>1833</c:v>
                </c:pt>
                <c:pt idx="22">
                  <c:v>1851</c:v>
                </c:pt>
                <c:pt idx="23">
                  <c:v>1903</c:v>
                </c:pt>
                <c:pt idx="24">
                  <c:v>1968</c:v>
                </c:pt>
                <c:pt idx="25">
                  <c:v>2020</c:v>
                </c:pt>
                <c:pt idx="26">
                  <c:v>2065</c:v>
                </c:pt>
                <c:pt idx="27">
                  <c:v>2110</c:v>
                </c:pt>
                <c:pt idx="28">
                  <c:v>2155</c:v>
                </c:pt>
                <c:pt idx="29">
                  <c:v>2193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0-48EC-8214-F220A69416C7}"/>
            </c:ext>
          </c:extLst>
        </c:ser>
        <c:ser>
          <c:idx val="2"/>
          <c:order val="2"/>
          <c:tx>
            <c:strRef>
              <c:f>Charts_Support!$A$817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Charts_Support!$B$817:$AE$817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639</c:v>
                </c:pt>
                <c:pt idx="6">
                  <c:v>745</c:v>
                </c:pt>
                <c:pt idx="7">
                  <c:v>831</c:v>
                </c:pt>
                <c:pt idx="8">
                  <c:v>836</c:v>
                </c:pt>
                <c:pt idx="9">
                  <c:v>873</c:v>
                </c:pt>
                <c:pt idx="10">
                  <c:v>905</c:v>
                </c:pt>
                <c:pt idx="11">
                  <c:v>953</c:v>
                </c:pt>
                <c:pt idx="12">
                  <c:v>1128</c:v>
                </c:pt>
                <c:pt idx="13">
                  <c:v>1532</c:v>
                </c:pt>
                <c:pt idx="14">
                  <c:v>1594</c:v>
                </c:pt>
                <c:pt idx="15">
                  <c:v>1698</c:v>
                </c:pt>
                <c:pt idx="16">
                  <c:v>1813</c:v>
                </c:pt>
                <c:pt idx="17">
                  <c:v>1917</c:v>
                </c:pt>
                <c:pt idx="18">
                  <c:v>1916</c:v>
                </c:pt>
                <c:pt idx="19">
                  <c:v>1821</c:v>
                </c:pt>
                <c:pt idx="20">
                  <c:v>1789</c:v>
                </c:pt>
                <c:pt idx="21">
                  <c:v>1833</c:v>
                </c:pt>
                <c:pt idx="22">
                  <c:v>1851</c:v>
                </c:pt>
                <c:pt idx="23">
                  <c:v>1900</c:v>
                </c:pt>
                <c:pt idx="24">
                  <c:v>1951</c:v>
                </c:pt>
                <c:pt idx="25">
                  <c:v>1993</c:v>
                </c:pt>
                <c:pt idx="26">
                  <c:v>2028</c:v>
                </c:pt>
                <c:pt idx="27">
                  <c:v>2063</c:v>
                </c:pt>
                <c:pt idx="28">
                  <c:v>2098</c:v>
                </c:pt>
                <c:pt idx="29">
                  <c:v>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0-48EC-8214-F220A694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7488"/>
        <c:axId val="552689024"/>
      </c:areaChart>
      <c:lineChart>
        <c:grouping val="standard"/>
        <c:varyColors val="0"/>
        <c:ser>
          <c:idx val="0"/>
          <c:order val="0"/>
          <c:tx>
            <c:strRef>
              <c:f>Charts_Support!$A$815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Charts_Support!$B$815:$AE$815</c:f>
              <c:numCache>
                <c:formatCode>#,##0_);\(#,##0\)</c:formatCode>
                <c:ptCount val="30"/>
                <c:pt idx="0">
                  <c:v>283</c:v>
                </c:pt>
                <c:pt idx="1">
                  <c:v>342</c:v>
                </c:pt>
                <c:pt idx="2">
                  <c:v>363</c:v>
                </c:pt>
                <c:pt idx="3">
                  <c:v>425</c:v>
                </c:pt>
                <c:pt idx="4">
                  <c:v>559</c:v>
                </c:pt>
                <c:pt idx="5">
                  <c:v>639</c:v>
                </c:pt>
                <c:pt idx="6">
                  <c:v>745</c:v>
                </c:pt>
                <c:pt idx="7">
                  <c:v>831</c:v>
                </c:pt>
                <c:pt idx="8">
                  <c:v>836</c:v>
                </c:pt>
                <c:pt idx="9">
                  <c:v>873</c:v>
                </c:pt>
                <c:pt idx="10">
                  <c:v>905</c:v>
                </c:pt>
                <c:pt idx="11">
                  <c:v>953</c:v>
                </c:pt>
                <c:pt idx="12">
                  <c:v>1128</c:v>
                </c:pt>
                <c:pt idx="13">
                  <c:v>1532</c:v>
                </c:pt>
                <c:pt idx="14">
                  <c:v>1594</c:v>
                </c:pt>
                <c:pt idx="15">
                  <c:v>1698</c:v>
                </c:pt>
                <c:pt idx="16">
                  <c:v>1813</c:v>
                </c:pt>
                <c:pt idx="17">
                  <c:v>1917</c:v>
                </c:pt>
                <c:pt idx="18">
                  <c:v>1916</c:v>
                </c:pt>
                <c:pt idx="19">
                  <c:v>1821</c:v>
                </c:pt>
                <c:pt idx="20">
                  <c:v>1789</c:v>
                </c:pt>
                <c:pt idx="21">
                  <c:v>1833</c:v>
                </c:pt>
                <c:pt idx="22">
                  <c:v>1851</c:v>
                </c:pt>
                <c:pt idx="23">
                  <c:v>1903</c:v>
                </c:pt>
                <c:pt idx="24">
                  <c:v>1968</c:v>
                </c:pt>
                <c:pt idx="25">
                  <c:v>2020</c:v>
                </c:pt>
                <c:pt idx="26">
                  <c:v>2065</c:v>
                </c:pt>
                <c:pt idx="27">
                  <c:v>2110</c:v>
                </c:pt>
                <c:pt idx="28">
                  <c:v>2155</c:v>
                </c:pt>
                <c:pt idx="29">
                  <c:v>2193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0-48EC-8214-F220A694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87488"/>
        <c:axId val="552689024"/>
      </c:lineChart>
      <c:catAx>
        <c:axId val="55268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689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68902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6874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Charts_Support!$O$821:$AE$821</c:f>
              <c:numCache>
                <c:formatCode>#,##0_);\(#,##0\)</c:formatCode>
                <c:ptCount val="17"/>
                <c:pt idx="0">
                  <c:v>302</c:v>
                </c:pt>
                <c:pt idx="1">
                  <c:v>313</c:v>
                </c:pt>
                <c:pt idx="2">
                  <c:v>344</c:v>
                </c:pt>
                <c:pt idx="3">
                  <c:v>381</c:v>
                </c:pt>
                <c:pt idx="4">
                  <c:v>420</c:v>
                </c:pt>
                <c:pt idx="5">
                  <c:v>888</c:v>
                </c:pt>
                <c:pt idx="6">
                  <c:v>862</c:v>
                </c:pt>
                <c:pt idx="7">
                  <c:v>878</c:v>
                </c:pt>
                <c:pt idx="8">
                  <c:v>928</c:v>
                </c:pt>
                <c:pt idx="9">
                  <c:v>976</c:v>
                </c:pt>
                <c:pt idx="10">
                  <c:v>1011</c:v>
                </c:pt>
                <c:pt idx="11">
                  <c:v>1038</c:v>
                </c:pt>
                <c:pt idx="12">
                  <c:v>1060</c:v>
                </c:pt>
                <c:pt idx="13">
                  <c:v>1079</c:v>
                </c:pt>
                <c:pt idx="14">
                  <c:v>1098</c:v>
                </c:pt>
                <c:pt idx="15">
                  <c:v>1117</c:v>
                </c:pt>
                <c:pt idx="16">
                  <c:v>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90-4A43-9ED0-70843F7C4201}"/>
            </c:ext>
          </c:extLst>
        </c:ser>
        <c:ser>
          <c:idx val="2"/>
          <c:order val="2"/>
          <c:tx>
            <c:strRef>
              <c:f>Charts_Support!$A$822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Charts_Support!$O$822:$AE$822</c:f>
              <c:numCache>
                <c:formatCode>#,##0_);\(#,##0\)</c:formatCode>
                <c:ptCount val="17"/>
                <c:pt idx="0">
                  <c:v>302</c:v>
                </c:pt>
                <c:pt idx="1">
                  <c:v>313</c:v>
                </c:pt>
                <c:pt idx="2">
                  <c:v>344</c:v>
                </c:pt>
                <c:pt idx="3">
                  <c:v>381</c:v>
                </c:pt>
                <c:pt idx="4">
                  <c:v>420</c:v>
                </c:pt>
                <c:pt idx="5">
                  <c:v>888</c:v>
                </c:pt>
                <c:pt idx="6">
                  <c:v>862</c:v>
                </c:pt>
                <c:pt idx="7">
                  <c:v>878</c:v>
                </c:pt>
                <c:pt idx="8">
                  <c:v>928</c:v>
                </c:pt>
                <c:pt idx="9">
                  <c:v>976</c:v>
                </c:pt>
                <c:pt idx="10">
                  <c:v>1007</c:v>
                </c:pt>
                <c:pt idx="11">
                  <c:v>1029</c:v>
                </c:pt>
                <c:pt idx="12">
                  <c:v>1046</c:v>
                </c:pt>
                <c:pt idx="13">
                  <c:v>1061</c:v>
                </c:pt>
                <c:pt idx="14">
                  <c:v>1076</c:v>
                </c:pt>
                <c:pt idx="15">
                  <c:v>1091</c:v>
                </c:pt>
                <c:pt idx="16">
                  <c:v>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90-4A43-9ED0-70843F7C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741504"/>
        <c:axId val="552743296"/>
      </c:areaChart>
      <c:lineChart>
        <c:grouping val="standard"/>
        <c:varyColors val="0"/>
        <c:ser>
          <c:idx val="0"/>
          <c:order val="0"/>
          <c:tx>
            <c:strRef>
              <c:f>Charts_Support!$A$820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Charts_Support!$O$820:$AE$820</c:f>
              <c:numCache>
                <c:formatCode>#,##0_);\(#,##0\)</c:formatCode>
                <c:ptCount val="17"/>
                <c:pt idx="0">
                  <c:v>302</c:v>
                </c:pt>
                <c:pt idx="1">
                  <c:v>313</c:v>
                </c:pt>
                <c:pt idx="2">
                  <c:v>344</c:v>
                </c:pt>
                <c:pt idx="3">
                  <c:v>381</c:v>
                </c:pt>
                <c:pt idx="4">
                  <c:v>420</c:v>
                </c:pt>
                <c:pt idx="5">
                  <c:v>888</c:v>
                </c:pt>
                <c:pt idx="6">
                  <c:v>862</c:v>
                </c:pt>
                <c:pt idx="7">
                  <c:v>878</c:v>
                </c:pt>
                <c:pt idx="8">
                  <c:v>928</c:v>
                </c:pt>
                <c:pt idx="9">
                  <c:v>976</c:v>
                </c:pt>
                <c:pt idx="10">
                  <c:v>1011</c:v>
                </c:pt>
                <c:pt idx="11">
                  <c:v>1038</c:v>
                </c:pt>
                <c:pt idx="12">
                  <c:v>1060</c:v>
                </c:pt>
                <c:pt idx="13">
                  <c:v>1079</c:v>
                </c:pt>
                <c:pt idx="14">
                  <c:v>1098</c:v>
                </c:pt>
                <c:pt idx="15">
                  <c:v>1117</c:v>
                </c:pt>
                <c:pt idx="16">
                  <c:v>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90-4A43-9ED0-70843F7C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41504"/>
        <c:axId val="552743296"/>
      </c:lineChart>
      <c:catAx>
        <c:axId val="5527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74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7432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741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Charts_Support!$G$826:$AE$826</c:f>
              <c:numCache>
                <c:formatCode>#,##0_);\(#,##0\)</c:formatCode>
                <c:ptCount val="25"/>
                <c:pt idx="0">
                  <c:v>50</c:v>
                </c:pt>
                <c:pt idx="1">
                  <c:v>61</c:v>
                </c:pt>
                <c:pt idx="2">
                  <c:v>98</c:v>
                </c:pt>
                <c:pt idx="3">
                  <c:v>116</c:v>
                </c:pt>
                <c:pt idx="4">
                  <c:v>138</c:v>
                </c:pt>
                <c:pt idx="5">
                  <c:v>172</c:v>
                </c:pt>
                <c:pt idx="6">
                  <c:v>208</c:v>
                </c:pt>
                <c:pt idx="7">
                  <c:v>283</c:v>
                </c:pt>
                <c:pt idx="8">
                  <c:v>327</c:v>
                </c:pt>
                <c:pt idx="9">
                  <c:v>376</c:v>
                </c:pt>
                <c:pt idx="10">
                  <c:v>460</c:v>
                </c:pt>
                <c:pt idx="11">
                  <c:v>522</c:v>
                </c:pt>
                <c:pt idx="12">
                  <c:v>610</c:v>
                </c:pt>
                <c:pt idx="13">
                  <c:v>615</c:v>
                </c:pt>
                <c:pt idx="14">
                  <c:v>601</c:v>
                </c:pt>
                <c:pt idx="15">
                  <c:v>622</c:v>
                </c:pt>
                <c:pt idx="16">
                  <c:v>675</c:v>
                </c:pt>
                <c:pt idx="17">
                  <c:v>725</c:v>
                </c:pt>
                <c:pt idx="18">
                  <c:v>755</c:v>
                </c:pt>
                <c:pt idx="19">
                  <c:v>774</c:v>
                </c:pt>
                <c:pt idx="20">
                  <c:v>788</c:v>
                </c:pt>
                <c:pt idx="21">
                  <c:v>800</c:v>
                </c:pt>
                <c:pt idx="22">
                  <c:v>812</c:v>
                </c:pt>
                <c:pt idx="23">
                  <c:v>824</c:v>
                </c:pt>
                <c:pt idx="24">
                  <c:v>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C-412B-94AB-DA3B2A403973}"/>
            </c:ext>
          </c:extLst>
        </c:ser>
        <c:ser>
          <c:idx val="2"/>
          <c:order val="2"/>
          <c:tx>
            <c:strRef>
              <c:f>Charts_Support!$A$827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Charts_Support!$G$827:$AE$827</c:f>
              <c:numCache>
                <c:formatCode>#,##0_);\(#,##0\)</c:formatCode>
                <c:ptCount val="25"/>
                <c:pt idx="0">
                  <c:v>50</c:v>
                </c:pt>
                <c:pt idx="1">
                  <c:v>61</c:v>
                </c:pt>
                <c:pt idx="2">
                  <c:v>98</c:v>
                </c:pt>
                <c:pt idx="3">
                  <c:v>116</c:v>
                </c:pt>
                <c:pt idx="4">
                  <c:v>138</c:v>
                </c:pt>
                <c:pt idx="5">
                  <c:v>172</c:v>
                </c:pt>
                <c:pt idx="6">
                  <c:v>208</c:v>
                </c:pt>
                <c:pt idx="7">
                  <c:v>283</c:v>
                </c:pt>
                <c:pt idx="8">
                  <c:v>327</c:v>
                </c:pt>
                <c:pt idx="9">
                  <c:v>376</c:v>
                </c:pt>
                <c:pt idx="10">
                  <c:v>460</c:v>
                </c:pt>
                <c:pt idx="11">
                  <c:v>522</c:v>
                </c:pt>
                <c:pt idx="12">
                  <c:v>610</c:v>
                </c:pt>
                <c:pt idx="13">
                  <c:v>615</c:v>
                </c:pt>
                <c:pt idx="14">
                  <c:v>601</c:v>
                </c:pt>
                <c:pt idx="15">
                  <c:v>622</c:v>
                </c:pt>
                <c:pt idx="16">
                  <c:v>675</c:v>
                </c:pt>
                <c:pt idx="17">
                  <c:v>725</c:v>
                </c:pt>
                <c:pt idx="18">
                  <c:v>750</c:v>
                </c:pt>
                <c:pt idx="19">
                  <c:v>765</c:v>
                </c:pt>
                <c:pt idx="20">
                  <c:v>775</c:v>
                </c:pt>
                <c:pt idx="21">
                  <c:v>786</c:v>
                </c:pt>
                <c:pt idx="22">
                  <c:v>797</c:v>
                </c:pt>
                <c:pt idx="23">
                  <c:v>808</c:v>
                </c:pt>
                <c:pt idx="24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C-412B-94AB-DA3B2A403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787968"/>
        <c:axId val="552789504"/>
      </c:areaChart>
      <c:lineChart>
        <c:grouping val="standard"/>
        <c:varyColors val="0"/>
        <c:ser>
          <c:idx val="0"/>
          <c:order val="0"/>
          <c:tx>
            <c:strRef>
              <c:f>Charts_Support!$A$825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Charts_Support!$G$6:$AE$6</c:f>
              <c:numCache>
                <c:formatCode>General</c:formatCode>
                <c:ptCount val="2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 formatCode="###0&quot;E&quot;">
                  <c:v>2024</c:v>
                </c:pt>
                <c:pt idx="19" formatCode="###0&quot;E&quot;">
                  <c:v>2025</c:v>
                </c:pt>
                <c:pt idx="20" formatCode="###0&quot;E&quot;">
                  <c:v>2026</c:v>
                </c:pt>
                <c:pt idx="21" formatCode="###0&quot;E&quot;">
                  <c:v>2027</c:v>
                </c:pt>
                <c:pt idx="22" formatCode="###0&quot;E&quot;">
                  <c:v>2028</c:v>
                </c:pt>
                <c:pt idx="23" formatCode="###0&quot;E&quot;">
                  <c:v>2029</c:v>
                </c:pt>
                <c:pt idx="24" formatCode="###0&quot;E&quot;">
                  <c:v>2030</c:v>
                </c:pt>
              </c:numCache>
            </c:numRef>
          </c:cat>
          <c:val>
            <c:numRef>
              <c:f>Charts_Support!$G$825:$AE$825</c:f>
              <c:numCache>
                <c:formatCode>#,##0_);\(#,##0\)</c:formatCode>
                <c:ptCount val="25"/>
                <c:pt idx="0">
                  <c:v>50</c:v>
                </c:pt>
                <c:pt idx="1">
                  <c:v>61</c:v>
                </c:pt>
                <c:pt idx="2">
                  <c:v>98</c:v>
                </c:pt>
                <c:pt idx="3">
                  <c:v>116</c:v>
                </c:pt>
                <c:pt idx="4">
                  <c:v>138</c:v>
                </c:pt>
                <c:pt idx="5">
                  <c:v>172</c:v>
                </c:pt>
                <c:pt idx="6">
                  <c:v>208</c:v>
                </c:pt>
                <c:pt idx="7">
                  <c:v>283</c:v>
                </c:pt>
                <c:pt idx="8">
                  <c:v>327</c:v>
                </c:pt>
                <c:pt idx="9">
                  <c:v>376</c:v>
                </c:pt>
                <c:pt idx="10">
                  <c:v>460</c:v>
                </c:pt>
                <c:pt idx="11">
                  <c:v>522</c:v>
                </c:pt>
                <c:pt idx="12">
                  <c:v>610</c:v>
                </c:pt>
                <c:pt idx="13">
                  <c:v>615</c:v>
                </c:pt>
                <c:pt idx="14">
                  <c:v>601</c:v>
                </c:pt>
                <c:pt idx="15">
                  <c:v>622</c:v>
                </c:pt>
                <c:pt idx="16">
                  <c:v>675</c:v>
                </c:pt>
                <c:pt idx="17">
                  <c:v>725</c:v>
                </c:pt>
                <c:pt idx="18">
                  <c:v>755</c:v>
                </c:pt>
                <c:pt idx="19">
                  <c:v>774</c:v>
                </c:pt>
                <c:pt idx="20">
                  <c:v>788</c:v>
                </c:pt>
                <c:pt idx="21">
                  <c:v>800</c:v>
                </c:pt>
                <c:pt idx="22">
                  <c:v>812</c:v>
                </c:pt>
                <c:pt idx="23">
                  <c:v>824</c:v>
                </c:pt>
                <c:pt idx="24">
                  <c:v>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5C-412B-94AB-DA3B2A403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87968"/>
        <c:axId val="552789504"/>
      </c:lineChart>
      <c:catAx>
        <c:axId val="55278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789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78950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27879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Charts_Support!$B$831:$AE$831</c:f>
              <c:numCache>
                <c:formatCode>General</c:formatCode>
                <c:ptCount val="30"/>
                <c:pt idx="0">
                  <c:v>#N/A</c:v>
                </c:pt>
                <c:pt idx="1">
                  <c:v>59</c:v>
                </c:pt>
                <c:pt idx="2">
                  <c:v>21</c:v>
                </c:pt>
                <c:pt idx="3">
                  <c:v>62</c:v>
                </c:pt>
                <c:pt idx="4">
                  <c:v>134</c:v>
                </c:pt>
                <c:pt idx="5">
                  <c:v>80</c:v>
                </c:pt>
                <c:pt idx="6">
                  <c:v>106</c:v>
                </c:pt>
                <c:pt idx="7">
                  <c:v>86</c:v>
                </c:pt>
                <c:pt idx="8">
                  <c:v>5</c:v>
                </c:pt>
                <c:pt idx="9">
                  <c:v>37</c:v>
                </c:pt>
                <c:pt idx="10">
                  <c:v>32</c:v>
                </c:pt>
                <c:pt idx="11">
                  <c:v>48</c:v>
                </c:pt>
                <c:pt idx="12">
                  <c:v>175</c:v>
                </c:pt>
                <c:pt idx="13">
                  <c:v>404</c:v>
                </c:pt>
                <c:pt idx="14">
                  <c:v>62</c:v>
                </c:pt>
                <c:pt idx="15">
                  <c:v>104</c:v>
                </c:pt>
                <c:pt idx="16">
                  <c:v>115</c:v>
                </c:pt>
                <c:pt idx="17">
                  <c:v>104</c:v>
                </c:pt>
                <c:pt idx="18">
                  <c:v>-1</c:v>
                </c:pt>
                <c:pt idx="19">
                  <c:v>-95</c:v>
                </c:pt>
                <c:pt idx="20">
                  <c:v>-32</c:v>
                </c:pt>
                <c:pt idx="21">
                  <c:v>44</c:v>
                </c:pt>
                <c:pt idx="22">
                  <c:v>18</c:v>
                </c:pt>
                <c:pt idx="23">
                  <c:v>52</c:v>
                </c:pt>
                <c:pt idx="24">
                  <c:v>65</c:v>
                </c:pt>
                <c:pt idx="25">
                  <c:v>52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4456-B788-5CE1B7E2BDA5}"/>
            </c:ext>
          </c:extLst>
        </c:ser>
        <c:ser>
          <c:idx val="2"/>
          <c:order val="2"/>
          <c:tx>
            <c:strRef>
              <c:f>Charts_Support!$A$832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Charts_Support!$B$832:$AE$832</c:f>
              <c:numCache>
                <c:formatCode>General</c:formatCode>
                <c:ptCount val="30"/>
                <c:pt idx="0">
                  <c:v>#N/A</c:v>
                </c:pt>
                <c:pt idx="1">
                  <c:v>59</c:v>
                </c:pt>
                <c:pt idx="2">
                  <c:v>21</c:v>
                </c:pt>
                <c:pt idx="3">
                  <c:v>62</c:v>
                </c:pt>
                <c:pt idx="4">
                  <c:v>134</c:v>
                </c:pt>
                <c:pt idx="5">
                  <c:v>80</c:v>
                </c:pt>
                <c:pt idx="6">
                  <c:v>106</c:v>
                </c:pt>
                <c:pt idx="7">
                  <c:v>86</c:v>
                </c:pt>
                <c:pt idx="8">
                  <c:v>5</c:v>
                </c:pt>
                <c:pt idx="9">
                  <c:v>37</c:v>
                </c:pt>
                <c:pt idx="10">
                  <c:v>32</c:v>
                </c:pt>
                <c:pt idx="11">
                  <c:v>48</c:v>
                </c:pt>
                <c:pt idx="12">
                  <c:v>175</c:v>
                </c:pt>
                <c:pt idx="13">
                  <c:v>404</c:v>
                </c:pt>
                <c:pt idx="14">
                  <c:v>62</c:v>
                </c:pt>
                <c:pt idx="15">
                  <c:v>104</c:v>
                </c:pt>
                <c:pt idx="16">
                  <c:v>115</c:v>
                </c:pt>
                <c:pt idx="17">
                  <c:v>104</c:v>
                </c:pt>
                <c:pt idx="18">
                  <c:v>-1</c:v>
                </c:pt>
                <c:pt idx="19">
                  <c:v>-95</c:v>
                </c:pt>
                <c:pt idx="20">
                  <c:v>-32</c:v>
                </c:pt>
                <c:pt idx="21">
                  <c:v>44</c:v>
                </c:pt>
                <c:pt idx="22">
                  <c:v>18</c:v>
                </c:pt>
                <c:pt idx="23">
                  <c:v>49</c:v>
                </c:pt>
                <c:pt idx="24">
                  <c:v>51</c:v>
                </c:pt>
                <c:pt idx="25">
                  <c:v>42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7-4456-B788-5CE1B7E2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006976"/>
        <c:axId val="553008512"/>
      </c:areaChart>
      <c:lineChart>
        <c:grouping val="standard"/>
        <c:varyColors val="0"/>
        <c:ser>
          <c:idx val="0"/>
          <c:order val="0"/>
          <c:tx>
            <c:strRef>
              <c:f>Charts_Support!$A$830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Charts_Support!$B$830:$AE$830</c:f>
              <c:numCache>
                <c:formatCode>General</c:formatCode>
                <c:ptCount val="30"/>
                <c:pt idx="0">
                  <c:v>#N/A</c:v>
                </c:pt>
                <c:pt idx="1">
                  <c:v>59</c:v>
                </c:pt>
                <c:pt idx="2">
                  <c:v>21</c:v>
                </c:pt>
                <c:pt idx="3">
                  <c:v>62</c:v>
                </c:pt>
                <c:pt idx="4">
                  <c:v>134</c:v>
                </c:pt>
                <c:pt idx="5">
                  <c:v>80</c:v>
                </c:pt>
                <c:pt idx="6">
                  <c:v>106</c:v>
                </c:pt>
                <c:pt idx="7">
                  <c:v>86</c:v>
                </c:pt>
                <c:pt idx="8">
                  <c:v>5</c:v>
                </c:pt>
                <c:pt idx="9">
                  <c:v>37</c:v>
                </c:pt>
                <c:pt idx="10">
                  <c:v>32</c:v>
                </c:pt>
                <c:pt idx="11">
                  <c:v>48</c:v>
                </c:pt>
                <c:pt idx="12">
                  <c:v>175</c:v>
                </c:pt>
                <c:pt idx="13">
                  <c:v>404</c:v>
                </c:pt>
                <c:pt idx="14">
                  <c:v>62</c:v>
                </c:pt>
                <c:pt idx="15">
                  <c:v>104</c:v>
                </c:pt>
                <c:pt idx="16">
                  <c:v>115</c:v>
                </c:pt>
                <c:pt idx="17">
                  <c:v>104</c:v>
                </c:pt>
                <c:pt idx="18">
                  <c:v>-1</c:v>
                </c:pt>
                <c:pt idx="19">
                  <c:v>-95</c:v>
                </c:pt>
                <c:pt idx="20">
                  <c:v>-32</c:v>
                </c:pt>
                <c:pt idx="21">
                  <c:v>44</c:v>
                </c:pt>
                <c:pt idx="22">
                  <c:v>18</c:v>
                </c:pt>
                <c:pt idx="23">
                  <c:v>52</c:v>
                </c:pt>
                <c:pt idx="24">
                  <c:v>65</c:v>
                </c:pt>
                <c:pt idx="25">
                  <c:v>52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07-4456-B788-5CE1B7E2BDA5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07-4456-B788-5CE1B7E2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006976"/>
        <c:axId val="553008512"/>
      </c:lineChart>
      <c:catAx>
        <c:axId val="5530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08512"/>
        <c:crossesAt val="-50"/>
        <c:auto val="1"/>
        <c:lblAlgn val="ctr"/>
        <c:lblOffset val="100"/>
        <c:tickLblSkip val="1"/>
        <c:tickMarkSkip val="1"/>
        <c:noMultiLvlLbl val="0"/>
      </c:catAx>
      <c:valAx>
        <c:axId val="553008512"/>
        <c:scaling>
          <c:orientation val="minMax"/>
          <c:min val="-5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069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5535884961793844"/>
          <c:y val="5.8631895851187457E-2"/>
          <c:w val="0.20406740157480313"/>
          <c:h val="0.14332053729900726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Charts_Support!$F$836:$AE$836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11</c:v>
                </c:pt>
                <c:pt idx="3">
                  <c:v>37</c:v>
                </c:pt>
                <c:pt idx="4">
                  <c:v>18</c:v>
                </c:pt>
                <c:pt idx="5">
                  <c:v>22</c:v>
                </c:pt>
                <c:pt idx="6">
                  <c:v>34</c:v>
                </c:pt>
                <c:pt idx="7">
                  <c:v>36</c:v>
                </c:pt>
                <c:pt idx="8">
                  <c:v>75</c:v>
                </c:pt>
                <c:pt idx="9">
                  <c:v>44</c:v>
                </c:pt>
                <c:pt idx="10">
                  <c:v>49</c:v>
                </c:pt>
                <c:pt idx="11">
                  <c:v>84</c:v>
                </c:pt>
                <c:pt idx="12">
                  <c:v>62</c:v>
                </c:pt>
                <c:pt idx="13">
                  <c:v>88</c:v>
                </c:pt>
                <c:pt idx="14">
                  <c:v>5</c:v>
                </c:pt>
                <c:pt idx="15">
                  <c:v>-14</c:v>
                </c:pt>
                <c:pt idx="16">
                  <c:v>21</c:v>
                </c:pt>
                <c:pt idx="17">
                  <c:v>53</c:v>
                </c:pt>
                <c:pt idx="18">
                  <c:v>50</c:v>
                </c:pt>
                <c:pt idx="19">
                  <c:v>30</c:v>
                </c:pt>
                <c:pt idx="20">
                  <c:v>19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4-43D9-A773-5AD67089BAD4}"/>
            </c:ext>
          </c:extLst>
        </c:ser>
        <c:ser>
          <c:idx val="2"/>
          <c:order val="2"/>
          <c:tx>
            <c:strRef>
              <c:f>Charts_Support!$A$837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Charts_Support!$F$837:$AE$837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11</c:v>
                </c:pt>
                <c:pt idx="3">
                  <c:v>37</c:v>
                </c:pt>
                <c:pt idx="4">
                  <c:v>18</c:v>
                </c:pt>
                <c:pt idx="5">
                  <c:v>22</c:v>
                </c:pt>
                <c:pt idx="6">
                  <c:v>34</c:v>
                </c:pt>
                <c:pt idx="7">
                  <c:v>36</c:v>
                </c:pt>
                <c:pt idx="8">
                  <c:v>75</c:v>
                </c:pt>
                <c:pt idx="9">
                  <c:v>44</c:v>
                </c:pt>
                <c:pt idx="10">
                  <c:v>49</c:v>
                </c:pt>
                <c:pt idx="11">
                  <c:v>84</c:v>
                </c:pt>
                <c:pt idx="12">
                  <c:v>62</c:v>
                </c:pt>
                <c:pt idx="13">
                  <c:v>88</c:v>
                </c:pt>
                <c:pt idx="14">
                  <c:v>5</c:v>
                </c:pt>
                <c:pt idx="15">
                  <c:v>-14</c:v>
                </c:pt>
                <c:pt idx="16">
                  <c:v>21</c:v>
                </c:pt>
                <c:pt idx="17">
                  <c:v>53</c:v>
                </c:pt>
                <c:pt idx="18">
                  <c:v>50</c:v>
                </c:pt>
                <c:pt idx="19">
                  <c:v>25</c:v>
                </c:pt>
                <c:pt idx="20">
                  <c:v>15</c:v>
                </c:pt>
                <c:pt idx="21">
                  <c:v>10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4-43D9-A773-5AD67089B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054208"/>
        <c:axId val="553055744"/>
      </c:areaChart>
      <c:lineChart>
        <c:grouping val="standard"/>
        <c:varyColors val="0"/>
        <c:ser>
          <c:idx val="0"/>
          <c:order val="0"/>
          <c:tx>
            <c:strRef>
              <c:f>Charts_Support!$A$835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Charts_Support!$F$6:$AE$6</c:f>
              <c:numCache>
                <c:formatCode>General</c:formatCode>
                <c:ptCount val="2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 formatCode="###0&quot;E&quot;">
                  <c:v>2024</c:v>
                </c:pt>
                <c:pt idx="20" formatCode="###0&quot;E&quot;">
                  <c:v>2025</c:v>
                </c:pt>
                <c:pt idx="21" formatCode="###0&quot;E&quot;">
                  <c:v>2026</c:v>
                </c:pt>
                <c:pt idx="22" formatCode="###0&quot;E&quot;">
                  <c:v>2027</c:v>
                </c:pt>
                <c:pt idx="23" formatCode="###0&quot;E&quot;">
                  <c:v>2028</c:v>
                </c:pt>
                <c:pt idx="24" formatCode="###0&quot;E&quot;">
                  <c:v>2029</c:v>
                </c:pt>
                <c:pt idx="25" formatCode="###0&quot;E&quot;">
                  <c:v>2030</c:v>
                </c:pt>
              </c:numCache>
            </c:numRef>
          </c:cat>
          <c:val>
            <c:numRef>
              <c:f>Charts_Support!$F$835:$AE$835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11</c:v>
                </c:pt>
                <c:pt idx="3">
                  <c:v>37</c:v>
                </c:pt>
                <c:pt idx="4">
                  <c:v>18</c:v>
                </c:pt>
                <c:pt idx="5">
                  <c:v>22</c:v>
                </c:pt>
                <c:pt idx="6">
                  <c:v>34</c:v>
                </c:pt>
                <c:pt idx="7">
                  <c:v>36</c:v>
                </c:pt>
                <c:pt idx="8">
                  <c:v>75</c:v>
                </c:pt>
                <c:pt idx="9">
                  <c:v>44</c:v>
                </c:pt>
                <c:pt idx="10">
                  <c:v>49</c:v>
                </c:pt>
                <c:pt idx="11">
                  <c:v>84</c:v>
                </c:pt>
                <c:pt idx="12">
                  <c:v>62</c:v>
                </c:pt>
                <c:pt idx="13">
                  <c:v>88</c:v>
                </c:pt>
                <c:pt idx="14">
                  <c:v>5</c:v>
                </c:pt>
                <c:pt idx="15">
                  <c:v>-14</c:v>
                </c:pt>
                <c:pt idx="16">
                  <c:v>21</c:v>
                </c:pt>
                <c:pt idx="17">
                  <c:v>53</c:v>
                </c:pt>
                <c:pt idx="18">
                  <c:v>50</c:v>
                </c:pt>
                <c:pt idx="19">
                  <c:v>30</c:v>
                </c:pt>
                <c:pt idx="20">
                  <c:v>19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94-43D9-A773-5AD67089BAD4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Charts_Support!$F$6:$AE$6</c:f>
              <c:numCache>
                <c:formatCode>General</c:formatCode>
                <c:ptCount val="2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 formatCode="###0&quot;E&quot;">
                  <c:v>2024</c:v>
                </c:pt>
                <c:pt idx="20" formatCode="###0&quot;E&quot;">
                  <c:v>2025</c:v>
                </c:pt>
                <c:pt idx="21" formatCode="###0&quot;E&quot;">
                  <c:v>2026</c:v>
                </c:pt>
                <c:pt idx="22" formatCode="###0&quot;E&quot;">
                  <c:v>2027</c:v>
                </c:pt>
                <c:pt idx="23" formatCode="###0&quot;E&quot;">
                  <c:v>2028</c:v>
                </c:pt>
                <c:pt idx="24" formatCode="###0&quot;E&quot;">
                  <c:v>2029</c:v>
                </c:pt>
                <c:pt idx="25" formatCode="###0&quot;E&quot;">
                  <c:v>2030</c:v>
                </c:pt>
              </c:numCache>
            </c:numRef>
          </c:cat>
          <c:val>
            <c:numRef>
              <c:f>Charts_Support!$F$565:$AE$565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94-43D9-A773-5AD67089B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054208"/>
        <c:axId val="553055744"/>
      </c:lineChart>
      <c:catAx>
        <c:axId val="55305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55744"/>
        <c:crossesAt val="-10"/>
        <c:auto val="1"/>
        <c:lblAlgn val="ctr"/>
        <c:lblOffset val="100"/>
        <c:tickLblSkip val="1"/>
        <c:tickMarkSkip val="1"/>
        <c:noMultiLvlLbl val="0"/>
      </c:catAx>
      <c:valAx>
        <c:axId val="553055744"/>
        <c:scaling>
          <c:orientation val="minMax"/>
          <c:min val="-1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54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549933499542338"/>
          <c:y val="5.8631895851187457E-2"/>
          <c:w val="0.20406740157480313"/>
          <c:h val="0.14332053729900726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4.0550131233595799E-2"/>
          <c:w val="0.84889835268645897"/>
          <c:h val="0.78772458442694659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Charts_Support!$N$841:$AE$841</c:f>
              <c:numCache>
                <c:formatCode>General</c:formatCode>
                <c:ptCount val="18"/>
                <c:pt idx="0">
                  <c:v>0</c:v>
                </c:pt>
                <c:pt idx="1">
                  <c:v>302</c:v>
                </c:pt>
                <c:pt idx="2">
                  <c:v>11</c:v>
                </c:pt>
                <c:pt idx="3">
                  <c:v>31</c:v>
                </c:pt>
                <c:pt idx="4">
                  <c:v>37</c:v>
                </c:pt>
                <c:pt idx="5">
                  <c:v>39</c:v>
                </c:pt>
                <c:pt idx="6">
                  <c:v>468</c:v>
                </c:pt>
                <c:pt idx="7">
                  <c:v>-26</c:v>
                </c:pt>
                <c:pt idx="8">
                  <c:v>16</c:v>
                </c:pt>
                <c:pt idx="9">
                  <c:v>50</c:v>
                </c:pt>
                <c:pt idx="10">
                  <c:v>48</c:v>
                </c:pt>
                <c:pt idx="11">
                  <c:v>35</c:v>
                </c:pt>
                <c:pt idx="12">
                  <c:v>27</c:v>
                </c:pt>
                <c:pt idx="13">
                  <c:v>22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0-41BE-A46F-83D895B36132}"/>
            </c:ext>
          </c:extLst>
        </c:ser>
        <c:ser>
          <c:idx val="2"/>
          <c:order val="2"/>
          <c:tx>
            <c:strRef>
              <c:f>Charts_Support!$A$842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Charts_Support!$N$842:$AE$842</c:f>
              <c:numCache>
                <c:formatCode>General</c:formatCode>
                <c:ptCount val="18"/>
                <c:pt idx="0">
                  <c:v>0</c:v>
                </c:pt>
                <c:pt idx="1">
                  <c:v>302</c:v>
                </c:pt>
                <c:pt idx="2">
                  <c:v>11</c:v>
                </c:pt>
                <c:pt idx="3">
                  <c:v>31</c:v>
                </c:pt>
                <c:pt idx="4">
                  <c:v>37</c:v>
                </c:pt>
                <c:pt idx="5">
                  <c:v>39</c:v>
                </c:pt>
                <c:pt idx="6">
                  <c:v>468</c:v>
                </c:pt>
                <c:pt idx="7">
                  <c:v>-26</c:v>
                </c:pt>
                <c:pt idx="8">
                  <c:v>16</c:v>
                </c:pt>
                <c:pt idx="9">
                  <c:v>50</c:v>
                </c:pt>
                <c:pt idx="10">
                  <c:v>48</c:v>
                </c:pt>
                <c:pt idx="11">
                  <c:v>31</c:v>
                </c:pt>
                <c:pt idx="12">
                  <c:v>22</c:v>
                </c:pt>
                <c:pt idx="13">
                  <c:v>17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30-41BE-A46F-83D895B36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087744"/>
        <c:axId val="553089280"/>
      </c:areaChart>
      <c:lineChart>
        <c:grouping val="standard"/>
        <c:varyColors val="0"/>
        <c:ser>
          <c:idx val="0"/>
          <c:order val="0"/>
          <c:tx>
            <c:strRef>
              <c:f>Charts_Support!$A$840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Charts_Support!$N$839:$AE$839</c:f>
              <c:numCache>
                <c:formatCode>General</c:formatCode>
                <c:ptCount val="1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 formatCode="###0&quot;E&quot;">
                  <c:v>2024</c:v>
                </c:pt>
                <c:pt idx="12" formatCode="###0&quot;E&quot;">
                  <c:v>2025</c:v>
                </c:pt>
                <c:pt idx="13" formatCode="###0&quot;E&quot;">
                  <c:v>2026</c:v>
                </c:pt>
                <c:pt idx="14" formatCode="###0&quot;E&quot;">
                  <c:v>2027</c:v>
                </c:pt>
                <c:pt idx="15" formatCode="###0&quot;E&quot;">
                  <c:v>2028</c:v>
                </c:pt>
                <c:pt idx="16" formatCode="###0&quot;E&quot;">
                  <c:v>2029</c:v>
                </c:pt>
                <c:pt idx="17" formatCode="###0&quot;E&quot;">
                  <c:v>2030</c:v>
                </c:pt>
              </c:numCache>
            </c:numRef>
          </c:cat>
          <c:val>
            <c:numRef>
              <c:f>Charts_Support!$N$840:$AE$840</c:f>
              <c:numCache>
                <c:formatCode>General</c:formatCode>
                <c:ptCount val="18"/>
                <c:pt idx="0">
                  <c:v>0</c:v>
                </c:pt>
                <c:pt idx="1">
                  <c:v>302</c:v>
                </c:pt>
                <c:pt idx="2">
                  <c:v>11</c:v>
                </c:pt>
                <c:pt idx="3">
                  <c:v>31</c:v>
                </c:pt>
                <c:pt idx="4">
                  <c:v>37</c:v>
                </c:pt>
                <c:pt idx="5">
                  <c:v>39</c:v>
                </c:pt>
                <c:pt idx="6">
                  <c:v>468</c:v>
                </c:pt>
                <c:pt idx="7">
                  <c:v>-26</c:v>
                </c:pt>
                <c:pt idx="8">
                  <c:v>16</c:v>
                </c:pt>
                <c:pt idx="9">
                  <c:v>50</c:v>
                </c:pt>
                <c:pt idx="10">
                  <c:v>48</c:v>
                </c:pt>
                <c:pt idx="11">
                  <c:v>35</c:v>
                </c:pt>
                <c:pt idx="12">
                  <c:v>27</c:v>
                </c:pt>
                <c:pt idx="13">
                  <c:v>22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30-41BE-A46F-83D895B36132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Charts_Support!$N$839:$AE$839</c:f>
              <c:numCache>
                <c:formatCode>General</c:formatCode>
                <c:ptCount val="1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 formatCode="###0&quot;E&quot;">
                  <c:v>2024</c:v>
                </c:pt>
                <c:pt idx="12" formatCode="###0&quot;E&quot;">
                  <c:v>2025</c:v>
                </c:pt>
                <c:pt idx="13" formatCode="###0&quot;E&quot;">
                  <c:v>2026</c:v>
                </c:pt>
                <c:pt idx="14" formatCode="###0&quot;E&quot;">
                  <c:v>2027</c:v>
                </c:pt>
                <c:pt idx="15" formatCode="###0&quot;E&quot;">
                  <c:v>2028</c:v>
                </c:pt>
                <c:pt idx="16" formatCode="###0&quot;E&quot;">
                  <c:v>2029</c:v>
                </c:pt>
                <c:pt idx="17" formatCode="###0&quot;E&quot;">
                  <c:v>2030</c:v>
                </c:pt>
              </c:numCache>
            </c:numRef>
          </c:cat>
          <c:val>
            <c:numRef>
              <c:f>Charts_Support!$N$565:$AE$565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30-41BE-A46F-83D895B36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087744"/>
        <c:axId val="553089280"/>
      </c:lineChart>
      <c:catAx>
        <c:axId val="55308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89280"/>
        <c:crossesAt val="-100"/>
        <c:auto val="1"/>
        <c:lblAlgn val="ctr"/>
        <c:lblOffset val="100"/>
        <c:tickLblSkip val="1"/>
        <c:tickMarkSkip val="1"/>
        <c:noMultiLvlLbl val="0"/>
      </c:catAx>
      <c:valAx>
        <c:axId val="553089280"/>
        <c:scaling>
          <c:orientation val="minMax"/>
          <c:min val="-1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087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366861798441083"/>
          <c:y val="1.7835054262662905E-2"/>
          <c:w val="0.20418410270394963"/>
          <c:h val="0.14332053729900726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0959800218188"/>
          <c:y val="9.2503649409668043E-2"/>
          <c:w val="0.73694451636485481"/>
          <c:h val="0.71886828842880268"/>
        </c:manualLayout>
      </c:layout>
      <c:lineChart>
        <c:grouping val="standard"/>
        <c:varyColors val="0"/>
        <c:ser>
          <c:idx val="1"/>
          <c:order val="1"/>
          <c:tx>
            <c:strRef>
              <c:f>Charts_Support!$A$804</c:f>
              <c:strCache>
                <c:ptCount val="1"/>
                <c:pt idx="0">
                  <c:v>Policy Rate Control</c:v>
                </c:pt>
              </c:strCache>
            </c:strRef>
          </c:tx>
          <c:spPr>
            <a:ln w="28575">
              <a:solidFill>
                <a:schemeClr val="accent2"/>
              </a:solidFill>
              <a:prstDash val="solid"/>
            </a:ln>
          </c:spPr>
          <c:marker>
            <c:symbol val="none"/>
          </c:marker>
          <c:dPt>
            <c:idx val="16"/>
            <c:bubble3D val="0"/>
            <c:spPr>
              <a:ln w="28575">
                <a:solidFill>
                  <a:schemeClr val="accent2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1-F1F7-4B54-B207-978AA9D42237}"/>
              </c:ext>
            </c:extLst>
          </c:dPt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Charts_Support!$B$812:$AE$812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8.7499999999999994E-2</c:v>
                </c:pt>
                <c:pt idx="4">
                  <c:v>8.2500000000000004E-2</c:v>
                </c:pt>
                <c:pt idx="5">
                  <c:v>7.0000000000000007E-2</c:v>
                </c:pt>
                <c:pt idx="6">
                  <c:v>7.4999999999999997E-2</c:v>
                </c:pt>
                <c:pt idx="7">
                  <c:v>8.2500000000000004E-2</c:v>
                </c:pt>
                <c:pt idx="8">
                  <c:v>4.4999999999999998E-2</c:v>
                </c:pt>
                <c:pt idx="9">
                  <c:v>4.4999999999999998E-2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3.5000000000000003E-2</c:v>
                </c:pt>
                <c:pt idx="13">
                  <c:v>0.03</c:v>
                </c:pt>
                <c:pt idx="14">
                  <c:v>3.2500000000000001E-2</c:v>
                </c:pt>
                <c:pt idx="15">
                  <c:v>5.7500000000000002E-2</c:v>
                </c:pt>
                <c:pt idx="16">
                  <c:v>7.2499999999999995E-2</c:v>
                </c:pt>
                <c:pt idx="17">
                  <c:v>8.2500000000000004E-2</c:v>
                </c:pt>
                <c:pt idx="18">
                  <c:v>7.2499999999999995E-2</c:v>
                </c:pt>
                <c:pt idx="19">
                  <c:v>4.2500000000000003E-2</c:v>
                </c:pt>
                <c:pt idx="20">
                  <c:v>5.5E-2</c:v>
                </c:pt>
                <c:pt idx="21">
                  <c:v>0.105</c:v>
                </c:pt>
                <c:pt idx="22">
                  <c:v>0.1125</c:v>
                </c:pt>
                <c:pt idx="23">
                  <c:v>9.7500000000000003E-2</c:v>
                </c:pt>
                <c:pt idx="24">
                  <c:v>7.7499999999999999E-2</c:v>
                </c:pt>
                <c:pt idx="25">
                  <c:v>6.5909090909090903E-2</c:v>
                </c:pt>
                <c:pt idx="26">
                  <c:v>6.5909090909090903E-2</c:v>
                </c:pt>
                <c:pt idx="27">
                  <c:v>6.5909090909090903E-2</c:v>
                </c:pt>
                <c:pt idx="28">
                  <c:v>6.5909090909090903E-2</c:v>
                </c:pt>
                <c:pt idx="29">
                  <c:v>6.5909090909090903E-2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7-4B54-B207-978AA9D4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807872"/>
        <c:axId val="553809408"/>
      </c:lineChart>
      <c:lineChart>
        <c:grouping val="standard"/>
        <c:varyColors val="0"/>
        <c:ser>
          <c:idx val="0"/>
          <c:order val="0"/>
          <c:tx>
            <c:v>MXNUSD</c:v>
          </c:tx>
          <c:spPr>
            <a:ln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dPt>
            <c:idx val="16"/>
            <c:bubble3D val="0"/>
            <c:spPr>
              <a:ln w="28575">
                <a:solidFill>
                  <a:schemeClr val="accent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4-F1F7-4B54-B207-978AA9D42237}"/>
              </c:ext>
            </c:extLst>
          </c:dPt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Charts_Support!$B$811:$AE$811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#,##0.00">
                  <c:v>11.15</c:v>
                </c:pt>
                <c:pt idx="4" formatCode="#,##0.00">
                  <c:v>10.63</c:v>
                </c:pt>
                <c:pt idx="5" formatCode="#,##0.00">
                  <c:v>10.82</c:v>
                </c:pt>
                <c:pt idx="6" formatCode="#,##0.00">
                  <c:v>10.91</c:v>
                </c:pt>
                <c:pt idx="7" formatCode="#,##0.00">
                  <c:v>13.69</c:v>
                </c:pt>
                <c:pt idx="8" formatCode="#,##0.00">
                  <c:v>13.09</c:v>
                </c:pt>
                <c:pt idx="9" formatCode="#,##0.00">
                  <c:v>12.36</c:v>
                </c:pt>
                <c:pt idx="10" formatCode="#,##0.00">
                  <c:v>13.95</c:v>
                </c:pt>
                <c:pt idx="11" formatCode="#,##0.00">
                  <c:v>12.85</c:v>
                </c:pt>
                <c:pt idx="12" formatCode="#,##0.00">
                  <c:v>13.04</c:v>
                </c:pt>
                <c:pt idx="13" formatCode="#,##0.00">
                  <c:v>14.72</c:v>
                </c:pt>
                <c:pt idx="14" formatCode="#,##0.00_);\(#,##0.00\)">
                  <c:v>17.21</c:v>
                </c:pt>
                <c:pt idx="15" formatCode="#,##0.00_);\(#,##0.00\)">
                  <c:v>20.73</c:v>
                </c:pt>
                <c:pt idx="16" formatCode="#,##0.00_);\(#,##0.00\)">
                  <c:v>19.79</c:v>
                </c:pt>
                <c:pt idx="17" formatCode="#,##0.00_);\(#,##0.00\)">
                  <c:v>19.68</c:v>
                </c:pt>
                <c:pt idx="18" formatCode="#,##0.00_);\(#,##0.00\)">
                  <c:v>18.850000000000001</c:v>
                </c:pt>
                <c:pt idx="19" formatCode="#,##0.00">
                  <c:v>19.95</c:v>
                </c:pt>
                <c:pt idx="20" formatCode="#,##0.00">
                  <c:v>20.322500000000002</c:v>
                </c:pt>
                <c:pt idx="21" formatCode="#,##0.00">
                  <c:v>20.095758081840049</c:v>
                </c:pt>
                <c:pt idx="22" formatCode="#,##0.00">
                  <c:v>17.724751923076898</c:v>
                </c:pt>
                <c:pt idx="23" formatCode="#,##0.00">
                  <c:v>17.475287307692302</c:v>
                </c:pt>
                <c:pt idx="24" formatCode="#,##0.00">
                  <c:v>17.729632833963166</c:v>
                </c:pt>
                <c:pt idx="25" formatCode="#,##0.00">
                  <c:v>18.108978103975485</c:v>
                </c:pt>
                <c:pt idx="26" formatCode="#,##0.00">
                  <c:v>18.108978103975485</c:v>
                </c:pt>
                <c:pt idx="27" formatCode="#,##0.00">
                  <c:v>18.108978103975485</c:v>
                </c:pt>
                <c:pt idx="28" formatCode="#,##0.00">
                  <c:v>18.108978103975485</c:v>
                </c:pt>
                <c:pt idx="29" formatCode="#,##0.00">
                  <c:v>18.108978103975485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F7-4B54-B207-978AA9D4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439424"/>
        <c:axId val="553810944"/>
      </c:lineChart>
      <c:catAx>
        <c:axId val="55380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809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380940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3807872"/>
        <c:crosses val="autoZero"/>
        <c:crossBetween val="between"/>
      </c:valAx>
      <c:valAx>
        <c:axId val="553810944"/>
        <c:scaling>
          <c:orientation val="minMax"/>
        </c:scaling>
        <c:delete val="0"/>
        <c:axPos val="r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439424"/>
        <c:crosses val="max"/>
        <c:crossBetween val="between"/>
      </c:valAx>
      <c:catAx>
        <c:axId val="554439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381094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136318091721395"/>
          <c:y val="3.4182026020129356E-3"/>
          <c:w val="0.69422764484060084"/>
          <c:h val="0.12126722178896968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733-4077-8A6C-56F438214543}"/>
            </c:ext>
          </c:extLst>
        </c:ser>
        <c:ser>
          <c:idx val="2"/>
          <c:order val="1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733-4077-8A6C-56F438214543}"/>
            </c:ext>
          </c:extLst>
        </c:ser>
        <c:ser>
          <c:idx val="3"/>
          <c:order val="2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733-4077-8A6C-56F438214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458112"/>
        <c:axId val="554468096"/>
      </c:lineChart>
      <c:catAx>
        <c:axId val="55445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468096"/>
        <c:crossesAt val="0"/>
        <c:auto val="1"/>
        <c:lblAlgn val="ctr"/>
        <c:lblOffset val="100"/>
        <c:noMultiLvlLbl val="0"/>
      </c:catAx>
      <c:valAx>
        <c:axId val="55446809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4581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380297673606565"/>
          <c:y val="2.0570024900733561E-3"/>
          <c:w val="0.51150307447281373"/>
          <c:h val="0.2031786950198104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areaChart>
        <c:grouping val="stacked"/>
        <c:varyColors val="0"/>
        <c:ser>
          <c:idx val="0"/>
          <c:order val="0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641-4107-94ED-159E18678F79}"/>
            </c:ext>
          </c:extLst>
        </c:ser>
        <c:ser>
          <c:idx val="2"/>
          <c:order val="1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641-4107-94ED-159E18678F79}"/>
            </c:ext>
          </c:extLst>
        </c:ser>
        <c:ser>
          <c:idx val="3"/>
          <c:order val="2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641-4107-94ED-159E18678F79}"/>
            </c:ext>
          </c:extLst>
        </c:ser>
        <c:ser>
          <c:idx val="4"/>
          <c:order val="3"/>
          <c:spPr>
            <a:ln w="28575">
              <a:noFill/>
            </a:ln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3641-4107-94ED-159E18678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484096"/>
        <c:axId val="554485632"/>
      </c:areaChart>
      <c:catAx>
        <c:axId val="55448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485632"/>
        <c:crossesAt val="0"/>
        <c:auto val="1"/>
        <c:lblAlgn val="ctr"/>
        <c:lblOffset val="100"/>
        <c:noMultiLvlLbl val="0"/>
      </c:catAx>
      <c:valAx>
        <c:axId val="55448563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484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705586919559583"/>
          <c:y val="1.5272674249052202E-2"/>
          <c:w val="0.81965346902391922"/>
          <c:h val="9.6053878681831434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086419753086421"/>
          <c:y val="6.3575899843505479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Charts_Support!$V$570:$V$578</c:f>
              <c:strCache>
                <c:ptCount val="9"/>
                <c:pt idx="0">
                  <c:v>Domino's Pizza</c:v>
                </c:pt>
                <c:pt idx="1">
                  <c:v>Starbucks</c:v>
                </c:pt>
                <c:pt idx="2">
                  <c:v>Burger King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DIA</c:v>
                </c:pt>
                <c:pt idx="7">
                  <c:v>El Portón </c:v>
                </c:pt>
                <c:pt idx="8">
                  <c:v>Other</c:v>
                </c:pt>
              </c:strCache>
            </c:strRef>
          </c:cat>
          <c:val>
            <c:numRef>
              <c:f>Charts_Support!$AB$570:$AB$578</c:f>
              <c:numCache>
                <c:formatCode>0.0%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B-4E01-A0EC-033310BD41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172839506172838"/>
          <c:y val="5.3794992175273865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Charts_Support!$A$582:$A$589</c:f>
              <c:strCache>
                <c:ptCount val="8"/>
                <c:pt idx="0">
                  <c:v>Domino's Pizza</c:v>
                </c:pt>
                <c:pt idx="1">
                  <c:v>Starbucks</c:v>
                </c:pt>
                <c:pt idx="2">
                  <c:v>Burger King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El Portón </c:v>
                </c:pt>
                <c:pt idx="7">
                  <c:v>Other</c:v>
                </c:pt>
              </c:strCache>
            </c:strRef>
          </c:cat>
          <c:val>
            <c:numRef>
              <c:f>Charts_Support!$E$582:$E$589</c:f>
              <c:numCache>
                <c:formatCode>0.0%</c:formatCode>
                <c:ptCount val="8"/>
                <c:pt idx="0">
                  <c:v>0.38931297709923662</c:v>
                </c:pt>
                <c:pt idx="1">
                  <c:v>0.35793044953350295</c:v>
                </c:pt>
                <c:pt idx="2">
                  <c:v>7.3791348600508899E-2</c:v>
                </c:pt>
                <c:pt idx="3">
                  <c:v>3.0534351145038167E-2</c:v>
                </c:pt>
                <c:pt idx="4">
                  <c:v>3.265479219677693E-2</c:v>
                </c:pt>
                <c:pt idx="5">
                  <c:v>0.1005089058524173</c:v>
                </c:pt>
                <c:pt idx="6">
                  <c:v>1.1874469889737066E-2</c:v>
                </c:pt>
                <c:pt idx="7">
                  <c:v>3.3927056827820186E-3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F-42D8-B2E4-4EDAAE22CAE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93827160493827"/>
          <c:y val="4.8904538341158058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Charts_Support!$I$570:$I$578</c:f>
              <c:strCache>
                <c:ptCount val="9"/>
                <c:pt idx="0">
                  <c:v>Domino's Pizza</c:v>
                </c:pt>
                <c:pt idx="1">
                  <c:v>Starbucks</c:v>
                </c:pt>
                <c:pt idx="2">
                  <c:v>Burger King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DIA</c:v>
                </c:pt>
                <c:pt idx="7">
                  <c:v>El Portón </c:v>
                </c:pt>
                <c:pt idx="8">
                  <c:v>Other</c:v>
                </c:pt>
              </c:strCache>
            </c:strRef>
          </c:cat>
          <c:val>
            <c:numRef>
              <c:f>Charts_Support!$T$570:$T$578</c:f>
              <c:numCache>
                <c:formatCode>0.0%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7C7-8608-B08F71B3F2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506172839506175"/>
          <c:y val="6.8466353677621286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dLbl>
              <c:idx val="8"/>
              <c:layout>
                <c:manualLayout>
                  <c:x val="-0.10644284047827354"/>
                  <c:y val="5.720945313173881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E3-4F85-8E11-7B45C39ED396}"/>
                </c:ext>
              </c:extLst>
            </c:dLbl>
            <c:dLbl>
              <c:idx val="9"/>
              <c:layout>
                <c:manualLayout>
                  <c:x val="-6.1630212890055408E-2"/>
                  <c:y val="3.789909183887222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E3-4F85-8E11-7B45C39ED396}"/>
                </c:ext>
              </c:extLst>
            </c:dLbl>
            <c:dLbl>
              <c:idx val="10"/>
              <c:layout>
                <c:manualLayout>
                  <c:x val="1.146058131622436E-2"/>
                  <c:y val="-8.660339112540594E-4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E3-4F85-8E11-7B45C39ED39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Charts_Support!$A$639:$A$651</c:f>
              <c:strCache>
                <c:ptCount val="13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El Portón </c:v>
                </c:pt>
                <c:pt idx="7">
                  <c:v>Foster's Hollywood</c:v>
                </c:pt>
                <c:pt idx="8">
                  <c:v>Archies</c:v>
                </c:pt>
                <c:pt idx="9">
                  <c:v>P.F. Changs</c:v>
                </c:pt>
                <c:pt idx="10">
                  <c:v>Cañas y Tapas</c:v>
                </c:pt>
                <c:pt idx="11">
                  <c:v>Ginos</c:v>
                </c:pt>
                <c:pt idx="12">
                  <c:v>Other</c:v>
                </c:pt>
              </c:strCache>
            </c:strRef>
          </c:cat>
          <c:val>
            <c:numRef>
              <c:f>Charts_Support!$E$639:$E$651</c:f>
              <c:numCache>
                <c:formatCode>0.0%</c:formatCode>
                <c:ptCount val="13"/>
                <c:pt idx="0">
                  <c:v>0.31241997439180536</c:v>
                </c:pt>
                <c:pt idx="1">
                  <c:v>9.0909090909090912E-2</c:v>
                </c:pt>
                <c:pt idx="2">
                  <c:v>0.38945795988049509</c:v>
                </c:pt>
                <c:pt idx="3">
                  <c:v>1.5364916773367477E-2</c:v>
                </c:pt>
                <c:pt idx="4">
                  <c:v>1.6431924882629109E-2</c:v>
                </c:pt>
                <c:pt idx="5">
                  <c:v>8.621425522833974E-2</c:v>
                </c:pt>
                <c:pt idx="6">
                  <c:v>5.9752454118651302E-3</c:v>
                </c:pt>
                <c:pt idx="7">
                  <c:v>4.5881348698250106E-2</c:v>
                </c:pt>
                <c:pt idx="8">
                  <c:v>5.9752454118651302E-3</c:v>
                </c:pt>
                <c:pt idx="9">
                  <c:v>6.4020486555697821E-4</c:v>
                </c:pt>
                <c:pt idx="10">
                  <c:v>0</c:v>
                </c:pt>
                <c:pt idx="11">
                  <c:v>2.5181391378574478E-2</c:v>
                </c:pt>
                <c:pt idx="12">
                  <c:v>5.5484421681604784E-3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E3-4F85-8E11-7B45C39ED3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layout>
        <c:manualLayout>
          <c:xMode val="edge"/>
          <c:yMode val="edge"/>
          <c:x val="1.8800108951812507E-2"/>
          <c:y val="6.2417352931089014E-2"/>
          <c:w val="0.33064679282970755"/>
          <c:h val="0.8751652941378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123456790123456"/>
          <c:y val="4.8904538341158058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dLbl>
              <c:idx val="8"/>
              <c:layout>
                <c:manualLayout>
                  <c:x val="-0.11758214250996403"/>
                  <c:y val="7.498143937993666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5D-482A-8E12-98F84E1372BE}"/>
                </c:ext>
              </c:extLst>
            </c:dLbl>
            <c:dLbl>
              <c:idx val="9"/>
              <c:layout>
                <c:manualLayout>
                  <c:x val="-7.0398318265772336E-2"/>
                  <c:y val="-7.325283723337410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5D-482A-8E12-98F84E1372BE}"/>
                </c:ext>
              </c:extLst>
            </c:dLbl>
            <c:dLbl>
              <c:idx val="10"/>
              <c:layout>
                <c:manualLayout>
                  <c:x val="1.2015893846602564E-2"/>
                  <c:y val="-4.12126631178145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5D-482A-8E12-98F84E1372BE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Charts_Support!$T$622:$T$634</c:f>
              <c:strCache>
                <c:ptCount val="13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El Portón </c:v>
                </c:pt>
                <c:pt idx="7">
                  <c:v>Foster's Hollywood</c:v>
                </c:pt>
                <c:pt idx="8">
                  <c:v>Archies</c:v>
                </c:pt>
                <c:pt idx="9">
                  <c:v>P.F. Changs</c:v>
                </c:pt>
                <c:pt idx="10">
                  <c:v>Cañas y Tapas</c:v>
                </c:pt>
                <c:pt idx="11">
                  <c:v>Ginos</c:v>
                </c:pt>
                <c:pt idx="12">
                  <c:v>Other</c:v>
                </c:pt>
              </c:strCache>
            </c:strRef>
          </c:cat>
          <c:val>
            <c:numRef>
              <c:f>Charts_Support!$Y$622:$Y$634</c:f>
              <c:numCache>
                <c:formatCode>#,##0_);\(#,##0\)</c:formatCode>
                <c:ptCount val="13"/>
                <c:pt idx="0">
                  <c:v>12829.660000000002</c:v>
                </c:pt>
                <c:pt idx="1">
                  <c:v>10003.59</c:v>
                </c:pt>
                <c:pt idx="2">
                  <c:v>28630.92</c:v>
                </c:pt>
                <c:pt idx="3">
                  <c:v>2483.4</c:v>
                </c:pt>
                <c:pt idx="4">
                  <c:v>1655.6000000000001</c:v>
                </c:pt>
                <c:pt idx="5">
                  <c:v>10102.85</c:v>
                </c:pt>
                <c:pt idx="6">
                  <c:v>0</c:v>
                </c:pt>
                <c:pt idx="7">
                  <c:v>3174.5000000000005</c:v>
                </c:pt>
                <c:pt idx="8">
                  <c:v>344.93999999999994</c:v>
                </c:pt>
                <c:pt idx="9">
                  <c:v>114.97999999999999</c:v>
                </c:pt>
                <c:pt idx="11">
                  <c:v>1587.2500000000002</c:v>
                </c:pt>
                <c:pt idx="12">
                  <c:v>2565.81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D-482A-8E12-98F84E1372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layout>
        <c:manualLayout>
          <c:xMode val="edge"/>
          <c:yMode val="edge"/>
          <c:x val="1.8800108951812507E-2"/>
          <c:y val="7.4613916170158071E-2"/>
          <c:w val="0.3400468473056138"/>
          <c:h val="0.85077179719999152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0358024691358024"/>
          <c:y val="5.3794992175273865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dLbl>
              <c:idx val="6"/>
              <c:layout>
                <c:manualLayout>
                  <c:x val="-2.9601438709050257E-2"/>
                  <c:y val="2.453005434179882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96-48F9-AC28-02D9B33C3BD6}"/>
                </c:ext>
              </c:extLst>
            </c:dLbl>
            <c:dLbl>
              <c:idx val="8"/>
              <c:layout>
                <c:manualLayout>
                  <c:x val="-6.1071254982016134E-2"/>
                  <c:y val="6.391592116126329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96-48F9-AC28-02D9B33C3BD6}"/>
                </c:ext>
              </c:extLst>
            </c:dLbl>
            <c:dLbl>
              <c:idx val="9"/>
              <c:layout>
                <c:manualLayout>
                  <c:x val="-4.8897394770098183E-2"/>
                  <c:y val="-2.71358575776619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96-48F9-AC28-02D9B33C3BD6}"/>
                </c:ext>
              </c:extLst>
            </c:dLbl>
            <c:dLbl>
              <c:idx val="10"/>
              <c:layout>
                <c:manualLayout>
                  <c:x val="6.6003207932341787E-3"/>
                  <c:y val="-0.11453673924562245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6-48F9-AC28-02D9B33C3B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Charts_Support!$G$622:$G$634</c:f>
              <c:strCache>
                <c:ptCount val="13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Chilli's</c:v>
                </c:pt>
                <c:pt idx="4">
                  <c:v>Italiannis</c:v>
                </c:pt>
                <c:pt idx="5">
                  <c:v>Vips</c:v>
                </c:pt>
                <c:pt idx="6">
                  <c:v>El Portón </c:v>
                </c:pt>
                <c:pt idx="7">
                  <c:v>Foster's Hollywood</c:v>
                </c:pt>
                <c:pt idx="8">
                  <c:v>Archies</c:v>
                </c:pt>
                <c:pt idx="9">
                  <c:v>P.F. Changs</c:v>
                </c:pt>
                <c:pt idx="10">
                  <c:v>Cañas y Tapas</c:v>
                </c:pt>
                <c:pt idx="11">
                  <c:v>Ginos</c:v>
                </c:pt>
                <c:pt idx="12">
                  <c:v>Other</c:v>
                </c:pt>
              </c:strCache>
            </c:strRef>
          </c:cat>
          <c:val>
            <c:numRef>
              <c:f>Charts_Support!$Q$622:$Q$634</c:f>
              <c:numCache>
                <c:formatCode>#,##0_);\(#,##0\)</c:formatCode>
                <c:ptCount val="13"/>
                <c:pt idx="0">
                  <c:v>2206.91</c:v>
                </c:pt>
                <c:pt idx="1">
                  <c:v>1059.33</c:v>
                </c:pt>
                <c:pt idx="2">
                  <c:v>7388.3899999999994</c:v>
                </c:pt>
                <c:pt idx="3">
                  <c:v>682.43000000000006</c:v>
                </c:pt>
                <c:pt idx="4">
                  <c:v>292.46999999999991</c:v>
                </c:pt>
                <c:pt idx="5">
                  <c:v>1651.5900000000001</c:v>
                </c:pt>
                <c:pt idx="6">
                  <c:v>97.490000000000009</c:v>
                </c:pt>
                <c:pt idx="7">
                  <c:v>205.81000000000003</c:v>
                </c:pt>
                <c:pt idx="8">
                  <c:v>0</c:v>
                </c:pt>
                <c:pt idx="9">
                  <c:v>82.17</c:v>
                </c:pt>
                <c:pt idx="10">
                  <c:v>0</c:v>
                </c:pt>
                <c:pt idx="11">
                  <c:v>93.69</c:v>
                </c:pt>
                <c:pt idx="12">
                  <c:v>1129.25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96-48F9-AC28-02D9B33C3B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layout>
        <c:manualLayout>
          <c:xMode val="edge"/>
          <c:yMode val="edge"/>
          <c:x val="1.8800113590187625E-2"/>
          <c:y val="6.2417352931089014E-2"/>
          <c:w val="0.33064687440709944"/>
          <c:h val="0.8751652941378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barChart>
        <c:barDir val="col"/>
        <c:grouping val="stacked"/>
        <c:varyColors val="0"/>
        <c:ser>
          <c:idx val="0"/>
          <c:order val="0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899-47B1-88B6-8B3C51BDB55E}"/>
            </c:ext>
          </c:extLst>
        </c:ser>
        <c:ser>
          <c:idx val="2"/>
          <c:order val="1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899-47B1-88B6-8B3C51BDB55E}"/>
            </c:ext>
          </c:extLst>
        </c:ser>
        <c:ser>
          <c:idx val="3"/>
          <c:order val="2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899-47B1-88B6-8B3C51BD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4779776"/>
        <c:axId val="554781312"/>
      </c:barChart>
      <c:catAx>
        <c:axId val="55477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781312"/>
        <c:crossesAt val="0"/>
        <c:auto val="1"/>
        <c:lblAlgn val="ctr"/>
        <c:lblOffset val="100"/>
        <c:noMultiLvlLbl val="0"/>
      </c:catAx>
      <c:valAx>
        <c:axId val="55478131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7797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705586919559583"/>
          <c:y val="1.5272674249052202E-2"/>
          <c:w val="0.81965346902391922"/>
          <c:h val="9.6053878681831434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7288345727517E-2"/>
          <c:y val="8.1546641433604544E-2"/>
          <c:w val="0.87958283048705488"/>
          <c:h val="0.73308684723077688"/>
        </c:manualLayout>
      </c:layout>
      <c:barChart>
        <c:barDir val="col"/>
        <c:grouping val="stacked"/>
        <c:varyColors val="0"/>
        <c:ser>
          <c:idx val="0"/>
          <c:order val="0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6B8-4B5B-BCF9-58DAED0A4817}"/>
            </c:ext>
          </c:extLst>
        </c:ser>
        <c:ser>
          <c:idx val="2"/>
          <c:order val="1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6B8-4B5B-BCF9-58DAED0A4817}"/>
            </c:ext>
          </c:extLst>
        </c:ser>
        <c:ser>
          <c:idx val="3"/>
          <c:order val="2"/>
          <c:spPr>
            <a:ln w="28575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6B8-4B5B-BCF9-58DAED0A4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4808832"/>
        <c:axId val="554810368"/>
      </c:barChart>
      <c:catAx>
        <c:axId val="55480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10368"/>
        <c:crossesAt val="0"/>
        <c:auto val="1"/>
        <c:lblAlgn val="ctr"/>
        <c:lblOffset val="100"/>
        <c:noMultiLvlLbl val="0"/>
      </c:catAx>
      <c:valAx>
        <c:axId val="55481036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08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705586919559583"/>
          <c:y val="1.5272674249052202E-2"/>
          <c:w val="0.81965346902391922"/>
          <c:h val="9.6053878681831434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28710045554078"/>
          <c:y val="7.792207792207792E-2"/>
          <c:w val="0.8081410643415855"/>
          <c:h val="0.79494474338661969"/>
        </c:manualLayout>
      </c:layout>
      <c:areaChart>
        <c:grouping val="standard"/>
        <c:varyColors val="0"/>
        <c:ser>
          <c:idx val="1"/>
          <c:order val="1"/>
          <c:tx>
            <c:strRef>
              <c:f>Charts_Support!$A$848</c:f>
              <c:strCache>
                <c:ptCount val="1"/>
                <c:pt idx="0">
                  <c:v>ROE (net margin x turnover x leverage,%)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  <a:prstDash val="solid"/>
            </a:ln>
          </c:spPr>
          <c:cat>
            <c:numRef>
              <c:f>Charts_Support!$C$844:$AE$844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Charts_Support!$C$848:$AE$848</c:f>
              <c:numCache>
                <c:formatCode>0.0%</c:formatCode>
                <c:ptCount val="29"/>
                <c:pt idx="0">
                  <c:v>0.14867677698433543</c:v>
                </c:pt>
                <c:pt idx="1">
                  <c:v>0.11180242898166602</c:v>
                </c:pt>
                <c:pt idx="2">
                  <c:v>0.11724643143416799</c:v>
                </c:pt>
                <c:pt idx="3">
                  <c:v>0.17632836019097489</c:v>
                </c:pt>
                <c:pt idx="4">
                  <c:v>0.10050133736707227</c:v>
                </c:pt>
                <c:pt idx="5">
                  <c:v>0.1693167961900845</c:v>
                </c:pt>
                <c:pt idx="6">
                  <c:v>4.296533153258774E-2</c:v>
                </c:pt>
                <c:pt idx="7">
                  <c:v>3.5135107676364553E-2</c:v>
                </c:pt>
                <c:pt idx="8">
                  <c:v>5.2382464105389777E-2</c:v>
                </c:pt>
                <c:pt idx="9">
                  <c:v>7.1560708104341467E-2</c:v>
                </c:pt>
                <c:pt idx="10">
                  <c:v>9.7561072981505806E-2</c:v>
                </c:pt>
                <c:pt idx="11">
                  <c:v>0.15491410108827933</c:v>
                </c:pt>
                <c:pt idx="12">
                  <c:v>0.10200255440152303</c:v>
                </c:pt>
                <c:pt idx="13">
                  <c:v>0.10981966103516042</c:v>
                </c:pt>
                <c:pt idx="14">
                  <c:v>0.11084288566677229</c:v>
                </c:pt>
                <c:pt idx="15">
                  <c:v>0.11860740170438074</c:v>
                </c:pt>
                <c:pt idx="16">
                  <c:v>9.2817062745743445E-2</c:v>
                </c:pt>
                <c:pt idx="17">
                  <c:v>7.3995558218210897E-2</c:v>
                </c:pt>
                <c:pt idx="18">
                  <c:v>-0.4669192980724261</c:v>
                </c:pt>
                <c:pt idx="19">
                  <c:v>6.9988520228390527E-2</c:v>
                </c:pt>
                <c:pt idx="20">
                  <c:v>0.21785100681108807</c:v>
                </c:pt>
                <c:pt idx="21">
                  <c:v>0.34889031548801208</c:v>
                </c:pt>
                <c:pt idx="22">
                  <c:v>0.18464844037285724</c:v>
                </c:pt>
                <c:pt idx="23">
                  <c:v>0.2596147702225905</c:v>
                </c:pt>
                <c:pt idx="24">
                  <c:v>0.27285741680742082</c:v>
                </c:pt>
                <c:pt idx="25">
                  <c:v>0.2770820873022749</c:v>
                </c:pt>
                <c:pt idx="26">
                  <c:v>0.22107504499341638</c:v>
                </c:pt>
                <c:pt idx="27">
                  <c:v>0.18838820852489399</c:v>
                </c:pt>
                <c:pt idx="28">
                  <c:v>0.16399598012379613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0-4A33-A630-854A1C8FC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69120"/>
        <c:axId val="554859136"/>
      </c:areaChart>
      <c:lineChart>
        <c:grouping val="standard"/>
        <c:varyColors val="0"/>
        <c:ser>
          <c:idx val="2"/>
          <c:order val="2"/>
          <c:tx>
            <c:strRef>
              <c:f>Charts_Support!$A$846</c:f>
              <c:strCache>
                <c:ptCount val="1"/>
                <c:pt idx="0">
                  <c:v>Asset Turnover (sales/ total assets, x)</c:v>
                </c:pt>
              </c:strCache>
            </c:strRef>
          </c:tx>
          <c:marker>
            <c:symbol val="none"/>
          </c:marker>
          <c:cat>
            <c:numRef>
              <c:f>Charts_Support!$C$844:$AE$844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Charts_Support!$C$846:$AE$846</c:f>
              <c:numCache>
                <c:formatCode>0.0\x</c:formatCode>
                <c:ptCount val="29"/>
                <c:pt idx="0">
                  <c:v>1.6821741451555294</c:v>
                </c:pt>
                <c:pt idx="1">
                  <c:v>1.6647931524984876</c:v>
                </c:pt>
                <c:pt idx="2">
                  <c:v>1.8523284379525657</c:v>
                </c:pt>
                <c:pt idx="3">
                  <c:v>1.7120561738500513</c:v>
                </c:pt>
                <c:pt idx="4">
                  <c:v>1.6546209835291408</c:v>
                </c:pt>
                <c:pt idx="5">
                  <c:v>1.4964145426821465</c:v>
                </c:pt>
                <c:pt idx="6">
                  <c:v>1.319092817846244</c:v>
                </c:pt>
                <c:pt idx="7">
                  <c:v>1.3940690042225106</c:v>
                </c:pt>
                <c:pt idx="8">
                  <c:v>1.5031650945377744</c:v>
                </c:pt>
                <c:pt idx="9">
                  <c:v>1.3788239582835173</c:v>
                </c:pt>
                <c:pt idx="10">
                  <c:v>1.4103565628748023</c:v>
                </c:pt>
                <c:pt idx="11">
                  <c:v>1.414680597511593</c:v>
                </c:pt>
                <c:pt idx="12">
                  <c:v>1.0808950592768309</c:v>
                </c:pt>
                <c:pt idx="13">
                  <c:v>1.048085303567988</c:v>
                </c:pt>
                <c:pt idx="14">
                  <c:v>1.0797016012928744</c:v>
                </c:pt>
                <c:pt idx="15">
                  <c:v>1.0953435245225904</c:v>
                </c:pt>
                <c:pt idx="16">
                  <c:v>0.9956190711760482</c:v>
                </c:pt>
                <c:pt idx="17">
                  <c:v>1.0658323826063301</c:v>
                </c:pt>
                <c:pt idx="18">
                  <c:v>0.66325590234470788</c:v>
                </c:pt>
                <c:pt idx="19">
                  <c:v>0.88436411624265154</c:v>
                </c:pt>
                <c:pt idx="20">
                  <c:v>1.141780326575661</c:v>
                </c:pt>
                <c:pt idx="21">
                  <c:v>1.2735936304286424</c:v>
                </c:pt>
                <c:pt idx="22">
                  <c:v>1.2956845496414815</c:v>
                </c:pt>
                <c:pt idx="23">
                  <c:v>1.332388515379701</c:v>
                </c:pt>
                <c:pt idx="24">
                  <c:v>1.2852203537967668</c:v>
                </c:pt>
                <c:pt idx="25">
                  <c:v>1.226930308191811</c:v>
                </c:pt>
                <c:pt idx="26">
                  <c:v>1.1902698535389751</c:v>
                </c:pt>
                <c:pt idx="27">
                  <c:v>1.1785048664775919</c:v>
                </c:pt>
                <c:pt idx="28">
                  <c:v>1.1688284953236385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B0-4A33-A630-854A1C8FC4C3}"/>
            </c:ext>
          </c:extLst>
        </c:ser>
        <c:ser>
          <c:idx val="3"/>
          <c:order val="3"/>
          <c:tx>
            <c:strRef>
              <c:f>Charts_Support!$A$847</c:f>
              <c:strCache>
                <c:ptCount val="1"/>
                <c:pt idx="0">
                  <c:v>Leverage (total assets/ equity, x)</c:v>
                </c:pt>
              </c:strCache>
            </c:strRef>
          </c:tx>
          <c:marker>
            <c:symbol val="none"/>
          </c:marker>
          <c:cat>
            <c:numRef>
              <c:f>Charts_Support!$C$844:$AE$844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Charts_Support!$C$847:$AE$847</c:f>
              <c:numCache>
                <c:formatCode>0.0\x</c:formatCode>
                <c:ptCount val="29"/>
                <c:pt idx="0">
                  <c:v>1.5595892113572858</c:v>
                </c:pt>
                <c:pt idx="1">
                  <c:v>1.5048270350606199</c:v>
                </c:pt>
                <c:pt idx="2">
                  <c:v>1.51829499031977</c:v>
                </c:pt>
                <c:pt idx="3">
                  <c:v>1.7069013468701026</c:v>
                </c:pt>
                <c:pt idx="4">
                  <c:v>1.6475376206581935</c:v>
                </c:pt>
                <c:pt idx="5">
                  <c:v>1.6520251146671092</c:v>
                </c:pt>
                <c:pt idx="6">
                  <c:v>1.969514495990861</c:v>
                </c:pt>
                <c:pt idx="7">
                  <c:v>2.0860410182773816</c:v>
                </c:pt>
                <c:pt idx="8">
                  <c:v>2.069658777568157</c:v>
                </c:pt>
                <c:pt idx="9">
                  <c:v>2.6480441931166969</c:v>
                </c:pt>
                <c:pt idx="10">
                  <c:v>2.5512774840892538</c:v>
                </c:pt>
                <c:pt idx="11">
                  <c:v>2.5265447979256921</c:v>
                </c:pt>
                <c:pt idx="12">
                  <c:v>3.2274454722487111</c:v>
                </c:pt>
                <c:pt idx="13">
                  <c:v>3.4480176032721852</c:v>
                </c:pt>
                <c:pt idx="14">
                  <c:v>3.8842022480658964</c:v>
                </c:pt>
                <c:pt idx="15">
                  <c:v>4.227007091389412</c:v>
                </c:pt>
                <c:pt idx="16">
                  <c:v>4.5139854888415654</c:v>
                </c:pt>
                <c:pt idx="17">
                  <c:v>5.2816828821806867</c:v>
                </c:pt>
                <c:pt idx="18">
                  <c:v>7.3081080931344466</c:v>
                </c:pt>
                <c:pt idx="19">
                  <c:v>8.6586603059909653</c:v>
                </c:pt>
                <c:pt idx="20">
                  <c:v>7.9024791386372435</c:v>
                </c:pt>
                <c:pt idx="21">
                  <c:v>7.4851742037391542</c:v>
                </c:pt>
                <c:pt idx="22">
                  <c:v>7.6144321381231315</c:v>
                </c:pt>
                <c:pt idx="23">
                  <c:v>7.5947492818511417</c:v>
                </c:pt>
                <c:pt idx="24">
                  <c:v>6.5861795465266768</c:v>
                </c:pt>
                <c:pt idx="25">
                  <c:v>5.5931331195747633</c:v>
                </c:pt>
                <c:pt idx="26">
                  <c:v>4.7463510418170003</c:v>
                </c:pt>
                <c:pt idx="27">
                  <c:v>4.0922233583606351</c:v>
                </c:pt>
                <c:pt idx="28">
                  <c:v>3.6060856610595478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B0-4A33-A630-854A1C8FC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51712"/>
        <c:axId val="554857600"/>
      </c:lineChart>
      <c:lineChart>
        <c:grouping val="standard"/>
        <c:varyColors val="0"/>
        <c:ser>
          <c:idx val="0"/>
          <c:order val="0"/>
          <c:tx>
            <c:strRef>
              <c:f>Charts_Support!$A$845</c:f>
              <c:strCache>
                <c:ptCount val="1"/>
                <c:pt idx="0">
                  <c:v>Net margin (net income/ sales, %)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Charts_Support!$C$844:$AE$844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Charts_Support!$C$845:$AE$845</c:f>
              <c:numCache>
                <c:formatCode>0.0%</c:formatCode>
                <c:ptCount val="29"/>
                <c:pt idx="0">
                  <c:v>5.6671141695548884E-2</c:v>
                </c:pt>
                <c:pt idx="1">
                  <c:v>4.4627686452787092E-2</c:v>
                </c:pt>
                <c:pt idx="2">
                  <c:v>4.1689384170928385E-2</c:v>
                </c:pt>
                <c:pt idx="3">
                  <c:v>6.03386706106789E-2</c:v>
                </c:pt>
                <c:pt idx="4">
                  <c:v>3.6867014776873534E-2</c:v>
                </c:pt>
                <c:pt idx="5">
                  <c:v>6.8490679778961908E-2</c:v>
                </c:pt>
                <c:pt idx="6">
                  <c:v>1.6538024459976913E-2</c:v>
                </c:pt>
                <c:pt idx="7">
                  <c:v>1.2081870428379507E-2</c:v>
                </c:pt>
                <c:pt idx="8">
                  <c:v>1.6837611786083295E-2</c:v>
                </c:pt>
                <c:pt idx="9">
                  <c:v>1.9599300855681484E-2</c:v>
                </c:pt>
                <c:pt idx="10">
                  <c:v>2.7113772515326512E-2</c:v>
                </c:pt>
                <c:pt idx="11">
                  <c:v>4.3341661010401503E-2</c:v>
                </c:pt>
                <c:pt idx="12">
                  <c:v>2.9239409822390157E-2</c:v>
                </c:pt>
                <c:pt idx="13">
                  <c:v>3.0388830952662357E-2</c:v>
                </c:pt>
                <c:pt idx="14">
                  <c:v>2.6430309140923959E-2</c:v>
                </c:pt>
                <c:pt idx="15">
                  <c:v>2.5617011929308382E-2</c:v>
                </c:pt>
                <c:pt idx="16">
                  <c:v>2.0652586756244606E-2</c:v>
                </c:pt>
                <c:pt idx="17">
                  <c:v>1.3144510498813485E-2</c:v>
                </c:pt>
                <c:pt idx="18">
                  <c:v>-9.632870861855021E-2</c:v>
                </c:pt>
                <c:pt idx="19">
                  <c:v>9.1399747719483806E-3</c:v>
                </c:pt>
                <c:pt idx="20">
                  <c:v>2.4144246575014051E-2</c:v>
                </c:pt>
                <c:pt idx="21">
                  <c:v>3.6597896437157711E-2</c:v>
                </c:pt>
                <c:pt idx="22">
                  <c:v>1.8715819289186544E-2</c:v>
                </c:pt>
                <c:pt idx="23">
                  <c:v>2.5655771266106939E-2</c:v>
                </c:pt>
                <c:pt idx="24">
                  <c:v>3.2234771989718504E-2</c:v>
                </c:pt>
                <c:pt idx="25">
                  <c:v>4.0376939764898978E-2</c:v>
                </c:pt>
                <c:pt idx="26">
                  <c:v>3.9132215116498593E-2</c:v>
                </c:pt>
                <c:pt idx="27">
                  <c:v>3.9062767255479448E-2</c:v>
                </c:pt>
                <c:pt idx="28">
                  <c:v>3.8908668845581446E-2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B0-4A33-A630-854A1C8FC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69120"/>
        <c:axId val="554859136"/>
      </c:lineChart>
      <c:catAx>
        <c:axId val="55485171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 sz="90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57600"/>
        <c:crosses val="autoZero"/>
        <c:auto val="1"/>
        <c:lblAlgn val="ctr"/>
        <c:lblOffset val="100"/>
        <c:tickMarkSkip val="1"/>
        <c:noMultiLvlLbl val="0"/>
      </c:catAx>
      <c:valAx>
        <c:axId val="55485760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\x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51712"/>
        <c:crosses val="autoZero"/>
        <c:crossBetween val="between"/>
      </c:valAx>
      <c:valAx>
        <c:axId val="55485913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69120"/>
        <c:crosses val="max"/>
        <c:crossBetween val="between"/>
      </c:valAx>
      <c:catAx>
        <c:axId val="554869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485913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468402088235011"/>
          <c:y val="2.3809960605759569E-2"/>
          <c:w val="0.59966474849019535"/>
          <c:h val="0.2025984728138583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52824949105732"/>
          <c:y val="6.5146683419882778E-2"/>
          <c:w val="0.7901760958469749"/>
          <c:h val="0.71886828842880268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Charts_Support!$A$285</c:f>
              <c:strCache>
                <c:ptCount val="1"/>
                <c:pt idx="0">
                  <c:v>Maintenance Capex (% net rev)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Charts_Support!$K$285:$AE$285</c:f>
              <c:numCache>
                <c:formatCode>0.0%</c:formatCode>
                <c:ptCount val="21"/>
                <c:pt idx="0">
                  <c:v>4.9731707833042373E-3</c:v>
                </c:pt>
                <c:pt idx="1">
                  <c:v>1.5771627814097015E-2</c:v>
                </c:pt>
                <c:pt idx="2">
                  <c:v>2.9588972620537518E-3</c:v>
                </c:pt>
                <c:pt idx="3">
                  <c:v>1.5546504682687498E-3</c:v>
                </c:pt>
                <c:pt idx="4">
                  <c:v>1.5730988534996642E-2</c:v>
                </c:pt>
                <c:pt idx="5">
                  <c:v>3.0506022972477773E-2</c:v>
                </c:pt>
                <c:pt idx="6">
                  <c:v>3.9100690689933215E-2</c:v>
                </c:pt>
                <c:pt idx="7">
                  <c:v>3.9183581057318354E-2</c:v>
                </c:pt>
                <c:pt idx="8">
                  <c:v>2.5673775387788061E-2</c:v>
                </c:pt>
                <c:pt idx="9">
                  <c:v>2.1710088479816196E-2</c:v>
                </c:pt>
                <c:pt idx="10">
                  <c:v>2.0452712256489532E-2</c:v>
                </c:pt>
                <c:pt idx="11">
                  <c:v>3.0035201792659269E-2</c:v>
                </c:pt>
                <c:pt idx="12">
                  <c:v>2.7304926297707123E-2</c:v>
                </c:pt>
                <c:pt idx="13">
                  <c:v>2.5597914907322279E-2</c:v>
                </c:pt>
                <c:pt idx="14">
                  <c:v>3.4824186442831286E-2</c:v>
                </c:pt>
                <c:pt idx="15">
                  <c:v>3.2183330166765924E-2</c:v>
                </c:pt>
                <c:pt idx="16">
                  <c:v>3.2679368170372987E-2</c:v>
                </c:pt>
                <c:pt idx="17">
                  <c:v>3.3217392746355566E-2</c:v>
                </c:pt>
                <c:pt idx="18">
                  <c:v>4.3035631139990115E-2</c:v>
                </c:pt>
                <c:pt idx="19">
                  <c:v>4.5266395829592875E-2</c:v>
                </c:pt>
                <c:pt idx="20">
                  <c:v>4.7463400079019467E-2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3A-408F-8DEE-AF016398A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873984"/>
        <c:axId val="554875520"/>
      </c:lineChart>
      <c:catAx>
        <c:axId val="55487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7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48755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4873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5270711789699319"/>
          <c:y val="0.55300249390534373"/>
          <c:w val="0.42771595140084917"/>
          <c:h val="0.12126722178896968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97804634801489E-2"/>
          <c:y val="6.8335064683059943E-2"/>
          <c:w val="0.87521006664707457"/>
          <c:h val="0.76712457045391835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Charts_Support!$A$885</c:f>
              <c:strCache>
                <c:ptCount val="1"/>
                <c:pt idx="0">
                  <c:v>Mexico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Charts_Support!$K$884:$AE$884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 formatCode="General">
                  <c:v>2018</c:v>
                </c:pt>
                <c:pt idx="9" formatCode="General">
                  <c:v>2019</c:v>
                </c:pt>
                <c:pt idx="10" formatCode="General">
                  <c:v>2020</c:v>
                </c:pt>
                <c:pt idx="11" formatCode="General">
                  <c:v>2021</c:v>
                </c:pt>
                <c:pt idx="12" formatCode="General">
                  <c:v>2022</c:v>
                </c:pt>
                <c:pt idx="13" formatCode="General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Charts_Support!$K$885:$AE$885</c:f>
              <c:numCache>
                <c:formatCode>0.0%</c:formatCode>
                <c:ptCount val="21"/>
                <c:pt idx="0">
                  <c:v>-7.7163222757092864E-3</c:v>
                </c:pt>
                <c:pt idx="1">
                  <c:v>7.981404352177468E-2</c:v>
                </c:pt>
                <c:pt idx="2">
                  <c:v>0.16283890450485483</c:v>
                </c:pt>
                <c:pt idx="3">
                  <c:v>4.8073367290964564E-2</c:v>
                </c:pt>
                <c:pt idx="4">
                  <c:v>0.13172608831679544</c:v>
                </c:pt>
                <c:pt idx="5">
                  <c:v>-0.22980725310635097</c:v>
                </c:pt>
                <c:pt idx="6">
                  <c:v>3.6170248372290104E-2</c:v>
                </c:pt>
                <c:pt idx="7">
                  <c:v>5.0167595911563501E-2</c:v>
                </c:pt>
                <c:pt idx="8">
                  <c:v>0.42872263932259691</c:v>
                </c:pt>
                <c:pt idx="9">
                  <c:v>6.0856356978154835E-2</c:v>
                </c:pt>
                <c:pt idx="10">
                  <c:v>-0.27836879036198148</c:v>
                </c:pt>
                <c:pt idx="11">
                  <c:v>0.44279902453009634</c:v>
                </c:pt>
                <c:pt idx="12">
                  <c:v>0.28392943463196674</c:v>
                </c:pt>
                <c:pt idx="13">
                  <c:v>0.12868645740687468</c:v>
                </c:pt>
                <c:pt idx="14">
                  <c:v>5.5228175459053563E-2</c:v>
                </c:pt>
                <c:pt idx="15">
                  <c:v>3.4116147024491505E-2</c:v>
                </c:pt>
                <c:pt idx="16">
                  <c:v>3.3193692379893447E-2</c:v>
                </c:pt>
                <c:pt idx="17">
                  <c:v>3.3884674717792551E-2</c:v>
                </c:pt>
                <c:pt idx="18">
                  <c:v>2.441390461386872E-2</c:v>
                </c:pt>
                <c:pt idx="19">
                  <c:v>2.4472014371389017E-2</c:v>
                </c:pt>
                <c:pt idx="20">
                  <c:v>2.5087402598330755E-2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7-4363-A3A3-F977A2A77E7A}"/>
            </c:ext>
          </c:extLst>
        </c:ser>
        <c:ser>
          <c:idx val="2"/>
          <c:order val="1"/>
          <c:tx>
            <c:strRef>
              <c:f>Charts_Support!$A$886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Charts_Support!$K$884:$AE$884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 formatCode="General">
                  <c:v>2018</c:v>
                </c:pt>
                <c:pt idx="9" formatCode="General">
                  <c:v>2019</c:v>
                </c:pt>
                <c:pt idx="10" formatCode="General">
                  <c:v>2020</c:v>
                </c:pt>
                <c:pt idx="11" formatCode="General">
                  <c:v>2021</c:v>
                </c:pt>
                <c:pt idx="12" formatCode="General">
                  <c:v>2022</c:v>
                </c:pt>
                <c:pt idx="13" formatCode="General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Charts_Support!$K$886:$AE$886</c:f>
              <c:numCache>
                <c:formatCode>0.0%</c:formatCode>
                <c:ptCount val="21"/>
                <c:pt idx="0">
                  <c:v>0.12465813693594341</c:v>
                </c:pt>
                <c:pt idx="1">
                  <c:v>0.10581486868818879</c:v>
                </c:pt>
                <c:pt idx="2">
                  <c:v>0.14418719618600973</c:v>
                </c:pt>
                <c:pt idx="3">
                  <c:v>-4.0692443463832939E-2</c:v>
                </c:pt>
                <c:pt idx="4">
                  <c:v>-0.10945585073905695</c:v>
                </c:pt>
                <c:pt idx="5">
                  <c:v>0.241776385395436</c:v>
                </c:pt>
                <c:pt idx="6">
                  <c:v>-2.9519241049148826E-2</c:v>
                </c:pt>
                <c:pt idx="7">
                  <c:v>0.12269949230155341</c:v>
                </c:pt>
                <c:pt idx="8">
                  <c:v>-0.13401739284222458</c:v>
                </c:pt>
                <c:pt idx="9">
                  <c:v>-0.10960303172007357</c:v>
                </c:pt>
                <c:pt idx="10">
                  <c:v>-0.41949993898986415</c:v>
                </c:pt>
                <c:pt idx="11">
                  <c:v>0.5826493351851163</c:v>
                </c:pt>
                <c:pt idx="12">
                  <c:v>0.40822686784997031</c:v>
                </c:pt>
                <c:pt idx="13">
                  <c:v>-3.6426116256823016E-2</c:v>
                </c:pt>
                <c:pt idx="14">
                  <c:v>-0.21427082355375171</c:v>
                </c:pt>
                <c:pt idx="15">
                  <c:v>5.4261302067348804E-2</c:v>
                </c:pt>
                <c:pt idx="16">
                  <c:v>2.9615248906929015E-2</c:v>
                </c:pt>
                <c:pt idx="17">
                  <c:v>5.2788928052247552E-3</c:v>
                </c:pt>
                <c:pt idx="18">
                  <c:v>1.1308399486602339E-2</c:v>
                </c:pt>
                <c:pt idx="19">
                  <c:v>1.1056547328680777E-2</c:v>
                </c:pt>
                <c:pt idx="20">
                  <c:v>1.0992253150850617E-2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7-4363-A3A3-F977A2A77E7A}"/>
            </c:ext>
          </c:extLst>
        </c:ser>
        <c:ser>
          <c:idx val="3"/>
          <c:order val="2"/>
          <c:tx>
            <c:strRef>
              <c:f>Charts_Support!$A$887</c:f>
              <c:strCache>
                <c:ptCount val="1"/>
                <c:pt idx="0">
                  <c:v>Europe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Charts_Support!$K$884:$AE$884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 formatCode="General">
                  <c:v>2018</c:v>
                </c:pt>
                <c:pt idx="9" formatCode="General">
                  <c:v>2019</c:v>
                </c:pt>
                <c:pt idx="10" formatCode="General">
                  <c:v>2020</c:v>
                </c:pt>
                <c:pt idx="11" formatCode="General">
                  <c:v>2021</c:v>
                </c:pt>
                <c:pt idx="12" formatCode="General">
                  <c:v>2022</c:v>
                </c:pt>
                <c:pt idx="13" formatCode="General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Charts_Support!$K$887:$AE$887</c:f>
              <c:numCache>
                <c:formatCode>0.0%</c:formatCode>
                <c:ptCount val="21"/>
                <c:pt idx="6">
                  <c:v>0.23500589699315677</c:v>
                </c:pt>
                <c:pt idx="7">
                  <c:v>2.6463200880370463E-2</c:v>
                </c:pt>
                <c:pt idx="8">
                  <c:v>4.5148632727578741E-2</c:v>
                </c:pt>
                <c:pt idx="9">
                  <c:v>-2.9643680647936987E-2</c:v>
                </c:pt>
                <c:pt idx="10">
                  <c:v>-0.34230099695006844</c:v>
                </c:pt>
                <c:pt idx="11">
                  <c:v>0.3398118020957539</c:v>
                </c:pt>
                <c:pt idx="12">
                  <c:v>0.14327028214911852</c:v>
                </c:pt>
                <c:pt idx="13">
                  <c:v>-4.1283139372144673E-3</c:v>
                </c:pt>
                <c:pt idx="14">
                  <c:v>5.5895427199692538E-3</c:v>
                </c:pt>
                <c:pt idx="15">
                  <c:v>0.13266958608636936</c:v>
                </c:pt>
                <c:pt idx="16">
                  <c:v>7.1849894258322333E-2</c:v>
                </c:pt>
                <c:pt idx="17">
                  <c:v>6.3561714877622189E-2</c:v>
                </c:pt>
                <c:pt idx="18">
                  <c:v>6.180187659165659E-2</c:v>
                </c:pt>
                <c:pt idx="19">
                  <c:v>6.0956529190311581E-2</c:v>
                </c:pt>
                <c:pt idx="20">
                  <c:v>6.0833496850949853E-2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7-4363-A3A3-F977A2A77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185280"/>
        <c:axId val="555186816"/>
      </c:lineChart>
      <c:catAx>
        <c:axId val="5551852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518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186816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518528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9178317859841105"/>
          <c:y val="0.77885612611502542"/>
          <c:w val="0.57553969514850201"/>
          <c:h val="7.2193163285090275E-2"/>
        </c:manualLayout>
      </c:layout>
      <c:overlay val="0"/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485783027121608E-2"/>
          <c:y val="0.10648148148148148"/>
          <c:w val="0.93695866141732287"/>
          <c:h val="0.72018992417614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Charts_Support!$A$845</c:f>
              <c:strCache>
                <c:ptCount val="1"/>
                <c:pt idx="0">
                  <c:v>Net margin (net income/ sales, %)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Charts_Support!$K$844:$AE$844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Charts_Support!$K$845:$AE$845</c:f>
              <c:numCache>
                <c:formatCode>0.0%</c:formatCode>
                <c:ptCount val="21"/>
                <c:pt idx="0">
                  <c:v>1.6837611786083295E-2</c:v>
                </c:pt>
                <c:pt idx="1">
                  <c:v>1.9599300855681484E-2</c:v>
                </c:pt>
                <c:pt idx="2">
                  <c:v>2.7113772515326512E-2</c:v>
                </c:pt>
                <c:pt idx="3">
                  <c:v>4.3341661010401503E-2</c:v>
                </c:pt>
                <c:pt idx="4">
                  <c:v>2.9239409822390157E-2</c:v>
                </c:pt>
                <c:pt idx="5">
                  <c:v>3.0388830952662357E-2</c:v>
                </c:pt>
                <c:pt idx="6">
                  <c:v>2.6430309140923959E-2</c:v>
                </c:pt>
                <c:pt idx="7">
                  <c:v>2.5617011929308382E-2</c:v>
                </c:pt>
                <c:pt idx="8">
                  <c:v>2.0652586756244606E-2</c:v>
                </c:pt>
                <c:pt idx="9">
                  <c:v>1.3144510498813485E-2</c:v>
                </c:pt>
                <c:pt idx="10">
                  <c:v>-9.632870861855021E-2</c:v>
                </c:pt>
                <c:pt idx="11">
                  <c:v>9.1399747719483806E-3</c:v>
                </c:pt>
                <c:pt idx="12">
                  <c:v>2.4144246575014051E-2</c:v>
                </c:pt>
                <c:pt idx="13">
                  <c:v>3.6597896437157711E-2</c:v>
                </c:pt>
                <c:pt idx="14">
                  <c:v>1.8715819289186544E-2</c:v>
                </c:pt>
                <c:pt idx="15">
                  <c:v>2.5655771266106939E-2</c:v>
                </c:pt>
                <c:pt idx="16">
                  <c:v>3.2234771989718504E-2</c:v>
                </c:pt>
                <c:pt idx="17">
                  <c:v>4.0376939764898978E-2</c:v>
                </c:pt>
                <c:pt idx="18">
                  <c:v>3.9132215116498593E-2</c:v>
                </c:pt>
                <c:pt idx="19">
                  <c:v>3.9062767255479448E-2</c:v>
                </c:pt>
                <c:pt idx="20">
                  <c:v>3.8908668845581446E-2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9-4A8C-800D-30AD5E9CB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209472"/>
        <c:axId val="555211008"/>
      </c:barChart>
      <c:catAx>
        <c:axId val="55520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211008"/>
        <c:crosses val="autoZero"/>
        <c:auto val="1"/>
        <c:lblAlgn val="ctr"/>
        <c:lblOffset val="100"/>
        <c:noMultiLvlLbl val="0"/>
      </c:catAx>
      <c:valAx>
        <c:axId val="555211008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555209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241902452193186"/>
          <c:y val="5.8337017245321972E-4"/>
          <c:w val="0.51543044619422573"/>
          <c:h val="0.1396566054243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Charts_Support!$A$846</c:f>
              <c:strCache>
                <c:ptCount val="1"/>
                <c:pt idx="0">
                  <c:v>Asset Turnover (sales/ total assets, x)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Charts_Support!$K$844:$AE$844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Charts_Support!$K$846:$AE$846</c:f>
              <c:numCache>
                <c:formatCode>0.0\x</c:formatCode>
                <c:ptCount val="21"/>
                <c:pt idx="0">
                  <c:v>1.5031650945377744</c:v>
                </c:pt>
                <c:pt idx="1">
                  <c:v>1.3788239582835173</c:v>
                </c:pt>
                <c:pt idx="2">
                  <c:v>1.4103565628748023</c:v>
                </c:pt>
                <c:pt idx="3">
                  <c:v>1.414680597511593</c:v>
                </c:pt>
                <c:pt idx="4">
                  <c:v>1.0808950592768309</c:v>
                </c:pt>
                <c:pt idx="5">
                  <c:v>1.048085303567988</c:v>
                </c:pt>
                <c:pt idx="6">
                  <c:v>1.0797016012928744</c:v>
                </c:pt>
                <c:pt idx="7">
                  <c:v>1.0953435245225904</c:v>
                </c:pt>
                <c:pt idx="8">
                  <c:v>0.9956190711760482</c:v>
                </c:pt>
                <c:pt idx="9">
                  <c:v>1.0658323826063301</c:v>
                </c:pt>
                <c:pt idx="10">
                  <c:v>0.66325590234470788</c:v>
                </c:pt>
                <c:pt idx="11">
                  <c:v>0.88436411624265154</c:v>
                </c:pt>
                <c:pt idx="12">
                  <c:v>1.141780326575661</c:v>
                </c:pt>
                <c:pt idx="13">
                  <c:v>1.2735936304286424</c:v>
                </c:pt>
                <c:pt idx="14">
                  <c:v>1.2956845496414815</c:v>
                </c:pt>
                <c:pt idx="15">
                  <c:v>1.332388515379701</c:v>
                </c:pt>
                <c:pt idx="16">
                  <c:v>1.2852203537967668</c:v>
                </c:pt>
                <c:pt idx="17">
                  <c:v>1.226930308191811</c:v>
                </c:pt>
                <c:pt idx="18">
                  <c:v>1.1902698535389751</c:v>
                </c:pt>
                <c:pt idx="19">
                  <c:v>1.1785048664775919</c:v>
                </c:pt>
                <c:pt idx="20">
                  <c:v>1.1688284953236385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A-481B-9870-F72188245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625088"/>
        <c:axId val="555635072"/>
      </c:barChart>
      <c:catAx>
        <c:axId val="55562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635072"/>
        <c:crosses val="autoZero"/>
        <c:auto val="1"/>
        <c:lblAlgn val="ctr"/>
        <c:lblOffset val="100"/>
        <c:noMultiLvlLbl val="0"/>
      </c:catAx>
      <c:valAx>
        <c:axId val="555635072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555625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429028871391076"/>
          <c:y val="4.2457713619130939E-3"/>
          <c:w val="0.51543044619422573"/>
          <c:h val="0.1396566054243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Charts_Support!$A$847</c:f>
              <c:strCache>
                <c:ptCount val="1"/>
                <c:pt idx="0">
                  <c:v>Leverage (total assets/ equity, x)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Charts_Support!$K$844:$AE$844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Charts_Support!$K$847:$AE$847</c:f>
              <c:numCache>
                <c:formatCode>0.0\x</c:formatCode>
                <c:ptCount val="21"/>
                <c:pt idx="0">
                  <c:v>2.069658777568157</c:v>
                </c:pt>
                <c:pt idx="1">
                  <c:v>2.6480441931166969</c:v>
                </c:pt>
                <c:pt idx="2">
                  <c:v>2.5512774840892538</c:v>
                </c:pt>
                <c:pt idx="3">
                  <c:v>2.5265447979256921</c:v>
                </c:pt>
                <c:pt idx="4">
                  <c:v>3.2274454722487111</c:v>
                </c:pt>
                <c:pt idx="5">
                  <c:v>3.4480176032721852</c:v>
                </c:pt>
                <c:pt idx="6">
                  <c:v>3.8842022480658964</c:v>
                </c:pt>
                <c:pt idx="7">
                  <c:v>4.227007091389412</c:v>
                </c:pt>
                <c:pt idx="8">
                  <c:v>4.5139854888415654</c:v>
                </c:pt>
                <c:pt idx="9">
                  <c:v>5.2816828821806867</c:v>
                </c:pt>
                <c:pt idx="10">
                  <c:v>7.3081080931344466</c:v>
                </c:pt>
                <c:pt idx="11">
                  <c:v>8.6586603059909653</c:v>
                </c:pt>
                <c:pt idx="12">
                  <c:v>7.9024791386372435</c:v>
                </c:pt>
                <c:pt idx="13">
                  <c:v>7.4851742037391542</c:v>
                </c:pt>
                <c:pt idx="14">
                  <c:v>7.6144321381231315</c:v>
                </c:pt>
                <c:pt idx="15">
                  <c:v>7.5947492818511417</c:v>
                </c:pt>
                <c:pt idx="16">
                  <c:v>6.5861795465266768</c:v>
                </c:pt>
                <c:pt idx="17">
                  <c:v>5.5931331195747633</c:v>
                </c:pt>
                <c:pt idx="18">
                  <c:v>4.7463510418170003</c:v>
                </c:pt>
                <c:pt idx="19">
                  <c:v>4.0922233583606351</c:v>
                </c:pt>
                <c:pt idx="20">
                  <c:v>3.6060856610595478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5-42A0-AD0E-73658C8EC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651840"/>
        <c:axId val="555653376"/>
      </c:barChart>
      <c:catAx>
        <c:axId val="555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653376"/>
        <c:crosses val="autoZero"/>
        <c:auto val="1"/>
        <c:lblAlgn val="ctr"/>
        <c:lblOffset val="100"/>
        <c:noMultiLvlLbl val="0"/>
      </c:catAx>
      <c:valAx>
        <c:axId val="555653376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5556518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4166666666666667"/>
          <c:y val="4.2457713619130939E-3"/>
          <c:w val="0.51543044619422573"/>
          <c:h val="0.1396566054243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485783027121608E-2"/>
          <c:y val="0.10185185185185185"/>
          <c:w val="0.93695866141732287"/>
          <c:h val="0.895935797060390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Charts_Support!$A$848</c:f>
              <c:strCache>
                <c:ptCount val="1"/>
                <c:pt idx="0">
                  <c:v>ROE (net margin x turnover x leverage,%)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Charts_Support!$K$844:$AE$844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Charts_Support!$K$848:$AE$848</c:f>
              <c:numCache>
                <c:formatCode>0.0%</c:formatCode>
                <c:ptCount val="21"/>
                <c:pt idx="0">
                  <c:v>5.2382464105389777E-2</c:v>
                </c:pt>
                <c:pt idx="1">
                  <c:v>7.1560708104341467E-2</c:v>
                </c:pt>
                <c:pt idx="2">
                  <c:v>9.7561072981505806E-2</c:v>
                </c:pt>
                <c:pt idx="3">
                  <c:v>0.15491410108827933</c:v>
                </c:pt>
                <c:pt idx="4">
                  <c:v>0.10200255440152303</c:v>
                </c:pt>
                <c:pt idx="5">
                  <c:v>0.10981966103516042</c:v>
                </c:pt>
                <c:pt idx="6">
                  <c:v>0.11084288566677229</c:v>
                </c:pt>
                <c:pt idx="7">
                  <c:v>0.11860740170438074</c:v>
                </c:pt>
                <c:pt idx="8">
                  <c:v>9.2817062745743445E-2</c:v>
                </c:pt>
                <c:pt idx="9">
                  <c:v>7.3995558218210897E-2</c:v>
                </c:pt>
                <c:pt idx="10">
                  <c:v>-0.4669192980724261</c:v>
                </c:pt>
                <c:pt idx="11">
                  <c:v>6.9988520228390527E-2</c:v>
                </c:pt>
                <c:pt idx="12">
                  <c:v>0.21785100681108807</c:v>
                </c:pt>
                <c:pt idx="13">
                  <c:v>0.34889031548801208</c:v>
                </c:pt>
                <c:pt idx="14">
                  <c:v>0.18464844037285724</c:v>
                </c:pt>
                <c:pt idx="15">
                  <c:v>0.2596147702225905</c:v>
                </c:pt>
                <c:pt idx="16">
                  <c:v>0.27285741680742082</c:v>
                </c:pt>
                <c:pt idx="17">
                  <c:v>0.2770820873022749</c:v>
                </c:pt>
                <c:pt idx="18">
                  <c:v>0.22107504499341638</c:v>
                </c:pt>
                <c:pt idx="19">
                  <c:v>0.18838820852489399</c:v>
                </c:pt>
                <c:pt idx="20">
                  <c:v>0.16399598012379613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A-4BD2-8272-C89F772E5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944576"/>
        <c:axId val="555962752"/>
      </c:barChart>
      <c:catAx>
        <c:axId val="55594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962752"/>
        <c:crosses val="autoZero"/>
        <c:auto val="1"/>
        <c:lblAlgn val="ctr"/>
        <c:lblOffset val="100"/>
        <c:noMultiLvlLbl val="0"/>
      </c:catAx>
      <c:valAx>
        <c:axId val="555962752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555944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166666666666666"/>
          <c:y val="4.2457713619130939E-3"/>
          <c:w val="0.71820822397200346"/>
          <c:h val="0.13965660542432196"/>
        </c:manualLayout>
      </c:layout>
      <c:overlay val="1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511111111111111"/>
          <c:y val="5.3794992175273865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(Charts_Support!$M$608:$M$612,Charts_Support!$M$616:$M$617)</c:f>
              <c:strCache>
                <c:ptCount val="7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Vips</c:v>
                </c:pt>
                <c:pt idx="4">
                  <c:v>Foster's Hollywood</c:v>
                </c:pt>
                <c:pt idx="5">
                  <c:v>Ginos</c:v>
                </c:pt>
                <c:pt idx="6">
                  <c:v>Other</c:v>
                </c:pt>
              </c:strCache>
            </c:strRef>
          </c:cat>
          <c:val>
            <c:numRef>
              <c:f>(Charts_Support!$X$608:$X$612,Charts_Support!$X$616:$X$617)</c:f>
              <c:numCache>
                <c:formatCode>0.0%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0-401E-86BC-7643111616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5728395061728396"/>
          <c:y val="5.8685446009389672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(Charts_Support!$Z$608:$Z$612,Charts_Support!$Z$616:$Z$617)</c:f>
              <c:strCache>
                <c:ptCount val="7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Vips</c:v>
                </c:pt>
                <c:pt idx="4">
                  <c:v>Foster's Hollywood</c:v>
                </c:pt>
                <c:pt idx="5">
                  <c:v>Ginos</c:v>
                </c:pt>
                <c:pt idx="6">
                  <c:v>Other</c:v>
                </c:pt>
              </c:strCache>
            </c:strRef>
          </c:cat>
          <c:val>
            <c:numRef>
              <c:f>(Charts_Support!$AK$608:$AK$612,Charts_Support!$AK$616:$AK$617)</c:f>
              <c:numCache>
                <c:formatCode>0.0%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1-4BD7-BE6B-C270C684658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Charts_Support!$A$449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  <a:prstDash val="solid"/>
            </a:ln>
          </c:spPr>
          <c:invertIfNegative val="0"/>
          <c:cat>
            <c:strRef>
              <c:f>Charts_Support!$AE$492:$CS$492</c:f>
              <c:strCache>
                <c:ptCount val="43"/>
                <c:pt idx="0">
                  <c:v>2Q14</c:v>
                </c:pt>
                <c:pt idx="1">
                  <c:v>3Q14</c:v>
                </c:pt>
                <c:pt idx="2">
                  <c:v>4Q14</c:v>
                </c:pt>
                <c:pt idx="3">
                  <c:v>1Q15</c:v>
                </c:pt>
                <c:pt idx="4">
                  <c:v>2Q15</c:v>
                </c:pt>
                <c:pt idx="5">
                  <c:v>3Q15</c:v>
                </c:pt>
                <c:pt idx="6">
                  <c:v>4Q15</c:v>
                </c:pt>
                <c:pt idx="7">
                  <c:v>1Q16</c:v>
                </c:pt>
                <c:pt idx="8">
                  <c:v>2Q16</c:v>
                </c:pt>
                <c:pt idx="9">
                  <c:v>3Q16</c:v>
                </c:pt>
                <c:pt idx="10">
                  <c:v>4Q16</c:v>
                </c:pt>
                <c:pt idx="11">
                  <c:v>1Q17</c:v>
                </c:pt>
                <c:pt idx="12">
                  <c:v>2Q17</c:v>
                </c:pt>
                <c:pt idx="13">
                  <c:v>3Q17</c:v>
                </c:pt>
                <c:pt idx="14">
                  <c:v>4Q17</c:v>
                </c:pt>
                <c:pt idx="15">
                  <c:v>1Q18</c:v>
                </c:pt>
                <c:pt idx="16">
                  <c:v>2Q18</c:v>
                </c:pt>
                <c:pt idx="17">
                  <c:v>3Q18</c:v>
                </c:pt>
                <c:pt idx="18">
                  <c:v>4Q18</c:v>
                </c:pt>
                <c:pt idx="19">
                  <c:v>1Q19</c:v>
                </c:pt>
                <c:pt idx="20">
                  <c:v>2Q19</c:v>
                </c:pt>
                <c:pt idx="21">
                  <c:v>3Q19</c:v>
                </c:pt>
                <c:pt idx="22">
                  <c:v>4Q19</c:v>
                </c:pt>
                <c:pt idx="23">
                  <c:v>1Q20</c:v>
                </c:pt>
                <c:pt idx="24">
                  <c:v>2Q20</c:v>
                </c:pt>
                <c:pt idx="25">
                  <c:v>3Q20</c:v>
                </c:pt>
                <c:pt idx="26">
                  <c:v>4Q20</c:v>
                </c:pt>
                <c:pt idx="27">
                  <c:v>1Q21</c:v>
                </c:pt>
                <c:pt idx="28">
                  <c:v>2Q21</c:v>
                </c:pt>
                <c:pt idx="29">
                  <c:v>3Q21</c:v>
                </c:pt>
                <c:pt idx="30">
                  <c:v>4Q21</c:v>
                </c:pt>
                <c:pt idx="31">
                  <c:v>1Q22</c:v>
                </c:pt>
                <c:pt idx="32">
                  <c:v>2Q22</c:v>
                </c:pt>
                <c:pt idx="33">
                  <c:v>3Q22</c:v>
                </c:pt>
                <c:pt idx="34">
                  <c:v>4Q22</c:v>
                </c:pt>
                <c:pt idx="35">
                  <c:v>1Q23</c:v>
                </c:pt>
                <c:pt idx="36">
                  <c:v>2Q23</c:v>
                </c:pt>
                <c:pt idx="37">
                  <c:v>3Q23</c:v>
                </c:pt>
                <c:pt idx="38">
                  <c:v>4Q23</c:v>
                </c:pt>
                <c:pt idx="39">
                  <c:v>1Q24</c:v>
                </c:pt>
                <c:pt idx="40">
                  <c:v>2Q24e</c:v>
                </c:pt>
                <c:pt idx="41">
                  <c:v>3Q24e</c:v>
                </c:pt>
                <c:pt idx="42">
                  <c:v>4Q24e</c:v>
                </c:pt>
              </c:strCache>
            </c:strRef>
          </c:cat>
          <c:val>
            <c:numRef>
              <c:f>Charts_Support!$AB$449:$CS$449</c:f>
              <c:numCache>
                <c:formatCode>0.0%</c:formatCode>
                <c:ptCount val="46"/>
                <c:pt idx="0">
                  <c:v>#N/A</c:v>
                </c:pt>
                <c:pt idx="1">
                  <c:v>4.7E-2</c:v>
                </c:pt>
                <c:pt idx="2">
                  <c:v>2.5999999999999999E-2</c:v>
                </c:pt>
                <c:pt idx="3">
                  <c:v>1.7999999999999999E-2</c:v>
                </c:pt>
                <c:pt idx="4">
                  <c:v>-2.5000000000000001E-2</c:v>
                </c:pt>
                <c:pt idx="5">
                  <c:v>-2.8000000000000001E-2</c:v>
                </c:pt>
                <c:pt idx="6">
                  <c:v>2.5999999999999999E-2</c:v>
                </c:pt>
                <c:pt idx="7">
                  <c:v>0.02</c:v>
                </c:pt>
                <c:pt idx="8">
                  <c:v>5.8000000000000003E-2</c:v>
                </c:pt>
                <c:pt idx="9">
                  <c:v>6.0999999999999999E-2</c:v>
                </c:pt>
                <c:pt idx="10">
                  <c:v>6.2E-2</c:v>
                </c:pt>
                <c:pt idx="11">
                  <c:v>6.2E-2</c:v>
                </c:pt>
                <c:pt idx="12">
                  <c:v>6.4000000000000001E-2</c:v>
                </c:pt>
                <c:pt idx="13">
                  <c:v>4.9000000000000002E-2</c:v>
                </c:pt>
                <c:pt idx="14">
                  <c:v>1.9E-2</c:v>
                </c:pt>
                <c:pt idx="15">
                  <c:v>0.05</c:v>
                </c:pt>
                <c:pt idx="16">
                  <c:v>1.7000000000000001E-2</c:v>
                </c:pt>
                <c:pt idx="17">
                  <c:v>3.9E-2</c:v>
                </c:pt>
                <c:pt idx="18">
                  <c:v>7.0999999999999994E-2</c:v>
                </c:pt>
                <c:pt idx="19">
                  <c:v>2.8000000000000001E-2</c:v>
                </c:pt>
                <c:pt idx="20">
                  <c:v>2.8000000000000001E-2</c:v>
                </c:pt>
                <c:pt idx="21">
                  <c:v>3.5000000000000003E-2</c:v>
                </c:pt>
                <c:pt idx="22">
                  <c:v>2.1000000000000001E-2</c:v>
                </c:pt>
                <c:pt idx="23">
                  <c:v>6.3E-2</c:v>
                </c:pt>
                <c:pt idx="24">
                  <c:v>3.5999999999999997E-2</c:v>
                </c:pt>
                <c:pt idx="25">
                  <c:v>2.3E-2</c:v>
                </c:pt>
                <c:pt idx="26">
                  <c:v>-2.5999999999999999E-2</c:v>
                </c:pt>
                <c:pt idx="27">
                  <c:v>-0.443</c:v>
                </c:pt>
                <c:pt idx="28">
                  <c:v>-0.29599999999999999</c:v>
                </c:pt>
                <c:pt idx="29">
                  <c:v>-0.218</c:v>
                </c:pt>
                <c:pt idx="30">
                  <c:v>-8.4000000000000005E-2</c:v>
                </c:pt>
                <c:pt idx="31">
                  <c:v>0.86</c:v>
                </c:pt>
                <c:pt idx="32">
                  <c:v>0.435</c:v>
                </c:pt>
                <c:pt idx="33">
                  <c:v>0.44500000000000001</c:v>
                </c:pt>
                <c:pt idx="34">
                  <c:v>0.44400000000000001</c:v>
                </c:pt>
                <c:pt idx="35">
                  <c:v>0.28100000000000003</c:v>
                </c:pt>
                <c:pt idx="36">
                  <c:v>0.23499999999999999</c:v>
                </c:pt>
                <c:pt idx="37">
                  <c:v>0.16</c:v>
                </c:pt>
                <c:pt idx="38">
                  <c:v>0.184</c:v>
                </c:pt>
                <c:pt idx="39">
                  <c:v>0.14099999999999999</c:v>
                </c:pt>
                <c:pt idx="40">
                  <c:v>0.16200000000000001</c:v>
                </c:pt>
                <c:pt idx="41">
                  <c:v>0.13500000000000001</c:v>
                </c:pt>
                <c:pt idx="42">
                  <c:v>0.10100000000000001</c:v>
                </c:pt>
                <c:pt idx="43">
                  <c:v>7.2999999999999995E-2</c:v>
                </c:pt>
                <c:pt idx="44">
                  <c:v>4.691657931847279E-2</c:v>
                </c:pt>
                <c:pt idx="45">
                  <c:v>4.3916423901643048E-2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E-415B-A530-5A8FD0500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684800"/>
        <c:axId val="556686336"/>
      </c:barChart>
      <c:scatterChart>
        <c:scatterStyle val="lineMarker"/>
        <c:varyColors val="0"/>
        <c:ser>
          <c:idx val="3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0E-415B-A530-5A8FD0500A82}"/>
            </c:ext>
          </c:extLst>
        </c:ser>
        <c:ser>
          <c:idx val="4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0E-415B-A530-5A8FD0500A82}"/>
            </c:ext>
          </c:extLst>
        </c:ser>
        <c:ser>
          <c:idx val="5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0E-415B-A530-5A8FD0500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692224"/>
        <c:axId val="556693760"/>
      </c:scatterChart>
      <c:catAx>
        <c:axId val="55668480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686336"/>
        <c:crossesAt val="1.8000000000000002E-2"/>
        <c:auto val="1"/>
        <c:lblAlgn val="ctr"/>
        <c:lblOffset val="100"/>
        <c:tickLblSkip val="2"/>
        <c:tickMarkSkip val="1"/>
        <c:noMultiLvlLbl val="0"/>
      </c:catAx>
      <c:valAx>
        <c:axId val="55668633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684800"/>
        <c:crosses val="autoZero"/>
        <c:crossBetween val="between"/>
      </c:valAx>
      <c:valAx>
        <c:axId val="556692224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56693760"/>
        <c:crosses val="autoZero"/>
        <c:crossBetween val="midCat"/>
      </c:valAx>
      <c:valAx>
        <c:axId val="556693760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56692224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3244367454068243"/>
          <c:y val="1.6249179307836798E-3"/>
          <c:w val="0.23714166079434629"/>
          <c:h val="0.1876831305177761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Charts_Support!$A$450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Charts_Support!$AB$447:$CS$447</c:f>
              <c:strCache>
                <c:ptCount val="46"/>
                <c:pt idx="0">
                  <c:v>3Q13</c:v>
                </c:pt>
                <c:pt idx="1">
                  <c:v>4Q13</c:v>
                </c:pt>
                <c:pt idx="2">
                  <c:v>1Q14</c:v>
                </c:pt>
                <c:pt idx="3">
                  <c:v>2Q14</c:v>
                </c:pt>
                <c:pt idx="4">
                  <c:v>3Q14</c:v>
                </c:pt>
                <c:pt idx="5">
                  <c:v>4Q14</c:v>
                </c:pt>
                <c:pt idx="6">
                  <c:v>1Q15</c:v>
                </c:pt>
                <c:pt idx="7">
                  <c:v>2Q15</c:v>
                </c:pt>
                <c:pt idx="8">
                  <c:v>3Q15</c:v>
                </c:pt>
                <c:pt idx="9">
                  <c:v>4Q15</c:v>
                </c:pt>
                <c:pt idx="10">
                  <c:v>1Q16</c:v>
                </c:pt>
                <c:pt idx="11">
                  <c:v>2Q16</c:v>
                </c:pt>
                <c:pt idx="12">
                  <c:v>3Q16</c:v>
                </c:pt>
                <c:pt idx="13">
                  <c:v>4Q16</c:v>
                </c:pt>
                <c:pt idx="14">
                  <c:v>1Q17</c:v>
                </c:pt>
                <c:pt idx="15">
                  <c:v>2Q17</c:v>
                </c:pt>
                <c:pt idx="16">
                  <c:v>3Q17</c:v>
                </c:pt>
                <c:pt idx="17">
                  <c:v>4Q17</c:v>
                </c:pt>
                <c:pt idx="18">
                  <c:v>1Q18</c:v>
                </c:pt>
                <c:pt idx="19">
                  <c:v>2Q18</c:v>
                </c:pt>
                <c:pt idx="20">
                  <c:v>3Q18</c:v>
                </c:pt>
                <c:pt idx="21">
                  <c:v>4Q18</c:v>
                </c:pt>
                <c:pt idx="22">
                  <c:v>1Q19</c:v>
                </c:pt>
                <c:pt idx="23">
                  <c:v>2Q19</c:v>
                </c:pt>
                <c:pt idx="24">
                  <c:v>3Q19</c:v>
                </c:pt>
                <c:pt idx="25">
                  <c:v>4Q19</c:v>
                </c:pt>
                <c:pt idx="26">
                  <c:v>1Q20</c:v>
                </c:pt>
                <c:pt idx="27">
                  <c:v>2Q20</c:v>
                </c:pt>
                <c:pt idx="28">
                  <c:v>3Q20</c:v>
                </c:pt>
                <c:pt idx="29">
                  <c:v>4Q20</c:v>
                </c:pt>
                <c:pt idx="30">
                  <c:v>1Q21</c:v>
                </c:pt>
                <c:pt idx="31">
                  <c:v>2Q21</c:v>
                </c:pt>
                <c:pt idx="32">
                  <c:v>3Q21</c:v>
                </c:pt>
                <c:pt idx="33">
                  <c:v>4Q21</c:v>
                </c:pt>
                <c:pt idx="34">
                  <c:v>1Q22</c:v>
                </c:pt>
                <c:pt idx="35">
                  <c:v>2Q22</c:v>
                </c:pt>
                <c:pt idx="36">
                  <c:v>3Q22</c:v>
                </c:pt>
                <c:pt idx="37">
                  <c:v>4Q22</c:v>
                </c:pt>
                <c:pt idx="38">
                  <c:v>1Q23</c:v>
                </c:pt>
                <c:pt idx="39">
                  <c:v>2Q23</c:v>
                </c:pt>
                <c:pt idx="40">
                  <c:v>3Q23</c:v>
                </c:pt>
                <c:pt idx="41">
                  <c:v>4Q23</c:v>
                </c:pt>
                <c:pt idx="42">
                  <c:v>1Q24</c:v>
                </c:pt>
                <c:pt idx="43">
                  <c:v>2Q24e</c:v>
                </c:pt>
                <c:pt idx="44">
                  <c:v>3Q24e</c:v>
                </c:pt>
                <c:pt idx="45">
                  <c:v>4Q24e</c:v>
                </c:pt>
              </c:strCache>
            </c:strRef>
          </c:cat>
          <c:val>
            <c:numRef>
              <c:f>Charts_Support!$AC$450:$CS$450</c:f>
              <c:numCache>
                <c:formatCode>0.0%</c:formatCode>
                <c:ptCount val="45"/>
                <c:pt idx="0">
                  <c:v>0.26</c:v>
                </c:pt>
                <c:pt idx="1">
                  <c:v>0.26500000000000001</c:v>
                </c:pt>
                <c:pt idx="2">
                  <c:v>0.19800000000000001</c:v>
                </c:pt>
                <c:pt idx="3">
                  <c:v>0.16400000000000001</c:v>
                </c:pt>
                <c:pt idx="4">
                  <c:v>0.16700000000000001</c:v>
                </c:pt>
                <c:pt idx="5">
                  <c:v>0.154</c:v>
                </c:pt>
                <c:pt idx="6">
                  <c:v>0.27400000000000002</c:v>
                </c:pt>
                <c:pt idx="7">
                  <c:v>0.29299999999999998</c:v>
                </c:pt>
                <c:pt idx="8">
                  <c:v>0.28399999999999997</c:v>
                </c:pt>
                <c:pt idx="9">
                  <c:v>0.26800000000000002</c:v>
                </c:pt>
                <c:pt idx="10">
                  <c:v>0.23</c:v>
                </c:pt>
                <c:pt idx="11">
                  <c:v>0.23599999999999999</c:v>
                </c:pt>
                <c:pt idx="12">
                  <c:v>0.22</c:v>
                </c:pt>
                <c:pt idx="13">
                  <c:v>0.247</c:v>
                </c:pt>
                <c:pt idx="14">
                  <c:v>0.16600000000000001</c:v>
                </c:pt>
                <c:pt idx="15">
                  <c:v>0.216</c:v>
                </c:pt>
                <c:pt idx="16">
                  <c:v>0.184</c:v>
                </c:pt>
                <c:pt idx="17">
                  <c:v>9.6000000000000002E-2</c:v>
                </c:pt>
                <c:pt idx="18">
                  <c:v>0.126</c:v>
                </c:pt>
                <c:pt idx="19">
                  <c:v>0.10100000000000001</c:v>
                </c:pt>
                <c:pt idx="20">
                  <c:v>0.15</c:v>
                </c:pt>
                <c:pt idx="21">
                  <c:v>0.13100000000000001</c:v>
                </c:pt>
                <c:pt idx="22">
                  <c:v>0.16400000000000001</c:v>
                </c:pt>
                <c:pt idx="23">
                  <c:v>0.186</c:v>
                </c:pt>
                <c:pt idx="24">
                  <c:v>0.11600000000000001</c:v>
                </c:pt>
                <c:pt idx="25">
                  <c:v>6.8000000000000005E-2</c:v>
                </c:pt>
                <c:pt idx="26">
                  <c:v>-0.442</c:v>
                </c:pt>
                <c:pt idx="27">
                  <c:v>-0.36499999999999999</c:v>
                </c:pt>
                <c:pt idx="28">
                  <c:v>-0.14199999999999999</c:v>
                </c:pt>
                <c:pt idx="29">
                  <c:v>4.9000000000000002E-2</c:v>
                </c:pt>
                <c:pt idx="30">
                  <c:v>0.98299999999999998</c:v>
                </c:pt>
                <c:pt idx="31">
                  <c:v>1.01</c:v>
                </c:pt>
                <c:pt idx="32">
                  <c:v>0.78400000000000003</c:v>
                </c:pt>
                <c:pt idx="33">
                  <c:v>0.66400000000000003</c:v>
                </c:pt>
                <c:pt idx="34">
                  <c:v>1.002</c:v>
                </c:pt>
                <c:pt idx="35">
                  <c:v>0.68200000000000005</c:v>
                </c:pt>
                <c:pt idx="36">
                  <c:v>0.53500000000000003</c:v>
                </c:pt>
                <c:pt idx="37">
                  <c:v>0.58299999999999996</c:v>
                </c:pt>
                <c:pt idx="38">
                  <c:v>0.49</c:v>
                </c:pt>
                <c:pt idx="39">
                  <c:v>0.41399999999999998</c:v>
                </c:pt>
                <c:pt idx="40">
                  <c:v>0.28100000000000003</c:v>
                </c:pt>
                <c:pt idx="41">
                  <c:v>0.33400000000000002</c:v>
                </c:pt>
                <c:pt idx="42">
                  <c:v>0.48099999999999998</c:v>
                </c:pt>
                <c:pt idx="43">
                  <c:v>0.43545757945564589</c:v>
                </c:pt>
                <c:pt idx="44">
                  <c:v>0.29217100852820443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4-477F-9C11-F5B8A7943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724992"/>
        <c:axId val="556726528"/>
      </c:barChart>
      <c:scatterChart>
        <c:scatterStyle val="lineMarker"/>
        <c:varyColors val="0"/>
        <c:ser>
          <c:idx val="3"/>
          <c:order val="0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4-477F-9C11-F5B8A7943350}"/>
            </c:ext>
          </c:extLst>
        </c:ser>
        <c:ser>
          <c:idx val="4"/>
          <c:order val="1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34-477F-9C11-F5B8A7943350}"/>
            </c:ext>
          </c:extLst>
        </c:ser>
        <c:ser>
          <c:idx val="5"/>
          <c:order val="2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34-477F-9C11-F5B8A7943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75776"/>
        <c:axId val="556877312"/>
      </c:scatterChart>
      <c:catAx>
        <c:axId val="55672499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726528"/>
        <c:crossesAt val="1.8000000000000002E-2"/>
        <c:auto val="1"/>
        <c:lblAlgn val="ctr"/>
        <c:lblOffset val="100"/>
        <c:tickLblSkip val="1"/>
        <c:tickMarkSkip val="1"/>
        <c:noMultiLvlLbl val="0"/>
      </c:catAx>
      <c:valAx>
        <c:axId val="55672652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724992"/>
        <c:crosses val="autoZero"/>
        <c:crossBetween val="between"/>
      </c:valAx>
      <c:valAx>
        <c:axId val="556875776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56877312"/>
        <c:crosses val="autoZero"/>
        <c:crossBetween val="midCat"/>
      </c:valAx>
      <c:valAx>
        <c:axId val="55687731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56875776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3244367454068243"/>
          <c:y val="1.6249179307836798E-3"/>
          <c:w val="0.23714166079434629"/>
          <c:h val="0.1876831305177761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barChart>
        <c:barDir val="col"/>
        <c:grouping val="clustered"/>
        <c:varyColors val="0"/>
        <c:ser>
          <c:idx val="1"/>
          <c:order val="3"/>
          <c:tx>
            <c:strRef>
              <c:f>Charts_Support!$A$451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Charts_Support!$AB$447:$CS$447</c:f>
              <c:strCache>
                <c:ptCount val="46"/>
                <c:pt idx="0">
                  <c:v>3Q13</c:v>
                </c:pt>
                <c:pt idx="1">
                  <c:v>4Q13</c:v>
                </c:pt>
                <c:pt idx="2">
                  <c:v>1Q14</c:v>
                </c:pt>
                <c:pt idx="3">
                  <c:v>2Q14</c:v>
                </c:pt>
                <c:pt idx="4">
                  <c:v>3Q14</c:v>
                </c:pt>
                <c:pt idx="5">
                  <c:v>4Q14</c:v>
                </c:pt>
                <c:pt idx="6">
                  <c:v>1Q15</c:v>
                </c:pt>
                <c:pt idx="7">
                  <c:v>2Q15</c:v>
                </c:pt>
                <c:pt idx="8">
                  <c:v>3Q15</c:v>
                </c:pt>
                <c:pt idx="9">
                  <c:v>4Q15</c:v>
                </c:pt>
                <c:pt idx="10">
                  <c:v>1Q16</c:v>
                </c:pt>
                <c:pt idx="11">
                  <c:v>2Q16</c:v>
                </c:pt>
                <c:pt idx="12">
                  <c:v>3Q16</c:v>
                </c:pt>
                <c:pt idx="13">
                  <c:v>4Q16</c:v>
                </c:pt>
                <c:pt idx="14">
                  <c:v>1Q17</c:v>
                </c:pt>
                <c:pt idx="15">
                  <c:v>2Q17</c:v>
                </c:pt>
                <c:pt idx="16">
                  <c:v>3Q17</c:v>
                </c:pt>
                <c:pt idx="17">
                  <c:v>4Q17</c:v>
                </c:pt>
                <c:pt idx="18">
                  <c:v>1Q18</c:v>
                </c:pt>
                <c:pt idx="19">
                  <c:v>2Q18</c:v>
                </c:pt>
                <c:pt idx="20">
                  <c:v>3Q18</c:v>
                </c:pt>
                <c:pt idx="21">
                  <c:v>4Q18</c:v>
                </c:pt>
                <c:pt idx="22">
                  <c:v>1Q19</c:v>
                </c:pt>
                <c:pt idx="23">
                  <c:v>2Q19</c:v>
                </c:pt>
                <c:pt idx="24">
                  <c:v>3Q19</c:v>
                </c:pt>
                <c:pt idx="25">
                  <c:v>4Q19</c:v>
                </c:pt>
                <c:pt idx="26">
                  <c:v>1Q20</c:v>
                </c:pt>
                <c:pt idx="27">
                  <c:v>2Q20</c:v>
                </c:pt>
                <c:pt idx="28">
                  <c:v>3Q20</c:v>
                </c:pt>
                <c:pt idx="29">
                  <c:v>4Q20</c:v>
                </c:pt>
                <c:pt idx="30">
                  <c:v>1Q21</c:v>
                </c:pt>
                <c:pt idx="31">
                  <c:v>2Q21</c:v>
                </c:pt>
                <c:pt idx="32">
                  <c:v>3Q21</c:v>
                </c:pt>
                <c:pt idx="33">
                  <c:v>4Q21</c:v>
                </c:pt>
                <c:pt idx="34">
                  <c:v>1Q22</c:v>
                </c:pt>
                <c:pt idx="35">
                  <c:v>2Q22</c:v>
                </c:pt>
                <c:pt idx="36">
                  <c:v>3Q22</c:v>
                </c:pt>
                <c:pt idx="37">
                  <c:v>4Q22</c:v>
                </c:pt>
                <c:pt idx="38">
                  <c:v>1Q23</c:v>
                </c:pt>
                <c:pt idx="39">
                  <c:v>2Q23</c:v>
                </c:pt>
                <c:pt idx="40">
                  <c:v>3Q23</c:v>
                </c:pt>
                <c:pt idx="41">
                  <c:v>4Q23</c:v>
                </c:pt>
                <c:pt idx="42">
                  <c:v>1Q24</c:v>
                </c:pt>
                <c:pt idx="43">
                  <c:v>2Q24e</c:v>
                </c:pt>
                <c:pt idx="44">
                  <c:v>3Q24e</c:v>
                </c:pt>
                <c:pt idx="45">
                  <c:v>4Q24e</c:v>
                </c:pt>
              </c:strCache>
            </c:strRef>
          </c:cat>
          <c:val>
            <c:numRef>
              <c:f>Charts_Support!$AC$451:$CS$451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8.8999999999999996E-2</c:v>
                </c:pt>
                <c:pt idx="5">
                  <c:v>9.7000000000000003E-2</c:v>
                </c:pt>
                <c:pt idx="6">
                  <c:v>3.6999999999999998E-2</c:v>
                </c:pt>
                <c:pt idx="7">
                  <c:v>7.0999999999999994E-2</c:v>
                </c:pt>
                <c:pt idx="8">
                  <c:v>7.1999999999999995E-2</c:v>
                </c:pt>
                <c:pt idx="9">
                  <c:v>8.5000000000000006E-2</c:v>
                </c:pt>
                <c:pt idx="10">
                  <c:v>7.2999999999999995E-2</c:v>
                </c:pt>
                <c:pt idx="11">
                  <c:v>1.9E-2</c:v>
                </c:pt>
                <c:pt idx="12">
                  <c:v>3.0000000000000001E-3</c:v>
                </c:pt>
                <c:pt idx="13">
                  <c:v>0.02</c:v>
                </c:pt>
                <c:pt idx="14">
                  <c:v>1.7000000000000001E-2</c:v>
                </c:pt>
                <c:pt idx="15">
                  <c:v>3.5000000000000003E-2</c:v>
                </c:pt>
                <c:pt idx="16">
                  <c:v>2.1000000000000001E-2</c:v>
                </c:pt>
                <c:pt idx="17">
                  <c:v>3.6999999999999998E-2</c:v>
                </c:pt>
                <c:pt idx="18">
                  <c:v>3.0000000000000001E-3</c:v>
                </c:pt>
                <c:pt idx="19">
                  <c:v>-8.0000000000000002E-3</c:v>
                </c:pt>
                <c:pt idx="20">
                  <c:v>0.01</c:v>
                </c:pt>
                <c:pt idx="21">
                  <c:v>-1.4999999999999999E-2</c:v>
                </c:pt>
                <c:pt idx="22">
                  <c:v>5.2999999999999999E-2</c:v>
                </c:pt>
                <c:pt idx="23">
                  <c:v>2.5999999999999999E-2</c:v>
                </c:pt>
                <c:pt idx="24">
                  <c:v>1.7000000000000001E-2</c:v>
                </c:pt>
                <c:pt idx="25">
                  <c:v>-4.8000000000000001E-2</c:v>
                </c:pt>
                <c:pt idx="26">
                  <c:v>-0.35699999999999998</c:v>
                </c:pt>
                <c:pt idx="27">
                  <c:v>-0.29799999999999999</c:v>
                </c:pt>
                <c:pt idx="28">
                  <c:v>-0.34599999999999997</c:v>
                </c:pt>
                <c:pt idx="29">
                  <c:v>-0.29199999999999998</c:v>
                </c:pt>
                <c:pt idx="30">
                  <c:v>0.24399999999999999</c:v>
                </c:pt>
                <c:pt idx="31">
                  <c:v>0.21099999999999999</c:v>
                </c:pt>
                <c:pt idx="32">
                  <c:v>0.38400000000000001</c:v>
                </c:pt>
                <c:pt idx="33">
                  <c:v>0.41599999999999998</c:v>
                </c:pt>
                <c:pt idx="34">
                  <c:v>0.31</c:v>
                </c:pt>
                <c:pt idx="35">
                  <c:v>0.23599999999999999</c:v>
                </c:pt>
                <c:pt idx="36">
                  <c:v>0.16200000000000001</c:v>
                </c:pt>
                <c:pt idx="37">
                  <c:v>0.16200000000000001</c:v>
                </c:pt>
                <c:pt idx="38">
                  <c:v>0.115</c:v>
                </c:pt>
                <c:pt idx="39">
                  <c:v>8.3000000000000004E-2</c:v>
                </c:pt>
                <c:pt idx="40">
                  <c:v>3.7999999999999999E-2</c:v>
                </c:pt>
                <c:pt idx="41">
                  <c:v>1.6E-2</c:v>
                </c:pt>
                <c:pt idx="42">
                  <c:v>-2.5999999999999999E-2</c:v>
                </c:pt>
                <c:pt idx="43">
                  <c:v>8.0000000000000002E-3</c:v>
                </c:pt>
                <c:pt idx="44">
                  <c:v>1.5360000000000002E-2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20-4602-8D8B-8B5EC5D9E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895616"/>
        <c:axId val="556901504"/>
      </c:barChart>
      <c:scatterChart>
        <c:scatterStyle val="lineMarker"/>
        <c:varyColors val="0"/>
        <c:ser>
          <c:idx val="3"/>
          <c:order val="0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20-4602-8D8B-8B5EC5D9E93B}"/>
            </c:ext>
          </c:extLst>
        </c:ser>
        <c:ser>
          <c:idx val="4"/>
          <c:order val="1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20-4602-8D8B-8B5EC5D9E93B}"/>
            </c:ext>
          </c:extLst>
        </c:ser>
        <c:ser>
          <c:idx val="5"/>
          <c:order val="2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20-4602-8D8B-8B5EC5D9E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03040"/>
        <c:axId val="556904832"/>
      </c:scatterChart>
      <c:catAx>
        <c:axId val="55689561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901504"/>
        <c:crossesAt val="1.8000000000000002E-2"/>
        <c:auto val="1"/>
        <c:lblAlgn val="ctr"/>
        <c:lblOffset val="100"/>
        <c:tickLblSkip val="1"/>
        <c:tickMarkSkip val="1"/>
        <c:noMultiLvlLbl val="0"/>
      </c:catAx>
      <c:valAx>
        <c:axId val="55690150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895616"/>
        <c:crosses val="autoZero"/>
        <c:crossBetween val="between"/>
      </c:valAx>
      <c:valAx>
        <c:axId val="55690304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56904832"/>
        <c:crosses val="autoZero"/>
        <c:crossBetween val="midCat"/>
      </c:valAx>
      <c:valAx>
        <c:axId val="556904832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56903040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3244367454068243"/>
          <c:y val="1.6249179307836798E-3"/>
          <c:w val="0.23714166079434629"/>
          <c:h val="0.1876831305177761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037045794946493"/>
          <c:y val="4.9690587065778218E-2"/>
          <c:w val="0.56320987654320986"/>
          <c:h val="0.89241001564945222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Charts_Support!$AM$608:$AM$617</c:f>
              <c:strCache>
                <c:ptCount val="10"/>
                <c:pt idx="0">
                  <c:v>Domino's Pizza</c:v>
                </c:pt>
                <c:pt idx="1">
                  <c:v>Burger King</c:v>
                </c:pt>
                <c:pt idx="2">
                  <c:v>Starbucks</c:v>
                </c:pt>
                <c:pt idx="3">
                  <c:v>Vips</c:v>
                </c:pt>
                <c:pt idx="4">
                  <c:v>Foster's Hollywood</c:v>
                </c:pt>
                <c:pt idx="5">
                  <c:v>Archies</c:v>
                </c:pt>
                <c:pt idx="6">
                  <c:v>P.F. Changs</c:v>
                </c:pt>
                <c:pt idx="7">
                  <c:v>Cañas y Tapas</c:v>
                </c:pt>
                <c:pt idx="8">
                  <c:v>Ginos</c:v>
                </c:pt>
                <c:pt idx="9">
                  <c:v>Other</c:v>
                </c:pt>
              </c:strCache>
            </c:strRef>
          </c:cat>
          <c:val>
            <c:numRef>
              <c:f>Charts_Support!$AN$608:$AN$617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6-499B-B008-C57A9B174C7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1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Charts_Support!$O$152:$AE$152</c:f>
              <c:numCache>
                <c:formatCode>0.0%</c:formatCode>
                <c:ptCount val="17"/>
                <c:pt idx="0">
                  <c:v>0.55835594821198264</c:v>
                </c:pt>
                <c:pt idx="1">
                  <c:v>0.55243939800502817</c:v>
                </c:pt>
                <c:pt idx="2">
                  <c:v>0.55082147523357394</c:v>
                </c:pt>
                <c:pt idx="3">
                  <c:v>0.54409045980517678</c:v>
                </c:pt>
                <c:pt idx="4">
                  <c:v>0.55378366222930109</c:v>
                </c:pt>
                <c:pt idx="5">
                  <c:v>0.48788967218579837</c:v>
                </c:pt>
                <c:pt idx="6">
                  <c:v>0.52255046243294556</c:v>
                </c:pt>
                <c:pt idx="7">
                  <c:v>0.45551481600538207</c:v>
                </c:pt>
                <c:pt idx="8">
                  <c:v>0.468819180458659</c:v>
                </c:pt>
                <c:pt idx="9">
                  <c:v>0.46263443734893955</c:v>
                </c:pt>
                <c:pt idx="10">
                  <c:v>0.4739055739844128</c:v>
                </c:pt>
                <c:pt idx="11">
                  <c:v>0.47494200653504276</c:v>
                </c:pt>
                <c:pt idx="12">
                  <c:v>0.47395102034489328</c:v>
                </c:pt>
                <c:pt idx="13">
                  <c:v>0.47294957304100405</c:v>
                </c:pt>
                <c:pt idx="14">
                  <c:v>0.47394672643167052</c:v>
                </c:pt>
                <c:pt idx="15">
                  <c:v>0.47394398265383419</c:v>
                </c:pt>
                <c:pt idx="16">
                  <c:v>0.47394366127299048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C-4AA0-ADC6-62F0499A0E2B}"/>
            </c:ext>
          </c:extLst>
        </c:ser>
        <c:ser>
          <c:idx val="2"/>
          <c:order val="2"/>
          <c:tx>
            <c:strRef>
              <c:f>Charts_Support!$A$151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Charts_Support!$O$151:$AE$151</c:f>
              <c:numCache>
                <c:formatCode>0.0%</c:formatCode>
                <c:ptCount val="17"/>
                <c:pt idx="0">
                  <c:v>0.55835594821198264</c:v>
                </c:pt>
                <c:pt idx="1">
                  <c:v>0.55243939800502817</c:v>
                </c:pt>
                <c:pt idx="2">
                  <c:v>0.55082147523357394</c:v>
                </c:pt>
                <c:pt idx="3">
                  <c:v>0.54409045980517678</c:v>
                </c:pt>
                <c:pt idx="4">
                  <c:v>0.55378366222930109</c:v>
                </c:pt>
                <c:pt idx="5">
                  <c:v>0.48788967218579837</c:v>
                </c:pt>
                <c:pt idx="6">
                  <c:v>0.52255046243294556</c:v>
                </c:pt>
                <c:pt idx="7">
                  <c:v>0.45551481600538207</c:v>
                </c:pt>
                <c:pt idx="8">
                  <c:v>0.468819180458659</c:v>
                </c:pt>
                <c:pt idx="9">
                  <c:v>0.46263443734893955</c:v>
                </c:pt>
                <c:pt idx="10">
                  <c:v>0.47044363042928661</c:v>
                </c:pt>
                <c:pt idx="11">
                  <c:v>0.46841265359153761</c:v>
                </c:pt>
                <c:pt idx="12">
                  <c:v>0.46742571025399199</c:v>
                </c:pt>
                <c:pt idx="13">
                  <c:v>0.46642740015458395</c:v>
                </c:pt>
                <c:pt idx="14">
                  <c:v>0.46342618847937489</c:v>
                </c:pt>
                <c:pt idx="15">
                  <c:v>0.46342492465032425</c:v>
                </c:pt>
                <c:pt idx="16">
                  <c:v>0.46342588028103909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BC-4AA0-ADC6-62F0499A0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79712"/>
        <c:axId val="556981248"/>
      </c:areaChart>
      <c:lineChart>
        <c:grouping val="standard"/>
        <c:varyColors val="0"/>
        <c:ser>
          <c:idx val="0"/>
          <c:order val="0"/>
          <c:tx>
            <c:strRef>
              <c:f>Charts_Support!$A$150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Charts_Support!$O$150:$AE$150</c:f>
              <c:numCache>
                <c:formatCode>0.0%</c:formatCode>
                <c:ptCount val="17"/>
                <c:pt idx="0">
                  <c:v>0.55835594821198264</c:v>
                </c:pt>
                <c:pt idx="1">
                  <c:v>0.55243939800502817</c:v>
                </c:pt>
                <c:pt idx="2">
                  <c:v>0.55082147523357394</c:v>
                </c:pt>
                <c:pt idx="3">
                  <c:v>0.54409045980517678</c:v>
                </c:pt>
                <c:pt idx="4">
                  <c:v>0.55378366222930109</c:v>
                </c:pt>
                <c:pt idx="5">
                  <c:v>0.48788967218579837</c:v>
                </c:pt>
                <c:pt idx="6">
                  <c:v>0.52255046243294556</c:v>
                </c:pt>
                <c:pt idx="7">
                  <c:v>0.45551481600538207</c:v>
                </c:pt>
                <c:pt idx="8">
                  <c:v>0.468819180458659</c:v>
                </c:pt>
                <c:pt idx="9">
                  <c:v>0.46263443734893955</c:v>
                </c:pt>
                <c:pt idx="10">
                  <c:v>0.4715223934434804</c:v>
                </c:pt>
                <c:pt idx="11">
                  <c:v>0.47042133911120149</c:v>
                </c:pt>
                <c:pt idx="12">
                  <c:v>0.46943360516827792</c:v>
                </c:pt>
                <c:pt idx="13">
                  <c:v>0.46843458709814634</c:v>
                </c:pt>
                <c:pt idx="14">
                  <c:v>0.46843259847529445</c:v>
                </c:pt>
                <c:pt idx="15">
                  <c:v>0.4684305707043333</c:v>
                </c:pt>
                <c:pt idx="16">
                  <c:v>0.46843080188204961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BC-4AA0-ADC6-62F0499A0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979712"/>
        <c:axId val="556981248"/>
      </c:lineChart>
      <c:catAx>
        <c:axId val="55697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98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6981248"/>
        <c:scaling>
          <c:orientation val="minMax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69797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7042821981882614"/>
          <c:y val="5.8631921824104233E-2"/>
          <c:w val="0.46692647854815816"/>
          <c:h val="6.5146579804560262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Charts_Support!$A$853</c:f>
              <c:strCache>
                <c:ptCount val="1"/>
                <c:pt idx="0">
                  <c:v>Corporate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Charts_Support!$B$853:$J$853</c:f>
              <c:numCache>
                <c:formatCode>#,##0_);\(#,##0\)</c:formatCode>
                <c:ptCount val="9"/>
                <c:pt idx="0">
                  <c:v>2716</c:v>
                </c:pt>
                <c:pt idx="1">
                  <c:v>2921</c:v>
                </c:pt>
                <c:pt idx="2">
                  <c:v>3116</c:v>
                </c:pt>
                <c:pt idx="3">
                  <c:v>3312</c:v>
                </c:pt>
                <c:pt idx="4">
                  <c:v>3508</c:v>
                </c:pt>
                <c:pt idx="5">
                  <c:v>3704</c:v>
                </c:pt>
                <c:pt idx="6">
                  <c:v>3900</c:v>
                </c:pt>
                <c:pt idx="7">
                  <c:v>4038</c:v>
                </c:pt>
                <c:pt idx="8">
                  <c:v>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E-459A-A924-47D69C761FBE}"/>
            </c:ext>
          </c:extLst>
        </c:ser>
        <c:ser>
          <c:idx val="1"/>
          <c:order val="1"/>
          <c:tx>
            <c:strRef>
              <c:f>Charts_Support!$A$854</c:f>
              <c:strCache>
                <c:ptCount val="1"/>
                <c:pt idx="0">
                  <c:v>Sub-franchisee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Charts_Support!$B$854:$J$854</c:f>
              <c:numCache>
                <c:formatCode>#,##0_);\(#,##0\)</c:formatCode>
                <c:ptCount val="9"/>
                <c:pt idx="0">
                  <c:v>722</c:v>
                </c:pt>
                <c:pt idx="1">
                  <c:v>777</c:v>
                </c:pt>
                <c:pt idx="2">
                  <c:v>833</c:v>
                </c:pt>
                <c:pt idx="3">
                  <c:v>891</c:v>
                </c:pt>
                <c:pt idx="4">
                  <c:v>949</c:v>
                </c:pt>
                <c:pt idx="5">
                  <c:v>1007</c:v>
                </c:pt>
                <c:pt idx="6">
                  <c:v>1065</c:v>
                </c:pt>
                <c:pt idx="7">
                  <c:v>1106</c:v>
                </c:pt>
                <c:pt idx="8">
                  <c:v>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5E-459A-A924-47D69C761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101440"/>
        <c:axId val="557102976"/>
      </c:barChart>
      <c:lineChart>
        <c:grouping val="standard"/>
        <c:varyColors val="0"/>
        <c:ser>
          <c:idx val="4"/>
          <c:order val="2"/>
          <c:tx>
            <c:strRef>
              <c:f>Charts_Support!$A$855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Charts_Support!$B$855:$J$855</c:f>
              <c:numCache>
                <c:formatCode>#,##0_);\(#,##0\)</c:formatCode>
                <c:ptCount val="9"/>
                <c:pt idx="0">
                  <c:v>3438</c:v>
                </c:pt>
                <c:pt idx="1">
                  <c:v>3698</c:v>
                </c:pt>
                <c:pt idx="2">
                  <c:v>3949</c:v>
                </c:pt>
                <c:pt idx="3">
                  <c:v>4203</c:v>
                </c:pt>
                <c:pt idx="4">
                  <c:v>4457</c:v>
                </c:pt>
                <c:pt idx="5">
                  <c:v>4711</c:v>
                </c:pt>
                <c:pt idx="6">
                  <c:v>4965</c:v>
                </c:pt>
                <c:pt idx="7">
                  <c:v>5144</c:v>
                </c:pt>
                <c:pt idx="8">
                  <c:v>5268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5E-459A-A924-47D69C761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101440"/>
        <c:axId val="557102976"/>
      </c:lineChart>
      <c:catAx>
        <c:axId val="55710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57102976"/>
        <c:crosses val="autoZero"/>
        <c:auto val="1"/>
        <c:lblAlgn val="ctr"/>
        <c:lblOffset val="100"/>
        <c:noMultiLvlLbl val="0"/>
      </c:catAx>
      <c:valAx>
        <c:axId val="557102976"/>
        <c:scaling>
          <c:orientation val="minMax"/>
        </c:scaling>
        <c:delete val="1"/>
        <c:axPos val="l"/>
        <c:numFmt formatCode="#,##0_);\(#,##0\)" sourceLinked="1"/>
        <c:majorTickMark val="out"/>
        <c:minorTickMark val="none"/>
        <c:tickLblPos val="nextTo"/>
        <c:crossAx val="557101440"/>
        <c:crosses val="autoZero"/>
        <c:crossBetween val="between"/>
      </c:valAx>
    </c:plotArea>
    <c:legend>
      <c:legendPos val="b"/>
      <c:legendEntry>
        <c:idx val="2"/>
        <c:delete val="1"/>
      </c:legendEntry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Charts_Support!$A$853</c:f>
              <c:strCache>
                <c:ptCount val="1"/>
                <c:pt idx="0">
                  <c:v>Corporate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Charts_Support!$B$853:$J$853</c:f>
              <c:numCache>
                <c:formatCode>#,##0_);\(#,##0\)</c:formatCode>
                <c:ptCount val="9"/>
                <c:pt idx="0">
                  <c:v>2716</c:v>
                </c:pt>
                <c:pt idx="1">
                  <c:v>2921</c:v>
                </c:pt>
                <c:pt idx="2">
                  <c:v>3116</c:v>
                </c:pt>
                <c:pt idx="3">
                  <c:v>3312</c:v>
                </c:pt>
                <c:pt idx="4">
                  <c:v>3508</c:v>
                </c:pt>
                <c:pt idx="5">
                  <c:v>3704</c:v>
                </c:pt>
                <c:pt idx="6">
                  <c:v>3900</c:v>
                </c:pt>
                <c:pt idx="7">
                  <c:v>4038</c:v>
                </c:pt>
                <c:pt idx="8">
                  <c:v>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E3-42AE-81A9-46C5C8B8573B}"/>
            </c:ext>
          </c:extLst>
        </c:ser>
        <c:ser>
          <c:idx val="1"/>
          <c:order val="1"/>
          <c:tx>
            <c:strRef>
              <c:f>Charts_Support!$A$854</c:f>
              <c:strCache>
                <c:ptCount val="1"/>
                <c:pt idx="0">
                  <c:v>Sub-franchisee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Charts_Support!$B$854:$J$854</c:f>
              <c:numCache>
                <c:formatCode>#,##0_);\(#,##0\)</c:formatCode>
                <c:ptCount val="9"/>
                <c:pt idx="0">
                  <c:v>722</c:v>
                </c:pt>
                <c:pt idx="1">
                  <c:v>777</c:v>
                </c:pt>
                <c:pt idx="2">
                  <c:v>833</c:v>
                </c:pt>
                <c:pt idx="3">
                  <c:v>891</c:v>
                </c:pt>
                <c:pt idx="4">
                  <c:v>949</c:v>
                </c:pt>
                <c:pt idx="5">
                  <c:v>1007</c:v>
                </c:pt>
                <c:pt idx="6">
                  <c:v>1065</c:v>
                </c:pt>
                <c:pt idx="7">
                  <c:v>1106</c:v>
                </c:pt>
                <c:pt idx="8">
                  <c:v>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3-42AE-81A9-46C5C8B85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254912"/>
        <c:axId val="557260800"/>
      </c:barChart>
      <c:lineChart>
        <c:grouping val="standard"/>
        <c:varyColors val="0"/>
        <c:ser>
          <c:idx val="4"/>
          <c:order val="2"/>
          <c:tx>
            <c:strRef>
              <c:f>Charts_Support!$A$855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Charts_Support!$B$855:$J$855</c:f>
              <c:numCache>
                <c:formatCode>#,##0_);\(#,##0\)</c:formatCode>
                <c:ptCount val="9"/>
                <c:pt idx="0">
                  <c:v>3438</c:v>
                </c:pt>
                <c:pt idx="1">
                  <c:v>3698</c:v>
                </c:pt>
                <c:pt idx="2">
                  <c:v>3949</c:v>
                </c:pt>
                <c:pt idx="3">
                  <c:v>4203</c:v>
                </c:pt>
                <c:pt idx="4">
                  <c:v>4457</c:v>
                </c:pt>
                <c:pt idx="5">
                  <c:v>4711</c:v>
                </c:pt>
                <c:pt idx="6">
                  <c:v>4965</c:v>
                </c:pt>
                <c:pt idx="7">
                  <c:v>5144</c:v>
                </c:pt>
                <c:pt idx="8">
                  <c:v>5268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E3-42AE-81A9-46C5C8B85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254912"/>
        <c:axId val="557260800"/>
      </c:lineChart>
      <c:catAx>
        <c:axId val="55725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57260800"/>
        <c:crosses val="autoZero"/>
        <c:auto val="1"/>
        <c:lblAlgn val="ctr"/>
        <c:lblOffset val="100"/>
        <c:noMultiLvlLbl val="0"/>
      </c:catAx>
      <c:valAx>
        <c:axId val="557260800"/>
        <c:scaling>
          <c:orientation val="minMax"/>
        </c:scaling>
        <c:delete val="1"/>
        <c:axPos val="l"/>
        <c:numFmt formatCode="#,##0_);\(#,##0\)" sourceLinked="1"/>
        <c:majorTickMark val="out"/>
        <c:minorTickMark val="none"/>
        <c:tickLblPos val="nextTo"/>
        <c:crossAx val="557254912"/>
        <c:crosses val="autoZero"/>
        <c:crossBetween val="between"/>
      </c:valAx>
    </c:plotArea>
    <c:legend>
      <c:legendPos val="b"/>
      <c:legendEntry>
        <c:idx val="2"/>
        <c:delete val="1"/>
      </c:legendEntry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820714718352497E-2"/>
          <c:y val="6.5359685711823781E-2"/>
          <c:w val="0.85833414092469207"/>
          <c:h val="0.74359209906454005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75000"/>
              </a:schemeClr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Charts_Support!$B$177:$AE$177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0.14869571775379922</c:v>
                </c:pt>
                <c:pt idx="13">
                  <c:v>0.21876948306060612</c:v>
                </c:pt>
                <c:pt idx="14">
                  <c:v>0.20992074671082869</c:v>
                </c:pt>
                <c:pt idx="15">
                  <c:v>0.21065269791546398</c:v>
                </c:pt>
                <c:pt idx="16">
                  <c:v>0.20917432081420165</c:v>
                </c:pt>
                <c:pt idx="17">
                  <c:v>0.19986311380751667</c:v>
                </c:pt>
                <c:pt idx="18">
                  <c:v>0.19283077067360721</c:v>
                </c:pt>
                <c:pt idx="19">
                  <c:v>0.11302643569095844</c:v>
                </c:pt>
                <c:pt idx="20">
                  <c:v>0.19915896877880146</c:v>
                </c:pt>
                <c:pt idx="21">
                  <c:v>0.18536623706320834</c:v>
                </c:pt>
                <c:pt idx="22">
                  <c:v>0.19358254132882971</c:v>
                </c:pt>
                <c:pt idx="23">
                  <c:v>0.19756500035532801</c:v>
                </c:pt>
                <c:pt idx="24">
                  <c:v>0.1970209801847238</c:v>
                </c:pt>
                <c:pt idx="25">
                  <c:v>0.19695823841945997</c:v>
                </c:pt>
                <c:pt idx="26">
                  <c:v>0.19721416944977657</c:v>
                </c:pt>
                <c:pt idx="27">
                  <c:v>0.1960003696883609</c:v>
                </c:pt>
                <c:pt idx="28">
                  <c:v>0.19593024958900876</c:v>
                </c:pt>
                <c:pt idx="29">
                  <c:v>0.19586416483925795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8-4B75-BF18-869DE4629A56}"/>
            </c:ext>
          </c:extLst>
        </c:ser>
        <c:ser>
          <c:idx val="2"/>
          <c:order val="2"/>
          <c:tx>
            <c:strRef>
              <c:f>Charts_Support!$A$178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Charts_Support!$B$178:$AE$178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0.14869571775379922</c:v>
                </c:pt>
                <c:pt idx="13">
                  <c:v>0.21876948306060612</c:v>
                </c:pt>
                <c:pt idx="14">
                  <c:v>0.20992074671082869</c:v>
                </c:pt>
                <c:pt idx="15">
                  <c:v>0.21065269791546398</c:v>
                </c:pt>
                <c:pt idx="16">
                  <c:v>0.20917432081420165</c:v>
                </c:pt>
                <c:pt idx="17">
                  <c:v>0.19986311380751667</c:v>
                </c:pt>
                <c:pt idx="18">
                  <c:v>0.19283077067360721</c:v>
                </c:pt>
                <c:pt idx="19">
                  <c:v>0.11302643569095844</c:v>
                </c:pt>
                <c:pt idx="20">
                  <c:v>0.19915896877880146</c:v>
                </c:pt>
                <c:pt idx="21">
                  <c:v>0.18536623706320834</c:v>
                </c:pt>
                <c:pt idx="22">
                  <c:v>0.19358254132882971</c:v>
                </c:pt>
                <c:pt idx="23">
                  <c:v>0.19416042131653813</c:v>
                </c:pt>
                <c:pt idx="24">
                  <c:v>0.19026491358448117</c:v>
                </c:pt>
                <c:pt idx="25">
                  <c:v>0.1903123539040191</c:v>
                </c:pt>
                <c:pt idx="26">
                  <c:v>0.19062315465951174</c:v>
                </c:pt>
                <c:pt idx="27">
                  <c:v>0.18548225292364198</c:v>
                </c:pt>
                <c:pt idx="28">
                  <c:v>0.18533756556998066</c:v>
                </c:pt>
                <c:pt idx="29">
                  <c:v>0.18519778869805781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8-4B75-BF18-869DE462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302528"/>
        <c:axId val="557304064"/>
      </c:areaChart>
      <c:lineChart>
        <c:grouping val="standard"/>
        <c:varyColors val="0"/>
        <c:ser>
          <c:idx val="4"/>
          <c:order val="0"/>
          <c:tx>
            <c:strRef>
              <c:f>Charts_Support!$A$179</c:f>
              <c:strCache>
                <c:ptCount val="1"/>
                <c:pt idx="0">
                  <c:v>Consolidated EBITDA (IAS17)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Charts_Support!$B$179:$AE$179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0.12975023651302947</c:v>
                </c:pt>
                <c:pt idx="13">
                  <c:v>0.12250266499212399</c:v>
                </c:pt>
                <c:pt idx="14">
                  <c:v>0.13322841012505554</c:v>
                </c:pt>
                <c:pt idx="15">
                  <c:v>0.13673694196629571</c:v>
                </c:pt>
                <c:pt idx="16">
                  <c:v>0.15204273796300657</c:v>
                </c:pt>
                <c:pt idx="17">
                  <c:v>0.13883861136971748</c:v>
                </c:pt>
                <c:pt idx="18">
                  <c:v>0.13185829658689707</c:v>
                </c:pt>
                <c:pt idx="19">
                  <c:v>3.732241490864141E-2</c:v>
                </c:pt>
                <c:pt idx="20">
                  <c:v>0.12244945711243399</c:v>
                </c:pt>
                <c:pt idx="21">
                  <c:v>0.12820483354194717</c:v>
                </c:pt>
                <c:pt idx="22">
                  <c:v>0.14160410073333896</c:v>
                </c:pt>
                <c:pt idx="23">
                  <c:v>0.14469733938479157</c:v>
                </c:pt>
                <c:pt idx="24">
                  <c:v>0.14414857865421746</c:v>
                </c:pt>
                <c:pt idx="25">
                  <c:v>0.1451446680114471</c:v>
                </c:pt>
                <c:pt idx="26">
                  <c:v>0.14645393086732794</c:v>
                </c:pt>
                <c:pt idx="27">
                  <c:v>0.1464093871457442</c:v>
                </c:pt>
                <c:pt idx="28">
                  <c:v>0.1463724656849032</c:v>
                </c:pt>
                <c:pt idx="29">
                  <c:v>0.14633513536466855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8-4B75-BF18-869DE4629A56}"/>
            </c:ext>
          </c:extLst>
        </c:ser>
        <c:ser>
          <c:idx val="0"/>
          <c:order val="3"/>
          <c:tx>
            <c:strRef>
              <c:f>Charts_Support!$A$176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3-50B8-4B75-BF18-869DE4629A56}"/>
              </c:ext>
            </c:extLst>
          </c:dPt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Charts_Support!$B$176:$AE$176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0.14869571775379922</c:v>
                </c:pt>
                <c:pt idx="13">
                  <c:v>0.21876948306060612</c:v>
                </c:pt>
                <c:pt idx="14">
                  <c:v>0.20992074671082869</c:v>
                </c:pt>
                <c:pt idx="15">
                  <c:v>0.21065269791546398</c:v>
                </c:pt>
                <c:pt idx="16">
                  <c:v>0.20917432081420165</c:v>
                </c:pt>
                <c:pt idx="17">
                  <c:v>0.19986311380751667</c:v>
                </c:pt>
                <c:pt idx="18">
                  <c:v>0.19283077067360721</c:v>
                </c:pt>
                <c:pt idx="19">
                  <c:v>0.11302643569095844</c:v>
                </c:pt>
                <c:pt idx="20">
                  <c:v>0.19915896877880146</c:v>
                </c:pt>
                <c:pt idx="21">
                  <c:v>0.18536623706320834</c:v>
                </c:pt>
                <c:pt idx="22">
                  <c:v>0.19358254132882971</c:v>
                </c:pt>
                <c:pt idx="23">
                  <c:v>0.19653066623799051</c:v>
                </c:pt>
                <c:pt idx="24">
                  <c:v>0.19500405066544105</c:v>
                </c:pt>
                <c:pt idx="25">
                  <c:v>0.19500902540336285</c:v>
                </c:pt>
                <c:pt idx="26">
                  <c:v>0.1953194610535379</c:v>
                </c:pt>
                <c:pt idx="27">
                  <c:v>0.1952744512079278</c:v>
                </c:pt>
                <c:pt idx="28">
                  <c:v>0.19523703038506776</c:v>
                </c:pt>
                <c:pt idx="29">
                  <c:v>0.19520047502044466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8-4B75-BF18-869DE462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2528"/>
        <c:axId val="557304064"/>
      </c:lineChart>
      <c:catAx>
        <c:axId val="55730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04064"/>
        <c:crossesAt val="-5.000000000000001E-2"/>
        <c:auto val="1"/>
        <c:lblAlgn val="ctr"/>
        <c:lblOffset val="100"/>
        <c:tickLblSkip val="1"/>
        <c:tickMarkSkip val="1"/>
        <c:noMultiLvlLbl val="0"/>
      </c:catAx>
      <c:valAx>
        <c:axId val="557304064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025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egendEntry>
        <c:idx val="1"/>
        <c:delete val="1"/>
      </c:legendEntry>
      <c:layout>
        <c:manualLayout>
          <c:xMode val="edge"/>
          <c:yMode val="edge"/>
          <c:x val="9.4041701282665452E-2"/>
          <c:y val="0.38751409643348667"/>
          <c:w val="0.47556468730003026"/>
          <c:h val="0.28793477499249731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793118736622503E-2"/>
          <c:y val="9.0769902052262014E-2"/>
          <c:w val="0.89323628531902965"/>
          <c:h val="0.72551928361637008"/>
        </c:manualLayout>
      </c:layout>
      <c:lineChart>
        <c:grouping val="standard"/>
        <c:varyColors val="0"/>
        <c:ser>
          <c:idx val="1"/>
          <c:order val="0"/>
          <c:tx>
            <c:v>Revenue Growth YoY</c:v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Charts_Support!$C$56:$AE$56</c:f>
              <c:numCache>
                <c:formatCode>0.0%</c:formatCode>
                <c:ptCount val="29"/>
                <c:pt idx="0">
                  <c:v>6.1932698470170022E-2</c:v>
                </c:pt>
                <c:pt idx="1">
                  <c:v>9.2687513603935567E-2</c:v>
                </c:pt>
                <c:pt idx="2">
                  <c:v>0.29152206989330631</c:v>
                </c:pt>
                <c:pt idx="3">
                  <c:v>0.25797000156932803</c:v>
                </c:pt>
                <c:pt idx="4">
                  <c:v>0.2917591580391401</c:v>
                </c:pt>
                <c:pt idx="5">
                  <c:v>0.15912518227996464</c:v>
                </c:pt>
                <c:pt idx="6">
                  <c:v>0.11473067480859722</c:v>
                </c:pt>
                <c:pt idx="7">
                  <c:v>0.10276796385903797</c:v>
                </c:pt>
                <c:pt idx="8">
                  <c:v>4.5924686165181861E-2</c:v>
                </c:pt>
                <c:pt idx="9">
                  <c:v>0.19095646132468769</c:v>
                </c:pt>
                <c:pt idx="10">
                  <c:v>0.26391884675591193</c:v>
                </c:pt>
                <c:pt idx="11">
                  <c:v>0.16222122793920168</c:v>
                </c:pt>
                <c:pt idx="12">
                  <c:v>0.4510749767782869</c:v>
                </c:pt>
                <c:pt idx="13">
                  <c:v>0.41614100368614304</c:v>
                </c:pt>
                <c:pt idx="14">
                  <c:v>0.16766067763829295</c:v>
                </c:pt>
                <c:pt idx="15">
                  <c:v>0.12803753193442646</c:v>
                </c:pt>
                <c:pt idx="16">
                  <c:v>8.5293791987847589E-2</c:v>
                </c:pt>
                <c:pt idx="17">
                  <c:v>0.25994181416040885</c:v>
                </c:pt>
                <c:pt idx="18">
                  <c:v>-0.3380505338707489</c:v>
                </c:pt>
                <c:pt idx="19">
                  <c:v>0.38664470699747411</c:v>
                </c:pt>
                <c:pt idx="20">
                  <c:v>0.28947151947127847</c:v>
                </c:pt>
                <c:pt idx="21">
                  <c:v>0.10750548751037026</c:v>
                </c:pt>
                <c:pt idx="22">
                  <c:v>4.4249525445763771E-2</c:v>
                </c:pt>
                <c:pt idx="23">
                  <c:v>0.11306324553984148</c:v>
                </c:pt>
                <c:pt idx="24">
                  <c:v>8.3987732843376461E-2</c:v>
                </c:pt>
                <c:pt idx="25">
                  <c:v>7.2375352051224695E-2</c:v>
                </c:pt>
                <c:pt idx="26">
                  <c:v>6.206485406700768E-2</c:v>
                </c:pt>
                <c:pt idx="27">
                  <c:v>6.1547535212866933E-2</c:v>
                </c:pt>
                <c:pt idx="28">
                  <c:v>6.0069677366916707E-2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8-4C76-8F4B-DBEE8F10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46176"/>
        <c:axId val="557347968"/>
      </c:lineChart>
      <c:lineChart>
        <c:grouping val="standard"/>
        <c:varyColors val="0"/>
        <c:ser>
          <c:idx val="0"/>
          <c:order val="1"/>
          <c:tx>
            <c:strRef>
              <c:f>Charts_Support!$A$175</c:f>
              <c:strCache>
                <c:ptCount val="1"/>
                <c:pt idx="0">
                  <c:v>Adj. EBITDA Margin</c:v>
                </c:pt>
              </c:strCache>
            </c:strRef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Charts_Support!$C$6:$AE$6</c:f>
              <c:numCache>
                <c:formatCode>General</c:formatCode>
                <c:ptCount val="2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  <c:pt idx="20">
                  <c:v>2022</c:v>
                </c:pt>
                <c:pt idx="21">
                  <c:v>2023</c:v>
                </c:pt>
                <c:pt idx="22" formatCode="###0&quot;E&quot;">
                  <c:v>2024</c:v>
                </c:pt>
                <c:pt idx="23" formatCode="###0&quot;E&quot;">
                  <c:v>2025</c:v>
                </c:pt>
                <c:pt idx="24" formatCode="###0&quot;E&quot;">
                  <c:v>2026</c:v>
                </c:pt>
                <c:pt idx="25" formatCode="###0&quot;E&quot;">
                  <c:v>2027</c:v>
                </c:pt>
                <c:pt idx="26" formatCode="###0&quot;E&quot;">
                  <c:v>2028</c:v>
                </c:pt>
                <c:pt idx="27" formatCode="###0&quot;E&quot;">
                  <c:v>2029</c:v>
                </c:pt>
                <c:pt idx="28" formatCode="###0&quot;E&quot;">
                  <c:v>2030</c:v>
                </c:pt>
              </c:numCache>
            </c:numRef>
          </c:cat>
          <c:val>
            <c:numRef>
              <c:f>Charts_Support!$C$176:$AE$176</c:f>
              <c:numCache>
                <c:formatCode>0.0%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0.14869571775379922</c:v>
                </c:pt>
                <c:pt idx="12">
                  <c:v>0.21876948306060612</c:v>
                </c:pt>
                <c:pt idx="13">
                  <c:v>0.20992074671082869</c:v>
                </c:pt>
                <c:pt idx="14">
                  <c:v>0.21065269791546398</c:v>
                </c:pt>
                <c:pt idx="15">
                  <c:v>0.20917432081420165</c:v>
                </c:pt>
                <c:pt idx="16">
                  <c:v>0.19986311380751667</c:v>
                </c:pt>
                <c:pt idx="17">
                  <c:v>0.19283077067360721</c:v>
                </c:pt>
                <c:pt idx="18">
                  <c:v>0.11302643569095844</c:v>
                </c:pt>
                <c:pt idx="19">
                  <c:v>0.19915896877880146</c:v>
                </c:pt>
                <c:pt idx="20">
                  <c:v>0.18536623706320834</c:v>
                </c:pt>
                <c:pt idx="21">
                  <c:v>0.19358254132882971</c:v>
                </c:pt>
                <c:pt idx="22">
                  <c:v>0.19653066623799051</c:v>
                </c:pt>
                <c:pt idx="23">
                  <c:v>0.19500405066544105</c:v>
                </c:pt>
                <c:pt idx="24">
                  <c:v>0.19500902540336285</c:v>
                </c:pt>
                <c:pt idx="25">
                  <c:v>0.1953194610535379</c:v>
                </c:pt>
                <c:pt idx="26">
                  <c:v>0.1952744512079278</c:v>
                </c:pt>
                <c:pt idx="27">
                  <c:v>0.19523703038506776</c:v>
                </c:pt>
                <c:pt idx="28">
                  <c:v>0.19520047502044466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8-4C76-8F4B-DBEE8F10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49504"/>
        <c:axId val="557355392"/>
      </c:lineChart>
      <c:catAx>
        <c:axId val="55734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479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7347968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46176"/>
        <c:crosses val="autoZero"/>
        <c:crossBetween val="midCat"/>
        <c:majorUnit val="0.1"/>
        <c:minorUnit val="0.02"/>
      </c:valAx>
      <c:catAx>
        <c:axId val="55734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355392"/>
        <c:crosses val="autoZero"/>
        <c:auto val="1"/>
        <c:lblAlgn val="ctr"/>
        <c:lblOffset val="100"/>
        <c:noMultiLvlLbl val="0"/>
      </c:catAx>
      <c:valAx>
        <c:axId val="557355392"/>
        <c:scaling>
          <c:orientation val="minMax"/>
          <c:max val="0.6"/>
        </c:scaling>
        <c:delete val="1"/>
        <c:axPos val="r"/>
        <c:numFmt formatCode="0%" sourceLinked="0"/>
        <c:majorTickMark val="cross"/>
        <c:minorTickMark val="none"/>
        <c:tickLblPos val="nextTo"/>
        <c:crossAx val="557349504"/>
        <c:crosses val="max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0449486302241273"/>
          <c:y val="0.51900861273575094"/>
          <c:w val="0.49841054751876945"/>
          <c:h val="0.16029210329498567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2.3426756970064057E-2"/>
          <c:w val="0.85019536018376107"/>
          <c:h val="0.84163133454472039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Charts_Support!$A$209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Charts_Support!$P$209:$AE$209</c:f>
              <c:numCache>
                <c:formatCode>#,##0_);\(#,##0\)</c:formatCode>
                <c:ptCount val="16"/>
                <c:pt idx="0">
                  <c:v>405.16657199982984</c:v>
                </c:pt>
                <c:pt idx="1">
                  <c:v>22.245440687097272</c:v>
                </c:pt>
                <c:pt idx="2">
                  <c:v>-3.4206650013116069</c:v>
                </c:pt>
                <c:pt idx="3">
                  <c:v>-50.972029379227621</c:v>
                </c:pt>
                <c:pt idx="4">
                  <c:v>-39.583260503769644</c:v>
                </c:pt>
                <c:pt idx="5">
                  <c:v>-774.34298102140338</c:v>
                </c:pt>
                <c:pt idx="6">
                  <c:v>783.88138589070172</c:v>
                </c:pt>
                <c:pt idx="7">
                  <c:v>-26.560728483564777</c:v>
                </c:pt>
                <c:pt idx="8">
                  <c:v>27.006251216450949</c:v>
                </c:pt>
                <c:pt idx="9">
                  <c:v>64.941608115877401</c:v>
                </c:pt>
                <c:pt idx="10">
                  <c:v>-24.126902813963735</c:v>
                </c:pt>
                <c:pt idx="11">
                  <c:v>3.7879037718679953E-2</c:v>
                </c:pt>
                <c:pt idx="12">
                  <c:v>2.6301333448941477E-2</c:v>
                </c:pt>
                <c:pt idx="13">
                  <c:v>-50.011314406099018</c:v>
                </c:pt>
                <c:pt idx="14">
                  <c:v>-1.1253657623278013E-2</c:v>
                </c:pt>
                <c:pt idx="15">
                  <c:v>2.2128634574458683E-2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8-44D4-98DB-CDCFFC5B6657}"/>
            </c:ext>
          </c:extLst>
        </c:ser>
        <c:ser>
          <c:idx val="0"/>
          <c:order val="1"/>
          <c:tx>
            <c:strRef>
              <c:f>Charts_Support!$A$210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Charts_Support!$P$210:$AE$210</c:f>
              <c:numCache>
                <c:formatCode>#,##0_);\(#,##0\)</c:formatCode>
                <c:ptCount val="16"/>
                <c:pt idx="0">
                  <c:v>50.41863648607314</c:v>
                </c:pt>
                <c:pt idx="1">
                  <c:v>-9.4578246761387046</c:v>
                </c:pt>
                <c:pt idx="2">
                  <c:v>8.6722273687150917</c:v>
                </c:pt>
                <c:pt idx="3">
                  <c:v>-137.93982970102925</c:v>
                </c:pt>
                <c:pt idx="4">
                  <c:v>-83.346685899901019</c:v>
                </c:pt>
                <c:pt idx="5">
                  <c:v>-766.13101699852223</c:v>
                </c:pt>
                <c:pt idx="6">
                  <c:v>872.09772780673848</c:v>
                </c:pt>
                <c:pt idx="7">
                  <c:v>66.312576001040242</c:v>
                </c:pt>
                <c:pt idx="8">
                  <c:v>119.98238991630689</c:v>
                </c:pt>
                <c:pt idx="9">
                  <c:v>-158.10698082066588</c:v>
                </c:pt>
                <c:pt idx="10">
                  <c:v>-22.796512661621414</c:v>
                </c:pt>
                <c:pt idx="11">
                  <c:v>5.1945485023727205</c:v>
                </c:pt>
                <c:pt idx="12">
                  <c:v>5.008345049689888</c:v>
                </c:pt>
                <c:pt idx="13">
                  <c:v>5.0051777028484175</c:v>
                </c:pt>
                <c:pt idx="14">
                  <c:v>5.0037588827700485</c:v>
                </c:pt>
                <c:pt idx="15">
                  <c:v>4.9849427346446156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A8-44D4-98DB-CDCFFC5B6657}"/>
            </c:ext>
          </c:extLst>
        </c:ser>
        <c:ser>
          <c:idx val="2"/>
          <c:order val="2"/>
          <c:tx>
            <c:strRef>
              <c:f>Charts_Support!$A$211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Charts_Support!$P$6:$AE$6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 formatCode="###0&quot;E&quot;">
                  <c:v>2024</c:v>
                </c:pt>
                <c:pt idx="10" formatCode="###0&quot;E&quot;">
                  <c:v>2025</c:v>
                </c:pt>
                <c:pt idx="11" formatCode="###0&quot;E&quot;">
                  <c:v>2026</c:v>
                </c:pt>
                <c:pt idx="12" formatCode="###0&quot;E&quot;">
                  <c:v>2027</c:v>
                </c:pt>
                <c:pt idx="13" formatCode="###0&quot;E&quot;">
                  <c:v>2028</c:v>
                </c:pt>
                <c:pt idx="14" formatCode="###0&quot;E&quot;">
                  <c:v>2029</c:v>
                </c:pt>
                <c:pt idx="15" formatCode="###0&quot;E&quot;">
                  <c:v>2030</c:v>
                </c:pt>
              </c:numCache>
            </c:numRef>
          </c:cat>
          <c:val>
            <c:numRef>
              <c:f>Charts_Support!$P$211:$AE$211</c:f>
              <c:numCache>
                <c:formatCode>#,##0_);\(#,##0\)</c:formatCode>
                <c:ptCount val="16"/>
                <c:pt idx="0">
                  <c:v>-68.196740523854274</c:v>
                </c:pt>
                <c:pt idx="1">
                  <c:v>68.744140517464913</c:v>
                </c:pt>
                <c:pt idx="2">
                  <c:v>37.978094491619153</c:v>
                </c:pt>
                <c:pt idx="3">
                  <c:v>-76.104083494715482</c:v>
                </c:pt>
                <c:pt idx="4">
                  <c:v>-169.14265066139049</c:v>
                </c:pt>
                <c:pt idx="5">
                  <c:v>-912.33424314482465</c:v>
                </c:pt>
                <c:pt idx="6">
                  <c:v>1001.9472761408244</c:v>
                </c:pt>
                <c:pt idx="7">
                  <c:v>-391.31366350502765</c:v>
                </c:pt>
                <c:pt idx="8">
                  <c:v>74.789496674798343</c:v>
                </c:pt>
                <c:pt idx="9">
                  <c:v>-94.198406867179173</c:v>
                </c:pt>
                <c:pt idx="10">
                  <c:v>-20.330874829933563</c:v>
                </c:pt>
                <c:pt idx="11">
                  <c:v>9.1219101826958688</c:v>
                </c:pt>
                <c:pt idx="12">
                  <c:v>9.9076064962619341</c:v>
                </c:pt>
                <c:pt idx="13">
                  <c:v>-65.041555323656354</c:v>
                </c:pt>
                <c:pt idx="14">
                  <c:v>4.9606250364289668</c:v>
                </c:pt>
                <c:pt idx="15">
                  <c:v>4.8794042270314257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A8-44D4-98DB-CDCFFC5B6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376640"/>
        <c:axId val="557378176"/>
      </c:lineChart>
      <c:catAx>
        <c:axId val="557376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78176"/>
        <c:crosses val="autoZero"/>
        <c:auto val="1"/>
        <c:lblAlgn val="ctr"/>
        <c:lblOffset val="100"/>
        <c:tickMarkSkip val="1"/>
        <c:noMultiLvlLbl val="0"/>
      </c:catAx>
      <c:valAx>
        <c:axId val="557378176"/>
        <c:scaling>
          <c:orientation val="minMax"/>
          <c:max val="300"/>
          <c:min val="-3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376640"/>
        <c:crosses val="autoZero"/>
        <c:crossBetween val="midCat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2085301406307194"/>
          <c:y val="3.70411840320964E-2"/>
          <c:w val="0.43993170894419792"/>
          <c:h val="0.20936775715503866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793118736622503E-2"/>
          <c:y val="9.0769902052262014E-2"/>
          <c:w val="0.89323628531902965"/>
          <c:h val="0.72551928361637008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Charts_Support!$A$563</c:f>
              <c:strCache>
                <c:ptCount val="1"/>
                <c:pt idx="0">
                  <c:v>Cash Operating expenses (ex. D&amp;A and lease) as % of revenues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Charts_Support!$K$562:$CS$562</c:f>
              <c:strCache>
                <c:ptCount val="63"/>
                <c:pt idx="0">
                  <c:v>2Q09</c:v>
                </c:pt>
                <c:pt idx="1">
                  <c:v>3Q09</c:v>
                </c:pt>
                <c:pt idx="2">
                  <c:v>4Q09</c:v>
                </c:pt>
                <c:pt idx="3">
                  <c:v>1Q10</c:v>
                </c:pt>
                <c:pt idx="4">
                  <c:v>2Q10</c:v>
                </c:pt>
                <c:pt idx="5">
                  <c:v>3Q10</c:v>
                </c:pt>
                <c:pt idx="6">
                  <c:v>4Q10</c:v>
                </c:pt>
                <c:pt idx="7">
                  <c:v>1Q11</c:v>
                </c:pt>
                <c:pt idx="8">
                  <c:v>2Q11</c:v>
                </c:pt>
                <c:pt idx="9">
                  <c:v>3Q11</c:v>
                </c:pt>
                <c:pt idx="10">
                  <c:v>4Q11</c:v>
                </c:pt>
                <c:pt idx="11">
                  <c:v>1Q12</c:v>
                </c:pt>
                <c:pt idx="12">
                  <c:v>2Q12</c:v>
                </c:pt>
                <c:pt idx="13">
                  <c:v>3Q12</c:v>
                </c:pt>
                <c:pt idx="14">
                  <c:v>4Q12</c:v>
                </c:pt>
                <c:pt idx="15">
                  <c:v>1Q13</c:v>
                </c:pt>
                <c:pt idx="16">
                  <c:v>2Q13</c:v>
                </c:pt>
                <c:pt idx="17">
                  <c:v>3Q13</c:v>
                </c:pt>
                <c:pt idx="18">
                  <c:v>4Q13</c:v>
                </c:pt>
                <c:pt idx="19">
                  <c:v>1Q14</c:v>
                </c:pt>
                <c:pt idx="20">
                  <c:v>2Q14</c:v>
                </c:pt>
                <c:pt idx="21">
                  <c:v>3Q14</c:v>
                </c:pt>
                <c:pt idx="22">
                  <c:v>4Q14</c:v>
                </c:pt>
                <c:pt idx="23">
                  <c:v>1Q15</c:v>
                </c:pt>
                <c:pt idx="24">
                  <c:v>2Q15</c:v>
                </c:pt>
                <c:pt idx="25">
                  <c:v>3Q15</c:v>
                </c:pt>
                <c:pt idx="26">
                  <c:v>4Q15</c:v>
                </c:pt>
                <c:pt idx="27">
                  <c:v>1Q16</c:v>
                </c:pt>
                <c:pt idx="28">
                  <c:v>2Q16</c:v>
                </c:pt>
                <c:pt idx="29">
                  <c:v>3Q16</c:v>
                </c:pt>
                <c:pt idx="30">
                  <c:v>4Q16</c:v>
                </c:pt>
                <c:pt idx="31">
                  <c:v>1Q17</c:v>
                </c:pt>
                <c:pt idx="32">
                  <c:v>2Q17</c:v>
                </c:pt>
                <c:pt idx="33">
                  <c:v>3Q17</c:v>
                </c:pt>
                <c:pt idx="34">
                  <c:v>4Q17</c:v>
                </c:pt>
                <c:pt idx="35">
                  <c:v>1Q18</c:v>
                </c:pt>
                <c:pt idx="36">
                  <c:v>2Q18</c:v>
                </c:pt>
                <c:pt idx="37">
                  <c:v>3Q18</c:v>
                </c:pt>
                <c:pt idx="38">
                  <c:v>4Q18</c:v>
                </c:pt>
                <c:pt idx="39">
                  <c:v>1Q19</c:v>
                </c:pt>
                <c:pt idx="40">
                  <c:v>2Q19</c:v>
                </c:pt>
                <c:pt idx="41">
                  <c:v>3Q19</c:v>
                </c:pt>
                <c:pt idx="42">
                  <c:v>4Q19</c:v>
                </c:pt>
                <c:pt idx="43">
                  <c:v>1Q20</c:v>
                </c:pt>
                <c:pt idx="44">
                  <c:v>2Q20</c:v>
                </c:pt>
                <c:pt idx="45">
                  <c:v>3Q20</c:v>
                </c:pt>
                <c:pt idx="46">
                  <c:v>4Q20</c:v>
                </c:pt>
                <c:pt idx="47">
                  <c:v>1Q21</c:v>
                </c:pt>
                <c:pt idx="48">
                  <c:v>2Q21</c:v>
                </c:pt>
                <c:pt idx="49">
                  <c:v>3Q21</c:v>
                </c:pt>
                <c:pt idx="50">
                  <c:v>4Q21</c:v>
                </c:pt>
                <c:pt idx="51">
                  <c:v>1Q22</c:v>
                </c:pt>
                <c:pt idx="52">
                  <c:v>2Q22</c:v>
                </c:pt>
                <c:pt idx="53">
                  <c:v>3Q22</c:v>
                </c:pt>
                <c:pt idx="54">
                  <c:v>4Q22</c:v>
                </c:pt>
                <c:pt idx="55">
                  <c:v>1Q23</c:v>
                </c:pt>
                <c:pt idx="56">
                  <c:v>2Q23</c:v>
                </c:pt>
                <c:pt idx="57">
                  <c:v>3Q23</c:v>
                </c:pt>
                <c:pt idx="58">
                  <c:v>4Q23</c:v>
                </c:pt>
                <c:pt idx="59">
                  <c:v>1Q24</c:v>
                </c:pt>
                <c:pt idx="60">
                  <c:v>2Q24e</c:v>
                </c:pt>
                <c:pt idx="61">
                  <c:v>3Q24e</c:v>
                </c:pt>
                <c:pt idx="62">
                  <c:v>4Q24e</c:v>
                </c:pt>
              </c:strCache>
            </c:strRef>
          </c:cat>
          <c:val>
            <c:numRef>
              <c:f>Charts_Support!$J$563:$CS$563</c:f>
              <c:numCache>
                <c:formatCode>0%</c:formatCode>
                <c:ptCount val="64"/>
                <c:pt idx="0">
                  <c:v>0.53633817522454508</c:v>
                </c:pt>
                <c:pt idx="1">
                  <c:v>0.53583426246536559</c:v>
                </c:pt>
                <c:pt idx="2">
                  <c:v>0.51751208840565144</c:v>
                </c:pt>
                <c:pt idx="3">
                  <c:v>0.47391223813781508</c:v>
                </c:pt>
                <c:pt idx="4">
                  <c:v>0.54142535277395265</c:v>
                </c:pt>
                <c:pt idx="5">
                  <c:v>0.5375169612775188</c:v>
                </c:pt>
                <c:pt idx="6">
                  <c:v>0.54210446498236209</c:v>
                </c:pt>
                <c:pt idx="7">
                  <c:v>0.52252600964731133</c:v>
                </c:pt>
                <c:pt idx="8">
                  <c:v>0.55689051479840979</c:v>
                </c:pt>
                <c:pt idx="9">
                  <c:v>0.53421962832177583</c:v>
                </c:pt>
                <c:pt idx="10">
                  <c:v>0.53802360606476496</c:v>
                </c:pt>
                <c:pt idx="11">
                  <c:v>0.53929720774213241</c:v>
                </c:pt>
                <c:pt idx="12">
                  <c:v>0.54440610010371204</c:v>
                </c:pt>
                <c:pt idx="13">
                  <c:v>0.51765411785443505</c:v>
                </c:pt>
                <c:pt idx="14">
                  <c:v>0.53106994756816084</c:v>
                </c:pt>
                <c:pt idx="15">
                  <c:v>0.52521092357143428</c:v>
                </c:pt>
                <c:pt idx="16">
                  <c:v>0.54812510261137493</c:v>
                </c:pt>
                <c:pt idx="17">
                  <c:v>0.53913140434802986</c:v>
                </c:pt>
                <c:pt idx="18">
                  <c:v>0.53192592191588117</c:v>
                </c:pt>
                <c:pt idx="19">
                  <c:v>0.53365702770218937</c:v>
                </c:pt>
                <c:pt idx="20">
                  <c:v>0.55906484811259216</c:v>
                </c:pt>
                <c:pt idx="21">
                  <c:v>0.56364006406671419</c:v>
                </c:pt>
                <c:pt idx="22">
                  <c:v>0.55551379156055869</c:v>
                </c:pt>
                <c:pt idx="23">
                  <c:v>0.55656930612393629</c:v>
                </c:pt>
                <c:pt idx="24">
                  <c:v>0.57006857352312024</c:v>
                </c:pt>
                <c:pt idx="25">
                  <c:v>0.55553519982499222</c:v>
                </c:pt>
                <c:pt idx="26">
                  <c:v>0.55102260670538572</c:v>
                </c:pt>
                <c:pt idx="27">
                  <c:v>0.53660408228514378</c:v>
                </c:pt>
                <c:pt idx="28">
                  <c:v>0.56096140957683638</c:v>
                </c:pt>
                <c:pt idx="29">
                  <c:v>0.55312562875266069</c:v>
                </c:pt>
                <c:pt idx="30">
                  <c:v>0.55039750118308883</c:v>
                </c:pt>
                <c:pt idx="31">
                  <c:v>0.54097730808591404</c:v>
                </c:pt>
                <c:pt idx="32">
                  <c:v>0.56448365440631554</c:v>
                </c:pt>
                <c:pt idx="33">
                  <c:v>0.56138764122008777</c:v>
                </c:pt>
                <c:pt idx="34">
                  <c:v>0.5625032815120139</c:v>
                </c:pt>
                <c:pt idx="35">
                  <c:v>0.49436274957119947</c:v>
                </c:pt>
                <c:pt idx="36">
                  <c:v>0.56983636533477622</c:v>
                </c:pt>
                <c:pt idx="37">
                  <c:v>0.55577551135013104</c:v>
                </c:pt>
                <c:pt idx="38">
                  <c:v>0.55467247030345135</c:v>
                </c:pt>
                <c:pt idx="39">
                  <c:v>0.5367721836981818</c:v>
                </c:pt>
                <c:pt idx="40">
                  <c:v>0.4994809572824776</c:v>
                </c:pt>
                <c:pt idx="41">
                  <c:v>0.49508272569110451</c:v>
                </c:pt>
                <c:pt idx="42">
                  <c:v>0.46531150725886078</c:v>
                </c:pt>
                <c:pt idx="43">
                  <c:v>0.49202133931423492</c:v>
                </c:pt>
                <c:pt idx="44">
                  <c:v>0.49558565859485559</c:v>
                </c:pt>
                <c:pt idx="45">
                  <c:v>0.83508930837163664</c:v>
                </c:pt>
                <c:pt idx="46">
                  <c:v>0.50386285993315361</c:v>
                </c:pt>
                <c:pt idx="47">
                  <c:v>0.42401377211044955</c:v>
                </c:pt>
                <c:pt idx="48">
                  <c:v>0.47355008179821723</c:v>
                </c:pt>
                <c:pt idx="49">
                  <c:v>0.45439887642970855</c:v>
                </c:pt>
                <c:pt idx="50">
                  <c:v>0.46527110262550347</c:v>
                </c:pt>
                <c:pt idx="51">
                  <c:v>0.43720105387771724</c:v>
                </c:pt>
                <c:pt idx="52">
                  <c:v>0.45489527863913815</c:v>
                </c:pt>
                <c:pt idx="53">
                  <c:v>0.4584709437227229</c:v>
                </c:pt>
                <c:pt idx="54">
                  <c:v>0.47284991314164221</c:v>
                </c:pt>
                <c:pt idx="55">
                  <c:v>0.48536140615072904</c:v>
                </c:pt>
                <c:pt idx="56">
                  <c:v>0.45999322866578279</c:v>
                </c:pt>
                <c:pt idx="57">
                  <c:v>0.46566303585242158</c:v>
                </c:pt>
                <c:pt idx="58">
                  <c:v>0.47111295577487683</c:v>
                </c:pt>
                <c:pt idx="59">
                  <c:v>0.45390814264157398</c:v>
                </c:pt>
                <c:pt idx="60">
                  <c:v>0.47516380421767429</c:v>
                </c:pt>
                <c:pt idx="61">
                  <c:v>0.47485351256912767</c:v>
                </c:pt>
                <c:pt idx="62">
                  <c:v>0.47749999999999998</c:v>
                </c:pt>
                <c:pt idx="63">
                  <c:v>0.46849999999999997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6-4F7F-961A-3DC042C6D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423232"/>
        <c:axId val="557433216"/>
      </c:lineChart>
      <c:scatterChart>
        <c:scatterStyle val="lineMarker"/>
        <c:varyColors val="0"/>
        <c:ser>
          <c:idx val="2"/>
          <c:order val="1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Charts_Support!$L$791:$M$791</c:f>
              <c:numCache>
                <c:formatCode>00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66-4F7F-961A-3DC042C6DE9A}"/>
            </c:ext>
          </c:extLst>
        </c:ser>
        <c:ser>
          <c:idx val="3"/>
          <c:order val="2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Charts_Support!$L$792:$M$792</c:f>
              <c:numCache>
                <c:formatCode>00</c:formatCode>
                <c:ptCount val="2"/>
                <c:pt idx="0">
                  <c:v>59</c:v>
                </c:pt>
                <c:pt idx="1">
                  <c:v>59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66-4F7F-961A-3DC042C6DE9A}"/>
            </c:ext>
          </c:extLst>
        </c:ser>
        <c:ser>
          <c:idx val="4"/>
          <c:order val="3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Charts_Support!$L$793:$M$793</c:f>
              <c:numCache>
                <c:formatCode>00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66-4F7F-961A-3DC042C6D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423232"/>
        <c:axId val="557433216"/>
      </c:scatterChart>
      <c:catAx>
        <c:axId val="55742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433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7433216"/>
        <c:scaling>
          <c:orientation val="minMax"/>
          <c:max val="0.60000000000000009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4232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6.5059493174320623E-2"/>
          <c:w val="0.85019536018376107"/>
          <c:h val="0.75374010951246073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Charts_Support!$A$503</c:f>
              <c:strCache>
                <c:ptCount val="1"/>
                <c:pt idx="0">
                  <c:v>Mexico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Charts_Support!$AG$503:$CS$503</c:f>
              <c:numCache>
                <c:formatCode>#,##0" bp";\-#,##0" bp"</c:formatCode>
                <c:ptCount val="41"/>
                <c:pt idx="0">
                  <c:v>411.09636861682145</c:v>
                </c:pt>
                <c:pt idx="1">
                  <c:v>503.30333221245667</c:v>
                </c:pt>
                <c:pt idx="2">
                  <c:v>407.63499012088226</c:v>
                </c:pt>
                <c:pt idx="3">
                  <c:v>365.25403851787735</c:v>
                </c:pt>
                <c:pt idx="4">
                  <c:v>444.3415223012878</c:v>
                </c:pt>
                <c:pt idx="5">
                  <c:v>115.91136248709</c:v>
                </c:pt>
                <c:pt idx="6">
                  <c:v>90.991656062710533</c:v>
                </c:pt>
                <c:pt idx="7">
                  <c:v>117.16654211870514</c:v>
                </c:pt>
                <c:pt idx="8">
                  <c:v>-207.6365730739399</c:v>
                </c:pt>
                <c:pt idx="9">
                  <c:v>-20.829352853086458</c:v>
                </c:pt>
                <c:pt idx="10">
                  <c:v>-7.2186239614110974</c:v>
                </c:pt>
                <c:pt idx="11">
                  <c:v>-196.06447362020495</c:v>
                </c:pt>
                <c:pt idx="12">
                  <c:v>191.68914877433329</c:v>
                </c:pt>
                <c:pt idx="13">
                  <c:v>38.96548202339423</c:v>
                </c:pt>
                <c:pt idx="14">
                  <c:v>45.591893721373125</c:v>
                </c:pt>
                <c:pt idx="15">
                  <c:v>34.081584703903047</c:v>
                </c:pt>
                <c:pt idx="16">
                  <c:v>-293.75029272136032</c:v>
                </c:pt>
                <c:pt idx="17">
                  <c:v>-181.25784357655579</c:v>
                </c:pt>
                <c:pt idx="18">
                  <c:v>-4.9323832342898495</c:v>
                </c:pt>
                <c:pt idx="19">
                  <c:v>18.930342811991352</c:v>
                </c:pt>
                <c:pt idx="20">
                  <c:v>-6.0039075335371894</c:v>
                </c:pt>
                <c:pt idx="21">
                  <c:v>-44.960740755868031</c:v>
                </c:pt>
                <c:pt idx="22">
                  <c:v>-3631.6365277031855</c:v>
                </c:pt>
                <c:pt idx="23">
                  <c:v>-1150.7038451003443</c:v>
                </c:pt>
                <c:pt idx="24">
                  <c:v>260.87106426100183</c:v>
                </c:pt>
                <c:pt idx="25">
                  <c:v>-238.86420832018391</c:v>
                </c:pt>
                <c:pt idx="26">
                  <c:v>3618.0936478771869</c:v>
                </c:pt>
                <c:pt idx="27">
                  <c:v>933.38680133552498</c:v>
                </c:pt>
                <c:pt idx="28">
                  <c:v>120.3662781061815</c:v>
                </c:pt>
                <c:pt idx="29">
                  <c:v>432.98017010752449</c:v>
                </c:pt>
                <c:pt idx="30">
                  <c:v>-131.92010328717501</c:v>
                </c:pt>
                <c:pt idx="31">
                  <c:v>157.09154688282462</c:v>
                </c:pt>
                <c:pt idx="32">
                  <c:v>-384.0921048332749</c:v>
                </c:pt>
                <c:pt idx="33">
                  <c:v>-41.421797433251747</c:v>
                </c:pt>
                <c:pt idx="34">
                  <c:v>117.99190938564519</c:v>
                </c:pt>
                <c:pt idx="35">
                  <c:v>54.582237945322575</c:v>
                </c:pt>
                <c:pt idx="36">
                  <c:v>-23.430693382722744</c:v>
                </c:pt>
                <c:pt idx="37">
                  <c:v>198.09767281696534</c:v>
                </c:pt>
                <c:pt idx="38">
                  <c:v>73.961279074370722</c:v>
                </c:pt>
                <c:pt idx="39">
                  <c:v>21.212121212120792</c:v>
                </c:pt>
                <c:pt idx="40">
                  <c:v>-17.19130597714058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CE-4241-B104-5A846A695277}"/>
            </c:ext>
          </c:extLst>
        </c:ser>
        <c:ser>
          <c:idx val="0"/>
          <c:order val="1"/>
          <c:tx>
            <c:strRef>
              <c:f>Charts_Support!$A$504</c:f>
              <c:strCache>
                <c:ptCount val="1"/>
                <c:pt idx="0">
                  <c:v>South America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Charts_Support!$AG$504:$CS$504</c:f>
              <c:numCache>
                <c:formatCode>#,##0" bp";\-#,##0" bp"</c:formatCode>
                <c:ptCount val="41"/>
                <c:pt idx="0">
                  <c:v>162.25541374348367</c:v>
                </c:pt>
                <c:pt idx="1">
                  <c:v>-106.00704101989086</c:v>
                </c:pt>
                <c:pt idx="2">
                  <c:v>164.83205838765781</c:v>
                </c:pt>
                <c:pt idx="3">
                  <c:v>215.23307968826288</c:v>
                </c:pt>
                <c:pt idx="4">
                  <c:v>-101.26784630830137</c:v>
                </c:pt>
                <c:pt idx="5">
                  <c:v>-18.050339719039023</c:v>
                </c:pt>
                <c:pt idx="6">
                  <c:v>-62.34405507671903</c:v>
                </c:pt>
                <c:pt idx="7">
                  <c:v>-113.66132339141826</c:v>
                </c:pt>
                <c:pt idx="8">
                  <c:v>127.64080595131233</c:v>
                </c:pt>
                <c:pt idx="9">
                  <c:v>231.24479664518512</c:v>
                </c:pt>
                <c:pt idx="10">
                  <c:v>152.60405057364119</c:v>
                </c:pt>
                <c:pt idx="11">
                  <c:v>21.36862315697541</c:v>
                </c:pt>
                <c:pt idx="12">
                  <c:v>-254.82494123469007</c:v>
                </c:pt>
                <c:pt idx="13">
                  <c:v>-166.98791525313118</c:v>
                </c:pt>
                <c:pt idx="14">
                  <c:v>-175.13944845964247</c:v>
                </c:pt>
                <c:pt idx="15">
                  <c:v>-75.26887687201112</c:v>
                </c:pt>
                <c:pt idx="16">
                  <c:v>-119.60973478711972</c:v>
                </c:pt>
                <c:pt idx="17">
                  <c:v>-64.711885188902528</c:v>
                </c:pt>
                <c:pt idx="18">
                  <c:v>-48.944234501616393</c:v>
                </c:pt>
                <c:pt idx="19">
                  <c:v>-20.822063409964009</c:v>
                </c:pt>
                <c:pt idx="20">
                  <c:v>-225.29276702650509</c:v>
                </c:pt>
                <c:pt idx="21">
                  <c:v>-743.54293941957803</c:v>
                </c:pt>
                <c:pt idx="22">
                  <c:v>-3052.2557132875927</c:v>
                </c:pt>
                <c:pt idx="23">
                  <c:v>-648.41055072750908</c:v>
                </c:pt>
                <c:pt idx="24">
                  <c:v>204.49260037079171</c:v>
                </c:pt>
                <c:pt idx="25">
                  <c:v>713.59822496291031</c:v>
                </c:pt>
                <c:pt idx="26">
                  <c:v>2857.2034230461372</c:v>
                </c:pt>
                <c:pt idx="27">
                  <c:v>760.23937148968423</c:v>
                </c:pt>
                <c:pt idx="28">
                  <c:v>167.68795613482823</c:v>
                </c:pt>
                <c:pt idx="29">
                  <c:v>183.96515475299745</c:v>
                </c:pt>
                <c:pt idx="30">
                  <c:v>353.72187321973155</c:v>
                </c:pt>
                <c:pt idx="31">
                  <c:v>35.976641945116015</c:v>
                </c:pt>
                <c:pt idx="32">
                  <c:v>-152.4996969567699</c:v>
                </c:pt>
                <c:pt idx="33">
                  <c:v>233.84206972914433</c:v>
                </c:pt>
                <c:pt idx="34">
                  <c:v>74.618093346738306</c:v>
                </c:pt>
                <c:pt idx="35">
                  <c:v>-98.551943815019527</c:v>
                </c:pt>
                <c:pt idx="36">
                  <c:v>303.05178047717874</c:v>
                </c:pt>
                <c:pt idx="37">
                  <c:v>-42.487990440967792</c:v>
                </c:pt>
                <c:pt idx="38">
                  <c:v>-165.52145479834329</c:v>
                </c:pt>
                <c:pt idx="39">
                  <c:v>-254.58184813725805</c:v>
                </c:pt>
                <c:pt idx="40">
                  <c:v>-131.47977324890036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E-4241-B104-5A846A695277}"/>
            </c:ext>
          </c:extLst>
        </c:ser>
        <c:ser>
          <c:idx val="2"/>
          <c:order val="2"/>
          <c:tx>
            <c:strRef>
              <c:f>Charts_Support!$A$505</c:f>
              <c:strCache>
                <c:ptCount val="1"/>
                <c:pt idx="0">
                  <c:v>Europe</c:v>
                </c:pt>
              </c:strCache>
            </c:strRef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Charts_Support!$AG$505:$CS$505</c:f>
              <c:numCache>
                <c:formatCode>#,##0" bp";\-#,##0" bp"</c:formatCode>
                <c:ptCount val="41"/>
                <c:pt idx="4">
                  <c:v>76.739311339749094</c:v>
                </c:pt>
                <c:pt idx="5">
                  <c:v>62.108835788091397</c:v>
                </c:pt>
                <c:pt idx="6">
                  <c:v>3.6423027571075295</c:v>
                </c:pt>
                <c:pt idx="7">
                  <c:v>55.902725493148786</c:v>
                </c:pt>
                <c:pt idx="8">
                  <c:v>139.31239454289894</c:v>
                </c:pt>
                <c:pt idx="9">
                  <c:v>38.122185383975548</c:v>
                </c:pt>
                <c:pt idx="10">
                  <c:v>80.770531158838025</c:v>
                </c:pt>
                <c:pt idx="11">
                  <c:v>-2.2924161103951568</c:v>
                </c:pt>
                <c:pt idx="12">
                  <c:v>30.693677102516801</c:v>
                </c:pt>
                <c:pt idx="13">
                  <c:v>12.933244111558439</c:v>
                </c:pt>
                <c:pt idx="14">
                  <c:v>-71.527826116099533</c:v>
                </c:pt>
                <c:pt idx="15">
                  <c:v>-48.162969439493608</c:v>
                </c:pt>
                <c:pt idx="16">
                  <c:v>-170.17761255679471</c:v>
                </c:pt>
                <c:pt idx="17">
                  <c:v>-383.9119689933579</c:v>
                </c:pt>
                <c:pt idx="18">
                  <c:v>-254.02252764339966</c:v>
                </c:pt>
                <c:pt idx="19">
                  <c:v>-244.35443190386235</c:v>
                </c:pt>
                <c:pt idx="20">
                  <c:v>179.54913484344638</c:v>
                </c:pt>
                <c:pt idx="21">
                  <c:v>-679.55350110954453</c:v>
                </c:pt>
                <c:pt idx="22">
                  <c:v>-5084.5995562354838</c:v>
                </c:pt>
                <c:pt idx="23">
                  <c:v>-274.6397060689543</c:v>
                </c:pt>
                <c:pt idx="24">
                  <c:v>-97.660711025615299</c:v>
                </c:pt>
                <c:pt idx="25">
                  <c:v>142.71519065954544</c:v>
                </c:pt>
                <c:pt idx="26">
                  <c:v>5067.6435895109344</c:v>
                </c:pt>
                <c:pt idx="27">
                  <c:v>642.78574998215186</c:v>
                </c:pt>
                <c:pt idx="28">
                  <c:v>324.77309177482817</c:v>
                </c:pt>
                <c:pt idx="29">
                  <c:v>443.08025728459376</c:v>
                </c:pt>
                <c:pt idx="30">
                  <c:v>28.877401314031658</c:v>
                </c:pt>
                <c:pt idx="31">
                  <c:v>-788.84463669072284</c:v>
                </c:pt>
                <c:pt idx="32">
                  <c:v>-891.73055659759802</c:v>
                </c:pt>
                <c:pt idx="33">
                  <c:v>-223.77933615972344</c:v>
                </c:pt>
                <c:pt idx="34">
                  <c:v>-131.47879608051889</c:v>
                </c:pt>
                <c:pt idx="35">
                  <c:v>460.57434622962774</c:v>
                </c:pt>
                <c:pt idx="36">
                  <c:v>180.64504177600637</c:v>
                </c:pt>
                <c:pt idx="37">
                  <c:v>56.431064164371158</c:v>
                </c:pt>
                <c:pt idx="38">
                  <c:v>-191.30668595753576</c:v>
                </c:pt>
                <c:pt idx="39">
                  <c:v>-160.00000000000014</c:v>
                </c:pt>
                <c:pt idx="40">
                  <c:v>-110.0000000000001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CE-4241-B104-5A846A695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527040"/>
        <c:axId val="557528576"/>
      </c:lineChart>
      <c:scatterChart>
        <c:scatterStyle val="lineMarker"/>
        <c:varyColors val="0"/>
        <c:ser>
          <c:idx val="3"/>
          <c:order val="3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CE-4241-B104-5A846A695277}"/>
            </c:ext>
          </c:extLst>
        </c:ser>
        <c:ser>
          <c:idx val="4"/>
          <c:order val="4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CE-4241-B104-5A846A695277}"/>
            </c:ext>
          </c:extLst>
        </c:ser>
        <c:ser>
          <c:idx val="5"/>
          <c:order val="5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CE-4241-B104-5A846A695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0112"/>
        <c:axId val="557531904"/>
      </c:scatterChart>
      <c:catAx>
        <c:axId val="5575270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528576"/>
        <c:crossesAt val="1.8000000000000002E-2"/>
        <c:auto val="1"/>
        <c:lblAlgn val="ctr"/>
        <c:lblOffset val="100"/>
        <c:tickLblSkip val="2"/>
        <c:tickMarkSkip val="1"/>
        <c:noMultiLvlLbl val="0"/>
      </c:catAx>
      <c:valAx>
        <c:axId val="557528576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527040"/>
        <c:crosses val="autoZero"/>
        <c:crossBetween val="midCat"/>
      </c:valAx>
      <c:valAx>
        <c:axId val="557530112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57531904"/>
        <c:crosses val="autoZero"/>
        <c:crossBetween val="midCat"/>
      </c:valAx>
      <c:valAx>
        <c:axId val="557531904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57530112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1343841473690713"/>
          <c:y val="0.60384757590593141"/>
          <c:w val="0.30948206648742055"/>
          <c:h val="0.20784142469079148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7861012605078"/>
          <c:y val="6.5059493174320623E-2"/>
          <c:w val="0.85019536018376107"/>
          <c:h val="0.75374010951246073"/>
        </c:manualLayout>
      </c:layout>
      <c:lineChart>
        <c:grouping val="standard"/>
        <c:varyColors val="0"/>
        <c:ser>
          <c:idx val="1"/>
          <c:order val="0"/>
          <c:tx>
            <c:strRef>
              <c:f>Charts_Support!$A$456</c:f>
              <c:strCache>
                <c:ptCount val="1"/>
                <c:pt idx="0">
                  <c:v>Growth YoY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Charts_Support!$AB$456:$CS$456</c:f>
              <c:numCache>
                <c:formatCode>0.0%</c:formatCode>
                <c:ptCount val="46"/>
                <c:pt idx="0">
                  <c:v>0.16556658021294779</c:v>
                </c:pt>
                <c:pt idx="1">
                  <c:v>0.2156581038664751</c:v>
                </c:pt>
                <c:pt idx="2">
                  <c:v>0.17456144119036843</c:v>
                </c:pt>
                <c:pt idx="3">
                  <c:v>0.36190368753610347</c:v>
                </c:pt>
                <c:pt idx="4">
                  <c:v>0.39658813411226546</c:v>
                </c:pt>
                <c:pt idx="5">
                  <c:v>0.79180045300888624</c:v>
                </c:pt>
                <c:pt idx="6">
                  <c:v>0.83972138527808871</c:v>
                </c:pt>
                <c:pt idx="7">
                  <c:v>0.49172702229304877</c:v>
                </c:pt>
                <c:pt idx="8">
                  <c:v>0.44253123252058413</c:v>
                </c:pt>
                <c:pt idx="9">
                  <c:v>0.13339357635005245</c:v>
                </c:pt>
                <c:pt idx="10">
                  <c:v>0.16210349506837596</c:v>
                </c:pt>
                <c:pt idx="11">
                  <c:v>0.1679510101982209</c:v>
                </c:pt>
                <c:pt idx="12">
                  <c:v>0.16750332608901308</c:v>
                </c:pt>
                <c:pt idx="13">
                  <c:v>0.17210972840954941</c:v>
                </c:pt>
                <c:pt idx="14">
                  <c:v>0.18260384591951029</c:v>
                </c:pt>
                <c:pt idx="15">
                  <c:v>0.14106507170868943</c:v>
                </c:pt>
                <c:pt idx="16">
                  <c:v>9.0957243836273793E-2</c:v>
                </c:pt>
                <c:pt idx="17">
                  <c:v>0.10634441173935461</c:v>
                </c:pt>
                <c:pt idx="18">
                  <c:v>9.775106903234243E-2</c:v>
                </c:pt>
                <c:pt idx="19">
                  <c:v>9.4844042715659826E-2</c:v>
                </c:pt>
                <c:pt idx="20">
                  <c:v>8.5919960318286304E-2</c:v>
                </c:pt>
                <c:pt idx="21">
                  <c:v>6.540030047888612E-2</c:v>
                </c:pt>
                <c:pt idx="22">
                  <c:v>0.23562769040958531</c:v>
                </c:pt>
                <c:pt idx="23">
                  <c:v>0.28740688717892393</c:v>
                </c:pt>
                <c:pt idx="24">
                  <c:v>0.2738454995324997</c:v>
                </c:pt>
                <c:pt idx="25">
                  <c:v>0.24379592725234733</c:v>
                </c:pt>
                <c:pt idx="26">
                  <c:v>-0.11580934288578404</c:v>
                </c:pt>
                <c:pt idx="27">
                  <c:v>-0.64351264977414757</c:v>
                </c:pt>
                <c:pt idx="28">
                  <c:v>-0.31710292614532132</c:v>
                </c:pt>
                <c:pt idx="29">
                  <c:v>-0.26609262640667053</c:v>
                </c:pt>
                <c:pt idx="30">
                  <c:v>-0.15641155910447591</c:v>
                </c:pt>
                <c:pt idx="31">
                  <c:v>1.4005200684831229</c:v>
                </c:pt>
                <c:pt idx="32">
                  <c:v>0.41056536908931895</c:v>
                </c:pt>
                <c:pt idx="33">
                  <c:v>0.48110663382972918</c:v>
                </c:pt>
                <c:pt idx="34">
                  <c:v>0.49124554408789756</c:v>
                </c:pt>
                <c:pt idx="35">
                  <c:v>0.35758823495467951</c:v>
                </c:pt>
                <c:pt idx="36">
                  <c:v>0.25503874941566917</c:v>
                </c:pt>
                <c:pt idx="37">
                  <c:v>0.14425650509630827</c:v>
                </c:pt>
                <c:pt idx="38">
                  <c:v>0.16006345606922112</c:v>
                </c:pt>
                <c:pt idx="39">
                  <c:v>0.11863692156998873</c:v>
                </c:pt>
                <c:pt idx="40">
                  <c:v>0.11141559486558417</c:v>
                </c:pt>
                <c:pt idx="41">
                  <c:v>5.2275879632889044E-2</c:v>
                </c:pt>
                <c:pt idx="42">
                  <c:v>3.0408226769163882E-2</c:v>
                </c:pt>
                <c:pt idx="43">
                  <c:v>1.6112263753346401E-2</c:v>
                </c:pt>
                <c:pt idx="44">
                  <c:v>3.2768242665748293E-2</c:v>
                </c:pt>
                <c:pt idx="45">
                  <c:v>4.1570121876582711E-2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D-4E42-942C-19CEDA8885F6}"/>
            </c:ext>
          </c:extLst>
        </c:ser>
        <c:ser>
          <c:idx val="0"/>
          <c:order val="1"/>
          <c:tx>
            <c:strRef>
              <c:f>Charts_Support!$A$532</c:f>
              <c:strCache>
                <c:ptCount val="1"/>
                <c:pt idx="0">
                  <c:v>Adj. EBITDA Mg.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Charts_Support!$AC$492:$CS$492</c:f>
              <c:strCache>
                <c:ptCount val="45"/>
                <c:pt idx="0">
                  <c:v>4Q13</c:v>
                </c:pt>
                <c:pt idx="1">
                  <c:v>1Q14</c:v>
                </c:pt>
                <c:pt idx="2">
                  <c:v>2Q14</c:v>
                </c:pt>
                <c:pt idx="3">
                  <c:v>3Q14</c:v>
                </c:pt>
                <c:pt idx="4">
                  <c:v>4Q14</c:v>
                </c:pt>
                <c:pt idx="5">
                  <c:v>1Q15</c:v>
                </c:pt>
                <c:pt idx="6">
                  <c:v>2Q15</c:v>
                </c:pt>
                <c:pt idx="7">
                  <c:v>3Q15</c:v>
                </c:pt>
                <c:pt idx="8">
                  <c:v>4Q15</c:v>
                </c:pt>
                <c:pt idx="9">
                  <c:v>1Q16</c:v>
                </c:pt>
                <c:pt idx="10">
                  <c:v>2Q16</c:v>
                </c:pt>
                <c:pt idx="11">
                  <c:v>3Q16</c:v>
                </c:pt>
                <c:pt idx="12">
                  <c:v>4Q16</c:v>
                </c:pt>
                <c:pt idx="13">
                  <c:v>1Q17</c:v>
                </c:pt>
                <c:pt idx="14">
                  <c:v>2Q17</c:v>
                </c:pt>
                <c:pt idx="15">
                  <c:v>3Q17</c:v>
                </c:pt>
                <c:pt idx="16">
                  <c:v>4Q17</c:v>
                </c:pt>
                <c:pt idx="17">
                  <c:v>1Q18</c:v>
                </c:pt>
                <c:pt idx="18">
                  <c:v>2Q18</c:v>
                </c:pt>
                <c:pt idx="19">
                  <c:v>3Q18</c:v>
                </c:pt>
                <c:pt idx="20">
                  <c:v>4Q18</c:v>
                </c:pt>
                <c:pt idx="21">
                  <c:v>1Q19</c:v>
                </c:pt>
                <c:pt idx="22">
                  <c:v>2Q19</c:v>
                </c:pt>
                <c:pt idx="23">
                  <c:v>3Q19</c:v>
                </c:pt>
                <c:pt idx="24">
                  <c:v>4Q19</c:v>
                </c:pt>
                <c:pt idx="25">
                  <c:v>1Q20</c:v>
                </c:pt>
                <c:pt idx="26">
                  <c:v>2Q20</c:v>
                </c:pt>
                <c:pt idx="27">
                  <c:v>3Q20</c:v>
                </c:pt>
                <c:pt idx="28">
                  <c:v>4Q20</c:v>
                </c:pt>
                <c:pt idx="29">
                  <c:v>1Q21</c:v>
                </c:pt>
                <c:pt idx="30">
                  <c:v>2Q21</c:v>
                </c:pt>
                <c:pt idx="31">
                  <c:v>3Q21</c:v>
                </c:pt>
                <c:pt idx="32">
                  <c:v>4Q21</c:v>
                </c:pt>
                <c:pt idx="33">
                  <c:v>1Q22</c:v>
                </c:pt>
                <c:pt idx="34">
                  <c:v>2Q22</c:v>
                </c:pt>
                <c:pt idx="35">
                  <c:v>3Q22</c:v>
                </c:pt>
                <c:pt idx="36">
                  <c:v>4Q22</c:v>
                </c:pt>
                <c:pt idx="37">
                  <c:v>1Q23</c:v>
                </c:pt>
                <c:pt idx="38">
                  <c:v>2Q23</c:v>
                </c:pt>
                <c:pt idx="39">
                  <c:v>3Q23</c:v>
                </c:pt>
                <c:pt idx="40">
                  <c:v>4Q23</c:v>
                </c:pt>
                <c:pt idx="41">
                  <c:v>1Q24</c:v>
                </c:pt>
                <c:pt idx="42">
                  <c:v>2Q24e</c:v>
                </c:pt>
                <c:pt idx="43">
                  <c:v>3Q24e</c:v>
                </c:pt>
                <c:pt idx="44">
                  <c:v>4Q24e</c:v>
                </c:pt>
              </c:strCache>
            </c:strRef>
          </c:cat>
          <c:val>
            <c:numRef>
              <c:f>Charts_Support!$AB$532:$CS$532</c:f>
              <c:numCache>
                <c:formatCode>0.0%</c:formatCode>
                <c:ptCount val="46"/>
                <c:pt idx="0">
                  <c:v>0.13373013180427598</c:v>
                </c:pt>
                <c:pt idx="1">
                  <c:v>0.20675813447032171</c:v>
                </c:pt>
                <c:pt idx="2">
                  <c:v>0.19062954342095112</c:v>
                </c:pt>
                <c:pt idx="3">
                  <c:v>0.2077517341792538</c:v>
                </c:pt>
                <c:pt idx="4">
                  <c:v>0.21591381267836787</c:v>
                </c:pt>
                <c:pt idx="5">
                  <c:v>0.24229636730054266</c:v>
                </c:pt>
                <c:pt idx="6">
                  <c:v>0.19294047548049259</c:v>
                </c:pt>
                <c:pt idx="7">
                  <c:v>0.20497447674821584</c:v>
                </c:pt>
                <c:pt idx="8">
                  <c:v>0.20804014992508854</c:v>
                </c:pt>
                <c:pt idx="9">
                  <c:v>0.22985487773484328</c:v>
                </c:pt>
                <c:pt idx="10">
                  <c:v>0.20012279197071739</c:v>
                </c:pt>
                <c:pt idx="11">
                  <c:v>0.20737807051913351</c:v>
                </c:pt>
                <c:pt idx="12">
                  <c:v>0.21141464097419865</c:v>
                </c:pt>
                <c:pt idx="13">
                  <c:v>0.22134271404835729</c:v>
                </c:pt>
                <c:pt idx="14">
                  <c:v>0.1995394937601801</c:v>
                </c:pt>
                <c:pt idx="15">
                  <c:v>0.2099686178119704</c:v>
                </c:pt>
                <c:pt idx="16">
                  <c:v>0.19942046827248036</c:v>
                </c:pt>
                <c:pt idx="17">
                  <c:v>0.22563464370731581</c:v>
                </c:pt>
                <c:pt idx="18">
                  <c:v>0.19819736070791477</c:v>
                </c:pt>
                <c:pt idx="19">
                  <c:v>0.20573028600571383</c:v>
                </c:pt>
                <c:pt idx="20">
                  <c:v>0.19515804109149254</c:v>
                </c:pt>
                <c:pt idx="21">
                  <c:v>0.20030992688808871</c:v>
                </c:pt>
                <c:pt idx="22">
                  <c:v>0.17749420258647766</c:v>
                </c:pt>
                <c:pt idx="23">
                  <c:v>0.19560322092389326</c:v>
                </c:pt>
                <c:pt idx="24">
                  <c:v>0.18736417391342755</c:v>
                </c:pt>
                <c:pt idx="25">
                  <c:v>0.20899114058165541</c:v>
                </c:pt>
                <c:pt idx="26">
                  <c:v>0.14431945570004023</c:v>
                </c:pt>
                <c:pt idx="27">
                  <c:v>-0.19970075668886911</c:v>
                </c:pt>
                <c:pt idx="28">
                  <c:v>0.114799447588292</c:v>
                </c:pt>
                <c:pt idx="29">
                  <c:v>0.22182813648254932</c:v>
                </c:pt>
                <c:pt idx="30">
                  <c:v>0.14571500925309894</c:v>
                </c:pt>
                <c:pt idx="31">
                  <c:v>0.1961150781158334</c:v>
                </c:pt>
                <c:pt idx="32">
                  <c:v>0.19307543374808134</c:v>
                </c:pt>
                <c:pt idx="33">
                  <c:v>0.23912103863517048</c:v>
                </c:pt>
                <c:pt idx="34">
                  <c:v>0.1844607360318273</c:v>
                </c:pt>
                <c:pt idx="35">
                  <c:v>0.19263093117898394</c:v>
                </c:pt>
                <c:pt idx="36">
                  <c:v>0.17587447460283537</c:v>
                </c:pt>
                <c:pt idx="37">
                  <c:v>0.18834390447882429</c:v>
                </c:pt>
                <c:pt idx="38">
                  <c:v>0.18125574455325638</c:v>
                </c:pt>
                <c:pt idx="39">
                  <c:v>0.19784962942643028</c:v>
                </c:pt>
                <c:pt idx="40">
                  <c:v>0.19275834677539888</c:v>
                </c:pt>
                <c:pt idx="41">
                  <c:v>0.20117445577792842</c:v>
                </c:pt>
                <c:pt idx="42">
                  <c:v>0.19678260982304507</c:v>
                </c:pt>
                <c:pt idx="43">
                  <c:v>0.19704954404117037</c:v>
                </c:pt>
                <c:pt idx="44">
                  <c:v>0.18683935238300933</c:v>
                </c:pt>
                <c:pt idx="45">
                  <c:v>0.19625024701571556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D-4E42-942C-19CEDA888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565824"/>
        <c:axId val="557567360"/>
      </c:lineChart>
      <c:scatterChart>
        <c:scatterStyle val="lineMarker"/>
        <c:varyColors val="0"/>
        <c:ser>
          <c:idx val="3"/>
          <c:order val="2"/>
          <c:tx>
            <c:v>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Charts_Support!$R$791:$S$791</c:f>
              <c:numCache>
                <c:formatCode>00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D-4E42-942C-19CEDA8885F6}"/>
            </c:ext>
          </c:extLst>
        </c:ser>
        <c:ser>
          <c:idx val="4"/>
          <c:order val="3"/>
          <c:tx>
            <c:v>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Charts_Support!$R$792:$S$792</c:f>
              <c:numCache>
                <c:formatCode>00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D-4E42-942C-19CEDA8885F6}"/>
            </c:ext>
          </c:extLst>
        </c:ser>
        <c:ser>
          <c:idx val="5"/>
          <c:order val="4"/>
          <c:tx>
            <c:v>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Charts_Support!$R$793:$S$793</c:f>
              <c:numCache>
                <c:formatCode>00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Charts_Support!$L$794:$M$794</c:f>
              <c:numCache>
                <c:formatCode>_(* #,##0_);_(* \(#,##0\);_(* "-"??_);_(@_)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D-4E42-942C-19CEDA888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75360"/>
        <c:axId val="558176896"/>
      </c:scatterChart>
      <c:catAx>
        <c:axId val="5575658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567360"/>
        <c:crossesAt val="1.8000000000000002E-2"/>
        <c:auto val="1"/>
        <c:lblAlgn val="ctr"/>
        <c:lblOffset val="100"/>
        <c:tickLblSkip val="2"/>
        <c:tickMarkSkip val="1"/>
        <c:noMultiLvlLbl val="0"/>
      </c:catAx>
      <c:valAx>
        <c:axId val="557567360"/>
        <c:scaling>
          <c:orientation val="minMax"/>
          <c:max val="1"/>
          <c:min val="-0.5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7565824"/>
        <c:crosses val="autoZero"/>
        <c:crossBetween val="midCat"/>
      </c:valAx>
      <c:valAx>
        <c:axId val="558175360"/>
        <c:scaling>
          <c:orientation val="minMax"/>
        </c:scaling>
        <c:delete val="1"/>
        <c:axPos val="b"/>
        <c:numFmt formatCode="00" sourceLinked="1"/>
        <c:majorTickMark val="out"/>
        <c:minorTickMark val="none"/>
        <c:tickLblPos val="nextTo"/>
        <c:crossAx val="558176896"/>
        <c:crosses val="autoZero"/>
        <c:crossBetween val="midCat"/>
      </c:valAx>
      <c:valAx>
        <c:axId val="558176896"/>
        <c:scaling>
          <c:orientation val="minMax"/>
          <c:max val="10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one"/>
        <c:spPr>
          <a:ln w="9525">
            <a:noFill/>
          </a:ln>
        </c:spPr>
        <c:crossAx val="558175360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22620099854279641"/>
          <c:y val="4.0230328676921275E-3"/>
          <c:w val="0.43486883370649559"/>
          <c:h val="0.1899362144508440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Charts_Support!$K$112:$AE$112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0.04</c:v>
                </c:pt>
                <c:pt idx="4">
                  <c:v>-4.0000000000000001E-3</c:v>
                </c:pt>
                <c:pt idx="5">
                  <c:v>4.3999999999999997E-2</c:v>
                </c:pt>
                <c:pt idx="6">
                  <c:v>5.8999999999999997E-2</c:v>
                </c:pt>
                <c:pt idx="7">
                  <c:v>3.1E-2</c:v>
                </c:pt>
                <c:pt idx="8">
                  <c:v>0.04</c:v>
                </c:pt>
                <c:pt idx="9">
                  <c:v>3.4000000000000002E-2</c:v>
                </c:pt>
                <c:pt idx="10">
                  <c:v>-0.23</c:v>
                </c:pt>
                <c:pt idx="11">
                  <c:v>0.34300000000000003</c:v>
                </c:pt>
                <c:pt idx="12">
                  <c:v>0.27128725947173421</c:v>
                </c:pt>
                <c:pt idx="13">
                  <c:v>0.15443653132781138</c:v>
                </c:pt>
                <c:pt idx="14">
                  <c:v>6.5306215313657767E-2</c:v>
                </c:pt>
                <c:pt idx="15">
                  <c:v>3.8466053076892298E-2</c:v>
                </c:pt>
                <c:pt idx="16">
                  <c:v>3.7499827374370118E-2</c:v>
                </c:pt>
                <c:pt idx="17">
                  <c:v>3.7499827374370125E-2</c:v>
                </c:pt>
                <c:pt idx="18">
                  <c:v>2.7899827374370113E-2</c:v>
                </c:pt>
                <c:pt idx="19">
                  <c:v>2.7899827374370113E-2</c:v>
                </c:pt>
                <c:pt idx="20">
                  <c:v>2.7899827374370113E-2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C-4ECE-A528-C288609886D0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Charts_Support!$K$111:$AE$111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0.04</c:v>
                </c:pt>
                <c:pt idx="4">
                  <c:v>-4.0000000000000001E-3</c:v>
                </c:pt>
                <c:pt idx="5">
                  <c:v>4.3999999999999997E-2</c:v>
                </c:pt>
                <c:pt idx="6">
                  <c:v>5.8999999999999997E-2</c:v>
                </c:pt>
                <c:pt idx="7">
                  <c:v>3.1E-2</c:v>
                </c:pt>
                <c:pt idx="8">
                  <c:v>0.04</c:v>
                </c:pt>
                <c:pt idx="9">
                  <c:v>3.4000000000000002E-2</c:v>
                </c:pt>
                <c:pt idx="10">
                  <c:v>-0.23</c:v>
                </c:pt>
                <c:pt idx="11">
                  <c:v>0.34300000000000003</c:v>
                </c:pt>
                <c:pt idx="12">
                  <c:v>0.27128725947173421</c:v>
                </c:pt>
                <c:pt idx="13">
                  <c:v>0.15443653132781138</c:v>
                </c:pt>
                <c:pt idx="14">
                  <c:v>7.3996813480194851E-2</c:v>
                </c:pt>
                <c:pt idx="15">
                  <c:v>5.2878074821984762E-2</c:v>
                </c:pt>
                <c:pt idx="16">
                  <c:v>5.1562262639758903E-2</c:v>
                </c:pt>
                <c:pt idx="17">
                  <c:v>5.156226263975891E-2</c:v>
                </c:pt>
                <c:pt idx="18">
                  <c:v>3.8362262639758914E-2</c:v>
                </c:pt>
                <c:pt idx="19">
                  <c:v>3.8362262639758907E-2</c:v>
                </c:pt>
                <c:pt idx="20">
                  <c:v>3.8362262639758907E-2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C-4ECE-A528-C28860988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19264"/>
        <c:axId val="558220800"/>
      </c:areaChart>
      <c:lineChart>
        <c:grouping val="standard"/>
        <c:varyColors val="0"/>
        <c:ser>
          <c:idx val="0"/>
          <c:order val="0"/>
          <c:tx>
            <c:strRef>
              <c:f>Charts_Support!$A$110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Charts_Support!$K$110:$AE$110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0.04</c:v>
                </c:pt>
                <c:pt idx="4">
                  <c:v>-4.0000000000000001E-3</c:v>
                </c:pt>
                <c:pt idx="5">
                  <c:v>4.3999999999999997E-2</c:v>
                </c:pt>
                <c:pt idx="6">
                  <c:v>5.8999999999999997E-2</c:v>
                </c:pt>
                <c:pt idx="7">
                  <c:v>3.1E-2</c:v>
                </c:pt>
                <c:pt idx="8">
                  <c:v>0.04</c:v>
                </c:pt>
                <c:pt idx="9">
                  <c:v>3.4000000000000002E-2</c:v>
                </c:pt>
                <c:pt idx="10">
                  <c:v>-0.23</c:v>
                </c:pt>
                <c:pt idx="11">
                  <c:v>0.34300000000000003</c:v>
                </c:pt>
                <c:pt idx="12">
                  <c:v>0.27128725947173421</c:v>
                </c:pt>
                <c:pt idx="13">
                  <c:v>0.15443653132781138</c:v>
                </c:pt>
                <c:pt idx="14">
                  <c:v>7.1081854772975919E-2</c:v>
                </c:pt>
                <c:pt idx="15">
                  <c:v>4.8074206670876696E-2</c:v>
                </c:pt>
                <c:pt idx="16">
                  <c:v>4.6874784217962644E-2</c:v>
                </c:pt>
                <c:pt idx="17">
                  <c:v>4.6874784217962644E-2</c:v>
                </c:pt>
                <c:pt idx="18">
                  <c:v>3.487478421796264E-2</c:v>
                </c:pt>
                <c:pt idx="19">
                  <c:v>3.487478421796264E-2</c:v>
                </c:pt>
                <c:pt idx="20">
                  <c:v>3.487478421796264E-2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3C-4ECE-A528-C288609886D0}"/>
            </c:ext>
          </c:extLst>
        </c:ser>
        <c:ser>
          <c:idx val="3"/>
          <c:order val="3"/>
          <c:tx>
            <c:strRef>
              <c:f>Charts_Support!$A$113</c:f>
              <c:strCache>
                <c:ptCount val="1"/>
                <c:pt idx="0">
                  <c:v>Mexico's Inflation</c:v>
                </c:pt>
              </c:strCache>
            </c:strRef>
          </c:tx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Charts_Support!$K$113:$AE$113</c:f>
              <c:numCache>
                <c:formatCode>0.0%</c:formatCode>
                <c:ptCount val="21"/>
                <c:pt idx="0">
                  <c:v>4.3999999999999997E-2</c:v>
                </c:pt>
                <c:pt idx="1">
                  <c:v>3.4000000000000002E-2</c:v>
                </c:pt>
                <c:pt idx="2">
                  <c:v>3.5682148898864119E-2</c:v>
                </c:pt>
                <c:pt idx="3">
                  <c:v>3.9741486095010048E-2</c:v>
                </c:pt>
                <c:pt idx="4">
                  <c:v>4.0812891473210433E-2</c:v>
                </c:pt>
                <c:pt idx="5">
                  <c:v>2.1307733773755944E-2</c:v>
                </c:pt>
                <c:pt idx="6">
                  <c:v>3.3602555060934236E-2</c:v>
                </c:pt>
                <c:pt idx="7">
                  <c:v>6.7731070524451598E-2</c:v>
                </c:pt>
                <c:pt idx="8">
                  <c:v>4.8305280499506775E-2</c:v>
                </c:pt>
                <c:pt idx="9">
                  <c:v>2.8285769753445988E-2</c:v>
                </c:pt>
                <c:pt idx="10">
                  <c:v>3.1500745747352177E-2</c:v>
                </c:pt>
                <c:pt idx="11">
                  <c:v>7.3551079426380284E-2</c:v>
                </c:pt>
                <c:pt idx="12">
                  <c:v>7.8170286766460872E-2</c:v>
                </c:pt>
                <c:pt idx="13">
                  <c:v>4.6608896408861566E-2</c:v>
                </c:pt>
                <c:pt idx="14">
                  <c:v>3.9895529877053804E-2</c:v>
                </c:pt>
                <c:pt idx="15">
                  <c:v>3.6874784217962642E-2</c:v>
                </c:pt>
                <c:pt idx="16">
                  <c:v>4.3866829932875023E-2</c:v>
                </c:pt>
                <c:pt idx="17">
                  <c:v>4.3866829932875023E-2</c:v>
                </c:pt>
                <c:pt idx="18">
                  <c:v>4.3866829932875023E-2</c:v>
                </c:pt>
                <c:pt idx="19">
                  <c:v>4.3866829932875023E-2</c:v>
                </c:pt>
                <c:pt idx="20">
                  <c:v>4.3866829932875023E-2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3C-4ECE-A528-C28860988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219264"/>
        <c:axId val="558220800"/>
      </c:lineChart>
      <c:catAx>
        <c:axId val="55821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22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220800"/>
        <c:scaling>
          <c:orientation val="minMax"/>
          <c:max val="0.2"/>
          <c:min val="-0.3000000000000000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21926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15278632414156376"/>
          <c:y val="2.6695038611465625E-2"/>
          <c:w val="0.36579355601002961"/>
          <c:h val="0.16884401724597586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Charts_Support!$K$117:$AE$117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0.21099999999999999</c:v>
                </c:pt>
                <c:pt idx="4">
                  <c:v>0.2</c:v>
                </c:pt>
                <c:pt idx="5">
                  <c:v>0.255</c:v>
                </c:pt>
                <c:pt idx="6">
                  <c:v>0.23499999999999999</c:v>
                </c:pt>
                <c:pt idx="7">
                  <c:v>0.19600000000000001</c:v>
                </c:pt>
                <c:pt idx="8">
                  <c:v>0.115</c:v>
                </c:pt>
                <c:pt idx="9">
                  <c:v>0.14599999999999999</c:v>
                </c:pt>
                <c:pt idx="10">
                  <c:v>-0.20100000000000001</c:v>
                </c:pt>
                <c:pt idx="11">
                  <c:v>0.63400000000000001</c:v>
                </c:pt>
                <c:pt idx="12">
                  <c:v>0.71179330784827166</c:v>
                </c:pt>
                <c:pt idx="13">
                  <c:v>0.43871130918072654</c:v>
                </c:pt>
                <c:pt idx="14">
                  <c:v>0.39270172196184605</c:v>
                </c:pt>
                <c:pt idx="15">
                  <c:v>0.18817245562685256</c:v>
                </c:pt>
                <c:pt idx="16">
                  <c:v>0.14221925248719891</c:v>
                </c:pt>
                <c:pt idx="17">
                  <c:v>0.11801101744473239</c:v>
                </c:pt>
                <c:pt idx="18">
                  <c:v>0.12471946926283814</c:v>
                </c:pt>
                <c:pt idx="19">
                  <c:v>0.12439647404914214</c:v>
                </c:pt>
                <c:pt idx="20">
                  <c:v>0.12405617881607967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B-4B93-9C12-C1C044A912D0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Charts_Support!$K$116:$AE$116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0.21099999999999999</c:v>
                </c:pt>
                <c:pt idx="4">
                  <c:v>0.2</c:v>
                </c:pt>
                <c:pt idx="5">
                  <c:v>0.255</c:v>
                </c:pt>
                <c:pt idx="6">
                  <c:v>0.23499999999999999</c:v>
                </c:pt>
                <c:pt idx="7">
                  <c:v>0.19600000000000001</c:v>
                </c:pt>
                <c:pt idx="8">
                  <c:v>0.115</c:v>
                </c:pt>
                <c:pt idx="9">
                  <c:v>0.14599999999999999</c:v>
                </c:pt>
                <c:pt idx="10">
                  <c:v>-0.20100000000000001</c:v>
                </c:pt>
                <c:pt idx="11">
                  <c:v>0.63400000000000001</c:v>
                </c:pt>
                <c:pt idx="12">
                  <c:v>0.71179330784827166</c:v>
                </c:pt>
                <c:pt idx="13">
                  <c:v>0.43871130918072654</c:v>
                </c:pt>
                <c:pt idx="14">
                  <c:v>0.46904155060734176</c:v>
                </c:pt>
                <c:pt idx="15">
                  <c:v>0.25126697073807602</c:v>
                </c:pt>
                <c:pt idx="16">
                  <c:v>0.19451790149807996</c:v>
                </c:pt>
                <c:pt idx="17">
                  <c:v>0.1614039466857527</c:v>
                </c:pt>
                <c:pt idx="18">
                  <c:v>0.15210717616548086</c:v>
                </c:pt>
                <c:pt idx="19">
                  <c:v>0.15129108021521781</c:v>
                </c:pt>
                <c:pt idx="20">
                  <c:v>0.15096184472840629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B-4B93-9C12-C1C044A91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33472"/>
        <c:axId val="558235008"/>
      </c:areaChart>
      <c:lineChart>
        <c:grouping val="standard"/>
        <c:varyColors val="0"/>
        <c:ser>
          <c:idx val="0"/>
          <c:order val="0"/>
          <c:tx>
            <c:strRef>
              <c:f>Charts_Support!$A$115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Charts_Support!$K$115:$AE$115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0.21099999999999999</c:v>
                </c:pt>
                <c:pt idx="4">
                  <c:v>0.2</c:v>
                </c:pt>
                <c:pt idx="5">
                  <c:v>0.255</c:v>
                </c:pt>
                <c:pt idx="6">
                  <c:v>0.23499999999999999</c:v>
                </c:pt>
                <c:pt idx="7">
                  <c:v>0.19600000000000001</c:v>
                </c:pt>
                <c:pt idx="8">
                  <c:v>0.115</c:v>
                </c:pt>
                <c:pt idx="9">
                  <c:v>0.14599999999999999</c:v>
                </c:pt>
                <c:pt idx="10">
                  <c:v>-0.20100000000000001</c:v>
                </c:pt>
                <c:pt idx="11">
                  <c:v>0.63400000000000001</c:v>
                </c:pt>
                <c:pt idx="12">
                  <c:v>0.71179330784827166</c:v>
                </c:pt>
                <c:pt idx="13">
                  <c:v>0.43871130918072654</c:v>
                </c:pt>
                <c:pt idx="14">
                  <c:v>0.44221681681804537</c:v>
                </c:pt>
                <c:pt idx="15">
                  <c:v>0.23042643509430136</c:v>
                </c:pt>
                <c:pt idx="16">
                  <c:v>0.17762072527362735</c:v>
                </c:pt>
                <c:pt idx="17">
                  <c:v>0.14733212978486515</c:v>
                </c:pt>
                <c:pt idx="18">
                  <c:v>0.13873805895278069</c:v>
                </c:pt>
                <c:pt idx="19">
                  <c:v>0.137921671300164</c:v>
                </c:pt>
                <c:pt idx="20">
                  <c:v>0.13758847609642097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B-4B93-9C12-C1C044A912D0}"/>
            </c:ext>
          </c:extLst>
        </c:ser>
        <c:ser>
          <c:idx val="3"/>
          <c:order val="3"/>
          <c:tx>
            <c:strRef>
              <c:f>Charts_Support!$A$120</c:f>
              <c:strCache>
                <c:ptCount val="1"/>
                <c:pt idx="0">
                  <c:v>Weighted average inflation in local currency</c:v>
                </c:pt>
              </c:strCache>
            </c:strRef>
          </c:tx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Charts_Support!$K$120:$AE$120</c:f>
              <c:numCache>
                <c:formatCode>0.0%</c:formatCode>
                <c:ptCount val="21"/>
                <c:pt idx="0">
                  <c:v>9.5468659555903085E-2</c:v>
                </c:pt>
                <c:pt idx="1">
                  <c:v>9.1332258144631973E-2</c:v>
                </c:pt>
                <c:pt idx="2">
                  <c:v>0.10553815261044178</c:v>
                </c:pt>
                <c:pt idx="3">
                  <c:v>0.1641254355400697</c:v>
                </c:pt>
                <c:pt idx="4">
                  <c:v>0.21407434402332362</c:v>
                </c:pt>
                <c:pt idx="5">
                  <c:v>0.1661126582278481</c:v>
                </c:pt>
                <c:pt idx="6">
                  <c:v>0.20412577962577963</c:v>
                </c:pt>
                <c:pt idx="7">
                  <c:v>0.12666666666666668</c:v>
                </c:pt>
                <c:pt idx="8">
                  <c:v>0.20664490445859873</c:v>
                </c:pt>
                <c:pt idx="9">
                  <c:v>1.3616999999999999</c:v>
                </c:pt>
                <c:pt idx="10">
                  <c:v>0.15491461997275427</c:v>
                </c:pt>
                <c:pt idx="11">
                  <c:v>0.22795090406981916</c:v>
                </c:pt>
                <c:pt idx="12">
                  <c:v>0.40457933744847319</c:v>
                </c:pt>
                <c:pt idx="13">
                  <c:v>0.72325144228756499</c:v>
                </c:pt>
                <c:pt idx="14">
                  <c:v>0.52173394380036509</c:v>
                </c:pt>
                <c:pt idx="15">
                  <c:v>0.1407749203523444</c:v>
                </c:pt>
                <c:pt idx="16">
                  <c:v>0.1407749203523444</c:v>
                </c:pt>
                <c:pt idx="17">
                  <c:v>0.1407749203523444</c:v>
                </c:pt>
                <c:pt idx="18">
                  <c:v>0.1407749203523444</c:v>
                </c:pt>
                <c:pt idx="19">
                  <c:v>0.1407749203523444</c:v>
                </c:pt>
                <c:pt idx="20">
                  <c:v>0.1407749203523444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B-4B93-9C12-C1C044A91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233472"/>
        <c:axId val="558235008"/>
      </c:lineChart>
      <c:catAx>
        <c:axId val="5582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23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235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23347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11101572695682861"/>
          <c:y val="2.6613839475937876E-2"/>
          <c:w val="0.58554626286212519"/>
          <c:h val="0.16389479919473926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Charts_Support!$K$124:$AE$124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6.5000000000000002E-2</c:v>
                </c:pt>
                <c:pt idx="5">
                  <c:v>7.1999999999999995E-2</c:v>
                </c:pt>
                <c:pt idx="6">
                  <c:v>4.2999999999999997E-2</c:v>
                </c:pt>
                <c:pt idx="7">
                  <c:v>2.3E-2</c:v>
                </c:pt>
                <c:pt idx="8">
                  <c:v>1.0999999999999999E-2</c:v>
                </c:pt>
                <c:pt idx="9">
                  <c:v>0.02</c:v>
                </c:pt>
                <c:pt idx="10">
                  <c:v>-0.24399999999999999</c:v>
                </c:pt>
                <c:pt idx="11">
                  <c:v>0.127</c:v>
                </c:pt>
                <c:pt idx="12">
                  <c:v>0.27673825991991263</c:v>
                </c:pt>
                <c:pt idx="13">
                  <c:v>9.8127100931812261E-2</c:v>
                </c:pt>
                <c:pt idx="14">
                  <c:v>4.1612101721427023E-3</c:v>
                </c:pt>
                <c:pt idx="15">
                  <c:v>1.7171506765586236E-2</c:v>
                </c:pt>
                <c:pt idx="16">
                  <c:v>1.6800000000000002E-2</c:v>
                </c:pt>
                <c:pt idx="17">
                  <c:v>1.6800000000000002E-2</c:v>
                </c:pt>
                <c:pt idx="18">
                  <c:v>1.5959999999999998E-2</c:v>
                </c:pt>
                <c:pt idx="19">
                  <c:v>1.5959999999999998E-2</c:v>
                </c:pt>
                <c:pt idx="20">
                  <c:v>1.5959999999999998E-2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E8-4168-B3E2-99B846EE0CA7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Charts_Support!$K$123:$AE$123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6.5000000000000002E-2</c:v>
                </c:pt>
                <c:pt idx="5">
                  <c:v>7.1999999999999995E-2</c:v>
                </c:pt>
                <c:pt idx="6">
                  <c:v>4.2999999999999997E-2</c:v>
                </c:pt>
                <c:pt idx="7">
                  <c:v>2.3E-2</c:v>
                </c:pt>
                <c:pt idx="8">
                  <c:v>1.0999999999999999E-2</c:v>
                </c:pt>
                <c:pt idx="9">
                  <c:v>0.02</c:v>
                </c:pt>
                <c:pt idx="10">
                  <c:v>-0.24399999999999999</c:v>
                </c:pt>
                <c:pt idx="11">
                  <c:v>0.127</c:v>
                </c:pt>
                <c:pt idx="12">
                  <c:v>0.27673825991991263</c:v>
                </c:pt>
                <c:pt idx="13">
                  <c:v>9.8127100931812261E-2</c:v>
                </c:pt>
                <c:pt idx="14">
                  <c:v>7.4554799977728497E-3</c:v>
                </c:pt>
                <c:pt idx="15">
                  <c:v>2.5755152032509943E-2</c:v>
                </c:pt>
                <c:pt idx="16">
                  <c:v>2.5199999999999997E-2</c:v>
                </c:pt>
                <c:pt idx="17">
                  <c:v>2.52E-2</c:v>
                </c:pt>
                <c:pt idx="18">
                  <c:v>2.1944999999999999E-2</c:v>
                </c:pt>
                <c:pt idx="19">
                  <c:v>2.1944999999999999E-2</c:v>
                </c:pt>
                <c:pt idx="20">
                  <c:v>2.1944999999999996E-2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E8-4168-B3E2-99B846EE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518272"/>
        <c:axId val="558519808"/>
      </c:areaChart>
      <c:lineChart>
        <c:grouping val="standard"/>
        <c:varyColors val="0"/>
        <c:ser>
          <c:idx val="0"/>
          <c:order val="0"/>
          <c:tx>
            <c:strRef>
              <c:f>Charts_Support!$A$122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Charts_Support!$K$122:$AE$122</c:f>
              <c:numCache>
                <c:formatCode>0.0%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6.5000000000000002E-2</c:v>
                </c:pt>
                <c:pt idx="5">
                  <c:v>7.1999999999999995E-2</c:v>
                </c:pt>
                <c:pt idx="6">
                  <c:v>4.2999999999999997E-2</c:v>
                </c:pt>
                <c:pt idx="7">
                  <c:v>2.3E-2</c:v>
                </c:pt>
                <c:pt idx="8">
                  <c:v>1.0999999999999999E-2</c:v>
                </c:pt>
                <c:pt idx="9">
                  <c:v>0.02</c:v>
                </c:pt>
                <c:pt idx="10">
                  <c:v>-0.24399999999999999</c:v>
                </c:pt>
                <c:pt idx="11">
                  <c:v>0.127</c:v>
                </c:pt>
                <c:pt idx="12">
                  <c:v>0.27673825991991263</c:v>
                </c:pt>
                <c:pt idx="13">
                  <c:v>9.8127100931812261E-2</c:v>
                </c:pt>
                <c:pt idx="14">
                  <c:v>5.8095695062160566E-3</c:v>
                </c:pt>
                <c:pt idx="15">
                  <c:v>2.1463272532592469E-2</c:v>
                </c:pt>
                <c:pt idx="16">
                  <c:v>2.1000000000000005E-2</c:v>
                </c:pt>
                <c:pt idx="17">
                  <c:v>2.1000000000000001E-2</c:v>
                </c:pt>
                <c:pt idx="18">
                  <c:v>1.9949999999999999E-2</c:v>
                </c:pt>
                <c:pt idx="19">
                  <c:v>1.9949999999999999E-2</c:v>
                </c:pt>
                <c:pt idx="20">
                  <c:v>1.9949999999999999E-2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8-4168-B3E2-99B846EE0CA7}"/>
            </c:ext>
          </c:extLst>
        </c:ser>
        <c:ser>
          <c:idx val="3"/>
          <c:order val="3"/>
          <c:tx>
            <c:strRef>
              <c:f>Charts_Support!$A$125</c:f>
              <c:strCache>
                <c:ptCount val="1"/>
                <c:pt idx="0">
                  <c:v>EU's Inflation</c:v>
                </c:pt>
              </c:strCache>
            </c:strRef>
          </c:tx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Charts_Support!$K$125:$AE$125</c:f>
              <c:numCache>
                <c:formatCode>0.0%</c:formatCode>
                <c:ptCount val="21"/>
                <c:pt idx="0">
                  <c:v>1.6140950445665547E-2</c:v>
                </c:pt>
                <c:pt idx="1">
                  <c:v>2.7239328864144374E-2</c:v>
                </c:pt>
                <c:pt idx="2">
                  <c:v>2.4983224074743404E-2</c:v>
                </c:pt>
                <c:pt idx="3">
                  <c:v>1.346772278937225E-2</c:v>
                </c:pt>
                <c:pt idx="4">
                  <c:v>4.3302028096627865E-3</c:v>
                </c:pt>
                <c:pt idx="5">
                  <c:v>0</c:v>
                </c:pt>
                <c:pt idx="6">
                  <c:v>2E-3</c:v>
                </c:pt>
                <c:pt idx="7">
                  <c:v>1.4999999999999999E-2</c:v>
                </c:pt>
                <c:pt idx="8">
                  <c:v>1.7999999999999999E-2</c:v>
                </c:pt>
                <c:pt idx="9">
                  <c:v>1.2E-2</c:v>
                </c:pt>
                <c:pt idx="10">
                  <c:v>3.0000000000000001E-3</c:v>
                </c:pt>
                <c:pt idx="11">
                  <c:v>2.5999999999999999E-2</c:v>
                </c:pt>
                <c:pt idx="12">
                  <c:v>8.4000000000000005E-2</c:v>
                </c:pt>
                <c:pt idx="13">
                  <c:v>5.5E-2</c:v>
                </c:pt>
                <c:pt idx="14">
                  <c:v>2.4E-2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8-4168-B3E2-99B846EE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18272"/>
        <c:axId val="558519808"/>
      </c:lineChart>
      <c:catAx>
        <c:axId val="55851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51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519808"/>
        <c:scaling>
          <c:orientation val="minMax"/>
          <c:max val="0.2"/>
          <c:min val="-0.3000000000000000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51827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18699485451981515"/>
          <c:y val="2.6669615957530212E-2"/>
          <c:w val="0.41112266735661457"/>
          <c:h val="0.22646738886960027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7.1661351761871064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Charts_Support!$B$293:$AE$293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9480.3383106143247</c:v>
                </c:pt>
                <c:pt idx="24">
                  <c:v>13038.383560000362</c:v>
                </c:pt>
                <c:pt idx="25">
                  <c:v>14531.614500268244</c:v>
                </c:pt>
                <c:pt idx="26">
                  <c:v>16178.499165046476</c:v>
                </c:pt>
                <c:pt idx="27">
                  <c:v>17551.691424887442</c:v>
                </c:pt>
                <c:pt idx="28">
                  <c:v>18975.952694132135</c:v>
                </c:pt>
                <c:pt idx="29">
                  <c:v>20599.116699276718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D-4C29-9339-E8E1E2669BFB}"/>
            </c:ext>
          </c:extLst>
        </c:ser>
        <c:ser>
          <c:idx val="2"/>
          <c:order val="2"/>
          <c:tx>
            <c:strRef>
              <c:f>Charts_Support!$A$294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Charts_Support!$B$294:$AE$294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8683.2629602539855</c:v>
                </c:pt>
                <c:pt idx="24">
                  <c:v>11262.414983510953</c:v>
                </c:pt>
                <c:pt idx="25">
                  <c:v>12295.137684298537</c:v>
                </c:pt>
                <c:pt idx="26">
                  <c:v>13526.349601935233</c:v>
                </c:pt>
                <c:pt idx="27">
                  <c:v>14218.995134775021</c:v>
                </c:pt>
                <c:pt idx="28">
                  <c:v>15153.850204052929</c:v>
                </c:pt>
                <c:pt idx="29">
                  <c:v>16315.438882107877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D-4C29-9339-E8E1E2669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581632"/>
        <c:axId val="558583168"/>
      </c:areaChart>
      <c:lineChart>
        <c:grouping val="standard"/>
        <c:varyColors val="0"/>
        <c:ser>
          <c:idx val="0"/>
          <c:order val="0"/>
          <c:tx>
            <c:strRef>
              <c:f>Charts_Support!$A$291</c:f>
              <c:strCache>
                <c:ptCount val="1"/>
                <c:pt idx="0">
                  <c:v>Operating CF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Charts_Support!$B$292:$AE$292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9253.208848068316</c:v>
                </c:pt>
                <c:pt idx="24">
                  <c:v>12578.060624208831</c:v>
                </c:pt>
                <c:pt idx="25">
                  <c:v>13926.619289114504</c:v>
                </c:pt>
                <c:pt idx="26">
                  <c:v>15427.190160930029</c:v>
                </c:pt>
                <c:pt idx="27">
                  <c:v>16543.193153049982</c:v>
                </c:pt>
                <c:pt idx="28">
                  <c:v>17941.187860616308</c:v>
                </c:pt>
                <c:pt idx="29">
                  <c:v>19404.342829557107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D-4C29-9339-E8E1E2669BFB}"/>
            </c:ext>
          </c:extLst>
        </c:ser>
        <c:ser>
          <c:idx val="4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D-4C29-9339-E8E1E2669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1632"/>
        <c:axId val="558583168"/>
      </c:lineChart>
      <c:catAx>
        <c:axId val="55858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583168"/>
        <c:crossesAt val="-5000"/>
        <c:auto val="1"/>
        <c:lblAlgn val="ctr"/>
        <c:lblOffset val="100"/>
        <c:tickLblSkip val="1"/>
        <c:tickMarkSkip val="1"/>
        <c:noMultiLvlLbl val="0"/>
      </c:catAx>
      <c:valAx>
        <c:axId val="558583168"/>
        <c:scaling>
          <c:orientation val="minMax"/>
          <c:min val="-5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608321333374184"/>
              <c:y val="5.36418160495895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5816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5755612211105222"/>
          <c:y val="0.2455659527550223"/>
          <c:w val="0.28107509208194337"/>
          <c:h val="0.1990022982573458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Charts_Support!$K$58:$AE$58</c:f>
              <c:numCache>
                <c:formatCode>0.0%</c:formatCode>
                <c:ptCount val="21"/>
                <c:pt idx="0">
                  <c:v>4.5924686165181861E-2</c:v>
                </c:pt>
                <c:pt idx="1">
                  <c:v>0.19095646132468769</c:v>
                </c:pt>
                <c:pt idx="2">
                  <c:v>0.26391884675591193</c:v>
                </c:pt>
                <c:pt idx="3">
                  <c:v>0.16222122793920168</c:v>
                </c:pt>
                <c:pt idx="4">
                  <c:v>0.4510749767782869</c:v>
                </c:pt>
                <c:pt idx="5">
                  <c:v>0.41614100368614304</c:v>
                </c:pt>
                <c:pt idx="6">
                  <c:v>0.16766067763829295</c:v>
                </c:pt>
                <c:pt idx="7">
                  <c:v>0.12803753193442646</c:v>
                </c:pt>
                <c:pt idx="8">
                  <c:v>8.5293791987847589E-2</c:v>
                </c:pt>
                <c:pt idx="9">
                  <c:v>0.25994181416040885</c:v>
                </c:pt>
                <c:pt idx="10">
                  <c:v>-0.3380505338707489</c:v>
                </c:pt>
                <c:pt idx="11">
                  <c:v>0.38664470699747411</c:v>
                </c:pt>
                <c:pt idx="12">
                  <c:v>0.28947151947127847</c:v>
                </c:pt>
                <c:pt idx="13">
                  <c:v>0.10750548751037026</c:v>
                </c:pt>
                <c:pt idx="14">
                  <c:v>3.0407365200435299E-2</c:v>
                </c:pt>
                <c:pt idx="15">
                  <c:v>9.4870052898210711E-2</c:v>
                </c:pt>
                <c:pt idx="16">
                  <c:v>6.8150856939880988E-2</c:v>
                </c:pt>
                <c:pt idx="17">
                  <c:v>5.9008003389147134E-2</c:v>
                </c:pt>
                <c:pt idx="18">
                  <c:v>5.2705427342806255E-2</c:v>
                </c:pt>
                <c:pt idx="19">
                  <c:v>5.2463574012542091E-2</c:v>
                </c:pt>
                <c:pt idx="20">
                  <c:v>5.1148145870083539E-2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A-44DC-8A01-EBEC29825638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Charts_Support!$K$57:$AE$57</c:f>
              <c:numCache>
                <c:formatCode>0.0%</c:formatCode>
                <c:ptCount val="21"/>
                <c:pt idx="0">
                  <c:v>4.5924686165181861E-2</c:v>
                </c:pt>
                <c:pt idx="1">
                  <c:v>0.19095646132468769</c:v>
                </c:pt>
                <c:pt idx="2">
                  <c:v>0.26391884675591193</c:v>
                </c:pt>
                <c:pt idx="3">
                  <c:v>0.16222122793920168</c:v>
                </c:pt>
                <c:pt idx="4">
                  <c:v>0.4510749767782869</c:v>
                </c:pt>
                <c:pt idx="5">
                  <c:v>0.41614100368614304</c:v>
                </c:pt>
                <c:pt idx="6">
                  <c:v>0.16766067763829295</c:v>
                </c:pt>
                <c:pt idx="7">
                  <c:v>0.12803753193442646</c:v>
                </c:pt>
                <c:pt idx="8">
                  <c:v>8.5293791987847589E-2</c:v>
                </c:pt>
                <c:pt idx="9">
                  <c:v>0.25994181416040885</c:v>
                </c:pt>
                <c:pt idx="10">
                  <c:v>-0.3380505338707489</c:v>
                </c:pt>
                <c:pt idx="11">
                  <c:v>0.38664470699747411</c:v>
                </c:pt>
                <c:pt idx="12">
                  <c:v>0.28947151947127847</c:v>
                </c:pt>
                <c:pt idx="13">
                  <c:v>0.10750548751037026</c:v>
                </c:pt>
                <c:pt idx="14">
                  <c:v>5.1043120746905535E-2</c:v>
                </c:pt>
                <c:pt idx="15">
                  <c:v>0.12050343710670952</c:v>
                </c:pt>
                <c:pt idx="16">
                  <c:v>9.0184936469138721E-2</c:v>
                </c:pt>
                <c:pt idx="17">
                  <c:v>7.7900774701539222E-2</c:v>
                </c:pt>
                <c:pt idx="18">
                  <c:v>6.6077346161356632E-2</c:v>
                </c:pt>
                <c:pt idx="19">
                  <c:v>6.5476195925337377E-2</c:v>
                </c:pt>
                <c:pt idx="20">
                  <c:v>6.3930009592164883E-2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A-44DC-8A01-EBEC2982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656896"/>
        <c:axId val="558658688"/>
      </c:areaChart>
      <c:lineChart>
        <c:grouping val="standard"/>
        <c:varyColors val="0"/>
        <c:ser>
          <c:idx val="0"/>
          <c:order val="0"/>
          <c:tx>
            <c:strRef>
              <c:f>Charts_Support!$A$56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Charts_Support!$K$56:$AE$56</c:f>
              <c:numCache>
                <c:formatCode>0.0%</c:formatCode>
                <c:ptCount val="21"/>
                <c:pt idx="0">
                  <c:v>4.5924686165181861E-2</c:v>
                </c:pt>
                <c:pt idx="1">
                  <c:v>0.19095646132468769</c:v>
                </c:pt>
                <c:pt idx="2">
                  <c:v>0.26391884675591193</c:v>
                </c:pt>
                <c:pt idx="3">
                  <c:v>0.16222122793920168</c:v>
                </c:pt>
                <c:pt idx="4">
                  <c:v>0.4510749767782869</c:v>
                </c:pt>
                <c:pt idx="5">
                  <c:v>0.41614100368614304</c:v>
                </c:pt>
                <c:pt idx="6">
                  <c:v>0.16766067763829295</c:v>
                </c:pt>
                <c:pt idx="7">
                  <c:v>0.12803753193442646</c:v>
                </c:pt>
                <c:pt idx="8">
                  <c:v>8.5293791987847589E-2</c:v>
                </c:pt>
                <c:pt idx="9">
                  <c:v>0.25994181416040885</c:v>
                </c:pt>
                <c:pt idx="10">
                  <c:v>-0.3380505338707489</c:v>
                </c:pt>
                <c:pt idx="11">
                  <c:v>0.38664470699747411</c:v>
                </c:pt>
                <c:pt idx="12">
                  <c:v>0.28947151947127847</c:v>
                </c:pt>
                <c:pt idx="13">
                  <c:v>0.10750548751037026</c:v>
                </c:pt>
                <c:pt idx="14">
                  <c:v>4.4249525445763771E-2</c:v>
                </c:pt>
                <c:pt idx="15">
                  <c:v>0.11306324553984148</c:v>
                </c:pt>
                <c:pt idx="16">
                  <c:v>8.3987732843376461E-2</c:v>
                </c:pt>
                <c:pt idx="17">
                  <c:v>7.2375352051224695E-2</c:v>
                </c:pt>
                <c:pt idx="18">
                  <c:v>6.206485406700768E-2</c:v>
                </c:pt>
                <c:pt idx="19">
                  <c:v>6.1547535212866933E-2</c:v>
                </c:pt>
                <c:pt idx="20">
                  <c:v>6.0069677366916707E-2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AA-44DC-8A01-EBEC2982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656896"/>
        <c:axId val="558658688"/>
      </c:lineChart>
      <c:catAx>
        <c:axId val="55865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658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658688"/>
        <c:scaling>
          <c:orientation val="minMax"/>
          <c:max val="0.60000000000000009"/>
          <c:min val="-0.2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65689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867714472822"/>
          <c:y val="7.918567871323777E-2"/>
          <c:w val="0.8434839554682384"/>
          <c:h val="0.74258698431926773"/>
        </c:manualLayout>
      </c:layout>
      <c:areaChart>
        <c:grouping val="standard"/>
        <c:varyColors val="0"/>
        <c:ser>
          <c:idx val="2"/>
          <c:order val="1"/>
          <c:tx>
            <c:strRef>
              <c:f>Charts_Support!$A$319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Charts_Support!$K$319:$AE$319</c:f>
              <c:numCache>
                <c:formatCode>#,##0_);\(#,##0\)</c:formatCode>
                <c:ptCount val="21"/>
                <c:pt idx="0">
                  <c:v>-77.469000000000008</c:v>
                </c:pt>
                <c:pt idx="1">
                  <c:v>22.838999999999942</c:v>
                </c:pt>
                <c:pt idx="2">
                  <c:v>-349.32</c:v>
                </c:pt>
                <c:pt idx="3">
                  <c:v>-290.34099999999995</c:v>
                </c:pt>
                <c:pt idx="4">
                  <c:v>71.646000000000043</c:v>
                </c:pt>
                <c:pt idx="5">
                  <c:v>-128.899</c:v>
                </c:pt>
                <c:pt idx="6">
                  <c:v>1044.1950000000002</c:v>
                </c:pt>
                <c:pt idx="7">
                  <c:v>-371.01099999999997</c:v>
                </c:pt>
                <c:pt idx="8">
                  <c:v>843.87400000000002</c:v>
                </c:pt>
                <c:pt idx="9">
                  <c:v>347.36900000000003</c:v>
                </c:pt>
                <c:pt idx="10">
                  <c:v>-1772.485999999999</c:v>
                </c:pt>
                <c:pt idx="11">
                  <c:v>2483.4550000000013</c:v>
                </c:pt>
                <c:pt idx="12">
                  <c:v>1631.2390000000016</c:v>
                </c:pt>
                <c:pt idx="13">
                  <c:v>443.18800000000329</c:v>
                </c:pt>
                <c:pt idx="14">
                  <c:v>-798.33017098079961</c:v>
                </c:pt>
                <c:pt idx="15">
                  <c:v>535.67677535936718</c:v>
                </c:pt>
                <c:pt idx="16">
                  <c:v>465.76018732989814</c:v>
                </c:pt>
                <c:pt idx="17">
                  <c:v>459.60016367353319</c:v>
                </c:pt>
                <c:pt idx="18">
                  <c:v>596.36927271044487</c:v>
                </c:pt>
                <c:pt idx="19">
                  <c:v>436.8450266316845</c:v>
                </c:pt>
                <c:pt idx="20">
                  <c:v>441.27292843636133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F-4F15-8FFE-1333D466B293}"/>
            </c:ext>
          </c:extLst>
        </c:ser>
        <c:ser>
          <c:idx val="1"/>
          <c:order val="2"/>
          <c:tx>
            <c:v>Bull</c:v>
          </c:tx>
          <c:spPr>
            <a:solidFill>
              <a:schemeClr val="bg1"/>
            </a:solidFill>
            <a:ln>
              <a:noFill/>
            </a:ln>
          </c:spP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Charts_Support!$K$318:$AE$318</c:f>
              <c:numCache>
                <c:formatCode>#,##0_);\(#,##0\)</c:formatCode>
                <c:ptCount val="21"/>
                <c:pt idx="0">
                  <c:v>-77.469000000000008</c:v>
                </c:pt>
                <c:pt idx="1">
                  <c:v>22.838999999999942</c:v>
                </c:pt>
                <c:pt idx="2">
                  <c:v>-349.32</c:v>
                </c:pt>
                <c:pt idx="3">
                  <c:v>-290.34099999999995</c:v>
                </c:pt>
                <c:pt idx="4">
                  <c:v>71.646000000000043</c:v>
                </c:pt>
                <c:pt idx="5">
                  <c:v>-128.899</c:v>
                </c:pt>
                <c:pt idx="6">
                  <c:v>1044.1950000000002</c:v>
                </c:pt>
                <c:pt idx="7">
                  <c:v>-371.01099999999997</c:v>
                </c:pt>
                <c:pt idx="8">
                  <c:v>843.87400000000002</c:v>
                </c:pt>
                <c:pt idx="9">
                  <c:v>347.36900000000003</c:v>
                </c:pt>
                <c:pt idx="10">
                  <c:v>-1772.485999999999</c:v>
                </c:pt>
                <c:pt idx="11">
                  <c:v>2483.4550000000013</c:v>
                </c:pt>
                <c:pt idx="12">
                  <c:v>1631.2390000000016</c:v>
                </c:pt>
                <c:pt idx="13">
                  <c:v>443.18800000000329</c:v>
                </c:pt>
                <c:pt idx="14">
                  <c:v>-734.24809137255431</c:v>
                </c:pt>
                <c:pt idx="15">
                  <c:v>674.6335650040005</c:v>
                </c:pt>
                <c:pt idx="16">
                  <c:v>621.66246352631197</c:v>
                </c:pt>
                <c:pt idx="17">
                  <c:v>617.57000948664336</c:v>
                </c:pt>
                <c:pt idx="18">
                  <c:v>666.65249986869867</c:v>
                </c:pt>
                <c:pt idx="19">
                  <c:v>577.68070546453646</c:v>
                </c:pt>
                <c:pt idx="20">
                  <c:v>593.71810385417302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F-4F15-8FFE-1333D466B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09760"/>
        <c:axId val="558744320"/>
      </c:areaChart>
      <c:lineChart>
        <c:grouping val="standard"/>
        <c:varyColors val="0"/>
        <c:ser>
          <c:idx val="0"/>
          <c:order val="0"/>
          <c:tx>
            <c:strRef>
              <c:f>Charts_Support!$A$317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Charts_Support!$K$262:$AE$262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Charts_Support!$K$317:$AE$317</c:f>
              <c:numCache>
                <c:formatCode>#,##0_);\(#,##0\)</c:formatCode>
                <c:ptCount val="21"/>
                <c:pt idx="0">
                  <c:v>-77.469000000000008</c:v>
                </c:pt>
                <c:pt idx="1">
                  <c:v>22.838999999999942</c:v>
                </c:pt>
                <c:pt idx="2">
                  <c:v>-349.32</c:v>
                </c:pt>
                <c:pt idx="3">
                  <c:v>-290.34099999999995</c:v>
                </c:pt>
                <c:pt idx="4">
                  <c:v>71.646000000000043</c:v>
                </c:pt>
                <c:pt idx="5">
                  <c:v>-128.899</c:v>
                </c:pt>
                <c:pt idx="6">
                  <c:v>1044.1950000000002</c:v>
                </c:pt>
                <c:pt idx="7">
                  <c:v>-371.01099999999997</c:v>
                </c:pt>
                <c:pt idx="8">
                  <c:v>843.87400000000002</c:v>
                </c:pt>
                <c:pt idx="9">
                  <c:v>347.36900000000003</c:v>
                </c:pt>
                <c:pt idx="10">
                  <c:v>-1772.485999999999</c:v>
                </c:pt>
                <c:pt idx="11">
                  <c:v>2483.4550000000013</c:v>
                </c:pt>
                <c:pt idx="12">
                  <c:v>1631.2390000000016</c:v>
                </c:pt>
                <c:pt idx="13">
                  <c:v>443.18800000000329</c:v>
                </c:pt>
                <c:pt idx="14">
                  <c:v>-773.58491165174962</c:v>
                </c:pt>
                <c:pt idx="15">
                  <c:v>634.66077947221629</c:v>
                </c:pt>
                <c:pt idx="16">
                  <c:v>574.55869989775329</c:v>
                </c:pt>
                <c:pt idx="17">
                  <c:v>568.13509567178198</c:v>
                </c:pt>
                <c:pt idx="18">
                  <c:v>497.36481170680008</c:v>
                </c:pt>
                <c:pt idx="19">
                  <c:v>524.39497044962081</c:v>
                </c:pt>
                <c:pt idx="20">
                  <c:v>536.46152748542272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EF-4F15-8FFE-1333D466B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09760"/>
        <c:axId val="558744320"/>
      </c:lineChart>
      <c:catAx>
        <c:axId val="55870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744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7443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70976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12560386473432E-2"/>
          <c:y val="3.5553403066061091E-2"/>
          <c:w val="0.93357487922705318"/>
          <c:h val="0.69406331655161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Charts_Support!$A$853</c:f>
              <c:strCache>
                <c:ptCount val="1"/>
                <c:pt idx="0">
                  <c:v>Corporate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Charts_Support!$B$853:$J$853</c:f>
              <c:numCache>
                <c:formatCode>#,##0_);\(#,##0\)</c:formatCode>
                <c:ptCount val="9"/>
                <c:pt idx="0">
                  <c:v>2716</c:v>
                </c:pt>
                <c:pt idx="1">
                  <c:v>2921</c:v>
                </c:pt>
                <c:pt idx="2">
                  <c:v>3116</c:v>
                </c:pt>
                <c:pt idx="3">
                  <c:v>3312</c:v>
                </c:pt>
                <c:pt idx="4">
                  <c:v>3508</c:v>
                </c:pt>
                <c:pt idx="5">
                  <c:v>3704</c:v>
                </c:pt>
                <c:pt idx="6">
                  <c:v>3900</c:v>
                </c:pt>
                <c:pt idx="7">
                  <c:v>4038</c:v>
                </c:pt>
                <c:pt idx="8">
                  <c:v>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7-40E3-81BF-E63F6B69FA75}"/>
            </c:ext>
          </c:extLst>
        </c:ser>
        <c:ser>
          <c:idx val="1"/>
          <c:order val="1"/>
          <c:tx>
            <c:strRef>
              <c:f>Charts_Support!$A$854</c:f>
              <c:strCache>
                <c:ptCount val="1"/>
                <c:pt idx="0">
                  <c:v>Sub-franchisee Stores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Charts_Support!$B$854:$J$854</c:f>
              <c:numCache>
                <c:formatCode>#,##0_);\(#,##0\)</c:formatCode>
                <c:ptCount val="9"/>
                <c:pt idx="0">
                  <c:v>722</c:v>
                </c:pt>
                <c:pt idx="1">
                  <c:v>777</c:v>
                </c:pt>
                <c:pt idx="2">
                  <c:v>833</c:v>
                </c:pt>
                <c:pt idx="3">
                  <c:v>891</c:v>
                </c:pt>
                <c:pt idx="4">
                  <c:v>949</c:v>
                </c:pt>
                <c:pt idx="5">
                  <c:v>1007</c:v>
                </c:pt>
                <c:pt idx="6">
                  <c:v>1065</c:v>
                </c:pt>
                <c:pt idx="7">
                  <c:v>1106</c:v>
                </c:pt>
                <c:pt idx="8">
                  <c:v>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7-40E3-81BF-E63F6B69F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8765184"/>
        <c:axId val="558766720"/>
      </c:barChart>
      <c:lineChart>
        <c:grouping val="standard"/>
        <c:varyColors val="0"/>
        <c:ser>
          <c:idx val="4"/>
          <c:order val="2"/>
          <c:tx>
            <c:strRef>
              <c:f>Charts_Support!$A$855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Charts_Support!$B$852:$J$852</c:f>
              <c:numCache>
                <c:formatCode>General</c:formatCode>
                <c:ptCount val="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Charts_Support!$B$855:$J$855</c:f>
              <c:numCache>
                <c:formatCode>#,##0_);\(#,##0\)</c:formatCode>
                <c:ptCount val="9"/>
                <c:pt idx="0">
                  <c:v>3438</c:v>
                </c:pt>
                <c:pt idx="1">
                  <c:v>3698</c:v>
                </c:pt>
                <c:pt idx="2">
                  <c:v>3949</c:v>
                </c:pt>
                <c:pt idx="3">
                  <c:v>4203</c:v>
                </c:pt>
                <c:pt idx="4">
                  <c:v>4457</c:v>
                </c:pt>
                <c:pt idx="5">
                  <c:v>4711</c:v>
                </c:pt>
                <c:pt idx="6">
                  <c:v>4965</c:v>
                </c:pt>
                <c:pt idx="7">
                  <c:v>5144</c:v>
                </c:pt>
                <c:pt idx="8">
                  <c:v>5268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E7-40E3-81BF-E63F6B69F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65184"/>
        <c:axId val="558766720"/>
      </c:lineChart>
      <c:catAx>
        <c:axId val="55876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58766720"/>
        <c:crosses val="autoZero"/>
        <c:auto val="1"/>
        <c:lblAlgn val="ctr"/>
        <c:lblOffset val="100"/>
        <c:noMultiLvlLbl val="0"/>
      </c:catAx>
      <c:valAx>
        <c:axId val="558766720"/>
        <c:scaling>
          <c:orientation val="minMax"/>
        </c:scaling>
        <c:delete val="1"/>
        <c:axPos val="l"/>
        <c:numFmt formatCode="#,##0_);\(#,##0\)" sourceLinked="1"/>
        <c:majorTickMark val="out"/>
        <c:minorTickMark val="none"/>
        <c:tickLblPos val="nextTo"/>
        <c:crossAx val="558765184"/>
        <c:crosses val="autoZero"/>
        <c:crossBetween val="between"/>
      </c:valAx>
    </c:plotArea>
    <c:legend>
      <c:legendPos val="b"/>
      <c:legendEntry>
        <c:idx val="2"/>
        <c:delete val="1"/>
      </c:legendEntry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Charts_Support!$O$220:$AE$220</c:f>
              <c:numCache>
                <c:formatCode>#,##0_);\(#,##0\)</c:formatCode>
                <c:ptCount val="17"/>
                <c:pt idx="0">
                  <c:v>4019</c:v>
                </c:pt>
                <c:pt idx="1">
                  <c:v>4675</c:v>
                </c:pt>
                <c:pt idx="2">
                  <c:v>5215</c:v>
                </c:pt>
                <c:pt idx="3">
                  <c:v>5608</c:v>
                </c:pt>
                <c:pt idx="4">
                  <c:v>5901</c:v>
                </c:pt>
                <c:pt idx="5">
                  <c:v>6200</c:v>
                </c:pt>
                <c:pt idx="6">
                  <c:v>2867</c:v>
                </c:pt>
                <c:pt idx="7">
                  <c:v>5951</c:v>
                </c:pt>
                <c:pt idx="8">
                  <c:v>7567</c:v>
                </c:pt>
                <c:pt idx="9">
                  <c:v>9005</c:v>
                </c:pt>
                <c:pt idx="10">
                  <c:v>10373.045949291278</c:v>
                </c:pt>
                <c:pt idx="11">
                  <c:v>11218.978322246139</c:v>
                </c:pt>
                <c:pt idx="12">
                  <c:v>12114.929600251369</c:v>
                </c:pt>
                <c:pt idx="13">
                  <c:v>13017.043292589549</c:v>
                </c:pt>
                <c:pt idx="14">
                  <c:v>13777.196519839732</c:v>
                </c:pt>
                <c:pt idx="15">
                  <c:v>14575.247800070147</c:v>
                </c:pt>
                <c:pt idx="16">
                  <c:v>15397.131640054633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F-4B7A-890A-7F59D7F1D649}"/>
            </c:ext>
          </c:extLst>
        </c:ser>
        <c:ser>
          <c:idx val="2"/>
          <c:order val="2"/>
          <c:tx>
            <c:strRef>
              <c:f>Charts_Support!$A$221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Charts_Support!$O$221:$AE$221</c:f>
              <c:numCache>
                <c:formatCode>#,##0_);\(#,##0\)</c:formatCode>
                <c:ptCount val="17"/>
                <c:pt idx="0">
                  <c:v>4019</c:v>
                </c:pt>
                <c:pt idx="1">
                  <c:v>4675</c:v>
                </c:pt>
                <c:pt idx="2">
                  <c:v>5215</c:v>
                </c:pt>
                <c:pt idx="3">
                  <c:v>5608</c:v>
                </c:pt>
                <c:pt idx="4">
                  <c:v>5901</c:v>
                </c:pt>
                <c:pt idx="5">
                  <c:v>6200</c:v>
                </c:pt>
                <c:pt idx="6">
                  <c:v>2867</c:v>
                </c:pt>
                <c:pt idx="7">
                  <c:v>5951</c:v>
                </c:pt>
                <c:pt idx="8">
                  <c:v>7567</c:v>
                </c:pt>
                <c:pt idx="9">
                  <c:v>9005</c:v>
                </c:pt>
                <c:pt idx="10">
                  <c:v>10132.023750099506</c:v>
                </c:pt>
                <c:pt idx="11">
                  <c:v>10619.119697261831</c:v>
                </c:pt>
                <c:pt idx="12">
                  <c:v>11263.353681451592</c:v>
                </c:pt>
                <c:pt idx="13">
                  <c:v>11901.390263749405</c:v>
                </c:pt>
                <c:pt idx="14">
                  <c:v>12162.917468312797</c:v>
                </c:pt>
                <c:pt idx="15">
                  <c:v>12699.65216024129</c:v>
                </c:pt>
                <c:pt idx="16">
                  <c:v>13243.268736241422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F-4B7A-890A-7F59D7F1D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32640"/>
        <c:axId val="558838528"/>
      </c:areaChart>
      <c:lineChart>
        <c:grouping val="standard"/>
        <c:varyColors val="0"/>
        <c:ser>
          <c:idx val="0"/>
          <c:order val="0"/>
          <c:tx>
            <c:strRef>
              <c:f>Charts_Support!$A$219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Charts_Support!$O$219:$AE$219</c:f>
              <c:numCache>
                <c:formatCode>#,##0_);\(#,##0\)</c:formatCode>
                <c:ptCount val="17"/>
                <c:pt idx="0">
                  <c:v>4019</c:v>
                </c:pt>
                <c:pt idx="1">
                  <c:v>4675</c:v>
                </c:pt>
                <c:pt idx="2">
                  <c:v>5215</c:v>
                </c:pt>
                <c:pt idx="3">
                  <c:v>5608</c:v>
                </c:pt>
                <c:pt idx="4">
                  <c:v>5901</c:v>
                </c:pt>
                <c:pt idx="5">
                  <c:v>6200</c:v>
                </c:pt>
                <c:pt idx="6">
                  <c:v>2867</c:v>
                </c:pt>
                <c:pt idx="7">
                  <c:v>5951</c:v>
                </c:pt>
                <c:pt idx="8">
                  <c:v>7567</c:v>
                </c:pt>
                <c:pt idx="9">
                  <c:v>9005</c:v>
                </c:pt>
                <c:pt idx="10">
                  <c:v>10301.314301112398</c:v>
                </c:pt>
                <c:pt idx="11">
                  <c:v>11048.977753002166</c:v>
                </c:pt>
                <c:pt idx="12">
                  <c:v>11881.386195030213</c:v>
                </c:pt>
                <c:pt idx="13">
                  <c:v>12712.769677410242</c:v>
                </c:pt>
                <c:pt idx="14">
                  <c:v>13412.992439925425</c:v>
                </c:pt>
                <c:pt idx="15">
                  <c:v>14145.615937331679</c:v>
                </c:pt>
                <c:pt idx="16">
                  <c:v>14896.687975484305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DF-4B7A-890A-7F59D7F1D649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Charts_Support!$O$565:$AE$565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DF-4B7A-890A-7F59D7F1D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832640"/>
        <c:axId val="558838528"/>
      </c:lineChart>
      <c:catAx>
        <c:axId val="55883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838528"/>
        <c:crossesAt val="-2000"/>
        <c:auto val="1"/>
        <c:lblAlgn val="ctr"/>
        <c:lblOffset val="100"/>
        <c:tickLblSkip val="1"/>
        <c:tickMarkSkip val="1"/>
        <c:noMultiLvlLbl val="0"/>
      </c:catAx>
      <c:valAx>
        <c:axId val="5588385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8326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0205221891728623"/>
          <c:y val="4.8090036539550742E-3"/>
          <c:w val="0.19850914550078125"/>
          <c:h val="0.1342552824836289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Charts_Support!$O$230:$AE$230</c:f>
              <c:numCache>
                <c:formatCode>#,##0_);\(#,##0\)</c:formatCode>
                <c:ptCount val="17"/>
                <c:pt idx="0">
                  <c:v>679</c:v>
                </c:pt>
                <c:pt idx="1">
                  <c:v>1021</c:v>
                </c:pt>
                <c:pt idx="2">
                  <c:v>1227</c:v>
                </c:pt>
                <c:pt idx="3">
                  <c:v>1562</c:v>
                </c:pt>
                <c:pt idx="4">
                  <c:v>1408</c:v>
                </c:pt>
                <c:pt idx="5">
                  <c:v>1263</c:v>
                </c:pt>
                <c:pt idx="6">
                  <c:v>297</c:v>
                </c:pt>
                <c:pt idx="7">
                  <c:v>1258</c:v>
                </c:pt>
                <c:pt idx="8">
                  <c:v>1968</c:v>
                </c:pt>
                <c:pt idx="9">
                  <c:v>2211</c:v>
                </c:pt>
                <c:pt idx="10">
                  <c:v>1863.3511845056923</c:v>
                </c:pt>
                <c:pt idx="11">
                  <c:v>2201.562194435478</c:v>
                </c:pt>
                <c:pt idx="12">
                  <c:v>2429.0506208506504</c:v>
                </c:pt>
                <c:pt idx="13">
                  <c:v>2586.8759986446494</c:v>
                </c:pt>
                <c:pt idx="14">
                  <c:v>2659.799297425569</c:v>
                </c:pt>
                <c:pt idx="15">
                  <c:v>2806.3920725240182</c:v>
                </c:pt>
                <c:pt idx="16">
                  <c:v>2959.6575397762936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E-431A-A80A-CCAFBF07513D}"/>
            </c:ext>
          </c:extLst>
        </c:ser>
        <c:ser>
          <c:idx val="2"/>
          <c:order val="1"/>
          <c:tx>
            <c:strRef>
              <c:f>Charts_Support!$A$231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Charts_Support!$O$231:$AE$231</c:f>
              <c:numCache>
                <c:formatCode>#,##0_);\(#,##0\)</c:formatCode>
                <c:ptCount val="17"/>
                <c:pt idx="0">
                  <c:v>679</c:v>
                </c:pt>
                <c:pt idx="1">
                  <c:v>1021</c:v>
                </c:pt>
                <c:pt idx="2">
                  <c:v>1227</c:v>
                </c:pt>
                <c:pt idx="3">
                  <c:v>1562</c:v>
                </c:pt>
                <c:pt idx="4">
                  <c:v>1408</c:v>
                </c:pt>
                <c:pt idx="5">
                  <c:v>1263</c:v>
                </c:pt>
                <c:pt idx="6">
                  <c:v>297</c:v>
                </c:pt>
                <c:pt idx="7">
                  <c:v>1258</c:v>
                </c:pt>
                <c:pt idx="8">
                  <c:v>1968</c:v>
                </c:pt>
                <c:pt idx="9">
                  <c:v>2211</c:v>
                </c:pt>
                <c:pt idx="10">
                  <c:v>1639.6796454502253</c:v>
                </c:pt>
                <c:pt idx="11">
                  <c:v>1757.0739897976418</c:v>
                </c:pt>
                <c:pt idx="12">
                  <c:v>1847.9250699331251</c:v>
                </c:pt>
                <c:pt idx="13">
                  <c:v>1892.0566094950441</c:v>
                </c:pt>
                <c:pt idx="14">
                  <c:v>1950.2038603537776</c:v>
                </c:pt>
                <c:pt idx="15">
                  <c:v>2009.4580301518099</c:v>
                </c:pt>
                <c:pt idx="16">
                  <c:v>2069.774057094819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E-431A-A80A-CCAFBF075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76544"/>
        <c:axId val="558878080"/>
      </c:areaChart>
      <c:lineChart>
        <c:grouping val="standard"/>
        <c:varyColors val="0"/>
        <c:ser>
          <c:idx val="0"/>
          <c:order val="2"/>
          <c:tx>
            <c:strRef>
              <c:f>Charts_Support!$A$229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Charts_Support!$O$229:$AE$229</c:f>
              <c:numCache>
                <c:formatCode>#,##0_);\(#,##0\)</c:formatCode>
                <c:ptCount val="17"/>
                <c:pt idx="0">
                  <c:v>679</c:v>
                </c:pt>
                <c:pt idx="1">
                  <c:v>1021</c:v>
                </c:pt>
                <c:pt idx="2">
                  <c:v>1227</c:v>
                </c:pt>
                <c:pt idx="3">
                  <c:v>1562</c:v>
                </c:pt>
                <c:pt idx="4">
                  <c:v>1408</c:v>
                </c:pt>
                <c:pt idx="5">
                  <c:v>1263</c:v>
                </c:pt>
                <c:pt idx="6">
                  <c:v>297</c:v>
                </c:pt>
                <c:pt idx="7">
                  <c:v>1258</c:v>
                </c:pt>
                <c:pt idx="8">
                  <c:v>1968</c:v>
                </c:pt>
                <c:pt idx="9">
                  <c:v>2211</c:v>
                </c:pt>
                <c:pt idx="10">
                  <c:v>1776.3185900538731</c:v>
                </c:pt>
                <c:pt idx="11">
                  <c:v>2028.5291556667562</c:v>
                </c:pt>
                <c:pt idx="12">
                  <c:v>2207.1720108766503</c:v>
                </c:pt>
                <c:pt idx="13">
                  <c:v>2322.755027355101</c:v>
                </c:pt>
                <c:pt idx="14">
                  <c:v>2424.8801730773166</c:v>
                </c:pt>
                <c:pt idx="15">
                  <c:v>2529.3787151583501</c:v>
                </c:pt>
                <c:pt idx="16">
                  <c:v>2637.2195067039661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AE-431A-A80A-CCAFBF07513D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Charts_Support!$O$565:$Z$565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AE-431A-A80A-CCAFBF075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876544"/>
        <c:axId val="558878080"/>
      </c:lineChart>
      <c:catAx>
        <c:axId val="55887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878080"/>
        <c:crossesAt val="-1000"/>
        <c:auto val="1"/>
        <c:lblAlgn val="ctr"/>
        <c:lblOffset val="100"/>
        <c:tickLblSkip val="1"/>
        <c:tickMarkSkip val="1"/>
        <c:noMultiLvlLbl val="0"/>
      </c:catAx>
      <c:valAx>
        <c:axId val="55887808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5887654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3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Charts_Support!$O$240:$AE$240</c:f>
              <c:numCache>
                <c:formatCode>#,##0_);\(#,##0\)</c:formatCode>
                <c:ptCount val="17"/>
                <c:pt idx="0">
                  <c:v>290</c:v>
                </c:pt>
                <c:pt idx="1">
                  <c:v>1082</c:v>
                </c:pt>
                <c:pt idx="2">
                  <c:v>1500</c:v>
                </c:pt>
                <c:pt idx="3">
                  <c:v>1726</c:v>
                </c:pt>
                <c:pt idx="4">
                  <c:v>1916</c:v>
                </c:pt>
                <c:pt idx="5">
                  <c:v>3751</c:v>
                </c:pt>
                <c:pt idx="6">
                  <c:v>1187</c:v>
                </c:pt>
                <c:pt idx="7">
                  <c:v>3422</c:v>
                </c:pt>
                <c:pt idx="8">
                  <c:v>3224</c:v>
                </c:pt>
                <c:pt idx="9">
                  <c:v>3541</c:v>
                </c:pt>
                <c:pt idx="10">
                  <c:v>3592.9292534569786</c:v>
                </c:pt>
                <c:pt idx="11">
                  <c:v>4267.4335490212216</c:v>
                </c:pt>
                <c:pt idx="12">
                  <c:v>4733.0418962745898</c:v>
                </c:pt>
                <c:pt idx="13">
                  <c:v>5201.7980167400074</c:v>
                </c:pt>
                <c:pt idx="14">
                  <c:v>5606.9930855923576</c:v>
                </c:pt>
                <c:pt idx="15">
                  <c:v>6097.3028529218782</c:v>
                </c:pt>
                <c:pt idx="16">
                  <c:v>6614.7371633360353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9-4991-B6E5-7A42C2C176CA}"/>
            </c:ext>
          </c:extLst>
        </c:ser>
        <c:ser>
          <c:idx val="2"/>
          <c:order val="2"/>
          <c:tx>
            <c:strRef>
              <c:f>Charts_Support!$A$241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Charts_Support!$O$241:$AE$241</c:f>
              <c:numCache>
                <c:formatCode>#,##0_);\(#,##0\)</c:formatCode>
                <c:ptCount val="17"/>
                <c:pt idx="0">
                  <c:v>290</c:v>
                </c:pt>
                <c:pt idx="1">
                  <c:v>1082</c:v>
                </c:pt>
                <c:pt idx="2">
                  <c:v>1500</c:v>
                </c:pt>
                <c:pt idx="3">
                  <c:v>1726</c:v>
                </c:pt>
                <c:pt idx="4">
                  <c:v>1916</c:v>
                </c:pt>
                <c:pt idx="5">
                  <c:v>3751</c:v>
                </c:pt>
                <c:pt idx="6">
                  <c:v>1187</c:v>
                </c:pt>
                <c:pt idx="7">
                  <c:v>3422</c:v>
                </c:pt>
                <c:pt idx="8">
                  <c:v>3224</c:v>
                </c:pt>
                <c:pt idx="9">
                  <c:v>3541</c:v>
                </c:pt>
                <c:pt idx="10">
                  <c:v>3479.4100071203366</c:v>
                </c:pt>
                <c:pt idx="11">
                  <c:v>3986.7761517215631</c:v>
                </c:pt>
                <c:pt idx="12">
                  <c:v>4371.1994678118299</c:v>
                </c:pt>
                <c:pt idx="13">
                  <c:v>4750.872991666979</c:v>
                </c:pt>
                <c:pt idx="14">
                  <c:v>4882.1053921050388</c:v>
                </c:pt>
                <c:pt idx="15">
                  <c:v>5267.0792148732935</c:v>
                </c:pt>
                <c:pt idx="16">
                  <c:v>5669.0555541519943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9-4991-B6E5-7A42C2C17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032576"/>
        <c:axId val="561042560"/>
      </c:areaChart>
      <c:lineChart>
        <c:grouping val="standard"/>
        <c:varyColors val="0"/>
        <c:ser>
          <c:idx val="0"/>
          <c:order val="0"/>
          <c:tx>
            <c:strRef>
              <c:f>Charts_Support!$A$239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Charts_Support!$O$239:$AE$239</c:f>
              <c:numCache>
                <c:formatCode>#,##0_);\(#,##0\)</c:formatCode>
                <c:ptCount val="17"/>
                <c:pt idx="0">
                  <c:v>290</c:v>
                </c:pt>
                <c:pt idx="1">
                  <c:v>1082</c:v>
                </c:pt>
                <c:pt idx="2">
                  <c:v>1500</c:v>
                </c:pt>
                <c:pt idx="3">
                  <c:v>1726</c:v>
                </c:pt>
                <c:pt idx="4">
                  <c:v>1916</c:v>
                </c:pt>
                <c:pt idx="5">
                  <c:v>3751</c:v>
                </c:pt>
                <c:pt idx="6">
                  <c:v>1187</c:v>
                </c:pt>
                <c:pt idx="7">
                  <c:v>3422</c:v>
                </c:pt>
                <c:pt idx="8">
                  <c:v>3224</c:v>
                </c:pt>
                <c:pt idx="9">
                  <c:v>3541</c:v>
                </c:pt>
                <c:pt idx="10">
                  <c:v>3567.0405859735301</c:v>
                </c:pt>
                <c:pt idx="11">
                  <c:v>4200.7390429892321</c:v>
                </c:pt>
                <c:pt idx="12">
                  <c:v>4641.3262556342415</c:v>
                </c:pt>
                <c:pt idx="13">
                  <c:v>5081.9158731992793</c:v>
                </c:pt>
                <c:pt idx="14">
                  <c:v>5523.2303445382631</c:v>
                </c:pt>
                <c:pt idx="15">
                  <c:v>5996.4861288417769</c:v>
                </c:pt>
                <c:pt idx="16">
                  <c:v>6494.9419313469234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D9-4991-B6E5-7A42C2C176CA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Charts_Support!$O$565:$Z$565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D9-4991-B6E5-7A42C2C17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032576"/>
        <c:axId val="561042560"/>
      </c:lineChart>
      <c:catAx>
        <c:axId val="56103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042560"/>
        <c:crossesAt val="-1000"/>
        <c:auto val="1"/>
        <c:lblAlgn val="ctr"/>
        <c:lblOffset val="100"/>
        <c:tickLblSkip val="1"/>
        <c:tickMarkSkip val="1"/>
        <c:noMultiLvlLbl val="0"/>
      </c:catAx>
      <c:valAx>
        <c:axId val="56104256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032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0205221891728623"/>
          <c:y val="4.8090036539550742E-3"/>
          <c:w val="0.19960558287945446"/>
          <c:h val="0.1342552824836289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Charts_Support!$K$162:$AE$162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2038.7220000000002</c:v>
                </c:pt>
                <c:pt idx="4">
                  <c:v>2793.0920000000001</c:v>
                </c:pt>
                <c:pt idx="5">
                  <c:v>4301.7290000000003</c:v>
                </c:pt>
                <c:pt idx="6">
                  <c:v>5155.2379999999994</c:v>
                </c:pt>
                <c:pt idx="7">
                  <c:v>6466.2439999999997</c:v>
                </c:pt>
                <c:pt idx="8">
                  <c:v>6408.3169999999991</c:v>
                </c:pt>
                <c:pt idx="9">
                  <c:v>7668.168999999999</c:v>
                </c:pt>
                <c:pt idx="10">
                  <c:v>1436.7419999999979</c:v>
                </c:pt>
                <c:pt idx="11">
                  <c:v>6536.2869999999994</c:v>
                </c:pt>
                <c:pt idx="12">
                  <c:v>8824.5059999999976</c:v>
                </c:pt>
                <c:pt idx="13">
                  <c:v>10794.628999999997</c:v>
                </c:pt>
                <c:pt idx="14">
                  <c:v>11720.152625202352</c:v>
                </c:pt>
                <c:pt idx="15">
                  <c:v>13213.205279459673</c:v>
                </c:pt>
                <c:pt idx="16">
                  <c:v>14495.690285397648</c:v>
                </c:pt>
                <c:pt idx="17">
                  <c:v>15757.260541707772</c:v>
                </c:pt>
                <c:pt idx="18">
                  <c:v>17111.840852969559</c:v>
                </c:pt>
                <c:pt idx="19">
                  <c:v>18223.882471210476</c:v>
                </c:pt>
                <c:pt idx="20">
                  <c:v>19380.378942867406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8-494C-AE39-CFB2B556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465600"/>
        <c:axId val="561487872"/>
      </c:areaChart>
      <c:areaChart>
        <c:grouping val="standard"/>
        <c:varyColors val="0"/>
        <c:ser>
          <c:idx val="2"/>
          <c:order val="1"/>
          <c:tx>
            <c:strRef>
              <c:f>Charts_Support!$A$163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Charts_Support!$K$163:$AE$163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2038.7220000000002</c:v>
                </c:pt>
                <c:pt idx="4">
                  <c:v>2793.0920000000001</c:v>
                </c:pt>
                <c:pt idx="5">
                  <c:v>4301.7290000000003</c:v>
                </c:pt>
                <c:pt idx="6">
                  <c:v>5155.2379999999994</c:v>
                </c:pt>
                <c:pt idx="7">
                  <c:v>6466.2439999999997</c:v>
                </c:pt>
                <c:pt idx="8">
                  <c:v>6408.3169999999991</c:v>
                </c:pt>
                <c:pt idx="9">
                  <c:v>7668.168999999999</c:v>
                </c:pt>
                <c:pt idx="10">
                  <c:v>1436.7419999999979</c:v>
                </c:pt>
                <c:pt idx="11">
                  <c:v>6536.2869999999994</c:v>
                </c:pt>
                <c:pt idx="12">
                  <c:v>8824.5059999999976</c:v>
                </c:pt>
                <c:pt idx="13">
                  <c:v>10794.628999999997</c:v>
                </c:pt>
                <c:pt idx="14">
                  <c:v>11095.110051713798</c:v>
                </c:pt>
                <c:pt idx="15">
                  <c:v>11815.025763852975</c:v>
                </c:pt>
                <c:pt idx="16">
                  <c:v>12715.768041203142</c:v>
                </c:pt>
                <c:pt idx="17">
                  <c:v>13593.641808490087</c:v>
                </c:pt>
                <c:pt idx="18">
                  <c:v>13681.333489651528</c:v>
                </c:pt>
                <c:pt idx="19">
                  <c:v>14383.633767640877</c:v>
                </c:pt>
                <c:pt idx="20">
                  <c:v>15103.467803707692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08-494C-AE39-CFB2B556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491328"/>
        <c:axId val="561489792"/>
      </c:areaChart>
      <c:lineChart>
        <c:grouping val="standard"/>
        <c:varyColors val="0"/>
        <c:ser>
          <c:idx val="0"/>
          <c:order val="2"/>
          <c:tx>
            <c:strRef>
              <c:f>Charts_Support!$A$161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Charts_Support!$K$161:$AE$161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2038.7220000000002</c:v>
                </c:pt>
                <c:pt idx="4">
                  <c:v>2793.0920000000001</c:v>
                </c:pt>
                <c:pt idx="5">
                  <c:v>4301.7290000000003</c:v>
                </c:pt>
                <c:pt idx="6">
                  <c:v>5155.2379999999994</c:v>
                </c:pt>
                <c:pt idx="7">
                  <c:v>6466.2439999999997</c:v>
                </c:pt>
                <c:pt idx="8">
                  <c:v>6408.3169999999991</c:v>
                </c:pt>
                <c:pt idx="9">
                  <c:v>7668.168999999999</c:v>
                </c:pt>
                <c:pt idx="10">
                  <c:v>1436.7419999999979</c:v>
                </c:pt>
                <c:pt idx="11">
                  <c:v>6536.2869999999994</c:v>
                </c:pt>
                <c:pt idx="12">
                  <c:v>8824.5059999999976</c:v>
                </c:pt>
                <c:pt idx="13">
                  <c:v>10794.628999999997</c:v>
                </c:pt>
                <c:pt idx="14">
                  <c:v>11518.521109294194</c:v>
                </c:pt>
                <c:pt idx="15">
                  <c:v>12772.219792718926</c:v>
                </c:pt>
                <c:pt idx="16">
                  <c:v>13940.600218066955</c:v>
                </c:pt>
                <c:pt idx="17">
                  <c:v>15084.407031131532</c:v>
                </c:pt>
                <c:pt idx="18">
                  <c:v>16015.74590748998</c:v>
                </c:pt>
                <c:pt idx="19">
                  <c:v>16997.188167359251</c:v>
                </c:pt>
                <c:pt idx="20">
                  <c:v>18013.608477226437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08-494C-AE39-CFB2B556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65600"/>
        <c:axId val="561487872"/>
      </c:lineChart>
      <c:catAx>
        <c:axId val="56146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487872"/>
        <c:crossesAt val="-6000"/>
        <c:auto val="1"/>
        <c:lblAlgn val="ctr"/>
        <c:lblOffset val="100"/>
        <c:tickLblSkip val="1"/>
        <c:tickMarkSkip val="1"/>
        <c:noMultiLvlLbl val="0"/>
      </c:catAx>
      <c:valAx>
        <c:axId val="56148787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465600"/>
        <c:crosses val="autoZero"/>
        <c:crossBetween val="between"/>
      </c:valAx>
      <c:valAx>
        <c:axId val="561489792"/>
        <c:scaling>
          <c:orientation val="minMax"/>
          <c:max val="14000"/>
          <c:min val="-6000"/>
        </c:scaling>
        <c:delete val="1"/>
        <c:axPos val="r"/>
        <c:numFmt formatCode="#,##0_);\(#,##0\)" sourceLinked="1"/>
        <c:majorTickMark val="out"/>
        <c:minorTickMark val="none"/>
        <c:tickLblPos val="nextTo"/>
        <c:crossAx val="561491328"/>
        <c:crosses val="max"/>
        <c:crossBetween val="between"/>
      </c:valAx>
      <c:catAx>
        <c:axId val="561491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1489792"/>
        <c:crossesAt val="-6000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Charts_Support!$K$156:$AE$156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2336.4059999999999</c:v>
                </c:pt>
                <c:pt idx="4">
                  <c:v>4988</c:v>
                </c:pt>
                <c:pt idx="5">
                  <c:v>6778</c:v>
                </c:pt>
                <c:pt idx="6">
                  <c:v>7942</c:v>
                </c:pt>
                <c:pt idx="7">
                  <c:v>8896</c:v>
                </c:pt>
                <c:pt idx="8">
                  <c:v>9225</c:v>
                </c:pt>
                <c:pt idx="9">
                  <c:v>11214</c:v>
                </c:pt>
                <c:pt idx="10">
                  <c:v>4351</c:v>
                </c:pt>
                <c:pt idx="11">
                  <c:v>10631</c:v>
                </c:pt>
                <c:pt idx="12">
                  <c:v>12759</c:v>
                </c:pt>
                <c:pt idx="13">
                  <c:v>14757</c:v>
                </c:pt>
                <c:pt idx="14">
                  <c:v>15829.326387253946</c:v>
                </c:pt>
                <c:pt idx="15">
                  <c:v>17687.974065702838</c:v>
                </c:pt>
                <c:pt idx="16">
                  <c:v>19277.022117376604</c:v>
                </c:pt>
                <c:pt idx="17">
                  <c:v>20805.71730797421</c:v>
                </c:pt>
                <c:pt idx="18">
                  <c:v>22043.988902857654</c:v>
                </c:pt>
                <c:pt idx="19">
                  <c:v>23478.942725516041</c:v>
                </c:pt>
                <c:pt idx="20">
                  <c:v>24971.526343166959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D-4B2F-AB5C-7E46E5E6B39B}"/>
            </c:ext>
          </c:extLst>
        </c:ser>
        <c:ser>
          <c:idx val="2"/>
          <c:order val="2"/>
          <c:tx>
            <c:strRef>
              <c:f>Charts_Support!$A$157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Charts_Support!$K$157:$AE$157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2336.4059999999999</c:v>
                </c:pt>
                <c:pt idx="4">
                  <c:v>4988</c:v>
                </c:pt>
                <c:pt idx="5">
                  <c:v>6778</c:v>
                </c:pt>
                <c:pt idx="6">
                  <c:v>7942</c:v>
                </c:pt>
                <c:pt idx="7">
                  <c:v>8896</c:v>
                </c:pt>
                <c:pt idx="8">
                  <c:v>9225</c:v>
                </c:pt>
                <c:pt idx="9">
                  <c:v>11214</c:v>
                </c:pt>
                <c:pt idx="10">
                  <c:v>4351</c:v>
                </c:pt>
                <c:pt idx="11">
                  <c:v>10631</c:v>
                </c:pt>
                <c:pt idx="12">
                  <c:v>12759</c:v>
                </c:pt>
                <c:pt idx="13">
                  <c:v>14757</c:v>
                </c:pt>
                <c:pt idx="14">
                  <c:v>15251.113402670067</c:v>
                </c:pt>
                <c:pt idx="15">
                  <c:v>16362.969838781037</c:v>
                </c:pt>
                <c:pt idx="16">
                  <c:v>17482.47821919655</c:v>
                </c:pt>
                <c:pt idx="17">
                  <c:v>18544.319864911431</c:v>
                </c:pt>
                <c:pt idx="18">
                  <c:v>18995.226720771618</c:v>
                </c:pt>
                <c:pt idx="19">
                  <c:v>19976.189405266399</c:v>
                </c:pt>
                <c:pt idx="20">
                  <c:v>20982.098347488231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4D-4B2F-AB5C-7E46E5E6B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590272"/>
        <c:axId val="561591808"/>
      </c:areaChart>
      <c:lineChart>
        <c:grouping val="standard"/>
        <c:varyColors val="0"/>
        <c:ser>
          <c:idx val="0"/>
          <c:order val="0"/>
          <c:tx>
            <c:strRef>
              <c:f>Charts_Support!$A$155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Charts_Support!$K$155:$AE$155</c:f>
              <c:numCache>
                <c:formatCode>#,##0_);\(#,##0\)</c:formatCode>
                <c:ptCount val="21"/>
                <c:pt idx="0">
                  <c:v>998.63099999999986</c:v>
                </c:pt>
                <c:pt idx="1">
                  <c:v>1114.8470000000004</c:v>
                </c:pt>
                <c:pt idx="2">
                  <c:v>1608.0649999999994</c:v>
                </c:pt>
                <c:pt idx="3">
                  <c:v>2336.4059999999999</c:v>
                </c:pt>
                <c:pt idx="4">
                  <c:v>4988</c:v>
                </c:pt>
                <c:pt idx="5">
                  <c:v>6778</c:v>
                </c:pt>
                <c:pt idx="6">
                  <c:v>7942</c:v>
                </c:pt>
                <c:pt idx="7">
                  <c:v>8896</c:v>
                </c:pt>
                <c:pt idx="8">
                  <c:v>9225</c:v>
                </c:pt>
                <c:pt idx="9">
                  <c:v>11214</c:v>
                </c:pt>
                <c:pt idx="10">
                  <c:v>4351</c:v>
                </c:pt>
                <c:pt idx="11">
                  <c:v>10631</c:v>
                </c:pt>
                <c:pt idx="12">
                  <c:v>12759</c:v>
                </c:pt>
                <c:pt idx="13">
                  <c:v>14757</c:v>
                </c:pt>
                <c:pt idx="14">
                  <c:v>15644.673477139804</c:v>
                </c:pt>
                <c:pt idx="15">
                  <c:v>17278.245951658158</c:v>
                </c:pt>
                <c:pt idx="16">
                  <c:v>18729.8844615411</c:v>
                </c:pt>
                <c:pt idx="17">
                  <c:v>20117.440577964619</c:v>
                </c:pt>
                <c:pt idx="18">
                  <c:v>21361.102957540999</c:v>
                </c:pt>
                <c:pt idx="19">
                  <c:v>22671.480781331808</c:v>
                </c:pt>
                <c:pt idx="20">
                  <c:v>24028.849413535194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4D-4B2F-AB5C-7E46E5E6B39B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Charts_Support!$K$6:$AE$6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Charts_Support!$K$565:$Z$565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4D-4B2F-AB5C-7E46E5E6B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590272"/>
        <c:axId val="561591808"/>
      </c:lineChart>
      <c:catAx>
        <c:axId val="56159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591808"/>
        <c:crossesAt val="-5000"/>
        <c:auto val="1"/>
        <c:lblAlgn val="ctr"/>
        <c:lblOffset val="100"/>
        <c:tickLblSkip val="1"/>
        <c:tickMarkSkip val="1"/>
        <c:noMultiLvlLbl val="0"/>
      </c:catAx>
      <c:valAx>
        <c:axId val="56159180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590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0205221891728623"/>
          <c:y val="4.8090036539550742E-3"/>
          <c:w val="0.19805577966589749"/>
          <c:h val="0.13425528248362895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8707349081364"/>
          <c:y val="7.1661375661375662E-2"/>
          <c:w val="0.84889835268645897"/>
          <c:h val="0.716613517618710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Charts_Support!$A$160</c:f>
              <c:strCache>
                <c:ptCount val="1"/>
                <c:pt idx="0">
                  <c:v>EBITDA IAS17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invertIfNegative val="0"/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Charts_Support!$O$161:$AE$161</c:f>
              <c:numCache>
                <c:formatCode>#,##0_);\(#,##0\)</c:formatCode>
                <c:ptCount val="17"/>
                <c:pt idx="0">
                  <c:v>2793.0920000000001</c:v>
                </c:pt>
                <c:pt idx="1">
                  <c:v>4301.7290000000003</c:v>
                </c:pt>
                <c:pt idx="2">
                  <c:v>5155.2379999999994</c:v>
                </c:pt>
                <c:pt idx="3">
                  <c:v>6466.2439999999997</c:v>
                </c:pt>
                <c:pt idx="4">
                  <c:v>6408.3169999999991</c:v>
                </c:pt>
                <c:pt idx="5">
                  <c:v>7668.168999999999</c:v>
                </c:pt>
                <c:pt idx="6">
                  <c:v>1436.7419999999979</c:v>
                </c:pt>
                <c:pt idx="7">
                  <c:v>6536.2869999999994</c:v>
                </c:pt>
                <c:pt idx="8">
                  <c:v>8824.5059999999976</c:v>
                </c:pt>
                <c:pt idx="9">
                  <c:v>10794.628999999997</c:v>
                </c:pt>
                <c:pt idx="10">
                  <c:v>11518.521109294194</c:v>
                </c:pt>
                <c:pt idx="11">
                  <c:v>12772.219792718926</c:v>
                </c:pt>
                <c:pt idx="12">
                  <c:v>13940.600218066955</c:v>
                </c:pt>
                <c:pt idx="13">
                  <c:v>15084.407031131532</c:v>
                </c:pt>
                <c:pt idx="14">
                  <c:v>16015.74590748998</c:v>
                </c:pt>
                <c:pt idx="15">
                  <c:v>16997.188167359251</c:v>
                </c:pt>
                <c:pt idx="16">
                  <c:v>18013.608477226437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9-457A-9F1A-662943B63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19712"/>
        <c:axId val="561621632"/>
      </c:barChart>
      <c:lineChart>
        <c:grouping val="standard"/>
        <c:varyColors val="0"/>
        <c:ser>
          <c:idx val="1"/>
          <c:order val="1"/>
          <c:tx>
            <c:strRef>
              <c:f>Charts_Support!$A$165</c:f>
              <c:strCache>
                <c:ptCount val="1"/>
                <c:pt idx="0">
                  <c:v>EBITDA Margin IAS17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Charts_Support!$O$6:$AE$6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 formatCode="###0&quot;E&quot;">
                  <c:v>2024</c:v>
                </c:pt>
                <c:pt idx="11" formatCode="###0&quot;E&quot;">
                  <c:v>2025</c:v>
                </c:pt>
                <c:pt idx="12" formatCode="###0&quot;E&quot;">
                  <c:v>2026</c:v>
                </c:pt>
                <c:pt idx="13" formatCode="###0&quot;E&quot;">
                  <c:v>2027</c:v>
                </c:pt>
                <c:pt idx="14" formatCode="###0&quot;E&quot;">
                  <c:v>2028</c:v>
                </c:pt>
                <c:pt idx="15" formatCode="###0&quot;E&quot;">
                  <c:v>2029</c:v>
                </c:pt>
                <c:pt idx="16" formatCode="###0&quot;E&quot;">
                  <c:v>2030</c:v>
                </c:pt>
              </c:numCache>
            </c:numRef>
          </c:cat>
          <c:val>
            <c:numRef>
              <c:f>Charts_Support!$O$166:$AE$166</c:f>
              <c:numCache>
                <c:formatCode>0.0%</c:formatCode>
                <c:ptCount val="17"/>
                <c:pt idx="0">
                  <c:v>0.12250266499212399</c:v>
                </c:pt>
                <c:pt idx="1">
                  <c:v>0.13322841012505554</c:v>
                </c:pt>
                <c:pt idx="2">
                  <c:v>0.13673694196629571</c:v>
                </c:pt>
                <c:pt idx="3">
                  <c:v>0.15204273796300657</c:v>
                </c:pt>
                <c:pt idx="4">
                  <c:v>0.13883861136971748</c:v>
                </c:pt>
                <c:pt idx="5">
                  <c:v>0.13185829658689707</c:v>
                </c:pt>
                <c:pt idx="6">
                  <c:v>3.732241490864141E-2</c:v>
                </c:pt>
                <c:pt idx="7">
                  <c:v>0.12244945711243399</c:v>
                </c:pt>
                <c:pt idx="8">
                  <c:v>0.12820483354194717</c:v>
                </c:pt>
                <c:pt idx="9">
                  <c:v>0.14160410073333896</c:v>
                </c:pt>
                <c:pt idx="10">
                  <c:v>0.14469733938479157</c:v>
                </c:pt>
                <c:pt idx="11">
                  <c:v>0.14414857865421746</c:v>
                </c:pt>
                <c:pt idx="12">
                  <c:v>0.1451446680114471</c:v>
                </c:pt>
                <c:pt idx="13">
                  <c:v>0.14645393086732794</c:v>
                </c:pt>
                <c:pt idx="14">
                  <c:v>0.1464093871457442</c:v>
                </c:pt>
                <c:pt idx="15">
                  <c:v>0.1463724656849032</c:v>
                </c:pt>
                <c:pt idx="16">
                  <c:v>0.14633513536466855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89-457A-9F1A-662943B63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629440"/>
        <c:axId val="561627904"/>
      </c:lineChart>
      <c:catAx>
        <c:axId val="56161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621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21632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MXP</a:t>
                </a:r>
              </a:p>
            </c:rich>
          </c:tx>
          <c:layout>
            <c:manualLayout>
              <c:xMode val="edge"/>
              <c:yMode val="edge"/>
              <c:x val="0.1128870220234084"/>
              <c:y val="5.067073755735272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619712"/>
        <c:crosses val="autoZero"/>
        <c:crossBetween val="between"/>
      </c:valAx>
      <c:valAx>
        <c:axId val="561627904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629440"/>
        <c:crosses val="max"/>
        <c:crossBetween val="between"/>
      </c:valAx>
      <c:catAx>
        <c:axId val="56162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162790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51815157680487"/>
          <c:y val="4.8090036539550742E-3"/>
          <c:w val="0.71944080824082313"/>
          <c:h val="0.1124585555837778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7.1661351761871064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Charts_Support!$B$368:$AE$368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-3716.5787073305432</c:v>
                </c:pt>
                <c:pt idx="24">
                  <c:v>1334.7688589051527</c:v>
                </c:pt>
                <c:pt idx="25">
                  <c:v>3059.9007994789117</c:v>
                </c:pt>
                <c:pt idx="26">
                  <c:v>4009.475297243047</c:v>
                </c:pt>
                <c:pt idx="27">
                  <c:v>3163.1146089782633</c:v>
                </c:pt>
                <c:pt idx="28">
                  <c:v>3228.1944880808451</c:v>
                </c:pt>
                <c:pt idx="29">
                  <c:v>3686.7335182771703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5-47AB-BB0D-70EC26B5762F}"/>
            </c:ext>
          </c:extLst>
        </c:ser>
        <c:ser>
          <c:idx val="2"/>
          <c:order val="2"/>
          <c:tx>
            <c:strRef>
              <c:f>Charts_Support!$A$367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Charts_Support!$B$367:$AE$367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-3774.8585400528623</c:v>
                </c:pt>
                <c:pt idx="24">
                  <c:v>1291.423166177748</c:v>
                </c:pt>
                <c:pt idx="25">
                  <c:v>3109.0271209031353</c:v>
                </c:pt>
                <c:pt idx="26">
                  <c:v>4182.2756764502574</c:v>
                </c:pt>
                <c:pt idx="27">
                  <c:v>4812.6675336234839</c:v>
                </c:pt>
                <c:pt idx="28">
                  <c:v>5109.3892988943917</c:v>
                </c:pt>
                <c:pt idx="29">
                  <c:v>5741.758598685843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5-47AB-BB0D-70EC26B5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74880"/>
        <c:axId val="561701248"/>
      </c:areaChart>
      <c:lineChart>
        <c:grouping val="standard"/>
        <c:varyColors val="0"/>
        <c:ser>
          <c:idx val="0"/>
          <c:order val="0"/>
          <c:tx>
            <c:strRef>
              <c:f>Charts_Support!$A$366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Charts_Support!$B$366:$AE$366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-4023.8797945025558</c:v>
                </c:pt>
                <c:pt idx="24">
                  <c:v>821.49964534270066</c:v>
                </c:pt>
                <c:pt idx="25">
                  <c:v>2618.6903074394913</c:v>
                </c:pt>
                <c:pt idx="26">
                  <c:v>3649.3701272173048</c:v>
                </c:pt>
                <c:pt idx="27">
                  <c:v>3480.5941635262425</c:v>
                </c:pt>
                <c:pt idx="28">
                  <c:v>3794.8796789604394</c:v>
                </c:pt>
                <c:pt idx="29">
                  <c:v>4344.4759793797848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5-47AB-BB0D-70EC26B5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674880"/>
        <c:axId val="561701248"/>
      </c:lineChart>
      <c:catAx>
        <c:axId val="56167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7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70124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608321333374184"/>
              <c:y val="5.36418160495895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6748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1778864943951767"/>
          <c:y val="0.57999625362438911"/>
          <c:w val="0.19212970239073099"/>
          <c:h val="0.1990022982573458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7.1661351761871064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Charts_Support!$B$293:$AE$293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9480.3383106143247</c:v>
                </c:pt>
                <c:pt idx="24">
                  <c:v>13038.383560000362</c:v>
                </c:pt>
                <c:pt idx="25">
                  <c:v>14531.614500268244</c:v>
                </c:pt>
                <c:pt idx="26">
                  <c:v>16178.499165046476</c:v>
                </c:pt>
                <c:pt idx="27">
                  <c:v>17551.691424887442</c:v>
                </c:pt>
                <c:pt idx="28">
                  <c:v>18975.952694132135</c:v>
                </c:pt>
                <c:pt idx="29">
                  <c:v>20599.116699276718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F-4D31-AFE3-4D5F2BEF6D60}"/>
            </c:ext>
          </c:extLst>
        </c:ser>
        <c:ser>
          <c:idx val="2"/>
          <c:order val="2"/>
          <c:tx>
            <c:strRef>
              <c:f>Charts_Support!$A$294</c:f>
              <c:strCache>
                <c:ptCount val="1"/>
                <c:pt idx="0">
                  <c:v>Bear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Charts_Support!$B$294:$AE$294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8683.2629602539855</c:v>
                </c:pt>
                <c:pt idx="24">
                  <c:v>11262.414983510953</c:v>
                </c:pt>
                <c:pt idx="25">
                  <c:v>12295.137684298537</c:v>
                </c:pt>
                <c:pt idx="26">
                  <c:v>13526.349601935233</c:v>
                </c:pt>
                <c:pt idx="27">
                  <c:v>14218.995134775021</c:v>
                </c:pt>
                <c:pt idx="28">
                  <c:v>15153.850204052929</c:v>
                </c:pt>
                <c:pt idx="29">
                  <c:v>16315.438882107877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F-4D31-AFE3-4D5F2BEF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85088"/>
        <c:axId val="561795072"/>
      </c:areaChart>
      <c:lineChart>
        <c:grouping val="standard"/>
        <c:varyColors val="0"/>
        <c:ser>
          <c:idx val="0"/>
          <c:order val="0"/>
          <c:tx>
            <c:strRef>
              <c:f>Charts_Support!$A$291</c:f>
              <c:strCache>
                <c:ptCount val="1"/>
                <c:pt idx="0">
                  <c:v>Operating CF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Charts_Support!$B$292:$AE$292</c:f>
              <c:numCache>
                <c:formatCode>#,##0_);\(#,##0\)</c:formatCode>
                <c:ptCount val="30"/>
                <c:pt idx="0">
                  <c:v>221.619</c:v>
                </c:pt>
                <c:pt idx="1">
                  <c:v>398.23700000000002</c:v>
                </c:pt>
                <c:pt idx="2">
                  <c:v>225.81599999999997</c:v>
                </c:pt>
                <c:pt idx="3">
                  <c:v>435.30999999999995</c:v>
                </c:pt>
                <c:pt idx="4">
                  <c:v>337.07600000000002</c:v>
                </c:pt>
                <c:pt idx="5">
                  <c:v>949.56</c:v>
                </c:pt>
                <c:pt idx="6">
                  <c:v>604.93000000000006</c:v>
                </c:pt>
                <c:pt idx="7">
                  <c:v>979.6690000000001</c:v>
                </c:pt>
                <c:pt idx="8">
                  <c:v>1165.5060000000003</c:v>
                </c:pt>
                <c:pt idx="9">
                  <c:v>884.80899999999997</c:v>
                </c:pt>
                <c:pt idx="10">
                  <c:v>-938.91100000000029</c:v>
                </c:pt>
                <c:pt idx="11">
                  <c:v>3683.663</c:v>
                </c:pt>
                <c:pt idx="12">
                  <c:v>1557.8140000000003</c:v>
                </c:pt>
                <c:pt idx="13">
                  <c:v>2441.8119999999999</c:v>
                </c:pt>
                <c:pt idx="14">
                  <c:v>3580.9739999999997</c:v>
                </c:pt>
                <c:pt idx="15">
                  <c:v>4994.3130000000001</c:v>
                </c:pt>
                <c:pt idx="16">
                  <c:v>3273.5160000000001</c:v>
                </c:pt>
                <c:pt idx="17">
                  <c:v>5916.8649999999998</c:v>
                </c:pt>
                <c:pt idx="18">
                  <c:v>6587.8899999999994</c:v>
                </c:pt>
                <c:pt idx="19">
                  <c:v>3476.6569999999983</c:v>
                </c:pt>
                <c:pt idx="20">
                  <c:v>11496.914000000001</c:v>
                </c:pt>
                <c:pt idx="21">
                  <c:v>10971.870999999999</c:v>
                </c:pt>
                <c:pt idx="22">
                  <c:v>11433.946000000002</c:v>
                </c:pt>
                <c:pt idx="23">
                  <c:v>9253.208848068316</c:v>
                </c:pt>
                <c:pt idx="24">
                  <c:v>12578.060624208831</c:v>
                </c:pt>
                <c:pt idx="25">
                  <c:v>13926.619289114504</c:v>
                </c:pt>
                <c:pt idx="26">
                  <c:v>15427.190160930029</c:v>
                </c:pt>
                <c:pt idx="27">
                  <c:v>16543.193153049982</c:v>
                </c:pt>
                <c:pt idx="28">
                  <c:v>17941.187860616308</c:v>
                </c:pt>
                <c:pt idx="29">
                  <c:v>19404.342829557107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F-4D31-AFE3-4D5F2BEF6D60}"/>
            </c:ext>
          </c:extLst>
        </c:ser>
        <c:ser>
          <c:idx val="3"/>
          <c:order val="3"/>
          <c:tx>
            <c:v>Capex</c:v>
          </c:tx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Charts_Support!$B$272:$AE$272</c:f>
              <c:numCache>
                <c:formatCode>#,##0_);\(#,##0\)</c:formatCode>
                <c:ptCount val="30"/>
                <c:pt idx="0">
                  <c:v>-123.169</c:v>
                </c:pt>
                <c:pt idx="1">
                  <c:v>-234.94300000000004</c:v>
                </c:pt>
                <c:pt idx="2">
                  <c:v>-164.846</c:v>
                </c:pt>
                <c:pt idx="3">
                  <c:v>-526.36199999999997</c:v>
                </c:pt>
                <c:pt idx="4">
                  <c:v>-874.95</c:v>
                </c:pt>
                <c:pt idx="5">
                  <c:v>-1117.8700000000001</c:v>
                </c:pt>
                <c:pt idx="6">
                  <c:v>-1091.8439999999998</c:v>
                </c:pt>
                <c:pt idx="7">
                  <c:v>-1094.98</c:v>
                </c:pt>
                <c:pt idx="8">
                  <c:v>-554.76100000000019</c:v>
                </c:pt>
                <c:pt idx="9">
                  <c:v>-761.947</c:v>
                </c:pt>
                <c:pt idx="10">
                  <c:v>-1255.009</c:v>
                </c:pt>
                <c:pt idx="11">
                  <c:v>-2751.0480000000002</c:v>
                </c:pt>
                <c:pt idx="12">
                  <c:v>-3202.7510000000002</c:v>
                </c:pt>
                <c:pt idx="13">
                  <c:v>-12410.406999999999</c:v>
                </c:pt>
                <c:pt idx="14">
                  <c:v>-3439.192</c:v>
                </c:pt>
                <c:pt idx="15">
                  <c:v>-5038.588999999999</c:v>
                </c:pt>
                <c:pt idx="16">
                  <c:v>-3274.3160000000007</c:v>
                </c:pt>
                <c:pt idx="17">
                  <c:v>-17497.725999999999</c:v>
                </c:pt>
                <c:pt idx="18">
                  <c:v>-4828.8850000000002</c:v>
                </c:pt>
                <c:pt idx="19">
                  <c:v>-1779.9180000000001</c:v>
                </c:pt>
                <c:pt idx="20">
                  <c:v>-2541.7869999999998</c:v>
                </c:pt>
                <c:pt idx="21">
                  <c:v>-4223.424</c:v>
                </c:pt>
                <c:pt idx="22">
                  <c:v>-4739.5130000000008</c:v>
                </c:pt>
                <c:pt idx="23">
                  <c:v>-6051.5874705091046</c:v>
                </c:pt>
                <c:pt idx="24">
                  <c:v>-6206.89505920378</c:v>
                </c:pt>
                <c:pt idx="25">
                  <c:v>-6195.3866040332841</c:v>
                </c:pt>
                <c:pt idx="26">
                  <c:v>-6382.3033586856191</c:v>
                </c:pt>
                <c:pt idx="27">
                  <c:v>-7284.0839017145245</c:v>
                </c:pt>
                <c:pt idx="28">
                  <c:v>-7963.0775370078054</c:v>
                </c:pt>
                <c:pt idx="29">
                  <c:v>-8455.5855188113237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1F-4D31-AFE3-4D5F2BEF6D60}"/>
            </c:ext>
          </c:extLst>
        </c:ser>
        <c:ser>
          <c:idx val="4"/>
          <c:order val="4"/>
          <c:spPr>
            <a:ln w="12700">
              <a:solidFill>
                <a:srgbClr val="808080"/>
              </a:solidFill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Charts_Support!$B$565:$AE$565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1F-4D31-AFE3-4D5F2BEF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85088"/>
        <c:axId val="561795072"/>
      </c:lineChart>
      <c:catAx>
        <c:axId val="5617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795072"/>
        <c:crossesAt val="-20000"/>
        <c:auto val="1"/>
        <c:lblAlgn val="ctr"/>
        <c:lblOffset val="100"/>
        <c:tickLblSkip val="1"/>
        <c:tickMarkSkip val="1"/>
        <c:noMultiLvlLbl val="0"/>
      </c:catAx>
      <c:valAx>
        <c:axId val="561795072"/>
        <c:scaling>
          <c:orientation val="minMax"/>
          <c:min val="-200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608321333374184"/>
              <c:y val="5.36418160495895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785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1778864943951767"/>
          <c:y val="0.57999625362438911"/>
          <c:w val="0.28107509208194337"/>
          <c:h val="0.1990022982573458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538261997406"/>
          <c:y val="7.1661351761871064E-2"/>
          <c:w val="0.84889835268645897"/>
          <c:h val="0.71661351761871062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Charts_Support!$B$368:$AE$368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-3716.5787073305432</c:v>
                </c:pt>
                <c:pt idx="24">
                  <c:v>1334.7688589051527</c:v>
                </c:pt>
                <c:pt idx="25">
                  <c:v>3059.9007994789117</c:v>
                </c:pt>
                <c:pt idx="26">
                  <c:v>4009.475297243047</c:v>
                </c:pt>
                <c:pt idx="27">
                  <c:v>3163.1146089782633</c:v>
                </c:pt>
                <c:pt idx="28">
                  <c:v>3228.1944880808451</c:v>
                </c:pt>
                <c:pt idx="29">
                  <c:v>3686.7335182771703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1-4008-BD2F-F8D8E22B38AF}"/>
            </c:ext>
          </c:extLst>
        </c:ser>
        <c:ser>
          <c:idx val="2"/>
          <c:order val="2"/>
          <c:tx>
            <c:strRef>
              <c:f>Charts_Support!$A$367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rgbClr val="FFFFFF"/>
            </a:solidFill>
            <a:ln w="25400">
              <a:noFill/>
            </a:ln>
          </c:spP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Charts_Support!$B$367:$AE$367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-3774.8585400528623</c:v>
                </c:pt>
                <c:pt idx="24">
                  <c:v>1291.423166177748</c:v>
                </c:pt>
                <c:pt idx="25">
                  <c:v>3109.0271209031353</c:v>
                </c:pt>
                <c:pt idx="26">
                  <c:v>4182.2756764502574</c:v>
                </c:pt>
                <c:pt idx="27">
                  <c:v>4812.6675336234839</c:v>
                </c:pt>
                <c:pt idx="28">
                  <c:v>5109.3892988943917</c:v>
                </c:pt>
                <c:pt idx="29">
                  <c:v>5741.758598685843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F1-4008-BD2F-F8D8E22B3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837184"/>
        <c:axId val="561838720"/>
      </c:areaChart>
      <c:lineChart>
        <c:grouping val="standard"/>
        <c:varyColors val="0"/>
        <c:ser>
          <c:idx val="0"/>
          <c:order val="0"/>
          <c:tx>
            <c:strRef>
              <c:f>Charts_Support!$A$366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Charts_Support!$B$366:$AE$366</c:f>
              <c:numCache>
                <c:formatCode>#,##0_);\(#,##0\)</c:formatCode>
                <c:ptCount val="30"/>
                <c:pt idx="0">
                  <c:v>99.024999999999935</c:v>
                </c:pt>
                <c:pt idx="1">
                  <c:v>181.798</c:v>
                </c:pt>
                <c:pt idx="2">
                  <c:v>9.8980000000000814</c:v>
                </c:pt>
                <c:pt idx="3">
                  <c:v>-109.30000000000007</c:v>
                </c:pt>
                <c:pt idx="4">
                  <c:v>-449.02199999999988</c:v>
                </c:pt>
                <c:pt idx="5">
                  <c:v>-30.439999999999372</c:v>
                </c:pt>
                <c:pt idx="6">
                  <c:v>-218.84699999999987</c:v>
                </c:pt>
                <c:pt idx="7">
                  <c:v>-387.78600000000006</c:v>
                </c:pt>
                <c:pt idx="8">
                  <c:v>552.25699999999938</c:v>
                </c:pt>
                <c:pt idx="9">
                  <c:v>-9.9000000000002046</c:v>
                </c:pt>
                <c:pt idx="10">
                  <c:v>-333.62999999999977</c:v>
                </c:pt>
                <c:pt idx="11">
                  <c:v>-1891.1230000000007</c:v>
                </c:pt>
                <c:pt idx="12">
                  <c:v>-1906.1279999999999</c:v>
                </c:pt>
                <c:pt idx="13">
                  <c:v>-10371.472</c:v>
                </c:pt>
                <c:pt idx="14">
                  <c:v>-587.44299999999976</c:v>
                </c:pt>
                <c:pt idx="15">
                  <c:v>-479.66799999999967</c:v>
                </c:pt>
                <c:pt idx="16">
                  <c:v>358.46899999999869</c:v>
                </c:pt>
                <c:pt idx="17">
                  <c:v>-12399.8</c:v>
                </c:pt>
                <c:pt idx="18">
                  <c:v>4649.882999999998</c:v>
                </c:pt>
                <c:pt idx="19">
                  <c:v>-3329.8420000000019</c:v>
                </c:pt>
                <c:pt idx="20">
                  <c:v>3166.0110000000022</c:v>
                </c:pt>
                <c:pt idx="21">
                  <c:v>2312.2380000000003</c:v>
                </c:pt>
                <c:pt idx="22">
                  <c:v>1623.7019999999993</c:v>
                </c:pt>
                <c:pt idx="23">
                  <c:v>-4023.8797945025558</c:v>
                </c:pt>
                <c:pt idx="24">
                  <c:v>821.49964534270066</c:v>
                </c:pt>
                <c:pt idx="25">
                  <c:v>2618.6903074394913</c:v>
                </c:pt>
                <c:pt idx="26">
                  <c:v>3649.3701272173048</c:v>
                </c:pt>
                <c:pt idx="27">
                  <c:v>3480.5941635262425</c:v>
                </c:pt>
                <c:pt idx="28">
                  <c:v>3794.8796789604394</c:v>
                </c:pt>
                <c:pt idx="29">
                  <c:v>4344.4759793797848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F1-4008-BD2F-F8D8E22B38AF}"/>
            </c:ext>
          </c:extLst>
        </c:ser>
        <c:ser>
          <c:idx val="3"/>
          <c:order val="3"/>
          <c:tx>
            <c:v>Capex</c:v>
          </c:tx>
          <c:marker>
            <c:symbol val="none"/>
          </c:marker>
          <c:cat>
            <c:numRef>
              <c:f>Charts_Support!$B$254:$AE$254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Charts_Support!$B$272:$AE$272</c:f>
              <c:numCache>
                <c:formatCode>#,##0_);\(#,##0\)</c:formatCode>
                <c:ptCount val="30"/>
                <c:pt idx="0">
                  <c:v>-123.169</c:v>
                </c:pt>
                <c:pt idx="1">
                  <c:v>-234.94300000000004</c:v>
                </c:pt>
                <c:pt idx="2">
                  <c:v>-164.846</c:v>
                </c:pt>
                <c:pt idx="3">
                  <c:v>-526.36199999999997</c:v>
                </c:pt>
                <c:pt idx="4">
                  <c:v>-874.95</c:v>
                </c:pt>
                <c:pt idx="5">
                  <c:v>-1117.8700000000001</c:v>
                </c:pt>
                <c:pt idx="6">
                  <c:v>-1091.8439999999998</c:v>
                </c:pt>
                <c:pt idx="7">
                  <c:v>-1094.98</c:v>
                </c:pt>
                <c:pt idx="8">
                  <c:v>-554.76100000000019</c:v>
                </c:pt>
                <c:pt idx="9">
                  <c:v>-761.947</c:v>
                </c:pt>
                <c:pt idx="10">
                  <c:v>-1255.009</c:v>
                </c:pt>
                <c:pt idx="11">
                  <c:v>-2751.0480000000002</c:v>
                </c:pt>
                <c:pt idx="12">
                  <c:v>-3202.7510000000002</c:v>
                </c:pt>
                <c:pt idx="13">
                  <c:v>-12410.406999999999</c:v>
                </c:pt>
                <c:pt idx="14">
                  <c:v>-3439.192</c:v>
                </c:pt>
                <c:pt idx="15">
                  <c:v>-5038.588999999999</c:v>
                </c:pt>
                <c:pt idx="16">
                  <c:v>-3274.3160000000007</c:v>
                </c:pt>
                <c:pt idx="17">
                  <c:v>-17497.725999999999</c:v>
                </c:pt>
                <c:pt idx="18">
                  <c:v>-4828.8850000000002</c:v>
                </c:pt>
                <c:pt idx="19">
                  <c:v>-1779.9180000000001</c:v>
                </c:pt>
                <c:pt idx="20">
                  <c:v>-2541.7869999999998</c:v>
                </c:pt>
                <c:pt idx="21">
                  <c:v>-4223.424</c:v>
                </c:pt>
                <c:pt idx="22">
                  <c:v>-4739.5130000000008</c:v>
                </c:pt>
                <c:pt idx="23">
                  <c:v>-6051.5874705091046</c:v>
                </c:pt>
                <c:pt idx="24">
                  <c:v>-6206.89505920378</c:v>
                </c:pt>
                <c:pt idx="25">
                  <c:v>-6195.3866040332841</c:v>
                </c:pt>
                <c:pt idx="26">
                  <c:v>-6382.3033586856191</c:v>
                </c:pt>
                <c:pt idx="27">
                  <c:v>-7284.0839017145245</c:v>
                </c:pt>
                <c:pt idx="28">
                  <c:v>-7963.0775370078054</c:v>
                </c:pt>
                <c:pt idx="29">
                  <c:v>-8455.5855188113237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F1-4008-BD2F-F8D8E22B3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837184"/>
        <c:axId val="561838720"/>
      </c:lineChart>
      <c:catAx>
        <c:axId val="56183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83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83872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Mex$mn</a:t>
                </a:r>
              </a:p>
            </c:rich>
          </c:tx>
          <c:layout>
            <c:manualLayout>
              <c:xMode val="edge"/>
              <c:yMode val="edge"/>
              <c:x val="0.11608321333374184"/>
              <c:y val="5.36418160495895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618371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1778864943951767"/>
          <c:y val="0.57999625362438911"/>
          <c:w val="0.19212970239073099"/>
          <c:h val="0.1990022982573458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1"/>
          <c:val>
            <c:numRef>
              <c:f>Charts_Support!$W$894:$AB$894</c:f>
              <c:numCache>
                <c:formatCode>#,##0_);\(#,##0\)</c:formatCode>
                <c:ptCount val="6"/>
                <c:pt idx="0">
                  <c:v>6099.7089999999998</c:v>
                </c:pt>
                <c:pt idx="1">
                  <c:v>4066.4726666666666</c:v>
                </c:pt>
                <c:pt idx="2">
                  <c:v>2033.2363333333333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5-40F3-93B5-06167E8DD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858816"/>
        <c:axId val="561860608"/>
      </c:areaChar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96F5-40F3-93B5-06167E8DDCC2}"/>
              </c:ext>
            </c:extLst>
          </c:dPt>
          <c:cat>
            <c:strRef>
              <c:f>Charts_Support!$W$892:$AB$892</c:f>
              <c:strCache>
                <c:ptCount val="6"/>
                <c:pt idx="0">
                  <c:v>2022 cash position</c:v>
                </c:pt>
                <c:pt idx="1">
                  <c:v>2023</c:v>
                </c:pt>
                <c:pt idx="2">
                  <c:v>2024E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</c:strCache>
            </c:strRef>
          </c:cat>
          <c:val>
            <c:numRef>
              <c:f>Charts_Support!$W$893:$AB$893</c:f>
              <c:numCache>
                <c:formatCode>#,##0_);\(#,##0\)</c:formatCode>
                <c:ptCount val="6"/>
                <c:pt idx="0">
                  <c:v>6099.7089999999998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F5-40F3-93B5-06167E8DD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858816"/>
        <c:axId val="561860608"/>
      </c:barChart>
      <c:catAx>
        <c:axId val="56185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561860608"/>
        <c:crosses val="autoZero"/>
        <c:auto val="1"/>
        <c:lblAlgn val="ctr"/>
        <c:lblOffset val="100"/>
        <c:noMultiLvlLbl val="0"/>
      </c:catAx>
      <c:valAx>
        <c:axId val="561860608"/>
        <c:scaling>
          <c:orientation val="minMax"/>
        </c:scaling>
        <c:delete val="0"/>
        <c:axPos val="l"/>
        <c:numFmt formatCode="#,##0_);\(#,##0\)" sourceLinked="1"/>
        <c:majorTickMark val="out"/>
        <c:minorTickMark val="none"/>
        <c:tickLblPos val="nextTo"/>
        <c:crossAx val="5618588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solidFill>
            <a:schemeClr val="bg1">
              <a:lumMod val="50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9053775550349E-2"/>
          <c:y val="0.11768240239040059"/>
          <c:w val="0.91981828482830652"/>
          <c:h val="0.67511129053817764"/>
        </c:manualLayout>
      </c:layout>
      <c:lineChart>
        <c:grouping val="standard"/>
        <c:varyColors val="0"/>
        <c:ser>
          <c:idx val="0"/>
          <c:order val="0"/>
          <c:tx>
            <c:strRef>
              <c:f>Charts_Support!$A$322</c:f>
              <c:strCache>
                <c:ptCount val="1"/>
                <c:pt idx="0">
                  <c:v>Receivables</c:v>
                </c:pt>
              </c:strCache>
            </c:strRef>
          </c:tx>
          <c:marker>
            <c:symbol val="none"/>
          </c:marke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Charts_Support!$K$322:$AE$322</c:f>
              <c:numCache>
                <c:formatCode>#,##0_);\(#,##0\)</c:formatCode>
                <c:ptCount val="21"/>
                <c:pt idx="0">
                  <c:v>9.0849293186530105</c:v>
                </c:pt>
                <c:pt idx="1">
                  <c:v>11.820165459058964</c:v>
                </c:pt>
                <c:pt idx="2">
                  <c:v>13.293232614393983</c:v>
                </c:pt>
                <c:pt idx="3">
                  <c:v>12.830253611976191</c:v>
                </c:pt>
                <c:pt idx="4">
                  <c:v>10.197813790876598</c:v>
                </c:pt>
                <c:pt idx="5">
                  <c:v>9.0911310400536927</c:v>
                </c:pt>
                <c:pt idx="6">
                  <c:v>8.1743864382823848</c:v>
                </c:pt>
                <c:pt idx="7">
                  <c:v>9.689369707141557</c:v>
                </c:pt>
                <c:pt idx="8">
                  <c:v>7.4549084497175215</c:v>
                </c:pt>
                <c:pt idx="9">
                  <c:v>8.4616329100824235</c:v>
                </c:pt>
                <c:pt idx="10">
                  <c:v>13.591178003005037</c:v>
                </c:pt>
                <c:pt idx="11">
                  <c:v>9.4212511845486091</c:v>
                </c:pt>
                <c:pt idx="12">
                  <c:v>9.5398224615827516</c:v>
                </c:pt>
                <c:pt idx="13">
                  <c:v>10.59735659842536</c:v>
                </c:pt>
                <c:pt idx="14">
                  <c:v>10.59735659842536</c:v>
                </c:pt>
                <c:pt idx="15">
                  <c:v>10.59735659842536</c:v>
                </c:pt>
                <c:pt idx="16">
                  <c:v>10.645177771278176</c:v>
                </c:pt>
                <c:pt idx="17">
                  <c:v>9.292510595567963</c:v>
                </c:pt>
                <c:pt idx="18">
                  <c:v>11.047235091325753</c:v>
                </c:pt>
                <c:pt idx="19">
                  <c:v>10.59735659842536</c:v>
                </c:pt>
                <c:pt idx="20">
                  <c:v>10.645177771278176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C-43FA-ADD0-77CF3FA6E151}"/>
            </c:ext>
          </c:extLst>
        </c:ser>
        <c:ser>
          <c:idx val="1"/>
          <c:order val="1"/>
          <c:tx>
            <c:strRef>
              <c:f>Charts_Support!$A$323</c:f>
              <c:strCache>
                <c:ptCount val="1"/>
                <c:pt idx="0">
                  <c:v>Inventories</c:v>
                </c:pt>
              </c:strCache>
            </c:strRef>
          </c:tx>
          <c:marker>
            <c:symbol val="none"/>
          </c:marke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Charts_Support!$K$323:$AE$323</c:f>
              <c:numCache>
                <c:formatCode>#,##0_);\(#,##0\)</c:formatCode>
                <c:ptCount val="21"/>
                <c:pt idx="0">
                  <c:v>35.907521507087118</c:v>
                </c:pt>
                <c:pt idx="1">
                  <c:v>34.227243911458608</c:v>
                </c:pt>
                <c:pt idx="2">
                  <c:v>39.830772051255664</c:v>
                </c:pt>
                <c:pt idx="3">
                  <c:v>40.042420461634435</c:v>
                </c:pt>
                <c:pt idx="4">
                  <c:v>38.613988441703711</c:v>
                </c:pt>
                <c:pt idx="5">
                  <c:v>44.543919574165464</c:v>
                </c:pt>
                <c:pt idx="6">
                  <c:v>43.622900083656674</c:v>
                </c:pt>
                <c:pt idx="7">
                  <c:v>51.448674090994807</c:v>
                </c:pt>
                <c:pt idx="8">
                  <c:v>49.329405636391606</c:v>
                </c:pt>
                <c:pt idx="9">
                  <c:v>35.748529376316277</c:v>
                </c:pt>
                <c:pt idx="10">
                  <c:v>44.372978008225544</c:v>
                </c:pt>
                <c:pt idx="11">
                  <c:v>35.163561219928091</c:v>
                </c:pt>
                <c:pt idx="12">
                  <c:v>40.930760114319909</c:v>
                </c:pt>
                <c:pt idx="13">
                  <c:v>38.108210079870894</c:v>
                </c:pt>
                <c:pt idx="14">
                  <c:v>38.108210079870894</c:v>
                </c:pt>
                <c:pt idx="15">
                  <c:v>38.108210079870894</c:v>
                </c:pt>
                <c:pt idx="16">
                  <c:v>38.909099752709913</c:v>
                </c:pt>
                <c:pt idx="17">
                  <c:v>43.203978265250043</c:v>
                </c:pt>
                <c:pt idx="18">
                  <c:v>41.391077513027689</c:v>
                </c:pt>
                <c:pt idx="19">
                  <c:v>38.108210079870894</c:v>
                </c:pt>
                <c:pt idx="20">
                  <c:v>38.909099752709913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BC-43FA-ADD0-77CF3FA6E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496448"/>
        <c:axId val="543502336"/>
      </c:lineChart>
      <c:lineChart>
        <c:grouping val="standard"/>
        <c:varyColors val="0"/>
        <c:ser>
          <c:idx val="2"/>
          <c:order val="2"/>
          <c:tx>
            <c:strRef>
              <c:f>Charts_Support!$A$324</c:f>
              <c:strCache>
                <c:ptCount val="1"/>
                <c:pt idx="0">
                  <c:v>Payables</c:v>
                </c:pt>
              </c:strCache>
            </c:strRef>
          </c:tx>
          <c:marker>
            <c:symbol val="none"/>
          </c:marker>
          <c:cat>
            <c:numRef>
              <c:f>Charts_Support!$K$386:$AE$386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 formatCode="###0&quot;E&quot;">
                  <c:v>2024</c:v>
                </c:pt>
                <c:pt idx="15" formatCode="###0&quot;E&quot;">
                  <c:v>2025</c:v>
                </c:pt>
                <c:pt idx="16" formatCode="###0&quot;E&quot;">
                  <c:v>2026</c:v>
                </c:pt>
                <c:pt idx="17" formatCode="###0&quot;E&quot;">
                  <c:v>2027</c:v>
                </c:pt>
                <c:pt idx="18" formatCode="###0&quot;E&quot;">
                  <c:v>2028</c:v>
                </c:pt>
                <c:pt idx="19" formatCode="###0&quot;E&quot;">
                  <c:v>2029</c:v>
                </c:pt>
                <c:pt idx="20" formatCode="###0&quot;E&quot;">
                  <c:v>2030</c:v>
                </c:pt>
              </c:numCache>
            </c:numRef>
          </c:cat>
          <c:val>
            <c:numRef>
              <c:f>Charts_Support!$K$324:$AE$324</c:f>
              <c:numCache>
                <c:formatCode>#,##0_);\(#,##0\)</c:formatCode>
                <c:ptCount val="21"/>
                <c:pt idx="0">
                  <c:v>72.416143026517389</c:v>
                </c:pt>
                <c:pt idx="1">
                  <c:v>86.722715712097084</c:v>
                </c:pt>
                <c:pt idx="2">
                  <c:v>81.747471953478808</c:v>
                </c:pt>
                <c:pt idx="3">
                  <c:v>87.870555208983149</c:v>
                </c:pt>
                <c:pt idx="4">
                  <c:v>98.587213172212756</c:v>
                </c:pt>
                <c:pt idx="5">
                  <c:v>97.399661659806483</c:v>
                </c:pt>
                <c:pt idx="6">
                  <c:v>108.04832580505318</c:v>
                </c:pt>
                <c:pt idx="7">
                  <c:v>101.39334575177509</c:v>
                </c:pt>
                <c:pt idx="8">
                  <c:v>121.35418425103828</c:v>
                </c:pt>
                <c:pt idx="9">
                  <c:v>109.4876877394311</c:v>
                </c:pt>
                <c:pt idx="10">
                  <c:v>98.838203177778041</c:v>
                </c:pt>
                <c:pt idx="11">
                  <c:v>69.639709712790989</c:v>
                </c:pt>
                <c:pt idx="12">
                  <c:v>79.570546365300657</c:v>
                </c:pt>
                <c:pt idx="13">
                  <c:v>79.909515266845375</c:v>
                </c:pt>
                <c:pt idx="14">
                  <c:v>79.909515266845375</c:v>
                </c:pt>
                <c:pt idx="15">
                  <c:v>79.909515266845375</c:v>
                </c:pt>
                <c:pt idx="16">
                  <c:v>81.023400778375972</c:v>
                </c:pt>
                <c:pt idx="17">
                  <c:v>75.447591611049361</c:v>
                </c:pt>
                <c:pt idx="18">
                  <c:v>76.858747787095623</c:v>
                </c:pt>
                <c:pt idx="19">
                  <c:v>79.909515266845375</c:v>
                </c:pt>
                <c:pt idx="20">
                  <c:v>81.023400778375972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BC-43FA-ADD0-77CF3FA6E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076095"/>
        <c:axId val="1708073471"/>
      </c:lineChart>
      <c:catAx>
        <c:axId val="54349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502336"/>
        <c:crosses val="autoZero"/>
        <c:auto val="1"/>
        <c:lblAlgn val="ctr"/>
        <c:lblOffset val="100"/>
        <c:noMultiLvlLbl val="0"/>
      </c:catAx>
      <c:valAx>
        <c:axId val="54350233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543496448"/>
        <c:crosses val="autoZero"/>
        <c:crossBetween val="between"/>
      </c:valAx>
      <c:valAx>
        <c:axId val="1708073471"/>
        <c:scaling>
          <c:orientation val="minMax"/>
        </c:scaling>
        <c:delete val="0"/>
        <c:axPos val="r"/>
        <c:numFmt formatCode="#,##0_);\(#,##0\)" sourceLinked="1"/>
        <c:majorTickMark val="out"/>
        <c:minorTickMark val="none"/>
        <c:tickLblPos val="nextTo"/>
        <c:crossAx val="1708076095"/>
        <c:crosses val="max"/>
        <c:crossBetween val="between"/>
      </c:valAx>
      <c:catAx>
        <c:axId val="17080760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073471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978232948508642"/>
          <c:y val="4.010669676062479E-2"/>
          <c:w val="0.62575459438292091"/>
          <c:h val="7.686394481239496E-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99836666400341E-2"/>
          <c:y val="5.6324889119696492E-2"/>
          <c:w val="0.89669606112736688"/>
          <c:h val="0.72727272727272729"/>
        </c:manualLayout>
      </c:layout>
      <c:areaChart>
        <c:grouping val="standard"/>
        <c:varyColors val="0"/>
        <c:ser>
          <c:idx val="0"/>
          <c:order val="0"/>
          <c:tx>
            <c:v>Bear to Bull</c:v>
          </c:tx>
          <c:spPr>
            <a:solidFill>
              <a:schemeClr val="bg1">
                <a:lumMod val="85000"/>
              </a:schemeClr>
            </a:solidFill>
            <a:ln w="25400">
              <a:noFill/>
              <a:prstDash val="solid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Charts_Support!$B$414:$AE$414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7.2412765416829048</c:v>
                </c:pt>
                <c:pt idx="19">
                  <c:v>11.953576280741968</c:v>
                </c:pt>
                <c:pt idx="20">
                  <c:v>7.0811698615309266</c:v>
                </c:pt>
                <c:pt idx="21">
                  <c:v>5.6740526587080211</c:v>
                </c:pt>
                <c:pt idx="22">
                  <c:v>6.0291363825781463</c:v>
                </c:pt>
                <c:pt idx="23">
                  <c:v>6.2337928843256618</c:v>
                </c:pt>
                <c:pt idx="24">
                  <c:v>5.7840999210287425</c:v>
                </c:pt>
                <c:pt idx="25">
                  <c:v>5.2666516668597021</c:v>
                </c:pt>
                <c:pt idx="26">
                  <c:v>4.7793311897748145</c:v>
                </c:pt>
                <c:pt idx="27">
                  <c:v>4.5357780701161889</c:v>
                </c:pt>
                <c:pt idx="28">
                  <c:v>4.1648964068895484</c:v>
                </c:pt>
                <c:pt idx="29">
                  <c:v>3.8007808197174371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24-49CB-9019-A372388F3538}"/>
            </c:ext>
          </c:extLst>
        </c:ser>
        <c:ser>
          <c:idx val="1"/>
          <c:order val="2"/>
          <c:tx>
            <c:strRef>
              <c:f>Charts_Support!$A$413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Charts_Support!$B$413:$AE$413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7.2412765416829048</c:v>
                </c:pt>
                <c:pt idx="19">
                  <c:v>11.953576280741968</c:v>
                </c:pt>
                <c:pt idx="20">
                  <c:v>7.0811698615309266</c:v>
                </c:pt>
                <c:pt idx="21">
                  <c:v>5.6740526587080211</c:v>
                </c:pt>
                <c:pt idx="22">
                  <c:v>6.0291363825781463</c:v>
                </c:pt>
                <c:pt idx="23">
                  <c:v>5.8210253461413695</c:v>
                </c:pt>
                <c:pt idx="24">
                  <c:v>5.1002748848571224</c:v>
                </c:pt>
                <c:pt idx="25">
                  <c:v>4.6055571665689152</c:v>
                </c:pt>
                <c:pt idx="26">
                  <c:v>4.174630140181562</c:v>
                </c:pt>
                <c:pt idx="27">
                  <c:v>3.8069702611997935</c:v>
                </c:pt>
                <c:pt idx="28">
                  <c:v>3.4626010124647149</c:v>
                </c:pt>
                <c:pt idx="29">
                  <c:v>3.1315389646183562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24-49CB-9019-A372388F3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76736"/>
        <c:axId val="488678528"/>
      </c:areaChart>
      <c:lineChart>
        <c:grouping val="standard"/>
        <c:varyColors val="0"/>
        <c:ser>
          <c:idx val="2"/>
          <c:order val="1"/>
          <c:tx>
            <c:strRef>
              <c:f>Charts_Support!$A$412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Charts_Support!$B$412:$AE$412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7.2412765416829048</c:v>
                </c:pt>
                <c:pt idx="19">
                  <c:v>11.953576280741968</c:v>
                </c:pt>
                <c:pt idx="20">
                  <c:v>7.0811698615309266</c:v>
                </c:pt>
                <c:pt idx="21">
                  <c:v>5.6740526587080211</c:v>
                </c:pt>
                <c:pt idx="22">
                  <c:v>6.0291363825781463</c:v>
                </c:pt>
                <c:pt idx="23">
                  <c:v>5.9359837158713731</c:v>
                </c:pt>
                <c:pt idx="24">
                  <c:v>5.3025173558689227</c:v>
                </c:pt>
                <c:pt idx="25">
                  <c:v>4.8338096981891772</c:v>
                </c:pt>
                <c:pt idx="26">
                  <c:v>4.4221068634582723</c:v>
                </c:pt>
                <c:pt idx="27">
                  <c:v>4.0950610519007693</c:v>
                </c:pt>
                <c:pt idx="28">
                  <c:v>3.7847599156749059</c:v>
                </c:pt>
                <c:pt idx="29">
                  <c:v>3.4820280098262693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4-49CB-9019-A372388F3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76736"/>
        <c:axId val="488678528"/>
      </c:lineChart>
      <c:catAx>
        <c:axId val="4886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8528"/>
        <c:crossesAt val="-0.8"/>
        <c:auto val="1"/>
        <c:lblAlgn val="ctr"/>
        <c:lblOffset val="100"/>
        <c:tickLblSkip val="1"/>
        <c:tickMarkSkip val="1"/>
        <c:noMultiLvlLbl val="0"/>
      </c:catAx>
      <c:valAx>
        <c:axId val="488678528"/>
        <c:scaling>
          <c:orientation val="minMax"/>
          <c:min val="-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67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59193213963849456"/>
          <c:y val="9.4066903771757775E-4"/>
          <c:w val="0.4080678603615055"/>
          <c:h val="0.2059902482281524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85436893203884"/>
          <c:y val="5.5374680906900363E-2"/>
          <c:w val="0.81165048543689322"/>
          <c:h val="0.76666567622443416"/>
        </c:manualLayout>
      </c:layout>
      <c:areaChart>
        <c:grouping val="standard"/>
        <c:varyColors val="0"/>
        <c:ser>
          <c:idx val="1"/>
          <c:order val="0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Charts_Support!$B$909:$AE$909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51.223479223479202</c:v>
                </c:pt>
                <c:pt idx="14">
                  <c:v>51.084456271160164</c:v>
                </c:pt>
                <c:pt idx="15">
                  <c:v>49.674269823938886</c:v>
                </c:pt>
                <c:pt idx="16">
                  <c:v>49.205012717204461</c:v>
                </c:pt>
                <c:pt idx="17">
                  <c:v>44.836932063156418</c:v>
                </c:pt>
                <c:pt idx="18">
                  <c:v>54.659458094697506</c:v>
                </c:pt>
                <c:pt idx="19">
                  <c:v>0</c:v>
                </c:pt>
                <c:pt idx="20">
                  <c:v>65.230002029158314</c:v>
                </c:pt>
                <c:pt idx="21">
                  <c:v>18.187354080920425</c:v>
                </c:pt>
                <c:pt idx="22">
                  <c:v>18.620891961564169</c:v>
                </c:pt>
                <c:pt idx="23">
                  <c:v>33.961347479488609</c:v>
                </c:pt>
                <c:pt idx="24">
                  <c:v>22.627996586209822</c:v>
                </c:pt>
                <c:pt idx="25">
                  <c:v>16.860637206011283</c:v>
                </c:pt>
                <c:pt idx="26">
                  <c:v>12.71059684741512</c:v>
                </c:pt>
                <c:pt idx="27">
                  <c:v>12.458278919902991</c:v>
                </c:pt>
                <c:pt idx="28">
                  <c:v>11.858299154099358</c:v>
                </c:pt>
                <c:pt idx="29">
                  <c:v>11.325962173597631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2-4886-A43A-163149572382}"/>
            </c:ext>
          </c:extLst>
        </c:ser>
        <c:ser>
          <c:idx val="2"/>
          <c:order val="1"/>
          <c:tx>
            <c:strRef>
              <c:f>Charts_Support!$A$908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Charts_Support!$B$908:$AE$908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51.223479223479202</c:v>
                </c:pt>
                <c:pt idx="14">
                  <c:v>51.084456271160164</c:v>
                </c:pt>
                <c:pt idx="15">
                  <c:v>49.674269823938886</c:v>
                </c:pt>
                <c:pt idx="16">
                  <c:v>49.205012717204461</c:v>
                </c:pt>
                <c:pt idx="17">
                  <c:v>44.836932063156418</c:v>
                </c:pt>
                <c:pt idx="18">
                  <c:v>54.659458094697506</c:v>
                </c:pt>
                <c:pt idx="19">
                  <c:v>0</c:v>
                </c:pt>
                <c:pt idx="20">
                  <c:v>65.230002029158314</c:v>
                </c:pt>
                <c:pt idx="21">
                  <c:v>18.187354080920425</c:v>
                </c:pt>
                <c:pt idx="22">
                  <c:v>18.620891961564169</c:v>
                </c:pt>
                <c:pt idx="23">
                  <c:v>26.523156418374302</c:v>
                </c:pt>
                <c:pt idx="24">
                  <c:v>16.434322261326052</c:v>
                </c:pt>
                <c:pt idx="25">
                  <c:v>12.735442348538006</c:v>
                </c:pt>
                <c:pt idx="26">
                  <c:v>9.9923194881649628</c:v>
                </c:pt>
                <c:pt idx="27">
                  <c:v>8.6286054745446421</c:v>
                </c:pt>
                <c:pt idx="28">
                  <c:v>8.0276232976142339</c:v>
                </c:pt>
                <c:pt idx="29">
                  <c:v>7.5016400660557876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12-4886-A43A-163149572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24640"/>
        <c:axId val="489826176"/>
      </c:areaChart>
      <c:lineChart>
        <c:grouping val="standard"/>
        <c:varyColors val="0"/>
        <c:ser>
          <c:idx val="0"/>
          <c:order val="2"/>
          <c:tx>
            <c:strRef>
              <c:f>Charts_Support!$A$907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Charts_Support!$B$907:$AE$907</c:f>
              <c:numCache>
                <c:formatCode>#,##0.0\x_);\(#,##0.0\x\)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9.9894496987857764</c:v>
                </c:pt>
                <c:pt idx="3">
                  <c:v>18.090693297285412</c:v>
                </c:pt>
                <c:pt idx="4">
                  <c:v>15.217784851046884</c:v>
                </c:pt>
                <c:pt idx="5">
                  <c:v>45.440527147274295</c:v>
                </c:pt>
                <c:pt idx="6">
                  <c:v>17.499480598200385</c:v>
                </c:pt>
                <c:pt idx="7">
                  <c:v>23.226768339558468</c:v>
                </c:pt>
                <c:pt idx="8">
                  <c:v>53.133438716891156</c:v>
                </c:pt>
                <c:pt idx="9">
                  <c:v>48.423683758083961</c:v>
                </c:pt>
                <c:pt idx="10">
                  <c:v>38.849859762263563</c:v>
                </c:pt>
                <c:pt idx="11">
                  <c:v>47.189911748257529</c:v>
                </c:pt>
                <c:pt idx="12">
                  <c:v>41.186414943620726</c:v>
                </c:pt>
                <c:pt idx="13">
                  <c:v>51.223479223479202</c:v>
                </c:pt>
                <c:pt idx="14">
                  <c:v>51.084456271160164</c:v>
                </c:pt>
                <c:pt idx="15">
                  <c:v>49.674269823938886</c:v>
                </c:pt>
                <c:pt idx="16">
                  <c:v>49.205012717204461</c:v>
                </c:pt>
                <c:pt idx="17">
                  <c:v>44.836932063156418</c:v>
                </c:pt>
                <c:pt idx="18">
                  <c:v>54.659458094697506</c:v>
                </c:pt>
                <c:pt idx="19">
                  <c:v>0</c:v>
                </c:pt>
                <c:pt idx="20">
                  <c:v>65.230002029158314</c:v>
                </c:pt>
                <c:pt idx="21">
                  <c:v>18.187354080920425</c:v>
                </c:pt>
                <c:pt idx="22">
                  <c:v>18.620891961564169</c:v>
                </c:pt>
                <c:pt idx="23">
                  <c:v>28.609488109056578</c:v>
                </c:pt>
                <c:pt idx="24">
                  <c:v>18.400052798677613</c:v>
                </c:pt>
                <c:pt idx="25">
                  <c:v>14.306286467547539</c:v>
                </c:pt>
                <c:pt idx="26">
                  <c:v>11.183836239295962</c:v>
                </c:pt>
                <c:pt idx="27">
                  <c:v>10.140956691840293</c:v>
                </c:pt>
                <c:pt idx="28">
                  <c:v>9.6377710058845043</c:v>
                </c:pt>
                <c:pt idx="29">
                  <c:v>9.1827141626278355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12-4886-A43A-163149572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24640"/>
        <c:axId val="489826176"/>
      </c:lineChart>
      <c:catAx>
        <c:axId val="48982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6176"/>
        <c:crosses val="autoZero"/>
        <c:auto val="1"/>
        <c:lblAlgn val="ctr"/>
        <c:lblOffset val="100"/>
        <c:noMultiLvlLbl val="0"/>
      </c:catAx>
      <c:valAx>
        <c:axId val="489826176"/>
        <c:scaling>
          <c:orientation val="minMax"/>
          <c:max val="4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464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9.9300277737658538E-2"/>
          <c:y val="0.70034510888841595"/>
          <c:w val="0.33928056184008781"/>
          <c:h val="7.1844718734482518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99836666400341E-2"/>
          <c:y val="5.6324889119696492E-2"/>
          <c:w val="0.89669606112736688"/>
          <c:h val="0.72727272727272729"/>
        </c:manualLayout>
      </c:layout>
      <c:areaChart>
        <c:grouping val="standard"/>
        <c:varyColors val="0"/>
        <c:ser>
          <c:idx val="0"/>
          <c:order val="0"/>
          <c:tx>
            <c:v>Bear to Bull</c:v>
          </c:tx>
          <c:spPr>
            <a:solidFill>
              <a:schemeClr val="bg1">
                <a:lumMod val="85000"/>
              </a:schemeClr>
            </a:solidFill>
            <a:ln w="25400">
              <a:noFill/>
              <a:prstDash val="solid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Charts_Support!$B$904:$AE$904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8.9728557104049234</c:v>
                </c:pt>
                <c:pt idx="19">
                  <c:v>40.003953388987085</c:v>
                </c:pt>
                <c:pt idx="20">
                  <c:v>9.7019780496174679</c:v>
                </c:pt>
                <c:pt idx="21">
                  <c:v>6.5428546368487952</c:v>
                </c:pt>
                <c:pt idx="22">
                  <c:v>7.2163012735314958</c:v>
                </c:pt>
                <c:pt idx="23">
                  <c:v>7.1697345349939141</c:v>
                </c:pt>
                <c:pt idx="24">
                  <c:v>6.550105466988672</c:v>
                </c:pt>
                <c:pt idx="25">
                  <c:v>5.845479707406926</c:v>
                </c:pt>
                <c:pt idx="26">
                  <c:v>5.1730279304390647</c:v>
                </c:pt>
                <c:pt idx="27">
                  <c:v>4.9086716725034458</c:v>
                </c:pt>
                <c:pt idx="28">
                  <c:v>4.444563918087689</c:v>
                </c:pt>
                <c:pt idx="29">
                  <c:v>3.988636710410209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D-4616-B256-28C2BABF7DDC}"/>
            </c:ext>
          </c:extLst>
        </c:ser>
        <c:ser>
          <c:idx val="1"/>
          <c:order val="2"/>
          <c:tx>
            <c:strRef>
              <c:f>Charts_Support!$A$903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</c:spP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Charts_Support!$B$903:$AE$903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8.9728557104049234</c:v>
                </c:pt>
                <c:pt idx="19">
                  <c:v>40.003953388987085</c:v>
                </c:pt>
                <c:pt idx="20">
                  <c:v>9.7019780496174679</c:v>
                </c:pt>
                <c:pt idx="21">
                  <c:v>6.5428546368487952</c:v>
                </c:pt>
                <c:pt idx="22">
                  <c:v>7.2163012735314958</c:v>
                </c:pt>
                <c:pt idx="23">
                  <c:v>6.7923410288079262</c:v>
                </c:pt>
                <c:pt idx="24">
                  <c:v>5.9263468630992859</c:v>
                </c:pt>
                <c:pt idx="25">
                  <c:v>5.2646297481127977</c:v>
                </c:pt>
                <c:pt idx="26">
                  <c:v>4.6775242730933337</c:v>
                </c:pt>
                <c:pt idx="27">
                  <c:v>4.1286875740812672</c:v>
                </c:pt>
                <c:pt idx="28">
                  <c:v>3.7024956482121012</c:v>
                </c:pt>
                <c:pt idx="29">
                  <c:v>3.2936472644620323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D-4616-B256-28C2BABF7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76736"/>
        <c:axId val="488678528"/>
      </c:areaChart>
      <c:lineChart>
        <c:grouping val="standard"/>
        <c:varyColors val="0"/>
        <c:ser>
          <c:idx val="2"/>
          <c:order val="1"/>
          <c:tx>
            <c:strRef>
              <c:f>Charts_Support!$A$902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Charts_Support!$B$6:$AE$6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Charts_Support!$B$902:$AE$902</c:f>
              <c:numCache>
                <c:formatCode>#,##0.0\x_);\(#,##0.0\x\)</c:formatCode>
                <c:ptCount val="30"/>
                <c:pt idx="0">
                  <c:v>0.2775542554285681</c:v>
                </c:pt>
                <c:pt idx="1">
                  <c:v>-0.29711411476336475</c:v>
                </c:pt>
                <c:pt idx="2">
                  <c:v>2.7980800030827844</c:v>
                </c:pt>
                <c:pt idx="3">
                  <c:v>5.3370702883658172</c:v>
                </c:pt>
                <c:pt idx="4">
                  <c:v>7.094653524705409</c:v>
                </c:pt>
                <c:pt idx="5">
                  <c:v>10.34062409733988</c:v>
                </c:pt>
                <c:pt idx="6">
                  <c:v>7.2408363312422974</c:v>
                </c:pt>
                <c:pt idx="7">
                  <c:v>4.2169326216224325</c:v>
                </c:pt>
                <c:pt idx="8">
                  <c:v>6.5996244886206892</c:v>
                </c:pt>
                <c:pt idx="9">
                  <c:v>8.5961731610574876</c:v>
                </c:pt>
                <c:pt idx="10">
                  <c:v>10.549121090158556</c:v>
                </c:pt>
                <c:pt idx="11">
                  <c:v>11.907631221374759</c:v>
                </c:pt>
                <c:pt idx="12">
                  <c:v>16.023928225623699</c:v>
                </c:pt>
                <c:pt idx="13">
                  <c:v>16.313379938791847</c:v>
                </c:pt>
                <c:pt idx="14">
                  <c:v>14.533249072640325</c:v>
                </c:pt>
                <c:pt idx="15">
                  <c:v>12.182660431972296</c:v>
                </c:pt>
                <c:pt idx="16">
                  <c:v>11.018932474555553</c:v>
                </c:pt>
                <c:pt idx="17">
                  <c:v>11.039990218960767</c:v>
                </c:pt>
                <c:pt idx="18">
                  <c:v>8.9728557104049234</c:v>
                </c:pt>
                <c:pt idx="19">
                  <c:v>40.003953388987085</c:v>
                </c:pt>
                <c:pt idx="20">
                  <c:v>9.7019780496174679</c:v>
                </c:pt>
                <c:pt idx="21">
                  <c:v>6.5428546368487952</c:v>
                </c:pt>
                <c:pt idx="22">
                  <c:v>7.2163012735314958</c:v>
                </c:pt>
                <c:pt idx="23">
                  <c:v>6.9328600465963648</c:v>
                </c:pt>
                <c:pt idx="24">
                  <c:v>6.1788540912699936</c:v>
                </c:pt>
                <c:pt idx="25">
                  <c:v>5.54271199349055</c:v>
                </c:pt>
                <c:pt idx="26">
                  <c:v>4.9727054847384595</c:v>
                </c:pt>
                <c:pt idx="27">
                  <c:v>4.562431024636874</c:v>
                </c:pt>
                <c:pt idx="28">
                  <c:v>4.1734545064239974</c:v>
                </c:pt>
                <c:pt idx="29">
                  <c:v>3.7946795122801249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D-4616-B256-28C2BABF7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76736"/>
        <c:axId val="488678528"/>
      </c:lineChart>
      <c:catAx>
        <c:axId val="4886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8528"/>
        <c:crossesAt val="-0.8"/>
        <c:auto val="1"/>
        <c:lblAlgn val="ctr"/>
        <c:lblOffset val="100"/>
        <c:tickLblSkip val="1"/>
        <c:tickMarkSkip val="1"/>
        <c:noMultiLvlLbl val="0"/>
      </c:catAx>
      <c:valAx>
        <c:axId val="488678528"/>
        <c:scaling>
          <c:orientation val="minMax"/>
          <c:max val="20"/>
          <c:min val="-0.60000000000000009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86767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7.423541709330865E-2"/>
          <c:y val="1.3855800690705309E-2"/>
          <c:w val="0.4080678603615055"/>
          <c:h val="0.2059902482281524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85436065223647"/>
          <c:y val="5.9763816075285227E-2"/>
          <c:w val="0.81165048543689322"/>
          <c:h val="0.76666567622443416"/>
        </c:manualLayout>
      </c:layout>
      <c:areaChart>
        <c:grouping val="standard"/>
        <c:varyColors val="0"/>
        <c:ser>
          <c:idx val="2"/>
          <c:order val="0"/>
          <c:tx>
            <c:strRef>
              <c:f>Charts_Support!$A$915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Charts_Support!$B$914:$AE$914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26.723379350687335</c:v>
                </c:pt>
                <c:pt idx="19">
                  <c:v>25.205651644336172</c:v>
                </c:pt>
                <c:pt idx="20">
                  <c:v>26.50598570994223</c:v>
                </c:pt>
                <c:pt idx="21">
                  <c:v>23.201184807916178</c:v>
                </c:pt>
                <c:pt idx="22">
                  <c:v>27.091036599099102</c:v>
                </c:pt>
                <c:pt idx="23">
                  <c:v>26.859573478202773</c:v>
                </c:pt>
                <c:pt idx="24">
                  <c:v>25.936339706430026</c:v>
                </c:pt>
                <c:pt idx="25">
                  <c:v>25.045200588493131</c:v>
                </c:pt>
                <c:pt idx="26">
                  <c:v>24.096771994766836</c:v>
                </c:pt>
                <c:pt idx="27">
                  <c:v>23.251693501516868</c:v>
                </c:pt>
                <c:pt idx="28">
                  <c:v>22.389316748266392</c:v>
                </c:pt>
                <c:pt idx="29">
                  <c:v>21.489505282362273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8-485C-B236-3C3E2C5120FB}"/>
            </c:ext>
          </c:extLst>
        </c:ser>
        <c:ser>
          <c:idx val="1"/>
          <c:order val="2"/>
          <c:tx>
            <c:v>Bull to Bear</c:v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Charts_Support!$B$916:$AE$916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26.723379350687335</c:v>
                </c:pt>
                <c:pt idx="19">
                  <c:v>25.205651644336172</c:v>
                </c:pt>
                <c:pt idx="20">
                  <c:v>26.50598570994223</c:v>
                </c:pt>
                <c:pt idx="21">
                  <c:v>23.201184807916178</c:v>
                </c:pt>
                <c:pt idx="22">
                  <c:v>27.091036599099102</c:v>
                </c:pt>
                <c:pt idx="23">
                  <c:v>26.906579107131158</c:v>
                </c:pt>
                <c:pt idx="24">
                  <c:v>25.789810724555338</c:v>
                </c:pt>
                <c:pt idx="25">
                  <c:v>24.628201116918508</c:v>
                </c:pt>
                <c:pt idx="26">
                  <c:v>23.295666133786487</c:v>
                </c:pt>
                <c:pt idx="27">
                  <c:v>22.205189175396153</c:v>
                </c:pt>
                <c:pt idx="28">
                  <c:v>21.131916138530137</c:v>
                </c:pt>
                <c:pt idx="29">
                  <c:v>20.015435594043907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8-485C-B236-3C3E2C512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24640"/>
        <c:axId val="489826176"/>
      </c:areaChart>
      <c:lineChart>
        <c:grouping val="standard"/>
        <c:varyColors val="0"/>
        <c:ser>
          <c:idx val="0"/>
          <c:order val="1"/>
          <c:tx>
            <c:strRef>
              <c:f>Charts_Support!$A$914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Charts_Support!$B$914:$AE$914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26.723379350687335</c:v>
                </c:pt>
                <c:pt idx="19">
                  <c:v>25.205651644336172</c:v>
                </c:pt>
                <c:pt idx="20">
                  <c:v>26.50598570994223</c:v>
                </c:pt>
                <c:pt idx="21">
                  <c:v>23.201184807916178</c:v>
                </c:pt>
                <c:pt idx="22">
                  <c:v>27.091036599099102</c:v>
                </c:pt>
                <c:pt idx="23">
                  <c:v>26.859573478202773</c:v>
                </c:pt>
                <c:pt idx="24">
                  <c:v>25.936339706430026</c:v>
                </c:pt>
                <c:pt idx="25">
                  <c:v>25.045200588493131</c:v>
                </c:pt>
                <c:pt idx="26">
                  <c:v>24.096771994766836</c:v>
                </c:pt>
                <c:pt idx="27">
                  <c:v>23.251693501516868</c:v>
                </c:pt>
                <c:pt idx="28">
                  <c:v>22.389316748266392</c:v>
                </c:pt>
                <c:pt idx="29">
                  <c:v>21.489505282362273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C8-485C-B236-3C3E2C512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24640"/>
        <c:axId val="489826176"/>
      </c:lineChart>
      <c:catAx>
        <c:axId val="48982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6176"/>
        <c:crosses val="autoZero"/>
        <c:auto val="1"/>
        <c:lblAlgn val="ctr"/>
        <c:lblOffset val="100"/>
        <c:noMultiLvlLbl val="0"/>
      </c:catAx>
      <c:valAx>
        <c:axId val="489826176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464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382197737927137"/>
          <c:y val="2.4669593884676651E-2"/>
          <c:w val="0.33928056184008781"/>
          <c:h val="7.1844718734482518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460179042606142E-2"/>
          <c:y val="5.9762426192196197E-2"/>
          <c:w val="0.8420446570784974"/>
          <c:h val="0.76666567622443416"/>
        </c:manualLayout>
      </c:layout>
      <c:areaChart>
        <c:grouping val="standard"/>
        <c:varyColors val="0"/>
        <c:ser>
          <c:idx val="1"/>
          <c:order val="1"/>
          <c:tx>
            <c:v>Bull to Bear</c:v>
          </c:tx>
          <c:spPr>
            <a:solidFill>
              <a:schemeClr val="bg1">
                <a:lumMod val="85000"/>
              </a:schemeClr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Charts_Support!$B$919:$AE$919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20.124414741152382</c:v>
                </c:pt>
                <c:pt idx="19">
                  <c:v>17.50163215590743</c:v>
                </c:pt>
                <c:pt idx="20">
                  <c:v>19.280910003040439</c:v>
                </c:pt>
                <c:pt idx="21">
                  <c:v>16.803684516880093</c:v>
                </c:pt>
                <c:pt idx="22">
                  <c:v>21.930544763513513</c:v>
                </c:pt>
                <c:pt idx="23">
                  <c:v>21.765138946443869</c:v>
                </c:pt>
                <c:pt idx="24">
                  <c:v>20.877693788582256</c:v>
                </c:pt>
                <c:pt idx="25">
                  <c:v>19.976404349828513</c:v>
                </c:pt>
                <c:pt idx="26">
                  <c:v>19.018842185024127</c:v>
                </c:pt>
                <c:pt idx="27">
                  <c:v>18.176800002744606</c:v>
                </c:pt>
                <c:pt idx="28">
                  <c:v>17.318601453516141</c:v>
                </c:pt>
                <c:pt idx="29">
                  <c:v>16.423803707536457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F-4F0E-B92C-360B4EAC9A38}"/>
            </c:ext>
          </c:extLst>
        </c:ser>
        <c:ser>
          <c:idx val="2"/>
          <c:order val="2"/>
          <c:tx>
            <c:strRef>
              <c:f>Charts_Support!$A$920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bg1"/>
            </a:solidFill>
            <a:ln>
              <a:noFill/>
              <a:prstDash val="sysDash"/>
            </a:ln>
          </c:spP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Charts_Support!$B$920:$AE$920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20.124414741152382</c:v>
                </c:pt>
                <c:pt idx="19">
                  <c:v>17.50163215590743</c:v>
                </c:pt>
                <c:pt idx="20">
                  <c:v>19.280910003040439</c:v>
                </c:pt>
                <c:pt idx="21">
                  <c:v>16.803684516880093</c:v>
                </c:pt>
                <c:pt idx="22">
                  <c:v>21.930544763513513</c:v>
                </c:pt>
                <c:pt idx="23">
                  <c:v>21.697267249946268</c:v>
                </c:pt>
                <c:pt idx="24">
                  <c:v>20.715882978680625</c:v>
                </c:pt>
                <c:pt idx="25">
                  <c:v>19.729690355722376</c:v>
                </c:pt>
                <c:pt idx="26">
                  <c:v>18.687872378624217</c:v>
                </c:pt>
                <c:pt idx="27">
                  <c:v>17.574488731172043</c:v>
                </c:pt>
                <c:pt idx="28">
                  <c:v>16.473106822066793</c:v>
                </c:pt>
                <c:pt idx="29">
                  <c:v>15.336889017158292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EF-4F0E-B92C-360B4EAC9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24640"/>
        <c:axId val="489826176"/>
      </c:areaChart>
      <c:lineChart>
        <c:grouping val="standard"/>
        <c:varyColors val="0"/>
        <c:ser>
          <c:idx val="0"/>
          <c:order val="0"/>
          <c:tx>
            <c:strRef>
              <c:f>Charts_Support!$A$919</c:f>
              <c:strCache>
                <c:ptCount val="1"/>
                <c:pt idx="0">
                  <c:v>Base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Charts_Support!$B$287:$AE$287</c:f>
              <c:numCache>
                <c:formatCode>General</c:formatCode>
                <c:ptCount val="3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 formatCode="###0&quot;E&quot;">
                  <c:v>2024</c:v>
                </c:pt>
                <c:pt idx="24" formatCode="###0&quot;E&quot;">
                  <c:v>2025</c:v>
                </c:pt>
                <c:pt idx="25" formatCode="###0&quot;E&quot;">
                  <c:v>2026</c:v>
                </c:pt>
                <c:pt idx="26" formatCode="###0&quot;E&quot;">
                  <c:v>2027</c:v>
                </c:pt>
                <c:pt idx="27" formatCode="###0&quot;E&quot;">
                  <c:v>2028</c:v>
                </c:pt>
                <c:pt idx="28" formatCode="###0&quot;E&quot;">
                  <c:v>2029</c:v>
                </c:pt>
                <c:pt idx="29" formatCode="###0&quot;E&quot;">
                  <c:v>2030</c:v>
                </c:pt>
              </c:numCache>
            </c:numRef>
          </c:cat>
          <c:val>
            <c:numRef>
              <c:f>Charts_Support!$B$919:$AE$919</c:f>
              <c:numCache>
                <c:formatCode>#,##0.0\x_);\(#,##0.0\x\)</c:formatCode>
                <c:ptCount val="30"/>
                <c:pt idx="0">
                  <c:v>0.32420494699646646</c:v>
                </c:pt>
                <c:pt idx="1">
                  <c:v>-0.33351754385964916</c:v>
                </c:pt>
                <c:pt idx="2">
                  <c:v>3.200517906336088</c:v>
                </c:pt>
                <c:pt idx="3">
                  <c:v>6.8496964705882357</c:v>
                </c:pt>
                <c:pt idx="4">
                  <c:v>8.891225402504471</c:v>
                </c:pt>
                <c:pt idx="5">
                  <c:v>15.119808417997096</c:v>
                </c:pt>
                <c:pt idx="6">
                  <c:v>11.577037220843671</c:v>
                </c:pt>
                <c:pt idx="7">
                  <c:v>4.6847761033369206</c:v>
                </c:pt>
                <c:pt idx="8">
                  <c:v>6.9340147058823529</c:v>
                </c:pt>
                <c:pt idx="9">
                  <c:v>8.4910039564787336</c:v>
                </c:pt>
                <c:pt idx="10">
                  <c:v>10.919829155060352</c:v>
                </c:pt>
                <c:pt idx="11">
                  <c:v>16.492889750215326</c:v>
                </c:pt>
                <c:pt idx="12">
                  <c:v>23.152611622962436</c:v>
                </c:pt>
                <c:pt idx="13">
                  <c:v>21.085039796390561</c:v>
                </c:pt>
                <c:pt idx="14">
                  <c:v>27.384187034603592</c:v>
                </c:pt>
                <c:pt idx="15">
                  <c:v>25.101724220623495</c:v>
                </c:pt>
                <c:pt idx="16">
                  <c:v>26.233838733431519</c:v>
                </c:pt>
                <c:pt idx="17">
                  <c:v>24.006704105870377</c:v>
                </c:pt>
                <c:pt idx="18">
                  <c:v>20.124414741152382</c:v>
                </c:pt>
                <c:pt idx="19">
                  <c:v>17.50163215590743</c:v>
                </c:pt>
                <c:pt idx="20">
                  <c:v>19.280910003040439</c:v>
                </c:pt>
                <c:pt idx="21">
                  <c:v>16.803684516880093</c:v>
                </c:pt>
                <c:pt idx="22">
                  <c:v>21.930544763513513</c:v>
                </c:pt>
                <c:pt idx="23">
                  <c:v>21.765138946443869</c:v>
                </c:pt>
                <c:pt idx="24">
                  <c:v>20.877693788582256</c:v>
                </c:pt>
                <c:pt idx="25">
                  <c:v>19.976404349828513</c:v>
                </c:pt>
                <c:pt idx="26">
                  <c:v>19.018842185024127</c:v>
                </c:pt>
                <c:pt idx="27">
                  <c:v>18.176800002744606</c:v>
                </c:pt>
                <c:pt idx="28">
                  <c:v>17.318601453516141</c:v>
                </c:pt>
                <c:pt idx="29">
                  <c:v>16.423803707536457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EF-4F0E-B92C-360B4EAC9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24640"/>
        <c:axId val="489826176"/>
      </c:lineChart>
      <c:catAx>
        <c:axId val="48982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6176"/>
        <c:crosses val="autoZero"/>
        <c:auto val="1"/>
        <c:lblAlgn val="ctr"/>
        <c:lblOffset val="100"/>
        <c:noMultiLvlLbl val="0"/>
      </c:catAx>
      <c:valAx>
        <c:axId val="489826176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8982464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2382197737927137"/>
          <c:y val="2.4669593884676651E-2"/>
          <c:w val="0.33928056184008781"/>
          <c:h val="7.1844718734482518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59304523067322"/>
          <c:y val="0.17182482440871985"/>
          <c:w val="0.54875144225835115"/>
          <c:h val="0.8071424125638792"/>
        </c:manualLayout>
      </c:layout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chemeClr val="accent2">
                  <a:lumMod val="5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E88-4C36-BF56-40F699A1EE7D}"/>
              </c:ext>
            </c:extLst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E88-4C36-BF56-40F699A1EE7D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E88-4C36-BF56-40F699A1EE7D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E88-4C36-BF56-40F699A1EE7D}"/>
              </c:ext>
            </c:extLst>
          </c:dPt>
          <c:dPt>
            <c:idx val="4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E88-4C36-BF56-40F699A1EE7D}"/>
              </c:ext>
            </c:extLst>
          </c:dPt>
          <c:dPt>
            <c:idx val="5"/>
            <c:bubble3D val="0"/>
            <c:spPr>
              <a:solidFill>
                <a:schemeClr val="tx2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E88-4C36-BF56-40F699A1EE7D}"/>
              </c:ext>
            </c:extLst>
          </c:dPt>
          <c:dLbls>
            <c:dLbl>
              <c:idx val="0"/>
              <c:layout>
                <c:manualLayout>
                  <c:x val="6.0016121532941627E-2"/>
                  <c:y val="-1.345944964613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88-4C36-BF56-40F699A1EE7D}"/>
                </c:ext>
              </c:extLst>
            </c:dLbl>
            <c:dLbl>
              <c:idx val="1"/>
              <c:layout>
                <c:manualLayout>
                  <c:x val="0.21223056180741556"/>
                  <c:y val="-8.09058588932344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8-4C36-BF56-40F699A1EE7D}"/>
                </c:ext>
              </c:extLst>
            </c:dLbl>
            <c:dLbl>
              <c:idx val="2"/>
              <c:layout>
                <c:manualLayout>
                  <c:x val="0.17848588530560328"/>
                  <c:y val="-0.1989108455045154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E88-4C36-BF56-40F699A1EE7D}"/>
                </c:ext>
              </c:extLst>
            </c:dLbl>
            <c:dLbl>
              <c:idx val="4"/>
              <c:layout>
                <c:manualLayout>
                  <c:x val="-2.0445530905474175E-2"/>
                  <c:y val="1.53916950946026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88-4C36-BF56-40F699A1EE7D}"/>
                </c:ext>
              </c:extLst>
            </c:dLbl>
            <c:dLbl>
              <c:idx val="5"/>
              <c:layout>
                <c:manualLayout>
                  <c:x val="-1.1618655278817549E-2"/>
                  <c:y val="2.52462223930020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8-4C36-BF56-40F699A1EE7D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Ownership!$A$6:$A$9</c:f>
              <c:strCache>
                <c:ptCount val="4"/>
                <c:pt idx="0">
                  <c:v>Cosme Torrado Martinez</c:v>
                </c:pt>
                <c:pt idx="1">
                  <c:v>Armando Torrado Martinez</c:v>
                </c:pt>
                <c:pt idx="2">
                  <c:v>Alberto Torrado Martinez</c:v>
                </c:pt>
                <c:pt idx="3">
                  <c:v>Free Float</c:v>
                </c:pt>
              </c:strCache>
            </c:strRef>
          </c:cat>
          <c:val>
            <c:numRef>
              <c:f>Ownership!$C$6:$C$9</c:f>
              <c:numCache>
                <c:formatCode>0%</c:formatCode>
                <c:ptCount val="4"/>
                <c:pt idx="0">
                  <c:v>0.1237</c:v>
                </c:pt>
                <c:pt idx="1">
                  <c:v>0.1229</c:v>
                </c:pt>
                <c:pt idx="2">
                  <c:v>0.12089999999999999</c:v>
                </c:pt>
                <c:pt idx="3">
                  <c:v>0.63249999999999995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88-4C36-BF56-40F699A1E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0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Q_BS!A4"/><Relationship Id="rId13" Type="http://schemas.openxmlformats.org/officeDocument/2006/relationships/hyperlink" Target="#Q_BS!A19"/><Relationship Id="rId18" Type="http://schemas.openxmlformats.org/officeDocument/2006/relationships/hyperlink" Target="#Bear!A1"/><Relationship Id="rId3" Type="http://schemas.openxmlformats.org/officeDocument/2006/relationships/hyperlink" Target="#Financials!A1"/><Relationship Id="rId21" Type="http://schemas.openxmlformats.org/officeDocument/2006/relationships/hyperlink" Target="#RiskReward!A1"/><Relationship Id="rId7" Type="http://schemas.openxmlformats.org/officeDocument/2006/relationships/hyperlink" Target="#Q_Financials!A60"/><Relationship Id="rId12" Type="http://schemas.openxmlformats.org/officeDocument/2006/relationships/hyperlink" Target="#Inputs!A1"/><Relationship Id="rId17" Type="http://schemas.openxmlformats.org/officeDocument/2006/relationships/hyperlink" Target="#Base!A1"/><Relationship Id="rId2" Type="http://schemas.openxmlformats.org/officeDocument/2006/relationships/hyperlink" Target="#Charts!A1"/><Relationship Id="rId16" Type="http://schemas.openxmlformats.org/officeDocument/2006/relationships/hyperlink" Target="#Q_BS!A78"/><Relationship Id="rId20" Type="http://schemas.openxmlformats.org/officeDocument/2006/relationships/hyperlink" Target="#Ownership!A1"/><Relationship Id="rId1" Type="http://schemas.openxmlformats.org/officeDocument/2006/relationships/image" Target="../media/image3.png"/><Relationship Id="rId6" Type="http://schemas.openxmlformats.org/officeDocument/2006/relationships/hyperlink" Target="#DCF!A1"/><Relationship Id="rId11" Type="http://schemas.openxmlformats.org/officeDocument/2006/relationships/hyperlink" Target="#IS!A1"/><Relationship Id="rId5" Type="http://schemas.openxmlformats.org/officeDocument/2006/relationships/hyperlink" Target="#MSvsConsensus!A1"/><Relationship Id="rId15" Type="http://schemas.openxmlformats.org/officeDocument/2006/relationships/hyperlink" Target="#Q_BS!A39"/><Relationship Id="rId10" Type="http://schemas.openxmlformats.org/officeDocument/2006/relationships/hyperlink" Target="#Q_Financials!A4"/><Relationship Id="rId19" Type="http://schemas.openxmlformats.org/officeDocument/2006/relationships/hyperlink" Target="#Bull!A1"/><Relationship Id="rId4" Type="http://schemas.openxmlformats.org/officeDocument/2006/relationships/hyperlink" Target="#Summary!A1"/><Relationship Id="rId9" Type="http://schemas.openxmlformats.org/officeDocument/2006/relationships/hyperlink" Target="#Q_IS!A1"/><Relationship Id="rId14" Type="http://schemas.openxmlformats.org/officeDocument/2006/relationships/hyperlink" Target="#Q_Financials!A99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5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63" Type="http://schemas.openxmlformats.org/officeDocument/2006/relationships/chart" Target="../charts/chart63.xml"/><Relationship Id="rId84" Type="http://schemas.openxmlformats.org/officeDocument/2006/relationships/chart" Target="../charts/chart82.xml"/><Relationship Id="rId138" Type="http://schemas.openxmlformats.org/officeDocument/2006/relationships/chart" Target="../charts/chart136.xml"/><Relationship Id="rId159" Type="http://schemas.openxmlformats.org/officeDocument/2006/relationships/chart" Target="../charts/chart157.xml"/><Relationship Id="rId170" Type="http://schemas.openxmlformats.org/officeDocument/2006/relationships/chart" Target="../charts/chart168.xml"/><Relationship Id="rId191" Type="http://schemas.openxmlformats.org/officeDocument/2006/relationships/chart" Target="../charts/chart189.xml"/><Relationship Id="rId205" Type="http://schemas.openxmlformats.org/officeDocument/2006/relationships/chart" Target="../charts/chart203.xml"/><Relationship Id="rId226" Type="http://schemas.openxmlformats.org/officeDocument/2006/relationships/chart" Target="../charts/chart224.xml"/><Relationship Id="rId107" Type="http://schemas.openxmlformats.org/officeDocument/2006/relationships/chart" Target="../charts/chart105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53" Type="http://schemas.openxmlformats.org/officeDocument/2006/relationships/chart" Target="../charts/chart53.xml"/><Relationship Id="rId74" Type="http://schemas.openxmlformats.org/officeDocument/2006/relationships/chart" Target="../charts/chart74.xml"/><Relationship Id="rId128" Type="http://schemas.openxmlformats.org/officeDocument/2006/relationships/chart" Target="../charts/chart126.xml"/><Relationship Id="rId149" Type="http://schemas.openxmlformats.org/officeDocument/2006/relationships/chart" Target="../charts/chart147.xml"/><Relationship Id="rId5" Type="http://schemas.openxmlformats.org/officeDocument/2006/relationships/chart" Target="../charts/chart5.xml"/><Relationship Id="rId95" Type="http://schemas.openxmlformats.org/officeDocument/2006/relationships/chart" Target="../charts/chart93.xml"/><Relationship Id="rId160" Type="http://schemas.openxmlformats.org/officeDocument/2006/relationships/chart" Target="../charts/chart158.xml"/><Relationship Id="rId181" Type="http://schemas.openxmlformats.org/officeDocument/2006/relationships/chart" Target="../charts/chart179.xml"/><Relationship Id="rId216" Type="http://schemas.openxmlformats.org/officeDocument/2006/relationships/chart" Target="../charts/chart214.xml"/><Relationship Id="rId22" Type="http://schemas.openxmlformats.org/officeDocument/2006/relationships/chart" Target="../charts/chart22.xml"/><Relationship Id="rId43" Type="http://schemas.openxmlformats.org/officeDocument/2006/relationships/chart" Target="../charts/chart43.xml"/><Relationship Id="rId64" Type="http://schemas.openxmlformats.org/officeDocument/2006/relationships/chart" Target="../charts/chart64.xml"/><Relationship Id="rId118" Type="http://schemas.openxmlformats.org/officeDocument/2006/relationships/chart" Target="../charts/chart116.xml"/><Relationship Id="rId139" Type="http://schemas.openxmlformats.org/officeDocument/2006/relationships/chart" Target="../charts/chart137.xml"/><Relationship Id="rId85" Type="http://schemas.openxmlformats.org/officeDocument/2006/relationships/chart" Target="../charts/chart83.xml"/><Relationship Id="rId150" Type="http://schemas.openxmlformats.org/officeDocument/2006/relationships/chart" Target="../charts/chart148.xml"/><Relationship Id="rId171" Type="http://schemas.openxmlformats.org/officeDocument/2006/relationships/chart" Target="../charts/chart169.xml"/><Relationship Id="rId192" Type="http://schemas.openxmlformats.org/officeDocument/2006/relationships/chart" Target="../charts/chart190.xml"/><Relationship Id="rId206" Type="http://schemas.openxmlformats.org/officeDocument/2006/relationships/chart" Target="../charts/chart204.xml"/><Relationship Id="rId227" Type="http://schemas.openxmlformats.org/officeDocument/2006/relationships/chart" Target="../charts/chart225.xml"/><Relationship Id="rId12" Type="http://schemas.openxmlformats.org/officeDocument/2006/relationships/chart" Target="../charts/chart12.xml"/><Relationship Id="rId33" Type="http://schemas.openxmlformats.org/officeDocument/2006/relationships/chart" Target="../charts/chart33.xml"/><Relationship Id="rId108" Type="http://schemas.openxmlformats.org/officeDocument/2006/relationships/chart" Target="../charts/chart106.xml"/><Relationship Id="rId129" Type="http://schemas.openxmlformats.org/officeDocument/2006/relationships/chart" Target="../charts/chart127.xml"/><Relationship Id="rId54" Type="http://schemas.openxmlformats.org/officeDocument/2006/relationships/chart" Target="../charts/chart54.xml"/><Relationship Id="rId75" Type="http://schemas.openxmlformats.org/officeDocument/2006/relationships/chart" Target="../charts/chart75.xml"/><Relationship Id="rId96" Type="http://schemas.openxmlformats.org/officeDocument/2006/relationships/chart" Target="../charts/chart94.xml"/><Relationship Id="rId140" Type="http://schemas.openxmlformats.org/officeDocument/2006/relationships/chart" Target="../charts/chart138.xml"/><Relationship Id="rId161" Type="http://schemas.openxmlformats.org/officeDocument/2006/relationships/chart" Target="../charts/chart159.xml"/><Relationship Id="rId182" Type="http://schemas.openxmlformats.org/officeDocument/2006/relationships/chart" Target="../charts/chart180.xml"/><Relationship Id="rId217" Type="http://schemas.openxmlformats.org/officeDocument/2006/relationships/chart" Target="../charts/chart215.xml"/><Relationship Id="rId6" Type="http://schemas.openxmlformats.org/officeDocument/2006/relationships/chart" Target="../charts/chart6.xml"/><Relationship Id="rId23" Type="http://schemas.openxmlformats.org/officeDocument/2006/relationships/chart" Target="../charts/chart23.xml"/><Relationship Id="rId119" Type="http://schemas.openxmlformats.org/officeDocument/2006/relationships/chart" Target="../charts/chart117.xml"/><Relationship Id="rId44" Type="http://schemas.openxmlformats.org/officeDocument/2006/relationships/chart" Target="../charts/chart44.xml"/><Relationship Id="rId65" Type="http://schemas.openxmlformats.org/officeDocument/2006/relationships/chart" Target="../charts/chart65.xml"/><Relationship Id="rId86" Type="http://schemas.openxmlformats.org/officeDocument/2006/relationships/chart" Target="../charts/chart84.xml"/><Relationship Id="rId130" Type="http://schemas.openxmlformats.org/officeDocument/2006/relationships/chart" Target="../charts/chart128.xml"/><Relationship Id="rId151" Type="http://schemas.openxmlformats.org/officeDocument/2006/relationships/chart" Target="../charts/chart149.xml"/><Relationship Id="rId172" Type="http://schemas.openxmlformats.org/officeDocument/2006/relationships/chart" Target="../charts/chart170.xml"/><Relationship Id="rId193" Type="http://schemas.openxmlformats.org/officeDocument/2006/relationships/chart" Target="../charts/chart191.xml"/><Relationship Id="rId207" Type="http://schemas.openxmlformats.org/officeDocument/2006/relationships/chart" Target="../charts/chart205.xml"/><Relationship Id="rId228" Type="http://schemas.openxmlformats.org/officeDocument/2006/relationships/chart" Target="../charts/chart226.xml"/><Relationship Id="rId13" Type="http://schemas.openxmlformats.org/officeDocument/2006/relationships/chart" Target="../charts/chart13.xml"/><Relationship Id="rId109" Type="http://schemas.openxmlformats.org/officeDocument/2006/relationships/chart" Target="../charts/chart107.xml"/><Relationship Id="rId34" Type="http://schemas.openxmlformats.org/officeDocument/2006/relationships/chart" Target="../charts/chart34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5.xml"/><Relationship Id="rId120" Type="http://schemas.openxmlformats.org/officeDocument/2006/relationships/chart" Target="../charts/chart118.xml"/><Relationship Id="rId141" Type="http://schemas.openxmlformats.org/officeDocument/2006/relationships/chart" Target="../charts/chart139.xml"/><Relationship Id="rId7" Type="http://schemas.openxmlformats.org/officeDocument/2006/relationships/chart" Target="../charts/chart7.xml"/><Relationship Id="rId162" Type="http://schemas.openxmlformats.org/officeDocument/2006/relationships/chart" Target="../charts/chart160.xml"/><Relationship Id="rId183" Type="http://schemas.openxmlformats.org/officeDocument/2006/relationships/chart" Target="../charts/chart181.xml"/><Relationship Id="rId218" Type="http://schemas.openxmlformats.org/officeDocument/2006/relationships/chart" Target="../charts/chart216.xml"/><Relationship Id="rId24" Type="http://schemas.openxmlformats.org/officeDocument/2006/relationships/chart" Target="../charts/chart24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5.xml"/><Relationship Id="rId110" Type="http://schemas.openxmlformats.org/officeDocument/2006/relationships/chart" Target="../charts/chart108.xml"/><Relationship Id="rId131" Type="http://schemas.openxmlformats.org/officeDocument/2006/relationships/chart" Target="../charts/chart129.xml"/><Relationship Id="rId152" Type="http://schemas.openxmlformats.org/officeDocument/2006/relationships/chart" Target="../charts/chart150.xml"/><Relationship Id="rId173" Type="http://schemas.openxmlformats.org/officeDocument/2006/relationships/chart" Target="../charts/chart171.xml"/><Relationship Id="rId194" Type="http://schemas.openxmlformats.org/officeDocument/2006/relationships/chart" Target="../charts/chart192.xml"/><Relationship Id="rId208" Type="http://schemas.openxmlformats.org/officeDocument/2006/relationships/chart" Target="../charts/chart206.xml"/><Relationship Id="rId229" Type="http://schemas.openxmlformats.org/officeDocument/2006/relationships/chart" Target="../charts/chart227.xml"/><Relationship Id="rId14" Type="http://schemas.openxmlformats.org/officeDocument/2006/relationships/chart" Target="../charts/chart14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98.xml"/><Relationship Id="rId8" Type="http://schemas.openxmlformats.org/officeDocument/2006/relationships/chart" Target="../charts/chart8.xml"/><Relationship Id="rId98" Type="http://schemas.openxmlformats.org/officeDocument/2006/relationships/chart" Target="../charts/chart96.xml"/><Relationship Id="rId121" Type="http://schemas.openxmlformats.org/officeDocument/2006/relationships/chart" Target="../charts/chart119.xml"/><Relationship Id="rId142" Type="http://schemas.openxmlformats.org/officeDocument/2006/relationships/chart" Target="../charts/chart140.xml"/><Relationship Id="rId163" Type="http://schemas.openxmlformats.org/officeDocument/2006/relationships/chart" Target="../charts/chart161.xml"/><Relationship Id="rId184" Type="http://schemas.openxmlformats.org/officeDocument/2006/relationships/chart" Target="../charts/chart182.xml"/><Relationship Id="rId219" Type="http://schemas.openxmlformats.org/officeDocument/2006/relationships/chart" Target="../charts/chart217.xml"/><Relationship Id="rId230" Type="http://schemas.openxmlformats.org/officeDocument/2006/relationships/chart" Target="../charts/chart228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116" Type="http://schemas.openxmlformats.org/officeDocument/2006/relationships/chart" Target="../charts/chart114.xml"/><Relationship Id="rId137" Type="http://schemas.openxmlformats.org/officeDocument/2006/relationships/chart" Target="../charts/chart135.xml"/><Relationship Id="rId158" Type="http://schemas.openxmlformats.org/officeDocument/2006/relationships/chart" Target="../charts/chart15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1.xml"/><Relationship Id="rId88" Type="http://schemas.openxmlformats.org/officeDocument/2006/relationships/chart" Target="../charts/chart86.xml"/><Relationship Id="rId111" Type="http://schemas.openxmlformats.org/officeDocument/2006/relationships/chart" Target="../charts/chart109.xml"/><Relationship Id="rId132" Type="http://schemas.openxmlformats.org/officeDocument/2006/relationships/chart" Target="../charts/chart130.xml"/><Relationship Id="rId153" Type="http://schemas.openxmlformats.org/officeDocument/2006/relationships/chart" Target="../charts/chart151.xml"/><Relationship Id="rId174" Type="http://schemas.openxmlformats.org/officeDocument/2006/relationships/chart" Target="../charts/chart172.xml"/><Relationship Id="rId179" Type="http://schemas.openxmlformats.org/officeDocument/2006/relationships/chart" Target="../charts/chart177.xml"/><Relationship Id="rId195" Type="http://schemas.openxmlformats.org/officeDocument/2006/relationships/chart" Target="../charts/chart193.xml"/><Relationship Id="rId209" Type="http://schemas.openxmlformats.org/officeDocument/2006/relationships/chart" Target="../charts/chart207.xml"/><Relationship Id="rId190" Type="http://schemas.openxmlformats.org/officeDocument/2006/relationships/chart" Target="../charts/chart188.xml"/><Relationship Id="rId204" Type="http://schemas.openxmlformats.org/officeDocument/2006/relationships/chart" Target="../charts/chart202.xml"/><Relationship Id="rId220" Type="http://schemas.openxmlformats.org/officeDocument/2006/relationships/chart" Target="../charts/chart218.xml"/><Relationship Id="rId225" Type="http://schemas.openxmlformats.org/officeDocument/2006/relationships/chart" Target="../charts/chart223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106" Type="http://schemas.openxmlformats.org/officeDocument/2006/relationships/chart" Target="../charts/chart104.xml"/><Relationship Id="rId127" Type="http://schemas.openxmlformats.org/officeDocument/2006/relationships/chart" Target="../charts/chart125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94" Type="http://schemas.openxmlformats.org/officeDocument/2006/relationships/chart" Target="../charts/chart92.xml"/><Relationship Id="rId99" Type="http://schemas.openxmlformats.org/officeDocument/2006/relationships/chart" Target="../charts/chart97.xml"/><Relationship Id="rId101" Type="http://schemas.openxmlformats.org/officeDocument/2006/relationships/chart" Target="../charts/chart99.xml"/><Relationship Id="rId122" Type="http://schemas.openxmlformats.org/officeDocument/2006/relationships/chart" Target="../charts/chart120.xml"/><Relationship Id="rId143" Type="http://schemas.openxmlformats.org/officeDocument/2006/relationships/chart" Target="../charts/chart141.xml"/><Relationship Id="rId148" Type="http://schemas.openxmlformats.org/officeDocument/2006/relationships/chart" Target="../charts/chart146.xml"/><Relationship Id="rId164" Type="http://schemas.openxmlformats.org/officeDocument/2006/relationships/chart" Target="../charts/chart162.xml"/><Relationship Id="rId169" Type="http://schemas.openxmlformats.org/officeDocument/2006/relationships/chart" Target="../charts/chart167.xml"/><Relationship Id="rId185" Type="http://schemas.openxmlformats.org/officeDocument/2006/relationships/chart" Target="../charts/chart18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80" Type="http://schemas.openxmlformats.org/officeDocument/2006/relationships/chart" Target="../charts/chart178.xml"/><Relationship Id="rId210" Type="http://schemas.openxmlformats.org/officeDocument/2006/relationships/chart" Target="../charts/chart208.xml"/><Relationship Id="rId215" Type="http://schemas.openxmlformats.org/officeDocument/2006/relationships/chart" Target="../charts/chart213.xml"/><Relationship Id="rId26" Type="http://schemas.openxmlformats.org/officeDocument/2006/relationships/chart" Target="../charts/chart26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7.xml"/><Relationship Id="rId112" Type="http://schemas.openxmlformats.org/officeDocument/2006/relationships/chart" Target="../charts/chart110.xml"/><Relationship Id="rId133" Type="http://schemas.openxmlformats.org/officeDocument/2006/relationships/chart" Target="../charts/chart131.xml"/><Relationship Id="rId154" Type="http://schemas.openxmlformats.org/officeDocument/2006/relationships/chart" Target="../charts/chart152.xml"/><Relationship Id="rId175" Type="http://schemas.openxmlformats.org/officeDocument/2006/relationships/chart" Target="../charts/chart173.xml"/><Relationship Id="rId196" Type="http://schemas.openxmlformats.org/officeDocument/2006/relationships/chart" Target="../charts/chart194.xml"/><Relationship Id="rId200" Type="http://schemas.openxmlformats.org/officeDocument/2006/relationships/chart" Target="../charts/chart198.xml"/><Relationship Id="rId16" Type="http://schemas.openxmlformats.org/officeDocument/2006/relationships/chart" Target="../charts/chart16.xml"/><Relationship Id="rId221" Type="http://schemas.openxmlformats.org/officeDocument/2006/relationships/chart" Target="../charts/chart219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hyperlink" Target="#Index!B17"/><Relationship Id="rId102" Type="http://schemas.openxmlformats.org/officeDocument/2006/relationships/chart" Target="../charts/chart100.xml"/><Relationship Id="rId123" Type="http://schemas.openxmlformats.org/officeDocument/2006/relationships/chart" Target="../charts/chart121.xml"/><Relationship Id="rId144" Type="http://schemas.openxmlformats.org/officeDocument/2006/relationships/chart" Target="../charts/chart142.xml"/><Relationship Id="rId90" Type="http://schemas.openxmlformats.org/officeDocument/2006/relationships/chart" Target="../charts/chart88.xml"/><Relationship Id="rId165" Type="http://schemas.openxmlformats.org/officeDocument/2006/relationships/chart" Target="../charts/chart163.xml"/><Relationship Id="rId186" Type="http://schemas.openxmlformats.org/officeDocument/2006/relationships/chart" Target="../charts/chart184.xml"/><Relationship Id="rId211" Type="http://schemas.openxmlformats.org/officeDocument/2006/relationships/chart" Target="../charts/chart209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1.xml"/><Relationship Id="rId134" Type="http://schemas.openxmlformats.org/officeDocument/2006/relationships/chart" Target="../charts/chart132.xml"/><Relationship Id="rId80" Type="http://schemas.openxmlformats.org/officeDocument/2006/relationships/hyperlink" Target="#Index!A1"/><Relationship Id="rId155" Type="http://schemas.openxmlformats.org/officeDocument/2006/relationships/chart" Target="../charts/chart153.xml"/><Relationship Id="rId176" Type="http://schemas.openxmlformats.org/officeDocument/2006/relationships/chart" Target="../charts/chart174.xml"/><Relationship Id="rId197" Type="http://schemas.openxmlformats.org/officeDocument/2006/relationships/chart" Target="../charts/chart195.xml"/><Relationship Id="rId201" Type="http://schemas.openxmlformats.org/officeDocument/2006/relationships/chart" Target="../charts/chart199.xml"/><Relationship Id="rId222" Type="http://schemas.openxmlformats.org/officeDocument/2006/relationships/chart" Target="../charts/chart220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1.xml"/><Relationship Id="rId124" Type="http://schemas.openxmlformats.org/officeDocument/2006/relationships/chart" Target="../charts/chart122.xml"/><Relationship Id="rId70" Type="http://schemas.openxmlformats.org/officeDocument/2006/relationships/chart" Target="../charts/chart70.xml"/><Relationship Id="rId91" Type="http://schemas.openxmlformats.org/officeDocument/2006/relationships/chart" Target="../charts/chart89.xml"/><Relationship Id="rId145" Type="http://schemas.openxmlformats.org/officeDocument/2006/relationships/chart" Target="../charts/chart143.xml"/><Relationship Id="rId166" Type="http://schemas.openxmlformats.org/officeDocument/2006/relationships/chart" Target="../charts/chart164.xml"/><Relationship Id="rId187" Type="http://schemas.openxmlformats.org/officeDocument/2006/relationships/chart" Target="../charts/chart185.xml"/><Relationship Id="rId1" Type="http://schemas.openxmlformats.org/officeDocument/2006/relationships/chart" Target="../charts/chart1.xml"/><Relationship Id="rId212" Type="http://schemas.openxmlformats.org/officeDocument/2006/relationships/chart" Target="../charts/chart210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2.xml"/><Relationship Id="rId60" Type="http://schemas.openxmlformats.org/officeDocument/2006/relationships/chart" Target="../charts/chart60.xml"/><Relationship Id="rId81" Type="http://schemas.openxmlformats.org/officeDocument/2006/relationships/chart" Target="../charts/chart79.xml"/><Relationship Id="rId135" Type="http://schemas.openxmlformats.org/officeDocument/2006/relationships/chart" Target="../charts/chart133.xml"/><Relationship Id="rId156" Type="http://schemas.openxmlformats.org/officeDocument/2006/relationships/chart" Target="../charts/chart154.xml"/><Relationship Id="rId177" Type="http://schemas.openxmlformats.org/officeDocument/2006/relationships/chart" Target="../charts/chart175.xml"/><Relationship Id="rId198" Type="http://schemas.openxmlformats.org/officeDocument/2006/relationships/chart" Target="../charts/chart196.xml"/><Relationship Id="rId202" Type="http://schemas.openxmlformats.org/officeDocument/2006/relationships/chart" Target="../charts/chart200.xml"/><Relationship Id="rId223" Type="http://schemas.openxmlformats.org/officeDocument/2006/relationships/chart" Target="../charts/chart221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50" Type="http://schemas.openxmlformats.org/officeDocument/2006/relationships/chart" Target="../charts/chart50.xml"/><Relationship Id="rId104" Type="http://schemas.openxmlformats.org/officeDocument/2006/relationships/chart" Target="../charts/chart102.xml"/><Relationship Id="rId125" Type="http://schemas.openxmlformats.org/officeDocument/2006/relationships/chart" Target="../charts/chart123.xml"/><Relationship Id="rId146" Type="http://schemas.openxmlformats.org/officeDocument/2006/relationships/chart" Target="../charts/chart144.xml"/><Relationship Id="rId167" Type="http://schemas.openxmlformats.org/officeDocument/2006/relationships/chart" Target="../charts/chart165.xml"/><Relationship Id="rId188" Type="http://schemas.openxmlformats.org/officeDocument/2006/relationships/chart" Target="../charts/chart186.xml"/><Relationship Id="rId71" Type="http://schemas.openxmlformats.org/officeDocument/2006/relationships/chart" Target="../charts/chart71.xml"/><Relationship Id="rId92" Type="http://schemas.openxmlformats.org/officeDocument/2006/relationships/chart" Target="../charts/chart90.xml"/><Relationship Id="rId213" Type="http://schemas.openxmlformats.org/officeDocument/2006/relationships/chart" Target="../charts/chart211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40" Type="http://schemas.openxmlformats.org/officeDocument/2006/relationships/chart" Target="../charts/chart40.xml"/><Relationship Id="rId115" Type="http://schemas.openxmlformats.org/officeDocument/2006/relationships/chart" Target="../charts/chart113.xml"/><Relationship Id="rId136" Type="http://schemas.openxmlformats.org/officeDocument/2006/relationships/chart" Target="../charts/chart134.xml"/><Relationship Id="rId157" Type="http://schemas.openxmlformats.org/officeDocument/2006/relationships/chart" Target="../charts/chart155.xml"/><Relationship Id="rId178" Type="http://schemas.openxmlformats.org/officeDocument/2006/relationships/chart" Target="../charts/chart176.xml"/><Relationship Id="rId61" Type="http://schemas.openxmlformats.org/officeDocument/2006/relationships/chart" Target="../charts/chart61.xml"/><Relationship Id="rId82" Type="http://schemas.openxmlformats.org/officeDocument/2006/relationships/chart" Target="../charts/chart80.xml"/><Relationship Id="rId199" Type="http://schemas.openxmlformats.org/officeDocument/2006/relationships/chart" Target="../charts/chart197.xml"/><Relationship Id="rId203" Type="http://schemas.openxmlformats.org/officeDocument/2006/relationships/chart" Target="../charts/chart201.xml"/><Relationship Id="rId19" Type="http://schemas.openxmlformats.org/officeDocument/2006/relationships/chart" Target="../charts/chart19.xml"/><Relationship Id="rId224" Type="http://schemas.openxmlformats.org/officeDocument/2006/relationships/chart" Target="../charts/chart222.xml"/><Relationship Id="rId30" Type="http://schemas.openxmlformats.org/officeDocument/2006/relationships/chart" Target="../charts/chart30.xml"/><Relationship Id="rId105" Type="http://schemas.openxmlformats.org/officeDocument/2006/relationships/chart" Target="../charts/chart103.xml"/><Relationship Id="rId126" Type="http://schemas.openxmlformats.org/officeDocument/2006/relationships/chart" Target="../charts/chart124.xml"/><Relationship Id="rId147" Type="http://schemas.openxmlformats.org/officeDocument/2006/relationships/chart" Target="../charts/chart145.xml"/><Relationship Id="rId168" Type="http://schemas.openxmlformats.org/officeDocument/2006/relationships/chart" Target="../charts/chart166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1.xml"/><Relationship Id="rId189" Type="http://schemas.openxmlformats.org/officeDocument/2006/relationships/chart" Target="../charts/chart187.xml"/><Relationship Id="rId3" Type="http://schemas.openxmlformats.org/officeDocument/2006/relationships/chart" Target="../charts/chart3.xml"/><Relationship Id="rId214" Type="http://schemas.openxmlformats.org/officeDocument/2006/relationships/chart" Target="../charts/chart212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hyperlink" Target="#Index!A1"/><Relationship Id="rId1" Type="http://schemas.openxmlformats.org/officeDocument/2006/relationships/chart" Target="../charts/chart229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50800</xdr:rowOff>
    </xdr:from>
    <xdr:to>
      <xdr:col>0</xdr:col>
      <xdr:colOff>1587305</xdr:colOff>
      <xdr:row>0</xdr:row>
      <xdr:rowOff>346038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6A4DA9-5AF8-F3DD-1F6B-C4473FA93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50800"/>
          <a:ext cx="1561905" cy="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172</xdr:row>
      <xdr:rowOff>0</xdr:rowOff>
    </xdr:from>
    <xdr:to>
      <xdr:col>7</xdr:col>
      <xdr:colOff>297180</xdr:colOff>
      <xdr:row>194</xdr:row>
      <xdr:rowOff>144780</xdr:rowOff>
    </xdr:to>
    <xdr:pic>
      <xdr:nvPicPr>
        <xdr:cNvPr id="7443457" name="Picture 1">
          <a:extLst>
            <a:ext uri="{FF2B5EF4-FFF2-40B4-BE49-F238E27FC236}">
              <a16:creationId xmlns:a16="http://schemas.microsoft.com/office/drawing/2014/main" id="{254DE586-C370-B2B0-2904-94C46E0308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837180"/>
          <a:ext cx="6400800" cy="3832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5</xdr:row>
      <xdr:rowOff>9525</xdr:rowOff>
    </xdr:from>
    <xdr:to>
      <xdr:col>11</xdr:col>
      <xdr:colOff>1085850</xdr:colOff>
      <xdr:row>17</xdr:row>
      <xdr:rowOff>66675</xdr:rowOff>
    </xdr:to>
    <xdr:sp macro="" textlink="">
      <xdr:nvSpPr>
        <xdr:cNvPr id="10793" name="Rectangle 1">
          <a:extLst>
            <a:ext uri="{FF2B5EF4-FFF2-40B4-BE49-F238E27FC236}">
              <a16:creationId xmlns:a16="http://schemas.microsoft.com/office/drawing/2014/main" id="{00000000-0008-0000-0300-0000292A0000}"/>
            </a:ext>
          </a:extLst>
        </xdr:cNvPr>
        <xdr:cNvSpPr>
          <a:spLocks noChangeArrowheads="1"/>
        </xdr:cNvSpPr>
      </xdr:nvSpPr>
      <xdr:spPr bwMode="auto">
        <a:xfrm>
          <a:off x="1524000" y="885825"/>
          <a:ext cx="8020050" cy="2066925"/>
        </a:xfrm>
        <a:prstGeom prst="rect">
          <a:avLst/>
        </a:prstGeom>
        <a:noFill/>
        <a:ln w="57150" cmpd="thickThin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974908</xdr:colOff>
      <xdr:row>35</xdr:row>
      <xdr:rowOff>112055</xdr:rowOff>
    </xdr:from>
    <xdr:to>
      <xdr:col>11</xdr:col>
      <xdr:colOff>656165</xdr:colOff>
      <xdr:row>44</xdr:row>
      <xdr:rowOff>95249</xdr:rowOff>
    </xdr:to>
    <xdr:sp macro="" textlink="">
      <xdr:nvSpPr>
        <xdr:cNvPr id="26" name="Line 11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ShapeType="1"/>
        </xdr:cNvSpPr>
      </xdr:nvSpPr>
      <xdr:spPr bwMode="auto">
        <a:xfrm flipH="1" flipV="1">
          <a:off x="5938491" y="5816472"/>
          <a:ext cx="2581091" cy="135902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5</xdr:col>
      <xdr:colOff>222246</xdr:colOff>
      <xdr:row>5</xdr:row>
      <xdr:rowOff>63500</xdr:rowOff>
    </xdr:from>
    <xdr:to>
      <xdr:col>7</xdr:col>
      <xdr:colOff>1047124</xdr:colOff>
      <xdr:row>8</xdr:row>
      <xdr:rowOff>155948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5913" y="931333"/>
          <a:ext cx="2274794" cy="568698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21</xdr:row>
      <xdr:rowOff>87406</xdr:rowOff>
    </xdr:from>
    <xdr:to>
      <xdr:col>12</xdr:col>
      <xdr:colOff>5770</xdr:colOff>
      <xdr:row>30</xdr:row>
      <xdr:rowOff>132343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62517" y="3569323"/>
          <a:ext cx="8497836" cy="1473687"/>
          <a:chOff x="651933" y="3569323"/>
          <a:chExt cx="8434337" cy="1473687"/>
        </a:xfrm>
      </xdr:grpSpPr>
      <xdr:sp macro="" textlink="">
        <xdr:nvSpPr>
          <xdr:cNvPr id="59395" name="Rectangle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03E80000}"/>
              </a:ext>
            </a:extLst>
          </xdr:cNvPr>
          <xdr:cNvSpPr>
            <a:spLocks noChangeArrowheads="1"/>
          </xdr:cNvSpPr>
        </xdr:nvSpPr>
        <xdr:spPr bwMode="auto">
          <a:xfrm>
            <a:off x="661621" y="3949452"/>
            <a:ext cx="1264811" cy="333299"/>
          </a:xfrm>
          <a:prstGeom prst="roundRect">
            <a:avLst/>
          </a:prstGeom>
          <a:solidFill>
            <a:srgbClr val="00B05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Charts</a:t>
            </a:r>
          </a:p>
        </xdr:txBody>
      </xdr:sp>
      <xdr:sp macro="" textlink="">
        <xdr:nvSpPr>
          <xdr:cNvPr id="59396" name="Rectangle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04E80000}"/>
              </a:ext>
            </a:extLst>
          </xdr:cNvPr>
          <xdr:cNvSpPr>
            <a:spLocks noChangeArrowheads="1"/>
          </xdr:cNvSpPr>
        </xdr:nvSpPr>
        <xdr:spPr bwMode="auto">
          <a:xfrm>
            <a:off x="661621" y="4338934"/>
            <a:ext cx="1264811" cy="323946"/>
          </a:xfrm>
          <a:prstGeom prst="roundRect">
            <a:avLst/>
          </a:prstGeom>
          <a:solidFill>
            <a:srgbClr val="00B05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Financials</a:t>
            </a:r>
          </a:p>
        </xdr:txBody>
      </xdr:sp>
      <xdr:sp macro="" textlink="">
        <xdr:nvSpPr>
          <xdr:cNvPr id="59397" name="Rectangl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05E80000}"/>
              </a:ext>
            </a:extLst>
          </xdr:cNvPr>
          <xdr:cNvSpPr>
            <a:spLocks noChangeArrowheads="1"/>
          </xdr:cNvSpPr>
        </xdr:nvSpPr>
        <xdr:spPr bwMode="auto">
          <a:xfrm>
            <a:off x="661621" y="3569323"/>
            <a:ext cx="1264811" cy="323946"/>
          </a:xfrm>
          <a:prstGeom prst="roundRect">
            <a:avLst/>
          </a:prstGeom>
          <a:solidFill>
            <a:srgbClr val="00B05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Summary</a:t>
            </a:r>
          </a:p>
        </xdr:txBody>
      </xdr:sp>
      <xdr:sp macro="" textlink="">
        <xdr:nvSpPr>
          <xdr:cNvPr id="59398" name="Rectangle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06E80000}"/>
              </a:ext>
            </a:extLst>
          </xdr:cNvPr>
          <xdr:cNvSpPr>
            <a:spLocks noChangeArrowheads="1"/>
          </xdr:cNvSpPr>
        </xdr:nvSpPr>
        <xdr:spPr bwMode="auto">
          <a:xfrm>
            <a:off x="651933" y="4719064"/>
            <a:ext cx="1264811" cy="323946"/>
          </a:xfrm>
          <a:prstGeom prst="roundRect">
            <a:avLst/>
          </a:prstGeom>
          <a:solidFill>
            <a:srgbClr val="00B05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MS vs Consensus</a:t>
            </a:r>
          </a:p>
        </xdr:txBody>
      </xdr:sp>
      <xdr:sp macro="" textlink="">
        <xdr:nvSpPr>
          <xdr:cNvPr id="59399" name="Rectangle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300-000007E80000}"/>
              </a:ext>
            </a:extLst>
          </xdr:cNvPr>
          <xdr:cNvSpPr>
            <a:spLocks noChangeArrowheads="1"/>
          </xdr:cNvSpPr>
        </xdr:nvSpPr>
        <xdr:spPr bwMode="auto">
          <a:xfrm>
            <a:off x="2107065" y="3569323"/>
            <a:ext cx="1260539" cy="323946"/>
          </a:xfrm>
          <a:prstGeom prst="roundRect">
            <a:avLst/>
          </a:prstGeom>
          <a:solidFill>
            <a:srgbClr val="FF000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DCF</a:t>
            </a:r>
          </a:p>
        </xdr:txBody>
      </xdr:sp>
      <xdr:sp macro="" textlink="">
        <xdr:nvSpPr>
          <xdr:cNvPr id="59415" name="Rectangle 2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300-000017E80000}"/>
              </a:ext>
            </a:extLst>
          </xdr:cNvPr>
          <xdr:cNvSpPr>
            <a:spLocks noChangeArrowheads="1"/>
          </xdr:cNvSpPr>
        </xdr:nvSpPr>
        <xdr:spPr bwMode="auto">
          <a:xfrm>
            <a:off x="4964333" y="4330440"/>
            <a:ext cx="1271222" cy="333299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Balance Sheet</a:t>
            </a:r>
          </a:p>
        </xdr:txBody>
      </xdr:sp>
      <xdr:sp macro="" textlink="">
        <xdr:nvSpPr>
          <xdr:cNvPr id="59416" name="Rectangle 2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18E80000}"/>
              </a:ext>
            </a:extLst>
          </xdr:cNvPr>
          <xdr:cNvSpPr>
            <a:spLocks noChangeArrowheads="1"/>
          </xdr:cNvSpPr>
        </xdr:nvSpPr>
        <xdr:spPr bwMode="auto">
          <a:xfrm>
            <a:off x="6355499" y="3569323"/>
            <a:ext cx="1264099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Working Capital</a:t>
            </a:r>
          </a:p>
        </xdr:txBody>
      </xdr:sp>
      <xdr:sp macro="" textlink="">
        <xdr:nvSpPr>
          <xdr:cNvPr id="59417" name="Rectangle 25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300-000019E80000}"/>
              </a:ext>
            </a:extLst>
          </xdr:cNvPr>
          <xdr:cNvSpPr>
            <a:spLocks noChangeArrowheads="1"/>
          </xdr:cNvSpPr>
        </xdr:nvSpPr>
        <xdr:spPr bwMode="auto">
          <a:xfrm>
            <a:off x="4964333" y="3569323"/>
            <a:ext cx="1271222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non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Revenue &amp; Expenses</a:t>
            </a:r>
          </a:p>
        </xdr:txBody>
      </xdr:sp>
      <xdr:sp macro="" textlink="">
        <xdr:nvSpPr>
          <xdr:cNvPr id="59418" name="Rectangle 2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300-00001AE80000}"/>
              </a:ext>
            </a:extLst>
          </xdr:cNvPr>
          <xdr:cNvSpPr>
            <a:spLocks noChangeArrowheads="1"/>
          </xdr:cNvSpPr>
        </xdr:nvSpPr>
        <xdr:spPr bwMode="auto">
          <a:xfrm>
            <a:off x="4964333" y="3947350"/>
            <a:ext cx="1271222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Income Statement</a:t>
            </a:r>
          </a:p>
        </xdr:txBody>
      </xdr:sp>
      <xdr:sp macro="" textlink="">
        <xdr:nvSpPr>
          <xdr:cNvPr id="59419" name="Rectangle 2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300-00001BE80000}"/>
              </a:ext>
            </a:extLst>
          </xdr:cNvPr>
          <xdr:cNvSpPr>
            <a:spLocks noChangeArrowheads="1"/>
          </xdr:cNvSpPr>
        </xdr:nvSpPr>
        <xdr:spPr bwMode="auto">
          <a:xfrm>
            <a:off x="3529003" y="3569323"/>
            <a:ext cx="1271935" cy="323946"/>
          </a:xfrm>
          <a:prstGeom prst="roundRect">
            <a:avLst/>
          </a:prstGeom>
          <a:solidFill>
            <a:schemeClr val="accent4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Historical Data</a:t>
            </a:r>
          </a:p>
        </xdr:txBody>
      </xdr:sp>
      <xdr:sp macro="" textlink="">
        <xdr:nvSpPr>
          <xdr:cNvPr id="59420" name="Rectangle 2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300-00001CE80000}"/>
              </a:ext>
            </a:extLst>
          </xdr:cNvPr>
          <xdr:cNvSpPr>
            <a:spLocks noChangeArrowheads="1"/>
          </xdr:cNvSpPr>
        </xdr:nvSpPr>
        <xdr:spPr bwMode="auto">
          <a:xfrm>
            <a:off x="3529002" y="3949452"/>
            <a:ext cx="1271935" cy="333299"/>
          </a:xfrm>
          <a:prstGeom prst="roundRect">
            <a:avLst/>
          </a:prstGeom>
          <a:solidFill>
            <a:schemeClr val="accent4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Model Inputs</a:t>
            </a:r>
          </a:p>
        </xdr:txBody>
      </xdr:sp>
      <xdr:sp macro="" textlink="">
        <xdr:nvSpPr>
          <xdr:cNvPr id="59421" name="Rectangle 2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300-00001DE80000}"/>
              </a:ext>
            </a:extLst>
          </xdr:cNvPr>
          <xdr:cNvSpPr>
            <a:spLocks noChangeArrowheads="1"/>
          </xdr:cNvSpPr>
        </xdr:nvSpPr>
        <xdr:spPr bwMode="auto">
          <a:xfrm>
            <a:off x="6355499" y="3949452"/>
            <a:ext cx="1264099" cy="333299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CapEx</a:t>
            </a:r>
          </a:p>
        </xdr:txBody>
      </xdr:sp>
      <xdr:sp macro="" textlink="">
        <xdr:nvSpPr>
          <xdr:cNvPr id="59422" name="Rectangle 3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300-00001EE80000}"/>
              </a:ext>
            </a:extLst>
          </xdr:cNvPr>
          <xdr:cNvSpPr>
            <a:spLocks noChangeArrowheads="1"/>
          </xdr:cNvSpPr>
        </xdr:nvSpPr>
        <xdr:spPr bwMode="auto">
          <a:xfrm>
            <a:off x="4964333" y="4719064"/>
            <a:ext cx="1271222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Cash Flow</a:t>
            </a:r>
          </a:p>
        </xdr:txBody>
      </xdr:sp>
      <xdr:sp macro="" textlink="">
        <xdr:nvSpPr>
          <xdr:cNvPr id="59423" name="Rectangle 31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300-00001FE80000}"/>
              </a:ext>
            </a:extLst>
          </xdr:cNvPr>
          <xdr:cNvSpPr>
            <a:spLocks noChangeArrowheads="1"/>
          </xdr:cNvSpPr>
        </xdr:nvSpPr>
        <xdr:spPr bwMode="auto">
          <a:xfrm>
            <a:off x="6355499" y="4338934"/>
            <a:ext cx="1264099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Shareholders' Str.</a:t>
            </a:r>
          </a:p>
        </xdr:txBody>
      </xdr:sp>
      <xdr:sp macro="" textlink="">
        <xdr:nvSpPr>
          <xdr:cNvPr id="59424" name="Rectangle 3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300-000020E80000}"/>
              </a:ext>
            </a:extLst>
          </xdr:cNvPr>
          <xdr:cNvSpPr>
            <a:spLocks noChangeArrowheads="1"/>
          </xdr:cNvSpPr>
        </xdr:nvSpPr>
        <xdr:spPr bwMode="auto">
          <a:xfrm>
            <a:off x="6355499" y="4719064"/>
            <a:ext cx="1264099" cy="323946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Debt</a:t>
            </a:r>
          </a:p>
        </xdr:txBody>
      </xdr:sp>
      <xdr:sp macro="" textlink="">
        <xdr:nvSpPr>
          <xdr:cNvPr id="59425" name="Rectangle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0300-000021E80000}"/>
              </a:ext>
            </a:extLst>
          </xdr:cNvPr>
          <xdr:cNvSpPr>
            <a:spLocks noChangeArrowheads="1"/>
          </xdr:cNvSpPr>
        </xdr:nvSpPr>
        <xdr:spPr bwMode="auto">
          <a:xfrm>
            <a:off x="7821459" y="3569323"/>
            <a:ext cx="1264811" cy="323946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Base Case</a:t>
            </a:r>
          </a:p>
        </xdr:txBody>
      </xdr:sp>
      <xdr:sp macro="" textlink="">
        <xdr:nvSpPr>
          <xdr:cNvPr id="59426" name="Rectangle 34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300-000022E80000}"/>
              </a:ext>
            </a:extLst>
          </xdr:cNvPr>
          <xdr:cNvSpPr>
            <a:spLocks noChangeArrowheads="1"/>
          </xdr:cNvSpPr>
        </xdr:nvSpPr>
        <xdr:spPr bwMode="auto">
          <a:xfrm>
            <a:off x="7821459" y="4338934"/>
            <a:ext cx="1264811" cy="323946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Bear Case</a:t>
            </a:r>
          </a:p>
        </xdr:txBody>
      </xdr:sp>
      <xdr:sp macro="" textlink="">
        <xdr:nvSpPr>
          <xdr:cNvPr id="59427" name="Rectangle 35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300-000023E80000}"/>
              </a:ext>
            </a:extLst>
          </xdr:cNvPr>
          <xdr:cNvSpPr>
            <a:spLocks noChangeArrowheads="1"/>
          </xdr:cNvSpPr>
        </xdr:nvSpPr>
        <xdr:spPr bwMode="auto">
          <a:xfrm>
            <a:off x="7821459" y="3949452"/>
            <a:ext cx="1264811" cy="333299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Bull Case</a:t>
            </a:r>
          </a:p>
        </xdr:txBody>
      </xdr:sp>
      <xdr:sp macro="" textlink="">
        <xdr:nvSpPr>
          <xdr:cNvPr id="25" name="Rectangle 7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2107065" y="4719064"/>
            <a:ext cx="1260539" cy="323946"/>
          </a:xfrm>
          <a:prstGeom prst="roundRect">
            <a:avLst/>
          </a:prstGeom>
          <a:solidFill>
            <a:schemeClr val="bg1">
              <a:lumMod val="65000"/>
            </a:schemeClr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Shareholder Struc.</a:t>
            </a:r>
          </a:p>
        </xdr:txBody>
      </xdr:sp>
      <xdr:sp macro="" textlink="">
        <xdr:nvSpPr>
          <xdr:cNvPr id="27" name="Rectangle 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100720" y="3954549"/>
            <a:ext cx="1260539" cy="323946"/>
          </a:xfrm>
          <a:prstGeom prst="roundRect">
            <a:avLst/>
          </a:prstGeom>
          <a:solidFill>
            <a:srgbClr val="FF0000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Risk-Reward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714374</xdr:colOff>
      <xdr:row>0</xdr:row>
      <xdr:rowOff>38101</xdr:rowOff>
    </xdr:from>
    <xdr:to>
      <xdr:col>34</xdr:col>
      <xdr:colOff>1781175</xdr:colOff>
      <xdr:row>1</xdr:row>
      <xdr:rowOff>19050</xdr:rowOff>
    </xdr:to>
    <xdr:sp macro="" textlink="">
      <xdr:nvSpPr>
        <xdr:cNvPr id="6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10925174" y="38101"/>
          <a:ext cx="1066801" cy="2095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923925</xdr:colOff>
      <xdr:row>0</xdr:row>
      <xdr:rowOff>38100</xdr:rowOff>
    </xdr:from>
    <xdr:ext cx="1066801" cy="209550"/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923925" y="38100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twoCellAnchor editAs="oneCell">
    <xdr:from>
      <xdr:col>37</xdr:col>
      <xdr:colOff>276225</xdr:colOff>
      <xdr:row>0</xdr:row>
      <xdr:rowOff>19051</xdr:rowOff>
    </xdr:from>
    <xdr:to>
      <xdr:col>40</xdr:col>
      <xdr:colOff>59361</xdr:colOff>
      <xdr:row>1</xdr:row>
      <xdr:rowOff>96096</xdr:rowOff>
    </xdr:to>
    <xdr:sp macro="" textlink="">
      <xdr:nvSpPr>
        <xdr:cNvPr id="8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12468225" y="19051"/>
          <a:ext cx="1066801" cy="2095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177801</xdr:colOff>
      <xdr:row>325</xdr:row>
      <xdr:rowOff>88901</xdr:rowOff>
    </xdr:from>
    <xdr:to>
      <xdr:col>49</xdr:col>
      <xdr:colOff>515472</xdr:colOff>
      <xdr:row>342</xdr:row>
      <xdr:rowOff>119064</xdr:rowOff>
    </xdr:to>
    <xdr:graphicFrame macro="">
      <xdr:nvGraphicFramePr>
        <xdr:cNvPr id="9105212" name="R106">
          <a:extLst>
            <a:ext uri="{FF2B5EF4-FFF2-40B4-BE49-F238E27FC236}">
              <a16:creationId xmlns:a16="http://schemas.microsoft.com/office/drawing/2014/main" id="{00000000-0008-0000-0700-00003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268</xdr:row>
      <xdr:rowOff>9525</xdr:rowOff>
    </xdr:from>
    <xdr:to>
      <xdr:col>42</xdr:col>
      <xdr:colOff>19050</xdr:colOff>
      <xdr:row>285</xdr:row>
      <xdr:rowOff>66675</xdr:rowOff>
    </xdr:to>
    <xdr:graphicFrame macro="">
      <xdr:nvGraphicFramePr>
        <xdr:cNvPr id="9105214" name="VOL105">
          <a:extLst>
            <a:ext uri="{FF2B5EF4-FFF2-40B4-BE49-F238E27FC236}">
              <a16:creationId xmlns:a16="http://schemas.microsoft.com/office/drawing/2014/main" id="{00000000-0008-0000-0700-00003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9525</xdr:colOff>
      <xdr:row>75</xdr:row>
      <xdr:rowOff>0</xdr:rowOff>
    </xdr:to>
    <xdr:graphicFrame macro="">
      <xdr:nvGraphicFramePr>
        <xdr:cNvPr id="9105218" name="Chart 3">
          <a:extLst>
            <a:ext uri="{FF2B5EF4-FFF2-40B4-BE49-F238E27FC236}">
              <a16:creationId xmlns:a16="http://schemas.microsoft.com/office/drawing/2014/main" id="{00000000-0008-0000-0700-000042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19050</xdr:colOff>
      <xdr:row>75</xdr:row>
      <xdr:rowOff>0</xdr:rowOff>
    </xdr:to>
    <xdr:graphicFrame macro="">
      <xdr:nvGraphicFramePr>
        <xdr:cNvPr id="9105219" name="Chart 4">
          <a:extLst>
            <a:ext uri="{FF2B5EF4-FFF2-40B4-BE49-F238E27FC236}">
              <a16:creationId xmlns:a16="http://schemas.microsoft.com/office/drawing/2014/main" id="{00000000-0008-0000-0700-000043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28575</xdr:colOff>
      <xdr:row>75</xdr:row>
      <xdr:rowOff>0</xdr:rowOff>
    </xdr:to>
    <xdr:graphicFrame macro="">
      <xdr:nvGraphicFramePr>
        <xdr:cNvPr id="9105220" name="Chart 5">
          <a:extLst>
            <a:ext uri="{FF2B5EF4-FFF2-40B4-BE49-F238E27FC236}">
              <a16:creationId xmlns:a16="http://schemas.microsoft.com/office/drawing/2014/main" id="{00000000-0008-0000-0700-000044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19050</xdr:colOff>
      <xdr:row>75</xdr:row>
      <xdr:rowOff>0</xdr:rowOff>
    </xdr:to>
    <xdr:graphicFrame macro="">
      <xdr:nvGraphicFramePr>
        <xdr:cNvPr id="9105221" name="Chart 6">
          <a:extLst>
            <a:ext uri="{FF2B5EF4-FFF2-40B4-BE49-F238E27FC236}">
              <a16:creationId xmlns:a16="http://schemas.microsoft.com/office/drawing/2014/main" id="{00000000-0008-0000-0700-00004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28575</xdr:colOff>
      <xdr:row>75</xdr:row>
      <xdr:rowOff>0</xdr:rowOff>
    </xdr:to>
    <xdr:graphicFrame macro="">
      <xdr:nvGraphicFramePr>
        <xdr:cNvPr id="9105222" name="Chart 7">
          <a:extLst>
            <a:ext uri="{FF2B5EF4-FFF2-40B4-BE49-F238E27FC236}">
              <a16:creationId xmlns:a16="http://schemas.microsoft.com/office/drawing/2014/main" id="{00000000-0008-0000-0700-000046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19050</xdr:colOff>
      <xdr:row>75</xdr:row>
      <xdr:rowOff>0</xdr:rowOff>
    </xdr:to>
    <xdr:graphicFrame macro="">
      <xdr:nvGraphicFramePr>
        <xdr:cNvPr id="9105223" name="Chart 8">
          <a:extLst>
            <a:ext uri="{FF2B5EF4-FFF2-40B4-BE49-F238E27FC236}">
              <a16:creationId xmlns:a16="http://schemas.microsoft.com/office/drawing/2014/main" id="{00000000-0008-0000-0700-000047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19050</xdr:colOff>
      <xdr:row>75</xdr:row>
      <xdr:rowOff>0</xdr:rowOff>
    </xdr:to>
    <xdr:graphicFrame macro="">
      <xdr:nvGraphicFramePr>
        <xdr:cNvPr id="9105224" name="Chart 9">
          <a:extLst>
            <a:ext uri="{FF2B5EF4-FFF2-40B4-BE49-F238E27FC236}">
              <a16:creationId xmlns:a16="http://schemas.microsoft.com/office/drawing/2014/main" id="{00000000-0008-0000-0700-000048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28575</xdr:colOff>
      <xdr:row>75</xdr:row>
      <xdr:rowOff>0</xdr:rowOff>
    </xdr:to>
    <xdr:graphicFrame macro="">
      <xdr:nvGraphicFramePr>
        <xdr:cNvPr id="9105225" name="Chart 10">
          <a:extLst>
            <a:ext uri="{FF2B5EF4-FFF2-40B4-BE49-F238E27FC236}">
              <a16:creationId xmlns:a16="http://schemas.microsoft.com/office/drawing/2014/main" id="{00000000-0008-0000-0700-000049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38100</xdr:colOff>
      <xdr:row>75</xdr:row>
      <xdr:rowOff>0</xdr:rowOff>
    </xdr:to>
    <xdr:graphicFrame macro="">
      <xdr:nvGraphicFramePr>
        <xdr:cNvPr id="9105226" name="Chart 11">
          <a:extLst>
            <a:ext uri="{FF2B5EF4-FFF2-40B4-BE49-F238E27FC236}">
              <a16:creationId xmlns:a16="http://schemas.microsoft.com/office/drawing/2014/main" id="{00000000-0008-0000-0700-00004A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666750</xdr:colOff>
      <xdr:row>75</xdr:row>
      <xdr:rowOff>0</xdr:rowOff>
    </xdr:from>
    <xdr:to>
      <xdr:col>10</xdr:col>
      <xdr:colOff>38100</xdr:colOff>
      <xdr:row>75</xdr:row>
      <xdr:rowOff>0</xdr:rowOff>
    </xdr:to>
    <xdr:graphicFrame macro="">
      <xdr:nvGraphicFramePr>
        <xdr:cNvPr id="9105227" name="Chart 12">
          <a:extLst>
            <a:ext uri="{FF2B5EF4-FFF2-40B4-BE49-F238E27FC236}">
              <a16:creationId xmlns:a16="http://schemas.microsoft.com/office/drawing/2014/main" id="{00000000-0008-0000-0700-00004B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600075</xdr:colOff>
      <xdr:row>75</xdr:row>
      <xdr:rowOff>0</xdr:rowOff>
    </xdr:from>
    <xdr:to>
      <xdr:col>18</xdr:col>
      <xdr:colOff>47625</xdr:colOff>
      <xdr:row>75</xdr:row>
      <xdr:rowOff>0</xdr:rowOff>
    </xdr:to>
    <xdr:graphicFrame macro="">
      <xdr:nvGraphicFramePr>
        <xdr:cNvPr id="9105228" name="Chart 13">
          <a:extLst>
            <a:ext uri="{FF2B5EF4-FFF2-40B4-BE49-F238E27FC236}">
              <a16:creationId xmlns:a16="http://schemas.microsoft.com/office/drawing/2014/main" id="{00000000-0008-0000-0700-00004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647700</xdr:colOff>
      <xdr:row>75</xdr:row>
      <xdr:rowOff>0</xdr:rowOff>
    </xdr:from>
    <xdr:to>
      <xdr:col>10</xdr:col>
      <xdr:colOff>28575</xdr:colOff>
      <xdr:row>75</xdr:row>
      <xdr:rowOff>0</xdr:rowOff>
    </xdr:to>
    <xdr:graphicFrame macro="">
      <xdr:nvGraphicFramePr>
        <xdr:cNvPr id="9105229" name="Chart 14">
          <a:extLst>
            <a:ext uri="{FF2B5EF4-FFF2-40B4-BE49-F238E27FC236}">
              <a16:creationId xmlns:a16="http://schemas.microsoft.com/office/drawing/2014/main" id="{00000000-0008-0000-0700-00004D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66675</xdr:colOff>
      <xdr:row>75</xdr:row>
      <xdr:rowOff>0</xdr:rowOff>
    </xdr:to>
    <xdr:graphicFrame macro="">
      <xdr:nvGraphicFramePr>
        <xdr:cNvPr id="9105230" name="Chart 15">
          <a:extLst>
            <a:ext uri="{FF2B5EF4-FFF2-40B4-BE49-F238E27FC236}">
              <a16:creationId xmlns:a16="http://schemas.microsoft.com/office/drawing/2014/main" id="{00000000-0008-0000-0700-00004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28575</xdr:colOff>
      <xdr:row>75</xdr:row>
      <xdr:rowOff>0</xdr:rowOff>
    </xdr:to>
    <xdr:graphicFrame macro="">
      <xdr:nvGraphicFramePr>
        <xdr:cNvPr id="9105231" name="Chart 16">
          <a:extLst>
            <a:ext uri="{FF2B5EF4-FFF2-40B4-BE49-F238E27FC236}">
              <a16:creationId xmlns:a16="http://schemas.microsoft.com/office/drawing/2014/main" id="{00000000-0008-0000-0700-00004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28575</xdr:colOff>
      <xdr:row>75</xdr:row>
      <xdr:rowOff>0</xdr:rowOff>
    </xdr:to>
    <xdr:graphicFrame macro="">
      <xdr:nvGraphicFramePr>
        <xdr:cNvPr id="9105232" name="Chart 17">
          <a:extLst>
            <a:ext uri="{FF2B5EF4-FFF2-40B4-BE49-F238E27FC236}">
              <a16:creationId xmlns:a16="http://schemas.microsoft.com/office/drawing/2014/main" id="{00000000-0008-0000-0700-00005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19050</xdr:colOff>
      <xdr:row>75</xdr:row>
      <xdr:rowOff>0</xdr:rowOff>
    </xdr:to>
    <xdr:graphicFrame macro="">
      <xdr:nvGraphicFramePr>
        <xdr:cNvPr id="9105233" name="Chart 18">
          <a:extLst>
            <a:ext uri="{FF2B5EF4-FFF2-40B4-BE49-F238E27FC236}">
              <a16:creationId xmlns:a16="http://schemas.microsoft.com/office/drawing/2014/main" id="{00000000-0008-0000-0700-000051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28575</xdr:colOff>
      <xdr:row>75</xdr:row>
      <xdr:rowOff>0</xdr:rowOff>
    </xdr:to>
    <xdr:graphicFrame macro="">
      <xdr:nvGraphicFramePr>
        <xdr:cNvPr id="9105234" name="Chart 19">
          <a:extLst>
            <a:ext uri="{FF2B5EF4-FFF2-40B4-BE49-F238E27FC236}">
              <a16:creationId xmlns:a16="http://schemas.microsoft.com/office/drawing/2014/main" id="{00000000-0008-0000-0700-000052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85725</xdr:colOff>
      <xdr:row>75</xdr:row>
      <xdr:rowOff>0</xdr:rowOff>
    </xdr:from>
    <xdr:to>
      <xdr:col>26</xdr:col>
      <xdr:colOff>123825</xdr:colOff>
      <xdr:row>75</xdr:row>
      <xdr:rowOff>0</xdr:rowOff>
    </xdr:to>
    <xdr:graphicFrame macro="">
      <xdr:nvGraphicFramePr>
        <xdr:cNvPr id="9105235" name="Chart 20">
          <a:extLst>
            <a:ext uri="{FF2B5EF4-FFF2-40B4-BE49-F238E27FC236}">
              <a16:creationId xmlns:a16="http://schemas.microsoft.com/office/drawing/2014/main" id="{00000000-0008-0000-0700-000053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76200</xdr:colOff>
      <xdr:row>75</xdr:row>
      <xdr:rowOff>0</xdr:rowOff>
    </xdr:to>
    <xdr:graphicFrame macro="">
      <xdr:nvGraphicFramePr>
        <xdr:cNvPr id="9105236" name="Chart 21">
          <a:extLst>
            <a:ext uri="{FF2B5EF4-FFF2-40B4-BE49-F238E27FC236}">
              <a16:creationId xmlns:a16="http://schemas.microsoft.com/office/drawing/2014/main" id="{00000000-0008-0000-0700-000054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76200</xdr:colOff>
      <xdr:row>75</xdr:row>
      <xdr:rowOff>0</xdr:rowOff>
    </xdr:to>
    <xdr:graphicFrame macro="">
      <xdr:nvGraphicFramePr>
        <xdr:cNvPr id="9105237" name="Chart 22">
          <a:extLst>
            <a:ext uri="{FF2B5EF4-FFF2-40B4-BE49-F238E27FC236}">
              <a16:creationId xmlns:a16="http://schemas.microsoft.com/office/drawing/2014/main" id="{00000000-0008-0000-0700-00005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10</xdr:col>
      <xdr:colOff>28575</xdr:colOff>
      <xdr:row>75</xdr:row>
      <xdr:rowOff>0</xdr:rowOff>
    </xdr:to>
    <xdr:graphicFrame macro="">
      <xdr:nvGraphicFramePr>
        <xdr:cNvPr id="9105238" name="Chart 23">
          <a:extLst>
            <a:ext uri="{FF2B5EF4-FFF2-40B4-BE49-F238E27FC236}">
              <a16:creationId xmlns:a16="http://schemas.microsoft.com/office/drawing/2014/main" id="{00000000-0008-0000-0700-000056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0</xdr:colOff>
      <xdr:row>75</xdr:row>
      <xdr:rowOff>0</xdr:rowOff>
    </xdr:from>
    <xdr:to>
      <xdr:col>18</xdr:col>
      <xdr:colOff>38100</xdr:colOff>
      <xdr:row>75</xdr:row>
      <xdr:rowOff>0</xdr:rowOff>
    </xdr:to>
    <xdr:graphicFrame macro="">
      <xdr:nvGraphicFramePr>
        <xdr:cNvPr id="9105239" name="Chart 24">
          <a:extLst>
            <a:ext uri="{FF2B5EF4-FFF2-40B4-BE49-F238E27FC236}">
              <a16:creationId xmlns:a16="http://schemas.microsoft.com/office/drawing/2014/main" id="{00000000-0008-0000-0700-000057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38100</xdr:colOff>
      <xdr:row>75</xdr:row>
      <xdr:rowOff>0</xdr:rowOff>
    </xdr:to>
    <xdr:graphicFrame macro="">
      <xdr:nvGraphicFramePr>
        <xdr:cNvPr id="9105240" name="Chart 25">
          <a:extLst>
            <a:ext uri="{FF2B5EF4-FFF2-40B4-BE49-F238E27FC236}">
              <a16:creationId xmlns:a16="http://schemas.microsoft.com/office/drawing/2014/main" id="{00000000-0008-0000-0700-000058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47625</xdr:colOff>
      <xdr:row>75</xdr:row>
      <xdr:rowOff>0</xdr:rowOff>
    </xdr:to>
    <xdr:graphicFrame macro="">
      <xdr:nvGraphicFramePr>
        <xdr:cNvPr id="9105242" name="Chart 27">
          <a:extLst>
            <a:ext uri="{FF2B5EF4-FFF2-40B4-BE49-F238E27FC236}">
              <a16:creationId xmlns:a16="http://schemas.microsoft.com/office/drawing/2014/main" id="{00000000-0008-0000-0700-00005A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26</xdr:col>
      <xdr:colOff>0</xdr:colOff>
      <xdr:row>75</xdr:row>
      <xdr:rowOff>0</xdr:rowOff>
    </xdr:from>
    <xdr:to>
      <xdr:col>34</xdr:col>
      <xdr:colOff>57150</xdr:colOff>
      <xdr:row>75</xdr:row>
      <xdr:rowOff>0</xdr:rowOff>
    </xdr:to>
    <xdr:graphicFrame macro="">
      <xdr:nvGraphicFramePr>
        <xdr:cNvPr id="9105243" name="Chart 28">
          <a:extLst>
            <a:ext uri="{FF2B5EF4-FFF2-40B4-BE49-F238E27FC236}">
              <a16:creationId xmlns:a16="http://schemas.microsoft.com/office/drawing/2014/main" id="{00000000-0008-0000-0700-00005B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9</xdr:col>
      <xdr:colOff>590550</xdr:colOff>
      <xdr:row>75</xdr:row>
      <xdr:rowOff>0</xdr:rowOff>
    </xdr:to>
    <xdr:graphicFrame macro="">
      <xdr:nvGraphicFramePr>
        <xdr:cNvPr id="9105244" name="Chart 29">
          <a:extLst>
            <a:ext uri="{FF2B5EF4-FFF2-40B4-BE49-F238E27FC236}">
              <a16:creationId xmlns:a16="http://schemas.microsoft.com/office/drawing/2014/main" id="{00000000-0008-0000-0700-00005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26</xdr:col>
      <xdr:colOff>9525</xdr:colOff>
      <xdr:row>75</xdr:row>
      <xdr:rowOff>0</xdr:rowOff>
    </xdr:from>
    <xdr:to>
      <xdr:col>34</xdr:col>
      <xdr:colOff>28575</xdr:colOff>
      <xdr:row>75</xdr:row>
      <xdr:rowOff>0</xdr:rowOff>
    </xdr:to>
    <xdr:graphicFrame macro="">
      <xdr:nvGraphicFramePr>
        <xdr:cNvPr id="9105245" name="Chart 30">
          <a:extLst>
            <a:ext uri="{FF2B5EF4-FFF2-40B4-BE49-F238E27FC236}">
              <a16:creationId xmlns:a16="http://schemas.microsoft.com/office/drawing/2014/main" id="{00000000-0008-0000-0700-00005D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34</xdr:col>
      <xdr:colOff>0</xdr:colOff>
      <xdr:row>75</xdr:row>
      <xdr:rowOff>0</xdr:rowOff>
    </xdr:from>
    <xdr:to>
      <xdr:col>42</xdr:col>
      <xdr:colOff>28575</xdr:colOff>
      <xdr:row>75</xdr:row>
      <xdr:rowOff>0</xdr:rowOff>
    </xdr:to>
    <xdr:graphicFrame macro="">
      <xdr:nvGraphicFramePr>
        <xdr:cNvPr id="9105246" name="Chart 31">
          <a:extLst>
            <a:ext uri="{FF2B5EF4-FFF2-40B4-BE49-F238E27FC236}">
              <a16:creationId xmlns:a16="http://schemas.microsoft.com/office/drawing/2014/main" id="{00000000-0008-0000-0700-00005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9525</xdr:colOff>
      <xdr:row>75</xdr:row>
      <xdr:rowOff>0</xdr:rowOff>
    </xdr:from>
    <xdr:to>
      <xdr:col>34</xdr:col>
      <xdr:colOff>76200</xdr:colOff>
      <xdr:row>75</xdr:row>
      <xdr:rowOff>0</xdr:rowOff>
    </xdr:to>
    <xdr:graphicFrame macro="">
      <xdr:nvGraphicFramePr>
        <xdr:cNvPr id="9105247" name="Chart 32">
          <a:extLst>
            <a:ext uri="{FF2B5EF4-FFF2-40B4-BE49-F238E27FC236}">
              <a16:creationId xmlns:a16="http://schemas.microsoft.com/office/drawing/2014/main" id="{00000000-0008-0000-0700-00005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26</xdr:col>
      <xdr:colOff>0</xdr:colOff>
      <xdr:row>75</xdr:row>
      <xdr:rowOff>0</xdr:rowOff>
    </xdr:from>
    <xdr:to>
      <xdr:col>34</xdr:col>
      <xdr:colOff>76200</xdr:colOff>
      <xdr:row>75</xdr:row>
      <xdr:rowOff>0</xdr:rowOff>
    </xdr:to>
    <xdr:graphicFrame macro="">
      <xdr:nvGraphicFramePr>
        <xdr:cNvPr id="9105248" name="Chart 33">
          <a:extLst>
            <a:ext uri="{FF2B5EF4-FFF2-40B4-BE49-F238E27FC236}">
              <a16:creationId xmlns:a16="http://schemas.microsoft.com/office/drawing/2014/main" id="{00000000-0008-0000-0700-00006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57150</xdr:colOff>
      <xdr:row>75</xdr:row>
      <xdr:rowOff>0</xdr:rowOff>
    </xdr:to>
    <xdr:graphicFrame macro="">
      <xdr:nvGraphicFramePr>
        <xdr:cNvPr id="9105249" name="Chart 34">
          <a:extLst>
            <a:ext uri="{FF2B5EF4-FFF2-40B4-BE49-F238E27FC236}">
              <a16:creationId xmlns:a16="http://schemas.microsoft.com/office/drawing/2014/main" id="{00000000-0008-0000-0700-000061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26</xdr:col>
      <xdr:colOff>66675</xdr:colOff>
      <xdr:row>75</xdr:row>
      <xdr:rowOff>0</xdr:rowOff>
    </xdr:to>
    <xdr:graphicFrame macro="">
      <xdr:nvGraphicFramePr>
        <xdr:cNvPr id="9105250" name="Chart 35">
          <a:extLst>
            <a:ext uri="{FF2B5EF4-FFF2-40B4-BE49-F238E27FC236}">
              <a16:creationId xmlns:a16="http://schemas.microsoft.com/office/drawing/2014/main" id="{00000000-0008-0000-0700-000062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26</xdr:col>
      <xdr:colOff>0</xdr:colOff>
      <xdr:row>75</xdr:row>
      <xdr:rowOff>0</xdr:rowOff>
    </xdr:from>
    <xdr:to>
      <xdr:col>34</xdr:col>
      <xdr:colOff>38100</xdr:colOff>
      <xdr:row>75</xdr:row>
      <xdr:rowOff>0</xdr:rowOff>
    </xdr:to>
    <xdr:graphicFrame macro="">
      <xdr:nvGraphicFramePr>
        <xdr:cNvPr id="9105251" name="Chart 36">
          <a:extLst>
            <a:ext uri="{FF2B5EF4-FFF2-40B4-BE49-F238E27FC236}">
              <a16:creationId xmlns:a16="http://schemas.microsoft.com/office/drawing/2014/main" id="{00000000-0008-0000-0700-000063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26</xdr:col>
      <xdr:colOff>0</xdr:colOff>
      <xdr:row>75</xdr:row>
      <xdr:rowOff>0</xdr:rowOff>
    </xdr:from>
    <xdr:to>
      <xdr:col>34</xdr:col>
      <xdr:colOff>28575</xdr:colOff>
      <xdr:row>75</xdr:row>
      <xdr:rowOff>0</xdr:rowOff>
    </xdr:to>
    <xdr:graphicFrame macro="">
      <xdr:nvGraphicFramePr>
        <xdr:cNvPr id="9105252" name="Chart 37">
          <a:extLst>
            <a:ext uri="{FF2B5EF4-FFF2-40B4-BE49-F238E27FC236}">
              <a16:creationId xmlns:a16="http://schemas.microsoft.com/office/drawing/2014/main" id="{00000000-0008-0000-0700-000064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34</xdr:col>
      <xdr:colOff>0</xdr:colOff>
      <xdr:row>75</xdr:row>
      <xdr:rowOff>0</xdr:rowOff>
    </xdr:from>
    <xdr:to>
      <xdr:col>42</xdr:col>
      <xdr:colOff>38100</xdr:colOff>
      <xdr:row>75</xdr:row>
      <xdr:rowOff>0</xdr:rowOff>
    </xdr:to>
    <xdr:graphicFrame macro="">
      <xdr:nvGraphicFramePr>
        <xdr:cNvPr id="9105253" name="Chart 38">
          <a:extLst>
            <a:ext uri="{FF2B5EF4-FFF2-40B4-BE49-F238E27FC236}">
              <a16:creationId xmlns:a16="http://schemas.microsoft.com/office/drawing/2014/main" id="{00000000-0008-0000-0700-00006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34</xdr:col>
      <xdr:colOff>104775</xdr:colOff>
      <xdr:row>75</xdr:row>
      <xdr:rowOff>0</xdr:rowOff>
    </xdr:from>
    <xdr:to>
      <xdr:col>42</xdr:col>
      <xdr:colOff>180975</xdr:colOff>
      <xdr:row>75</xdr:row>
      <xdr:rowOff>0</xdr:rowOff>
    </xdr:to>
    <xdr:graphicFrame macro="">
      <xdr:nvGraphicFramePr>
        <xdr:cNvPr id="9105254" name="Chart 39">
          <a:extLst>
            <a:ext uri="{FF2B5EF4-FFF2-40B4-BE49-F238E27FC236}">
              <a16:creationId xmlns:a16="http://schemas.microsoft.com/office/drawing/2014/main" id="{00000000-0008-0000-0700-000066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34</xdr:col>
      <xdr:colOff>66675</xdr:colOff>
      <xdr:row>75</xdr:row>
      <xdr:rowOff>0</xdr:rowOff>
    </xdr:from>
    <xdr:to>
      <xdr:col>42</xdr:col>
      <xdr:colOff>123825</xdr:colOff>
      <xdr:row>75</xdr:row>
      <xdr:rowOff>0</xdr:rowOff>
    </xdr:to>
    <xdr:graphicFrame macro="">
      <xdr:nvGraphicFramePr>
        <xdr:cNvPr id="9105255" name="Chart 40">
          <a:extLst>
            <a:ext uri="{FF2B5EF4-FFF2-40B4-BE49-F238E27FC236}">
              <a16:creationId xmlns:a16="http://schemas.microsoft.com/office/drawing/2014/main" id="{00000000-0008-0000-0700-000067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12700</xdr:colOff>
      <xdr:row>171</xdr:row>
      <xdr:rowOff>12700</xdr:rowOff>
    </xdr:from>
    <xdr:to>
      <xdr:col>9</xdr:col>
      <xdr:colOff>593725</xdr:colOff>
      <xdr:row>189</xdr:row>
      <xdr:rowOff>0</xdr:rowOff>
    </xdr:to>
    <xdr:graphicFrame macro="">
      <xdr:nvGraphicFramePr>
        <xdr:cNvPr id="9105258" name="CF1">
          <a:extLst>
            <a:ext uri="{FF2B5EF4-FFF2-40B4-BE49-F238E27FC236}">
              <a16:creationId xmlns:a16="http://schemas.microsoft.com/office/drawing/2014/main" id="{00000000-0008-0000-0700-00006A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25</xdr:col>
      <xdr:colOff>549275</xdr:colOff>
      <xdr:row>114</xdr:row>
      <xdr:rowOff>51955</xdr:rowOff>
    </xdr:from>
    <xdr:to>
      <xdr:col>33</xdr:col>
      <xdr:colOff>520700</xdr:colOff>
      <xdr:row>132</xdr:row>
      <xdr:rowOff>91281</xdr:rowOff>
    </xdr:to>
    <xdr:graphicFrame macro="">
      <xdr:nvGraphicFramePr>
        <xdr:cNvPr id="9105260" name="NI4">
          <a:extLst>
            <a:ext uri="{FF2B5EF4-FFF2-40B4-BE49-F238E27FC236}">
              <a16:creationId xmlns:a16="http://schemas.microsoft.com/office/drawing/2014/main" id="{00000000-0008-0000-0700-00006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76</xdr:row>
      <xdr:rowOff>0</xdr:rowOff>
    </xdr:from>
    <xdr:to>
      <xdr:col>10</xdr:col>
      <xdr:colOff>19050</xdr:colOff>
      <xdr:row>94</xdr:row>
      <xdr:rowOff>0</xdr:rowOff>
    </xdr:to>
    <xdr:graphicFrame macro="">
      <xdr:nvGraphicFramePr>
        <xdr:cNvPr id="9105261" name="R1">
          <a:extLst>
            <a:ext uri="{FF2B5EF4-FFF2-40B4-BE49-F238E27FC236}">
              <a16:creationId xmlns:a16="http://schemas.microsoft.com/office/drawing/2014/main" id="{00000000-0008-0000-0700-00006D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18</xdr:col>
      <xdr:colOff>9525</xdr:colOff>
      <xdr:row>76</xdr:row>
      <xdr:rowOff>0</xdr:rowOff>
    </xdr:from>
    <xdr:to>
      <xdr:col>26</xdr:col>
      <xdr:colOff>47625</xdr:colOff>
      <xdr:row>93</xdr:row>
      <xdr:rowOff>123825</xdr:rowOff>
    </xdr:to>
    <xdr:graphicFrame macro="">
      <xdr:nvGraphicFramePr>
        <xdr:cNvPr id="9105263" name="R3">
          <a:extLst>
            <a:ext uri="{FF2B5EF4-FFF2-40B4-BE49-F238E27FC236}">
              <a16:creationId xmlns:a16="http://schemas.microsoft.com/office/drawing/2014/main" id="{00000000-0008-0000-0700-00006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34</xdr:col>
      <xdr:colOff>125505</xdr:colOff>
      <xdr:row>95</xdr:row>
      <xdr:rowOff>0</xdr:rowOff>
    </xdr:from>
    <xdr:to>
      <xdr:col>41</xdr:col>
      <xdr:colOff>528917</xdr:colOff>
      <xdr:row>113</xdr:row>
      <xdr:rowOff>0</xdr:rowOff>
    </xdr:to>
    <xdr:graphicFrame macro="">
      <xdr:nvGraphicFramePr>
        <xdr:cNvPr id="9105264" name="EBITDA1">
          <a:extLst>
            <a:ext uri="{FF2B5EF4-FFF2-40B4-BE49-F238E27FC236}">
              <a16:creationId xmlns:a16="http://schemas.microsoft.com/office/drawing/2014/main" id="{00000000-0008-0000-0700-00007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50</xdr:col>
      <xdr:colOff>0</xdr:colOff>
      <xdr:row>95</xdr:row>
      <xdr:rowOff>0</xdr:rowOff>
    </xdr:from>
    <xdr:to>
      <xdr:col>58</xdr:col>
      <xdr:colOff>28575</xdr:colOff>
      <xdr:row>113</xdr:row>
      <xdr:rowOff>0</xdr:rowOff>
    </xdr:to>
    <xdr:graphicFrame macro="">
      <xdr:nvGraphicFramePr>
        <xdr:cNvPr id="9105265" name="EBITDA2">
          <a:extLst>
            <a:ext uri="{FF2B5EF4-FFF2-40B4-BE49-F238E27FC236}">
              <a16:creationId xmlns:a16="http://schemas.microsoft.com/office/drawing/2014/main" id="{00000000-0008-0000-0700-000071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</xdr:col>
      <xdr:colOff>12700</xdr:colOff>
      <xdr:row>133</xdr:row>
      <xdr:rowOff>95250</xdr:rowOff>
    </xdr:from>
    <xdr:to>
      <xdr:col>10</xdr:col>
      <xdr:colOff>31750</xdr:colOff>
      <xdr:row>150</xdr:row>
      <xdr:rowOff>152400</xdr:rowOff>
    </xdr:to>
    <xdr:graphicFrame macro="">
      <xdr:nvGraphicFramePr>
        <xdr:cNvPr id="9105266" name="CAP1">
          <a:extLst>
            <a:ext uri="{FF2B5EF4-FFF2-40B4-BE49-F238E27FC236}">
              <a16:creationId xmlns:a16="http://schemas.microsoft.com/office/drawing/2014/main" id="{00000000-0008-0000-0700-000072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</xdr:col>
      <xdr:colOff>63500</xdr:colOff>
      <xdr:row>151</xdr:row>
      <xdr:rowOff>127000</xdr:rowOff>
    </xdr:from>
    <xdr:to>
      <xdr:col>10</xdr:col>
      <xdr:colOff>139700</xdr:colOff>
      <xdr:row>170</xdr:row>
      <xdr:rowOff>0</xdr:rowOff>
    </xdr:to>
    <xdr:graphicFrame macro="">
      <xdr:nvGraphicFramePr>
        <xdr:cNvPr id="9105269" name="ND1">
          <a:extLst>
            <a:ext uri="{FF2B5EF4-FFF2-40B4-BE49-F238E27FC236}">
              <a16:creationId xmlns:a16="http://schemas.microsoft.com/office/drawing/2014/main" id="{00000000-0008-0000-0700-00007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190</xdr:row>
      <xdr:rowOff>0</xdr:rowOff>
    </xdr:from>
    <xdr:to>
      <xdr:col>10</xdr:col>
      <xdr:colOff>38100</xdr:colOff>
      <xdr:row>207</xdr:row>
      <xdr:rowOff>88900</xdr:rowOff>
    </xdr:to>
    <xdr:graphicFrame macro="">
      <xdr:nvGraphicFramePr>
        <xdr:cNvPr id="9105272" name="PROF">
          <a:extLst>
            <a:ext uri="{FF2B5EF4-FFF2-40B4-BE49-F238E27FC236}">
              <a16:creationId xmlns:a16="http://schemas.microsoft.com/office/drawing/2014/main" id="{00000000-0008-0000-0700-000078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0</xdr:colOff>
      <xdr:row>114</xdr:row>
      <xdr:rowOff>86591</xdr:rowOff>
    </xdr:from>
    <xdr:to>
      <xdr:col>10</xdr:col>
      <xdr:colOff>38100</xdr:colOff>
      <xdr:row>132</xdr:row>
      <xdr:rowOff>19050</xdr:rowOff>
    </xdr:to>
    <xdr:graphicFrame macro="">
      <xdr:nvGraphicFramePr>
        <xdr:cNvPr id="9105273" name="TAX1">
          <a:extLst>
            <a:ext uri="{FF2B5EF4-FFF2-40B4-BE49-F238E27FC236}">
              <a16:creationId xmlns:a16="http://schemas.microsoft.com/office/drawing/2014/main" id="{00000000-0008-0000-0700-000079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0</xdr:colOff>
      <xdr:row>134</xdr:row>
      <xdr:rowOff>0</xdr:rowOff>
    </xdr:from>
    <xdr:to>
      <xdr:col>18</xdr:col>
      <xdr:colOff>47625</xdr:colOff>
      <xdr:row>151</xdr:row>
      <xdr:rowOff>9525</xdr:rowOff>
    </xdr:to>
    <xdr:graphicFrame macro="">
      <xdr:nvGraphicFramePr>
        <xdr:cNvPr id="9105274" name="CAP2">
          <a:extLst>
            <a:ext uri="{FF2B5EF4-FFF2-40B4-BE49-F238E27FC236}">
              <a16:creationId xmlns:a16="http://schemas.microsoft.com/office/drawing/2014/main" id="{00000000-0008-0000-0700-00007A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95</xdr:row>
      <xdr:rowOff>0</xdr:rowOff>
    </xdr:from>
    <xdr:to>
      <xdr:col>9</xdr:col>
      <xdr:colOff>590550</xdr:colOff>
      <xdr:row>113</xdr:row>
      <xdr:rowOff>0</xdr:rowOff>
    </xdr:to>
    <xdr:graphicFrame macro="">
      <xdr:nvGraphicFramePr>
        <xdr:cNvPr id="9105275" name="M1">
          <a:extLst>
            <a:ext uri="{FF2B5EF4-FFF2-40B4-BE49-F238E27FC236}">
              <a16:creationId xmlns:a16="http://schemas.microsoft.com/office/drawing/2014/main" id="{00000000-0008-0000-0700-00007B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18</xdr:col>
      <xdr:colOff>0</xdr:colOff>
      <xdr:row>324</xdr:row>
      <xdr:rowOff>161925</xdr:rowOff>
    </xdr:from>
    <xdr:to>
      <xdr:col>26</xdr:col>
      <xdr:colOff>19050</xdr:colOff>
      <xdr:row>342</xdr:row>
      <xdr:rowOff>165100</xdr:rowOff>
    </xdr:to>
    <xdr:graphicFrame macro="">
      <xdr:nvGraphicFramePr>
        <xdr:cNvPr id="9105276" name="R103">
          <a:extLst>
            <a:ext uri="{FF2B5EF4-FFF2-40B4-BE49-F238E27FC236}">
              <a16:creationId xmlns:a16="http://schemas.microsoft.com/office/drawing/2014/main" id="{00000000-0008-0000-0700-00007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17</xdr:col>
      <xdr:colOff>561975</xdr:colOff>
      <xdr:row>363</xdr:row>
      <xdr:rowOff>0</xdr:rowOff>
    </xdr:from>
    <xdr:to>
      <xdr:col>25</xdr:col>
      <xdr:colOff>552450</xdr:colOff>
      <xdr:row>381</xdr:row>
      <xdr:rowOff>0</xdr:rowOff>
    </xdr:to>
    <xdr:graphicFrame macro="">
      <xdr:nvGraphicFramePr>
        <xdr:cNvPr id="9105277" name="NI101">
          <a:extLst>
            <a:ext uri="{FF2B5EF4-FFF2-40B4-BE49-F238E27FC236}">
              <a16:creationId xmlns:a16="http://schemas.microsoft.com/office/drawing/2014/main" id="{00000000-0008-0000-0700-00007D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17</xdr:col>
      <xdr:colOff>666750</xdr:colOff>
      <xdr:row>344</xdr:row>
      <xdr:rowOff>9525</xdr:rowOff>
    </xdr:from>
    <xdr:to>
      <xdr:col>26</xdr:col>
      <xdr:colOff>19050</xdr:colOff>
      <xdr:row>362</xdr:row>
      <xdr:rowOff>0</xdr:rowOff>
    </xdr:to>
    <xdr:graphicFrame macro="">
      <xdr:nvGraphicFramePr>
        <xdr:cNvPr id="9105278" name="EBITDA101">
          <a:extLst>
            <a:ext uri="{FF2B5EF4-FFF2-40B4-BE49-F238E27FC236}">
              <a16:creationId xmlns:a16="http://schemas.microsoft.com/office/drawing/2014/main" id="{00000000-0008-0000-0700-00007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25</xdr:col>
      <xdr:colOff>600075</xdr:colOff>
      <xdr:row>344</xdr:row>
      <xdr:rowOff>9525</xdr:rowOff>
    </xdr:from>
    <xdr:to>
      <xdr:col>34</xdr:col>
      <xdr:colOff>28575</xdr:colOff>
      <xdr:row>362</xdr:row>
      <xdr:rowOff>0</xdr:rowOff>
    </xdr:to>
    <xdr:graphicFrame macro="">
      <xdr:nvGraphicFramePr>
        <xdr:cNvPr id="9105279" name="EBITDA102">
          <a:extLst>
            <a:ext uri="{FF2B5EF4-FFF2-40B4-BE49-F238E27FC236}">
              <a16:creationId xmlns:a16="http://schemas.microsoft.com/office/drawing/2014/main" id="{00000000-0008-0000-0700-00007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17</xdr:col>
      <xdr:colOff>600075</xdr:colOff>
      <xdr:row>114</xdr:row>
      <xdr:rowOff>51954</xdr:rowOff>
    </xdr:from>
    <xdr:to>
      <xdr:col>25</xdr:col>
      <xdr:colOff>600075</xdr:colOff>
      <xdr:row>131</xdr:row>
      <xdr:rowOff>173180</xdr:rowOff>
    </xdr:to>
    <xdr:graphicFrame macro="">
      <xdr:nvGraphicFramePr>
        <xdr:cNvPr id="9105280" name="DEPR1">
          <a:extLst>
            <a:ext uri="{FF2B5EF4-FFF2-40B4-BE49-F238E27FC236}">
              <a16:creationId xmlns:a16="http://schemas.microsoft.com/office/drawing/2014/main" id="{00000000-0008-0000-0700-00008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34</xdr:col>
      <xdr:colOff>0</xdr:colOff>
      <xdr:row>325</xdr:row>
      <xdr:rowOff>9525</xdr:rowOff>
    </xdr:from>
    <xdr:to>
      <xdr:col>42</xdr:col>
      <xdr:colOff>19050</xdr:colOff>
      <xdr:row>343</xdr:row>
      <xdr:rowOff>0</xdr:rowOff>
    </xdr:to>
    <xdr:graphicFrame macro="">
      <xdr:nvGraphicFramePr>
        <xdr:cNvPr id="9105284" name="R105">
          <a:extLst>
            <a:ext uri="{FF2B5EF4-FFF2-40B4-BE49-F238E27FC236}">
              <a16:creationId xmlns:a16="http://schemas.microsoft.com/office/drawing/2014/main" id="{00000000-0008-0000-0700-000084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</xdr:col>
      <xdr:colOff>0</xdr:colOff>
      <xdr:row>57</xdr:row>
      <xdr:rowOff>9525</xdr:rowOff>
    </xdr:from>
    <xdr:to>
      <xdr:col>10</xdr:col>
      <xdr:colOff>19050</xdr:colOff>
      <xdr:row>74</xdr:row>
      <xdr:rowOff>66675</xdr:rowOff>
    </xdr:to>
    <xdr:graphicFrame macro="">
      <xdr:nvGraphicFramePr>
        <xdr:cNvPr id="9105285" name="PR1">
          <a:extLst>
            <a:ext uri="{FF2B5EF4-FFF2-40B4-BE49-F238E27FC236}">
              <a16:creationId xmlns:a16="http://schemas.microsoft.com/office/drawing/2014/main" id="{00000000-0008-0000-0700-00008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34</xdr:col>
      <xdr:colOff>0</xdr:colOff>
      <xdr:row>287</xdr:row>
      <xdr:rowOff>9525</xdr:rowOff>
    </xdr:from>
    <xdr:to>
      <xdr:col>42</xdr:col>
      <xdr:colOff>19050</xdr:colOff>
      <xdr:row>304</xdr:row>
      <xdr:rowOff>66675</xdr:rowOff>
    </xdr:to>
    <xdr:graphicFrame macro="">
      <xdr:nvGraphicFramePr>
        <xdr:cNvPr id="9105289" name="PR105">
          <a:extLst>
            <a:ext uri="{FF2B5EF4-FFF2-40B4-BE49-F238E27FC236}">
              <a16:creationId xmlns:a16="http://schemas.microsoft.com/office/drawing/2014/main" id="{00000000-0008-0000-0700-000089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9</xdr:col>
      <xdr:colOff>561975</xdr:colOff>
      <xdr:row>95</xdr:row>
      <xdr:rowOff>0</xdr:rowOff>
    </xdr:from>
    <xdr:to>
      <xdr:col>18</xdr:col>
      <xdr:colOff>28575</xdr:colOff>
      <xdr:row>113</xdr:row>
      <xdr:rowOff>0</xdr:rowOff>
    </xdr:to>
    <xdr:graphicFrame macro="">
      <xdr:nvGraphicFramePr>
        <xdr:cNvPr id="9105292" name="M2">
          <a:extLst>
            <a:ext uri="{FF2B5EF4-FFF2-40B4-BE49-F238E27FC236}">
              <a16:creationId xmlns:a16="http://schemas.microsoft.com/office/drawing/2014/main" id="{00000000-0008-0000-0700-00008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18</xdr:col>
      <xdr:colOff>0</xdr:colOff>
      <xdr:row>95</xdr:row>
      <xdr:rowOff>0</xdr:rowOff>
    </xdr:from>
    <xdr:to>
      <xdr:col>25</xdr:col>
      <xdr:colOff>519953</xdr:colOff>
      <xdr:row>113</xdr:row>
      <xdr:rowOff>0</xdr:rowOff>
    </xdr:to>
    <xdr:graphicFrame macro="">
      <xdr:nvGraphicFramePr>
        <xdr:cNvPr id="9105294" name="M3">
          <a:extLst>
            <a:ext uri="{FF2B5EF4-FFF2-40B4-BE49-F238E27FC236}">
              <a16:creationId xmlns:a16="http://schemas.microsoft.com/office/drawing/2014/main" id="{00000000-0008-0000-0700-00008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</xdr:col>
      <xdr:colOff>600075</xdr:colOff>
      <xdr:row>344</xdr:row>
      <xdr:rowOff>9525</xdr:rowOff>
    </xdr:from>
    <xdr:to>
      <xdr:col>10</xdr:col>
      <xdr:colOff>28575</xdr:colOff>
      <xdr:row>362</xdr:row>
      <xdr:rowOff>0</xdr:rowOff>
    </xdr:to>
    <xdr:graphicFrame macro="">
      <xdr:nvGraphicFramePr>
        <xdr:cNvPr id="9105295" name="M101">
          <a:extLst>
            <a:ext uri="{FF2B5EF4-FFF2-40B4-BE49-F238E27FC236}">
              <a16:creationId xmlns:a16="http://schemas.microsoft.com/office/drawing/2014/main" id="{00000000-0008-0000-0700-00008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42</xdr:col>
      <xdr:colOff>9525</xdr:colOff>
      <xdr:row>133</xdr:row>
      <xdr:rowOff>119063</xdr:rowOff>
    </xdr:from>
    <xdr:to>
      <xdr:col>49</xdr:col>
      <xdr:colOff>600075</xdr:colOff>
      <xdr:row>151</xdr:row>
      <xdr:rowOff>19050</xdr:rowOff>
    </xdr:to>
    <xdr:graphicFrame macro="">
      <xdr:nvGraphicFramePr>
        <xdr:cNvPr id="9105296" name="WC2">
          <a:extLst>
            <a:ext uri="{FF2B5EF4-FFF2-40B4-BE49-F238E27FC236}">
              <a16:creationId xmlns:a16="http://schemas.microsoft.com/office/drawing/2014/main" id="{00000000-0008-0000-0700-00009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</xdr:col>
      <xdr:colOff>9525</xdr:colOff>
      <xdr:row>190</xdr:row>
      <xdr:rowOff>0</xdr:rowOff>
    </xdr:from>
    <xdr:to>
      <xdr:col>17</xdr:col>
      <xdr:colOff>600075</xdr:colOff>
      <xdr:row>207</xdr:row>
      <xdr:rowOff>63500</xdr:rowOff>
    </xdr:to>
    <xdr:graphicFrame macro="">
      <xdr:nvGraphicFramePr>
        <xdr:cNvPr id="9105299" name="ROIC">
          <a:extLst>
            <a:ext uri="{FF2B5EF4-FFF2-40B4-BE49-F238E27FC236}">
              <a16:creationId xmlns:a16="http://schemas.microsoft.com/office/drawing/2014/main" id="{00000000-0008-0000-0700-000093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18</xdr:col>
      <xdr:colOff>9525</xdr:colOff>
      <xdr:row>190</xdr:row>
      <xdr:rowOff>0</xdr:rowOff>
    </xdr:from>
    <xdr:to>
      <xdr:col>25</xdr:col>
      <xdr:colOff>600075</xdr:colOff>
      <xdr:row>208</xdr:row>
      <xdr:rowOff>0</xdr:rowOff>
    </xdr:to>
    <xdr:graphicFrame macro="">
      <xdr:nvGraphicFramePr>
        <xdr:cNvPr id="9105300" name="ROE">
          <a:extLst>
            <a:ext uri="{FF2B5EF4-FFF2-40B4-BE49-F238E27FC236}">
              <a16:creationId xmlns:a16="http://schemas.microsoft.com/office/drawing/2014/main" id="{00000000-0008-0000-0700-000094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26</xdr:col>
      <xdr:colOff>9525</xdr:colOff>
      <xdr:row>190</xdr:row>
      <xdr:rowOff>0</xdr:rowOff>
    </xdr:from>
    <xdr:to>
      <xdr:col>33</xdr:col>
      <xdr:colOff>600075</xdr:colOff>
      <xdr:row>207</xdr:row>
      <xdr:rowOff>76200</xdr:rowOff>
    </xdr:to>
    <xdr:graphicFrame macro="">
      <xdr:nvGraphicFramePr>
        <xdr:cNvPr id="9105301" name="ROA">
          <a:extLst>
            <a:ext uri="{FF2B5EF4-FFF2-40B4-BE49-F238E27FC236}">
              <a16:creationId xmlns:a16="http://schemas.microsoft.com/office/drawing/2014/main" id="{00000000-0008-0000-0700-000095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9</xdr:col>
      <xdr:colOff>600075</xdr:colOff>
      <xdr:row>363</xdr:row>
      <xdr:rowOff>28575</xdr:rowOff>
    </xdr:from>
    <xdr:to>
      <xdr:col>17</xdr:col>
      <xdr:colOff>590550</xdr:colOff>
      <xdr:row>381</xdr:row>
      <xdr:rowOff>0</xdr:rowOff>
    </xdr:to>
    <xdr:graphicFrame macro="">
      <xdr:nvGraphicFramePr>
        <xdr:cNvPr id="9105302" name="FIN101">
          <a:extLst>
            <a:ext uri="{FF2B5EF4-FFF2-40B4-BE49-F238E27FC236}">
              <a16:creationId xmlns:a16="http://schemas.microsoft.com/office/drawing/2014/main" id="{00000000-0008-0000-0700-000096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</xdr:col>
      <xdr:colOff>600075</xdr:colOff>
      <xdr:row>363</xdr:row>
      <xdr:rowOff>28575</xdr:rowOff>
    </xdr:from>
    <xdr:to>
      <xdr:col>9</xdr:col>
      <xdr:colOff>590550</xdr:colOff>
      <xdr:row>381</xdr:row>
      <xdr:rowOff>0</xdr:rowOff>
    </xdr:to>
    <xdr:graphicFrame macro="">
      <xdr:nvGraphicFramePr>
        <xdr:cNvPr id="9105303" name="TAX101">
          <a:extLst>
            <a:ext uri="{FF2B5EF4-FFF2-40B4-BE49-F238E27FC236}">
              <a16:creationId xmlns:a16="http://schemas.microsoft.com/office/drawing/2014/main" id="{00000000-0008-0000-0700-000097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25</xdr:col>
      <xdr:colOff>590550</xdr:colOff>
      <xdr:row>76</xdr:row>
      <xdr:rowOff>28575</xdr:rowOff>
    </xdr:from>
    <xdr:to>
      <xdr:col>34</xdr:col>
      <xdr:colOff>19050</xdr:colOff>
      <xdr:row>94</xdr:row>
      <xdr:rowOff>0</xdr:rowOff>
    </xdr:to>
    <xdr:graphicFrame macro="">
      <xdr:nvGraphicFramePr>
        <xdr:cNvPr id="9105304" name="R4">
          <a:extLst>
            <a:ext uri="{FF2B5EF4-FFF2-40B4-BE49-F238E27FC236}">
              <a16:creationId xmlns:a16="http://schemas.microsoft.com/office/drawing/2014/main" id="{00000000-0008-0000-0700-000098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0</xdr:colOff>
      <xdr:row>325</xdr:row>
      <xdr:rowOff>9525</xdr:rowOff>
    </xdr:from>
    <xdr:to>
      <xdr:col>10</xdr:col>
      <xdr:colOff>19050</xdr:colOff>
      <xdr:row>343</xdr:row>
      <xdr:rowOff>0</xdr:rowOff>
    </xdr:to>
    <xdr:graphicFrame macro="">
      <xdr:nvGraphicFramePr>
        <xdr:cNvPr id="9105305" name="R101">
          <a:extLst>
            <a:ext uri="{FF2B5EF4-FFF2-40B4-BE49-F238E27FC236}">
              <a16:creationId xmlns:a16="http://schemas.microsoft.com/office/drawing/2014/main" id="{00000000-0008-0000-0700-000099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18</xdr:col>
      <xdr:colOff>0</xdr:colOff>
      <xdr:row>268</xdr:row>
      <xdr:rowOff>9525</xdr:rowOff>
    </xdr:from>
    <xdr:to>
      <xdr:col>26</xdr:col>
      <xdr:colOff>19050</xdr:colOff>
      <xdr:row>285</xdr:row>
      <xdr:rowOff>66675</xdr:rowOff>
    </xdr:to>
    <xdr:graphicFrame macro="">
      <xdr:nvGraphicFramePr>
        <xdr:cNvPr id="9105308" name="VOL103">
          <a:extLst>
            <a:ext uri="{FF2B5EF4-FFF2-40B4-BE49-F238E27FC236}">
              <a16:creationId xmlns:a16="http://schemas.microsoft.com/office/drawing/2014/main" id="{00000000-0008-0000-0700-00009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18</xdr:col>
      <xdr:colOff>9525</xdr:colOff>
      <xdr:row>287</xdr:row>
      <xdr:rowOff>9525</xdr:rowOff>
    </xdr:from>
    <xdr:to>
      <xdr:col>26</xdr:col>
      <xdr:colOff>28575</xdr:colOff>
      <xdr:row>304</xdr:row>
      <xdr:rowOff>66675</xdr:rowOff>
    </xdr:to>
    <xdr:graphicFrame macro="">
      <xdr:nvGraphicFramePr>
        <xdr:cNvPr id="9105309" name="PR103">
          <a:extLst>
            <a:ext uri="{FF2B5EF4-FFF2-40B4-BE49-F238E27FC236}">
              <a16:creationId xmlns:a16="http://schemas.microsoft.com/office/drawing/2014/main" id="{00000000-0008-0000-0700-00009D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26</xdr:col>
      <xdr:colOff>0</xdr:colOff>
      <xdr:row>287</xdr:row>
      <xdr:rowOff>9525</xdr:rowOff>
    </xdr:from>
    <xdr:to>
      <xdr:col>34</xdr:col>
      <xdr:colOff>19050</xdr:colOff>
      <xdr:row>304</xdr:row>
      <xdr:rowOff>66675</xdr:rowOff>
    </xdr:to>
    <xdr:graphicFrame macro="">
      <xdr:nvGraphicFramePr>
        <xdr:cNvPr id="9105310" name="PR104">
          <a:extLst>
            <a:ext uri="{FF2B5EF4-FFF2-40B4-BE49-F238E27FC236}">
              <a16:creationId xmlns:a16="http://schemas.microsoft.com/office/drawing/2014/main" id="{00000000-0008-0000-0700-00009E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26</xdr:col>
      <xdr:colOff>0</xdr:colOff>
      <xdr:row>268</xdr:row>
      <xdr:rowOff>9525</xdr:rowOff>
    </xdr:from>
    <xdr:to>
      <xdr:col>34</xdr:col>
      <xdr:colOff>19050</xdr:colOff>
      <xdr:row>285</xdr:row>
      <xdr:rowOff>66675</xdr:rowOff>
    </xdr:to>
    <xdr:graphicFrame macro="">
      <xdr:nvGraphicFramePr>
        <xdr:cNvPr id="9105311" name="VOL104">
          <a:extLst>
            <a:ext uri="{FF2B5EF4-FFF2-40B4-BE49-F238E27FC236}">
              <a16:creationId xmlns:a16="http://schemas.microsoft.com/office/drawing/2014/main" id="{00000000-0008-0000-0700-00009F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9</xdr:col>
      <xdr:colOff>600075</xdr:colOff>
      <xdr:row>344</xdr:row>
      <xdr:rowOff>9525</xdr:rowOff>
    </xdr:from>
    <xdr:to>
      <xdr:col>18</xdr:col>
      <xdr:colOff>28575</xdr:colOff>
      <xdr:row>362</xdr:row>
      <xdr:rowOff>0</xdr:rowOff>
    </xdr:to>
    <xdr:graphicFrame macro="">
      <xdr:nvGraphicFramePr>
        <xdr:cNvPr id="9105312" name="M102">
          <a:extLst>
            <a:ext uri="{FF2B5EF4-FFF2-40B4-BE49-F238E27FC236}">
              <a16:creationId xmlns:a16="http://schemas.microsoft.com/office/drawing/2014/main" id="{00000000-0008-0000-0700-0000A0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33</xdr:col>
      <xdr:colOff>600075</xdr:colOff>
      <xdr:row>344</xdr:row>
      <xdr:rowOff>9525</xdr:rowOff>
    </xdr:from>
    <xdr:to>
      <xdr:col>42</xdr:col>
      <xdr:colOff>28575</xdr:colOff>
      <xdr:row>362</xdr:row>
      <xdr:rowOff>0</xdr:rowOff>
    </xdr:to>
    <xdr:graphicFrame macro="">
      <xdr:nvGraphicFramePr>
        <xdr:cNvPr id="9105314" name="EBITDA103">
          <a:extLst>
            <a:ext uri="{FF2B5EF4-FFF2-40B4-BE49-F238E27FC236}">
              <a16:creationId xmlns:a16="http://schemas.microsoft.com/office/drawing/2014/main" id="{00000000-0008-0000-0700-0000A2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18</xdr:col>
      <xdr:colOff>0</xdr:colOff>
      <xdr:row>209</xdr:row>
      <xdr:rowOff>0</xdr:rowOff>
    </xdr:from>
    <xdr:to>
      <xdr:col>25</xdr:col>
      <xdr:colOff>476250</xdr:colOff>
      <xdr:row>224</xdr:row>
      <xdr:rowOff>11906</xdr:rowOff>
    </xdr:to>
    <xdr:graphicFrame macro="">
      <xdr:nvGraphicFramePr>
        <xdr:cNvPr id="9105321" name="PB">
          <a:extLst>
            <a:ext uri="{FF2B5EF4-FFF2-40B4-BE49-F238E27FC236}">
              <a16:creationId xmlns:a16="http://schemas.microsoft.com/office/drawing/2014/main" id="{00000000-0008-0000-0700-0000A9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9</xdr:col>
      <xdr:colOff>653141</xdr:colOff>
      <xdr:row>209</xdr:row>
      <xdr:rowOff>0</xdr:rowOff>
    </xdr:from>
    <xdr:to>
      <xdr:col>17</xdr:col>
      <xdr:colOff>587828</xdr:colOff>
      <xdr:row>226</xdr:row>
      <xdr:rowOff>43543</xdr:rowOff>
    </xdr:to>
    <xdr:graphicFrame macro="">
      <xdr:nvGraphicFramePr>
        <xdr:cNvPr id="9105324" name="PE">
          <a:extLst>
            <a:ext uri="{FF2B5EF4-FFF2-40B4-BE49-F238E27FC236}">
              <a16:creationId xmlns:a16="http://schemas.microsoft.com/office/drawing/2014/main" id="{00000000-0008-0000-0700-0000ACEF8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63</xdr:col>
      <xdr:colOff>177800</xdr:colOff>
      <xdr:row>0</xdr:row>
      <xdr:rowOff>38100</xdr:rowOff>
    </xdr:from>
    <xdr:to>
      <xdr:col>64</xdr:col>
      <xdr:colOff>501650</xdr:colOff>
      <xdr:row>1</xdr:row>
      <xdr:rowOff>19050</xdr:rowOff>
    </xdr:to>
    <xdr:sp macro="" textlink="">
      <xdr:nvSpPr>
        <xdr:cNvPr id="122" name="Rectangle 3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>
          <a:spLocks noChangeArrowheads="1"/>
        </xdr:cNvSpPr>
      </xdr:nvSpPr>
      <xdr:spPr bwMode="auto">
        <a:xfrm>
          <a:off x="37947600" y="38100"/>
          <a:ext cx="93345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  <xdr:oneCellAnchor>
    <xdr:from>
      <xdr:col>2</xdr:col>
      <xdr:colOff>381000</xdr:colOff>
      <xdr:row>0</xdr:row>
      <xdr:rowOff>9525</xdr:rowOff>
    </xdr:from>
    <xdr:ext cx="1066801" cy="209550"/>
    <xdr:sp macro="" textlink="">
      <xdr:nvSpPr>
        <xdr:cNvPr id="112" name="Rectangle 111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>
          <a:spLocks noChangeArrowheads="1"/>
        </xdr:cNvSpPr>
      </xdr:nvSpPr>
      <xdr:spPr bwMode="auto">
        <a:xfrm>
          <a:off x="965200" y="9525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twoCellAnchor>
    <xdr:from>
      <xdr:col>2</xdr:col>
      <xdr:colOff>50800</xdr:colOff>
      <xdr:row>38</xdr:row>
      <xdr:rowOff>50800</xdr:rowOff>
    </xdr:from>
    <xdr:to>
      <xdr:col>9</xdr:col>
      <xdr:colOff>546100</xdr:colOff>
      <xdr:row>55</xdr:row>
      <xdr:rowOff>101600</xdr:rowOff>
    </xdr:to>
    <xdr:graphicFrame macro="">
      <xdr:nvGraphicFramePr>
        <xdr:cNvPr id="113" name="VOL1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42</xdr:col>
      <xdr:colOff>9525</xdr:colOff>
      <xdr:row>38</xdr:row>
      <xdr:rowOff>0</xdr:rowOff>
    </xdr:from>
    <xdr:to>
      <xdr:col>50</xdr:col>
      <xdr:colOff>47625</xdr:colOff>
      <xdr:row>55</xdr:row>
      <xdr:rowOff>123825</xdr:rowOff>
    </xdr:to>
    <xdr:graphicFrame macro="">
      <xdr:nvGraphicFramePr>
        <xdr:cNvPr id="114" name="VOL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33</xdr:col>
      <xdr:colOff>590550</xdr:colOff>
      <xdr:row>152</xdr:row>
      <xdr:rowOff>28575</xdr:rowOff>
    </xdr:from>
    <xdr:to>
      <xdr:col>42</xdr:col>
      <xdr:colOff>19050</xdr:colOff>
      <xdr:row>170</xdr:row>
      <xdr:rowOff>0</xdr:rowOff>
    </xdr:to>
    <xdr:graphicFrame macro="">
      <xdr:nvGraphicFramePr>
        <xdr:cNvPr id="118" name="AST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41</xdr:col>
      <xdr:colOff>590550</xdr:colOff>
      <xdr:row>152</xdr:row>
      <xdr:rowOff>28575</xdr:rowOff>
    </xdr:from>
    <xdr:to>
      <xdr:col>50</xdr:col>
      <xdr:colOff>19050</xdr:colOff>
      <xdr:row>170</xdr:row>
      <xdr:rowOff>0</xdr:rowOff>
    </xdr:to>
    <xdr:graphicFrame macro="">
      <xdr:nvGraphicFramePr>
        <xdr:cNvPr id="119" name="LIB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10</xdr:col>
      <xdr:colOff>22409</xdr:colOff>
      <xdr:row>38</xdr:row>
      <xdr:rowOff>44823</xdr:rowOff>
    </xdr:from>
    <xdr:to>
      <xdr:col>17</xdr:col>
      <xdr:colOff>504264</xdr:colOff>
      <xdr:row>56</xdr:row>
      <xdr:rowOff>44823</xdr:rowOff>
    </xdr:to>
    <xdr:graphicFrame macro="">
      <xdr:nvGraphicFramePr>
        <xdr:cNvPr id="117" name="VOL2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10</xdr:col>
      <xdr:colOff>0</xdr:colOff>
      <xdr:row>114</xdr:row>
      <xdr:rowOff>51955</xdr:rowOff>
    </xdr:from>
    <xdr:to>
      <xdr:col>18</xdr:col>
      <xdr:colOff>19050</xdr:colOff>
      <xdr:row>132</xdr:row>
      <xdr:rowOff>0</xdr:rowOff>
    </xdr:to>
    <xdr:graphicFrame macro="">
      <xdr:nvGraphicFramePr>
        <xdr:cNvPr id="120" name="FIN1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58</xdr:col>
      <xdr:colOff>0</xdr:colOff>
      <xdr:row>38</xdr:row>
      <xdr:rowOff>0</xdr:rowOff>
    </xdr:from>
    <xdr:to>
      <xdr:col>66</xdr:col>
      <xdr:colOff>38100</xdr:colOff>
      <xdr:row>55</xdr:row>
      <xdr:rowOff>123825</xdr:rowOff>
    </xdr:to>
    <xdr:graphicFrame macro="">
      <xdr:nvGraphicFramePr>
        <xdr:cNvPr id="125" name="VOL5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10</xdr:col>
      <xdr:colOff>0</xdr:colOff>
      <xdr:row>57</xdr:row>
      <xdr:rowOff>9525</xdr:rowOff>
    </xdr:from>
    <xdr:to>
      <xdr:col>18</xdr:col>
      <xdr:colOff>19050</xdr:colOff>
      <xdr:row>74</xdr:row>
      <xdr:rowOff>66675</xdr:rowOff>
    </xdr:to>
    <xdr:graphicFrame macro="">
      <xdr:nvGraphicFramePr>
        <xdr:cNvPr id="126" name="PR2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18</xdr:col>
      <xdr:colOff>0</xdr:colOff>
      <xdr:row>57</xdr:row>
      <xdr:rowOff>9525</xdr:rowOff>
    </xdr:from>
    <xdr:to>
      <xdr:col>26</xdr:col>
      <xdr:colOff>19050</xdr:colOff>
      <xdr:row>74</xdr:row>
      <xdr:rowOff>66675</xdr:rowOff>
    </xdr:to>
    <xdr:graphicFrame macro="">
      <xdr:nvGraphicFramePr>
        <xdr:cNvPr id="127" name="PR3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42</xdr:col>
      <xdr:colOff>0</xdr:colOff>
      <xdr:row>268</xdr:row>
      <xdr:rowOff>9525</xdr:rowOff>
    </xdr:from>
    <xdr:to>
      <xdr:col>50</xdr:col>
      <xdr:colOff>19050</xdr:colOff>
      <xdr:row>285</xdr:row>
      <xdr:rowOff>66675</xdr:rowOff>
    </xdr:to>
    <xdr:graphicFrame macro="">
      <xdr:nvGraphicFramePr>
        <xdr:cNvPr id="115" name="VOL106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50</xdr:col>
      <xdr:colOff>0</xdr:colOff>
      <xdr:row>268</xdr:row>
      <xdr:rowOff>9525</xdr:rowOff>
    </xdr:from>
    <xdr:to>
      <xdr:col>58</xdr:col>
      <xdr:colOff>19050</xdr:colOff>
      <xdr:row>285</xdr:row>
      <xdr:rowOff>66675</xdr:rowOff>
    </xdr:to>
    <xdr:graphicFrame macro="">
      <xdr:nvGraphicFramePr>
        <xdr:cNvPr id="116" name="VOL107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42</xdr:col>
      <xdr:colOff>0</xdr:colOff>
      <xdr:row>287</xdr:row>
      <xdr:rowOff>9525</xdr:rowOff>
    </xdr:from>
    <xdr:to>
      <xdr:col>50</xdr:col>
      <xdr:colOff>19050</xdr:colOff>
      <xdr:row>304</xdr:row>
      <xdr:rowOff>66675</xdr:rowOff>
    </xdr:to>
    <xdr:graphicFrame macro="">
      <xdr:nvGraphicFramePr>
        <xdr:cNvPr id="121" name="PR106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50</xdr:col>
      <xdr:colOff>0</xdr:colOff>
      <xdr:row>287</xdr:row>
      <xdr:rowOff>9525</xdr:rowOff>
    </xdr:from>
    <xdr:to>
      <xdr:col>58</xdr:col>
      <xdr:colOff>19050</xdr:colOff>
      <xdr:row>304</xdr:row>
      <xdr:rowOff>66675</xdr:rowOff>
    </xdr:to>
    <xdr:graphicFrame macro="">
      <xdr:nvGraphicFramePr>
        <xdr:cNvPr id="123" name="PR107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9</xdr:col>
      <xdr:colOff>584200</xdr:colOff>
      <xdr:row>324</xdr:row>
      <xdr:rowOff>152400</xdr:rowOff>
    </xdr:from>
    <xdr:to>
      <xdr:col>18</xdr:col>
      <xdr:colOff>12700</xdr:colOff>
      <xdr:row>343</xdr:row>
      <xdr:rowOff>0</xdr:rowOff>
    </xdr:to>
    <xdr:graphicFrame macro="">
      <xdr:nvGraphicFramePr>
        <xdr:cNvPr id="128" name="R102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</xdr:col>
      <xdr:colOff>0</xdr:colOff>
      <xdr:row>268</xdr:row>
      <xdr:rowOff>0</xdr:rowOff>
    </xdr:from>
    <xdr:to>
      <xdr:col>10</xdr:col>
      <xdr:colOff>19050</xdr:colOff>
      <xdr:row>285</xdr:row>
      <xdr:rowOff>161925</xdr:rowOff>
    </xdr:to>
    <xdr:graphicFrame macro="">
      <xdr:nvGraphicFramePr>
        <xdr:cNvPr id="104" name="VOL101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2</xdr:col>
      <xdr:colOff>0</xdr:colOff>
      <xdr:row>287</xdr:row>
      <xdr:rowOff>0</xdr:rowOff>
    </xdr:from>
    <xdr:to>
      <xdr:col>10</xdr:col>
      <xdr:colOff>19050</xdr:colOff>
      <xdr:row>304</xdr:row>
      <xdr:rowOff>168275</xdr:rowOff>
    </xdr:to>
    <xdr:graphicFrame macro="">
      <xdr:nvGraphicFramePr>
        <xdr:cNvPr id="106" name="PR101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10</xdr:col>
      <xdr:colOff>0</xdr:colOff>
      <xdr:row>287</xdr:row>
      <xdr:rowOff>0</xdr:rowOff>
    </xdr:from>
    <xdr:to>
      <xdr:col>18</xdr:col>
      <xdr:colOff>19050</xdr:colOff>
      <xdr:row>304</xdr:row>
      <xdr:rowOff>57150</xdr:rowOff>
    </xdr:to>
    <xdr:graphicFrame macro="">
      <xdr:nvGraphicFramePr>
        <xdr:cNvPr id="107" name="PR102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10</xdr:col>
      <xdr:colOff>0</xdr:colOff>
      <xdr:row>268</xdr:row>
      <xdr:rowOff>0</xdr:rowOff>
    </xdr:from>
    <xdr:to>
      <xdr:col>18</xdr:col>
      <xdr:colOff>38100</xdr:colOff>
      <xdr:row>286</xdr:row>
      <xdr:rowOff>12700</xdr:rowOff>
    </xdr:to>
    <xdr:graphicFrame macro="">
      <xdr:nvGraphicFramePr>
        <xdr:cNvPr id="108" name="VOL102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26</xdr:col>
      <xdr:colOff>0</xdr:colOff>
      <xdr:row>325</xdr:row>
      <xdr:rowOff>0</xdr:rowOff>
    </xdr:from>
    <xdr:to>
      <xdr:col>34</xdr:col>
      <xdr:colOff>19050</xdr:colOff>
      <xdr:row>342</xdr:row>
      <xdr:rowOff>57150</xdr:rowOff>
    </xdr:to>
    <xdr:graphicFrame macro="">
      <xdr:nvGraphicFramePr>
        <xdr:cNvPr id="109" name="R104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29" name="Chart 1672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0" name="Chart 1673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1" name="Chart 1674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2" name="Chart 1675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3" name="Chart 1676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4" name="Chart 1677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5" name="Chart 1678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6" name="Chart 1679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7" name="Chart 1680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8" name="Chart 1681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39" name="Chart 1682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19</xdr:col>
      <xdr:colOff>352425</xdr:colOff>
      <xdr:row>5</xdr:row>
      <xdr:rowOff>9525</xdr:rowOff>
    </xdr:from>
    <xdr:to>
      <xdr:col>22</xdr:col>
      <xdr:colOff>0</xdr:colOff>
      <xdr:row>5</xdr:row>
      <xdr:rowOff>9525</xdr:rowOff>
    </xdr:to>
    <xdr:graphicFrame macro="">
      <xdr:nvGraphicFramePr>
        <xdr:cNvPr id="140" name="Chart 1683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26</xdr:col>
      <xdr:colOff>0</xdr:colOff>
      <xdr:row>152</xdr:row>
      <xdr:rowOff>0</xdr:rowOff>
    </xdr:from>
    <xdr:to>
      <xdr:col>33</xdr:col>
      <xdr:colOff>581025</xdr:colOff>
      <xdr:row>170</xdr:row>
      <xdr:rowOff>0</xdr:rowOff>
    </xdr:to>
    <xdr:graphicFrame macro="">
      <xdr:nvGraphicFramePr>
        <xdr:cNvPr id="142" name="ND3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10</xdr:col>
      <xdr:colOff>0</xdr:colOff>
      <xdr:row>152</xdr:row>
      <xdr:rowOff>0</xdr:rowOff>
    </xdr:from>
    <xdr:to>
      <xdr:col>17</xdr:col>
      <xdr:colOff>571500</xdr:colOff>
      <xdr:row>170</xdr:row>
      <xdr:rowOff>38100</xdr:rowOff>
    </xdr:to>
    <xdr:graphicFrame macro="">
      <xdr:nvGraphicFramePr>
        <xdr:cNvPr id="144" name="ND2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34</xdr:col>
      <xdr:colOff>0</xdr:colOff>
      <xdr:row>134</xdr:row>
      <xdr:rowOff>0</xdr:rowOff>
    </xdr:from>
    <xdr:to>
      <xdr:col>41</xdr:col>
      <xdr:colOff>581025</xdr:colOff>
      <xdr:row>151</xdr:row>
      <xdr:rowOff>12700</xdr:rowOff>
    </xdr:to>
    <xdr:graphicFrame macro="">
      <xdr:nvGraphicFramePr>
        <xdr:cNvPr id="145" name="WC1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58</xdr:col>
      <xdr:colOff>1587</xdr:colOff>
      <xdr:row>57</xdr:row>
      <xdr:rowOff>19844</xdr:rowOff>
    </xdr:from>
    <xdr:to>
      <xdr:col>65</xdr:col>
      <xdr:colOff>580231</xdr:colOff>
      <xdr:row>75</xdr:row>
      <xdr:rowOff>11908</xdr:rowOff>
    </xdr:to>
    <xdr:graphicFrame macro="">
      <xdr:nvGraphicFramePr>
        <xdr:cNvPr id="143" name="R5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98</xdr:col>
      <xdr:colOff>801</xdr:colOff>
      <xdr:row>95</xdr:row>
      <xdr:rowOff>145054</xdr:rowOff>
    </xdr:from>
    <xdr:to>
      <xdr:col>105</xdr:col>
      <xdr:colOff>503022</xdr:colOff>
      <xdr:row>113</xdr:row>
      <xdr:rowOff>82800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58</xdr:col>
      <xdr:colOff>0</xdr:colOff>
      <xdr:row>95</xdr:row>
      <xdr:rowOff>0</xdr:rowOff>
    </xdr:from>
    <xdr:to>
      <xdr:col>66</xdr:col>
      <xdr:colOff>19050</xdr:colOff>
      <xdr:row>113</xdr:row>
      <xdr:rowOff>0</xdr:rowOff>
    </xdr:to>
    <xdr:graphicFrame macro="">
      <xdr:nvGraphicFramePr>
        <xdr:cNvPr id="147" name="R1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66</xdr:col>
      <xdr:colOff>0</xdr:colOff>
      <xdr:row>95</xdr:row>
      <xdr:rowOff>0</xdr:rowOff>
    </xdr:from>
    <xdr:to>
      <xdr:col>74</xdr:col>
      <xdr:colOff>19050</xdr:colOff>
      <xdr:row>113</xdr:row>
      <xdr:rowOff>0</xdr:rowOff>
    </xdr:to>
    <xdr:graphicFrame macro="">
      <xdr:nvGraphicFramePr>
        <xdr:cNvPr id="148" name="R1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74</xdr:col>
      <xdr:colOff>0</xdr:colOff>
      <xdr:row>95</xdr:row>
      <xdr:rowOff>0</xdr:rowOff>
    </xdr:from>
    <xdr:to>
      <xdr:col>82</xdr:col>
      <xdr:colOff>19050</xdr:colOff>
      <xdr:row>113</xdr:row>
      <xdr:rowOff>0</xdr:rowOff>
    </xdr:to>
    <xdr:graphicFrame macro="">
      <xdr:nvGraphicFramePr>
        <xdr:cNvPr id="149" name="R1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82</xdr:col>
      <xdr:colOff>23812</xdr:colOff>
      <xdr:row>95</xdr:row>
      <xdr:rowOff>23812</xdr:rowOff>
    </xdr:from>
    <xdr:to>
      <xdr:col>90</xdr:col>
      <xdr:colOff>59531</xdr:colOff>
      <xdr:row>113</xdr:row>
      <xdr:rowOff>23812</xdr:rowOff>
    </xdr:to>
    <xdr:graphicFrame macro="">
      <xdr:nvGraphicFramePr>
        <xdr:cNvPr id="151" name="R6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50</xdr:col>
      <xdr:colOff>13607</xdr:colOff>
      <xdr:row>134</xdr:row>
      <xdr:rowOff>47625</xdr:rowOff>
    </xdr:from>
    <xdr:to>
      <xdr:col>58</xdr:col>
      <xdr:colOff>1089</xdr:colOff>
      <xdr:row>150</xdr:row>
      <xdr:rowOff>141514</xdr:rowOff>
    </xdr:to>
    <xdr:graphicFrame macro="">
      <xdr:nvGraphicFramePr>
        <xdr:cNvPr id="154" name="WC2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50</xdr:col>
      <xdr:colOff>33617</xdr:colOff>
      <xdr:row>344</xdr:row>
      <xdr:rowOff>44824</xdr:rowOff>
    </xdr:from>
    <xdr:to>
      <xdr:col>58</xdr:col>
      <xdr:colOff>0</xdr:colOff>
      <xdr:row>361</xdr:row>
      <xdr:rowOff>123265</xdr:rowOff>
    </xdr:to>
    <xdr:graphicFrame macro="">
      <xdr:nvGraphicFramePr>
        <xdr:cNvPr id="156" name="R104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26</xdr:col>
      <xdr:colOff>11206</xdr:colOff>
      <xdr:row>363</xdr:row>
      <xdr:rowOff>33617</xdr:rowOff>
    </xdr:from>
    <xdr:to>
      <xdr:col>34</xdr:col>
      <xdr:colOff>1682</xdr:colOff>
      <xdr:row>381</xdr:row>
      <xdr:rowOff>0</xdr:rowOff>
    </xdr:to>
    <xdr:graphicFrame macro="">
      <xdr:nvGraphicFramePr>
        <xdr:cNvPr id="146" name="NI101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2</xdr:col>
      <xdr:colOff>33618</xdr:colOff>
      <xdr:row>306</xdr:row>
      <xdr:rowOff>22411</xdr:rowOff>
    </xdr:from>
    <xdr:to>
      <xdr:col>10</xdr:col>
      <xdr:colOff>52668</xdr:colOff>
      <xdr:row>324</xdr:row>
      <xdr:rowOff>14381</xdr:rowOff>
    </xdr:to>
    <xdr:graphicFrame macro="">
      <xdr:nvGraphicFramePr>
        <xdr:cNvPr id="155" name="R103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10</xdr:col>
      <xdr:colOff>22412</xdr:colOff>
      <xdr:row>306</xdr:row>
      <xdr:rowOff>11205</xdr:rowOff>
    </xdr:from>
    <xdr:to>
      <xdr:col>18</xdr:col>
      <xdr:colOff>48746</xdr:colOff>
      <xdr:row>324</xdr:row>
      <xdr:rowOff>1680</xdr:rowOff>
    </xdr:to>
    <xdr:graphicFrame macro="">
      <xdr:nvGraphicFramePr>
        <xdr:cNvPr id="157" name="M101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18</xdr:col>
      <xdr:colOff>33618</xdr:colOff>
      <xdr:row>306</xdr:row>
      <xdr:rowOff>22411</xdr:rowOff>
    </xdr:from>
    <xdr:to>
      <xdr:col>26</xdr:col>
      <xdr:colOff>59952</xdr:colOff>
      <xdr:row>324</xdr:row>
      <xdr:rowOff>12886</xdr:rowOff>
    </xdr:to>
    <xdr:graphicFrame macro="">
      <xdr:nvGraphicFramePr>
        <xdr:cNvPr id="158" name="M101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26</xdr:col>
      <xdr:colOff>64745</xdr:colOff>
      <xdr:row>306</xdr:row>
      <xdr:rowOff>-1</xdr:rowOff>
    </xdr:from>
    <xdr:to>
      <xdr:col>34</xdr:col>
      <xdr:colOff>91079</xdr:colOff>
      <xdr:row>323</xdr:row>
      <xdr:rowOff>141130</xdr:rowOff>
    </xdr:to>
    <xdr:graphicFrame macro="">
      <xdr:nvGraphicFramePr>
        <xdr:cNvPr id="160" name="M101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41</xdr:col>
      <xdr:colOff>593913</xdr:colOff>
      <xdr:row>344</xdr:row>
      <xdr:rowOff>56029</xdr:rowOff>
    </xdr:from>
    <xdr:to>
      <xdr:col>49</xdr:col>
      <xdr:colOff>560296</xdr:colOff>
      <xdr:row>361</xdr:row>
      <xdr:rowOff>134470</xdr:rowOff>
    </xdr:to>
    <xdr:graphicFrame macro="">
      <xdr:nvGraphicFramePr>
        <xdr:cNvPr id="163" name="R104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42</xdr:col>
      <xdr:colOff>44823</xdr:colOff>
      <xdr:row>362</xdr:row>
      <xdr:rowOff>67235</xdr:rowOff>
    </xdr:from>
    <xdr:to>
      <xdr:col>50</xdr:col>
      <xdr:colOff>63874</xdr:colOff>
      <xdr:row>380</xdr:row>
      <xdr:rowOff>68916</xdr:rowOff>
    </xdr:to>
    <xdr:graphicFrame macro="">
      <xdr:nvGraphicFramePr>
        <xdr:cNvPr id="164" name="R105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50</xdr:col>
      <xdr:colOff>11206</xdr:colOff>
      <xdr:row>362</xdr:row>
      <xdr:rowOff>33618</xdr:rowOff>
    </xdr:from>
    <xdr:to>
      <xdr:col>58</xdr:col>
      <xdr:colOff>30257</xdr:colOff>
      <xdr:row>380</xdr:row>
      <xdr:rowOff>35299</xdr:rowOff>
    </xdr:to>
    <xdr:graphicFrame macro="">
      <xdr:nvGraphicFramePr>
        <xdr:cNvPr id="166" name="R10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34</xdr:col>
      <xdr:colOff>0</xdr:colOff>
      <xdr:row>362</xdr:row>
      <xdr:rowOff>78442</xdr:rowOff>
    </xdr:from>
    <xdr:to>
      <xdr:col>42</xdr:col>
      <xdr:colOff>19051</xdr:colOff>
      <xdr:row>380</xdr:row>
      <xdr:rowOff>80123</xdr:rowOff>
    </xdr:to>
    <xdr:graphicFrame macro="">
      <xdr:nvGraphicFramePr>
        <xdr:cNvPr id="167" name="R105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34</xdr:col>
      <xdr:colOff>22412</xdr:colOff>
      <xdr:row>306</xdr:row>
      <xdr:rowOff>44823</xdr:rowOff>
    </xdr:from>
    <xdr:to>
      <xdr:col>41</xdr:col>
      <xdr:colOff>593912</xdr:colOff>
      <xdr:row>323</xdr:row>
      <xdr:rowOff>123264</xdr:rowOff>
    </xdr:to>
    <xdr:graphicFrame macro="">
      <xdr:nvGraphicFramePr>
        <xdr:cNvPr id="168" name="R104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57</xdr:col>
      <xdr:colOff>553891</xdr:colOff>
      <xdr:row>133</xdr:row>
      <xdr:rowOff>98050</xdr:rowOff>
    </xdr:from>
    <xdr:to>
      <xdr:col>66</xdr:col>
      <xdr:colOff>12006</xdr:colOff>
      <xdr:row>150</xdr:row>
      <xdr:rowOff>151518</xdr:rowOff>
    </xdr:to>
    <xdr:graphicFrame macro="">
      <xdr:nvGraphicFramePr>
        <xdr:cNvPr id="173" name="LIB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18</xdr:col>
      <xdr:colOff>27214</xdr:colOff>
      <xdr:row>133</xdr:row>
      <xdr:rowOff>27214</xdr:rowOff>
    </xdr:from>
    <xdr:to>
      <xdr:col>26</xdr:col>
      <xdr:colOff>68035</xdr:colOff>
      <xdr:row>151</xdr:row>
      <xdr:rowOff>12247</xdr:rowOff>
    </xdr:to>
    <xdr:graphicFrame macro="">
      <xdr:nvGraphicFramePr>
        <xdr:cNvPr id="152" name="AST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26</xdr:col>
      <xdr:colOff>-1</xdr:colOff>
      <xdr:row>133</xdr:row>
      <xdr:rowOff>-1</xdr:rowOff>
    </xdr:from>
    <xdr:to>
      <xdr:col>34</xdr:col>
      <xdr:colOff>40821</xdr:colOff>
      <xdr:row>150</xdr:row>
      <xdr:rowOff>148317</xdr:rowOff>
    </xdr:to>
    <xdr:graphicFrame macro="">
      <xdr:nvGraphicFramePr>
        <xdr:cNvPr id="161" name="AST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3</xdr:col>
      <xdr:colOff>65234</xdr:colOff>
      <xdr:row>4</xdr:row>
      <xdr:rowOff>98367</xdr:rowOff>
    </xdr:from>
    <xdr:to>
      <xdr:col>9</xdr:col>
      <xdr:colOff>549328</xdr:colOff>
      <xdr:row>18</xdr:row>
      <xdr:rowOff>28263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3</xdr:col>
      <xdr:colOff>21691</xdr:colOff>
      <xdr:row>20</xdr:row>
      <xdr:rowOff>62598</xdr:rowOff>
    </xdr:from>
    <xdr:to>
      <xdr:col>9</xdr:col>
      <xdr:colOff>505785</xdr:colOff>
      <xdr:row>36</xdr:row>
      <xdr:rowOff>147446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10</xdr:col>
      <xdr:colOff>92047</xdr:colOff>
      <xdr:row>4</xdr:row>
      <xdr:rowOff>98367</xdr:rowOff>
    </xdr:from>
    <xdr:to>
      <xdr:col>16</xdr:col>
      <xdr:colOff>576141</xdr:colOff>
      <xdr:row>18</xdr:row>
      <xdr:rowOff>28263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2</xdr:col>
      <xdr:colOff>25613</xdr:colOff>
      <xdr:row>228</xdr:row>
      <xdr:rowOff>34337</xdr:rowOff>
    </xdr:from>
    <xdr:to>
      <xdr:col>9</xdr:col>
      <xdr:colOff>571500</xdr:colOff>
      <xdr:row>246</xdr:row>
      <xdr:rowOff>123265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10</xdr:col>
      <xdr:colOff>22413</xdr:colOff>
      <xdr:row>228</xdr:row>
      <xdr:rowOff>33617</xdr:rowOff>
    </xdr:from>
    <xdr:to>
      <xdr:col>17</xdr:col>
      <xdr:colOff>459442</xdr:colOff>
      <xdr:row>246</xdr:row>
      <xdr:rowOff>123265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18</xdr:col>
      <xdr:colOff>22412</xdr:colOff>
      <xdr:row>228</xdr:row>
      <xdr:rowOff>33617</xdr:rowOff>
    </xdr:from>
    <xdr:to>
      <xdr:col>25</xdr:col>
      <xdr:colOff>560294</xdr:colOff>
      <xdr:row>246</xdr:row>
      <xdr:rowOff>134470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26</xdr:col>
      <xdr:colOff>11206</xdr:colOff>
      <xdr:row>228</xdr:row>
      <xdr:rowOff>22411</xdr:rowOff>
    </xdr:from>
    <xdr:to>
      <xdr:col>33</xdr:col>
      <xdr:colOff>571500</xdr:colOff>
      <xdr:row>246</xdr:row>
      <xdr:rowOff>145677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34</xdr:col>
      <xdr:colOff>11207</xdr:colOff>
      <xdr:row>228</xdr:row>
      <xdr:rowOff>33617</xdr:rowOff>
    </xdr:from>
    <xdr:to>
      <xdr:col>41</xdr:col>
      <xdr:colOff>593913</xdr:colOff>
      <xdr:row>246</xdr:row>
      <xdr:rowOff>123265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50</xdr:col>
      <xdr:colOff>28013</xdr:colOff>
      <xdr:row>228</xdr:row>
      <xdr:rowOff>34737</xdr:rowOff>
    </xdr:from>
    <xdr:to>
      <xdr:col>57</xdr:col>
      <xdr:colOff>1523999</xdr:colOff>
      <xdr:row>246</xdr:row>
      <xdr:rowOff>112058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42</xdr:col>
      <xdr:colOff>11207</xdr:colOff>
      <xdr:row>228</xdr:row>
      <xdr:rowOff>33617</xdr:rowOff>
    </xdr:from>
    <xdr:to>
      <xdr:col>49</xdr:col>
      <xdr:colOff>593913</xdr:colOff>
      <xdr:row>246</xdr:row>
      <xdr:rowOff>123265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82</xdr:col>
      <xdr:colOff>11205</xdr:colOff>
      <xdr:row>38</xdr:row>
      <xdr:rowOff>33617</xdr:rowOff>
    </xdr:from>
    <xdr:to>
      <xdr:col>89</xdr:col>
      <xdr:colOff>571499</xdr:colOff>
      <xdr:row>55</xdr:row>
      <xdr:rowOff>157442</xdr:rowOff>
    </xdr:to>
    <xdr:graphicFrame macro="">
      <xdr:nvGraphicFramePr>
        <xdr:cNvPr id="199" name="VOL6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42</xdr:col>
      <xdr:colOff>11206</xdr:colOff>
      <xdr:row>57</xdr:row>
      <xdr:rowOff>44823</xdr:rowOff>
    </xdr:from>
    <xdr:to>
      <xdr:col>49</xdr:col>
      <xdr:colOff>582707</xdr:colOff>
      <xdr:row>74</xdr:row>
      <xdr:rowOff>101973</xdr:rowOff>
    </xdr:to>
    <xdr:graphicFrame macro="">
      <xdr:nvGraphicFramePr>
        <xdr:cNvPr id="201" name="SALES_COUNTRY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42</xdr:col>
      <xdr:colOff>11205</xdr:colOff>
      <xdr:row>76</xdr:row>
      <xdr:rowOff>44824</xdr:rowOff>
    </xdr:from>
    <xdr:to>
      <xdr:col>50</xdr:col>
      <xdr:colOff>52028</xdr:colOff>
      <xdr:row>93</xdr:row>
      <xdr:rowOff>4003</xdr:rowOff>
    </xdr:to>
    <xdr:graphicFrame macro="">
      <xdr:nvGraphicFramePr>
        <xdr:cNvPr id="202" name="TAX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90</xdr:col>
      <xdr:colOff>0</xdr:colOff>
      <xdr:row>95</xdr:row>
      <xdr:rowOff>33616</xdr:rowOff>
    </xdr:from>
    <xdr:to>
      <xdr:col>97</xdr:col>
      <xdr:colOff>193638</xdr:colOff>
      <xdr:row>113</xdr:row>
      <xdr:rowOff>22411</xdr:rowOff>
    </xdr:to>
    <xdr:graphicFrame macro="">
      <xdr:nvGraphicFramePr>
        <xdr:cNvPr id="204" name="R6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50</xdr:col>
      <xdr:colOff>72837</xdr:colOff>
      <xdr:row>76</xdr:row>
      <xdr:rowOff>34737</xdr:rowOff>
    </xdr:from>
    <xdr:to>
      <xdr:col>57</xdr:col>
      <xdr:colOff>203274</xdr:colOff>
      <xdr:row>93</xdr:row>
      <xdr:rowOff>110937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66</xdr:col>
      <xdr:colOff>128866</xdr:colOff>
      <xdr:row>76</xdr:row>
      <xdr:rowOff>45945</xdr:rowOff>
    </xdr:from>
    <xdr:to>
      <xdr:col>73</xdr:col>
      <xdr:colOff>510762</xdr:colOff>
      <xdr:row>93</xdr:row>
      <xdr:rowOff>122145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74</xdr:col>
      <xdr:colOff>16807</xdr:colOff>
      <xdr:row>76</xdr:row>
      <xdr:rowOff>34738</xdr:rowOff>
    </xdr:from>
    <xdr:to>
      <xdr:col>81</xdr:col>
      <xdr:colOff>17929</xdr:colOff>
      <xdr:row>93</xdr:row>
      <xdr:rowOff>110938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105</xdr:col>
      <xdr:colOff>84043</xdr:colOff>
      <xdr:row>76</xdr:row>
      <xdr:rowOff>45944</xdr:rowOff>
    </xdr:from>
    <xdr:to>
      <xdr:col>113</xdr:col>
      <xdr:colOff>31749</xdr:colOff>
      <xdr:row>93</xdr:row>
      <xdr:rowOff>122144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115</xdr:col>
      <xdr:colOff>50426</xdr:colOff>
      <xdr:row>95</xdr:row>
      <xdr:rowOff>34737</xdr:rowOff>
    </xdr:from>
    <xdr:to>
      <xdr:col>122</xdr:col>
      <xdr:colOff>31750</xdr:colOff>
      <xdr:row>112</xdr:row>
      <xdr:rowOff>110937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90</xdr:col>
      <xdr:colOff>1587</xdr:colOff>
      <xdr:row>57</xdr:row>
      <xdr:rowOff>19844</xdr:rowOff>
    </xdr:from>
    <xdr:to>
      <xdr:col>97</xdr:col>
      <xdr:colOff>580231</xdr:colOff>
      <xdr:row>75</xdr:row>
      <xdr:rowOff>11908</xdr:rowOff>
    </xdr:to>
    <xdr:graphicFrame macro="">
      <xdr:nvGraphicFramePr>
        <xdr:cNvPr id="205" name="R5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90</xdr:col>
      <xdr:colOff>11206</xdr:colOff>
      <xdr:row>38</xdr:row>
      <xdr:rowOff>11206</xdr:rowOff>
    </xdr:from>
    <xdr:to>
      <xdr:col>97</xdr:col>
      <xdr:colOff>549088</xdr:colOff>
      <xdr:row>55</xdr:row>
      <xdr:rowOff>134472</xdr:rowOff>
    </xdr:to>
    <xdr:graphicFrame macro="">
      <xdr:nvGraphicFramePr>
        <xdr:cNvPr id="206" name="VOL6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98</xdr:col>
      <xdr:colOff>0</xdr:colOff>
      <xdr:row>38</xdr:row>
      <xdr:rowOff>67236</xdr:rowOff>
    </xdr:from>
    <xdr:to>
      <xdr:col>105</xdr:col>
      <xdr:colOff>168088</xdr:colOff>
      <xdr:row>55</xdr:row>
      <xdr:rowOff>0</xdr:rowOff>
    </xdr:to>
    <xdr:graphicFrame macro="">
      <xdr:nvGraphicFramePr>
        <xdr:cNvPr id="207" name="VOL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106</xdr:col>
      <xdr:colOff>22413</xdr:colOff>
      <xdr:row>38</xdr:row>
      <xdr:rowOff>33618</xdr:rowOff>
    </xdr:from>
    <xdr:to>
      <xdr:col>113</xdr:col>
      <xdr:colOff>493059</xdr:colOff>
      <xdr:row>54</xdr:row>
      <xdr:rowOff>123264</xdr:rowOff>
    </xdr:to>
    <xdr:graphicFrame macro="">
      <xdr:nvGraphicFramePr>
        <xdr:cNvPr id="208" name="VOL6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18</xdr:col>
      <xdr:colOff>28014</xdr:colOff>
      <xdr:row>38</xdr:row>
      <xdr:rowOff>40821</xdr:rowOff>
    </xdr:from>
    <xdr:to>
      <xdr:col>25</xdr:col>
      <xdr:colOff>364190</xdr:colOff>
      <xdr:row>55</xdr:row>
      <xdr:rowOff>77320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25</xdr:col>
      <xdr:colOff>588308</xdr:colOff>
      <xdr:row>38</xdr:row>
      <xdr:rowOff>57150</xdr:rowOff>
    </xdr:from>
    <xdr:to>
      <xdr:col>33</xdr:col>
      <xdr:colOff>319367</xdr:colOff>
      <xdr:row>55</xdr:row>
      <xdr:rowOff>133350</xdr:rowOff>
    </xdr:to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25</xdr:col>
      <xdr:colOff>588308</xdr:colOff>
      <xdr:row>38</xdr:row>
      <xdr:rowOff>45944</xdr:rowOff>
    </xdr:from>
    <xdr:to>
      <xdr:col>33</xdr:col>
      <xdr:colOff>319367</xdr:colOff>
      <xdr:row>55</xdr:row>
      <xdr:rowOff>122144</xdr:rowOff>
    </xdr:to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34</xdr:col>
      <xdr:colOff>5602</xdr:colOff>
      <xdr:row>38</xdr:row>
      <xdr:rowOff>34738</xdr:rowOff>
    </xdr:from>
    <xdr:to>
      <xdr:col>41</xdr:col>
      <xdr:colOff>341778</xdr:colOff>
      <xdr:row>55</xdr:row>
      <xdr:rowOff>110938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58</xdr:col>
      <xdr:colOff>61632</xdr:colOff>
      <xdr:row>76</xdr:row>
      <xdr:rowOff>45943</xdr:rowOff>
    </xdr:from>
    <xdr:to>
      <xdr:col>65</xdr:col>
      <xdr:colOff>598715</xdr:colOff>
      <xdr:row>93</xdr:row>
      <xdr:rowOff>122143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97</xdr:col>
      <xdr:colOff>72836</xdr:colOff>
      <xdr:row>76</xdr:row>
      <xdr:rowOff>23532</xdr:rowOff>
    </xdr:from>
    <xdr:to>
      <xdr:col>104</xdr:col>
      <xdr:colOff>539750</xdr:colOff>
      <xdr:row>93</xdr:row>
      <xdr:rowOff>99732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50</xdr:col>
      <xdr:colOff>128867</xdr:colOff>
      <xdr:row>57</xdr:row>
      <xdr:rowOff>57150</xdr:rowOff>
    </xdr:from>
    <xdr:to>
      <xdr:col>57</xdr:col>
      <xdr:colOff>76424</xdr:colOff>
      <xdr:row>74</xdr:row>
      <xdr:rowOff>43703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18</xdr:col>
      <xdr:colOff>5603</xdr:colOff>
      <xdr:row>152</xdr:row>
      <xdr:rowOff>23532</xdr:rowOff>
    </xdr:from>
    <xdr:to>
      <xdr:col>25</xdr:col>
      <xdr:colOff>341779</xdr:colOff>
      <xdr:row>169</xdr:row>
      <xdr:rowOff>99732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74</xdr:col>
      <xdr:colOff>45625</xdr:colOff>
      <xdr:row>344</xdr:row>
      <xdr:rowOff>58431</xdr:rowOff>
    </xdr:from>
    <xdr:to>
      <xdr:col>82</xdr:col>
      <xdr:colOff>78436</xdr:colOff>
      <xdr:row>362</xdr:row>
      <xdr:rowOff>39695</xdr:rowOff>
    </xdr:to>
    <xdr:graphicFrame macro="">
      <xdr:nvGraphicFramePr>
        <xdr:cNvPr id="214" name="R107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2</xdr:col>
      <xdr:colOff>123825</xdr:colOff>
      <xdr:row>247</xdr:row>
      <xdr:rowOff>66675</xdr:rowOff>
    </xdr:from>
    <xdr:to>
      <xdr:col>9</xdr:col>
      <xdr:colOff>428625</xdr:colOff>
      <xdr:row>264</xdr:row>
      <xdr:rowOff>47625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114</xdr:col>
      <xdr:colOff>95250</xdr:colOff>
      <xdr:row>38</xdr:row>
      <xdr:rowOff>27215</xdr:rowOff>
    </xdr:from>
    <xdr:to>
      <xdr:col>121</xdr:col>
      <xdr:colOff>590550</xdr:colOff>
      <xdr:row>55</xdr:row>
      <xdr:rowOff>78015</xdr:rowOff>
    </xdr:to>
    <xdr:graphicFrame macro="">
      <xdr:nvGraphicFramePr>
        <xdr:cNvPr id="216" name="VOL1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122</xdr:col>
      <xdr:colOff>54429</xdr:colOff>
      <xdr:row>38</xdr:row>
      <xdr:rowOff>40821</xdr:rowOff>
    </xdr:from>
    <xdr:to>
      <xdr:col>129</xdr:col>
      <xdr:colOff>549729</xdr:colOff>
      <xdr:row>55</xdr:row>
      <xdr:rowOff>91621</xdr:rowOff>
    </xdr:to>
    <xdr:graphicFrame macro="">
      <xdr:nvGraphicFramePr>
        <xdr:cNvPr id="218" name="VOL1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130</xdr:col>
      <xdr:colOff>54429</xdr:colOff>
      <xdr:row>38</xdr:row>
      <xdr:rowOff>54428</xdr:rowOff>
    </xdr:from>
    <xdr:to>
      <xdr:col>137</xdr:col>
      <xdr:colOff>549729</xdr:colOff>
      <xdr:row>55</xdr:row>
      <xdr:rowOff>105228</xdr:rowOff>
    </xdr:to>
    <xdr:graphicFrame macro="">
      <xdr:nvGraphicFramePr>
        <xdr:cNvPr id="219" name="VOL1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138</xdr:col>
      <xdr:colOff>68036</xdr:colOff>
      <xdr:row>38</xdr:row>
      <xdr:rowOff>27214</xdr:rowOff>
    </xdr:from>
    <xdr:to>
      <xdr:col>145</xdr:col>
      <xdr:colOff>563336</xdr:colOff>
      <xdr:row>55</xdr:row>
      <xdr:rowOff>78014</xdr:rowOff>
    </xdr:to>
    <xdr:graphicFrame macro="">
      <xdr:nvGraphicFramePr>
        <xdr:cNvPr id="220" name="MEX_OPEN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146</xdr:col>
      <xdr:colOff>54429</xdr:colOff>
      <xdr:row>38</xdr:row>
      <xdr:rowOff>54428</xdr:rowOff>
    </xdr:from>
    <xdr:to>
      <xdr:col>153</xdr:col>
      <xdr:colOff>549729</xdr:colOff>
      <xdr:row>55</xdr:row>
      <xdr:rowOff>105228</xdr:rowOff>
    </xdr:to>
    <xdr:graphicFrame macro="">
      <xdr:nvGraphicFramePr>
        <xdr:cNvPr id="221" name="SA_OPEN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153</xdr:col>
      <xdr:colOff>585107</xdr:colOff>
      <xdr:row>38</xdr:row>
      <xdr:rowOff>54428</xdr:rowOff>
    </xdr:from>
    <xdr:to>
      <xdr:col>161</xdr:col>
      <xdr:colOff>468085</xdr:colOff>
      <xdr:row>55</xdr:row>
      <xdr:rowOff>105228</xdr:rowOff>
    </xdr:to>
    <xdr:graphicFrame macro="">
      <xdr:nvGraphicFramePr>
        <xdr:cNvPr id="222" name="EUR_OPEN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10</xdr:col>
      <xdr:colOff>-1</xdr:colOff>
      <xdr:row>247</xdr:row>
      <xdr:rowOff>40821</xdr:rowOff>
    </xdr:from>
    <xdr:to>
      <xdr:col>18</xdr:col>
      <xdr:colOff>47624</xdr:colOff>
      <xdr:row>264</xdr:row>
      <xdr:rowOff>36738</xdr:rowOff>
    </xdr:to>
    <xdr:graphicFrame macro="">
      <xdr:nvGraphicFramePr>
        <xdr:cNvPr id="223" name="CAP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82</xdr:col>
      <xdr:colOff>59531</xdr:colOff>
      <xdr:row>76</xdr:row>
      <xdr:rowOff>47626</xdr:rowOff>
    </xdr:from>
    <xdr:to>
      <xdr:col>89</xdr:col>
      <xdr:colOff>367553</xdr:colOff>
      <xdr:row>93</xdr:row>
      <xdr:rowOff>123826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89</xdr:col>
      <xdr:colOff>1270000</xdr:colOff>
      <xdr:row>76</xdr:row>
      <xdr:rowOff>47625</xdr:rowOff>
    </xdr:from>
    <xdr:to>
      <xdr:col>97</xdr:col>
      <xdr:colOff>31750</xdr:colOff>
      <xdr:row>93</xdr:row>
      <xdr:rowOff>139699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42</xdr:col>
      <xdr:colOff>40925</xdr:colOff>
      <xdr:row>20</xdr:row>
      <xdr:rowOff>61633</xdr:rowOff>
    </xdr:from>
    <xdr:to>
      <xdr:col>48</xdr:col>
      <xdr:colOff>525020</xdr:colOff>
      <xdr:row>36</xdr:row>
      <xdr:rowOff>148411</xdr:rowOff>
    </xdr:to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42</xdr:col>
      <xdr:colOff>40925</xdr:colOff>
      <xdr:row>4</xdr:row>
      <xdr:rowOff>98367</xdr:rowOff>
    </xdr:from>
    <xdr:to>
      <xdr:col>48</xdr:col>
      <xdr:colOff>525020</xdr:colOff>
      <xdr:row>18</xdr:row>
      <xdr:rowOff>28263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49</xdr:col>
      <xdr:colOff>70060</xdr:colOff>
      <xdr:row>4</xdr:row>
      <xdr:rowOff>98367</xdr:rowOff>
    </xdr:from>
    <xdr:to>
      <xdr:col>56</xdr:col>
      <xdr:colOff>38683</xdr:colOff>
      <xdr:row>18</xdr:row>
      <xdr:rowOff>28263</xdr:rowOff>
    </xdr:to>
    <xdr:graphicFrame macro="">
      <xdr:nvGraphicFramePr>
        <xdr:cNvPr id="232" name="Chart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87</xdr:col>
      <xdr:colOff>52025</xdr:colOff>
      <xdr:row>4</xdr:row>
      <xdr:rowOff>98367</xdr:rowOff>
    </xdr:from>
    <xdr:to>
      <xdr:col>94</xdr:col>
      <xdr:colOff>9443</xdr:colOff>
      <xdr:row>18</xdr:row>
      <xdr:rowOff>28263</xdr:rowOff>
    </xdr:to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87</xdr:col>
      <xdr:colOff>52025</xdr:colOff>
      <xdr:row>20</xdr:row>
      <xdr:rowOff>61633</xdr:rowOff>
    </xdr:from>
    <xdr:to>
      <xdr:col>94</xdr:col>
      <xdr:colOff>9443</xdr:colOff>
      <xdr:row>36</xdr:row>
      <xdr:rowOff>148411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94</xdr:col>
      <xdr:colOff>89245</xdr:colOff>
      <xdr:row>4</xdr:row>
      <xdr:rowOff>98367</xdr:rowOff>
    </xdr:from>
    <xdr:to>
      <xdr:col>101</xdr:col>
      <xdr:colOff>46662</xdr:colOff>
      <xdr:row>18</xdr:row>
      <xdr:rowOff>28263</xdr:rowOff>
    </xdr:to>
    <xdr:graphicFrame macro="">
      <xdr:nvGraphicFramePr>
        <xdr:cNvPr id="235" name="Chart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162</xdr:col>
      <xdr:colOff>29483</xdr:colOff>
      <xdr:row>39</xdr:row>
      <xdr:rowOff>79375</xdr:rowOff>
    </xdr:from>
    <xdr:to>
      <xdr:col>169</xdr:col>
      <xdr:colOff>0</xdr:colOff>
      <xdr:row>57</xdr:row>
      <xdr:rowOff>14968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169</xdr:col>
      <xdr:colOff>0</xdr:colOff>
      <xdr:row>39</xdr:row>
      <xdr:rowOff>0</xdr:rowOff>
    </xdr:from>
    <xdr:to>
      <xdr:col>175</xdr:col>
      <xdr:colOff>577735</xdr:colOff>
      <xdr:row>56</xdr:row>
      <xdr:rowOff>102281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33</xdr:col>
      <xdr:colOff>571500</xdr:colOff>
      <xdr:row>189</xdr:row>
      <xdr:rowOff>145676</xdr:rowOff>
    </xdr:from>
    <xdr:to>
      <xdr:col>41</xdr:col>
      <xdr:colOff>529167</xdr:colOff>
      <xdr:row>207</xdr:row>
      <xdr:rowOff>25400</xdr:rowOff>
    </xdr:to>
    <xdr:graphicFrame macro="">
      <xdr:nvGraphicFramePr>
        <xdr:cNvPr id="228" name="PROF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65</xdr:col>
      <xdr:colOff>593912</xdr:colOff>
      <xdr:row>133</xdr:row>
      <xdr:rowOff>44823</xdr:rowOff>
    </xdr:from>
    <xdr:to>
      <xdr:col>73</xdr:col>
      <xdr:colOff>324970</xdr:colOff>
      <xdr:row>150</xdr:row>
      <xdr:rowOff>54348</xdr:rowOff>
    </xdr:to>
    <xdr:graphicFrame macro="">
      <xdr:nvGraphicFramePr>
        <xdr:cNvPr id="227" name="CAP2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98</xdr:col>
      <xdr:colOff>50942</xdr:colOff>
      <xdr:row>57</xdr:row>
      <xdr:rowOff>76270</xdr:rowOff>
    </xdr:from>
    <xdr:to>
      <xdr:col>106</xdr:col>
      <xdr:colOff>36239</xdr:colOff>
      <xdr:row>74</xdr:row>
      <xdr:rowOff>133420</xdr:rowOff>
    </xdr:to>
    <xdr:graphicFrame macro="">
      <xdr:nvGraphicFramePr>
        <xdr:cNvPr id="236" name="PR3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41</xdr:col>
      <xdr:colOff>489858</xdr:colOff>
      <xdr:row>190</xdr:row>
      <xdr:rowOff>146277</xdr:rowOff>
    </xdr:from>
    <xdr:to>
      <xdr:col>49</xdr:col>
      <xdr:colOff>576942</xdr:colOff>
      <xdr:row>210</xdr:row>
      <xdr:rowOff>87087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49</xdr:col>
      <xdr:colOff>567261</xdr:colOff>
      <xdr:row>190</xdr:row>
      <xdr:rowOff>28575</xdr:rowOff>
    </xdr:from>
    <xdr:to>
      <xdr:col>55</xdr:col>
      <xdr:colOff>1639141</xdr:colOff>
      <xdr:row>207</xdr:row>
      <xdr:rowOff>73025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58</xdr:col>
      <xdr:colOff>46560</xdr:colOff>
      <xdr:row>190</xdr:row>
      <xdr:rowOff>28575</xdr:rowOff>
    </xdr:from>
    <xdr:to>
      <xdr:col>64</xdr:col>
      <xdr:colOff>388190</xdr:colOff>
      <xdr:row>207</xdr:row>
      <xdr:rowOff>73025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66</xdr:col>
      <xdr:colOff>11636</xdr:colOff>
      <xdr:row>190</xdr:row>
      <xdr:rowOff>0</xdr:rowOff>
    </xdr:from>
    <xdr:to>
      <xdr:col>72</xdr:col>
      <xdr:colOff>215682</xdr:colOff>
      <xdr:row>207</xdr:row>
      <xdr:rowOff>44450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57</xdr:col>
      <xdr:colOff>71838</xdr:colOff>
      <xdr:row>20</xdr:row>
      <xdr:rowOff>61633</xdr:rowOff>
    </xdr:from>
    <xdr:to>
      <xdr:col>64</xdr:col>
      <xdr:colOff>107696</xdr:colOff>
      <xdr:row>36</xdr:row>
      <xdr:rowOff>148411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64</xdr:col>
      <xdr:colOff>65233</xdr:colOff>
      <xdr:row>4</xdr:row>
      <xdr:rowOff>98367</xdr:rowOff>
    </xdr:from>
    <xdr:to>
      <xdr:col>70</xdr:col>
      <xdr:colOff>571739</xdr:colOff>
      <xdr:row>18</xdr:row>
      <xdr:rowOff>28263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42</xdr:col>
      <xdr:colOff>0</xdr:colOff>
      <xdr:row>306</xdr:row>
      <xdr:rowOff>0</xdr:rowOff>
    </xdr:from>
    <xdr:to>
      <xdr:col>49</xdr:col>
      <xdr:colOff>571500</xdr:colOff>
      <xdr:row>323</xdr:row>
      <xdr:rowOff>78441</xdr:rowOff>
    </xdr:to>
    <xdr:graphicFrame macro="">
      <xdr:nvGraphicFramePr>
        <xdr:cNvPr id="252" name="R104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49</xdr:col>
      <xdr:colOff>625928</xdr:colOff>
      <xdr:row>306</xdr:row>
      <xdr:rowOff>0</xdr:rowOff>
    </xdr:from>
    <xdr:to>
      <xdr:col>60</xdr:col>
      <xdr:colOff>0</xdr:colOff>
      <xdr:row>324</xdr:row>
      <xdr:rowOff>0</xdr:rowOff>
    </xdr:to>
    <xdr:graphicFrame macro="">
      <xdr:nvGraphicFramePr>
        <xdr:cNvPr id="253" name="R104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60</xdr:col>
      <xdr:colOff>167255</xdr:colOff>
      <xdr:row>306</xdr:row>
      <xdr:rowOff>65201</xdr:rowOff>
    </xdr:from>
    <xdr:to>
      <xdr:col>71</xdr:col>
      <xdr:colOff>263073</xdr:colOff>
      <xdr:row>323</xdr:row>
      <xdr:rowOff>143642</xdr:rowOff>
    </xdr:to>
    <xdr:graphicFrame macro="">
      <xdr:nvGraphicFramePr>
        <xdr:cNvPr id="254" name="R104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57</xdr:col>
      <xdr:colOff>71838</xdr:colOff>
      <xdr:row>4</xdr:row>
      <xdr:rowOff>98367</xdr:rowOff>
    </xdr:from>
    <xdr:to>
      <xdr:col>64</xdr:col>
      <xdr:colOff>107696</xdr:colOff>
      <xdr:row>18</xdr:row>
      <xdr:rowOff>28263</xdr:rowOff>
    </xdr:to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106</xdr:col>
      <xdr:colOff>0</xdr:colOff>
      <xdr:row>96</xdr:row>
      <xdr:rowOff>0</xdr:rowOff>
    </xdr:from>
    <xdr:to>
      <xdr:col>113</xdr:col>
      <xdr:colOff>563336</xdr:colOff>
      <xdr:row>113</xdr:row>
      <xdr:rowOff>163286</xdr:rowOff>
    </xdr:to>
    <xdr:graphicFrame macro="">
      <xdr:nvGraphicFramePr>
        <xdr:cNvPr id="229" name="R1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176</xdr:col>
      <xdr:colOff>0</xdr:colOff>
      <xdr:row>39</xdr:row>
      <xdr:rowOff>14287</xdr:rowOff>
    </xdr:from>
    <xdr:to>
      <xdr:col>182</xdr:col>
      <xdr:colOff>548640</xdr:colOff>
      <xdr:row>56</xdr:row>
      <xdr:rowOff>114040</xdr:rowOff>
    </xdr:to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182</xdr:col>
      <xdr:colOff>600421</xdr:colOff>
      <xdr:row>38</xdr:row>
      <xdr:rowOff>152399</xdr:rowOff>
    </xdr:from>
    <xdr:to>
      <xdr:col>189</xdr:col>
      <xdr:colOff>539461</xdr:colOff>
      <xdr:row>56</xdr:row>
      <xdr:rowOff>85897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42</xdr:col>
      <xdr:colOff>0</xdr:colOff>
      <xdr:row>95</xdr:row>
      <xdr:rowOff>0</xdr:rowOff>
    </xdr:from>
    <xdr:to>
      <xdr:col>50</xdr:col>
      <xdr:colOff>20731</xdr:colOff>
      <xdr:row>113</xdr:row>
      <xdr:rowOff>0</xdr:rowOff>
    </xdr:to>
    <xdr:graphicFrame macro="">
      <xdr:nvGraphicFramePr>
        <xdr:cNvPr id="257" name="EBITDA1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130</xdr:col>
      <xdr:colOff>16668</xdr:colOff>
      <xdr:row>94</xdr:row>
      <xdr:rowOff>164306</xdr:rowOff>
    </xdr:from>
    <xdr:to>
      <xdr:col>138</xdr:col>
      <xdr:colOff>52387</xdr:colOff>
      <xdr:row>112</xdr:row>
      <xdr:rowOff>154781</xdr:rowOff>
    </xdr:to>
    <xdr:graphicFrame macro="">
      <xdr:nvGraphicFramePr>
        <xdr:cNvPr id="239" name="R107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122</xdr:col>
      <xdr:colOff>22411</xdr:colOff>
      <xdr:row>95</xdr:row>
      <xdr:rowOff>22412</xdr:rowOff>
    </xdr:from>
    <xdr:to>
      <xdr:col>129</xdr:col>
      <xdr:colOff>593912</xdr:colOff>
      <xdr:row>112</xdr:row>
      <xdr:rowOff>100853</xdr:rowOff>
    </xdr:to>
    <xdr:graphicFrame macro="">
      <xdr:nvGraphicFramePr>
        <xdr:cNvPr id="240" name="R104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82</xdr:col>
      <xdr:colOff>45625</xdr:colOff>
      <xdr:row>344</xdr:row>
      <xdr:rowOff>58431</xdr:rowOff>
    </xdr:from>
    <xdr:to>
      <xdr:col>90</xdr:col>
      <xdr:colOff>78436</xdr:colOff>
      <xdr:row>362</xdr:row>
      <xdr:rowOff>39695</xdr:rowOff>
    </xdr:to>
    <xdr:graphicFrame macro="">
      <xdr:nvGraphicFramePr>
        <xdr:cNvPr id="241" name="R107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58</xdr:col>
      <xdr:colOff>0</xdr:colOff>
      <xdr:row>344</xdr:row>
      <xdr:rowOff>0</xdr:rowOff>
    </xdr:from>
    <xdr:to>
      <xdr:col>65</xdr:col>
      <xdr:colOff>601382</xdr:colOff>
      <xdr:row>361</xdr:row>
      <xdr:rowOff>78441</xdr:rowOff>
    </xdr:to>
    <xdr:graphicFrame macro="">
      <xdr:nvGraphicFramePr>
        <xdr:cNvPr id="256" name="R104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66</xdr:col>
      <xdr:colOff>0</xdr:colOff>
      <xdr:row>344</xdr:row>
      <xdr:rowOff>0</xdr:rowOff>
    </xdr:from>
    <xdr:to>
      <xdr:col>73</xdr:col>
      <xdr:colOff>482849</xdr:colOff>
      <xdr:row>361</xdr:row>
      <xdr:rowOff>78441</xdr:rowOff>
    </xdr:to>
    <xdr:graphicFrame macro="">
      <xdr:nvGraphicFramePr>
        <xdr:cNvPr id="258" name="R104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42</xdr:col>
      <xdr:colOff>500062</xdr:colOff>
      <xdr:row>138</xdr:row>
      <xdr:rowOff>21168</xdr:rowOff>
    </xdr:from>
    <xdr:to>
      <xdr:col>46</xdr:col>
      <xdr:colOff>317500</xdr:colOff>
      <xdr:row>138</xdr:row>
      <xdr:rowOff>23812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 bwMode="auto">
        <a:xfrm flipV="1">
          <a:off x="26400125" y="22984356"/>
          <a:ext cx="2325688" cy="26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46</xdr:col>
      <xdr:colOff>204611</xdr:colOff>
      <xdr:row>140</xdr:row>
      <xdr:rowOff>28224</xdr:rowOff>
    </xdr:from>
    <xdr:to>
      <xdr:col>49</xdr:col>
      <xdr:colOff>304800</xdr:colOff>
      <xdr:row>140</xdr:row>
      <xdr:rowOff>28225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CxnSpPr/>
      </xdr:nvCxnSpPr>
      <xdr:spPr bwMode="auto">
        <a:xfrm flipV="1">
          <a:off x="28322411" y="24107424"/>
          <a:ext cx="1957564" cy="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66</xdr:col>
      <xdr:colOff>0</xdr:colOff>
      <xdr:row>57</xdr:row>
      <xdr:rowOff>0</xdr:rowOff>
    </xdr:from>
    <xdr:to>
      <xdr:col>73</xdr:col>
      <xdr:colOff>292894</xdr:colOff>
      <xdr:row>74</xdr:row>
      <xdr:rowOff>141743</xdr:rowOff>
    </xdr:to>
    <xdr:graphicFrame macro="">
      <xdr:nvGraphicFramePr>
        <xdr:cNvPr id="260" name="R5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74</xdr:col>
      <xdr:colOff>0</xdr:colOff>
      <xdr:row>57</xdr:row>
      <xdr:rowOff>0</xdr:rowOff>
    </xdr:from>
    <xdr:to>
      <xdr:col>81</xdr:col>
      <xdr:colOff>292894</xdr:colOff>
      <xdr:row>74</xdr:row>
      <xdr:rowOff>141743</xdr:rowOff>
    </xdr:to>
    <xdr:graphicFrame macro="">
      <xdr:nvGraphicFramePr>
        <xdr:cNvPr id="261" name="R5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82</xdr:col>
      <xdr:colOff>13607</xdr:colOff>
      <xdr:row>57</xdr:row>
      <xdr:rowOff>136072</xdr:rowOff>
    </xdr:from>
    <xdr:to>
      <xdr:col>89</xdr:col>
      <xdr:colOff>415359</xdr:colOff>
      <xdr:row>75</xdr:row>
      <xdr:rowOff>128136</xdr:rowOff>
    </xdr:to>
    <xdr:graphicFrame macro="">
      <xdr:nvGraphicFramePr>
        <xdr:cNvPr id="262" name="R5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9</xdr:col>
      <xdr:colOff>582083</xdr:colOff>
      <xdr:row>171</xdr:row>
      <xdr:rowOff>21166</xdr:rowOff>
    </xdr:from>
    <xdr:to>
      <xdr:col>17</xdr:col>
      <xdr:colOff>601134</xdr:colOff>
      <xdr:row>188</xdr:row>
      <xdr:rowOff>138544</xdr:rowOff>
    </xdr:to>
    <xdr:graphicFrame macro="">
      <xdr:nvGraphicFramePr>
        <xdr:cNvPr id="265" name="FIN1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10</xdr:col>
      <xdr:colOff>50799</xdr:colOff>
      <xdr:row>76</xdr:row>
      <xdr:rowOff>50800</xdr:rowOff>
    </xdr:from>
    <xdr:to>
      <xdr:col>17</xdr:col>
      <xdr:colOff>225160</xdr:colOff>
      <xdr:row>93</xdr:row>
      <xdr:rowOff>31677</xdr:rowOff>
    </xdr:to>
    <xdr:graphicFrame macro="">
      <xdr:nvGraphicFramePr>
        <xdr:cNvPr id="263" name="R5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34</xdr:col>
      <xdr:colOff>0</xdr:colOff>
      <xdr:row>114</xdr:row>
      <xdr:rowOff>0</xdr:rowOff>
    </xdr:from>
    <xdr:to>
      <xdr:col>41</xdr:col>
      <xdr:colOff>245481</xdr:colOff>
      <xdr:row>130</xdr:row>
      <xdr:rowOff>153597</xdr:rowOff>
    </xdr:to>
    <xdr:graphicFrame macro="">
      <xdr:nvGraphicFramePr>
        <xdr:cNvPr id="266" name="R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189</xdr:col>
      <xdr:colOff>600075</xdr:colOff>
      <xdr:row>39</xdr:row>
      <xdr:rowOff>9525</xdr:rowOff>
    </xdr:from>
    <xdr:to>
      <xdr:col>196</xdr:col>
      <xdr:colOff>539115</xdr:colOff>
      <xdr:row>56</xdr:row>
      <xdr:rowOff>104948</xdr:rowOff>
    </xdr:to>
    <xdr:graphicFrame macro="">
      <xdr:nvGraphicFramePr>
        <xdr:cNvPr id="267" name="Chart 26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121</xdr:col>
      <xdr:colOff>0</xdr:colOff>
      <xdr:row>76</xdr:row>
      <xdr:rowOff>0</xdr:rowOff>
    </xdr:from>
    <xdr:to>
      <xdr:col>129</xdr:col>
      <xdr:colOff>19050</xdr:colOff>
      <xdr:row>94</xdr:row>
      <xdr:rowOff>0</xdr:rowOff>
    </xdr:to>
    <xdr:graphicFrame macro="">
      <xdr:nvGraphicFramePr>
        <xdr:cNvPr id="264" name="R1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129</xdr:col>
      <xdr:colOff>0</xdr:colOff>
      <xdr:row>76</xdr:row>
      <xdr:rowOff>0</xdr:rowOff>
    </xdr:from>
    <xdr:to>
      <xdr:col>136</xdr:col>
      <xdr:colOff>601757</xdr:colOff>
      <xdr:row>94</xdr:row>
      <xdr:rowOff>0</xdr:rowOff>
    </xdr:to>
    <xdr:graphicFrame macro="">
      <xdr:nvGraphicFramePr>
        <xdr:cNvPr id="270" name="R1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137</xdr:col>
      <xdr:colOff>0</xdr:colOff>
      <xdr:row>76</xdr:row>
      <xdr:rowOff>0</xdr:rowOff>
    </xdr:from>
    <xdr:to>
      <xdr:col>144</xdr:col>
      <xdr:colOff>601757</xdr:colOff>
      <xdr:row>94</xdr:row>
      <xdr:rowOff>0</xdr:rowOff>
    </xdr:to>
    <xdr:graphicFrame macro="">
      <xdr:nvGraphicFramePr>
        <xdr:cNvPr id="271" name="R1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26</xdr:col>
      <xdr:colOff>0</xdr:colOff>
      <xdr:row>95</xdr:row>
      <xdr:rowOff>0</xdr:rowOff>
    </xdr:from>
    <xdr:to>
      <xdr:col>33</xdr:col>
      <xdr:colOff>601756</xdr:colOff>
      <xdr:row>113</xdr:row>
      <xdr:rowOff>0</xdr:rowOff>
    </xdr:to>
    <xdr:graphicFrame macro="">
      <xdr:nvGraphicFramePr>
        <xdr:cNvPr id="272" name="R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112</xdr:col>
      <xdr:colOff>537881</xdr:colOff>
      <xdr:row>76</xdr:row>
      <xdr:rowOff>44823</xdr:rowOff>
    </xdr:from>
    <xdr:to>
      <xdr:col>120</xdr:col>
      <xdr:colOff>568138</xdr:colOff>
      <xdr:row>94</xdr:row>
      <xdr:rowOff>44823</xdr:rowOff>
    </xdr:to>
    <xdr:graphicFrame macro="">
      <xdr:nvGraphicFramePr>
        <xdr:cNvPr id="273" name="R1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144</xdr:col>
      <xdr:colOff>537881</xdr:colOff>
      <xdr:row>76</xdr:row>
      <xdr:rowOff>44823</xdr:rowOff>
    </xdr:from>
    <xdr:to>
      <xdr:col>152</xdr:col>
      <xdr:colOff>568138</xdr:colOff>
      <xdr:row>94</xdr:row>
      <xdr:rowOff>44823</xdr:rowOff>
    </xdr:to>
    <xdr:graphicFrame macro="">
      <xdr:nvGraphicFramePr>
        <xdr:cNvPr id="268" name="EBITDA22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25</xdr:col>
      <xdr:colOff>582083</xdr:colOff>
      <xdr:row>171</xdr:row>
      <xdr:rowOff>21166</xdr:rowOff>
    </xdr:from>
    <xdr:to>
      <xdr:col>33</xdr:col>
      <xdr:colOff>601134</xdr:colOff>
      <xdr:row>188</xdr:row>
      <xdr:rowOff>138544</xdr:rowOff>
    </xdr:to>
    <xdr:graphicFrame macro="">
      <xdr:nvGraphicFramePr>
        <xdr:cNvPr id="269" name="FIN1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17</xdr:col>
      <xdr:colOff>582083</xdr:colOff>
      <xdr:row>171</xdr:row>
      <xdr:rowOff>21166</xdr:rowOff>
    </xdr:from>
    <xdr:to>
      <xdr:col>25</xdr:col>
      <xdr:colOff>601134</xdr:colOff>
      <xdr:row>188</xdr:row>
      <xdr:rowOff>138544</xdr:rowOff>
    </xdr:to>
    <xdr:graphicFrame macro="">
      <xdr:nvGraphicFramePr>
        <xdr:cNvPr id="274" name="FIN1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33</xdr:col>
      <xdr:colOff>582083</xdr:colOff>
      <xdr:row>171</xdr:row>
      <xdr:rowOff>21166</xdr:rowOff>
    </xdr:from>
    <xdr:to>
      <xdr:col>41</xdr:col>
      <xdr:colOff>601134</xdr:colOff>
      <xdr:row>188</xdr:row>
      <xdr:rowOff>138544</xdr:rowOff>
    </xdr:to>
    <xdr:graphicFrame macro="">
      <xdr:nvGraphicFramePr>
        <xdr:cNvPr id="275" name="FIN1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50</xdr:col>
      <xdr:colOff>0</xdr:colOff>
      <xdr:row>152</xdr:row>
      <xdr:rowOff>0</xdr:rowOff>
    </xdr:from>
    <xdr:to>
      <xdr:col>58</xdr:col>
      <xdr:colOff>292100</xdr:colOff>
      <xdr:row>169</xdr:row>
      <xdr:rowOff>119380</xdr:rowOff>
    </xdr:to>
    <xdr:graphicFrame macro="">
      <xdr:nvGraphicFramePr>
        <xdr:cNvPr id="276" name="Chart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74</xdr:col>
      <xdr:colOff>0</xdr:colOff>
      <xdr:row>133</xdr:row>
      <xdr:rowOff>0</xdr:rowOff>
    </xdr:from>
    <xdr:to>
      <xdr:col>81</xdr:col>
      <xdr:colOff>462162</xdr:colOff>
      <xdr:row>150</xdr:row>
      <xdr:rowOff>53468</xdr:rowOff>
    </xdr:to>
    <xdr:graphicFrame macro="">
      <xdr:nvGraphicFramePr>
        <xdr:cNvPr id="277" name="LIB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29</xdr:col>
      <xdr:colOff>125506</xdr:colOff>
      <xdr:row>347</xdr:row>
      <xdr:rowOff>53788</xdr:rowOff>
    </xdr:from>
    <xdr:to>
      <xdr:col>33</xdr:col>
      <xdr:colOff>331694</xdr:colOff>
      <xdr:row>349</xdr:row>
      <xdr:rowOff>53788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 bwMode="auto">
        <a:xfrm>
          <a:off x="18359718" y="59704941"/>
          <a:ext cx="2752164" cy="3406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600636</xdr:colOff>
      <xdr:row>352</xdr:row>
      <xdr:rowOff>152400</xdr:rowOff>
    </xdr:from>
    <xdr:to>
      <xdr:col>33</xdr:col>
      <xdr:colOff>313765</xdr:colOff>
      <xdr:row>353</xdr:row>
      <xdr:rowOff>44824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 bwMode="auto">
        <a:xfrm flipV="1">
          <a:off x="18189389" y="60655200"/>
          <a:ext cx="2904564" cy="627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636494</xdr:colOff>
      <xdr:row>365</xdr:row>
      <xdr:rowOff>143436</xdr:rowOff>
    </xdr:from>
    <xdr:to>
      <xdr:col>25</xdr:col>
      <xdr:colOff>412377</xdr:colOff>
      <xdr:row>372</xdr:row>
      <xdr:rowOff>134471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 bwMode="auto">
        <a:xfrm flipV="1">
          <a:off x="14997953" y="62860518"/>
          <a:ext cx="1066800" cy="11833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609600</xdr:colOff>
      <xdr:row>368</xdr:row>
      <xdr:rowOff>17929</xdr:rowOff>
    </xdr:from>
    <xdr:to>
      <xdr:col>25</xdr:col>
      <xdr:colOff>259977</xdr:colOff>
      <xdr:row>375</xdr:row>
      <xdr:rowOff>8965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 bwMode="auto">
        <a:xfrm flipV="1">
          <a:off x="11528612" y="63246000"/>
          <a:ext cx="4383741" cy="11654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43544</xdr:colOff>
      <xdr:row>209</xdr:row>
      <xdr:rowOff>76201</xdr:rowOff>
    </xdr:from>
    <xdr:to>
      <xdr:col>10</xdr:col>
      <xdr:colOff>231323</xdr:colOff>
      <xdr:row>227</xdr:row>
      <xdr:rowOff>76200</xdr:rowOff>
    </xdr:to>
    <xdr:graphicFrame macro="">
      <xdr:nvGraphicFramePr>
        <xdr:cNvPr id="3" name="RO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41</xdr:col>
      <xdr:colOff>653141</xdr:colOff>
      <xdr:row>209</xdr:row>
      <xdr:rowOff>0</xdr:rowOff>
    </xdr:from>
    <xdr:to>
      <xdr:col>49</xdr:col>
      <xdr:colOff>587828</xdr:colOff>
      <xdr:row>226</xdr:row>
      <xdr:rowOff>43543</xdr:rowOff>
    </xdr:to>
    <xdr:graphicFrame macro="">
      <xdr:nvGraphicFramePr>
        <xdr:cNvPr id="22" name="PE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34</xdr:col>
      <xdr:colOff>43544</xdr:colOff>
      <xdr:row>209</xdr:row>
      <xdr:rowOff>76201</xdr:rowOff>
    </xdr:from>
    <xdr:to>
      <xdr:col>42</xdr:col>
      <xdr:colOff>231323</xdr:colOff>
      <xdr:row>227</xdr:row>
      <xdr:rowOff>76200</xdr:rowOff>
    </xdr:to>
    <xdr:graphicFrame macro="">
      <xdr:nvGraphicFramePr>
        <xdr:cNvPr id="23" name="ROE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25</xdr:col>
      <xdr:colOff>489856</xdr:colOff>
      <xdr:row>209</xdr:row>
      <xdr:rowOff>54428</xdr:rowOff>
    </xdr:from>
    <xdr:to>
      <xdr:col>34</xdr:col>
      <xdr:colOff>130628</xdr:colOff>
      <xdr:row>226</xdr:row>
      <xdr:rowOff>97971</xdr:rowOff>
    </xdr:to>
    <xdr:graphicFrame macro="">
      <xdr:nvGraphicFramePr>
        <xdr:cNvPr id="19" name="P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50</xdr:col>
      <xdr:colOff>76200</xdr:colOff>
      <xdr:row>209</xdr:row>
      <xdr:rowOff>130630</xdr:rowOff>
    </xdr:from>
    <xdr:to>
      <xdr:col>58</xdr:col>
      <xdr:colOff>315686</xdr:colOff>
      <xdr:row>227</xdr:row>
      <xdr:rowOff>1</xdr:rowOff>
    </xdr:to>
    <xdr:graphicFrame macro="">
      <xdr:nvGraphicFramePr>
        <xdr:cNvPr id="21" name="PE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0.42757</cdr:x>
      <cdr:y>0.68246</cdr:y>
    </cdr:from>
    <cdr:to>
      <cdr:x>0.47306</cdr:x>
      <cdr:y>0.69994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84F6E939-92B4-4410-8327-203F8CC6982E}"/>
            </a:ext>
          </a:extLst>
        </cdr:cNvPr>
        <cdr:cNvCxnSpPr/>
      </cdr:nvCxnSpPr>
      <cdr:spPr bwMode="auto">
        <a:xfrm xmlns:a="http://schemas.openxmlformats.org/drawingml/2006/main">
          <a:off x="2065831" y="2038970"/>
          <a:ext cx="219788" cy="5222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0.14297</cdr:x>
      <cdr:y>0.58585</cdr:y>
    </cdr:from>
    <cdr:to>
      <cdr:x>0.45936</cdr:x>
      <cdr:y>0.70099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770" y="1750331"/>
          <a:ext cx="1528656" cy="3440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0.64378</cdr:x>
      <cdr:y>0.69775</cdr:y>
    </cdr:from>
    <cdr:to>
      <cdr:x>0.69387</cdr:x>
      <cdr:y>0.69818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BC7FEC2D-DFCF-4423-AF30-D550FD14D589}"/>
            </a:ext>
          </a:extLst>
        </cdr:cNvPr>
        <cdr:cNvCxnSpPr/>
      </cdr:nvCxnSpPr>
      <cdr:spPr bwMode="auto">
        <a:xfrm xmlns:a="http://schemas.openxmlformats.org/drawingml/2006/main" flipH="1" flipV="1">
          <a:off x="3110470" y="2084664"/>
          <a:ext cx="242012" cy="128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0.68708</cdr:x>
      <cdr:y>0.63756</cdr:y>
    </cdr:from>
    <cdr:to>
      <cdr:x>0.88944</cdr:x>
      <cdr:y>0.9274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3510621" y="1872735"/>
          <a:ext cx="1033955" cy="8513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  <cdr:relSizeAnchor xmlns:cdr="http://schemas.openxmlformats.org/drawingml/2006/chartDrawing">
    <cdr:from>
      <cdr:x>0.80923</cdr:x>
      <cdr:y>0.63681</cdr:y>
    </cdr:from>
    <cdr:to>
      <cdr:x>0.83054</cdr:x>
      <cdr:y>0.70352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74E6F580-5552-1308-E782-0CDA5DC4FBBC}"/>
            </a:ext>
          </a:extLst>
        </cdr:cNvPr>
        <cdr:cNvCxnSpPr/>
      </cdr:nvCxnSpPr>
      <cdr:spPr bwMode="auto">
        <a:xfrm xmlns:a="http://schemas.openxmlformats.org/drawingml/2006/main" flipH="1" flipV="1">
          <a:off x="4134758" y="1870528"/>
          <a:ext cx="108857" cy="195943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0.39845</cdr:x>
      <cdr:y>0.65542</cdr:y>
    </cdr:from>
    <cdr:to>
      <cdr:x>0.46631</cdr:x>
      <cdr:y>0.69048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D114CD25-EF82-4E45-BCC7-049FE72B4EC2}"/>
            </a:ext>
          </a:extLst>
        </cdr:cNvPr>
        <cdr:cNvCxnSpPr/>
      </cdr:nvCxnSpPr>
      <cdr:spPr bwMode="auto">
        <a:xfrm xmlns:a="http://schemas.openxmlformats.org/drawingml/2006/main">
          <a:off x="1943184" y="1966495"/>
          <a:ext cx="330910" cy="10519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0.10815</cdr:x>
      <cdr:y>0.5791</cdr:y>
    </cdr:from>
    <cdr:to>
      <cdr:x>0.35889</cdr:x>
      <cdr:y>0.69373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27435" y="1737513"/>
          <a:ext cx="1222784" cy="3439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0.51711</cdr:x>
      <cdr:y>0.49775</cdr:y>
    </cdr:from>
    <cdr:to>
      <cdr:x>0.59814</cdr:x>
      <cdr:y>0.55556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8100A376-76C0-4543-90CC-50357125C9E5}"/>
            </a:ext>
          </a:extLst>
        </cdr:cNvPr>
        <cdr:cNvCxnSpPr/>
      </cdr:nvCxnSpPr>
      <cdr:spPr bwMode="auto">
        <a:xfrm xmlns:a="http://schemas.openxmlformats.org/drawingml/2006/main">
          <a:off x="2521842" y="1493438"/>
          <a:ext cx="395189" cy="17343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0.21688</cdr:x>
      <cdr:y>0.40464</cdr:y>
    </cdr:from>
    <cdr:to>
      <cdr:x>0.52033</cdr:x>
      <cdr:y>0.51927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1081116" y="1202499"/>
          <a:ext cx="1512622" cy="340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  <cdr:relSizeAnchor xmlns:cdr="http://schemas.openxmlformats.org/drawingml/2006/chartDrawing">
    <cdr:from>
      <cdr:x>0.69034</cdr:x>
      <cdr:y>0.59322</cdr:y>
    </cdr:from>
    <cdr:to>
      <cdr:x>0.72113</cdr:x>
      <cdr:y>0.63919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3C47CCAE-6A37-4A3D-BE21-C25D3DE3629E}"/>
            </a:ext>
          </a:extLst>
        </cdr:cNvPr>
        <cdr:cNvCxnSpPr/>
      </cdr:nvCxnSpPr>
      <cdr:spPr bwMode="auto">
        <a:xfrm xmlns:a="http://schemas.openxmlformats.org/drawingml/2006/main" flipH="1" flipV="1">
          <a:off x="3366655" y="1779881"/>
          <a:ext cx="150156" cy="13792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0.6982</cdr:x>
      <cdr:y>0.62637</cdr:y>
    </cdr:from>
    <cdr:to>
      <cdr:x>0.84343</cdr:x>
      <cdr:y>0.741</cdr:y>
    </cdr:to>
    <cdr:sp macro="" textlink="">
      <cdr:nvSpPr>
        <cdr:cNvPr id="7" name="TextBox 2"/>
        <cdr:cNvSpPr txBox="1"/>
      </cdr:nvSpPr>
      <cdr:spPr>
        <a:xfrm xmlns:a="http://schemas.openxmlformats.org/drawingml/2006/main">
          <a:off x="3404986" y="1879343"/>
          <a:ext cx="708258" cy="3439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Covid19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0.38934</cdr:x>
      <cdr:y>0.22187</cdr:y>
    </cdr:from>
    <cdr:to>
      <cdr:x>0.4497</cdr:x>
      <cdr:y>0.34127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B60D4ED4-C41D-4706-9608-96802C819B9D}"/>
            </a:ext>
          </a:extLst>
        </cdr:cNvPr>
        <cdr:cNvCxnSpPr/>
      </cdr:nvCxnSpPr>
      <cdr:spPr bwMode="auto">
        <a:xfrm xmlns:a="http://schemas.openxmlformats.org/drawingml/2006/main" flipH="1">
          <a:off x="1779495" y="665689"/>
          <a:ext cx="275905" cy="35824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0.29842</cdr:x>
      <cdr:y>0.02645</cdr:y>
    </cdr:from>
    <cdr:to>
      <cdr:x>0.7566</cdr:x>
      <cdr:y>0.25744</cdr:y>
    </cdr:to>
    <cdr:sp macro="" textlink="">
      <cdr:nvSpPr>
        <cdr:cNvPr id="6" name="TextBox 2"/>
        <cdr:cNvSpPr txBox="1"/>
      </cdr:nvSpPr>
      <cdr:spPr>
        <a:xfrm xmlns:a="http://schemas.openxmlformats.org/drawingml/2006/main">
          <a:off x="1363959" y="79355"/>
          <a:ext cx="2094157" cy="6930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Impacted also by negative SSS in Mexico, higher exposure to casual dining and H1N1</a:t>
          </a:r>
        </a:p>
      </cdr:txBody>
    </cdr:sp>
  </cdr:relSizeAnchor>
  <cdr:relSizeAnchor xmlns:cdr="http://schemas.openxmlformats.org/drawingml/2006/chartDrawing">
    <cdr:from>
      <cdr:x>0.65511</cdr:x>
      <cdr:y>0.7</cdr:y>
    </cdr:from>
    <cdr:to>
      <cdr:x>0.73951</cdr:x>
      <cdr:y>0.70258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1793DB01-84CD-4334-A947-9DB241F5CE7A}"/>
            </a:ext>
          </a:extLst>
        </cdr:cNvPr>
        <cdr:cNvCxnSpPr/>
      </cdr:nvCxnSpPr>
      <cdr:spPr bwMode="auto">
        <a:xfrm xmlns:a="http://schemas.openxmlformats.org/drawingml/2006/main" flipH="1">
          <a:off x="3109686" y="2057401"/>
          <a:ext cx="400638" cy="758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0.66154</cdr:x>
      <cdr:y>0.61481</cdr:y>
    </cdr:from>
    <cdr:to>
      <cdr:x>0.85418</cdr:x>
      <cdr:y>0.92593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96DAE8DB-2E8D-3043-A248-E067C5C6A6B5}"/>
            </a:ext>
          </a:extLst>
        </cdr:cNvPr>
        <cdr:cNvSpPr txBox="1"/>
      </cdr:nvSpPr>
      <cdr:spPr>
        <a:xfrm xmlns:a="http://schemas.openxmlformats.org/drawingml/2006/main">
          <a:off x="3140209" y="180702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rgbClr val="FF0000"/>
              </a:solidFill>
            </a:rPr>
            <a:t>Covid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0.10836</cdr:x>
      <cdr:y>0.25723</cdr:y>
    </cdr:from>
    <cdr:to>
      <cdr:x>0.42426</cdr:x>
      <cdr:y>0.37643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28453" y="743615"/>
          <a:ext cx="1540581" cy="3445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0.37865</cdr:x>
      <cdr:y>0.34759</cdr:y>
    </cdr:from>
    <cdr:to>
      <cdr:x>0.44474</cdr:x>
      <cdr:y>0.39404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B14A95ED-46C6-481D-91B4-D71EF1468DB8}"/>
            </a:ext>
          </a:extLst>
        </cdr:cNvPr>
        <cdr:cNvCxnSpPr/>
      </cdr:nvCxnSpPr>
      <cdr:spPr bwMode="auto">
        <a:xfrm xmlns:a="http://schemas.openxmlformats.org/drawingml/2006/main">
          <a:off x="1846603" y="1004831"/>
          <a:ext cx="322308" cy="13427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0.19885</cdr:x>
      <cdr:y>0.08448</cdr:y>
    </cdr:from>
    <cdr:to>
      <cdr:x>0.51708</cdr:x>
      <cdr:y>0.20743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969728" y="244209"/>
          <a:ext cx="1551944" cy="3554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0.48035</cdr:x>
      <cdr:y>0.16945</cdr:y>
    </cdr:from>
    <cdr:to>
      <cdr:x>0.54694</cdr:x>
      <cdr:y>0.21737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2FF9D4E8-CC44-418D-ADC6-C2473ED3DB42}"/>
            </a:ext>
          </a:extLst>
        </cdr:cNvPr>
        <cdr:cNvCxnSpPr/>
      </cdr:nvCxnSpPr>
      <cdr:spPr bwMode="auto">
        <a:xfrm xmlns:a="http://schemas.openxmlformats.org/drawingml/2006/main">
          <a:off x="2342547" y="489844"/>
          <a:ext cx="324746" cy="13852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0.12857</cdr:x>
      <cdr:y>0.03404</cdr:y>
    </cdr:from>
    <cdr:to>
      <cdr:x>0.44265</cdr:x>
      <cdr:y>0.15528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30674" y="96784"/>
          <a:ext cx="1540680" cy="344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0.3693</cdr:x>
      <cdr:y>0.12595</cdr:y>
    </cdr:from>
    <cdr:to>
      <cdr:x>0.43501</cdr:x>
      <cdr:y>0.17319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2FBD9D4A-0FF1-423B-BD87-6DE647D55F23}"/>
            </a:ext>
          </a:extLst>
        </cdr:cNvPr>
        <cdr:cNvCxnSpPr/>
      </cdr:nvCxnSpPr>
      <cdr:spPr bwMode="auto">
        <a:xfrm xmlns:a="http://schemas.openxmlformats.org/drawingml/2006/main">
          <a:off x="1811543" y="358104"/>
          <a:ext cx="322332" cy="134313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0.46596</cdr:x>
      <cdr:y>0.0007</cdr:y>
    </cdr:from>
    <cdr:to>
      <cdr:x>0.74068</cdr:x>
      <cdr:y>0.12575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2285715" y="1997"/>
          <a:ext cx="1347605" cy="3555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</a:t>
          </a:r>
        </a:p>
        <a:p xmlns:a="http://schemas.openxmlformats.org/drawingml/2006/main">
          <a:r>
            <a:rPr lang="en-US" sz="1100">
              <a:solidFill>
                <a:srgbClr val="FF0000"/>
              </a:solidFill>
            </a:rPr>
            <a:t>Europe acquisitions</a:t>
          </a:r>
        </a:p>
      </cdr:txBody>
    </cdr:sp>
  </cdr:relSizeAnchor>
  <cdr:relSizeAnchor xmlns:cdr="http://schemas.openxmlformats.org/drawingml/2006/chartDrawing">
    <cdr:from>
      <cdr:x>0.55361</cdr:x>
      <cdr:y>0.15214</cdr:y>
    </cdr:from>
    <cdr:to>
      <cdr:x>0.55911</cdr:x>
      <cdr:y>0.21564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0D05FB7C-71B6-4377-BF83-9C39DA70BE21}"/>
            </a:ext>
          </a:extLst>
        </cdr:cNvPr>
        <cdr:cNvCxnSpPr/>
      </cdr:nvCxnSpPr>
      <cdr:spPr bwMode="auto">
        <a:xfrm xmlns:a="http://schemas.openxmlformats.org/drawingml/2006/main">
          <a:off x="2715671" y="432573"/>
          <a:ext cx="26980" cy="18054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0.12281</cdr:x>
      <cdr:y>0.49427</cdr:y>
    </cdr:from>
    <cdr:to>
      <cdr:x>0.96375</cdr:x>
      <cdr:y>0.4974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CBA8202-90E0-47D6-A41B-B2A2A454A600}"/>
            </a:ext>
          </a:extLst>
        </cdr:cNvPr>
        <cdr:cNvCxnSpPr/>
      </cdr:nvCxnSpPr>
      <cdr:spPr bwMode="auto">
        <a:xfrm xmlns:a="http://schemas.openxmlformats.org/drawingml/2006/main" flipV="1">
          <a:off x="609600" y="1506008"/>
          <a:ext cx="4174066" cy="952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0.14283</cdr:x>
      <cdr:y>0.13898</cdr:y>
    </cdr:from>
    <cdr:to>
      <cdr:x>0.45305</cdr:x>
      <cdr:y>0.25743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ECE8A7B-A9A3-4247-957D-6B2AFFB55178}"/>
            </a:ext>
          </a:extLst>
        </cdr:cNvPr>
        <cdr:cNvSpPr txBox="1"/>
      </cdr:nvSpPr>
      <cdr:spPr>
        <a:xfrm xmlns:a="http://schemas.openxmlformats.org/drawingml/2006/main">
          <a:off x="753522" y="426102"/>
          <a:ext cx="1636637" cy="363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0.53409</cdr:x>
      <cdr:y>0.17836</cdr:y>
    </cdr:from>
    <cdr:to>
      <cdr:x>0.59408</cdr:x>
      <cdr:y>0.2193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153B2B0-A934-436F-9040-BBD551D219A6}"/>
            </a:ext>
          </a:extLst>
        </cdr:cNvPr>
        <cdr:cNvCxnSpPr/>
      </cdr:nvCxnSpPr>
      <cdr:spPr bwMode="auto">
        <a:xfrm xmlns:a="http://schemas.openxmlformats.org/drawingml/2006/main">
          <a:off x="2817720" y="546848"/>
          <a:ext cx="316494" cy="12549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0.54884</cdr:x>
      <cdr:y>0.42075</cdr:y>
    </cdr:from>
    <cdr:to>
      <cdr:x>0.85905</cdr:x>
      <cdr:y>0.5392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0052AB0-DA75-4D16-A1CE-E158002E085C}"/>
            </a:ext>
          </a:extLst>
        </cdr:cNvPr>
        <cdr:cNvSpPr txBox="1"/>
      </cdr:nvSpPr>
      <cdr:spPr>
        <a:xfrm xmlns:a="http://schemas.openxmlformats.org/drawingml/2006/main">
          <a:off x="2933505" y="1236645"/>
          <a:ext cx="1658037" cy="3481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Covid-19 and </a:t>
          </a:r>
        </a:p>
        <a:p xmlns:a="http://schemas.openxmlformats.org/drawingml/2006/main">
          <a:r>
            <a:rPr lang="en-US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higher input costs</a:t>
          </a:r>
        </a:p>
      </cdr:txBody>
    </cdr:sp>
  </cdr:relSizeAnchor>
  <cdr:relSizeAnchor xmlns:cdr="http://schemas.openxmlformats.org/drawingml/2006/chartDrawing">
    <cdr:from>
      <cdr:x>0.6362</cdr:x>
      <cdr:y>0.3037</cdr:y>
    </cdr:from>
    <cdr:to>
      <cdr:x>0.67286</cdr:x>
      <cdr:y>0.40741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666F3500-22C3-4013-A381-7866F1B19574}"/>
            </a:ext>
          </a:extLst>
        </cdr:cNvPr>
        <cdr:cNvCxnSpPr/>
      </cdr:nvCxnSpPr>
      <cdr:spPr bwMode="auto">
        <a:xfrm xmlns:a="http://schemas.openxmlformats.org/drawingml/2006/main" flipV="1">
          <a:off x="3400425" y="892629"/>
          <a:ext cx="195942" cy="30480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0.37749</cdr:x>
      <cdr:y>0.51256</cdr:y>
    </cdr:from>
    <cdr:to>
      <cdr:x>0.68042</cdr:x>
      <cdr:y>0.72693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95998" y="1486619"/>
          <a:ext cx="1441261" cy="621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During crisis,</a:t>
          </a:r>
          <a:r>
            <a:rPr lang="en-US" sz="1100" baseline="0">
              <a:solidFill>
                <a:srgbClr val="FF0000"/>
              </a:solidFill>
            </a:rPr>
            <a:t> suppliers reduced terms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0.31816</cdr:x>
      <cdr:y>0.59984</cdr:y>
    </cdr:from>
    <cdr:to>
      <cdr:x>0.37616</cdr:x>
      <cdr:y>0.60339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2508CBA1-49B9-4678-8A6A-AD64C787723E}"/>
            </a:ext>
          </a:extLst>
        </cdr:cNvPr>
        <cdr:cNvCxnSpPr/>
      </cdr:nvCxnSpPr>
      <cdr:spPr bwMode="auto">
        <a:xfrm xmlns:a="http://schemas.openxmlformats.org/drawingml/2006/main" flipH="1" flipV="1">
          <a:off x="1513721" y="1739762"/>
          <a:ext cx="275949" cy="1029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0.16667</cdr:x>
      <cdr:y>0.01595</cdr:y>
    </cdr:from>
    <cdr:to>
      <cdr:x>0.26745</cdr:x>
      <cdr:y>0.09255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19147" y="47615"/>
          <a:ext cx="495323" cy="228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Mex$mn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0.25432</cdr:x>
      <cdr:y>0.1285</cdr:y>
    </cdr:from>
    <cdr:to>
      <cdr:x>0.28465</cdr:x>
      <cdr:y>0.25618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96153C2B-3329-4B6A-8F69-F06164B7CA39}"/>
            </a:ext>
          </a:extLst>
        </cdr:cNvPr>
        <cdr:cNvCxnSpPr/>
      </cdr:nvCxnSpPr>
      <cdr:spPr bwMode="auto">
        <a:xfrm xmlns:a="http://schemas.openxmlformats.org/drawingml/2006/main">
          <a:off x="1297781" y="371475"/>
          <a:ext cx="154781" cy="36909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0.13317</cdr:x>
      <cdr:y>0.01865</cdr:y>
    </cdr:from>
    <cdr:to>
      <cdr:x>0.4488</cdr:x>
      <cdr:y>0.14171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79581" y="53914"/>
          <a:ext cx="1610666" cy="3557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0.41294</cdr:x>
      <cdr:y>0.39052</cdr:y>
    </cdr:from>
    <cdr:to>
      <cdr:x>0.46275</cdr:x>
      <cdr:y>0.47218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CAE5E041-ABDD-4F06-A5F3-48CAE0689EB6}"/>
            </a:ext>
          </a:extLst>
        </cdr:cNvPr>
        <cdr:cNvCxnSpPr/>
      </cdr:nvCxnSpPr>
      <cdr:spPr bwMode="auto">
        <a:xfrm xmlns:a="http://schemas.openxmlformats.org/drawingml/2006/main">
          <a:off x="2107220" y="1128934"/>
          <a:ext cx="254181" cy="23606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0.32889</cdr:x>
      <cdr:y>0.09697</cdr:y>
    </cdr:from>
    <cdr:to>
      <cdr:x>0.53076</cdr:x>
      <cdr:y>0.40674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1678341" y="280331"/>
          <a:ext cx="1030147" cy="8954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0.38265</cdr:x>
      <cdr:y>0.58376</cdr:y>
    </cdr:from>
    <cdr:to>
      <cdr:x>0.46081</cdr:x>
      <cdr:y>0.58402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D40A7AAD-BB0E-4C0F-B0BF-8B2EB98835E2}"/>
            </a:ext>
          </a:extLst>
        </cdr:cNvPr>
        <cdr:cNvCxnSpPr/>
      </cdr:nvCxnSpPr>
      <cdr:spPr bwMode="auto">
        <a:xfrm xmlns:a="http://schemas.openxmlformats.org/drawingml/2006/main">
          <a:off x="1816007" y="1683849"/>
          <a:ext cx="370934" cy="75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0.08911</cdr:x>
      <cdr:y>0.53306</cdr:y>
    </cdr:from>
    <cdr:to>
      <cdr:x>0.4012</cdr:x>
      <cdr:y>0.6528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22916" y="1537605"/>
          <a:ext cx="1481126" cy="345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0.55844</cdr:x>
      <cdr:y>0.33536</cdr:y>
    </cdr:from>
    <cdr:to>
      <cdr:x>0.61266</cdr:x>
      <cdr:y>0.33573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57C93578-2FB7-43CD-AE0B-8EA2BD787364}"/>
            </a:ext>
          </a:extLst>
        </cdr:cNvPr>
        <cdr:cNvCxnSpPr/>
      </cdr:nvCxnSpPr>
      <cdr:spPr bwMode="auto">
        <a:xfrm xmlns:a="http://schemas.openxmlformats.org/drawingml/2006/main" flipV="1">
          <a:off x="2805447" y="947961"/>
          <a:ext cx="272388" cy="104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0.27846</cdr:x>
      <cdr:y>0.24983</cdr:y>
    </cdr:from>
    <cdr:to>
      <cdr:x>0.59054</cdr:x>
      <cdr:y>0.36957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1398911" y="706173"/>
          <a:ext cx="1567815" cy="338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0.49416</cdr:x>
      <cdr:y>0.32547</cdr:y>
    </cdr:from>
    <cdr:to>
      <cdr:x>0.49964</cdr:x>
      <cdr:y>0.37178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0F3E4686-F176-4C24-A3C8-FE6C2A29D68F}"/>
            </a:ext>
          </a:extLst>
        </cdr:cNvPr>
        <cdr:cNvCxnSpPr/>
      </cdr:nvCxnSpPr>
      <cdr:spPr bwMode="auto">
        <a:xfrm xmlns:a="http://schemas.openxmlformats.org/drawingml/2006/main">
          <a:off x="2372274" y="962572"/>
          <a:ext cx="26307" cy="13696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0.29522</cdr:x>
      <cdr:y>0.18306</cdr:y>
    </cdr:from>
    <cdr:to>
      <cdr:x>0.60758</cdr:x>
      <cdr:y>0.29951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417243" y="541392"/>
          <a:ext cx="1499515" cy="3444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  <cdr:relSizeAnchor xmlns:cdr="http://schemas.openxmlformats.org/drawingml/2006/chartDrawing">
    <cdr:from>
      <cdr:x>0.28147</cdr:x>
      <cdr:y>0.4417</cdr:y>
    </cdr:from>
    <cdr:to>
      <cdr:x>0.30215</cdr:x>
      <cdr:y>0.49791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DE3671EB-FDFA-4B5C-9F7B-D1698BC003A4}"/>
            </a:ext>
          </a:extLst>
        </cdr:cNvPr>
        <cdr:cNvCxnSpPr/>
      </cdr:nvCxnSpPr>
      <cdr:spPr bwMode="auto">
        <a:xfrm xmlns:a="http://schemas.openxmlformats.org/drawingml/2006/main">
          <a:off x="1351210" y="1306338"/>
          <a:ext cx="99276" cy="16624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0.08942</cdr:x>
      <cdr:y>0.35149</cdr:y>
    </cdr:from>
    <cdr:to>
      <cdr:x>0.40178</cdr:x>
      <cdr:y>0.46794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429254" y="1039540"/>
          <a:ext cx="1499516" cy="3444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0.16667</cdr:x>
      <cdr:y>0.01595</cdr:y>
    </cdr:from>
    <cdr:to>
      <cdr:x>0.26745</cdr:x>
      <cdr:y>0.09255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19147" y="47615"/>
          <a:ext cx="495323" cy="228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Mex$mn</a:t>
          </a:r>
        </a:p>
      </cdr:txBody>
    </cdr:sp>
  </cdr:relSizeAnchor>
  <cdr:relSizeAnchor xmlns:cdr="http://schemas.openxmlformats.org/drawingml/2006/chartDrawing">
    <cdr:from>
      <cdr:x>0.15358</cdr:x>
      <cdr:y>0.52192</cdr:y>
    </cdr:from>
    <cdr:to>
      <cdr:x>0.47517</cdr:x>
      <cdr:y>0.6374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736906" y="1551046"/>
          <a:ext cx="1543059" cy="3431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0.42874</cdr:x>
      <cdr:y>0.60946</cdr:y>
    </cdr:from>
    <cdr:to>
      <cdr:x>0.49602</cdr:x>
      <cdr:y>0.65447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6E731925-C268-4F30-B034-54BC9F2BEA61}"/>
            </a:ext>
          </a:extLst>
        </cdr:cNvPr>
        <cdr:cNvCxnSpPr/>
      </cdr:nvCxnSpPr>
      <cdr:spPr bwMode="auto">
        <a:xfrm xmlns:a="http://schemas.openxmlformats.org/drawingml/2006/main">
          <a:off x="2057184" y="1811197"/>
          <a:ext cx="322824" cy="13376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0.40133</cdr:x>
      <cdr:y>0.20388</cdr:y>
    </cdr:from>
    <cdr:to>
      <cdr:x>0.7253</cdr:x>
      <cdr:y>0.32299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925666" y="605905"/>
          <a:ext cx="1554479" cy="3539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0.59156</cdr:x>
      <cdr:y>0.31891</cdr:y>
    </cdr:from>
    <cdr:to>
      <cdr:x>0.63127</cdr:x>
      <cdr:y>0.44311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0D1F6E1A-8916-4D21-9DF0-CC145CFE7BD6}"/>
            </a:ext>
          </a:extLst>
        </cdr:cNvPr>
        <cdr:cNvCxnSpPr/>
      </cdr:nvCxnSpPr>
      <cdr:spPr bwMode="auto">
        <a:xfrm xmlns:a="http://schemas.openxmlformats.org/drawingml/2006/main">
          <a:off x="2838450" y="947737"/>
          <a:ext cx="190500" cy="36909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0.16667</cdr:x>
      <cdr:y>0.01595</cdr:y>
    </cdr:from>
    <cdr:to>
      <cdr:x>0.26745</cdr:x>
      <cdr:y>0.09255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19147" y="47615"/>
          <a:ext cx="495323" cy="228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Mex$mn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0.47674</cdr:x>
      <cdr:y>0.09711</cdr:y>
    </cdr:from>
    <cdr:to>
      <cdr:x>0.55038</cdr:x>
      <cdr:y>0.13664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C4377938-5AF0-4E13-B951-2814F7992424}"/>
            </a:ext>
          </a:extLst>
        </cdr:cNvPr>
        <cdr:cNvCxnSpPr/>
      </cdr:nvCxnSpPr>
      <cdr:spPr bwMode="auto">
        <a:xfrm xmlns:a="http://schemas.openxmlformats.org/drawingml/2006/main" flipH="1">
          <a:off x="2256113" y="291374"/>
          <a:ext cx="348493" cy="11860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0.5497</cdr:x>
      <cdr:y>0.04831</cdr:y>
    </cdr:from>
    <cdr:to>
      <cdr:x>0.86267</cdr:x>
      <cdr:y>0.16294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601388" y="144956"/>
          <a:ext cx="1481095" cy="3439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0.57457</cdr:x>
      <cdr:y>0.44567</cdr:y>
    </cdr:from>
    <cdr:to>
      <cdr:x>0.61049</cdr:x>
      <cdr:y>0.49708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FB774D71-E806-48E5-9D4B-9AB48EFD38AA}"/>
            </a:ext>
          </a:extLst>
        </cdr:cNvPr>
        <cdr:cNvCxnSpPr/>
      </cdr:nvCxnSpPr>
      <cdr:spPr bwMode="auto">
        <a:xfrm xmlns:a="http://schemas.openxmlformats.org/drawingml/2006/main">
          <a:off x="2872888" y="1366393"/>
          <a:ext cx="179597" cy="15760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0.48843</cdr:x>
      <cdr:y>0.19487</cdr:y>
    </cdr:from>
    <cdr:to>
      <cdr:x>0.69712</cdr:x>
      <cdr:y>0.4424</cdr:y>
    </cdr:to>
    <cdr:sp macro="" textlink="">
      <cdr:nvSpPr>
        <cdr:cNvPr id="6" name="TextBox 2"/>
        <cdr:cNvSpPr txBox="1"/>
      </cdr:nvSpPr>
      <cdr:spPr>
        <a:xfrm xmlns:a="http://schemas.openxmlformats.org/drawingml/2006/main">
          <a:off x="2311435" y="584672"/>
          <a:ext cx="987601" cy="7426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  <cdr:relSizeAnchor xmlns:cdr="http://schemas.openxmlformats.org/drawingml/2006/chartDrawing">
    <cdr:from>
      <cdr:x>0.72447</cdr:x>
      <cdr:y>0.48215</cdr:y>
    </cdr:from>
    <cdr:to>
      <cdr:x>0.7677</cdr:x>
      <cdr:y>0.58554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1D39FBD7-BC0C-446B-A1EB-DB950B94D956}"/>
            </a:ext>
          </a:extLst>
        </cdr:cNvPr>
        <cdr:cNvCxnSpPr/>
      </cdr:nvCxnSpPr>
      <cdr:spPr bwMode="auto">
        <a:xfrm xmlns:a="http://schemas.openxmlformats.org/drawingml/2006/main" flipH="1">
          <a:off x="3428489" y="1446617"/>
          <a:ext cx="204581" cy="31020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0.7549</cdr:x>
      <cdr:y>0.32749</cdr:y>
    </cdr:from>
    <cdr:to>
      <cdr:x>0.97086</cdr:x>
      <cdr:y>0.46875</cdr:y>
    </cdr:to>
    <cdr:sp macro="" textlink="">
      <cdr:nvSpPr>
        <cdr:cNvPr id="8" name="TextBox 2"/>
        <cdr:cNvSpPr txBox="1"/>
      </cdr:nvSpPr>
      <cdr:spPr>
        <a:xfrm xmlns:a="http://schemas.openxmlformats.org/drawingml/2006/main">
          <a:off x="3774547" y="1004048"/>
          <a:ext cx="1079843" cy="433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Opening pace post Covid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0.51471</cdr:x>
      <cdr:y>0.11877</cdr:y>
    </cdr:from>
    <cdr:to>
      <cdr:x>0.81778</cdr:x>
      <cdr:y>0.24146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699237" y="326121"/>
          <a:ext cx="1589357" cy="3368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ARS devaluation</a:t>
          </a:r>
        </a:p>
      </cdr:txBody>
    </cdr:sp>
  </cdr:relSizeAnchor>
  <cdr:relSizeAnchor xmlns:cdr="http://schemas.openxmlformats.org/drawingml/2006/chartDrawing">
    <cdr:from>
      <cdr:x>0.65386</cdr:x>
      <cdr:y>0.17889</cdr:y>
    </cdr:from>
    <cdr:to>
      <cdr:x>0.7016</cdr:x>
      <cdr:y>0.30575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40B4FA4D-18F0-6BAF-EFA3-C9234A458BB3}"/>
            </a:ext>
          </a:extLst>
        </cdr:cNvPr>
        <cdr:cNvCxnSpPr/>
      </cdr:nvCxnSpPr>
      <cdr:spPr bwMode="auto">
        <a:xfrm xmlns:a="http://schemas.openxmlformats.org/drawingml/2006/main">
          <a:off x="3428988" y="491220"/>
          <a:ext cx="250358" cy="34834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0.59173</cdr:x>
      <cdr:y>0.48393</cdr:y>
    </cdr:from>
    <cdr:to>
      <cdr:x>0.62091</cdr:x>
      <cdr:y>0.53547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06500106-7C63-4755-A2EC-B80C125A9667}"/>
            </a:ext>
          </a:extLst>
        </cdr:cNvPr>
        <cdr:cNvCxnSpPr/>
      </cdr:nvCxnSpPr>
      <cdr:spPr bwMode="auto">
        <a:xfrm xmlns:a="http://schemas.openxmlformats.org/drawingml/2006/main" flipH="1" flipV="1">
          <a:off x="3019629" y="1347101"/>
          <a:ext cx="148907" cy="14347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0.53549</cdr:x>
      <cdr:y>0.53365</cdr:y>
    </cdr:from>
    <cdr:to>
      <cdr:x>0.82466</cdr:x>
      <cdr:y>0.65634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32636" y="1485505"/>
          <a:ext cx="1475640" cy="3415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Supported by MXP </a:t>
          </a:r>
          <a:br>
            <a:rPr lang="en-US" sz="1100">
              <a:solidFill>
                <a:srgbClr val="FF0000"/>
              </a:solidFill>
            </a:rPr>
          </a:br>
          <a:r>
            <a:rPr lang="en-US" sz="1100">
              <a:solidFill>
                <a:srgbClr val="FF0000"/>
              </a:solidFill>
            </a:rPr>
            <a:t>depreciation vs. EUR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0.11582</cdr:x>
      <cdr:y>0.38246</cdr:y>
    </cdr:from>
    <cdr:to>
      <cdr:x>0.43172</cdr:x>
      <cdr:y>0.49725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7329" y="1137795"/>
          <a:ext cx="1574682" cy="3414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0.25146</cdr:x>
      <cdr:y>0.46801</cdr:y>
    </cdr:from>
    <cdr:to>
      <cdr:x>0.30518</cdr:x>
      <cdr:y>0.54336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FD79AE8-8835-41E9-9A4F-370D13E57732}"/>
            </a:ext>
          </a:extLst>
        </cdr:cNvPr>
        <cdr:cNvCxnSpPr/>
      </cdr:nvCxnSpPr>
      <cdr:spPr bwMode="auto">
        <a:xfrm xmlns:a="http://schemas.openxmlformats.org/drawingml/2006/main">
          <a:off x="1226344" y="1404937"/>
          <a:ext cx="261937" cy="22621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0.10567</cdr:x>
      <cdr:y>0.08038</cdr:y>
    </cdr:from>
    <cdr:to>
      <cdr:x>0.4239</cdr:x>
      <cdr:y>0.19878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15328" y="241309"/>
          <a:ext cx="1551944" cy="3554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0.35645</cdr:x>
      <cdr:y>0.16261</cdr:y>
    </cdr:from>
    <cdr:to>
      <cdr:x>0.48096</cdr:x>
      <cdr:y>0.34506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1D2CF798-E123-4CA9-8072-715843A7621D}"/>
            </a:ext>
          </a:extLst>
        </cdr:cNvPr>
        <cdr:cNvCxnSpPr/>
      </cdr:nvCxnSpPr>
      <cdr:spPr bwMode="auto">
        <a:xfrm xmlns:a="http://schemas.openxmlformats.org/drawingml/2006/main">
          <a:off x="1738312" y="488156"/>
          <a:ext cx="607219" cy="54768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0.10765</cdr:x>
      <cdr:y>0.34857</cdr:y>
    </cdr:from>
    <cdr:to>
      <cdr:x>0.42232</cdr:x>
      <cdr:y>0.46294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27042" y="1050282"/>
          <a:ext cx="1540577" cy="344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0.29183</cdr:x>
      <cdr:y>0.44257</cdr:y>
    </cdr:from>
    <cdr:to>
      <cdr:x>0.34533</cdr:x>
      <cdr:y>0.51765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E3E05800-5DF5-48C0-B513-F7FC69092781}"/>
            </a:ext>
          </a:extLst>
        </cdr:cNvPr>
        <cdr:cNvCxnSpPr/>
      </cdr:nvCxnSpPr>
      <cdr:spPr bwMode="auto">
        <a:xfrm xmlns:a="http://schemas.openxmlformats.org/drawingml/2006/main">
          <a:off x="1428750" y="1333500"/>
          <a:ext cx="261937" cy="226219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0.11754</cdr:x>
      <cdr:y>0.18678</cdr:y>
    </cdr:from>
    <cdr:to>
      <cdr:x>0.43453</cdr:x>
      <cdr:y>0.30474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75434" y="562768"/>
          <a:ext cx="1551936" cy="3554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0.44747</cdr:x>
      <cdr:y>0.28056</cdr:y>
    </cdr:from>
    <cdr:to>
      <cdr:x>0.56907</cdr:x>
      <cdr:y>0.32007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06E39665-9CA6-435B-8C1B-812B6CA05640}"/>
            </a:ext>
          </a:extLst>
        </cdr:cNvPr>
        <cdr:cNvCxnSpPr/>
      </cdr:nvCxnSpPr>
      <cdr:spPr bwMode="auto">
        <a:xfrm xmlns:a="http://schemas.openxmlformats.org/drawingml/2006/main">
          <a:off x="2190750" y="845344"/>
          <a:ext cx="595312" cy="11906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0.11164</cdr:x>
      <cdr:y>0.28646</cdr:y>
    </cdr:from>
    <cdr:to>
      <cdr:x>0.4308</cdr:x>
      <cdr:y>0.40083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39418" y="859484"/>
          <a:ext cx="1542039" cy="343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0.36255</cdr:x>
      <cdr:y>0.35729</cdr:y>
    </cdr:from>
    <cdr:to>
      <cdr:x>0.42932</cdr:x>
      <cdr:y>0.40185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65867CC-9F1A-4A01-96EF-ED46B255BCC7}"/>
            </a:ext>
          </a:extLst>
        </cdr:cNvPr>
        <cdr:cNvCxnSpPr/>
      </cdr:nvCxnSpPr>
      <cdr:spPr bwMode="auto">
        <a:xfrm xmlns:a="http://schemas.openxmlformats.org/drawingml/2006/main">
          <a:off x="1751663" y="1071992"/>
          <a:ext cx="322603" cy="13369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0.16343</cdr:x>
      <cdr:y>0.12345</cdr:y>
    </cdr:from>
    <cdr:to>
      <cdr:x>0.48495</cdr:x>
      <cdr:y>0.24142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789624" y="370392"/>
          <a:ext cx="1553441" cy="3539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+ Starbucks Europe acquisitions</a:t>
          </a:r>
        </a:p>
      </cdr:txBody>
    </cdr:sp>
  </cdr:relSizeAnchor>
  <cdr:relSizeAnchor xmlns:cdr="http://schemas.openxmlformats.org/drawingml/2006/chartDrawing">
    <cdr:from>
      <cdr:x>0.50968</cdr:x>
      <cdr:y>0.21022</cdr:y>
    </cdr:from>
    <cdr:to>
      <cdr:x>0.57696</cdr:x>
      <cdr:y>0.2562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8D53917B-956A-4E64-9093-AC9841C421C1}"/>
            </a:ext>
          </a:extLst>
        </cdr:cNvPr>
        <cdr:cNvCxnSpPr/>
      </cdr:nvCxnSpPr>
      <cdr:spPr bwMode="auto">
        <a:xfrm xmlns:a="http://schemas.openxmlformats.org/drawingml/2006/main">
          <a:off x="2462528" y="630739"/>
          <a:ext cx="325068" cy="13795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0.22257</cdr:x>
      <cdr:y>0.37851</cdr:y>
    </cdr:from>
    <cdr:to>
      <cdr:x>0.71087</cdr:x>
      <cdr:y>0.59373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6786" y="1077379"/>
          <a:ext cx="2318599" cy="612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Mainly reduction of taxes payable,</a:t>
          </a:r>
          <a:r>
            <a:rPr lang="en-US" sz="1100" baseline="0">
              <a:solidFill>
                <a:srgbClr val="FF0000"/>
              </a:solidFill>
            </a:rPr>
            <a:t> but now already at low levels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0.53159</cdr:x>
      <cdr:y>0.52705</cdr:y>
    </cdr:from>
    <cdr:to>
      <cdr:x>0.58927</cdr:x>
      <cdr:y>0.67764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28DBC948-FF41-4BAB-87D7-8F5970C2DE1D}"/>
            </a:ext>
          </a:extLst>
        </cdr:cNvPr>
        <cdr:cNvCxnSpPr/>
      </cdr:nvCxnSpPr>
      <cdr:spPr bwMode="auto">
        <a:xfrm xmlns:a="http://schemas.openxmlformats.org/drawingml/2006/main">
          <a:off x="2524125" y="1500187"/>
          <a:ext cx="273843" cy="42862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0.61649</cdr:x>
      <cdr:y>0.00303</cdr:y>
    </cdr:from>
    <cdr:to>
      <cdr:x>1</cdr:x>
      <cdr:y>0.22514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927225" y="8630"/>
          <a:ext cx="1820987" cy="6322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Alsea has negative WC</a:t>
          </a:r>
          <a:r>
            <a:rPr lang="en-US" sz="1100" baseline="0">
              <a:solidFill>
                <a:srgbClr val="FF0000"/>
              </a:solidFill>
            </a:rPr>
            <a:t> - very large accounts payable; positive effect when grows.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0.72467</cdr:x>
      <cdr:y>0.2217</cdr:y>
    </cdr:from>
    <cdr:to>
      <cdr:x>0.77984</cdr:x>
      <cdr:y>0.30117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31191CEC-0C25-4710-A930-C075C19732B1}"/>
            </a:ext>
          </a:extLst>
        </cdr:cNvPr>
        <cdr:cNvCxnSpPr/>
      </cdr:nvCxnSpPr>
      <cdr:spPr bwMode="auto">
        <a:xfrm xmlns:a="http://schemas.openxmlformats.org/drawingml/2006/main" flipH="1">
          <a:off x="3440907" y="631031"/>
          <a:ext cx="261936" cy="22621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0.9089</cdr:x>
      <cdr:y>0.32346</cdr:y>
    </cdr:from>
    <cdr:to>
      <cdr:x>0.91081</cdr:x>
      <cdr:y>0.43254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10F9E2B-86C2-49A6-9D0A-78038068F53F}"/>
            </a:ext>
          </a:extLst>
        </cdr:cNvPr>
        <cdr:cNvCxnSpPr/>
      </cdr:nvCxnSpPr>
      <cdr:spPr bwMode="auto">
        <a:xfrm xmlns:a="http://schemas.openxmlformats.org/drawingml/2006/main" flipV="1">
          <a:off x="4265867" y="916448"/>
          <a:ext cx="8965" cy="30905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0.74924</cdr:x>
      <cdr:y>0.44614</cdr:y>
    </cdr:from>
    <cdr:to>
      <cdr:x>1</cdr:x>
      <cdr:y>0.8876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516516" y="1264022"/>
          <a:ext cx="1176928" cy="12507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In line with inflation;</a:t>
          </a:r>
          <a:r>
            <a:rPr lang="en-US" sz="1100" baseline="0">
              <a:solidFill>
                <a:srgbClr val="FF0000"/>
              </a:solidFill>
            </a:rPr>
            <a:t> lower than history due to higher </a:t>
          </a:r>
          <a:r>
            <a:rPr lang="en-US" sz="1100">
              <a:solidFill>
                <a:srgbClr val="FF0000"/>
              </a:solidFill>
            </a:rPr>
            <a:t>share of </a:t>
          </a:r>
          <a:r>
            <a:rPr lang="en-US" sz="1100" baseline="0">
              <a:solidFill>
                <a:srgbClr val="FF0000"/>
              </a:solidFill>
            </a:rPr>
            <a:t> Europe  in sales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0.23845</cdr:x>
      <cdr:y>0.3108</cdr:y>
    </cdr:from>
    <cdr:to>
      <cdr:x>0.24167</cdr:x>
      <cdr:y>0.43881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F9BDA34A-5C28-4256-A9CA-156EAC33B82D}"/>
            </a:ext>
          </a:extLst>
        </cdr:cNvPr>
        <cdr:cNvCxnSpPr/>
      </cdr:nvCxnSpPr>
      <cdr:spPr bwMode="auto">
        <a:xfrm xmlns:a="http://schemas.openxmlformats.org/drawingml/2006/main" flipH="1" flipV="1">
          <a:off x="1091889" y="893050"/>
          <a:ext cx="14745" cy="36782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0.11113</cdr:x>
      <cdr:y>0.40201</cdr:y>
    </cdr:from>
    <cdr:to>
      <cdr:x>0.39551</cdr:x>
      <cdr:y>0.75297</cdr:y>
    </cdr:to>
    <cdr:sp macro="" textlink="">
      <cdr:nvSpPr>
        <cdr:cNvPr id="7" name="TextBox 2"/>
        <cdr:cNvSpPr txBox="1"/>
      </cdr:nvSpPr>
      <cdr:spPr>
        <a:xfrm xmlns:a="http://schemas.openxmlformats.org/drawingml/2006/main">
          <a:off x="508872" y="1155131"/>
          <a:ext cx="1302217" cy="1008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Higher levels historically mainly due</a:t>
          </a:r>
          <a:r>
            <a:rPr lang="en-US" sz="1100" baseline="0">
              <a:solidFill>
                <a:srgbClr val="FF0000"/>
              </a:solidFill>
            </a:rPr>
            <a:t> to Argentina</a:t>
          </a:r>
          <a:endParaRPr lang="en-US" sz="1100">
            <a:solidFill>
              <a:srgbClr val="FF0000"/>
            </a:solidFill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0.55521</cdr:x>
      <cdr:y>0.3903</cdr:y>
    </cdr:from>
    <cdr:to>
      <cdr:x>0.77439</cdr:x>
      <cdr:y>0.59768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07656" y="1171054"/>
          <a:ext cx="1068897" cy="622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Synergies from integration of acquisitions</a:t>
          </a:r>
        </a:p>
      </cdr:txBody>
    </cdr:sp>
  </cdr:relSizeAnchor>
  <cdr:relSizeAnchor xmlns:cdr="http://schemas.openxmlformats.org/drawingml/2006/chartDrawing">
    <cdr:from>
      <cdr:x>0.57396</cdr:x>
      <cdr:y>0.30635</cdr:y>
    </cdr:from>
    <cdr:to>
      <cdr:x>0.58753</cdr:x>
      <cdr:y>0.37899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2420B9F-CFD1-44B9-A512-F117626FFE92}"/>
            </a:ext>
          </a:extLst>
        </cdr:cNvPr>
        <cdr:cNvCxnSpPr/>
      </cdr:nvCxnSpPr>
      <cdr:spPr bwMode="auto">
        <a:xfrm xmlns:a="http://schemas.openxmlformats.org/drawingml/2006/main" flipH="1" flipV="1">
          <a:off x="2799096" y="919173"/>
          <a:ext cx="66178" cy="21794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0.59874</cdr:x>
      <cdr:y>0.06155</cdr:y>
    </cdr:from>
    <cdr:to>
      <cdr:x>0.90957</cdr:x>
      <cdr:y>0.25513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941345" y="188706"/>
          <a:ext cx="1526958" cy="593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Acquisition integration</a:t>
          </a:r>
        </a:p>
      </cdr:txBody>
    </cdr:sp>
  </cdr:relSizeAnchor>
  <cdr:relSizeAnchor xmlns:cdr="http://schemas.openxmlformats.org/drawingml/2006/chartDrawing">
    <cdr:from>
      <cdr:x>0.40186</cdr:x>
      <cdr:y>0.15873</cdr:y>
    </cdr:from>
    <cdr:to>
      <cdr:x>0.61576</cdr:x>
      <cdr:y>0.34108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E4C7EE00-F4A1-4F4B-AF54-318FD6591925}"/>
            </a:ext>
          </a:extLst>
        </cdr:cNvPr>
        <cdr:cNvCxnSpPr/>
      </cdr:nvCxnSpPr>
      <cdr:spPr bwMode="auto">
        <a:xfrm xmlns:a="http://schemas.openxmlformats.org/drawingml/2006/main" flipH="1">
          <a:off x="1942563" y="476250"/>
          <a:ext cx="1034000" cy="54713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0.30602</cdr:x>
      <cdr:y>0.12595</cdr:y>
    </cdr:from>
    <cdr:to>
      <cdr:x>0.33901</cdr:x>
      <cdr:y>0.18903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40F122A7-A7ED-4C96-8F76-D33FAE9170F1}"/>
            </a:ext>
          </a:extLst>
        </cdr:cNvPr>
        <cdr:cNvCxnSpPr>
          <a:stCxn xmlns:a="http://schemas.openxmlformats.org/drawingml/2006/main" id="3" idx="2"/>
        </cdr:cNvCxnSpPr>
      </cdr:nvCxnSpPr>
      <cdr:spPr bwMode="auto">
        <a:xfrm xmlns:a="http://schemas.openxmlformats.org/drawingml/2006/main" flipH="1">
          <a:off x="1407039" y="366783"/>
          <a:ext cx="151686" cy="18370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0.12498</cdr:x>
      <cdr:y>0</cdr:y>
    </cdr:from>
    <cdr:to>
      <cdr:x>0.55304</cdr:x>
      <cdr:y>0.12595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74633" y="0"/>
          <a:ext cx="1968183" cy="3667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HIgher margins after 2015 due</a:t>
          </a:r>
          <a:r>
            <a:rPr lang="en-US" sz="1100" baseline="0">
              <a:solidFill>
                <a:srgbClr val="FF0000"/>
              </a:solidFill>
            </a:rPr>
            <a:t> to changes eliminations. acciounting</a:t>
          </a:r>
          <a:endParaRPr lang="en-US" sz="1100">
            <a:solidFill>
              <a:srgbClr val="FF0000"/>
            </a:solidFill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0.11982</cdr:x>
      <cdr:y>0.44513</cdr:y>
    </cdr:from>
    <cdr:to>
      <cdr:x>0.99822</cdr:x>
      <cdr:y>0.44828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10A24F9E-3586-418F-9A14-7B3ED89A7FE5}"/>
            </a:ext>
          </a:extLst>
        </cdr:cNvPr>
        <cdr:cNvCxnSpPr/>
      </cdr:nvCxnSpPr>
      <cdr:spPr bwMode="auto">
        <a:xfrm xmlns:a="http://schemas.openxmlformats.org/drawingml/2006/main" flipV="1">
          <a:off x="569385" y="1346200"/>
          <a:ext cx="4174066" cy="952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0.12452</cdr:x>
      <cdr:y>0.43673</cdr:y>
    </cdr:from>
    <cdr:to>
      <cdr:x>0.96546</cdr:x>
      <cdr:y>0.43988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CDFDAC4-5007-48FE-B964-F1B407E335DD}"/>
            </a:ext>
          </a:extLst>
        </cdr:cNvPr>
        <cdr:cNvCxnSpPr/>
      </cdr:nvCxnSpPr>
      <cdr:spPr bwMode="auto">
        <a:xfrm xmlns:a="http://schemas.openxmlformats.org/drawingml/2006/main" flipV="1">
          <a:off x="618066" y="1320800"/>
          <a:ext cx="4174066" cy="952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0.15014</cdr:x>
      <cdr:y>0.0113</cdr:y>
    </cdr:from>
    <cdr:to>
      <cdr:x>0.25092</cdr:x>
      <cdr:y>0.0879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41606" y="33033"/>
          <a:ext cx="497792" cy="2239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Days</a:t>
          </a:r>
        </a:p>
      </cdr:txBody>
    </cdr:sp>
  </cdr:relSizeAnchor>
  <cdr:relSizeAnchor xmlns:cdr="http://schemas.openxmlformats.org/drawingml/2006/chartDrawing">
    <cdr:from>
      <cdr:x>0.50173</cdr:x>
      <cdr:y>0.06186</cdr:y>
    </cdr:from>
    <cdr:to>
      <cdr:x>0.86278</cdr:x>
      <cdr:y>0.18612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326705" y="178594"/>
          <a:ext cx="1674310" cy="3587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Constantly improving terms with suppliers as they gain scale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0.16667</cdr:x>
      <cdr:y>0.01595</cdr:y>
    </cdr:from>
    <cdr:to>
      <cdr:x>0.26745</cdr:x>
      <cdr:y>0.09255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19147" y="47615"/>
          <a:ext cx="495323" cy="228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Mex$mn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0.10019</cdr:x>
      <cdr:y>0.78088</cdr:y>
    </cdr:from>
    <cdr:to>
      <cdr:x>0.32791</cdr:x>
      <cdr:y>0.85279</cdr:y>
    </cdr:to>
    <cdr:sp macro="" textlink="">
      <cdr:nvSpPr>
        <cdr:cNvPr id="2" name="Right Brace 1"/>
        <cdr:cNvSpPr/>
      </cdr:nvSpPr>
      <cdr:spPr bwMode="auto">
        <a:xfrm xmlns:a="http://schemas.openxmlformats.org/drawingml/2006/main" rot="5400000">
          <a:off x="905613" y="1983210"/>
          <a:ext cx="222204" cy="1081646"/>
        </a:xfrm>
        <a:prstGeom xmlns:a="http://schemas.openxmlformats.org/drawingml/2006/main" prst="rightBrac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0.61814</cdr:x>
      <cdr:y>0.78088</cdr:y>
    </cdr:from>
    <cdr:to>
      <cdr:x>0.99767</cdr:x>
      <cdr:y>0.85279</cdr:y>
    </cdr:to>
    <cdr:sp macro="" textlink="">
      <cdr:nvSpPr>
        <cdr:cNvPr id="5" name="Right Brace 4"/>
        <cdr:cNvSpPr/>
      </cdr:nvSpPr>
      <cdr:spPr bwMode="auto">
        <a:xfrm xmlns:a="http://schemas.openxmlformats.org/drawingml/2006/main" rot="5400000">
          <a:off x="3726361" y="1622669"/>
          <a:ext cx="222204" cy="1802728"/>
        </a:xfrm>
        <a:prstGeom xmlns:a="http://schemas.openxmlformats.org/drawingml/2006/main" prst="rightBrac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0.35166</cdr:x>
      <cdr:y>0.77984</cdr:y>
    </cdr:from>
    <cdr:to>
      <cdr:x>0.60192</cdr:x>
      <cdr:y>0.85382</cdr:y>
    </cdr:to>
    <cdr:sp macro="" textlink="">
      <cdr:nvSpPr>
        <cdr:cNvPr id="6" name="Right Brace 5"/>
        <cdr:cNvSpPr/>
      </cdr:nvSpPr>
      <cdr:spPr bwMode="auto">
        <a:xfrm xmlns:a="http://schemas.openxmlformats.org/drawingml/2006/main" rot="5400000">
          <a:off x="2150396" y="1929673"/>
          <a:ext cx="228600" cy="1188720"/>
        </a:xfrm>
        <a:prstGeom xmlns:a="http://schemas.openxmlformats.org/drawingml/2006/main" prst="rightBrace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0.12093</cdr:x>
      <cdr:y>0.84674</cdr:y>
    </cdr:from>
    <cdr:to>
      <cdr:x>0.30465</cdr:x>
      <cdr:y>0.93103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74405" y="2616446"/>
          <a:ext cx="872650" cy="260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0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Argentina</a:t>
          </a:r>
        </a:p>
      </cdr:txBody>
    </cdr:sp>
  </cdr:relSizeAnchor>
  <cdr:relSizeAnchor xmlns:cdr="http://schemas.openxmlformats.org/drawingml/2006/chartDrawing">
    <cdr:from>
      <cdr:x>0.38264</cdr:x>
      <cdr:y>0.84674</cdr:y>
    </cdr:from>
    <cdr:to>
      <cdr:x>0.56636</cdr:x>
      <cdr:y>0.93103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1817499" y="2616446"/>
          <a:ext cx="872651" cy="260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Chile</a:t>
          </a:r>
        </a:p>
      </cdr:txBody>
    </cdr:sp>
  </cdr:relSizeAnchor>
  <cdr:relSizeAnchor xmlns:cdr="http://schemas.openxmlformats.org/drawingml/2006/chartDrawing">
    <cdr:from>
      <cdr:x>0.71984</cdr:x>
      <cdr:y>0.84674</cdr:y>
    </cdr:from>
    <cdr:to>
      <cdr:x>0.90357</cdr:x>
      <cdr:y>0.93103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3419164" y="2616446"/>
          <a:ext cx="872698" cy="260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Colombia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0.38877</cdr:x>
      <cdr:y>0.60171</cdr:y>
    </cdr:from>
    <cdr:to>
      <cdr:x>0.45809</cdr:x>
      <cdr:y>0.60196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B620DD7F-215D-4761-A127-51DC085006C0}"/>
            </a:ext>
          </a:extLst>
        </cdr:cNvPr>
        <cdr:cNvCxnSpPr/>
      </cdr:nvCxnSpPr>
      <cdr:spPr bwMode="auto">
        <a:xfrm xmlns:a="http://schemas.openxmlformats.org/drawingml/2006/main">
          <a:off x="1851766" y="1779569"/>
          <a:ext cx="330232" cy="7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0.09091</cdr:x>
      <cdr:y>0.55631</cdr:y>
    </cdr:from>
    <cdr:to>
      <cdr:x>0.36772</cdr:x>
      <cdr:y>0.67304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33025" y="1645287"/>
          <a:ext cx="1318501" cy="3452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0.50167</cdr:x>
      <cdr:y>0.34711</cdr:y>
    </cdr:from>
    <cdr:to>
      <cdr:x>0.58526</cdr:x>
      <cdr:y>0.38167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852CCA11-7FC7-4580-A5B7-5A698BB94833}"/>
            </a:ext>
          </a:extLst>
        </cdr:cNvPr>
        <cdr:cNvCxnSpPr/>
      </cdr:nvCxnSpPr>
      <cdr:spPr bwMode="auto">
        <a:xfrm xmlns:a="http://schemas.openxmlformats.org/drawingml/2006/main">
          <a:off x="2375928" y="1032207"/>
          <a:ext cx="395887" cy="102771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0.22798</cdr:x>
      <cdr:y>0.28227</cdr:y>
    </cdr:from>
    <cdr:to>
      <cdr:x>0.50479</cdr:x>
      <cdr:y>0.399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1079721" y="839375"/>
          <a:ext cx="1310987" cy="3471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0.52812</cdr:x>
      <cdr:y>0.35232</cdr:y>
    </cdr:from>
    <cdr:to>
      <cdr:x>0.55556</cdr:x>
      <cdr:y>0.52687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88B63169-CEA4-48E5-A9CA-4A23B266ED05}"/>
            </a:ext>
          </a:extLst>
        </cdr:cNvPr>
        <cdr:cNvCxnSpPr/>
      </cdr:nvCxnSpPr>
      <cdr:spPr bwMode="auto">
        <a:xfrm xmlns:a="http://schemas.openxmlformats.org/drawingml/2006/main" flipH="1">
          <a:off x="2588559" y="977153"/>
          <a:ext cx="134470" cy="48409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0.4989</cdr:x>
      <cdr:y>0.25126</cdr:y>
    </cdr:from>
    <cdr:to>
      <cdr:x>0.75268</cdr:x>
      <cdr:y>0.37395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2445317" y="696852"/>
          <a:ext cx="1243891" cy="3402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ARS devaluation</a:t>
          </a:r>
        </a:p>
      </cdr:txBody>
    </cdr:sp>
  </cdr:relSizeAnchor>
  <cdr:relSizeAnchor xmlns:cdr="http://schemas.openxmlformats.org/drawingml/2006/chartDrawing">
    <cdr:from>
      <cdr:x>0.64888</cdr:x>
      <cdr:y>0.36425</cdr:y>
    </cdr:from>
    <cdr:to>
      <cdr:x>0.70801</cdr:x>
      <cdr:y>0.53795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1793DB01-84CD-4334-A947-9DB241F5CE7A}"/>
            </a:ext>
          </a:extLst>
        </cdr:cNvPr>
        <cdr:cNvCxnSpPr/>
      </cdr:nvCxnSpPr>
      <cdr:spPr bwMode="auto">
        <a:xfrm xmlns:a="http://schemas.openxmlformats.org/drawingml/2006/main">
          <a:off x="3189194" y="1000205"/>
          <a:ext cx="290606" cy="47695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0.78807</cdr:x>
      <cdr:y>0.01035</cdr:y>
    </cdr:from>
    <cdr:to>
      <cdr:x>0.93226</cdr:x>
      <cdr:y>0.09237</cdr:y>
    </cdr:to>
    <cdr:sp macro="" textlink="">
      <cdr:nvSpPr>
        <cdr:cNvPr id="2" name="TextBox 15"/>
        <cdr:cNvSpPr txBox="1"/>
      </cdr:nvSpPr>
      <cdr:spPr>
        <a:xfrm xmlns:a="http://schemas.openxmlformats.org/drawingml/2006/main">
          <a:off x="3603065" y="28388"/>
          <a:ext cx="659219" cy="2249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</a:t>
          </a:r>
          <a:r>
            <a:rPr lang="en-US" sz="90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mn</a:t>
          </a:r>
          <a:endParaRPr lang="en-US" sz="90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0.42215</cdr:x>
      <cdr:y>0.38816</cdr:y>
    </cdr:from>
    <cdr:to>
      <cdr:x>0.45183</cdr:x>
      <cdr:y>0.49186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1F3B4B8-0143-43F8-B617-CE8CEB2D3551}"/>
            </a:ext>
          </a:extLst>
        </cdr:cNvPr>
        <cdr:cNvCxnSpPr/>
      </cdr:nvCxnSpPr>
      <cdr:spPr bwMode="auto">
        <a:xfrm xmlns:a="http://schemas.openxmlformats.org/drawingml/2006/main">
          <a:off x="2031767" y="1114085"/>
          <a:ext cx="142875" cy="29765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0.12345</cdr:x>
      <cdr:y>0.28343</cdr:y>
    </cdr:from>
    <cdr:to>
      <cdr:x>0.44628</cdr:x>
      <cdr:y>0.40379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594151" y="813503"/>
          <a:ext cx="1553757" cy="345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0.78807</cdr:x>
      <cdr:y>0.0226</cdr:y>
    </cdr:from>
    <cdr:to>
      <cdr:x>0.93226</cdr:x>
      <cdr:y>0.10462</cdr:y>
    </cdr:to>
    <cdr:sp macro="" textlink="">
      <cdr:nvSpPr>
        <cdr:cNvPr id="2" name="TextBox 15"/>
        <cdr:cNvSpPr txBox="1"/>
      </cdr:nvSpPr>
      <cdr:spPr>
        <a:xfrm xmlns:a="http://schemas.openxmlformats.org/drawingml/2006/main">
          <a:off x="3603065" y="62005"/>
          <a:ext cx="659219" cy="2249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</a:t>
          </a:r>
          <a:r>
            <a:rPr lang="en-US" sz="90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mn</a:t>
          </a:r>
          <a:endParaRPr lang="en-US" sz="90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0.50816</cdr:x>
      <cdr:y>0.30187</cdr:y>
    </cdr:from>
    <cdr:to>
      <cdr:x>0.53393</cdr:x>
      <cdr:y>0.38262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4C07E761-D958-4264-A61A-BB6125346AD3}"/>
            </a:ext>
          </a:extLst>
        </cdr:cNvPr>
        <cdr:cNvCxnSpPr/>
      </cdr:nvCxnSpPr>
      <cdr:spPr bwMode="auto">
        <a:xfrm xmlns:a="http://schemas.openxmlformats.org/drawingml/2006/main" flipH="1">
          <a:off x="2331842" y="878400"/>
          <a:ext cx="118254" cy="234973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0.45854</cdr:x>
      <cdr:y>0.20961</cdr:y>
    </cdr:from>
    <cdr:to>
      <cdr:x>0.7811</cdr:x>
      <cdr:y>0.32575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2228008" y="622921"/>
          <a:ext cx="1567277" cy="3451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ARS devaluation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0.80033</cdr:x>
      <cdr:y>0.04303</cdr:y>
    </cdr:from>
    <cdr:to>
      <cdr:x>0.94451</cdr:x>
      <cdr:y>0.12505</cdr:y>
    </cdr:to>
    <cdr:sp macro="" textlink="">
      <cdr:nvSpPr>
        <cdr:cNvPr id="2" name="TextBox 15"/>
        <cdr:cNvSpPr txBox="1"/>
      </cdr:nvSpPr>
      <cdr:spPr>
        <a:xfrm xmlns:a="http://schemas.openxmlformats.org/drawingml/2006/main">
          <a:off x="3659094" y="118035"/>
          <a:ext cx="659219" cy="2249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</a:t>
          </a:r>
          <a:r>
            <a:rPr lang="en-US" sz="90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mn</a:t>
          </a:r>
          <a:endParaRPr lang="en-US" sz="90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0.3028</cdr:x>
      <cdr:y>0.36449</cdr:y>
    </cdr:from>
    <cdr:to>
      <cdr:x>0.33694</cdr:x>
      <cdr:y>0.40762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ABFBAD79-E7CC-4F7D-983B-0C362A699735}"/>
            </a:ext>
          </a:extLst>
        </cdr:cNvPr>
        <cdr:cNvCxnSpPr/>
      </cdr:nvCxnSpPr>
      <cdr:spPr bwMode="auto">
        <a:xfrm xmlns:a="http://schemas.openxmlformats.org/drawingml/2006/main">
          <a:off x="1412904" y="1083191"/>
          <a:ext cx="159282" cy="128165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0.09486</cdr:x>
      <cdr:y>0.19078</cdr:y>
    </cdr:from>
    <cdr:to>
      <cdr:x>0.37438</cdr:x>
      <cdr:y>0.39457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427201" y="555156"/>
          <a:ext cx="1258780" cy="5930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</a:t>
          </a:r>
        </a:p>
        <a:p xmlns:a="http://schemas.openxmlformats.org/drawingml/2006/main">
          <a:r>
            <a:rPr lang="en-US" sz="1100">
              <a:solidFill>
                <a:srgbClr val="FF0000"/>
              </a:solidFill>
            </a:rPr>
            <a:t> and Vips Spain acquisitions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0.52597</cdr:x>
      <cdr:y>0.13782</cdr:y>
    </cdr:from>
    <cdr:to>
      <cdr:x>0.63797</cdr:x>
      <cdr:y>0.18788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C3A4D200-3136-4B55-852C-91074CCF5409}"/>
            </a:ext>
          </a:extLst>
        </cdr:cNvPr>
        <cdr:cNvCxnSpPr/>
      </cdr:nvCxnSpPr>
      <cdr:spPr bwMode="auto">
        <a:xfrm xmlns:a="http://schemas.openxmlformats.org/drawingml/2006/main" flipV="1">
          <a:off x="2496180" y="397542"/>
          <a:ext cx="531533" cy="14439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0.65169</cdr:x>
      <cdr:y>0.08776</cdr:y>
    </cdr:from>
    <cdr:to>
      <cdr:x>0.84826</cdr:x>
      <cdr:y>0.29957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092826" y="253145"/>
          <a:ext cx="932888" cy="610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VIPs acquisition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0.19805</cdr:x>
      <cdr:y>0.35262</cdr:y>
    </cdr:from>
    <cdr:to>
      <cdr:x>0.25079</cdr:x>
      <cdr:y>0.42279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59E5A5C5-F73B-4E27-ABB5-D43744AD3EF6}"/>
            </a:ext>
          </a:extLst>
        </cdr:cNvPr>
        <cdr:cNvCxnSpPr/>
      </cdr:nvCxnSpPr>
      <cdr:spPr bwMode="auto">
        <a:xfrm xmlns:a="http://schemas.openxmlformats.org/drawingml/2006/main" flipV="1">
          <a:off x="938893" y="1017134"/>
          <a:ext cx="250031" cy="20240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0.19838</cdr:x>
      <cdr:y>0.1932</cdr:y>
    </cdr:from>
    <cdr:to>
      <cdr:x>0.39506</cdr:x>
      <cdr:y>0.40501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40469" y="557293"/>
          <a:ext cx="932407" cy="610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Zena acquisition</a:t>
          </a:r>
        </a:p>
      </cdr:txBody>
    </cdr:sp>
  </cdr:relSizeAnchor>
  <cdr:relSizeAnchor xmlns:cdr="http://schemas.openxmlformats.org/drawingml/2006/chartDrawing">
    <cdr:from>
      <cdr:x>0.43945</cdr:x>
      <cdr:y>0.16325</cdr:y>
    </cdr:from>
    <cdr:to>
      <cdr:x>0.55152</cdr:x>
      <cdr:y>0.21331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02EAED2D-7D55-4C55-A4C0-E912A0884BDA}"/>
            </a:ext>
          </a:extLst>
        </cdr:cNvPr>
        <cdr:cNvCxnSpPr/>
      </cdr:nvCxnSpPr>
      <cdr:spPr bwMode="auto">
        <a:xfrm xmlns:a="http://schemas.openxmlformats.org/drawingml/2006/main" flipV="1">
          <a:off x="2083321" y="470905"/>
          <a:ext cx="531294" cy="144398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0.56524</cdr:x>
      <cdr:y>0.11318</cdr:y>
    </cdr:from>
    <cdr:to>
      <cdr:x>0.76192</cdr:x>
      <cdr:y>0.32499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2679657" y="326479"/>
          <a:ext cx="932407" cy="610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VIPs  + Starbucks acquisition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0.27636</cdr:x>
      <cdr:y>0.13895</cdr:y>
    </cdr:from>
    <cdr:to>
      <cdr:x>0.39302</cdr:x>
      <cdr:y>0.22923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CD61B7FA-1818-4120-9605-75A0A8898773}"/>
            </a:ext>
          </a:extLst>
        </cdr:cNvPr>
        <cdr:cNvCxnSpPr/>
      </cdr:nvCxnSpPr>
      <cdr:spPr bwMode="auto">
        <a:xfrm xmlns:a="http://schemas.openxmlformats.org/drawingml/2006/main">
          <a:off x="1312121" y="386792"/>
          <a:ext cx="553843" cy="25131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0.07825</cdr:x>
      <cdr:y>0</cdr:y>
    </cdr:from>
    <cdr:to>
      <cdr:x>0.30261</cdr:x>
      <cdr:y>0.41131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371535" y="0"/>
          <a:ext cx="1065216" cy="11449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Impact of change in accounting</a:t>
          </a:r>
          <a:r>
            <a:rPr lang="en-US" sz="1100" baseline="0">
              <a:solidFill>
                <a:srgbClr val="FF0000"/>
              </a:solidFill>
            </a:rPr>
            <a:t> of distribution revenues.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0.62759</cdr:x>
      <cdr:y>0.06402</cdr:y>
    </cdr:from>
    <cdr:to>
      <cdr:x>0.85195</cdr:x>
      <cdr:y>0.47777</cdr:y>
    </cdr:to>
    <cdr:sp macro="" textlink="">
      <cdr:nvSpPr>
        <cdr:cNvPr id="6" name="TextBox 4"/>
        <cdr:cNvSpPr txBox="1"/>
      </cdr:nvSpPr>
      <cdr:spPr>
        <a:xfrm xmlns:a="http://schemas.openxmlformats.org/drawingml/2006/main">
          <a:off x="2979664" y="178220"/>
          <a:ext cx="1065216" cy="11517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Supported by MXP depreciation vs. EUR.</a:t>
          </a:r>
        </a:p>
      </cdr:txBody>
    </cdr:sp>
  </cdr:relSizeAnchor>
  <cdr:relSizeAnchor xmlns:cdr="http://schemas.openxmlformats.org/drawingml/2006/chartDrawing">
    <cdr:from>
      <cdr:x>0.55686</cdr:x>
      <cdr:y>0.22068</cdr:y>
    </cdr:from>
    <cdr:to>
      <cdr:x>0.64881</cdr:x>
      <cdr:y>0.37077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E759FD72-E664-4812-8B6B-32EC656FE01A}"/>
            </a:ext>
          </a:extLst>
        </cdr:cNvPr>
        <cdr:cNvCxnSpPr/>
      </cdr:nvCxnSpPr>
      <cdr:spPr bwMode="auto">
        <a:xfrm xmlns:a="http://schemas.openxmlformats.org/drawingml/2006/main" flipH="1">
          <a:off x="2643848" y="614292"/>
          <a:ext cx="436553" cy="41781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0.09398</cdr:x>
      <cdr:y>0.52642</cdr:y>
    </cdr:from>
    <cdr:to>
      <cdr:x>0.31981</cdr:x>
      <cdr:y>0.89565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4592" y="1577658"/>
          <a:ext cx="1068294" cy="11065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New levels after Europe acquisitions</a:t>
          </a:r>
        </a:p>
      </cdr:txBody>
    </cdr:sp>
  </cdr:relSizeAnchor>
  <cdr:relSizeAnchor xmlns:cdr="http://schemas.openxmlformats.org/drawingml/2006/chartDrawing">
    <cdr:from>
      <cdr:x>0.28699</cdr:x>
      <cdr:y>0.43303</cdr:y>
    </cdr:from>
    <cdr:to>
      <cdr:x>0.36243</cdr:x>
      <cdr:y>0.54106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E8EA1BA5-7809-4C6C-8AFF-D2781ACDD0DD}"/>
            </a:ext>
          </a:extLst>
        </cdr:cNvPr>
        <cdr:cNvCxnSpPr/>
      </cdr:nvCxnSpPr>
      <cdr:spPr bwMode="auto">
        <a:xfrm xmlns:a="http://schemas.openxmlformats.org/drawingml/2006/main" flipV="1">
          <a:off x="1357630" y="1297781"/>
          <a:ext cx="356869" cy="32375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0.20821</cdr:x>
      <cdr:y>0.0715</cdr:y>
    </cdr:from>
    <cdr:to>
      <cdr:x>0.42349</cdr:x>
      <cdr:y>0.27888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95928" y="214530"/>
          <a:ext cx="1029734" cy="622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VIPs Mexico acquisition</a:t>
          </a:r>
        </a:p>
      </cdr:txBody>
    </cdr:sp>
  </cdr:relSizeAnchor>
  <cdr:relSizeAnchor xmlns:cdr="http://schemas.openxmlformats.org/drawingml/2006/chartDrawing">
    <cdr:from>
      <cdr:x>0.39282</cdr:x>
      <cdr:y>0.16019</cdr:y>
    </cdr:from>
    <cdr:to>
      <cdr:x>0.45975</cdr:x>
      <cdr:y>0.17932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BEB40B87-13A1-47F7-85FD-9E4DEEA916B7}"/>
            </a:ext>
          </a:extLst>
        </cdr:cNvPr>
        <cdr:cNvCxnSpPr/>
      </cdr:nvCxnSpPr>
      <cdr:spPr bwMode="auto">
        <a:xfrm xmlns:a="http://schemas.openxmlformats.org/drawingml/2006/main">
          <a:off x="1878961" y="480634"/>
          <a:ext cx="320141" cy="5739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0.21897</cdr:x>
      <cdr:y>0.44194</cdr:y>
    </cdr:from>
    <cdr:to>
      <cdr:x>0.44261</cdr:x>
      <cdr:y>0.82894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853" y="1317698"/>
          <a:ext cx="1080412" cy="11538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New levels after Europe acquisitions</a:t>
          </a:r>
        </a:p>
      </cdr:txBody>
    </cdr:sp>
  </cdr:relSizeAnchor>
  <cdr:relSizeAnchor xmlns:cdr="http://schemas.openxmlformats.org/drawingml/2006/chartDrawing">
    <cdr:from>
      <cdr:x>0.4391</cdr:x>
      <cdr:y>0.53945</cdr:y>
    </cdr:from>
    <cdr:to>
      <cdr:x>0.63626</cdr:x>
      <cdr:y>0.57938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612EE1AC-1EC8-44BC-B517-57C4DA97FF1A}"/>
            </a:ext>
          </a:extLst>
        </cdr:cNvPr>
        <cdr:cNvCxnSpPr/>
      </cdr:nvCxnSpPr>
      <cdr:spPr bwMode="auto">
        <a:xfrm xmlns:a="http://schemas.openxmlformats.org/drawingml/2006/main">
          <a:off x="2121312" y="1608444"/>
          <a:ext cx="952500" cy="11906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0.32599</cdr:x>
      <cdr:y>0.16763</cdr:y>
    </cdr:from>
    <cdr:to>
      <cdr:x>0.3648</cdr:x>
      <cdr:y>0.40067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A8B936BF-5BE5-41FA-969D-58BE864698EA}"/>
            </a:ext>
          </a:extLst>
        </cdr:cNvPr>
        <cdr:cNvCxnSpPr/>
      </cdr:nvCxnSpPr>
      <cdr:spPr bwMode="auto">
        <a:xfrm xmlns:a="http://schemas.openxmlformats.org/drawingml/2006/main" flipH="1">
          <a:off x="1500188" y="488156"/>
          <a:ext cx="178593" cy="67865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0.1295</cdr:x>
      <cdr:y>0.00408</cdr:y>
    </cdr:from>
    <cdr:to>
      <cdr:x>0.62335</cdr:x>
      <cdr:y>0.23625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27946" y="11575"/>
          <a:ext cx="2394578" cy="6587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HIgher margins after 2015 due</a:t>
          </a:r>
          <a:r>
            <a:rPr lang="en-US" sz="1100" baseline="0">
              <a:solidFill>
                <a:srgbClr val="FF0000"/>
              </a:solidFill>
            </a:rPr>
            <a:t> to changes eliminations. acciounting</a:t>
          </a:r>
          <a:endParaRPr lang="en-US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0.4623</cdr:x>
      <cdr:y>0.51907</cdr:y>
    </cdr:from>
    <cdr:to>
      <cdr:x>0.67206</cdr:x>
      <cdr:y>0.64291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168530" y="1534955"/>
          <a:ext cx="983938" cy="366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DC </a:t>
          </a:r>
        </a:p>
        <a:p xmlns:a="http://schemas.openxmlformats.org/drawingml/2006/main">
          <a:pPr algn="ctr"/>
          <a:r>
            <a:rPr lang="en-US" sz="1100">
              <a:solidFill>
                <a:srgbClr val="FF0000"/>
              </a:solidFill>
            </a:rPr>
            <a:t>disruption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0.21651</cdr:x>
      <cdr:y>0.22855</cdr:y>
    </cdr:from>
    <cdr:to>
      <cdr:x>0.28246</cdr:x>
      <cdr:y>0.31527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BB2EF1B4-2045-43D4-A795-D1275C39F02C}"/>
            </a:ext>
          </a:extLst>
        </cdr:cNvPr>
        <cdr:cNvCxnSpPr/>
      </cdr:nvCxnSpPr>
      <cdr:spPr bwMode="auto">
        <a:xfrm xmlns:a="http://schemas.openxmlformats.org/drawingml/2006/main">
          <a:off x="1016001" y="657411"/>
          <a:ext cx="309463" cy="249456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0.12002</cdr:x>
      <cdr:y>0.15354</cdr:y>
    </cdr:from>
    <cdr:to>
      <cdr:x>0.45575</cdr:x>
      <cdr:y>0.27573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31071" y="432150"/>
          <a:ext cx="1485569" cy="34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Grupo Zena acquisition</a:t>
          </a:r>
        </a:p>
      </cdr:txBody>
    </cdr:sp>
  </cdr:relSizeAnchor>
  <cdr:relSizeAnchor xmlns:cdr="http://schemas.openxmlformats.org/drawingml/2006/chartDrawing">
    <cdr:from>
      <cdr:x>0.49734</cdr:x>
      <cdr:y>0.26791</cdr:y>
    </cdr:from>
    <cdr:to>
      <cdr:x>0.50929</cdr:x>
      <cdr:y>0.35009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CD15BA2E-C784-4782-9D65-50B6666F87A9}"/>
            </a:ext>
          </a:extLst>
        </cdr:cNvPr>
        <cdr:cNvCxnSpPr/>
      </cdr:nvCxnSpPr>
      <cdr:spPr bwMode="auto">
        <a:xfrm xmlns:a="http://schemas.openxmlformats.org/drawingml/2006/main" flipH="1">
          <a:off x="2333813" y="770651"/>
          <a:ext cx="56069" cy="236384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0.43291</cdr:x>
      <cdr:y>0.11068</cdr:y>
    </cdr:from>
    <cdr:to>
      <cdr:x>0.76864</cdr:x>
      <cdr:y>0.23286</cdr:y>
    </cdr:to>
    <cdr:sp macro="" textlink="">
      <cdr:nvSpPr>
        <cdr:cNvPr id="5" name="TextBox 2"/>
        <cdr:cNvSpPr txBox="1"/>
      </cdr:nvSpPr>
      <cdr:spPr>
        <a:xfrm xmlns:a="http://schemas.openxmlformats.org/drawingml/2006/main">
          <a:off x="2031455" y="318365"/>
          <a:ext cx="1575438" cy="3514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Starbucks Benelux and Vips Spain acquisitions</a:t>
          </a:r>
        </a:p>
      </cdr:txBody>
    </cdr:sp>
  </cdr:relSizeAnchor>
  <cdr:relSizeAnchor xmlns:cdr="http://schemas.openxmlformats.org/drawingml/2006/chartDrawing">
    <cdr:from>
      <cdr:x>0.40016</cdr:x>
      <cdr:y>0.74465</cdr:y>
    </cdr:from>
    <cdr:to>
      <cdr:x>0.56012</cdr:x>
      <cdr:y>0.86683</cdr:y>
    </cdr:to>
    <cdr:sp macro="" textlink="">
      <cdr:nvSpPr>
        <cdr:cNvPr id="7" name="TextBox 2"/>
        <cdr:cNvSpPr txBox="1"/>
      </cdr:nvSpPr>
      <cdr:spPr>
        <a:xfrm xmlns:a="http://schemas.openxmlformats.org/drawingml/2006/main">
          <a:off x="1877777" y="2141956"/>
          <a:ext cx="750624" cy="3514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Covid19</a:t>
          </a: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0.29677</cdr:x>
      <cdr:y>0.48506</cdr:y>
    </cdr:from>
    <cdr:to>
      <cdr:x>0.50865</cdr:x>
      <cdr:y>0.57997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C571057-6D89-4CEB-8DAA-671BD8521159}"/>
            </a:ext>
          </a:extLst>
        </cdr:cNvPr>
        <cdr:cNvCxnSpPr/>
      </cdr:nvCxnSpPr>
      <cdr:spPr bwMode="auto">
        <a:xfrm xmlns:a="http://schemas.openxmlformats.org/drawingml/2006/main" flipV="1">
          <a:off x="1450623" y="1455364"/>
          <a:ext cx="1035683" cy="284777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666699" mc:Ignorable="a14" a14:legacySpreadsheetColorIndex="54"/>
        </a:solidFill>
        <a:ln xmlns:a="http://schemas.openxmlformats.org/drawingml/2006/main" w="9525" cap="flat" cmpd="sng" algn="ctr">
          <a:solidFill>
            <a:srgbClr val="FF000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0.28565</cdr:x>
      <cdr:y>0.32123</cdr:y>
    </cdr:from>
    <cdr:to>
      <cdr:x>0.50099</cdr:x>
      <cdr:y>0.39957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407940" y="948499"/>
          <a:ext cx="1061357" cy="2313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aseline="0"/>
            <a:t> </a:t>
          </a:r>
          <a:endParaRPr lang="en-US" sz="1100"/>
        </a:p>
      </cdr:txBody>
    </cdr:sp>
  </cdr:relSizeAnchor>
  <cdr:relSizeAnchor xmlns:cdr="http://schemas.openxmlformats.org/drawingml/2006/chartDrawing">
    <cdr:from>
      <cdr:x>0.21111</cdr:x>
      <cdr:y>0.27514</cdr:y>
    </cdr:from>
    <cdr:to>
      <cdr:x>0.35467</cdr:x>
      <cdr:y>0.42722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040547" y="812427"/>
          <a:ext cx="707572" cy="4490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0.4343</cdr:x>
      <cdr:y>0.38155</cdr:y>
    </cdr:from>
    <cdr:to>
      <cdr:x>0.6291</cdr:x>
      <cdr:y>0.47445</cdr:y>
    </cdr:to>
    <cdr:sp macro="" textlink="Charts!$EW$76">
      <cdr:nvSpPr>
        <cdr:cNvPr id="7" name="TextBox 6"/>
        <cdr:cNvSpPr txBox="1">
          <a:spLocks xmlns:a="http://schemas.openxmlformats.org/drawingml/2006/main"/>
        </cdr:cNvSpPr>
      </cdr:nvSpPr>
      <cdr:spPr>
        <a:xfrm xmlns:a="http://schemas.openxmlformats.org/drawingml/2006/main" rot="-960000">
          <a:off x="2122849" y="1144789"/>
          <a:ext cx="952184" cy="278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9BE5F65-5E22-410B-A88D-41408AAC684B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96% CAGR</a:t>
          </a:fld>
          <a:endParaRPr lang="en-US" sz="1600">
            <a:solidFill>
              <a:srgbClr val="FF0000"/>
            </a:solidFill>
          </a:endParaRP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0.11111</cdr:x>
      <cdr:y>0.00868</cdr:y>
    </cdr:from>
    <cdr:to>
      <cdr:x>0.21189</cdr:x>
      <cdr:y>0.08606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8800" y="25400"/>
          <a:ext cx="506843" cy="2264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Mex$mn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</cdr:x>
      <cdr:y>0.00826</cdr:y>
    </cdr:from>
    <cdr:to>
      <cdr:x>0.10078</cdr:x>
      <cdr:y>0.08486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4359"/>
          <a:ext cx="476626" cy="2258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Days</a:t>
          </a:r>
        </a:p>
      </cdr:txBody>
    </cdr:sp>
  </cdr:relSizeAnchor>
</c:userShapes>
</file>

<file path=xl/drawings/drawing5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95249</xdr:colOff>
      <xdr:row>0</xdr:row>
      <xdr:rowOff>38101</xdr:rowOff>
    </xdr:from>
    <xdr:ext cx="969646" cy="201930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9429749" y="38101"/>
          <a:ext cx="969646" cy="2019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352424</xdr:colOff>
      <xdr:row>0</xdr:row>
      <xdr:rowOff>38101</xdr:rowOff>
    </xdr:from>
    <xdr:to>
      <xdr:col>36</xdr:col>
      <xdr:colOff>85726</xdr:colOff>
      <xdr:row>1</xdr:row>
      <xdr:rowOff>15241</xdr:rowOff>
    </xdr:to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rrowheads="1"/>
        </xdr:cNvSpPr>
      </xdr:nvSpPr>
      <xdr:spPr bwMode="auto">
        <a:xfrm>
          <a:off x="9505949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9526</xdr:colOff>
      <xdr:row>0</xdr:row>
      <xdr:rowOff>38101</xdr:rowOff>
    </xdr:from>
    <xdr:to>
      <xdr:col>10</xdr:col>
      <xdr:colOff>474346</xdr:colOff>
      <xdr:row>1</xdr:row>
      <xdr:rowOff>15240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6943726" y="38101"/>
          <a:ext cx="1085850" cy="20002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102</xdr:col>
      <xdr:colOff>0</xdr:colOff>
      <xdr:row>1</xdr:row>
      <xdr:rowOff>47625</xdr:rowOff>
    </xdr:from>
    <xdr:to>
      <xdr:col>102</xdr:col>
      <xdr:colOff>600074</xdr:colOff>
      <xdr:row>3</xdr:row>
      <xdr:rowOff>9525</xdr:rowOff>
    </xdr:to>
    <xdr:sp macro="[0]!BaseCase" textlink="">
      <xdr:nvSpPr>
        <xdr:cNvPr id="12289" name="Rectangle 1">
          <a:extLst>
            <a:ext uri="{FF2B5EF4-FFF2-40B4-BE49-F238E27FC236}">
              <a16:creationId xmlns:a16="http://schemas.microsoft.com/office/drawing/2014/main" id="{00000000-0008-0000-0D00-000001300000}"/>
            </a:ext>
          </a:extLst>
        </xdr:cNvPr>
        <xdr:cNvSpPr>
          <a:spLocks noChangeArrowheads="1"/>
        </xdr:cNvSpPr>
      </xdr:nvSpPr>
      <xdr:spPr bwMode="auto">
        <a:xfrm>
          <a:off x="34566224" y="276225"/>
          <a:ext cx="638175" cy="266700"/>
        </a:xfrm>
        <a:prstGeom prst="rect">
          <a:avLst/>
        </a:prstGeom>
        <a:solidFill>
          <a:schemeClr val="bg1">
            <a:lumMod val="65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Base</a:t>
          </a:r>
        </a:p>
      </xdr:txBody>
    </xdr:sp>
    <xdr:clientData/>
  </xdr:twoCellAnchor>
  <xdr:twoCellAnchor>
    <xdr:from>
      <xdr:col>103</xdr:col>
      <xdr:colOff>19050</xdr:colOff>
      <xdr:row>1</xdr:row>
      <xdr:rowOff>47625</xdr:rowOff>
    </xdr:from>
    <xdr:to>
      <xdr:col>104</xdr:col>
      <xdr:colOff>9525</xdr:colOff>
      <xdr:row>3</xdr:row>
      <xdr:rowOff>9525</xdr:rowOff>
    </xdr:to>
    <xdr:sp macro="[0]!BullCase" textlink="">
      <xdr:nvSpPr>
        <xdr:cNvPr id="12290" name="Rectangle 2">
          <a:extLst>
            <a:ext uri="{FF2B5EF4-FFF2-40B4-BE49-F238E27FC236}">
              <a16:creationId xmlns:a16="http://schemas.microsoft.com/office/drawing/2014/main" id="{00000000-0008-0000-0D00-000002300000}"/>
            </a:ext>
          </a:extLst>
        </xdr:cNvPr>
        <xdr:cNvSpPr>
          <a:spLocks noChangeArrowheads="1"/>
        </xdr:cNvSpPr>
      </xdr:nvSpPr>
      <xdr:spPr bwMode="auto">
        <a:xfrm>
          <a:off x="35252025" y="276225"/>
          <a:ext cx="619125" cy="266700"/>
        </a:xfrm>
        <a:prstGeom prst="rect">
          <a:avLst/>
        </a:prstGeom>
        <a:solidFill>
          <a:schemeClr val="bg1">
            <a:lumMod val="65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Bull</a:t>
          </a:r>
        </a:p>
      </xdr:txBody>
    </xdr:sp>
    <xdr:clientData/>
  </xdr:twoCellAnchor>
  <xdr:twoCellAnchor>
    <xdr:from>
      <xdr:col>104</xdr:col>
      <xdr:colOff>57150</xdr:colOff>
      <xdr:row>1</xdr:row>
      <xdr:rowOff>47625</xdr:rowOff>
    </xdr:from>
    <xdr:to>
      <xdr:col>105</xdr:col>
      <xdr:colOff>57150</xdr:colOff>
      <xdr:row>3</xdr:row>
      <xdr:rowOff>9525</xdr:rowOff>
    </xdr:to>
    <xdr:sp macro="[0]!BearCase" textlink="">
      <xdr:nvSpPr>
        <xdr:cNvPr id="12291" name="Rectangle 3">
          <a:extLst>
            <a:ext uri="{FF2B5EF4-FFF2-40B4-BE49-F238E27FC236}">
              <a16:creationId xmlns:a16="http://schemas.microsoft.com/office/drawing/2014/main" id="{00000000-0008-0000-0D00-000003300000}"/>
            </a:ext>
          </a:extLst>
        </xdr:cNvPr>
        <xdr:cNvSpPr>
          <a:spLocks noChangeArrowheads="1"/>
        </xdr:cNvSpPr>
      </xdr:nvSpPr>
      <xdr:spPr bwMode="auto">
        <a:xfrm>
          <a:off x="35918775" y="276225"/>
          <a:ext cx="628650" cy="266700"/>
        </a:xfrm>
        <a:prstGeom prst="rect">
          <a:avLst/>
        </a:prstGeom>
        <a:solidFill>
          <a:schemeClr val="bg1">
            <a:lumMod val="65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Bear</a:t>
          </a:r>
        </a:p>
      </xdr:txBody>
    </xdr:sp>
    <xdr:clientData/>
  </xdr:twoCellAnchor>
  <xdr:twoCellAnchor>
    <xdr:from>
      <xdr:col>102</xdr:col>
      <xdr:colOff>0</xdr:colOff>
      <xdr:row>3</xdr:row>
      <xdr:rowOff>104775</xdr:rowOff>
    </xdr:from>
    <xdr:to>
      <xdr:col>105</xdr:col>
      <xdr:colOff>47624</xdr:colOff>
      <xdr:row>5</xdr:row>
      <xdr:rowOff>85725</xdr:rowOff>
    </xdr:to>
    <xdr:sp macro="[0]!AllScenarios" textlink="">
      <xdr:nvSpPr>
        <xdr:cNvPr id="12292" name="Rectangle 4">
          <a:extLst>
            <a:ext uri="{FF2B5EF4-FFF2-40B4-BE49-F238E27FC236}">
              <a16:creationId xmlns:a16="http://schemas.microsoft.com/office/drawing/2014/main" id="{00000000-0008-0000-0D00-000004300000}"/>
            </a:ext>
          </a:extLst>
        </xdr:cNvPr>
        <xdr:cNvSpPr>
          <a:spLocks noChangeArrowheads="1"/>
        </xdr:cNvSpPr>
      </xdr:nvSpPr>
      <xdr:spPr bwMode="auto">
        <a:xfrm>
          <a:off x="34575749" y="638175"/>
          <a:ext cx="1962150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Run all scenarios</a:t>
          </a:r>
        </a:p>
      </xdr:txBody>
    </xdr:sp>
    <xdr:clientData/>
  </xdr:twoCellAnchor>
  <xdr:twoCellAnchor>
    <xdr:from>
      <xdr:col>0</xdr:col>
      <xdr:colOff>581025</xdr:colOff>
      <xdr:row>2</xdr:row>
      <xdr:rowOff>47625</xdr:rowOff>
    </xdr:from>
    <xdr:to>
      <xdr:col>0</xdr:col>
      <xdr:colOff>1895475</xdr:colOff>
      <xdr:row>3</xdr:row>
      <xdr:rowOff>104775</xdr:rowOff>
    </xdr:to>
    <xdr:sp macro="[0]!AllScenarios" textlink="">
      <xdr:nvSpPr>
        <xdr:cNvPr id="9" name="Rectangle 4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581025" y="438150"/>
          <a:ext cx="1314450" cy="2000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Run all scenarios</a:t>
          </a:r>
        </a:p>
      </xdr:txBody>
    </xdr:sp>
    <xdr:clientData/>
  </xdr:twoCellAnchor>
  <xdr:oneCellAnchor>
    <xdr:from>
      <xdr:col>0</xdr:col>
      <xdr:colOff>1352550</xdr:colOff>
      <xdr:row>0</xdr:row>
      <xdr:rowOff>9525</xdr:rowOff>
    </xdr:from>
    <xdr:ext cx="1066801" cy="209550"/>
    <xdr:sp macro="" textlink="">
      <xdr:nvSpPr>
        <xdr:cNvPr id="16" name="Rectangle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>
          <a:spLocks noChangeArrowheads="1"/>
        </xdr:cNvSpPr>
      </xdr:nvSpPr>
      <xdr:spPr bwMode="auto">
        <a:xfrm>
          <a:off x="1352550" y="9525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oneCellAnchor>
    <xdr:from>
      <xdr:col>97</xdr:col>
      <xdr:colOff>95249</xdr:colOff>
      <xdr:row>0</xdr:row>
      <xdr:rowOff>38101</xdr:rowOff>
    </xdr:from>
    <xdr:ext cx="1046934" cy="198120"/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32518349" y="38101"/>
          <a:ext cx="1046934" cy="198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oneCellAnchor>
    <xdr:from>
      <xdr:col>97</xdr:col>
      <xdr:colOff>95249</xdr:colOff>
      <xdr:row>0</xdr:row>
      <xdr:rowOff>38101</xdr:rowOff>
    </xdr:from>
    <xdr:ext cx="1046934" cy="198120"/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>
          <a:spLocks noChangeArrowheads="1"/>
        </xdr:cNvSpPr>
      </xdr:nvSpPr>
      <xdr:spPr bwMode="auto">
        <a:xfrm>
          <a:off x="32518349" y="38101"/>
          <a:ext cx="1046934" cy="198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1352550</xdr:colOff>
      <xdr:row>0</xdr:row>
      <xdr:rowOff>9525</xdr:rowOff>
    </xdr:from>
    <xdr:ext cx="1066801" cy="209550"/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rrowheads="1"/>
        </xdr:cNvSpPr>
      </xdr:nvSpPr>
      <xdr:spPr bwMode="auto">
        <a:xfrm>
          <a:off x="1352550" y="9525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oneCellAnchor>
    <xdr:from>
      <xdr:col>98</xdr:col>
      <xdr:colOff>95249</xdr:colOff>
      <xdr:row>0</xdr:row>
      <xdr:rowOff>38101</xdr:rowOff>
    </xdr:from>
    <xdr:ext cx="1101091" cy="201930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Arrowheads="1"/>
        </xdr:cNvSpPr>
      </xdr:nvSpPr>
      <xdr:spPr bwMode="auto">
        <a:xfrm>
          <a:off x="38271449" y="38101"/>
          <a:ext cx="1101091" cy="2019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5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1352550</xdr:colOff>
      <xdr:row>0</xdr:row>
      <xdr:rowOff>9525</xdr:rowOff>
    </xdr:from>
    <xdr:ext cx="1066801" cy="209550"/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1352550" y="9525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oneCellAnchor>
    <xdr:from>
      <xdr:col>99</xdr:col>
      <xdr:colOff>47624</xdr:colOff>
      <xdr:row>0</xdr:row>
      <xdr:rowOff>38101</xdr:rowOff>
    </xdr:from>
    <xdr:ext cx="1066801" cy="209550"/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56420384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58.xml><?xml version="1.0" encoding="utf-8"?>
<xdr:wsDr xmlns:xdr="http://schemas.openxmlformats.org/drawingml/2006/spreadsheetDrawing" xmlns:a="http://schemas.openxmlformats.org/drawingml/2006/main">
  <xdr:oneCellAnchor>
    <xdr:from>
      <xdr:col>98</xdr:col>
      <xdr:colOff>609599</xdr:colOff>
      <xdr:row>0</xdr:row>
      <xdr:rowOff>15241</xdr:rowOff>
    </xdr:from>
    <xdr:ext cx="1066801" cy="209550"/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rrowheads="1"/>
        </xdr:cNvSpPr>
      </xdr:nvSpPr>
      <xdr:spPr bwMode="auto">
        <a:xfrm>
          <a:off x="45369479" y="1524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  <xdr:oneCellAnchor>
    <xdr:from>
      <xdr:col>0</xdr:col>
      <xdr:colOff>1352550</xdr:colOff>
      <xdr:row>0</xdr:row>
      <xdr:rowOff>9525</xdr:rowOff>
    </xdr:from>
    <xdr:ext cx="1066801" cy="209550"/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1352550" y="9525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1285874</xdr:colOff>
      <xdr:row>0</xdr:row>
      <xdr:rowOff>38101</xdr:rowOff>
    </xdr:from>
    <xdr:to>
      <xdr:col>0</xdr:col>
      <xdr:colOff>2352675</xdr:colOff>
      <xdr:row>1</xdr:row>
      <xdr:rowOff>19051</xdr:rowOff>
    </xdr:to>
    <xdr:sp macro="" textlink="">
      <xdr:nvSpPr>
        <xdr:cNvPr id="6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>
          <a:spLocks noChangeArrowheads="1"/>
        </xdr:cNvSpPr>
      </xdr:nvSpPr>
      <xdr:spPr bwMode="auto">
        <a:xfrm>
          <a:off x="1285874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1428751</xdr:colOff>
      <xdr:row>0</xdr:row>
      <xdr:rowOff>28576</xdr:rowOff>
    </xdr:from>
    <xdr:to>
      <xdr:col>0</xdr:col>
      <xdr:colOff>2543175</xdr:colOff>
      <xdr:row>1</xdr:row>
      <xdr:rowOff>9525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 flipH="1">
          <a:off x="1428751" y="28576"/>
          <a:ext cx="1114424" cy="2095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1228724</xdr:colOff>
      <xdr:row>0</xdr:row>
      <xdr:rowOff>11431</xdr:rowOff>
    </xdr:from>
    <xdr:to>
      <xdr:col>0</xdr:col>
      <xdr:colOff>2305050</xdr:colOff>
      <xdr:row>0</xdr:row>
      <xdr:rowOff>209551</xdr:rowOff>
    </xdr:to>
    <xdr:sp macro="" textlink="">
      <xdr:nvSpPr>
        <xdr:cNvPr id="5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>
          <a:spLocks noChangeArrowheads="1"/>
        </xdr:cNvSpPr>
      </xdr:nvSpPr>
      <xdr:spPr bwMode="auto">
        <a:xfrm>
          <a:off x="1228724" y="11431"/>
          <a:ext cx="1066801" cy="2019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1352549</xdr:colOff>
      <xdr:row>0</xdr:row>
      <xdr:rowOff>19051</xdr:rowOff>
    </xdr:from>
    <xdr:to>
      <xdr:col>0</xdr:col>
      <xdr:colOff>2419350</xdr:colOff>
      <xdr:row>1</xdr:row>
      <xdr:rowOff>1</xdr:rowOff>
    </xdr:to>
    <xdr:sp macro="" textlink="">
      <xdr:nvSpPr>
        <xdr:cNvPr id="5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Arrowheads="1"/>
        </xdr:cNvSpPr>
      </xdr:nvSpPr>
      <xdr:spPr bwMode="auto">
        <a:xfrm>
          <a:off x="1352549" y="1905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85724</xdr:colOff>
      <xdr:row>0</xdr:row>
      <xdr:rowOff>9526</xdr:rowOff>
    </xdr:from>
    <xdr:to>
      <xdr:col>30</xdr:col>
      <xdr:colOff>466725</xdr:colOff>
      <xdr:row>0</xdr:row>
      <xdr:rowOff>215266</xdr:rowOff>
    </xdr:to>
    <xdr:sp macro="" textlink="">
      <xdr:nvSpPr>
        <xdr:cNvPr id="6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>
          <a:spLocks noChangeArrowheads="1"/>
        </xdr:cNvSpPr>
      </xdr:nvSpPr>
      <xdr:spPr bwMode="auto">
        <a:xfrm>
          <a:off x="10220324" y="9526"/>
          <a:ext cx="97155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  <xdr:twoCellAnchor editAs="oneCell">
    <xdr:from>
      <xdr:col>29</xdr:col>
      <xdr:colOff>85724</xdr:colOff>
      <xdr:row>0</xdr:row>
      <xdr:rowOff>9526</xdr:rowOff>
    </xdr:from>
    <xdr:to>
      <xdr:col>30</xdr:col>
      <xdr:colOff>466725</xdr:colOff>
      <xdr:row>0</xdr:row>
      <xdr:rowOff>215266</xdr:rowOff>
    </xdr:to>
    <xdr:sp macro="" textlink="">
      <xdr:nvSpPr>
        <xdr:cNvPr id="3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ChangeArrowheads="1"/>
        </xdr:cNvSpPr>
      </xdr:nvSpPr>
      <xdr:spPr bwMode="auto">
        <a:xfrm>
          <a:off x="7667624" y="9526"/>
          <a:ext cx="97155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95249</xdr:colOff>
      <xdr:row>0</xdr:row>
      <xdr:rowOff>19051</xdr:rowOff>
    </xdr:from>
    <xdr:to>
      <xdr:col>18</xdr:col>
      <xdr:colOff>400051</xdr:colOff>
      <xdr:row>1</xdr:row>
      <xdr:rowOff>1</xdr:rowOff>
    </xdr:to>
    <xdr:sp macro="" textlink="">
      <xdr:nvSpPr>
        <xdr:cNvPr id="4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>
          <a:spLocks noChangeArrowheads="1"/>
        </xdr:cNvSpPr>
      </xdr:nvSpPr>
      <xdr:spPr bwMode="auto">
        <a:xfrm>
          <a:off x="10229849" y="19051"/>
          <a:ext cx="97155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  <xdr:twoCellAnchor editAs="oneCell">
    <xdr:from>
      <xdr:col>29</xdr:col>
      <xdr:colOff>104775</xdr:colOff>
      <xdr:row>0</xdr:row>
      <xdr:rowOff>0</xdr:rowOff>
    </xdr:from>
    <xdr:to>
      <xdr:col>30</xdr:col>
      <xdr:colOff>497206</xdr:colOff>
      <xdr:row>0</xdr:row>
      <xdr:rowOff>209550</xdr:rowOff>
    </xdr:to>
    <xdr:sp macro="" textlink="">
      <xdr:nvSpPr>
        <xdr:cNvPr id="14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>
          <a:spLocks noChangeArrowheads="1"/>
        </xdr:cNvSpPr>
      </xdr:nvSpPr>
      <xdr:spPr bwMode="auto">
        <a:xfrm>
          <a:off x="9191625" y="0"/>
          <a:ext cx="96393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95249</xdr:colOff>
      <xdr:row>0</xdr:row>
      <xdr:rowOff>19051</xdr:rowOff>
    </xdr:from>
    <xdr:to>
      <xdr:col>18</xdr:col>
      <xdr:colOff>400051</xdr:colOff>
      <xdr:row>1</xdr:row>
      <xdr:rowOff>1</xdr:rowOff>
    </xdr:to>
    <xdr:sp macro="" textlink="">
      <xdr:nvSpPr>
        <xdr:cNvPr id="4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>
          <a:spLocks noChangeArrowheads="1"/>
        </xdr:cNvSpPr>
      </xdr:nvSpPr>
      <xdr:spPr bwMode="auto">
        <a:xfrm>
          <a:off x="10229849" y="19051"/>
          <a:ext cx="97155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  <xdr:twoCellAnchor editAs="oneCell">
    <xdr:from>
      <xdr:col>29</xdr:col>
      <xdr:colOff>161925</xdr:colOff>
      <xdr:row>0</xdr:row>
      <xdr:rowOff>0</xdr:rowOff>
    </xdr:from>
    <xdr:to>
      <xdr:col>30</xdr:col>
      <xdr:colOff>554356</xdr:colOff>
      <xdr:row>0</xdr:row>
      <xdr:rowOff>209550</xdr:rowOff>
    </xdr:to>
    <xdr:sp macro="" textlink="">
      <xdr:nvSpPr>
        <xdr:cNvPr id="3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ChangeArrowheads="1"/>
        </xdr:cNvSpPr>
      </xdr:nvSpPr>
      <xdr:spPr bwMode="auto">
        <a:xfrm>
          <a:off x="9248775" y="0"/>
          <a:ext cx="96393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95249</xdr:colOff>
      <xdr:row>0</xdr:row>
      <xdr:rowOff>38101</xdr:rowOff>
    </xdr:from>
    <xdr:ext cx="1066801" cy="209550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ChangeArrowheads="1"/>
        </xdr:cNvSpPr>
      </xdr:nvSpPr>
      <xdr:spPr bwMode="auto">
        <a:xfrm>
          <a:off x="16592549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one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11</xdr:row>
      <xdr:rowOff>78923</xdr:rowOff>
    </xdr:from>
    <xdr:to>
      <xdr:col>3</xdr:col>
      <xdr:colOff>977712</xdr:colOff>
      <xdr:row>24</xdr:row>
      <xdr:rowOff>123825</xdr:rowOff>
    </xdr:to>
    <xdr:graphicFrame macro="">
      <xdr:nvGraphicFramePr>
        <xdr:cNvPr id="81239" name="Chart 2">
          <a:extLst>
            <a:ext uri="{FF2B5EF4-FFF2-40B4-BE49-F238E27FC236}">
              <a16:creationId xmlns:a16="http://schemas.microsoft.com/office/drawing/2014/main" id="{00000000-0008-0000-1D00-0000573D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695324</xdr:colOff>
      <xdr:row>0</xdr:row>
      <xdr:rowOff>38101</xdr:rowOff>
    </xdr:from>
    <xdr:to>
      <xdr:col>7</xdr:col>
      <xdr:colOff>1762125</xdr:colOff>
      <xdr:row>1</xdr:row>
      <xdr:rowOff>19051</xdr:rowOff>
    </xdr:to>
    <xdr:sp macro="" textlink="">
      <xdr:nvSpPr>
        <xdr:cNvPr id="5" name="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Arrowheads="1"/>
        </xdr:cNvSpPr>
      </xdr:nvSpPr>
      <xdr:spPr bwMode="auto">
        <a:xfrm>
          <a:off x="9534524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819150</xdr:colOff>
      <xdr:row>0</xdr:row>
      <xdr:rowOff>38101</xdr:rowOff>
    </xdr:from>
    <xdr:to>
      <xdr:col>10</xdr:col>
      <xdr:colOff>180976</xdr:colOff>
      <xdr:row>1</xdr:row>
      <xdr:rowOff>19051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ChangeArrowheads="1"/>
        </xdr:cNvSpPr>
      </xdr:nvSpPr>
      <xdr:spPr bwMode="auto">
        <a:xfrm>
          <a:off x="6124575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133349</xdr:colOff>
      <xdr:row>0</xdr:row>
      <xdr:rowOff>38101</xdr:rowOff>
    </xdr:from>
    <xdr:to>
      <xdr:col>17</xdr:col>
      <xdr:colOff>590550</xdr:colOff>
      <xdr:row>1</xdr:row>
      <xdr:rowOff>19051</xdr:rowOff>
    </xdr:to>
    <xdr:sp macro="" textlink="">
      <xdr:nvSpPr>
        <xdr:cNvPr id="4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>
          <a:spLocks noChangeArrowheads="1"/>
        </xdr:cNvSpPr>
      </xdr:nvSpPr>
      <xdr:spPr bwMode="auto">
        <a:xfrm>
          <a:off x="11715749" y="38101"/>
          <a:ext cx="1066801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Go to Index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360000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94A4-0C16-42CD-B923-1CC613C16902}">
  <sheetPr codeName="Sheet3"/>
  <dimension ref="A1:H414"/>
  <sheetViews>
    <sheetView topLeftCell="A85" workbookViewId="0">
      <selection activeCell="H22" sqref="H22"/>
    </sheetView>
  </sheetViews>
  <sheetFormatPr baseColWidth="10" defaultColWidth="8.85546875" defaultRowHeight="12.75"/>
  <cols>
    <col min="1" max="1" width="25.7109375" style="2077" customWidth="1"/>
    <col min="2" max="5" width="8.85546875" style="2077"/>
    <col min="6" max="6" width="18.7109375" style="2077" customWidth="1"/>
    <col min="7" max="16384" width="8.85546875" style="2077"/>
  </cols>
  <sheetData>
    <row r="1" spans="1:8" ht="31.9" customHeight="1">
      <c r="A1" s="2075"/>
      <c r="B1" s="2076"/>
      <c r="C1" s="2076"/>
      <c r="D1" s="2076"/>
      <c r="E1" s="2076"/>
      <c r="F1" s="2076"/>
      <c r="G1" s="2076"/>
      <c r="H1" s="2076"/>
    </row>
    <row r="2" spans="1:8">
      <c r="A2" s="2078" t="s">
        <v>1635</v>
      </c>
      <c r="B2" s="2076"/>
      <c r="C2" s="2076"/>
      <c r="D2" s="2076"/>
      <c r="E2" s="2076"/>
      <c r="F2" s="2076"/>
      <c r="G2" s="2076"/>
      <c r="H2" s="2076"/>
    </row>
    <row r="3" spans="1:8">
      <c r="A3" s="2078" t="s">
        <v>1636</v>
      </c>
      <c r="B3" s="2076"/>
      <c r="C3" s="2076"/>
      <c r="D3" s="2076"/>
      <c r="E3" s="2076"/>
      <c r="F3" s="2076"/>
      <c r="G3" s="2076"/>
      <c r="H3" s="2076"/>
    </row>
    <row r="4" spans="1:8">
      <c r="A4" s="2078" t="s">
        <v>1637</v>
      </c>
      <c r="B4" s="2076"/>
      <c r="C4" s="2076"/>
      <c r="D4" s="2076"/>
      <c r="E4" s="2076"/>
      <c r="F4" s="2076"/>
      <c r="G4" s="2076"/>
      <c r="H4" s="2076"/>
    </row>
    <row r="5" spans="1:8">
      <c r="A5" s="2078" t="s">
        <v>1638</v>
      </c>
      <c r="B5" s="2076"/>
      <c r="C5" s="2076"/>
      <c r="D5" s="2076"/>
      <c r="E5" s="2076"/>
      <c r="F5" s="2076"/>
      <c r="G5" s="2076"/>
      <c r="H5" s="2076"/>
    </row>
    <row r="6" spans="1:8">
      <c r="A6" s="2078"/>
      <c r="B6" s="2076"/>
      <c r="C6" s="2076"/>
      <c r="D6" s="2076"/>
      <c r="E6" s="2076"/>
      <c r="F6" s="2076"/>
      <c r="G6" s="2076"/>
      <c r="H6" s="2076"/>
    </row>
    <row r="7" spans="1:8">
      <c r="A7" s="2078" t="s">
        <v>1639</v>
      </c>
      <c r="B7" s="2076"/>
      <c r="C7" s="2076"/>
      <c r="D7" s="2076"/>
      <c r="E7" s="2076"/>
      <c r="F7" s="2076"/>
      <c r="G7" s="2076"/>
      <c r="H7" s="2076"/>
    </row>
    <row r="8" spans="1:8">
      <c r="A8" s="2078" t="s">
        <v>1640</v>
      </c>
      <c r="B8" s="2076"/>
      <c r="C8" s="2076"/>
      <c r="D8" s="2076"/>
      <c r="E8" s="2076"/>
      <c r="F8" s="2076"/>
      <c r="G8" s="2076"/>
      <c r="H8" s="2076"/>
    </row>
    <row r="9" spans="1:8">
      <c r="A9" s="2078"/>
      <c r="B9" s="2076"/>
      <c r="C9" s="2076"/>
      <c r="D9" s="2076"/>
      <c r="E9" s="2076"/>
      <c r="F9" s="2076"/>
      <c r="G9" s="2076"/>
      <c r="H9" s="2076"/>
    </row>
    <row r="10" spans="1:8">
      <c r="A10" s="2078" t="s">
        <v>1641</v>
      </c>
      <c r="B10" s="2076"/>
      <c r="C10" s="2076"/>
      <c r="D10" s="2076"/>
      <c r="E10" s="2076"/>
      <c r="F10" s="2076"/>
      <c r="G10" s="2076"/>
      <c r="H10" s="2076"/>
    </row>
    <row r="11" spans="1:8">
      <c r="A11" s="2078" t="s">
        <v>1642</v>
      </c>
      <c r="B11" s="2076"/>
      <c r="C11" s="2076"/>
      <c r="D11" s="2076"/>
      <c r="E11" s="2076"/>
      <c r="F11" s="2076"/>
      <c r="G11" s="2076"/>
      <c r="H11" s="2076"/>
    </row>
    <row r="12" spans="1:8">
      <c r="A12" s="2078" t="s">
        <v>1643</v>
      </c>
      <c r="B12" s="2076"/>
      <c r="C12" s="2076"/>
      <c r="D12" s="2076"/>
      <c r="E12" s="2076"/>
      <c r="F12" s="2076"/>
      <c r="G12" s="2076"/>
      <c r="H12" s="2076"/>
    </row>
    <row r="13" spans="1:8">
      <c r="A13" s="2078" t="s">
        <v>1644</v>
      </c>
      <c r="B13" s="2076"/>
      <c r="C13" s="2076"/>
      <c r="D13" s="2076"/>
      <c r="E13" s="2076"/>
      <c r="F13" s="2076"/>
      <c r="G13" s="2076"/>
      <c r="H13" s="2076"/>
    </row>
    <row r="14" spans="1:8">
      <c r="A14" s="2078" t="s">
        <v>1645</v>
      </c>
      <c r="B14" s="2076"/>
      <c r="C14" s="2076"/>
      <c r="D14" s="2076"/>
      <c r="E14" s="2076"/>
      <c r="F14" s="2076"/>
      <c r="G14" s="2076"/>
      <c r="H14" s="2076"/>
    </row>
    <row r="15" spans="1:8">
      <c r="A15" s="2078" t="s">
        <v>2011</v>
      </c>
      <c r="B15" s="2076"/>
      <c r="C15" s="2076"/>
      <c r="D15" s="2076"/>
      <c r="E15" s="2076"/>
      <c r="F15" s="2076"/>
      <c r="G15" s="2076"/>
      <c r="H15" s="2076"/>
    </row>
    <row r="16" spans="1:8">
      <c r="A16" s="2078"/>
      <c r="B16" s="2076"/>
      <c r="C16" s="2076"/>
      <c r="D16" s="2076"/>
      <c r="E16" s="2076"/>
      <c r="F16" s="2076"/>
      <c r="G16" s="2076"/>
      <c r="H16" s="2076"/>
    </row>
    <row r="17" spans="1:8">
      <c r="A17" s="2078" t="s">
        <v>1646</v>
      </c>
      <c r="B17" s="2076"/>
      <c r="C17" s="2076"/>
      <c r="D17" s="2076"/>
      <c r="E17" s="2076"/>
      <c r="F17" s="2076"/>
      <c r="G17" s="2076"/>
      <c r="H17" s="2076"/>
    </row>
    <row r="18" spans="1:8">
      <c r="A18" s="2078"/>
      <c r="B18" s="2076"/>
      <c r="C18" s="2076"/>
      <c r="D18" s="2076"/>
      <c r="E18" s="2076"/>
      <c r="F18" s="2076"/>
      <c r="G18" s="2076"/>
      <c r="H18" s="2076"/>
    </row>
    <row r="19" spans="1:8">
      <c r="A19" s="2078" t="s">
        <v>1647</v>
      </c>
      <c r="B19" s="2076"/>
      <c r="C19" s="2076"/>
      <c r="D19" s="2076"/>
      <c r="E19" s="2076"/>
      <c r="F19" s="2076"/>
      <c r="G19" s="2076"/>
      <c r="H19" s="2076"/>
    </row>
    <row r="20" spans="1:8">
      <c r="A20" s="2078"/>
      <c r="B20" s="2076"/>
      <c r="C20" s="2076"/>
      <c r="D20" s="2076"/>
      <c r="E20" s="2076"/>
      <c r="F20" s="2076"/>
      <c r="G20" s="2076"/>
      <c r="H20" s="2076"/>
    </row>
    <row r="21" spans="1:8">
      <c r="A21" s="2079" t="s">
        <v>1648</v>
      </c>
      <c r="B21" s="2076"/>
      <c r="C21" s="2076"/>
      <c r="D21" s="2076"/>
      <c r="E21" s="2076"/>
      <c r="F21" s="2076"/>
      <c r="G21" s="2076"/>
      <c r="H21" s="2076"/>
    </row>
    <row r="22" spans="1:8">
      <c r="A22" s="2076"/>
      <c r="B22" s="2076"/>
      <c r="C22" s="2076"/>
      <c r="D22" s="2076"/>
      <c r="E22" s="2076"/>
      <c r="F22" s="2076"/>
      <c r="G22" s="2076"/>
      <c r="H22" s="2076"/>
    </row>
    <row r="23" spans="1:8">
      <c r="A23" s="2080" t="s">
        <v>1932</v>
      </c>
      <c r="B23" s="2076"/>
      <c r="C23" s="2076"/>
      <c r="D23" s="2076"/>
      <c r="E23" s="2076"/>
      <c r="F23" s="2076"/>
      <c r="G23" s="2076"/>
      <c r="H23" s="2076"/>
    </row>
    <row r="24" spans="1:8">
      <c r="A24" s="2080" t="s">
        <v>1933</v>
      </c>
      <c r="B24" s="2076"/>
      <c r="C24" s="2076"/>
      <c r="D24" s="2076"/>
      <c r="E24" s="2076"/>
      <c r="F24" s="2076"/>
      <c r="G24" s="2076"/>
      <c r="H24" s="2076"/>
    </row>
    <row r="25" spans="1:8">
      <c r="A25" s="2080" t="s">
        <v>1934</v>
      </c>
      <c r="B25" s="2076"/>
      <c r="C25" s="2076"/>
      <c r="D25" s="2076"/>
      <c r="E25" s="2076"/>
      <c r="F25" s="2076"/>
      <c r="G25" s="2076"/>
      <c r="H25" s="2076"/>
    </row>
    <row r="26" spans="1:8">
      <c r="A26" s="2080" t="s">
        <v>1935</v>
      </c>
      <c r="B26" s="2076"/>
      <c r="C26" s="2076"/>
      <c r="D26" s="2076"/>
      <c r="E26" s="2076"/>
      <c r="F26" s="2076"/>
      <c r="G26" s="2076"/>
      <c r="H26" s="2076"/>
    </row>
    <row r="27" spans="1:8">
      <c r="A27" s="2076"/>
      <c r="B27" s="2076"/>
      <c r="C27" s="2076"/>
      <c r="D27" s="2076"/>
      <c r="E27" s="2076"/>
      <c r="F27" s="2076"/>
      <c r="G27" s="2076"/>
      <c r="H27" s="2076"/>
    </row>
    <row r="28" spans="1:8">
      <c r="A28" s="2076"/>
      <c r="B28" s="2076"/>
      <c r="C28" s="2076"/>
      <c r="D28" s="2076"/>
      <c r="E28" s="2076"/>
      <c r="F28" s="2076"/>
      <c r="G28" s="2076"/>
      <c r="H28" s="2076"/>
    </row>
    <row r="29" spans="1:8">
      <c r="A29" s="2080" t="s">
        <v>1927</v>
      </c>
      <c r="B29" s="2076"/>
      <c r="C29" s="2076"/>
      <c r="D29" s="2076"/>
      <c r="E29" s="2076"/>
      <c r="F29" s="2076"/>
      <c r="G29" s="2076"/>
      <c r="H29" s="2076"/>
    </row>
    <row r="30" spans="1:8">
      <c r="A30" s="2080" t="s">
        <v>1928</v>
      </c>
      <c r="B30" s="2076"/>
      <c r="C30" s="2076"/>
      <c r="D30" s="2076"/>
      <c r="E30" s="2076"/>
      <c r="F30" s="2076"/>
      <c r="G30" s="2076"/>
      <c r="H30" s="2076"/>
    </row>
    <row r="31" spans="1:8">
      <c r="A31" s="2080" t="s">
        <v>1929</v>
      </c>
      <c r="B31" s="2076"/>
      <c r="C31" s="2076"/>
      <c r="D31" s="2076"/>
      <c r="E31" s="2076"/>
      <c r="F31" s="2076"/>
      <c r="G31" s="2076"/>
      <c r="H31" s="2076"/>
    </row>
    <row r="32" spans="1:8">
      <c r="A32" s="2080" t="s">
        <v>1930</v>
      </c>
      <c r="B32" s="2076"/>
      <c r="C32" s="2076"/>
      <c r="D32" s="2076"/>
      <c r="E32" s="2076"/>
      <c r="F32" s="2076"/>
      <c r="G32" s="2076"/>
      <c r="H32" s="2076"/>
    </row>
    <row r="33" spans="1:8">
      <c r="A33" s="2080" t="s">
        <v>1931</v>
      </c>
      <c r="B33" s="2076"/>
      <c r="C33" s="2076"/>
      <c r="D33" s="2076"/>
      <c r="E33" s="2076"/>
      <c r="F33" s="2076"/>
      <c r="G33" s="2076"/>
      <c r="H33" s="2076"/>
    </row>
    <row r="34" spans="1:8">
      <c r="A34" s="2076"/>
      <c r="B34" s="2076"/>
      <c r="C34" s="2076"/>
      <c r="D34" s="2076"/>
      <c r="E34" s="2076"/>
      <c r="F34" s="2076"/>
      <c r="G34" s="2076"/>
      <c r="H34" s="2076"/>
    </row>
    <row r="35" spans="1:8">
      <c r="A35" s="2080" t="s">
        <v>1923</v>
      </c>
      <c r="B35" s="2076"/>
      <c r="C35" s="2076"/>
      <c r="D35" s="2076"/>
      <c r="E35" s="2076"/>
      <c r="F35" s="2076"/>
      <c r="G35" s="2076"/>
      <c r="H35" s="2076"/>
    </row>
    <row r="36" spans="1:8">
      <c r="A36" s="2080" t="s">
        <v>1924</v>
      </c>
      <c r="B36" s="2076"/>
      <c r="C36" s="2076"/>
      <c r="D36" s="2076"/>
      <c r="E36" s="2076"/>
      <c r="F36" s="2076"/>
      <c r="G36" s="2076"/>
      <c r="H36" s="2076"/>
    </row>
    <row r="37" spans="1:8">
      <c r="A37" s="2080" t="s">
        <v>1925</v>
      </c>
      <c r="B37" s="2076"/>
      <c r="C37" s="2076"/>
      <c r="D37" s="2076"/>
      <c r="E37" s="2076"/>
      <c r="F37" s="2076"/>
      <c r="G37" s="2076"/>
      <c r="H37" s="2076"/>
    </row>
    <row r="38" spans="1:8">
      <c r="A38" s="2080" t="s">
        <v>1926</v>
      </c>
      <c r="B38" s="2076"/>
      <c r="C38" s="2076"/>
      <c r="D38" s="2076"/>
      <c r="E38" s="2076"/>
      <c r="F38" s="2076"/>
      <c r="G38" s="2076"/>
      <c r="H38" s="2076"/>
    </row>
    <row r="39" spans="1:8">
      <c r="A39" s="2076"/>
      <c r="B39" s="2076"/>
      <c r="C39" s="2076"/>
      <c r="D39" s="2076"/>
      <c r="E39" s="2076"/>
      <c r="F39" s="2076"/>
      <c r="G39" s="2076"/>
      <c r="H39" s="2076"/>
    </row>
    <row r="40" spans="1:8">
      <c r="A40" s="2080" t="s">
        <v>1917</v>
      </c>
      <c r="B40" s="2076"/>
      <c r="C40" s="2076"/>
      <c r="D40" s="2076"/>
      <c r="E40" s="2076"/>
      <c r="F40" s="2076"/>
      <c r="G40" s="2076"/>
      <c r="H40" s="2076"/>
    </row>
    <row r="41" spans="1:8">
      <c r="A41" s="2080" t="s">
        <v>1918</v>
      </c>
      <c r="B41" s="2076"/>
      <c r="C41" s="2076"/>
      <c r="D41" s="2076"/>
      <c r="E41" s="2076"/>
      <c r="F41" s="2076"/>
      <c r="G41" s="2076"/>
      <c r="H41" s="2076"/>
    </row>
    <row r="42" spans="1:8">
      <c r="A42" s="2080" t="s">
        <v>1919</v>
      </c>
      <c r="B42" s="2076"/>
      <c r="C42" s="2076"/>
      <c r="D42" s="2076"/>
      <c r="E42" s="2076"/>
      <c r="F42" s="2076"/>
      <c r="G42" s="2076"/>
      <c r="H42" s="2076"/>
    </row>
    <row r="43" spans="1:8">
      <c r="A43" s="2080" t="s">
        <v>1920</v>
      </c>
      <c r="B43" s="2076"/>
      <c r="C43" s="2076"/>
      <c r="D43" s="2076"/>
      <c r="E43" s="2076"/>
      <c r="F43" s="2076"/>
      <c r="G43" s="2076"/>
      <c r="H43" s="2076"/>
    </row>
    <row r="44" spans="1:8">
      <c r="A44" s="2080" t="s">
        <v>1921</v>
      </c>
      <c r="B44" s="2076"/>
      <c r="C44" s="2076"/>
      <c r="D44" s="2076"/>
      <c r="E44" s="2076"/>
      <c r="F44" s="2076"/>
      <c r="G44" s="2076"/>
      <c r="H44" s="2076"/>
    </row>
    <row r="45" spans="1:8">
      <c r="A45" s="2080" t="s">
        <v>1922</v>
      </c>
      <c r="B45" s="2076"/>
      <c r="C45" s="2076"/>
      <c r="D45" s="2076"/>
      <c r="E45" s="2076"/>
      <c r="F45" s="2076"/>
      <c r="G45" s="2076"/>
      <c r="H45" s="2076"/>
    </row>
    <row r="46" spans="1:8">
      <c r="A46" s="2076"/>
      <c r="B46" s="2076"/>
      <c r="C46" s="2076"/>
      <c r="D46" s="2076"/>
      <c r="E46" s="2076"/>
      <c r="F46" s="2076"/>
      <c r="G46" s="2076"/>
      <c r="H46" s="2076"/>
    </row>
    <row r="47" spans="1:8" ht="15.75">
      <c r="A47" s="2081" t="s">
        <v>434</v>
      </c>
      <c r="B47" s="2076"/>
      <c r="C47" s="2076"/>
      <c r="D47" s="2076"/>
      <c r="E47" s="2076"/>
      <c r="F47" s="2076"/>
      <c r="G47" s="2076"/>
      <c r="H47" s="2076"/>
    </row>
    <row r="48" spans="1:8">
      <c r="A48" s="2076"/>
      <c r="B48" s="2076"/>
      <c r="C48" s="2076"/>
      <c r="D48" s="2076"/>
      <c r="E48" s="2076"/>
      <c r="F48" s="2076"/>
      <c r="G48" s="2076"/>
      <c r="H48" s="2076"/>
    </row>
    <row r="49" spans="1:8">
      <c r="A49" s="2080" t="s">
        <v>1913</v>
      </c>
      <c r="B49" s="2076"/>
      <c r="C49" s="2076"/>
      <c r="D49" s="2076"/>
      <c r="E49" s="2076"/>
      <c r="F49" s="2076"/>
      <c r="G49" s="2076"/>
      <c r="H49" s="2076"/>
    </row>
    <row r="50" spans="1:8">
      <c r="A50" s="2080" t="s">
        <v>1914</v>
      </c>
      <c r="B50" s="2076"/>
      <c r="C50" s="2076"/>
      <c r="D50" s="2076"/>
      <c r="E50" s="2076"/>
      <c r="F50" s="2076"/>
      <c r="G50" s="2076"/>
      <c r="H50" s="2076"/>
    </row>
    <row r="51" spans="1:8">
      <c r="A51" s="2080" t="s">
        <v>1915</v>
      </c>
      <c r="B51" s="2076"/>
      <c r="C51" s="2076"/>
      <c r="D51" s="2076"/>
      <c r="E51" s="2076"/>
      <c r="F51" s="2076"/>
      <c r="G51" s="2076"/>
      <c r="H51" s="2076"/>
    </row>
    <row r="52" spans="1:8">
      <c r="A52" s="2080" t="s">
        <v>1916</v>
      </c>
      <c r="B52" s="2076"/>
      <c r="C52" s="2076"/>
      <c r="D52" s="2076"/>
      <c r="E52" s="2076"/>
      <c r="F52" s="2076"/>
      <c r="G52" s="2076"/>
      <c r="H52" s="2076"/>
    </row>
    <row r="53" spans="1:8">
      <c r="A53" s="2076"/>
      <c r="B53" s="2076"/>
      <c r="C53" s="2076"/>
      <c r="D53" s="2076"/>
      <c r="E53" s="2076"/>
      <c r="F53" s="2076"/>
      <c r="G53" s="2076"/>
      <c r="H53" s="2076"/>
    </row>
    <row r="54" spans="1:8">
      <c r="A54" s="2080" t="s">
        <v>449</v>
      </c>
      <c r="B54" s="2076"/>
      <c r="C54" s="2076"/>
      <c r="D54" s="2076"/>
      <c r="E54" s="2076"/>
      <c r="F54" s="2076"/>
      <c r="G54" s="2076"/>
      <c r="H54" s="2076"/>
    </row>
    <row r="55" spans="1:8">
      <c r="A55" s="2076"/>
      <c r="B55" s="2076"/>
      <c r="C55" s="2076"/>
      <c r="D55" s="2076"/>
      <c r="E55" s="2076"/>
      <c r="F55" s="2076"/>
      <c r="G55" s="2076"/>
      <c r="H55" s="2076"/>
    </row>
    <row r="56" spans="1:8" ht="15.75">
      <c r="A56" s="2081" t="s">
        <v>435</v>
      </c>
      <c r="B56" s="2076"/>
      <c r="C56" s="2076"/>
      <c r="D56" s="2076"/>
      <c r="E56" s="2076"/>
      <c r="F56" s="2076"/>
      <c r="G56" s="2076"/>
      <c r="H56" s="2076"/>
    </row>
    <row r="57" spans="1:8">
      <c r="A57" s="2076"/>
      <c r="B57" s="2076"/>
      <c r="C57" s="2076"/>
      <c r="D57" s="2076"/>
      <c r="E57" s="2076"/>
      <c r="F57" s="2076"/>
      <c r="G57" s="2076"/>
      <c r="H57" s="2076"/>
    </row>
    <row r="58" spans="1:8">
      <c r="A58" s="2080" t="s">
        <v>1910</v>
      </c>
      <c r="B58" s="2076"/>
      <c r="C58" s="2076"/>
      <c r="D58" s="2076"/>
      <c r="E58" s="2076"/>
      <c r="F58" s="2076"/>
      <c r="G58" s="2076"/>
      <c r="H58" s="2076"/>
    </row>
    <row r="59" spans="1:8">
      <c r="A59" s="2080" t="s">
        <v>1911</v>
      </c>
      <c r="B59" s="2076"/>
      <c r="C59" s="2076"/>
      <c r="D59" s="2076"/>
      <c r="E59" s="2076"/>
      <c r="F59" s="2076"/>
      <c r="G59" s="2076"/>
      <c r="H59" s="2076"/>
    </row>
    <row r="60" spans="1:8">
      <c r="A60" s="2080" t="s">
        <v>1912</v>
      </c>
      <c r="B60" s="2076"/>
      <c r="C60" s="2076"/>
      <c r="D60" s="2076"/>
      <c r="E60" s="2076"/>
      <c r="F60" s="2076"/>
      <c r="G60" s="2076"/>
      <c r="H60" s="2076"/>
    </row>
    <row r="61" spans="1:8">
      <c r="A61" s="2076"/>
      <c r="B61" s="2076"/>
      <c r="C61" s="2076"/>
      <c r="D61" s="2076"/>
      <c r="E61" s="2076"/>
      <c r="F61" s="2076"/>
      <c r="G61" s="2076"/>
      <c r="H61" s="2076"/>
    </row>
    <row r="62" spans="1:8" ht="15.75">
      <c r="A62" s="2081" t="s">
        <v>1649</v>
      </c>
      <c r="B62" s="2076"/>
      <c r="C62" s="2076"/>
      <c r="D62" s="2076"/>
      <c r="E62" s="2076"/>
      <c r="F62" s="2076"/>
      <c r="G62" s="2076"/>
      <c r="H62" s="2076"/>
    </row>
    <row r="63" spans="1:8">
      <c r="A63" s="2080" t="s">
        <v>1907</v>
      </c>
      <c r="B63" s="2076"/>
      <c r="C63" s="2076"/>
      <c r="D63" s="2076"/>
      <c r="E63" s="2076"/>
      <c r="F63" s="2076"/>
      <c r="G63" s="2076"/>
      <c r="H63" s="2076"/>
    </row>
    <row r="64" spans="1:8">
      <c r="A64" s="2080" t="s">
        <v>1908</v>
      </c>
      <c r="B64" s="2076"/>
      <c r="C64" s="2076"/>
      <c r="D64" s="2076"/>
      <c r="E64" s="2076"/>
      <c r="F64" s="2076"/>
      <c r="G64" s="2076"/>
      <c r="H64" s="2076"/>
    </row>
    <row r="65" spans="1:8">
      <c r="A65" s="2080" t="s">
        <v>1909</v>
      </c>
      <c r="B65" s="2076"/>
      <c r="C65" s="2076"/>
      <c r="D65" s="2076"/>
      <c r="E65" s="2076"/>
      <c r="F65" s="2076"/>
      <c r="G65" s="2076"/>
      <c r="H65" s="2076"/>
    </row>
    <row r="66" spans="1:8">
      <c r="A66" s="2076"/>
      <c r="B66" s="2076"/>
      <c r="C66" s="2076"/>
      <c r="D66" s="2076"/>
      <c r="E66" s="2076"/>
      <c r="F66" s="2076"/>
      <c r="G66" s="2076"/>
      <c r="H66" s="2076"/>
    </row>
    <row r="67" spans="1:8">
      <c r="A67" s="2080" t="s">
        <v>1905</v>
      </c>
      <c r="B67" s="2076"/>
      <c r="C67" s="2076"/>
      <c r="D67" s="2076"/>
      <c r="E67" s="2076"/>
      <c r="F67" s="2076"/>
      <c r="G67" s="2076"/>
      <c r="H67" s="2076"/>
    </row>
    <row r="68" spans="1:8">
      <c r="A68" s="2080" t="s">
        <v>1906</v>
      </c>
      <c r="B68" s="2076"/>
      <c r="C68" s="2076"/>
      <c r="D68" s="2076"/>
      <c r="E68" s="2076"/>
      <c r="F68" s="2076"/>
      <c r="G68" s="2076"/>
      <c r="H68" s="2076"/>
    </row>
    <row r="69" spans="1:8">
      <c r="A69" s="2076"/>
      <c r="B69" s="2076"/>
      <c r="C69" s="2076"/>
      <c r="D69" s="2076"/>
      <c r="E69" s="2076"/>
      <c r="F69" s="2076"/>
      <c r="G69" s="2076"/>
      <c r="H69" s="2076"/>
    </row>
    <row r="70" spans="1:8">
      <c r="A70" s="2080" t="s">
        <v>1903</v>
      </c>
      <c r="B70" s="2076"/>
      <c r="C70" s="2076"/>
      <c r="D70" s="2076"/>
      <c r="E70" s="2076"/>
      <c r="F70" s="2076"/>
      <c r="G70" s="2076"/>
      <c r="H70" s="2076"/>
    </row>
    <row r="71" spans="1:8">
      <c r="A71" s="2080" t="s">
        <v>1904</v>
      </c>
      <c r="B71" s="2076"/>
      <c r="C71" s="2076"/>
      <c r="D71" s="2076"/>
      <c r="E71" s="2076"/>
      <c r="F71" s="2076"/>
      <c r="G71" s="2076"/>
      <c r="H71" s="2076"/>
    </row>
    <row r="72" spans="1:8">
      <c r="A72" s="2076"/>
      <c r="B72" s="2076"/>
      <c r="C72" s="2076"/>
      <c r="D72" s="2076"/>
      <c r="E72" s="2076"/>
      <c r="F72" s="2076"/>
      <c r="G72" s="2076"/>
      <c r="H72" s="2076"/>
    </row>
    <row r="73" spans="1:8">
      <c r="A73" s="2080" t="s">
        <v>1901</v>
      </c>
      <c r="B73" s="2076"/>
      <c r="C73" s="2076"/>
      <c r="D73" s="2076"/>
      <c r="E73" s="2076"/>
      <c r="F73" s="2076"/>
      <c r="G73" s="2076"/>
      <c r="H73" s="2076"/>
    </row>
    <row r="74" spans="1:8">
      <c r="A74" s="2080" t="s">
        <v>1902</v>
      </c>
      <c r="B74" s="2076"/>
      <c r="C74" s="2076"/>
      <c r="D74" s="2076"/>
      <c r="E74" s="2076"/>
      <c r="F74" s="2076"/>
      <c r="G74" s="2076"/>
      <c r="H74" s="2076"/>
    </row>
    <row r="75" spans="1:8">
      <c r="A75" s="2076"/>
      <c r="B75" s="2076"/>
      <c r="C75" s="2076"/>
      <c r="D75" s="2076"/>
      <c r="E75" s="2076"/>
      <c r="F75" s="2076"/>
      <c r="G75" s="2076"/>
      <c r="H75" s="2076"/>
    </row>
    <row r="76" spans="1:8">
      <c r="A76" s="2080" t="s">
        <v>1896</v>
      </c>
      <c r="B76" s="2076"/>
      <c r="C76" s="2076"/>
      <c r="D76" s="2076"/>
      <c r="E76" s="2076"/>
      <c r="F76" s="2076"/>
      <c r="G76" s="2076"/>
      <c r="H76" s="2076"/>
    </row>
    <row r="77" spans="1:8">
      <c r="A77" s="2080" t="s">
        <v>1897</v>
      </c>
      <c r="B77" s="2076"/>
      <c r="C77" s="2076"/>
      <c r="D77" s="2076"/>
      <c r="E77" s="2076"/>
      <c r="F77" s="2076"/>
      <c r="G77" s="2076"/>
      <c r="H77" s="2076"/>
    </row>
    <row r="78" spans="1:8">
      <c r="A78" s="2080" t="s">
        <v>1898</v>
      </c>
      <c r="B78" s="2076"/>
      <c r="C78" s="2076"/>
      <c r="D78" s="2076"/>
      <c r="E78" s="2076"/>
      <c r="F78" s="2076"/>
      <c r="G78" s="2076"/>
      <c r="H78" s="2076"/>
    </row>
    <row r="79" spans="1:8">
      <c r="A79" s="2080" t="s">
        <v>1899</v>
      </c>
      <c r="B79" s="2076"/>
      <c r="C79" s="2076"/>
      <c r="D79" s="2076"/>
      <c r="E79" s="2076"/>
      <c r="F79" s="2076"/>
      <c r="G79" s="2076"/>
      <c r="H79" s="2076"/>
    </row>
    <row r="80" spans="1:8">
      <c r="A80" s="2080" t="s">
        <v>1900</v>
      </c>
      <c r="B80" s="2076"/>
      <c r="C80" s="2076"/>
      <c r="D80" s="2076"/>
      <c r="E80" s="2076"/>
      <c r="F80" s="2076"/>
      <c r="G80" s="2076"/>
      <c r="H80" s="2076"/>
    </row>
    <row r="81" spans="1:8">
      <c r="A81" s="2080" t="s">
        <v>1783</v>
      </c>
      <c r="B81" s="2076"/>
      <c r="C81" s="2076"/>
      <c r="D81" s="2076"/>
      <c r="E81" s="2076"/>
      <c r="F81" s="2076"/>
      <c r="G81" s="2076"/>
      <c r="H81" s="2076"/>
    </row>
    <row r="82" spans="1:8">
      <c r="A82" s="2076"/>
      <c r="B82" s="2076"/>
      <c r="C82" s="2076"/>
      <c r="D82" s="2076"/>
      <c r="E82" s="2076"/>
      <c r="F82" s="2076"/>
      <c r="G82" s="2076"/>
      <c r="H82" s="2076"/>
    </row>
    <row r="83" spans="1:8">
      <c r="A83" s="2080" t="s">
        <v>1889</v>
      </c>
      <c r="B83" s="2076"/>
      <c r="C83" s="2076"/>
      <c r="D83" s="2076"/>
      <c r="E83" s="2076"/>
      <c r="F83" s="2076"/>
      <c r="G83" s="2076"/>
      <c r="H83" s="2076"/>
    </row>
    <row r="84" spans="1:8">
      <c r="A84" s="2080" t="s">
        <v>1890</v>
      </c>
      <c r="B84" s="2076"/>
      <c r="C84" s="2076"/>
      <c r="D84" s="2076"/>
      <c r="E84" s="2076"/>
      <c r="F84" s="2076"/>
      <c r="G84" s="2076"/>
      <c r="H84" s="2076"/>
    </row>
    <row r="85" spans="1:8">
      <c r="A85" s="2080" t="s">
        <v>1891</v>
      </c>
      <c r="B85" s="2076"/>
      <c r="C85" s="2076"/>
      <c r="D85" s="2076"/>
      <c r="E85" s="2076"/>
      <c r="F85" s="2076"/>
      <c r="G85" s="2076"/>
      <c r="H85" s="2076"/>
    </row>
    <row r="86" spans="1:8">
      <c r="A86" s="2080" t="s">
        <v>1892</v>
      </c>
      <c r="B86" s="2076"/>
      <c r="C86" s="2076"/>
      <c r="D86" s="2076"/>
      <c r="E86" s="2076"/>
      <c r="F86" s="2076"/>
      <c r="G86" s="2076"/>
      <c r="H86" s="2076"/>
    </row>
    <row r="87" spans="1:8">
      <c r="A87" s="2080" t="s">
        <v>1893</v>
      </c>
      <c r="B87" s="2076"/>
      <c r="C87" s="2076"/>
      <c r="D87" s="2076"/>
      <c r="E87" s="2076"/>
      <c r="F87" s="2076"/>
      <c r="G87" s="2076"/>
      <c r="H87" s="2076"/>
    </row>
    <row r="88" spans="1:8">
      <c r="A88" s="2080" t="s">
        <v>1894</v>
      </c>
      <c r="B88" s="2076"/>
      <c r="C88" s="2076"/>
      <c r="D88" s="2076"/>
      <c r="E88" s="2076"/>
      <c r="F88" s="2076"/>
      <c r="G88" s="2076"/>
      <c r="H88" s="2076"/>
    </row>
    <row r="89" spans="1:8">
      <c r="A89" s="2080" t="s">
        <v>1895</v>
      </c>
      <c r="B89" s="2076"/>
      <c r="C89" s="2076"/>
      <c r="D89" s="2076"/>
      <c r="E89" s="2076"/>
      <c r="F89" s="2076"/>
      <c r="G89" s="2076"/>
      <c r="H89" s="2076"/>
    </row>
    <row r="90" spans="1:8">
      <c r="A90" s="2076"/>
      <c r="B90" s="2076"/>
      <c r="C90" s="2076"/>
      <c r="D90" s="2076"/>
      <c r="E90" s="2076"/>
      <c r="F90" s="2076"/>
      <c r="G90" s="2076"/>
      <c r="H90" s="2076"/>
    </row>
    <row r="91" spans="1:8">
      <c r="A91" s="2080" t="s">
        <v>1887</v>
      </c>
      <c r="B91" s="2076"/>
      <c r="C91" s="2076"/>
      <c r="D91" s="2076"/>
      <c r="E91" s="2076"/>
      <c r="F91" s="2076"/>
      <c r="G91" s="2076"/>
      <c r="H91" s="2076"/>
    </row>
    <row r="92" spans="1:8">
      <c r="A92" s="2080" t="s">
        <v>1888</v>
      </c>
      <c r="B92" s="2076"/>
      <c r="C92" s="2076"/>
      <c r="D92" s="2076"/>
      <c r="E92" s="2076"/>
      <c r="F92" s="2076"/>
      <c r="G92" s="2076"/>
      <c r="H92" s="2076"/>
    </row>
    <row r="93" spans="1:8">
      <c r="A93" s="2076"/>
      <c r="B93" s="2076"/>
      <c r="C93" s="2076"/>
      <c r="D93" s="2076"/>
      <c r="E93" s="2076"/>
      <c r="F93" s="2076"/>
      <c r="G93" s="2076"/>
      <c r="H93" s="2076"/>
    </row>
    <row r="94" spans="1:8" ht="15.75">
      <c r="A94" s="2081" t="s">
        <v>436</v>
      </c>
      <c r="B94" s="2076"/>
      <c r="C94" s="2076"/>
      <c r="D94" s="2076"/>
      <c r="E94" s="2076"/>
      <c r="F94" s="2076"/>
      <c r="G94" s="2076"/>
      <c r="H94" s="2076"/>
    </row>
    <row r="95" spans="1:8">
      <c r="A95" s="2076"/>
      <c r="B95" s="2076"/>
      <c r="C95" s="2076"/>
      <c r="D95" s="2076"/>
      <c r="E95" s="2076"/>
      <c r="F95" s="2076"/>
      <c r="G95" s="2076"/>
      <c r="H95" s="2076"/>
    </row>
    <row r="96" spans="1:8">
      <c r="A96" s="2080" t="s">
        <v>1878</v>
      </c>
      <c r="B96" s="2076"/>
      <c r="C96" s="2076"/>
      <c r="D96" s="2076"/>
      <c r="E96" s="2076"/>
      <c r="F96" s="2076"/>
      <c r="G96" s="2076"/>
      <c r="H96" s="2076"/>
    </row>
    <row r="97" spans="1:8">
      <c r="A97" s="2080" t="s">
        <v>1879</v>
      </c>
      <c r="B97" s="2076"/>
      <c r="C97" s="2076"/>
      <c r="D97" s="2076"/>
      <c r="E97" s="2076"/>
      <c r="F97" s="2076"/>
      <c r="G97" s="2076"/>
      <c r="H97" s="2076"/>
    </row>
    <row r="98" spans="1:8">
      <c r="A98" s="2080" t="s">
        <v>1880</v>
      </c>
      <c r="B98" s="2076"/>
      <c r="C98" s="2076"/>
      <c r="D98" s="2076"/>
      <c r="E98" s="2076"/>
      <c r="F98" s="2076"/>
      <c r="G98" s="2076"/>
      <c r="H98" s="2076"/>
    </row>
    <row r="99" spans="1:8">
      <c r="A99" s="2080" t="s">
        <v>1881</v>
      </c>
      <c r="B99" s="2076"/>
      <c r="C99" s="2076"/>
      <c r="D99" s="2076"/>
      <c r="E99" s="2076"/>
      <c r="F99" s="2076"/>
      <c r="G99" s="2076"/>
      <c r="H99" s="2076"/>
    </row>
    <row r="100" spans="1:8">
      <c r="A100" s="2080" t="s">
        <v>1882</v>
      </c>
      <c r="B100" s="2076"/>
      <c r="C100" s="2076"/>
      <c r="D100" s="2076"/>
      <c r="E100" s="2076"/>
      <c r="F100" s="2076"/>
      <c r="G100" s="2076"/>
      <c r="H100" s="2076"/>
    </row>
    <row r="101" spans="1:8">
      <c r="A101" s="2080" t="s">
        <v>1883</v>
      </c>
      <c r="B101" s="2076"/>
      <c r="C101" s="2076"/>
      <c r="D101" s="2076"/>
      <c r="E101" s="2076"/>
      <c r="F101" s="2076"/>
      <c r="G101" s="2076"/>
      <c r="H101" s="2076"/>
    </row>
    <row r="102" spans="1:8">
      <c r="A102" s="2080" t="s">
        <v>1884</v>
      </c>
      <c r="B102" s="2076"/>
      <c r="C102" s="2076"/>
      <c r="D102" s="2076"/>
      <c r="E102" s="2076"/>
      <c r="F102" s="2076"/>
      <c r="G102" s="2076"/>
      <c r="H102" s="2076"/>
    </row>
    <row r="103" spans="1:8">
      <c r="A103" s="2080" t="s">
        <v>1885</v>
      </c>
      <c r="B103" s="2076"/>
      <c r="C103" s="2076"/>
      <c r="D103" s="2076"/>
      <c r="E103" s="2076"/>
      <c r="F103" s="2076"/>
      <c r="G103" s="2076"/>
      <c r="H103" s="2076"/>
    </row>
    <row r="104" spans="1:8">
      <c r="A104" s="2080" t="s">
        <v>1886</v>
      </c>
      <c r="B104" s="2076"/>
      <c r="C104" s="2076"/>
      <c r="D104" s="2076"/>
      <c r="E104" s="2076"/>
      <c r="F104" s="2076"/>
      <c r="G104" s="2076"/>
      <c r="H104" s="2076"/>
    </row>
    <row r="105" spans="1:8">
      <c r="A105" s="2076"/>
      <c r="B105" s="2076"/>
      <c r="C105" s="2076"/>
      <c r="D105" s="2076"/>
      <c r="E105" s="2076"/>
      <c r="F105" s="2076"/>
      <c r="G105" s="2076"/>
      <c r="H105" s="2076"/>
    </row>
    <row r="106" spans="1:8" ht="15.75">
      <c r="A106" s="2093" t="s">
        <v>437</v>
      </c>
      <c r="B106" s="2093"/>
      <c r="C106" s="2093"/>
      <c r="D106" s="2093"/>
      <c r="E106" s="2093"/>
      <c r="F106" s="2093"/>
      <c r="G106" s="2093"/>
      <c r="H106" s="2093"/>
    </row>
    <row r="107" spans="1:8">
      <c r="A107" s="2088" t="s">
        <v>1650</v>
      </c>
      <c r="B107" s="2088"/>
      <c r="C107" s="2088"/>
      <c r="D107" s="2088"/>
      <c r="E107" s="2088"/>
      <c r="F107" s="2088"/>
      <c r="G107" s="2088"/>
      <c r="H107" s="2088"/>
    </row>
    <row r="108" spans="1:8">
      <c r="A108" s="2094"/>
      <c r="B108" s="2094"/>
      <c r="C108" s="2094"/>
      <c r="D108" s="2094"/>
      <c r="E108" s="2094"/>
      <c r="F108" s="2094"/>
      <c r="G108" s="2094"/>
      <c r="H108" s="2094"/>
    </row>
    <row r="109" spans="1:8">
      <c r="A109" s="2088" t="s">
        <v>1876</v>
      </c>
      <c r="B109" s="2088"/>
      <c r="C109" s="2088"/>
      <c r="D109" s="2088"/>
      <c r="E109" s="2088"/>
      <c r="F109" s="2088"/>
      <c r="G109" s="2088"/>
      <c r="H109" s="2088"/>
    </row>
    <row r="110" spans="1:8">
      <c r="A110" s="2080" t="s">
        <v>1877</v>
      </c>
      <c r="B110" s="2080"/>
      <c r="C110" s="2080"/>
      <c r="D110" s="2080"/>
      <c r="E110" s="2080"/>
      <c r="F110" s="2080"/>
      <c r="G110" s="2080"/>
      <c r="H110" s="2080"/>
    </row>
    <row r="111" spans="1:8">
      <c r="A111" s="2094"/>
      <c r="B111" s="2094"/>
      <c r="C111" s="2094"/>
      <c r="D111" s="2094"/>
      <c r="E111" s="2094"/>
      <c r="F111" s="2094"/>
      <c r="G111" s="2094"/>
      <c r="H111" s="2094"/>
    </row>
    <row r="112" spans="1:8">
      <c r="A112" s="2088" t="s">
        <v>1869</v>
      </c>
      <c r="B112" s="2088"/>
      <c r="C112" s="2088"/>
      <c r="D112" s="2088"/>
      <c r="E112" s="2088"/>
      <c r="F112" s="2088"/>
      <c r="G112" s="2088"/>
      <c r="H112" s="2088"/>
    </row>
    <row r="113" spans="1:8">
      <c r="A113" s="2080" t="s">
        <v>1870</v>
      </c>
      <c r="B113" s="2080"/>
      <c r="C113" s="2080"/>
      <c r="D113" s="2080"/>
      <c r="E113" s="2080"/>
      <c r="F113" s="2080"/>
      <c r="G113" s="2080"/>
      <c r="H113" s="2080"/>
    </row>
    <row r="114" spans="1:8">
      <c r="A114" s="2080" t="s">
        <v>1871</v>
      </c>
      <c r="B114" s="2080"/>
      <c r="C114" s="2080"/>
      <c r="D114" s="2080"/>
      <c r="E114" s="2080"/>
      <c r="F114" s="2080"/>
      <c r="G114" s="2080"/>
      <c r="H114" s="2080"/>
    </row>
    <row r="115" spans="1:8">
      <c r="A115" s="2080" t="s">
        <v>1872</v>
      </c>
      <c r="B115" s="2080"/>
      <c r="C115" s="2080"/>
      <c r="D115" s="2080"/>
      <c r="E115" s="2080"/>
      <c r="F115" s="2080"/>
      <c r="G115" s="2080"/>
      <c r="H115" s="2080"/>
    </row>
    <row r="116" spans="1:8">
      <c r="A116" s="2080" t="s">
        <v>1873</v>
      </c>
      <c r="B116" s="2080"/>
      <c r="C116" s="2080"/>
      <c r="D116" s="2080"/>
      <c r="E116" s="2080"/>
      <c r="F116" s="2080"/>
      <c r="G116" s="2080"/>
      <c r="H116" s="2080"/>
    </row>
    <row r="117" spans="1:8">
      <c r="A117" s="2080" t="s">
        <v>1874</v>
      </c>
      <c r="B117" s="2080"/>
      <c r="C117" s="2080"/>
      <c r="D117" s="2080"/>
      <c r="E117" s="2080"/>
      <c r="F117" s="2080"/>
      <c r="G117" s="2080"/>
      <c r="H117" s="2080"/>
    </row>
    <row r="118" spans="1:8">
      <c r="A118" s="2080" t="s">
        <v>1875</v>
      </c>
      <c r="B118" s="2080"/>
      <c r="C118" s="2080"/>
      <c r="D118" s="2080"/>
      <c r="E118" s="2080"/>
      <c r="F118" s="2080"/>
      <c r="G118" s="2080"/>
      <c r="H118" s="2080"/>
    </row>
    <row r="119" spans="1:8">
      <c r="A119" s="2092"/>
      <c r="B119" s="2092"/>
      <c r="C119" s="2092"/>
      <c r="D119" s="2092"/>
      <c r="E119" s="2092"/>
      <c r="F119" s="2092"/>
      <c r="G119" s="2092"/>
      <c r="H119" s="2092"/>
    </row>
    <row r="120" spans="1:8">
      <c r="A120" s="2082"/>
      <c r="B120" s="2089" t="s">
        <v>438</v>
      </c>
      <c r="C120" s="2090"/>
      <c r="D120" s="2089" t="s">
        <v>439</v>
      </c>
      <c r="E120" s="2091"/>
      <c r="F120" s="2090"/>
      <c r="G120" s="2089" t="s">
        <v>1651</v>
      </c>
      <c r="H120" s="2090"/>
    </row>
    <row r="121" spans="1:8">
      <c r="A121" s="2082" t="s">
        <v>440</v>
      </c>
      <c r="B121" s="2082" t="s">
        <v>139</v>
      </c>
      <c r="C121" s="2082" t="s">
        <v>352</v>
      </c>
      <c r="D121" s="2082" t="s">
        <v>139</v>
      </c>
      <c r="E121" s="2082" t="s">
        <v>441</v>
      </c>
      <c r="F121" s="2082" t="s">
        <v>442</v>
      </c>
      <c r="G121" s="2082" t="s">
        <v>139</v>
      </c>
      <c r="H121" s="2082" t="s">
        <v>1652</v>
      </c>
    </row>
    <row r="122" spans="1:8">
      <c r="A122" s="2082" t="s">
        <v>443</v>
      </c>
      <c r="B122" s="2082">
        <v>1440</v>
      </c>
      <c r="C122" s="2083">
        <v>0.38</v>
      </c>
      <c r="D122" s="2082">
        <v>342</v>
      </c>
      <c r="E122" s="2083">
        <v>0.45</v>
      </c>
      <c r="F122" s="2083">
        <v>0.24</v>
      </c>
      <c r="G122" s="2082">
        <v>677</v>
      </c>
      <c r="H122" s="2083">
        <v>0.4</v>
      </c>
    </row>
    <row r="123" spans="1:8">
      <c r="A123" s="2082" t="s">
        <v>444</v>
      </c>
      <c r="B123" s="2082">
        <v>1741</v>
      </c>
      <c r="C123" s="2083">
        <v>0.46</v>
      </c>
      <c r="D123" s="2082">
        <v>340</v>
      </c>
      <c r="E123" s="2083">
        <v>0.45</v>
      </c>
      <c r="F123" s="2083">
        <v>0.2</v>
      </c>
      <c r="G123" s="2082">
        <v>774</v>
      </c>
      <c r="H123" s="2083">
        <v>0.46</v>
      </c>
    </row>
    <row r="124" spans="1:8">
      <c r="A124" s="2082" t="s">
        <v>445</v>
      </c>
      <c r="B124" s="2082">
        <v>3</v>
      </c>
      <c r="C124" s="2083">
        <v>0</v>
      </c>
      <c r="D124" s="2082">
        <v>0</v>
      </c>
      <c r="E124" s="2083">
        <v>0</v>
      </c>
      <c r="F124" s="2083">
        <v>0</v>
      </c>
      <c r="G124" s="2082">
        <v>1</v>
      </c>
      <c r="H124" s="2083">
        <v>0</v>
      </c>
    </row>
    <row r="125" spans="1:8">
      <c r="A125" s="2082" t="s">
        <v>446</v>
      </c>
      <c r="B125" s="2082">
        <v>570</v>
      </c>
      <c r="C125" s="2083">
        <v>0.15</v>
      </c>
      <c r="D125" s="2082">
        <v>71</v>
      </c>
      <c r="E125" s="2083">
        <v>0.09</v>
      </c>
      <c r="F125" s="2083">
        <v>0.12</v>
      </c>
      <c r="G125" s="2082">
        <v>224</v>
      </c>
      <c r="H125" s="2083">
        <v>0.13</v>
      </c>
    </row>
    <row r="126" spans="1:8">
      <c r="A126" s="2082" t="s">
        <v>325</v>
      </c>
      <c r="B126" s="2084">
        <v>3754</v>
      </c>
      <c r="C126" s="2082"/>
      <c r="D126" s="2082">
        <v>753</v>
      </c>
      <c r="E126" s="2082"/>
      <c r="F126" s="2082"/>
      <c r="G126" s="2082">
        <v>1676</v>
      </c>
      <c r="H126" s="2082"/>
    </row>
    <row r="127" spans="1:8">
      <c r="A127" s="2087"/>
      <c r="B127" s="2087"/>
      <c r="C127" s="2087"/>
      <c r="D127" s="2087"/>
      <c r="E127" s="2087"/>
      <c r="F127" s="2087"/>
      <c r="G127" s="2087"/>
      <c r="H127" s="2087"/>
    </row>
    <row r="128" spans="1:8">
      <c r="A128" s="2088" t="s">
        <v>1865</v>
      </c>
      <c r="B128" s="2088"/>
      <c r="C128" s="2088"/>
      <c r="D128" s="2088"/>
      <c r="E128" s="2088"/>
      <c r="F128" s="2088"/>
      <c r="G128" s="2088"/>
      <c r="H128" s="2088"/>
    </row>
    <row r="129" spans="1:8">
      <c r="A129" s="2080" t="s">
        <v>1866</v>
      </c>
      <c r="B129" s="2080"/>
      <c r="C129" s="2080"/>
      <c r="D129" s="2080"/>
      <c r="E129" s="2080"/>
      <c r="F129" s="2080"/>
      <c r="G129" s="2080"/>
      <c r="H129" s="2080"/>
    </row>
    <row r="130" spans="1:8">
      <c r="A130" s="2080" t="s">
        <v>1867</v>
      </c>
      <c r="B130" s="2080"/>
      <c r="C130" s="2080"/>
      <c r="D130" s="2080"/>
      <c r="E130" s="2080"/>
      <c r="F130" s="2080"/>
      <c r="G130" s="2080"/>
      <c r="H130" s="2080"/>
    </row>
    <row r="131" spans="1:8">
      <c r="A131" s="2080" t="s">
        <v>1868</v>
      </c>
      <c r="B131" s="2080"/>
      <c r="C131" s="2080"/>
      <c r="D131" s="2080"/>
      <c r="E131" s="2080"/>
      <c r="F131" s="2080"/>
      <c r="G131" s="2080"/>
      <c r="H131" s="2080"/>
    </row>
    <row r="132" spans="1:8">
      <c r="A132" s="2076"/>
      <c r="B132" s="2076"/>
      <c r="C132" s="2076"/>
      <c r="D132" s="2076"/>
      <c r="E132" s="2076"/>
      <c r="F132" s="2076"/>
      <c r="G132" s="2076"/>
      <c r="H132" s="2076"/>
    </row>
    <row r="133" spans="1:8" ht="15.75">
      <c r="A133" s="2081" t="s">
        <v>447</v>
      </c>
      <c r="B133" s="2076"/>
      <c r="C133" s="2076"/>
      <c r="D133" s="2076"/>
      <c r="E133" s="2076"/>
      <c r="F133" s="2076"/>
      <c r="G133" s="2076"/>
      <c r="H133" s="2076"/>
    </row>
    <row r="134" spans="1:8">
      <c r="A134" s="2076"/>
      <c r="B134" s="2076"/>
      <c r="C134" s="2076"/>
      <c r="D134" s="2076"/>
      <c r="E134" s="2076"/>
      <c r="F134" s="2076"/>
      <c r="G134" s="2076"/>
      <c r="H134" s="2076"/>
    </row>
    <row r="135" spans="1:8">
      <c r="A135" s="2080" t="s">
        <v>1863</v>
      </c>
      <c r="B135" s="2076"/>
      <c r="C135" s="2076"/>
      <c r="D135" s="2076"/>
      <c r="E135" s="2076"/>
      <c r="F135" s="2076"/>
      <c r="G135" s="2076"/>
      <c r="H135" s="2076"/>
    </row>
    <row r="136" spans="1:8">
      <c r="A136" s="2080" t="s">
        <v>1864</v>
      </c>
      <c r="B136" s="2076"/>
      <c r="C136" s="2076"/>
      <c r="D136" s="2076"/>
      <c r="E136" s="2076"/>
      <c r="F136" s="2076"/>
      <c r="G136" s="2076"/>
      <c r="H136" s="2076"/>
    </row>
    <row r="137" spans="1:8">
      <c r="A137" s="2076"/>
      <c r="B137" s="2076"/>
      <c r="C137" s="2076"/>
      <c r="D137" s="2076"/>
      <c r="E137" s="2076"/>
      <c r="F137" s="2076"/>
      <c r="G137" s="2076"/>
      <c r="H137" s="2076"/>
    </row>
    <row r="138" spans="1:8">
      <c r="A138" s="2080" t="s">
        <v>1860</v>
      </c>
      <c r="B138" s="2076"/>
      <c r="C138" s="2076"/>
      <c r="D138" s="2076"/>
      <c r="E138" s="2076"/>
      <c r="F138" s="2076"/>
      <c r="G138" s="2076"/>
      <c r="H138" s="2076"/>
    </row>
    <row r="139" spans="1:8">
      <c r="A139" s="2080" t="s">
        <v>1861</v>
      </c>
      <c r="B139" s="2076"/>
      <c r="C139" s="2076"/>
      <c r="D139" s="2076"/>
      <c r="E139" s="2076"/>
      <c r="F139" s="2076"/>
      <c r="G139" s="2076"/>
      <c r="H139" s="2076"/>
    </row>
    <row r="140" spans="1:8">
      <c r="A140" s="2080" t="s">
        <v>1862</v>
      </c>
      <c r="B140" s="2076"/>
      <c r="C140" s="2076"/>
      <c r="D140" s="2076"/>
      <c r="E140" s="2076"/>
      <c r="F140" s="2076"/>
      <c r="G140" s="2076"/>
      <c r="H140" s="2076"/>
    </row>
    <row r="141" spans="1:8">
      <c r="A141" s="2076"/>
      <c r="B141" s="2076"/>
      <c r="C141" s="2076"/>
      <c r="D141" s="2076"/>
      <c r="E141" s="2076"/>
      <c r="F141" s="2076"/>
      <c r="G141" s="2076"/>
      <c r="H141" s="2076"/>
    </row>
    <row r="142" spans="1:8">
      <c r="A142" s="2080" t="s">
        <v>1857</v>
      </c>
      <c r="B142" s="2076"/>
      <c r="C142" s="2076"/>
      <c r="D142" s="2076"/>
      <c r="E142" s="2076"/>
      <c r="F142" s="2076"/>
      <c r="G142" s="2076"/>
      <c r="H142" s="2076"/>
    </row>
    <row r="143" spans="1:8">
      <c r="A143" s="2080" t="s">
        <v>1858</v>
      </c>
      <c r="B143" s="2076"/>
      <c r="C143" s="2076"/>
      <c r="D143" s="2076"/>
      <c r="E143" s="2076"/>
      <c r="F143" s="2076"/>
      <c r="G143" s="2076"/>
      <c r="H143" s="2076"/>
    </row>
    <row r="144" spans="1:8">
      <c r="A144" s="2080" t="s">
        <v>1859</v>
      </c>
      <c r="B144" s="2076"/>
      <c r="C144" s="2076"/>
      <c r="D144" s="2076"/>
      <c r="E144" s="2076"/>
      <c r="F144" s="2076"/>
      <c r="G144" s="2076"/>
      <c r="H144" s="2076"/>
    </row>
    <row r="145" spans="1:8">
      <c r="A145" s="2076"/>
      <c r="B145" s="2076"/>
      <c r="C145" s="2076"/>
      <c r="D145" s="2076"/>
      <c r="E145" s="2076"/>
      <c r="F145" s="2076"/>
      <c r="G145" s="2076"/>
      <c r="H145" s="2076"/>
    </row>
    <row r="146" spans="1:8">
      <c r="A146" s="2080" t="s">
        <v>1854</v>
      </c>
      <c r="B146" s="2076"/>
      <c r="C146" s="2076"/>
      <c r="D146" s="2076"/>
      <c r="E146" s="2076"/>
      <c r="F146" s="2076"/>
      <c r="G146" s="2076"/>
      <c r="H146" s="2076"/>
    </row>
    <row r="147" spans="1:8">
      <c r="A147" s="2080" t="s">
        <v>1855</v>
      </c>
      <c r="B147" s="2076"/>
      <c r="C147" s="2076"/>
      <c r="D147" s="2076"/>
      <c r="E147" s="2076"/>
      <c r="F147" s="2076"/>
      <c r="G147" s="2076"/>
      <c r="H147" s="2076"/>
    </row>
    <row r="148" spans="1:8">
      <c r="A148" s="2080" t="s">
        <v>1856</v>
      </c>
      <c r="B148" s="2076"/>
      <c r="C148" s="2076"/>
      <c r="D148" s="2076"/>
      <c r="E148" s="2076"/>
      <c r="F148" s="2076"/>
      <c r="G148" s="2076"/>
      <c r="H148" s="2076"/>
    </row>
    <row r="149" spans="1:8">
      <c r="A149" s="2076"/>
      <c r="B149" s="2076"/>
      <c r="C149" s="2076"/>
      <c r="D149" s="2076"/>
      <c r="E149" s="2076"/>
      <c r="F149" s="2076"/>
      <c r="G149" s="2076"/>
      <c r="H149" s="2076"/>
    </row>
    <row r="150" spans="1:8">
      <c r="A150" s="2080" t="s">
        <v>1852</v>
      </c>
      <c r="B150" s="2076"/>
      <c r="C150" s="2076"/>
      <c r="D150" s="2076"/>
      <c r="E150" s="2076"/>
      <c r="F150" s="2076"/>
      <c r="G150" s="2076"/>
      <c r="H150" s="2076"/>
    </row>
    <row r="151" spans="1:8">
      <c r="A151" s="2080" t="s">
        <v>1853</v>
      </c>
      <c r="B151" s="2076"/>
      <c r="C151" s="2076"/>
      <c r="D151" s="2076"/>
      <c r="E151" s="2076"/>
      <c r="F151" s="2076"/>
      <c r="G151" s="2076"/>
      <c r="H151" s="2076"/>
    </row>
    <row r="152" spans="1:8">
      <c r="A152" s="2076"/>
      <c r="B152" s="2076"/>
      <c r="C152" s="2076"/>
      <c r="D152" s="2076"/>
      <c r="E152" s="2076"/>
      <c r="F152" s="2076"/>
      <c r="G152" s="2076"/>
      <c r="H152" s="2076"/>
    </row>
    <row r="153" spans="1:8" ht="15.75">
      <c r="A153" s="2081" t="s">
        <v>448</v>
      </c>
      <c r="B153" s="2076"/>
      <c r="C153" s="2076"/>
      <c r="D153" s="2076"/>
      <c r="E153" s="2076"/>
      <c r="F153" s="2076"/>
      <c r="G153" s="2076"/>
      <c r="H153" s="2076"/>
    </row>
    <row r="154" spans="1:8">
      <c r="A154" s="2076"/>
      <c r="B154" s="2076"/>
      <c r="C154" s="2076"/>
      <c r="D154" s="2076"/>
      <c r="E154" s="2076"/>
      <c r="F154" s="2076"/>
      <c r="G154" s="2076"/>
      <c r="H154" s="2076"/>
    </row>
    <row r="155" spans="1:8">
      <c r="A155" s="2080" t="s">
        <v>1850</v>
      </c>
      <c r="B155" s="2076"/>
      <c r="C155" s="2076"/>
      <c r="D155" s="2076"/>
      <c r="E155" s="2076"/>
      <c r="F155" s="2076"/>
      <c r="G155" s="2076"/>
      <c r="H155" s="2076"/>
    </row>
    <row r="156" spans="1:8">
      <c r="A156" s="2080" t="s">
        <v>1851</v>
      </c>
      <c r="B156" s="2076"/>
      <c r="C156" s="2076"/>
      <c r="D156" s="2076"/>
      <c r="E156" s="2076"/>
      <c r="F156" s="2076"/>
      <c r="G156" s="2076"/>
      <c r="H156" s="2076"/>
    </row>
    <row r="157" spans="1:8">
      <c r="A157" s="2076"/>
      <c r="B157" s="2076"/>
      <c r="C157" s="2076"/>
      <c r="D157" s="2076"/>
      <c r="E157" s="2076"/>
      <c r="F157" s="2076"/>
      <c r="G157" s="2076"/>
      <c r="H157" s="2076"/>
    </row>
    <row r="158" spans="1:8">
      <c r="A158" s="2080" t="s">
        <v>1848</v>
      </c>
      <c r="B158" s="2076"/>
      <c r="C158" s="2076"/>
      <c r="D158" s="2076"/>
      <c r="E158" s="2076"/>
      <c r="F158" s="2076"/>
      <c r="G158" s="2076"/>
      <c r="H158" s="2076"/>
    </row>
    <row r="159" spans="1:8">
      <c r="A159" s="2080" t="s">
        <v>1849</v>
      </c>
      <c r="B159" s="2076"/>
      <c r="C159" s="2076"/>
      <c r="D159" s="2076"/>
      <c r="E159" s="2076"/>
      <c r="F159" s="2076"/>
      <c r="G159" s="2076"/>
      <c r="H159" s="2076"/>
    </row>
    <row r="160" spans="1:8">
      <c r="A160" s="2076"/>
      <c r="B160" s="2076"/>
      <c r="C160" s="2076"/>
      <c r="D160" s="2076"/>
      <c r="E160" s="2076"/>
      <c r="F160" s="2076"/>
      <c r="G160" s="2076"/>
      <c r="H160" s="2076"/>
    </row>
    <row r="161" spans="1:8">
      <c r="A161" s="2080" t="s">
        <v>1846</v>
      </c>
      <c r="B161" s="2076"/>
      <c r="C161" s="2076"/>
      <c r="D161" s="2076"/>
      <c r="E161" s="2076"/>
      <c r="F161" s="2076"/>
      <c r="G161" s="2076"/>
      <c r="H161" s="2076"/>
    </row>
    <row r="162" spans="1:8">
      <c r="A162" s="2080" t="s">
        <v>1847</v>
      </c>
      <c r="B162" s="2076"/>
      <c r="C162" s="2076"/>
      <c r="D162" s="2076"/>
      <c r="E162" s="2076"/>
      <c r="F162" s="2076"/>
      <c r="G162" s="2076"/>
      <c r="H162" s="2076"/>
    </row>
    <row r="163" spans="1:8">
      <c r="A163" s="2076"/>
      <c r="B163" s="2076"/>
      <c r="C163" s="2076"/>
      <c r="D163" s="2076"/>
      <c r="E163" s="2076"/>
      <c r="F163" s="2076"/>
      <c r="G163" s="2076"/>
      <c r="H163" s="2076"/>
    </row>
    <row r="164" spans="1:8">
      <c r="A164" s="2080" t="s">
        <v>1843</v>
      </c>
      <c r="B164" s="2076"/>
      <c r="C164" s="2076"/>
      <c r="D164" s="2076"/>
      <c r="E164" s="2076"/>
      <c r="F164" s="2076"/>
      <c r="G164" s="2076"/>
      <c r="H164" s="2076"/>
    </row>
    <row r="165" spans="1:8">
      <c r="A165" s="2080" t="s">
        <v>1844</v>
      </c>
      <c r="B165" s="2076"/>
      <c r="C165" s="2076"/>
      <c r="D165" s="2076"/>
      <c r="E165" s="2076"/>
      <c r="F165" s="2076"/>
      <c r="G165" s="2076"/>
      <c r="H165" s="2076"/>
    </row>
    <row r="166" spans="1:8">
      <c r="A166" s="2080" t="s">
        <v>1845</v>
      </c>
      <c r="B166" s="2076"/>
      <c r="C166" s="2076"/>
      <c r="D166" s="2076"/>
      <c r="E166" s="2076"/>
      <c r="F166" s="2076"/>
      <c r="G166" s="2076"/>
      <c r="H166" s="2076"/>
    </row>
    <row r="167" spans="1:8">
      <c r="A167" s="2076"/>
      <c r="B167" s="2076"/>
      <c r="C167" s="2076"/>
      <c r="D167" s="2076"/>
      <c r="E167" s="2076"/>
      <c r="F167" s="2076"/>
      <c r="G167" s="2076"/>
      <c r="H167" s="2076"/>
    </row>
    <row r="168" spans="1:8">
      <c r="A168" s="2076"/>
      <c r="B168" s="2076"/>
      <c r="C168" s="2076"/>
      <c r="D168" s="2076"/>
      <c r="E168" s="2076"/>
      <c r="F168" s="2076"/>
      <c r="G168" s="2076"/>
      <c r="H168" s="2076"/>
    </row>
    <row r="169" spans="1:8">
      <c r="A169" s="2080" t="s">
        <v>449</v>
      </c>
      <c r="B169" s="2076"/>
      <c r="C169" s="2076"/>
      <c r="D169" s="2076"/>
      <c r="E169" s="2076"/>
      <c r="F169" s="2076"/>
      <c r="G169" s="2076"/>
      <c r="H169" s="2076"/>
    </row>
    <row r="170" spans="1:8">
      <c r="A170" s="2076"/>
      <c r="B170" s="2076"/>
      <c r="C170" s="2076"/>
      <c r="D170" s="2076"/>
      <c r="E170" s="2076"/>
      <c r="F170" s="2076"/>
      <c r="G170" s="2076"/>
      <c r="H170" s="2076"/>
    </row>
    <row r="171" spans="1:8" ht="15.75">
      <c r="A171" s="2081" t="s">
        <v>450</v>
      </c>
      <c r="B171" s="2076"/>
      <c r="C171" s="2076"/>
      <c r="D171" s="2076"/>
      <c r="E171" s="2076"/>
      <c r="F171" s="2076"/>
      <c r="G171" s="2076"/>
      <c r="H171" s="2076"/>
    </row>
    <row r="172" spans="1:8">
      <c r="A172" s="2076"/>
      <c r="B172" s="2076"/>
      <c r="C172" s="2076"/>
      <c r="D172" s="2076"/>
      <c r="E172" s="2076"/>
      <c r="F172" s="2076"/>
      <c r="G172" s="2076"/>
      <c r="H172" s="2076"/>
    </row>
    <row r="173" spans="1:8">
      <c r="A173" s="2076"/>
      <c r="B173" s="2076"/>
      <c r="C173" s="2076"/>
      <c r="D173" s="2076"/>
      <c r="E173" s="2076"/>
      <c r="F173" s="2076"/>
      <c r="G173" s="2076"/>
      <c r="H173" s="2076"/>
    </row>
    <row r="174" spans="1:8">
      <c r="A174" s="2076"/>
      <c r="B174" s="2076"/>
      <c r="C174" s="2076"/>
      <c r="D174" s="2076"/>
      <c r="E174" s="2076"/>
      <c r="F174" s="2076"/>
      <c r="G174" s="2076"/>
      <c r="H174" s="2076"/>
    </row>
    <row r="175" spans="1:8">
      <c r="A175" s="2076"/>
      <c r="B175" s="2076"/>
      <c r="C175" s="2076"/>
      <c r="D175" s="2076"/>
      <c r="E175" s="2076"/>
      <c r="F175" s="2076"/>
      <c r="G175" s="2076"/>
      <c r="H175" s="2076"/>
    </row>
    <row r="176" spans="1:8">
      <c r="A176" s="2076"/>
      <c r="B176" s="2076"/>
      <c r="C176" s="2076"/>
      <c r="D176" s="2076"/>
      <c r="E176" s="2076"/>
      <c r="F176" s="2076"/>
      <c r="G176" s="2076"/>
      <c r="H176" s="2076"/>
    </row>
    <row r="177" spans="1:8">
      <c r="A177" s="2076"/>
      <c r="B177" s="2076"/>
      <c r="C177" s="2076"/>
      <c r="D177" s="2076"/>
      <c r="E177" s="2076"/>
      <c r="F177" s="2076"/>
      <c r="G177" s="2076"/>
      <c r="H177" s="2076"/>
    </row>
    <row r="178" spans="1:8">
      <c r="A178" s="2076"/>
      <c r="B178" s="2076"/>
      <c r="C178" s="2076"/>
      <c r="D178" s="2076"/>
      <c r="E178" s="2076"/>
      <c r="F178" s="2076"/>
      <c r="G178" s="2076"/>
      <c r="H178" s="2076"/>
    </row>
    <row r="179" spans="1:8">
      <c r="A179" s="2076"/>
      <c r="B179" s="2076"/>
      <c r="C179" s="2076"/>
      <c r="D179" s="2076"/>
      <c r="E179" s="2076"/>
      <c r="F179" s="2076"/>
      <c r="G179" s="2076"/>
      <c r="H179" s="2076"/>
    </row>
    <row r="180" spans="1:8">
      <c r="A180" s="2076"/>
      <c r="B180" s="2076"/>
      <c r="C180" s="2076"/>
      <c r="D180" s="2076"/>
      <c r="E180" s="2076"/>
      <c r="F180" s="2076"/>
      <c r="G180" s="2076"/>
      <c r="H180" s="2076"/>
    </row>
    <row r="181" spans="1:8">
      <c r="A181" s="2076"/>
      <c r="B181" s="2076"/>
      <c r="C181" s="2076"/>
      <c r="D181" s="2076"/>
      <c r="E181" s="2076"/>
      <c r="F181" s="2076"/>
      <c r="G181" s="2076"/>
      <c r="H181" s="2076"/>
    </row>
    <row r="182" spans="1:8">
      <c r="A182" s="2076"/>
      <c r="B182" s="2076"/>
      <c r="C182" s="2076"/>
      <c r="D182" s="2076"/>
      <c r="E182" s="2076"/>
      <c r="F182" s="2076"/>
      <c r="G182" s="2076"/>
      <c r="H182" s="2076"/>
    </row>
    <row r="183" spans="1:8">
      <c r="A183" s="2076"/>
      <c r="B183" s="2076"/>
      <c r="C183" s="2076"/>
      <c r="D183" s="2076"/>
      <c r="E183" s="2076"/>
      <c r="F183" s="2076"/>
      <c r="G183" s="2076"/>
      <c r="H183" s="2076"/>
    </row>
    <row r="184" spans="1:8">
      <c r="A184" s="2076"/>
      <c r="B184" s="2076"/>
      <c r="C184" s="2076"/>
      <c r="D184" s="2076"/>
      <c r="E184" s="2076"/>
      <c r="F184" s="2076"/>
      <c r="G184" s="2076"/>
      <c r="H184" s="2076"/>
    </row>
    <row r="185" spans="1:8">
      <c r="A185" s="2076"/>
      <c r="B185" s="2076"/>
      <c r="C185" s="2076"/>
      <c r="D185" s="2076"/>
      <c r="E185" s="2076"/>
      <c r="F185" s="2076"/>
      <c r="G185" s="2076"/>
      <c r="H185" s="2076"/>
    </row>
    <row r="186" spans="1:8">
      <c r="A186" s="2076"/>
      <c r="B186" s="2076"/>
      <c r="C186" s="2076"/>
      <c r="D186" s="2076"/>
      <c r="E186" s="2076"/>
      <c r="F186" s="2076"/>
      <c r="G186" s="2076"/>
      <c r="H186" s="2076"/>
    </row>
    <row r="187" spans="1:8">
      <c r="A187" s="2076"/>
      <c r="B187" s="2076"/>
      <c r="C187" s="2076"/>
      <c r="D187" s="2076"/>
      <c r="E187" s="2076"/>
      <c r="F187" s="2076"/>
      <c r="G187" s="2076"/>
      <c r="H187" s="2076"/>
    </row>
    <row r="188" spans="1:8">
      <c r="A188" s="2076"/>
      <c r="B188" s="2076"/>
      <c r="C188" s="2076"/>
      <c r="D188" s="2076"/>
      <c r="E188" s="2076"/>
      <c r="F188" s="2076"/>
      <c r="G188" s="2076"/>
      <c r="H188" s="2076"/>
    </row>
    <row r="189" spans="1:8">
      <c r="A189" s="2076"/>
      <c r="B189" s="2076"/>
      <c r="C189" s="2076"/>
      <c r="D189" s="2076"/>
      <c r="E189" s="2076"/>
      <c r="F189" s="2076"/>
      <c r="G189" s="2076"/>
      <c r="H189" s="2076"/>
    </row>
    <row r="190" spans="1:8">
      <c r="A190" s="2076"/>
      <c r="B190" s="2076"/>
      <c r="C190" s="2076"/>
      <c r="D190" s="2076"/>
      <c r="E190" s="2076"/>
      <c r="F190" s="2076"/>
      <c r="G190" s="2076"/>
      <c r="H190" s="2076"/>
    </row>
    <row r="191" spans="1:8">
      <c r="A191" s="2076"/>
      <c r="B191" s="2076"/>
      <c r="C191" s="2076"/>
      <c r="D191" s="2076"/>
      <c r="E191" s="2076"/>
      <c r="F191" s="2076"/>
      <c r="G191" s="2076"/>
      <c r="H191" s="2076"/>
    </row>
    <row r="192" spans="1:8">
      <c r="A192" s="2076"/>
      <c r="B192" s="2076"/>
      <c r="C192" s="2076"/>
      <c r="D192" s="2076"/>
      <c r="E192" s="2076"/>
      <c r="F192" s="2076"/>
      <c r="G192" s="2076"/>
      <c r="H192" s="2076"/>
    </row>
    <row r="193" spans="1:8">
      <c r="A193" s="2076"/>
      <c r="B193" s="2076"/>
      <c r="C193" s="2076"/>
      <c r="D193" s="2076"/>
      <c r="E193" s="2076"/>
      <c r="F193" s="2076"/>
      <c r="G193" s="2076"/>
      <c r="H193" s="2076"/>
    </row>
    <row r="194" spans="1:8">
      <c r="A194" s="2076"/>
      <c r="B194" s="2076"/>
      <c r="C194" s="2076"/>
      <c r="D194" s="2076"/>
      <c r="E194" s="2076"/>
      <c r="F194" s="2076"/>
      <c r="G194" s="2076"/>
      <c r="H194" s="2076"/>
    </row>
    <row r="195" spans="1:8">
      <c r="A195" s="2076"/>
      <c r="B195" s="2076"/>
      <c r="C195" s="2076"/>
      <c r="D195" s="2076"/>
      <c r="E195" s="2076"/>
      <c r="F195" s="2076"/>
      <c r="G195" s="2076"/>
      <c r="H195" s="2076"/>
    </row>
    <row r="196" spans="1:8">
      <c r="A196" s="2076"/>
      <c r="B196" s="2076"/>
      <c r="C196" s="2076"/>
      <c r="D196" s="2076"/>
      <c r="E196" s="2076"/>
      <c r="F196" s="2076"/>
      <c r="G196" s="2076"/>
      <c r="H196" s="2076"/>
    </row>
    <row r="197" spans="1:8" ht="15.75">
      <c r="A197" s="2081" t="s">
        <v>1653</v>
      </c>
      <c r="B197" s="2076"/>
      <c r="C197" s="2076"/>
      <c r="D197" s="2076"/>
      <c r="E197" s="2076"/>
      <c r="F197" s="2076"/>
      <c r="G197" s="2076"/>
      <c r="H197" s="2076"/>
    </row>
    <row r="198" spans="1:8">
      <c r="A198" s="2076"/>
      <c r="B198" s="2076"/>
      <c r="C198" s="2076"/>
      <c r="D198" s="2076"/>
      <c r="E198" s="2076"/>
      <c r="F198" s="2076"/>
      <c r="G198" s="2076"/>
      <c r="H198" s="2076"/>
    </row>
    <row r="199" spans="1:8">
      <c r="A199" s="2080" t="s">
        <v>1838</v>
      </c>
      <c r="B199" s="2076"/>
      <c r="C199" s="2076"/>
      <c r="D199" s="2076"/>
      <c r="E199" s="2076"/>
      <c r="F199" s="2076"/>
      <c r="G199" s="2076"/>
      <c r="H199" s="2076"/>
    </row>
    <row r="200" spans="1:8">
      <c r="A200" s="2080" t="s">
        <v>1839</v>
      </c>
      <c r="B200" s="2076"/>
      <c r="C200" s="2076"/>
      <c r="D200" s="2076"/>
      <c r="E200" s="2076"/>
      <c r="F200" s="2076"/>
      <c r="G200" s="2076"/>
      <c r="H200" s="2076"/>
    </row>
    <row r="201" spans="1:8">
      <c r="A201" s="2080" t="s">
        <v>1840</v>
      </c>
      <c r="B201" s="2076"/>
      <c r="C201" s="2076"/>
      <c r="D201" s="2076"/>
      <c r="E201" s="2076"/>
      <c r="F201" s="2076"/>
      <c r="G201" s="2076"/>
      <c r="H201" s="2076"/>
    </row>
    <row r="202" spans="1:8">
      <c r="A202" s="2080" t="s">
        <v>1841</v>
      </c>
      <c r="B202" s="2076"/>
      <c r="C202" s="2076"/>
      <c r="D202" s="2076"/>
      <c r="E202" s="2076"/>
      <c r="F202" s="2076"/>
      <c r="G202" s="2076"/>
      <c r="H202" s="2076"/>
    </row>
    <row r="203" spans="1:8">
      <c r="A203" s="2080" t="s">
        <v>1842</v>
      </c>
      <c r="B203" s="2076"/>
      <c r="C203" s="2076"/>
      <c r="D203" s="2076"/>
      <c r="E203" s="2076"/>
      <c r="F203" s="2076"/>
      <c r="G203" s="2076"/>
      <c r="H203" s="2076"/>
    </row>
    <row r="204" spans="1:8">
      <c r="A204" s="2076"/>
      <c r="B204" s="2076"/>
      <c r="C204" s="2076"/>
      <c r="D204" s="2076"/>
      <c r="E204" s="2076"/>
      <c r="F204" s="2076"/>
      <c r="G204" s="2076"/>
      <c r="H204" s="2076"/>
    </row>
    <row r="205" spans="1:8">
      <c r="A205" s="2080" t="s">
        <v>1835</v>
      </c>
      <c r="B205" s="2076"/>
      <c r="C205" s="2076"/>
      <c r="D205" s="2076"/>
      <c r="E205" s="2076"/>
      <c r="F205" s="2076"/>
      <c r="G205" s="2076"/>
      <c r="H205" s="2076"/>
    </row>
    <row r="206" spans="1:8">
      <c r="A206" s="2080" t="s">
        <v>1836</v>
      </c>
      <c r="B206" s="2076"/>
      <c r="C206" s="2076"/>
      <c r="D206" s="2076"/>
      <c r="E206" s="2076"/>
      <c r="F206" s="2076"/>
      <c r="G206" s="2076"/>
      <c r="H206" s="2076"/>
    </row>
    <row r="207" spans="1:8">
      <c r="A207" s="2080" t="s">
        <v>1837</v>
      </c>
      <c r="B207" s="2076"/>
      <c r="C207" s="2076"/>
      <c r="D207" s="2076"/>
      <c r="E207" s="2076"/>
      <c r="F207" s="2076"/>
      <c r="G207" s="2076"/>
      <c r="H207" s="2076"/>
    </row>
    <row r="208" spans="1:8" ht="15.75">
      <c r="A208" s="2081" t="s">
        <v>451</v>
      </c>
      <c r="B208" s="2076"/>
      <c r="C208" s="2076"/>
      <c r="D208" s="2076"/>
      <c r="E208" s="2076"/>
      <c r="F208" s="2076"/>
      <c r="G208" s="2076"/>
      <c r="H208" s="2076"/>
    </row>
    <row r="209" spans="1:8">
      <c r="A209" s="2076"/>
      <c r="B209" s="2076"/>
      <c r="C209" s="2076"/>
      <c r="D209" s="2076"/>
      <c r="E209" s="2076"/>
      <c r="F209" s="2076"/>
      <c r="G209" s="2076"/>
      <c r="H209" s="2076"/>
    </row>
    <row r="210" spans="1:8">
      <c r="A210" s="2080" t="s">
        <v>1828</v>
      </c>
      <c r="B210" s="2076"/>
      <c r="C210" s="2076"/>
      <c r="D210" s="2076"/>
      <c r="E210" s="2076"/>
      <c r="F210" s="2076"/>
      <c r="G210" s="2076"/>
      <c r="H210" s="2076"/>
    </row>
    <row r="211" spans="1:8">
      <c r="A211" s="2080" t="s">
        <v>1829</v>
      </c>
      <c r="B211" s="2076"/>
      <c r="C211" s="2076"/>
      <c r="D211" s="2076"/>
      <c r="E211" s="2076"/>
      <c r="F211" s="2076"/>
      <c r="G211" s="2076"/>
      <c r="H211" s="2076"/>
    </row>
    <row r="212" spans="1:8">
      <c r="A212" s="2080" t="s">
        <v>1830</v>
      </c>
      <c r="B212" s="2076"/>
      <c r="C212" s="2076"/>
      <c r="D212" s="2076"/>
      <c r="E212" s="2076"/>
      <c r="F212" s="2076"/>
      <c r="G212" s="2076"/>
      <c r="H212" s="2076"/>
    </row>
    <row r="213" spans="1:8">
      <c r="A213" s="2080" t="s">
        <v>1831</v>
      </c>
      <c r="B213" s="2076"/>
      <c r="C213" s="2076"/>
      <c r="D213" s="2076"/>
      <c r="E213" s="2076"/>
      <c r="F213" s="2076"/>
      <c r="G213" s="2076"/>
      <c r="H213" s="2076"/>
    </row>
    <row r="214" spans="1:8">
      <c r="A214" s="2080" t="s">
        <v>1832</v>
      </c>
      <c r="B214" s="2076"/>
      <c r="C214" s="2076"/>
      <c r="D214" s="2076"/>
      <c r="E214" s="2076"/>
      <c r="F214" s="2076"/>
      <c r="G214" s="2076"/>
      <c r="H214" s="2076"/>
    </row>
    <row r="215" spans="1:8">
      <c r="A215" s="2080" t="s">
        <v>1833</v>
      </c>
      <c r="B215" s="2076"/>
      <c r="C215" s="2076"/>
      <c r="D215" s="2076"/>
      <c r="E215" s="2076"/>
      <c r="F215" s="2076"/>
      <c r="G215" s="2076"/>
      <c r="H215" s="2076"/>
    </row>
    <row r="216" spans="1:8">
      <c r="A216" s="2080" t="s">
        <v>1834</v>
      </c>
      <c r="B216" s="2076"/>
      <c r="C216" s="2076"/>
      <c r="D216" s="2076"/>
      <c r="E216" s="2076"/>
      <c r="F216" s="2076"/>
      <c r="G216" s="2076"/>
      <c r="H216" s="2076"/>
    </row>
    <row r="217" spans="1:8">
      <c r="A217" s="2076"/>
      <c r="B217" s="2076"/>
      <c r="C217" s="2076"/>
      <c r="D217" s="2076"/>
      <c r="E217" s="2076"/>
      <c r="F217" s="2076"/>
      <c r="G217" s="2076"/>
      <c r="H217" s="2076"/>
    </row>
    <row r="218" spans="1:8">
      <c r="A218" s="2080" t="s">
        <v>1825</v>
      </c>
      <c r="B218" s="2076"/>
      <c r="C218" s="2076"/>
      <c r="D218" s="2076"/>
      <c r="E218" s="2076"/>
      <c r="F218" s="2076"/>
      <c r="G218" s="2076"/>
      <c r="H218" s="2076"/>
    </row>
    <row r="219" spans="1:8">
      <c r="A219" s="2080" t="s">
        <v>1826</v>
      </c>
      <c r="B219" s="2076"/>
      <c r="C219" s="2076"/>
      <c r="D219" s="2076"/>
      <c r="E219" s="2076"/>
      <c r="F219" s="2076"/>
      <c r="G219" s="2076"/>
      <c r="H219" s="2076"/>
    </row>
    <row r="220" spans="1:8">
      <c r="A220" s="2080" t="s">
        <v>1827</v>
      </c>
      <c r="B220" s="2076"/>
      <c r="C220" s="2076"/>
      <c r="D220" s="2076"/>
      <c r="E220" s="2076"/>
      <c r="F220" s="2076"/>
      <c r="G220" s="2076"/>
      <c r="H220" s="2076"/>
    </row>
    <row r="221" spans="1:8">
      <c r="A221" s="2076"/>
      <c r="B221" s="2076"/>
      <c r="C221" s="2076"/>
      <c r="D221" s="2076"/>
      <c r="E221" s="2076"/>
      <c r="F221" s="2076"/>
      <c r="G221" s="2076"/>
      <c r="H221" s="2076"/>
    </row>
    <row r="222" spans="1:8">
      <c r="A222" s="2080" t="s">
        <v>1820</v>
      </c>
      <c r="B222" s="2076"/>
      <c r="C222" s="2076"/>
      <c r="D222" s="2076"/>
      <c r="E222" s="2076"/>
      <c r="F222" s="2076"/>
      <c r="G222" s="2076"/>
      <c r="H222" s="2076"/>
    </row>
    <row r="223" spans="1:8">
      <c r="A223" s="2080" t="s">
        <v>1821</v>
      </c>
      <c r="B223" s="2076"/>
      <c r="C223" s="2076"/>
      <c r="D223" s="2076"/>
      <c r="E223" s="2076"/>
      <c r="F223" s="2076"/>
      <c r="G223" s="2076"/>
      <c r="H223" s="2076"/>
    </row>
    <row r="224" spans="1:8">
      <c r="A224" s="2080" t="s">
        <v>1822</v>
      </c>
      <c r="B224" s="2076"/>
      <c r="C224" s="2076"/>
      <c r="D224" s="2076"/>
      <c r="E224" s="2076"/>
      <c r="F224" s="2076"/>
      <c r="G224" s="2076"/>
      <c r="H224" s="2076"/>
    </row>
    <row r="225" spans="1:8">
      <c r="A225" s="2080" t="s">
        <v>1823</v>
      </c>
      <c r="B225" s="2076"/>
      <c r="C225" s="2076"/>
      <c r="D225" s="2076"/>
      <c r="E225" s="2076"/>
      <c r="F225" s="2076"/>
      <c r="G225" s="2076"/>
      <c r="H225" s="2076"/>
    </row>
    <row r="226" spans="1:8">
      <c r="A226" s="2080" t="s">
        <v>1824</v>
      </c>
      <c r="B226" s="2076"/>
      <c r="C226" s="2076"/>
      <c r="D226" s="2076"/>
      <c r="E226" s="2076"/>
      <c r="F226" s="2076"/>
      <c r="G226" s="2076"/>
      <c r="H226" s="2076"/>
    </row>
    <row r="227" spans="1:8">
      <c r="A227" s="2076"/>
      <c r="B227" s="2076"/>
      <c r="C227" s="2076"/>
      <c r="D227" s="2076"/>
      <c r="E227" s="2076"/>
      <c r="F227" s="2076"/>
      <c r="G227" s="2076"/>
      <c r="H227" s="2076"/>
    </row>
    <row r="228" spans="1:8">
      <c r="A228" s="2080" t="s">
        <v>1814</v>
      </c>
      <c r="B228" s="2076"/>
      <c r="C228" s="2076"/>
      <c r="D228" s="2076"/>
      <c r="E228" s="2076"/>
      <c r="F228" s="2076"/>
      <c r="G228" s="2076"/>
      <c r="H228" s="2076"/>
    </row>
    <row r="229" spans="1:8">
      <c r="A229" s="2080" t="s">
        <v>1815</v>
      </c>
      <c r="B229" s="2076"/>
      <c r="C229" s="2076"/>
      <c r="D229" s="2076"/>
      <c r="E229" s="2076"/>
      <c r="F229" s="2076"/>
      <c r="G229" s="2076"/>
      <c r="H229" s="2076"/>
    </row>
    <row r="230" spans="1:8">
      <c r="A230" s="2080" t="s">
        <v>1816</v>
      </c>
      <c r="B230" s="2076"/>
      <c r="C230" s="2076"/>
      <c r="D230" s="2076"/>
      <c r="E230" s="2076"/>
      <c r="F230" s="2076"/>
      <c r="G230" s="2076"/>
      <c r="H230" s="2076"/>
    </row>
    <row r="231" spans="1:8">
      <c r="A231" s="2080" t="s">
        <v>1817</v>
      </c>
      <c r="B231" s="2076"/>
      <c r="C231" s="2076"/>
      <c r="D231" s="2076"/>
      <c r="E231" s="2076"/>
      <c r="F231" s="2076"/>
      <c r="G231" s="2076"/>
      <c r="H231" s="2076"/>
    </row>
    <row r="232" spans="1:8">
      <c r="A232" s="2080" t="s">
        <v>1818</v>
      </c>
      <c r="B232" s="2076"/>
      <c r="C232" s="2076"/>
      <c r="D232" s="2076"/>
      <c r="E232" s="2076"/>
      <c r="F232" s="2076"/>
      <c r="G232" s="2076"/>
      <c r="H232" s="2076"/>
    </row>
    <row r="233" spans="1:8">
      <c r="A233" s="2080" t="s">
        <v>1819</v>
      </c>
      <c r="B233" s="2076"/>
      <c r="C233" s="2076"/>
      <c r="D233" s="2076"/>
      <c r="E233" s="2076"/>
      <c r="F233" s="2076"/>
      <c r="G233" s="2076"/>
      <c r="H233" s="2076"/>
    </row>
    <row r="234" spans="1:8">
      <c r="A234" s="2076"/>
      <c r="B234" s="2076"/>
      <c r="C234" s="2076"/>
      <c r="D234" s="2076"/>
      <c r="E234" s="2076"/>
      <c r="F234" s="2076"/>
      <c r="G234" s="2076"/>
      <c r="H234" s="2076"/>
    </row>
    <row r="235" spans="1:8">
      <c r="A235" s="2080" t="s">
        <v>1804</v>
      </c>
      <c r="B235" s="2076"/>
      <c r="C235" s="2076"/>
      <c r="D235" s="2076"/>
      <c r="E235" s="2076"/>
      <c r="F235" s="2076"/>
      <c r="G235" s="2076"/>
      <c r="H235" s="2076"/>
    </row>
    <row r="236" spans="1:8">
      <c r="A236" s="2080" t="s">
        <v>1805</v>
      </c>
      <c r="B236" s="2076"/>
      <c r="C236" s="2076"/>
      <c r="D236" s="2076"/>
      <c r="E236" s="2076"/>
      <c r="F236" s="2076"/>
      <c r="G236" s="2076"/>
      <c r="H236" s="2076"/>
    </row>
    <row r="237" spans="1:8">
      <c r="A237" s="2080" t="s">
        <v>1806</v>
      </c>
      <c r="B237" s="2076"/>
      <c r="C237" s="2076"/>
      <c r="D237" s="2076"/>
      <c r="E237" s="2076"/>
      <c r="F237" s="2076"/>
      <c r="G237" s="2076"/>
      <c r="H237" s="2076"/>
    </row>
    <row r="238" spans="1:8">
      <c r="A238" s="2080" t="s">
        <v>1807</v>
      </c>
      <c r="B238" s="2076"/>
      <c r="C238" s="2076"/>
      <c r="D238" s="2076"/>
      <c r="E238" s="2076"/>
      <c r="F238" s="2076"/>
      <c r="G238" s="2076"/>
      <c r="H238" s="2076"/>
    </row>
    <row r="239" spans="1:8">
      <c r="A239" s="2080" t="s">
        <v>1808</v>
      </c>
      <c r="B239" s="2076"/>
      <c r="C239" s="2076"/>
      <c r="D239" s="2076"/>
      <c r="E239" s="2076"/>
      <c r="F239" s="2076"/>
      <c r="G239" s="2076"/>
      <c r="H239" s="2076"/>
    </row>
    <row r="240" spans="1:8">
      <c r="A240" s="2080" t="s">
        <v>1809</v>
      </c>
      <c r="B240" s="2076"/>
      <c r="C240" s="2076"/>
      <c r="D240" s="2076"/>
      <c r="E240" s="2076"/>
      <c r="F240" s="2076"/>
      <c r="G240" s="2076"/>
      <c r="H240" s="2076"/>
    </row>
    <row r="241" spans="1:8">
      <c r="A241" s="2080" t="s">
        <v>1810</v>
      </c>
      <c r="B241" s="2076"/>
      <c r="C241" s="2076"/>
      <c r="D241" s="2076"/>
      <c r="E241" s="2076"/>
      <c r="F241" s="2076"/>
      <c r="G241" s="2076"/>
      <c r="H241" s="2076"/>
    </row>
    <row r="242" spans="1:8">
      <c r="A242" s="2080" t="s">
        <v>1811</v>
      </c>
      <c r="B242" s="2076"/>
      <c r="C242" s="2076"/>
      <c r="D242" s="2076"/>
      <c r="E242" s="2076"/>
      <c r="F242" s="2076"/>
      <c r="G242" s="2076"/>
      <c r="H242" s="2076"/>
    </row>
    <row r="243" spans="1:8">
      <c r="A243" s="2080" t="s">
        <v>1812</v>
      </c>
      <c r="B243" s="2076"/>
      <c r="C243" s="2076"/>
      <c r="D243" s="2076"/>
      <c r="E243" s="2076"/>
      <c r="F243" s="2076"/>
      <c r="G243" s="2076"/>
      <c r="H243" s="2076"/>
    </row>
    <row r="244" spans="1:8">
      <c r="A244" s="2080" t="s">
        <v>1813</v>
      </c>
      <c r="B244" s="2076"/>
      <c r="C244" s="2076"/>
      <c r="D244" s="2076"/>
      <c r="E244" s="2076"/>
      <c r="F244" s="2076"/>
      <c r="G244" s="2076"/>
      <c r="H244" s="2076"/>
    </row>
    <row r="245" spans="1:8">
      <c r="A245" s="2076"/>
      <c r="B245" s="2076"/>
      <c r="C245" s="2076"/>
      <c r="D245" s="2076"/>
      <c r="E245" s="2076"/>
      <c r="F245" s="2076"/>
      <c r="G245" s="2076"/>
      <c r="H245" s="2076"/>
    </row>
    <row r="246" spans="1:8">
      <c r="A246" s="2080" t="s">
        <v>1802</v>
      </c>
      <c r="B246" s="2076"/>
      <c r="C246" s="2076"/>
      <c r="D246" s="2076"/>
      <c r="E246" s="2076"/>
      <c r="F246" s="2076"/>
      <c r="G246" s="2076"/>
      <c r="H246" s="2076"/>
    </row>
    <row r="247" spans="1:8">
      <c r="A247" s="2080" t="s">
        <v>1803</v>
      </c>
      <c r="B247" s="2076"/>
      <c r="C247" s="2076"/>
      <c r="D247" s="2076"/>
      <c r="E247" s="2076"/>
      <c r="F247" s="2076"/>
      <c r="G247" s="2076"/>
      <c r="H247" s="2076"/>
    </row>
    <row r="248" spans="1:8">
      <c r="A248" s="2076"/>
      <c r="B248" s="2076"/>
      <c r="C248" s="2076"/>
      <c r="D248" s="2076"/>
      <c r="E248" s="2076"/>
      <c r="F248" s="2076"/>
      <c r="G248" s="2076"/>
      <c r="H248" s="2076"/>
    </row>
    <row r="249" spans="1:8">
      <c r="A249" s="2080" t="s">
        <v>1800</v>
      </c>
      <c r="B249" s="2076"/>
      <c r="C249" s="2076"/>
      <c r="D249" s="2076"/>
      <c r="E249" s="2076"/>
      <c r="F249" s="2076"/>
      <c r="G249" s="2076"/>
      <c r="H249" s="2076"/>
    </row>
    <row r="250" spans="1:8">
      <c r="A250" s="2080" t="s">
        <v>1801</v>
      </c>
      <c r="B250" s="2076"/>
      <c r="C250" s="2076"/>
      <c r="D250" s="2076"/>
      <c r="E250" s="2076"/>
      <c r="F250" s="2076"/>
      <c r="G250" s="2076"/>
      <c r="H250" s="2076"/>
    </row>
    <row r="251" spans="1:8">
      <c r="A251" s="2076"/>
      <c r="B251" s="2076"/>
      <c r="C251" s="2076"/>
      <c r="D251" s="2076"/>
      <c r="E251" s="2076"/>
      <c r="F251" s="2076"/>
      <c r="G251" s="2076"/>
      <c r="H251" s="2076"/>
    </row>
    <row r="252" spans="1:8">
      <c r="A252" s="2080" t="s">
        <v>1784</v>
      </c>
      <c r="B252" s="2076"/>
      <c r="C252" s="2076"/>
      <c r="D252" s="2076"/>
      <c r="E252" s="2076"/>
      <c r="F252" s="2076"/>
      <c r="G252" s="2076"/>
      <c r="H252" s="2076"/>
    </row>
    <row r="253" spans="1:8">
      <c r="A253" s="2080" t="s">
        <v>1785</v>
      </c>
      <c r="B253" s="2076"/>
      <c r="C253" s="2076"/>
      <c r="D253" s="2076"/>
      <c r="E253" s="2076"/>
      <c r="F253" s="2076"/>
      <c r="G253" s="2076"/>
      <c r="H253" s="2076"/>
    </row>
    <row r="254" spans="1:8">
      <c r="A254" s="2080" t="s">
        <v>1786</v>
      </c>
      <c r="B254" s="2076"/>
      <c r="C254" s="2076"/>
      <c r="D254" s="2076"/>
      <c r="E254" s="2076"/>
      <c r="F254" s="2076"/>
      <c r="G254" s="2076"/>
      <c r="H254" s="2076"/>
    </row>
    <row r="255" spans="1:8">
      <c r="A255" s="2080" t="s">
        <v>1787</v>
      </c>
      <c r="B255" s="2076"/>
      <c r="C255" s="2076"/>
      <c r="D255" s="2076"/>
      <c r="E255" s="2076"/>
      <c r="F255" s="2076"/>
      <c r="G255" s="2076"/>
      <c r="H255" s="2076"/>
    </row>
    <row r="256" spans="1:8">
      <c r="A256" s="2080" t="s">
        <v>1788</v>
      </c>
      <c r="B256" s="2076"/>
      <c r="C256" s="2076"/>
      <c r="D256" s="2076"/>
      <c r="E256" s="2076"/>
      <c r="F256" s="2076"/>
      <c r="G256" s="2076"/>
      <c r="H256" s="2076"/>
    </row>
    <row r="257" spans="1:8">
      <c r="A257" s="2080" t="s">
        <v>1789</v>
      </c>
      <c r="B257" s="2076"/>
      <c r="C257" s="2076"/>
      <c r="D257" s="2076"/>
      <c r="E257" s="2076"/>
      <c r="F257" s="2076"/>
      <c r="G257" s="2076"/>
      <c r="H257" s="2076"/>
    </row>
    <row r="258" spans="1:8">
      <c r="A258" s="2080" t="s">
        <v>1790</v>
      </c>
      <c r="B258" s="2076"/>
      <c r="C258" s="2076"/>
      <c r="D258" s="2076"/>
      <c r="E258" s="2076"/>
      <c r="F258" s="2076"/>
      <c r="G258" s="2076"/>
      <c r="H258" s="2076"/>
    </row>
    <row r="259" spans="1:8">
      <c r="A259" s="2080" t="s">
        <v>1791</v>
      </c>
      <c r="B259" s="2076"/>
      <c r="C259" s="2076"/>
      <c r="D259" s="2076"/>
      <c r="E259" s="2076"/>
      <c r="F259" s="2076"/>
      <c r="G259" s="2076"/>
      <c r="H259" s="2076"/>
    </row>
    <row r="260" spans="1:8">
      <c r="A260" s="2080" t="s">
        <v>1792</v>
      </c>
      <c r="B260" s="2076"/>
      <c r="C260" s="2076"/>
      <c r="D260" s="2076"/>
      <c r="E260" s="2076"/>
      <c r="F260" s="2076"/>
      <c r="G260" s="2076"/>
      <c r="H260" s="2076"/>
    </row>
    <row r="261" spans="1:8">
      <c r="A261" s="2080" t="s">
        <v>1793</v>
      </c>
      <c r="B261" s="2076"/>
      <c r="C261" s="2076"/>
      <c r="D261" s="2076"/>
      <c r="E261" s="2076"/>
      <c r="F261" s="2076"/>
      <c r="G261" s="2076"/>
      <c r="H261" s="2076"/>
    </row>
    <row r="262" spans="1:8">
      <c r="A262" s="2080" t="s">
        <v>1794</v>
      </c>
      <c r="B262" s="2076"/>
      <c r="C262" s="2076"/>
      <c r="D262" s="2076"/>
      <c r="E262" s="2076"/>
      <c r="F262" s="2076"/>
      <c r="G262" s="2076"/>
      <c r="H262" s="2076"/>
    </row>
    <row r="263" spans="1:8">
      <c r="A263" s="2080" t="s">
        <v>1795</v>
      </c>
      <c r="B263" s="2076"/>
      <c r="C263" s="2076"/>
      <c r="D263" s="2076"/>
      <c r="E263" s="2076"/>
      <c r="F263" s="2076"/>
      <c r="G263" s="2076"/>
      <c r="H263" s="2076"/>
    </row>
    <row r="264" spans="1:8">
      <c r="A264" s="2080" t="s">
        <v>1796</v>
      </c>
      <c r="B264" s="2076"/>
      <c r="C264" s="2076"/>
      <c r="D264" s="2076"/>
      <c r="E264" s="2076"/>
      <c r="F264" s="2076"/>
      <c r="G264" s="2076"/>
      <c r="H264" s="2076"/>
    </row>
    <row r="265" spans="1:8">
      <c r="A265" s="2080" t="s">
        <v>1797</v>
      </c>
      <c r="B265" s="2076"/>
      <c r="C265" s="2076"/>
      <c r="D265" s="2076"/>
      <c r="E265" s="2076"/>
      <c r="F265" s="2076"/>
      <c r="G265" s="2076"/>
      <c r="H265" s="2076"/>
    </row>
    <row r="266" spans="1:8">
      <c r="A266" s="2080" t="s">
        <v>1798</v>
      </c>
      <c r="B266" s="2076"/>
      <c r="C266" s="2076"/>
      <c r="D266" s="2076"/>
      <c r="E266" s="2076"/>
      <c r="F266" s="2076"/>
      <c r="G266" s="2076"/>
      <c r="H266" s="2076"/>
    </row>
    <row r="267" spans="1:8">
      <c r="A267" s="2080" t="s">
        <v>1799</v>
      </c>
      <c r="B267" s="2076"/>
      <c r="C267" s="2076"/>
      <c r="D267" s="2076"/>
      <c r="E267" s="2076"/>
      <c r="F267" s="2076"/>
      <c r="G267" s="2076"/>
      <c r="H267" s="2076"/>
    </row>
    <row r="268" spans="1:8">
      <c r="A268" s="2076"/>
      <c r="B268" s="2076"/>
      <c r="C268" s="2076"/>
      <c r="D268" s="2076"/>
      <c r="E268" s="2076"/>
      <c r="F268" s="2076"/>
      <c r="G268" s="2076"/>
      <c r="H268" s="2076"/>
    </row>
    <row r="269" spans="1:8">
      <c r="A269" s="2080" t="s">
        <v>1777</v>
      </c>
      <c r="B269" s="2076"/>
      <c r="C269" s="2076"/>
      <c r="D269" s="2076"/>
      <c r="E269" s="2076"/>
      <c r="F269" s="2076"/>
      <c r="G269" s="2076"/>
      <c r="H269" s="2076"/>
    </row>
    <row r="270" spans="1:8">
      <c r="A270" s="2080" t="s">
        <v>1778</v>
      </c>
      <c r="B270" s="2076"/>
      <c r="C270" s="2076"/>
      <c r="D270" s="2076"/>
      <c r="E270" s="2076"/>
      <c r="F270" s="2076"/>
      <c r="G270" s="2076"/>
      <c r="H270" s="2076"/>
    </row>
    <row r="271" spans="1:8">
      <c r="A271" s="2080" t="s">
        <v>1779</v>
      </c>
      <c r="B271" s="2076"/>
      <c r="C271" s="2076"/>
      <c r="D271" s="2076"/>
      <c r="E271" s="2076"/>
      <c r="F271" s="2076"/>
      <c r="G271" s="2076"/>
      <c r="H271" s="2076"/>
    </row>
    <row r="272" spans="1:8">
      <c r="A272" s="2080" t="s">
        <v>1780</v>
      </c>
      <c r="B272" s="2076"/>
      <c r="C272" s="2076"/>
      <c r="D272" s="2076"/>
      <c r="E272" s="2076"/>
      <c r="F272" s="2076"/>
      <c r="G272" s="2076"/>
      <c r="H272" s="2076"/>
    </row>
    <row r="273" spans="1:8">
      <c r="A273" s="2080" t="s">
        <v>1781</v>
      </c>
      <c r="B273" s="2076"/>
      <c r="C273" s="2076"/>
      <c r="D273" s="2076"/>
      <c r="E273" s="2076"/>
      <c r="F273" s="2076"/>
      <c r="G273" s="2076"/>
      <c r="H273" s="2076"/>
    </row>
    <row r="274" spans="1:8">
      <c r="A274" s="2080" t="s">
        <v>1782</v>
      </c>
      <c r="B274" s="2076"/>
      <c r="C274" s="2076"/>
      <c r="D274" s="2076"/>
      <c r="E274" s="2076"/>
      <c r="F274" s="2076"/>
      <c r="G274" s="2076"/>
      <c r="H274" s="2076"/>
    </row>
    <row r="275" spans="1:8">
      <c r="A275" s="2080" t="s">
        <v>1783</v>
      </c>
      <c r="B275" s="2076"/>
      <c r="C275" s="2076"/>
      <c r="D275" s="2076"/>
      <c r="E275" s="2076"/>
      <c r="F275" s="2076"/>
      <c r="G275" s="2076"/>
      <c r="H275" s="2076"/>
    </row>
    <row r="276" spans="1:8">
      <c r="A276" s="2076"/>
      <c r="B276" s="2076"/>
      <c r="C276" s="2076"/>
      <c r="D276" s="2076"/>
      <c r="E276" s="2076"/>
      <c r="F276" s="2076"/>
      <c r="G276" s="2076"/>
      <c r="H276" s="2076"/>
    </row>
    <row r="277" spans="1:8">
      <c r="A277" s="2080" t="s">
        <v>1768</v>
      </c>
      <c r="B277" s="2076"/>
      <c r="C277" s="2076"/>
      <c r="D277" s="2076"/>
      <c r="E277" s="2076"/>
      <c r="F277" s="2076"/>
      <c r="G277" s="2076"/>
      <c r="H277" s="2076"/>
    </row>
    <row r="278" spans="1:8">
      <c r="A278" s="2080" t="s">
        <v>1769</v>
      </c>
      <c r="B278" s="2076"/>
      <c r="C278" s="2076"/>
      <c r="D278" s="2076"/>
      <c r="E278" s="2076"/>
      <c r="F278" s="2076"/>
      <c r="G278" s="2076"/>
      <c r="H278" s="2076"/>
    </row>
    <row r="279" spans="1:8">
      <c r="A279" s="2080" t="s">
        <v>1770</v>
      </c>
      <c r="B279" s="2076"/>
      <c r="C279" s="2076"/>
      <c r="D279" s="2076"/>
      <c r="E279" s="2076"/>
      <c r="F279" s="2076"/>
      <c r="G279" s="2076"/>
      <c r="H279" s="2076"/>
    </row>
    <row r="280" spans="1:8">
      <c r="A280" s="2080" t="s">
        <v>1771</v>
      </c>
      <c r="B280" s="2076"/>
      <c r="C280" s="2076"/>
      <c r="D280" s="2076"/>
      <c r="E280" s="2076"/>
      <c r="F280" s="2076"/>
      <c r="G280" s="2076"/>
      <c r="H280" s="2076"/>
    </row>
    <row r="281" spans="1:8">
      <c r="A281" s="2080" t="s">
        <v>1772</v>
      </c>
      <c r="B281" s="2076"/>
      <c r="C281" s="2076"/>
      <c r="D281" s="2076"/>
      <c r="E281" s="2076"/>
      <c r="F281" s="2076"/>
      <c r="G281" s="2076"/>
      <c r="H281" s="2076"/>
    </row>
    <row r="282" spans="1:8">
      <c r="A282" s="2080" t="s">
        <v>1773</v>
      </c>
      <c r="B282" s="2076"/>
      <c r="C282" s="2076"/>
      <c r="D282" s="2076"/>
      <c r="E282" s="2076"/>
      <c r="F282" s="2076"/>
      <c r="G282" s="2076"/>
      <c r="H282" s="2076"/>
    </row>
    <row r="283" spans="1:8">
      <c r="A283" s="2080" t="s">
        <v>1774</v>
      </c>
      <c r="B283" s="2076"/>
      <c r="C283" s="2076"/>
      <c r="D283" s="2076"/>
      <c r="E283" s="2076"/>
      <c r="F283" s="2076"/>
      <c r="G283" s="2076"/>
      <c r="H283" s="2076"/>
    </row>
    <row r="284" spans="1:8">
      <c r="A284" s="2080" t="s">
        <v>1775</v>
      </c>
      <c r="B284" s="2076"/>
      <c r="C284" s="2076"/>
      <c r="D284" s="2076"/>
      <c r="E284" s="2076"/>
      <c r="F284" s="2076"/>
      <c r="G284" s="2076"/>
      <c r="H284" s="2076"/>
    </row>
    <row r="285" spans="1:8">
      <c r="A285" s="2080" t="s">
        <v>1776</v>
      </c>
      <c r="B285" s="2076"/>
      <c r="C285" s="2076"/>
      <c r="D285" s="2076"/>
      <c r="E285" s="2076"/>
      <c r="F285" s="2076"/>
      <c r="G285" s="2076"/>
      <c r="H285" s="2076"/>
    </row>
    <row r="286" spans="1:8">
      <c r="A286" s="2076"/>
      <c r="B286" s="2076"/>
      <c r="C286" s="2076"/>
      <c r="D286" s="2076"/>
      <c r="E286" s="2076"/>
      <c r="F286" s="2076"/>
      <c r="G286" s="2076"/>
      <c r="H286" s="2076"/>
    </row>
    <row r="287" spans="1:8">
      <c r="A287" s="2080" t="s">
        <v>1761</v>
      </c>
      <c r="B287" s="2076"/>
      <c r="C287" s="2076"/>
      <c r="D287" s="2076"/>
      <c r="E287" s="2076"/>
      <c r="F287" s="2076"/>
      <c r="G287" s="2076"/>
      <c r="H287" s="2076"/>
    </row>
    <row r="288" spans="1:8">
      <c r="A288" s="2080" t="s">
        <v>1762</v>
      </c>
      <c r="B288" s="2076"/>
      <c r="C288" s="2076"/>
      <c r="D288" s="2076"/>
      <c r="E288" s="2076"/>
      <c r="F288" s="2076"/>
      <c r="G288" s="2076"/>
      <c r="H288" s="2076"/>
    </row>
    <row r="289" spans="1:8">
      <c r="A289" s="2080" t="s">
        <v>1763</v>
      </c>
      <c r="B289" s="2076"/>
      <c r="C289" s="2076"/>
      <c r="D289" s="2076"/>
      <c r="E289" s="2076"/>
      <c r="F289" s="2076"/>
      <c r="G289" s="2076"/>
      <c r="H289" s="2076"/>
    </row>
    <row r="290" spans="1:8">
      <c r="A290" s="2080" t="s">
        <v>1764</v>
      </c>
      <c r="B290" s="2076"/>
      <c r="C290" s="2076"/>
      <c r="D290" s="2076"/>
      <c r="E290" s="2076"/>
      <c r="F290" s="2076"/>
      <c r="G290" s="2076"/>
      <c r="H290" s="2076"/>
    </row>
    <row r="291" spans="1:8">
      <c r="A291" s="2080" t="s">
        <v>1765</v>
      </c>
      <c r="B291" s="2076"/>
      <c r="C291" s="2076"/>
      <c r="D291" s="2076"/>
      <c r="E291" s="2076"/>
      <c r="F291" s="2076"/>
      <c r="G291" s="2076"/>
      <c r="H291" s="2076"/>
    </row>
    <row r="292" spans="1:8">
      <c r="A292" s="2080" t="s">
        <v>1766</v>
      </c>
      <c r="B292" s="2076"/>
      <c r="C292" s="2076"/>
      <c r="D292" s="2076"/>
      <c r="E292" s="2076"/>
      <c r="F292" s="2076"/>
      <c r="G292" s="2076"/>
      <c r="H292" s="2076"/>
    </row>
    <row r="293" spans="1:8">
      <c r="A293" s="2080" t="s">
        <v>1767</v>
      </c>
      <c r="B293" s="2076"/>
      <c r="C293" s="2076"/>
      <c r="D293" s="2076"/>
      <c r="E293" s="2076"/>
      <c r="F293" s="2076"/>
      <c r="G293" s="2076"/>
      <c r="H293" s="2076"/>
    </row>
    <row r="294" spans="1:8">
      <c r="A294" s="2076"/>
      <c r="B294" s="2076"/>
      <c r="C294" s="2076"/>
      <c r="D294" s="2076"/>
      <c r="E294" s="2076"/>
      <c r="F294" s="2076"/>
      <c r="G294" s="2076"/>
      <c r="H294" s="2076"/>
    </row>
    <row r="295" spans="1:8">
      <c r="A295" s="2080" t="s">
        <v>1758</v>
      </c>
      <c r="B295" s="2076"/>
      <c r="C295" s="2076"/>
      <c r="D295" s="2076"/>
      <c r="E295" s="2076"/>
      <c r="F295" s="2076"/>
      <c r="G295" s="2076"/>
      <c r="H295" s="2076"/>
    </row>
    <row r="296" spans="1:8">
      <c r="A296" s="2080" t="s">
        <v>1759</v>
      </c>
      <c r="B296" s="2076"/>
      <c r="C296" s="2076"/>
      <c r="D296" s="2076"/>
      <c r="E296" s="2076"/>
      <c r="F296" s="2076"/>
      <c r="G296" s="2076"/>
      <c r="H296" s="2076"/>
    </row>
    <row r="297" spans="1:8">
      <c r="A297" s="2080" t="s">
        <v>1760</v>
      </c>
      <c r="B297" s="2076"/>
      <c r="C297" s="2076"/>
      <c r="D297" s="2076"/>
      <c r="E297" s="2076"/>
      <c r="F297" s="2076"/>
      <c r="G297" s="2076"/>
      <c r="H297" s="2076"/>
    </row>
    <row r="298" spans="1:8">
      <c r="A298" s="2076"/>
      <c r="B298" s="2076"/>
      <c r="C298" s="2076"/>
      <c r="D298" s="2076"/>
      <c r="E298" s="2076"/>
      <c r="F298" s="2076"/>
      <c r="G298" s="2076"/>
      <c r="H298" s="2076"/>
    </row>
    <row r="299" spans="1:8">
      <c r="A299" s="2080" t="s">
        <v>1756</v>
      </c>
      <c r="B299" s="2076"/>
      <c r="C299" s="2076"/>
      <c r="D299" s="2076"/>
      <c r="E299" s="2076"/>
      <c r="F299" s="2076"/>
      <c r="G299" s="2076"/>
      <c r="H299" s="2076"/>
    </row>
    <row r="300" spans="1:8">
      <c r="A300" s="2080" t="s">
        <v>1757</v>
      </c>
      <c r="B300" s="2076"/>
      <c r="C300" s="2076"/>
      <c r="D300" s="2076"/>
      <c r="E300" s="2076"/>
      <c r="F300" s="2076"/>
      <c r="G300" s="2076"/>
      <c r="H300" s="2076"/>
    </row>
    <row r="301" spans="1:8">
      <c r="A301" s="2076"/>
      <c r="B301" s="2076"/>
      <c r="C301" s="2076"/>
      <c r="D301" s="2076"/>
      <c r="E301" s="2076"/>
      <c r="F301" s="2076"/>
      <c r="G301" s="2076"/>
      <c r="H301" s="2076"/>
    </row>
    <row r="302" spans="1:8">
      <c r="A302" s="2080" t="s">
        <v>1743</v>
      </c>
      <c r="B302" s="2076"/>
      <c r="C302" s="2076"/>
      <c r="D302" s="2076"/>
      <c r="E302" s="2076"/>
      <c r="F302" s="2076"/>
      <c r="G302" s="2076"/>
      <c r="H302" s="2076"/>
    </row>
    <row r="303" spans="1:8">
      <c r="A303" s="2080" t="s">
        <v>1744</v>
      </c>
      <c r="B303" s="2076"/>
      <c r="C303" s="2076"/>
      <c r="D303" s="2076"/>
      <c r="E303" s="2076"/>
      <c r="F303" s="2076"/>
      <c r="G303" s="2076"/>
      <c r="H303" s="2076"/>
    </row>
    <row r="304" spans="1:8">
      <c r="A304" s="2080" t="s">
        <v>1745</v>
      </c>
      <c r="B304" s="2076"/>
      <c r="C304" s="2076"/>
      <c r="D304" s="2076"/>
      <c r="E304" s="2076"/>
      <c r="F304" s="2076"/>
      <c r="G304" s="2076"/>
      <c r="H304" s="2076"/>
    </row>
    <row r="305" spans="1:8">
      <c r="A305" s="2080" t="s">
        <v>1746</v>
      </c>
      <c r="B305" s="2076"/>
      <c r="C305" s="2076"/>
      <c r="D305" s="2076"/>
      <c r="E305" s="2076"/>
      <c r="F305" s="2076"/>
      <c r="G305" s="2076"/>
      <c r="H305" s="2076"/>
    </row>
    <row r="306" spans="1:8">
      <c r="A306" s="2080" t="s">
        <v>1747</v>
      </c>
      <c r="B306" s="2076"/>
      <c r="C306" s="2076"/>
      <c r="D306" s="2076"/>
      <c r="E306" s="2076"/>
      <c r="F306" s="2076"/>
      <c r="G306" s="2076"/>
      <c r="H306" s="2076"/>
    </row>
    <row r="307" spans="1:8">
      <c r="A307" s="2080" t="s">
        <v>1748</v>
      </c>
      <c r="B307" s="2076"/>
      <c r="C307" s="2076"/>
      <c r="D307" s="2076"/>
      <c r="E307" s="2076"/>
      <c r="F307" s="2076"/>
      <c r="G307" s="2076"/>
      <c r="H307" s="2076"/>
    </row>
    <row r="308" spans="1:8">
      <c r="A308" s="2080" t="s">
        <v>1749</v>
      </c>
      <c r="B308" s="2076"/>
      <c r="C308" s="2076"/>
      <c r="D308" s="2076"/>
      <c r="E308" s="2076"/>
      <c r="F308" s="2076"/>
      <c r="G308" s="2076"/>
      <c r="H308" s="2076"/>
    </row>
    <row r="309" spans="1:8">
      <c r="A309" s="2080" t="s">
        <v>1750</v>
      </c>
      <c r="B309" s="2076"/>
      <c r="C309" s="2076"/>
      <c r="D309" s="2076"/>
      <c r="E309" s="2076"/>
      <c r="F309" s="2076"/>
      <c r="G309" s="2076"/>
      <c r="H309" s="2076"/>
    </row>
    <row r="310" spans="1:8">
      <c r="A310" s="2080" t="s">
        <v>1751</v>
      </c>
      <c r="B310" s="2076"/>
      <c r="C310" s="2076"/>
      <c r="D310" s="2076"/>
      <c r="E310" s="2076"/>
      <c r="F310" s="2076"/>
      <c r="G310" s="2076"/>
      <c r="H310" s="2076"/>
    </row>
    <row r="311" spans="1:8">
      <c r="A311" s="2080" t="s">
        <v>1752</v>
      </c>
      <c r="B311" s="2076"/>
      <c r="C311" s="2076"/>
      <c r="D311" s="2076"/>
      <c r="E311" s="2076"/>
      <c r="F311" s="2076"/>
      <c r="G311" s="2076"/>
      <c r="H311" s="2076"/>
    </row>
    <row r="312" spans="1:8">
      <c r="A312" s="2080" t="s">
        <v>1753</v>
      </c>
      <c r="B312" s="2076"/>
      <c r="C312" s="2076"/>
      <c r="D312" s="2076"/>
      <c r="E312" s="2076"/>
      <c r="F312" s="2076"/>
      <c r="G312" s="2076"/>
      <c r="H312" s="2076"/>
    </row>
    <row r="313" spans="1:8">
      <c r="A313" s="2080" t="s">
        <v>1754</v>
      </c>
      <c r="B313" s="2076"/>
      <c r="C313" s="2076"/>
      <c r="D313" s="2076"/>
      <c r="E313" s="2076"/>
      <c r="F313" s="2076"/>
      <c r="G313" s="2076"/>
      <c r="H313" s="2076"/>
    </row>
    <row r="314" spans="1:8">
      <c r="A314" s="2080" t="s">
        <v>1755</v>
      </c>
      <c r="B314" s="2076"/>
      <c r="C314" s="2076"/>
      <c r="D314" s="2076"/>
      <c r="E314" s="2076"/>
      <c r="F314" s="2076"/>
      <c r="G314" s="2076"/>
      <c r="H314" s="2076"/>
    </row>
    <row r="315" spans="1:8">
      <c r="A315" s="2076"/>
      <c r="B315" s="2076"/>
      <c r="C315" s="2076"/>
      <c r="D315" s="2076"/>
      <c r="E315" s="2076"/>
      <c r="F315" s="2076"/>
      <c r="G315" s="2076"/>
      <c r="H315" s="2076"/>
    </row>
    <row r="316" spans="1:8">
      <c r="A316" s="2080" t="s">
        <v>1735</v>
      </c>
      <c r="B316" s="2076"/>
      <c r="C316" s="2076"/>
      <c r="D316" s="2076"/>
      <c r="E316" s="2076"/>
      <c r="F316" s="2076"/>
      <c r="G316" s="2076"/>
      <c r="H316" s="2076"/>
    </row>
    <row r="317" spans="1:8">
      <c r="A317" s="2080" t="s">
        <v>1736</v>
      </c>
      <c r="B317" s="2076"/>
      <c r="C317" s="2076"/>
      <c r="D317" s="2076"/>
      <c r="E317" s="2076"/>
      <c r="F317" s="2076"/>
      <c r="G317" s="2076"/>
      <c r="H317" s="2076"/>
    </row>
    <row r="318" spans="1:8">
      <c r="A318" s="2080" t="s">
        <v>1737</v>
      </c>
      <c r="B318" s="2076"/>
      <c r="C318" s="2076"/>
      <c r="D318" s="2076"/>
      <c r="E318" s="2076"/>
      <c r="F318" s="2076"/>
      <c r="G318" s="2076"/>
      <c r="H318" s="2076"/>
    </row>
    <row r="319" spans="1:8">
      <c r="A319" s="2080" t="s">
        <v>1738</v>
      </c>
      <c r="B319" s="2076"/>
      <c r="C319" s="2076"/>
      <c r="D319" s="2076"/>
      <c r="E319" s="2076"/>
      <c r="F319" s="2076"/>
      <c r="G319" s="2076"/>
      <c r="H319" s="2076"/>
    </row>
    <row r="320" spans="1:8">
      <c r="A320" s="2080" t="s">
        <v>1739</v>
      </c>
      <c r="B320" s="2076"/>
      <c r="C320" s="2076"/>
      <c r="D320" s="2076"/>
      <c r="E320" s="2076"/>
      <c r="F320" s="2076"/>
      <c r="G320" s="2076"/>
      <c r="H320" s="2076"/>
    </row>
    <row r="321" spans="1:8">
      <c r="A321" s="2080" t="s">
        <v>1740</v>
      </c>
      <c r="B321" s="2076"/>
      <c r="C321" s="2076"/>
      <c r="D321" s="2076"/>
      <c r="E321" s="2076"/>
      <c r="F321" s="2076"/>
      <c r="G321" s="2076"/>
      <c r="H321" s="2076"/>
    </row>
    <row r="322" spans="1:8">
      <c r="A322" s="2080" t="s">
        <v>1741</v>
      </c>
      <c r="B322" s="2076"/>
      <c r="C322" s="2076"/>
      <c r="D322" s="2076"/>
      <c r="E322" s="2076"/>
      <c r="F322" s="2076"/>
      <c r="G322" s="2076"/>
      <c r="H322" s="2076"/>
    </row>
    <row r="323" spans="1:8">
      <c r="A323" s="2080" t="s">
        <v>1742</v>
      </c>
      <c r="B323" s="2076"/>
      <c r="C323" s="2076"/>
      <c r="D323" s="2076"/>
      <c r="E323" s="2076"/>
      <c r="F323" s="2076"/>
      <c r="G323" s="2076"/>
      <c r="H323" s="2076"/>
    </row>
    <row r="324" spans="1:8">
      <c r="A324" s="2076"/>
      <c r="B324" s="2076"/>
      <c r="C324" s="2076"/>
      <c r="D324" s="2076"/>
      <c r="E324" s="2076"/>
      <c r="F324" s="2076"/>
      <c r="G324" s="2076"/>
      <c r="H324" s="2076"/>
    </row>
    <row r="325" spans="1:8">
      <c r="A325" s="2080" t="s">
        <v>1690</v>
      </c>
      <c r="B325" s="2076"/>
      <c r="C325" s="2076"/>
      <c r="D325" s="2076"/>
      <c r="E325" s="2076"/>
      <c r="F325" s="2076"/>
      <c r="G325" s="2076"/>
      <c r="H325" s="2076"/>
    </row>
    <row r="326" spans="1:8">
      <c r="A326" s="2080" t="s">
        <v>1691</v>
      </c>
      <c r="B326" s="2076"/>
      <c r="C326" s="2076"/>
      <c r="D326" s="2076"/>
      <c r="E326" s="2076"/>
      <c r="F326" s="2076"/>
      <c r="G326" s="2076"/>
      <c r="H326" s="2076"/>
    </row>
    <row r="327" spans="1:8">
      <c r="A327" s="2080" t="s">
        <v>1692</v>
      </c>
      <c r="B327" s="2076"/>
      <c r="C327" s="2076"/>
      <c r="D327" s="2076"/>
      <c r="E327" s="2076"/>
      <c r="F327" s="2076"/>
      <c r="G327" s="2076"/>
      <c r="H327" s="2076"/>
    </row>
    <row r="328" spans="1:8">
      <c r="A328" s="2080" t="s">
        <v>1693</v>
      </c>
      <c r="B328" s="2076"/>
      <c r="C328" s="2076"/>
      <c r="D328" s="2076"/>
      <c r="E328" s="2076"/>
      <c r="F328" s="2076"/>
      <c r="G328" s="2076"/>
      <c r="H328" s="2076"/>
    </row>
    <row r="329" spans="1:8">
      <c r="A329" s="2080" t="s">
        <v>1694</v>
      </c>
      <c r="B329" s="2076"/>
      <c r="C329" s="2076"/>
      <c r="D329" s="2076"/>
      <c r="E329" s="2076"/>
      <c r="F329" s="2076"/>
      <c r="G329" s="2076"/>
      <c r="H329" s="2076"/>
    </row>
    <row r="330" spans="1:8">
      <c r="A330" s="2080" t="s">
        <v>1695</v>
      </c>
      <c r="B330" s="2076"/>
      <c r="C330" s="2076"/>
      <c r="D330" s="2076"/>
      <c r="E330" s="2076"/>
      <c r="F330" s="2076"/>
      <c r="G330" s="2076"/>
      <c r="H330" s="2076"/>
    </row>
    <row r="331" spans="1:8">
      <c r="A331" s="2080" t="s">
        <v>1696</v>
      </c>
      <c r="B331" s="2076"/>
      <c r="C331" s="2076"/>
      <c r="D331" s="2076"/>
      <c r="E331" s="2076"/>
      <c r="F331" s="2076"/>
      <c r="G331" s="2076"/>
      <c r="H331" s="2076"/>
    </row>
    <row r="332" spans="1:8">
      <c r="A332" s="2080" t="s">
        <v>1697</v>
      </c>
      <c r="B332" s="2076"/>
      <c r="C332" s="2076"/>
      <c r="D332" s="2076"/>
      <c r="E332" s="2076"/>
      <c r="F332" s="2076"/>
      <c r="G332" s="2076"/>
      <c r="H332" s="2076"/>
    </row>
    <row r="333" spans="1:8">
      <c r="A333" s="2080" t="s">
        <v>1698</v>
      </c>
      <c r="B333" s="2076"/>
      <c r="C333" s="2076"/>
      <c r="D333" s="2076"/>
      <c r="E333" s="2076"/>
      <c r="F333" s="2076"/>
      <c r="G333" s="2076"/>
      <c r="H333" s="2076"/>
    </row>
    <row r="334" spans="1:8">
      <c r="A334" s="2080" t="s">
        <v>1699</v>
      </c>
      <c r="B334" s="2076"/>
      <c r="C334" s="2076"/>
      <c r="D334" s="2076"/>
      <c r="E334" s="2076"/>
      <c r="F334" s="2076"/>
      <c r="G334" s="2076"/>
      <c r="H334" s="2076"/>
    </row>
    <row r="335" spans="1:8">
      <c r="A335" s="2080" t="s">
        <v>1700</v>
      </c>
      <c r="B335" s="2076"/>
      <c r="C335" s="2076"/>
      <c r="D335" s="2076"/>
      <c r="E335" s="2076"/>
      <c r="F335" s="2076"/>
      <c r="G335" s="2076"/>
      <c r="H335" s="2076"/>
    </row>
    <row r="336" spans="1:8">
      <c r="A336" s="2080" t="s">
        <v>1701</v>
      </c>
      <c r="B336" s="2076"/>
      <c r="C336" s="2076"/>
      <c r="D336" s="2076"/>
      <c r="E336" s="2076"/>
      <c r="F336" s="2076"/>
      <c r="G336" s="2076"/>
      <c r="H336" s="2076"/>
    </row>
    <row r="337" spans="1:8">
      <c r="A337" s="2080" t="s">
        <v>1702</v>
      </c>
      <c r="B337" s="2076"/>
      <c r="C337" s="2076"/>
      <c r="D337" s="2076"/>
      <c r="E337" s="2076"/>
      <c r="F337" s="2076"/>
      <c r="G337" s="2076"/>
      <c r="H337" s="2076"/>
    </row>
    <row r="338" spans="1:8">
      <c r="A338" s="2080" t="s">
        <v>1703</v>
      </c>
      <c r="B338" s="2076"/>
      <c r="C338" s="2076"/>
      <c r="D338" s="2076"/>
      <c r="E338" s="2076"/>
      <c r="F338" s="2076"/>
      <c r="G338" s="2076"/>
      <c r="H338" s="2076"/>
    </row>
    <row r="339" spans="1:8">
      <c r="A339" s="2080" t="s">
        <v>1704</v>
      </c>
      <c r="B339" s="2076"/>
      <c r="C339" s="2076"/>
      <c r="D339" s="2076"/>
      <c r="E339" s="2076"/>
      <c r="F339" s="2076"/>
      <c r="G339" s="2076"/>
      <c r="H339" s="2076"/>
    </row>
    <row r="340" spans="1:8">
      <c r="A340" s="2080" t="s">
        <v>1705</v>
      </c>
      <c r="B340" s="2076"/>
      <c r="C340" s="2076"/>
      <c r="D340" s="2076"/>
      <c r="E340" s="2076"/>
      <c r="F340" s="2076"/>
      <c r="G340" s="2076"/>
      <c r="H340" s="2076"/>
    </row>
    <row r="341" spans="1:8">
      <c r="A341" s="2080" t="s">
        <v>1706</v>
      </c>
      <c r="B341" s="2076"/>
      <c r="C341" s="2076"/>
      <c r="D341" s="2076"/>
      <c r="E341" s="2076"/>
      <c r="F341" s="2076"/>
      <c r="G341" s="2076"/>
      <c r="H341" s="2076"/>
    </row>
    <row r="342" spans="1:8">
      <c r="A342" s="2080" t="s">
        <v>1707</v>
      </c>
      <c r="B342" s="2076"/>
      <c r="C342" s="2076"/>
      <c r="D342" s="2076"/>
      <c r="E342" s="2076"/>
      <c r="F342" s="2076"/>
      <c r="G342" s="2076"/>
      <c r="H342" s="2076"/>
    </row>
    <row r="343" spans="1:8">
      <c r="A343" s="2080" t="s">
        <v>1708</v>
      </c>
      <c r="B343" s="2076"/>
      <c r="C343" s="2076"/>
      <c r="D343" s="2076"/>
      <c r="E343" s="2076"/>
      <c r="F343" s="2076"/>
      <c r="G343" s="2076"/>
      <c r="H343" s="2076"/>
    </row>
    <row r="344" spans="1:8">
      <c r="A344" s="2080" t="s">
        <v>1709</v>
      </c>
      <c r="B344" s="2076"/>
      <c r="C344" s="2076"/>
      <c r="D344" s="2076"/>
      <c r="E344" s="2076"/>
      <c r="F344" s="2076"/>
      <c r="G344" s="2076"/>
      <c r="H344" s="2076"/>
    </row>
    <row r="345" spans="1:8">
      <c r="A345" s="2080" t="s">
        <v>1710</v>
      </c>
      <c r="B345" s="2076"/>
      <c r="C345" s="2076"/>
      <c r="D345" s="2076"/>
      <c r="E345" s="2076"/>
      <c r="F345" s="2076"/>
      <c r="G345" s="2076"/>
      <c r="H345" s="2076"/>
    </row>
    <row r="346" spans="1:8">
      <c r="A346" s="2080" t="s">
        <v>1711</v>
      </c>
      <c r="B346" s="2076"/>
      <c r="C346" s="2076"/>
      <c r="D346" s="2076"/>
      <c r="E346" s="2076"/>
      <c r="F346" s="2076"/>
      <c r="G346" s="2076"/>
      <c r="H346" s="2076"/>
    </row>
    <row r="347" spans="1:8">
      <c r="A347" s="2080" t="s">
        <v>1712</v>
      </c>
      <c r="B347" s="2076"/>
      <c r="C347" s="2076"/>
      <c r="D347" s="2076"/>
      <c r="E347" s="2076"/>
      <c r="F347" s="2076"/>
      <c r="G347" s="2076"/>
      <c r="H347" s="2076"/>
    </row>
    <row r="348" spans="1:8">
      <c r="A348" s="2080" t="s">
        <v>1713</v>
      </c>
      <c r="B348" s="2076"/>
      <c r="C348" s="2076"/>
      <c r="D348" s="2076"/>
      <c r="E348" s="2076"/>
      <c r="F348" s="2076"/>
      <c r="G348" s="2076"/>
      <c r="H348" s="2076"/>
    </row>
    <row r="349" spans="1:8">
      <c r="A349" s="2080" t="s">
        <v>1714</v>
      </c>
      <c r="B349" s="2076"/>
      <c r="C349" s="2076"/>
      <c r="D349" s="2076"/>
      <c r="E349" s="2076"/>
      <c r="F349" s="2076"/>
      <c r="G349" s="2076"/>
      <c r="H349" s="2076"/>
    </row>
    <row r="350" spans="1:8">
      <c r="A350" s="2080" t="s">
        <v>1715</v>
      </c>
      <c r="B350" s="2076"/>
      <c r="C350" s="2076"/>
      <c r="D350" s="2076"/>
      <c r="E350" s="2076"/>
      <c r="F350" s="2076"/>
      <c r="G350" s="2076"/>
      <c r="H350" s="2076"/>
    </row>
    <row r="351" spans="1:8">
      <c r="A351" s="2080" t="s">
        <v>1716</v>
      </c>
      <c r="B351" s="2076"/>
      <c r="C351" s="2076"/>
      <c r="D351" s="2076"/>
      <c r="E351" s="2076"/>
      <c r="F351" s="2076"/>
      <c r="G351" s="2076"/>
      <c r="H351" s="2076"/>
    </row>
    <row r="352" spans="1:8">
      <c r="A352" s="2080" t="s">
        <v>1717</v>
      </c>
      <c r="B352" s="2076"/>
      <c r="C352" s="2076"/>
      <c r="D352" s="2076"/>
      <c r="E352" s="2076"/>
      <c r="F352" s="2076"/>
      <c r="G352" s="2076"/>
      <c r="H352" s="2076"/>
    </row>
    <row r="353" spans="1:8">
      <c r="A353" s="2080" t="s">
        <v>1718</v>
      </c>
      <c r="B353" s="2076"/>
      <c r="C353" s="2076"/>
      <c r="D353" s="2076"/>
      <c r="E353" s="2076"/>
      <c r="F353" s="2076"/>
      <c r="G353" s="2076"/>
      <c r="H353" s="2076"/>
    </row>
    <row r="354" spans="1:8">
      <c r="A354" s="2080" t="s">
        <v>1719</v>
      </c>
      <c r="B354" s="2076"/>
      <c r="C354" s="2076"/>
      <c r="D354" s="2076"/>
      <c r="E354" s="2076"/>
      <c r="F354" s="2076"/>
      <c r="G354" s="2076"/>
      <c r="H354" s="2076"/>
    </row>
    <row r="355" spans="1:8">
      <c r="A355" s="2080" t="s">
        <v>1720</v>
      </c>
      <c r="B355" s="2076"/>
      <c r="C355" s="2076"/>
      <c r="D355" s="2076"/>
      <c r="E355" s="2076"/>
      <c r="F355" s="2076"/>
      <c r="G355" s="2076"/>
      <c r="H355" s="2076"/>
    </row>
    <row r="356" spans="1:8">
      <c r="A356" s="2080" t="s">
        <v>1721</v>
      </c>
      <c r="B356" s="2076"/>
      <c r="C356" s="2076"/>
      <c r="D356" s="2076"/>
      <c r="E356" s="2076"/>
      <c r="F356" s="2076"/>
      <c r="G356" s="2076"/>
      <c r="H356" s="2076"/>
    </row>
    <row r="357" spans="1:8">
      <c r="A357" s="2080" t="s">
        <v>1722</v>
      </c>
      <c r="B357" s="2076"/>
      <c r="C357" s="2076"/>
      <c r="D357" s="2076"/>
      <c r="E357" s="2076"/>
      <c r="F357" s="2076"/>
      <c r="G357" s="2076"/>
      <c r="H357" s="2076"/>
    </row>
    <row r="358" spans="1:8">
      <c r="A358" s="2080" t="s">
        <v>1723</v>
      </c>
      <c r="B358" s="2076"/>
      <c r="C358" s="2076"/>
      <c r="D358" s="2076"/>
      <c r="E358" s="2076"/>
      <c r="F358" s="2076"/>
      <c r="G358" s="2076"/>
      <c r="H358" s="2076"/>
    </row>
    <row r="359" spans="1:8">
      <c r="A359" s="2080" t="s">
        <v>1724</v>
      </c>
      <c r="B359" s="2076"/>
      <c r="C359" s="2076"/>
      <c r="D359" s="2076"/>
      <c r="E359" s="2076"/>
      <c r="F359" s="2076"/>
      <c r="G359" s="2076"/>
      <c r="H359" s="2076"/>
    </row>
    <row r="360" spans="1:8">
      <c r="A360" s="2080" t="s">
        <v>1725</v>
      </c>
      <c r="B360" s="2076"/>
      <c r="C360" s="2076"/>
      <c r="D360" s="2076"/>
      <c r="E360" s="2076"/>
      <c r="F360" s="2076"/>
      <c r="G360" s="2076"/>
      <c r="H360" s="2076"/>
    </row>
    <row r="361" spans="1:8">
      <c r="A361" s="2080" t="s">
        <v>1726</v>
      </c>
      <c r="B361" s="2076"/>
      <c r="C361" s="2076"/>
      <c r="D361" s="2076"/>
      <c r="E361" s="2076"/>
      <c r="F361" s="2076"/>
      <c r="G361" s="2076"/>
      <c r="H361" s="2076"/>
    </row>
    <row r="362" spans="1:8">
      <c r="A362" s="2080" t="s">
        <v>1727</v>
      </c>
      <c r="B362" s="2076"/>
      <c r="C362" s="2076"/>
      <c r="D362" s="2076"/>
      <c r="E362" s="2076"/>
      <c r="F362" s="2076"/>
      <c r="G362" s="2076"/>
      <c r="H362" s="2076"/>
    </row>
    <row r="363" spans="1:8">
      <c r="A363" s="2080" t="s">
        <v>1728</v>
      </c>
      <c r="B363" s="2076"/>
      <c r="C363" s="2076"/>
      <c r="D363" s="2076"/>
      <c r="E363" s="2076"/>
      <c r="F363" s="2076"/>
      <c r="G363" s="2076"/>
      <c r="H363" s="2076"/>
    </row>
    <row r="364" spans="1:8">
      <c r="A364" s="2080" t="s">
        <v>1729</v>
      </c>
      <c r="B364" s="2076"/>
      <c r="C364" s="2076"/>
      <c r="D364" s="2076"/>
      <c r="E364" s="2076"/>
      <c r="F364" s="2076"/>
      <c r="G364" s="2076"/>
      <c r="H364" s="2076"/>
    </row>
    <row r="365" spans="1:8">
      <c r="A365" s="2080" t="s">
        <v>1730</v>
      </c>
      <c r="B365" s="2076"/>
      <c r="C365" s="2076"/>
      <c r="D365" s="2076"/>
      <c r="E365" s="2076"/>
      <c r="F365" s="2076"/>
      <c r="G365" s="2076"/>
      <c r="H365" s="2076"/>
    </row>
    <row r="366" spans="1:8">
      <c r="A366" s="2080" t="s">
        <v>1731</v>
      </c>
      <c r="B366" s="2076"/>
      <c r="C366" s="2076"/>
      <c r="D366" s="2076"/>
      <c r="E366" s="2076"/>
      <c r="F366" s="2076"/>
      <c r="G366" s="2076"/>
      <c r="H366" s="2076"/>
    </row>
    <row r="367" spans="1:8">
      <c r="A367" s="2080" t="s">
        <v>1732</v>
      </c>
      <c r="B367" s="2076"/>
      <c r="C367" s="2076"/>
      <c r="D367" s="2076"/>
      <c r="E367" s="2076"/>
      <c r="F367" s="2076"/>
      <c r="G367" s="2076"/>
      <c r="H367" s="2076"/>
    </row>
    <row r="368" spans="1:8">
      <c r="A368" s="2080" t="s">
        <v>1733</v>
      </c>
      <c r="B368" s="2076"/>
      <c r="C368" s="2076"/>
      <c r="D368" s="2076"/>
      <c r="E368" s="2076"/>
      <c r="F368" s="2076"/>
      <c r="G368" s="2076"/>
      <c r="H368" s="2076"/>
    </row>
    <row r="369" spans="1:8">
      <c r="A369" s="2080" t="s">
        <v>1734</v>
      </c>
      <c r="B369" s="2076"/>
      <c r="C369" s="2076"/>
      <c r="D369" s="2076"/>
      <c r="E369" s="2076"/>
      <c r="F369" s="2076"/>
      <c r="G369" s="2076"/>
      <c r="H369" s="2076"/>
    </row>
    <row r="370" spans="1:8">
      <c r="A370" s="2076"/>
      <c r="B370" s="2076"/>
      <c r="C370" s="2076"/>
      <c r="D370" s="2076"/>
      <c r="E370" s="2076"/>
      <c r="F370" s="2076"/>
      <c r="G370" s="2076"/>
      <c r="H370" s="2076"/>
    </row>
    <row r="371" spans="1:8">
      <c r="A371" s="2080" t="s">
        <v>1679</v>
      </c>
      <c r="B371" s="2076"/>
      <c r="C371" s="2076"/>
      <c r="D371" s="2076"/>
      <c r="E371" s="2076"/>
      <c r="F371" s="2076"/>
      <c r="G371" s="2076"/>
      <c r="H371" s="2076"/>
    </row>
    <row r="372" spans="1:8">
      <c r="A372" s="2080" t="s">
        <v>1683</v>
      </c>
      <c r="B372" s="2076"/>
      <c r="C372" s="2076"/>
      <c r="D372" s="2076"/>
      <c r="E372" s="2076"/>
      <c r="F372" s="2076"/>
      <c r="G372" s="2076"/>
      <c r="H372" s="2076"/>
    </row>
    <row r="373" spans="1:8">
      <c r="A373" s="2080" t="s">
        <v>1684</v>
      </c>
      <c r="B373" s="2076"/>
      <c r="C373" s="2076"/>
      <c r="D373" s="2076"/>
      <c r="E373" s="2076"/>
      <c r="F373" s="2076"/>
      <c r="G373" s="2076"/>
      <c r="H373" s="2076"/>
    </row>
    <row r="374" spans="1:8">
      <c r="A374" s="2080" t="s">
        <v>1685</v>
      </c>
      <c r="B374" s="2076"/>
      <c r="C374" s="2076"/>
      <c r="D374" s="2076"/>
      <c r="E374" s="2076"/>
      <c r="F374" s="2076"/>
      <c r="G374" s="2076"/>
      <c r="H374" s="2076"/>
    </row>
    <row r="375" spans="1:8">
      <c r="A375" s="2080" t="s">
        <v>1686</v>
      </c>
      <c r="B375" s="2076"/>
      <c r="C375" s="2076"/>
      <c r="D375" s="2076"/>
      <c r="E375" s="2076"/>
      <c r="F375" s="2076"/>
      <c r="G375" s="2076"/>
      <c r="H375" s="2076"/>
    </row>
    <row r="376" spans="1:8">
      <c r="A376" s="2080" t="s">
        <v>1687</v>
      </c>
      <c r="B376" s="2076"/>
      <c r="C376" s="2076"/>
      <c r="D376" s="2076"/>
      <c r="E376" s="2076"/>
      <c r="F376" s="2076"/>
      <c r="G376" s="2076"/>
      <c r="H376" s="2076"/>
    </row>
    <row r="377" spans="1:8">
      <c r="A377" s="2080" t="s">
        <v>1688</v>
      </c>
      <c r="B377" s="2076"/>
      <c r="C377" s="2076"/>
      <c r="D377" s="2076"/>
      <c r="E377" s="2076"/>
      <c r="F377" s="2076"/>
      <c r="G377" s="2076"/>
      <c r="H377" s="2076"/>
    </row>
    <row r="378" spans="1:8">
      <c r="A378" s="2080" t="s">
        <v>1689</v>
      </c>
      <c r="B378" s="2076"/>
      <c r="C378" s="2076"/>
      <c r="D378" s="2076"/>
      <c r="E378" s="2076"/>
      <c r="F378" s="2076"/>
      <c r="G378" s="2076"/>
      <c r="H378" s="2076"/>
    </row>
    <row r="379" spans="1:8">
      <c r="A379" s="2076"/>
      <c r="B379" s="2076"/>
      <c r="C379" s="2076"/>
      <c r="D379" s="2076"/>
      <c r="E379" s="2076"/>
      <c r="F379" s="2076"/>
      <c r="G379" s="2076"/>
      <c r="H379" s="2076"/>
    </row>
    <row r="380" spans="1:8">
      <c r="A380" s="2080" t="s">
        <v>1679</v>
      </c>
      <c r="B380" s="2076"/>
      <c r="C380" s="2076"/>
      <c r="D380" s="2076"/>
      <c r="E380" s="2076"/>
      <c r="F380" s="2076"/>
      <c r="G380" s="2076"/>
      <c r="H380" s="2076"/>
    </row>
    <row r="381" spans="1:8">
      <c r="A381" s="2080" t="s">
        <v>1680</v>
      </c>
      <c r="B381" s="2076"/>
      <c r="C381" s="2076"/>
      <c r="D381" s="2076"/>
      <c r="E381" s="2076"/>
      <c r="F381" s="2076"/>
      <c r="G381" s="2076"/>
      <c r="H381" s="2076"/>
    </row>
    <row r="382" spans="1:8">
      <c r="A382" s="2080" t="s">
        <v>1681</v>
      </c>
      <c r="B382" s="2076"/>
      <c r="C382" s="2076"/>
      <c r="D382" s="2076"/>
      <c r="E382" s="2076"/>
      <c r="F382" s="2076"/>
      <c r="G382" s="2076"/>
      <c r="H382" s="2076"/>
    </row>
    <row r="383" spans="1:8">
      <c r="A383" s="2080" t="s">
        <v>1682</v>
      </c>
      <c r="B383" s="2076"/>
      <c r="C383" s="2076"/>
      <c r="D383" s="2076"/>
      <c r="E383" s="2076"/>
      <c r="F383" s="2076"/>
      <c r="G383" s="2076"/>
      <c r="H383" s="2076"/>
    </row>
    <row r="384" spans="1:8">
      <c r="A384" s="2076"/>
      <c r="B384" s="2076"/>
      <c r="C384" s="2076"/>
      <c r="D384" s="2076"/>
      <c r="E384" s="2076"/>
      <c r="F384" s="2076"/>
      <c r="G384" s="2076"/>
      <c r="H384" s="2076"/>
    </row>
    <row r="385" spans="1:8">
      <c r="A385" s="2080" t="s">
        <v>1673</v>
      </c>
      <c r="B385" s="2076"/>
      <c r="C385" s="2076"/>
      <c r="D385" s="2076"/>
      <c r="E385" s="2076"/>
      <c r="F385" s="2076"/>
      <c r="G385" s="2076"/>
      <c r="H385" s="2076"/>
    </row>
    <row r="386" spans="1:8">
      <c r="A386" s="2080" t="s">
        <v>1674</v>
      </c>
      <c r="B386" s="2076"/>
      <c r="C386" s="2076"/>
      <c r="D386" s="2076"/>
      <c r="E386" s="2076"/>
      <c r="F386" s="2076"/>
      <c r="G386" s="2076"/>
      <c r="H386" s="2076"/>
    </row>
    <row r="387" spans="1:8">
      <c r="A387" s="2080" t="s">
        <v>1675</v>
      </c>
      <c r="B387" s="2076"/>
      <c r="C387" s="2076"/>
      <c r="D387" s="2076"/>
      <c r="E387" s="2076"/>
      <c r="F387" s="2076"/>
      <c r="G387" s="2076"/>
      <c r="H387" s="2076"/>
    </row>
    <row r="388" spans="1:8">
      <c r="A388" s="2080" t="s">
        <v>1676</v>
      </c>
      <c r="B388" s="2076"/>
      <c r="C388" s="2076"/>
      <c r="D388" s="2076"/>
      <c r="E388" s="2076"/>
      <c r="F388" s="2076"/>
      <c r="G388" s="2076"/>
      <c r="H388" s="2076"/>
    </row>
    <row r="389" spans="1:8">
      <c r="A389" s="2080" t="s">
        <v>1677</v>
      </c>
      <c r="B389" s="2076"/>
      <c r="C389" s="2076"/>
      <c r="D389" s="2076"/>
      <c r="E389" s="2076"/>
      <c r="F389" s="2076"/>
      <c r="G389" s="2076"/>
      <c r="H389" s="2076"/>
    </row>
    <row r="390" spans="1:8">
      <c r="A390" s="2080" t="s">
        <v>1678</v>
      </c>
      <c r="B390" s="2076"/>
      <c r="C390" s="2076"/>
      <c r="D390" s="2076"/>
      <c r="E390" s="2076"/>
      <c r="F390" s="2076"/>
      <c r="G390" s="2076"/>
      <c r="H390" s="2076"/>
    </row>
    <row r="391" spans="1:8">
      <c r="A391" s="2076"/>
      <c r="B391" s="2076"/>
      <c r="C391" s="2076"/>
      <c r="D391" s="2076"/>
      <c r="E391" s="2076"/>
      <c r="F391" s="2076"/>
      <c r="G391" s="2076"/>
      <c r="H391" s="2076"/>
    </row>
    <row r="392" spans="1:8">
      <c r="A392" s="2080" t="s">
        <v>1668</v>
      </c>
      <c r="B392" s="2076"/>
      <c r="C392" s="2076"/>
      <c r="D392" s="2076"/>
      <c r="E392" s="2076"/>
      <c r="F392" s="2076"/>
      <c r="G392" s="2076"/>
      <c r="H392" s="2076"/>
    </row>
    <row r="393" spans="1:8">
      <c r="A393" s="2080" t="s">
        <v>1669</v>
      </c>
      <c r="B393" s="2076"/>
      <c r="C393" s="2076"/>
      <c r="D393" s="2076"/>
      <c r="E393" s="2076"/>
      <c r="F393" s="2076"/>
      <c r="G393" s="2076"/>
      <c r="H393" s="2076"/>
    </row>
    <row r="394" spans="1:8">
      <c r="A394" s="2080" t="s">
        <v>1670</v>
      </c>
      <c r="B394" s="2076"/>
      <c r="C394" s="2076"/>
      <c r="D394" s="2076"/>
      <c r="E394" s="2076"/>
      <c r="F394" s="2076"/>
      <c r="G394" s="2076"/>
      <c r="H394" s="2076"/>
    </row>
    <row r="395" spans="1:8">
      <c r="A395" s="2080" t="s">
        <v>1671</v>
      </c>
      <c r="B395" s="2076"/>
      <c r="C395" s="2076"/>
      <c r="D395" s="2076"/>
      <c r="E395" s="2076"/>
      <c r="F395" s="2076"/>
      <c r="G395" s="2076"/>
      <c r="H395" s="2076"/>
    </row>
    <row r="396" spans="1:8">
      <c r="A396" s="2080" t="s">
        <v>1672</v>
      </c>
      <c r="B396" s="2076"/>
      <c r="C396" s="2076"/>
      <c r="D396" s="2076"/>
      <c r="E396" s="2076"/>
      <c r="F396" s="2076"/>
      <c r="G396" s="2076"/>
      <c r="H396" s="2076"/>
    </row>
    <row r="397" spans="1:8">
      <c r="A397" s="2076"/>
      <c r="B397" s="2076"/>
      <c r="C397" s="2076"/>
      <c r="D397" s="2076"/>
      <c r="E397" s="2076"/>
      <c r="F397" s="2076"/>
      <c r="G397" s="2076"/>
      <c r="H397" s="2076"/>
    </row>
    <row r="398" spans="1:8">
      <c r="A398" s="2080" t="s">
        <v>1666</v>
      </c>
      <c r="B398" s="2076"/>
      <c r="C398" s="2076"/>
      <c r="D398" s="2076"/>
      <c r="E398" s="2076"/>
      <c r="F398" s="2076"/>
      <c r="G398" s="2076"/>
      <c r="H398" s="2076"/>
    </row>
    <row r="399" spans="1:8">
      <c r="A399" s="2080" t="s">
        <v>1667</v>
      </c>
      <c r="B399" s="2076"/>
      <c r="C399" s="2076"/>
      <c r="D399" s="2076"/>
      <c r="E399" s="2076"/>
      <c r="F399" s="2076"/>
      <c r="G399" s="2076"/>
      <c r="H399" s="2076"/>
    </row>
    <row r="400" spans="1:8">
      <c r="A400" s="2076"/>
      <c r="B400" s="2076"/>
      <c r="C400" s="2076"/>
      <c r="D400" s="2076"/>
      <c r="E400" s="2076"/>
      <c r="F400" s="2076"/>
      <c r="G400" s="2076"/>
      <c r="H400" s="2076"/>
    </row>
    <row r="401" spans="1:8">
      <c r="A401" s="2080" t="s">
        <v>1664</v>
      </c>
      <c r="B401" s="2076"/>
      <c r="C401" s="2076"/>
      <c r="D401" s="2076"/>
      <c r="E401" s="2076"/>
      <c r="F401" s="2076"/>
      <c r="G401" s="2076"/>
      <c r="H401" s="2076"/>
    </row>
    <row r="402" spans="1:8">
      <c r="A402" s="2080" t="s">
        <v>1665</v>
      </c>
      <c r="B402" s="2076"/>
      <c r="C402" s="2076"/>
      <c r="D402" s="2076"/>
      <c r="E402" s="2076"/>
      <c r="F402" s="2076"/>
      <c r="G402" s="2076"/>
      <c r="H402" s="2076"/>
    </row>
    <row r="403" spans="1:8">
      <c r="A403" s="2080" t="s">
        <v>1660</v>
      </c>
      <c r="B403" s="2076"/>
      <c r="C403" s="2076"/>
      <c r="D403" s="2076"/>
      <c r="E403" s="2076"/>
      <c r="F403" s="2076"/>
      <c r="G403" s="2076"/>
      <c r="H403" s="2076"/>
    </row>
    <row r="404" spans="1:8">
      <c r="A404" s="2080" t="s">
        <v>1661</v>
      </c>
      <c r="B404" s="2076"/>
      <c r="C404" s="2076"/>
      <c r="D404" s="2076"/>
      <c r="E404" s="2076"/>
      <c r="F404" s="2076"/>
      <c r="G404" s="2076"/>
      <c r="H404" s="2076"/>
    </row>
    <row r="405" spans="1:8">
      <c r="A405" s="2080" t="s">
        <v>1662</v>
      </c>
      <c r="B405" s="2076"/>
      <c r="C405" s="2076"/>
      <c r="D405" s="2076"/>
      <c r="E405" s="2076"/>
      <c r="F405" s="2076"/>
      <c r="G405" s="2076"/>
      <c r="H405" s="2076"/>
    </row>
    <row r="406" spans="1:8">
      <c r="A406" s="2080" t="s">
        <v>1663</v>
      </c>
      <c r="B406" s="2076"/>
      <c r="C406" s="2076"/>
      <c r="D406" s="2076"/>
      <c r="E406" s="2076"/>
      <c r="F406" s="2076"/>
      <c r="G406" s="2076"/>
      <c r="H406" s="2076"/>
    </row>
    <row r="407" spans="1:8">
      <c r="A407" s="2080" t="s">
        <v>1658</v>
      </c>
      <c r="B407" s="2076"/>
      <c r="C407" s="2076"/>
      <c r="D407" s="2076"/>
      <c r="E407" s="2076"/>
      <c r="F407" s="2076"/>
      <c r="G407" s="2076"/>
      <c r="H407" s="2076"/>
    </row>
    <row r="408" spans="1:8">
      <c r="A408" s="2080" t="s">
        <v>1659</v>
      </c>
      <c r="B408" s="2076"/>
      <c r="C408" s="2076"/>
      <c r="D408" s="2076"/>
      <c r="E408" s="2076"/>
      <c r="F408" s="2076"/>
      <c r="G408" s="2076"/>
      <c r="H408" s="2076"/>
    </row>
    <row r="409" spans="1:8">
      <c r="A409" s="2080" t="s">
        <v>1654</v>
      </c>
      <c r="B409" s="2076"/>
      <c r="C409" s="2076"/>
      <c r="D409" s="2076"/>
      <c r="E409" s="2076"/>
      <c r="F409" s="2076"/>
      <c r="G409" s="2076"/>
      <c r="H409" s="2076"/>
    </row>
    <row r="410" spans="1:8">
      <c r="A410" s="2080" t="s">
        <v>1655</v>
      </c>
      <c r="B410" s="2076"/>
      <c r="C410" s="2076"/>
      <c r="D410" s="2076"/>
      <c r="E410" s="2076"/>
      <c r="F410" s="2076"/>
      <c r="G410" s="2076"/>
      <c r="H410" s="2076"/>
    </row>
    <row r="411" spans="1:8">
      <c r="A411" s="2080" t="s">
        <v>1656</v>
      </c>
      <c r="B411" s="2076"/>
      <c r="C411" s="2076"/>
      <c r="D411" s="2076"/>
      <c r="E411" s="2076"/>
      <c r="F411" s="2076"/>
      <c r="G411" s="2076"/>
      <c r="H411" s="2076"/>
    </row>
    <row r="412" spans="1:8">
      <c r="A412" s="2080" t="s">
        <v>1657</v>
      </c>
      <c r="B412" s="2076"/>
      <c r="C412" s="2076"/>
      <c r="D412" s="2076"/>
      <c r="E412" s="2076"/>
      <c r="F412" s="2076"/>
      <c r="G412" s="2076"/>
      <c r="H412" s="2076"/>
    </row>
    <row r="414" spans="1:8">
      <c r="A414" s="2085" t="s">
        <v>1936</v>
      </c>
    </row>
  </sheetData>
  <mergeCells count="12">
    <mergeCell ref="A112:H112"/>
    <mergeCell ref="A119:H119"/>
    <mergeCell ref="A106:H106"/>
    <mergeCell ref="A107:H107"/>
    <mergeCell ref="A108:H108"/>
    <mergeCell ref="A109:H109"/>
    <mergeCell ref="A111:H111"/>
    <mergeCell ref="A127:H127"/>
    <mergeCell ref="A128:H128"/>
    <mergeCell ref="B120:C120"/>
    <mergeCell ref="D120:F120"/>
    <mergeCell ref="G120:H1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B13"/>
  <sheetViews>
    <sheetView showGridLines="0" workbookViewId="0">
      <selection activeCell="A2" sqref="A2"/>
    </sheetView>
  </sheetViews>
  <sheetFormatPr baseColWidth="10" defaultColWidth="9.140625" defaultRowHeight="12.75"/>
  <cols>
    <col min="2" max="2" width="151.42578125" customWidth="1"/>
  </cols>
  <sheetData>
    <row r="1" spans="1:2">
      <c r="A1" t="s">
        <v>382</v>
      </c>
    </row>
    <row r="4" spans="1:2" ht="31.5" customHeight="1">
      <c r="B4" s="793" t="s">
        <v>847</v>
      </c>
    </row>
    <row r="5" spans="1:2" ht="25.5">
      <c r="B5" s="793" t="s">
        <v>848</v>
      </c>
    </row>
    <row r="6" spans="1:2">
      <c r="B6" s="793"/>
    </row>
    <row r="7" spans="1:2">
      <c r="B7" s="793" t="s">
        <v>849</v>
      </c>
    </row>
    <row r="8" spans="1:2">
      <c r="B8" s="793"/>
    </row>
    <row r="9" spans="1:2">
      <c r="B9" s="793" t="s">
        <v>850</v>
      </c>
    </row>
    <row r="10" spans="1:2">
      <c r="B10" s="793" t="s">
        <v>851</v>
      </c>
    </row>
    <row r="11" spans="1:2">
      <c r="B11" s="793" t="s">
        <v>852</v>
      </c>
    </row>
    <row r="12" spans="1:2">
      <c r="B12" s="793"/>
    </row>
    <row r="13" spans="1:2">
      <c r="B13" s="794" t="s">
        <v>853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pageSetUpPr fitToPage="1"/>
  </sheetPr>
  <dimension ref="B1:AB60"/>
  <sheetViews>
    <sheetView showGridLines="0" topLeftCell="A24" zoomScale="90" zoomScaleNormal="90" workbookViewId="0">
      <selection activeCell="H41" sqref="H41"/>
    </sheetView>
  </sheetViews>
  <sheetFormatPr baseColWidth="10" defaultColWidth="9.42578125" defaultRowHeight="12.75"/>
  <cols>
    <col min="1" max="1" width="9.42578125" style="2" customWidth="1"/>
    <col min="2" max="2" width="18.42578125" style="2" customWidth="1"/>
    <col min="3" max="3" width="3.42578125" style="2" customWidth="1"/>
    <col min="4" max="4" width="18.42578125" style="2" customWidth="1"/>
    <col min="5" max="5" width="3.42578125" style="2" customWidth="1"/>
    <col min="6" max="6" width="18.42578125" style="2" customWidth="1"/>
    <col min="7" max="7" width="3.42578125" style="2" customWidth="1"/>
    <col min="8" max="8" width="18.42578125" style="2" customWidth="1"/>
    <col min="9" max="9" width="3.42578125" style="2" customWidth="1"/>
    <col min="10" max="10" width="18.42578125" style="2" customWidth="1"/>
    <col min="11" max="11" width="3.42578125" style="2" customWidth="1"/>
    <col min="12" max="12" width="18.42578125" style="2" customWidth="1"/>
    <col min="13" max="13" width="3.42578125" style="2" customWidth="1"/>
    <col min="14" max="26" width="9.42578125" style="2"/>
    <col min="27" max="27" width="9.42578125" style="541"/>
    <col min="28" max="16384" width="9.42578125" style="2"/>
  </cols>
  <sheetData>
    <row r="1" spans="2:28" ht="18">
      <c r="B1" s="24" t="str">
        <f>$G$12</f>
        <v>Alsea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2:28">
      <c r="B2" s="26" t="s">
        <v>277</v>
      </c>
      <c r="C2" s="25"/>
      <c r="D2" s="25"/>
      <c r="E2" s="25"/>
      <c r="F2" s="25"/>
      <c r="G2" s="25"/>
      <c r="H2" s="25"/>
      <c r="I2" s="25"/>
      <c r="J2" s="2096" t="s">
        <v>402</v>
      </c>
      <c r="K2" s="2096"/>
      <c r="L2" s="2096"/>
    </row>
    <row r="3" spans="2:28">
      <c r="AA3" s="1936"/>
      <c r="AB3" s="1936"/>
    </row>
    <row r="4" spans="2:28">
      <c r="B4" s="27" t="s">
        <v>384</v>
      </c>
      <c r="C4" s="28"/>
      <c r="D4" s="28"/>
      <c r="E4" s="28"/>
      <c r="F4" s="28"/>
      <c r="G4" s="28"/>
      <c r="H4" s="28"/>
      <c r="I4" s="28"/>
      <c r="J4" s="28"/>
      <c r="K4" s="28"/>
      <c r="L4" s="28"/>
      <c r="AA4" s="541" t="s">
        <v>159</v>
      </c>
      <c r="AB4" s="1936"/>
    </row>
    <row r="5" spans="2:28">
      <c r="AA5" s="541" t="s">
        <v>160</v>
      </c>
      <c r="AB5" s="1936"/>
    </row>
    <row r="6" spans="2:28">
      <c r="AA6" s="541" t="s">
        <v>161</v>
      </c>
      <c r="AB6" s="1936"/>
    </row>
    <row r="7" spans="2:28">
      <c r="B7" s="8"/>
      <c r="C7" s="6"/>
      <c r="D7" s="8"/>
      <c r="E7" s="6"/>
      <c r="F7" s="8"/>
      <c r="AA7" s="541" t="s">
        <v>162</v>
      </c>
      <c r="AB7" s="1936"/>
    </row>
    <row r="8" spans="2:28">
      <c r="B8" s="8"/>
      <c r="C8" s="8"/>
      <c r="D8" s="8"/>
      <c r="E8" s="8"/>
      <c r="F8" s="8"/>
      <c r="AA8" s="541" t="s">
        <v>163</v>
      </c>
      <c r="AB8" s="1936"/>
    </row>
    <row r="9" spans="2:28">
      <c r="B9" s="8"/>
      <c r="C9" s="8"/>
      <c r="D9" s="8"/>
      <c r="E9" s="8"/>
      <c r="F9" s="8"/>
      <c r="AA9" s="541" t="s">
        <v>164</v>
      </c>
      <c r="AB9" s="1936"/>
    </row>
    <row r="10" spans="2:28">
      <c r="B10" s="8"/>
      <c r="D10" s="15"/>
      <c r="G10" s="6" t="s">
        <v>488</v>
      </c>
      <c r="AA10" s="541" t="s">
        <v>165</v>
      </c>
      <c r="AB10" s="1936"/>
    </row>
    <row r="11" spans="2:28">
      <c r="B11" s="8"/>
      <c r="C11" s="6"/>
      <c r="D11" s="15"/>
      <c r="E11" s="6"/>
      <c r="F11" s="15"/>
      <c r="AA11" s="541" t="s">
        <v>166</v>
      </c>
      <c r="AB11" s="1936"/>
    </row>
    <row r="12" spans="2:28" ht="18">
      <c r="B12" s="8"/>
      <c r="D12" s="15"/>
      <c r="G12" s="18" t="s">
        <v>645</v>
      </c>
      <c r="AA12" s="541" t="s">
        <v>167</v>
      </c>
      <c r="AB12" s="1936"/>
    </row>
    <row r="13" spans="2:28">
      <c r="B13" s="8"/>
      <c r="C13" s="8"/>
      <c r="D13" s="8"/>
      <c r="E13" s="8"/>
      <c r="F13" s="8"/>
      <c r="AA13" s="541" t="s">
        <v>168</v>
      </c>
      <c r="AB13" s="1936"/>
    </row>
    <row r="14" spans="2:28">
      <c r="B14" s="16"/>
      <c r="C14" s="9"/>
      <c r="D14" s="21" t="s">
        <v>1444</v>
      </c>
      <c r="E14" s="9"/>
      <c r="F14" s="19"/>
      <c r="G14" s="74" t="s">
        <v>1446</v>
      </c>
      <c r="H14" s="1840"/>
      <c r="I14" s="1842" t="s">
        <v>1445</v>
      </c>
      <c r="K14" s="20"/>
      <c r="L14" s="20"/>
      <c r="AA14" s="541" t="s">
        <v>169</v>
      </c>
      <c r="AB14" s="1936"/>
    </row>
    <row r="15" spans="2:28">
      <c r="B15" s="16"/>
      <c r="C15" s="9"/>
      <c r="D15" s="21"/>
      <c r="E15" s="1840"/>
      <c r="F15" s="1841"/>
      <c r="G15" s="74"/>
      <c r="H15" s="1840"/>
      <c r="I15" s="1842"/>
      <c r="K15" s="798"/>
      <c r="M15" s="798"/>
      <c r="AA15" s="541" t="s">
        <v>170</v>
      </c>
      <c r="AB15" s="1936"/>
    </row>
    <row r="16" spans="2:28">
      <c r="B16" s="7"/>
      <c r="C16" s="17"/>
      <c r="D16" s="3"/>
      <c r="E16" s="17"/>
      <c r="F16" s="15"/>
      <c r="AA16" s="541" t="s">
        <v>171</v>
      </c>
      <c r="AB16" s="1936"/>
    </row>
    <row r="17" spans="2:28">
      <c r="B17" s="8"/>
      <c r="C17" s="7"/>
      <c r="D17" s="61" t="s">
        <v>113</v>
      </c>
      <c r="E17" s="7"/>
      <c r="F17" s="7"/>
      <c r="AA17" s="541" t="s">
        <v>172</v>
      </c>
      <c r="AB17" s="1936"/>
    </row>
    <row r="18" spans="2:28">
      <c r="AA18" s="541" t="s">
        <v>173</v>
      </c>
      <c r="AB18" s="1936"/>
    </row>
    <row r="19" spans="2:28">
      <c r="AA19" s="541" t="s">
        <v>174</v>
      </c>
      <c r="AB19" s="1936"/>
    </row>
    <row r="20" spans="2:28">
      <c r="B20" s="27" t="s">
        <v>385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AA20" s="541" t="s">
        <v>175</v>
      </c>
      <c r="AB20" s="1936"/>
    </row>
    <row r="21" spans="2:28">
      <c r="B21" s="14" t="s">
        <v>278</v>
      </c>
      <c r="C21" s="14"/>
      <c r="D21" s="2095" t="s">
        <v>279</v>
      </c>
      <c r="E21" s="2095"/>
      <c r="F21" s="14" t="s">
        <v>386</v>
      </c>
      <c r="H21" s="2095" t="s">
        <v>280</v>
      </c>
      <c r="I21" s="2095"/>
      <c r="J21" s="2095"/>
      <c r="L21" s="14" t="s">
        <v>261</v>
      </c>
      <c r="AA21" s="541" t="s">
        <v>176</v>
      </c>
      <c r="AB21" s="1936"/>
    </row>
    <row r="22" spans="2:28">
      <c r="AA22" s="541" t="s">
        <v>248</v>
      </c>
      <c r="AB22" s="1936"/>
    </row>
    <row r="23" spans="2:28">
      <c r="B23" s="10"/>
      <c r="C23" s="10"/>
      <c r="E23" s="10"/>
      <c r="G23" s="5"/>
      <c r="J23" s="10"/>
      <c r="AA23" s="541" t="s">
        <v>249</v>
      </c>
      <c r="AB23" s="1936"/>
    </row>
    <row r="24" spans="2:28">
      <c r="AA24" s="541" t="s">
        <v>250</v>
      </c>
      <c r="AB24" s="1936"/>
    </row>
    <row r="25" spans="2:28">
      <c r="AA25" s="541" t="s">
        <v>251</v>
      </c>
      <c r="AB25" s="1936"/>
    </row>
    <row r="26" spans="2:28">
      <c r="AA26" s="541" t="s">
        <v>252</v>
      </c>
      <c r="AB26" s="1936"/>
    </row>
    <row r="27" spans="2:28">
      <c r="AA27" s="541" t="s">
        <v>253</v>
      </c>
      <c r="AB27" s="1936"/>
    </row>
    <row r="28" spans="2:28">
      <c r="D28" s="2095" t="s">
        <v>331</v>
      </c>
      <c r="E28" s="2095"/>
      <c r="AA28" s="541" t="s">
        <v>254</v>
      </c>
      <c r="AB28" s="1936"/>
    </row>
    <row r="29" spans="2:28">
      <c r="AA29" s="541" t="s">
        <v>255</v>
      </c>
      <c r="AB29" s="1936"/>
    </row>
    <row r="30" spans="2:28">
      <c r="AA30" s="541" t="s">
        <v>256</v>
      </c>
      <c r="AB30" s="1936"/>
    </row>
    <row r="31" spans="2:28">
      <c r="AA31" s="541" t="s">
        <v>257</v>
      </c>
      <c r="AB31" s="1936"/>
    </row>
    <row r="32" spans="2:28">
      <c r="AA32" s="541" t="s">
        <v>495</v>
      </c>
      <c r="AB32" s="1936"/>
    </row>
    <row r="33" spans="2:28">
      <c r="B33" s="478" t="s">
        <v>400</v>
      </c>
      <c r="C33" s="29"/>
      <c r="D33" s="29"/>
      <c r="E33" s="29"/>
      <c r="F33" s="29"/>
      <c r="G33" s="29"/>
      <c r="H33" s="29"/>
      <c r="I33" s="29"/>
      <c r="J33" s="29"/>
      <c r="L33" s="476" t="s">
        <v>489</v>
      </c>
      <c r="AA33" s="541" t="s">
        <v>496</v>
      </c>
      <c r="AB33" s="1936"/>
    </row>
    <row r="34" spans="2:28">
      <c r="B34" s="58"/>
      <c r="C34" s="9"/>
      <c r="D34" s="9"/>
      <c r="E34" s="9"/>
      <c r="F34" s="9"/>
      <c r="G34" s="9"/>
      <c r="H34" s="62" t="s">
        <v>259</v>
      </c>
      <c r="I34" s="9"/>
      <c r="J34" s="60"/>
      <c r="L34" s="477" t="s">
        <v>647</v>
      </c>
      <c r="AA34" s="541" t="s">
        <v>497</v>
      </c>
      <c r="AB34" s="1936"/>
    </row>
    <row r="35" spans="2:28">
      <c r="B35" s="479" t="s">
        <v>527</v>
      </c>
      <c r="C35" s="9"/>
      <c r="E35" s="9"/>
      <c r="F35" s="9"/>
      <c r="G35" s="9"/>
      <c r="H35" s="80" t="str">
        <f>Inputs!A2</f>
        <v>Scenarios &amp; Inputs</v>
      </c>
      <c r="I35" s="63" t="s">
        <v>293</v>
      </c>
      <c r="J35" s="60"/>
      <c r="L35" s="477" t="s">
        <v>984</v>
      </c>
      <c r="AA35" s="541" t="s">
        <v>498</v>
      </c>
      <c r="AB35" s="1936"/>
    </row>
    <row r="36" spans="2:28">
      <c r="B36" s="479" t="s">
        <v>528</v>
      </c>
      <c r="C36" s="9"/>
      <c r="E36" s="9"/>
      <c r="F36" s="9"/>
      <c r="G36" s="9"/>
      <c r="H36" s="81">
        <f>+L45</f>
        <v>61.26</v>
      </c>
      <c r="I36" s="9"/>
      <c r="J36" s="70"/>
      <c r="L36" s="482" t="s">
        <v>646</v>
      </c>
      <c r="AA36" s="541" t="s">
        <v>505</v>
      </c>
      <c r="AB36" s="1936"/>
    </row>
    <row r="37" spans="2:28">
      <c r="B37" s="479" t="s">
        <v>529</v>
      </c>
      <c r="C37" s="9"/>
      <c r="E37" s="9"/>
      <c r="F37" s="9"/>
      <c r="G37" s="9"/>
      <c r="H37" s="82">
        <v>3</v>
      </c>
      <c r="I37" s="64"/>
      <c r="J37" s="60"/>
      <c r="AA37" s="541" t="s">
        <v>508</v>
      </c>
      <c r="AB37" s="1936"/>
    </row>
    <row r="38" spans="2:28">
      <c r="B38" s="479" t="s">
        <v>1163</v>
      </c>
      <c r="C38" s="9"/>
      <c r="E38" s="9"/>
      <c r="F38" s="9"/>
      <c r="G38" s="9"/>
      <c r="H38" s="81" t="str">
        <f>Inputs!A2</f>
        <v>Scenarios &amp; Inputs</v>
      </c>
      <c r="I38" s="63" t="s">
        <v>293</v>
      </c>
      <c r="J38" s="60"/>
      <c r="AA38" s="541" t="s">
        <v>499</v>
      </c>
      <c r="AB38" s="1936"/>
    </row>
    <row r="39" spans="2:28">
      <c r="B39" s="480" t="s">
        <v>1164</v>
      </c>
      <c r="C39" s="65"/>
      <c r="E39" s="65"/>
      <c r="F39" s="65"/>
      <c r="G39" s="65"/>
      <c r="H39" s="83" t="s">
        <v>501</v>
      </c>
      <c r="I39" s="63"/>
      <c r="J39" s="60"/>
      <c r="L39" s="476" t="s">
        <v>491</v>
      </c>
      <c r="AA39" s="541" t="s">
        <v>500</v>
      </c>
      <c r="AB39" s="1936"/>
    </row>
    <row r="40" spans="2:28">
      <c r="B40" s="71"/>
      <c r="C40" s="72"/>
      <c r="D40" s="72"/>
      <c r="E40" s="72"/>
      <c r="F40" s="72"/>
      <c r="G40" s="72"/>
      <c r="H40" s="72"/>
      <c r="I40" s="72"/>
      <c r="J40" s="73"/>
      <c r="L40" s="482" t="s">
        <v>152</v>
      </c>
      <c r="AA40" s="541" t="s">
        <v>506</v>
      </c>
      <c r="AB40" s="1936"/>
    </row>
    <row r="41" spans="2:28">
      <c r="AA41" s="541" t="s">
        <v>509</v>
      </c>
      <c r="AB41" s="1936"/>
    </row>
    <row r="42" spans="2:28">
      <c r="B42" s="27" t="s">
        <v>390</v>
      </c>
      <c r="C42" s="28"/>
      <c r="D42" s="28"/>
      <c r="E42" s="28"/>
      <c r="F42" s="28"/>
      <c r="H42" s="27" t="s">
        <v>387</v>
      </c>
      <c r="I42" s="28"/>
      <c r="J42" s="28"/>
      <c r="K42" s="28"/>
      <c r="L42" s="28"/>
      <c r="AA42" s="541" t="s">
        <v>501</v>
      </c>
      <c r="AB42" s="1936"/>
    </row>
    <row r="43" spans="2:28" ht="8.25" customHeight="1">
      <c r="AA43" s="541" t="s">
        <v>502</v>
      </c>
      <c r="AB43" s="1936"/>
    </row>
    <row r="44" spans="2:28">
      <c r="B44" s="27" t="s">
        <v>391</v>
      </c>
      <c r="H44" s="232" t="s">
        <v>490</v>
      </c>
      <c r="I44" s="232"/>
      <c r="J44" s="481" t="s">
        <v>138</v>
      </c>
      <c r="K44" s="481"/>
      <c r="L44" s="481" t="s">
        <v>388</v>
      </c>
      <c r="AA44" s="541" t="s">
        <v>507</v>
      </c>
      <c r="AB44" s="1936"/>
    </row>
    <row r="45" spans="2:28">
      <c r="B45" s="615" t="s">
        <v>392</v>
      </c>
      <c r="C45" s="615"/>
      <c r="D45" s="616" t="s">
        <v>393</v>
      </c>
      <c r="E45" s="22"/>
      <c r="F45" s="22"/>
      <c r="H45" s="66" t="s">
        <v>65</v>
      </c>
      <c r="I45" s="67"/>
      <c r="J45" s="68">
        <v>45496</v>
      </c>
      <c r="K45" s="67"/>
      <c r="L45" s="1168">
        <v>61.26</v>
      </c>
      <c r="AA45" s="541" t="s">
        <v>510</v>
      </c>
      <c r="AB45" s="1936"/>
    </row>
    <row r="46" spans="2:28">
      <c r="B46" s="617" t="s">
        <v>394</v>
      </c>
      <c r="C46" s="618"/>
      <c r="D46" s="619" t="s">
        <v>395</v>
      </c>
      <c r="E46" s="78"/>
      <c r="F46" s="79" t="s">
        <v>396</v>
      </c>
      <c r="H46" s="66" t="s">
        <v>401</v>
      </c>
      <c r="I46" s="67"/>
      <c r="J46" s="68">
        <v>45287</v>
      </c>
      <c r="K46" s="67"/>
      <c r="L46" s="234">
        <v>21.49</v>
      </c>
      <c r="AA46" s="541" t="s">
        <v>503</v>
      </c>
      <c r="AB46" s="1936"/>
    </row>
    <row r="47" spans="2:28" ht="11.25" customHeight="1">
      <c r="B47" s="620" t="s">
        <v>397</v>
      </c>
      <c r="C47" s="440"/>
      <c r="D47" s="621" t="s">
        <v>398</v>
      </c>
      <c r="E47" s="9"/>
      <c r="F47" s="23" t="s">
        <v>399</v>
      </c>
      <c r="H47" s="66" t="s">
        <v>389</v>
      </c>
      <c r="I47" s="67"/>
      <c r="J47" s="69">
        <v>42557</v>
      </c>
      <c r="K47" s="69"/>
      <c r="L47" s="234">
        <v>46.28</v>
      </c>
      <c r="AA47" s="541" t="s">
        <v>504</v>
      </c>
      <c r="AB47" s="1936"/>
    </row>
    <row r="48" spans="2:28" ht="11.25" customHeight="1">
      <c r="B48" s="615"/>
      <c r="C48" s="440"/>
      <c r="D48" s="2027"/>
      <c r="E48" s="9"/>
      <c r="F48" s="23"/>
      <c r="H48" s="9"/>
      <c r="I48" s="9"/>
      <c r="J48" s="2028"/>
      <c r="K48" s="2028"/>
      <c r="L48" s="2029"/>
      <c r="AB48" s="1936"/>
    </row>
    <row r="49" spans="2:28" ht="15.6" customHeight="1">
      <c r="B49" s="615"/>
      <c r="C49" s="440"/>
      <c r="D49" s="2027"/>
      <c r="E49" s="9"/>
      <c r="F49" s="23"/>
      <c r="H49" s="27" t="s">
        <v>1536</v>
      </c>
      <c r="I49" s="28"/>
      <c r="J49" s="28"/>
      <c r="K49" s="28"/>
      <c r="L49" s="28"/>
      <c r="AB49" s="1936"/>
    </row>
    <row r="50" spans="2:28" ht="15.6" customHeight="1">
      <c r="B50" s="615"/>
      <c r="C50" s="440"/>
      <c r="D50" s="2027"/>
      <c r="E50" s="9"/>
      <c r="F50" s="23"/>
      <c r="H50" s="66" t="s">
        <v>1537</v>
      </c>
      <c r="I50" s="67"/>
      <c r="J50" s="68" t="s">
        <v>1628</v>
      </c>
      <c r="K50" s="67"/>
      <c r="L50" s="234"/>
      <c r="AB50" s="1936"/>
    </row>
    <row r="51" spans="2:28" ht="15.6" customHeight="1">
      <c r="B51" s="615"/>
      <c r="C51" s="440"/>
      <c r="D51" s="2027"/>
      <c r="E51" s="9"/>
      <c r="F51" s="23"/>
      <c r="H51" s="66" t="s">
        <v>1538</v>
      </c>
      <c r="I51" s="67"/>
      <c r="J51" s="69" t="s">
        <v>1629</v>
      </c>
      <c r="K51" s="69"/>
      <c r="L51" s="234"/>
      <c r="AB51" s="1936"/>
    </row>
    <row r="52" spans="2:28" ht="7.5" customHeight="1">
      <c r="AB52" s="1936"/>
    </row>
    <row r="53" spans="2:28">
      <c r="B53" s="30" t="str">
        <f>"Source: Company data, Morgan Stanley Research, MS Macro Forecast as of "&amp;$J$50&amp;" (https://researchportal.ms.com/research/#/macroforecast/) and FX Forecast from Bloomberg’s implied forward curve as of"&amp;$J$51</f>
        <v>Source: Company data, Morgan Stanley Research, MS Macro Forecast as of June 11 2024 (https://researchportal.ms.com/research/#/macroforecast/) and FX Forecast from Bloomberg’s implied forward curve as of July 08 2024</v>
      </c>
      <c r="C53" s="31"/>
      <c r="D53" s="31"/>
      <c r="E53" s="31"/>
      <c r="F53" s="31"/>
      <c r="G53" s="31"/>
      <c r="H53" s="31"/>
      <c r="I53" s="31"/>
      <c r="J53" s="31"/>
      <c r="K53" s="31"/>
      <c r="L53" s="32"/>
      <c r="AA53" s="1936"/>
      <c r="AB53" s="1936"/>
    </row>
    <row r="54" spans="2:28">
      <c r="L54" s="626" t="s">
        <v>403</v>
      </c>
      <c r="AA54" s="1936"/>
      <c r="AB54" s="1936"/>
    </row>
    <row r="55" spans="2:28">
      <c r="AA55" s="1936"/>
      <c r="AB55" s="1936"/>
    </row>
    <row r="56" spans="2:28">
      <c r="AA56" s="1936"/>
      <c r="AB56" s="1936"/>
    </row>
    <row r="60" spans="2:28">
      <c r="B60" s="33"/>
      <c r="C60" s="34"/>
      <c r="D60" s="34"/>
      <c r="E60" s="34"/>
      <c r="F60" s="34"/>
      <c r="G60" s="34"/>
      <c r="H60" s="34"/>
      <c r="I60" s="34"/>
      <c r="J60" s="35"/>
    </row>
  </sheetData>
  <mergeCells count="4">
    <mergeCell ref="H21:J21"/>
    <mergeCell ref="D21:E21"/>
    <mergeCell ref="D28:E28"/>
    <mergeCell ref="J2:L2"/>
  </mergeCells>
  <phoneticPr fontId="18" type="noConversion"/>
  <conditionalFormatting sqref="L45:L48">
    <cfRule type="cellIs" dxfId="1422" priority="29" stopIfTrue="1" operator="equal">
      <formula>$H$36</formula>
    </cfRule>
  </conditionalFormatting>
  <conditionalFormatting sqref="L50:L51">
    <cfRule type="cellIs" dxfId="1421" priority="1" stopIfTrue="1" operator="equal">
      <formula>$H$36</formula>
    </cfRule>
  </conditionalFormatting>
  <dataValidations count="2">
    <dataValidation type="list" allowBlank="1" showInputMessage="1" showErrorMessage="1" sqref="H37" xr:uid="{00000000-0002-0000-0300-000000000000}">
      <formula1>"1,2,3"</formula1>
    </dataValidation>
    <dataValidation type="list" allowBlank="1" showInputMessage="1" showErrorMessage="1" sqref="H39" xr:uid="{00000000-0002-0000-0300-000001000000}">
      <formula1>$AA$4:$AA$47</formula1>
    </dataValidation>
  </dataValidations>
  <pageMargins left="1" right="0.25" top="0.5" bottom="0.5" header="0.5" footer="0.5"/>
  <pageSetup scale="5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8"/>
    <pageSetUpPr fitToPage="1"/>
  </sheetPr>
  <dimension ref="A1"/>
  <sheetViews>
    <sheetView showGridLines="0" topLeftCell="A22" workbookViewId="0"/>
  </sheetViews>
  <sheetFormatPr baseColWidth="10" defaultColWidth="9.42578125" defaultRowHeight="11.25"/>
  <cols>
    <col min="1" max="16384" width="9.42578125" style="9"/>
  </cols>
  <sheetData/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6">
    <tabColor rgb="FF00B050"/>
  </sheetPr>
  <dimension ref="A1:AR85"/>
  <sheetViews>
    <sheetView showGridLines="0" workbookViewId="0">
      <pane xSplit="1" ySplit="4" topLeftCell="R5" activePane="bottomRight" state="frozen"/>
      <selection pane="topRight" activeCell="B1" sqref="B1"/>
      <selection pane="bottomLeft" activeCell="A5" sqref="A5"/>
      <selection pane="bottomRight" activeCell="AD16" sqref="AD16"/>
    </sheetView>
  </sheetViews>
  <sheetFormatPr baseColWidth="10" defaultColWidth="9.42578125" defaultRowHeight="11.25" outlineLevelCol="1"/>
  <cols>
    <col min="1" max="1" width="27.42578125" style="9" customWidth="1"/>
    <col min="2" max="10" width="6.5703125" style="9" hidden="1" customWidth="1" outlineLevel="1" collapsed="1"/>
    <col min="11" max="17" width="6.5703125" style="9" hidden="1" customWidth="1" outlineLevel="1"/>
    <col min="18" max="18" width="6.5703125" style="9" customWidth="1" collapsed="1"/>
    <col min="19" max="24" width="6.5703125" style="9" customWidth="1"/>
    <col min="25" max="26" width="7.5703125" style="9" customWidth="1" outlineLevel="1"/>
    <col min="27" max="27" width="9.42578125" style="9"/>
    <col min="28" max="28" width="16.42578125" style="9" customWidth="1"/>
    <col min="29" max="29" width="10" style="9" customWidth="1"/>
    <col min="30" max="32" width="9.42578125" style="9" customWidth="1"/>
    <col min="33" max="33" width="7.7109375" style="9" customWidth="1"/>
    <col min="34" max="34" width="7.28515625" style="9" customWidth="1"/>
    <col min="35" max="35" width="27.42578125" style="9" customWidth="1"/>
    <col min="36" max="36" width="2.7109375" style="9" customWidth="1"/>
    <col min="37" max="37" width="9.42578125" style="9"/>
    <col min="38" max="38" width="8.28515625" style="9" customWidth="1"/>
    <col min="39" max="16384" width="9.42578125" style="9"/>
  </cols>
  <sheetData>
    <row r="1" spans="1:44" ht="18">
      <c r="A1" s="24" t="str">
        <f>Index!$G$12</f>
        <v>Alsea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409"/>
      <c r="AF1" s="409"/>
      <c r="AG1" s="409"/>
      <c r="AH1" s="409"/>
      <c r="AI1" s="409"/>
    </row>
    <row r="2" spans="1:44" ht="12.75">
      <c r="A2" s="551" t="s">
        <v>584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409"/>
      <c r="AF2" s="409"/>
      <c r="AG2" s="409"/>
      <c r="AH2" s="409"/>
      <c r="AI2" s="131" t="s">
        <v>317</v>
      </c>
    </row>
    <row r="3" spans="1:44">
      <c r="A3" s="241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</row>
    <row r="4" spans="1:44">
      <c r="A4" s="732" t="s">
        <v>405</v>
      </c>
      <c r="B4" s="1484">
        <f>Financials!B4</f>
        <v>2001</v>
      </c>
      <c r="C4" s="1484">
        <f>Financials!C4</f>
        <v>2002</v>
      </c>
      <c r="D4" s="1484">
        <f>Financials!D4</f>
        <v>2003</v>
      </c>
      <c r="E4" s="1484">
        <f>Financials!E4</f>
        <v>2004</v>
      </c>
      <c r="F4" s="1484">
        <f>Financials!F4</f>
        <v>2005</v>
      </c>
      <c r="G4" s="1484">
        <f>Financials!G4</f>
        <v>2006</v>
      </c>
      <c r="H4" s="1484">
        <f>Financials!H4</f>
        <v>2007</v>
      </c>
      <c r="I4" s="1484">
        <f>Financials!I4</f>
        <v>2008</v>
      </c>
      <c r="J4" s="1484">
        <f>Financials!J4</f>
        <v>2009</v>
      </c>
      <c r="K4" s="1484">
        <f>Financials!K4</f>
        <v>2010</v>
      </c>
      <c r="L4" s="1484">
        <f>Financials!L4</f>
        <v>2011</v>
      </c>
      <c r="M4" s="1484">
        <f>Financials!M4</f>
        <v>2012</v>
      </c>
      <c r="N4" s="1484">
        <f>Financials!N4</f>
        <v>2013</v>
      </c>
      <c r="O4" s="1484">
        <f>Financials!O4</f>
        <v>2014</v>
      </c>
      <c r="P4" s="1484">
        <f>Financials!P4</f>
        <v>2015</v>
      </c>
      <c r="Q4" s="1484">
        <f>Financials!Q4</f>
        <v>2016</v>
      </c>
      <c r="R4" s="1484">
        <f>Financials!R4</f>
        <v>2017</v>
      </c>
      <c r="S4" s="1484">
        <f>Financials!S4</f>
        <v>2018</v>
      </c>
      <c r="T4" s="1484">
        <f>Financials!T4</f>
        <v>2019</v>
      </c>
      <c r="U4" s="1484">
        <f>Financials!U4</f>
        <v>2020</v>
      </c>
      <c r="V4" s="1484">
        <f>Financials!V4</f>
        <v>2021</v>
      </c>
      <c r="W4" s="1484">
        <f>Financials!W4</f>
        <v>2022</v>
      </c>
      <c r="X4" s="1484">
        <f>Financials!X4</f>
        <v>2023</v>
      </c>
      <c r="Y4" s="734">
        <f>Financials!Y4</f>
        <v>2024</v>
      </c>
      <c r="Z4" s="734">
        <f>Financials!Z4</f>
        <v>2025</v>
      </c>
      <c r="AA4" s="241"/>
      <c r="AB4" s="130" t="s">
        <v>406</v>
      </c>
      <c r="AC4" s="129"/>
      <c r="AD4" s="129"/>
      <c r="AE4" s="129"/>
      <c r="AF4" s="129"/>
      <c r="AG4" s="129"/>
      <c r="AH4" s="129"/>
      <c r="AI4" s="129"/>
    </row>
    <row r="5" spans="1:44">
      <c r="A5" s="241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097" t="s">
        <v>16</v>
      </c>
      <c r="AH5" s="2097"/>
      <c r="AI5" s="241"/>
      <c r="AJ5" s="241"/>
    </row>
    <row r="6" spans="1:44">
      <c r="A6" s="241" t="str">
        <f>CONCATENATE(Index!L40," mn")</f>
        <v>MXN mn</v>
      </c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762" t="str">
        <f>A6</f>
        <v>MXN mn</v>
      </c>
      <c r="AC6" s="483" t="str">
        <f>UPPER(Index!H39)</f>
        <v>3Q24E</v>
      </c>
      <c r="AD6" s="763" t="str">
        <f>INDEX(Charts_Support!$X$4:$GF$4, 1, MATCH(LEFT(AC$6,4), Charts_Support!$X$4:$GF$4, 0)-4)&amp;"A"</f>
        <v>3Q23A</v>
      </c>
      <c r="AE6" s="1059" t="s">
        <v>8</v>
      </c>
      <c r="AF6" s="763" t="str">
        <f>INDEX(Charts_Support!$X$4:$GF$4, 1, MATCH(LEFT(AC$6,4), Charts_Support!$X$4:$GF$4, 0)-1)&amp;"A"</f>
        <v>2Q24A</v>
      </c>
      <c r="AG6" s="1915" t="s">
        <v>1524</v>
      </c>
      <c r="AH6" s="1916" t="s">
        <v>1482</v>
      </c>
      <c r="AI6" s="764" t="s">
        <v>360</v>
      </c>
      <c r="AJ6" s="241"/>
    </row>
    <row r="7" spans="1:44" hidden="1">
      <c r="A7" s="1031" t="s">
        <v>961</v>
      </c>
      <c r="B7" s="1056">
        <f>Financials!B5</f>
        <v>437</v>
      </c>
      <c r="C7" s="1056">
        <f>Financials!C5</f>
        <v>518</v>
      </c>
      <c r="D7" s="1056">
        <f>Financials!D5</f>
        <v>560</v>
      </c>
      <c r="E7" s="1056">
        <f>Financials!E5</f>
        <v>626</v>
      </c>
      <c r="F7" s="1056">
        <f>Financials!F5</f>
        <v>728</v>
      </c>
      <c r="G7" s="1056">
        <f>Financials!G5</f>
        <v>865</v>
      </c>
      <c r="H7" s="1056">
        <f>Financials!H5</f>
        <v>989</v>
      </c>
      <c r="I7" s="1056">
        <f>Financials!I5</f>
        <v>1135</v>
      </c>
      <c r="J7" s="1056">
        <f>Financials!J5</f>
        <v>1171</v>
      </c>
      <c r="K7" s="1056">
        <f>Financials!K5</f>
        <v>1206</v>
      </c>
      <c r="L7" s="1056">
        <f>Financials!L5</f>
        <v>1283</v>
      </c>
      <c r="M7" s="1056">
        <f>Financials!M5</f>
        <v>1435</v>
      </c>
      <c r="N7" s="1056">
        <f>Financials!N5</f>
        <v>1862</v>
      </c>
      <c r="O7" s="1056">
        <f>Financials!O5</f>
        <v>2784</v>
      </c>
      <c r="P7" s="1056">
        <f>Financials!P5</f>
        <v>2954</v>
      </c>
      <c r="Q7" s="1056">
        <f>Financials!Q5</f>
        <v>3195</v>
      </c>
      <c r="R7" s="1056">
        <f>Financials!R5</f>
        <v>3438</v>
      </c>
      <c r="S7" s="1056">
        <f>Financials!S5</f>
        <v>3688</v>
      </c>
      <c r="T7" s="1056">
        <f>Financials!T5</f>
        <v>4310</v>
      </c>
      <c r="U7" s="1056">
        <f>Financials!U5</f>
        <v>4193</v>
      </c>
      <c r="V7" s="1056">
        <f>Financials!V5</f>
        <v>4262</v>
      </c>
      <c r="W7" s="1056">
        <f>Financials!W5</f>
        <v>4447</v>
      </c>
      <c r="X7" s="1056">
        <f>Financials!X5</f>
        <v>4622</v>
      </c>
      <c r="Y7" s="1062">
        <f>Financials!Y5</f>
        <v>4785</v>
      </c>
      <c r="Z7" s="1062">
        <f>Financials!Z5</f>
        <v>4928</v>
      </c>
      <c r="AA7" s="241"/>
      <c r="AB7" s="165" t="s">
        <v>961</v>
      </c>
      <c r="AC7" s="1032">
        <f>INDEX(Q_IS!$V$225:$CA$225, 1, MATCH(LEFT(AC$6,4)&amp;"*", Charts_Support!$AD$427:$GH$427, 0))</f>
        <v>4716</v>
      </c>
      <c r="AD7" s="1068">
        <f>INDEX(Q_IS!$V$225:$CA$225, 1, MATCH(LEFT(AD6,4), Charts_Support!$AD$427:$GH$427, 0))</f>
        <v>4516</v>
      </c>
      <c r="AE7" s="1034">
        <f>AC7/AD7-1</f>
        <v>4.4286979627989442E-2</v>
      </c>
      <c r="AF7" s="1069">
        <f>INDEX(Q_IS!$V$225:$CA$225, 1, MATCH(LEFT(AF6,4)&amp;"*", Charts_Support!$AD$427:$GH$427, 0))</f>
        <v>4686</v>
      </c>
      <c r="AG7" s="1917"/>
      <c r="AH7" s="1918"/>
      <c r="AI7" s="783"/>
      <c r="AJ7" s="241"/>
      <c r="AM7" s="178"/>
      <c r="AN7" s="253"/>
      <c r="AO7" s="310"/>
      <c r="AP7" s="310"/>
      <c r="AQ7" s="310"/>
      <c r="AR7" s="310"/>
    </row>
    <row r="8" spans="1:44" hidden="1">
      <c r="A8" s="735" t="s">
        <v>731</v>
      </c>
      <c r="B8" s="1058">
        <f>Financials!B6</f>
        <v>425</v>
      </c>
      <c r="C8" s="1058">
        <f>Financials!C6</f>
        <v>495</v>
      </c>
      <c r="D8" s="1058">
        <f>Financials!D6</f>
        <v>531</v>
      </c>
      <c r="E8" s="1058">
        <f>Financials!E6</f>
        <v>597</v>
      </c>
      <c r="F8" s="1058">
        <f>Financials!F6</f>
        <v>701</v>
      </c>
      <c r="G8" s="1058">
        <f>Financials!G6</f>
        <v>790</v>
      </c>
      <c r="H8" s="1058">
        <f>Financials!H6</f>
        <v>899</v>
      </c>
      <c r="I8" s="1058">
        <f>Financials!I6</f>
        <v>990</v>
      </c>
      <c r="J8" s="1058">
        <f>Financials!J6</f>
        <v>1001</v>
      </c>
      <c r="K8" s="1058">
        <f>Financials!K6</f>
        <v>1037</v>
      </c>
      <c r="L8" s="1058">
        <f>Financials!L6</f>
        <v>1075</v>
      </c>
      <c r="M8" s="1058">
        <f>Financials!M6</f>
        <v>1186</v>
      </c>
      <c r="N8" s="1058">
        <f>Financials!N6</f>
        <v>1575</v>
      </c>
      <c r="O8" s="1058">
        <f>Financials!O6</f>
        <v>1999</v>
      </c>
      <c r="P8" s="1058">
        <f>Financials!P6</f>
        <v>2092</v>
      </c>
      <c r="Q8" s="1058">
        <f>Financials!Q6</f>
        <v>2215</v>
      </c>
      <c r="R8" s="1058">
        <f>Financials!R6</f>
        <v>2346</v>
      </c>
      <c r="S8" s="1058">
        <f>Financials!S6</f>
        <v>2467</v>
      </c>
      <c r="T8" s="1058">
        <f>Financials!T6</f>
        <v>2272</v>
      </c>
      <c r="U8" s="1058">
        <f>Financials!U6</f>
        <v>2184</v>
      </c>
      <c r="V8" s="1058">
        <f>Financials!V6</f>
        <v>2174</v>
      </c>
      <c r="W8" s="1058">
        <f>Financials!W6</f>
        <v>2248</v>
      </c>
      <c r="X8" s="1058">
        <f>Financials!X6</f>
        <v>2313</v>
      </c>
      <c r="Y8" s="1063">
        <f>Financials!Y6</f>
        <v>2388</v>
      </c>
      <c r="Z8" s="1063">
        <f>Financials!Z6</f>
        <v>2471</v>
      </c>
      <c r="AA8" s="241"/>
      <c r="AB8" s="735" t="s">
        <v>731</v>
      </c>
      <c r="AC8" s="1060">
        <f>INDEX(Q_IS!$V$9:$CA$9, 1, MATCH(LEFT(AC$6,4)&amp;"*", Charts_Support!$AD$427:$GH$427, 0))</f>
        <v>2371</v>
      </c>
      <c r="AD8" s="967">
        <f>INDEX(Q_IS!$V$9:$CA$9, 1, MATCH(LEFT(AD$6,4), Charts_Support!$AD$427:$GH$427, 0))</f>
        <v>2248</v>
      </c>
      <c r="AE8" s="766">
        <f>AC8/AD8-1</f>
        <v>5.4715302491103124E-2</v>
      </c>
      <c r="AF8" s="967">
        <f>INDEX(Q_IS!$V$9:$CA$9, 1, MATCH(LEFT(AF$6,4)&amp;"*", Charts_Support!$AD$427:$GH$427, 0))</f>
        <v>2358</v>
      </c>
      <c r="AG8" s="1919"/>
      <c r="AH8" s="1918"/>
      <c r="AI8" s="783"/>
      <c r="AJ8" s="241"/>
      <c r="AM8" s="178"/>
      <c r="AN8" s="253"/>
      <c r="AO8" s="310"/>
      <c r="AP8" s="310"/>
      <c r="AQ8" s="310"/>
      <c r="AR8" s="310"/>
    </row>
    <row r="9" spans="1:44" hidden="1">
      <c r="A9" s="735" t="s">
        <v>949</v>
      </c>
      <c r="B9" s="1058">
        <f>Financials!B8</f>
        <v>12</v>
      </c>
      <c r="C9" s="1058">
        <f>Financials!C8</f>
        <v>23</v>
      </c>
      <c r="D9" s="1058">
        <f>Financials!D8</f>
        <v>29</v>
      </c>
      <c r="E9" s="1058">
        <f>Financials!E8</f>
        <v>29</v>
      </c>
      <c r="F9" s="1058">
        <f>Financials!F8</f>
        <v>27</v>
      </c>
      <c r="G9" s="1058">
        <f>Financials!G8</f>
        <v>75</v>
      </c>
      <c r="H9" s="1058">
        <f>Financials!H8</f>
        <v>90</v>
      </c>
      <c r="I9" s="1058">
        <f>Financials!I8</f>
        <v>145</v>
      </c>
      <c r="J9" s="1058">
        <f>Financials!J8</f>
        <v>170</v>
      </c>
      <c r="K9" s="1058">
        <f>Financials!K8</f>
        <v>169</v>
      </c>
      <c r="L9" s="1058">
        <f>Financials!L8</f>
        <v>208</v>
      </c>
      <c r="M9" s="1058">
        <f>Financials!M8</f>
        <v>249</v>
      </c>
      <c r="N9" s="1058">
        <f>Financials!N8</f>
        <v>287</v>
      </c>
      <c r="O9" s="1058">
        <f>Financials!O8</f>
        <v>343</v>
      </c>
      <c r="P9" s="1058">
        <f>Financials!P8</f>
        <v>395</v>
      </c>
      <c r="Q9" s="1058">
        <f>Financials!Q8</f>
        <v>481</v>
      </c>
      <c r="R9" s="1058">
        <f>Financials!R8</f>
        <v>543</v>
      </c>
      <c r="S9" s="1058">
        <f>Financials!S8</f>
        <v>628</v>
      </c>
      <c r="T9" s="1058">
        <f>Financials!T8</f>
        <v>640</v>
      </c>
      <c r="U9" s="1058">
        <f>Financials!U8</f>
        <v>633</v>
      </c>
      <c r="V9" s="1058">
        <f>Financials!V8</f>
        <v>664</v>
      </c>
      <c r="W9" s="1058">
        <f>Financials!W8</f>
        <v>723</v>
      </c>
      <c r="X9" s="1058">
        <f>Financials!X8</f>
        <v>775</v>
      </c>
      <c r="Y9" s="1063">
        <f>Financials!Y8</f>
        <v>799</v>
      </c>
      <c r="Z9" s="1063">
        <f>Financials!Z8</f>
        <v>823</v>
      </c>
      <c r="AA9" s="241"/>
      <c r="AB9" s="735" t="s">
        <v>949</v>
      </c>
      <c r="AC9" s="1060">
        <f>INDEX(Q_IS!$V$76:$CA$76, 1, MATCH(LEFT(AC$6,4)&amp;"*", Charts_Support!$AD$427:$GH$427, 0))</f>
        <v>1560</v>
      </c>
      <c r="AD9" s="967">
        <f>INDEX(Q_IS!$V$76:$CA$76, 1, MATCH(LEFT(AD$6,4), Charts_Support!$AD$427:$GH$427, 0))</f>
        <v>1514</v>
      </c>
      <c r="AE9" s="766">
        <f>AC9/AD9-1</f>
        <v>3.0383091149273511E-2</v>
      </c>
      <c r="AF9" s="967">
        <f>INDEX(Q_IS!$V$76:$CA$76, 1, MATCH(LEFT(AF$6,4)&amp;"*", Charts_Support!$AD$427:$GH$427, 0))</f>
        <v>1548</v>
      </c>
      <c r="AG9" s="1919"/>
      <c r="AH9" s="1918"/>
      <c r="AI9" s="783"/>
      <c r="AJ9" s="241"/>
      <c r="AM9" s="178"/>
      <c r="AN9" s="253"/>
      <c r="AO9" s="310"/>
      <c r="AP9" s="310"/>
      <c r="AQ9" s="310"/>
      <c r="AR9" s="310"/>
    </row>
    <row r="10" spans="1:44" hidden="1">
      <c r="A10" s="735" t="s">
        <v>733</v>
      </c>
      <c r="B10" s="1058">
        <f>Financials!B7</f>
        <v>0</v>
      </c>
      <c r="C10" s="1058">
        <f>Financials!C7</f>
        <v>0</v>
      </c>
      <c r="D10" s="1058">
        <f>Financials!D7</f>
        <v>0</v>
      </c>
      <c r="E10" s="1058">
        <f>Financials!E7</f>
        <v>0</v>
      </c>
      <c r="F10" s="1058">
        <f>Financials!F7</f>
        <v>0</v>
      </c>
      <c r="G10" s="1058">
        <f>Financials!G7</f>
        <v>0</v>
      </c>
      <c r="H10" s="1058">
        <f>Financials!H7</f>
        <v>0</v>
      </c>
      <c r="I10" s="1058">
        <f>Financials!I7</f>
        <v>0</v>
      </c>
      <c r="J10" s="1058">
        <f>Financials!J7</f>
        <v>0</v>
      </c>
      <c r="K10" s="1058">
        <f>Financials!K7</f>
        <v>0</v>
      </c>
      <c r="L10" s="1058">
        <f>Financials!L7</f>
        <v>0</v>
      </c>
      <c r="M10" s="1058">
        <f>Financials!M7</f>
        <v>0</v>
      </c>
      <c r="N10" s="1058">
        <f>Financials!N7</f>
        <v>0</v>
      </c>
      <c r="O10" s="1058">
        <f>Financials!O7</f>
        <v>442</v>
      </c>
      <c r="P10" s="1058">
        <f>Financials!P7</f>
        <v>467</v>
      </c>
      <c r="Q10" s="1058">
        <f>Financials!Q7</f>
        <v>499</v>
      </c>
      <c r="R10" s="1058">
        <f>Financials!R7</f>
        <v>549</v>
      </c>
      <c r="S10" s="1058">
        <f>Financials!S7</f>
        <v>593</v>
      </c>
      <c r="T10" s="1058">
        <f>Financials!T7</f>
        <v>1398</v>
      </c>
      <c r="U10" s="1058">
        <f>Financials!U7</f>
        <v>1376</v>
      </c>
      <c r="V10" s="1058">
        <f>Financials!V7</f>
        <v>1424</v>
      </c>
      <c r="W10" s="1058">
        <f>Financials!W7</f>
        <v>1476</v>
      </c>
      <c r="X10" s="1058">
        <f>Financials!X7</f>
        <v>1534</v>
      </c>
      <c r="Y10" s="1063">
        <f>Financials!Y7</f>
        <v>1598</v>
      </c>
      <c r="Z10" s="1063">
        <f>Financials!Z7</f>
        <v>1634</v>
      </c>
      <c r="AA10" s="241"/>
      <c r="AB10" s="735" t="s">
        <v>733</v>
      </c>
      <c r="AC10" s="1060">
        <f>INDEX(Q_IS!$V$141:$CA$141, 1, MATCH(LEFT(AC$6,4)&amp;"*", Charts_Support!$AD$427:$GH$427, 0))</f>
        <v>785</v>
      </c>
      <c r="AD10" s="967">
        <f>INDEX(Q_IS!$V$141:$CA$141, 1, MATCH(LEFT(AD$6,4), Charts_Support!$AD$427:$GH$427, 0))</f>
        <v>754</v>
      </c>
      <c r="AE10" s="766">
        <f>AC10/AD10-1</f>
        <v>4.1114058355437688E-2</v>
      </c>
      <c r="AF10" s="967">
        <f>INDEX(Q_IS!$V$141:$CA$141, 1, MATCH(LEFT(AF$6,4)&amp;"*", Charts_Support!$AD$427:$GH$427, 0))</f>
        <v>780</v>
      </c>
      <c r="AG10" s="1919"/>
      <c r="AH10" s="1918"/>
      <c r="AI10" s="783"/>
      <c r="AJ10" s="241"/>
      <c r="AM10" s="178"/>
      <c r="AN10" s="253"/>
      <c r="AO10" s="310"/>
      <c r="AP10" s="310"/>
      <c r="AQ10" s="310"/>
      <c r="AR10" s="310"/>
    </row>
    <row r="11" spans="1:44" hidden="1">
      <c r="A11" s="165" t="s">
        <v>767</v>
      </c>
      <c r="B11" s="1030"/>
      <c r="C11" s="1030"/>
      <c r="D11" s="1030"/>
      <c r="E11" s="1030"/>
      <c r="F11" s="1030"/>
      <c r="G11" s="1030"/>
      <c r="H11" s="1030"/>
      <c r="I11" s="1030"/>
      <c r="J11" s="1036">
        <f>Financials!J25</f>
        <v>-3.6999999999999998E-2</v>
      </c>
      <c r="K11" s="1036">
        <f>Financials!K25</f>
        <v>3.7999999999999999E-2</v>
      </c>
      <c r="L11" s="1036">
        <f>Financials!L25</f>
        <v>0.122</v>
      </c>
      <c r="M11" s="1036">
        <f>Financials!M25</f>
        <v>0.105</v>
      </c>
      <c r="N11" s="1036">
        <f>Financials!N25</f>
        <v>0.08</v>
      </c>
      <c r="O11" s="1036">
        <f>Financials!O25</f>
        <v>4.4999999999999998E-2</v>
      </c>
      <c r="P11" s="1036">
        <f>Financials!P25</f>
        <v>0.104</v>
      </c>
      <c r="Q11" s="1036">
        <f>Financials!Q25</f>
        <v>8.8999999999999996E-2</v>
      </c>
      <c r="R11" s="1036">
        <f>Financials!R25</f>
        <v>6.6000000000000003E-2</v>
      </c>
      <c r="S11" s="1036">
        <f>Financials!S25</f>
        <v>4.9000000000000002E-2</v>
      </c>
      <c r="T11" s="1036">
        <f>Financials!T25</f>
        <v>5.0999999999999997E-2</v>
      </c>
      <c r="U11" s="1036">
        <f>Financials!U25</f>
        <v>-0.23</v>
      </c>
      <c r="V11" s="1036">
        <f>Financials!V25</f>
        <v>0.307</v>
      </c>
      <c r="W11" s="1036">
        <f>Financials!W25</f>
        <v>0.35870779740410264</v>
      </c>
      <c r="X11" s="1036">
        <f>Financials!X25</f>
        <v>0.18932600635373661</v>
      </c>
      <c r="Y11" s="1064">
        <f>Financials!Y25</f>
        <v>9.4324838023244179E-2</v>
      </c>
      <c r="Z11" s="1064">
        <f>Financials!Z25</f>
        <v>5.3256384283964037E-2</v>
      </c>
      <c r="AA11" s="241"/>
      <c r="AB11" s="165" t="s">
        <v>767</v>
      </c>
      <c r="AC11" s="1061">
        <f>INDEX(Q_IS!$V$247:$CA$247, 1, MATCH(LEFT(AC$6,4)&amp;"*", Charts_Support!$AD$427:$GH$427, 0))</f>
        <v>9.7598693532960482E-2</v>
      </c>
      <c r="AD11" s="973">
        <f>INDEX(Q_IS!$V$247:$CA$247, 1, MATCH(LEFT(AD$6,4), Charts_Support!$AD$427:$GH$427, 0))</f>
        <v>0.19000710026628698</v>
      </c>
      <c r="AE11" s="1035">
        <f>(AC11-AD11)*10000</f>
        <v>-924.0840673332649</v>
      </c>
      <c r="AF11" s="973">
        <f>INDEX(Q_IS!$V$247:$CA$247, 1, MATCH(LEFT(AF$6,4)&amp;"*", Charts_Support!$AD$427:$GH$427, 0))</f>
        <v>0.10947034708194502</v>
      </c>
      <c r="AG11" s="1920"/>
      <c r="AH11" s="1043"/>
      <c r="AI11" s="783"/>
      <c r="AJ11" s="241"/>
      <c r="AN11" s="253"/>
      <c r="AO11" s="310"/>
      <c r="AP11" s="310"/>
      <c r="AQ11" s="310"/>
      <c r="AR11" s="310"/>
    </row>
    <row r="12" spans="1:44" hidden="1">
      <c r="A12" s="735" t="s">
        <v>731</v>
      </c>
      <c r="B12" s="241"/>
      <c r="C12" s="241"/>
      <c r="D12" s="241"/>
      <c r="E12" s="241"/>
      <c r="F12" s="241"/>
      <c r="G12" s="241"/>
      <c r="H12" s="241"/>
      <c r="I12" s="241"/>
      <c r="J12" s="750" t="str">
        <f>Financials!J26</f>
        <v>ND</v>
      </c>
      <c r="K12" s="750" t="str">
        <f>Financials!K26</f>
        <v>ND</v>
      </c>
      <c r="L12" s="750" t="str">
        <f>Financials!L26</f>
        <v>ND</v>
      </c>
      <c r="M12" s="750" t="str">
        <f>Financials!M26</f>
        <v>ND</v>
      </c>
      <c r="N12" s="750">
        <f>Financials!N26</f>
        <v>0.04</v>
      </c>
      <c r="O12" s="750">
        <f>Financials!O26</f>
        <v>-4.0000000000000001E-3</v>
      </c>
      <c r="P12" s="750">
        <f>Financials!P26</f>
        <v>4.3999999999999997E-2</v>
      </c>
      <c r="Q12" s="750">
        <f>Financials!Q26</f>
        <v>5.8999999999999997E-2</v>
      </c>
      <c r="R12" s="750">
        <f>Financials!R26</f>
        <v>3.1E-2</v>
      </c>
      <c r="S12" s="750">
        <f>Financials!S26</f>
        <v>0.04</v>
      </c>
      <c r="T12" s="750">
        <f>Financials!T26</f>
        <v>3.4000000000000002E-2</v>
      </c>
      <c r="U12" s="750">
        <f>Financials!U26</f>
        <v>-0.23</v>
      </c>
      <c r="V12" s="750">
        <f>Financials!V26</f>
        <v>0.34300000000000003</v>
      </c>
      <c r="W12" s="750">
        <f>Financials!W26</f>
        <v>0.27128725947173421</v>
      </c>
      <c r="X12" s="750">
        <f>Financials!X26</f>
        <v>0.15443653132781138</v>
      </c>
      <c r="Y12" s="1065">
        <f>Financials!Y26</f>
        <v>6.5306215313657767E-2</v>
      </c>
      <c r="Z12" s="1065">
        <f>Financials!Z26</f>
        <v>3.8466053076892298E-2</v>
      </c>
      <c r="AA12" s="241"/>
      <c r="AB12" s="735" t="s">
        <v>731</v>
      </c>
      <c r="AC12" s="50">
        <f>INDEX(Q_IS!$V$45:$CA$45, 1, MATCH(LEFT(AC$6,4)&amp;"*", Charts_Support!$AD$427:$GH$427, 0))</f>
        <v>4.691657931847279E-2</v>
      </c>
      <c r="AD12" s="51">
        <f>INDEX(Q_IS!$V$45:$CA$45, 1, MATCH(LEFT(AD$6,4), Charts_Support!$AD$427:$GH$427, 0))</f>
        <v>0.16200000000000001</v>
      </c>
      <c r="AE12" s="771">
        <f>(AC12-AD12)*10000</f>
        <v>-1150.8342068152722</v>
      </c>
      <c r="AF12" s="51">
        <f>INDEX(Q_IS!$V$45:$CA$45, 1, MATCH(LEFT(AF$6,4)&amp;"*", Charts_Support!$AD$427:$GH$427, 0))</f>
        <v>7.2999999999999995E-2</v>
      </c>
      <c r="AG12" s="1921"/>
      <c r="AH12" s="1044"/>
      <c r="AI12" s="783"/>
      <c r="AJ12" s="241"/>
      <c r="AM12" s="178"/>
      <c r="AN12" s="253"/>
      <c r="AO12" s="310"/>
      <c r="AP12" s="310"/>
      <c r="AQ12" s="310"/>
      <c r="AR12" s="310"/>
    </row>
    <row r="13" spans="1:44" hidden="1">
      <c r="A13" s="735" t="s">
        <v>949</v>
      </c>
      <c r="B13" s="241"/>
      <c r="C13" s="241"/>
      <c r="D13" s="241"/>
      <c r="E13" s="241"/>
      <c r="F13" s="241"/>
      <c r="G13" s="241"/>
      <c r="H13" s="241"/>
      <c r="I13" s="241"/>
      <c r="J13" s="750" t="str">
        <f>Financials!J28</f>
        <v>ND</v>
      </c>
      <c r="K13" s="750" t="str">
        <f>Financials!K28</f>
        <v>ND</v>
      </c>
      <c r="L13" s="750" t="str">
        <f>Financials!L28</f>
        <v>ND</v>
      </c>
      <c r="M13" s="750" t="str">
        <f>Financials!M28</f>
        <v>ND</v>
      </c>
      <c r="N13" s="750">
        <f>Financials!N28</f>
        <v>0.21099999999999999</v>
      </c>
      <c r="O13" s="750">
        <f>Financials!O28</f>
        <v>0.2</v>
      </c>
      <c r="P13" s="750">
        <f>Financials!P28</f>
        <v>0.255</v>
      </c>
      <c r="Q13" s="750">
        <f>Financials!Q28</f>
        <v>0.23499999999999999</v>
      </c>
      <c r="R13" s="750">
        <f>Financials!R28</f>
        <v>0.19600000000000001</v>
      </c>
      <c r="S13" s="750">
        <f>Financials!S28</f>
        <v>0.115</v>
      </c>
      <c r="T13" s="750">
        <f>Financials!T28</f>
        <v>0.14599999999999999</v>
      </c>
      <c r="U13" s="750">
        <f>Financials!U28</f>
        <v>-0.20100000000000001</v>
      </c>
      <c r="V13" s="750">
        <f>Financials!V28</f>
        <v>0.63400000000000001</v>
      </c>
      <c r="W13" s="750">
        <f>Financials!W28</f>
        <v>0.71179330784827166</v>
      </c>
      <c r="X13" s="750">
        <f>Financials!X28</f>
        <v>0.43871130918072654</v>
      </c>
      <c r="Y13" s="1065">
        <f>Financials!Y28</f>
        <v>0.39270172196184605</v>
      </c>
      <c r="Z13" s="1065">
        <f>Financials!Z28</f>
        <v>0.18817245562685256</v>
      </c>
      <c r="AA13" s="241"/>
      <c r="AB13" s="735" t="s">
        <v>949</v>
      </c>
      <c r="AC13" s="50">
        <f>INDEX(Q_IS!$V$112:$CA$112, 1, MATCH(LEFT(AC$6,4)&amp;"*", Charts_Support!$AD$427:$GH$427, 0))</f>
        <v>8.0000000000000002E-3</v>
      </c>
      <c r="AD13" s="51">
        <f>INDEX(Q_IS!$V$112:$CA$112, 1, MATCH(LEFT(AD$6,4), Charts_Support!$AD$427:$GH$427, 0))</f>
        <v>8.3000000000000004E-2</v>
      </c>
      <c r="AE13" s="771">
        <f>(AC13-AD13)*10000</f>
        <v>-750.00000000000011</v>
      </c>
      <c r="AF13" s="51">
        <f>INDEX(Q_IS!$V$112:$CA$112, 1, MATCH(LEFT(AF$6,4)&amp;"*", Charts_Support!$AD$427:$GH$427, 0))</f>
        <v>-2.5999999999999999E-2</v>
      </c>
      <c r="AG13" s="1921"/>
      <c r="AH13" s="1044"/>
      <c r="AI13" s="783"/>
      <c r="AJ13" s="241"/>
      <c r="AM13" s="178"/>
      <c r="AN13" s="253"/>
      <c r="AO13" s="310"/>
      <c r="AP13" s="310"/>
      <c r="AQ13" s="310"/>
      <c r="AR13" s="310"/>
    </row>
    <row r="14" spans="1:44" hidden="1">
      <c r="A14" s="1039" t="s">
        <v>733</v>
      </c>
      <c r="B14" s="762"/>
      <c r="C14" s="762"/>
      <c r="D14" s="762"/>
      <c r="E14" s="762"/>
      <c r="F14" s="762"/>
      <c r="G14" s="762"/>
      <c r="H14" s="762"/>
      <c r="I14" s="762"/>
      <c r="J14" s="1057" t="str">
        <f>Financials!J27</f>
        <v>ND</v>
      </c>
      <c r="K14" s="1057" t="str">
        <f>Financials!K27</f>
        <v>ND</v>
      </c>
      <c r="L14" s="1057" t="str">
        <f>Financials!L27</f>
        <v>ND</v>
      </c>
      <c r="M14" s="1057" t="str">
        <f>Financials!M27</f>
        <v>ND</v>
      </c>
      <c r="N14" s="1057" t="str">
        <f>Financials!N27</f>
        <v>ND</v>
      </c>
      <c r="O14" s="1057">
        <f>Financials!O27</f>
        <v>6.5000000000000002E-2</v>
      </c>
      <c r="P14" s="1057">
        <f>Financials!P27</f>
        <v>7.1999999999999995E-2</v>
      </c>
      <c r="Q14" s="1057">
        <f>Financials!Q27</f>
        <v>4.2999999999999997E-2</v>
      </c>
      <c r="R14" s="1057">
        <f>Financials!R27</f>
        <v>2.3E-2</v>
      </c>
      <c r="S14" s="1057">
        <f>Financials!S27</f>
        <v>1.0999999999999999E-2</v>
      </c>
      <c r="T14" s="1057">
        <f>Financials!T27</f>
        <v>0.02</v>
      </c>
      <c r="U14" s="1057">
        <f>Financials!U27</f>
        <v>-0.24399999999999999</v>
      </c>
      <c r="V14" s="1057">
        <f>Financials!V27</f>
        <v>0.127</v>
      </c>
      <c r="W14" s="1057">
        <f>Financials!W27</f>
        <v>0.27673825991991263</v>
      </c>
      <c r="X14" s="1057">
        <f>Financials!X27</f>
        <v>9.8127100931812261E-2</v>
      </c>
      <c r="Y14" s="1066">
        <f>Financials!Y27</f>
        <v>4.1612101721427023E-3</v>
      </c>
      <c r="Z14" s="1066">
        <f>Financials!Z27</f>
        <v>1.7171506765586236E-2</v>
      </c>
      <c r="AA14" s="241"/>
      <c r="AB14" s="735" t="s">
        <v>733</v>
      </c>
      <c r="AC14" s="50">
        <f>INDEX(Q_IS!$V$196:$CA$196, 1, MATCH(LEFT(AC$6,4)&amp;"*", Charts_Support!$AD$427:$GH$427, 0))</f>
        <v>0.43545757945564589</v>
      </c>
      <c r="AD14" s="51">
        <f>INDEX(Q_IS!$V$196:$CA$196, 1, MATCH(LEFT(AD$6,4), Charts_Support!$AD$427:$GH$427, 0))</f>
        <v>0.41399999999999998</v>
      </c>
      <c r="AE14" s="771">
        <f>(AC14-AD14)*10000</f>
        <v>214.57579455645913</v>
      </c>
      <c r="AF14" s="51">
        <f>INDEX(Q_IS!$V$196:$CA$196, 1, MATCH(LEFT(AF$6,4)&amp;"*", Charts_Support!$AD$427:$GH$427, 0))</f>
        <v>0.48099999999999998</v>
      </c>
      <c r="AG14" s="1921"/>
      <c r="AH14" s="1922"/>
      <c r="AI14" s="783"/>
      <c r="AJ14" s="241"/>
      <c r="AM14" s="547"/>
      <c r="AN14" s="546"/>
      <c r="AO14" s="310"/>
      <c r="AP14" s="310"/>
      <c r="AQ14" s="310"/>
      <c r="AR14" s="310"/>
    </row>
    <row r="15" spans="1:44">
      <c r="A15" s="1031" t="s">
        <v>28</v>
      </c>
      <c r="B15" s="1037">
        <f>Financials!B36</f>
        <v>2474.654</v>
      </c>
      <c r="C15" s="1037">
        <f>Financials!C36</f>
        <v>2627.9160000000002</v>
      </c>
      <c r="D15" s="1037">
        <f>Financials!D36</f>
        <v>2871.491</v>
      </c>
      <c r="E15" s="1037">
        <f>Financials!E36</f>
        <v>3708.5940000000001</v>
      </c>
      <c r="F15" s="1037">
        <f>Financials!F36</f>
        <v>4665.3</v>
      </c>
      <c r="G15" s="1037">
        <f>Financials!G36</f>
        <v>6026.4440000000004</v>
      </c>
      <c r="H15" s="1037">
        <f>Financials!H36</f>
        <v>6985.4030000000002</v>
      </c>
      <c r="I15" s="1037">
        <f>Financials!I36</f>
        <v>7786.8429999999998</v>
      </c>
      <c r="J15" s="1037">
        <f>Financials!J36</f>
        <v>8587.0810000000019</v>
      </c>
      <c r="K15" s="1037">
        <f>Financials!K36</f>
        <v>8981.4399999999987</v>
      </c>
      <c r="L15" s="1037">
        <f>Financials!L36</f>
        <v>10696.504000000001</v>
      </c>
      <c r="M15" s="1037">
        <f>Financials!M36</f>
        <v>13519.513000000001</v>
      </c>
      <c r="N15" s="1037">
        <f>Financials!N36</f>
        <v>15712.665000000001</v>
      </c>
      <c r="O15" s="1037">
        <f>Financials!O36</f>
        <v>22800.255000000001</v>
      </c>
      <c r="P15" s="1037">
        <f>Financials!P36</f>
        <v>32288.376</v>
      </c>
      <c r="Q15" s="1037">
        <f>Financials!Q36</f>
        <v>37701.866999999998</v>
      </c>
      <c r="R15" s="1037">
        <f>Financials!R36</f>
        <v>42529.120999999999</v>
      </c>
      <c r="S15" s="1037">
        <f>Financials!S36</f>
        <v>46156.591</v>
      </c>
      <c r="T15" s="1037">
        <f>Financials!T36</f>
        <v>58154.618999999999</v>
      </c>
      <c r="U15" s="1037">
        <f>Financials!U36</f>
        <v>38495.419000000002</v>
      </c>
      <c r="V15" s="1037">
        <f>Financials!V36</f>
        <v>53379.468999999997</v>
      </c>
      <c r="W15" s="1037">
        <f>Financials!W36</f>
        <v>68831.305000000008</v>
      </c>
      <c r="X15" s="1037">
        <f>Financials!X36</f>
        <v>76231.047999999995</v>
      </c>
      <c r="Y15" s="1038">
        <f>Financials!Y36</f>
        <v>78549.033316147907</v>
      </c>
      <c r="Z15" s="1038">
        <f>Financials!Z36</f>
        <v>86000.984261954174</v>
      </c>
      <c r="AA15" s="241"/>
      <c r="AB15" s="1031" t="str">
        <f>A15</f>
        <v>Net revenues</v>
      </c>
      <c r="AC15" s="1032">
        <f>INDEX(Q_IS!$V$245:$CA$245, 1, MATCH(LEFT(AC$6,4)&amp;"*", Charts_Support!$AD$427:$GH$427, 0))</f>
        <v>20107.970832727809</v>
      </c>
      <c r="AD15" s="1033">
        <f>INDEX(Q_IS!$V$245:$CA$245, 1, MATCH(LEFT(AD$6,4),Charts_Support!$AD$427:$GH$427, 0))</f>
        <v>19469.973999999998</v>
      </c>
      <c r="AE15" s="1034">
        <f>AC15/AD15-1</f>
        <v>3.2768242665748293E-2</v>
      </c>
      <c r="AF15" s="1033">
        <f>INDEX(Q_IS!$V$245:$CA$245, 1, MATCH(LEFT(AF$6,4)&amp;"*",Charts_Support!$AD$427:$GH$427, 0))</f>
        <v>19254.041000000001</v>
      </c>
      <c r="AG15" s="1917">
        <v>18251.239735467563</v>
      </c>
      <c r="AH15" s="1922">
        <f>AC15/AG15-1</f>
        <v>0.10173177954876511</v>
      </c>
      <c r="AI15" s="241"/>
      <c r="AJ15" s="241"/>
      <c r="AM15" s="178"/>
      <c r="AN15" s="92"/>
      <c r="AO15" s="310"/>
      <c r="AP15" s="310"/>
      <c r="AQ15" s="310"/>
      <c r="AR15" s="310"/>
    </row>
    <row r="16" spans="1:44">
      <c r="A16" s="735" t="s">
        <v>731</v>
      </c>
      <c r="B16" s="736">
        <f>Financials!B38</f>
        <v>2474.654</v>
      </c>
      <c r="C16" s="736">
        <f>Financials!C38</f>
        <v>2628</v>
      </c>
      <c r="D16" s="736">
        <f>Financials!D38</f>
        <v>2871</v>
      </c>
      <c r="E16" s="736">
        <f>Financials!E38</f>
        <v>4675</v>
      </c>
      <c r="F16" s="736">
        <f>Financials!F38</f>
        <v>5628</v>
      </c>
      <c r="G16" s="736">
        <f>Financials!G38</f>
        <v>7076</v>
      </c>
      <c r="H16" s="736">
        <f>Financials!H38</f>
        <v>8008</v>
      </c>
      <c r="I16" s="736">
        <f>Financials!I38</f>
        <v>8694.1</v>
      </c>
      <c r="J16" s="736">
        <f>Financials!J38</f>
        <v>9097.5</v>
      </c>
      <c r="K16" s="736">
        <f>Financials!K38</f>
        <v>9085.1</v>
      </c>
      <c r="L16" s="736">
        <f>Financials!L38</f>
        <v>10501</v>
      </c>
      <c r="M16" s="736">
        <f>Financials!M38</f>
        <v>12785.8</v>
      </c>
      <c r="N16" s="736">
        <f>Financials!N38</f>
        <v>14694.7</v>
      </c>
      <c r="O16" s="736">
        <f>Financials!O38</f>
        <v>20668</v>
      </c>
      <c r="P16" s="736">
        <f>Financials!P38</f>
        <v>19896</v>
      </c>
      <c r="Q16" s="736">
        <f>Financials!Q38</f>
        <v>21986</v>
      </c>
      <c r="R16" s="736">
        <f>Financials!R38</f>
        <v>23677</v>
      </c>
      <c r="S16" s="736">
        <f>Financials!S38</f>
        <v>25462</v>
      </c>
      <c r="T16" s="736">
        <f>Financials!T38</f>
        <v>27217</v>
      </c>
      <c r="U16" s="736">
        <f>Financials!U38</f>
        <v>19067</v>
      </c>
      <c r="V16" s="736">
        <f>Financials!V38</f>
        <v>26015</v>
      </c>
      <c r="W16" s="736">
        <f>Financials!W38</f>
        <v>33468</v>
      </c>
      <c r="X16" s="736">
        <f>Financials!X38</f>
        <v>39358</v>
      </c>
      <c r="Y16" s="737">
        <f>Financials!Y38</f>
        <v>43061.606390245215</v>
      </c>
      <c r="Z16" s="737">
        <f>Financials!Z38</f>
        <v>45599.366837764588</v>
      </c>
      <c r="AA16" s="241"/>
      <c r="AB16" s="735" t="str">
        <f>A16</f>
        <v>Mexico</v>
      </c>
      <c r="AC16" s="1904">
        <f>INDEX(Q_IS!$V$38:$CA$38, 1, MATCH(LEFT(AC$6,4)&amp;"*", Charts_Support!$AD$427:$GH$427, 0))</f>
        <v>10752.462458866608</v>
      </c>
      <c r="AD16" s="1485">
        <f>INDEX(Q_IS!$V$38:$CA$38, 1, MATCH(LEFT(AD$6,4),Charts_Support!$AD$427:$GH$427, 0))</f>
        <v>9900</v>
      </c>
      <c r="AE16" s="766">
        <f t="shared" ref="AE16:AE25" si="0">AC16/AD16-1</f>
        <v>8.6107319077435296E-2</v>
      </c>
      <c r="AF16" s="1485">
        <f>INDEX(Q_IS!$V$38:$CA$38, 1, MATCH(LEFT(AF$6,4)&amp;"*",Charts_Support!$AD$427:$GH$427, 0))</f>
        <v>10694</v>
      </c>
      <c r="AG16" s="1919">
        <v>10100.952055175672</v>
      </c>
      <c r="AH16" s="1922">
        <f>AC16/AG16-1</f>
        <v>6.4499900616507233E-2</v>
      </c>
      <c r="AI16" s="767" t="s">
        <v>1532</v>
      </c>
      <c r="AJ16" s="241"/>
      <c r="AM16" s="178"/>
      <c r="AN16" s="92"/>
      <c r="AO16" s="310"/>
      <c r="AP16" s="310"/>
      <c r="AQ16" s="310"/>
      <c r="AR16" s="310"/>
    </row>
    <row r="17" spans="1:38">
      <c r="A17" s="735" t="s">
        <v>949</v>
      </c>
      <c r="B17" s="736">
        <f>Financials!B39</f>
        <v>0</v>
      </c>
      <c r="C17" s="736">
        <f>Financials!C39</f>
        <v>0</v>
      </c>
      <c r="D17" s="736">
        <f>Financials!D39</f>
        <v>0</v>
      </c>
      <c r="E17" s="736">
        <f>Financials!E39</f>
        <v>0</v>
      </c>
      <c r="F17" s="736">
        <f>Financials!F39</f>
        <v>0</v>
      </c>
      <c r="G17" s="736">
        <f>Financials!G39</f>
        <v>0</v>
      </c>
      <c r="H17" s="736">
        <f>Financials!H39</f>
        <v>0</v>
      </c>
      <c r="I17" s="736">
        <f>Financials!I39</f>
        <v>0</v>
      </c>
      <c r="J17" s="736">
        <f>Financials!J39</f>
        <v>0</v>
      </c>
      <c r="K17" s="736">
        <f>Financials!K39</f>
        <v>0</v>
      </c>
      <c r="L17" s="736">
        <f>Financials!L39</f>
        <v>0</v>
      </c>
      <c r="M17" s="736">
        <f>Financials!M39</f>
        <v>0</v>
      </c>
      <c r="N17" s="736">
        <f>Financials!N39</f>
        <v>0</v>
      </c>
      <c r="O17" s="736">
        <f>Financials!O39</f>
        <v>1468</v>
      </c>
      <c r="P17" s="736">
        <f>Financials!P39</f>
        <v>5673</v>
      </c>
      <c r="Q17" s="736">
        <f>Financials!Q39</f>
        <v>7591</v>
      </c>
      <c r="R17" s="736">
        <f>Financials!R39</f>
        <v>8570</v>
      </c>
      <c r="S17" s="736">
        <f>Financials!S39</f>
        <v>9887</v>
      </c>
      <c r="T17" s="736">
        <f>Financials!T39</f>
        <v>21207</v>
      </c>
      <c r="U17" s="736">
        <f>Financials!U39</f>
        <v>13860</v>
      </c>
      <c r="V17" s="736">
        <f>Financials!V39</f>
        <v>18414</v>
      </c>
      <c r="W17" s="736">
        <f>Financials!W39</f>
        <v>21976</v>
      </c>
      <c r="X17" s="736">
        <f>Financials!X39</f>
        <v>22966</v>
      </c>
      <c r="Y17" s="737">
        <f>Financials!Y39</f>
        <v>24034.949605353468</v>
      </c>
      <c r="Z17" s="737">
        <f>Financials!Z39</f>
        <v>27931.995653906328</v>
      </c>
      <c r="AA17" s="241"/>
      <c r="AB17" s="735" t="str">
        <f>A17</f>
        <v>Europe</v>
      </c>
      <c r="AC17" s="1904">
        <f>INDEX(Q_IS!$V$105:$CA$105, 1, MATCH(LEFT(AC$6,4)&amp;"*", Charts_Support!$AD$427:$GH$427, 0))</f>
        <v>6119.6343958553243</v>
      </c>
      <c r="AD17" s="1485">
        <f>INDEX(Q_IS!$V$105:$CA$105, 1, MATCH(LEFT(AD$6,4),Charts_Support!$AD$427:$GH$427, 0))</f>
        <v>5637</v>
      </c>
      <c r="AE17" s="766">
        <f>AC17/AD17-1</f>
        <v>8.5619016472471943E-2</v>
      </c>
      <c r="AF17" s="1485">
        <f>INDEX(Q_IS!$V$105:$CA$105, 1, MATCH(LEFT(AF$6,4)&amp;"*",Charts_Support!$AD$427:$GH$427, 0))</f>
        <v>5503</v>
      </c>
      <c r="AG17" s="1919"/>
      <c r="AH17" s="1922"/>
      <c r="AI17" s="767" t="s">
        <v>1533</v>
      </c>
      <c r="AJ17" s="241"/>
    </row>
    <row r="18" spans="1:38">
      <c r="A18" s="735" t="s">
        <v>733</v>
      </c>
      <c r="B18" s="736">
        <f>Financials!B40</f>
        <v>0</v>
      </c>
      <c r="C18" s="736">
        <f>Financials!C40</f>
        <v>0</v>
      </c>
      <c r="D18" s="736">
        <f>Financials!D40</f>
        <v>0</v>
      </c>
      <c r="E18" s="736">
        <f>Financials!E40</f>
        <v>0</v>
      </c>
      <c r="F18" s="736">
        <f>Financials!F40</f>
        <v>0</v>
      </c>
      <c r="G18" s="736">
        <f>Financials!G40</f>
        <v>347</v>
      </c>
      <c r="H18" s="736">
        <f>Financials!H40</f>
        <v>642</v>
      </c>
      <c r="I18" s="736">
        <f>Financials!I40</f>
        <v>972</v>
      </c>
      <c r="J18" s="736">
        <f>Financials!J40</f>
        <v>1407.7</v>
      </c>
      <c r="K18" s="736">
        <f>Financials!K40</f>
        <v>1810.6999999999998</v>
      </c>
      <c r="L18" s="736">
        <f>Financials!L40</f>
        <v>2402.1</v>
      </c>
      <c r="M18" s="736">
        <f>Financials!M40</f>
        <v>3416.5</v>
      </c>
      <c r="N18" s="736">
        <f>Financials!N40</f>
        <v>4219.5</v>
      </c>
      <c r="O18" s="736">
        <f>Financials!O40</f>
        <v>4621</v>
      </c>
      <c r="P18" s="736">
        <f>Financials!P40</f>
        <v>6718</v>
      </c>
      <c r="Q18" s="736">
        <f>Financials!Q40</f>
        <v>8124</v>
      </c>
      <c r="R18" s="736">
        <f>Financials!R40</f>
        <v>10283</v>
      </c>
      <c r="S18" s="736">
        <f>Financials!S40</f>
        <v>10194.977999999999</v>
      </c>
      <c r="T18" s="736">
        <f>Financials!T40</f>
        <v>9732.4130000000005</v>
      </c>
      <c r="U18" s="736">
        <f>Financials!U40</f>
        <v>5586.9660000000003</v>
      </c>
      <c r="V18" s="736">
        <f>Financials!V40</f>
        <v>8962.0789999999997</v>
      </c>
      <c r="W18" s="736">
        <f>Financials!W40</f>
        <v>13387.712</v>
      </c>
      <c r="X18" s="736">
        <f>Financials!X40</f>
        <v>13905.773000000001</v>
      </c>
      <c r="Y18" s="737">
        <f>Financials!Y40</f>
        <v>11451.235320549225</v>
      </c>
      <c r="Z18" s="737">
        <f>Financials!Z40</f>
        <v>12469.62177028326</v>
      </c>
      <c r="AA18" s="241"/>
      <c r="AB18" s="735" t="str">
        <f>A18</f>
        <v>South America</v>
      </c>
      <c r="AC18" s="1904">
        <f>INDEX(Q_IS!$V$189:$CA$189, 1, MATCH(LEFT(AC$6,4)&amp;"*", Charts_Support!$AD$427:$GH$427, 0))</f>
        <v>3235.8739780058768</v>
      </c>
      <c r="AD18" s="1485">
        <f>INDEX(Q_IS!$V$189:$CA$189, 1, MATCH(LEFT(AD$6,4),Charts_Support!$AD$427:$GH$427, 0))</f>
        <v>3931.7930000000001</v>
      </c>
      <c r="AE18" s="766">
        <f t="shared" si="0"/>
        <v>-0.17699787908318754</v>
      </c>
      <c r="AF18" s="1485">
        <f>INDEX(Q_IS!$V$189:$CA$189, 1, MATCH(LEFT(AF$6,4)&amp;"*",Charts_Support!$AD$427:$GH$427, 0))</f>
        <v>3056.471</v>
      </c>
      <c r="AG18" s="1919"/>
      <c r="AH18" s="1922"/>
      <c r="AI18" s="767"/>
      <c r="AJ18" s="241"/>
    </row>
    <row r="19" spans="1:38">
      <c r="A19" s="735" t="s">
        <v>755</v>
      </c>
      <c r="B19" s="736">
        <f>Financials!B41</f>
        <v>0</v>
      </c>
      <c r="C19" s="736">
        <f>Financials!C41</f>
        <v>0</v>
      </c>
      <c r="D19" s="736">
        <f>Financials!D41</f>
        <v>0</v>
      </c>
      <c r="E19" s="736">
        <f>Financials!E41</f>
        <v>-966</v>
      </c>
      <c r="F19" s="736">
        <f>Financials!F41</f>
        <v>-1132</v>
      </c>
      <c r="G19" s="736">
        <f>Financials!G41</f>
        <v>-1397</v>
      </c>
      <c r="H19" s="736">
        <f>Financials!H41</f>
        <v>-1665</v>
      </c>
      <c r="I19" s="736">
        <f>Financials!I41</f>
        <v>-1879</v>
      </c>
      <c r="J19" s="736">
        <f>Financials!J41</f>
        <v>-1918.1189999999997</v>
      </c>
      <c r="K19" s="736">
        <f>Financials!K41</f>
        <v>-1914.3600000000004</v>
      </c>
      <c r="L19" s="736">
        <f>Financials!L41</f>
        <v>-2206.5959999999995</v>
      </c>
      <c r="M19" s="736">
        <f>Financials!M41</f>
        <v>-2682.7869999999989</v>
      </c>
      <c r="N19" s="736">
        <f>Financials!N41</f>
        <v>-3201.5350000000003</v>
      </c>
      <c r="O19" s="736">
        <f>Financials!O41</f>
        <v>-3956.7449999999999</v>
      </c>
      <c r="P19" s="736">
        <f>Financials!P41</f>
        <v>1.3759999999992942</v>
      </c>
      <c r="Q19" s="736">
        <f>Financials!Q41</f>
        <v>0.86700000000018917</v>
      </c>
      <c r="R19" s="736">
        <f>Financials!R41</f>
        <v>-0.87900000000081491</v>
      </c>
      <c r="S19" s="736">
        <f>Financials!S41</f>
        <v>612.61300000000028</v>
      </c>
      <c r="T19" s="736">
        <f>Financials!T41</f>
        <v>-1.794000000001688</v>
      </c>
      <c r="U19" s="736">
        <f>Financials!U41</f>
        <v>-18.547000000000025</v>
      </c>
      <c r="V19" s="736">
        <f>Financials!V41</f>
        <v>-11.609999999999673</v>
      </c>
      <c r="W19" s="736">
        <f>Financials!W41</f>
        <v>-0.40699999999742431</v>
      </c>
      <c r="X19" s="736">
        <f>Financials!X41</f>
        <v>1.2749999999996362</v>
      </c>
      <c r="Y19" s="737">
        <f>Financials!Y41</f>
        <v>1.2420000000038272</v>
      </c>
      <c r="Z19" s="737">
        <f>Financials!Z41</f>
        <v>0</v>
      </c>
      <c r="AA19" s="241"/>
      <c r="AB19" s="735" t="str">
        <f>A19</f>
        <v>Intercompany Operations</v>
      </c>
      <c r="AC19" s="700">
        <f>INDEX(Q_IS!$V$267:$CA$267, 1, MATCH(LEFT(AC$6,4)&amp;"*", Charts_Support!$AD$427:$GH$427, 0))</f>
        <v>0</v>
      </c>
      <c r="AD19" s="765">
        <f>INDEX(Q_IS!$V$267:$CA$267, 1, MATCH(LEFT(AD$6,4),Charts_Support!$AD$427:$GH$427, 0))</f>
        <v>1.1809999999986758</v>
      </c>
      <c r="AE19" s="766">
        <f t="shared" si="0"/>
        <v>-1</v>
      </c>
      <c r="AF19" s="765">
        <f>INDEX(Q_IS!$V$267:$CA$267, 1, MATCH(LEFT(AF$6,4)&amp;"*",Charts_Support!$AD$427:$GH$427, 0))</f>
        <v>0.57000000000152795</v>
      </c>
      <c r="AG19" s="1923"/>
      <c r="AH19" s="1922"/>
      <c r="AI19" s="767"/>
      <c r="AJ19" s="241"/>
    </row>
    <row r="20" spans="1:38">
      <c r="A20" s="241" t="s">
        <v>245</v>
      </c>
      <c r="B20" s="740"/>
      <c r="C20" s="740">
        <f t="shared" ref="C20:V20" si="1">C15/B15-1</f>
        <v>6.1932698470170022E-2</v>
      </c>
      <c r="D20" s="740">
        <f t="shared" si="1"/>
        <v>9.2687513603935567E-2</v>
      </c>
      <c r="E20" s="740">
        <f t="shared" si="1"/>
        <v>0.29152206989330631</v>
      </c>
      <c r="F20" s="740">
        <f t="shared" si="1"/>
        <v>0.25797000156932803</v>
      </c>
      <c r="G20" s="740">
        <f t="shared" si="1"/>
        <v>0.2917591580391401</v>
      </c>
      <c r="H20" s="740">
        <f t="shared" si="1"/>
        <v>0.15912518227996464</v>
      </c>
      <c r="I20" s="740">
        <f t="shared" si="1"/>
        <v>0.11473067480859722</v>
      </c>
      <c r="J20" s="740">
        <f t="shared" si="1"/>
        <v>0.10276796385903797</v>
      </c>
      <c r="K20" s="740">
        <f t="shared" si="1"/>
        <v>4.5924686165181861E-2</v>
      </c>
      <c r="L20" s="740">
        <f t="shared" si="1"/>
        <v>0.19095646132468769</v>
      </c>
      <c r="M20" s="740">
        <f t="shared" si="1"/>
        <v>0.26391884675591193</v>
      </c>
      <c r="N20" s="740">
        <f t="shared" si="1"/>
        <v>0.16222122793920168</v>
      </c>
      <c r="O20" s="740">
        <f t="shared" si="1"/>
        <v>0.4510749767782869</v>
      </c>
      <c r="P20" s="740">
        <f t="shared" si="1"/>
        <v>0.41614100368614304</v>
      </c>
      <c r="Q20" s="740">
        <f t="shared" si="1"/>
        <v>0.16766067763829295</v>
      </c>
      <c r="R20" s="740">
        <f t="shared" si="1"/>
        <v>0.12803753193442646</v>
      </c>
      <c r="S20" s="740">
        <f t="shared" si="1"/>
        <v>8.5293791987847589E-2</v>
      </c>
      <c r="T20" s="740">
        <f t="shared" si="1"/>
        <v>0.25994181416040885</v>
      </c>
      <c r="U20" s="740">
        <f t="shared" si="1"/>
        <v>-0.3380505338707489</v>
      </c>
      <c r="V20" s="740">
        <f t="shared" si="1"/>
        <v>0.38664470699747411</v>
      </c>
      <c r="W20" s="740">
        <f>W15/V15-1</f>
        <v>0.28947151947127847</v>
      </c>
      <c r="X20" s="740">
        <f>X15/W15-1</f>
        <v>0.10750548751037026</v>
      </c>
      <c r="Y20" s="741">
        <f>Y15/X15-1</f>
        <v>3.0407365200435299E-2</v>
      </c>
      <c r="Z20" s="741">
        <f>Z15/Y15-1</f>
        <v>9.4870052898210711E-2</v>
      </c>
      <c r="AA20" s="241"/>
      <c r="AB20" s="165" t="str">
        <f>A21</f>
        <v>Adj. EBITDA</v>
      </c>
      <c r="AC20" s="1028">
        <f>INDEX(Q_Financials!$V$23:$FY$23, 1, MATCH(LEFT(AC$6,4)&amp;"*", Charts_Support!$AD$427:$GH$427, 0))</f>
        <v>3756.9602481233051</v>
      </c>
      <c r="AD20" s="1029">
        <f>INDEX(Q_Financials!$V$23:$FY$23, 1, MATCH(LEFT(AD$6,4),Charts_Support!$AD$427:$GH$427, 0))</f>
        <v>3753</v>
      </c>
      <c r="AE20" s="1030">
        <f t="shared" si="0"/>
        <v>1.0552219886237335E-3</v>
      </c>
      <c r="AF20" s="1029">
        <f>INDEX(Q_Financials!$V$23:$FY$23, 1, MATCH(LEFT(AF$6,4)&amp;"*",Charts_Support!$AD$427:$GH$427, 0))</f>
        <v>3794</v>
      </c>
      <c r="AG20" s="1924">
        <v>3786.3900475544874</v>
      </c>
      <c r="AH20" s="1922">
        <f>AC20/AG20-1</f>
        <v>-7.7725218642464844E-3</v>
      </c>
      <c r="AI20" s="769"/>
      <c r="AJ20" s="241"/>
    </row>
    <row r="21" spans="1:38">
      <c r="A21" s="165" t="s">
        <v>191</v>
      </c>
      <c r="B21" s="738">
        <f>Financials!B72</f>
        <v>330.56599999999992</v>
      </c>
      <c r="C21" s="738">
        <f>Financials!C72</f>
        <v>383.90300000000002</v>
      </c>
      <c r="D21" s="738">
        <f>Financials!D72</f>
        <v>415.20900000000006</v>
      </c>
      <c r="E21" s="738">
        <f>Financials!E72</f>
        <v>545.45299999999997</v>
      </c>
      <c r="F21" s="738">
        <f>Financials!F72</f>
        <v>700.55500000000029</v>
      </c>
      <c r="G21" s="738">
        <f>Financials!G72</f>
        <v>1007.4390000000008</v>
      </c>
      <c r="H21" s="738">
        <f>Financials!H72</f>
        <v>1288.6759999999999</v>
      </c>
      <c r="I21" s="738">
        <f>Financials!I72</f>
        <v>1032.067</v>
      </c>
      <c r="J21" s="738">
        <f>Financials!J72</f>
        <v>1000.2359999999994</v>
      </c>
      <c r="K21" s="738">
        <f>Financials!K72</f>
        <v>998.63099999999986</v>
      </c>
      <c r="L21" s="738">
        <f>Financials!L72</f>
        <v>1114.8470000000004</v>
      </c>
      <c r="M21" s="738">
        <f>Financials!M72</f>
        <v>1608.0649999999994</v>
      </c>
      <c r="N21" s="738">
        <f>Financials!N72</f>
        <v>2336.4059999999999</v>
      </c>
      <c r="O21" s="738">
        <f>Financials!O72</f>
        <v>4988</v>
      </c>
      <c r="P21" s="738">
        <f>Financials!P72</f>
        <v>6778</v>
      </c>
      <c r="Q21" s="738">
        <f>Financials!Q72</f>
        <v>7942</v>
      </c>
      <c r="R21" s="738">
        <f>Financials!R72</f>
        <v>8896</v>
      </c>
      <c r="S21" s="738">
        <f>Financials!S72</f>
        <v>9225</v>
      </c>
      <c r="T21" s="738">
        <f>Financials!T72</f>
        <v>11214</v>
      </c>
      <c r="U21" s="738">
        <f>Financials!U72</f>
        <v>4351</v>
      </c>
      <c r="V21" s="738">
        <f>Financials!V72</f>
        <v>10631</v>
      </c>
      <c r="W21" s="738">
        <f>Financials!W72</f>
        <v>12759</v>
      </c>
      <c r="X21" s="738">
        <f>Financials!X72</f>
        <v>14757</v>
      </c>
      <c r="Y21" s="739">
        <f>Financials!Y72</f>
        <v>15251.113402670067</v>
      </c>
      <c r="Z21" s="739">
        <f>Financials!Z72</f>
        <v>16362.969838781037</v>
      </c>
      <c r="AA21" s="241"/>
      <c r="AB21" s="735" t="s">
        <v>731</v>
      </c>
      <c r="AC21" s="56">
        <f>INDEX(Q_IS!$V$58:$GL$58, 1, MATCH(LEFT(AC$6,4)&amp;"*", Charts_Support!$AD$427:$GH$427, 0))</f>
        <v>2473.0663655393196</v>
      </c>
      <c r="AD21" s="768">
        <f>INDEX(Q_IS!$V$58:$GL$58, 1, MATCH(LEFT(AD$6,4)&amp;"*", Charts_Support!$AD$427:$GH$427, 0))</f>
        <v>2256</v>
      </c>
      <c r="AE21" s="766">
        <f t="shared" si="0"/>
        <v>9.6217360611400515E-2</v>
      </c>
      <c r="AF21" s="768">
        <f>INDEX(Q_IS!$V$58:$GL$58, 1, MATCH(LEFT(AF$6,4)&amp;"*", Charts_Support!$AD$427:$GH$427, 0))</f>
        <v>2643</v>
      </c>
      <c r="AG21" s="1925">
        <f>AG25/AG15</f>
        <v>0.14147145275739006</v>
      </c>
      <c r="AH21" s="1922"/>
      <c r="AI21" s="769"/>
      <c r="AJ21" s="241"/>
    </row>
    <row r="22" spans="1:38">
      <c r="A22" s="735" t="s">
        <v>731</v>
      </c>
      <c r="B22" s="742"/>
      <c r="C22" s="742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1485">
        <f>Financials!O73</f>
        <v>4019</v>
      </c>
      <c r="P22" s="1485">
        <f>Financials!P73</f>
        <v>4675</v>
      </c>
      <c r="Q22" s="1485">
        <f>Financials!Q73</f>
        <v>5215</v>
      </c>
      <c r="R22" s="1485">
        <f>Financials!R73</f>
        <v>5608</v>
      </c>
      <c r="S22" s="1485">
        <f>Financials!S73</f>
        <v>5901</v>
      </c>
      <c r="T22" s="1485">
        <f>Financials!T73</f>
        <v>6200</v>
      </c>
      <c r="U22" s="1485">
        <f>Financials!U73</f>
        <v>2867</v>
      </c>
      <c r="V22" s="1485">
        <f>Financials!V73</f>
        <v>5951</v>
      </c>
      <c r="W22" s="1485">
        <f>Financials!W73</f>
        <v>7567</v>
      </c>
      <c r="X22" s="1485">
        <f>Financials!X73</f>
        <v>9005</v>
      </c>
      <c r="Y22" s="1486">
        <f>Financials!Y73</f>
        <v>10132.023750099506</v>
      </c>
      <c r="Z22" s="1486">
        <f>Financials!Z73</f>
        <v>10619.119697261831</v>
      </c>
      <c r="AA22" s="241"/>
      <c r="AB22" s="735" t="s">
        <v>949</v>
      </c>
      <c r="AC22" s="56">
        <f>INDEX(Q_IS!$V$123:$GL$123, 1, MATCH(LEFT(AC$6,4)&amp;"*", Charts_Support!$AD$427:$GH$427, 0))</f>
        <v>861.77306022797984</v>
      </c>
      <c r="AD22" s="768">
        <f>INDEX(Q_IS!$V$123:$GL$123, 1, MATCH(LEFT(AD$6,4)&amp;"*", Charts_Support!$AD$427:$GH$427, 0))</f>
        <v>884</v>
      </c>
      <c r="AE22" s="766">
        <f>AC22/AD22-1</f>
        <v>-2.5143597027172171E-2</v>
      </c>
      <c r="AF22" s="768">
        <f>INDEX(Q_IS!$V$123:$GL$123, 1, MATCH(LEFT(AF$6,4)&amp;"*", Charts_Support!$AD$427:$GH$427, 0))</f>
        <v>737</v>
      </c>
      <c r="AG22" s="1925"/>
      <c r="AH22" s="1922"/>
      <c r="AI22" s="769"/>
      <c r="AJ22" s="241"/>
    </row>
    <row r="23" spans="1:38">
      <c r="A23" s="735" t="s">
        <v>949</v>
      </c>
      <c r="B23" s="742"/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1485">
        <f>Financials!O74</f>
        <v>290</v>
      </c>
      <c r="P23" s="1485">
        <f>Financials!P74</f>
        <v>1082</v>
      </c>
      <c r="Q23" s="1485">
        <f>Financials!Q74</f>
        <v>1500</v>
      </c>
      <c r="R23" s="1485">
        <f>Financials!R74</f>
        <v>1726</v>
      </c>
      <c r="S23" s="1485">
        <f>Financials!S74</f>
        <v>1916</v>
      </c>
      <c r="T23" s="1485">
        <f>Financials!T74</f>
        <v>3751</v>
      </c>
      <c r="U23" s="1485">
        <f>Financials!U74</f>
        <v>1187</v>
      </c>
      <c r="V23" s="1485">
        <f>Financials!V74</f>
        <v>3422</v>
      </c>
      <c r="W23" s="1485">
        <f>Financials!W74</f>
        <v>3224</v>
      </c>
      <c r="X23" s="1485">
        <f>Financials!X74</f>
        <v>3541</v>
      </c>
      <c r="Y23" s="1486">
        <f>Financials!Y74</f>
        <v>3479.4100071203366</v>
      </c>
      <c r="Z23" s="1486">
        <f>Financials!Z74</f>
        <v>3986.7761517215631</v>
      </c>
      <c r="AA23" s="241"/>
      <c r="AB23" s="735" t="s">
        <v>733</v>
      </c>
      <c r="AC23" s="56">
        <f>INDEX(Q_IS!$V$207:$GM$207, 1, MATCH(LEFT(AC$6,4)&amp;"*", Charts_Support!$AD$427:$GH$427, 0))</f>
        <v>422.12082235600633</v>
      </c>
      <c r="AD23" s="768">
        <f>INDEX(Q_IS!$V$207:$GM$207, 1, MATCH(LEFT(AD$6,4)&amp;"*", Charts_Support!$AD$427:$GH$427, 0))</f>
        <v>613</v>
      </c>
      <c r="AE23" s="766">
        <f t="shared" si="0"/>
        <v>-0.3113852816378363</v>
      </c>
      <c r="AF23" s="768">
        <f>INDEX(Q_IS!$V$207:$GM$207, 1, MATCH(LEFT(AF$6,4)&amp;"*", Charts_Support!$AD$427:$GH$427, 0))</f>
        <v>414</v>
      </c>
      <c r="AG23" s="1925"/>
      <c r="AH23" s="1922"/>
      <c r="AI23" s="769"/>
      <c r="AJ23" s="241"/>
    </row>
    <row r="24" spans="1:38">
      <c r="A24" s="735" t="s">
        <v>733</v>
      </c>
      <c r="B24" s="742"/>
      <c r="C24" s="742"/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1485">
        <f>Financials!O75</f>
        <v>679</v>
      </c>
      <c r="P24" s="1485">
        <f>Financials!P75</f>
        <v>1021</v>
      </c>
      <c r="Q24" s="1485">
        <f>Financials!Q75</f>
        <v>1227</v>
      </c>
      <c r="R24" s="1485">
        <f>Financials!R75</f>
        <v>1562</v>
      </c>
      <c r="S24" s="1485">
        <f>Financials!S75</f>
        <v>1408</v>
      </c>
      <c r="T24" s="1485">
        <f>Financials!T75</f>
        <v>1263</v>
      </c>
      <c r="U24" s="1485">
        <f>Financials!U75</f>
        <v>297</v>
      </c>
      <c r="V24" s="1485">
        <f>Financials!V75</f>
        <v>1258</v>
      </c>
      <c r="W24" s="1485">
        <f>Financials!W75</f>
        <v>1968</v>
      </c>
      <c r="X24" s="1485">
        <f>Financials!X75</f>
        <v>2211</v>
      </c>
      <c r="Y24" s="1486">
        <f>Financials!Y75</f>
        <v>1639.6796454502253</v>
      </c>
      <c r="Z24" s="1486">
        <f>Financials!Z75</f>
        <v>1757.0739897976418</v>
      </c>
      <c r="AA24" s="241"/>
      <c r="AB24" s="241" t="str">
        <f>A25</f>
        <v>Adj. EBITDA Margin</v>
      </c>
      <c r="AC24" s="57">
        <f>AC20/AC15</f>
        <v>0.18683935238300933</v>
      </c>
      <c r="AD24" s="750">
        <f>AD20/AD15</f>
        <v>0.19275834677539888</v>
      </c>
      <c r="AE24" s="771">
        <f>(AC24-AD24)*10000</f>
        <v>-59.189943923895484</v>
      </c>
      <c r="AF24" s="750">
        <f>AF20/AF15</f>
        <v>0.19704954404117037</v>
      </c>
      <c r="AG24" s="1921"/>
      <c r="AH24" s="1922"/>
      <c r="AI24" s="241"/>
      <c r="AJ24" s="241"/>
    </row>
    <row r="25" spans="1:38">
      <c r="A25" s="165" t="s">
        <v>318</v>
      </c>
      <c r="B25" s="742">
        <f>Financials!B80</f>
        <v>0.13358069451325313</v>
      </c>
      <c r="C25" s="742">
        <f>Financials!C80</f>
        <v>0.14608648069420788</v>
      </c>
      <c r="D25" s="742">
        <f>Financials!D80</f>
        <v>0.14459700552779028</v>
      </c>
      <c r="E25" s="742">
        <f>Financials!E80</f>
        <v>0.14707811100379281</v>
      </c>
      <c r="F25" s="742">
        <f>Financials!F80</f>
        <v>0.15016290485070632</v>
      </c>
      <c r="G25" s="742">
        <f>Financials!G80</f>
        <v>0.16716972728859683</v>
      </c>
      <c r="H25" s="742">
        <f>Financials!H80</f>
        <v>0.18448126758041017</v>
      </c>
      <c r="I25" s="742">
        <f>Financials!I80</f>
        <v>0.13253984958987872</v>
      </c>
      <c r="J25" s="742">
        <f>Financials!J80</f>
        <v>0.11648149120754761</v>
      </c>
      <c r="K25" s="742">
        <f>Financials!K80</f>
        <v>0.1111882949727438</v>
      </c>
      <c r="L25" s="742">
        <f>Financials!L80</f>
        <v>0.10422536185654681</v>
      </c>
      <c r="M25" s="742">
        <f>Financials!M80</f>
        <v>0.11894400338237031</v>
      </c>
      <c r="N25" s="742">
        <f>Financials!N80</f>
        <v>0.14869571775379922</v>
      </c>
      <c r="O25" s="742">
        <f>+O21/O15</f>
        <v>0.21876948306060612</v>
      </c>
      <c r="P25" s="742">
        <f t="shared" ref="P25:V25" si="2">+P21/P15</f>
        <v>0.20992074671082869</v>
      </c>
      <c r="Q25" s="742">
        <f t="shared" si="2"/>
        <v>0.21065269791546398</v>
      </c>
      <c r="R25" s="742">
        <f t="shared" si="2"/>
        <v>0.20917432081420165</v>
      </c>
      <c r="S25" s="742">
        <f t="shared" si="2"/>
        <v>0.19986311380751667</v>
      </c>
      <c r="T25" s="742">
        <f>+T21/T15</f>
        <v>0.19283077067360721</v>
      </c>
      <c r="U25" s="742">
        <f t="shared" si="2"/>
        <v>0.11302643569095844</v>
      </c>
      <c r="V25" s="742">
        <f t="shared" si="2"/>
        <v>0.19915896877880146</v>
      </c>
      <c r="W25" s="742">
        <f t="shared" ref="W25:Z28" si="3">+W21/W15</f>
        <v>0.18536623706320834</v>
      </c>
      <c r="X25" s="742">
        <f t="shared" ref="X25" si="4">+X21/X15</f>
        <v>0.19358254132882971</v>
      </c>
      <c r="Y25" s="743">
        <f t="shared" si="3"/>
        <v>0.19416042131653813</v>
      </c>
      <c r="Z25" s="743">
        <f t="shared" si="3"/>
        <v>0.19026491358448117</v>
      </c>
      <c r="AA25" s="241"/>
      <c r="AB25" s="165" t="s">
        <v>1447</v>
      </c>
      <c r="AC25" s="1028">
        <f>INDEX(Q_Financials!$V$20:$FY$20, 1, MATCH(LEFT(AC$6,4)&amp;"*", Charts_Support!$AD$427:$GH$427, 0))</f>
        <v>2711.3457648214589</v>
      </c>
      <c r="AD25" s="1029">
        <f>INDEX(Q_Financials!$V$20:$FY$20, 1, MATCH(LEFT(AD$6,4),Charts_Support!$AD$427:$GH$427, 0))</f>
        <v>2705.5589999999979</v>
      </c>
      <c r="AE25" s="1030">
        <f t="shared" si="0"/>
        <v>2.1388425909252273E-3</v>
      </c>
      <c r="AF25" s="1029">
        <f>INDEX(Q_Financials!$V$20:$FY$20, 1, MATCH(LEFT(AF$6,4)&amp;"*",Charts_Support!$AD$427:$GH$427, 0))</f>
        <v>2746.6760000000017</v>
      </c>
      <c r="AG25" s="1924">
        <v>2582.0293999999999</v>
      </c>
      <c r="AH25" s="1922">
        <f>AC25/AG25-1</f>
        <v>5.0083227100922612E-2</v>
      </c>
      <c r="AI25" s="241"/>
      <c r="AJ25" s="241"/>
    </row>
    <row r="26" spans="1:38">
      <c r="A26" s="735" t="s">
        <v>731</v>
      </c>
      <c r="B26" s="742"/>
      <c r="C26" s="742"/>
      <c r="D26" s="742"/>
      <c r="E26" s="742"/>
      <c r="F26" s="742"/>
      <c r="G26" s="742"/>
      <c r="H26" s="742"/>
      <c r="I26" s="742"/>
      <c r="J26" s="742"/>
      <c r="K26" s="742"/>
      <c r="L26" s="742"/>
      <c r="M26" s="742"/>
      <c r="N26" s="742"/>
      <c r="O26" s="750">
        <f t="shared" ref="O26:V26" si="5">+O22/O16</f>
        <v>0.19445519643893941</v>
      </c>
      <c r="P26" s="750">
        <f t="shared" si="5"/>
        <v>0.2349718536389224</v>
      </c>
      <c r="Q26" s="750">
        <f t="shared" si="5"/>
        <v>0.23719639770763212</v>
      </c>
      <c r="R26" s="750">
        <f t="shared" si="5"/>
        <v>0.23685433120750096</v>
      </c>
      <c r="S26" s="750">
        <f t="shared" si="5"/>
        <v>0.2317571282695782</v>
      </c>
      <c r="T26" s="750">
        <f>+T22/T16</f>
        <v>0.22779880221920124</v>
      </c>
      <c r="U26" s="750">
        <f t="shared" si="5"/>
        <v>0.1503645041170609</v>
      </c>
      <c r="V26" s="750">
        <f t="shared" si="5"/>
        <v>0.22875264270613108</v>
      </c>
      <c r="W26" s="750">
        <f t="shared" si="3"/>
        <v>0.2260965698577746</v>
      </c>
      <c r="X26" s="750">
        <f t="shared" ref="X26" si="6">+X22/X16</f>
        <v>0.22879719497941969</v>
      </c>
      <c r="Y26" s="751">
        <f t="shared" si="3"/>
        <v>0.23529135579100743</v>
      </c>
      <c r="Z26" s="751">
        <f t="shared" si="3"/>
        <v>0.23287866550961106</v>
      </c>
      <c r="AA26" s="241"/>
      <c r="AB26" s="241" t="s">
        <v>288</v>
      </c>
      <c r="AC26" s="57">
        <f>AC25/AC15</f>
        <v>0.13483935238300934</v>
      </c>
      <c r="AD26" s="38">
        <f>AD25/AD15</f>
        <v>0.13896058618260088</v>
      </c>
      <c r="AE26" s="771">
        <f>(AC26-AD26)*10000</f>
        <v>-41.212337995915341</v>
      </c>
      <c r="AF26" s="51">
        <f>AF25/AF15</f>
        <v>0.14265452119895256</v>
      </c>
      <c r="AG26" s="1921">
        <f>AG25/AG15</f>
        <v>0.14147145275739006</v>
      </c>
      <c r="AH26" s="1922"/>
      <c r="AI26" s="241"/>
      <c r="AJ26" s="241"/>
    </row>
    <row r="27" spans="1:38">
      <c r="A27" s="735" t="s">
        <v>949</v>
      </c>
      <c r="B27" s="742"/>
      <c r="C27" s="742"/>
      <c r="D27" s="742"/>
      <c r="E27" s="742"/>
      <c r="F27" s="742"/>
      <c r="G27" s="742"/>
      <c r="H27" s="742"/>
      <c r="I27" s="742"/>
      <c r="J27" s="742"/>
      <c r="K27" s="742"/>
      <c r="L27" s="742"/>
      <c r="M27" s="742"/>
      <c r="N27" s="742"/>
      <c r="O27" s="750">
        <f t="shared" ref="O27:V27" si="7">+O23/O17</f>
        <v>0.19754768392370572</v>
      </c>
      <c r="P27" s="750">
        <f t="shared" si="7"/>
        <v>0.1907280098713203</v>
      </c>
      <c r="Q27" s="750">
        <f t="shared" si="7"/>
        <v>0.19760242392306679</v>
      </c>
      <c r="R27" s="750">
        <f t="shared" si="7"/>
        <v>0.2014002333722287</v>
      </c>
      <c r="S27" s="750">
        <f t="shared" si="7"/>
        <v>0.19378982502275716</v>
      </c>
      <c r="T27" s="750">
        <f>+T23/T17</f>
        <v>0.17687555995661811</v>
      </c>
      <c r="U27" s="750">
        <f t="shared" si="7"/>
        <v>8.5642135642135644E-2</v>
      </c>
      <c r="V27" s="750">
        <f t="shared" si="7"/>
        <v>0.18583686325621809</v>
      </c>
      <c r="W27" s="750">
        <f t="shared" si="3"/>
        <v>0.14670549690571533</v>
      </c>
      <c r="X27" s="750">
        <f t="shared" ref="X27" si="8">+X23/X17</f>
        <v>0.15418444657319516</v>
      </c>
      <c r="Y27" s="751">
        <f t="shared" si="3"/>
        <v>0.14476460588647724</v>
      </c>
      <c r="Z27" s="751">
        <f t="shared" si="3"/>
        <v>0.14273151840348389</v>
      </c>
      <c r="AA27" s="241"/>
      <c r="AB27" s="165" t="s">
        <v>430</v>
      </c>
      <c r="AC27" s="1028">
        <f>INDEX(Q_Financials!$V$55:$FY$55, 1, MATCH(LEFT(AC$6,4)&amp;"*", Charts_Support!$AD$427:$GH$427, 0))</f>
        <v>305.979442247858</v>
      </c>
      <c r="AD27" s="1029">
        <f>INDEX(Q_Financials!$V$55:$FY$55, 1, MATCH(LEFT(AD$6,4),Charts_Support!$AD$427:$GH$427, 0))</f>
        <v>493.38399999999785</v>
      </c>
      <c r="AE27" s="1030">
        <f>AC27/AD27-1</f>
        <v>-0.37983509346095667</v>
      </c>
      <c r="AF27" s="1029">
        <f>INDEX(Q_Financials!$V$55:$FY$55, 1, MATCH(LEFT(AF$6,4)&amp;"*",Charts_Support!$AD$427:$GH$427, 0))</f>
        <v>170.74200000000164</v>
      </c>
      <c r="AG27" s="1924">
        <v>475.85668392283338</v>
      </c>
      <c r="AH27" s="1922">
        <f>AC27/AG27-1</f>
        <v>-0.3569924462856201</v>
      </c>
      <c r="AI27" s="769"/>
      <c r="AJ27" s="241"/>
    </row>
    <row r="28" spans="1:38">
      <c r="A28" s="735" t="s">
        <v>733</v>
      </c>
      <c r="B28" s="742"/>
      <c r="C28" s="742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50">
        <f t="shared" ref="O28:V28" si="9">+O24/O18</f>
        <v>0.14693789223111881</v>
      </c>
      <c r="P28" s="750">
        <f t="shared" si="9"/>
        <v>0.15197975587972612</v>
      </c>
      <c r="Q28" s="750">
        <f t="shared" si="9"/>
        <v>0.15103397341211225</v>
      </c>
      <c r="R28" s="750">
        <f t="shared" si="9"/>
        <v>0.15190119614898376</v>
      </c>
      <c r="S28" s="750">
        <f t="shared" si="9"/>
        <v>0.13810721317888083</v>
      </c>
      <c r="T28" s="750">
        <f>+T24/T18</f>
        <v>0.12977254458889073</v>
      </c>
      <c r="U28" s="750">
        <f t="shared" si="9"/>
        <v>5.3159442889038518E-2</v>
      </c>
      <c r="V28" s="750">
        <f t="shared" si="9"/>
        <v>0.14036921566971236</v>
      </c>
      <c r="W28" s="750">
        <f t="shared" si="3"/>
        <v>0.14700047326981638</v>
      </c>
      <c r="X28" s="750">
        <f t="shared" ref="X28" si="10">+X24/X18</f>
        <v>0.15899871226144707</v>
      </c>
      <c r="Y28" s="751">
        <f t="shared" si="3"/>
        <v>0.14318801417938049</v>
      </c>
      <c r="Z28" s="751">
        <f t="shared" si="3"/>
        <v>0.14090836291321834</v>
      </c>
      <c r="AA28" s="241"/>
      <c r="AB28" s="241" t="s">
        <v>344</v>
      </c>
      <c r="AC28" s="1547">
        <f>AC27/INDEX(Q_Financials!$V$60:$FY$60, 1, MATCH(LEFT(AC$6,4)&amp;"*", Charts_Support!$AD$427:$GH$427, 0))</f>
        <v>0.37543489846362943</v>
      </c>
      <c r="AD28" s="1548">
        <f>AD27/INDEX(Q_Financials!$V$60:$FY$60, 1, MATCH(LEFT(AD$6,4),Charts_Support!$AD$427:$GH$427, 0))</f>
        <v>0.60716711789317968</v>
      </c>
      <c r="AE28" s="766">
        <f>AC28/AD28-1</f>
        <v>-0.38166134594647039</v>
      </c>
      <c r="AF28" s="1549">
        <f>AF27/INDEX(Q_Financials!$V$60:$FY$60, 1, MATCH(LEFT(AF$6,4)&amp;"*",Charts_Support!$AD$427:$GH$427, 0))</f>
        <v>0.20949938650306948</v>
      </c>
      <c r="AG28" s="1926"/>
      <c r="AH28" s="1926"/>
      <c r="AI28" s="241"/>
      <c r="AJ28" s="241"/>
      <c r="AK28" s="241"/>
    </row>
    <row r="29" spans="1:38">
      <c r="A29" s="165" t="s">
        <v>320</v>
      </c>
      <c r="B29" s="738">
        <f>Financials!B108</f>
        <v>31.013999999999928</v>
      </c>
      <c r="C29" s="738">
        <f>Financials!C108</f>
        <v>148.92700000000005</v>
      </c>
      <c r="D29" s="738">
        <f>Financials!D108</f>
        <v>128.14800000000005</v>
      </c>
      <c r="E29" s="738">
        <f>Financials!E108</f>
        <v>154.60900000000004</v>
      </c>
      <c r="F29" s="738">
        <f>Financials!F108</f>
        <v>281.49800000000027</v>
      </c>
      <c r="G29" s="738">
        <f>Financials!G108</f>
        <v>222.17700000000085</v>
      </c>
      <c r="H29" s="738">
        <f>Financials!H108</f>
        <v>478.43499999999983</v>
      </c>
      <c r="I29" s="738">
        <f>Financials!I108</f>
        <v>128.779</v>
      </c>
      <c r="J29" s="738">
        <f>Financials!J108</f>
        <v>103.74800000000091</v>
      </c>
      <c r="K29" s="738">
        <f>Financials!K108</f>
        <v>151.22599999999855</v>
      </c>
      <c r="L29" s="738">
        <f>Financials!L108</f>
        <v>209.64400000000063</v>
      </c>
      <c r="M29" s="738">
        <f>Financials!M108</f>
        <v>366.56500000000062</v>
      </c>
      <c r="N29" s="738">
        <f>Financials!N108</f>
        <v>681.01300000000174</v>
      </c>
      <c r="O29" s="738">
        <f>Financials!O108</f>
        <v>666.66600000000255</v>
      </c>
      <c r="P29" s="738">
        <f>Financials!P108</f>
        <v>981.20599999999945</v>
      </c>
      <c r="Q29" s="738">
        <f>Financials!Q108</f>
        <v>996.47199999999748</v>
      </c>
      <c r="R29" s="738">
        <f>Financials!R108</f>
        <v>1089.4689999999987</v>
      </c>
      <c r="S29" s="738">
        <f>Financials!S108</f>
        <v>953.25299999999891</v>
      </c>
      <c r="T29" s="738">
        <f>Financials!T108</f>
        <v>764.41399999999817</v>
      </c>
      <c r="U29" s="738">
        <f>Financials!U108</f>
        <v>-3708.2140000000018</v>
      </c>
      <c r="V29" s="738">
        <f>Financials!V108</f>
        <v>487.88700000000063</v>
      </c>
      <c r="W29" s="738">
        <f>Financials!W108</f>
        <v>1661.8799999999978</v>
      </c>
      <c r="X29" s="738">
        <f>Financials!X108</f>
        <v>2789.8959999999984</v>
      </c>
      <c r="Y29" s="739">
        <f>Financials!Y108</f>
        <v>1644.5019874433028</v>
      </c>
      <c r="Z29" s="739">
        <f>Financials!Z108</f>
        <v>2363.6611846017609</v>
      </c>
      <c r="AA29" s="241"/>
      <c r="AB29" s="130" t="s">
        <v>407</v>
      </c>
      <c r="AC29" s="405"/>
      <c r="AD29" s="405"/>
      <c r="AE29" s="405"/>
      <c r="AF29" s="405"/>
      <c r="AG29" s="405"/>
      <c r="AH29" s="405"/>
      <c r="AI29" s="405"/>
      <c r="AJ29" s="241"/>
      <c r="AK29" s="241"/>
    </row>
    <row r="30" spans="1:38">
      <c r="A30" s="165" t="s">
        <v>648</v>
      </c>
      <c r="B30" s="744">
        <f>Financials!B116</f>
        <v>0</v>
      </c>
      <c r="C30" s="744">
        <f>Financials!C116</f>
        <v>0</v>
      </c>
      <c r="D30" s="744">
        <f>Financials!D116</f>
        <v>0.27428938356164395</v>
      </c>
      <c r="E30" s="744">
        <f>Financials!E116</f>
        <v>0.31120974235104665</v>
      </c>
      <c r="F30" s="744">
        <f>Financials!F116</f>
        <v>0.51518667642752614</v>
      </c>
      <c r="G30" s="744">
        <f>Financials!G116</f>
        <v>0.35650994865211943</v>
      </c>
      <c r="H30" s="744">
        <f>Financials!H116</f>
        <v>0.77316580478345165</v>
      </c>
      <c r="I30" s="744">
        <f>Financials!I116</f>
        <v>0.20838025889967637</v>
      </c>
      <c r="J30" s="744">
        <f>Financials!J116</f>
        <v>0.17239614489863669</v>
      </c>
      <c r="K30" s="744">
        <f>Financials!K116</f>
        <v>0.24987772637144728</v>
      </c>
      <c r="L30" s="744">
        <f>Financials!L116</f>
        <v>0.34594719471947266</v>
      </c>
      <c r="M30" s="744">
        <f>Financials!M116</f>
        <v>0.53295289328293038</v>
      </c>
      <c r="N30" s="744">
        <f>Financials!N116</f>
        <v>0.99013230590287937</v>
      </c>
      <c r="O30" s="744">
        <f>Financials!O116</f>
        <v>0.79592406876790867</v>
      </c>
      <c r="P30" s="744">
        <f>Financials!P116</f>
        <v>1.1715892537313437</v>
      </c>
      <c r="Q30" s="744">
        <f>Financials!Q116</f>
        <v>1.1943809181349627</v>
      </c>
      <c r="R30" s="744">
        <f>Financials!R116</f>
        <v>1.3082000480307392</v>
      </c>
      <c r="S30" s="744">
        <f>Financials!S116</f>
        <v>1.1408006223073228</v>
      </c>
      <c r="T30" s="744">
        <f>Financials!T116</f>
        <v>0.9116446034585548</v>
      </c>
      <c r="U30" s="744">
        <f>Financials!U116</f>
        <v>-4.4224376863446651</v>
      </c>
      <c r="V30" s="744">
        <f>Financials!V116</f>
        <v>0.58178750298115978</v>
      </c>
      <c r="W30" s="744">
        <f>Financials!W116</f>
        <v>2.0266829268292659</v>
      </c>
      <c r="X30" s="744">
        <f>Financials!X116</f>
        <v>3.4455921946399881</v>
      </c>
      <c r="Y30" s="745">
        <f>Financials!Y116</f>
        <v>1.8038153532335182</v>
      </c>
      <c r="Z30" s="745">
        <f>Financials!Z116</f>
        <v>2.7072657434168819</v>
      </c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</row>
    <row r="31" spans="1:38" ht="13.15" customHeight="1">
      <c r="A31" s="241"/>
      <c r="B31" s="746"/>
      <c r="C31" s="746"/>
      <c r="D31" s="746"/>
      <c r="E31" s="746"/>
      <c r="F31" s="746"/>
      <c r="G31" s="746"/>
      <c r="H31" s="746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  <c r="U31" s="746"/>
      <c r="V31" s="746"/>
      <c r="W31" s="746"/>
      <c r="X31" s="746"/>
      <c r="Y31" s="747"/>
      <c r="Z31" s="747"/>
      <c r="AA31" s="241"/>
      <c r="AB31" s="772"/>
      <c r="AC31" s="773"/>
      <c r="AD31" s="774" t="s">
        <v>133</v>
      </c>
      <c r="AE31" s="52" t="s">
        <v>134</v>
      </c>
      <c r="AF31" s="774" t="s">
        <v>135</v>
      </c>
      <c r="AG31" s="774" t="s">
        <v>360</v>
      </c>
      <c r="AH31" s="774"/>
      <c r="AI31" s="783"/>
      <c r="AJ31" s="241"/>
      <c r="AK31" s="241"/>
    </row>
    <row r="32" spans="1:38">
      <c r="A32" s="165" t="s">
        <v>282</v>
      </c>
      <c r="B32" s="738">
        <f>Financials!B166</f>
        <v>43.146000000000015</v>
      </c>
      <c r="C32" s="738">
        <f>Financials!C166</f>
        <v>-140.97900000000001</v>
      </c>
      <c r="D32" s="738">
        <f>Financials!D166</f>
        <v>-160.66800000000001</v>
      </c>
      <c r="E32" s="738">
        <f>Financials!E166</f>
        <v>-48.488</v>
      </c>
      <c r="F32" s="738">
        <f>Financials!F166</f>
        <v>604.29999999999995</v>
      </c>
      <c r="G32" s="738">
        <f>Financials!G166</f>
        <v>253.01400000000001</v>
      </c>
      <c r="H32" s="738">
        <f>Financials!H166</f>
        <v>824.12300000000005</v>
      </c>
      <c r="I32" s="738">
        <f>Financials!I166</f>
        <v>1128.3149999999998</v>
      </c>
      <c r="J32" s="738">
        <f>Financials!J166</f>
        <v>864.92000000000007</v>
      </c>
      <c r="K32" s="738">
        <f>Financials!K166</f>
        <v>1015.8440000000001</v>
      </c>
      <c r="L32" s="738">
        <f>Financials!L166</f>
        <v>3317.152</v>
      </c>
      <c r="M32" s="738">
        <f>Financials!M166</f>
        <v>1541.886</v>
      </c>
      <c r="N32" s="738">
        <f>Financials!N166</f>
        <v>4380.3469999999998</v>
      </c>
      <c r="O32" s="738">
        <f>Financials!O166</f>
        <v>10126.329</v>
      </c>
      <c r="P32" s="738">
        <f>Financials!P166</f>
        <v>11037.527</v>
      </c>
      <c r="Q32" s="738">
        <f>Financials!Q166</f>
        <v>12292.046999999999</v>
      </c>
      <c r="R32" s="738">
        <f>Financials!R166</f>
        <v>16501.033000000003</v>
      </c>
      <c r="S32" s="738">
        <f>Financials!S166</f>
        <v>26128.074999999997</v>
      </c>
      <c r="T32" s="738">
        <f>Financials!T166</f>
        <v>47623.216</v>
      </c>
      <c r="U32" s="738">
        <f>Financials!U166</f>
        <v>59736.148999999998</v>
      </c>
      <c r="V32" s="738">
        <f>Financials!V166</f>
        <v>54318.394</v>
      </c>
      <c r="W32" s="738">
        <f>Financials!W166</f>
        <v>48531.94</v>
      </c>
      <c r="X32" s="738">
        <f>Financials!X166</f>
        <v>43336.389000000003</v>
      </c>
      <c r="Y32" s="739">
        <f>Financials!Y166</f>
        <v>48346.069794778654</v>
      </c>
      <c r="Z32" s="739">
        <f>Financials!Z166</f>
        <v>46531.55116345975</v>
      </c>
      <c r="AA32" s="241"/>
      <c r="AB32" s="775" t="str">
        <f>AB16</f>
        <v>Mexico</v>
      </c>
      <c r="AC32" s="776"/>
      <c r="AD32" s="777"/>
      <c r="AE32" s="53"/>
      <c r="AF32" s="1119"/>
      <c r="AG32" s="1119"/>
      <c r="AH32" s="1119"/>
      <c r="AI32" s="755"/>
      <c r="AJ32" s="241"/>
      <c r="AK32" s="241"/>
      <c r="AL32" s="241"/>
    </row>
    <row r="33" spans="1:41">
      <c r="A33" s="241" t="s">
        <v>283</v>
      </c>
      <c r="B33" s="748">
        <f>Financials!B168</f>
        <v>0.13052159024219073</v>
      </c>
      <c r="C33" s="748">
        <f>Financials!C168</f>
        <v>-0.36722557521040472</v>
      </c>
      <c r="D33" s="748">
        <f>Financials!D168</f>
        <v>-0.38695693012434695</v>
      </c>
      <c r="E33" s="748">
        <f>Financials!E168</f>
        <v>-8.8894918535602524E-2</v>
      </c>
      <c r="F33" s="748">
        <f>Financials!F168</f>
        <v>0.86260179429166828</v>
      </c>
      <c r="G33" s="748">
        <f>Financials!G168</f>
        <v>0.25114572693731313</v>
      </c>
      <c r="H33" s="748">
        <f>Financials!H168</f>
        <v>0.63951140550456442</v>
      </c>
      <c r="I33" s="748">
        <f>Financials!I168</f>
        <v>1.0932575113824974</v>
      </c>
      <c r="J33" s="748">
        <f>Financials!J168</f>
        <v>0.8647159270412188</v>
      </c>
      <c r="K33" s="748">
        <f>Financials!K168</f>
        <v>1.0172365969011579</v>
      </c>
      <c r="L33" s="748">
        <f>Financials!L168</f>
        <v>2.9754325032941731</v>
      </c>
      <c r="M33" s="748">
        <f>Financials!M168</f>
        <v>0.95884556905349005</v>
      </c>
      <c r="N33" s="748">
        <f>Financials!N168</f>
        <v>2.148574940575517</v>
      </c>
      <c r="O33" s="748">
        <f>Financials!O168</f>
        <v>3.625490674850667</v>
      </c>
      <c r="P33" s="748">
        <f>Financials!P168</f>
        <v>2.5658350398177103</v>
      </c>
      <c r="Q33" s="748">
        <f>Financials!Q168</f>
        <v>2.3843801197927235</v>
      </c>
      <c r="R33" s="748">
        <f>Financials!R168</f>
        <v>2.5518729265397351</v>
      </c>
      <c r="S33" s="748">
        <f>Financials!S168</f>
        <v>4.0772132527151825</v>
      </c>
      <c r="T33" s="748">
        <f>Financials!T168</f>
        <v>3.7743604765390844</v>
      </c>
      <c r="U33" s="748">
        <f>Financials!U168</f>
        <v>8.6264875657353599</v>
      </c>
      <c r="V33" s="748">
        <f>Financials!V168</f>
        <v>4.4120873323456742</v>
      </c>
      <c r="W33" s="748">
        <f>Financials!W168</f>
        <v>3.4542812513834731</v>
      </c>
      <c r="X33" s="748">
        <f>Financials!X168</f>
        <v>2.7152464141068249</v>
      </c>
      <c r="Y33" s="749">
        <f>Financials!Y168</f>
        <v>3.0628808181476774</v>
      </c>
      <c r="Z33" s="749">
        <f>Financials!Z168</f>
        <v>2.7866558714544998</v>
      </c>
      <c r="AA33" s="241"/>
      <c r="AB33" s="778" t="s">
        <v>307</v>
      </c>
      <c r="AC33" s="779" t="str">
        <f>RIGHT(Bull!$AL$4,6)&amp;" CAGR"</f>
        <v>24-26e CAGR</v>
      </c>
      <c r="AD33" s="780">
        <f>Bull!AL38</f>
        <v>7.852341686337172E-2</v>
      </c>
      <c r="AE33" s="48">
        <f>Base!AL38</f>
        <v>7.3940756738001046E-2</v>
      </c>
      <c r="AF33" s="634">
        <f>Bear!AL38</f>
        <v>5.9791332932127794E-2</v>
      </c>
      <c r="AG33" s="634"/>
      <c r="AH33" s="634"/>
      <c r="AI33" s="241"/>
      <c r="AJ33" s="241"/>
      <c r="AK33" s="241"/>
      <c r="AL33" s="241"/>
    </row>
    <row r="34" spans="1:41">
      <c r="A34" s="241" t="str">
        <f>Financials!A182</f>
        <v>Working Capital/Revenue</v>
      </c>
      <c r="B34" s="740">
        <f>Financials!B182</f>
        <v>4.0478386069325231E-3</v>
      </c>
      <c r="C34" s="740">
        <f>Financials!C182</f>
        <v>-3.3843928040317883E-2</v>
      </c>
      <c r="D34" s="740">
        <f>Financials!D182</f>
        <v>-3.9209595293873412E-3</v>
      </c>
      <c r="E34" s="740">
        <f>Financials!E182</f>
        <v>-1.7267999678584381E-3</v>
      </c>
      <c r="F34" s="740">
        <f>Financials!F182</f>
        <v>-3.3070327738837807E-2</v>
      </c>
      <c r="G34" s="740">
        <f>Financials!G182</f>
        <v>-4.1261480236106082E-2</v>
      </c>
      <c r="H34" s="740">
        <f>Financials!H182</f>
        <v>-5.2434054270025635E-2</v>
      </c>
      <c r="I34" s="740">
        <f>Financials!I182</f>
        <v>-8.05741171357892E-2</v>
      </c>
      <c r="J34" s="740">
        <f>Financials!J182</f>
        <v>-2.4444860832219914E-3</v>
      </c>
      <c r="K34" s="740">
        <f>Financials!K182</f>
        <v>-3.2114003990451382E-3</v>
      </c>
      <c r="L34" s="740">
        <f>Financials!L182</f>
        <v>-2.175626728134725E-2</v>
      </c>
      <c r="M34" s="740">
        <f>Financials!M182</f>
        <v>-3.2018165151363096E-3</v>
      </c>
      <c r="N34" s="740">
        <f>Financials!N182</f>
        <v>-8.7742594906720268E-3</v>
      </c>
      <c r="O34" s="740">
        <f>Financials!O182</f>
        <v>-3.2600424863669278E-2</v>
      </c>
      <c r="P34" s="740">
        <f>Financials!P182</f>
        <v>-2.2616715067986078E-2</v>
      </c>
      <c r="Q34" s="740">
        <f>Financials!Q182</f>
        <v>-3.641652547339367E-2</v>
      </c>
      <c r="R34" s="740">
        <f>Financials!R182</f>
        <v>-1.6469632654763776E-2</v>
      </c>
      <c r="S34" s="740">
        <f>Financials!S182</f>
        <v>-4.485927047775258E-2</v>
      </c>
      <c r="T34" s="740">
        <f>Financials!T182</f>
        <v>-3.8237512999612297E-2</v>
      </c>
      <c r="U34" s="740">
        <f>Financials!U182</f>
        <v>-7.2735927358005895E-3</v>
      </c>
      <c r="V34" s="740">
        <f>Financials!V182</f>
        <v>-4.0924348647979293E-3</v>
      </c>
      <c r="W34" s="740">
        <f>Financials!W182</f>
        <v>-1.0225710525174557E-2</v>
      </c>
      <c r="X34" s="740">
        <f>Financials!X182</f>
        <v>-8.4610275855055862E-3</v>
      </c>
      <c r="Y34" s="741">
        <f>Financials!Y182</f>
        <v>-9.7380581868239269E-3</v>
      </c>
      <c r="Z34" s="741">
        <f>Financials!Z182</f>
        <v>-9.7508084988119203E-3</v>
      </c>
      <c r="AA34" s="241"/>
      <c r="AB34" s="778" t="s">
        <v>1274</v>
      </c>
      <c r="AC34" s="779">
        <f>+$AC$52</f>
        <v>2024</v>
      </c>
      <c r="AD34" s="1420">
        <f>Bull!$Y$26</f>
        <v>7.3996813480194851E-2</v>
      </c>
      <c r="AE34" s="1419">
        <f>Base!$Y$26</f>
        <v>7.1081854772975919E-2</v>
      </c>
      <c r="AF34" s="1420">
        <f>Bear!$Y$26</f>
        <v>6.5306215313657767E-2</v>
      </c>
      <c r="AG34" s="1420"/>
      <c r="AH34" s="1420"/>
      <c r="AI34" s="241"/>
      <c r="AJ34" s="241"/>
      <c r="AK34" s="241"/>
    </row>
    <row r="35" spans="1:41">
      <c r="A35" s="241" t="str">
        <f>Financials!A181</f>
        <v>CapEx / Revenue</v>
      </c>
      <c r="B35" s="740">
        <f>Financials!B181</f>
        <v>0</v>
      </c>
      <c r="C35" s="740">
        <f>Financials!C181</f>
        <v>0</v>
      </c>
      <c r="D35" s="740">
        <f>Financials!D181</f>
        <v>0</v>
      </c>
      <c r="E35" s="740">
        <f>Financials!E181</f>
        <v>0</v>
      </c>
      <c r="F35" s="740">
        <f>Financials!F181</f>
        <v>0</v>
      </c>
      <c r="G35" s="740">
        <f>Financials!G181</f>
        <v>0</v>
      </c>
      <c r="H35" s="740">
        <f>Financials!H181</f>
        <v>0</v>
      </c>
      <c r="I35" s="740">
        <f>Financials!I181</f>
        <v>0</v>
      </c>
      <c r="J35" s="740">
        <f>Financials!J181</f>
        <v>6.4604141966286346E-2</v>
      </c>
      <c r="K35" s="740">
        <f>Financials!K181</f>
        <v>8.4835727901093824E-2</v>
      </c>
      <c r="L35" s="740">
        <f>Financials!L181</f>
        <v>0.11732889549707082</v>
      </c>
      <c r="M35" s="740">
        <f>Financials!M181</f>
        <v>0.20348721141064771</v>
      </c>
      <c r="N35" s="740">
        <f>Financials!N181</f>
        <v>0.20383244981039181</v>
      </c>
      <c r="O35" s="740">
        <f>Financials!O181</f>
        <v>0.54431000881349789</v>
      </c>
      <c r="P35" s="740">
        <f>Financials!P181</f>
        <v>0.10651486466832522</v>
      </c>
      <c r="Q35" s="740">
        <f>Financials!Q181</f>
        <v>0.13364295725726261</v>
      </c>
      <c r="R35" s="740">
        <f>Financials!R181</f>
        <v>7.698997588029155E-2</v>
      </c>
      <c r="S35" s="740">
        <f>Financials!S181</f>
        <v>0.37909485126403719</v>
      </c>
      <c r="T35" s="740">
        <f>Financials!T181</f>
        <v>8.3035278762637929E-2</v>
      </c>
      <c r="U35" s="740">
        <f>Financials!U181</f>
        <v>4.6237137982573978E-2</v>
      </c>
      <c r="V35" s="740">
        <f>Financials!V181</f>
        <v>4.7617315189103886E-2</v>
      </c>
      <c r="W35" s="740">
        <f>Financials!W181</f>
        <v>6.1359057481185336E-2</v>
      </c>
      <c r="X35" s="740">
        <f>Financials!X181</f>
        <v>6.2173000691266911E-2</v>
      </c>
      <c r="Y35" s="741">
        <f>Financials!Y181</f>
        <v>7.0888648776647217E-2</v>
      </c>
      <c r="Z35" s="741">
        <f>Financials!Z181</f>
        <v>6.0661656801793591E-2</v>
      </c>
      <c r="AA35" s="241"/>
      <c r="AB35" s="781" t="s">
        <v>1275</v>
      </c>
      <c r="AC35" s="779" t="str">
        <f>AC33</f>
        <v>24-26e CAGR</v>
      </c>
      <c r="AD35" s="780">
        <f>Bull!AL22</f>
        <v>4.4092363662286749E-2</v>
      </c>
      <c r="AE35" s="48">
        <f>Base!AL22</f>
        <v>3.9385599797538529E-2</v>
      </c>
      <c r="AF35" s="634">
        <f>Bear!AL22</f>
        <v>3.1849253437452374E-2</v>
      </c>
      <c r="AG35" s="634"/>
      <c r="AH35" s="634"/>
      <c r="AI35" s="241"/>
      <c r="AJ35" s="241"/>
      <c r="AK35" s="241"/>
    </row>
    <row r="36" spans="1:41">
      <c r="A36" s="241" t="s">
        <v>284</v>
      </c>
      <c r="B36" s="750"/>
      <c r="C36" s="750"/>
      <c r="D36" s="750"/>
      <c r="E36" s="750"/>
      <c r="F36" s="750"/>
      <c r="G36" s="750"/>
      <c r="H36" s="750"/>
      <c r="I36" s="750"/>
      <c r="J36" s="750"/>
      <c r="K36" s="750">
        <f>Financials!K176</f>
        <v>5.2382464105389777E-2</v>
      </c>
      <c r="L36" s="750">
        <f>Financials!L176</f>
        <v>7.1560708104341481E-2</v>
      </c>
      <c r="M36" s="750">
        <f>Financials!M176</f>
        <v>9.7561072981505806E-2</v>
      </c>
      <c r="N36" s="750">
        <f>Financials!N176</f>
        <v>0.15491410108827933</v>
      </c>
      <c r="O36" s="750">
        <f>Financials!O176</f>
        <v>0.10200255440152339</v>
      </c>
      <c r="P36" s="750">
        <f>Financials!P176</f>
        <v>0.10981966103516032</v>
      </c>
      <c r="Q36" s="750">
        <f>Financials!Q176</f>
        <v>0.11084288566677207</v>
      </c>
      <c r="R36" s="750">
        <f>Financials!R176</f>
        <v>0.11860740170438064</v>
      </c>
      <c r="S36" s="750">
        <f>Financials!S176</f>
        <v>9.2817062745743431E-2</v>
      </c>
      <c r="T36" s="750">
        <f>Financials!T176</f>
        <v>8.9701999092205859E-2</v>
      </c>
      <c r="U36" s="750">
        <f>Financials!U176</f>
        <v>-0.4011707061312425</v>
      </c>
      <c r="V36" s="750">
        <f>Financials!V176</f>
        <v>0.11980133288719663</v>
      </c>
      <c r="W36" s="750">
        <f>Financials!W176</f>
        <v>0.21397803884936184</v>
      </c>
      <c r="X36" s="750">
        <f>Financials!X176</f>
        <v>0.36650217980163607</v>
      </c>
      <c r="Y36" s="751">
        <f>Financials!Y176</f>
        <v>0.14112072178248317</v>
      </c>
      <c r="Z36" s="751">
        <f>Financials!Z176</f>
        <v>0.22370043272421838</v>
      </c>
      <c r="AA36" s="241"/>
      <c r="AB36" s="781" t="s">
        <v>1091</v>
      </c>
      <c r="AC36" s="779" t="str">
        <f>AC35</f>
        <v>24-26e CAGR</v>
      </c>
      <c r="AD36" s="780">
        <f>Bull!AL6</f>
        <v>3.9511688798267164E-2</v>
      </c>
      <c r="AE36" s="48">
        <f>Base!AL6</f>
        <v>3.9511688798267164E-2</v>
      </c>
      <c r="AF36" s="634">
        <f>Bear!AL6</f>
        <v>3.1537857646918299E-2</v>
      </c>
      <c r="AG36" s="634"/>
      <c r="AH36" s="634"/>
      <c r="AI36" s="241"/>
      <c r="AJ36" s="241"/>
      <c r="AK36" s="241"/>
    </row>
    <row r="37" spans="1:41">
      <c r="A37" s="165" t="s">
        <v>87</v>
      </c>
      <c r="B37" s="742">
        <f>Financials!B178</f>
        <v>0</v>
      </c>
      <c r="C37" s="742">
        <f>Financials!C178</f>
        <v>0.27249144773007089</v>
      </c>
      <c r="D37" s="742">
        <f>Financials!D178</f>
        <v>0.24635849161018608</v>
      </c>
      <c r="E37" s="742">
        <f>Financials!E178</f>
        <v>0.27529431691776823</v>
      </c>
      <c r="F37" s="742">
        <f>Financials!F178</f>
        <v>0.24521465202932827</v>
      </c>
      <c r="G37" s="742">
        <f>Financials!G178</f>
        <v>0.16063391460835932</v>
      </c>
      <c r="H37" s="742">
        <f>Financials!H178</f>
        <v>0.20649658566071263</v>
      </c>
      <c r="I37" s="742">
        <f>Financials!I178</f>
        <v>0.11043285685815038</v>
      </c>
      <c r="J37" s="742">
        <f>Financials!J178</f>
        <v>6.0545951354699847E-2</v>
      </c>
      <c r="K37" s="742">
        <f>Financials!K178</f>
        <v>4.4786883252483999E-2</v>
      </c>
      <c r="L37" s="742">
        <f>Financials!L178</f>
        <v>5.8123919702936809E-2</v>
      </c>
      <c r="M37" s="742">
        <f>Financials!M178</f>
        <v>7.9675440103500972E-2</v>
      </c>
      <c r="N37" s="742">
        <f>Financials!N178</f>
        <v>0.10244007480190646</v>
      </c>
      <c r="O37" s="742">
        <f>Financials!O178</f>
        <v>6.3458815243390199E-2</v>
      </c>
      <c r="P37" s="742">
        <f>Financials!P178</f>
        <v>7.6608886106419485E-2</v>
      </c>
      <c r="Q37" s="742">
        <f>Financials!Q178</f>
        <v>8.6199653475456176E-2</v>
      </c>
      <c r="R37" s="742">
        <f>Financials!R178</f>
        <v>9.034877821955567E-2</v>
      </c>
      <c r="S37" s="742">
        <f>Financials!S178</f>
        <v>6.1700951690782144E-2</v>
      </c>
      <c r="T37" s="742">
        <f>Financials!T178</f>
        <v>7.1290988002112241E-2</v>
      </c>
      <c r="U37" s="742">
        <f>Financials!U178</f>
        <v>-1.7590294342897887E-2</v>
      </c>
      <c r="V37" s="742">
        <f>Financials!V178</f>
        <v>4.9770133383006517E-2</v>
      </c>
      <c r="W37" s="742">
        <f>Financials!W178</f>
        <v>6.6362725141931089E-2</v>
      </c>
      <c r="X37" s="742">
        <f>Financials!X178</f>
        <v>9.6768802410721722E-2</v>
      </c>
      <c r="Y37" s="743">
        <f>Financials!Y178</f>
        <v>9.0207710666813018E-2</v>
      </c>
      <c r="Z37" s="743">
        <f>Financials!Z178</f>
        <v>9.2679708706957492E-2</v>
      </c>
      <c r="AA37" s="241"/>
      <c r="AB37" s="781" t="s">
        <v>979</v>
      </c>
      <c r="AC37" s="779">
        <f>+$AC$52</f>
        <v>2024</v>
      </c>
      <c r="AD37" s="1420">
        <f>Bull!$Y$81</f>
        <v>0.23887009047031696</v>
      </c>
      <c r="AE37" s="1419">
        <f>Base!$Y$81</f>
        <v>0.23784280180607983</v>
      </c>
      <c r="AF37" s="1420">
        <f>Bear!$Y$81</f>
        <v>0.23529135579100743</v>
      </c>
      <c r="AG37" s="1420"/>
      <c r="AH37" s="1420"/>
      <c r="AI37" s="241"/>
      <c r="AJ37" s="241"/>
      <c r="AK37" s="241"/>
    </row>
    <row r="38" spans="1:41">
      <c r="A38" s="241"/>
      <c r="B38" s="752"/>
      <c r="C38" s="752"/>
      <c r="D38" s="752"/>
      <c r="E38" s="752"/>
      <c r="F38" s="752"/>
      <c r="G38" s="752"/>
      <c r="H38" s="752"/>
      <c r="I38" s="752"/>
      <c r="J38" s="752"/>
      <c r="K38" s="752"/>
      <c r="L38" s="752"/>
      <c r="M38" s="752"/>
      <c r="N38" s="752"/>
      <c r="O38" s="752"/>
      <c r="P38" s="752"/>
      <c r="Q38" s="752"/>
      <c r="R38" s="752"/>
      <c r="S38" s="753"/>
      <c r="T38" s="753"/>
      <c r="U38" s="753"/>
      <c r="V38" s="753"/>
      <c r="W38" s="753"/>
      <c r="X38" s="770"/>
      <c r="Y38" s="770"/>
      <c r="Z38" s="241"/>
      <c r="AA38" s="241"/>
      <c r="AB38" s="782" t="s">
        <v>949</v>
      </c>
      <c r="AC38" s="779"/>
      <c r="AD38" s="780"/>
      <c r="AE38" s="48"/>
      <c r="AF38" s="634"/>
      <c r="AG38" s="634"/>
      <c r="AH38" s="634"/>
      <c r="AI38" s="241"/>
      <c r="AJ38" s="241"/>
      <c r="AK38" s="241"/>
    </row>
    <row r="39" spans="1:41">
      <c r="A39" s="241"/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3"/>
      <c r="T39" s="753"/>
      <c r="U39" s="753"/>
      <c r="V39" s="753"/>
      <c r="W39" s="753"/>
      <c r="X39" s="770"/>
      <c r="Y39" s="770"/>
      <c r="Z39" s="241"/>
      <c r="AA39" s="241"/>
      <c r="AB39" s="778" t="s">
        <v>307</v>
      </c>
      <c r="AC39" s="779" t="str">
        <f>AC33</f>
        <v>24-26e CAGR</v>
      </c>
      <c r="AD39" s="780">
        <f>Bull!AL39</f>
        <v>0.13902924021408403</v>
      </c>
      <c r="AE39" s="48">
        <f>Base!AL39</f>
        <v>0.13453783387271345</v>
      </c>
      <c r="AF39" s="634">
        <f>Bear!AL39</f>
        <v>0.12521470355548159</v>
      </c>
      <c r="AG39" s="634"/>
      <c r="AH39" s="634"/>
      <c r="AI39" s="241"/>
      <c r="AJ39" s="241"/>
      <c r="AK39" s="241"/>
      <c r="AO39" s="37"/>
    </row>
    <row r="40" spans="1:41">
      <c r="A40" s="241"/>
      <c r="B40" s="752"/>
      <c r="C40" s="752"/>
      <c r="D40" s="752"/>
      <c r="E40" s="752"/>
      <c r="F40" s="752"/>
      <c r="G40" s="752"/>
      <c r="H40" s="752"/>
      <c r="I40" s="752"/>
      <c r="J40" s="752"/>
      <c r="K40" s="752"/>
      <c r="L40" s="752"/>
      <c r="M40" s="752"/>
      <c r="N40" s="752"/>
      <c r="O40" s="752"/>
      <c r="P40" s="752"/>
      <c r="Q40" s="752"/>
      <c r="R40" s="752"/>
      <c r="S40" s="753"/>
      <c r="T40" s="753"/>
      <c r="U40" s="753"/>
      <c r="V40" s="753"/>
      <c r="W40" s="753"/>
      <c r="X40" s="770"/>
      <c r="Y40" s="770"/>
      <c r="Z40" s="241"/>
      <c r="AA40" s="241"/>
      <c r="AB40" s="778" t="s">
        <v>1274</v>
      </c>
      <c r="AC40" s="779">
        <f>+$AC$52</f>
        <v>2024</v>
      </c>
      <c r="AD40" s="1420">
        <f>Bull!$Y$27</f>
        <v>7.4554799977728497E-3</v>
      </c>
      <c r="AE40" s="1419">
        <f>Base!$Y$27</f>
        <v>5.8095695062160566E-3</v>
      </c>
      <c r="AF40" s="1420">
        <f>Bear!$Y$27</f>
        <v>4.1612101721427023E-3</v>
      </c>
      <c r="AG40" s="1420"/>
      <c r="AH40" s="1420"/>
      <c r="AI40" s="241"/>
      <c r="AJ40" s="241"/>
      <c r="AK40" s="241"/>
    </row>
    <row r="41" spans="1:41">
      <c r="A41" s="241"/>
      <c r="B41" s="752"/>
      <c r="C41" s="752"/>
      <c r="D41" s="752"/>
      <c r="E41" s="752"/>
      <c r="F41" s="752"/>
      <c r="G41" s="752"/>
      <c r="H41" s="752"/>
      <c r="I41" s="752"/>
      <c r="J41" s="752"/>
      <c r="K41" s="752"/>
      <c r="L41" s="752"/>
      <c r="M41" s="752"/>
      <c r="N41" s="752"/>
      <c r="O41" s="752"/>
      <c r="P41" s="752"/>
      <c r="Q41" s="752"/>
      <c r="R41" s="752"/>
      <c r="S41" s="753"/>
      <c r="T41" s="753"/>
      <c r="U41" s="753"/>
      <c r="V41" s="753"/>
      <c r="W41" s="753"/>
      <c r="X41" s="770"/>
      <c r="Y41" s="770"/>
      <c r="Z41" s="241"/>
      <c r="AA41" s="241"/>
      <c r="AB41" s="781" t="s">
        <v>1275</v>
      </c>
      <c r="AC41" s="779" t="str">
        <f>AC33</f>
        <v>24-26e CAGR</v>
      </c>
      <c r="AD41" s="780">
        <f>Bull!AL23</f>
        <v>0.11389406192824381</v>
      </c>
      <c r="AE41" s="48">
        <f>Base!AL23</f>
        <v>0.10940428366297206</v>
      </c>
      <c r="AF41" s="634">
        <f>Bear!AL23</f>
        <v>0.10547419832873617</v>
      </c>
      <c r="AG41" s="634"/>
      <c r="AH41" s="634"/>
      <c r="AI41" s="241"/>
      <c r="AJ41" s="241"/>
      <c r="AK41" s="241"/>
    </row>
    <row r="42" spans="1:41">
      <c r="A42" s="241"/>
      <c r="B42" s="752"/>
      <c r="C42" s="752"/>
      <c r="D42" s="752"/>
      <c r="E42" s="752"/>
      <c r="F42" s="752"/>
      <c r="G42" s="752"/>
      <c r="H42" s="752"/>
      <c r="I42" s="752"/>
      <c r="J42" s="752"/>
      <c r="K42" s="752"/>
      <c r="L42" s="752"/>
      <c r="M42" s="752"/>
      <c r="N42" s="752"/>
      <c r="O42" s="752"/>
      <c r="P42" s="752"/>
      <c r="Q42" s="752"/>
      <c r="R42" s="752"/>
      <c r="S42" s="753"/>
      <c r="T42" s="753"/>
      <c r="U42" s="753"/>
      <c r="V42" s="753"/>
      <c r="W42" s="753"/>
      <c r="X42" s="770"/>
      <c r="Y42" s="770"/>
      <c r="Z42" s="241"/>
      <c r="AA42" s="241"/>
      <c r="AB42" s="781" t="s">
        <v>1091</v>
      </c>
      <c r="AC42" s="779" t="str">
        <f>AC35</f>
        <v>24-26e CAGR</v>
      </c>
      <c r="AD42" s="780">
        <f>Bull!AL7</f>
        <v>2.5149587630328929E-2</v>
      </c>
      <c r="AE42" s="48">
        <f>Base!AL7</f>
        <v>2.5149587630328929E-2</v>
      </c>
      <c r="AF42" s="634">
        <f>Bear!AL7</f>
        <v>1.9828447621570655E-2</v>
      </c>
      <c r="AG42" s="634"/>
      <c r="AH42" s="634"/>
      <c r="AI42" s="241"/>
      <c r="AJ42" s="241"/>
      <c r="AK42" s="241"/>
    </row>
    <row r="43" spans="1:41">
      <c r="A43" s="241"/>
      <c r="B43" s="752"/>
      <c r="C43" s="752"/>
      <c r="D43" s="752"/>
      <c r="E43" s="752"/>
      <c r="F43" s="752"/>
      <c r="G43" s="752"/>
      <c r="H43" s="752"/>
      <c r="I43" s="752"/>
      <c r="J43" s="752"/>
      <c r="K43" s="752"/>
      <c r="L43" s="752"/>
      <c r="M43" s="752"/>
      <c r="N43" s="752"/>
      <c r="O43" s="752"/>
      <c r="P43" s="752"/>
      <c r="Q43" s="752"/>
      <c r="R43" s="752"/>
      <c r="S43" s="753"/>
      <c r="T43" s="753"/>
      <c r="U43" s="753"/>
      <c r="V43" s="753"/>
      <c r="W43" s="753"/>
      <c r="X43" s="770"/>
      <c r="Y43" s="770"/>
      <c r="Z43" s="241"/>
      <c r="AA43" s="241"/>
      <c r="AB43" s="781" t="s">
        <v>979</v>
      </c>
      <c r="AC43" s="779">
        <f>+$AC$52</f>
        <v>2024</v>
      </c>
      <c r="AD43" s="1420">
        <f>Bull!$Y$82</f>
        <v>0.14891095475907293</v>
      </c>
      <c r="AE43" s="1419">
        <f>Base!$Y$82</f>
        <v>0.1480687785451015</v>
      </c>
      <c r="AF43" s="1420">
        <f>Bear!$Y$82</f>
        <v>0.14476460588647724</v>
      </c>
      <c r="AG43" s="1420"/>
      <c r="AH43" s="1420"/>
      <c r="AI43" s="241"/>
      <c r="AJ43" s="241"/>
      <c r="AK43" s="241"/>
    </row>
    <row r="44" spans="1:41">
      <c r="A44" s="241"/>
      <c r="B44" s="752"/>
      <c r="C44" s="752"/>
      <c r="D44" s="752"/>
      <c r="E44" s="752"/>
      <c r="F44" s="752"/>
      <c r="G44" s="752"/>
      <c r="H44" s="752"/>
      <c r="I44" s="752"/>
      <c r="J44" s="752"/>
      <c r="K44" s="752"/>
      <c r="L44" s="752"/>
      <c r="M44" s="752"/>
      <c r="N44" s="752"/>
      <c r="O44" s="752"/>
      <c r="P44" s="752"/>
      <c r="Q44" s="752"/>
      <c r="R44" s="752"/>
      <c r="S44" s="753"/>
      <c r="T44" s="753"/>
      <c r="U44" s="753"/>
      <c r="V44" s="753"/>
      <c r="W44" s="753"/>
      <c r="X44" s="770"/>
      <c r="Y44" s="770"/>
      <c r="Z44" s="241"/>
      <c r="AA44" s="241"/>
      <c r="AB44" s="782" t="str">
        <f>AB18</f>
        <v>South America</v>
      </c>
      <c r="AC44" s="779"/>
      <c r="AD44" s="780"/>
      <c r="AE44" s="48"/>
      <c r="AF44" s="634"/>
      <c r="AG44" s="634"/>
      <c r="AH44" s="634"/>
      <c r="AI44" s="241"/>
      <c r="AJ44" s="241"/>
      <c r="AK44" s="241"/>
    </row>
    <row r="45" spans="1:41">
      <c r="A45" s="241"/>
      <c r="B45" s="752"/>
      <c r="C45" s="752"/>
      <c r="D45" s="752"/>
      <c r="E45" s="752"/>
      <c r="F45" s="752"/>
      <c r="G45" s="752"/>
      <c r="H45" s="752"/>
      <c r="I45" s="752"/>
      <c r="J45" s="752"/>
      <c r="K45" s="752"/>
      <c r="L45" s="752"/>
      <c r="M45" s="752"/>
      <c r="N45" s="752"/>
      <c r="O45" s="752"/>
      <c r="P45" s="752"/>
      <c r="Q45" s="752"/>
      <c r="R45" s="752"/>
      <c r="S45" s="753"/>
      <c r="T45" s="753"/>
      <c r="U45" s="753"/>
      <c r="V45" s="753"/>
      <c r="W45" s="753"/>
      <c r="X45" s="770"/>
      <c r="Y45" s="770"/>
      <c r="Z45" s="241"/>
      <c r="AA45" s="241"/>
      <c r="AB45" s="778" t="s">
        <v>307</v>
      </c>
      <c r="AC45" s="779" t="str">
        <f>AC33</f>
        <v>24-26e CAGR</v>
      </c>
      <c r="AD45" s="780">
        <f>Bull!AL40</f>
        <v>0.13034853836163141</v>
      </c>
      <c r="AE45" s="48">
        <f>Base!AL40</f>
        <v>0.11189669966101778</v>
      </c>
      <c r="AF45" s="634">
        <f>Bear!AL40</f>
        <v>6.8190198993446138E-2</v>
      </c>
      <c r="AG45" s="634"/>
      <c r="AH45" s="634"/>
      <c r="AI45" s="241"/>
      <c r="AJ45" s="241"/>
      <c r="AK45" s="241"/>
    </row>
    <row r="46" spans="1:41">
      <c r="A46" s="241"/>
      <c r="B46" s="752"/>
      <c r="C46" s="752"/>
      <c r="D46" s="752"/>
      <c r="E46" s="752"/>
      <c r="F46" s="752"/>
      <c r="G46" s="752"/>
      <c r="H46" s="752"/>
      <c r="I46" s="752"/>
      <c r="J46" s="752"/>
      <c r="K46" s="752"/>
      <c r="L46" s="752"/>
      <c r="M46" s="752"/>
      <c r="N46" s="752"/>
      <c r="O46" s="752"/>
      <c r="P46" s="752"/>
      <c r="Q46" s="752"/>
      <c r="R46" s="752"/>
      <c r="S46" s="753"/>
      <c r="T46" s="753"/>
      <c r="U46" s="753"/>
      <c r="V46" s="753"/>
      <c r="W46" s="753"/>
      <c r="X46" s="770"/>
      <c r="Y46" s="770"/>
      <c r="Z46" s="241"/>
      <c r="AA46" s="241"/>
      <c r="AB46" s="778" t="s">
        <v>1274</v>
      </c>
      <c r="AC46" s="779">
        <f>+$AC$52</f>
        <v>2024</v>
      </c>
      <c r="AD46" s="1420">
        <f>Bull!$Y$28</f>
        <v>0.46904155060734176</v>
      </c>
      <c r="AE46" s="1419">
        <f>Base!$Y$28</f>
        <v>0.44221681681804537</v>
      </c>
      <c r="AF46" s="1420">
        <f>Bear!$Y$28</f>
        <v>0.39270172196184605</v>
      </c>
      <c r="AG46" s="1420"/>
      <c r="AH46" s="1420"/>
      <c r="AI46" s="241"/>
      <c r="AJ46" s="241"/>
      <c r="AK46" s="241"/>
    </row>
    <row r="47" spans="1:41">
      <c r="A47" s="241"/>
      <c r="B47" s="752"/>
      <c r="C47" s="752"/>
      <c r="D47" s="752"/>
      <c r="E47" s="752"/>
      <c r="F47" s="752"/>
      <c r="G47" s="752"/>
      <c r="H47" s="752"/>
      <c r="I47" s="752"/>
      <c r="J47" s="752"/>
      <c r="K47" s="752"/>
      <c r="L47" s="752"/>
      <c r="M47" s="752"/>
      <c r="N47" s="752"/>
      <c r="O47" s="752"/>
      <c r="P47" s="752"/>
      <c r="Q47" s="752"/>
      <c r="R47" s="752"/>
      <c r="S47" s="753"/>
      <c r="T47" s="753"/>
      <c r="U47" s="753"/>
      <c r="V47" s="753"/>
      <c r="W47" s="753"/>
      <c r="X47" s="770"/>
      <c r="Y47" s="770"/>
      <c r="Z47" s="241"/>
      <c r="AA47" s="241"/>
      <c r="AB47" s="781" t="s">
        <v>1275</v>
      </c>
      <c r="AC47" s="779" t="str">
        <f>AC33</f>
        <v>24-26e CAGR</v>
      </c>
      <c r="AD47" s="780">
        <f>Bull!AL24</f>
        <v>0.10481439166720996</v>
      </c>
      <c r="AE47" s="48">
        <f>Base!AL24</f>
        <v>8.6636888661566269E-2</v>
      </c>
      <c r="AF47" s="634">
        <f>Bear!AL24</f>
        <v>4.8848067428715058E-2</v>
      </c>
      <c r="AG47" s="634"/>
      <c r="AH47" s="634"/>
      <c r="AI47" s="241"/>
      <c r="AJ47" s="241"/>
      <c r="AK47" s="241"/>
    </row>
    <row r="48" spans="1:41">
      <c r="A48" s="241"/>
      <c r="B48" s="752"/>
      <c r="C48" s="752"/>
      <c r="D48" s="752"/>
      <c r="E48" s="752"/>
      <c r="F48" s="752"/>
      <c r="G48" s="752"/>
      <c r="H48" s="752"/>
      <c r="I48" s="752"/>
      <c r="J48" s="752"/>
      <c r="K48" s="752"/>
      <c r="L48" s="752"/>
      <c r="M48" s="752"/>
      <c r="N48" s="752"/>
      <c r="O48" s="752"/>
      <c r="P48" s="752"/>
      <c r="Q48" s="752"/>
      <c r="R48" s="752"/>
      <c r="S48" s="753"/>
      <c r="T48" s="753"/>
      <c r="U48" s="753"/>
      <c r="V48" s="753"/>
      <c r="W48" s="753"/>
      <c r="X48" s="770"/>
      <c r="Y48" s="770"/>
      <c r="Z48" s="241"/>
      <c r="AA48" s="241"/>
      <c r="AB48" s="781" t="s">
        <v>1091</v>
      </c>
      <c r="AC48" s="779" t="str">
        <f>AC35</f>
        <v>24-26e CAGR</v>
      </c>
      <c r="AD48" s="780">
        <f>Bull!AL8</f>
        <v>3.1831680515491234E-2</v>
      </c>
      <c r="AE48" s="48">
        <f>Base!AL8</f>
        <v>3.1831680515491234E-2</v>
      </c>
      <c r="AF48" s="634">
        <f>Bear!AL8</f>
        <v>2.5946249631976226E-2</v>
      </c>
      <c r="AG48" s="634"/>
      <c r="AH48" s="634"/>
      <c r="AI48" s="241"/>
      <c r="AJ48" s="241"/>
      <c r="AK48" s="241"/>
    </row>
    <row r="49" spans="1:37">
      <c r="A49" s="241"/>
      <c r="B49" s="752"/>
      <c r="C49" s="752"/>
      <c r="D49" s="752"/>
      <c r="E49" s="752"/>
      <c r="F49" s="752"/>
      <c r="G49" s="752"/>
      <c r="H49" s="752"/>
      <c r="I49" s="752"/>
      <c r="J49" s="752"/>
      <c r="K49" s="752"/>
      <c r="L49" s="752"/>
      <c r="M49" s="752"/>
      <c r="N49" s="752"/>
      <c r="O49" s="752"/>
      <c r="P49" s="752"/>
      <c r="Q49" s="752"/>
      <c r="R49" s="752"/>
      <c r="S49" s="753"/>
      <c r="T49" s="753"/>
      <c r="U49" s="753"/>
      <c r="V49" s="753"/>
      <c r="W49" s="753"/>
      <c r="X49" s="770"/>
      <c r="Y49" s="770"/>
      <c r="Z49" s="241"/>
      <c r="AA49" s="241"/>
      <c r="AB49" s="781" t="s">
        <v>979</v>
      </c>
      <c r="AC49" s="779">
        <f>+$AC$52</f>
        <v>2024</v>
      </c>
      <c r="AD49" s="1420">
        <f>Bull!$Y$83</f>
        <v>0.14826900720019973</v>
      </c>
      <c r="AE49" s="1419">
        <f>Base!$Y$83</f>
        <v>0.14558648137980121</v>
      </c>
      <c r="AF49" s="1420">
        <f>Bear!$Y$83</f>
        <v>0.14318801417938049</v>
      </c>
      <c r="AG49" s="1420"/>
      <c r="AH49" s="1420"/>
      <c r="AI49" s="241"/>
      <c r="AJ49" s="241"/>
      <c r="AK49" s="241"/>
    </row>
    <row r="50" spans="1:37">
      <c r="A50" s="241"/>
      <c r="B50" s="752"/>
      <c r="C50" s="752"/>
      <c r="D50" s="752"/>
      <c r="E50" s="752"/>
      <c r="F50" s="752"/>
      <c r="G50" s="752"/>
      <c r="H50" s="752"/>
      <c r="I50" s="752"/>
      <c r="J50" s="752"/>
      <c r="K50" s="752"/>
      <c r="L50" s="752"/>
      <c r="M50" s="752"/>
      <c r="N50" s="752"/>
      <c r="O50" s="752"/>
      <c r="P50" s="752"/>
      <c r="Q50" s="752"/>
      <c r="R50" s="752"/>
      <c r="S50" s="753"/>
      <c r="T50" s="753"/>
      <c r="U50" s="753"/>
      <c r="V50" s="753"/>
      <c r="W50" s="753"/>
      <c r="X50" s="770"/>
      <c r="Y50" s="770"/>
      <c r="Z50" s="241"/>
      <c r="AA50" s="241"/>
      <c r="AB50" s="784" t="s">
        <v>361</v>
      </c>
      <c r="AC50" s="1423" t="str">
        <f>AC33</f>
        <v>24-26e CAGR</v>
      </c>
      <c r="AD50" s="1120">
        <f>Bull!AL36</f>
        <v>0.10524023107903102</v>
      </c>
      <c r="AE50" s="54">
        <f>Base!AL36</f>
        <v>9.8429289505711948E-2</v>
      </c>
      <c r="AF50" s="1120">
        <f>Bear!AL36</f>
        <v>8.1427938071250594E-2</v>
      </c>
      <c r="AG50" s="1121"/>
      <c r="AH50" s="1121"/>
      <c r="AI50" s="241"/>
      <c r="AJ50" s="241"/>
      <c r="AK50" s="241"/>
    </row>
    <row r="51" spans="1:37">
      <c r="A51" s="241"/>
      <c r="B51" s="752"/>
      <c r="C51" s="752"/>
      <c r="D51" s="752"/>
      <c r="E51" s="752"/>
      <c r="F51" s="752"/>
      <c r="G51" s="752"/>
      <c r="H51" s="752"/>
      <c r="I51" s="752"/>
      <c r="J51" s="752"/>
      <c r="K51" s="752"/>
      <c r="L51" s="752"/>
      <c r="M51" s="752"/>
      <c r="N51" s="752"/>
      <c r="O51" s="752"/>
      <c r="P51" s="752"/>
      <c r="Q51" s="752"/>
      <c r="R51" s="752"/>
      <c r="S51" s="753"/>
      <c r="T51" s="753"/>
      <c r="U51" s="753"/>
      <c r="V51" s="753"/>
      <c r="W51" s="753"/>
      <c r="X51" s="770"/>
      <c r="Y51" s="770"/>
      <c r="Z51" s="241"/>
      <c r="AA51" s="241"/>
      <c r="AB51" s="773" t="s">
        <v>335</v>
      </c>
      <c r="AC51" s="1424" t="str">
        <f>AC33</f>
        <v>24-26e CAGR</v>
      </c>
      <c r="AD51" s="1420">
        <f>Bull!AL67</f>
        <v>0.11040220365801878</v>
      </c>
      <c r="AE51" s="1419">
        <f>Base!AL67</f>
        <v>9.8711459265654389E-2</v>
      </c>
      <c r="AF51" s="1420">
        <f>Bear!AL67</f>
        <v>6.2976966770315279E-2</v>
      </c>
      <c r="AG51" s="1420"/>
      <c r="AH51" s="1420"/>
      <c r="AI51" s="241"/>
      <c r="AJ51" s="241"/>
      <c r="AK51" s="241"/>
    </row>
    <row r="52" spans="1:37">
      <c r="A52" s="241"/>
      <c r="B52" s="752"/>
      <c r="C52" s="752"/>
      <c r="D52" s="752"/>
      <c r="E52" s="752"/>
      <c r="F52" s="752"/>
      <c r="G52" s="752"/>
      <c r="H52" s="752"/>
      <c r="I52" s="752"/>
      <c r="J52" s="752"/>
      <c r="K52" s="752"/>
      <c r="L52" s="752"/>
      <c r="M52" s="752"/>
      <c r="N52" s="752"/>
      <c r="O52" s="752"/>
      <c r="P52" s="752"/>
      <c r="Q52" s="752"/>
      <c r="R52" s="752"/>
      <c r="S52" s="753"/>
      <c r="T52" s="753"/>
      <c r="U52" s="753"/>
      <c r="V52" s="753"/>
      <c r="W52" s="753"/>
      <c r="X52" s="770"/>
      <c r="Y52" s="770"/>
      <c r="Z52" s="241"/>
      <c r="AA52" s="241"/>
      <c r="AB52" s="785" t="s">
        <v>288</v>
      </c>
      <c r="AC52" s="1425">
        <f>Financials!$Y$4</f>
        <v>2024</v>
      </c>
      <c r="AD52" s="634">
        <f>Bull!$Y$68</f>
        <v>0.21069181937265274</v>
      </c>
      <c r="AE52" s="48">
        <f>Base!$Y$68</f>
        <v>0.20855372242918341</v>
      </c>
      <c r="AF52" s="634">
        <f>Bear!$Y$68</f>
        <v>0.20095102789759575</v>
      </c>
      <c r="AG52" s="634"/>
      <c r="AH52" s="634"/>
      <c r="AI52" s="241"/>
      <c r="AJ52" s="241"/>
      <c r="AK52" s="241"/>
    </row>
    <row r="53" spans="1:37">
      <c r="A53" s="241"/>
      <c r="B53" s="752"/>
      <c r="C53" s="752"/>
      <c r="D53" s="752"/>
      <c r="E53" s="752"/>
      <c r="F53" s="752"/>
      <c r="G53" s="752"/>
      <c r="H53" s="752"/>
      <c r="I53" s="752"/>
      <c r="J53" s="752"/>
      <c r="K53" s="752"/>
      <c r="L53" s="752"/>
      <c r="M53" s="752"/>
      <c r="N53" s="752"/>
      <c r="O53" s="752"/>
      <c r="P53" s="752"/>
      <c r="Q53" s="752"/>
      <c r="R53" s="752"/>
      <c r="S53" s="753"/>
      <c r="T53" s="753"/>
      <c r="U53" s="753"/>
      <c r="V53" s="753"/>
      <c r="W53" s="753"/>
      <c r="X53" s="770"/>
      <c r="Y53" s="770"/>
      <c r="Z53" s="241"/>
      <c r="AA53" s="241"/>
      <c r="AB53" s="773" t="s">
        <v>1276</v>
      </c>
      <c r="AC53" s="1425">
        <f>+AC52</f>
        <v>2024</v>
      </c>
      <c r="AD53" s="698">
        <f>Bull!$Y$29</f>
        <v>20.626771965811965</v>
      </c>
      <c r="AE53" s="1158">
        <f>Base!$Y$29</f>
        <v>21.703695042735042</v>
      </c>
      <c r="AF53" s="698">
        <f>Bear!$Y$29</f>
        <v>23.224117333333332</v>
      </c>
      <c r="AG53" s="698"/>
      <c r="AH53" s="698"/>
      <c r="AI53" s="241"/>
    </row>
    <row r="54" spans="1:37">
      <c r="A54" s="241"/>
      <c r="B54" s="752"/>
      <c r="C54" s="752"/>
      <c r="D54" s="752"/>
      <c r="E54" s="752"/>
      <c r="F54" s="752"/>
      <c r="G54" s="752"/>
      <c r="H54" s="752"/>
      <c r="I54" s="752"/>
      <c r="J54" s="752"/>
      <c r="K54" s="752"/>
      <c r="L54" s="752"/>
      <c r="M54" s="752"/>
      <c r="N54" s="752"/>
      <c r="O54" s="752"/>
      <c r="P54" s="752"/>
      <c r="Q54" s="752"/>
      <c r="R54" s="752"/>
      <c r="S54" s="753"/>
      <c r="T54" s="753"/>
      <c r="U54" s="753"/>
      <c r="V54" s="753"/>
      <c r="W54" s="753"/>
      <c r="X54" s="770"/>
      <c r="Y54" s="770"/>
      <c r="Z54" s="241"/>
      <c r="AA54" s="241"/>
      <c r="AB54" s="773" t="s">
        <v>299</v>
      </c>
      <c r="AC54" s="779">
        <f>AC52</f>
        <v>2024</v>
      </c>
      <c r="AD54" s="1720">
        <f>Bull!$Y$171</f>
        <v>2.5218087584028002</v>
      </c>
      <c r="AE54" s="1721">
        <f>Base!$Y$171</f>
        <v>2.5875721815062831</v>
      </c>
      <c r="AF54" s="1722">
        <f>Bear!$Y$171</f>
        <v>2.6586220028321574</v>
      </c>
      <c r="AG54" s="1722"/>
      <c r="AH54" s="1722"/>
      <c r="AI54" s="241"/>
    </row>
    <row r="55" spans="1:37">
      <c r="A55" s="241"/>
      <c r="B55" s="752"/>
      <c r="C55" s="752"/>
      <c r="D55" s="752"/>
      <c r="E55" s="752"/>
      <c r="F55" s="752"/>
      <c r="G55" s="752"/>
      <c r="H55" s="752"/>
      <c r="I55" s="752"/>
      <c r="J55" s="752"/>
      <c r="K55" s="752"/>
      <c r="L55" s="752"/>
      <c r="M55" s="752"/>
      <c r="N55" s="752"/>
      <c r="O55" s="752"/>
      <c r="P55" s="752"/>
      <c r="Q55" s="752"/>
      <c r="R55" s="752"/>
      <c r="S55" s="753"/>
      <c r="T55" s="753"/>
      <c r="U55" s="753"/>
      <c r="V55" s="753"/>
      <c r="W55" s="753"/>
      <c r="X55" s="770"/>
      <c r="Y55" s="770"/>
      <c r="Z55" s="241"/>
      <c r="AA55" s="241"/>
      <c r="AB55" s="773" t="s">
        <v>87</v>
      </c>
      <c r="AC55" s="779">
        <f>AC52</f>
        <v>2024</v>
      </c>
      <c r="AD55" s="788">
        <f>Bull!$Y$178</f>
        <v>0.10287441281137259</v>
      </c>
      <c r="AE55" s="49">
        <f>Base!$Y$178</f>
        <v>9.9400772356673259E-2</v>
      </c>
      <c r="AF55" s="1121">
        <f>Bear!$Y$178</f>
        <v>9.0207710666813018E-2</v>
      </c>
      <c r="AG55" s="1121"/>
      <c r="AH55" s="1121"/>
      <c r="AI55" s="241"/>
    </row>
    <row r="56" spans="1:37">
      <c r="A56" s="241"/>
      <c r="B56" s="752"/>
      <c r="C56" s="752"/>
      <c r="D56" s="752"/>
      <c r="E56" s="752"/>
      <c r="F56" s="752"/>
      <c r="G56" s="752"/>
      <c r="H56" s="752"/>
      <c r="I56" s="752"/>
      <c r="J56" s="752"/>
      <c r="K56" s="752"/>
      <c r="L56" s="752"/>
      <c r="M56" s="752"/>
      <c r="N56" s="752"/>
      <c r="O56" s="752"/>
      <c r="P56" s="752"/>
      <c r="Q56" s="752"/>
      <c r="R56" s="752"/>
      <c r="S56" s="753"/>
      <c r="T56" s="753"/>
      <c r="U56" s="753"/>
      <c r="V56" s="753"/>
      <c r="W56" s="753"/>
      <c r="X56" s="770"/>
      <c r="Y56" s="770"/>
      <c r="Z56" s="241"/>
      <c r="AB56" s="786" t="s">
        <v>1347</v>
      </c>
      <c r="AC56" s="776"/>
      <c r="AD56" s="1491"/>
      <c r="AE56" s="54"/>
      <c r="AF56" s="1120"/>
      <c r="AG56" s="1121"/>
      <c r="AH56" s="1121"/>
      <c r="AI56" s="241"/>
    </row>
    <row r="57" spans="1:37">
      <c r="A57" s="241"/>
      <c r="B57" s="752"/>
      <c r="C57" s="752"/>
      <c r="D57" s="752"/>
      <c r="E57" s="752"/>
      <c r="F57" s="752"/>
      <c r="G57" s="752"/>
      <c r="H57" s="752"/>
      <c r="I57" s="752"/>
      <c r="J57" s="752"/>
      <c r="K57" s="752"/>
      <c r="L57" s="752"/>
      <c r="M57" s="752"/>
      <c r="N57" s="752"/>
      <c r="O57" s="752"/>
      <c r="P57" s="752"/>
      <c r="Q57" s="752"/>
      <c r="R57" s="752"/>
      <c r="S57" s="753"/>
      <c r="T57" s="753"/>
      <c r="U57" s="753"/>
      <c r="V57" s="753"/>
      <c r="W57" s="753"/>
      <c r="X57" s="770"/>
      <c r="Y57" s="770"/>
      <c r="Z57" s="241"/>
      <c r="AB57" s="773" t="s">
        <v>362</v>
      </c>
      <c r="AC57" s="779">
        <f>AC52</f>
        <v>2024</v>
      </c>
      <c r="AD57" s="1492">
        <f>Bull!$Y$195</f>
        <v>6.7923410288079262</v>
      </c>
      <c r="AE57" s="1493">
        <f>Base!$Y$195</f>
        <v>6.9328600465963648</v>
      </c>
      <c r="AF57" s="1494">
        <f>Bear!$Y$195</f>
        <v>7.1697345349939141</v>
      </c>
      <c r="AG57" s="1494"/>
      <c r="AH57" s="1494"/>
      <c r="AI57" s="241"/>
    </row>
    <row r="58" spans="1:37">
      <c r="A58" s="241"/>
      <c r="B58" s="752"/>
      <c r="C58" s="752"/>
      <c r="D58" s="752"/>
      <c r="E58" s="752"/>
      <c r="F58" s="752"/>
      <c r="G58" s="752"/>
      <c r="H58" s="752"/>
      <c r="I58" s="752"/>
      <c r="J58" s="752"/>
      <c r="K58" s="752"/>
      <c r="L58" s="752"/>
      <c r="M58" s="752"/>
      <c r="N58" s="752"/>
      <c r="O58" s="752"/>
      <c r="P58" s="752"/>
      <c r="Q58" s="752"/>
      <c r="R58" s="752"/>
      <c r="S58" s="753"/>
      <c r="T58" s="753"/>
      <c r="U58" s="753"/>
      <c r="V58" s="753"/>
      <c r="W58" s="753"/>
      <c r="X58" s="770"/>
      <c r="Y58" s="770"/>
      <c r="Z58" s="241"/>
      <c r="AB58" s="773" t="s">
        <v>362</v>
      </c>
      <c r="AC58" s="779">
        <f>AC57+1</f>
        <v>2025</v>
      </c>
      <c r="AD58" s="1492">
        <f>Bull!$Z$195</f>
        <v>5.9263468630992859</v>
      </c>
      <c r="AE58" s="1493">
        <f>Base!$Z$195</f>
        <v>6.1788540912699936</v>
      </c>
      <c r="AF58" s="1494">
        <f>Bear!$Z$195</f>
        <v>6.550105466988672</v>
      </c>
      <c r="AG58" s="1494"/>
      <c r="AH58" s="1494"/>
    </row>
    <row r="59" spans="1:37">
      <c r="A59" s="241"/>
      <c r="B59" s="752"/>
      <c r="C59" s="752"/>
      <c r="D59" s="752"/>
      <c r="E59" s="752"/>
      <c r="F59" s="752"/>
      <c r="G59" s="752"/>
      <c r="H59" s="752"/>
      <c r="I59" s="752"/>
      <c r="J59" s="752"/>
      <c r="K59" s="752"/>
      <c r="L59" s="752"/>
      <c r="M59" s="752"/>
      <c r="N59" s="752"/>
      <c r="O59" s="752"/>
      <c r="P59" s="752"/>
      <c r="Q59" s="752"/>
      <c r="R59" s="752"/>
      <c r="S59" s="753"/>
      <c r="T59" s="753"/>
      <c r="U59" s="753"/>
      <c r="V59" s="753"/>
      <c r="W59" s="753"/>
      <c r="X59" s="770"/>
      <c r="Y59" s="770"/>
      <c r="Z59" s="241"/>
      <c r="AB59" s="773" t="s">
        <v>363</v>
      </c>
      <c r="AC59" s="779">
        <f>AC52</f>
        <v>2024</v>
      </c>
      <c r="AD59" s="1492">
        <f>Bull!$Y$197</f>
        <v>26.523156418374302</v>
      </c>
      <c r="AE59" s="1493">
        <f>Base!$Y$197</f>
        <v>28.609488109056578</v>
      </c>
      <c r="AF59" s="1494">
        <f>Bear!$Y$197</f>
        <v>33.961347479488609</v>
      </c>
      <c r="AG59" s="51"/>
      <c r="AH59" s="51"/>
    </row>
    <row r="60" spans="1:37">
      <c r="A60" s="241"/>
      <c r="B60" s="752"/>
      <c r="C60" s="752"/>
      <c r="D60" s="752"/>
      <c r="E60" s="752"/>
      <c r="F60" s="752"/>
      <c r="G60" s="752"/>
      <c r="H60" s="752"/>
      <c r="I60" s="752"/>
      <c r="J60" s="752"/>
      <c r="K60" s="752"/>
      <c r="L60" s="752"/>
      <c r="M60" s="752"/>
      <c r="N60" s="752"/>
      <c r="O60" s="752"/>
      <c r="P60" s="752"/>
      <c r="Q60" s="752"/>
      <c r="R60" s="752"/>
      <c r="S60" s="753"/>
      <c r="T60" s="753"/>
      <c r="U60" s="753"/>
      <c r="V60" s="753"/>
      <c r="W60" s="753"/>
      <c r="X60" s="770"/>
      <c r="Y60" s="770"/>
      <c r="Z60" s="241"/>
      <c r="AB60" s="773" t="s">
        <v>106</v>
      </c>
      <c r="AC60" s="779">
        <f>AC52</f>
        <v>2024</v>
      </c>
      <c r="AD60" s="780">
        <f>Bull!$Y$200</f>
        <v>1.9588979087425816E-2</v>
      </c>
      <c r="AE60" s="50">
        <f>Base!$Y$200</f>
        <v>1.9588979087425816E-2</v>
      </c>
      <c r="AF60" s="51">
        <f>Bear!$Y$200</f>
        <v>1.9588979087425816E-2</v>
      </c>
      <c r="AG60" s="51"/>
      <c r="AH60" s="51"/>
    </row>
    <row r="61" spans="1:37">
      <c r="A61" s="241"/>
      <c r="B61" s="752"/>
      <c r="C61" s="752"/>
      <c r="D61" s="752"/>
      <c r="E61" s="752"/>
      <c r="F61" s="752"/>
      <c r="G61" s="752"/>
      <c r="H61" s="752"/>
      <c r="I61" s="752"/>
      <c r="J61" s="752"/>
      <c r="K61" s="752"/>
      <c r="L61" s="752"/>
      <c r="M61" s="752"/>
      <c r="N61" s="752"/>
      <c r="O61" s="752"/>
      <c r="P61" s="752"/>
      <c r="Q61" s="752"/>
      <c r="R61" s="752"/>
      <c r="S61" s="753"/>
      <c r="T61" s="753"/>
      <c r="U61" s="753"/>
      <c r="V61" s="753"/>
      <c r="W61" s="753"/>
      <c r="X61" s="770"/>
      <c r="Y61" s="770"/>
      <c r="Z61" s="241"/>
      <c r="AB61" s="773" t="s">
        <v>364</v>
      </c>
      <c r="AC61" s="779">
        <f>AC58</f>
        <v>2025</v>
      </c>
      <c r="AD61" s="750">
        <f>Bull!$Z$199</f>
        <v>2.5866279824658611E-2</v>
      </c>
      <c r="AE61" s="50">
        <f>Base!$Z$199</f>
        <v>1.6454048726091557E-2</v>
      </c>
      <c r="AF61" s="51">
        <f>Bear!$Z$199</f>
        <v>2.6734462962954893E-2</v>
      </c>
      <c r="AG61" s="1121"/>
      <c r="AH61" s="1121"/>
      <c r="AI61" s="241"/>
    </row>
    <row r="62" spans="1:37">
      <c r="A62" s="241"/>
      <c r="B62" s="752"/>
      <c r="C62" s="752"/>
      <c r="D62" s="752"/>
      <c r="E62" s="752"/>
      <c r="F62" s="752"/>
      <c r="G62" s="752"/>
      <c r="H62" s="752"/>
      <c r="I62" s="752"/>
      <c r="J62" s="752"/>
      <c r="K62" s="752"/>
      <c r="L62" s="752"/>
      <c r="M62" s="752"/>
      <c r="N62" s="752"/>
      <c r="O62" s="752"/>
      <c r="P62" s="752"/>
      <c r="Q62" s="752"/>
      <c r="R62" s="752"/>
      <c r="S62" s="753"/>
      <c r="T62" s="753"/>
      <c r="U62" s="753"/>
      <c r="V62" s="753"/>
      <c r="W62" s="753"/>
      <c r="X62" s="770"/>
      <c r="Y62" s="770"/>
      <c r="Z62" s="241"/>
      <c r="AB62" s="786" t="s">
        <v>1348</v>
      </c>
      <c r="AC62" s="776"/>
      <c r="AD62" s="1491"/>
      <c r="AE62" s="54"/>
      <c r="AF62" s="1120"/>
      <c r="AG62" s="1494"/>
      <c r="AH62" s="1494"/>
      <c r="AI62" s="241"/>
    </row>
    <row r="63" spans="1:37">
      <c r="A63" s="241"/>
      <c r="B63" s="752"/>
      <c r="C63" s="752"/>
      <c r="D63" s="752"/>
      <c r="E63" s="752"/>
      <c r="F63" s="752"/>
      <c r="G63" s="752"/>
      <c r="H63" s="752"/>
      <c r="I63" s="752"/>
      <c r="J63" s="752"/>
      <c r="K63" s="752"/>
      <c r="L63" s="752"/>
      <c r="M63" s="752"/>
      <c r="N63" s="752"/>
      <c r="O63" s="752"/>
      <c r="P63" s="752"/>
      <c r="Q63" s="752"/>
      <c r="R63" s="752"/>
      <c r="S63" s="241"/>
      <c r="T63" s="241"/>
      <c r="U63" s="241"/>
      <c r="V63" s="241"/>
      <c r="W63" s="241"/>
      <c r="X63" s="241"/>
      <c r="AB63" s="773" t="s">
        <v>362</v>
      </c>
      <c r="AC63" s="779">
        <f>AC57</f>
        <v>2024</v>
      </c>
      <c r="AD63" s="1492">
        <f>Bull!$Y$210</f>
        <v>8.3041046181233078</v>
      </c>
      <c r="AE63" s="1493">
        <f>Base!$Y$210</f>
        <v>7.1974860320920637</v>
      </c>
      <c r="AF63" s="1494">
        <f>Bear!$Y$210</f>
        <v>5.9753434980205542</v>
      </c>
      <c r="AG63" s="1494"/>
      <c r="AH63" s="1494"/>
      <c r="AI63" s="241"/>
    </row>
    <row r="64" spans="1:37">
      <c r="A64" s="732" t="s">
        <v>404</v>
      </c>
      <c r="B64" s="733">
        <f t="shared" ref="B64:I64" si="11">B4</f>
        <v>2001</v>
      </c>
      <c r="C64" s="733">
        <f t="shared" si="11"/>
        <v>2002</v>
      </c>
      <c r="D64" s="733">
        <f t="shared" si="11"/>
        <v>2003</v>
      </c>
      <c r="E64" s="733">
        <f t="shared" si="11"/>
        <v>2004</v>
      </c>
      <c r="F64" s="733">
        <f t="shared" si="11"/>
        <v>2005</v>
      </c>
      <c r="G64" s="733">
        <f t="shared" si="11"/>
        <v>2006</v>
      </c>
      <c r="H64" s="733">
        <f t="shared" si="11"/>
        <v>2007</v>
      </c>
      <c r="I64" s="733">
        <f t="shared" si="11"/>
        <v>2008</v>
      </c>
      <c r="J64" s="733">
        <f t="shared" ref="J64:W64" si="12">J4</f>
        <v>2009</v>
      </c>
      <c r="K64" s="733">
        <f t="shared" si="12"/>
        <v>2010</v>
      </c>
      <c r="L64" s="733">
        <f t="shared" si="12"/>
        <v>2011</v>
      </c>
      <c r="M64" s="733">
        <f t="shared" si="12"/>
        <v>2012</v>
      </c>
      <c r="N64" s="733">
        <f t="shared" si="12"/>
        <v>2013</v>
      </c>
      <c r="O64" s="733">
        <f t="shared" si="12"/>
        <v>2014</v>
      </c>
      <c r="P64" s="733">
        <f t="shared" si="12"/>
        <v>2015</v>
      </c>
      <c r="Q64" s="733">
        <f t="shared" si="12"/>
        <v>2016</v>
      </c>
      <c r="R64" s="733">
        <f t="shared" si="12"/>
        <v>2017</v>
      </c>
      <c r="S64" s="733">
        <f t="shared" si="12"/>
        <v>2018</v>
      </c>
      <c r="T64" s="733">
        <f t="shared" si="12"/>
        <v>2019</v>
      </c>
      <c r="U64" s="733">
        <f t="shared" si="12"/>
        <v>2020</v>
      </c>
      <c r="V64" s="733">
        <f t="shared" si="12"/>
        <v>2021</v>
      </c>
      <c r="W64" s="733">
        <f t="shared" si="12"/>
        <v>2022</v>
      </c>
      <c r="X64" s="733">
        <f t="shared" ref="X64" si="13">X4</f>
        <v>2023</v>
      </c>
      <c r="Y64" s="734">
        <f>Y4</f>
        <v>2024</v>
      </c>
      <c r="Z64" s="734">
        <f>Z4</f>
        <v>2025</v>
      </c>
      <c r="AB64" s="773" t="s">
        <v>362</v>
      </c>
      <c r="AC64" s="779">
        <f>AC58</f>
        <v>2025</v>
      </c>
      <c r="AD64" s="1492">
        <f>Bull!$Z$210</f>
        <v>7.2672856909810655</v>
      </c>
      <c r="AE64" s="1493">
        <f>Base!$Z$210</f>
        <v>6.4175048543689517</v>
      </c>
      <c r="AF64" s="1494">
        <f>Bear!$Z$210</f>
        <v>5.4284913237048711</v>
      </c>
      <c r="AG64" s="51"/>
      <c r="AH64" s="51"/>
      <c r="AI64" s="241"/>
    </row>
    <row r="65" spans="1:35">
      <c r="AB65" s="773" t="s">
        <v>363</v>
      </c>
      <c r="AC65" s="779">
        <f>AC57</f>
        <v>2024</v>
      </c>
      <c r="AD65" s="1492">
        <f>Bull!$Y$212</f>
        <v>35.935716335701393</v>
      </c>
      <c r="AE65" s="1493">
        <f>Base!$Y$212</f>
        <v>30.356133318457029</v>
      </c>
      <c r="AF65" s="1494">
        <f>Bear!$Y$212</f>
        <v>24.947121067205149</v>
      </c>
      <c r="AG65" s="51"/>
      <c r="AH65" s="51"/>
      <c r="AI65" s="241"/>
    </row>
    <row r="66" spans="1:35">
      <c r="A66" s="241" t="s">
        <v>285</v>
      </c>
      <c r="B66" s="752"/>
      <c r="C66" s="752"/>
      <c r="D66" s="752"/>
      <c r="E66" s="752"/>
      <c r="F66" s="752"/>
      <c r="G66" s="752"/>
      <c r="H66" s="752"/>
      <c r="I66" s="752"/>
      <c r="J66" s="752"/>
      <c r="K66" s="752"/>
      <c r="L66" s="752"/>
      <c r="M66" s="752"/>
      <c r="N66" s="752"/>
      <c r="O66" s="752"/>
      <c r="P66" s="752"/>
      <c r="Q66" s="752"/>
      <c r="R66" s="752"/>
      <c r="S66" s="753"/>
      <c r="W66" s="754"/>
      <c r="X66" s="754"/>
      <c r="Y66" s="754">
        <f>Index!H36</f>
        <v>61.26</v>
      </c>
      <c r="Z66" s="753"/>
      <c r="AB66" s="773" t="s">
        <v>363</v>
      </c>
      <c r="AC66" s="779">
        <f>AC58</f>
        <v>2025</v>
      </c>
      <c r="AD66" s="1492">
        <f>Bull!$Z$212</f>
        <v>22.266548280934746</v>
      </c>
      <c r="AE66" s="1493">
        <f>Base!$Z$212</f>
        <v>19.523399149755875</v>
      </c>
      <c r="AF66" s="1494">
        <f>Bear!$Z$212</f>
        <v>16.621936767539047</v>
      </c>
      <c r="AG66" s="1914"/>
      <c r="AH66" s="1914"/>
    </row>
    <row r="67" spans="1:35">
      <c r="A67" s="755" t="s">
        <v>90</v>
      </c>
      <c r="B67" s="756">
        <f>Financials!B194</f>
        <v>0.2775542554285681</v>
      </c>
      <c r="C67" s="756">
        <f>Financials!C195</f>
        <v>-0.29711411476336475</v>
      </c>
      <c r="D67" s="756">
        <f>Financials!D195</f>
        <v>2.7980800030827844</v>
      </c>
      <c r="E67" s="756">
        <f>Financials!E195</f>
        <v>5.3370702883658172</v>
      </c>
      <c r="F67" s="756">
        <f>Financials!F195</f>
        <v>7.094653524705409</v>
      </c>
      <c r="G67" s="756">
        <f>Financials!G195</f>
        <v>10.34062409733988</v>
      </c>
      <c r="H67" s="756">
        <f>Financials!H195</f>
        <v>7.2408363312422974</v>
      </c>
      <c r="I67" s="756">
        <f>Financials!I195</f>
        <v>4.2169326216224325</v>
      </c>
      <c r="J67" s="756">
        <f>Financials!J195</f>
        <v>6.5996244886206892</v>
      </c>
      <c r="K67" s="756">
        <f>Financials!K195</f>
        <v>8.5961731610574876</v>
      </c>
      <c r="L67" s="756">
        <f>Financials!L195</f>
        <v>10.549121090158556</v>
      </c>
      <c r="M67" s="756">
        <f>Financials!M195</f>
        <v>11.907631221374759</v>
      </c>
      <c r="N67" s="756">
        <f>Financials!N195</f>
        <v>16.023928225623699</v>
      </c>
      <c r="O67" s="756">
        <f>Financials!O195</f>
        <v>16.313379938791847</v>
      </c>
      <c r="P67" s="756">
        <f>Financials!P195</f>
        <v>14.533249072640325</v>
      </c>
      <c r="Q67" s="756">
        <f>Financials!Q195</f>
        <v>12.182660431972296</v>
      </c>
      <c r="R67" s="756">
        <f>Financials!R195</f>
        <v>11.018932474555553</v>
      </c>
      <c r="S67" s="756">
        <f>Financials!S195</f>
        <v>11.039990218960767</v>
      </c>
      <c r="T67" s="756">
        <f>Financials!T195</f>
        <v>8.9728557104049234</v>
      </c>
      <c r="U67" s="756">
        <f>Financials!U195</f>
        <v>40.003953388987085</v>
      </c>
      <c r="V67" s="756">
        <f>Financials!V195</f>
        <v>9.7019780496174679</v>
      </c>
      <c r="W67" s="756">
        <f>Financials!W195</f>
        <v>6.5428546368487952</v>
      </c>
      <c r="X67" s="756">
        <f>Financials!X195</f>
        <v>7.2163012735314958</v>
      </c>
      <c r="Y67" s="757">
        <f>Financials!Y195</f>
        <v>7.1697345349939141</v>
      </c>
      <c r="Z67" s="757">
        <f>Financials!Z195</f>
        <v>6.550105466988672</v>
      </c>
      <c r="AB67" s="773" t="s">
        <v>106</v>
      </c>
      <c r="AC67" s="779">
        <f>AC57</f>
        <v>2024</v>
      </c>
      <c r="AD67" s="780">
        <f>Bull!$Y$215</f>
        <v>1.4458082637297658E-2</v>
      </c>
      <c r="AE67" s="50">
        <f>Base!$Y$215</f>
        <v>1.8461859367626239E-2</v>
      </c>
      <c r="AF67" s="51">
        <f>Bear!$Y$215</f>
        <v>2.6667130197682347E-2</v>
      </c>
      <c r="AG67" s="1109"/>
      <c r="AH67" s="1109"/>
    </row>
    <row r="68" spans="1:35">
      <c r="A68" s="165" t="s">
        <v>91</v>
      </c>
      <c r="B68" s="758">
        <f>Financials!B196</f>
        <v>0</v>
      </c>
      <c r="C68" s="758">
        <f>Financials!C197</f>
        <v>0</v>
      </c>
      <c r="D68" s="758">
        <f>Financials!D197</f>
        <v>9.9894496987857764</v>
      </c>
      <c r="E68" s="758">
        <f>Financials!E197</f>
        <v>18.090693297285412</v>
      </c>
      <c r="F68" s="758">
        <f>Financials!F197</f>
        <v>15.217784851046884</v>
      </c>
      <c r="G68" s="758">
        <f>Financials!G197</f>
        <v>45.440527147274295</v>
      </c>
      <c r="H68" s="758">
        <f>Financials!H197</f>
        <v>17.499480598200385</v>
      </c>
      <c r="I68" s="758">
        <f>Financials!I197</f>
        <v>23.226768339558468</v>
      </c>
      <c r="J68" s="758">
        <f>Financials!J197</f>
        <v>53.133438716891156</v>
      </c>
      <c r="K68" s="758">
        <f>Financials!K197</f>
        <v>48.423683758083961</v>
      </c>
      <c r="L68" s="758">
        <f>Financials!L197</f>
        <v>38.849859762263563</v>
      </c>
      <c r="M68" s="758">
        <f>Financials!M197</f>
        <v>47.189911748257529</v>
      </c>
      <c r="N68" s="758">
        <f>Financials!N197</f>
        <v>41.186414943620726</v>
      </c>
      <c r="O68" s="758">
        <f>Financials!O197</f>
        <v>51.223479223479202</v>
      </c>
      <c r="P68" s="758">
        <f>Financials!P197</f>
        <v>51.084456271160164</v>
      </c>
      <c r="Q68" s="758">
        <f>Financials!Q197</f>
        <v>49.674269823938886</v>
      </c>
      <c r="R68" s="758">
        <f>Financials!R197</f>
        <v>49.205012717204461</v>
      </c>
      <c r="S68" s="758">
        <f>Financials!S197</f>
        <v>44.836932063156418</v>
      </c>
      <c r="T68" s="758">
        <f>Financials!T197</f>
        <v>54.659458094697506</v>
      </c>
      <c r="U68" s="758" t="str">
        <f>Financials!U197</f>
        <v>NM</v>
      </c>
      <c r="V68" s="758">
        <f>Financials!V197</f>
        <v>65.230002029158314</v>
      </c>
      <c r="W68" s="758">
        <f>Financials!W197</f>
        <v>18.187354080920425</v>
      </c>
      <c r="X68" s="758">
        <f>Financials!X197</f>
        <v>18.620891961564169</v>
      </c>
      <c r="Y68" s="759">
        <f>Financials!Y197</f>
        <v>33.961347479488609</v>
      </c>
      <c r="Z68" s="759">
        <f>Financials!Z197</f>
        <v>22.627996586209822</v>
      </c>
      <c r="AB68" s="773" t="s">
        <v>364</v>
      </c>
      <c r="AC68" s="779" t="s">
        <v>1486</v>
      </c>
      <c r="AD68" s="750">
        <f>Bull!$Z$214</f>
        <v>1.9091184362151646E-2</v>
      </c>
      <c r="AE68" s="50">
        <f>Base!$Z$214</f>
        <v>1.5507308076313368E-2</v>
      </c>
      <c r="AF68" s="51">
        <f>Bear!$Z$214</f>
        <v>3.6394515580235931E-2</v>
      </c>
      <c r="AG68" s="241"/>
      <c r="AH68" s="241"/>
    </row>
    <row r="69" spans="1:35">
      <c r="A69" s="241" t="s">
        <v>92</v>
      </c>
      <c r="B69" s="748">
        <f>Financials!B198</f>
        <v>0</v>
      </c>
      <c r="C69" s="748">
        <f>Financials!C198</f>
        <v>0</v>
      </c>
      <c r="D69" s="748">
        <f>Financials!D198</f>
        <v>1.0562565390594314</v>
      </c>
      <c r="E69" s="748">
        <f>Financials!E198</f>
        <v>1.9622642568399018</v>
      </c>
      <c r="F69" s="748">
        <f>Financials!F198</f>
        <v>2.4236383860123181</v>
      </c>
      <c r="G69" s="748">
        <f>Financials!G198</f>
        <v>3.8041867818993813</v>
      </c>
      <c r="H69" s="748">
        <f>Financials!H198</f>
        <v>2.793131437275874</v>
      </c>
      <c r="I69" s="748">
        <f>Financials!I198</f>
        <v>0.99801439472071241</v>
      </c>
      <c r="J69" s="748">
        <f>Financials!J198</f>
        <v>1.8952447389438658</v>
      </c>
      <c r="K69" s="748">
        <f>Financials!K198</f>
        <v>2.5557004294098262</v>
      </c>
      <c r="L69" s="748">
        <f>Financials!L198</f>
        <v>2.7204433065619193</v>
      </c>
      <c r="M69" s="748">
        <f>Financials!M198</f>
        <v>3.8264277071521948</v>
      </c>
      <c r="N69" s="748">
        <f>Financials!N198</f>
        <v>6.5665371315019545</v>
      </c>
      <c r="O69" s="748">
        <f>Financials!O198</f>
        <v>3.8805062835449671</v>
      </c>
      <c r="P69" s="748">
        <f>Financials!P198</f>
        <v>5.5268325137714962</v>
      </c>
      <c r="Q69" s="748">
        <f>Financials!Q198</f>
        <v>5.5550570369770993</v>
      </c>
      <c r="R69" s="748">
        <f>Financials!R198</f>
        <v>5.6665044111822462</v>
      </c>
      <c r="S69" s="748">
        <f>Financials!S198</f>
        <v>3.8574577078865859</v>
      </c>
      <c r="T69" s="748">
        <f>Financials!T198</f>
        <v>4.360971059591078</v>
      </c>
      <c r="U69" s="748">
        <f>Financials!U198</f>
        <v>3.4443327824097074</v>
      </c>
      <c r="V69" s="748">
        <f>Financials!V198</f>
        <v>4.1660136721731158</v>
      </c>
      <c r="W69" s="748">
        <f>Financials!W198</f>
        <v>3.9676723156232576</v>
      </c>
      <c r="X69" s="748">
        <f>Financials!X198</f>
        <v>6.2029515580825159</v>
      </c>
      <c r="Y69" s="749">
        <f>Financials!Y198</f>
        <v>6.6143822163239463</v>
      </c>
      <c r="Z69" s="749">
        <f>Financials!Z198</f>
        <v>5.2835913038246778</v>
      </c>
      <c r="AB69" s="786" t="s">
        <v>365</v>
      </c>
      <c r="AC69" s="789" t="s">
        <v>649</v>
      </c>
      <c r="AD69" s="790">
        <f>Bull!Y203</f>
        <v>83</v>
      </c>
      <c r="AE69" s="55">
        <f>Base!Y203</f>
        <v>65</v>
      </c>
      <c r="AF69" s="1122">
        <f>Bear!Y203</f>
        <v>45</v>
      </c>
    </row>
    <row r="70" spans="1:35">
      <c r="A70" s="241" t="str">
        <f>Financials!A199</f>
        <v>FCF Yield</v>
      </c>
      <c r="B70" s="750"/>
      <c r="C70" s="750"/>
      <c r="D70" s="750"/>
      <c r="E70" s="750"/>
      <c r="F70" s="750"/>
      <c r="G70" s="750"/>
      <c r="H70" s="750"/>
      <c r="I70" s="750"/>
      <c r="J70" s="750"/>
      <c r="K70" s="750">
        <f>Financials!K199</f>
        <v>-1.3519197260109634E-3</v>
      </c>
      <c r="L70" s="750">
        <f>Financials!L199</f>
        <v>-4.0963136492220623E-2</v>
      </c>
      <c r="M70" s="750">
        <f>Financials!M199</f>
        <v>-0.10932503264796224</v>
      </c>
      <c r="N70" s="750">
        <f>Financials!N199</f>
        <v>-6.7958325305567308E-2</v>
      </c>
      <c r="O70" s="750">
        <f>Financials!O199</f>
        <v>-0.30371274644094493</v>
      </c>
      <c r="P70" s="750">
        <f>Financials!P199</f>
        <v>-1.1719707228269675E-2</v>
      </c>
      <c r="Q70" s="750">
        <f>Financials!Q199</f>
        <v>-9.6904546734552406E-3</v>
      </c>
      <c r="R70" s="750">
        <f>Financials!R199</f>
        <v>6.6869392651781592E-3</v>
      </c>
      <c r="S70" s="750">
        <f>Financials!S199</f>
        <v>-0.29011528525109648</v>
      </c>
      <c r="T70" s="750">
        <f>Financials!T199</f>
        <v>0.111287931740727</v>
      </c>
      <c r="U70" s="750">
        <f>Financials!U199</f>
        <v>-0.15338698447378291</v>
      </c>
      <c r="V70" s="750">
        <f>Financials!V199</f>
        <v>9.94822916794319E-2</v>
      </c>
      <c r="W70" s="750">
        <f>Financials!W199</f>
        <v>7.6500337466749613E-2</v>
      </c>
      <c r="X70" s="750">
        <f>Financials!X199</f>
        <v>3.1254879658948208E-2</v>
      </c>
      <c r="Y70" s="751">
        <f>Financials!Y199</f>
        <v>-7.4440406020212416E-2</v>
      </c>
      <c r="Z70" s="751">
        <f>Financials!Z199</f>
        <v>2.6734462962954893E-2</v>
      </c>
      <c r="AB70" s="773" t="s">
        <v>212</v>
      </c>
      <c r="AC70" s="791" t="s">
        <v>366</v>
      </c>
      <c r="AD70" s="740">
        <f>+AD69/Index!$H$36-1</f>
        <v>0.3548808357819131</v>
      </c>
      <c r="AE70" s="632">
        <f>+AE69/Index!$H$36-1</f>
        <v>6.1051256937642906E-2</v>
      </c>
      <c r="AF70" s="1109">
        <f>+AF69/Index!$H$36-1</f>
        <v>-0.26542605288932419</v>
      </c>
      <c r="AG70" s="1442"/>
    </row>
    <row r="71" spans="1:35">
      <c r="A71" s="241" t="str">
        <f>Financials!A200</f>
        <v>Dividend Yield</v>
      </c>
      <c r="B71" s="750"/>
      <c r="C71" s="750"/>
      <c r="D71" s="750">
        <f>Financials!D200</f>
        <v>3.6390892160783915E-2</v>
      </c>
      <c r="E71" s="750">
        <f>Financials!E200</f>
        <v>2.7982641302202658E-2</v>
      </c>
      <c r="F71" s="750">
        <f>Financials!F200</f>
        <v>2.4307993695281919E-2</v>
      </c>
      <c r="G71" s="750">
        <f>Financials!G200</f>
        <v>1.6608523906876494E-2</v>
      </c>
      <c r="H71" s="750">
        <f>Financials!H200</f>
        <v>8.1028488489033688E-3</v>
      </c>
      <c r="I71" s="750">
        <f>Financials!I200</f>
        <v>0</v>
      </c>
      <c r="J71" s="750">
        <f>Financials!J200</f>
        <v>7.5889507605277342E-3</v>
      </c>
      <c r="K71" s="750">
        <f>Financials!K200</f>
        <v>3.358742141113108E-2</v>
      </c>
      <c r="L71" s="750">
        <f>Financials!L200</f>
        <v>1.505873801665881E-2</v>
      </c>
      <c r="M71" s="750">
        <f>Financials!M200</f>
        <v>0</v>
      </c>
      <c r="N71" s="750">
        <f>Financials!N200</f>
        <v>1.226012785575149E-2</v>
      </c>
      <c r="O71" s="750">
        <f>Financials!O200</f>
        <v>0</v>
      </c>
      <c r="P71" s="750">
        <f>Financials!P200</f>
        <v>8.3626578885023506E-3</v>
      </c>
      <c r="Q71" s="750">
        <f>Financials!Q200</f>
        <v>1.3025934918023325E-2</v>
      </c>
      <c r="R71" s="750">
        <f>Financials!R200</f>
        <v>1.3419767772082538E-2</v>
      </c>
      <c r="S71" s="750">
        <f>Financials!S200</f>
        <v>1.684904449925528E-2</v>
      </c>
      <c r="T71" s="750">
        <f>Financials!T200</f>
        <v>0</v>
      </c>
      <c r="U71" s="750">
        <f>Financials!U200</f>
        <v>0</v>
      </c>
      <c r="V71" s="750">
        <f>Financials!V200</f>
        <v>0</v>
      </c>
      <c r="W71" s="750">
        <f>Financials!W200</f>
        <v>0</v>
      </c>
      <c r="X71" s="750">
        <f>Financials!X200</f>
        <v>0</v>
      </c>
      <c r="Y71" s="751">
        <f>Financials!Y200</f>
        <v>1.9588979087425816E-2</v>
      </c>
      <c r="Z71" s="751">
        <f>Financials!Z200</f>
        <v>0</v>
      </c>
      <c r="AD71" s="2004">
        <f>AD69/105-1</f>
        <v>-0.20952380952380956</v>
      </c>
      <c r="AE71" s="2004">
        <f>AE69/90-1</f>
        <v>-0.27777777777777779</v>
      </c>
      <c r="AF71" s="2004">
        <f>AF69/68-1</f>
        <v>-0.33823529411764708</v>
      </c>
    </row>
    <row r="72" spans="1:35">
      <c r="A72" s="241"/>
      <c r="B72" s="750"/>
      <c r="C72" s="750"/>
      <c r="D72" s="750"/>
      <c r="E72" s="750"/>
      <c r="F72" s="750"/>
      <c r="G72" s="750"/>
      <c r="H72" s="750"/>
      <c r="I72" s="750"/>
      <c r="J72" s="750"/>
      <c r="K72" s="750"/>
      <c r="L72" s="750"/>
      <c r="M72" s="750"/>
      <c r="N72" s="750"/>
      <c r="O72" s="750"/>
      <c r="P72" s="750"/>
      <c r="Q72" s="750"/>
      <c r="R72" s="750"/>
      <c r="S72" s="750"/>
      <c r="T72" s="751"/>
      <c r="U72" s="751"/>
      <c r="V72" s="751"/>
      <c r="W72" s="751"/>
      <c r="X72" s="751"/>
      <c r="Y72" s="751"/>
      <c r="Z72" s="751"/>
    </row>
    <row r="73" spans="1:35">
      <c r="A73" s="241"/>
      <c r="B73" s="752"/>
      <c r="C73" s="752"/>
      <c r="D73" s="752"/>
      <c r="E73" s="752"/>
      <c r="F73" s="752"/>
      <c r="G73" s="752"/>
      <c r="H73" s="752"/>
      <c r="I73" s="752"/>
      <c r="J73" s="752"/>
      <c r="K73" s="752"/>
      <c r="L73" s="752"/>
      <c r="M73" s="752"/>
      <c r="N73" s="752"/>
      <c r="O73" s="752"/>
      <c r="P73" s="752"/>
      <c r="Q73" s="752"/>
      <c r="R73" s="752"/>
      <c r="S73" s="752"/>
      <c r="T73" s="753"/>
      <c r="U73" s="753"/>
      <c r="V73" s="753"/>
      <c r="W73" s="753"/>
      <c r="X73" s="753"/>
      <c r="Y73" s="753"/>
      <c r="Z73" s="753"/>
      <c r="AB73" s="241"/>
      <c r="AC73" s="241"/>
      <c r="AD73" s="241"/>
      <c r="AE73" s="241"/>
      <c r="AF73" s="241"/>
      <c r="AG73" s="241"/>
      <c r="AH73" s="241"/>
    </row>
    <row r="74" spans="1:35">
      <c r="A74" s="241" t="s">
        <v>286</v>
      </c>
      <c r="B74" s="752"/>
      <c r="C74" s="752"/>
      <c r="D74" s="752"/>
      <c r="E74" s="752"/>
      <c r="F74" s="752"/>
      <c r="G74" s="752"/>
      <c r="H74" s="752"/>
      <c r="I74" s="752"/>
      <c r="J74" s="752"/>
      <c r="K74" s="752"/>
      <c r="L74" s="752"/>
      <c r="M74" s="752"/>
      <c r="N74" s="752"/>
      <c r="O74" s="752"/>
      <c r="P74" s="752"/>
      <c r="Q74" s="752"/>
      <c r="R74" s="752"/>
      <c r="S74" s="752"/>
      <c r="Y74" s="754">
        <f>AE69</f>
        <v>65</v>
      </c>
      <c r="Z74" s="753"/>
      <c r="AB74" s="241"/>
      <c r="AC74" s="241"/>
      <c r="AD74" s="241"/>
      <c r="AE74" s="241"/>
      <c r="AF74" s="241"/>
      <c r="AG74" s="241"/>
      <c r="AH74" s="241"/>
    </row>
    <row r="75" spans="1:35">
      <c r="A75" s="755" t="s">
        <v>90</v>
      </c>
      <c r="B75" s="756">
        <f>Financials!B210</f>
        <v>0.2775542554285681</v>
      </c>
      <c r="C75" s="756">
        <f>Financials!C210</f>
        <v>-0.29711411476336475</v>
      </c>
      <c r="D75" s="756">
        <f>Financials!D210</f>
        <v>2.7980800030827844</v>
      </c>
      <c r="E75" s="756">
        <f>Financials!E210</f>
        <v>5.3370702883658172</v>
      </c>
      <c r="F75" s="756">
        <f>Financials!F210</f>
        <v>7.094653524705409</v>
      </c>
      <c r="G75" s="756">
        <f>Financials!G210</f>
        <v>10.34062409733988</v>
      </c>
      <c r="H75" s="756">
        <f>Financials!H210</f>
        <v>7.2408363312422974</v>
      </c>
      <c r="I75" s="756">
        <f>Financials!I210</f>
        <v>4.2169326216224325</v>
      </c>
      <c r="J75" s="756">
        <f>Financials!J210</f>
        <v>6.5996244886206892</v>
      </c>
      <c r="K75" s="756">
        <f>Financials!K210</f>
        <v>8.5961731610574876</v>
      </c>
      <c r="L75" s="756">
        <f>Financials!L210</f>
        <v>10.549121090158556</v>
      </c>
      <c r="M75" s="756">
        <f>Financials!M210</f>
        <v>11.907631221374759</v>
      </c>
      <c r="N75" s="756">
        <f>Financials!N210</f>
        <v>16.023928225623699</v>
      </c>
      <c r="O75" s="756">
        <f>Financials!O210</f>
        <v>12.138450505747752</v>
      </c>
      <c r="P75" s="756">
        <f>Financials!P210</f>
        <v>14.081421447050708</v>
      </c>
      <c r="Q75" s="756">
        <f>Financials!Q210</f>
        <v>11.893029574968217</v>
      </c>
      <c r="R75" s="756">
        <f>Financials!R210</f>
        <v>11.018932474555553</v>
      </c>
      <c r="S75" s="756">
        <f>Financials!S210</f>
        <v>11.039990218960767</v>
      </c>
      <c r="T75" s="756">
        <f>Financials!T210</f>
        <v>8.9728557104049234</v>
      </c>
      <c r="U75" s="756">
        <f>Financials!U210</f>
        <v>40.003953388987085</v>
      </c>
      <c r="V75" s="756">
        <f>Financials!V210</f>
        <v>9.7019780496174679</v>
      </c>
      <c r="W75" s="756">
        <f>Financials!W210</f>
        <v>6.5428546368487952</v>
      </c>
      <c r="X75" s="756">
        <f>Financials!X210</f>
        <v>7.2163012735314958</v>
      </c>
      <c r="Y75" s="757">
        <f ca="1">Financials!Y210</f>
        <v>5.9753434980205542</v>
      </c>
      <c r="Z75" s="757">
        <f ca="1">Financials!Z210</f>
        <v>5.4284913237048711</v>
      </c>
      <c r="AB75" s="241"/>
      <c r="AC75" s="241"/>
      <c r="AD75" s="241"/>
      <c r="AE75" s="241"/>
      <c r="AF75" s="241"/>
      <c r="AG75" s="241"/>
      <c r="AH75" s="241"/>
    </row>
    <row r="76" spans="1:35">
      <c r="A76" s="165" t="s">
        <v>492</v>
      </c>
      <c r="B76" s="758">
        <f>Financials!B212</f>
        <v>0</v>
      </c>
      <c r="C76" s="758">
        <f>Financials!C212</f>
        <v>0</v>
      </c>
      <c r="D76" s="758">
        <f>Financials!D212</f>
        <v>9.9894496987857764</v>
      </c>
      <c r="E76" s="758">
        <f>Financials!E212</f>
        <v>18.090693297285412</v>
      </c>
      <c r="F76" s="758">
        <f>Financials!F212</f>
        <v>15.217784851046884</v>
      </c>
      <c r="G76" s="758">
        <f>Financials!G212</f>
        <v>45.440527147274295</v>
      </c>
      <c r="H76" s="758">
        <f>Financials!H212</f>
        <v>17.499480598200385</v>
      </c>
      <c r="I76" s="758">
        <f>Financials!I212</f>
        <v>23.226768339558468</v>
      </c>
      <c r="J76" s="758">
        <f>Financials!J212</f>
        <v>53.133438716891156</v>
      </c>
      <c r="K76" s="758">
        <f>Financials!K212</f>
        <v>48.423683758083961</v>
      </c>
      <c r="L76" s="758">
        <f>Financials!L212</f>
        <v>38.849859762263563</v>
      </c>
      <c r="M76" s="758">
        <f>Financials!M212</f>
        <v>47.189911748257529</v>
      </c>
      <c r="N76" s="758">
        <f>Financials!N212</f>
        <v>41.186414943620726</v>
      </c>
      <c r="O76" s="758">
        <f>Financials!O212</f>
        <v>51.223479223479202</v>
      </c>
      <c r="P76" s="758">
        <f>Financials!P212</f>
        <v>51.084456271160164</v>
      </c>
      <c r="Q76" s="758">
        <f>Financials!Q212</f>
        <v>49.674269823938886</v>
      </c>
      <c r="R76" s="758">
        <f>Financials!R212</f>
        <v>49.205012717204461</v>
      </c>
      <c r="S76" s="758">
        <f>Financials!S212</f>
        <v>44.836932063156418</v>
      </c>
      <c r="T76" s="758">
        <f>Financials!T212</f>
        <v>54.659458094697506</v>
      </c>
      <c r="U76" s="758" t="str">
        <f>Financials!U212</f>
        <v>NM</v>
      </c>
      <c r="V76" s="758">
        <f>Financials!V212</f>
        <v>65.230002029158314</v>
      </c>
      <c r="W76" s="758">
        <f>Financials!W212</f>
        <v>18.187354080920425</v>
      </c>
      <c r="X76" s="758">
        <f>Financials!X212</f>
        <v>18.620891961564169</v>
      </c>
      <c r="Y76" s="759">
        <f ca="1">Financials!Y212</f>
        <v>24.947121067205149</v>
      </c>
      <c r="Z76" s="759">
        <f ca="1">Financials!Z212</f>
        <v>16.621936767539047</v>
      </c>
      <c r="AB76" s="241"/>
      <c r="AC76" s="241"/>
      <c r="AD76" s="241"/>
      <c r="AE76" s="241"/>
      <c r="AF76" s="241"/>
      <c r="AG76" s="241"/>
      <c r="AH76" s="241"/>
    </row>
    <row r="77" spans="1:35">
      <c r="A77" s="241" t="s">
        <v>92</v>
      </c>
      <c r="B77" s="748">
        <f>Financials!B213</f>
        <v>0</v>
      </c>
      <c r="C77" s="748">
        <f>Financials!C213</f>
        <v>0</v>
      </c>
      <c r="D77" s="748">
        <f>Financials!D213</f>
        <v>1.0562565390594314</v>
      </c>
      <c r="E77" s="748">
        <f>Financials!E213</f>
        <v>1.9622642568399018</v>
      </c>
      <c r="F77" s="748">
        <f>Financials!F213</f>
        <v>2.4236383860123181</v>
      </c>
      <c r="G77" s="748">
        <f>Financials!G213</f>
        <v>3.8041867818993813</v>
      </c>
      <c r="H77" s="748">
        <f>Financials!H213</f>
        <v>2.793131437275874</v>
      </c>
      <c r="I77" s="748">
        <f>Financials!I213</f>
        <v>0.99801439472071241</v>
      </c>
      <c r="J77" s="748">
        <f>Financials!J213</f>
        <v>1.8952447389438658</v>
      </c>
      <c r="K77" s="748">
        <f>Financials!K213</f>
        <v>2.5557004294098262</v>
      </c>
      <c r="L77" s="748">
        <f>Financials!L213</f>
        <v>2.7204433065619193</v>
      </c>
      <c r="M77" s="748">
        <f>Financials!M213</f>
        <v>3.8264277071521948</v>
      </c>
      <c r="N77" s="748">
        <f>Financials!N213</f>
        <v>6.5665371315019545</v>
      </c>
      <c r="O77" s="748">
        <f>Financials!O213</f>
        <v>3.8805062835449671</v>
      </c>
      <c r="P77" s="748">
        <f>Financials!P213</f>
        <v>5.5268325137714962</v>
      </c>
      <c r="Q77" s="748">
        <f>Financials!Q213</f>
        <v>5.5550570369770993</v>
      </c>
      <c r="R77" s="748">
        <f>Financials!R213</f>
        <v>5.6665044111822462</v>
      </c>
      <c r="S77" s="748">
        <f>Financials!S213</f>
        <v>3.8574577078865859</v>
      </c>
      <c r="T77" s="748">
        <f>Financials!T213</f>
        <v>4.360971059591078</v>
      </c>
      <c r="U77" s="748">
        <f>Financials!U213</f>
        <v>3.4443327824097074</v>
      </c>
      <c r="V77" s="748">
        <f>Financials!V213</f>
        <v>4.1660136721731158</v>
      </c>
      <c r="W77" s="748">
        <f>Financials!W213</f>
        <v>3.9676723156232576</v>
      </c>
      <c r="X77" s="748">
        <f>Financials!X213</f>
        <v>6.2029515580825159</v>
      </c>
      <c r="Y77" s="749">
        <f ca="1">Financials!Y213</f>
        <v>4.8587528523437413</v>
      </c>
      <c r="Z77" s="749">
        <f ca="1">Financials!Z213</f>
        <v>3.8811885189701352</v>
      </c>
      <c r="AB77" s="241"/>
      <c r="AC77" s="241"/>
      <c r="AD77" s="241"/>
      <c r="AE77" s="241"/>
      <c r="AF77" s="241"/>
      <c r="AG77" s="241"/>
      <c r="AH77" s="241"/>
    </row>
    <row r="78" spans="1:35">
      <c r="A78" s="241"/>
      <c r="B78" s="752"/>
      <c r="C78" s="752"/>
      <c r="D78" s="752"/>
      <c r="E78" s="752"/>
      <c r="F78" s="752"/>
      <c r="G78" s="752"/>
      <c r="H78" s="752"/>
      <c r="I78" s="752"/>
      <c r="J78" s="752"/>
      <c r="K78" s="752"/>
      <c r="L78" s="752"/>
      <c r="M78" s="752"/>
      <c r="N78" s="752"/>
      <c r="O78" s="752"/>
      <c r="P78" s="752"/>
      <c r="Q78" s="241"/>
      <c r="R78" s="241"/>
      <c r="S78" s="241"/>
      <c r="T78" s="241"/>
      <c r="U78" s="241"/>
      <c r="V78" s="241"/>
      <c r="W78" s="241"/>
      <c r="X78" s="241"/>
    </row>
    <row r="79" spans="1:35">
      <c r="A79" s="24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</row>
    <row r="80" spans="1:35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</row>
    <row r="81" spans="1:34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</row>
    <row r="82" spans="1:34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760"/>
      <c r="R82" s="760"/>
      <c r="S82" s="760"/>
      <c r="T82" s="760"/>
      <c r="U82" s="760"/>
      <c r="V82" s="760"/>
      <c r="W82" s="760"/>
      <c r="X82" s="760"/>
      <c r="Y82" s="760"/>
      <c r="Z82" s="760"/>
      <c r="AA82" s="760"/>
      <c r="AB82" s="760"/>
      <c r="AC82" s="760"/>
      <c r="AD82" s="760"/>
      <c r="AE82" s="760"/>
      <c r="AF82" s="760"/>
      <c r="AG82" s="241"/>
      <c r="AH82" s="241"/>
    </row>
    <row r="83" spans="1:34">
      <c r="A83" s="30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83" s="761"/>
      <c r="C83" s="761"/>
      <c r="D83" s="761"/>
      <c r="E83" s="761"/>
      <c r="F83" s="761"/>
      <c r="G83" s="761"/>
      <c r="H83" s="761"/>
      <c r="I83" s="761"/>
      <c r="J83" s="761"/>
      <c r="K83" s="761"/>
      <c r="L83" s="761"/>
      <c r="M83" s="761"/>
      <c r="N83" s="761"/>
      <c r="O83" s="761"/>
      <c r="P83" s="76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787"/>
      <c r="AH83" s="241"/>
    </row>
    <row r="84" spans="1:34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1"/>
      <c r="U84" s="241"/>
      <c r="V84" s="241"/>
      <c r="W84" s="241"/>
      <c r="X84" s="241"/>
      <c r="AG84" s="2030" t="s">
        <v>281</v>
      </c>
    </row>
    <row r="85" spans="1:34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</row>
  </sheetData>
  <mergeCells count="1">
    <mergeCell ref="AG5:AH5"/>
  </mergeCells>
  <phoneticPr fontId="18" type="noConversion"/>
  <pageMargins left="0.3" right="0.25" top="0.5" bottom="0.5" header="0.5" footer="0.5"/>
  <pageSetup scale="40" orientation="portrait" r:id="rId1"/>
  <headerFooter alignWithMargins="0"/>
  <ignoredErrors>
    <ignoredError sqref="AE1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rgb="FF00B050"/>
    <pageSetUpPr fitToPage="1"/>
  </sheetPr>
  <dimension ref="A1:BA73"/>
  <sheetViews>
    <sheetView showGridLines="0" zoomScaleNormal="100" workbookViewId="0">
      <pane xSplit="5" ySplit="4" topLeftCell="G27" activePane="bottomRight" state="frozen"/>
      <selection pane="topRight" activeCell="F1" sqref="F1"/>
      <selection pane="bottomLeft" activeCell="A5" sqref="A5"/>
      <selection pane="bottomRight" activeCell="L9" sqref="L9"/>
    </sheetView>
  </sheetViews>
  <sheetFormatPr baseColWidth="10" defaultColWidth="9.42578125" defaultRowHeight="11.25" outlineLevelRow="1" outlineLevelCol="1"/>
  <cols>
    <col min="1" max="1" width="22.5703125" style="9" customWidth="1"/>
    <col min="2" max="4" width="6.5703125" style="9" hidden="1" customWidth="1" outlineLevel="1"/>
    <col min="5" max="5" width="6.5703125" style="9" hidden="1" customWidth="1" outlineLevel="1" collapsed="1"/>
    <col min="6" max="6" width="6.5703125" style="9" hidden="1" customWidth="1" outlineLevel="1"/>
    <col min="7" max="7" width="6.5703125" style="9" customWidth="1" collapsed="1"/>
    <col min="8" max="8" width="8.28515625" style="9" bestFit="1" customWidth="1"/>
    <col min="9" max="10" width="6.5703125" style="9" customWidth="1"/>
    <col min="11" max="11" width="7.42578125" style="9" bestFit="1" customWidth="1"/>
    <col min="12" max="13" width="6.5703125" style="9" customWidth="1"/>
    <col min="14" max="14" width="7.28515625" style="9" bestFit="1" customWidth="1"/>
    <col min="15" max="15" width="4.5703125" style="9" customWidth="1"/>
    <col min="16" max="16" width="22.5703125" style="9" customWidth="1"/>
    <col min="17" max="19" width="6.5703125" style="9" hidden="1" customWidth="1" outlineLevel="1"/>
    <col min="20" max="21" width="6.5703125" style="9" hidden="1" customWidth="1" outlineLevel="1" collapsed="1"/>
    <col min="22" max="22" width="7.42578125" style="9" bestFit="1" customWidth="1" collapsed="1"/>
    <col min="23" max="25" width="7.7109375" style="9" bestFit="1" customWidth="1"/>
    <col min="26" max="29" width="6.5703125" style="9" customWidth="1"/>
    <col min="30" max="30" width="9.5703125" style="9" customWidth="1"/>
    <col min="31" max="31" width="6.42578125" style="9" bestFit="1" customWidth="1"/>
    <col min="32" max="32" width="22.5703125" style="9" customWidth="1"/>
    <col min="33" max="33" width="9.42578125" style="9" customWidth="1"/>
    <col min="34" max="38" width="6.5703125" style="9" hidden="1" customWidth="1" outlineLevel="1"/>
    <col min="39" max="40" width="7.42578125" style="9" customWidth="1" collapsed="1"/>
    <col min="41" max="43" width="6.5703125" style="9" customWidth="1"/>
    <col min="44" max="44" width="7.28515625" style="9" customWidth="1"/>
    <col min="45" max="46" width="6.5703125" style="9" customWidth="1"/>
    <col min="47" max="47" width="4.5703125" style="9" customWidth="1"/>
    <col min="48" max="48" width="17.5703125" style="9" customWidth="1"/>
    <col min="49" max="49" width="9.42578125" style="9" customWidth="1"/>
    <col min="50" max="16384" width="9.42578125" style="9"/>
  </cols>
  <sheetData>
    <row r="1" spans="1:53">
      <c r="A1" s="130" t="str">
        <f>Index!$G$12</f>
        <v>Alsea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409"/>
    </row>
    <row r="2" spans="1:53">
      <c r="A2" s="1768" t="s">
        <v>408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31" t="s">
        <v>317</v>
      </c>
    </row>
    <row r="3" spans="1:53">
      <c r="AD3" s="62"/>
    </row>
    <row r="4" spans="1:53">
      <c r="A4" s="130" t="s">
        <v>409</v>
      </c>
      <c r="B4" s="499">
        <f>Financials!O4</f>
        <v>2014</v>
      </c>
      <c r="C4" s="499">
        <f>Financials!P4</f>
        <v>2015</v>
      </c>
      <c r="D4" s="499">
        <f>Financials!Q4</f>
        <v>2016</v>
      </c>
      <c r="E4" s="499">
        <f>Financials!R4</f>
        <v>2017</v>
      </c>
      <c r="F4" s="499">
        <f>Financials!S4</f>
        <v>2018</v>
      </c>
      <c r="G4" s="131">
        <f>Financials!T4</f>
        <v>2019</v>
      </c>
      <c r="H4" s="131">
        <f>Financials!U4</f>
        <v>2020</v>
      </c>
      <c r="I4" s="131">
        <f>Financials!V4</f>
        <v>2021</v>
      </c>
      <c r="J4" s="131">
        <f>Financials!W4</f>
        <v>2022</v>
      </c>
      <c r="K4" s="131">
        <f>Financials!X4</f>
        <v>2023</v>
      </c>
      <c r="L4" s="1983">
        <f>Financials!Y4</f>
        <v>2024</v>
      </c>
      <c r="M4" s="1983">
        <f>Financials!Z4</f>
        <v>2025</v>
      </c>
      <c r="N4" s="1983">
        <f>Financials!AA4</f>
        <v>2026</v>
      </c>
      <c r="P4" s="130" t="s">
        <v>410</v>
      </c>
      <c r="Q4" s="499">
        <f>Financials!O4</f>
        <v>2014</v>
      </c>
      <c r="R4" s="499">
        <f>Financials!P4</f>
        <v>2015</v>
      </c>
      <c r="S4" s="499">
        <f>Financials!Q4</f>
        <v>2016</v>
      </c>
      <c r="T4" s="499">
        <f>Financials!R4</f>
        <v>2017</v>
      </c>
      <c r="U4" s="499">
        <f>Financials!S4</f>
        <v>2018</v>
      </c>
      <c r="V4" s="131">
        <f>Financials!T4</f>
        <v>2019</v>
      </c>
      <c r="W4" s="131">
        <f>Financials!U4</f>
        <v>2020</v>
      </c>
      <c r="X4" s="131">
        <f>Financials!V4</f>
        <v>2021</v>
      </c>
      <c r="Y4" s="131">
        <f>Financials!W4</f>
        <v>2022</v>
      </c>
      <c r="Z4" s="131">
        <f>Financials!X4</f>
        <v>2023</v>
      </c>
      <c r="AA4" s="1983">
        <f>Financials!Y4</f>
        <v>2024</v>
      </c>
      <c r="AB4" s="1983">
        <f>Financials!Z4</f>
        <v>2025</v>
      </c>
      <c r="AC4" s="1983">
        <f>Financials!AA4</f>
        <v>2026</v>
      </c>
      <c r="AD4" s="270"/>
      <c r="AF4" s="130" t="s">
        <v>411</v>
      </c>
      <c r="AG4" s="131"/>
      <c r="AH4" s="499">
        <f>Financials!O4</f>
        <v>2014</v>
      </c>
      <c r="AI4" s="499">
        <f>Financials!P4</f>
        <v>2015</v>
      </c>
      <c r="AJ4" s="499">
        <f>Financials!Q4</f>
        <v>2016</v>
      </c>
      <c r="AK4" s="499">
        <f>Financials!R4</f>
        <v>2017</v>
      </c>
      <c r="AL4" s="499">
        <f>Financials!S4</f>
        <v>2018</v>
      </c>
      <c r="AM4" s="131">
        <f>Financials!T4</f>
        <v>2019</v>
      </c>
      <c r="AN4" s="131">
        <f>Financials!U4</f>
        <v>2020</v>
      </c>
      <c r="AO4" s="131">
        <f>Financials!V4</f>
        <v>2021</v>
      </c>
      <c r="AP4" s="131">
        <f>Financials!W4</f>
        <v>2022</v>
      </c>
      <c r="AQ4" s="131">
        <f>Financials!X4</f>
        <v>2023</v>
      </c>
      <c r="AR4" s="1983">
        <f>Financials!Y4</f>
        <v>2024</v>
      </c>
      <c r="AS4" s="1983">
        <f>Financials!Z4</f>
        <v>2025</v>
      </c>
      <c r="AT4" s="1983">
        <f>Financials!AA4</f>
        <v>2026</v>
      </c>
    </row>
    <row r="5" spans="1:53" hidden="1" outlineLevel="1">
      <c r="A5" s="9" t="str">
        <f>Index!L36</f>
        <v>ALSEA-MX</v>
      </c>
      <c r="B5" s="40" t="s">
        <v>412</v>
      </c>
      <c r="C5" s="40" t="s">
        <v>413</v>
      </c>
      <c r="D5" s="40" t="s">
        <v>428</v>
      </c>
      <c r="E5" s="40" t="s">
        <v>429</v>
      </c>
      <c r="F5" s="40" t="s">
        <v>468</v>
      </c>
      <c r="G5" s="40" t="s">
        <v>469</v>
      </c>
      <c r="H5" s="40" t="s">
        <v>470</v>
      </c>
      <c r="I5" s="40" t="s">
        <v>471</v>
      </c>
      <c r="J5" s="40" t="s">
        <v>472</v>
      </c>
      <c r="K5" s="40" t="s">
        <v>473</v>
      </c>
      <c r="L5" s="142" t="s">
        <v>474</v>
      </c>
      <c r="M5" s="142" t="s">
        <v>475</v>
      </c>
      <c r="N5" s="142" t="s">
        <v>1484</v>
      </c>
      <c r="U5" s="96"/>
      <c r="V5" s="96"/>
      <c r="W5" s="96"/>
      <c r="AD5" s="440"/>
      <c r="AF5" s="96" t="s">
        <v>984</v>
      </c>
      <c r="AG5" s="40"/>
      <c r="AH5" s="40" t="str">
        <f>B5</f>
        <v>FY2014</v>
      </c>
      <c r="AI5" s="40" t="str">
        <f>C5</f>
        <v>FY2015</v>
      </c>
      <c r="AJ5" s="40" t="str">
        <f>D5</f>
        <v>FY2016</v>
      </c>
      <c r="AK5" s="40" t="s">
        <v>1352</v>
      </c>
      <c r="AL5" s="40" t="s">
        <v>1353</v>
      </c>
      <c r="AM5" s="40" t="s">
        <v>1354</v>
      </c>
      <c r="AN5" s="40" t="s">
        <v>1355</v>
      </c>
      <c r="AO5" s="40" t="s">
        <v>1356</v>
      </c>
      <c r="AP5" s="40" t="s">
        <v>1418</v>
      </c>
      <c r="AQ5" s="40" t="s">
        <v>1468</v>
      </c>
      <c r="AR5" s="142" t="s">
        <v>1469</v>
      </c>
      <c r="AS5" s="142" t="s">
        <v>1470</v>
      </c>
      <c r="AT5" s="142" t="s">
        <v>1485</v>
      </c>
    </row>
    <row r="6" spans="1:53" collapsed="1">
      <c r="U6" s="111"/>
      <c r="V6" s="111"/>
      <c r="W6" s="111"/>
      <c r="X6" s="59"/>
      <c r="Y6" s="59"/>
      <c r="Z6" s="59"/>
      <c r="AD6" s="440"/>
      <c r="AL6" s="1505"/>
      <c r="AM6" s="1505"/>
      <c r="AN6" s="1505"/>
      <c r="AO6" s="1505"/>
      <c r="AP6" s="1505"/>
      <c r="AQ6" s="1505"/>
    </row>
    <row r="7" spans="1:53">
      <c r="A7" s="132" t="s">
        <v>287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P7" s="1003" t="s">
        <v>287</v>
      </c>
      <c r="Q7" s="1008"/>
      <c r="R7" s="1008"/>
      <c r="S7" s="1008"/>
      <c r="T7" s="1008"/>
      <c r="U7" s="1105"/>
      <c r="V7" s="1105"/>
      <c r="W7" s="1105"/>
      <c r="X7" s="1008"/>
      <c r="Y7" s="1008"/>
      <c r="Z7" s="1008"/>
      <c r="AA7" s="1008"/>
      <c r="AB7" s="1008"/>
      <c r="AC7" s="1008"/>
      <c r="AD7" s="1988"/>
      <c r="AF7" s="132" t="s">
        <v>414</v>
      </c>
      <c r="AG7" s="133"/>
      <c r="AH7" s="133"/>
      <c r="AI7" s="133"/>
      <c r="AJ7" s="133"/>
      <c r="AK7" s="133"/>
      <c r="AO7" s="133"/>
      <c r="AP7" s="133"/>
      <c r="AQ7" s="133"/>
      <c r="AR7" s="133"/>
      <c r="AS7" s="133"/>
      <c r="AT7" s="133"/>
      <c r="BA7" s="498"/>
    </row>
    <row r="8" spans="1:53">
      <c r="A8" s="134" t="s">
        <v>199</v>
      </c>
      <c r="B8" s="135"/>
      <c r="C8" s="135"/>
      <c r="D8" s="135"/>
      <c r="E8" s="135"/>
      <c r="F8" s="136"/>
      <c r="G8" s="136"/>
      <c r="H8" s="136"/>
      <c r="I8" s="136"/>
      <c r="J8" s="136"/>
      <c r="K8" s="136"/>
      <c r="L8" s="136">
        <f ca="1">+Financials!Z203</f>
        <v>45</v>
      </c>
      <c r="M8" s="136"/>
      <c r="N8" s="136"/>
      <c r="P8" s="132" t="s">
        <v>767</v>
      </c>
      <c r="Q8" s="1986">
        <f>Financials!O25</f>
        <v>4.4999999999999998E-2</v>
      </c>
      <c r="R8" s="1986">
        <f>Financials!P25</f>
        <v>0.104</v>
      </c>
      <c r="S8" s="1986">
        <f>Financials!Q25</f>
        <v>8.8999999999999996E-2</v>
      </c>
      <c r="T8" s="1986">
        <f>Financials!R25</f>
        <v>6.6000000000000003E-2</v>
      </c>
      <c r="U8" s="931">
        <f>Financials!S25</f>
        <v>4.9000000000000002E-2</v>
      </c>
      <c r="V8" s="931">
        <f>Financials!T25</f>
        <v>5.0999999999999997E-2</v>
      </c>
      <c r="W8" s="931">
        <f>Financials!U25</f>
        <v>-0.23</v>
      </c>
      <c r="X8" s="931">
        <f>Financials!V25</f>
        <v>0.307</v>
      </c>
      <c r="Y8" s="931">
        <f>Financials!W25</f>
        <v>0.35870779740410264</v>
      </c>
      <c r="Z8" s="931">
        <f>Financials!X25</f>
        <v>0.18932600635373661</v>
      </c>
      <c r="AA8" s="932">
        <f>Financials!Y25</f>
        <v>9.4324838023244179E-2</v>
      </c>
      <c r="AB8" s="932">
        <f>Financials!Z25</f>
        <v>5.3256384283964037E-2</v>
      </c>
      <c r="AC8" s="932">
        <f>Financials!AA25</f>
        <v>4.5537668816271394E-2</v>
      </c>
      <c r="AD8" s="1989"/>
      <c r="AF8" s="134" t="s">
        <v>199</v>
      </c>
      <c r="AG8" s="135"/>
      <c r="AH8" s="135"/>
      <c r="AI8" s="135"/>
      <c r="AJ8" s="135"/>
      <c r="AK8" s="135"/>
      <c r="AL8" s="135"/>
      <c r="AM8" s="136"/>
      <c r="AN8" s="136"/>
      <c r="AO8" s="139"/>
      <c r="AP8" s="139"/>
      <c r="AQ8" s="139"/>
      <c r="AR8" s="136">
        <f>Inputs!BO338</f>
        <v>65</v>
      </c>
      <c r="AS8" s="136"/>
      <c r="AT8" s="136"/>
      <c r="AV8" s="37"/>
    </row>
    <row r="9" spans="1:53">
      <c r="A9" s="9" t="s">
        <v>337</v>
      </c>
      <c r="B9" s="92">
        <f>Financials!O36</f>
        <v>22800.255000000001</v>
      </c>
      <c r="C9" s="92">
        <f>Financials!P36</f>
        <v>32288.376</v>
      </c>
      <c r="D9" s="92">
        <f>Financials!Q36</f>
        <v>37701.866999999998</v>
      </c>
      <c r="E9" s="92">
        <f>Financials!R36</f>
        <v>42529.120999999999</v>
      </c>
      <c r="F9" s="92">
        <f>Financials!S36</f>
        <v>46156.591</v>
      </c>
      <c r="G9" s="92">
        <f>Financials!T36</f>
        <v>58154.618999999999</v>
      </c>
      <c r="H9" s="92">
        <f>Financials!U36</f>
        <v>38495.419000000002</v>
      </c>
      <c r="I9" s="92">
        <f>Financials!V36</f>
        <v>53379.468999999997</v>
      </c>
      <c r="J9" s="92">
        <f>Financials!W36</f>
        <v>68831.305000000008</v>
      </c>
      <c r="K9" s="92">
        <f>Financials!X36</f>
        <v>76231.047999999995</v>
      </c>
      <c r="L9" s="329">
        <f>Financials!Y36</f>
        <v>78549.033316147907</v>
      </c>
      <c r="M9" s="329">
        <f>Financials!Z36</f>
        <v>86000.984261954174</v>
      </c>
      <c r="N9" s="329">
        <f>Financials!AA36</f>
        <v>91862.025037079569</v>
      </c>
      <c r="P9" s="1009" t="s">
        <v>731</v>
      </c>
      <c r="Q9" s="1006"/>
      <c r="R9" s="1006"/>
      <c r="S9" s="1006"/>
      <c r="T9" s="1006">
        <f>Financials!R26</f>
        <v>3.1E-2</v>
      </c>
      <c r="U9" s="38">
        <f>Financials!S26</f>
        <v>0.04</v>
      </c>
      <c r="V9" s="38">
        <f>Financials!T26</f>
        <v>3.4000000000000002E-2</v>
      </c>
      <c r="W9" s="38">
        <f>Financials!U26</f>
        <v>-0.23</v>
      </c>
      <c r="X9" s="38">
        <f>Financials!V26</f>
        <v>0.34300000000000003</v>
      </c>
      <c r="Y9" s="38">
        <f>Financials!W26</f>
        <v>0.27128725947173421</v>
      </c>
      <c r="Z9" s="38">
        <f>Financials!X26</f>
        <v>0.15443653132781138</v>
      </c>
      <c r="AA9" s="45">
        <f>Financials!Y26</f>
        <v>6.5306215313657767E-2</v>
      </c>
      <c r="AB9" s="45">
        <f>Financials!Z26</f>
        <v>3.8466053076892298E-2</v>
      </c>
      <c r="AC9" s="45">
        <f>Financials!AA26</f>
        <v>3.7499827374370118E-2</v>
      </c>
      <c r="AD9" s="1989"/>
      <c r="AF9" s="13" t="s">
        <v>642</v>
      </c>
      <c r="AR9" s="1769">
        <f>Summary!AD69</f>
        <v>83</v>
      </c>
      <c r="AV9" s="254"/>
    </row>
    <row r="10" spans="1:53">
      <c r="A10" s="9" t="s">
        <v>1245</v>
      </c>
      <c r="B10" s="92">
        <f>Financials!O67</f>
        <v>2793.0920000000001</v>
      </c>
      <c r="C10" s="92">
        <f>Financials!P67</f>
        <v>4301.7290000000003</v>
      </c>
      <c r="D10" s="92">
        <f>Financials!Q67</f>
        <v>5155.2379999999994</v>
      </c>
      <c r="E10" s="92">
        <f>Financials!R67</f>
        <v>6466.2439999999997</v>
      </c>
      <c r="F10" s="92">
        <f>Financials!S67</f>
        <v>6408.3169999999991</v>
      </c>
      <c r="G10" s="92">
        <f>Financials!T67</f>
        <v>12617.558999999997</v>
      </c>
      <c r="H10" s="92">
        <f>Financials!U67</f>
        <v>6924.7359999999981</v>
      </c>
      <c r="I10" s="92">
        <f>Financials!V67</f>
        <v>12311.269</v>
      </c>
      <c r="J10" s="92">
        <f>Financials!W67</f>
        <v>14049.793999999998</v>
      </c>
      <c r="K10" s="92">
        <f>Financials!X67</f>
        <v>15960.388999999996</v>
      </c>
      <c r="L10" s="329">
        <f>Financials!Y67</f>
        <v>15784.508985242415</v>
      </c>
      <c r="M10" s="329">
        <f>Financials!Z67</f>
        <v>16697.98974466572</v>
      </c>
      <c r="N10" s="329">
        <f>Financials!AA67</f>
        <v>17835.232895881862</v>
      </c>
      <c r="P10" s="1009" t="s">
        <v>733</v>
      </c>
      <c r="Q10" s="1006"/>
      <c r="R10" s="1006"/>
      <c r="S10" s="1006"/>
      <c r="T10" s="1006">
        <f>Financials!R28</f>
        <v>0.19600000000000001</v>
      </c>
      <c r="U10" s="38">
        <f>Financials!S28</f>
        <v>0.115</v>
      </c>
      <c r="V10" s="38">
        <f>Financials!T28</f>
        <v>0.14599999999999999</v>
      </c>
      <c r="W10" s="38">
        <f>Financials!U28</f>
        <v>-0.20100000000000001</v>
      </c>
      <c r="X10" s="38">
        <f>Financials!V28</f>
        <v>0.63400000000000001</v>
      </c>
      <c r="Y10" s="38">
        <f>Financials!W28</f>
        <v>0.71179330784827166</v>
      </c>
      <c r="Z10" s="38">
        <f>Financials!X28</f>
        <v>0.43871130918072654</v>
      </c>
      <c r="AA10" s="45">
        <f>Financials!Y28</f>
        <v>0.39270172196184605</v>
      </c>
      <c r="AB10" s="45">
        <f>Financials!Z28</f>
        <v>0.18817245562685256</v>
      </c>
      <c r="AC10" s="45">
        <f>Financials!AA28</f>
        <v>0.14221925248719891</v>
      </c>
      <c r="AD10" s="1989"/>
      <c r="AF10" s="13" t="s">
        <v>643</v>
      </c>
      <c r="AR10" s="1769">
        <f>Summary!AF69</f>
        <v>45</v>
      </c>
      <c r="AV10" s="37"/>
    </row>
    <row r="11" spans="1:53">
      <c r="A11" s="12" t="s">
        <v>288</v>
      </c>
      <c r="B11" s="149">
        <f>B10/B9</f>
        <v>0.12250266499212399</v>
      </c>
      <c r="C11" s="149">
        <f t="shared" ref="C11:M11" si="0">C10/C9</f>
        <v>0.13322841012505554</v>
      </c>
      <c r="D11" s="149">
        <f t="shared" si="0"/>
        <v>0.13673694196629571</v>
      </c>
      <c r="E11" s="149">
        <f t="shared" si="0"/>
        <v>0.15204273796300657</v>
      </c>
      <c r="F11" s="149">
        <f t="shared" si="0"/>
        <v>0.13883861136971748</v>
      </c>
      <c r="G11" s="149">
        <f>G10/G9</f>
        <v>0.21696572373726664</v>
      </c>
      <c r="H11" s="149">
        <f t="shared" si="0"/>
        <v>0.17988467666763147</v>
      </c>
      <c r="I11" s="149">
        <f t="shared" si="0"/>
        <v>0.23063678284248201</v>
      </c>
      <c r="J11" s="149">
        <f t="shared" si="0"/>
        <v>0.20411924486975797</v>
      </c>
      <c r="K11" s="149">
        <f t="shared" ref="K11" si="1">K10/K9</f>
        <v>0.20936861579024857</v>
      </c>
      <c r="L11" s="514">
        <f t="shared" si="0"/>
        <v>0.20095102789759575</v>
      </c>
      <c r="M11" s="514">
        <f t="shared" si="0"/>
        <v>0.19416044930142404</v>
      </c>
      <c r="N11" s="514">
        <f t="shared" ref="N11" si="2">N10/N9</f>
        <v>0.19415240289643923</v>
      </c>
      <c r="P11" s="1009" t="s">
        <v>949</v>
      </c>
      <c r="Q11" s="1006"/>
      <c r="R11" s="1006"/>
      <c r="S11" s="1006"/>
      <c r="T11" s="1006">
        <f>Financials!R27</f>
        <v>2.3E-2</v>
      </c>
      <c r="U11" s="38">
        <f>Financials!S27</f>
        <v>1.0999999999999999E-2</v>
      </c>
      <c r="V11" s="38">
        <f>Financials!T27</f>
        <v>0.02</v>
      </c>
      <c r="W11" s="38">
        <f>Financials!U27</f>
        <v>-0.24399999999999999</v>
      </c>
      <c r="X11" s="38">
        <f>Financials!V27</f>
        <v>0.127</v>
      </c>
      <c r="Y11" s="38">
        <f>Financials!W27</f>
        <v>0.27673825991991263</v>
      </c>
      <c r="Z11" s="38">
        <f>Financials!X27</f>
        <v>9.8127100931812261E-2</v>
      </c>
      <c r="AA11" s="45">
        <f>Financials!Y27</f>
        <v>4.1612101721427023E-3</v>
      </c>
      <c r="AB11" s="45">
        <f>Financials!Z27</f>
        <v>1.7171506765586236E-2</v>
      </c>
      <c r="AC11" s="45">
        <f>Financials!AA27</f>
        <v>1.6800000000000002E-2</v>
      </c>
      <c r="AD11" s="1989"/>
      <c r="AF11" s="9" t="s">
        <v>337</v>
      </c>
      <c r="AG11" s="92"/>
      <c r="AH11" s="92">
        <f>Financials!O36</f>
        <v>22800.255000000001</v>
      </c>
      <c r="AI11" s="92">
        <f>Financials!P36</f>
        <v>32288.376</v>
      </c>
      <c r="AJ11" s="92">
        <f>Financials!Q36</f>
        <v>37701.866999999998</v>
      </c>
      <c r="AK11" s="92">
        <f>Financials!R36</f>
        <v>42529.120999999999</v>
      </c>
      <c r="AL11" s="329">
        <f>Financials!S36</f>
        <v>46156.591</v>
      </c>
      <c r="AM11" s="329">
        <f>Financials!T36</f>
        <v>58154.618999999999</v>
      </c>
      <c r="AN11" s="329">
        <f>Financials!U36</f>
        <v>38495.419000000002</v>
      </c>
      <c r="AO11" s="329">
        <f>Financials!V36</f>
        <v>53379.468999999997</v>
      </c>
      <c r="AP11" s="329">
        <f>Financials!W36</f>
        <v>68831.305000000008</v>
      </c>
      <c r="AQ11" s="329">
        <f>Financials!X36</f>
        <v>76231.047999999995</v>
      </c>
      <c r="AR11" s="329">
        <f>Financials!Y36</f>
        <v>78549.033316147907</v>
      </c>
      <c r="AS11" s="329">
        <f>Financials!Z36</f>
        <v>86000.984261954174</v>
      </c>
      <c r="AT11" s="329">
        <f>Financials!AA36</f>
        <v>91862.025037079569</v>
      </c>
    </row>
    <row r="12" spans="1:53">
      <c r="A12" s="9" t="s">
        <v>336</v>
      </c>
      <c r="B12" s="92">
        <f>+B10+Financials!O89</f>
        <v>1457.0110000000002</v>
      </c>
      <c r="C12" s="92">
        <f>+C10+Financials!P89</f>
        <v>2353.8330000000005</v>
      </c>
      <c r="D12" s="92">
        <f>+D10+Financials!Q89</f>
        <v>2767.0019999999995</v>
      </c>
      <c r="E12" s="92">
        <f>+E10+Financials!R89</f>
        <v>3714.5679999999998</v>
      </c>
      <c r="F12" s="92">
        <f>+F10+Financials!S89</f>
        <v>3293.588999999999</v>
      </c>
      <c r="G12" s="92">
        <f>+G10+Financials!T89</f>
        <v>8360.2749999999978</v>
      </c>
      <c r="H12" s="92">
        <f>+H10+Financials!U89</f>
        <v>2571.3719999999976</v>
      </c>
      <c r="I12" s="92">
        <f>+I10+Financials!V89</f>
        <v>8571.2250000000004</v>
      </c>
      <c r="J12" s="92">
        <f>+J10+Financials!W89</f>
        <v>10698.798999999999</v>
      </c>
      <c r="K12" s="92">
        <f>+K10+Financials!X89</f>
        <v>12046.783999999996</v>
      </c>
      <c r="L12" s="329">
        <f>Financials!Y90</f>
        <v>7426.4731382564751</v>
      </c>
      <c r="M12" s="329">
        <f>Financials!Z90</f>
        <v>7872.4432984188352</v>
      </c>
      <c r="N12" s="329">
        <f>Financials!AA90</f>
        <v>8811.7584060904264</v>
      </c>
      <c r="P12" s="132" t="s">
        <v>1091</v>
      </c>
      <c r="Q12" s="1104">
        <f>Financials!O5</f>
        <v>2784</v>
      </c>
      <c r="R12" s="1104">
        <f>Financials!P5</f>
        <v>2954</v>
      </c>
      <c r="S12" s="1104">
        <f>Financials!Q5</f>
        <v>3195</v>
      </c>
      <c r="T12" s="1104">
        <f>Financials!R5</f>
        <v>3438</v>
      </c>
      <c r="U12" s="170">
        <f>Financials!S5</f>
        <v>3688</v>
      </c>
      <c r="V12" s="818">
        <f>Financials!T5</f>
        <v>4310</v>
      </c>
      <c r="W12" s="818">
        <f>Financials!U5</f>
        <v>4193</v>
      </c>
      <c r="X12" s="818">
        <f>Financials!V5</f>
        <v>4262</v>
      </c>
      <c r="Y12" s="818">
        <f>Financials!W5</f>
        <v>4447</v>
      </c>
      <c r="Z12" s="818">
        <f>Financials!X5</f>
        <v>4622</v>
      </c>
      <c r="AA12" s="1987">
        <f>Financials!Y5</f>
        <v>4785</v>
      </c>
      <c r="AB12" s="1987">
        <f>Financials!Z5</f>
        <v>4928</v>
      </c>
      <c r="AC12" s="1987">
        <f>Financials!AA5</f>
        <v>5044</v>
      </c>
      <c r="AD12" s="1990"/>
      <c r="AF12" s="9" t="s">
        <v>335</v>
      </c>
      <c r="AG12" s="92"/>
      <c r="AH12" s="92">
        <f>Financials!O67</f>
        <v>2793.0920000000001</v>
      </c>
      <c r="AI12" s="92">
        <f>Financials!P67</f>
        <v>4301.7290000000003</v>
      </c>
      <c r="AJ12" s="92">
        <f>Financials!Q67</f>
        <v>5155.2379999999994</v>
      </c>
      <c r="AK12" s="92">
        <f>Financials!R67</f>
        <v>6466.2439999999997</v>
      </c>
      <c r="AL12" s="329">
        <f>Financials!S67</f>
        <v>6408.3169999999991</v>
      </c>
      <c r="AM12" s="329">
        <f>Financials!T67</f>
        <v>12617.558999999997</v>
      </c>
      <c r="AN12" s="329">
        <f>Financials!U67</f>
        <v>6924.7359999999981</v>
      </c>
      <c r="AO12" s="329">
        <f>Financials!V67</f>
        <v>12311.269</v>
      </c>
      <c r="AP12" s="329">
        <f>Financials!W67</f>
        <v>14049.793999999998</v>
      </c>
      <c r="AQ12" s="329">
        <f>Financials!X67</f>
        <v>15960.388999999996</v>
      </c>
      <c r="AR12" s="329">
        <f>Financials!Y67</f>
        <v>15784.508985242415</v>
      </c>
      <c r="AS12" s="329">
        <f>Financials!Z67</f>
        <v>16697.98974466572</v>
      </c>
      <c r="AT12" s="329">
        <f>Financials!AA67</f>
        <v>17835.232895881862</v>
      </c>
      <c r="AV12" s="254"/>
      <c r="AX12" s="40"/>
    </row>
    <row r="13" spans="1:53">
      <c r="A13" s="9" t="s">
        <v>208</v>
      </c>
      <c r="B13" s="92">
        <f>Financials!O108</f>
        <v>666.66600000000255</v>
      </c>
      <c r="C13" s="92">
        <f>Financials!P108</f>
        <v>981.20599999999945</v>
      </c>
      <c r="D13" s="92">
        <f>Financials!Q108</f>
        <v>996.47199999999748</v>
      </c>
      <c r="E13" s="92">
        <f>Financials!R108</f>
        <v>1089.4689999999987</v>
      </c>
      <c r="F13" s="92">
        <f>Financials!S108</f>
        <v>953.25299999999891</v>
      </c>
      <c r="G13" s="92">
        <f>Financials!T106</f>
        <v>926.66999999999723</v>
      </c>
      <c r="H13" s="92">
        <f>Financials!U106</f>
        <v>-3186.0470000000023</v>
      </c>
      <c r="I13" s="92">
        <f>Financials!V106</f>
        <v>835.13</v>
      </c>
      <c r="J13" s="92">
        <f>Financials!W106</f>
        <v>1632.3349999999978</v>
      </c>
      <c r="K13" s="92">
        <f>Financials!X106</f>
        <v>2930.7289999999962</v>
      </c>
      <c r="L13" s="329">
        <f>Financials!Y106</f>
        <v>1123.5562842488389</v>
      </c>
      <c r="M13" s="329">
        <f>Financials!Z106</f>
        <v>1901.1917619047149</v>
      </c>
      <c r="N13" s="329">
        <f>Financials!AA106</f>
        <v>2805.9030071771958</v>
      </c>
      <c r="P13" s="1009" t="s">
        <v>246</v>
      </c>
      <c r="Q13" s="1005">
        <f>Financials!O9</f>
        <v>2161</v>
      </c>
      <c r="R13" s="1005">
        <f>Financials!P9</f>
        <v>2283</v>
      </c>
      <c r="S13" s="1005">
        <f>Financials!Q9</f>
        <v>2502</v>
      </c>
      <c r="T13" s="1005">
        <f>Financials!R9</f>
        <v>2716</v>
      </c>
      <c r="U13" s="92">
        <f>Financials!S9</f>
        <v>2947</v>
      </c>
      <c r="V13" s="41">
        <f>Financials!T9</f>
        <v>3419</v>
      </c>
      <c r="W13" s="41">
        <f>Financials!U9</f>
        <v>3284</v>
      </c>
      <c r="X13" s="41">
        <f>Financials!V9</f>
        <v>3289</v>
      </c>
      <c r="Y13" s="41">
        <f>Financials!W9</f>
        <v>3436</v>
      </c>
      <c r="Z13" s="41">
        <f>Financials!X9</f>
        <v>3552</v>
      </c>
      <c r="AA13" s="526">
        <f>Financials!Y9</f>
        <v>3657</v>
      </c>
      <c r="AB13" s="526">
        <f>Financials!Z9</f>
        <v>3745</v>
      </c>
      <c r="AC13" s="526">
        <f>Financials!AA9</f>
        <v>3814</v>
      </c>
      <c r="AD13" s="1991"/>
      <c r="AF13" s="12" t="s">
        <v>288</v>
      </c>
      <c r="AG13" s="149"/>
      <c r="AH13" s="149">
        <f>AH12/AH11</f>
        <v>0.12250266499212399</v>
      </c>
      <c r="AI13" s="149">
        <f t="shared" ref="AI13:AS13" si="3">AI12/AI11</f>
        <v>0.13322841012505554</v>
      </c>
      <c r="AJ13" s="149">
        <f t="shared" si="3"/>
        <v>0.13673694196629571</v>
      </c>
      <c r="AK13" s="149">
        <f t="shared" si="3"/>
        <v>0.15204273796300657</v>
      </c>
      <c r="AL13" s="514">
        <f t="shared" si="3"/>
        <v>0.13883861136971748</v>
      </c>
      <c r="AM13" s="514">
        <f t="shared" si="3"/>
        <v>0.21696572373726664</v>
      </c>
      <c r="AN13" s="514">
        <f t="shared" si="3"/>
        <v>0.17988467666763147</v>
      </c>
      <c r="AO13" s="514">
        <f t="shared" si="3"/>
        <v>0.23063678284248201</v>
      </c>
      <c r="AP13" s="514">
        <f t="shared" si="3"/>
        <v>0.20411924486975797</v>
      </c>
      <c r="AQ13" s="514">
        <f t="shared" si="3"/>
        <v>0.20936861579024857</v>
      </c>
      <c r="AR13" s="514">
        <f t="shared" si="3"/>
        <v>0.20095102789759575</v>
      </c>
      <c r="AS13" s="514">
        <f t="shared" si="3"/>
        <v>0.19416044930142404</v>
      </c>
      <c r="AT13" s="514">
        <f t="shared" ref="AT13" si="4">AT12/AT11</f>
        <v>0.19415240289643923</v>
      </c>
      <c r="AV13" s="178"/>
    </row>
    <row r="14" spans="1:53">
      <c r="A14" s="9" t="s">
        <v>227</v>
      </c>
      <c r="B14" s="262">
        <f>Financials!O116</f>
        <v>0.79592406876790867</v>
      </c>
      <c r="C14" s="262">
        <f>Financials!P116</f>
        <v>1.1715892537313437</v>
      </c>
      <c r="D14" s="262">
        <f>Financials!Q116</f>
        <v>1.1943809181349627</v>
      </c>
      <c r="E14" s="262">
        <f>Financials!R116</f>
        <v>1.3082000480307392</v>
      </c>
      <c r="F14" s="262">
        <f>Financials!S116</f>
        <v>1.1408006223073228</v>
      </c>
      <c r="G14" s="262">
        <f>Financials!T116</f>
        <v>0.9116446034585548</v>
      </c>
      <c r="H14" s="262">
        <f>Financials!U116</f>
        <v>-4.4224376863446651</v>
      </c>
      <c r="I14" s="262">
        <f>Financials!V116</f>
        <v>0.58178750298115978</v>
      </c>
      <c r="J14" s="262">
        <f>Financials!W116</f>
        <v>2.0266829268292659</v>
      </c>
      <c r="K14" s="262">
        <f>Financials!X116</f>
        <v>3.4455921946399881</v>
      </c>
      <c r="L14" s="459">
        <f>Financials!Y116</f>
        <v>1.8038153532335182</v>
      </c>
      <c r="M14" s="459">
        <f>Financials!Z116</f>
        <v>2.7072657434168819</v>
      </c>
      <c r="N14" s="459">
        <f>Financials!AA116</f>
        <v>3.6333146399804575</v>
      </c>
      <c r="P14" s="1009" t="s">
        <v>944</v>
      </c>
      <c r="Q14" s="1005">
        <f>Financials!O13</f>
        <v>623</v>
      </c>
      <c r="R14" s="1005">
        <f>Financials!P13</f>
        <v>671</v>
      </c>
      <c r="S14" s="1005">
        <f>Financials!Q13</f>
        <v>693</v>
      </c>
      <c r="T14" s="1005">
        <f>Financials!R13</f>
        <v>722</v>
      </c>
      <c r="U14" s="92">
        <f>Financials!S13</f>
        <v>741</v>
      </c>
      <c r="V14" s="41">
        <f>Financials!T13</f>
        <v>891</v>
      </c>
      <c r="W14" s="41">
        <f>Financials!U13</f>
        <v>909</v>
      </c>
      <c r="X14" s="41">
        <f>Financials!V13</f>
        <v>973</v>
      </c>
      <c r="Y14" s="41">
        <f>Financials!W13</f>
        <v>1011</v>
      </c>
      <c r="Z14" s="41">
        <f>Financials!X13</f>
        <v>1070</v>
      </c>
      <c r="AA14" s="526">
        <f>Financials!Y13</f>
        <v>1128</v>
      </c>
      <c r="AB14" s="526">
        <f>Financials!Z13</f>
        <v>1183</v>
      </c>
      <c r="AC14" s="526">
        <f>Financials!AA13</f>
        <v>1230</v>
      </c>
      <c r="AD14" s="1991"/>
      <c r="AF14" s="9" t="s">
        <v>336</v>
      </c>
      <c r="AG14" s="92"/>
      <c r="AH14" s="92">
        <f>Financials!O90</f>
        <v>1457.0110000000025</v>
      </c>
      <c r="AI14" s="92">
        <f>Financials!P90</f>
        <v>2353.8329999999996</v>
      </c>
      <c r="AJ14" s="92">
        <f>Financials!Q90</f>
        <v>2767.0019999999977</v>
      </c>
      <c r="AK14" s="92">
        <f>Financials!R90</f>
        <v>3714.5679999999988</v>
      </c>
      <c r="AL14" s="329">
        <f>Financials!S90</f>
        <v>3293.588999999999</v>
      </c>
      <c r="AM14" s="329">
        <f>Financials!T90</f>
        <v>4570.8939999999939</v>
      </c>
      <c r="AN14" s="329">
        <f>Financials!U90</f>
        <v>-1453.7979999999952</v>
      </c>
      <c r="AO14" s="329">
        <f>Financials!V90</f>
        <v>4132.9409999999998</v>
      </c>
      <c r="AP14" s="329">
        <f>Financials!W90</f>
        <v>6341.4970000000085</v>
      </c>
      <c r="AQ14" s="329">
        <f>Financials!X90</f>
        <v>7900.3589999999958</v>
      </c>
      <c r="AR14" s="329">
        <f>Financials!Y90</f>
        <v>7426.4731382564751</v>
      </c>
      <c r="AS14" s="329">
        <f>Financials!Z90</f>
        <v>7872.4432984188352</v>
      </c>
      <c r="AT14" s="329">
        <f>Financials!AA90</f>
        <v>8811.7584060904264</v>
      </c>
      <c r="AV14" s="178"/>
    </row>
    <row r="15" spans="1:53">
      <c r="A15" s="9" t="s">
        <v>95</v>
      </c>
      <c r="B15" s="92">
        <f>Financials!O173</f>
        <v>-10371.472</v>
      </c>
      <c r="C15" s="92">
        <f>Financials!P173</f>
        <v>-587.44299999999976</v>
      </c>
      <c r="D15" s="92">
        <f>Financials!Q173</f>
        <v>-479.66799999999967</v>
      </c>
      <c r="E15" s="92">
        <f>Financials!R173</f>
        <v>358.46899999999869</v>
      </c>
      <c r="F15" s="92">
        <f>Financials!S173</f>
        <v>-12399.8</v>
      </c>
      <c r="G15" s="92">
        <f>Financials!T173</f>
        <v>4649.882999999998</v>
      </c>
      <c r="H15" s="92">
        <f>Financials!U173</f>
        <v>-3329.8420000000019</v>
      </c>
      <c r="I15" s="92">
        <f>Financials!V173</f>
        <v>3166.0110000000022</v>
      </c>
      <c r="J15" s="92">
        <f>Financials!W173</f>
        <v>2312.2380000000003</v>
      </c>
      <c r="K15" s="92">
        <f>Financials!X173</f>
        <v>1623.7019999999993</v>
      </c>
      <c r="L15" s="329">
        <f>Financials!Y173</f>
        <v>-3716.5787073305432</v>
      </c>
      <c r="M15" s="329">
        <f>Financials!Z173</f>
        <v>1334.7688589051527</v>
      </c>
      <c r="N15" s="329">
        <f>Financials!AA173</f>
        <v>3059.9007994789117</v>
      </c>
      <c r="P15" s="132" t="s">
        <v>1036</v>
      </c>
      <c r="Q15" s="1104">
        <f>+Financials!O5-Financials!N5</f>
        <v>922</v>
      </c>
      <c r="R15" s="1104">
        <f>+Financials!P5-Financials!O5</f>
        <v>170</v>
      </c>
      <c r="S15" s="1104">
        <f>+Financials!Q5-Financials!P5</f>
        <v>241</v>
      </c>
      <c r="T15" s="1104">
        <f>+Financials!R5-Financials!Q5</f>
        <v>243</v>
      </c>
      <c r="U15" s="170">
        <f>+Financials!S5-Financials!R5</f>
        <v>250</v>
      </c>
      <c r="V15" s="818">
        <f>+Financials!T5-Financials!S5</f>
        <v>622</v>
      </c>
      <c r="W15" s="818">
        <f>+Financials!U5-Financials!T5</f>
        <v>-117</v>
      </c>
      <c r="X15" s="818">
        <f>+Financials!V5-Financials!U5</f>
        <v>69</v>
      </c>
      <c r="Y15" s="818">
        <f>+Financials!W5-Financials!V5</f>
        <v>185</v>
      </c>
      <c r="Z15" s="818">
        <f>+Financials!X5-Financials!W5</f>
        <v>175</v>
      </c>
      <c r="AA15" s="1987">
        <f>+Financials!Y5-Financials!X5</f>
        <v>163</v>
      </c>
      <c r="AB15" s="1987">
        <f>+Financials!Z5-Financials!Y5</f>
        <v>143</v>
      </c>
      <c r="AC15" s="1987">
        <f>+Financials!AA5-Financials!Z5</f>
        <v>116</v>
      </c>
      <c r="AD15" s="1990"/>
      <c r="AF15" s="9" t="s">
        <v>208</v>
      </c>
      <c r="AG15" s="92"/>
      <c r="AH15" s="92">
        <f>Financials!O106</f>
        <v>666.66600000000255</v>
      </c>
      <c r="AI15" s="92">
        <f>Financials!P106</f>
        <v>981.20599999999945</v>
      </c>
      <c r="AJ15" s="92">
        <f>Financials!Q106</f>
        <v>996.47199999999748</v>
      </c>
      <c r="AK15" s="92">
        <f>Financials!R106</f>
        <v>1089.4689999999987</v>
      </c>
      <c r="AL15" s="329">
        <f>Financials!S106</f>
        <v>953.25299999999891</v>
      </c>
      <c r="AM15" s="329">
        <f>Financials!T106</f>
        <v>926.66999999999723</v>
      </c>
      <c r="AN15" s="329">
        <f>Financials!U106</f>
        <v>-3186.0470000000023</v>
      </c>
      <c r="AO15" s="329">
        <f>Financials!V106</f>
        <v>835.13</v>
      </c>
      <c r="AP15" s="329">
        <f>Financials!W106</f>
        <v>1632.3349999999978</v>
      </c>
      <c r="AQ15" s="329">
        <f>Financials!X106</f>
        <v>2930.7289999999962</v>
      </c>
      <c r="AR15" s="329">
        <f>Financials!Y106</f>
        <v>1123.5562842488389</v>
      </c>
      <c r="AS15" s="329">
        <f>Financials!Z106</f>
        <v>1901.1917619047149</v>
      </c>
      <c r="AT15" s="329">
        <f>Financials!AA106</f>
        <v>2805.9030071771958</v>
      </c>
    </row>
    <row r="16" spans="1:53">
      <c r="A16" s="9" t="s">
        <v>607</v>
      </c>
      <c r="B16" s="92">
        <f t="shared" ref="B16:G16" si="5">+B15+B17</f>
        <v>2038.9349999999995</v>
      </c>
      <c r="C16" s="92">
        <f t="shared" si="5"/>
        <v>2851.7490000000003</v>
      </c>
      <c r="D16" s="92">
        <f t="shared" si="5"/>
        <v>4558.9209999999994</v>
      </c>
      <c r="E16" s="92">
        <f t="shared" si="5"/>
        <v>3632.7849999999994</v>
      </c>
      <c r="F16" s="92">
        <f t="shared" si="5"/>
        <v>5097.9259999999995</v>
      </c>
      <c r="G16" s="92">
        <f t="shared" si="5"/>
        <v>9478.7679999999982</v>
      </c>
      <c r="H16" s="92">
        <f t="shared" ref="H16:M16" si="6">+H15+H17</f>
        <v>-1549.9240000000018</v>
      </c>
      <c r="I16" s="92">
        <f t="shared" si="6"/>
        <v>5707.7980000000025</v>
      </c>
      <c r="J16" s="92">
        <f t="shared" si="6"/>
        <v>6535.6620000000003</v>
      </c>
      <c r="K16" s="92">
        <f t="shared" ref="K16" si="7">+K15+K17</f>
        <v>6363.2150000000001</v>
      </c>
      <c r="L16" s="329">
        <f t="shared" si="6"/>
        <v>1851.6561271630267</v>
      </c>
      <c r="M16" s="329">
        <f t="shared" si="6"/>
        <v>6551.7310508202681</v>
      </c>
      <c r="N16" s="329">
        <f t="shared" ref="N16" si="8">+N15+N17</f>
        <v>8165.8712113210813</v>
      </c>
      <c r="P16" s="1009" t="s">
        <v>246</v>
      </c>
      <c r="Q16" s="1005">
        <f>+Financials!O9-Financials!N9</f>
        <v>750</v>
      </c>
      <c r="R16" s="133">
        <f>+Financials!P9-Financials!O9</f>
        <v>122</v>
      </c>
      <c r="S16" s="133">
        <f>+Financials!Q9-Financials!P9</f>
        <v>219</v>
      </c>
      <c r="T16" s="133">
        <f>+Financials!R9-Financials!Q9</f>
        <v>214</v>
      </c>
      <c r="U16" s="9">
        <f>+Financials!S9-Financials!R9</f>
        <v>231</v>
      </c>
      <c r="V16" s="40">
        <f>+Financials!T9-Financials!S9</f>
        <v>472</v>
      </c>
      <c r="W16" s="40">
        <f>+Financials!U9-Financials!T9</f>
        <v>-135</v>
      </c>
      <c r="X16" s="40">
        <f>+Financials!V9-Financials!U9</f>
        <v>5</v>
      </c>
      <c r="Y16" s="40">
        <f>+Financials!W9-Financials!V9</f>
        <v>147</v>
      </c>
      <c r="Z16" s="40">
        <f>+Financials!X9-Financials!W9</f>
        <v>116</v>
      </c>
      <c r="AA16" s="142">
        <f>+Financials!Y9-Financials!X9</f>
        <v>105</v>
      </c>
      <c r="AB16" s="142">
        <f>+Financials!Z9-Financials!Y9</f>
        <v>88</v>
      </c>
      <c r="AC16" s="142">
        <f>+Financials!AA9-Financials!Z9</f>
        <v>69</v>
      </c>
      <c r="AD16" s="1988"/>
      <c r="AF16" s="9" t="s">
        <v>227</v>
      </c>
      <c r="AG16" s="150">
        <f>Financials!N116</f>
        <v>0.99013230590287937</v>
      </c>
      <c r="AH16" s="262">
        <f>Financials!O116</f>
        <v>0.79592406876790867</v>
      </c>
      <c r="AI16" s="262">
        <f>Financials!P116</f>
        <v>1.1715892537313437</v>
      </c>
      <c r="AJ16" s="262">
        <f>Financials!Q116</f>
        <v>1.1943809181349627</v>
      </c>
      <c r="AK16" s="262">
        <f>Financials!R116</f>
        <v>1.3082000480307392</v>
      </c>
      <c r="AL16" s="459">
        <f>Financials!S116</f>
        <v>1.1408006223073228</v>
      </c>
      <c r="AM16" s="459">
        <f>Financials!T116</f>
        <v>0.9116446034585548</v>
      </c>
      <c r="AN16" s="459">
        <f>Financials!U116</f>
        <v>-4.4224376863446651</v>
      </c>
      <c r="AO16" s="459">
        <f>Financials!V116</f>
        <v>0.58178750298115978</v>
      </c>
      <c r="AP16" s="459">
        <f>Financials!W116</f>
        <v>2.0266829268292659</v>
      </c>
      <c r="AQ16" s="459">
        <f>Financials!X116</f>
        <v>3.4455921946399881</v>
      </c>
      <c r="AR16" s="459">
        <f>Financials!Y116</f>
        <v>1.8038153532335182</v>
      </c>
      <c r="AS16" s="459">
        <f>Financials!Z116</f>
        <v>2.7072657434168819</v>
      </c>
      <c r="AT16" s="459">
        <f>Financials!AA116</f>
        <v>3.6333146399804575</v>
      </c>
    </row>
    <row r="17" spans="1:47">
      <c r="A17" s="9" t="s">
        <v>1361</v>
      </c>
      <c r="B17" s="92">
        <f>-Financials!O157</f>
        <v>12410.406999999999</v>
      </c>
      <c r="C17" s="92">
        <f>-Financials!P157</f>
        <v>3439.192</v>
      </c>
      <c r="D17" s="92">
        <f>-Financials!Q157</f>
        <v>5038.588999999999</v>
      </c>
      <c r="E17" s="92">
        <f>-Financials!R157</f>
        <v>3274.3160000000007</v>
      </c>
      <c r="F17" s="92">
        <f>-Financials!S157</f>
        <v>17497.725999999999</v>
      </c>
      <c r="G17" s="92">
        <f>-Financials!T157</f>
        <v>4828.8850000000002</v>
      </c>
      <c r="H17" s="92">
        <f>-Financials!U157</f>
        <v>1779.9180000000001</v>
      </c>
      <c r="I17" s="92">
        <f>-Financials!V157</f>
        <v>2541.7869999999998</v>
      </c>
      <c r="J17" s="92">
        <f>-Financials!W157</f>
        <v>4223.424</v>
      </c>
      <c r="K17" s="92">
        <f>-Financials!X157</f>
        <v>4739.5130000000008</v>
      </c>
      <c r="L17" s="329">
        <f>-Financials!Y157</f>
        <v>5568.2348344935699</v>
      </c>
      <c r="M17" s="329">
        <f>-Financials!Z157</f>
        <v>5216.9621919151159</v>
      </c>
      <c r="N17" s="329">
        <f>-Financials!AA157</f>
        <v>5105.9704118421696</v>
      </c>
      <c r="P17" s="1009" t="s">
        <v>944</v>
      </c>
      <c r="Q17" s="1005">
        <f>+Financials!O13-Financials!N13</f>
        <v>172</v>
      </c>
      <c r="R17" s="133">
        <f>+Financials!P13-Financials!O13</f>
        <v>48</v>
      </c>
      <c r="S17" s="133">
        <f>+Financials!Q13-Financials!P13</f>
        <v>22</v>
      </c>
      <c r="T17" s="133">
        <f>+Financials!R13-Financials!Q13</f>
        <v>29</v>
      </c>
      <c r="U17" s="9">
        <f>+Financials!S13-Financials!R13</f>
        <v>19</v>
      </c>
      <c r="V17" s="40">
        <f>+Financials!T13-Financials!S13</f>
        <v>150</v>
      </c>
      <c r="W17" s="40">
        <f>+Financials!U13-Financials!T13</f>
        <v>18</v>
      </c>
      <c r="X17" s="40">
        <f>+Financials!V13-Financials!U13</f>
        <v>64</v>
      </c>
      <c r="Y17" s="40">
        <f>+Financials!W13-Financials!V13</f>
        <v>38</v>
      </c>
      <c r="Z17" s="40">
        <f>+Financials!X13-Financials!W13</f>
        <v>59</v>
      </c>
      <c r="AA17" s="142">
        <f>+Financials!Y13-Financials!X13</f>
        <v>58</v>
      </c>
      <c r="AB17" s="142">
        <f>+Financials!Z13-Financials!Y13</f>
        <v>55</v>
      </c>
      <c r="AC17" s="142">
        <f>+Financials!AA13-Financials!Z13</f>
        <v>47</v>
      </c>
      <c r="AD17" s="1988"/>
      <c r="AF17" s="9" t="s">
        <v>95</v>
      </c>
      <c r="AG17" s="92"/>
      <c r="AH17" s="92">
        <f>DCF!O30</f>
        <v>-10042.570993238607</v>
      </c>
      <c r="AI17" s="92">
        <f>DCF!P30</f>
        <v>292.62689018369014</v>
      </c>
      <c r="AJ17" s="92">
        <f>DCF!Q30</f>
        <v>840.58646095660902</v>
      </c>
      <c r="AK17" s="92">
        <f>DCF!R30</f>
        <v>1801.9193842000252</v>
      </c>
      <c r="AL17" s="329">
        <f>DCF!S30</f>
        <v>-9775.59542569107</v>
      </c>
      <c r="AM17" s="329">
        <f>DCF!T30</f>
        <v>463.74050173589148</v>
      </c>
      <c r="AN17" s="329">
        <f>DCF!U30</f>
        <v>-5101.0065045963192</v>
      </c>
      <c r="AO17" s="329">
        <f>DCF!V30</f>
        <v>6429.4415389247324</v>
      </c>
      <c r="AP17" s="329">
        <f>DCF!W30</f>
        <v>4340.5562337693764</v>
      </c>
      <c r="AQ17" s="329">
        <f ca="1">DCF!X30</f>
        <v>4645.9445717082544</v>
      </c>
      <c r="AR17" s="329">
        <f>DCF!Y30</f>
        <v>-1245.7336257050802</v>
      </c>
      <c r="AS17" s="329">
        <f>DCF!Z30</f>
        <v>3814.2356384793125</v>
      </c>
      <c r="AT17" s="329">
        <f ca="1">DCF!AA30</f>
        <v>5336.250947340478</v>
      </c>
    </row>
    <row r="18" spans="1:47">
      <c r="A18" s="9" t="s">
        <v>98</v>
      </c>
      <c r="B18" s="92">
        <f>Financials!O169</f>
        <v>10126.329</v>
      </c>
      <c r="C18" s="92">
        <f>Financials!P169</f>
        <v>11037.527</v>
      </c>
      <c r="D18" s="92">
        <f>Financials!Q169</f>
        <v>12292.046999999999</v>
      </c>
      <c r="E18" s="92">
        <f>Financials!R169</f>
        <v>16501.033000000003</v>
      </c>
      <c r="F18" s="92">
        <f>Financials!S169</f>
        <v>26128.074999999997</v>
      </c>
      <c r="G18" s="92">
        <f>Financials!T169</f>
        <v>25061.356</v>
      </c>
      <c r="H18" s="92">
        <f>Financials!U169</f>
        <v>34436.148999999998</v>
      </c>
      <c r="I18" s="92">
        <f>Financials!V169</f>
        <v>30555.119999999999</v>
      </c>
      <c r="J18" s="92">
        <f>Financials!W169</f>
        <v>26550.129000000001</v>
      </c>
      <c r="K18" s="92">
        <f>Financials!X169</f>
        <v>25006.322000000004</v>
      </c>
      <c r="L18" s="329">
        <f>Financials!Y169</f>
        <v>29497.70370733054</v>
      </c>
      <c r="M18" s="329">
        <f>Financials!Z169</f>
        <v>27338.374848425388</v>
      </c>
      <c r="N18" s="329">
        <f>Financials!AA169</f>
        <v>24278.474048946475</v>
      </c>
      <c r="P18" s="134" t="s">
        <v>337</v>
      </c>
      <c r="Q18" s="1984">
        <f>Financials!O36</f>
        <v>22800.255000000001</v>
      </c>
      <c r="R18" s="1984">
        <f>Financials!P36</f>
        <v>32288.376</v>
      </c>
      <c r="S18" s="1984">
        <f>Financials!Q36</f>
        <v>37701.866999999998</v>
      </c>
      <c r="T18" s="1984">
        <f>Financials!R36</f>
        <v>42529.120999999999</v>
      </c>
      <c r="U18" s="1984">
        <f>Financials!S36</f>
        <v>46156.591</v>
      </c>
      <c r="V18" s="1984">
        <f>Financials!T36</f>
        <v>58154.618999999999</v>
      </c>
      <c r="W18" s="1984">
        <f>Financials!U36</f>
        <v>38495.419000000002</v>
      </c>
      <c r="X18" s="1984">
        <f>Financials!V36</f>
        <v>53379.468999999997</v>
      </c>
      <c r="Y18" s="1984">
        <f>Financials!W36</f>
        <v>68831.305000000008</v>
      </c>
      <c r="Z18" s="1984">
        <f>Financials!X36</f>
        <v>76231.047999999995</v>
      </c>
      <c r="AA18" s="1985">
        <f>Financials!Y36</f>
        <v>78549.033316147907</v>
      </c>
      <c r="AB18" s="1985">
        <f>Financials!Z36</f>
        <v>86000.984261954174</v>
      </c>
      <c r="AC18" s="1985">
        <f>Financials!AA36</f>
        <v>91862.025037079569</v>
      </c>
      <c r="AD18" s="1990"/>
      <c r="AF18" s="9" t="s">
        <v>98</v>
      </c>
      <c r="AG18" s="92"/>
      <c r="AH18" s="92">
        <f>Financials!O166</f>
        <v>10126.329</v>
      </c>
      <c r="AI18" s="92">
        <f>Financials!P166</f>
        <v>11037.527</v>
      </c>
      <c r="AJ18" s="92">
        <f>Financials!Q166</f>
        <v>12292.046999999999</v>
      </c>
      <c r="AK18" s="92">
        <f>Financials!R166</f>
        <v>16501.033000000003</v>
      </c>
      <c r="AL18" s="329">
        <f>Financials!S166</f>
        <v>26128.074999999997</v>
      </c>
      <c r="AM18" s="329">
        <f>Financials!T169</f>
        <v>25061.356</v>
      </c>
      <c r="AN18" s="329">
        <f>Financials!U169</f>
        <v>34436.148999999998</v>
      </c>
      <c r="AO18" s="329">
        <f>Financials!V169</f>
        <v>30555.119999999999</v>
      </c>
      <c r="AP18" s="329">
        <f>Financials!W169</f>
        <v>26550.129000000001</v>
      </c>
      <c r="AQ18" s="329">
        <f>Financials!X169</f>
        <v>25006.322000000004</v>
      </c>
      <c r="AR18" s="329">
        <f>Financials!Y169</f>
        <v>29497.70370733054</v>
      </c>
      <c r="AS18" s="329">
        <f>Financials!Z169</f>
        <v>27338.374848425388</v>
      </c>
      <c r="AT18" s="329">
        <f>Financials!AA169</f>
        <v>24278.474048946475</v>
      </c>
    </row>
    <row r="19" spans="1:47">
      <c r="A19" s="9" t="s">
        <v>299</v>
      </c>
      <c r="B19" s="151">
        <f>Financials!O171</f>
        <v>3.625490674850667</v>
      </c>
      <c r="C19" s="151">
        <f>Financials!P171</f>
        <v>2.5658350398177103</v>
      </c>
      <c r="D19" s="151">
        <f>Financials!Q171</f>
        <v>2.3843801197927235</v>
      </c>
      <c r="E19" s="151">
        <f>Financials!R171</f>
        <v>2.5518729265397351</v>
      </c>
      <c r="F19" s="151">
        <f>Financials!S171</f>
        <v>4.0772132527151825</v>
      </c>
      <c r="G19" s="151">
        <f>Financials!T171</f>
        <v>3.2682320903464706</v>
      </c>
      <c r="H19" s="151">
        <f>Financials!U171</f>
        <v>23.968220459901673</v>
      </c>
      <c r="I19" s="151">
        <f>Financials!V171</f>
        <v>4.674690692131481</v>
      </c>
      <c r="J19" s="151">
        <f>Financials!W171</f>
        <v>3.0086816191183967</v>
      </c>
      <c r="K19" s="151">
        <f>Financials!X171</f>
        <v>2.3165522409338952</v>
      </c>
      <c r="L19" s="515">
        <f>Financials!Y171</f>
        <v>2.6586220028321574</v>
      </c>
      <c r="M19" s="515">
        <f>Financials!Z171</f>
        <v>2.3138650219506696</v>
      </c>
      <c r="N19" s="515">
        <f>Financials!AA171</f>
        <v>1.9093202998258916</v>
      </c>
      <c r="P19" s="9" t="s">
        <v>1037</v>
      </c>
      <c r="Q19" s="153">
        <f>+Financials!O37</f>
        <v>0.4510749767782869</v>
      </c>
      <c r="R19" s="153">
        <f>+Financials!P37</f>
        <v>0.41614100368614304</v>
      </c>
      <c r="S19" s="153">
        <f>+Financials!Q37</f>
        <v>0.16766067763829295</v>
      </c>
      <c r="T19" s="153">
        <f>+Financials!R37</f>
        <v>0.12803753193442646</v>
      </c>
      <c r="U19" s="153">
        <f>+Financials!S37</f>
        <v>8.5293791987847589E-2</v>
      </c>
      <c r="V19" s="153">
        <f>+Financials!T37</f>
        <v>0.25994181416040885</v>
      </c>
      <c r="W19" s="153">
        <f>+Financials!U37</f>
        <v>-0.3380505338707489</v>
      </c>
      <c r="X19" s="153">
        <f>+Financials!V37</f>
        <v>0.38664470699747411</v>
      </c>
      <c r="Y19" s="153">
        <f>+Financials!W37</f>
        <v>0.28947151947127847</v>
      </c>
      <c r="Z19" s="153">
        <f>+Financials!X37</f>
        <v>0.10750548751037026</v>
      </c>
      <c r="AA19" s="1007">
        <f>+Financials!Y37</f>
        <v>3.0407365200435299E-2</v>
      </c>
      <c r="AB19" s="1007">
        <f>+Financials!Z37</f>
        <v>9.4870052898210711E-2</v>
      </c>
      <c r="AC19" s="1007">
        <f>+Financials!AA37</f>
        <v>6.8150856939880988E-2</v>
      </c>
      <c r="AD19" s="1992"/>
      <c r="AF19" s="9" t="s">
        <v>299</v>
      </c>
      <c r="AG19" s="151"/>
      <c r="AH19" s="151">
        <f>Financials!O168</f>
        <v>3.625490674850667</v>
      </c>
      <c r="AI19" s="151">
        <f>Financials!P168</f>
        <v>2.5658350398177103</v>
      </c>
      <c r="AJ19" s="151">
        <f>Financials!Q168</f>
        <v>2.3843801197927235</v>
      </c>
      <c r="AK19" s="151">
        <f>Financials!R168</f>
        <v>2.5518729265397351</v>
      </c>
      <c r="AL19" s="515">
        <f>Financials!S168</f>
        <v>4.0772132527151825</v>
      </c>
      <c r="AM19" s="515">
        <f>Financials!T171</f>
        <v>3.2682320903464706</v>
      </c>
      <c r="AN19" s="515">
        <f>Financials!U171</f>
        <v>23.968220459901673</v>
      </c>
      <c r="AO19" s="515">
        <f>Financials!V171</f>
        <v>4.674690692131481</v>
      </c>
      <c r="AP19" s="515">
        <f>Financials!W171</f>
        <v>3.0086816191183967</v>
      </c>
      <c r="AQ19" s="515">
        <f>Financials!X171</f>
        <v>2.3165522409338952</v>
      </c>
      <c r="AR19" s="515">
        <f>Financials!Y171</f>
        <v>2.6586220028321574</v>
      </c>
      <c r="AS19" s="515">
        <f>Financials!Z171</f>
        <v>2.3138650219506696</v>
      </c>
      <c r="AT19" s="515">
        <f>Financials!AA171</f>
        <v>1.9093202998258916</v>
      </c>
    </row>
    <row r="20" spans="1:47">
      <c r="G20" s="154"/>
      <c r="H20" s="154"/>
      <c r="P20" s="36" t="s">
        <v>731</v>
      </c>
      <c r="Q20" s="1005">
        <f>Financials!O38</f>
        <v>20668</v>
      </c>
      <c r="R20" s="1005">
        <f>Financials!P38</f>
        <v>19896</v>
      </c>
      <c r="S20" s="1005">
        <f>Financials!Q38</f>
        <v>21986</v>
      </c>
      <c r="T20" s="1005">
        <f>Financials!R38</f>
        <v>23677</v>
      </c>
      <c r="U20" s="92">
        <f>Financials!S38</f>
        <v>25462</v>
      </c>
      <c r="V20" s="92">
        <f>Financials!T38</f>
        <v>27217</v>
      </c>
      <c r="W20" s="92">
        <f>Financials!U38</f>
        <v>19067</v>
      </c>
      <c r="X20" s="92">
        <f>Financials!V38</f>
        <v>26015</v>
      </c>
      <c r="Y20" s="92">
        <f>Financials!W38</f>
        <v>33468</v>
      </c>
      <c r="Z20" s="92">
        <f>Financials!X38</f>
        <v>39358</v>
      </c>
      <c r="AA20" s="329">
        <f>Financials!Y38</f>
        <v>43061.606390245215</v>
      </c>
      <c r="AB20" s="329">
        <f>Financials!Z38</f>
        <v>45599.366837764588</v>
      </c>
      <c r="AC20" s="329">
        <f>Financials!AA38</f>
        <v>48364.973472081801</v>
      </c>
      <c r="AD20" s="1991"/>
      <c r="AO20" s="329"/>
      <c r="AP20" s="329"/>
      <c r="AQ20" s="329"/>
      <c r="AR20" s="329"/>
      <c r="AS20" s="329"/>
      <c r="AT20" s="329"/>
    </row>
    <row r="21" spans="1:47">
      <c r="P21" s="36" t="s">
        <v>949</v>
      </c>
      <c r="Q21" s="1005">
        <f>Financials!O39</f>
        <v>1468</v>
      </c>
      <c r="R21" s="1005">
        <f>Financials!P39</f>
        <v>5673</v>
      </c>
      <c r="S21" s="1005">
        <f>Financials!Q39</f>
        <v>7591</v>
      </c>
      <c r="T21" s="1005">
        <f>Financials!R39</f>
        <v>8570</v>
      </c>
      <c r="U21" s="92">
        <f>Financials!S39</f>
        <v>9887</v>
      </c>
      <c r="V21" s="92">
        <f>Financials!T39</f>
        <v>21207</v>
      </c>
      <c r="W21" s="92">
        <f>Financials!U39</f>
        <v>13860</v>
      </c>
      <c r="X21" s="92">
        <f>Financials!V39</f>
        <v>18414</v>
      </c>
      <c r="Y21" s="92">
        <f>Financials!W39</f>
        <v>21976</v>
      </c>
      <c r="Z21" s="92">
        <f>Financials!X39</f>
        <v>22966</v>
      </c>
      <c r="AA21" s="329">
        <f>Financials!Y39</f>
        <v>24034.949605353468</v>
      </c>
      <c r="AB21" s="329">
        <f>Financials!Z39</f>
        <v>27931.995653906328</v>
      </c>
      <c r="AC21" s="329">
        <f>Financials!AA39</f>
        <v>30430.845077785587</v>
      </c>
      <c r="AD21" s="1991"/>
      <c r="AO21" s="515"/>
      <c r="AP21" s="515"/>
      <c r="AQ21" s="515"/>
      <c r="AR21" s="515"/>
      <c r="AS21" s="515"/>
      <c r="AT21" s="515"/>
    </row>
    <row r="22" spans="1:47">
      <c r="G22" s="92"/>
      <c r="H22" s="92"/>
      <c r="I22" s="92"/>
      <c r="J22" s="92"/>
      <c r="K22" s="92"/>
      <c r="P22" s="36" t="s">
        <v>733</v>
      </c>
      <c r="Q22" s="1005">
        <f>Financials!O40</f>
        <v>4621</v>
      </c>
      <c r="R22" s="1005">
        <f>Financials!P40</f>
        <v>6718</v>
      </c>
      <c r="S22" s="1005">
        <f>Financials!Q40</f>
        <v>8124</v>
      </c>
      <c r="T22" s="1005">
        <f>Financials!R40</f>
        <v>10283</v>
      </c>
      <c r="U22" s="92">
        <f>Financials!S40</f>
        <v>10194.977999999999</v>
      </c>
      <c r="V22" s="92">
        <f>Financials!T40</f>
        <v>9732.4130000000005</v>
      </c>
      <c r="W22" s="92">
        <f>Financials!U40</f>
        <v>5586.9660000000003</v>
      </c>
      <c r="X22" s="92">
        <f>Financials!V40</f>
        <v>8962.0789999999997</v>
      </c>
      <c r="Y22" s="92">
        <f>Financials!W40</f>
        <v>13387.712</v>
      </c>
      <c r="Z22" s="92">
        <f>Financials!X40</f>
        <v>13905.773000000001</v>
      </c>
      <c r="AA22" s="329">
        <f>Financials!Y40</f>
        <v>11451.235320549225</v>
      </c>
      <c r="AB22" s="329">
        <f>Financials!Z40</f>
        <v>12469.62177028326</v>
      </c>
      <c r="AC22" s="329">
        <f>Financials!AA40</f>
        <v>13066.206487212175</v>
      </c>
      <c r="AD22" s="1991"/>
    </row>
    <row r="23" spans="1:47">
      <c r="A23" s="132" t="s">
        <v>289</v>
      </c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P23" s="13" t="s">
        <v>187</v>
      </c>
      <c r="Q23" s="925">
        <f>Financials!O72</f>
        <v>4988</v>
      </c>
      <c r="R23" s="925">
        <f>Financials!P72</f>
        <v>6778</v>
      </c>
      <c r="S23" s="925">
        <f>Financials!Q72</f>
        <v>7942</v>
      </c>
      <c r="T23" s="925">
        <f>Financials!R72</f>
        <v>8896</v>
      </c>
      <c r="U23" s="925">
        <f>Financials!S72</f>
        <v>9225</v>
      </c>
      <c r="V23" s="925">
        <f>Financials!T72</f>
        <v>11214</v>
      </c>
      <c r="W23" s="925">
        <f>Financials!U72</f>
        <v>4351</v>
      </c>
      <c r="X23" s="925">
        <f>Financials!V72</f>
        <v>10631</v>
      </c>
      <c r="Y23" s="925">
        <f>Financials!W72</f>
        <v>12759</v>
      </c>
      <c r="Z23" s="925">
        <f>Financials!X72</f>
        <v>14757</v>
      </c>
      <c r="AA23" s="926">
        <f>Financials!Y72</f>
        <v>15251.113402670067</v>
      </c>
      <c r="AB23" s="926">
        <f>Financials!Z72</f>
        <v>16362.969838781037</v>
      </c>
      <c r="AC23" s="926">
        <f>Financials!AA72</f>
        <v>17482.47821919655</v>
      </c>
      <c r="AD23" s="1990"/>
      <c r="AF23" s="132" t="s">
        <v>291</v>
      </c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 t="s">
        <v>641</v>
      </c>
      <c r="AS23" s="2040">
        <v>45447</v>
      </c>
      <c r="AT23" s="133"/>
      <c r="AU23" s="133"/>
    </row>
    <row r="24" spans="1:47">
      <c r="A24" s="134" t="s">
        <v>199</v>
      </c>
      <c r="B24" s="135"/>
      <c r="C24" s="135"/>
      <c r="D24" s="135"/>
      <c r="E24" s="135"/>
      <c r="F24" s="135"/>
      <c r="G24" s="135"/>
      <c r="H24" s="135"/>
      <c r="I24" s="1803"/>
      <c r="J24" s="1803"/>
      <c r="K24" s="1803"/>
      <c r="L24" s="1927">
        <v>80.753330000000005</v>
      </c>
      <c r="M24" s="137"/>
      <c r="N24" s="137"/>
      <c r="P24" s="36" t="s">
        <v>731</v>
      </c>
      <c r="Q24" s="1002">
        <f>Financials!O73</f>
        <v>4019</v>
      </c>
      <c r="R24" s="1002">
        <f>Financials!P73</f>
        <v>4675</v>
      </c>
      <c r="S24" s="1002">
        <f>Financials!Q73</f>
        <v>5215</v>
      </c>
      <c r="T24" s="1002">
        <f>Financials!R73</f>
        <v>5608</v>
      </c>
      <c r="U24" s="99">
        <f>Financials!S73</f>
        <v>5901</v>
      </c>
      <c r="V24" s="99">
        <f>Financials!T73</f>
        <v>6200</v>
      </c>
      <c r="W24" s="99">
        <f>Financials!U73</f>
        <v>2867</v>
      </c>
      <c r="X24" s="99">
        <f>Financials!V73</f>
        <v>5951</v>
      </c>
      <c r="Y24" s="99">
        <f>Financials!W73</f>
        <v>7567</v>
      </c>
      <c r="Z24" s="99">
        <f>Financials!X73</f>
        <v>9005</v>
      </c>
      <c r="AA24" s="295">
        <f>Financials!Y73</f>
        <v>10132.023750099506</v>
      </c>
      <c r="AB24" s="295">
        <f>Financials!Z73</f>
        <v>10619.119697261831</v>
      </c>
      <c r="AC24" s="295">
        <f>Financials!AA73</f>
        <v>11263.353681451592</v>
      </c>
      <c r="AD24" s="1993"/>
      <c r="AF24" s="134" t="s">
        <v>199</v>
      </c>
      <c r="AG24" s="155"/>
      <c r="AH24" s="155"/>
      <c r="AI24" s="155"/>
      <c r="AJ24" s="155"/>
      <c r="AK24" s="135"/>
      <c r="AL24" s="135"/>
      <c r="AM24" s="156"/>
      <c r="AN24" s="156"/>
      <c r="AO24" s="139"/>
      <c r="AP24" s="139"/>
      <c r="AQ24" s="139"/>
      <c r="AR24" s="1777">
        <v>90</v>
      </c>
      <c r="AS24" s="155"/>
      <c r="AT24" s="155"/>
    </row>
    <row r="25" spans="1:47">
      <c r="A25" s="9" t="s">
        <v>337</v>
      </c>
      <c r="B25" s="92">
        <v>22016.62427</v>
      </c>
      <c r="C25" s="92">
        <v>32098.096430000001</v>
      </c>
      <c r="D25" s="92">
        <v>37549.12874</v>
      </c>
      <c r="E25" s="92">
        <v>42626.833310000002</v>
      </c>
      <c r="F25" s="92">
        <v>45450.839870000003</v>
      </c>
      <c r="G25" s="92">
        <v>58146.621500000001</v>
      </c>
      <c r="H25" s="92">
        <v>39124.849929999997</v>
      </c>
      <c r="I25" s="92">
        <v>52316.597249999999</v>
      </c>
      <c r="J25" s="92">
        <v>67903.032399999996</v>
      </c>
      <c r="K25" s="92">
        <v>76231.047999999995</v>
      </c>
      <c r="L25" s="1913">
        <v>79953.880492782904</v>
      </c>
      <c r="M25" s="1913">
        <v>89250.994188629207</v>
      </c>
      <c r="N25" s="1913">
        <v>102825.47031179001</v>
      </c>
      <c r="P25" s="36" t="s">
        <v>949</v>
      </c>
      <c r="Q25" s="1002">
        <f>Financials!O74</f>
        <v>290</v>
      </c>
      <c r="R25" s="1002">
        <f>Financials!P74</f>
        <v>1082</v>
      </c>
      <c r="S25" s="1002">
        <f>Financials!Q74</f>
        <v>1500</v>
      </c>
      <c r="T25" s="1002">
        <f>Financials!R74</f>
        <v>1726</v>
      </c>
      <c r="U25" s="99">
        <f>Financials!S74</f>
        <v>1916</v>
      </c>
      <c r="V25" s="99">
        <f>Financials!T74</f>
        <v>3751</v>
      </c>
      <c r="W25" s="99">
        <f>Financials!U74</f>
        <v>1187</v>
      </c>
      <c r="X25" s="99">
        <f>Financials!V74</f>
        <v>3422</v>
      </c>
      <c r="Y25" s="99">
        <f>Financials!W74</f>
        <v>3224</v>
      </c>
      <c r="Z25" s="99">
        <f>Financials!X74</f>
        <v>3541</v>
      </c>
      <c r="AA25" s="295">
        <f>Financials!Y74</f>
        <v>3479.4100071203366</v>
      </c>
      <c r="AB25" s="295">
        <f>Financials!Z74</f>
        <v>3986.7761517215631</v>
      </c>
      <c r="AC25" s="295">
        <f>Financials!AA74</f>
        <v>4371.1994678118299</v>
      </c>
      <c r="AD25" s="1993"/>
      <c r="AF25" s="13" t="s">
        <v>642</v>
      </c>
      <c r="AR25" s="1778">
        <v>106</v>
      </c>
    </row>
    <row r="26" spans="1:47">
      <c r="A26" s="9" t="s">
        <v>335</v>
      </c>
      <c r="B26" s="92">
        <v>2766.5856399999998</v>
      </c>
      <c r="C26" s="92">
        <v>4187.8774999999996</v>
      </c>
      <c r="D26" s="92">
        <v>5171.0612099999998</v>
      </c>
      <c r="E26" s="92">
        <v>5863.2974999999997</v>
      </c>
      <c r="F26" s="92">
        <v>6370.9260000000004</v>
      </c>
      <c r="G26" s="92">
        <v>8019.1090899999999</v>
      </c>
      <c r="H26" s="92">
        <v>5542.23063</v>
      </c>
      <c r="I26" s="92">
        <v>10829.05933</v>
      </c>
      <c r="J26" s="92">
        <v>14184.73439</v>
      </c>
      <c r="K26" s="92">
        <v>15960.388999999999</v>
      </c>
      <c r="L26" s="1913">
        <v>16738.807727569099</v>
      </c>
      <c r="M26" s="1913">
        <v>17839.970219895102</v>
      </c>
      <c r="N26" s="1913">
        <v>21795.584425911398</v>
      </c>
      <c r="P26" s="36" t="s">
        <v>733</v>
      </c>
      <c r="Q26" s="1002">
        <f>Financials!O75</f>
        <v>679</v>
      </c>
      <c r="R26" s="1002">
        <f>Financials!P75</f>
        <v>1021</v>
      </c>
      <c r="S26" s="1002">
        <f>Financials!Q75</f>
        <v>1227</v>
      </c>
      <c r="T26" s="1002">
        <f>Financials!R75</f>
        <v>1562</v>
      </c>
      <c r="U26" s="99">
        <f>Financials!S75</f>
        <v>1408</v>
      </c>
      <c r="V26" s="99">
        <f>Financials!T75</f>
        <v>1263</v>
      </c>
      <c r="W26" s="99">
        <f>Financials!U75</f>
        <v>297</v>
      </c>
      <c r="X26" s="99">
        <f>Financials!V75</f>
        <v>1258</v>
      </c>
      <c r="Y26" s="99">
        <f>Financials!W75</f>
        <v>1968</v>
      </c>
      <c r="Z26" s="99">
        <f>Financials!X75</f>
        <v>2211</v>
      </c>
      <c r="AA26" s="295">
        <f>Financials!Y75</f>
        <v>1639.6796454502253</v>
      </c>
      <c r="AB26" s="295">
        <f>Financials!Z75</f>
        <v>1757.0739897976418</v>
      </c>
      <c r="AC26" s="295">
        <f>Financials!AA75</f>
        <v>1847.9250699331251</v>
      </c>
      <c r="AD26" s="1994"/>
      <c r="AF26" s="13" t="s">
        <v>643</v>
      </c>
      <c r="AR26" s="1778">
        <v>66</v>
      </c>
    </row>
    <row r="27" spans="1:47">
      <c r="A27" s="12" t="s">
        <v>288</v>
      </c>
      <c r="B27" s="415">
        <v>0.12565893872158085</v>
      </c>
      <c r="C27" s="415">
        <v>0.13047121062562025</v>
      </c>
      <c r="D27" s="415">
        <v>0.13771454581025785</v>
      </c>
      <c r="E27" s="415">
        <v>0.13754945053881132</v>
      </c>
      <c r="F27" s="415">
        <v>0.14017179920596262</v>
      </c>
      <c r="G27" s="415">
        <v>0.13791186629819929</v>
      </c>
      <c r="H27" s="415">
        <v>0.14165500033650866</v>
      </c>
      <c r="I27" s="415">
        <v>0.20699089580028068</v>
      </c>
      <c r="J27" s="415">
        <v>0.20889692092749601</v>
      </c>
      <c r="K27" s="516">
        <v>0.20936861579024862</v>
      </c>
      <c r="L27" s="516">
        <v>0.20935578891733767</v>
      </c>
      <c r="M27" s="516">
        <v>0.19988539491437909</v>
      </c>
      <c r="N27" s="516">
        <v>0.21196678565945065</v>
      </c>
      <c r="P27" s="12" t="s">
        <v>1035</v>
      </c>
      <c r="Q27" s="153">
        <f>Financials!O80</f>
        <v>0.21876948306060612</v>
      </c>
      <c r="R27" s="153">
        <f>Financials!P80</f>
        <v>0.20992074671082869</v>
      </c>
      <c r="S27" s="153">
        <f>Financials!Q80</f>
        <v>0.21065269791546398</v>
      </c>
      <c r="T27" s="153">
        <f>Financials!R80</f>
        <v>0.20917432081420165</v>
      </c>
      <c r="U27" s="153">
        <f>Financials!S80</f>
        <v>0.19986311380751667</v>
      </c>
      <c r="V27" s="153">
        <f>Financials!T80</f>
        <v>0.19283077067360721</v>
      </c>
      <c r="W27" s="153">
        <f>Financials!U80</f>
        <v>0.11302643569095844</v>
      </c>
      <c r="X27" s="153">
        <f>Financials!V80</f>
        <v>0.19915896877880146</v>
      </c>
      <c r="Y27" s="153">
        <f>Financials!W80</f>
        <v>0.18536623706320834</v>
      </c>
      <c r="Z27" s="153">
        <f>Financials!X80</f>
        <v>0.19358254132882971</v>
      </c>
      <c r="AA27" s="1007">
        <f>Financials!Y80</f>
        <v>0.19416042131653813</v>
      </c>
      <c r="AB27" s="1007">
        <f>Financials!Z80</f>
        <v>0.19026491358448117</v>
      </c>
      <c r="AC27" s="1007">
        <f>Financials!AA80</f>
        <v>0.1903123539040191</v>
      </c>
      <c r="AD27" s="1992"/>
      <c r="AF27" s="9" t="s">
        <v>337</v>
      </c>
      <c r="AG27" s="157"/>
      <c r="AH27" s="157"/>
      <c r="AI27" s="520"/>
      <c r="AJ27" s="520"/>
      <c r="AK27" s="1506">
        <v>42529.120999999999</v>
      </c>
      <c r="AL27" s="1506">
        <v>46156.591</v>
      </c>
      <c r="AM27" s="1506">
        <v>58154.618999999999</v>
      </c>
      <c r="AN27" s="1506">
        <v>38495.419000000002</v>
      </c>
      <c r="AO27" s="1506">
        <v>53379.468999999997</v>
      </c>
      <c r="AP27" s="1506">
        <v>68831.304999999993</v>
      </c>
      <c r="AQ27" s="1506">
        <v>76231.047999999995</v>
      </c>
      <c r="AR27" s="520">
        <v>82020.043523564003</v>
      </c>
      <c r="AS27" s="520">
        <v>88756.926051856106</v>
      </c>
      <c r="AT27" s="520">
        <v>97541.870310459402</v>
      </c>
    </row>
    <row r="28" spans="1:47">
      <c r="A28" s="9" t="s">
        <v>336</v>
      </c>
      <c r="B28" s="92">
        <v>1422.4372000000001</v>
      </c>
      <c r="C28" s="92">
        <v>2500.2701000000002</v>
      </c>
      <c r="D28" s="92">
        <v>2835.5497099999998</v>
      </c>
      <c r="E28" s="92">
        <v>3136.4134600000002</v>
      </c>
      <c r="F28" s="92">
        <v>3384.94562</v>
      </c>
      <c r="G28" s="92">
        <v>4261.3795</v>
      </c>
      <c r="H28" s="92">
        <v>-2844.66408</v>
      </c>
      <c r="I28" s="92">
        <v>3270.9005000000002</v>
      </c>
      <c r="J28" s="92">
        <v>6431.6884200000004</v>
      </c>
      <c r="K28" s="92">
        <v>7429.7839999999997</v>
      </c>
      <c r="L28" s="329">
        <v>8949.1865500000004</v>
      </c>
      <c r="M28" s="329">
        <v>10290.7165</v>
      </c>
      <c r="N28" s="329">
        <v>11284.335999999999</v>
      </c>
      <c r="P28" s="36" t="s">
        <v>731</v>
      </c>
      <c r="Q28" s="1006">
        <f>Financials!O81</f>
        <v>0.19445519643893941</v>
      </c>
      <c r="R28" s="1006">
        <f>Financials!P81</f>
        <v>0.2349718536389224</v>
      </c>
      <c r="S28" s="1006">
        <f>Financials!Q81</f>
        <v>0.23719639770763212</v>
      </c>
      <c r="T28" s="1006">
        <f>Financials!R81</f>
        <v>0.23685433120750096</v>
      </c>
      <c r="U28" s="153">
        <f>Financials!S81</f>
        <v>0.2317571282695782</v>
      </c>
      <c r="V28" s="153">
        <f>Financials!T81</f>
        <v>0.22779880221920124</v>
      </c>
      <c r="W28" s="153">
        <f>Financials!U81</f>
        <v>0.1503645041170609</v>
      </c>
      <c r="X28" s="153">
        <f>Financials!V81</f>
        <v>0.22875264270613108</v>
      </c>
      <c r="Y28" s="153">
        <f>Financials!W81</f>
        <v>0.2260965698577746</v>
      </c>
      <c r="Z28" s="153">
        <f>Financials!X81</f>
        <v>0.22879719497941969</v>
      </c>
      <c r="AA28" s="45">
        <f>Financials!Y81</f>
        <v>0.23529135579100743</v>
      </c>
      <c r="AB28" s="45">
        <f>Financials!Z81</f>
        <v>0.23287866550961106</v>
      </c>
      <c r="AC28" s="45">
        <f>Financials!AA81</f>
        <v>0.23288245341338293</v>
      </c>
      <c r="AD28" s="1989"/>
      <c r="AF28" s="9" t="s">
        <v>335</v>
      </c>
      <c r="AG28" s="157"/>
      <c r="AH28" s="157"/>
      <c r="AI28" s="520"/>
      <c r="AJ28" s="520"/>
      <c r="AK28" s="1506">
        <v>6466.2439999999997</v>
      </c>
      <c r="AL28" s="1506">
        <v>6408.317</v>
      </c>
      <c r="AM28" s="1506">
        <v>12617.558999999999</v>
      </c>
      <c r="AN28" s="1506">
        <v>6924.7359999999999</v>
      </c>
      <c r="AO28" s="1506">
        <v>12311.269</v>
      </c>
      <c r="AP28" s="1506">
        <v>14049.794</v>
      </c>
      <c r="AQ28" s="1506">
        <v>15960.388999999999</v>
      </c>
      <c r="AR28" s="520">
        <v>17751.129672820702</v>
      </c>
      <c r="AS28" s="520">
        <v>19386.665132608501</v>
      </c>
      <c r="AT28" s="520">
        <v>21501.1135268533</v>
      </c>
    </row>
    <row r="29" spans="1:47">
      <c r="A29" s="9" t="s">
        <v>40</v>
      </c>
      <c r="B29" s="92">
        <v>699.89526999999998</v>
      </c>
      <c r="C29" s="92">
        <v>932.94307000000003</v>
      </c>
      <c r="D29" s="92">
        <v>962.77099999999996</v>
      </c>
      <c r="E29" s="92">
        <v>1093.0222699999999</v>
      </c>
      <c r="F29" s="92">
        <v>1155.3095000000001</v>
      </c>
      <c r="G29" s="92">
        <v>828.70288000000005</v>
      </c>
      <c r="H29" s="92">
        <v>-3868.6752499999998</v>
      </c>
      <c r="I29" s="92">
        <v>211.35464999999999</v>
      </c>
      <c r="J29" s="92">
        <v>1743.9660799999999</v>
      </c>
      <c r="K29" s="1913">
        <v>3014.279</v>
      </c>
      <c r="L29" s="1913">
        <v>2247.1735243264902</v>
      </c>
      <c r="M29" s="1913">
        <v>3087.1761939205949</v>
      </c>
      <c r="N29" s="1913">
        <v>4569.0253452163597</v>
      </c>
      <c r="P29" s="36" t="s">
        <v>949</v>
      </c>
      <c r="Q29" s="1006">
        <f>Financials!O82</f>
        <v>0.19754768392370572</v>
      </c>
      <c r="R29" s="1006">
        <f>Financials!P82</f>
        <v>0.1907280098713203</v>
      </c>
      <c r="S29" s="1006">
        <f>Financials!Q82</f>
        <v>0.19760242392306679</v>
      </c>
      <c r="T29" s="1006">
        <f>Financials!R82</f>
        <v>0.2014002333722287</v>
      </c>
      <c r="U29" s="153">
        <f>Financials!S82</f>
        <v>0.19378982502275716</v>
      </c>
      <c r="V29" s="153">
        <f>Financials!T82</f>
        <v>0.17687555995661811</v>
      </c>
      <c r="W29" s="153">
        <f>Financials!U82</f>
        <v>8.5642135642135644E-2</v>
      </c>
      <c r="X29" s="153">
        <f>Financials!V82</f>
        <v>0.18583686325621809</v>
      </c>
      <c r="Y29" s="153">
        <f>Financials!W82</f>
        <v>0.14670549690571533</v>
      </c>
      <c r="Z29" s="153">
        <f>Financials!X82</f>
        <v>0.15418444657319516</v>
      </c>
      <c r="AA29" s="45">
        <f>Financials!Y82</f>
        <v>0.14476460588647724</v>
      </c>
      <c r="AB29" s="45">
        <f>Financials!Z82</f>
        <v>0.14273151840348389</v>
      </c>
      <c r="AC29" s="45">
        <f>Financials!AA82</f>
        <v>0.14364370942175347</v>
      </c>
      <c r="AD29" s="1989"/>
      <c r="AF29" s="12" t="s">
        <v>288</v>
      </c>
      <c r="AG29" s="145"/>
      <c r="AH29" s="145"/>
      <c r="AI29" s="521"/>
      <c r="AJ29" s="521"/>
      <c r="AK29" s="1507">
        <v>0.15204273796300699</v>
      </c>
      <c r="AL29" s="1507">
        <v>0.13883861136971701</v>
      </c>
      <c r="AM29" s="1507">
        <v>0.216965723737267</v>
      </c>
      <c r="AN29" s="1507">
        <v>0.179884676667632</v>
      </c>
      <c r="AO29" s="1507">
        <v>0.23063678284248201</v>
      </c>
      <c r="AP29" s="1507">
        <v>0.20411924486975799</v>
      </c>
      <c r="AQ29" s="1507">
        <v>0.20936861579024901</v>
      </c>
      <c r="AR29" s="1508">
        <v>0.216424289847162</v>
      </c>
      <c r="AS29" s="1508">
        <v>0.21842425143567801</v>
      </c>
      <c r="AT29" s="1508">
        <v>0.22042958022456299</v>
      </c>
    </row>
    <row r="30" spans="1:47">
      <c r="A30" s="9" t="s">
        <v>95</v>
      </c>
      <c r="B30" s="408" t="s">
        <v>290</v>
      </c>
      <c r="C30" s="408" t="s">
        <v>290</v>
      </c>
      <c r="D30" s="408" t="s">
        <v>290</v>
      </c>
      <c r="E30" s="408" t="s">
        <v>290</v>
      </c>
      <c r="F30" s="408" t="s">
        <v>290</v>
      </c>
      <c r="G30" s="408" t="s">
        <v>290</v>
      </c>
      <c r="H30" s="408" t="s">
        <v>290</v>
      </c>
      <c r="I30" s="408" t="s">
        <v>290</v>
      </c>
      <c r="J30" s="408" t="s">
        <v>290</v>
      </c>
      <c r="K30" s="408" t="s">
        <v>290</v>
      </c>
      <c r="L30" s="517" t="s">
        <v>290</v>
      </c>
      <c r="M30" s="517" t="s">
        <v>290</v>
      </c>
      <c r="N30" s="517" t="s">
        <v>290</v>
      </c>
      <c r="P30" s="36" t="s">
        <v>733</v>
      </c>
      <c r="Q30" s="1006">
        <f>Financials!O83</f>
        <v>0.14693789223111881</v>
      </c>
      <c r="R30" s="1006">
        <f>Financials!P83</f>
        <v>0.15197975587972612</v>
      </c>
      <c r="S30" s="1006">
        <f>Financials!Q83</f>
        <v>0.15103397341211225</v>
      </c>
      <c r="T30" s="1006">
        <f>Financials!R83</f>
        <v>0.15190119614898376</v>
      </c>
      <c r="U30" s="153">
        <f>Financials!S83</f>
        <v>0.13810721317888083</v>
      </c>
      <c r="V30" s="153">
        <f>Financials!T83</f>
        <v>0.12977254458889073</v>
      </c>
      <c r="W30" s="153">
        <f>Financials!U83</f>
        <v>5.3159442889038518E-2</v>
      </c>
      <c r="X30" s="153">
        <f>Financials!V83</f>
        <v>0.14036921566971236</v>
      </c>
      <c r="Y30" s="153">
        <f>Financials!W83</f>
        <v>0.14700047326981638</v>
      </c>
      <c r="Z30" s="153">
        <f>Financials!X83</f>
        <v>0.15899871226144707</v>
      </c>
      <c r="AA30" s="45">
        <f>Financials!Y83</f>
        <v>0.14318801417938049</v>
      </c>
      <c r="AB30" s="45">
        <f>Financials!Z83</f>
        <v>0.14090836291321834</v>
      </c>
      <c r="AC30" s="45">
        <f>Financials!AA83</f>
        <v>0.14142781776345562</v>
      </c>
      <c r="AD30" s="1989"/>
      <c r="AF30" s="9" t="s">
        <v>336</v>
      </c>
      <c r="AG30" s="143"/>
      <c r="AH30" s="143"/>
      <c r="AI30" s="522"/>
      <c r="AJ30" s="522"/>
      <c r="AK30" s="1506">
        <v>3714.5680000000002</v>
      </c>
      <c r="AL30" s="1506">
        <v>3293.5889999999999</v>
      </c>
      <c r="AM30" s="1506">
        <v>4570.8940000000002</v>
      </c>
      <c r="AN30" s="1506">
        <v>-1453.798</v>
      </c>
      <c r="AO30" s="1506">
        <v>4132.9409999999998</v>
      </c>
      <c r="AP30" s="1506">
        <v>6341.4970000000003</v>
      </c>
      <c r="AQ30" s="1506">
        <v>7900.3590000000004</v>
      </c>
      <c r="AR30" s="520">
        <v>9451.3575058588194</v>
      </c>
      <c r="AS30" s="520">
        <v>10600.803986652199</v>
      </c>
      <c r="AT30" s="520">
        <v>12125.4071835226</v>
      </c>
    </row>
    <row r="31" spans="1:47">
      <c r="A31" s="9" t="s">
        <v>98</v>
      </c>
      <c r="B31" s="92">
        <v>8871.4251399999994</v>
      </c>
      <c r="C31" s="92">
        <v>10994.02513</v>
      </c>
      <c r="D31" s="92">
        <v>10445.23569</v>
      </c>
      <c r="E31" s="92">
        <v>13116.31</v>
      </c>
      <c r="F31" s="92">
        <v>20170.45246</v>
      </c>
      <c r="G31" s="92">
        <v>32160.399829999998</v>
      </c>
      <c r="H31" s="92">
        <v>38759.954129999998</v>
      </c>
      <c r="I31" s="92">
        <v>40841.575230000002</v>
      </c>
      <c r="J31" s="92">
        <v>35781.985500000003</v>
      </c>
      <c r="K31" s="92">
        <v>31220.541140000001</v>
      </c>
      <c r="L31" s="329">
        <v>28404.805830000001</v>
      </c>
      <c r="M31" s="329">
        <v>26545.801670000001</v>
      </c>
      <c r="N31" s="329">
        <v>23505.4866</v>
      </c>
      <c r="P31" s="13" t="s">
        <v>335</v>
      </c>
      <c r="Q31" s="170">
        <f>Financials!O69</f>
        <v>2793.0920000000001</v>
      </c>
      <c r="R31" s="170">
        <f>Financials!P69</f>
        <v>4301.7290000000003</v>
      </c>
      <c r="S31" s="170">
        <f>Financials!Q69</f>
        <v>5155.2379999999994</v>
      </c>
      <c r="T31" s="170">
        <f>Financials!R69</f>
        <v>6466.2439999999997</v>
      </c>
      <c r="U31" s="170">
        <f>Financials!S69</f>
        <v>6408.3169999999991</v>
      </c>
      <c r="V31" s="170">
        <f>Financials!T69</f>
        <v>7668.168999999999</v>
      </c>
      <c r="W31" s="170">
        <f>Financials!U69</f>
        <v>1436.7419999999979</v>
      </c>
      <c r="X31" s="170">
        <f>Financials!V69</f>
        <v>6536.2869999999994</v>
      </c>
      <c r="Y31" s="170">
        <f>Financials!W69</f>
        <v>8824.5059999999976</v>
      </c>
      <c r="Z31" s="170">
        <f>Financials!X69</f>
        <v>10794.628999999997</v>
      </c>
      <c r="AA31" s="328">
        <f>Financials!Y69</f>
        <v>11095.110051713798</v>
      </c>
      <c r="AB31" s="328">
        <f>Financials!Z69</f>
        <v>11815.025763852975</v>
      </c>
      <c r="AC31" s="328">
        <f>Financials!AA69</f>
        <v>12715.768041203142</v>
      </c>
      <c r="AD31" s="1990"/>
      <c r="AF31" s="9" t="s">
        <v>40</v>
      </c>
      <c r="AG31" s="143"/>
      <c r="AH31" s="143"/>
      <c r="AI31" s="522"/>
      <c r="AJ31" s="522"/>
      <c r="AK31" s="1506">
        <v>1089.4690000000001</v>
      </c>
      <c r="AL31" s="1506">
        <v>953.25300000000004</v>
      </c>
      <c r="AM31" s="1506">
        <v>926.67</v>
      </c>
      <c r="AN31" s="1506">
        <v>-3186.047</v>
      </c>
      <c r="AO31" s="1506">
        <v>835.13</v>
      </c>
      <c r="AP31" s="1506">
        <v>1632.335</v>
      </c>
      <c r="AQ31" s="1506">
        <v>2930.7289999999998</v>
      </c>
      <c r="AR31" s="520">
        <v>3821.1343939140702</v>
      </c>
      <c r="AS31" s="520">
        <v>4883.1374471950803</v>
      </c>
      <c r="AT31" s="520">
        <v>6222.6259562984997</v>
      </c>
    </row>
    <row r="32" spans="1:47">
      <c r="A32" s="9" t="s">
        <v>299</v>
      </c>
      <c r="B32" s="416">
        <v>3.2066331190817574</v>
      </c>
      <c r="C32" s="416">
        <v>2.6252021769977754</v>
      </c>
      <c r="D32" s="416">
        <v>2.0199404466148256</v>
      </c>
      <c r="E32" s="416">
        <v>2.2370193564286991</v>
      </c>
      <c r="F32" s="416">
        <v>3.1660158130858842</v>
      </c>
      <c r="G32" s="416">
        <v>4.0104704237163578</v>
      </c>
      <c r="H32" s="416">
        <v>6.9935657170585843</v>
      </c>
      <c r="I32" s="416">
        <v>3.7714794965482938</v>
      </c>
      <c r="J32" s="416">
        <v>2.5225700049220312</v>
      </c>
      <c r="K32" s="416">
        <v>1.9561265793709666</v>
      </c>
      <c r="L32" s="518">
        <v>1.6969431928665268</v>
      </c>
      <c r="M32" s="518">
        <v>1.4879958510466667</v>
      </c>
      <c r="N32" s="518">
        <v>1.0784517698940803</v>
      </c>
      <c r="P32" s="12" t="s">
        <v>288</v>
      </c>
      <c r="Q32" s="149">
        <f>Financials!O70</f>
        <v>0.12250266499212399</v>
      </c>
      <c r="R32" s="149">
        <f>Financials!P70</f>
        <v>0.13322841012505554</v>
      </c>
      <c r="S32" s="149">
        <f>Financials!Q70</f>
        <v>0.13673694196629571</v>
      </c>
      <c r="T32" s="149">
        <f>Financials!R70</f>
        <v>0.15204273796300657</v>
      </c>
      <c r="U32" s="149">
        <f>Financials!S70</f>
        <v>0.13883861136971748</v>
      </c>
      <c r="V32" s="149">
        <f>Financials!T70</f>
        <v>0.13185829658689707</v>
      </c>
      <c r="W32" s="149">
        <f>Financials!U70</f>
        <v>3.732241490864141E-2</v>
      </c>
      <c r="X32" s="149">
        <f>Financials!V70</f>
        <v>0.12244945711243399</v>
      </c>
      <c r="Y32" s="149">
        <f>Financials!W70</f>
        <v>0.12820483354194717</v>
      </c>
      <c r="Z32" s="149">
        <f>Financials!X70</f>
        <v>0.14160410073333896</v>
      </c>
      <c r="AA32" s="514">
        <f>Financials!Y70</f>
        <v>0.14125075234290496</v>
      </c>
      <c r="AB32" s="514">
        <f>Financials!Z70</f>
        <v>0.13738244818065184</v>
      </c>
      <c r="AC32" s="514">
        <f>Financials!AA70</f>
        <v>0.13842246604154979</v>
      </c>
      <c r="AD32" s="1995"/>
      <c r="AF32" s="9" t="s">
        <v>227</v>
      </c>
      <c r="AG32" s="146"/>
      <c r="AH32" s="146"/>
      <c r="AI32" s="523"/>
      <c r="AJ32" s="523"/>
      <c r="AK32" s="1509">
        <v>1.3070229740267501</v>
      </c>
      <c r="AL32" s="1509">
        <v>1.14271517621673</v>
      </c>
      <c r="AM32" s="1509">
        <v>0.91322382175496997</v>
      </c>
      <c r="AN32" s="1509">
        <v>-4.4224376863446597</v>
      </c>
      <c r="AO32" s="1509">
        <v>0.58182219307137395</v>
      </c>
      <c r="AP32" s="1509">
        <v>2.0039551428915998</v>
      </c>
      <c r="AQ32" s="1509">
        <v>3.4238154261520499</v>
      </c>
      <c r="AR32" s="1510">
        <v>3.65905347659027</v>
      </c>
      <c r="AS32" s="1510">
        <v>4.4068605301243302</v>
      </c>
      <c r="AT32" s="1510">
        <v>5.5391249335825101</v>
      </c>
    </row>
    <row r="33" spans="1:46">
      <c r="A33" s="9" t="s">
        <v>344</v>
      </c>
      <c r="B33" s="22"/>
      <c r="C33" s="22"/>
      <c r="D33" s="22"/>
      <c r="E33" s="22"/>
      <c r="F33" s="22"/>
      <c r="G33" s="262">
        <v>0.91164460345855503</v>
      </c>
      <c r="H33" s="262">
        <v>-4.4224376863446651</v>
      </c>
      <c r="I33" s="262">
        <v>0.58178750298116033</v>
      </c>
      <c r="J33" s="262">
        <v>2.0266829268292659</v>
      </c>
      <c r="K33" s="262">
        <v>3.7114030800755948</v>
      </c>
      <c r="L33" s="1912">
        <v>2.7560264685518332</v>
      </c>
      <c r="M33" s="1912">
        <v>3.7877275767641931</v>
      </c>
      <c r="N33" s="1912">
        <v>5.6056663999694001</v>
      </c>
      <c r="P33" s="1004" t="s">
        <v>1038</v>
      </c>
      <c r="Q33" s="1012">
        <f>Financials!O116</f>
        <v>0.79592406876790867</v>
      </c>
      <c r="R33" s="1012">
        <f>Financials!P116</f>
        <v>1.1715892537313437</v>
      </c>
      <c r="S33" s="1012">
        <f>Financials!Q116</f>
        <v>1.1943809181349627</v>
      </c>
      <c r="T33" s="1012">
        <f>Financials!R116</f>
        <v>1.3082000480307392</v>
      </c>
      <c r="U33" s="1012">
        <f>Financials!S116</f>
        <v>1.1408006223073228</v>
      </c>
      <c r="V33" s="1012">
        <f>Financials!T116</f>
        <v>0.9116446034585548</v>
      </c>
      <c r="W33" s="1012">
        <f>Financials!U116</f>
        <v>-4.4224376863446651</v>
      </c>
      <c r="X33" s="1012">
        <f>Financials!V116</f>
        <v>0.58178750298115978</v>
      </c>
      <c r="Y33" s="1012">
        <f>Financials!W116</f>
        <v>2.0266829268292659</v>
      </c>
      <c r="Z33" s="1012">
        <f>Financials!X116</f>
        <v>3.4455921946399881</v>
      </c>
      <c r="AA33" s="1013">
        <f>Financials!Y116</f>
        <v>1.8038153532335182</v>
      </c>
      <c r="AB33" s="1013">
        <f>Financials!Z116</f>
        <v>2.7072657434168819</v>
      </c>
      <c r="AC33" s="1013">
        <f>Financials!AA116</f>
        <v>3.6333146399804575</v>
      </c>
      <c r="AD33" s="1992"/>
      <c r="AF33" s="9" t="s">
        <v>95</v>
      </c>
      <c r="AG33" s="143"/>
      <c r="AH33" s="143"/>
      <c r="AI33" s="522"/>
      <c r="AJ33" s="522"/>
      <c r="AK33" s="1506">
        <v>-1607.7719999999999</v>
      </c>
      <c r="AL33" s="1506">
        <v>1534.845</v>
      </c>
      <c r="AM33" s="1506">
        <v>2.8074789556603701</v>
      </c>
      <c r="AN33" s="1506">
        <v>-5752.1515655124904</v>
      </c>
      <c r="AO33" s="1506">
        <v>5789.2367862566898</v>
      </c>
      <c r="AP33" s="1506">
        <v>4661.1758330704697</v>
      </c>
      <c r="AQ33" s="1506">
        <v>5135.65767391811</v>
      </c>
      <c r="AR33" s="520">
        <v>480.41006197574097</v>
      </c>
      <c r="AS33" s="520">
        <v>4201.6352216744099</v>
      </c>
      <c r="AT33" s="520">
        <v>6260.5635605503503</v>
      </c>
    </row>
    <row r="34" spans="1:46">
      <c r="A34" s="9" t="s">
        <v>1361</v>
      </c>
      <c r="B34" s="148"/>
      <c r="C34" s="148"/>
      <c r="D34" s="148"/>
      <c r="E34" s="148"/>
      <c r="F34" s="148"/>
      <c r="G34" s="92">
        <v>4828.8850000000002</v>
      </c>
      <c r="H34" s="92">
        <v>1779.9180000000003</v>
      </c>
      <c r="I34" s="92">
        <v>2541.7869999999998</v>
      </c>
      <c r="J34" s="92">
        <v>4223.424</v>
      </c>
      <c r="K34" s="92">
        <v>4242.0780000000004</v>
      </c>
      <c r="L34" s="329" t="s">
        <v>136</v>
      </c>
      <c r="M34" s="329">
        <v>6488.9280037621502</v>
      </c>
      <c r="N34" s="329">
        <v>7197.78292182527</v>
      </c>
      <c r="P34" s="9" t="s">
        <v>95</v>
      </c>
      <c r="Q34" s="92">
        <f>DCF!O30</f>
        <v>-10042.570993238607</v>
      </c>
      <c r="R34" s="92">
        <f>DCF!P30</f>
        <v>292.62689018369014</v>
      </c>
      <c r="S34" s="92">
        <f>DCF!Q30</f>
        <v>840.58646095660902</v>
      </c>
      <c r="T34" s="92">
        <f>DCF!R30</f>
        <v>1801.9193842000252</v>
      </c>
      <c r="U34" s="92">
        <f>DCF!S30</f>
        <v>-9775.59542569107</v>
      </c>
      <c r="V34" s="92">
        <f>DCF!T30</f>
        <v>463.74050173589148</v>
      </c>
      <c r="W34" s="92">
        <f>DCF!U30</f>
        <v>-5101.0065045963192</v>
      </c>
      <c r="X34" s="92">
        <f>DCF!V30</f>
        <v>6429.4415389247324</v>
      </c>
      <c r="Y34" s="92">
        <f>DCF!W30</f>
        <v>4340.5562337693764</v>
      </c>
      <c r="Z34" s="92">
        <f ca="1">DCF!X30</f>
        <v>4645.9445717082544</v>
      </c>
      <c r="AA34" s="329">
        <f>DCF!Y30</f>
        <v>-1245.7336257050802</v>
      </c>
      <c r="AB34" s="329">
        <f>DCF!Z30</f>
        <v>3814.2356384793125</v>
      </c>
      <c r="AC34" s="329">
        <f ca="1">DCF!AA30</f>
        <v>5336.250947340478</v>
      </c>
      <c r="AD34" s="1991"/>
      <c r="AF34" s="9" t="s">
        <v>98</v>
      </c>
      <c r="AG34" s="143"/>
      <c r="AH34" s="143"/>
      <c r="AI34" s="522"/>
      <c r="AJ34" s="522"/>
      <c r="AK34" s="1506">
        <v>16501.032999999999</v>
      </c>
      <c r="AL34" s="1506">
        <v>26113.778999999999</v>
      </c>
      <c r="AM34" s="1506">
        <v>24975.884999999998</v>
      </c>
      <c r="AN34" s="1506">
        <v>30891.091</v>
      </c>
      <c r="AO34" s="1506">
        <v>25976.253000000001</v>
      </c>
      <c r="AP34" s="1506">
        <v>21532.225999999999</v>
      </c>
      <c r="AQ34" s="1506">
        <v>19546.319</v>
      </c>
      <c r="AR34" s="520">
        <v>22442.381779329</v>
      </c>
      <c r="AS34" s="520">
        <v>20642.002584455298</v>
      </c>
      <c r="AT34" s="520">
        <v>16663.247938974</v>
      </c>
    </row>
    <row r="35" spans="1:46">
      <c r="P35" s="9" t="s">
        <v>607</v>
      </c>
      <c r="Q35" s="92">
        <f>DCF!O30+DCF!O28</f>
        <v>-22452.977993238608</v>
      </c>
      <c r="R35" s="92">
        <f>DCF!P30+DCF!P28</f>
        <v>-3146.5651098163098</v>
      </c>
      <c r="S35" s="92">
        <f>DCF!Q30+DCF!Q28</f>
        <v>-4198.0025390433902</v>
      </c>
      <c r="T35" s="92">
        <f>DCF!R30+DCF!R28</f>
        <v>-1472.3966157999755</v>
      </c>
      <c r="U35" s="92">
        <f>DCF!S30+DCF!S28</f>
        <v>-27273.321425691069</v>
      </c>
      <c r="V35" s="92">
        <f>DCF!T30-DCF!T28</f>
        <v>5292.6255017358917</v>
      </c>
      <c r="W35" s="92">
        <f>DCF!U30-DCF!U28</f>
        <v>-3321.0885045963191</v>
      </c>
      <c r="X35" s="92">
        <f>DCF!V30-DCF!V28</f>
        <v>8971.2285389247318</v>
      </c>
      <c r="Y35" s="92">
        <f>DCF!W30-DCF!W28</f>
        <v>8563.9802337693764</v>
      </c>
      <c r="Z35" s="92">
        <f ca="1">DCF!X30-DCF!X28</f>
        <v>9385.4575717082553</v>
      </c>
      <c r="AA35" s="329">
        <f>DCF!Y30-DCF!Y28</f>
        <v>4322.5012087884897</v>
      </c>
      <c r="AB35" s="329">
        <f>DCF!Z30-DCF!Z28</f>
        <v>9031.1978303944288</v>
      </c>
      <c r="AC35" s="329">
        <f ca="1">DCF!AA30-DCF!AA28</f>
        <v>10442.221359182648</v>
      </c>
      <c r="AD35" s="1991"/>
      <c r="AF35" s="9" t="s">
        <v>299</v>
      </c>
      <c r="AG35" s="144"/>
      <c r="AH35" s="144"/>
      <c r="AI35" s="524"/>
      <c r="AJ35" s="524"/>
      <c r="AK35" s="809">
        <f>+IFERROR(AK34/AK28,NA())</f>
        <v>2.5518729265397346</v>
      </c>
      <c r="AL35" s="809">
        <f t="shared" ref="AL35:AS35" si="9">+IFERROR(AL34/AL28,NA())</f>
        <v>4.0749824017756922</v>
      </c>
      <c r="AM35" s="809">
        <f t="shared" si="9"/>
        <v>1.9794545838858373</v>
      </c>
      <c r="AN35" s="809">
        <f t="shared" si="9"/>
        <v>4.4609774293200495</v>
      </c>
      <c r="AO35" s="809">
        <f t="shared" si="9"/>
        <v>2.1099573894453933</v>
      </c>
      <c r="AP35" s="809">
        <f t="shared" si="9"/>
        <v>1.5325652461523633</v>
      </c>
      <c r="AQ35" s="809">
        <f t="shared" si="9"/>
        <v>1.2246768546806723</v>
      </c>
      <c r="AR35" s="142">
        <f t="shared" si="9"/>
        <v>1.2642790736688279</v>
      </c>
      <c r="AS35" s="142">
        <f t="shared" si="9"/>
        <v>1.0647526247170438</v>
      </c>
      <c r="AT35" s="142">
        <f t="shared" ref="AT35" si="10">+IFERROR(AT34/AT28,NA())</f>
        <v>0.77499464937770945</v>
      </c>
    </row>
    <row r="36" spans="1:46">
      <c r="P36" s="9" t="s">
        <v>476</v>
      </c>
      <c r="Q36" s="92">
        <f>-Financials!O157</f>
        <v>12410.406999999999</v>
      </c>
      <c r="R36" s="92">
        <f>-Financials!P157</f>
        <v>3439.192</v>
      </c>
      <c r="S36" s="92">
        <f>-Financials!Q157</f>
        <v>5038.588999999999</v>
      </c>
      <c r="T36" s="92">
        <f>-Financials!R157</f>
        <v>3274.3160000000007</v>
      </c>
      <c r="U36" s="92">
        <f>-Financials!S157</f>
        <v>17497.725999999999</v>
      </c>
      <c r="V36" s="92">
        <f>-Financials!T157</f>
        <v>4828.8850000000002</v>
      </c>
      <c r="W36" s="92">
        <f>-Financials!U157</f>
        <v>1779.9180000000001</v>
      </c>
      <c r="X36" s="92">
        <f>-Financials!V157</f>
        <v>2541.7869999999998</v>
      </c>
      <c r="Y36" s="92">
        <f>-Financials!W157</f>
        <v>4223.424</v>
      </c>
      <c r="Z36" s="92">
        <f>-Financials!X157</f>
        <v>4739.5130000000008</v>
      </c>
      <c r="AA36" s="329">
        <f>-Financials!Y157</f>
        <v>5568.2348344935699</v>
      </c>
      <c r="AB36" s="329">
        <f>-Financials!Z157</f>
        <v>5216.9621919151159</v>
      </c>
      <c r="AC36" s="329">
        <f>-Financials!AA157</f>
        <v>5105.9704118421696</v>
      </c>
      <c r="AD36" s="1991"/>
    </row>
    <row r="37" spans="1:46">
      <c r="A37" s="132" t="s">
        <v>409</v>
      </c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P37" s="13" t="s">
        <v>98</v>
      </c>
      <c r="Q37" s="92">
        <f>Financials!O166</f>
        <v>10126.329</v>
      </c>
      <c r="R37" s="92">
        <f>Financials!P166</f>
        <v>11037.527</v>
      </c>
      <c r="S37" s="92">
        <f>Financials!Q166</f>
        <v>12292.046999999999</v>
      </c>
      <c r="T37" s="92">
        <f>Financials!R166</f>
        <v>16501.033000000003</v>
      </c>
      <c r="U37" s="92">
        <f>Financials!S166</f>
        <v>26128.074999999997</v>
      </c>
      <c r="V37" s="92">
        <f>Financials!T166</f>
        <v>47623.216</v>
      </c>
      <c r="W37" s="92">
        <f>Financials!U166</f>
        <v>59736.148999999998</v>
      </c>
      <c r="X37" s="92">
        <f>Financials!V166</f>
        <v>54318.394</v>
      </c>
      <c r="Y37" s="92">
        <f>Financials!W166</f>
        <v>48531.94</v>
      </c>
      <c r="Z37" s="92">
        <f>Financials!X166</f>
        <v>43336.389000000003</v>
      </c>
      <c r="AA37" s="329">
        <f>Financials!Y166</f>
        <v>48346.069794778654</v>
      </c>
      <c r="AB37" s="329">
        <f>Financials!Z166</f>
        <v>46531.55116345975</v>
      </c>
      <c r="AC37" s="329">
        <f>Financials!AA166</f>
        <v>43880.669059927197</v>
      </c>
      <c r="AD37" s="1991"/>
      <c r="AF37" s="132" t="s">
        <v>416</v>
      </c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S37" s="133"/>
      <c r="AT37" s="133"/>
    </row>
    <row r="38" spans="1:46">
      <c r="A38" s="134" t="s">
        <v>199</v>
      </c>
      <c r="B38" s="135"/>
      <c r="C38" s="135"/>
      <c r="D38" s="135"/>
      <c r="E38" s="135"/>
      <c r="F38" s="135"/>
      <c r="G38" s="135"/>
      <c r="H38" s="135"/>
      <c r="I38" s="138"/>
      <c r="J38" s="138"/>
      <c r="K38" s="138"/>
      <c r="L38" s="139">
        <f ca="1">L8/L24-1</f>
        <v>-0.4427474384028498</v>
      </c>
      <c r="M38" s="138"/>
      <c r="N38" s="138"/>
      <c r="P38" s="9" t="s">
        <v>299</v>
      </c>
      <c r="Q38" s="151">
        <f>Financials!O168</f>
        <v>3.625490674850667</v>
      </c>
      <c r="R38" s="151">
        <f>Financials!P168</f>
        <v>2.5658350398177103</v>
      </c>
      <c r="S38" s="151">
        <f>Financials!Q168</f>
        <v>2.3843801197927235</v>
      </c>
      <c r="T38" s="151">
        <f>Financials!R171</f>
        <v>2.5518729265397351</v>
      </c>
      <c r="U38" s="151">
        <f>Financials!S171</f>
        <v>4.0772132527151825</v>
      </c>
      <c r="V38" s="151">
        <f>Financials!T171</f>
        <v>3.2682320903464706</v>
      </c>
      <c r="W38" s="151">
        <f>Financials!U171</f>
        <v>23.968220459901673</v>
      </c>
      <c r="X38" s="151">
        <f>Financials!V171</f>
        <v>4.674690692131481</v>
      </c>
      <c r="Y38" s="151">
        <f>Financials!W171</f>
        <v>3.0086816191183967</v>
      </c>
      <c r="Z38" s="151">
        <f>Financials!X171</f>
        <v>2.3165522409338952</v>
      </c>
      <c r="AA38" s="515">
        <f>Financials!Y171</f>
        <v>2.6586220028321574</v>
      </c>
      <c r="AB38" s="515">
        <f>Financials!Z171</f>
        <v>2.3138650219506696</v>
      </c>
      <c r="AC38" s="515">
        <f>Financials!AA171</f>
        <v>1.9093202998258916</v>
      </c>
      <c r="AD38" s="440"/>
      <c r="AF38" s="134" t="s">
        <v>199</v>
      </c>
      <c r="AG38" s="139"/>
      <c r="AH38" s="139"/>
      <c r="AI38" s="139"/>
      <c r="AJ38" s="139"/>
      <c r="AK38" s="135"/>
      <c r="AL38" s="135"/>
      <c r="AM38" s="139"/>
      <c r="AN38" s="139"/>
      <c r="AO38" s="139"/>
      <c r="AP38" s="139"/>
      <c r="AQ38" s="139"/>
      <c r="AR38" s="1838">
        <f>IFERROR(AR8/AR24-1,"NM")</f>
        <v>-0.27777777777777779</v>
      </c>
      <c r="AS38" s="139"/>
      <c r="AT38" s="139"/>
    </row>
    <row r="39" spans="1:46">
      <c r="A39" s="9" t="s">
        <v>337</v>
      </c>
      <c r="B39" s="154">
        <f t="shared" ref="B39:M39" si="11">IF(ISNUMBER(B9/B25-1),B9/B25-1,"N/A")</f>
        <v>3.5592683073934372E-2</v>
      </c>
      <c r="C39" s="154">
        <f t="shared" si="11"/>
        <v>5.9280640026415643E-3</v>
      </c>
      <c r="D39" s="154">
        <f t="shared" si="11"/>
        <v>4.0676911855290765E-3</v>
      </c>
      <c r="E39" s="154">
        <f t="shared" si="11"/>
        <v>-2.2922723179880089E-3</v>
      </c>
      <c r="F39" s="154">
        <f t="shared" si="11"/>
        <v>1.5527790729909619E-2</v>
      </c>
      <c r="G39" s="154">
        <f>IF(ISNUMBER(G9/G25-1),G9/G25-1,"N/A")</f>
        <v>1.3754023524814585E-4</v>
      </c>
      <c r="H39" s="154">
        <f t="shared" si="11"/>
        <v>-1.6087753208667621E-2</v>
      </c>
      <c r="I39" s="154">
        <f t="shared" si="11"/>
        <v>2.0316148332831352E-2</v>
      </c>
      <c r="J39" s="154">
        <f t="shared" si="11"/>
        <v>1.3670561787753277E-2</v>
      </c>
      <c r="K39" s="154">
        <f t="shared" ref="K39" si="12">IF(ISNUMBER(K9/K25-1),K9/K25-1,"N/A")</f>
        <v>0</v>
      </c>
      <c r="L39" s="519">
        <f t="shared" si="11"/>
        <v>-1.7570719119277878E-2</v>
      </c>
      <c r="M39" s="519">
        <f t="shared" si="11"/>
        <v>-3.6414271417596011E-2</v>
      </c>
      <c r="N39" s="519">
        <f t="shared" ref="N39" si="13">IF(ISNUMBER(N9/N25-1),N9/N25-1,"N/A")</f>
        <v>-0.10662188309440068</v>
      </c>
      <c r="P39" s="9" t="s">
        <v>1293</v>
      </c>
      <c r="Q39" s="151">
        <f>+Financials!O135/Financials!O69</f>
        <v>4.0239200856971413</v>
      </c>
      <c r="R39" s="151">
        <f>+Financials!P135/Financials!P69</f>
        <v>2.8438195432580713</v>
      </c>
      <c r="S39" s="151">
        <f>+Financials!Q135/Financials!Q69</f>
        <v>2.878604052809977</v>
      </c>
      <c r="T39" s="151">
        <f>+Financials!R135/Financials!R69</f>
        <v>2.7900951464250348</v>
      </c>
      <c r="U39" s="151">
        <f>+Financials!S135/Financials!S69</f>
        <v>4.3874127949662913</v>
      </c>
      <c r="V39" s="151">
        <f>+Financials!T135/Financials!T69</f>
        <v>3.6106070432198356</v>
      </c>
      <c r="W39" s="151">
        <f>+Financials!U135/Financials!U69</f>
        <v>26.704967906555286</v>
      </c>
      <c r="X39" s="151">
        <f>+Financials!V135/Financials!V69</f>
        <v>5.729331193688405</v>
      </c>
      <c r="Y39" s="151">
        <f>+Financials!W135/Financials!W69</f>
        <v>3.6999054677961585</v>
      </c>
      <c r="Z39" s="151">
        <f>+Financials!X135/Financials!X69</f>
        <v>2.9103473588578184</v>
      </c>
      <c r="AA39" s="515"/>
      <c r="AB39" s="515"/>
      <c r="AC39" s="515"/>
      <c r="AD39" s="440"/>
      <c r="AF39" s="13" t="s">
        <v>642</v>
      </c>
      <c r="AR39" s="923">
        <f>IFERROR(AR9/AR25-1,"NM")</f>
        <v>-0.21698113207547165</v>
      </c>
    </row>
    <row r="40" spans="1:46">
      <c r="A40" s="9" t="s">
        <v>335</v>
      </c>
      <c r="B40" s="154">
        <f t="shared" ref="B40:M40" si="14">IF(ISNUMBER(B10/B26-1),B10/B26-1,"N/A")</f>
        <v>9.58089264137163E-3</v>
      </c>
      <c r="C40" s="154">
        <f t="shared" si="14"/>
        <v>2.7185967115800569E-2</v>
      </c>
      <c r="D40" s="154">
        <f t="shared" si="14"/>
        <v>-3.0599541094971094E-3</v>
      </c>
      <c r="E40" s="154">
        <f t="shared" si="14"/>
        <v>0.10283402812154763</v>
      </c>
      <c r="F40" s="154">
        <f t="shared" si="14"/>
        <v>5.8690055417374154E-3</v>
      </c>
      <c r="G40" s="154">
        <f>IF(ISNUMBER(G10/G26-1),G10/G26-1,"N/A")</f>
        <v>0.57343650752106146</v>
      </c>
      <c r="H40" s="154">
        <f t="shared" si="14"/>
        <v>0.24944926732505857</v>
      </c>
      <c r="I40" s="154">
        <f t="shared" si="14"/>
        <v>0.13687335389268762</v>
      </c>
      <c r="J40" s="154">
        <f t="shared" si="14"/>
        <v>-9.513071326533451E-3</v>
      </c>
      <c r="K40" s="154">
        <f t="shared" ref="K40" si="15">IF(ISNUMBER(K10/K26-1),K10/K26-1,"N/A")</f>
        <v>-2.2204460492503131E-16</v>
      </c>
      <c r="L40" s="519">
        <f t="shared" si="14"/>
        <v>-5.7011153832356776E-2</v>
      </c>
      <c r="M40" s="519">
        <f t="shared" si="14"/>
        <v>-6.401246533224858E-2</v>
      </c>
      <c r="N40" s="519">
        <f t="shared" ref="N40" si="16">IF(ISNUMBER(N10/N26-1),N10/N26-1,"N/A")</f>
        <v>-0.18170430545194849</v>
      </c>
      <c r="P40" s="9" t="s">
        <v>1115</v>
      </c>
      <c r="Q40" s="1111"/>
      <c r="R40" s="1111"/>
      <c r="S40" s="1111">
        <f>Financials!Q118</f>
        <v>0.77282871868632386</v>
      </c>
      <c r="T40" s="1111">
        <f>Financials!R118</f>
        <v>0.86383045148895299</v>
      </c>
      <c r="U40" s="1111">
        <f>Financials!S118</f>
        <v>0.86182862613690758</v>
      </c>
      <c r="V40" s="1111">
        <f>Financials!T118</f>
        <v>0</v>
      </c>
      <c r="W40" s="1111">
        <f>Financials!U118</f>
        <v>0</v>
      </c>
      <c r="X40" s="1111">
        <f>Financials!V118</f>
        <v>0</v>
      </c>
      <c r="Y40" s="1111">
        <f>Financials!W118</f>
        <v>0</v>
      </c>
      <c r="Z40" s="1111">
        <f>Financials!X118</f>
        <v>0</v>
      </c>
      <c r="AA40" s="1112">
        <f>Financials!Y118</f>
        <v>1.2000208588957055</v>
      </c>
      <c r="AB40" s="1112">
        <f>Financials!Z118</f>
        <v>0</v>
      </c>
      <c r="AC40" s="1112">
        <f>Financials!AA118</f>
        <v>0</v>
      </c>
      <c r="AD40" s="440"/>
      <c r="AF40" s="13" t="s">
        <v>643</v>
      </c>
      <c r="AR40" s="923">
        <f>IFERROR(AR10/AR26-1,"NM")</f>
        <v>-0.31818181818181823</v>
      </c>
    </row>
    <row r="41" spans="1:46">
      <c r="A41" s="12" t="s">
        <v>288</v>
      </c>
      <c r="B41" s="415">
        <f t="shared" ref="B41:M41" si="17">IFERROR(B11-B27,"NM")</f>
        <v>-3.1562737294568571E-3</v>
      </c>
      <c r="C41" s="415">
        <f t="shared" si="17"/>
        <v>2.7571994994352866E-3</v>
      </c>
      <c r="D41" s="415">
        <f t="shared" si="17"/>
        <v>-9.7760384396214373E-4</v>
      </c>
      <c r="E41" s="415">
        <f t="shared" si="17"/>
        <v>1.4493287424195256E-2</v>
      </c>
      <c r="F41" s="415">
        <f t="shared" si="17"/>
        <v>-1.3331878362451421E-3</v>
      </c>
      <c r="G41" s="415">
        <f>IFERROR(G11-G27,"NM")</f>
        <v>7.9053857439067343E-2</v>
      </c>
      <c r="H41" s="415">
        <f t="shared" si="17"/>
        <v>3.8229676331122814E-2</v>
      </c>
      <c r="I41" s="415">
        <f t="shared" si="17"/>
        <v>2.364588704220133E-2</v>
      </c>
      <c r="J41" s="415">
        <f t="shared" si="17"/>
        <v>-4.777676057738045E-3</v>
      </c>
      <c r="K41" s="415">
        <f t="shared" ref="K41" si="18">IFERROR(K11-K27,"NM")</f>
        <v>-5.5511151231257827E-17</v>
      </c>
      <c r="L41" s="516">
        <f t="shared" si="17"/>
        <v>-8.4047610197419131E-3</v>
      </c>
      <c r="M41" s="516">
        <f t="shared" si="17"/>
        <v>-5.7249456129550569E-3</v>
      </c>
      <c r="N41" s="516">
        <f t="shared" ref="N41" si="19">IFERROR(N11-N27,"NM")</f>
        <v>-1.7814382763011422E-2</v>
      </c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440"/>
      <c r="AF41" s="9" t="s">
        <v>337</v>
      </c>
      <c r="AG41" s="149"/>
      <c r="AH41" s="415" t="str">
        <f t="shared" ref="AH41:AM42" si="20">IFERROR(AH11/AH27-1,"NM")</f>
        <v>NM</v>
      </c>
      <c r="AI41" s="415" t="str">
        <f t="shared" si="20"/>
        <v>NM</v>
      </c>
      <c r="AJ41" s="415" t="str">
        <f t="shared" si="20"/>
        <v>NM</v>
      </c>
      <c r="AK41" s="415">
        <f t="shared" si="20"/>
        <v>0</v>
      </c>
      <c r="AL41" s="516">
        <f t="shared" si="20"/>
        <v>0</v>
      </c>
      <c r="AM41" s="516">
        <f t="shared" si="20"/>
        <v>0</v>
      </c>
      <c r="AN41" s="516">
        <f>IFERROR(AN11/AN27-1,"NM")</f>
        <v>0</v>
      </c>
      <c r="AO41" s="516">
        <f>IFERROR(AO11/AO27-1,"NM")</f>
        <v>0</v>
      </c>
      <c r="AP41" s="516">
        <f t="shared" ref="AP41:AS42" si="21">IFERROR(AP11/AP27-1,"NM")</f>
        <v>2.2204460492503131E-16</v>
      </c>
      <c r="AQ41" s="516">
        <f>IFERROR(AQ11/AQ27-1,"NM")</f>
        <v>0</v>
      </c>
      <c r="AR41" s="1999">
        <f t="shared" si="21"/>
        <v>-4.2319048592297959E-2</v>
      </c>
      <c r="AS41" s="1999">
        <f t="shared" si="21"/>
        <v>-3.1050442061183792E-2</v>
      </c>
      <c r="AT41" s="1999">
        <f t="shared" ref="AT41" si="22">IFERROR(AT11/AT27-1,"NM")</f>
        <v>-5.8229817157512298E-2</v>
      </c>
    </row>
    <row r="42" spans="1:46">
      <c r="A42" s="9" t="s">
        <v>336</v>
      </c>
      <c r="B42" s="154">
        <f t="shared" ref="B42:M42" si="23">IF(ISNUMBER(B12/B28-1),B12/B28-1,"N/A")</f>
        <v>2.4306029116786476E-2</v>
      </c>
      <c r="C42" s="154">
        <f t="shared" si="23"/>
        <v>-5.8568512257935468E-2</v>
      </c>
      <c r="D42" s="154">
        <f t="shared" si="23"/>
        <v>-2.4174398973947242E-2</v>
      </c>
      <c r="E42" s="154">
        <f t="shared" si="23"/>
        <v>0.18433620036817455</v>
      </c>
      <c r="F42" s="154">
        <f t="shared" si="23"/>
        <v>-2.6989095322601075E-2</v>
      </c>
      <c r="G42" s="154">
        <f>IF(ISNUMBER(G12/G28-1),G12/G28-1,"N/A")</f>
        <v>0.96187056327651588</v>
      </c>
      <c r="H42" s="154">
        <f t="shared" si="23"/>
        <v>-1.9039281713712914</v>
      </c>
      <c r="I42" s="154">
        <f t="shared" si="23"/>
        <v>1.6204480998428412</v>
      </c>
      <c r="J42" s="154">
        <f t="shared" si="23"/>
        <v>0.66345107246348833</v>
      </c>
      <c r="K42" s="154">
        <f t="shared" ref="K42" si="24">IF(ISNUMBER(K12/K28-1),K12/K28-1,"N/A")</f>
        <v>0.62141779626433236</v>
      </c>
      <c r="L42" s="519">
        <f t="shared" si="23"/>
        <v>-0.17015104146460391</v>
      </c>
      <c r="M42" s="519">
        <f t="shared" si="23"/>
        <v>-0.23499561003173741</v>
      </c>
      <c r="N42" s="519">
        <f t="shared" ref="N42" si="25">IF(ISNUMBER(N12/N28-1),N12/N28-1,"N/A")</f>
        <v>-0.21911591376839301</v>
      </c>
      <c r="P42" s="1003" t="s">
        <v>415</v>
      </c>
      <c r="Q42" s="1004"/>
      <c r="R42" s="1004"/>
      <c r="S42" s="1004"/>
      <c r="T42" s="1004"/>
      <c r="U42" s="1004"/>
      <c r="V42" s="1004"/>
      <c r="W42" s="1004"/>
      <c r="X42" s="1004"/>
      <c r="Y42" s="1004"/>
      <c r="Z42" s="1004"/>
      <c r="AA42" s="1004"/>
      <c r="AD42" s="440"/>
      <c r="AF42" s="9" t="s">
        <v>335</v>
      </c>
      <c r="AG42" s="149"/>
      <c r="AH42" s="415" t="str">
        <f t="shared" si="20"/>
        <v>NM</v>
      </c>
      <c r="AI42" s="415" t="str">
        <f t="shared" si="20"/>
        <v>NM</v>
      </c>
      <c r="AJ42" s="415" t="str">
        <f t="shared" si="20"/>
        <v>NM</v>
      </c>
      <c r="AK42" s="415">
        <f t="shared" si="20"/>
        <v>0</v>
      </c>
      <c r="AL42" s="516">
        <f t="shared" si="20"/>
        <v>-1.1102230246251565E-16</v>
      </c>
      <c r="AM42" s="516">
        <f t="shared" si="20"/>
        <v>-1.1102230246251565E-16</v>
      </c>
      <c r="AN42" s="516">
        <f>IFERROR(AN12/AN28-1,"NM")</f>
        <v>-2.2204460492503131E-16</v>
      </c>
      <c r="AO42" s="516">
        <f>IFERROR(AO12/AO28-1,"NM")</f>
        <v>0</v>
      </c>
      <c r="AP42" s="516">
        <f t="shared" si="21"/>
        <v>-1.1102230246251565E-16</v>
      </c>
      <c r="AQ42" s="516">
        <f>IFERROR(AQ12/AQ28-1,"NM")</f>
        <v>-2.2204460492503131E-16</v>
      </c>
      <c r="AR42" s="1999">
        <f t="shared" si="21"/>
        <v>-0.11078848072353609</v>
      </c>
      <c r="AS42" s="1999">
        <f t="shared" si="21"/>
        <v>-0.13868684322712166</v>
      </c>
      <c r="AT42" s="1999">
        <f t="shared" ref="AT42" si="26">IFERROR(AT12/AT28-1,"NM")</f>
        <v>-0.17049724547489242</v>
      </c>
    </row>
    <row r="43" spans="1:46">
      <c r="A43" s="9" t="s">
        <v>40</v>
      </c>
      <c r="B43" s="154">
        <f t="shared" ref="B43:L43" si="27">IF(ISNUMBER(B13/B29-1),B13/B29-1,"N/A")</f>
        <v>-4.7477489024890018E-2</v>
      </c>
      <c r="C43" s="154">
        <f t="shared" si="27"/>
        <v>5.173191328812754E-2</v>
      </c>
      <c r="D43" s="154">
        <f t="shared" si="27"/>
        <v>3.5004170254398614E-2</v>
      </c>
      <c r="E43" s="154">
        <f t="shared" si="27"/>
        <v>-3.2508669745596741E-3</v>
      </c>
      <c r="F43" s="154">
        <f t="shared" si="27"/>
        <v>-0.17489382715194601</v>
      </c>
      <c r="G43" s="154">
        <f>IF(ISNUMBER(G13/G29-1),G13/G29-1,"N/A")</f>
        <v>0.1182174243197962</v>
      </c>
      <c r="H43" s="154">
        <f t="shared" si="27"/>
        <v>-0.17645012979572205</v>
      </c>
      <c r="I43" s="154">
        <f t="shared" si="27"/>
        <v>2.9513206830320509</v>
      </c>
      <c r="J43" s="154">
        <f t="shared" si="27"/>
        <v>-6.4009891752024317E-2</v>
      </c>
      <c r="K43" s="154">
        <f t="shared" ref="K43" si="28">IF(ISNUMBER(K13/K29-1),K13/K29-1,"N/A")</f>
        <v>-2.7718071220349527E-2</v>
      </c>
      <c r="L43" s="2037">
        <f t="shared" si="27"/>
        <v>-0.5000135627774519</v>
      </c>
      <c r="M43" s="2037">
        <f>IF(ISNUMBER(M13/M29-1),M13/M29-1,"N/A")</f>
        <v>-0.38416480223946192</v>
      </c>
      <c r="N43" s="2037">
        <f t="shared" ref="N43" si="29">IF(ISNUMBER(N13/N29-1),N13/N29-1,"N/A")</f>
        <v>-0.38588587386259587</v>
      </c>
      <c r="P43" s="132" t="s">
        <v>767</v>
      </c>
      <c r="Q43" s="1006"/>
      <c r="R43" s="1006"/>
      <c r="S43" s="1006"/>
      <c r="T43" s="1006"/>
      <c r="U43" s="1006"/>
      <c r="V43" s="1113">
        <v>0.05</v>
      </c>
      <c r="W43" s="1113">
        <v>0.06</v>
      </c>
      <c r="X43" s="1113">
        <v>0.06</v>
      </c>
      <c r="Y43" s="1113">
        <v>0.06</v>
      </c>
      <c r="Z43" s="1883">
        <f>(14%+17%)/2</f>
        <v>0.15500000000000003</v>
      </c>
      <c r="AA43" s="1113">
        <f>+(7%+9%)/2</f>
        <v>0.08</v>
      </c>
      <c r="AB43" s="45"/>
      <c r="AC43" s="45"/>
      <c r="AD43" s="440"/>
      <c r="AF43" s="12" t="s">
        <v>288</v>
      </c>
      <c r="AG43" s="149"/>
      <c r="AH43" s="415">
        <f t="shared" ref="AH43:AS43" si="30">IFERROR(AH13-AH29,"NM")</f>
        <v>0.12250266499212399</v>
      </c>
      <c r="AI43" s="415">
        <f t="shared" si="30"/>
        <v>0.13322841012505554</v>
      </c>
      <c r="AJ43" s="415">
        <f t="shared" si="30"/>
        <v>0.13673694196629571</v>
      </c>
      <c r="AK43" s="415">
        <f t="shared" si="30"/>
        <v>-4.163336342344337E-16</v>
      </c>
      <c r="AL43" s="516">
        <f t="shared" si="30"/>
        <v>4.7184478546569153E-16</v>
      </c>
      <c r="AM43" s="516">
        <f t="shared" si="30"/>
        <v>-3.6082248300317588E-16</v>
      </c>
      <c r="AN43" s="516">
        <f t="shared" si="30"/>
        <v>-5.2735593669694936E-16</v>
      </c>
      <c r="AO43" s="516">
        <f>IFERROR(AO13-AO29,"NM")</f>
        <v>0</v>
      </c>
      <c r="AP43" s="516">
        <f t="shared" si="30"/>
        <v>-2.7755575615628914E-17</v>
      </c>
      <c r="AQ43" s="516">
        <f>IFERROR(AQ13-AQ29,"NM")</f>
        <v>-4.4408920985006262E-16</v>
      </c>
      <c r="AR43" s="516">
        <f t="shared" si="30"/>
        <v>-1.5473261949566247E-2</v>
      </c>
      <c r="AS43" s="516">
        <f t="shared" si="30"/>
        <v>-2.426380213425397E-2</v>
      </c>
      <c r="AT43" s="516">
        <f t="shared" ref="AT43" si="31">IFERROR(AT13-AT29,"NM")</f>
        <v>-2.6277177328123763E-2</v>
      </c>
    </row>
    <row r="44" spans="1:46">
      <c r="A44" s="9" t="s">
        <v>95</v>
      </c>
      <c r="B44" s="154" t="str">
        <f t="shared" ref="B44:M44" si="32">IF(ISNUMBER(B15/B30-1),B15/B30-1,"N/A")</f>
        <v>N/A</v>
      </c>
      <c r="C44" s="154" t="str">
        <f t="shared" si="32"/>
        <v>N/A</v>
      </c>
      <c r="D44" s="154" t="str">
        <f t="shared" si="32"/>
        <v>N/A</v>
      </c>
      <c r="E44" s="154" t="str">
        <f t="shared" si="32"/>
        <v>N/A</v>
      </c>
      <c r="F44" s="154" t="str">
        <f t="shared" si="32"/>
        <v>N/A</v>
      </c>
      <c r="G44" s="154" t="str">
        <f>IF(ISNUMBER(G15/G30-1),G15/G30-1,"N/A")</f>
        <v>N/A</v>
      </c>
      <c r="H44" s="154" t="str">
        <f t="shared" si="32"/>
        <v>N/A</v>
      </c>
      <c r="I44" s="154" t="str">
        <f t="shared" si="32"/>
        <v>N/A</v>
      </c>
      <c r="J44" s="154" t="str">
        <f t="shared" si="32"/>
        <v>N/A</v>
      </c>
      <c r="K44" s="154" t="str">
        <f t="shared" ref="K44" si="33">IF(ISNUMBER(K15/K30-1),K15/K30-1,"N/A")</f>
        <v>N/A</v>
      </c>
      <c r="L44" s="519" t="str">
        <f t="shared" si="32"/>
        <v>N/A</v>
      </c>
      <c r="M44" s="519" t="str">
        <f t="shared" si="32"/>
        <v>N/A</v>
      </c>
      <c r="N44" s="519" t="str">
        <f t="shared" ref="N44" si="34">IF(ISNUMBER(N15/N30-1),N15/N30-1,"N/A")</f>
        <v>N/A</v>
      </c>
      <c r="P44" s="1009" t="s">
        <v>731</v>
      </c>
      <c r="Q44" s="1006"/>
      <c r="R44" s="1006"/>
      <c r="S44" s="1006"/>
      <c r="T44" s="1006"/>
      <c r="U44" s="1006"/>
      <c r="V44" s="1113">
        <f>AVERAGE(4%,4.5%)</f>
        <v>4.2499999999999996E-2</v>
      </c>
      <c r="W44" s="1113"/>
      <c r="X44" s="45"/>
      <c r="Y44" s="45"/>
      <c r="Z44" s="45"/>
      <c r="AA44" s="45"/>
      <c r="AB44" s="45"/>
      <c r="AC44" s="45"/>
      <c r="AD44" s="1113"/>
      <c r="AF44" s="9" t="s">
        <v>336</v>
      </c>
      <c r="AG44" s="149"/>
      <c r="AH44" s="415" t="str">
        <f t="shared" ref="AH44:AP44" si="35">IFERROR(AH14/AH30-1,"NM")</f>
        <v>NM</v>
      </c>
      <c r="AI44" s="415" t="str">
        <f t="shared" si="35"/>
        <v>NM</v>
      </c>
      <c r="AJ44" s="415" t="str">
        <f t="shared" si="35"/>
        <v>NM</v>
      </c>
      <c r="AK44" s="415">
        <f t="shared" si="35"/>
        <v>-3.3306690738754696E-16</v>
      </c>
      <c r="AL44" s="516">
        <f t="shared" si="35"/>
        <v>-2.2204460492503131E-16</v>
      </c>
      <c r="AM44" s="516">
        <f t="shared" si="35"/>
        <v>-1.4432899320127035E-15</v>
      </c>
      <c r="AN44" s="516">
        <f t="shared" si="35"/>
        <v>-3.3306690738754696E-15</v>
      </c>
      <c r="AO44" s="516">
        <f t="shared" ref="AO44:AO49" si="36">IFERROR(AO14/AO30-1,"NM")</f>
        <v>0</v>
      </c>
      <c r="AP44" s="516">
        <f t="shared" si="35"/>
        <v>1.3322676295501878E-15</v>
      </c>
      <c r="AQ44" s="516">
        <f t="shared" ref="AQ44:AT49" si="37">IFERROR(AQ14/AQ30-1,"NM")</f>
        <v>-5.5511151231257827E-16</v>
      </c>
      <c r="AR44" s="516">
        <f t="shared" si="37"/>
        <v>-0.21424270178618632</v>
      </c>
      <c r="AS44" s="516">
        <f t="shared" si="37"/>
        <v>-0.2573729965829693</v>
      </c>
      <c r="AT44" s="516">
        <f t="shared" si="37"/>
        <v>-0.27328144344176264</v>
      </c>
    </row>
    <row r="45" spans="1:46">
      <c r="A45" s="9" t="s">
        <v>98</v>
      </c>
      <c r="B45" s="154">
        <f t="shared" ref="B45:M45" si="38">IF(ISNUMBER(B18/B31-1),B18/B31-1,"N/A")</f>
        <v>0.14145459609886313</v>
      </c>
      <c r="C45" s="154">
        <f t="shared" si="38"/>
        <v>3.9568647047472094E-3</v>
      </c>
      <c r="D45" s="154">
        <f t="shared" si="38"/>
        <v>0.17680896485352537</v>
      </c>
      <c r="E45" s="154">
        <f t="shared" si="38"/>
        <v>0.25805451380761846</v>
      </c>
      <c r="F45" s="154">
        <f t="shared" si="38"/>
        <v>0.29536385223953454</v>
      </c>
      <c r="G45" s="154">
        <f>IF(ISNUMBER(G18/G31-1),G18/G31-1,"N/A")</f>
        <v>-0.22073866828539357</v>
      </c>
      <c r="H45" s="154">
        <f t="shared" si="38"/>
        <v>-0.11155341194414359</v>
      </c>
      <c r="I45" s="154">
        <f t="shared" si="38"/>
        <v>-0.25186235281258529</v>
      </c>
      <c r="J45" s="154">
        <f t="shared" si="38"/>
        <v>-0.2580029132257069</v>
      </c>
      <c r="K45" s="154">
        <f t="shared" ref="K45" si="39">IF(ISNUMBER(K18/K31-1),K18/K31-1,"N/A")</f>
        <v>-0.1990426467028239</v>
      </c>
      <c r="L45" s="519">
        <f t="shared" si="38"/>
        <v>3.847580877234047E-2</v>
      </c>
      <c r="M45" s="519">
        <f t="shared" si="38"/>
        <v>2.9856818350341818E-2</v>
      </c>
      <c r="N45" s="519">
        <f t="shared" ref="N45" si="40">IF(ISNUMBER(N18/N31-1),N18/N31-1,"N/A")</f>
        <v>3.2885405101397591E-2</v>
      </c>
      <c r="P45" s="1009" t="s">
        <v>733</v>
      </c>
      <c r="Q45" s="1006"/>
      <c r="R45" s="1006"/>
      <c r="S45" s="1006"/>
      <c r="T45" s="1006"/>
      <c r="U45" s="1006"/>
      <c r="V45" s="1113">
        <v>0.14000000000000001</v>
      </c>
      <c r="W45" s="1113"/>
      <c r="X45" s="45"/>
      <c r="Y45" s="45"/>
      <c r="Z45" s="45"/>
      <c r="AA45" s="45"/>
      <c r="AB45" s="45"/>
      <c r="AC45" s="45"/>
      <c r="AD45" s="1113"/>
      <c r="AF45" s="9" t="s">
        <v>40</v>
      </c>
      <c r="AG45" s="149"/>
      <c r="AH45" s="415" t="str">
        <f t="shared" ref="AH45:AP45" si="41">IFERROR(AH15/AH31-1,"NM")</f>
        <v>NM</v>
      </c>
      <c r="AI45" s="415" t="str">
        <f t="shared" si="41"/>
        <v>NM</v>
      </c>
      <c r="AJ45" s="415" t="str">
        <f t="shared" si="41"/>
        <v>NM</v>
      </c>
      <c r="AK45" s="415">
        <f t="shared" si="41"/>
        <v>-1.2212453270876722E-15</v>
      </c>
      <c r="AL45" s="516">
        <f t="shared" si="41"/>
        <v>-1.2212453270876722E-15</v>
      </c>
      <c r="AM45" s="516">
        <f t="shared" si="41"/>
        <v>-2.9976021664879227E-15</v>
      </c>
      <c r="AN45" s="516">
        <f t="shared" si="41"/>
        <v>6.6613381477509392E-16</v>
      </c>
      <c r="AO45" s="516">
        <f t="shared" si="36"/>
        <v>0</v>
      </c>
      <c r="AP45" s="516">
        <f t="shared" si="41"/>
        <v>-1.4432899320127035E-15</v>
      </c>
      <c r="AQ45" s="516">
        <f t="shared" si="37"/>
        <v>-1.2212453270876722E-15</v>
      </c>
      <c r="AR45" s="1999">
        <f>IFERROR(AR15/AR31-1,"NM")</f>
        <v>-0.70596263611184951</v>
      </c>
      <c r="AS45" s="1999">
        <f t="shared" ref="AS45:AT45" si="42">IFERROR(AS15/AS31-1,"NM")</f>
        <v>-0.61066183729954659</v>
      </c>
      <c r="AT45" s="1999">
        <f t="shared" si="42"/>
        <v>-0.54908056070169542</v>
      </c>
    </row>
    <row r="46" spans="1:46">
      <c r="A46" s="9" t="s">
        <v>299</v>
      </c>
      <c r="B46" s="154">
        <f t="shared" ref="B46:M46" si="43">IF(ISNUMBER(B19/B32-1),B19/B32-1,"N/A")</f>
        <v>0.13062222593423867</v>
      </c>
      <c r="C46" s="154">
        <f t="shared" si="43"/>
        <v>-2.2614310509203595E-2</v>
      </c>
      <c r="D46" s="154">
        <f t="shared" si="43"/>
        <v>0.18042099894016883</v>
      </c>
      <c r="E46" s="154">
        <f t="shared" si="43"/>
        <v>0.14074691361351732</v>
      </c>
      <c r="F46" s="154">
        <f t="shared" si="43"/>
        <v>0.28780571337107852</v>
      </c>
      <c r="G46" s="154">
        <f>IF(ISNUMBER(G19/G32-1),G19/G32-1,"N/A")</f>
        <v>-0.18507512958594063</v>
      </c>
      <c r="H46" s="154">
        <f t="shared" si="43"/>
        <v>2.4271817023809192</v>
      </c>
      <c r="I46" s="154">
        <f t="shared" si="43"/>
        <v>0.23948458328086297</v>
      </c>
      <c r="J46" s="154">
        <f t="shared" si="43"/>
        <v>0.19270490541307717</v>
      </c>
      <c r="K46" s="154">
        <f t="shared" ref="K46" si="44">IF(ISNUMBER(K19/K32-1),K19/K32-1,"N/A")</f>
        <v>0.18425477439135407</v>
      </c>
      <c r="L46" s="519">
        <f t="shared" si="43"/>
        <v>0.56671243563618301</v>
      </c>
      <c r="M46" s="519">
        <f t="shared" si="43"/>
        <v>0.55502115165380395</v>
      </c>
      <c r="N46" s="519">
        <f t="shared" ref="N46" si="45">IF(ISNUMBER(N19/N32-1),N19/N32-1,"N/A")</f>
        <v>0.77042715597139289</v>
      </c>
      <c r="P46" s="1009" t="s">
        <v>949</v>
      </c>
      <c r="Q46" s="1006"/>
      <c r="R46" s="1006"/>
      <c r="S46" s="1006"/>
      <c r="T46" s="1006"/>
      <c r="U46" s="1006"/>
      <c r="V46" s="1113">
        <f>AVERAGE(1%,1.5%)</f>
        <v>1.2500000000000001E-2</v>
      </c>
      <c r="W46" s="1113"/>
      <c r="X46" s="45"/>
      <c r="Y46" s="45"/>
      <c r="Z46" s="45"/>
      <c r="AA46" s="45"/>
      <c r="AB46" s="45"/>
      <c r="AC46" s="45"/>
      <c r="AD46" s="1113"/>
      <c r="AE46" s="92"/>
      <c r="AF46" s="9" t="s">
        <v>227</v>
      </c>
      <c r="AG46" s="149"/>
      <c r="AH46" s="415" t="str">
        <f t="shared" ref="AH46:AS46" si="46">IFERROR(AH16/AH32-1,"NM")</f>
        <v>NM</v>
      </c>
      <c r="AI46" s="415" t="str">
        <f t="shared" si="46"/>
        <v>NM</v>
      </c>
      <c r="AJ46" s="415" t="str">
        <f t="shared" si="46"/>
        <v>NM</v>
      </c>
      <c r="AK46" s="415">
        <f t="shared" si="46"/>
        <v>9.0057636887808101E-4</v>
      </c>
      <c r="AL46" s="516">
        <f t="shared" si="46"/>
        <v>-1.6754427955930629E-3</v>
      </c>
      <c r="AM46" s="516">
        <f t="shared" si="46"/>
        <v>-1.7292784734637134E-3</v>
      </c>
      <c r="AN46" s="516">
        <f t="shared" si="46"/>
        <v>1.1102230246251565E-15</v>
      </c>
      <c r="AO46" s="516">
        <f t="shared" si="36"/>
        <v>-5.9623181492995947E-5</v>
      </c>
      <c r="AP46" s="516">
        <f t="shared" si="46"/>
        <v>1.1341463414630715E-2</v>
      </c>
      <c r="AQ46" s="516">
        <f t="shared" si="37"/>
        <v>6.3603803877980702E-3</v>
      </c>
      <c r="AR46" s="516">
        <f t="shared" si="46"/>
        <v>-0.50702678581390304</v>
      </c>
      <c r="AS46" s="516">
        <f t="shared" si="46"/>
        <v>-0.38567020106250061</v>
      </c>
      <c r="AT46" s="516">
        <f t="shared" ref="AT46" si="47">IFERROR(AT16/AT32-1,"NM")</f>
        <v>-0.34406342453977512</v>
      </c>
    </row>
    <row r="47" spans="1:46">
      <c r="A47" s="9" t="s">
        <v>344</v>
      </c>
      <c r="G47" s="154">
        <f>IF(ISNUMBER(G14/G33-1),G14/G33-1,"N/A")</f>
        <v>-2.2204460492503131E-16</v>
      </c>
      <c r="H47" s="154">
        <f t="shared" ref="H47:M47" si="48">IF(ISNUMBER(H14/H33-1),H14/H33-1,"N/A")</f>
        <v>0</v>
      </c>
      <c r="I47" s="154">
        <f t="shared" si="48"/>
        <v>-9.9920072216264089E-16</v>
      </c>
      <c r="J47" s="154">
        <f t="shared" si="48"/>
        <v>0</v>
      </c>
      <c r="K47" s="154">
        <f t="shared" ref="K47" si="49">IF(ISNUMBER(K14/K33-1),K14/K33-1,"N/A")</f>
        <v>-7.16200530367056E-2</v>
      </c>
      <c r="L47" s="519">
        <f t="shared" si="48"/>
        <v>-0.34550144063698296</v>
      </c>
      <c r="M47" s="519">
        <f t="shared" si="48"/>
        <v>-0.2852533112400697</v>
      </c>
      <c r="N47" s="519">
        <f t="shared" ref="N47" si="50">IF(ISNUMBER(N14/N33-1),N14/N33-1,"N/A")</f>
        <v>-0.35184964984710987</v>
      </c>
      <c r="P47" s="132" t="s">
        <v>1091</v>
      </c>
      <c r="Q47" s="1005"/>
      <c r="R47" s="1005"/>
      <c r="S47" s="1005"/>
      <c r="T47" s="1104">
        <f t="shared" ref="T47:U49" si="51">+T12</f>
        <v>3438</v>
      </c>
      <c r="U47" s="1104">
        <f t="shared" si="51"/>
        <v>3688</v>
      </c>
      <c r="V47" s="1104">
        <f>+V12</f>
        <v>4310</v>
      </c>
      <c r="W47" s="1104">
        <f t="shared" ref="W47:Y47" si="52">+W12</f>
        <v>4193</v>
      </c>
      <c r="X47" s="1104">
        <f t="shared" si="52"/>
        <v>4262</v>
      </c>
      <c r="Y47" s="1104">
        <f t="shared" si="52"/>
        <v>4447</v>
      </c>
      <c r="Z47" s="1104">
        <f>+Z48+Z49</f>
        <v>4697</v>
      </c>
      <c r="AA47" s="295">
        <f>AA48+AA49</f>
        <v>4815</v>
      </c>
      <c r="AB47" s="329"/>
      <c r="AC47" s="329"/>
      <c r="AD47" s="1113"/>
      <c r="AF47" s="9" t="s">
        <v>95</v>
      </c>
      <c r="AG47" s="149"/>
      <c r="AH47" s="415" t="str">
        <f t="shared" ref="AH47:AS47" si="53">IFERROR(AH17/AH33-1,"NM")</f>
        <v>NM</v>
      </c>
      <c r="AI47" s="415" t="str">
        <f t="shared" si="53"/>
        <v>NM</v>
      </c>
      <c r="AJ47" s="415" t="str">
        <f t="shared" si="53"/>
        <v>NM</v>
      </c>
      <c r="AK47" s="415">
        <f t="shared" si="53"/>
        <v>-2.1207555450648634</v>
      </c>
      <c r="AL47" s="516">
        <f t="shared" si="53"/>
        <v>-7.3691092101750142</v>
      </c>
      <c r="AM47" s="516">
        <f t="shared" si="53"/>
        <v>164.18040172693344</v>
      </c>
      <c r="AN47" s="516">
        <f t="shared" si="53"/>
        <v>-0.11320026141525308</v>
      </c>
      <c r="AO47" s="516">
        <f t="shared" si="36"/>
        <v>0.11058534592812852</v>
      </c>
      <c r="AP47" s="516">
        <f>IFERROR(AP17/AP33-1,"NM")</f>
        <v>-6.8785132932839943E-2</v>
      </c>
      <c r="AQ47" s="516">
        <f t="shared" ca="1" si="37"/>
        <v>-9.5355479921667485E-2</v>
      </c>
      <c r="AR47" s="516">
        <f>IFERROR(AR17/AR33-1,"NM")</f>
        <v>-3.5930631439771661</v>
      </c>
      <c r="AS47" s="516">
        <f t="shared" si="53"/>
        <v>-9.2202098172795011E-2</v>
      </c>
      <c r="AT47" s="516">
        <f t="shared" ref="AT47" ca="1" si="54">IFERROR(AT17/AT33-1,"NM")</f>
        <v>-0.14764048064845747</v>
      </c>
    </row>
    <row r="48" spans="1:46">
      <c r="A48" s="9" t="s">
        <v>1361</v>
      </c>
      <c r="B48" s="417"/>
      <c r="C48" s="417"/>
      <c r="D48" s="417"/>
      <c r="E48" s="417"/>
      <c r="F48" s="417"/>
      <c r="G48" s="154">
        <f>IF(ISNUMBER(G17/G34-1),G17/G34-1,"N/A")</f>
        <v>0</v>
      </c>
      <c r="H48" s="154">
        <f t="shared" ref="H48:M48" si="55">IF(ISNUMBER(H17/H34-1),H17/H34-1,"N/A")</f>
        <v>-1.1102230246251565E-16</v>
      </c>
      <c r="I48" s="154">
        <f t="shared" si="55"/>
        <v>0</v>
      </c>
      <c r="J48" s="154">
        <f t="shared" si="55"/>
        <v>0</v>
      </c>
      <c r="K48" s="154">
        <f t="shared" ref="K48" si="56">IF(ISNUMBER(K17/K34-1),K17/K34-1,"N/A")</f>
        <v>0.11726210597730646</v>
      </c>
      <c r="L48" s="519" t="str">
        <f t="shared" si="55"/>
        <v>N/A</v>
      </c>
      <c r="M48" s="519">
        <f t="shared" si="55"/>
        <v>-0.19602094692830219</v>
      </c>
      <c r="N48" s="519">
        <f t="shared" ref="N48" si="57">IF(ISNUMBER(N17/N34-1),N17/N34-1,"N/A")</f>
        <v>-0.29061900486610426</v>
      </c>
      <c r="P48" s="1009" t="s">
        <v>246</v>
      </c>
      <c r="Q48" s="1005"/>
      <c r="R48" s="133"/>
      <c r="S48" s="133"/>
      <c r="T48" s="133">
        <f t="shared" si="51"/>
        <v>2716</v>
      </c>
      <c r="U48" s="133">
        <f t="shared" si="51"/>
        <v>2947</v>
      </c>
      <c r="V48" s="133">
        <f>+V13</f>
        <v>3419</v>
      </c>
      <c r="W48" s="133">
        <f t="shared" ref="W48:Y48" si="58">+W13</f>
        <v>3284</v>
      </c>
      <c r="X48" s="133">
        <f t="shared" si="58"/>
        <v>3289</v>
      </c>
      <c r="Y48" s="133">
        <f t="shared" si="58"/>
        <v>3436</v>
      </c>
      <c r="Z48" s="133">
        <f t="shared" ref="Z48:Z49" si="59">+Y48+Z51</f>
        <v>3616</v>
      </c>
      <c r="AA48" s="295">
        <f>Z13+AA51*0.6</f>
        <v>3675</v>
      </c>
      <c r="AB48" s="47"/>
      <c r="AC48" s="47"/>
      <c r="AF48" s="9" t="s">
        <v>98</v>
      </c>
      <c r="AG48" s="149"/>
      <c r="AH48" s="415" t="str">
        <f t="shared" ref="AH48:AS48" si="60">IFERROR(AH18/AH34-1,"NM")</f>
        <v>NM</v>
      </c>
      <c r="AI48" s="415" t="str">
        <f t="shared" si="60"/>
        <v>NM</v>
      </c>
      <c r="AJ48" s="415" t="str">
        <f t="shared" si="60"/>
        <v>NM</v>
      </c>
      <c r="AK48" s="415">
        <f t="shared" si="60"/>
        <v>2.2204460492503131E-16</v>
      </c>
      <c r="AL48" s="516">
        <f t="shared" si="60"/>
        <v>5.4745044752047001E-4</v>
      </c>
      <c r="AM48" s="516">
        <f t="shared" si="60"/>
        <v>3.4221409972059469E-3</v>
      </c>
      <c r="AN48" s="516">
        <f t="shared" si="60"/>
        <v>0.11475988335925069</v>
      </c>
      <c r="AO48" s="516">
        <f t="shared" si="36"/>
        <v>0.17627126591352482</v>
      </c>
      <c r="AP48" s="516">
        <f t="shared" si="60"/>
        <v>0.23304153504612124</v>
      </c>
      <c r="AQ48" s="516">
        <f t="shared" si="37"/>
        <v>0.2793366362229126</v>
      </c>
      <c r="AR48" s="516">
        <f t="shared" si="60"/>
        <v>0.31437491783960225</v>
      </c>
      <c r="AS48" s="516">
        <f t="shared" si="60"/>
        <v>0.32440516546649745</v>
      </c>
      <c r="AT48" s="516">
        <f t="shared" ref="AT48" si="61">IFERROR(AT18/AT34-1,"NM")</f>
        <v>0.45700730961105562</v>
      </c>
    </row>
    <row r="49" spans="1:47"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P49" s="1009" t="s">
        <v>944</v>
      </c>
      <c r="Q49" s="1005"/>
      <c r="R49" s="133"/>
      <c r="S49" s="133"/>
      <c r="T49" s="133">
        <f t="shared" si="51"/>
        <v>722</v>
      </c>
      <c r="U49" s="133">
        <f t="shared" si="51"/>
        <v>741</v>
      </c>
      <c r="V49" s="133">
        <f>+V14</f>
        <v>891</v>
      </c>
      <c r="W49" s="133">
        <f t="shared" ref="W49:Y49" si="62">+W14</f>
        <v>909</v>
      </c>
      <c r="X49" s="133">
        <f t="shared" si="62"/>
        <v>973</v>
      </c>
      <c r="Y49" s="133">
        <f t="shared" si="62"/>
        <v>1011</v>
      </c>
      <c r="Z49" s="133">
        <f t="shared" si="59"/>
        <v>1081</v>
      </c>
      <c r="AA49" s="295">
        <f>Z14+AA52</f>
        <v>1140</v>
      </c>
      <c r="AB49" s="47"/>
      <c r="AC49" s="47"/>
      <c r="AF49" s="9" t="s">
        <v>299</v>
      </c>
      <c r="AG49" s="149"/>
      <c r="AH49" s="415" t="str">
        <f t="shared" ref="AH49:AS49" si="63">IFERROR(AH19/AH35-1,"NM")</f>
        <v>NM</v>
      </c>
      <c r="AI49" s="415" t="str">
        <f t="shared" si="63"/>
        <v>NM</v>
      </c>
      <c r="AJ49" s="415" t="str">
        <f t="shared" si="63"/>
        <v>NM</v>
      </c>
      <c r="AK49" s="415">
        <f t="shared" si="63"/>
        <v>2.2204460492503131E-16</v>
      </c>
      <c r="AL49" s="516">
        <f t="shared" si="63"/>
        <v>5.4745044752047001E-4</v>
      </c>
      <c r="AM49" s="516">
        <f t="shared" si="63"/>
        <v>0.65107707797501146</v>
      </c>
      <c r="AN49" s="516">
        <f t="shared" si="63"/>
        <v>4.3728629744613956</v>
      </c>
      <c r="AO49" s="516">
        <f t="shared" si="36"/>
        <v>1.2155379608685997</v>
      </c>
      <c r="AP49" s="516">
        <f t="shared" si="63"/>
        <v>0.96316706689777165</v>
      </c>
      <c r="AQ49" s="516">
        <f t="shared" si="37"/>
        <v>0.89156203293963876</v>
      </c>
      <c r="AR49" s="516">
        <f t="shared" si="63"/>
        <v>1.1028759062799858</v>
      </c>
      <c r="AS49" s="516">
        <f t="shared" si="63"/>
        <v>1.1731479859611289</v>
      </c>
      <c r="AT49" s="516">
        <f t="shared" ref="AT49" si="64">IFERROR(AT19/AT35-1,"NM")</f>
        <v>1.4636561057021509</v>
      </c>
    </row>
    <row r="50" spans="1:47">
      <c r="P50" s="132" t="s">
        <v>1036</v>
      </c>
      <c r="Q50" s="1005"/>
      <c r="R50" s="1005"/>
      <c r="S50" s="1005"/>
      <c r="T50" s="1005"/>
      <c r="U50" s="237">
        <f t="shared" ref="U50:V52" si="65">+U47-T47</f>
        <v>250</v>
      </c>
      <c r="V50" s="237">
        <f t="shared" si="65"/>
        <v>622</v>
      </c>
      <c r="W50" s="237">
        <f t="shared" ref="W50:W52" si="66">+W47-V47</f>
        <v>-117</v>
      </c>
      <c r="X50" s="237">
        <f t="shared" ref="X50:X52" si="67">+X47-W47</f>
        <v>69</v>
      </c>
      <c r="Y50" s="237">
        <f t="shared" ref="Y50:Y52" si="68">+Y47-X47</f>
        <v>185</v>
      </c>
      <c r="Z50" s="237">
        <f t="shared" ref="Z50" si="69">+Z51+Z52</f>
        <v>250</v>
      </c>
      <c r="AA50" s="237">
        <f t="shared" ref="AA50" si="70">+AA51+AA52</f>
        <v>275</v>
      </c>
      <c r="AB50" s="329"/>
      <c r="AC50" s="329"/>
    </row>
    <row r="51" spans="1:47">
      <c r="P51" s="1009" t="s">
        <v>246</v>
      </c>
      <c r="Q51" s="1005"/>
      <c r="R51" s="133"/>
      <c r="S51" s="133"/>
      <c r="T51" s="133"/>
      <c r="U51" s="99">
        <f t="shared" si="65"/>
        <v>231</v>
      </c>
      <c r="V51" s="99">
        <f t="shared" si="65"/>
        <v>472</v>
      </c>
      <c r="W51" s="99">
        <f t="shared" si="66"/>
        <v>-135</v>
      </c>
      <c r="X51" s="99">
        <f t="shared" si="67"/>
        <v>5</v>
      </c>
      <c r="Y51" s="99">
        <f t="shared" si="68"/>
        <v>147</v>
      </c>
      <c r="Z51" s="1881">
        <v>180</v>
      </c>
      <c r="AA51" s="1881">
        <f>+(180+230)/2</f>
        <v>205</v>
      </c>
      <c r="AB51" s="47"/>
      <c r="AC51" s="47"/>
    </row>
    <row r="52" spans="1:47" hidden="1" outlineLevel="1">
      <c r="A52" s="500" t="s">
        <v>511</v>
      </c>
      <c r="F52" s="499" t="str">
        <f>LEFT(Summary!AC6,1)&amp;"FQ"&amp;20&amp;MID(Summary!AC6,3,2)</f>
        <v>3FQ2024</v>
      </c>
      <c r="G52" s="499"/>
      <c r="H52" s="499"/>
      <c r="I52" s="129"/>
      <c r="J52" s="129"/>
      <c r="P52" s="1010" t="s">
        <v>944</v>
      </c>
      <c r="Q52" s="1011"/>
      <c r="R52" s="1008"/>
      <c r="S52" s="1008"/>
      <c r="T52" s="1008"/>
      <c r="U52" s="1166">
        <f t="shared" si="65"/>
        <v>19</v>
      </c>
      <c r="V52" s="1166">
        <f t="shared" si="65"/>
        <v>150</v>
      </c>
      <c r="W52" s="1166">
        <f t="shared" si="66"/>
        <v>18</v>
      </c>
      <c r="X52" s="1166">
        <f t="shared" si="67"/>
        <v>64</v>
      </c>
      <c r="Y52" s="1166">
        <f t="shared" si="68"/>
        <v>38</v>
      </c>
      <c r="Z52" s="1882">
        <v>70</v>
      </c>
      <c r="AA52" s="1882">
        <v>70</v>
      </c>
      <c r="AB52" s="47"/>
      <c r="AC52" s="47"/>
      <c r="AF52" s="511" t="s">
        <v>422</v>
      </c>
      <c r="AG52" s="512"/>
      <c r="AH52" s="512"/>
      <c r="AI52" s="512"/>
      <c r="AJ52" s="512"/>
      <c r="AK52" s="512"/>
      <c r="AL52" s="512"/>
      <c r="AM52" s="512"/>
      <c r="AN52" s="512"/>
      <c r="AO52" s="512"/>
      <c r="AP52" s="512"/>
      <c r="AQ52" s="512"/>
      <c r="AR52" s="512"/>
      <c r="AS52" s="512"/>
      <c r="AT52" s="512"/>
      <c r="AU52" s="512"/>
    </row>
    <row r="53" spans="1:47" hidden="1" outlineLevel="1">
      <c r="P53" s="13" t="s">
        <v>337</v>
      </c>
      <c r="Q53" s="132"/>
      <c r="R53" s="132"/>
      <c r="S53" s="132"/>
      <c r="T53" s="132"/>
      <c r="U53" s="237">
        <f>+U18</f>
        <v>46156.591</v>
      </c>
      <c r="V53" s="237">
        <f>+V18</f>
        <v>58154.618999999999</v>
      </c>
      <c r="W53" s="237">
        <f>+V53*(1+W54)</f>
        <v>64202.699376000004</v>
      </c>
      <c r="X53" s="237">
        <f>+W53*(1+X54)</f>
        <v>70879.780111104017</v>
      </c>
      <c r="Y53" s="237">
        <v>67700</v>
      </c>
      <c r="Z53" s="1002">
        <f>Y53*(1+Z54)</f>
        <v>76501</v>
      </c>
      <c r="AA53" s="237">
        <f>Z18*(1+AA54)</f>
        <v>83854.152799999996</v>
      </c>
      <c r="AB53" s="133"/>
      <c r="AC53" s="133"/>
      <c r="AF53" s="1443" t="str">
        <f>A1</f>
        <v>Alsea</v>
      </c>
      <c r="AG53" s="1444"/>
      <c r="AH53" s="1637">
        <f t="shared" ref="AH53:AQ53" si="71">AK4</f>
        <v>2017</v>
      </c>
      <c r="AI53" s="1637">
        <f t="shared" si="71"/>
        <v>2018</v>
      </c>
      <c r="AJ53" s="1637">
        <f t="shared" si="71"/>
        <v>2019</v>
      </c>
      <c r="AK53" s="1637">
        <f t="shared" si="71"/>
        <v>2020</v>
      </c>
      <c r="AL53" s="1637">
        <f t="shared" si="71"/>
        <v>2021</v>
      </c>
      <c r="AM53" s="1637">
        <f t="shared" si="71"/>
        <v>2022</v>
      </c>
      <c r="AN53" s="1445">
        <f t="shared" si="71"/>
        <v>2023</v>
      </c>
      <c r="AO53" s="1445">
        <f t="shared" si="71"/>
        <v>2024</v>
      </c>
      <c r="AP53" s="1445">
        <f t="shared" si="71"/>
        <v>2025</v>
      </c>
      <c r="AQ53" s="1445">
        <f t="shared" si="71"/>
        <v>2026</v>
      </c>
      <c r="AR53" s="1861" t="s">
        <v>360</v>
      </c>
      <c r="AS53" s="1861"/>
      <c r="AT53" s="1861"/>
      <c r="AU53" s="1861"/>
    </row>
    <row r="54" spans="1:47" hidden="1" outlineLevel="1">
      <c r="P54" s="9" t="s">
        <v>1037</v>
      </c>
      <c r="Q54" s="153"/>
      <c r="R54" s="153"/>
      <c r="S54" s="153"/>
      <c r="T54" s="153"/>
      <c r="U54" s="38"/>
      <c r="V54" s="1113">
        <v>0.3</v>
      </c>
      <c r="W54" s="1113">
        <v>0.104</v>
      </c>
      <c r="X54" s="1113">
        <v>0.104</v>
      </c>
      <c r="Y54" s="1113">
        <f>Y53/X18-1</f>
        <v>0.26827788414305886</v>
      </c>
      <c r="Z54" s="1113">
        <v>0.13</v>
      </c>
      <c r="AA54" s="1113">
        <v>0.1</v>
      </c>
      <c r="AB54" s="1007"/>
      <c r="AC54" s="1007"/>
      <c r="AF54" s="13" t="s">
        <v>199</v>
      </c>
      <c r="AG54" s="59" t="s">
        <v>339</v>
      </c>
      <c r="AI54" s="231"/>
      <c r="AJ54" s="231"/>
      <c r="AK54" s="231"/>
      <c r="AL54" s="59"/>
      <c r="AM54" s="231"/>
      <c r="AN54" s="231"/>
      <c r="AO54" s="1802">
        <f>AR8</f>
        <v>65</v>
      </c>
      <c r="AP54" s="231"/>
      <c r="AQ54" s="231"/>
    </row>
    <row r="55" spans="1:47" hidden="1" outlineLevel="1">
      <c r="A55" s="498"/>
      <c r="F55" s="498" t="s">
        <v>16</v>
      </c>
      <c r="G55" s="498" t="s">
        <v>512</v>
      </c>
      <c r="H55" s="498" t="s">
        <v>513</v>
      </c>
      <c r="I55" s="498" t="s">
        <v>514</v>
      </c>
      <c r="J55" s="498"/>
      <c r="AG55" s="9" t="s">
        <v>423</v>
      </c>
      <c r="AI55" s="412"/>
      <c r="AJ55" s="412"/>
      <c r="AK55" s="412"/>
      <c r="AM55" s="412"/>
      <c r="AN55" s="412"/>
      <c r="AO55" s="1442">
        <f>AR24</f>
        <v>90</v>
      </c>
      <c r="AP55" s="412"/>
      <c r="AQ55" s="412"/>
    </row>
    <row r="56" spans="1:47" hidden="1" outlineLevel="1">
      <c r="A56" s="9" t="s">
        <v>28</v>
      </c>
      <c r="F56" s="1177">
        <v>21092.656999999999</v>
      </c>
      <c r="G56" s="1163">
        <v>-1.6890113361032077E-2</v>
      </c>
      <c r="H56" s="1845">
        <v>18671.599999999999</v>
      </c>
      <c r="I56" s="1843">
        <v>0.11058503996361502</v>
      </c>
      <c r="J56" s="1843"/>
      <c r="AG56" s="232" t="s">
        <v>424</v>
      </c>
      <c r="AH56" s="525"/>
      <c r="AI56" s="525"/>
      <c r="AJ56" s="525"/>
      <c r="AK56" s="525"/>
      <c r="AL56" s="232"/>
      <c r="AM56" s="525"/>
      <c r="AN56" s="525"/>
      <c r="AO56" s="233">
        <f>IFERROR(AO54/AO55-1,"NM")</f>
        <v>-0.27777777777777779</v>
      </c>
      <c r="AP56" s="525"/>
      <c r="AQ56" s="525"/>
    </row>
    <row r="57" spans="1:47" hidden="1" outlineLevel="1">
      <c r="A57" s="9" t="s">
        <v>335</v>
      </c>
      <c r="F57" s="1501">
        <v>4354.9363300000005</v>
      </c>
      <c r="G57" s="1137">
        <v>-9.0488086587116157E-2</v>
      </c>
      <c r="H57" s="1846">
        <v>3791</v>
      </c>
      <c r="I57" s="1844">
        <v>4.4807827562538316E-2</v>
      </c>
      <c r="J57" s="1844"/>
      <c r="AF57" s="13" t="s">
        <v>337</v>
      </c>
      <c r="AG57" s="37" t="str">
        <f t="shared" ref="AG57:AG62" si="72">AG54</f>
        <v>Current</v>
      </c>
      <c r="AH57" s="92">
        <f>AK11</f>
        <v>42529.120999999999</v>
      </c>
      <c r="AI57" s="92">
        <f t="shared" ref="AI57:AQ57" si="73">AL11</f>
        <v>46156.591</v>
      </c>
      <c r="AJ57" s="92">
        <f t="shared" si="73"/>
        <v>58154.618999999999</v>
      </c>
      <c r="AK57" s="92">
        <f t="shared" si="73"/>
        <v>38495.419000000002</v>
      </c>
      <c r="AL57" s="329">
        <f t="shared" si="73"/>
        <v>53379.468999999997</v>
      </c>
      <c r="AM57" s="329">
        <f t="shared" si="73"/>
        <v>68831.305000000008</v>
      </c>
      <c r="AN57" s="329">
        <f t="shared" si="73"/>
        <v>76231.047999999995</v>
      </c>
      <c r="AO57" s="329">
        <f t="shared" si="73"/>
        <v>78549.033316147907</v>
      </c>
      <c r="AP57" s="329">
        <f t="shared" si="73"/>
        <v>86000.984261954174</v>
      </c>
      <c r="AQ57" s="329">
        <f t="shared" si="73"/>
        <v>91862.025037079569</v>
      </c>
    </row>
    <row r="58" spans="1:47" hidden="1" outlineLevel="1">
      <c r="A58" s="9" t="s">
        <v>1351</v>
      </c>
      <c r="F58" s="501">
        <v>0.20646693918172568</v>
      </c>
      <c r="G58" s="1165">
        <v>-154.56612194104073</v>
      </c>
      <c r="H58" s="501">
        <v>0.20303562629876393</v>
      </c>
      <c r="I58" s="502">
        <v>-120.25299311142324</v>
      </c>
      <c r="J58" s="502"/>
      <c r="AF58" s="13"/>
      <c r="AG58" s="37" t="str">
        <f t="shared" si="72"/>
        <v>Previous</v>
      </c>
      <c r="AH58" s="41">
        <f>AK27</f>
        <v>42529.120999999999</v>
      </c>
      <c r="AI58" s="41">
        <f t="shared" ref="AI58:AQ58" si="74">AL27</f>
        <v>46156.591</v>
      </c>
      <c r="AJ58" s="41">
        <f t="shared" si="74"/>
        <v>58154.618999999999</v>
      </c>
      <c r="AK58" s="41">
        <f t="shared" si="74"/>
        <v>38495.419000000002</v>
      </c>
      <c r="AL58" s="526">
        <f t="shared" si="74"/>
        <v>53379.468999999997</v>
      </c>
      <c r="AM58" s="526">
        <f t="shared" si="74"/>
        <v>68831.304999999993</v>
      </c>
      <c r="AN58" s="526">
        <f t="shared" si="74"/>
        <v>76231.047999999995</v>
      </c>
      <c r="AO58" s="526">
        <f t="shared" si="74"/>
        <v>82020.043523564003</v>
      </c>
      <c r="AP58" s="526">
        <f t="shared" si="74"/>
        <v>88756.926051856106</v>
      </c>
      <c r="AQ58" s="526">
        <f t="shared" si="74"/>
        <v>97541.870310459402</v>
      </c>
    </row>
    <row r="59" spans="1:47" hidden="1" outlineLevel="1">
      <c r="A59" s="9" t="s">
        <v>430</v>
      </c>
      <c r="F59" s="1178">
        <v>685.68</v>
      </c>
      <c r="G59" s="1164">
        <v>-0.44648296817575139</v>
      </c>
      <c r="H59" s="1845">
        <v>440</v>
      </c>
      <c r="I59" s="503">
        <v>-0.13741918549715737</v>
      </c>
      <c r="J59" s="503"/>
      <c r="AE59" s="92"/>
      <c r="AF59" s="13"/>
      <c r="AG59" s="232" t="str">
        <f t="shared" si="72"/>
        <v>Dif %</v>
      </c>
      <c r="AH59" s="525">
        <f t="shared" ref="AH59:AP59" si="75">IFERROR(AH57/AH58-1,"NM")</f>
        <v>0</v>
      </c>
      <c r="AI59" s="525">
        <f t="shared" si="75"/>
        <v>0</v>
      </c>
      <c r="AJ59" s="525">
        <f t="shared" si="75"/>
        <v>0</v>
      </c>
      <c r="AK59" s="525">
        <f t="shared" si="75"/>
        <v>0</v>
      </c>
      <c r="AL59" s="527">
        <f t="shared" si="75"/>
        <v>0</v>
      </c>
      <c r="AM59" s="527">
        <f t="shared" si="75"/>
        <v>2.2204460492503131E-16</v>
      </c>
      <c r="AN59" s="527">
        <f t="shared" si="75"/>
        <v>0</v>
      </c>
      <c r="AO59" s="527">
        <f t="shared" si="75"/>
        <v>-4.2319048592297959E-2</v>
      </c>
      <c r="AP59" s="527">
        <f t="shared" si="75"/>
        <v>-3.1050442061183792E-2</v>
      </c>
      <c r="AQ59" s="527">
        <f t="shared" ref="AQ59" si="76">IFERROR(AQ57/AQ58-1,"NM")</f>
        <v>-5.8229817157512298E-2</v>
      </c>
    </row>
    <row r="60" spans="1:47" hidden="1" outlineLevel="1">
      <c r="AE60" s="153"/>
      <c r="AF60" s="13" t="s">
        <v>1495</v>
      </c>
      <c r="AG60" s="37" t="str">
        <f t="shared" si="72"/>
        <v>Current</v>
      </c>
      <c r="AH60" s="92">
        <f>AK12</f>
        <v>6466.2439999999997</v>
      </c>
      <c r="AI60" s="92">
        <f t="shared" ref="AI60:AL60" si="77">AL12</f>
        <v>6408.3169999999991</v>
      </c>
      <c r="AJ60" s="92">
        <f t="shared" si="77"/>
        <v>12617.558999999997</v>
      </c>
      <c r="AK60" s="92">
        <f t="shared" si="77"/>
        <v>6924.7359999999981</v>
      </c>
      <c r="AL60" s="329">
        <f t="shared" si="77"/>
        <v>12311.269</v>
      </c>
      <c r="AM60" s="329">
        <f>Financials!W69</f>
        <v>8824.5059999999976</v>
      </c>
      <c r="AN60" s="329">
        <f>Financials!X69</f>
        <v>10794.628999999997</v>
      </c>
      <c r="AO60" s="329">
        <f>Financials!Y69</f>
        <v>11095.110051713798</v>
      </c>
      <c r="AP60" s="329">
        <f>Financials!Z69</f>
        <v>11815.025763852975</v>
      </c>
      <c r="AQ60" s="329">
        <f>Financials!AA69</f>
        <v>12715.768041203142</v>
      </c>
    </row>
    <row r="61" spans="1:47" hidden="1" outlineLevel="1">
      <c r="H61" s="1899"/>
      <c r="AF61" s="13"/>
      <c r="AG61" s="37" t="str">
        <f t="shared" si="72"/>
        <v>Previous</v>
      </c>
      <c r="AH61" s="41">
        <f>AK28</f>
        <v>6466.2439999999997</v>
      </c>
      <c r="AI61" s="41">
        <f t="shared" ref="AI61:AL61" si="78">AL28</f>
        <v>6408.317</v>
      </c>
      <c r="AJ61" s="41">
        <f t="shared" si="78"/>
        <v>12617.558999999999</v>
      </c>
      <c r="AK61" s="41">
        <f t="shared" si="78"/>
        <v>6924.7359999999999</v>
      </c>
      <c r="AL61" s="526">
        <f t="shared" si="78"/>
        <v>12311.269</v>
      </c>
      <c r="AM61" s="526">
        <v>8824.5059999999976</v>
      </c>
      <c r="AN61" s="526">
        <v>10794.628999999997</v>
      </c>
      <c r="AO61" s="526">
        <v>11939.13426700323</v>
      </c>
      <c r="AP61" s="526">
        <v>13010.563323074904</v>
      </c>
      <c r="AQ61" s="526">
        <v>14386.567914720756</v>
      </c>
    </row>
    <row r="62" spans="1:47" hidden="1" outlineLevel="1">
      <c r="AF62" s="13"/>
      <c r="AG62" s="232" t="str">
        <f t="shared" si="72"/>
        <v>Dif %</v>
      </c>
      <c r="AH62" s="525">
        <f t="shared" ref="AH62:AP62" si="79">IFERROR(AH60/AH61-1,"NM")</f>
        <v>0</v>
      </c>
      <c r="AI62" s="525">
        <f t="shared" si="79"/>
        <v>-1.1102230246251565E-16</v>
      </c>
      <c r="AJ62" s="525">
        <f t="shared" si="79"/>
        <v>-1.1102230246251565E-16</v>
      </c>
      <c r="AK62" s="525">
        <f t="shared" si="79"/>
        <v>-2.2204460492503131E-16</v>
      </c>
      <c r="AL62" s="527">
        <f t="shared" si="79"/>
        <v>0</v>
      </c>
      <c r="AM62" s="527">
        <f t="shared" si="79"/>
        <v>0</v>
      </c>
      <c r="AN62" s="527">
        <f t="shared" si="79"/>
        <v>0</v>
      </c>
      <c r="AO62" s="527">
        <f t="shared" si="79"/>
        <v>-7.0693921051051656E-2</v>
      </c>
      <c r="AP62" s="527">
        <f t="shared" si="79"/>
        <v>-9.1889761383473822E-2</v>
      </c>
      <c r="AQ62" s="527">
        <f t="shared" ref="AQ62" si="80">IFERROR(AQ60/AQ61-1,"NM")</f>
        <v>-0.11613609885426546</v>
      </c>
    </row>
    <row r="63" spans="1:47" hidden="1" outlineLevel="1">
      <c r="AF63" s="13" t="s">
        <v>40</v>
      </c>
      <c r="AG63" s="37" t="str">
        <f>AG54</f>
        <v>Current</v>
      </c>
      <c r="AH63" s="150">
        <f>AK16</f>
        <v>1.3082000480307392</v>
      </c>
      <c r="AI63" s="150">
        <f>AI16</f>
        <v>1.1715892537313437</v>
      </c>
      <c r="AJ63" s="150">
        <f>AJ16</f>
        <v>1.1943809181349627</v>
      </c>
      <c r="AK63" s="150">
        <f>AK16</f>
        <v>1.3082000480307392</v>
      </c>
      <c r="AL63" s="528">
        <f>AL16</f>
        <v>1.1408006223073228</v>
      </c>
      <c r="AM63" s="528">
        <f>AP15</f>
        <v>1632.3349999999978</v>
      </c>
      <c r="AN63" s="528">
        <f t="shared" ref="AN63:AQ63" si="81">AQ15</f>
        <v>2930.7289999999962</v>
      </c>
      <c r="AO63" s="528">
        <f t="shared" si="81"/>
        <v>1123.5562842488389</v>
      </c>
      <c r="AP63" s="528">
        <f t="shared" si="81"/>
        <v>1901.1917619047149</v>
      </c>
      <c r="AQ63" s="528">
        <f t="shared" si="81"/>
        <v>2805.9030071771958</v>
      </c>
    </row>
    <row r="64" spans="1:47" hidden="1" outlineLevel="1">
      <c r="AG64" s="37" t="str">
        <f>AG55</f>
        <v>Previous</v>
      </c>
      <c r="AH64" s="413">
        <f>AK32</f>
        <v>1.3070229740267501</v>
      </c>
      <c r="AI64" s="413">
        <f>AI32</f>
        <v>0</v>
      </c>
      <c r="AJ64" s="413">
        <f>AJ32</f>
        <v>0</v>
      </c>
      <c r="AK64" s="413">
        <f>AK32</f>
        <v>1.3070229740267501</v>
      </c>
      <c r="AL64" s="529">
        <f>AL32</f>
        <v>1.14271517621673</v>
      </c>
      <c r="AM64" s="529">
        <f>AP31</f>
        <v>1632.335</v>
      </c>
      <c r="AN64" s="529">
        <f t="shared" ref="AN64:AQ64" si="82">AQ31</f>
        <v>2930.7289999999998</v>
      </c>
      <c r="AO64" s="529">
        <f t="shared" si="82"/>
        <v>3821.1343939140702</v>
      </c>
      <c r="AP64" s="529">
        <f t="shared" si="82"/>
        <v>4883.1374471950803</v>
      </c>
      <c r="AQ64" s="529">
        <f t="shared" si="82"/>
        <v>6222.6259562984997</v>
      </c>
    </row>
    <row r="65" spans="1:52" hidden="1" outlineLevel="1">
      <c r="AF65" s="232"/>
      <c r="AG65" s="233" t="str">
        <f>AG56</f>
        <v>Dif %</v>
      </c>
      <c r="AH65" s="525">
        <f t="shared" ref="AH65:AL65" si="83">IFERROR(AH63/AH64-1,"NM")</f>
        <v>9.0057636887808101E-4</v>
      </c>
      <c r="AI65" s="525" t="str">
        <f t="shared" si="83"/>
        <v>NM</v>
      </c>
      <c r="AJ65" s="525" t="str">
        <f t="shared" si="83"/>
        <v>NM</v>
      </c>
      <c r="AK65" s="525">
        <f t="shared" si="83"/>
        <v>9.0057636887808101E-4</v>
      </c>
      <c r="AL65" s="527">
        <f t="shared" si="83"/>
        <v>-1.6754427955930629E-3</v>
      </c>
      <c r="AM65" s="527">
        <f>IFERROR(AM63/AM64-1,"NM")</f>
        <v>-1.4432899320127035E-15</v>
      </c>
      <c r="AN65" s="527">
        <f>IFERROR(AN63/AN64-1,"NM")</f>
        <v>-1.2212453270876722E-15</v>
      </c>
      <c r="AO65" s="527">
        <f>IFERROR(AO63/AO64-1,"NM")</f>
        <v>-0.70596263611184951</v>
      </c>
      <c r="AP65" s="527">
        <f>IFERROR(AP63/AP64-1,"NM")</f>
        <v>-0.61066183729954659</v>
      </c>
      <c r="AQ65" s="527">
        <f>IFERROR(AQ63/AQ64-1,"NM")</f>
        <v>-0.54908056070169542</v>
      </c>
    </row>
    <row r="66" spans="1:52" collapsed="1"/>
    <row r="67" spans="1:52">
      <c r="A67" s="140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AF67" s="135"/>
      <c r="AG67" s="135"/>
      <c r="AH67" s="135"/>
      <c r="AI67" s="135"/>
      <c r="AJ67" s="135"/>
      <c r="AK67" s="141"/>
      <c r="AL67" s="135"/>
      <c r="AM67" s="141"/>
      <c r="AN67" s="141"/>
      <c r="AO67" s="141"/>
      <c r="AP67" s="141"/>
      <c r="AQ67" s="141"/>
      <c r="AR67" s="135"/>
      <c r="AS67" s="141" t="s">
        <v>403</v>
      </c>
      <c r="AT67" s="626"/>
    </row>
    <row r="68" spans="1:52">
      <c r="AF68" s="13"/>
      <c r="AZ68" s="13"/>
    </row>
    <row r="73" spans="1:52">
      <c r="E73" s="9">
        <f>15/6</f>
        <v>2.5</v>
      </c>
    </row>
  </sheetData>
  <phoneticPr fontId="12" type="noConversion"/>
  <pageMargins left="0.5" right="0.25" top="0.5" bottom="0.5" header="0.5" footer="0.5"/>
  <pageSetup scale="4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>
    <tabColor rgb="FF00B050"/>
    <pageSetUpPr fitToPage="1"/>
  </sheetPr>
  <dimension ref="A1:GO420"/>
  <sheetViews>
    <sheetView showGridLines="0" topLeftCell="A35" zoomScale="70" zoomScaleNormal="70" workbookViewId="0"/>
  </sheetViews>
  <sheetFormatPr baseColWidth="10" defaultColWidth="9.140625" defaultRowHeight="12.75"/>
  <cols>
    <col min="1" max="2" width="4.5703125" customWidth="1"/>
    <col min="4" max="18" width="9.42578125" customWidth="1"/>
    <col min="19" max="19" width="12.5703125" customWidth="1"/>
    <col min="20" max="32" width="9.42578125" customWidth="1"/>
    <col min="35" max="51" width="9" customWidth="1"/>
    <col min="53" max="65" width="8.5703125" customWidth="1"/>
    <col min="86" max="115" width="8.5703125" customWidth="1"/>
  </cols>
  <sheetData>
    <row r="1" spans="1:101" ht="18">
      <c r="A1" s="24" t="str">
        <f>Index!$G$12</f>
        <v>Alsea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409"/>
      <c r="Y1" s="409"/>
      <c r="Z1" s="409"/>
      <c r="AA1" s="24"/>
      <c r="AB1" s="24"/>
      <c r="AC1" s="24"/>
      <c r="AD1" s="24"/>
      <c r="AE1" s="24"/>
      <c r="AF1" s="24"/>
      <c r="AG1" s="24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</row>
    <row r="2" spans="1:101">
      <c r="A2" s="551" t="s">
        <v>295</v>
      </c>
      <c r="B2" s="551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409"/>
      <c r="Y2" s="409"/>
      <c r="Z2" s="131"/>
      <c r="AA2" s="26"/>
      <c r="AB2" s="26"/>
      <c r="AC2" s="26"/>
      <c r="AD2" s="26"/>
      <c r="AE2" s="26"/>
      <c r="AF2" s="26"/>
      <c r="AG2" s="26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44" t="s">
        <v>317</v>
      </c>
      <c r="BT2" s="2"/>
    </row>
    <row r="3" spans="1:101" ht="13.5" thickBot="1">
      <c r="AW3" t="str">
        <f>Charts_Support!$A$582</f>
        <v>Domino's Pizza</v>
      </c>
      <c r="AX3" s="2"/>
      <c r="BM3" s="2"/>
      <c r="BU3" s="2"/>
    </row>
    <row r="4" spans="1:101" ht="11.25" customHeight="1" thickTop="1">
      <c r="A4" s="2101" t="s">
        <v>47</v>
      </c>
      <c r="B4" s="2102"/>
      <c r="C4" s="2098" t="s">
        <v>1058</v>
      </c>
      <c r="D4" s="1108" t="s">
        <v>1344</v>
      </c>
      <c r="E4" s="712"/>
      <c r="F4" s="712"/>
      <c r="G4" s="1638">
        <v>2023</v>
      </c>
      <c r="H4" s="712"/>
      <c r="I4" s="712"/>
      <c r="J4" s="712"/>
      <c r="K4" s="1108" t="s">
        <v>1304</v>
      </c>
      <c r="L4" s="712"/>
      <c r="M4" s="712"/>
      <c r="N4" s="712"/>
      <c r="O4" s="1638">
        <v>2023</v>
      </c>
      <c r="P4" s="712"/>
      <c r="Q4" s="712"/>
      <c r="R4" s="713"/>
      <c r="S4" s="1072" t="s">
        <v>834</v>
      </c>
      <c r="T4" s="712"/>
      <c r="U4" s="712"/>
      <c r="V4" s="712"/>
      <c r="W4" s="712"/>
      <c r="X4" s="712"/>
      <c r="Y4" s="712"/>
      <c r="Z4" s="2098" t="s">
        <v>1310</v>
      </c>
      <c r="AA4" s="1108"/>
      <c r="AB4" s="712"/>
      <c r="AC4" s="712"/>
      <c r="AD4" s="712"/>
      <c r="AE4" s="1638"/>
      <c r="AF4" s="712"/>
      <c r="AG4" s="712"/>
      <c r="AH4" s="1108"/>
      <c r="AI4" s="712"/>
      <c r="AJ4" s="712"/>
      <c r="AK4" s="712"/>
      <c r="AL4" s="1638"/>
      <c r="AM4" s="712"/>
      <c r="AN4" s="712"/>
      <c r="AO4" s="2098" t="s">
        <v>1054</v>
      </c>
      <c r="AP4" s="2098" t="s">
        <v>731</v>
      </c>
      <c r="AQ4" s="1108" t="s">
        <v>1093</v>
      </c>
      <c r="AR4" s="712"/>
      <c r="AS4" s="712"/>
      <c r="AT4" s="712"/>
      <c r="AU4" s="712"/>
      <c r="AV4" s="1107" t="str">
        <f ca="1">OFFSET(IS!$A$3,0,MATCH(LEFT(Index!H39,4),IS!$3:$3,0)-2,1,1)</f>
        <v>2Q24</v>
      </c>
      <c r="AW4" s="1107"/>
      <c r="AX4" s="1108" t="s">
        <v>1094</v>
      </c>
      <c r="AY4" s="712"/>
      <c r="AZ4" s="712"/>
      <c r="BA4" s="712"/>
      <c r="BB4" s="712"/>
      <c r="BC4" s="712" t="s">
        <v>1042</v>
      </c>
      <c r="BD4" s="1107"/>
      <c r="BE4" s="2098" t="s">
        <v>949</v>
      </c>
      <c r="BF4" s="1956" t="s">
        <v>1333</v>
      </c>
      <c r="BG4" s="1957"/>
      <c r="BH4" s="1957"/>
      <c r="BI4" s="1957"/>
      <c r="BJ4" s="1957"/>
      <c r="BK4" s="1957" t="str">
        <f ca="1">+AV4</f>
        <v>2Q24</v>
      </c>
      <c r="BL4" s="1958"/>
      <c r="BM4" s="1108" t="s">
        <v>1330</v>
      </c>
      <c r="BN4" s="712"/>
      <c r="BO4" s="712"/>
      <c r="BP4" s="712"/>
      <c r="BQ4" s="712"/>
      <c r="BR4" s="1107" t="str">
        <f>+BC4</f>
        <v>LTM</v>
      </c>
      <c r="BS4" s="712"/>
      <c r="BT4" s="2098" t="s">
        <v>733</v>
      </c>
      <c r="BU4" s="1956"/>
      <c r="BV4" s="1957"/>
      <c r="BW4" s="1957"/>
      <c r="BX4" s="1958"/>
      <c r="BY4" s="1958"/>
      <c r="BZ4" s="1957"/>
      <c r="CA4" s="1957"/>
      <c r="CB4" s="1108"/>
      <c r="CC4" s="712"/>
      <c r="CD4" s="712"/>
      <c r="CE4" s="712"/>
      <c r="CF4" s="712"/>
      <c r="CG4" s="1107"/>
      <c r="CH4" s="712"/>
      <c r="CI4" s="2098" t="s">
        <v>325</v>
      </c>
      <c r="CJ4" s="1108" t="s">
        <v>1319</v>
      </c>
      <c r="CK4" s="712"/>
      <c r="CL4" s="712"/>
      <c r="CM4" s="712"/>
      <c r="CN4" s="712"/>
      <c r="CO4" s="1107">
        <f>BZ4</f>
        <v>0</v>
      </c>
      <c r="CP4" s="712"/>
      <c r="CQ4" s="1108" t="s">
        <v>1320</v>
      </c>
      <c r="CR4" s="712"/>
      <c r="CS4" s="712"/>
      <c r="CT4" s="712"/>
      <c r="CU4" s="712"/>
      <c r="CV4" s="712">
        <f>+CG4</f>
        <v>0</v>
      </c>
      <c r="CW4" s="712"/>
    </row>
    <row r="5" spans="1:101">
      <c r="A5" s="2103"/>
      <c r="B5" s="2104"/>
      <c r="C5" s="2099"/>
      <c r="Z5" s="2099"/>
      <c r="AO5" s="2099"/>
      <c r="AP5" s="2099"/>
      <c r="BE5" s="2099"/>
      <c r="BT5" s="2099"/>
      <c r="CI5" s="2099"/>
    </row>
    <row r="6" spans="1:101" ht="15">
      <c r="A6" s="2103"/>
      <c r="B6" s="2104"/>
      <c r="C6" s="2099"/>
      <c r="S6" s="1073" t="s">
        <v>45</v>
      </c>
      <c r="T6" s="1071"/>
      <c r="U6" s="1074"/>
      <c r="V6" s="1075">
        <v>2023</v>
      </c>
      <c r="W6" s="1074"/>
      <c r="X6" s="1074"/>
      <c r="Z6" s="2099"/>
      <c r="AO6" s="2099"/>
      <c r="AP6" s="2099"/>
      <c r="BE6" s="2099"/>
      <c r="BT6" s="2099"/>
      <c r="CI6" s="2099"/>
    </row>
    <row r="7" spans="1:101" ht="15">
      <c r="A7" s="2103"/>
      <c r="B7" s="2104"/>
      <c r="C7" s="2099"/>
      <c r="S7" s="1071"/>
      <c r="T7" s="1071"/>
      <c r="U7" s="1076" t="s">
        <v>841</v>
      </c>
      <c r="V7" s="1076" t="s">
        <v>153</v>
      </c>
      <c r="W7" s="1076" t="s">
        <v>143</v>
      </c>
      <c r="X7" s="1076" t="s">
        <v>331</v>
      </c>
      <c r="Z7" s="2099"/>
      <c r="AO7" s="2099"/>
      <c r="AP7" s="2099"/>
      <c r="BE7" s="2099"/>
      <c r="BT7" s="2099"/>
      <c r="CI7" s="2099"/>
    </row>
    <row r="8" spans="1:101" ht="15.75">
      <c r="A8" s="2103"/>
      <c r="B8" s="2104"/>
      <c r="C8" s="2099"/>
      <c r="S8" s="1077" t="s">
        <v>307</v>
      </c>
      <c r="T8" s="1071"/>
      <c r="U8" s="1406">
        <f>+Financials!X38/Financials!X36</f>
        <v>0.51629881829776236</v>
      </c>
      <c r="V8" s="1406">
        <v>0</v>
      </c>
      <c r="W8" s="1406">
        <f>+Financials!X39/Financials!X36</f>
        <v>0.30126832311160145</v>
      </c>
      <c r="X8" s="1406">
        <f>1-SUM(U8:W8)</f>
        <v>0.18243285859063618</v>
      </c>
      <c r="Z8" s="2099"/>
      <c r="AO8" s="2099"/>
      <c r="AP8" s="2099"/>
      <c r="BE8" s="2099"/>
      <c r="BT8" s="2099"/>
      <c r="CI8" s="2099"/>
    </row>
    <row r="9" spans="1:101" ht="15.75">
      <c r="A9" s="2103"/>
      <c r="B9" s="2104"/>
      <c r="C9" s="2099"/>
      <c r="S9" s="1077" t="s">
        <v>842</v>
      </c>
      <c r="T9" s="1071"/>
      <c r="U9" s="1682"/>
      <c r="V9" s="1406">
        <v>0</v>
      </c>
      <c r="W9" s="1682"/>
      <c r="X9" s="1682"/>
      <c r="Z9" s="2099"/>
      <c r="AO9" s="2099"/>
      <c r="AP9" s="2099"/>
      <c r="BE9" s="2099"/>
      <c r="BT9" s="2099"/>
      <c r="CI9" s="2099"/>
    </row>
    <row r="10" spans="1:101" ht="15.75">
      <c r="A10" s="2103"/>
      <c r="B10" s="2104"/>
      <c r="C10" s="2099"/>
      <c r="S10" s="1077" t="s">
        <v>564</v>
      </c>
      <c r="T10" s="1071"/>
      <c r="U10" s="1682"/>
      <c r="V10" s="1406">
        <v>0</v>
      </c>
      <c r="W10" s="1682"/>
      <c r="X10" s="1682"/>
      <c r="Z10" s="2099"/>
      <c r="AO10" s="2099"/>
      <c r="AP10" s="2099"/>
      <c r="BE10" s="2099"/>
      <c r="BT10" s="2099"/>
      <c r="CI10" s="2099"/>
    </row>
    <row r="11" spans="1:101" ht="15.75">
      <c r="A11" s="2103"/>
      <c r="B11" s="2104"/>
      <c r="C11" s="2099"/>
      <c r="S11" s="1077" t="s">
        <v>623</v>
      </c>
      <c r="T11" s="1071"/>
      <c r="U11" s="1406">
        <f>BS!BI51</f>
        <v>0.62</v>
      </c>
      <c r="V11" s="1406">
        <v>0</v>
      </c>
      <c r="W11" s="1406">
        <f>BS!BI52</f>
        <v>0.38</v>
      </c>
      <c r="X11" s="1406">
        <f>BS!BI53</f>
        <v>1E-3</v>
      </c>
      <c r="Z11" s="2099"/>
      <c r="AO11" s="2099"/>
      <c r="AP11" s="2099"/>
      <c r="BE11" s="2099"/>
      <c r="BT11" s="2099"/>
      <c r="CI11" s="2099"/>
    </row>
    <row r="12" spans="1:101" ht="15.75">
      <c r="A12" s="2103"/>
      <c r="B12" s="2104"/>
      <c r="C12" s="2099"/>
      <c r="S12" s="1077" t="s">
        <v>1414</v>
      </c>
      <c r="T12" s="1071"/>
      <c r="U12" s="1682"/>
      <c r="V12" s="1406">
        <v>0</v>
      </c>
      <c r="W12" s="1682"/>
      <c r="X12" s="1682"/>
      <c r="Z12" s="2099"/>
      <c r="AA12" s="1025"/>
      <c r="AO12" s="2099"/>
      <c r="AP12" s="2099"/>
      <c r="BE12" s="2099"/>
      <c r="BT12" s="2099"/>
      <c r="CI12" s="2099"/>
    </row>
    <row r="13" spans="1:101" ht="15.75">
      <c r="A13" s="2103"/>
      <c r="B13" s="2104"/>
      <c r="C13" s="2099"/>
      <c r="S13" s="1077" t="s">
        <v>843</v>
      </c>
      <c r="T13" s="1071"/>
      <c r="U13" s="1682">
        <f>IF(ISERROR(1-V13-W13-X13),"NM",1-V13-W13-X13)</f>
        <v>0.22739769469403509</v>
      </c>
      <c r="V13" s="1406">
        <v>0</v>
      </c>
      <c r="W13" s="1682">
        <f>80%*Financials!X19/Financials!X17+20%*W8</f>
        <v>0.39128814738094103</v>
      </c>
      <c r="X13" s="1682">
        <f>80%*Financials!X20/Financials!X17+20%*X8</f>
        <v>0.38131415792502382</v>
      </c>
      <c r="Z13" s="2099"/>
      <c r="AA13" s="1025"/>
      <c r="AB13" s="1024"/>
      <c r="AC13" s="1024"/>
      <c r="AD13" s="1024"/>
      <c r="AE13" s="1024"/>
      <c r="AO13" s="2099"/>
      <c r="AP13" s="2099"/>
      <c r="BE13" s="2099"/>
      <c r="BT13" s="2099"/>
      <c r="CI13" s="2099"/>
    </row>
    <row r="14" spans="1:101" ht="15.75">
      <c r="A14" s="2103"/>
      <c r="B14" s="2104"/>
      <c r="C14" s="2099"/>
      <c r="S14" s="1077" t="s">
        <v>1415</v>
      </c>
      <c r="U14" s="1682"/>
      <c r="V14" s="1406">
        <v>0</v>
      </c>
      <c r="W14" s="1682"/>
      <c r="X14" s="1682"/>
      <c r="Z14" s="2099"/>
      <c r="AA14" s="1025"/>
      <c r="AB14" s="1024"/>
      <c r="AC14" s="1024"/>
      <c r="AD14" s="1024"/>
      <c r="AE14" s="1024"/>
      <c r="AO14" s="2099"/>
      <c r="AP14" s="2099"/>
      <c r="BE14" s="2099"/>
      <c r="BT14" s="2099"/>
      <c r="CI14" s="2099"/>
    </row>
    <row r="15" spans="1:101" ht="15.75">
      <c r="A15" s="2103"/>
      <c r="B15" s="2104"/>
      <c r="C15" s="2099"/>
      <c r="S15" s="1077" t="s">
        <v>1416</v>
      </c>
      <c r="U15" s="1682"/>
      <c r="V15" s="1406">
        <v>0</v>
      </c>
      <c r="W15" s="1682"/>
      <c r="X15" s="1682"/>
      <c r="Z15" s="2099"/>
      <c r="AA15" s="1025"/>
      <c r="AB15" s="1024"/>
      <c r="AC15" s="1024"/>
      <c r="AD15" s="1024"/>
      <c r="AE15" s="1024"/>
      <c r="AO15" s="2099"/>
      <c r="AP15" s="2099"/>
      <c r="BE15" s="2099"/>
      <c r="BT15" s="2099"/>
      <c r="CI15" s="2099"/>
    </row>
    <row r="16" spans="1:101" ht="15.75">
      <c r="A16" s="2103"/>
      <c r="B16" s="2104"/>
      <c r="C16" s="2099"/>
      <c r="S16" s="1077" t="s">
        <v>335</v>
      </c>
      <c r="T16" s="1071"/>
      <c r="U16" s="1406">
        <f>IF(ISERROR(1-V16-W16-X16),"NM",1-V16-W16-X16)</f>
        <v>0.61021887917598416</v>
      </c>
      <c r="V16" s="1406">
        <v>0</v>
      </c>
      <c r="W16" s="1406">
        <f>+Financials!X74/Financials!X72</f>
        <v>0.239953920173477</v>
      </c>
      <c r="X16" s="1406">
        <f>+Financials!X75/Financials!X72</f>
        <v>0.14982720065053873</v>
      </c>
      <c r="Z16" s="2099"/>
      <c r="AA16" s="1025"/>
      <c r="AB16" s="1024"/>
      <c r="AC16" s="1024"/>
      <c r="AD16" s="1024"/>
      <c r="AE16" s="1024"/>
      <c r="AO16" s="2099"/>
      <c r="AP16" s="2099"/>
      <c r="BE16" s="2099"/>
      <c r="BG16" s="1025"/>
      <c r="BH16" s="1026"/>
      <c r="BI16" s="1026"/>
      <c r="BJ16" s="1026"/>
      <c r="BK16" s="1026"/>
      <c r="BT16" s="2099"/>
      <c r="CC16" s="1025"/>
      <c r="CD16" s="1026"/>
      <c r="CE16" s="1026"/>
      <c r="CF16" s="1026"/>
      <c r="CG16" s="1026"/>
      <c r="CI16" s="2099"/>
      <c r="CR16" s="1025"/>
      <c r="CS16" s="1026"/>
      <c r="CT16" s="1026"/>
      <c r="CU16" s="1026"/>
      <c r="CV16" s="1026"/>
    </row>
    <row r="17" spans="1:168">
      <c r="A17" s="2103"/>
      <c r="B17" s="2104"/>
      <c r="C17" s="2099"/>
      <c r="Z17" s="2099"/>
      <c r="AA17" s="1025"/>
      <c r="AB17" s="1024"/>
      <c r="AC17" s="1024"/>
      <c r="AD17" s="1024"/>
      <c r="AE17" s="1024"/>
      <c r="AO17" s="2099"/>
      <c r="AP17" s="2099"/>
      <c r="AY17" s="1025"/>
      <c r="AZ17" s="1027"/>
      <c r="BA17" s="1027"/>
      <c r="BB17" s="1027"/>
      <c r="BC17" s="1027"/>
      <c r="BE17" s="2099"/>
      <c r="BG17" s="1025"/>
      <c r="BH17" s="1026"/>
      <c r="BI17" s="1026"/>
      <c r="BJ17" s="1026"/>
      <c r="BK17" s="1026"/>
      <c r="BT17" s="2099"/>
      <c r="CC17" s="1025"/>
      <c r="CD17" s="1027"/>
      <c r="CE17" s="1027"/>
      <c r="CF17" s="1027"/>
      <c r="CG17" s="1027"/>
      <c r="CI17" s="2099"/>
      <c r="CR17" s="1025"/>
      <c r="CS17" s="1027"/>
      <c r="CT17" s="1027"/>
      <c r="CU17" s="1027"/>
      <c r="CV17" s="1027"/>
    </row>
    <row r="18" spans="1:168" ht="14.25">
      <c r="A18" s="2103"/>
      <c r="B18" s="2104"/>
      <c r="C18" s="2099"/>
      <c r="S18" s="1683" t="s">
        <v>1417</v>
      </c>
      <c r="U18" s="2"/>
      <c r="Z18" s="2099"/>
      <c r="AO18" s="2099"/>
      <c r="AP18" s="2099"/>
      <c r="AY18" s="1025"/>
      <c r="AZ18" s="1027"/>
      <c r="BA18" s="1027"/>
      <c r="BB18" s="1027"/>
      <c r="BC18" s="1027"/>
      <c r="BE18" s="2099"/>
      <c r="BG18" s="1025"/>
      <c r="BH18" s="1026"/>
      <c r="BI18" s="1026"/>
      <c r="BJ18" s="1026"/>
      <c r="BK18" s="1026"/>
      <c r="BT18" s="2099"/>
      <c r="CC18" s="1025"/>
      <c r="CD18" s="1027"/>
      <c r="CE18" s="1027"/>
      <c r="CF18" s="1027"/>
      <c r="CG18" s="1027"/>
      <c r="CI18" s="2099"/>
      <c r="CR18" s="1025"/>
      <c r="CS18" s="1027"/>
      <c r="CT18" s="1027"/>
      <c r="CU18" s="1027"/>
      <c r="CV18" s="1027"/>
    </row>
    <row r="19" spans="1:168" ht="15">
      <c r="A19" s="2103"/>
      <c r="B19" s="2104"/>
      <c r="C19" s="2099"/>
      <c r="Z19" s="2099"/>
      <c r="AA19" s="1025"/>
      <c r="AO19" s="2099"/>
      <c r="AP19" s="2099"/>
      <c r="AQ19" s="2"/>
      <c r="AR19" s="1071"/>
      <c r="AS19" s="1071"/>
      <c r="AT19" s="1071"/>
      <c r="AU19" s="1071"/>
      <c r="AV19" s="1071"/>
      <c r="AY19" s="1025"/>
      <c r="AZ19" s="1027"/>
      <c r="BA19" s="1027"/>
      <c r="BB19" s="1027"/>
      <c r="BC19" s="1027"/>
      <c r="BE19" s="2099"/>
      <c r="BF19" s="2"/>
      <c r="BG19" s="1025"/>
      <c r="BH19" s="1026"/>
      <c r="BI19" s="1026"/>
      <c r="BJ19" s="1026"/>
      <c r="BK19" s="1026"/>
      <c r="BT19" s="2099"/>
      <c r="BU19" s="2"/>
      <c r="CC19" s="1025"/>
      <c r="CD19" s="1027"/>
      <c r="CE19" s="1027"/>
      <c r="CF19" s="1027"/>
      <c r="CG19" s="1027"/>
      <c r="CI19" s="2099"/>
      <c r="CR19" s="1025"/>
      <c r="CS19" s="1027"/>
      <c r="CT19" s="1027"/>
      <c r="CU19" s="1027"/>
      <c r="CV19" s="1027"/>
    </row>
    <row r="20" spans="1:168" ht="15.75">
      <c r="A20" s="2103"/>
      <c r="B20" s="2104"/>
      <c r="C20" s="2099"/>
      <c r="D20" s="1108" t="s">
        <v>1095</v>
      </c>
      <c r="E20" s="712"/>
      <c r="F20" s="712"/>
      <c r="G20" s="1638">
        <v>2023</v>
      </c>
      <c r="H20" s="712"/>
      <c r="I20" s="712"/>
      <c r="J20" s="712"/>
      <c r="S20" s="1072" t="s">
        <v>1366</v>
      </c>
      <c r="T20" s="712"/>
      <c r="U20" s="712"/>
      <c r="V20" s="712"/>
      <c r="W20" s="712"/>
      <c r="X20" s="712"/>
      <c r="Y20" s="712"/>
      <c r="Z20" s="2099"/>
      <c r="AA20" s="1108"/>
      <c r="AB20" s="712"/>
      <c r="AC20" s="712"/>
      <c r="AD20" s="712"/>
      <c r="AE20" s="1638"/>
      <c r="AF20" s="712"/>
      <c r="AG20" s="712"/>
      <c r="AO20" s="2099"/>
      <c r="AP20" s="2099"/>
      <c r="AQ20" s="1108" t="s">
        <v>1096</v>
      </c>
      <c r="AR20" s="712"/>
      <c r="AS20" s="712"/>
      <c r="AT20" s="712"/>
      <c r="AU20" s="712"/>
      <c r="AV20" s="712" t="s">
        <v>1042</v>
      </c>
      <c r="AW20" s="712"/>
      <c r="AY20" s="1025"/>
      <c r="AZ20" s="1026"/>
      <c r="BA20" s="1026"/>
      <c r="BB20" s="1026"/>
      <c r="BC20" s="1026"/>
      <c r="BE20" s="2099"/>
      <c r="BF20" s="1108" t="s">
        <v>1329</v>
      </c>
      <c r="BG20" s="712"/>
      <c r="BH20" s="712"/>
      <c r="BI20" s="712"/>
      <c r="BJ20" s="712"/>
      <c r="BK20" s="712" t="str">
        <f>+AV20</f>
        <v>LTM</v>
      </c>
      <c r="BL20" s="712"/>
      <c r="BT20" s="2099"/>
      <c r="BU20" s="1108"/>
      <c r="BV20" s="712"/>
      <c r="BW20" s="712"/>
      <c r="BX20" s="712"/>
      <c r="BY20" s="712"/>
      <c r="BZ20" s="712"/>
      <c r="CA20" s="712"/>
      <c r="CC20" s="1025"/>
      <c r="CD20" s="1026"/>
      <c r="CE20" s="1026"/>
      <c r="CF20" s="1026"/>
      <c r="CG20" s="1026"/>
      <c r="CI20" s="2099"/>
      <c r="CJ20" s="1108" t="s">
        <v>1097</v>
      </c>
      <c r="CK20" s="712"/>
      <c r="CL20" s="712"/>
      <c r="CM20" s="712"/>
      <c r="CN20" s="712"/>
      <c r="CO20" s="712" t="s">
        <v>1042</v>
      </c>
      <c r="CP20" s="712"/>
      <c r="CR20" s="1025"/>
      <c r="CS20" s="1026"/>
      <c r="CT20" s="1026"/>
      <c r="CU20" s="1026"/>
      <c r="CV20" s="1026"/>
      <c r="FH20" s="1025"/>
      <c r="FI20" s="1026"/>
      <c r="FJ20" s="1026"/>
      <c r="FK20" s="1026"/>
      <c r="FL20" s="1026"/>
    </row>
    <row r="21" spans="1:168" ht="15">
      <c r="A21" s="2103"/>
      <c r="B21" s="2104"/>
      <c r="C21" s="2099"/>
      <c r="S21" s="1071"/>
      <c r="Z21" s="2099"/>
      <c r="AO21" s="2099"/>
      <c r="AP21" s="2099"/>
      <c r="BE21" s="2099"/>
      <c r="BT21" s="2099"/>
      <c r="CI21" s="2099"/>
    </row>
    <row r="22" spans="1:168" ht="15">
      <c r="A22" s="2103"/>
      <c r="B22" s="2104"/>
      <c r="C22" s="2099"/>
      <c r="S22" s="1078"/>
      <c r="W22" s="1680" t="s">
        <v>1294</v>
      </c>
      <c r="Z22" s="2099"/>
      <c r="AO22" s="2099"/>
      <c r="AP22" s="2099"/>
      <c r="BE22" s="2099"/>
      <c r="BT22" s="2099"/>
      <c r="CI22" s="2099"/>
    </row>
    <row r="23" spans="1:168" ht="15.75">
      <c r="A23" s="2103"/>
      <c r="B23" s="2104"/>
      <c r="C23" s="2099"/>
      <c r="S23" s="1077" t="s">
        <v>731</v>
      </c>
      <c r="W23" s="1679">
        <f>Summary!W16/Summary!$W$15</f>
        <v>0.48623224563300083</v>
      </c>
      <c r="Z23" s="2099"/>
      <c r="AO23" s="2099"/>
      <c r="AP23" s="2099"/>
      <c r="BE23" s="2099"/>
      <c r="BT23" s="2099"/>
      <c r="CI23" s="2099"/>
    </row>
    <row r="24" spans="1:168" ht="15.75">
      <c r="A24" s="2103"/>
      <c r="B24" s="2104"/>
      <c r="C24" s="2099"/>
      <c r="O24" s="1929"/>
      <c r="S24" s="1077" t="s">
        <v>949</v>
      </c>
      <c r="W24" s="1679">
        <f>Summary!W17/Summary!$W$15</f>
        <v>0.31927333064511848</v>
      </c>
      <c r="Z24" s="2099"/>
      <c r="AO24" s="2099"/>
      <c r="AP24" s="2099"/>
      <c r="BE24" s="2099"/>
      <c r="BT24" s="2099"/>
      <c r="CI24" s="2099"/>
    </row>
    <row r="25" spans="1:168" ht="15.75">
      <c r="A25" s="2103"/>
      <c r="B25" s="2104"/>
      <c r="C25" s="2099"/>
      <c r="O25" s="1929"/>
      <c r="S25" s="1077" t="s">
        <v>1413</v>
      </c>
      <c r="W25" s="1679">
        <f>Summary!W18/Summary!$W$15</f>
        <v>0.19450033672905079</v>
      </c>
      <c r="Z25" s="2099"/>
      <c r="AO25" s="2099"/>
      <c r="AP25" s="2099"/>
      <c r="BE25" s="2099"/>
      <c r="BT25" s="2099"/>
      <c r="CI25" s="2099"/>
    </row>
    <row r="26" spans="1:168">
      <c r="A26" s="2103"/>
      <c r="B26" s="2104"/>
      <c r="C26" s="2099"/>
      <c r="O26" s="1929"/>
      <c r="W26" s="1681">
        <f>SUM(W23:W25)</f>
        <v>1.0000059130071701</v>
      </c>
      <c r="Z26" s="2099"/>
      <c r="AO26" s="2099"/>
      <c r="AP26" s="2099"/>
      <c r="BE26" s="2099"/>
      <c r="BT26" s="2099"/>
      <c r="CI26" s="2099"/>
    </row>
    <row r="27" spans="1:168">
      <c r="A27" s="2103"/>
      <c r="B27" s="2104"/>
      <c r="C27" s="2099"/>
      <c r="Z27" s="2099"/>
      <c r="AO27" s="2099"/>
      <c r="AP27" s="2099"/>
      <c r="BE27" s="2099"/>
      <c r="BT27" s="2099"/>
      <c r="CI27" s="2099"/>
    </row>
    <row r="28" spans="1:168" ht="15.75">
      <c r="A28" s="2103"/>
      <c r="B28" s="2104"/>
      <c r="C28" s="2099"/>
      <c r="S28" s="1077"/>
      <c r="Z28" s="2099"/>
      <c r="AO28" s="2099"/>
      <c r="AP28" s="2099"/>
      <c r="BE28" s="2099"/>
      <c r="BT28" s="2099"/>
      <c r="CI28" s="2099"/>
    </row>
    <row r="29" spans="1:168">
      <c r="A29" s="2103"/>
      <c r="B29" s="2104"/>
      <c r="C29" s="2099"/>
      <c r="Z29" s="2099"/>
      <c r="AO29" s="2099"/>
      <c r="AP29" s="2099"/>
      <c r="BE29" s="2099"/>
      <c r="BT29" s="2099"/>
      <c r="CI29" s="2099"/>
    </row>
    <row r="30" spans="1:168">
      <c r="A30" s="2103"/>
      <c r="B30" s="2104"/>
      <c r="C30" s="2099"/>
      <c r="Z30" s="2099"/>
      <c r="AO30" s="2099"/>
      <c r="AP30" s="2099"/>
      <c r="BE30" s="2099"/>
      <c r="BT30" s="2099"/>
      <c r="BV30" s="1025"/>
      <c r="BW30" s="1026"/>
      <c r="BX30" s="1026"/>
      <c r="BY30" s="1026"/>
      <c r="BZ30" s="1026"/>
      <c r="CI30" s="2099"/>
      <c r="CK30" s="1025"/>
      <c r="CL30" s="1026"/>
      <c r="CM30" s="1026"/>
      <c r="CN30" s="1026"/>
      <c r="CO30" s="1026"/>
    </row>
    <row r="31" spans="1:168">
      <c r="A31" s="2103"/>
      <c r="B31" s="2104"/>
      <c r="C31" s="2099"/>
      <c r="Z31" s="2099"/>
      <c r="AO31" s="2099"/>
      <c r="AP31" s="2099"/>
      <c r="AR31" s="1025"/>
      <c r="AS31" s="1026"/>
      <c r="AT31" s="1026"/>
      <c r="AU31" s="1026"/>
      <c r="AV31" s="1026"/>
      <c r="BE31" s="2099"/>
      <c r="BT31" s="2099"/>
      <c r="BV31" s="1025"/>
      <c r="BW31" s="1026"/>
      <c r="BX31" s="1026"/>
      <c r="BY31" s="1026"/>
      <c r="BZ31" s="1026"/>
      <c r="CI31" s="2099"/>
      <c r="CK31" s="1025"/>
      <c r="CL31" s="1026"/>
      <c r="CM31" s="1026"/>
      <c r="CN31" s="1026"/>
      <c r="CO31" s="1026"/>
    </row>
    <row r="32" spans="1:168">
      <c r="A32" s="2103"/>
      <c r="B32" s="2104"/>
      <c r="C32" s="2099"/>
      <c r="Z32" s="2099"/>
      <c r="AO32" s="2099"/>
      <c r="AP32" s="2099"/>
      <c r="AR32" s="1025"/>
      <c r="AS32" s="1026"/>
      <c r="AT32" s="1026"/>
      <c r="AU32" s="1026"/>
      <c r="AV32" s="1026"/>
      <c r="BE32" s="2099"/>
      <c r="BG32" s="1025"/>
      <c r="BH32" s="1026"/>
      <c r="BI32" s="1026"/>
      <c r="BJ32" s="1026"/>
      <c r="BK32" s="1026"/>
      <c r="BT32" s="2099"/>
      <c r="BV32" s="1025"/>
      <c r="BW32" s="1026"/>
      <c r="BX32" s="1026"/>
      <c r="BY32" s="1026"/>
      <c r="BZ32" s="1026"/>
      <c r="CI32" s="2099"/>
      <c r="CK32" s="1025"/>
      <c r="CL32" s="1026"/>
      <c r="CM32" s="1026"/>
      <c r="CN32" s="1026"/>
      <c r="CO32" s="1026"/>
    </row>
    <row r="33" spans="1:197">
      <c r="A33" s="2103"/>
      <c r="B33" s="2104"/>
      <c r="C33" s="2099"/>
      <c r="Z33" s="2099"/>
      <c r="AO33" s="2099"/>
      <c r="AP33" s="2099"/>
      <c r="AR33" s="1025"/>
      <c r="AS33" s="1026"/>
      <c r="AT33" s="1026"/>
      <c r="AU33" s="1026"/>
      <c r="AV33" s="1026"/>
      <c r="BE33" s="2099"/>
      <c r="BG33" s="1025"/>
      <c r="BH33" s="1027"/>
      <c r="BI33" s="1027"/>
      <c r="BJ33" s="1027"/>
      <c r="BK33" s="1027"/>
      <c r="BT33" s="2099"/>
      <c r="BV33" s="1025"/>
      <c r="BW33" s="1026"/>
      <c r="BX33" s="1026"/>
      <c r="BY33" s="1026"/>
      <c r="BZ33" s="1026"/>
      <c r="CI33" s="2099"/>
      <c r="CK33" s="1025"/>
      <c r="CL33" s="1026"/>
      <c r="CM33" s="1026"/>
      <c r="CN33" s="1026"/>
      <c r="CO33" s="1026"/>
    </row>
    <row r="34" spans="1:197">
      <c r="A34" s="2103"/>
      <c r="B34" s="2104"/>
      <c r="C34" s="2099"/>
      <c r="Z34" s="2099"/>
      <c r="AO34" s="2099"/>
      <c r="AP34" s="2099"/>
      <c r="AR34" s="1025"/>
      <c r="AS34" s="1026"/>
      <c r="AT34" s="1026"/>
      <c r="AU34" s="1026"/>
      <c r="AV34" s="1026"/>
      <c r="BE34" s="2099"/>
      <c r="BG34" s="1025"/>
      <c r="BH34" s="1026"/>
      <c r="BI34" s="1026"/>
      <c r="BJ34" s="1026"/>
      <c r="BK34" s="1026"/>
      <c r="BT34" s="2099"/>
      <c r="BV34" s="1025"/>
      <c r="BW34" s="1026"/>
      <c r="BX34" s="1026"/>
      <c r="BY34" s="1026"/>
      <c r="BZ34" s="1026"/>
      <c r="CI34" s="2099"/>
      <c r="CK34" s="1025"/>
      <c r="CL34" s="1026"/>
      <c r="CM34" s="1026"/>
      <c r="CN34" s="1026"/>
      <c r="CO34" s="1026"/>
    </row>
    <row r="35" spans="1:197">
      <c r="A35" s="2103"/>
      <c r="B35" s="2104"/>
      <c r="C35" s="2099"/>
      <c r="Z35" s="2099"/>
      <c r="AO35" s="2099"/>
      <c r="AP35" s="2099"/>
      <c r="AR35" s="1025"/>
      <c r="AS35" s="1026"/>
      <c r="AT35" s="1026"/>
      <c r="AU35" s="1026"/>
      <c r="AV35" s="1026"/>
      <c r="BE35" s="2099"/>
      <c r="BG35" s="1025"/>
      <c r="BH35" s="1026"/>
      <c r="BI35" s="1026"/>
      <c r="BJ35" s="1026"/>
      <c r="BK35" s="1026"/>
      <c r="BT35" s="2099"/>
      <c r="BV35" s="1025"/>
      <c r="BW35" s="1026"/>
      <c r="BX35" s="1026"/>
      <c r="BY35" s="1026"/>
      <c r="BZ35" s="1026"/>
      <c r="CI35" s="2099"/>
      <c r="CK35" s="1025"/>
      <c r="CL35" s="1026"/>
      <c r="CM35" s="1026"/>
      <c r="CN35" s="1026"/>
      <c r="CO35" s="1026"/>
    </row>
    <row r="36" spans="1:197">
      <c r="A36" s="2103"/>
      <c r="B36" s="2104"/>
      <c r="C36" s="2099"/>
      <c r="Z36" s="2099"/>
      <c r="AO36" s="2099"/>
      <c r="AP36" s="2099"/>
      <c r="AR36" s="1025"/>
      <c r="AS36" s="1026"/>
      <c r="AT36" s="1026"/>
      <c r="AU36" s="1026"/>
      <c r="AV36" s="1026"/>
      <c r="BE36" s="2099"/>
      <c r="BG36" s="1025"/>
      <c r="BH36" s="1026"/>
      <c r="BI36" s="1026"/>
      <c r="BJ36" s="1026"/>
      <c r="BK36" s="1026"/>
      <c r="BT36" s="2099"/>
      <c r="BV36" s="1025"/>
      <c r="BW36" s="1026"/>
      <c r="BX36" s="1026"/>
      <c r="BY36" s="1026"/>
      <c r="BZ36" s="1026"/>
      <c r="CI36" s="2099"/>
      <c r="CK36" s="1025"/>
      <c r="CL36" s="1026"/>
      <c r="CM36" s="1026"/>
      <c r="CN36" s="1026"/>
      <c r="CO36" s="1026"/>
    </row>
    <row r="37" spans="1:197" ht="13.5" thickBot="1">
      <c r="A37" s="2105"/>
      <c r="B37" s="2106"/>
      <c r="C37" s="2100"/>
      <c r="Z37" s="2100"/>
      <c r="AO37" s="2100"/>
      <c r="AP37" s="2100"/>
      <c r="BE37" s="2100"/>
      <c r="BT37" s="2100"/>
      <c r="CI37" s="2100"/>
    </row>
    <row r="38" spans="1:197" ht="12.75" customHeight="1" thickTop="1">
      <c r="A38" s="2098" t="s">
        <v>337</v>
      </c>
      <c r="B38" s="2098" t="s">
        <v>223</v>
      </c>
      <c r="C38" s="711" t="s">
        <v>890</v>
      </c>
      <c r="D38" s="712"/>
      <c r="E38" s="712"/>
      <c r="F38" s="712"/>
      <c r="G38" s="712"/>
      <c r="H38" s="712"/>
      <c r="I38" s="712"/>
      <c r="J38" s="713"/>
      <c r="K38" s="711" t="s">
        <v>820</v>
      </c>
      <c r="L38" s="712"/>
      <c r="M38" s="712"/>
      <c r="N38" s="712"/>
      <c r="O38" s="712"/>
      <c r="P38" s="712"/>
      <c r="Q38" s="712"/>
      <c r="R38" s="713"/>
      <c r="S38" s="711" t="s">
        <v>1152</v>
      </c>
      <c r="T38" s="712"/>
      <c r="U38" s="712"/>
      <c r="V38" s="712"/>
      <c r="W38" s="712"/>
      <c r="X38" s="712"/>
      <c r="Y38" s="712"/>
      <c r="Z38" s="713"/>
      <c r="AA38" s="711" t="s">
        <v>1151</v>
      </c>
      <c r="AB38" s="712"/>
      <c r="AC38" s="712"/>
      <c r="AD38" s="712"/>
      <c r="AE38" s="712"/>
      <c r="AF38" s="712"/>
      <c r="AG38" s="712"/>
      <c r="AH38" s="713"/>
      <c r="AI38" s="712" t="s">
        <v>1166</v>
      </c>
      <c r="AJ38" s="712"/>
      <c r="AK38" s="712"/>
      <c r="AL38" s="712"/>
      <c r="AM38" s="712"/>
      <c r="AN38" s="712"/>
      <c r="AO38" s="712"/>
      <c r="AP38" s="712"/>
      <c r="AQ38" s="711" t="s">
        <v>839</v>
      </c>
      <c r="AR38" s="712"/>
      <c r="AS38" s="712"/>
      <c r="AT38" s="712"/>
      <c r="AU38" s="712"/>
      <c r="AV38" s="712"/>
      <c r="AW38" s="712"/>
      <c r="AX38" s="713"/>
      <c r="AY38" s="711" t="s">
        <v>840</v>
      </c>
      <c r="AZ38" s="712"/>
      <c r="BA38" s="712"/>
      <c r="BB38" s="712"/>
      <c r="BC38" s="712"/>
      <c r="BD38" s="712"/>
      <c r="BE38" s="712"/>
      <c r="BF38" s="713"/>
      <c r="BG38" s="711" t="s">
        <v>836</v>
      </c>
      <c r="BH38" s="712"/>
      <c r="BI38" s="712"/>
      <c r="BJ38" s="712"/>
      <c r="BK38" s="712"/>
      <c r="BL38" s="712"/>
      <c r="BM38" s="712"/>
      <c r="BN38" s="713"/>
      <c r="BO38" s="711" t="s">
        <v>837</v>
      </c>
      <c r="BP38" s="712"/>
      <c r="BQ38" s="712"/>
      <c r="BR38" s="712"/>
      <c r="BS38" s="712"/>
      <c r="BT38" s="712"/>
      <c r="BU38" s="712"/>
      <c r="BV38" s="713"/>
      <c r="BW38" s="711" t="s">
        <v>860</v>
      </c>
      <c r="BX38" s="712"/>
      <c r="BY38" s="712"/>
      <c r="BZ38" s="712"/>
      <c r="CA38" s="712"/>
      <c r="CB38" s="712"/>
      <c r="CC38" s="712"/>
      <c r="CD38" s="713"/>
      <c r="CE38" s="711" t="s">
        <v>1156</v>
      </c>
      <c r="CF38" s="712"/>
      <c r="CG38" s="712"/>
      <c r="CH38" s="712"/>
      <c r="CI38" s="712"/>
      <c r="CJ38" s="712"/>
      <c r="CK38" s="712"/>
      <c r="CL38" s="713"/>
      <c r="CM38" s="711" t="s">
        <v>1155</v>
      </c>
      <c r="CN38" s="712"/>
      <c r="CO38" s="712"/>
      <c r="CP38" s="712"/>
      <c r="CQ38" s="712"/>
      <c r="CR38" s="712"/>
      <c r="CS38" s="712"/>
      <c r="CT38" s="713"/>
      <c r="CU38" s="711" t="s">
        <v>1157</v>
      </c>
      <c r="CV38" s="712"/>
      <c r="CW38" s="712"/>
      <c r="CX38" s="712"/>
      <c r="CY38" s="712"/>
      <c r="CZ38" s="712"/>
      <c r="DA38" s="712"/>
      <c r="DB38" s="713"/>
      <c r="DC38" s="711" t="s">
        <v>1167</v>
      </c>
      <c r="DD38" s="712"/>
      <c r="DE38" s="712"/>
      <c r="DF38" s="712"/>
      <c r="DG38" s="712"/>
      <c r="DH38" s="712"/>
      <c r="DI38" s="712"/>
      <c r="DJ38" s="713"/>
      <c r="DK38" s="711" t="s">
        <v>1280</v>
      </c>
      <c r="DL38" s="712"/>
      <c r="DM38" s="712"/>
      <c r="DN38" s="712"/>
      <c r="DO38" s="712"/>
      <c r="DP38" s="712"/>
      <c r="DQ38" s="712"/>
      <c r="DR38" s="713"/>
      <c r="DS38" s="711" t="s">
        <v>1281</v>
      </c>
      <c r="DT38" s="712"/>
      <c r="DU38" s="712"/>
      <c r="DV38" s="712"/>
      <c r="DW38" s="712"/>
      <c r="DX38" s="712"/>
      <c r="DY38" s="712"/>
      <c r="DZ38" s="713"/>
      <c r="EA38" s="711" t="s">
        <v>1282</v>
      </c>
      <c r="EB38" s="712"/>
      <c r="EC38" s="712"/>
      <c r="ED38" s="712"/>
      <c r="EE38" s="712"/>
      <c r="EF38" s="712"/>
      <c r="EG38" s="712"/>
      <c r="EH38" s="713"/>
      <c r="EI38" s="711" t="s">
        <v>1289</v>
      </c>
      <c r="EJ38" s="712"/>
      <c r="EK38" s="712"/>
      <c r="EL38" s="712"/>
      <c r="EM38" s="712"/>
      <c r="EN38" s="712"/>
      <c r="EO38" s="712"/>
      <c r="EP38" s="713"/>
      <c r="EQ38" s="711" t="s">
        <v>1290</v>
      </c>
      <c r="ER38" s="712"/>
      <c r="ES38" s="712"/>
      <c r="ET38" s="712"/>
      <c r="EU38" s="712"/>
      <c r="EV38" s="712"/>
      <c r="EW38" s="712"/>
      <c r="EX38" s="713"/>
      <c r="EY38" s="711" t="s">
        <v>1291</v>
      </c>
      <c r="EZ38" s="712"/>
      <c r="FA38" s="712"/>
      <c r="FB38" s="712"/>
      <c r="FC38" s="712"/>
      <c r="FD38" s="712"/>
      <c r="FE38" s="712"/>
      <c r="FF38" s="713"/>
      <c r="FG38" s="712" t="s">
        <v>1309</v>
      </c>
      <c r="FH38" s="712"/>
      <c r="FI38" s="712"/>
      <c r="FJ38" s="712"/>
      <c r="FK38" s="712"/>
      <c r="FL38" s="712"/>
      <c r="FM38" s="713"/>
      <c r="FN38" s="712" t="s">
        <v>1308</v>
      </c>
      <c r="FO38" s="712"/>
      <c r="FP38" s="712"/>
      <c r="FQ38" s="712"/>
      <c r="FR38" s="712"/>
      <c r="FS38" s="712"/>
      <c r="FT38" s="713"/>
      <c r="FU38" s="712" t="s">
        <v>1338</v>
      </c>
      <c r="FV38" s="712"/>
      <c r="FW38" s="712"/>
      <c r="FX38" s="712"/>
      <c r="FY38" s="712"/>
      <c r="FZ38" s="712"/>
      <c r="GA38" s="713"/>
      <c r="GB38" s="712" t="s">
        <v>1338</v>
      </c>
      <c r="GC38" s="712"/>
      <c r="GD38" s="712"/>
      <c r="GE38" s="712"/>
      <c r="GF38" s="712"/>
      <c r="GG38" s="712"/>
      <c r="GH38" s="713"/>
      <c r="GI38" s="712" t="s">
        <v>1389</v>
      </c>
      <c r="GJ38" s="712"/>
      <c r="GK38" s="712"/>
      <c r="GL38" s="712"/>
      <c r="GM38" s="712"/>
      <c r="GN38" s="712"/>
      <c r="GO38" s="713"/>
    </row>
    <row r="39" spans="1:197">
      <c r="A39" s="2099"/>
      <c r="B39" s="2099"/>
    </row>
    <row r="40" spans="1:197">
      <c r="A40" s="2099"/>
      <c r="B40" s="2099"/>
      <c r="C40" s="541" t="s">
        <v>45</v>
      </c>
      <c r="K40" s="541" t="s">
        <v>45</v>
      </c>
      <c r="AQ40" s="541" t="s">
        <v>45</v>
      </c>
      <c r="AY40" s="541" t="s">
        <v>45</v>
      </c>
      <c r="BG40" s="541" t="s">
        <v>45</v>
      </c>
      <c r="BO40" s="541" t="s">
        <v>45</v>
      </c>
      <c r="BW40" s="541" t="s">
        <v>45</v>
      </c>
      <c r="CE40" s="541" t="s">
        <v>45</v>
      </c>
      <c r="CM40" s="541" t="s">
        <v>45</v>
      </c>
    </row>
    <row r="41" spans="1:197">
      <c r="A41" s="2099"/>
      <c r="B41" s="2099"/>
    </row>
    <row r="42" spans="1:197">
      <c r="A42" s="2099"/>
      <c r="B42" s="2099"/>
    </row>
    <row r="43" spans="1:197">
      <c r="A43" s="2099"/>
      <c r="B43" s="2099"/>
    </row>
    <row r="44" spans="1:197">
      <c r="A44" s="2099"/>
      <c r="B44" s="2099"/>
    </row>
    <row r="45" spans="1:197">
      <c r="A45" s="2099"/>
      <c r="B45" s="2099"/>
    </row>
    <row r="46" spans="1:197">
      <c r="A46" s="2099"/>
      <c r="B46" s="2099"/>
    </row>
    <row r="47" spans="1:197">
      <c r="A47" s="2099"/>
      <c r="B47" s="2099"/>
    </row>
    <row r="48" spans="1:197">
      <c r="A48" s="2099"/>
      <c r="B48" s="2099"/>
    </row>
    <row r="49" spans="1:106">
      <c r="A49" s="2099"/>
      <c r="B49" s="2099"/>
    </row>
    <row r="50" spans="1:106">
      <c r="A50" s="2099"/>
      <c r="B50" s="2099"/>
    </row>
    <row r="51" spans="1:106">
      <c r="A51" s="2099"/>
      <c r="B51" s="2099"/>
    </row>
    <row r="52" spans="1:106">
      <c r="A52" s="2099"/>
      <c r="B52" s="2099"/>
    </row>
    <row r="53" spans="1:106">
      <c r="A53" s="2099"/>
      <c r="B53" s="2099"/>
    </row>
    <row r="54" spans="1:106">
      <c r="A54" s="2099"/>
      <c r="B54" s="2099"/>
    </row>
    <row r="55" spans="1:106">
      <c r="A55" s="2099"/>
      <c r="B55" s="2099"/>
    </row>
    <row r="56" spans="1:106" ht="13.5" customHeight="1" thickBot="1">
      <c r="A56" s="2099"/>
      <c r="B56" s="2100"/>
    </row>
    <row r="57" spans="1:106" ht="13.5" customHeight="1" thickTop="1">
      <c r="A57" s="2099"/>
      <c r="B57" s="2098" t="s">
        <v>1328</v>
      </c>
      <c r="C57" s="711" t="s">
        <v>822</v>
      </c>
      <c r="D57" s="712"/>
      <c r="E57" s="712"/>
      <c r="F57" s="712"/>
      <c r="G57" s="712"/>
      <c r="H57" s="712"/>
      <c r="I57" s="712"/>
      <c r="J57" s="713"/>
      <c r="K57" s="711" t="s">
        <v>823</v>
      </c>
      <c r="L57" s="712"/>
      <c r="M57" s="712"/>
      <c r="N57" s="712"/>
      <c r="O57" s="712"/>
      <c r="P57" s="712"/>
      <c r="Q57" s="712"/>
      <c r="R57" s="713"/>
      <c r="S57" s="711" t="s">
        <v>1168</v>
      </c>
      <c r="T57" s="712"/>
      <c r="U57" s="712"/>
      <c r="V57" s="712"/>
      <c r="W57" s="712"/>
      <c r="X57" s="712"/>
      <c r="Y57" s="712"/>
      <c r="Z57" s="713"/>
      <c r="AA57" s="711" t="s">
        <v>861</v>
      </c>
      <c r="AB57" s="712"/>
      <c r="AC57" s="712"/>
      <c r="AD57" s="712"/>
      <c r="AE57" s="712"/>
      <c r="AF57" s="712"/>
      <c r="AG57" s="712"/>
      <c r="AH57" s="713"/>
      <c r="AI57" s="711" t="s">
        <v>862</v>
      </c>
      <c r="AJ57" s="712"/>
      <c r="AK57" s="712"/>
      <c r="AL57" s="712"/>
      <c r="AM57" s="712"/>
      <c r="AN57" s="712"/>
      <c r="AO57" s="712"/>
      <c r="AP57" s="713"/>
      <c r="AQ57" s="711" t="s">
        <v>1131</v>
      </c>
      <c r="AR57" s="712"/>
      <c r="AS57" s="712"/>
      <c r="AT57" s="712"/>
      <c r="AU57" s="712"/>
      <c r="AV57" s="712"/>
      <c r="AW57" s="712"/>
      <c r="AX57" s="713"/>
      <c r="AY57" s="712" t="s">
        <v>1160</v>
      </c>
      <c r="AZ57" s="712"/>
      <c r="BA57" s="712"/>
      <c r="BB57" s="712"/>
      <c r="BC57" s="712"/>
      <c r="BD57" s="712"/>
      <c r="BE57" s="712"/>
      <c r="BF57" s="712"/>
      <c r="BG57" s="711" t="s">
        <v>907</v>
      </c>
      <c r="BH57" s="712"/>
      <c r="BI57" s="712"/>
      <c r="BJ57" s="712"/>
      <c r="BK57" s="712"/>
      <c r="BL57" s="712"/>
      <c r="BM57" s="712"/>
      <c r="BN57" s="713"/>
      <c r="BO57" s="711" t="s">
        <v>1139</v>
      </c>
      <c r="BP57" s="712"/>
      <c r="BQ57" s="712"/>
      <c r="BR57" s="712"/>
      <c r="BS57" s="712"/>
      <c r="BT57" s="712"/>
      <c r="BU57" s="712"/>
      <c r="BV57" s="713"/>
      <c r="BW57" s="711" t="s">
        <v>1140</v>
      </c>
      <c r="BX57" s="712"/>
      <c r="BY57" s="712"/>
      <c r="BZ57" s="712"/>
      <c r="CA57" s="712"/>
      <c r="CB57" s="712"/>
      <c r="CC57" s="712"/>
      <c r="CD57" s="713"/>
      <c r="CE57" s="711" t="s">
        <v>1169</v>
      </c>
      <c r="CF57" s="712"/>
      <c r="CG57" s="712"/>
      <c r="CH57" s="712"/>
      <c r="CI57" s="712"/>
      <c r="CJ57" s="712"/>
      <c r="CK57" s="712"/>
      <c r="CL57" s="713"/>
      <c r="CM57" s="711" t="s">
        <v>1143</v>
      </c>
      <c r="CN57" s="712"/>
      <c r="CO57" s="712"/>
      <c r="CP57" s="712"/>
      <c r="CQ57" s="712"/>
      <c r="CR57" s="712"/>
      <c r="CS57" s="712"/>
      <c r="CT57" s="713"/>
      <c r="CU57" s="711" t="s">
        <v>1345</v>
      </c>
      <c r="CV57" s="712"/>
      <c r="CW57" s="712"/>
      <c r="CX57" s="712"/>
      <c r="CY57" s="712"/>
      <c r="CZ57" s="712"/>
      <c r="DA57" s="712"/>
      <c r="DB57" s="713"/>
    </row>
    <row r="58" spans="1:106" ht="13.5" customHeight="1">
      <c r="A58" s="2099"/>
      <c r="B58" s="2099"/>
    </row>
    <row r="59" spans="1:106" ht="13.5" customHeight="1">
      <c r="A59" s="2099"/>
      <c r="B59" s="2099"/>
      <c r="C59" s="541" t="s">
        <v>45</v>
      </c>
      <c r="K59" s="541" t="s">
        <v>45</v>
      </c>
      <c r="S59" s="541" t="s">
        <v>45</v>
      </c>
      <c r="AA59" s="541" t="s">
        <v>45</v>
      </c>
      <c r="AI59" s="541" t="s">
        <v>45</v>
      </c>
      <c r="BG59" s="541" t="s">
        <v>45</v>
      </c>
      <c r="BO59" s="541" t="s">
        <v>45</v>
      </c>
      <c r="BW59" s="541" t="s">
        <v>45</v>
      </c>
      <c r="CE59" s="541" t="s">
        <v>45</v>
      </c>
      <c r="CM59" s="541" t="s">
        <v>45</v>
      </c>
    </row>
    <row r="60" spans="1:106" ht="13.5" customHeight="1">
      <c r="A60" s="2099"/>
      <c r="B60" s="2099"/>
    </row>
    <row r="61" spans="1:106" ht="13.5" customHeight="1">
      <c r="A61" s="2099"/>
      <c r="B61" s="2099"/>
    </row>
    <row r="62" spans="1:106" ht="13.5" customHeight="1">
      <c r="A62" s="2099"/>
      <c r="B62" s="2099"/>
    </row>
    <row r="63" spans="1:106" ht="15" customHeight="1">
      <c r="A63" s="2099"/>
      <c r="B63" s="2099"/>
    </row>
    <row r="64" spans="1:106" ht="12" customHeight="1">
      <c r="A64" s="2099"/>
      <c r="B64" s="2099"/>
    </row>
    <row r="65" spans="1:153" ht="12" customHeight="1">
      <c r="A65" s="2099"/>
      <c r="B65" s="2099"/>
    </row>
    <row r="66" spans="1:153" ht="12" customHeight="1">
      <c r="A66" s="2099"/>
      <c r="B66" s="2099"/>
    </row>
    <row r="67" spans="1:153" ht="12" customHeight="1">
      <c r="A67" s="2099"/>
      <c r="B67" s="2099"/>
    </row>
    <row r="68" spans="1:153" ht="12" customHeight="1">
      <c r="A68" s="2099"/>
      <c r="B68" s="2099"/>
    </row>
    <row r="69" spans="1:153" ht="12" customHeight="1">
      <c r="A69" s="2099"/>
      <c r="B69" s="2099"/>
    </row>
    <row r="70" spans="1:153" ht="12" customHeight="1">
      <c r="A70" s="2099"/>
      <c r="B70" s="2099"/>
    </row>
    <row r="71" spans="1:153" ht="12" customHeight="1">
      <c r="A71" s="2099"/>
      <c r="B71" s="2099"/>
    </row>
    <row r="72" spans="1:153" ht="12" customHeight="1">
      <c r="A72" s="2099"/>
      <c r="B72" s="2099"/>
    </row>
    <row r="73" spans="1:153" ht="12" customHeight="1">
      <c r="A73" s="2099"/>
      <c r="B73" s="2099"/>
    </row>
    <row r="74" spans="1:153" ht="12" customHeight="1">
      <c r="A74" s="2099"/>
      <c r="B74" s="2099"/>
    </row>
    <row r="75" spans="1:153" ht="12" customHeight="1" thickBot="1">
      <c r="A75" s="2099"/>
      <c r="B75" s="2100"/>
    </row>
    <row r="76" spans="1:153" ht="12.75" customHeight="1" thickTop="1">
      <c r="A76" s="2099"/>
      <c r="B76" s="2098" t="s">
        <v>337</v>
      </c>
      <c r="C76" s="711" t="s">
        <v>650</v>
      </c>
      <c r="D76" s="712"/>
      <c r="E76" s="712"/>
      <c r="F76" s="712"/>
      <c r="G76" s="712"/>
      <c r="H76" s="712"/>
      <c r="I76" s="712"/>
      <c r="J76" s="713"/>
      <c r="K76" s="711" t="s">
        <v>296</v>
      </c>
      <c r="L76" s="712"/>
      <c r="M76" s="712"/>
      <c r="N76" s="712"/>
      <c r="O76" s="712"/>
      <c r="P76" s="712"/>
      <c r="Q76" s="712"/>
      <c r="R76" s="713"/>
      <c r="S76" s="711" t="s">
        <v>19</v>
      </c>
      <c r="T76" s="712"/>
      <c r="U76" s="712"/>
      <c r="V76" s="712"/>
      <c r="W76" s="712"/>
      <c r="X76" s="712"/>
      <c r="Y76" s="712"/>
      <c r="Z76" s="713"/>
      <c r="AA76" s="711" t="s">
        <v>651</v>
      </c>
      <c r="AB76" s="712"/>
      <c r="AC76" s="712"/>
      <c r="AD76" s="712"/>
      <c r="AE76" s="712"/>
      <c r="AF76" s="712"/>
      <c r="AG76" s="712"/>
      <c r="AH76" s="713"/>
      <c r="AI76" s="711" t="s">
        <v>863</v>
      </c>
      <c r="AJ76" s="712"/>
      <c r="AK76" s="712"/>
      <c r="AL76" s="712"/>
      <c r="AM76" s="712"/>
      <c r="AN76" s="712"/>
      <c r="AO76" s="712"/>
      <c r="AP76" s="713"/>
      <c r="AQ76" s="711" t="s">
        <v>1127</v>
      </c>
      <c r="AR76" s="712"/>
      <c r="AS76" s="712"/>
      <c r="AT76" s="712"/>
      <c r="AU76" s="712"/>
      <c r="AV76" s="712"/>
      <c r="AW76" s="712"/>
      <c r="AX76" s="713"/>
      <c r="AY76" s="711" t="s">
        <v>1134</v>
      </c>
      <c r="AZ76" s="712"/>
      <c r="BA76" s="712"/>
      <c r="BB76" s="712"/>
      <c r="BC76" s="712"/>
      <c r="BD76" s="712"/>
      <c r="BE76" s="712"/>
      <c r="BF76" s="713"/>
      <c r="BG76" s="711" t="s">
        <v>1318</v>
      </c>
      <c r="BH76" s="712"/>
      <c r="BI76" s="712"/>
      <c r="BJ76" s="712"/>
      <c r="BK76" s="712"/>
      <c r="BL76" s="712"/>
      <c r="BM76" s="712"/>
      <c r="BN76" s="713"/>
      <c r="BO76" s="711" t="s">
        <v>1135</v>
      </c>
      <c r="BP76" s="712"/>
      <c r="BQ76" s="712"/>
      <c r="BR76" s="712"/>
      <c r="BS76" s="712"/>
      <c r="BT76" s="712"/>
      <c r="BU76" s="712"/>
      <c r="BV76" s="713"/>
      <c r="BW76" s="711" t="s">
        <v>1317</v>
      </c>
      <c r="BX76" s="712"/>
      <c r="BY76" s="712"/>
      <c r="BZ76" s="712"/>
      <c r="CA76" s="712"/>
      <c r="CB76" s="712"/>
      <c r="CC76" s="712"/>
      <c r="CE76" s="712" t="s">
        <v>1307</v>
      </c>
      <c r="CF76" s="712"/>
      <c r="CG76" s="712"/>
      <c r="CH76" s="712"/>
      <c r="CI76" s="712"/>
      <c r="CJ76" s="712"/>
      <c r="CK76" s="712"/>
      <c r="CM76" s="712" t="s">
        <v>1306</v>
      </c>
      <c r="CN76" s="712"/>
      <c r="CO76" s="712"/>
      <c r="CP76" s="712"/>
      <c r="CQ76" s="712"/>
      <c r="CR76" s="712"/>
      <c r="CS76" s="713"/>
      <c r="CT76" s="712" t="s">
        <v>1158</v>
      </c>
      <c r="CU76" s="712"/>
      <c r="CV76" s="712"/>
      <c r="CW76" s="712"/>
      <c r="CX76" s="712"/>
      <c r="CY76" s="712"/>
      <c r="CZ76" s="712"/>
      <c r="DA76" s="712"/>
      <c r="DB76" s="711" t="s">
        <v>1136</v>
      </c>
      <c r="DC76" s="712"/>
      <c r="DD76" s="712"/>
      <c r="DE76" s="712"/>
      <c r="DF76" s="712"/>
      <c r="DG76" s="712"/>
      <c r="DH76" s="712"/>
      <c r="DI76" s="713"/>
      <c r="DJ76" s="711" t="s">
        <v>191</v>
      </c>
      <c r="DK76" s="712"/>
      <c r="DL76" s="712"/>
      <c r="DM76" s="712"/>
      <c r="DN76" s="712"/>
      <c r="DO76" s="712"/>
      <c r="DP76" s="712"/>
      <c r="DQ76" s="713"/>
      <c r="DR76" s="711" t="s">
        <v>875</v>
      </c>
      <c r="DS76" s="712"/>
      <c r="DT76" s="712"/>
      <c r="DU76" s="712"/>
      <c r="DV76" s="712"/>
      <c r="DW76" s="712"/>
      <c r="DX76" s="712"/>
      <c r="DY76" s="713"/>
      <c r="DZ76" s="711" t="s">
        <v>876</v>
      </c>
      <c r="EA76" s="712"/>
      <c r="EB76" s="712"/>
      <c r="EC76" s="712"/>
      <c r="ED76" s="712"/>
      <c r="EE76" s="712"/>
      <c r="EF76" s="712"/>
      <c r="EG76" s="713"/>
      <c r="EH76" s="711" t="s">
        <v>1403</v>
      </c>
      <c r="EI76" s="712"/>
      <c r="EJ76" s="712"/>
      <c r="EK76" s="712"/>
      <c r="EL76" s="712"/>
      <c r="EM76" s="712"/>
      <c r="EN76" s="712"/>
      <c r="EO76" s="713"/>
      <c r="EP76" s="711" t="s">
        <v>191</v>
      </c>
      <c r="EQ76" s="712"/>
      <c r="ER76" s="712"/>
      <c r="ES76" s="712"/>
      <c r="ET76" s="712"/>
      <c r="EU76" s="712"/>
      <c r="EV76" s="712"/>
      <c r="EW76" s="713" t="str">
        <f>CONCATENATE(TEXT(Financials!AK69,"0%")," CAGR")</f>
        <v>96% CAGR</v>
      </c>
    </row>
    <row r="77" spans="1:153">
      <c r="A77" s="2099"/>
      <c r="B77" s="2099"/>
    </row>
    <row r="78" spans="1:153">
      <c r="A78" s="2099"/>
      <c r="B78" s="2099"/>
      <c r="C78" s="541" t="s">
        <v>45</v>
      </c>
      <c r="K78" s="541" t="s">
        <v>45</v>
      </c>
      <c r="S78" s="541" t="s">
        <v>45</v>
      </c>
      <c r="AA78" s="541" t="s">
        <v>45</v>
      </c>
      <c r="AI78" s="541" t="s">
        <v>45</v>
      </c>
      <c r="AQ78" s="541" t="s">
        <v>45</v>
      </c>
      <c r="AY78" s="541" t="s">
        <v>45</v>
      </c>
      <c r="BO78" s="541" t="s">
        <v>45</v>
      </c>
      <c r="DB78" s="541" t="s">
        <v>45</v>
      </c>
      <c r="DR78" s="541" t="s">
        <v>45</v>
      </c>
    </row>
    <row r="79" spans="1:153">
      <c r="A79" s="2099"/>
      <c r="B79" s="2099"/>
    </row>
    <row r="80" spans="1:153">
      <c r="A80" s="2099"/>
      <c r="B80" s="2099"/>
    </row>
    <row r="81" spans="1:138">
      <c r="A81" s="2099"/>
      <c r="B81" s="2099"/>
    </row>
    <row r="82" spans="1:138">
      <c r="A82" s="2099"/>
      <c r="B82" s="2099"/>
    </row>
    <row r="83" spans="1:138">
      <c r="A83" s="2099"/>
      <c r="B83" s="2099"/>
    </row>
    <row r="84" spans="1:138">
      <c r="A84" s="2099"/>
      <c r="B84" s="2099"/>
    </row>
    <row r="85" spans="1:138">
      <c r="A85" s="2099"/>
      <c r="B85" s="2099"/>
    </row>
    <row r="86" spans="1:138">
      <c r="A86" s="2099"/>
      <c r="B86" s="2099"/>
    </row>
    <row r="87" spans="1:138">
      <c r="A87" s="2099"/>
      <c r="B87" s="2099"/>
    </row>
    <row r="88" spans="1:138">
      <c r="A88" s="2099"/>
      <c r="B88" s="2099"/>
    </row>
    <row r="89" spans="1:138">
      <c r="A89" s="2099"/>
      <c r="B89" s="2099"/>
    </row>
    <row r="90" spans="1:138">
      <c r="A90" s="2099"/>
      <c r="B90" s="2099"/>
    </row>
    <row r="91" spans="1:138">
      <c r="A91" s="2099"/>
      <c r="B91" s="2099"/>
    </row>
    <row r="92" spans="1:138">
      <c r="A92" s="2099"/>
      <c r="B92" s="2099"/>
    </row>
    <row r="93" spans="1:138">
      <c r="A93" s="2099"/>
      <c r="B93" s="2099"/>
    </row>
    <row r="94" spans="1:138" ht="13.5" customHeight="1" thickBot="1">
      <c r="A94" s="2100"/>
      <c r="B94" s="2100"/>
    </row>
    <row r="95" spans="1:138" ht="13.5" customHeight="1" thickTop="1">
      <c r="A95" s="2101" t="s">
        <v>298</v>
      </c>
      <c r="B95" s="2109"/>
      <c r="C95" s="711" t="s">
        <v>297</v>
      </c>
      <c r="D95" s="712"/>
      <c r="E95" s="712"/>
      <c r="F95" s="712"/>
      <c r="G95" s="712"/>
      <c r="H95" s="712"/>
      <c r="I95" s="712"/>
      <c r="J95" s="713"/>
      <c r="K95" s="711" t="s">
        <v>334</v>
      </c>
      <c r="L95" s="712"/>
      <c r="M95" s="712"/>
      <c r="N95" s="712"/>
      <c r="O95" s="712"/>
      <c r="P95" s="712"/>
      <c r="Q95" s="712"/>
      <c r="R95" s="713"/>
      <c r="S95" s="711" t="s">
        <v>1462</v>
      </c>
      <c r="T95" s="712"/>
      <c r="U95" s="712"/>
      <c r="V95" s="712"/>
      <c r="W95" s="712"/>
      <c r="X95" s="712"/>
      <c r="Y95" s="712"/>
      <c r="Z95" s="713"/>
      <c r="AA95" s="1655" t="s">
        <v>1405</v>
      </c>
      <c r="AB95" s="712"/>
      <c r="AC95" s="712"/>
      <c r="AD95" s="712"/>
      <c r="AE95" s="712"/>
      <c r="AF95" s="712"/>
      <c r="AG95" s="712"/>
      <c r="AH95" s="713"/>
      <c r="AI95" s="1655" t="s">
        <v>1340</v>
      </c>
      <c r="AJ95" s="712"/>
      <c r="AK95" s="712"/>
      <c r="AL95" s="712"/>
      <c r="AM95" s="712"/>
      <c r="AN95" s="712"/>
      <c r="AO95" s="712"/>
      <c r="AP95" s="713"/>
      <c r="AQ95" s="711" t="s">
        <v>1273</v>
      </c>
      <c r="AR95" s="712"/>
      <c r="AS95" s="712"/>
      <c r="AT95" s="712"/>
      <c r="AU95" s="712"/>
      <c r="AV95" s="712"/>
      <c r="AW95" s="712"/>
      <c r="AX95" s="713"/>
      <c r="AY95" s="711" t="s">
        <v>614</v>
      </c>
      <c r="AZ95" s="712"/>
      <c r="BA95" s="712"/>
      <c r="BB95" s="712"/>
      <c r="BC95" s="712"/>
      <c r="BD95" s="712"/>
      <c r="BE95" s="712"/>
      <c r="BF95" s="713"/>
      <c r="BG95" s="711" t="s">
        <v>898</v>
      </c>
      <c r="BH95" s="712"/>
      <c r="BI95" s="712"/>
      <c r="BJ95" s="712"/>
      <c r="BK95" s="712"/>
      <c r="BL95" s="712"/>
      <c r="BM95" s="712"/>
      <c r="BN95" s="713"/>
      <c r="BO95" s="711" t="s">
        <v>899</v>
      </c>
      <c r="BP95" s="712"/>
      <c r="BQ95" s="712"/>
      <c r="BR95" s="712"/>
      <c r="BS95" s="712"/>
      <c r="BT95" s="712"/>
      <c r="BU95" s="712"/>
      <c r="BV95" s="713"/>
      <c r="BW95" s="711" t="s">
        <v>1170</v>
      </c>
      <c r="BX95" s="712"/>
      <c r="BY95" s="712"/>
      <c r="BZ95" s="712"/>
      <c r="CA95" s="712"/>
      <c r="CB95" s="712"/>
      <c r="CC95" s="712"/>
      <c r="CD95" s="713"/>
      <c r="CE95" s="711" t="s">
        <v>900</v>
      </c>
      <c r="CF95" s="712"/>
      <c r="CG95" s="712"/>
      <c r="CH95" s="712"/>
      <c r="CI95" s="712"/>
      <c r="CJ95" s="712"/>
      <c r="CK95" s="712"/>
      <c r="CL95" s="713"/>
      <c r="CM95" s="711" t="s">
        <v>1128</v>
      </c>
      <c r="CN95" s="712"/>
      <c r="CO95" s="712"/>
      <c r="CP95" s="712"/>
      <c r="CQ95" s="712"/>
      <c r="CR95" s="712"/>
      <c r="CS95" s="712"/>
      <c r="CT95" s="713"/>
      <c r="CU95" s="711" t="s">
        <v>855</v>
      </c>
      <c r="CV95" s="712"/>
      <c r="CW95" s="712"/>
      <c r="CX95" s="712"/>
      <c r="CY95" s="712"/>
      <c r="CZ95" s="712"/>
      <c r="DA95" s="712"/>
      <c r="DB95" s="714"/>
      <c r="DC95" s="711" t="s">
        <v>1179</v>
      </c>
      <c r="DD95" s="712"/>
      <c r="DE95" s="712"/>
      <c r="DF95" s="712"/>
      <c r="DG95" s="712"/>
      <c r="DH95" s="712"/>
      <c r="DI95" s="712"/>
      <c r="DJ95" s="713"/>
      <c r="DL95" s="712" t="s">
        <v>1138</v>
      </c>
      <c r="DM95" s="712"/>
      <c r="DN95" s="712"/>
      <c r="DO95" s="712"/>
      <c r="DP95" s="712"/>
      <c r="DQ95" s="712"/>
      <c r="DR95" s="713"/>
      <c r="DS95" s="711" t="s">
        <v>1406</v>
      </c>
      <c r="DT95" s="712"/>
      <c r="DU95" s="712"/>
      <c r="DV95" s="712"/>
      <c r="DW95" s="712"/>
      <c r="DX95" s="712"/>
      <c r="DY95" s="712"/>
      <c r="DZ95" s="713"/>
      <c r="EA95" s="711" t="s">
        <v>1407</v>
      </c>
      <c r="EB95" s="712"/>
      <c r="EC95" s="712"/>
      <c r="ED95" s="712"/>
      <c r="EE95" s="712"/>
      <c r="EF95" s="712"/>
      <c r="EG95" s="712"/>
      <c r="EH95" s="713"/>
    </row>
    <row r="96" spans="1:138" ht="13.5" customHeight="1">
      <c r="A96" s="2103"/>
      <c r="B96" s="2107"/>
    </row>
    <row r="97" spans="1:131" ht="13.5" customHeight="1">
      <c r="A97" s="2103"/>
      <c r="B97" s="2107"/>
      <c r="C97" s="541" t="s">
        <v>45</v>
      </c>
      <c r="K97" s="541" t="s">
        <v>45</v>
      </c>
      <c r="S97" s="541" t="s">
        <v>45</v>
      </c>
      <c r="AI97" s="541" t="s">
        <v>45</v>
      </c>
      <c r="AQ97" s="541" t="s">
        <v>45</v>
      </c>
      <c r="AY97" s="541" t="s">
        <v>45</v>
      </c>
      <c r="BG97" s="541" t="s">
        <v>45</v>
      </c>
      <c r="CE97" s="541" t="s">
        <v>45</v>
      </c>
      <c r="CM97" s="541" t="s">
        <v>45</v>
      </c>
      <c r="CU97" s="541" t="s">
        <v>45</v>
      </c>
    </row>
    <row r="98" spans="1:131" ht="13.5" customHeight="1">
      <c r="A98" s="2103"/>
      <c r="B98" s="2107"/>
    </row>
    <row r="99" spans="1:131" ht="13.5" customHeight="1">
      <c r="A99" s="2103"/>
      <c r="B99" s="2107"/>
    </row>
    <row r="100" spans="1:131" ht="13.5" customHeight="1">
      <c r="A100" s="2103"/>
      <c r="B100" s="2107"/>
      <c r="DS100" s="541" t="s">
        <v>45</v>
      </c>
      <c r="EA100" s="541" t="s">
        <v>45</v>
      </c>
    </row>
    <row r="101" spans="1:131" ht="13.5" customHeight="1">
      <c r="A101" s="2103"/>
      <c r="B101" s="2107"/>
    </row>
    <row r="102" spans="1:131" ht="13.5" customHeight="1">
      <c r="A102" s="2103"/>
      <c r="B102" s="2107"/>
    </row>
    <row r="103" spans="1:131" ht="13.5" customHeight="1">
      <c r="A103" s="2103"/>
      <c r="B103" s="2107"/>
    </row>
    <row r="104" spans="1:131" ht="13.5" customHeight="1">
      <c r="A104" s="2103"/>
      <c r="B104" s="2107"/>
    </row>
    <row r="105" spans="1:131" ht="13.5" customHeight="1">
      <c r="A105" s="2103"/>
      <c r="B105" s="2107"/>
    </row>
    <row r="106" spans="1:131" ht="13.5" customHeight="1">
      <c r="A106" s="2103"/>
      <c r="B106" s="2107"/>
    </row>
    <row r="107" spans="1:131" ht="13.5" customHeight="1">
      <c r="A107" s="2103"/>
      <c r="B107" s="2107"/>
    </row>
    <row r="108" spans="1:131" ht="13.5" customHeight="1">
      <c r="A108" s="2103"/>
      <c r="B108" s="2107"/>
    </row>
    <row r="109" spans="1:131" ht="13.5" customHeight="1">
      <c r="A109" s="2103"/>
      <c r="B109" s="2107"/>
    </row>
    <row r="110" spans="1:131" ht="13.5" customHeight="1">
      <c r="A110" s="2103"/>
      <c r="B110" s="2107"/>
    </row>
    <row r="111" spans="1:131" ht="13.5" customHeight="1">
      <c r="A111" s="2103"/>
      <c r="B111" s="2107"/>
    </row>
    <row r="112" spans="1:131" ht="13.5" customHeight="1">
      <c r="A112" s="2103"/>
      <c r="B112" s="2107"/>
    </row>
    <row r="113" spans="1:67" ht="13.5" customHeight="1" thickBot="1">
      <c r="A113" s="2105"/>
      <c r="B113" s="2108"/>
    </row>
    <row r="114" spans="1:67" ht="13.5" thickTop="1">
      <c r="A114" s="2103" t="s">
        <v>40</v>
      </c>
      <c r="B114" s="2107"/>
      <c r="C114" s="711" t="s">
        <v>305</v>
      </c>
      <c r="D114" s="712"/>
      <c r="E114" s="712"/>
      <c r="F114" s="712"/>
      <c r="G114" s="712"/>
      <c r="H114" s="712"/>
      <c r="I114" s="712"/>
      <c r="J114" s="713"/>
      <c r="K114" s="1655" t="s">
        <v>1386</v>
      </c>
      <c r="L114" s="712"/>
      <c r="M114" s="712"/>
      <c r="N114" s="712"/>
      <c r="O114" s="712"/>
      <c r="P114" s="712"/>
      <c r="Q114" s="712"/>
      <c r="R114" s="713"/>
      <c r="S114" s="711" t="s">
        <v>609</v>
      </c>
      <c r="T114" s="712"/>
      <c r="U114" s="712"/>
      <c r="V114" s="712"/>
      <c r="W114" s="712"/>
      <c r="X114" s="712"/>
      <c r="Y114" s="712"/>
      <c r="Z114" s="713"/>
      <c r="AA114" s="711" t="s">
        <v>653</v>
      </c>
      <c r="AB114" s="712"/>
      <c r="AC114" s="712"/>
      <c r="AD114" s="712"/>
      <c r="AE114" s="712"/>
      <c r="AF114" s="712"/>
      <c r="AG114" s="712"/>
      <c r="AH114" s="713"/>
      <c r="AI114" s="711" t="s">
        <v>1409</v>
      </c>
      <c r="AJ114" s="712"/>
      <c r="AK114" s="712"/>
      <c r="AL114" s="712"/>
      <c r="AM114" s="712"/>
      <c r="AN114" s="712"/>
      <c r="AO114" s="712"/>
      <c r="AP114" s="713"/>
    </row>
    <row r="115" spans="1:67">
      <c r="A115" s="2103"/>
      <c r="B115" s="2107"/>
      <c r="C115" s="541" t="s">
        <v>45</v>
      </c>
      <c r="K115" s="541" t="s">
        <v>45</v>
      </c>
      <c r="S115" s="541" t="s">
        <v>45</v>
      </c>
      <c r="AA115" s="541" t="s">
        <v>45</v>
      </c>
      <c r="AI115" s="541" t="s">
        <v>45</v>
      </c>
      <c r="AQ115" s="541" t="s">
        <v>45</v>
      </c>
      <c r="AY115" s="541" t="s">
        <v>45</v>
      </c>
      <c r="BG115" s="541" t="s">
        <v>45</v>
      </c>
      <c r="BO115" s="541" t="s">
        <v>45</v>
      </c>
    </row>
    <row r="116" spans="1:67">
      <c r="A116" s="2103"/>
      <c r="B116" s="2107"/>
      <c r="C116" s="541"/>
      <c r="K116" s="541"/>
      <c r="S116" s="541"/>
      <c r="AA116" s="541"/>
      <c r="AI116" s="541"/>
      <c r="AQ116" s="541"/>
      <c r="AY116" s="541"/>
      <c r="BG116" s="541"/>
      <c r="BO116" s="541"/>
    </row>
    <row r="117" spans="1:67">
      <c r="A117" s="2103"/>
      <c r="B117" s="2107"/>
    </row>
    <row r="118" spans="1:67">
      <c r="A118" s="2103"/>
      <c r="B118" s="2107"/>
    </row>
    <row r="119" spans="1:67">
      <c r="A119" s="2103"/>
      <c r="B119" s="2107"/>
    </row>
    <row r="120" spans="1:67">
      <c r="A120" s="2103"/>
      <c r="B120" s="2107"/>
    </row>
    <row r="121" spans="1:67">
      <c r="A121" s="2103"/>
      <c r="B121" s="2107"/>
    </row>
    <row r="122" spans="1:67">
      <c r="A122" s="2103"/>
      <c r="B122" s="2107"/>
    </row>
    <row r="123" spans="1:67">
      <c r="A123" s="2103"/>
      <c r="B123" s="2107"/>
    </row>
    <row r="124" spans="1:67">
      <c r="A124" s="2103"/>
      <c r="B124" s="2107"/>
    </row>
    <row r="125" spans="1:67">
      <c r="A125" s="2103"/>
      <c r="B125" s="2107"/>
    </row>
    <row r="126" spans="1:67">
      <c r="A126" s="2103"/>
      <c r="B126" s="2107"/>
    </row>
    <row r="127" spans="1:67">
      <c r="A127" s="2103"/>
      <c r="B127" s="2107"/>
    </row>
    <row r="128" spans="1:67">
      <c r="A128" s="2103"/>
      <c r="B128" s="2107"/>
    </row>
    <row r="129" spans="1:82">
      <c r="A129" s="2103"/>
      <c r="B129" s="2107"/>
    </row>
    <row r="130" spans="1:82">
      <c r="A130" s="2103"/>
      <c r="B130" s="2107"/>
    </row>
    <row r="131" spans="1:82">
      <c r="A131" s="2103"/>
      <c r="B131" s="2107"/>
    </row>
    <row r="132" spans="1:82" ht="13.5" thickBot="1">
      <c r="A132" s="2105"/>
      <c r="B132" s="2108"/>
    </row>
    <row r="133" spans="1:82" ht="12.75" customHeight="1" thickTop="1">
      <c r="A133" s="2101" t="s">
        <v>602</v>
      </c>
      <c r="B133" s="2102"/>
      <c r="C133" s="711" t="s">
        <v>654</v>
      </c>
      <c r="D133" s="712"/>
      <c r="E133" s="712"/>
      <c r="F133" s="712"/>
      <c r="G133" s="712"/>
      <c r="H133" s="712"/>
      <c r="I133" s="712"/>
      <c r="J133" s="713"/>
      <c r="K133" s="711" t="s">
        <v>864</v>
      </c>
      <c r="L133" s="712"/>
      <c r="M133" s="712"/>
      <c r="N133" s="712"/>
      <c r="O133" s="712"/>
      <c r="P133" s="712"/>
      <c r="Q133" s="712"/>
      <c r="R133" s="713"/>
      <c r="S133" s="711" t="s">
        <v>913</v>
      </c>
      <c r="T133" s="712"/>
      <c r="U133" s="712"/>
      <c r="V133" s="712"/>
      <c r="W133" s="712"/>
      <c r="X133" s="712"/>
      <c r="Y133" s="712"/>
      <c r="Z133" s="713"/>
      <c r="AA133" s="711" t="s">
        <v>926</v>
      </c>
      <c r="AB133" s="712"/>
      <c r="AC133" s="712"/>
      <c r="AD133" s="712"/>
      <c r="AE133" s="712"/>
      <c r="AF133" s="712"/>
      <c r="AG133" s="712"/>
      <c r="AH133" s="713"/>
      <c r="AI133" s="711" t="s">
        <v>1388</v>
      </c>
      <c r="AJ133" s="712"/>
      <c r="AK133" s="712"/>
      <c r="AL133" s="712"/>
      <c r="AM133" s="712"/>
      <c r="AN133" s="712"/>
      <c r="AO133" s="712"/>
      <c r="AP133" s="713"/>
      <c r="AQ133" s="711" t="s">
        <v>608</v>
      </c>
      <c r="AR133" s="712"/>
      <c r="AS133" s="712"/>
      <c r="AT133" s="712"/>
      <c r="AU133" s="712"/>
      <c r="AV133" s="712"/>
      <c r="AW133" s="712"/>
      <c r="AX133" s="713"/>
      <c r="AY133" s="711" t="s">
        <v>866</v>
      </c>
      <c r="AZ133" s="712"/>
      <c r="BA133" s="712"/>
      <c r="BB133" s="712"/>
      <c r="BC133" s="712"/>
      <c r="BD133" s="712"/>
      <c r="BE133" s="712"/>
      <c r="BF133" s="713"/>
      <c r="BG133" s="711" t="s">
        <v>865</v>
      </c>
      <c r="BH133" s="712"/>
      <c r="BI133" s="712"/>
      <c r="BJ133" s="712"/>
      <c r="BK133" s="712"/>
      <c r="BL133" s="712"/>
      <c r="BM133" s="712"/>
      <c r="BN133" s="713"/>
      <c r="BO133" s="711" t="s">
        <v>1316</v>
      </c>
      <c r="BP133" s="712"/>
      <c r="BQ133" s="712"/>
      <c r="BR133" s="712"/>
      <c r="BS133" s="712"/>
      <c r="BT133" s="712"/>
      <c r="BU133" s="712"/>
      <c r="BV133" s="712"/>
      <c r="BW133" s="711" t="s">
        <v>1471</v>
      </c>
      <c r="BX133" s="712"/>
      <c r="BY133" s="712"/>
      <c r="BZ133" s="712"/>
      <c r="CA133" s="712"/>
      <c r="CB133" s="712"/>
      <c r="CC133" s="712"/>
      <c r="CD133" s="712"/>
    </row>
    <row r="134" spans="1:82">
      <c r="A134" s="2103"/>
      <c r="B134" s="2104"/>
    </row>
    <row r="135" spans="1:82">
      <c r="A135" s="2103"/>
      <c r="B135" s="2104"/>
      <c r="C135" s="541" t="s">
        <v>45</v>
      </c>
      <c r="K135" s="541" t="s">
        <v>45</v>
      </c>
      <c r="S135" s="541" t="s">
        <v>45</v>
      </c>
      <c r="AI135" s="541" t="s">
        <v>45</v>
      </c>
      <c r="AQ135" s="541" t="s">
        <v>45</v>
      </c>
      <c r="AY135" s="541" t="s">
        <v>45</v>
      </c>
      <c r="BG135" s="541" t="s">
        <v>45</v>
      </c>
      <c r="BO135" s="541" t="s">
        <v>45</v>
      </c>
    </row>
    <row r="136" spans="1:82">
      <c r="A136" s="2103"/>
      <c r="B136" s="2104"/>
    </row>
    <row r="137" spans="1:82">
      <c r="A137" s="2103"/>
      <c r="B137" s="2104"/>
    </row>
    <row r="138" spans="1:82">
      <c r="A138" s="2103"/>
      <c r="B138" s="2104"/>
    </row>
    <row r="139" spans="1:82">
      <c r="A139" s="2103"/>
      <c r="B139" s="2104"/>
    </row>
    <row r="140" spans="1:82">
      <c r="A140" s="2103"/>
      <c r="B140" s="2104"/>
    </row>
    <row r="141" spans="1:82">
      <c r="A141" s="2103"/>
      <c r="B141" s="2104"/>
    </row>
    <row r="142" spans="1:82">
      <c r="A142" s="2103"/>
      <c r="B142" s="2104"/>
    </row>
    <row r="143" spans="1:82">
      <c r="A143" s="2103"/>
      <c r="B143" s="2104"/>
    </row>
    <row r="144" spans="1:82">
      <c r="A144" s="2103"/>
      <c r="B144" s="2104"/>
    </row>
    <row r="145" spans="1:75">
      <c r="A145" s="2103"/>
      <c r="B145" s="2104"/>
    </row>
    <row r="146" spans="1:75">
      <c r="A146" s="2103"/>
      <c r="B146" s="2104"/>
    </row>
    <row r="147" spans="1:75">
      <c r="A147" s="2103"/>
      <c r="B147" s="2104"/>
    </row>
    <row r="148" spans="1:75">
      <c r="A148" s="2103"/>
      <c r="B148" s="2104"/>
    </row>
    <row r="149" spans="1:75">
      <c r="A149" s="2103"/>
      <c r="B149" s="2104"/>
    </row>
    <row r="150" spans="1:75">
      <c r="A150" s="2103"/>
      <c r="B150" s="2104"/>
    </row>
    <row r="151" spans="1:75">
      <c r="A151" s="2103"/>
      <c r="B151" s="2104"/>
    </row>
    <row r="152" spans="1:75">
      <c r="A152" s="2103"/>
      <c r="B152" s="2104"/>
      <c r="C152" s="1655" t="s">
        <v>1378</v>
      </c>
      <c r="D152" s="712"/>
      <c r="E152" s="712"/>
      <c r="F152" s="712"/>
      <c r="G152" s="712"/>
      <c r="H152" s="712"/>
      <c r="I152" s="712"/>
      <c r="J152" s="713"/>
      <c r="K152" s="1655" t="s">
        <v>1381</v>
      </c>
      <c r="L152" s="712"/>
      <c r="M152" s="712"/>
      <c r="N152" s="712"/>
      <c r="O152" s="712"/>
      <c r="P152" s="712"/>
      <c r="Q152" s="712"/>
      <c r="R152" s="713"/>
      <c r="S152" s="1655" t="s">
        <v>1382</v>
      </c>
      <c r="T152" s="712"/>
      <c r="U152" s="712"/>
      <c r="V152" s="712"/>
      <c r="W152" s="712"/>
      <c r="X152" s="712"/>
      <c r="Y152" s="712"/>
      <c r="Z152" s="712"/>
      <c r="AA152" s="1655" t="s">
        <v>1377</v>
      </c>
      <c r="AB152" s="712"/>
      <c r="AC152" s="712"/>
      <c r="AD152" s="712"/>
      <c r="AE152" s="712"/>
      <c r="AF152" s="712"/>
      <c r="AG152" s="712"/>
      <c r="AH152" s="713"/>
      <c r="AI152" s="711" t="s">
        <v>655</v>
      </c>
      <c r="AJ152" s="712"/>
      <c r="AK152" s="712"/>
      <c r="AL152" s="712"/>
      <c r="AM152" s="712"/>
      <c r="AN152" s="712"/>
      <c r="AO152" s="712"/>
      <c r="AP152" s="713"/>
      <c r="AQ152" s="711" t="s">
        <v>656</v>
      </c>
      <c r="AR152" s="712"/>
      <c r="AS152" s="712"/>
      <c r="AT152" s="712"/>
      <c r="AU152" s="712"/>
      <c r="AV152" s="712"/>
      <c r="AW152" s="712"/>
      <c r="AX152" s="713"/>
      <c r="AY152" s="711" t="s">
        <v>1412</v>
      </c>
      <c r="AZ152" s="712"/>
      <c r="BA152" s="712"/>
      <c r="BB152" s="712"/>
      <c r="BC152" s="712"/>
      <c r="BD152" s="712"/>
      <c r="BE152" s="712"/>
      <c r="BF152" s="713"/>
    </row>
    <row r="153" spans="1:75">
      <c r="A153" s="2103"/>
      <c r="B153" s="2104"/>
    </row>
    <row r="154" spans="1:75">
      <c r="A154" s="2103"/>
      <c r="B154" s="2104"/>
      <c r="C154" s="541" t="s">
        <v>45</v>
      </c>
      <c r="K154" s="541" t="s">
        <v>45</v>
      </c>
      <c r="AA154" s="541" t="s">
        <v>45</v>
      </c>
      <c r="AI154" s="541" t="s">
        <v>45</v>
      </c>
      <c r="AQ154" s="541" t="s">
        <v>45</v>
      </c>
      <c r="AY154" s="541" t="s">
        <v>45</v>
      </c>
      <c r="BG154" s="541" t="s">
        <v>45</v>
      </c>
      <c r="BO154" s="541" t="s">
        <v>45</v>
      </c>
      <c r="BW154" s="541" t="s">
        <v>45</v>
      </c>
    </row>
    <row r="155" spans="1:75">
      <c r="A155" s="2103"/>
      <c r="B155" s="2104"/>
    </row>
    <row r="156" spans="1:75">
      <c r="A156" s="2103"/>
      <c r="B156" s="2104"/>
    </row>
    <row r="157" spans="1:75">
      <c r="A157" s="2103"/>
      <c r="B157" s="2104"/>
    </row>
    <row r="158" spans="1:75">
      <c r="A158" s="2103"/>
      <c r="B158" s="2104"/>
    </row>
    <row r="159" spans="1:75">
      <c r="A159" s="2103"/>
      <c r="B159" s="2104"/>
    </row>
    <row r="160" spans="1:75">
      <c r="A160" s="2103"/>
      <c r="B160" s="2104"/>
    </row>
    <row r="161" spans="1:51">
      <c r="A161" s="2103"/>
      <c r="B161" s="2104"/>
    </row>
    <row r="162" spans="1:51">
      <c r="A162" s="2103"/>
      <c r="B162" s="2104"/>
    </row>
    <row r="163" spans="1:51">
      <c r="A163" s="2103"/>
      <c r="B163" s="2104"/>
    </row>
    <row r="164" spans="1:51">
      <c r="A164" s="2103"/>
      <c r="B164" s="2104"/>
    </row>
    <row r="165" spans="1:51">
      <c r="A165" s="2103"/>
      <c r="B165" s="2104"/>
    </row>
    <row r="166" spans="1:51">
      <c r="A166" s="2103"/>
      <c r="B166" s="2104"/>
    </row>
    <row r="167" spans="1:51">
      <c r="A167" s="2103"/>
      <c r="B167" s="2104"/>
    </row>
    <row r="168" spans="1:51" ht="12.75" customHeight="1">
      <c r="A168" s="2103"/>
      <c r="B168" s="2104"/>
    </row>
    <row r="169" spans="1:51">
      <c r="A169" s="2103"/>
      <c r="B169" s="2104"/>
    </row>
    <row r="170" spans="1:51" ht="13.5" thickBot="1">
      <c r="A170" s="2105"/>
      <c r="B170" s="2106"/>
    </row>
    <row r="171" spans="1:51" ht="12.75" customHeight="1" thickTop="1">
      <c r="A171" s="2101" t="s">
        <v>300</v>
      </c>
      <c r="B171" s="2102"/>
      <c r="C171" s="711" t="s">
        <v>657</v>
      </c>
      <c r="D171" s="712"/>
      <c r="E171" s="712"/>
      <c r="F171" s="712"/>
      <c r="G171" s="712"/>
      <c r="H171" s="712"/>
      <c r="I171" s="712"/>
      <c r="J171" s="713"/>
      <c r="K171" s="712" t="s">
        <v>1410</v>
      </c>
      <c r="L171" s="712"/>
      <c r="M171" s="712"/>
      <c r="N171" s="712"/>
      <c r="O171" s="712"/>
      <c r="P171" s="712"/>
      <c r="Q171" s="712"/>
      <c r="R171" s="712"/>
      <c r="S171" s="712" t="s">
        <v>1410</v>
      </c>
      <c r="T171" s="712"/>
      <c r="U171" s="712"/>
      <c r="V171" s="712"/>
      <c r="W171" s="712"/>
      <c r="X171" s="712"/>
      <c r="Y171" s="712"/>
      <c r="Z171" s="712"/>
      <c r="AA171" s="712" t="s">
        <v>1371</v>
      </c>
      <c r="AB171" s="712"/>
      <c r="AC171" s="712"/>
      <c r="AD171" s="712"/>
      <c r="AE171" s="712"/>
      <c r="AF171" s="712"/>
      <c r="AG171" s="712"/>
      <c r="AH171" s="712"/>
      <c r="AI171" s="712" t="s">
        <v>1371</v>
      </c>
      <c r="AJ171" s="712"/>
      <c r="AK171" s="712"/>
      <c r="AL171" s="712"/>
      <c r="AM171" s="712"/>
      <c r="AN171" s="712"/>
      <c r="AO171" s="712"/>
      <c r="AP171" s="712"/>
    </row>
    <row r="172" spans="1:51">
      <c r="A172" s="2103"/>
      <c r="B172" s="2104"/>
    </row>
    <row r="173" spans="1:51">
      <c r="A173" s="2103"/>
      <c r="B173" s="2104"/>
    </row>
    <row r="174" spans="1:51">
      <c r="A174" s="2103"/>
      <c r="B174" s="2104"/>
    </row>
    <row r="175" spans="1:51">
      <c r="A175" s="2103"/>
      <c r="B175" s="2104"/>
      <c r="C175" s="541" t="s">
        <v>45</v>
      </c>
      <c r="AY175" s="1678" t="s">
        <v>293</v>
      </c>
    </row>
    <row r="176" spans="1:51">
      <c r="A176" s="2103"/>
      <c r="B176" s="2104"/>
    </row>
    <row r="177" spans="1:74">
      <c r="A177" s="2103"/>
      <c r="B177" s="2104"/>
    </row>
    <row r="178" spans="1:74">
      <c r="A178" s="2103"/>
      <c r="B178" s="2104"/>
    </row>
    <row r="179" spans="1:74">
      <c r="A179" s="2103"/>
      <c r="B179" s="2104"/>
    </row>
    <row r="180" spans="1:74">
      <c r="A180" s="2103"/>
      <c r="B180" s="2104"/>
    </row>
    <row r="181" spans="1:74">
      <c r="A181" s="2103"/>
      <c r="B181" s="2104"/>
    </row>
    <row r="182" spans="1:74">
      <c r="A182" s="2103"/>
      <c r="B182" s="2104"/>
    </row>
    <row r="183" spans="1:74">
      <c r="A183" s="2103"/>
      <c r="B183" s="2104"/>
    </row>
    <row r="184" spans="1:74">
      <c r="A184" s="2103"/>
      <c r="B184" s="2104"/>
    </row>
    <row r="185" spans="1:74">
      <c r="A185" s="2103"/>
      <c r="B185" s="2104"/>
    </row>
    <row r="186" spans="1:74">
      <c r="A186" s="2103"/>
      <c r="B186" s="2104"/>
    </row>
    <row r="187" spans="1:74">
      <c r="A187" s="2103"/>
      <c r="B187" s="2104"/>
    </row>
    <row r="188" spans="1:74">
      <c r="A188" s="2103"/>
      <c r="B188" s="2104"/>
    </row>
    <row r="189" spans="1:74" ht="13.5" thickBot="1">
      <c r="A189" s="2105"/>
      <c r="B189" s="2106"/>
    </row>
    <row r="190" spans="1:74" ht="13.5" thickTop="1">
      <c r="A190" s="1675"/>
      <c r="B190" s="1676"/>
      <c r="C190" s="1655" t="s">
        <v>1395</v>
      </c>
      <c r="D190" s="712"/>
      <c r="E190" s="712"/>
      <c r="F190" s="712"/>
      <c r="G190" s="712"/>
      <c r="H190" s="712"/>
      <c r="I190" s="712"/>
      <c r="J190" s="713"/>
      <c r="K190" s="1655" t="s">
        <v>1396</v>
      </c>
      <c r="L190" s="712"/>
      <c r="M190" s="712"/>
      <c r="N190" s="712"/>
      <c r="O190" s="712"/>
      <c r="P190" s="712"/>
      <c r="Q190" s="712"/>
      <c r="R190" s="713"/>
      <c r="S190" s="1655" t="s">
        <v>1397</v>
      </c>
      <c r="T190" s="712"/>
      <c r="U190" s="712"/>
      <c r="V190" s="712"/>
      <c r="W190" s="712"/>
      <c r="X190" s="712"/>
      <c r="Y190" s="712"/>
      <c r="Z190" s="713"/>
      <c r="AA190" s="1655" t="s">
        <v>1398</v>
      </c>
      <c r="AB190" s="712"/>
      <c r="AC190" s="712"/>
      <c r="AD190" s="712"/>
      <c r="AE190" s="712"/>
      <c r="AF190" s="712"/>
      <c r="AG190" s="712"/>
      <c r="AH190" s="713"/>
      <c r="AI190" s="711" t="s">
        <v>1314</v>
      </c>
      <c r="AJ190" s="712"/>
      <c r="AK190" s="712"/>
      <c r="AL190" s="712"/>
      <c r="AM190" s="712"/>
      <c r="AN190" s="712"/>
      <c r="AO190" s="712"/>
      <c r="AP190" s="713"/>
      <c r="AQ190" s="711" t="s">
        <v>1325</v>
      </c>
      <c r="AR190" s="712"/>
      <c r="AS190" s="712"/>
      <c r="AT190" s="712"/>
      <c r="AU190" s="712"/>
      <c r="AV190" s="712"/>
      <c r="AW190" s="712"/>
      <c r="AX190" s="713"/>
      <c r="AY190" s="711" t="s">
        <v>1326</v>
      </c>
      <c r="AZ190" s="712"/>
      <c r="BA190" s="712"/>
      <c r="BB190" s="712"/>
      <c r="BC190" s="712"/>
      <c r="BD190" s="712"/>
      <c r="BE190" s="712"/>
      <c r="BF190" s="713"/>
      <c r="BG190" s="711" t="s">
        <v>1327</v>
      </c>
      <c r="BH190" s="712"/>
      <c r="BI190" s="712"/>
      <c r="BJ190" s="712"/>
      <c r="BK190" s="712"/>
      <c r="BL190" s="712"/>
      <c r="BM190" s="712"/>
      <c r="BN190" s="713"/>
      <c r="BO190" s="711" t="s">
        <v>601</v>
      </c>
      <c r="BP190" s="712"/>
      <c r="BQ190" s="712"/>
      <c r="BR190" s="712"/>
      <c r="BS190" s="712"/>
      <c r="BT190" s="712"/>
      <c r="BU190" s="712"/>
      <c r="BV190" s="713"/>
    </row>
    <row r="191" spans="1:74">
      <c r="A191" s="1675"/>
      <c r="B191" s="1676"/>
    </row>
    <row r="192" spans="1:74">
      <c r="A192" s="1675"/>
      <c r="B192" s="1676"/>
    </row>
    <row r="193" spans="1:59">
      <c r="A193" s="1675"/>
      <c r="B193" s="1676"/>
    </row>
    <row r="194" spans="1:59">
      <c r="A194" s="1675"/>
      <c r="B194" s="1676"/>
      <c r="C194" s="541" t="s">
        <v>45</v>
      </c>
      <c r="K194" s="541" t="s">
        <v>45</v>
      </c>
      <c r="S194" s="541" t="s">
        <v>45</v>
      </c>
      <c r="AA194" s="541" t="s">
        <v>45</v>
      </c>
      <c r="AI194" s="541" t="s">
        <v>45</v>
      </c>
      <c r="AQ194" s="541" t="s">
        <v>45</v>
      </c>
      <c r="AY194" s="541" t="s">
        <v>45</v>
      </c>
      <c r="BG194" s="541" t="s">
        <v>45</v>
      </c>
    </row>
    <row r="195" spans="1:59">
      <c r="A195" s="1675"/>
      <c r="B195" s="1676"/>
    </row>
    <row r="196" spans="1:59">
      <c r="A196" s="1675"/>
      <c r="B196" s="1676"/>
    </row>
    <row r="197" spans="1:59">
      <c r="A197" s="1675"/>
      <c r="B197" s="1676"/>
    </row>
    <row r="198" spans="1:59">
      <c r="A198" s="1675"/>
      <c r="B198" s="1676"/>
    </row>
    <row r="199" spans="1:59">
      <c r="A199" s="1675"/>
      <c r="B199" s="1676"/>
    </row>
    <row r="200" spans="1:59">
      <c r="A200" s="1675"/>
      <c r="B200" s="1676"/>
    </row>
    <row r="201" spans="1:59">
      <c r="A201" s="1675"/>
      <c r="B201" s="1676"/>
    </row>
    <row r="202" spans="1:59">
      <c r="A202" s="1675"/>
      <c r="B202" s="1676"/>
    </row>
    <row r="203" spans="1:59">
      <c r="A203" s="1675"/>
      <c r="B203" s="1676"/>
    </row>
    <row r="204" spans="1:59">
      <c r="A204" s="1675"/>
      <c r="B204" s="1676"/>
    </row>
    <row r="205" spans="1:59">
      <c r="A205" s="1675"/>
      <c r="B205" s="1676"/>
    </row>
    <row r="206" spans="1:59">
      <c r="A206" s="1675"/>
      <c r="B206" s="1676"/>
    </row>
    <row r="207" spans="1:59">
      <c r="A207" s="1675"/>
      <c r="B207" s="1676"/>
    </row>
    <row r="208" spans="1:59" ht="13.5" thickBot="1">
      <c r="A208" s="1675"/>
      <c r="B208" s="1676"/>
    </row>
    <row r="209" spans="1:67" ht="12.75" customHeight="1" thickTop="1">
      <c r="A209" s="2101" t="s">
        <v>279</v>
      </c>
      <c r="B209" s="2102"/>
      <c r="C209" s="711" t="s">
        <v>1503</v>
      </c>
      <c r="D209" s="712"/>
      <c r="E209" s="712"/>
      <c r="F209" s="712"/>
      <c r="G209" s="712"/>
      <c r="H209" s="712"/>
      <c r="I209" s="712"/>
      <c r="J209" s="713"/>
      <c r="K209" s="711" t="s">
        <v>1504</v>
      </c>
      <c r="L209" s="712"/>
      <c r="M209" s="712"/>
      <c r="N209" s="712"/>
      <c r="O209" s="712"/>
      <c r="P209" s="712"/>
      <c r="Q209" s="712"/>
      <c r="R209" s="713"/>
      <c r="S209" s="711" t="s">
        <v>600</v>
      </c>
      <c r="T209" s="712"/>
      <c r="U209" s="712"/>
      <c r="V209" s="712"/>
      <c r="W209" s="712"/>
      <c r="X209" s="712"/>
      <c r="Y209" s="712"/>
      <c r="Z209" s="713"/>
      <c r="AA209" s="2066" t="s">
        <v>867</v>
      </c>
      <c r="AB209" s="2067"/>
      <c r="AC209" s="2067"/>
      <c r="AD209" s="2067"/>
      <c r="AE209" s="2067"/>
      <c r="AF209" s="2067"/>
      <c r="AG209" s="2067"/>
      <c r="AH209" s="2068"/>
      <c r="AI209" s="1962" t="s">
        <v>1506</v>
      </c>
      <c r="AJ209" s="1963"/>
      <c r="AK209" s="1963"/>
      <c r="AL209" s="1963"/>
      <c r="AM209" s="1963"/>
      <c r="AN209" s="1963"/>
      <c r="AO209" s="1963"/>
      <c r="AP209" s="1964"/>
      <c r="AQ209" s="1962" t="s">
        <v>1505</v>
      </c>
      <c r="AR209" s="1963"/>
      <c r="AS209" s="1963"/>
      <c r="AT209" s="1963"/>
      <c r="AU209" s="1963"/>
      <c r="AV209" s="1963"/>
      <c r="AW209" s="1963"/>
      <c r="AX209" s="1964"/>
      <c r="AY209" s="1962" t="s">
        <v>1511</v>
      </c>
      <c r="AZ209" s="1963"/>
      <c r="BA209" s="1963"/>
      <c r="BB209" s="1963"/>
      <c r="BC209" s="1963"/>
      <c r="BD209" s="1963"/>
      <c r="BE209" s="1963"/>
      <c r="BF209" s="1964"/>
    </row>
    <row r="210" spans="1:67">
      <c r="A210" s="2103"/>
      <c r="B210" s="2104"/>
    </row>
    <row r="211" spans="1:67">
      <c r="A211" s="2103"/>
      <c r="B211" s="2104"/>
    </row>
    <row r="212" spans="1:67">
      <c r="A212" s="2103"/>
      <c r="B212" s="2104"/>
    </row>
    <row r="213" spans="1:67">
      <c r="A213" s="2103"/>
      <c r="B213" s="2104"/>
    </row>
    <row r="214" spans="1:67">
      <c r="A214" s="2103"/>
      <c r="B214" s="2104"/>
    </row>
    <row r="215" spans="1:67">
      <c r="A215" s="2103"/>
      <c r="B215" s="2104"/>
    </row>
    <row r="216" spans="1:67">
      <c r="A216" s="2103"/>
      <c r="B216" s="2104"/>
    </row>
    <row r="217" spans="1:67">
      <c r="A217" s="2103"/>
      <c r="B217" s="2104"/>
      <c r="C217" s="541" t="s">
        <v>45</v>
      </c>
      <c r="K217" s="541" t="s">
        <v>45</v>
      </c>
      <c r="S217" s="541" t="s">
        <v>45</v>
      </c>
      <c r="AA217" s="541" t="s">
        <v>45</v>
      </c>
      <c r="AI217" s="541" t="s">
        <v>45</v>
      </c>
      <c r="AQ217" s="541" t="s">
        <v>45</v>
      </c>
      <c r="AY217" s="541" t="s">
        <v>45</v>
      </c>
      <c r="BG217" s="541" t="s">
        <v>45</v>
      </c>
      <c r="BO217" s="541" t="s">
        <v>45</v>
      </c>
    </row>
    <row r="218" spans="1:67">
      <c r="A218" s="2103"/>
      <c r="B218" s="2104"/>
    </row>
    <row r="219" spans="1:67">
      <c r="A219" s="2103"/>
      <c r="B219" s="2104"/>
    </row>
    <row r="220" spans="1:67">
      <c r="A220" s="2103"/>
      <c r="B220" s="2104"/>
    </row>
    <row r="221" spans="1:67">
      <c r="A221" s="2103"/>
      <c r="B221" s="2104"/>
    </row>
    <row r="222" spans="1:67">
      <c r="A222" s="2103"/>
      <c r="B222" s="2104"/>
    </row>
    <row r="223" spans="1:67">
      <c r="A223" s="2103"/>
      <c r="B223" s="2104"/>
    </row>
    <row r="224" spans="1:67">
      <c r="A224" s="2103"/>
      <c r="B224" s="2104"/>
    </row>
    <row r="225" spans="1:58">
      <c r="A225" s="2103"/>
      <c r="B225" s="2104"/>
    </row>
    <row r="226" spans="1:58">
      <c r="A226" s="1675"/>
      <c r="B226" s="1676"/>
    </row>
    <row r="227" spans="1:58" ht="13.5" thickBot="1">
      <c r="A227" s="1675"/>
      <c r="B227" s="1676"/>
    </row>
    <row r="228" spans="1:58" ht="13.5" customHeight="1" thickTop="1">
      <c r="A228" s="2098" t="s">
        <v>1070</v>
      </c>
      <c r="B228" s="2098"/>
      <c r="C228" s="711" t="s">
        <v>1082</v>
      </c>
      <c r="D228" s="712"/>
      <c r="E228" s="712"/>
      <c r="F228" s="712"/>
      <c r="G228" s="712"/>
      <c r="H228" s="712"/>
      <c r="I228" s="712"/>
      <c r="J228" s="713"/>
      <c r="K228" s="711" t="s">
        <v>1174</v>
      </c>
      <c r="L228" s="712"/>
      <c r="M228" s="712"/>
      <c r="N228" s="712"/>
      <c r="O228" s="712"/>
      <c r="P228" s="712"/>
      <c r="Q228" s="712"/>
      <c r="R228" s="713"/>
      <c r="S228" s="711" t="s">
        <v>1083</v>
      </c>
      <c r="T228" s="712"/>
      <c r="U228" s="712"/>
      <c r="V228" s="712"/>
      <c r="W228" s="712"/>
      <c r="X228" s="712"/>
      <c r="Y228" s="712"/>
      <c r="Z228" s="713"/>
      <c r="AA228" s="711" t="s">
        <v>1084</v>
      </c>
      <c r="AB228" s="712"/>
      <c r="AC228" s="712"/>
      <c r="AD228" s="712"/>
      <c r="AE228" s="712"/>
      <c r="AF228" s="712"/>
      <c r="AG228" s="712"/>
      <c r="AH228" s="713"/>
      <c r="AI228" s="711" t="s">
        <v>1085</v>
      </c>
      <c r="AJ228" s="712"/>
      <c r="AK228" s="712"/>
      <c r="AL228" s="712"/>
      <c r="AM228" s="712"/>
      <c r="AN228" s="712"/>
      <c r="AO228" s="712"/>
      <c r="AP228" s="713"/>
      <c r="AQ228" s="711" t="s">
        <v>1085</v>
      </c>
      <c r="AR228" s="712"/>
      <c r="AS228" s="712"/>
      <c r="AT228" s="712"/>
      <c r="AU228" s="712"/>
      <c r="AV228" s="712"/>
      <c r="AW228" s="712"/>
      <c r="AX228" s="713"/>
      <c r="AY228" s="711" t="s">
        <v>1088</v>
      </c>
      <c r="AZ228" s="712"/>
      <c r="BA228" s="712"/>
      <c r="BB228" s="712"/>
      <c r="BC228" s="712"/>
      <c r="BD228" s="712"/>
      <c r="BE228" s="712"/>
      <c r="BF228" s="713"/>
    </row>
    <row r="229" spans="1:58">
      <c r="A229" s="2099"/>
      <c r="B229" s="2099"/>
    </row>
    <row r="230" spans="1:58">
      <c r="A230" s="2099"/>
      <c r="B230" s="2099"/>
    </row>
    <row r="231" spans="1:58">
      <c r="A231" s="2099"/>
      <c r="B231" s="2099"/>
    </row>
    <row r="232" spans="1:58">
      <c r="A232" s="2099"/>
      <c r="B232" s="2099"/>
    </row>
    <row r="233" spans="1:58">
      <c r="A233" s="2099"/>
      <c r="B233" s="2099"/>
    </row>
    <row r="234" spans="1:58">
      <c r="A234" s="2099"/>
      <c r="B234" s="2099"/>
    </row>
    <row r="235" spans="1:58">
      <c r="A235" s="2099"/>
      <c r="B235" s="2099"/>
    </row>
    <row r="236" spans="1:58">
      <c r="A236" s="2099"/>
      <c r="B236" s="2099"/>
    </row>
    <row r="237" spans="1:58">
      <c r="A237" s="2099"/>
      <c r="B237" s="2099"/>
    </row>
    <row r="238" spans="1:58">
      <c r="A238" s="2099"/>
      <c r="B238" s="2099"/>
    </row>
    <row r="239" spans="1:58">
      <c r="A239" s="2099"/>
      <c r="B239" s="2099"/>
    </row>
    <row r="240" spans="1:58">
      <c r="A240" s="2099"/>
      <c r="B240" s="2099"/>
    </row>
    <row r="241" spans="1:18">
      <c r="A241" s="2099"/>
      <c r="B241" s="2099"/>
    </row>
    <row r="242" spans="1:18">
      <c r="A242" s="2099"/>
      <c r="B242" s="2099"/>
    </row>
    <row r="243" spans="1:18">
      <c r="A243" s="2099"/>
      <c r="B243" s="2099"/>
    </row>
    <row r="244" spans="1:18">
      <c r="A244" s="2099"/>
      <c r="B244" s="2099"/>
    </row>
    <row r="245" spans="1:18" ht="13.5" customHeight="1">
      <c r="A245" s="2099"/>
      <c r="B245" s="2099"/>
    </row>
    <row r="246" spans="1:18" ht="13.5" thickBot="1">
      <c r="A246" s="2099"/>
      <c r="B246" s="2099"/>
    </row>
    <row r="247" spans="1:18" ht="13.5" customHeight="1" thickTop="1">
      <c r="A247" s="2098" t="s">
        <v>1277</v>
      </c>
      <c r="B247" s="2098" t="s">
        <v>731</v>
      </c>
      <c r="C247" s="711" t="s">
        <v>1278</v>
      </c>
      <c r="D247" s="712"/>
      <c r="E247" s="712"/>
      <c r="F247" s="712"/>
      <c r="G247" s="712"/>
      <c r="H247" s="712"/>
      <c r="I247" s="712"/>
      <c r="J247" s="713"/>
      <c r="K247" s="711" t="s">
        <v>1292</v>
      </c>
      <c r="L247" s="712"/>
      <c r="M247" s="712"/>
      <c r="N247" s="712"/>
      <c r="O247" s="712"/>
      <c r="P247" s="712"/>
      <c r="Q247" s="712"/>
      <c r="R247" s="713"/>
    </row>
    <row r="248" spans="1:18">
      <c r="A248" s="2099"/>
      <c r="B248" s="2099"/>
    </row>
    <row r="249" spans="1:18">
      <c r="A249" s="2099"/>
      <c r="B249" s="2099"/>
    </row>
    <row r="250" spans="1:18">
      <c r="A250" s="2099"/>
      <c r="B250" s="2099"/>
    </row>
    <row r="251" spans="1:18">
      <c r="A251" s="2099"/>
      <c r="B251" s="2099"/>
    </row>
    <row r="252" spans="1:18">
      <c r="A252" s="2099"/>
      <c r="B252" s="2099"/>
    </row>
    <row r="253" spans="1:18">
      <c r="A253" s="2099"/>
      <c r="B253" s="2099"/>
    </row>
    <row r="254" spans="1:18">
      <c r="A254" s="2099"/>
      <c r="B254" s="2099"/>
    </row>
    <row r="255" spans="1:18" ht="13.5" customHeight="1">
      <c r="A255" s="2099"/>
      <c r="B255" s="2099"/>
    </row>
    <row r="256" spans="1:18">
      <c r="A256" s="2099"/>
      <c r="B256" s="2099"/>
    </row>
    <row r="257" spans="1:66">
      <c r="A257" s="2099"/>
      <c r="B257" s="2099"/>
    </row>
    <row r="258" spans="1:66">
      <c r="A258" s="2099"/>
      <c r="B258" s="2099"/>
    </row>
    <row r="259" spans="1:66">
      <c r="A259" s="2099"/>
      <c r="B259" s="2099"/>
    </row>
    <row r="260" spans="1:66">
      <c r="A260" s="2099"/>
      <c r="B260" s="2099"/>
    </row>
    <row r="261" spans="1:66">
      <c r="A261" s="2099"/>
      <c r="B261" s="2099"/>
    </row>
    <row r="262" spans="1:66">
      <c r="A262" s="2099"/>
      <c r="B262" s="2099"/>
    </row>
    <row r="263" spans="1:66">
      <c r="A263" s="2099"/>
      <c r="B263" s="2099"/>
    </row>
    <row r="264" spans="1:66">
      <c r="A264" s="2099"/>
      <c r="B264" s="2099"/>
    </row>
    <row r="265" spans="1:66">
      <c r="A265" s="2099"/>
      <c r="B265" s="2099"/>
    </row>
    <row r="266" spans="1:66">
      <c r="A266" s="1675"/>
      <c r="B266" s="1676"/>
    </row>
    <row r="267" spans="1:66" ht="30" customHeight="1" thickBot="1">
      <c r="A267" s="76"/>
      <c r="B267" s="76"/>
      <c r="C267" s="2110" t="s">
        <v>269</v>
      </c>
      <c r="D267" s="2110"/>
      <c r="E267" s="2110"/>
      <c r="F267" s="2110"/>
      <c r="G267" s="2110"/>
      <c r="H267" s="2110"/>
      <c r="I267" s="2110"/>
      <c r="J267" s="2110"/>
      <c r="K267" s="2110"/>
      <c r="L267" s="2110"/>
      <c r="M267" s="2110"/>
      <c r="N267" s="2110"/>
      <c r="O267" s="2110"/>
      <c r="P267" s="2110"/>
      <c r="Q267" s="2110"/>
      <c r="R267" s="2110"/>
      <c r="S267" s="2110"/>
      <c r="T267" s="2110"/>
      <c r="U267" s="2110"/>
      <c r="V267" s="2110"/>
      <c r="W267" s="2110"/>
      <c r="X267" s="2110"/>
      <c r="Y267" s="2110"/>
      <c r="Z267" s="2110"/>
      <c r="AA267" s="2110"/>
      <c r="AB267" s="2110"/>
      <c r="AC267" s="2110"/>
      <c r="AD267" s="2110"/>
      <c r="AE267" s="2110"/>
      <c r="AF267" s="2110"/>
      <c r="AG267" s="2110"/>
      <c r="AH267" s="2110"/>
      <c r="AI267" s="2110"/>
      <c r="AJ267" s="2110"/>
      <c r="AK267" s="2110"/>
      <c r="AL267" s="2110"/>
      <c r="AM267" s="2110"/>
      <c r="AN267" s="2110"/>
      <c r="AO267" s="2110"/>
      <c r="AP267" s="2110"/>
      <c r="AQ267" s="2110"/>
      <c r="AR267" s="2110"/>
      <c r="AS267" s="2110"/>
      <c r="AT267" s="2110"/>
      <c r="AU267" s="2110"/>
      <c r="AV267" s="2110"/>
      <c r="AW267" s="2110"/>
      <c r="AX267" s="2110"/>
      <c r="AY267" s="2110"/>
      <c r="AZ267" s="2110"/>
      <c r="BA267" s="2110"/>
      <c r="BB267" s="2110"/>
      <c r="BC267" s="2110"/>
      <c r="BD267" s="2110"/>
      <c r="BE267" s="2110"/>
      <c r="BF267" s="2110"/>
      <c r="BG267" s="2110"/>
      <c r="BH267" s="2110"/>
      <c r="BI267" s="2110"/>
      <c r="BJ267" s="2110"/>
      <c r="BK267" s="2110"/>
      <c r="BL267" s="2110"/>
      <c r="BM267" s="2110"/>
      <c r="BN267" s="2110"/>
    </row>
    <row r="268" spans="1:66" ht="12.75" customHeight="1" thickTop="1">
      <c r="A268" s="2098" t="s">
        <v>222</v>
      </c>
      <c r="B268" s="2098" t="s">
        <v>223</v>
      </c>
      <c r="C268" s="711" t="s">
        <v>880</v>
      </c>
      <c r="D268" s="712"/>
      <c r="E268" s="712"/>
      <c r="F268" s="712"/>
      <c r="G268" s="712"/>
      <c r="H268" s="712"/>
      <c r="I268" s="712"/>
      <c r="J268" s="713"/>
      <c r="K268" s="711" t="s">
        <v>880</v>
      </c>
      <c r="L268" s="712"/>
      <c r="M268" s="712"/>
      <c r="N268" s="712"/>
      <c r="O268" s="712"/>
      <c r="P268" s="712"/>
      <c r="Q268" s="712"/>
      <c r="R268" s="713"/>
      <c r="S268" s="711" t="s">
        <v>893</v>
      </c>
      <c r="T268" s="712"/>
      <c r="U268" s="712"/>
      <c r="V268" s="712"/>
      <c r="W268" s="712"/>
      <c r="X268" s="712"/>
      <c r="Y268" s="712"/>
      <c r="Z268" s="713"/>
      <c r="AA268" s="711" t="s">
        <v>894</v>
      </c>
      <c r="AB268" s="712"/>
      <c r="AC268" s="712"/>
      <c r="AD268" s="712"/>
      <c r="AE268" s="712"/>
      <c r="AF268" s="712"/>
      <c r="AG268" s="712"/>
      <c r="AH268" s="713"/>
      <c r="AI268" s="711" t="s">
        <v>881</v>
      </c>
      <c r="AJ268" s="712"/>
      <c r="AK268" s="712"/>
      <c r="AL268" s="712"/>
      <c r="AM268" s="712"/>
      <c r="AN268" s="712"/>
      <c r="AO268" s="712"/>
      <c r="AP268" s="713"/>
      <c r="AQ268" s="711" t="s">
        <v>882</v>
      </c>
      <c r="AR268" s="712"/>
      <c r="AS268" s="712"/>
      <c r="AT268" s="712"/>
      <c r="AU268" s="712"/>
      <c r="AV268" s="712"/>
      <c r="AW268" s="712"/>
      <c r="AX268" s="713"/>
      <c r="AY268" s="711" t="s">
        <v>1171</v>
      </c>
      <c r="AZ268" s="712"/>
      <c r="BA268" s="712"/>
      <c r="BB268" s="712"/>
      <c r="BC268" s="712"/>
      <c r="BD268" s="712"/>
      <c r="BE268" s="712"/>
      <c r="BF268" s="713"/>
    </row>
    <row r="269" spans="1:66">
      <c r="A269" s="2099"/>
      <c r="B269" s="2099"/>
      <c r="AI269" s="1" t="s">
        <v>45</v>
      </c>
      <c r="AQ269" s="1" t="s">
        <v>45</v>
      </c>
      <c r="AY269" s="1" t="s">
        <v>45</v>
      </c>
    </row>
    <row r="270" spans="1:66">
      <c r="A270" s="2099"/>
      <c r="B270" s="2099"/>
    </row>
    <row r="271" spans="1:66">
      <c r="A271" s="2099"/>
      <c r="B271" s="2099"/>
    </row>
    <row r="272" spans="1:66">
      <c r="A272" s="2099"/>
      <c r="B272" s="2099"/>
    </row>
    <row r="273" spans="1:67">
      <c r="A273" s="2099"/>
      <c r="B273" s="2099"/>
    </row>
    <row r="274" spans="1:67">
      <c r="A274" s="2099"/>
      <c r="B274" s="2099"/>
      <c r="C274" s="541" t="s">
        <v>45</v>
      </c>
      <c r="K274" s="541" t="s">
        <v>45</v>
      </c>
      <c r="S274" s="541" t="s">
        <v>45</v>
      </c>
      <c r="AA274" s="541" t="s">
        <v>45</v>
      </c>
      <c r="AI274" s="541" t="s">
        <v>45</v>
      </c>
      <c r="AQ274" s="541" t="s">
        <v>45</v>
      </c>
      <c r="AY274" s="541" t="s">
        <v>45</v>
      </c>
      <c r="BG274" s="541" t="s">
        <v>45</v>
      </c>
      <c r="BO274" s="541" t="s">
        <v>45</v>
      </c>
    </row>
    <row r="275" spans="1:67">
      <c r="A275" s="2099"/>
      <c r="B275" s="2099"/>
    </row>
    <row r="276" spans="1:67">
      <c r="A276" s="2099"/>
      <c r="B276" s="2099"/>
    </row>
    <row r="277" spans="1:67">
      <c r="A277" s="2099"/>
      <c r="B277" s="2099"/>
    </row>
    <row r="278" spans="1:67">
      <c r="A278" s="2099"/>
      <c r="B278" s="2099"/>
    </row>
    <row r="279" spans="1:67">
      <c r="A279" s="2099"/>
      <c r="B279" s="2099"/>
    </row>
    <row r="280" spans="1:67">
      <c r="A280" s="2099"/>
      <c r="B280" s="2099"/>
    </row>
    <row r="281" spans="1:67">
      <c r="A281" s="2099"/>
      <c r="B281" s="2099"/>
    </row>
    <row r="282" spans="1:67">
      <c r="A282" s="2099"/>
      <c r="B282" s="2099"/>
    </row>
    <row r="283" spans="1:67">
      <c r="A283" s="2099"/>
      <c r="B283" s="2099"/>
    </row>
    <row r="284" spans="1:67">
      <c r="A284" s="2099"/>
      <c r="B284" s="2099"/>
    </row>
    <row r="285" spans="1:67">
      <c r="A285" s="2099"/>
      <c r="B285" s="2099"/>
    </row>
    <row r="286" spans="1:67" ht="13.5" thickBot="1">
      <c r="A286" s="2099"/>
      <c r="B286" s="2100"/>
    </row>
    <row r="287" spans="1:67" ht="12.75" customHeight="1" thickTop="1">
      <c r="A287" s="2099"/>
      <c r="B287" s="2098" t="s">
        <v>824</v>
      </c>
      <c r="C287" s="711" t="s">
        <v>832</v>
      </c>
      <c r="D287" s="712"/>
      <c r="E287" s="712"/>
      <c r="F287" s="712"/>
      <c r="G287" s="712"/>
      <c r="H287" s="712"/>
      <c r="I287" s="712"/>
      <c r="J287" s="713"/>
      <c r="K287" s="711" t="s">
        <v>832</v>
      </c>
      <c r="L287" s="712"/>
      <c r="M287" s="712"/>
      <c r="N287" s="712"/>
      <c r="O287" s="712"/>
      <c r="P287" s="712"/>
      <c r="Q287" s="712"/>
      <c r="R287" s="713"/>
      <c r="S287" s="711" t="s">
        <v>1269</v>
      </c>
      <c r="T287" s="712"/>
      <c r="U287" s="712"/>
      <c r="V287" s="712"/>
      <c r="W287" s="712"/>
      <c r="X287" s="712"/>
      <c r="Y287" s="712"/>
      <c r="Z287" s="713"/>
      <c r="AA287" s="711" t="s">
        <v>825</v>
      </c>
      <c r="AB287" s="712"/>
      <c r="AC287" s="712"/>
      <c r="AD287" s="712"/>
      <c r="AE287" s="712"/>
      <c r="AF287" s="712"/>
      <c r="AG287" s="712"/>
      <c r="AH287" s="713"/>
      <c r="AI287" s="711" t="s">
        <v>826</v>
      </c>
      <c r="AJ287" s="712"/>
      <c r="AK287" s="712"/>
      <c r="AL287" s="712"/>
      <c r="AM287" s="712"/>
      <c r="AN287" s="712"/>
      <c r="AO287" s="712"/>
      <c r="AP287" s="713"/>
      <c r="AQ287" s="711" t="s">
        <v>827</v>
      </c>
      <c r="AR287" s="712"/>
      <c r="AS287" s="712"/>
      <c r="AT287" s="712"/>
      <c r="AU287" s="712"/>
      <c r="AV287" s="712"/>
      <c r="AW287" s="712"/>
      <c r="AX287" s="713"/>
      <c r="AY287" s="711" t="s">
        <v>1172</v>
      </c>
      <c r="AZ287" s="712"/>
      <c r="BA287" s="712"/>
      <c r="BB287" s="712"/>
      <c r="BC287" s="712"/>
      <c r="BD287" s="712"/>
      <c r="BE287" s="712"/>
      <c r="BF287" s="713"/>
    </row>
    <row r="288" spans="1:67">
      <c r="A288" s="2099"/>
      <c r="B288" s="2099"/>
      <c r="AI288" s="1" t="s">
        <v>45</v>
      </c>
      <c r="AQ288" s="1" t="s">
        <v>45</v>
      </c>
      <c r="AY288" s="1" t="s">
        <v>45</v>
      </c>
    </row>
    <row r="289" spans="1:67">
      <c r="A289" s="2099"/>
      <c r="B289" s="2099"/>
    </row>
    <row r="290" spans="1:67">
      <c r="A290" s="2099"/>
      <c r="B290" s="2099"/>
    </row>
    <row r="291" spans="1:67">
      <c r="A291" s="2099"/>
      <c r="B291" s="2099"/>
    </row>
    <row r="292" spans="1:67">
      <c r="A292" s="2099"/>
      <c r="B292" s="2099"/>
    </row>
    <row r="293" spans="1:67">
      <c r="A293" s="2099"/>
      <c r="B293" s="2099"/>
    </row>
    <row r="294" spans="1:67">
      <c r="A294" s="2099"/>
      <c r="B294" s="2099"/>
    </row>
    <row r="295" spans="1:67">
      <c r="A295" s="2099"/>
      <c r="B295" s="2099"/>
    </row>
    <row r="296" spans="1:67">
      <c r="A296" s="2099"/>
      <c r="B296" s="2099"/>
    </row>
    <row r="297" spans="1:67">
      <c r="A297" s="2099"/>
      <c r="B297" s="2099"/>
    </row>
    <row r="298" spans="1:67">
      <c r="A298" s="2099"/>
      <c r="B298" s="2099"/>
      <c r="C298" s="541" t="s">
        <v>45</v>
      </c>
      <c r="K298" s="541" t="s">
        <v>45</v>
      </c>
      <c r="S298" s="541" t="s">
        <v>45</v>
      </c>
      <c r="AA298" s="541" t="s">
        <v>45</v>
      </c>
      <c r="AI298" s="541" t="s">
        <v>45</v>
      </c>
      <c r="AQ298" s="541" t="s">
        <v>45</v>
      </c>
      <c r="AY298" s="541" t="s">
        <v>45</v>
      </c>
      <c r="BG298" s="541" t="s">
        <v>45</v>
      </c>
      <c r="BO298" s="541" t="s">
        <v>45</v>
      </c>
    </row>
    <row r="299" spans="1:67">
      <c r="A299" s="2099"/>
      <c r="B299" s="2099"/>
    </row>
    <row r="300" spans="1:67">
      <c r="A300" s="2099"/>
      <c r="B300" s="2099"/>
    </row>
    <row r="301" spans="1:67">
      <c r="A301" s="2099"/>
      <c r="B301" s="2099"/>
    </row>
    <row r="302" spans="1:67">
      <c r="A302" s="2099"/>
      <c r="B302" s="2099"/>
    </row>
    <row r="303" spans="1:67">
      <c r="A303" s="2099"/>
      <c r="B303" s="2099"/>
    </row>
    <row r="304" spans="1:67">
      <c r="A304" s="2099"/>
      <c r="B304" s="2099"/>
    </row>
    <row r="305" spans="1:67" ht="13.5" thickBot="1">
      <c r="A305" s="2099"/>
      <c r="B305" s="2100"/>
    </row>
    <row r="306" spans="1:67" ht="13.5" customHeight="1" thickTop="1">
      <c r="A306" s="2099"/>
      <c r="B306" s="2098" t="s">
        <v>767</v>
      </c>
      <c r="C306" s="711" t="s">
        <v>895</v>
      </c>
      <c r="D306" s="712"/>
      <c r="E306" s="712"/>
      <c r="F306" s="712"/>
      <c r="G306" s="712"/>
      <c r="H306" s="712"/>
      <c r="I306" s="712"/>
      <c r="J306" s="713"/>
      <c r="K306" s="711" t="s">
        <v>896</v>
      </c>
      <c r="L306" s="712"/>
      <c r="M306" s="712"/>
      <c r="N306" s="712"/>
      <c r="O306" s="712"/>
      <c r="P306" s="712"/>
      <c r="Q306" s="712"/>
      <c r="R306" s="713"/>
      <c r="S306" s="711" t="s">
        <v>1173</v>
      </c>
      <c r="T306" s="712"/>
      <c r="U306" s="712"/>
      <c r="V306" s="712"/>
      <c r="W306" s="712"/>
      <c r="X306" s="712"/>
      <c r="Y306" s="712"/>
      <c r="Z306" s="713"/>
      <c r="AA306" s="711" t="s">
        <v>897</v>
      </c>
      <c r="AB306" s="712"/>
      <c r="AC306" s="712"/>
      <c r="AD306" s="712"/>
      <c r="AE306" s="712"/>
      <c r="AF306" s="712"/>
      <c r="AG306" s="712"/>
      <c r="AH306" s="713"/>
      <c r="AI306" s="711" t="s">
        <v>905</v>
      </c>
      <c r="AJ306" s="712"/>
      <c r="AK306" s="712"/>
      <c r="AL306" s="712"/>
      <c r="AM306" s="712"/>
      <c r="AN306" s="712"/>
      <c r="AO306" s="712"/>
      <c r="AP306" s="713"/>
      <c r="AQ306" s="711" t="s">
        <v>895</v>
      </c>
      <c r="AR306" s="712"/>
      <c r="AS306" s="712"/>
      <c r="AT306" s="712"/>
      <c r="AU306" s="712"/>
      <c r="AV306" s="712"/>
      <c r="AW306" s="712"/>
      <c r="AX306" s="713"/>
      <c r="AY306" s="711" t="s">
        <v>896</v>
      </c>
      <c r="AZ306" s="712"/>
      <c r="BA306" s="712"/>
      <c r="BB306" s="712"/>
      <c r="BC306" s="712"/>
      <c r="BD306" s="712"/>
      <c r="BE306" s="712"/>
      <c r="BF306" s="713"/>
      <c r="BG306" s="712"/>
      <c r="BH306" s="712"/>
      <c r="BJ306" s="712"/>
      <c r="BK306" s="711" t="s">
        <v>1173</v>
      </c>
      <c r="BL306" s="712"/>
      <c r="BM306" s="712"/>
      <c r="BN306" s="713"/>
    </row>
    <row r="307" spans="1:67">
      <c r="A307" s="2099"/>
      <c r="B307" s="2099"/>
    </row>
    <row r="308" spans="1:67">
      <c r="A308" s="2099"/>
      <c r="B308" s="2099"/>
    </row>
    <row r="309" spans="1:67">
      <c r="A309" s="2099"/>
      <c r="B309" s="2099"/>
      <c r="C309" s="541" t="s">
        <v>45</v>
      </c>
      <c r="K309" s="541" t="s">
        <v>45</v>
      </c>
      <c r="S309" s="541" t="s">
        <v>45</v>
      </c>
      <c r="AA309" s="541" t="s">
        <v>45</v>
      </c>
      <c r="AI309" s="541" t="s">
        <v>45</v>
      </c>
      <c r="AQ309" s="541" t="s">
        <v>45</v>
      </c>
      <c r="AY309" s="541" t="s">
        <v>45</v>
      </c>
      <c r="BG309" s="541" t="s">
        <v>45</v>
      </c>
      <c r="BO309" s="541" t="s">
        <v>45</v>
      </c>
    </row>
    <row r="310" spans="1:67">
      <c r="A310" s="2099"/>
      <c r="B310" s="2099"/>
    </row>
    <row r="311" spans="1:67">
      <c r="A311" s="2099"/>
      <c r="B311" s="2099"/>
    </row>
    <row r="312" spans="1:67">
      <c r="A312" s="2099"/>
      <c r="B312" s="2099"/>
    </row>
    <row r="313" spans="1:67">
      <c r="A313" s="2099"/>
      <c r="B313" s="2099"/>
    </row>
    <row r="314" spans="1:67">
      <c r="A314" s="2099"/>
      <c r="B314" s="2099"/>
    </row>
    <row r="315" spans="1:67">
      <c r="A315" s="2099"/>
      <c r="B315" s="2099"/>
    </row>
    <row r="316" spans="1:67">
      <c r="A316" s="2099"/>
      <c r="B316" s="2099"/>
    </row>
    <row r="317" spans="1:67">
      <c r="A317" s="2099"/>
      <c r="B317" s="2099"/>
    </row>
    <row r="318" spans="1:67">
      <c r="A318" s="2099"/>
      <c r="B318" s="2099"/>
    </row>
    <row r="319" spans="1:67">
      <c r="A319" s="2099"/>
      <c r="B319" s="2099"/>
    </row>
    <row r="320" spans="1:67">
      <c r="A320" s="2099"/>
      <c r="B320" s="2099"/>
    </row>
    <row r="321" spans="1:80">
      <c r="A321" s="2099"/>
      <c r="B321" s="2099"/>
    </row>
    <row r="322" spans="1:80">
      <c r="A322" s="2099"/>
      <c r="B322" s="2099"/>
    </row>
    <row r="323" spans="1:80">
      <c r="A323" s="2099"/>
      <c r="B323" s="2099"/>
    </row>
    <row r="324" spans="1:80" ht="13.5" thickBot="1">
      <c r="A324" s="2099"/>
      <c r="B324" s="2100"/>
    </row>
    <row r="325" spans="1:80" ht="12.75" customHeight="1" thickTop="1">
      <c r="A325" s="2099"/>
      <c r="B325" s="2098" t="s">
        <v>337</v>
      </c>
      <c r="C325" s="711" t="s">
        <v>658</v>
      </c>
      <c r="D325" s="712"/>
      <c r="E325" s="712"/>
      <c r="F325" s="712"/>
      <c r="G325" s="712"/>
      <c r="H325" s="712"/>
      <c r="I325" s="712"/>
      <c r="J325" s="713"/>
      <c r="K325" s="711" t="s">
        <v>659</v>
      </c>
      <c r="L325" s="712"/>
      <c r="M325" s="712"/>
      <c r="N325" s="712"/>
      <c r="O325" s="712"/>
      <c r="P325" s="712"/>
      <c r="Q325" s="712"/>
      <c r="R325" s="713"/>
      <c r="S325" s="711" t="s">
        <v>105</v>
      </c>
      <c r="T325" s="712"/>
      <c r="U325" s="712"/>
      <c r="V325" s="712"/>
      <c r="W325" s="712"/>
      <c r="X325" s="712"/>
      <c r="Y325" s="712"/>
      <c r="Z325" s="713"/>
      <c r="AA325" s="711" t="s">
        <v>833</v>
      </c>
      <c r="AB325" s="712"/>
      <c r="AC325" s="712"/>
      <c r="AD325" s="712"/>
      <c r="AE325" s="712"/>
      <c r="AF325" s="712"/>
      <c r="AG325" s="712"/>
      <c r="AH325" s="713"/>
      <c r="AI325" s="711" t="s">
        <v>612</v>
      </c>
      <c r="AJ325" s="712"/>
      <c r="AK325" s="712"/>
      <c r="AL325" s="712"/>
      <c r="AM325" s="712"/>
      <c r="AN325" s="712"/>
      <c r="AO325" s="712"/>
      <c r="AP325" s="713"/>
      <c r="AQ325" s="711" t="s">
        <v>18</v>
      </c>
      <c r="AR325" s="712"/>
      <c r="AS325" s="712"/>
      <c r="AT325" s="712"/>
      <c r="AU325" s="712"/>
      <c r="AV325" s="712"/>
      <c r="AW325" s="712"/>
      <c r="AX325" s="713"/>
    </row>
    <row r="326" spans="1:80">
      <c r="A326" s="2099"/>
      <c r="B326" s="2099"/>
      <c r="C326" s="1" t="s">
        <v>45</v>
      </c>
      <c r="K326" s="1" t="s">
        <v>45</v>
      </c>
      <c r="S326" s="1" t="s">
        <v>45</v>
      </c>
      <c r="AA326" s="1" t="s">
        <v>45</v>
      </c>
      <c r="AQ326" s="1" t="s">
        <v>45</v>
      </c>
    </row>
    <row r="327" spans="1:80">
      <c r="A327" s="2099"/>
      <c r="B327" s="2099"/>
    </row>
    <row r="328" spans="1:80">
      <c r="A328" s="2099"/>
      <c r="B328" s="2099"/>
      <c r="C328" s="541" t="s">
        <v>45</v>
      </c>
      <c r="K328" s="541" t="s">
        <v>45</v>
      </c>
      <c r="S328" s="541" t="s">
        <v>45</v>
      </c>
      <c r="AA328" s="541" t="s">
        <v>45</v>
      </c>
      <c r="AI328" s="541" t="s">
        <v>45</v>
      </c>
      <c r="AQ328" s="541" t="s">
        <v>45</v>
      </c>
    </row>
    <row r="329" spans="1:80">
      <c r="A329" s="2099"/>
      <c r="B329" s="2099"/>
    </row>
    <row r="330" spans="1:80">
      <c r="A330" s="2099"/>
      <c r="B330" s="2099"/>
    </row>
    <row r="331" spans="1:80">
      <c r="A331" s="2099"/>
      <c r="B331" s="2099"/>
    </row>
    <row r="332" spans="1:80">
      <c r="A332" s="2099"/>
      <c r="B332" s="2099"/>
    </row>
    <row r="333" spans="1:80">
      <c r="A333" s="2099"/>
      <c r="B333" s="2099"/>
      <c r="CB333" s="2" t="s">
        <v>382</v>
      </c>
    </row>
    <row r="334" spans="1:80">
      <c r="A334" s="2099"/>
      <c r="B334" s="2099"/>
    </row>
    <row r="335" spans="1:80">
      <c r="A335" s="2099"/>
      <c r="B335" s="2099"/>
    </row>
    <row r="336" spans="1:80">
      <c r="A336" s="2099"/>
      <c r="B336" s="2099"/>
    </row>
    <row r="337" spans="1:90">
      <c r="A337" s="2099"/>
      <c r="B337" s="2099"/>
    </row>
    <row r="338" spans="1:90">
      <c r="A338" s="2099"/>
      <c r="B338" s="2099"/>
    </row>
    <row r="339" spans="1:90">
      <c r="A339" s="2099"/>
      <c r="B339" s="2099"/>
    </row>
    <row r="340" spans="1:90">
      <c r="A340" s="2099"/>
      <c r="B340" s="2099"/>
    </row>
    <row r="341" spans="1:90">
      <c r="A341" s="2099"/>
      <c r="B341" s="2099"/>
    </row>
    <row r="342" spans="1:90">
      <c r="A342" s="2099"/>
      <c r="B342" s="2099"/>
    </row>
    <row r="343" spans="1:90" ht="13.5" thickBot="1">
      <c r="A343" s="2099"/>
      <c r="B343" s="2100"/>
    </row>
    <row r="344" spans="1:90" ht="12.75" customHeight="1" thickTop="1">
      <c r="A344" s="2099"/>
      <c r="B344" s="2098" t="s">
        <v>298</v>
      </c>
      <c r="C344" s="711" t="s">
        <v>610</v>
      </c>
      <c r="D344" s="712"/>
      <c r="E344" s="712"/>
      <c r="F344" s="712"/>
      <c r="G344" s="712"/>
      <c r="H344" s="712"/>
      <c r="I344" s="712"/>
      <c r="J344" s="713"/>
      <c r="K344" s="711" t="s">
        <v>611</v>
      </c>
      <c r="L344" s="712"/>
      <c r="M344" s="712"/>
      <c r="N344" s="712"/>
      <c r="O344" s="712"/>
      <c r="P344" s="712"/>
      <c r="Q344" s="712"/>
      <c r="R344" s="713"/>
      <c r="S344" s="711" t="s">
        <v>660</v>
      </c>
      <c r="T344" s="712"/>
      <c r="U344" s="712"/>
      <c r="V344" s="712"/>
      <c r="W344" s="712"/>
      <c r="X344" s="712"/>
      <c r="Y344" s="712"/>
      <c r="Z344" s="713"/>
      <c r="AA344" s="711" t="s">
        <v>615</v>
      </c>
      <c r="AB344" s="712"/>
      <c r="AC344" s="712"/>
      <c r="AD344" s="712"/>
      <c r="AE344" s="712"/>
      <c r="AF344" s="712"/>
      <c r="AG344" s="712"/>
      <c r="AH344" s="713"/>
      <c r="AI344" s="711" t="s">
        <v>616</v>
      </c>
      <c r="AJ344" s="712"/>
      <c r="AK344" s="712"/>
      <c r="AL344" s="712"/>
      <c r="AM344" s="712"/>
      <c r="AN344" s="712"/>
      <c r="AO344" s="712"/>
      <c r="AP344" s="713"/>
      <c r="AQ344" s="711" t="s">
        <v>901</v>
      </c>
      <c r="AR344" s="712"/>
      <c r="AS344" s="712"/>
      <c r="AT344" s="712"/>
      <c r="AU344" s="712"/>
      <c r="AV344" s="712"/>
      <c r="AW344" s="712"/>
      <c r="AX344" s="713"/>
      <c r="AY344" s="711" t="s">
        <v>902</v>
      </c>
      <c r="AZ344" s="712"/>
      <c r="BA344" s="712"/>
      <c r="BB344" s="712"/>
      <c r="BC344" s="712"/>
      <c r="BD344" s="712"/>
      <c r="BE344" s="712"/>
      <c r="BF344" s="713"/>
      <c r="BG344" s="711" t="s">
        <v>903</v>
      </c>
      <c r="BH344" s="712"/>
      <c r="BI344" s="712"/>
      <c r="BJ344" s="712"/>
      <c r="BK344" s="712"/>
      <c r="BL344" s="712"/>
      <c r="BM344" s="712"/>
      <c r="BN344" s="713"/>
      <c r="BO344" s="711" t="s">
        <v>617</v>
      </c>
      <c r="BP344" s="712"/>
      <c r="BQ344" s="712"/>
      <c r="BR344" s="712"/>
      <c r="BS344" s="712"/>
      <c r="BT344" s="712"/>
      <c r="BU344" s="712"/>
      <c r="BV344" s="713"/>
      <c r="BW344" s="712" t="s">
        <v>1180</v>
      </c>
      <c r="BX344" s="712"/>
      <c r="BY344" s="712"/>
      <c r="BZ344" s="712"/>
      <c r="CA344" s="712"/>
      <c r="CB344" s="712"/>
      <c r="CC344" s="712"/>
      <c r="CD344" s="713"/>
      <c r="CE344" s="712" t="s">
        <v>1350</v>
      </c>
      <c r="CF344" s="712"/>
      <c r="CG344" s="712"/>
      <c r="CH344" s="712"/>
      <c r="CI344" s="712"/>
      <c r="CJ344" s="712"/>
      <c r="CK344" s="712"/>
      <c r="CL344" s="713"/>
    </row>
    <row r="345" spans="1:90">
      <c r="A345" s="2099"/>
      <c r="B345" s="2099"/>
      <c r="C345" s="1" t="s">
        <v>45</v>
      </c>
      <c r="K345" s="1" t="s">
        <v>45</v>
      </c>
    </row>
    <row r="346" spans="1:90">
      <c r="A346" s="2099"/>
      <c r="B346" s="2099"/>
      <c r="AA346" s="1" t="s">
        <v>45</v>
      </c>
      <c r="AI346" s="1" t="s">
        <v>45</v>
      </c>
      <c r="AY346" s="1" t="s">
        <v>45</v>
      </c>
    </row>
    <row r="347" spans="1:90">
      <c r="A347" s="2099"/>
      <c r="B347" s="2099"/>
    </row>
    <row r="348" spans="1:90">
      <c r="A348" s="2099"/>
      <c r="B348" s="2099"/>
    </row>
    <row r="349" spans="1:90">
      <c r="A349" s="2099"/>
      <c r="B349" s="2099"/>
      <c r="C349" s="541" t="s">
        <v>45</v>
      </c>
      <c r="K349" s="541" t="s">
        <v>45</v>
      </c>
      <c r="S349" s="541" t="s">
        <v>45</v>
      </c>
      <c r="AA349" s="541" t="s">
        <v>45</v>
      </c>
      <c r="AI349" s="541" t="s">
        <v>45</v>
      </c>
      <c r="AY349" s="541" t="s">
        <v>45</v>
      </c>
      <c r="BG349" s="541" t="s">
        <v>45</v>
      </c>
      <c r="BO349" s="541" t="s">
        <v>45</v>
      </c>
    </row>
    <row r="350" spans="1:90">
      <c r="A350" s="2099"/>
      <c r="B350" s="2099"/>
    </row>
    <row r="351" spans="1:90">
      <c r="A351" s="2099"/>
      <c r="B351" s="2099"/>
    </row>
    <row r="352" spans="1:90">
      <c r="A352" s="2099"/>
      <c r="B352" s="2099"/>
    </row>
    <row r="353" spans="1:58">
      <c r="A353" s="2099"/>
      <c r="B353" s="2099"/>
    </row>
    <row r="354" spans="1:58">
      <c r="A354" s="2099"/>
      <c r="B354" s="2099"/>
    </row>
    <row r="355" spans="1:58">
      <c r="A355" s="2099"/>
      <c r="B355" s="2099"/>
    </row>
    <row r="356" spans="1:58">
      <c r="A356" s="2099"/>
      <c r="B356" s="2099"/>
    </row>
    <row r="357" spans="1:58">
      <c r="A357" s="2099"/>
      <c r="B357" s="2099"/>
    </row>
    <row r="358" spans="1:58">
      <c r="A358" s="2099"/>
      <c r="B358" s="2099"/>
    </row>
    <row r="359" spans="1:58">
      <c r="A359" s="2099"/>
      <c r="B359" s="2099"/>
    </row>
    <row r="360" spans="1:58">
      <c r="A360" s="2099"/>
      <c r="B360" s="2099"/>
    </row>
    <row r="361" spans="1:58">
      <c r="A361" s="2099"/>
      <c r="B361" s="2099"/>
    </row>
    <row r="362" spans="1:58" ht="13.5" thickBot="1">
      <c r="A362" s="2099"/>
      <c r="B362" s="2100"/>
    </row>
    <row r="363" spans="1:58" ht="12.75" customHeight="1" thickTop="1">
      <c r="A363" s="2099"/>
      <c r="B363" s="2098" t="s">
        <v>40</v>
      </c>
      <c r="C363" s="711" t="s">
        <v>56</v>
      </c>
      <c r="D363" s="712"/>
      <c r="E363" s="712"/>
      <c r="F363" s="712"/>
      <c r="G363" s="712"/>
      <c r="H363" s="712"/>
      <c r="I363" s="712"/>
      <c r="J363" s="713"/>
      <c r="K363" s="711" t="s">
        <v>652</v>
      </c>
      <c r="L363" s="712"/>
      <c r="M363" s="712"/>
      <c r="N363" s="712"/>
      <c r="O363" s="712"/>
      <c r="P363" s="712"/>
      <c r="Q363" s="712"/>
      <c r="R363" s="713"/>
      <c r="S363" s="711" t="s">
        <v>661</v>
      </c>
      <c r="T363" s="712"/>
      <c r="U363" s="712"/>
      <c r="V363" s="712"/>
      <c r="W363" s="712"/>
      <c r="X363" s="712"/>
      <c r="Y363" s="712"/>
      <c r="Z363" s="714"/>
      <c r="AA363" s="711" t="s">
        <v>772</v>
      </c>
      <c r="AB363" s="712"/>
      <c r="AC363" s="712"/>
      <c r="AD363" s="712"/>
      <c r="AE363" s="712"/>
      <c r="AF363" s="712"/>
      <c r="AG363" s="712"/>
      <c r="AH363" s="713"/>
      <c r="AI363" s="711" t="s">
        <v>868</v>
      </c>
      <c r="AJ363" s="712"/>
      <c r="AK363" s="712"/>
      <c r="AL363" s="712"/>
      <c r="AM363" s="712"/>
      <c r="AN363" s="712"/>
      <c r="AO363" s="712"/>
      <c r="AP363" s="713"/>
      <c r="AQ363" s="711" t="s">
        <v>869</v>
      </c>
      <c r="AR363" s="712"/>
      <c r="AS363" s="712"/>
      <c r="AT363" s="712"/>
      <c r="AU363" s="712"/>
      <c r="AV363" s="712"/>
      <c r="AW363" s="712"/>
      <c r="AX363" s="713"/>
      <c r="AY363" s="711" t="s">
        <v>870</v>
      </c>
      <c r="AZ363" s="712"/>
      <c r="BA363" s="712"/>
      <c r="BB363" s="712"/>
      <c r="BC363" s="712"/>
      <c r="BD363" s="712"/>
      <c r="BE363" s="712"/>
      <c r="BF363" s="714"/>
    </row>
    <row r="364" spans="1:58">
      <c r="A364" s="2099"/>
      <c r="B364" s="2099"/>
      <c r="S364" s="1" t="s">
        <v>45</v>
      </c>
      <c r="AA364" s="1" t="s">
        <v>45</v>
      </c>
    </row>
    <row r="365" spans="1:58">
      <c r="A365" s="2099"/>
      <c r="B365" s="2099"/>
    </row>
    <row r="366" spans="1:58">
      <c r="A366" s="2099"/>
      <c r="B366" s="2099"/>
    </row>
    <row r="367" spans="1:58">
      <c r="A367" s="2099"/>
      <c r="B367" s="2099"/>
    </row>
    <row r="368" spans="1:58">
      <c r="A368" s="2099"/>
      <c r="B368" s="2099"/>
    </row>
    <row r="369" spans="1:67">
      <c r="A369" s="2099"/>
      <c r="B369" s="2099"/>
    </row>
    <row r="370" spans="1:67">
      <c r="A370" s="2099"/>
      <c r="B370" s="2099"/>
      <c r="AI370" s="541" t="s">
        <v>45</v>
      </c>
      <c r="AQ370" s="541" t="s">
        <v>45</v>
      </c>
    </row>
    <row r="371" spans="1:67">
      <c r="A371" s="2099"/>
      <c r="B371" s="2099"/>
      <c r="C371" s="541" t="s">
        <v>45</v>
      </c>
      <c r="K371" s="541" t="s">
        <v>45</v>
      </c>
      <c r="S371" s="541" t="s">
        <v>45</v>
      </c>
      <c r="AA371" s="541" t="s">
        <v>45</v>
      </c>
      <c r="BO371" s="541" t="s">
        <v>45</v>
      </c>
    </row>
    <row r="372" spans="1:67">
      <c r="A372" s="2099"/>
      <c r="B372" s="2099"/>
    </row>
    <row r="373" spans="1:67">
      <c r="A373" s="2099"/>
      <c r="B373" s="2099"/>
    </row>
    <row r="374" spans="1:67" ht="12" customHeight="1">
      <c r="A374" s="2099"/>
      <c r="B374" s="2099"/>
    </row>
    <row r="375" spans="1:67">
      <c r="A375" s="2099"/>
      <c r="B375" s="2099"/>
    </row>
    <row r="376" spans="1:67">
      <c r="A376" s="2099"/>
      <c r="B376" s="2099"/>
    </row>
    <row r="377" spans="1:67">
      <c r="A377" s="2099"/>
      <c r="B377" s="2099"/>
    </row>
    <row r="378" spans="1:67">
      <c r="A378" s="2099"/>
      <c r="B378" s="2099"/>
    </row>
    <row r="379" spans="1:67">
      <c r="A379" s="2099"/>
      <c r="B379" s="2099"/>
    </row>
    <row r="380" spans="1:67">
      <c r="A380" s="2099"/>
      <c r="B380" s="2099"/>
    </row>
    <row r="381" spans="1:67" ht="13.5" thickBot="1">
      <c r="A381" s="2100"/>
      <c r="B381" s="2100"/>
    </row>
    <row r="382" spans="1:67" ht="13.5" thickTop="1">
      <c r="C382" s="77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2111" t="s">
        <v>281</v>
      </c>
      <c r="AV382" s="2111"/>
      <c r="AW382" s="2111"/>
      <c r="AX382" s="2111"/>
      <c r="AY382" s="2111"/>
      <c r="AZ382" s="2111"/>
      <c r="BA382" s="2111"/>
      <c r="BB382" s="2111"/>
      <c r="BC382" s="2111"/>
      <c r="BD382" s="2111"/>
      <c r="BE382" s="2111"/>
      <c r="BF382" s="2111"/>
      <c r="BG382" s="2111"/>
      <c r="BH382" s="2111"/>
      <c r="BI382" s="2111"/>
      <c r="BJ382" s="2111"/>
      <c r="BK382" s="2111"/>
      <c r="BL382" s="2111"/>
      <c r="BM382" s="2111"/>
      <c r="BN382" s="2111"/>
    </row>
    <row r="384" spans="1:67">
      <c r="Q384" s="1025"/>
    </row>
    <row r="385" spans="17:32">
      <c r="AF385" s="1096"/>
    </row>
    <row r="386" spans="17:32">
      <c r="AF386" s="1097"/>
    </row>
    <row r="387" spans="17:32">
      <c r="AF387" s="1098"/>
    </row>
    <row r="388" spans="17:32">
      <c r="AF388" s="1024"/>
    </row>
    <row r="389" spans="17:32">
      <c r="AF389" s="1098"/>
    </row>
    <row r="390" spans="17:32">
      <c r="AF390" s="1026"/>
    </row>
    <row r="391" spans="17:32">
      <c r="Q391" s="2"/>
    </row>
    <row r="392" spans="17:32">
      <c r="Q392" s="2"/>
    </row>
    <row r="394" spans="17:32">
      <c r="V394" s="611"/>
    </row>
    <row r="395" spans="17:32">
      <c r="V395" s="1025"/>
    </row>
    <row r="400" spans="17:32">
      <c r="Q400" s="342"/>
    </row>
    <row r="401" spans="17:21">
      <c r="Q401" s="342"/>
    </row>
    <row r="403" spans="17:21">
      <c r="U403" s="1025"/>
    </row>
    <row r="404" spans="17:21">
      <c r="U404" s="1025"/>
    </row>
    <row r="405" spans="17:21">
      <c r="U405" s="1024"/>
    </row>
    <row r="406" spans="17:21">
      <c r="U406" s="1024"/>
    </row>
    <row r="407" spans="17:21">
      <c r="U407" s="1024"/>
    </row>
    <row r="408" spans="17:21">
      <c r="U408" s="1099"/>
    </row>
    <row r="411" spans="17:21">
      <c r="Q411" s="1025"/>
    </row>
    <row r="420" spans="17:17">
      <c r="Q420" s="1025"/>
    </row>
  </sheetData>
  <mergeCells count="30">
    <mergeCell ref="C267:BN267"/>
    <mergeCell ref="AU382:BN382"/>
    <mergeCell ref="B228:B246"/>
    <mergeCell ref="BE4:BE37"/>
    <mergeCell ref="B57:B75"/>
    <mergeCell ref="A4:B37"/>
    <mergeCell ref="Z4:Z37"/>
    <mergeCell ref="AO4:AO37"/>
    <mergeCell ref="C4:C37"/>
    <mergeCell ref="B306:B324"/>
    <mergeCell ref="B363:B381"/>
    <mergeCell ref="B344:B362"/>
    <mergeCell ref="B325:B343"/>
    <mergeCell ref="B287:B305"/>
    <mergeCell ref="B268:B286"/>
    <mergeCell ref="A268:A381"/>
    <mergeCell ref="BT4:BT37"/>
    <mergeCell ref="CI4:CI37"/>
    <mergeCell ref="A228:A246"/>
    <mergeCell ref="A247:A265"/>
    <mergeCell ref="B247:B265"/>
    <mergeCell ref="B76:B94"/>
    <mergeCell ref="A171:B189"/>
    <mergeCell ref="A38:A94"/>
    <mergeCell ref="B38:B56"/>
    <mergeCell ref="A114:B132"/>
    <mergeCell ref="A95:B113"/>
    <mergeCell ref="A133:B170"/>
    <mergeCell ref="AP4:AP37"/>
    <mergeCell ref="A209:B225"/>
  </mergeCells>
  <phoneticPr fontId="18" type="noConversion"/>
  <pageMargins left="0.5" right="0.25" top="0.5" bottom="0.5" header="0.5" footer="0.5"/>
  <pageSetup scale="30" orientation="landscape" r:id="rId1"/>
  <headerFooter alignWithMargins="0"/>
  <rowBreaks count="1" manualBreakCount="1">
    <brk id="170" max="57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</sheetPr>
  <dimension ref="A1:AU270"/>
  <sheetViews>
    <sheetView showGridLines="0" zoomScaleNormal="100" workbookViewId="0">
      <pane xSplit="1" ySplit="4" topLeftCell="B68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11.42578125" defaultRowHeight="11.25" outlineLevelRow="2" outlineLevelCol="1"/>
  <cols>
    <col min="1" max="1" width="33.42578125" style="9" customWidth="1"/>
    <col min="2" max="10" width="8.5703125" style="9" hidden="1" customWidth="1" outlineLevel="1"/>
    <col min="11" max="11" width="8.5703125" style="9" hidden="1" customWidth="1" outlineLevel="1" collapsed="1"/>
    <col min="12" max="14" width="8.5703125" style="9" hidden="1" customWidth="1" outlineLevel="1"/>
    <col min="15" max="15" width="8.5703125" style="9" hidden="1" customWidth="1" outlineLevel="1" collapsed="1"/>
    <col min="16" max="17" width="8.5703125" style="9" hidden="1" customWidth="1" outlineLevel="1"/>
    <col min="18" max="18" width="8.5703125" style="9" customWidth="1" collapsed="1"/>
    <col min="19" max="34" width="8.5703125" style="9" customWidth="1"/>
    <col min="35" max="35" width="8.42578125" style="9" bestFit="1" customWidth="1"/>
    <col min="36" max="39" width="8" style="9" customWidth="1"/>
    <col min="40" max="40" width="9.28515625" style="9" customWidth="1"/>
    <col min="41" max="16384" width="11.42578125" style="9"/>
  </cols>
  <sheetData>
    <row r="1" spans="1:41" ht="18">
      <c r="A1" s="24" t="str">
        <f>Index!$G$12</f>
        <v>Alsea</v>
      </c>
      <c r="B1" s="24"/>
      <c r="C1" s="24"/>
      <c r="D1" s="24"/>
      <c r="E1" s="24"/>
      <c r="F1" s="24"/>
      <c r="G1" s="24"/>
      <c r="H1" s="24"/>
      <c r="I1" s="24"/>
      <c r="J1" s="1647"/>
      <c r="K1" s="1647"/>
      <c r="L1" s="1647"/>
      <c r="M1" s="1647"/>
      <c r="N1" s="1647"/>
      <c r="O1" s="1647"/>
      <c r="P1" s="1647"/>
      <c r="Q1" s="1647"/>
      <c r="R1" s="1647"/>
      <c r="S1" s="1647"/>
      <c r="T1" s="1647"/>
      <c r="U1" s="1647"/>
      <c r="V1" s="1647"/>
      <c r="W1" s="1647"/>
      <c r="X1" s="1647"/>
      <c r="Y1" s="2038"/>
      <c r="Z1" s="2038"/>
      <c r="AA1" s="2038"/>
      <c r="AB1" s="1647"/>
      <c r="AC1" s="1647"/>
      <c r="AD1" s="1647"/>
      <c r="AE1" s="1647"/>
      <c r="AF1" s="1647"/>
      <c r="AG1" s="1647"/>
      <c r="AH1" s="1647"/>
    </row>
    <row r="2" spans="1:41" ht="12.75">
      <c r="A2" s="551" t="s">
        <v>537</v>
      </c>
      <c r="B2" s="551"/>
      <c r="C2" s="551"/>
      <c r="D2" s="551"/>
      <c r="E2" s="551"/>
      <c r="F2" s="551"/>
      <c r="G2" s="551"/>
      <c r="H2" s="551"/>
      <c r="I2" s="551"/>
      <c r="J2" s="130"/>
      <c r="K2" s="130"/>
      <c r="L2" s="129"/>
      <c r="M2" s="129"/>
      <c r="N2" s="129"/>
      <c r="O2" s="1138"/>
      <c r="P2" s="1138"/>
      <c r="Q2" s="1138"/>
      <c r="R2" s="409"/>
      <c r="S2" s="409"/>
      <c r="T2" s="409"/>
      <c r="U2" s="409"/>
      <c r="V2" s="409"/>
      <c r="W2" s="1878"/>
      <c r="X2" s="1947"/>
      <c r="Y2" s="1947"/>
      <c r="Z2" s="1947"/>
      <c r="AA2" s="1947"/>
      <c r="AB2" s="131"/>
      <c r="AC2" s="409"/>
      <c r="AD2" s="409"/>
      <c r="AE2" s="131"/>
      <c r="AF2" s="131"/>
      <c r="AG2" s="131"/>
      <c r="AH2" s="131" t="s">
        <v>317</v>
      </c>
    </row>
    <row r="3" spans="1:41">
      <c r="J3" s="504"/>
      <c r="K3" s="504"/>
      <c r="L3" s="504"/>
      <c r="M3" s="504"/>
      <c r="N3" s="504"/>
      <c r="O3" s="1674" t="s">
        <v>916</v>
      </c>
      <c r="P3" s="504"/>
      <c r="Q3" s="504"/>
      <c r="R3" s="813"/>
      <c r="S3" s="813"/>
      <c r="T3" s="813"/>
      <c r="U3" s="813"/>
      <c r="V3" s="813"/>
      <c r="W3" s="813"/>
      <c r="X3" s="1955"/>
      <c r="Y3" s="1955"/>
      <c r="Z3" s="813"/>
      <c r="AA3" s="813"/>
      <c r="AB3" s="813"/>
      <c r="AC3" s="813"/>
      <c r="AD3" s="1139"/>
      <c r="AE3" s="1139"/>
      <c r="AF3" s="1139"/>
      <c r="AG3" s="1139"/>
      <c r="AH3" s="1139"/>
      <c r="AI3" s="504"/>
      <c r="AJ3" s="62"/>
      <c r="AL3" s="62" t="s">
        <v>232</v>
      </c>
      <c r="AM3" s="40"/>
    </row>
    <row r="4" spans="1:41">
      <c r="A4" s="1126" t="s">
        <v>599</v>
      </c>
      <c r="B4" s="1124">
        <v>2001</v>
      </c>
      <c r="C4" s="1124">
        <v>2002</v>
      </c>
      <c r="D4" s="1124">
        <v>2003</v>
      </c>
      <c r="E4" s="1124">
        <v>2004</v>
      </c>
      <c r="F4" s="1124">
        <v>2005</v>
      </c>
      <c r="G4" s="1124">
        <v>2006</v>
      </c>
      <c r="H4" s="1124">
        <v>2007</v>
      </c>
      <c r="I4" s="1124">
        <v>2008</v>
      </c>
      <c r="J4" s="1124">
        <v>2009</v>
      </c>
      <c r="K4" s="1124">
        <v>2010</v>
      </c>
      <c r="L4" s="1124">
        <v>2011</v>
      </c>
      <c r="M4" s="1124">
        <v>2012</v>
      </c>
      <c r="N4" s="1124">
        <v>2013</v>
      </c>
      <c r="O4" s="1124">
        <v>2014</v>
      </c>
      <c r="P4" s="1124">
        <v>2015</v>
      </c>
      <c r="Q4" s="1124">
        <v>2016</v>
      </c>
      <c r="R4" s="1124">
        <v>2017</v>
      </c>
      <c r="S4" s="1124">
        <v>2018</v>
      </c>
      <c r="T4" s="1124">
        <v>2019</v>
      </c>
      <c r="U4" s="1124">
        <v>2020</v>
      </c>
      <c r="V4" s="1124">
        <v>2021</v>
      </c>
      <c r="W4" s="1124">
        <v>2022</v>
      </c>
      <c r="X4" s="1124">
        <v>2023</v>
      </c>
      <c r="Y4" s="1445">
        <v>2024</v>
      </c>
      <c r="Z4" s="1445">
        <v>2025</v>
      </c>
      <c r="AA4" s="1445">
        <v>2026</v>
      </c>
      <c r="AB4" s="1445">
        <v>2027</v>
      </c>
      <c r="AC4" s="1445">
        <v>2028</v>
      </c>
      <c r="AD4" s="1445">
        <v>2029</v>
      </c>
      <c r="AE4" s="1445">
        <v>2030</v>
      </c>
      <c r="AF4" s="1445">
        <v>2031</v>
      </c>
      <c r="AG4" s="1445">
        <v>2032</v>
      </c>
      <c r="AH4" s="1445">
        <v>2033</v>
      </c>
      <c r="AI4" s="121"/>
      <c r="AJ4" s="1949" t="s">
        <v>1481</v>
      </c>
      <c r="AK4" s="1949" t="s">
        <v>1493</v>
      </c>
      <c r="AL4" s="1949" t="s">
        <v>1494</v>
      </c>
      <c r="AM4" s="1949" t="s">
        <v>1491</v>
      </c>
      <c r="AN4" s="1949" t="s">
        <v>1492</v>
      </c>
    </row>
    <row r="5" spans="1:41">
      <c r="A5" s="89" t="s">
        <v>889</v>
      </c>
      <c r="B5" s="1544">
        <v>437</v>
      </c>
      <c r="C5" s="1544">
        <v>518</v>
      </c>
      <c r="D5" s="1544">
        <v>560</v>
      </c>
      <c r="E5" s="1544">
        <v>626</v>
      </c>
      <c r="F5" s="1544">
        <v>728</v>
      </c>
      <c r="G5" s="1544">
        <v>865</v>
      </c>
      <c r="H5" s="1544">
        <v>989</v>
      </c>
      <c r="I5" s="1544">
        <v>1135</v>
      </c>
      <c r="J5" s="985">
        <f>Q_IS!E225</f>
        <v>1171</v>
      </c>
      <c r="K5" s="985">
        <f>Q_IS!I225</f>
        <v>1206</v>
      </c>
      <c r="L5" s="985">
        <f>Q_IS!M225</f>
        <v>1283</v>
      </c>
      <c r="M5" s="985">
        <f>Q_IS!Q225</f>
        <v>1435</v>
      </c>
      <c r="N5" s="985">
        <f>Q_IS!U225</f>
        <v>1862</v>
      </c>
      <c r="O5" s="985">
        <f>Q_IS!Y225</f>
        <v>2784</v>
      </c>
      <c r="P5" s="985">
        <f>Q_IS!AC225</f>
        <v>2954</v>
      </c>
      <c r="Q5" s="985">
        <f>Q_IS!AG225</f>
        <v>3195</v>
      </c>
      <c r="R5" s="985">
        <f>Q_IS!AK225</f>
        <v>3438</v>
      </c>
      <c r="S5" s="985">
        <f>Q_IS!AO225</f>
        <v>3688</v>
      </c>
      <c r="T5" s="985">
        <f>Q_IS!AS225</f>
        <v>4310</v>
      </c>
      <c r="U5" s="985">
        <f>Q_IS!AW225</f>
        <v>4193</v>
      </c>
      <c r="V5" s="985">
        <f>Q_IS!BA225</f>
        <v>4262</v>
      </c>
      <c r="W5" s="985">
        <f>Q_IS!BE225</f>
        <v>4447</v>
      </c>
      <c r="X5" s="985">
        <f>Q_IS!BI225</f>
        <v>4622</v>
      </c>
      <c r="Y5" s="1566">
        <f>Q_IS!BM225</f>
        <v>4785</v>
      </c>
      <c r="Z5" s="1566">
        <f>Q_IS!BQ225</f>
        <v>4928</v>
      </c>
      <c r="AA5" s="1566">
        <f>Q_IS!BU225</f>
        <v>5044</v>
      </c>
      <c r="AB5" s="1566">
        <f>Q_IS!BY225</f>
        <v>5146</v>
      </c>
      <c r="AC5" s="1566">
        <f>Q_IS!CC225</f>
        <v>5245</v>
      </c>
      <c r="AD5" s="1566">
        <f>Q_IS!CG225</f>
        <v>5344</v>
      </c>
      <c r="AE5" s="1566">
        <f>Q_IS!CK225</f>
        <v>5429</v>
      </c>
      <c r="AF5" s="1566">
        <f>Q_IS!CO225</f>
        <v>5515</v>
      </c>
      <c r="AG5" s="1566">
        <f>Q_IS!CS225</f>
        <v>5601</v>
      </c>
      <c r="AH5" s="1566">
        <f>Q_IS!CW225</f>
        <v>5677</v>
      </c>
      <c r="AI5" s="1567"/>
      <c r="AJ5" s="2044">
        <f>IFERROR((U5/P5)^(1/5)-1,"NM")</f>
        <v>7.2563156017504404E-2</v>
      </c>
      <c r="AK5" s="2044">
        <f t="shared" ref="AK5:AK24" si="0">IFERROR((X5/U5)^(1/3)-1,"NM")</f>
        <v>3.3003261961264796E-2</v>
      </c>
      <c r="AL5" s="2044">
        <f t="shared" ref="AL5:AL24" si="1">IFERROR((AA5/Y5)^(1/2)-1,"NM")</f>
        <v>2.6707106098759148E-2</v>
      </c>
      <c r="AM5" s="2044">
        <f t="shared" ref="AM5:AM24" si="2">IFERROR((AD5/AA5)^(1/3)-1,"NM")</f>
        <v>1.9444977382419903E-2</v>
      </c>
      <c r="AN5" s="2044">
        <f t="shared" ref="AN5:AN24" si="3">IFERROR((AH5/X5)^(1/10)-1,"NM")</f>
        <v>2.0772344478485527E-2</v>
      </c>
      <c r="AO5" s="1127"/>
    </row>
    <row r="6" spans="1:41" ht="12.75" hidden="1" outlineLevel="1">
      <c r="A6" s="42" t="s">
        <v>731</v>
      </c>
      <c r="B6" s="1545">
        <f t="shared" ref="B6:I8" si="4">B10+B14</f>
        <v>425</v>
      </c>
      <c r="C6" s="1545">
        <f t="shared" si="4"/>
        <v>495</v>
      </c>
      <c r="D6" s="1545">
        <f t="shared" si="4"/>
        <v>531</v>
      </c>
      <c r="E6" s="1545">
        <f t="shared" si="4"/>
        <v>597</v>
      </c>
      <c r="F6" s="1545">
        <f t="shared" si="4"/>
        <v>701</v>
      </c>
      <c r="G6" s="1545">
        <f t="shared" si="4"/>
        <v>790</v>
      </c>
      <c r="H6" s="1545">
        <f t="shared" si="4"/>
        <v>899</v>
      </c>
      <c r="I6" s="1545">
        <f t="shared" si="4"/>
        <v>990</v>
      </c>
      <c r="J6" s="438">
        <f>Q_IS!E9</f>
        <v>1001</v>
      </c>
      <c r="K6" s="438">
        <f>Q_IS!I9</f>
        <v>1037</v>
      </c>
      <c r="L6" s="438">
        <f>Q_IS!M9</f>
        <v>1075</v>
      </c>
      <c r="M6" s="438">
        <f>Q_IS!Q9</f>
        <v>1186</v>
      </c>
      <c r="N6" s="438">
        <f>Q_IS!U9</f>
        <v>1575</v>
      </c>
      <c r="O6" s="438">
        <f>Q_IS!Y9</f>
        <v>1999</v>
      </c>
      <c r="P6" s="438">
        <f>Q_IS!AC9</f>
        <v>2092</v>
      </c>
      <c r="Q6" s="438">
        <f>Q_IS!AG9</f>
        <v>2215</v>
      </c>
      <c r="R6" s="438">
        <f>Q_IS!AK9</f>
        <v>2346</v>
      </c>
      <c r="S6" s="438">
        <f>Q_IS!AO9</f>
        <v>2467</v>
      </c>
      <c r="T6" s="438">
        <f>Q_IS!AS9</f>
        <v>2272</v>
      </c>
      <c r="U6" s="438">
        <f>Q_IS!AW9</f>
        <v>2184</v>
      </c>
      <c r="V6" s="438">
        <f>Q_IS!BA9</f>
        <v>2174</v>
      </c>
      <c r="W6" s="438">
        <f>Q_IS!BE9</f>
        <v>2248</v>
      </c>
      <c r="X6" s="438">
        <f>Q_IS!BI9</f>
        <v>2313</v>
      </c>
      <c r="Y6" s="447">
        <f>Q_IS!BM9</f>
        <v>2388</v>
      </c>
      <c r="Z6" s="447">
        <f>Q_IS!BQ9</f>
        <v>2471</v>
      </c>
      <c r="AA6" s="447">
        <f>Q_IS!BU9</f>
        <v>2541</v>
      </c>
      <c r="AB6" s="447">
        <f>Q_IS!BY9</f>
        <v>2600</v>
      </c>
      <c r="AC6" s="447">
        <f>Q_IS!CC9</f>
        <v>2659</v>
      </c>
      <c r="AD6" s="447">
        <f>Q_IS!CG9</f>
        <v>2718</v>
      </c>
      <c r="AE6" s="447">
        <f>Q_IS!CK9</f>
        <v>2767</v>
      </c>
      <c r="AF6" s="447">
        <f>Q_IS!CO9</f>
        <v>2816</v>
      </c>
      <c r="AG6" s="447">
        <f>Q_IS!CS9</f>
        <v>2865</v>
      </c>
      <c r="AH6" s="447">
        <f>Q_IS!CW9</f>
        <v>2910</v>
      </c>
      <c r="AI6" s="1679"/>
      <c r="AJ6" s="1128">
        <f t="shared" ref="AJ6:AJ24" si="5">IFERROR((U6/P6)^(1/5)-1,"NM")</f>
        <v>8.6446534003510322E-3</v>
      </c>
      <c r="AK6" s="1128">
        <f t="shared" si="0"/>
        <v>1.9313242080715387E-2</v>
      </c>
      <c r="AL6" s="1128">
        <f t="shared" si="1"/>
        <v>3.1537857646918299E-2</v>
      </c>
      <c r="AM6" s="1128">
        <f t="shared" si="2"/>
        <v>2.2700015306899246E-2</v>
      </c>
      <c r="AN6" s="1128">
        <f t="shared" si="3"/>
        <v>2.3226397376872265E-2</v>
      </c>
    </row>
    <row r="7" spans="1:41" ht="12.75" hidden="1" outlineLevel="1">
      <c r="A7" s="42" t="s">
        <v>949</v>
      </c>
      <c r="B7" s="1545">
        <f t="shared" si="4"/>
        <v>0</v>
      </c>
      <c r="C7" s="1545">
        <f t="shared" si="4"/>
        <v>0</v>
      </c>
      <c r="D7" s="1545">
        <f t="shared" si="4"/>
        <v>0</v>
      </c>
      <c r="E7" s="1545">
        <f t="shared" si="4"/>
        <v>0</v>
      </c>
      <c r="F7" s="1545">
        <f t="shared" si="4"/>
        <v>0</v>
      </c>
      <c r="G7" s="1545">
        <f t="shared" si="4"/>
        <v>0</v>
      </c>
      <c r="H7" s="1545">
        <f t="shared" si="4"/>
        <v>0</v>
      </c>
      <c r="I7" s="1545">
        <f t="shared" si="4"/>
        <v>0</v>
      </c>
      <c r="J7" s="438">
        <f>Q_IS!E76</f>
        <v>0</v>
      </c>
      <c r="K7" s="438">
        <f>Q_IS!I76</f>
        <v>0</v>
      </c>
      <c r="L7" s="438">
        <f>Q_IS!M76</f>
        <v>0</v>
      </c>
      <c r="M7" s="438">
        <f>Q_IS!Q76</f>
        <v>0</v>
      </c>
      <c r="N7" s="438">
        <f>Q_IS!U76</f>
        <v>0</v>
      </c>
      <c r="O7" s="438">
        <f>Q_IS!Y76</f>
        <v>442</v>
      </c>
      <c r="P7" s="438">
        <f>Q_IS!AC76</f>
        <v>467</v>
      </c>
      <c r="Q7" s="438">
        <f>Q_IS!AG76</f>
        <v>499</v>
      </c>
      <c r="R7" s="438">
        <f>Q_IS!AK76</f>
        <v>549</v>
      </c>
      <c r="S7" s="438">
        <f>Q_IS!AO76</f>
        <v>593</v>
      </c>
      <c r="T7" s="438">
        <f>Q_IS!AS76</f>
        <v>1398</v>
      </c>
      <c r="U7" s="438">
        <f>Q_IS!AW76</f>
        <v>1376</v>
      </c>
      <c r="V7" s="438">
        <f>Q_IS!BA76</f>
        <v>1424</v>
      </c>
      <c r="W7" s="438">
        <f>Q_IS!BE76</f>
        <v>1476</v>
      </c>
      <c r="X7" s="438">
        <f>Q_IS!BI76</f>
        <v>1534</v>
      </c>
      <c r="Y7" s="447">
        <f>Q_IS!BM76</f>
        <v>1598</v>
      </c>
      <c r="Z7" s="447">
        <f>Q_IS!BQ76</f>
        <v>1634</v>
      </c>
      <c r="AA7" s="447">
        <f>Q_IS!BU76</f>
        <v>1662</v>
      </c>
      <c r="AB7" s="447">
        <f>Q_IS!BY76</f>
        <v>1686</v>
      </c>
      <c r="AC7" s="447">
        <f>Q_IS!CC76</f>
        <v>1710</v>
      </c>
      <c r="AD7" s="447">
        <f>Q_IS!CG76</f>
        <v>1734</v>
      </c>
      <c r="AE7" s="447">
        <f>Q_IS!CK76</f>
        <v>1756</v>
      </c>
      <c r="AF7" s="447">
        <f>Q_IS!CO76</f>
        <v>1778</v>
      </c>
      <c r="AG7" s="447">
        <f>Q_IS!CS76</f>
        <v>1800</v>
      </c>
      <c r="AH7" s="447">
        <f>Q_IS!CW76</f>
        <v>1819</v>
      </c>
      <c r="AI7" s="1679"/>
      <c r="AJ7" s="1128">
        <f t="shared" si="5"/>
        <v>0.24125299860002158</v>
      </c>
      <c r="AK7" s="1128">
        <f t="shared" si="0"/>
        <v>3.6897057174009262E-2</v>
      </c>
      <c r="AL7" s="1128">
        <f t="shared" si="1"/>
        <v>1.9828447621570655E-2</v>
      </c>
      <c r="AM7" s="1128">
        <f t="shared" si="2"/>
        <v>1.4236785291606102E-2</v>
      </c>
      <c r="AN7" s="1128">
        <f t="shared" si="3"/>
        <v>1.7186842697963112E-2</v>
      </c>
    </row>
    <row r="8" spans="1:41" ht="12.75" hidden="1" outlineLevel="1">
      <c r="A8" s="42" t="s">
        <v>733</v>
      </c>
      <c r="B8" s="1545">
        <f t="shared" si="4"/>
        <v>12</v>
      </c>
      <c r="C8" s="1545">
        <f t="shared" si="4"/>
        <v>23</v>
      </c>
      <c r="D8" s="1545">
        <f t="shared" si="4"/>
        <v>29</v>
      </c>
      <c r="E8" s="1545">
        <f t="shared" si="4"/>
        <v>29</v>
      </c>
      <c r="F8" s="1545">
        <f t="shared" si="4"/>
        <v>27</v>
      </c>
      <c r="G8" s="1545">
        <f t="shared" si="4"/>
        <v>75</v>
      </c>
      <c r="H8" s="1545">
        <f t="shared" si="4"/>
        <v>90</v>
      </c>
      <c r="I8" s="1545">
        <f t="shared" si="4"/>
        <v>145</v>
      </c>
      <c r="J8" s="438">
        <f>Q_IS!E141</f>
        <v>170</v>
      </c>
      <c r="K8" s="438">
        <f>Q_IS!I141</f>
        <v>169</v>
      </c>
      <c r="L8" s="438">
        <f>Q_IS!M141</f>
        <v>208</v>
      </c>
      <c r="M8" s="438">
        <f>Q_IS!Q141</f>
        <v>249</v>
      </c>
      <c r="N8" s="438">
        <f>Q_IS!U141</f>
        <v>287</v>
      </c>
      <c r="O8" s="438">
        <f>Q_IS!Y141</f>
        <v>343</v>
      </c>
      <c r="P8" s="438">
        <f>Q_IS!AC141</f>
        <v>395</v>
      </c>
      <c r="Q8" s="438">
        <f>Q_IS!AG141</f>
        <v>481</v>
      </c>
      <c r="R8" s="438">
        <f>Q_IS!AK141</f>
        <v>543</v>
      </c>
      <c r="S8" s="438">
        <f>Q_IS!AO141</f>
        <v>628</v>
      </c>
      <c r="T8" s="438">
        <f>Q_IS!AS141</f>
        <v>640</v>
      </c>
      <c r="U8" s="438">
        <f>Q_IS!AW141</f>
        <v>633</v>
      </c>
      <c r="V8" s="438">
        <f>Q_IS!BA141</f>
        <v>664</v>
      </c>
      <c r="W8" s="438">
        <f>Q_IS!BE141</f>
        <v>723</v>
      </c>
      <c r="X8" s="438">
        <f>Q_IS!BI141</f>
        <v>775</v>
      </c>
      <c r="Y8" s="447">
        <f>Q_IS!BM141</f>
        <v>799</v>
      </c>
      <c r="Z8" s="447">
        <f>Q_IS!BQ141</f>
        <v>823</v>
      </c>
      <c r="AA8" s="447">
        <f>Q_IS!BU141</f>
        <v>841</v>
      </c>
      <c r="AB8" s="447">
        <f>Q_IS!BY141</f>
        <v>860</v>
      </c>
      <c r="AC8" s="447">
        <f>Q_IS!CC141</f>
        <v>876</v>
      </c>
      <c r="AD8" s="447">
        <f>Q_IS!CG141</f>
        <v>892</v>
      </c>
      <c r="AE8" s="447">
        <f>Q_IS!CK141</f>
        <v>906</v>
      </c>
      <c r="AF8" s="447">
        <f>Q_IS!CO141</f>
        <v>921</v>
      </c>
      <c r="AG8" s="447">
        <f>Q_IS!CS141</f>
        <v>936</v>
      </c>
      <c r="AH8" s="447">
        <f>Q_IS!CW141</f>
        <v>948</v>
      </c>
      <c r="AI8" s="1679"/>
      <c r="AJ8" s="1128">
        <f t="shared" si="5"/>
        <v>9.8907969227377102E-2</v>
      </c>
      <c r="AK8" s="1128">
        <f t="shared" si="0"/>
        <v>6.979196293093981E-2</v>
      </c>
      <c r="AL8" s="1128">
        <f t="shared" si="1"/>
        <v>2.5946249631976226E-2</v>
      </c>
      <c r="AM8" s="1128">
        <f t="shared" si="2"/>
        <v>1.9818656966451575E-2</v>
      </c>
      <c r="AN8" s="1128">
        <f t="shared" si="3"/>
        <v>2.0353511639755739E-2</v>
      </c>
    </row>
    <row r="9" spans="1:41" ht="12.75" collapsed="1">
      <c r="A9" s="937" t="s">
        <v>992</v>
      </c>
      <c r="B9" s="1544">
        <f t="shared" ref="B9:I9" si="6">SUM(B10:B12)</f>
        <v>283</v>
      </c>
      <c r="C9" s="1544">
        <f t="shared" si="6"/>
        <v>342</v>
      </c>
      <c r="D9" s="1544">
        <f t="shared" si="6"/>
        <v>363</v>
      </c>
      <c r="E9" s="1544">
        <f t="shared" si="6"/>
        <v>425</v>
      </c>
      <c r="F9" s="1544">
        <f t="shared" si="6"/>
        <v>559</v>
      </c>
      <c r="G9" s="1544">
        <f t="shared" si="6"/>
        <v>689</v>
      </c>
      <c r="H9" s="1544">
        <f t="shared" si="6"/>
        <v>806</v>
      </c>
      <c r="I9" s="1544">
        <f t="shared" si="6"/>
        <v>929</v>
      </c>
      <c r="J9" s="985">
        <f>Q_IS!E228</f>
        <v>952</v>
      </c>
      <c r="K9" s="985">
        <f>Q_IS!I228</f>
        <v>1011</v>
      </c>
      <c r="L9" s="985">
        <f>Q_IS!M228</f>
        <v>1077</v>
      </c>
      <c r="M9" s="985">
        <f>Q_IS!Q228</f>
        <v>1161</v>
      </c>
      <c r="N9" s="985">
        <f>Q_IS!U228</f>
        <v>1411</v>
      </c>
      <c r="O9" s="985">
        <f>Q_IS!Y228</f>
        <v>2161</v>
      </c>
      <c r="P9" s="985">
        <f>Q_IS!AC228</f>
        <v>2283</v>
      </c>
      <c r="Q9" s="985">
        <f>Q_IS!AG228</f>
        <v>2502</v>
      </c>
      <c r="R9" s="985">
        <f>Q_IS!AK228</f>
        <v>2716</v>
      </c>
      <c r="S9" s="985">
        <f>Q_IS!AO228</f>
        <v>2947</v>
      </c>
      <c r="T9" s="985">
        <f>Q_IS!AS228</f>
        <v>3419</v>
      </c>
      <c r="U9" s="985">
        <f>Q_IS!AW228</f>
        <v>3284</v>
      </c>
      <c r="V9" s="985">
        <f>Q_IS!BA228</f>
        <v>3289</v>
      </c>
      <c r="W9" s="985">
        <f>Q_IS!BE228</f>
        <v>3436</v>
      </c>
      <c r="X9" s="985">
        <f>Q_IS!BI228</f>
        <v>3552</v>
      </c>
      <c r="Y9" s="1566">
        <f>Q_IS!BM228</f>
        <v>3657</v>
      </c>
      <c r="Z9" s="1566">
        <f>Q_IS!BQ228</f>
        <v>3745</v>
      </c>
      <c r="AA9" s="1566">
        <f>Q_IS!BU228</f>
        <v>3814</v>
      </c>
      <c r="AB9" s="1566">
        <f>Q_IS!BY228</f>
        <v>3875</v>
      </c>
      <c r="AC9" s="1566">
        <f>Q_IS!CC228</f>
        <v>3936</v>
      </c>
      <c r="AD9" s="1566">
        <f>Q_IS!CG228</f>
        <v>3997</v>
      </c>
      <c r="AE9" s="1566">
        <f>Q_IS!CK228</f>
        <v>4048</v>
      </c>
      <c r="AF9" s="1566">
        <f>Q_IS!CO228</f>
        <v>4099</v>
      </c>
      <c r="AG9" s="1566">
        <f>Q_IS!CS228</f>
        <v>4150</v>
      </c>
      <c r="AH9" s="1566">
        <f>Q_IS!CW228</f>
        <v>4196</v>
      </c>
      <c r="AI9" s="1679"/>
      <c r="AJ9" s="1127">
        <f t="shared" si="5"/>
        <v>7.5423314295679056E-2</v>
      </c>
      <c r="AK9" s="1127">
        <f t="shared" si="0"/>
        <v>2.6494443607898877E-2</v>
      </c>
      <c r="AL9" s="1127">
        <f t="shared" si="1"/>
        <v>2.124011109357915E-2</v>
      </c>
      <c r="AM9" s="1127">
        <f t="shared" si="2"/>
        <v>1.5744516621780669E-2</v>
      </c>
      <c r="AN9" s="1127">
        <f t="shared" si="3"/>
        <v>1.6801673295556929E-2</v>
      </c>
    </row>
    <row r="10" spans="1:41" hidden="1" outlineLevel="1">
      <c r="A10" s="86" t="s">
        <v>731</v>
      </c>
      <c r="B10" s="1545">
        <v>283</v>
      </c>
      <c r="C10" s="1545">
        <v>342</v>
      </c>
      <c r="D10" s="1545">
        <v>363</v>
      </c>
      <c r="E10" s="1545">
        <f>328+43+50+4</f>
        <v>425</v>
      </c>
      <c r="F10" s="1545">
        <f>387+76+78+5+11+2</f>
        <v>559</v>
      </c>
      <c r="G10" s="1545">
        <f>402+117+94+9+17</f>
        <v>639</v>
      </c>
      <c r="H10" s="1545">
        <f>411+195+107+9+23</f>
        <v>745</v>
      </c>
      <c r="I10" s="1545">
        <f>425+258+107+10+27+4</f>
        <v>831</v>
      </c>
      <c r="J10" s="438">
        <f>Q_IS!E14</f>
        <v>836</v>
      </c>
      <c r="K10" s="438">
        <f>Q_IS!I14</f>
        <v>873</v>
      </c>
      <c r="L10" s="438">
        <f>Q_IS!M14</f>
        <v>905</v>
      </c>
      <c r="M10" s="438">
        <f>Q_IS!Q14</f>
        <v>953</v>
      </c>
      <c r="N10" s="438">
        <f>Q_IS!U14</f>
        <v>1128</v>
      </c>
      <c r="O10" s="438">
        <f>Q_IS!Y14</f>
        <v>1532</v>
      </c>
      <c r="P10" s="438">
        <f>Q_IS!AC14</f>
        <v>1594</v>
      </c>
      <c r="Q10" s="438">
        <f>Q_IS!AG14</f>
        <v>1698</v>
      </c>
      <c r="R10" s="438">
        <f>Q_IS!AK14</f>
        <v>1813</v>
      </c>
      <c r="S10" s="438">
        <f>Q_IS!AO14</f>
        <v>1917</v>
      </c>
      <c r="T10" s="438">
        <f>Q_IS!AS14</f>
        <v>1916</v>
      </c>
      <c r="U10" s="438">
        <f>Q_IS!AW14</f>
        <v>1821</v>
      </c>
      <c r="V10" s="438">
        <f>Q_IS!BA14</f>
        <v>1789</v>
      </c>
      <c r="W10" s="438">
        <f>Q_IS!BE14</f>
        <v>1833</v>
      </c>
      <c r="X10" s="438">
        <f>Q_IS!BI14</f>
        <v>1851</v>
      </c>
      <c r="Y10" s="447">
        <f>Q_IS!BM14</f>
        <v>1900</v>
      </c>
      <c r="Z10" s="447">
        <f>Q_IS!BQ14</f>
        <v>1951</v>
      </c>
      <c r="AA10" s="447">
        <f>Q_IS!BU14</f>
        <v>1993</v>
      </c>
      <c r="AB10" s="447">
        <f>Q_IS!BY14</f>
        <v>2028</v>
      </c>
      <c r="AC10" s="447">
        <f>Q_IS!CC14</f>
        <v>2063</v>
      </c>
      <c r="AD10" s="447">
        <f>Q_IS!CG14</f>
        <v>2098</v>
      </c>
      <c r="AE10" s="447">
        <f>Q_IS!CK14</f>
        <v>2127</v>
      </c>
      <c r="AF10" s="447">
        <f>Q_IS!CO14</f>
        <v>2156</v>
      </c>
      <c r="AG10" s="447">
        <f>Q_IS!CS14</f>
        <v>2185</v>
      </c>
      <c r="AH10" s="447">
        <f>Q_IS!CW14</f>
        <v>2213</v>
      </c>
      <c r="AI10" s="1568"/>
      <c r="AJ10" s="1128">
        <f t="shared" si="5"/>
        <v>2.698553288545158E-2</v>
      </c>
      <c r="AK10" s="1128">
        <f t="shared" si="0"/>
        <v>5.4616047617601637E-3</v>
      </c>
      <c r="AL10" s="1127">
        <f t="shared" si="1"/>
        <v>2.4181316184323176E-2</v>
      </c>
      <c r="AM10" s="1128">
        <f t="shared" si="2"/>
        <v>1.7261781533717491E-2</v>
      </c>
      <c r="AN10" s="1128">
        <f t="shared" si="3"/>
        <v>1.8022787797620898E-2</v>
      </c>
    </row>
    <row r="11" spans="1:41" hidden="1" outlineLevel="1">
      <c r="A11" s="86" t="s">
        <v>949</v>
      </c>
      <c r="B11" s="1545">
        <v>0</v>
      </c>
      <c r="C11" s="1545">
        <v>0</v>
      </c>
      <c r="D11" s="1545">
        <v>0</v>
      </c>
      <c r="E11" s="1545">
        <v>0</v>
      </c>
      <c r="F11" s="1545">
        <v>0</v>
      </c>
      <c r="G11" s="1545">
        <v>0</v>
      </c>
      <c r="H11" s="1545">
        <v>0</v>
      </c>
      <c r="I11" s="1545">
        <v>0</v>
      </c>
      <c r="J11" s="438">
        <f>Q_IS!E81</f>
        <v>0</v>
      </c>
      <c r="K11" s="438">
        <f>Q_IS!I81</f>
        <v>0</v>
      </c>
      <c r="L11" s="438">
        <f>Q_IS!M81</f>
        <v>0</v>
      </c>
      <c r="M11" s="438">
        <f>Q_IS!Q81</f>
        <v>0</v>
      </c>
      <c r="N11" s="438">
        <f>Q_IS!U81</f>
        <v>0</v>
      </c>
      <c r="O11" s="438">
        <f>Q_IS!Y81</f>
        <v>302</v>
      </c>
      <c r="P11" s="438">
        <f>Q_IS!AC81</f>
        <v>313</v>
      </c>
      <c r="Q11" s="438">
        <f>Q_IS!AG81</f>
        <v>344</v>
      </c>
      <c r="R11" s="438">
        <f>Q_IS!AK81</f>
        <v>381</v>
      </c>
      <c r="S11" s="438">
        <f>Q_IS!AO81</f>
        <v>420</v>
      </c>
      <c r="T11" s="438">
        <f>Q_IS!AS81</f>
        <v>888</v>
      </c>
      <c r="U11" s="438">
        <f>Q_IS!AW81</f>
        <v>862</v>
      </c>
      <c r="V11" s="438">
        <f>Q_IS!BA81</f>
        <v>878</v>
      </c>
      <c r="W11" s="438">
        <f>Q_IS!BE81</f>
        <v>928</v>
      </c>
      <c r="X11" s="438">
        <f>Q_IS!BI81</f>
        <v>976</v>
      </c>
      <c r="Y11" s="447">
        <f>Q_IS!BM81</f>
        <v>1007</v>
      </c>
      <c r="Z11" s="447">
        <f>Q_IS!BQ81</f>
        <v>1029</v>
      </c>
      <c r="AA11" s="447">
        <f>Q_IS!BU81</f>
        <v>1046</v>
      </c>
      <c r="AB11" s="447">
        <f>Q_IS!BY81</f>
        <v>1061</v>
      </c>
      <c r="AC11" s="447">
        <f>Q_IS!CC81</f>
        <v>1076</v>
      </c>
      <c r="AD11" s="447">
        <f>Q_IS!CG81</f>
        <v>1091</v>
      </c>
      <c r="AE11" s="447">
        <f>Q_IS!CK81</f>
        <v>1103</v>
      </c>
      <c r="AF11" s="447">
        <f>Q_IS!CO81</f>
        <v>1115</v>
      </c>
      <c r="AG11" s="447">
        <f>Q_IS!CS81</f>
        <v>1127</v>
      </c>
      <c r="AH11" s="447">
        <f>Q_IS!CW81</f>
        <v>1137</v>
      </c>
      <c r="AI11" s="1568"/>
      <c r="AJ11" s="1128">
        <f t="shared" si="5"/>
        <v>0.22459529260132638</v>
      </c>
      <c r="AK11" s="1128">
        <f t="shared" si="0"/>
        <v>4.2271471409511596E-2</v>
      </c>
      <c r="AL11" s="1127">
        <f t="shared" si="1"/>
        <v>1.9180503010133076E-2</v>
      </c>
      <c r="AM11" s="1128">
        <f t="shared" si="2"/>
        <v>1.4139477078766616E-2</v>
      </c>
      <c r="AN11" s="1128">
        <f t="shared" si="3"/>
        <v>1.5385751197482866E-2</v>
      </c>
    </row>
    <row r="12" spans="1:41" hidden="1" outlineLevel="1">
      <c r="A12" s="86" t="s">
        <v>733</v>
      </c>
      <c r="B12" s="1545">
        <v>0</v>
      </c>
      <c r="C12" s="1545">
        <v>0</v>
      </c>
      <c r="D12" s="1545">
        <v>0</v>
      </c>
      <c r="E12" s="1545">
        <v>0</v>
      </c>
      <c r="F12" s="1545">
        <v>0</v>
      </c>
      <c r="G12" s="1545">
        <f>27+23</f>
        <v>50</v>
      </c>
      <c r="H12" s="1545">
        <f>32+29</f>
        <v>61</v>
      </c>
      <c r="I12" s="1545">
        <f>21+3+41+32+1</f>
        <v>98</v>
      </c>
      <c r="J12" s="438">
        <f>Q_IS!E146</f>
        <v>116</v>
      </c>
      <c r="K12" s="438">
        <f>Q_IS!I146</f>
        <v>138</v>
      </c>
      <c r="L12" s="438">
        <f>Q_IS!M146</f>
        <v>172</v>
      </c>
      <c r="M12" s="438">
        <f>Q_IS!Q146</f>
        <v>208</v>
      </c>
      <c r="N12" s="438">
        <f>Q_IS!U146</f>
        <v>283</v>
      </c>
      <c r="O12" s="438">
        <f>Q_IS!Y146</f>
        <v>327</v>
      </c>
      <c r="P12" s="438">
        <f>Q_IS!AC146</f>
        <v>376</v>
      </c>
      <c r="Q12" s="438">
        <f>Q_IS!AG146</f>
        <v>460</v>
      </c>
      <c r="R12" s="438">
        <f>Q_IS!AK146</f>
        <v>522</v>
      </c>
      <c r="S12" s="438">
        <f>Q_IS!AO146</f>
        <v>610</v>
      </c>
      <c r="T12" s="438">
        <f>Q_IS!AS146</f>
        <v>615</v>
      </c>
      <c r="U12" s="438">
        <f>Q_IS!AW146</f>
        <v>601</v>
      </c>
      <c r="V12" s="438">
        <f>Q_IS!BA146</f>
        <v>622</v>
      </c>
      <c r="W12" s="438">
        <f>Q_IS!BE146</f>
        <v>675</v>
      </c>
      <c r="X12" s="438">
        <f>Q_IS!BI146</f>
        <v>725</v>
      </c>
      <c r="Y12" s="447">
        <f>Q_IS!BM146</f>
        <v>750</v>
      </c>
      <c r="Z12" s="447">
        <f>Q_IS!BQ146</f>
        <v>765</v>
      </c>
      <c r="AA12" s="447">
        <f>Q_IS!BU146</f>
        <v>775</v>
      </c>
      <c r="AB12" s="447">
        <f>Q_IS!BY146</f>
        <v>786</v>
      </c>
      <c r="AC12" s="447">
        <f>Q_IS!CC146</f>
        <v>797</v>
      </c>
      <c r="AD12" s="447">
        <f>Q_IS!CG146</f>
        <v>808</v>
      </c>
      <c r="AE12" s="447">
        <f>Q_IS!CK146</f>
        <v>818</v>
      </c>
      <c r="AF12" s="447">
        <f>Q_IS!CO146</f>
        <v>828</v>
      </c>
      <c r="AG12" s="447">
        <f>Q_IS!CS146</f>
        <v>838</v>
      </c>
      <c r="AH12" s="447">
        <f>Q_IS!CW146</f>
        <v>846</v>
      </c>
      <c r="AI12" s="1568"/>
      <c r="AJ12" s="1128">
        <f t="shared" si="5"/>
        <v>9.8341328067830691E-2</v>
      </c>
      <c r="AK12" s="1128">
        <f t="shared" si="0"/>
        <v>6.4521682050938889E-2</v>
      </c>
      <c r="AL12" s="1127">
        <f t="shared" si="1"/>
        <v>1.6530045465127152E-2</v>
      </c>
      <c r="AM12" s="1128">
        <f t="shared" si="2"/>
        <v>1.3996726022627026E-2</v>
      </c>
      <c r="AN12" s="1128">
        <f t="shared" si="3"/>
        <v>1.5554501760122852E-2</v>
      </c>
    </row>
    <row r="13" spans="1:41" collapsed="1">
      <c r="A13" s="937" t="s">
        <v>993</v>
      </c>
      <c r="B13" s="1544">
        <f t="shared" ref="B13:I13" si="7">SUM(B14:B16)</f>
        <v>154</v>
      </c>
      <c r="C13" s="1544">
        <f t="shared" si="7"/>
        <v>176</v>
      </c>
      <c r="D13" s="1544">
        <f t="shared" si="7"/>
        <v>197</v>
      </c>
      <c r="E13" s="1544">
        <f t="shared" si="7"/>
        <v>201</v>
      </c>
      <c r="F13" s="1544">
        <f t="shared" si="7"/>
        <v>169</v>
      </c>
      <c r="G13" s="1544">
        <f t="shared" si="7"/>
        <v>176</v>
      </c>
      <c r="H13" s="1544">
        <f t="shared" si="7"/>
        <v>183</v>
      </c>
      <c r="I13" s="1544">
        <f t="shared" si="7"/>
        <v>206</v>
      </c>
      <c r="J13" s="985">
        <f>Q_IS!E232</f>
        <v>219</v>
      </c>
      <c r="K13" s="985">
        <f>Q_IS!I232</f>
        <v>195</v>
      </c>
      <c r="L13" s="985">
        <f>Q_IS!M232</f>
        <v>206</v>
      </c>
      <c r="M13" s="985">
        <f>Q_IS!Q232</f>
        <v>274</v>
      </c>
      <c r="N13" s="985">
        <f>Q_IS!U232</f>
        <v>451</v>
      </c>
      <c r="O13" s="985">
        <f>Q_IS!Y232</f>
        <v>623</v>
      </c>
      <c r="P13" s="985">
        <f>Q_IS!AC232</f>
        <v>671</v>
      </c>
      <c r="Q13" s="985">
        <f>Q_IS!AG232</f>
        <v>693</v>
      </c>
      <c r="R13" s="985">
        <f>Q_IS!AK232</f>
        <v>722</v>
      </c>
      <c r="S13" s="985">
        <f>Q_IS!AO232</f>
        <v>741</v>
      </c>
      <c r="T13" s="985">
        <f>Q_IS!AS232</f>
        <v>891</v>
      </c>
      <c r="U13" s="985">
        <f>Q_IS!AW232</f>
        <v>909</v>
      </c>
      <c r="V13" s="985">
        <f>Q_IS!BA232</f>
        <v>973</v>
      </c>
      <c r="W13" s="985">
        <f>Q_IS!BE232</f>
        <v>1011</v>
      </c>
      <c r="X13" s="985">
        <f>Q_IS!BI232</f>
        <v>1070</v>
      </c>
      <c r="Y13" s="1566">
        <f>Q_IS!BM232</f>
        <v>1128</v>
      </c>
      <c r="Z13" s="1566">
        <f>Q_IS!BQ232</f>
        <v>1183</v>
      </c>
      <c r="AA13" s="1566">
        <f>Q_IS!BU232</f>
        <v>1230</v>
      </c>
      <c r="AB13" s="1566">
        <f>Q_IS!BY232</f>
        <v>1271</v>
      </c>
      <c r="AC13" s="1566">
        <f>Q_IS!CC232</f>
        <v>1309</v>
      </c>
      <c r="AD13" s="1566">
        <f>Q_IS!CG232</f>
        <v>1347</v>
      </c>
      <c r="AE13" s="1566">
        <f>Q_IS!CK232</f>
        <v>1381</v>
      </c>
      <c r="AF13" s="1566">
        <f>Q_IS!CO232</f>
        <v>1416</v>
      </c>
      <c r="AG13" s="1566">
        <f>Q_IS!CS232</f>
        <v>1451</v>
      </c>
      <c r="AH13" s="1566">
        <f>Q_IS!CW232</f>
        <v>1481</v>
      </c>
      <c r="AI13" s="1566"/>
      <c r="AJ13" s="1127">
        <f t="shared" si="5"/>
        <v>6.2596234584169075E-2</v>
      </c>
      <c r="AK13" s="1127">
        <f t="shared" si="0"/>
        <v>5.5860714840627157E-2</v>
      </c>
      <c r="AL13" s="1127">
        <f t="shared" si="1"/>
        <v>4.4234423831590375E-2</v>
      </c>
      <c r="AM13" s="1127">
        <f t="shared" si="2"/>
        <v>3.0751941326439658E-2</v>
      </c>
      <c r="AN13" s="1127">
        <f t="shared" si="3"/>
        <v>3.3039976369133361E-2</v>
      </c>
    </row>
    <row r="14" spans="1:41" hidden="1" outlineLevel="1">
      <c r="A14" s="86" t="s">
        <v>731</v>
      </c>
      <c r="B14" s="1545">
        <v>142</v>
      </c>
      <c r="C14" s="1545">
        <v>153</v>
      </c>
      <c r="D14" s="1545">
        <v>168</v>
      </c>
      <c r="E14" s="1545">
        <v>172</v>
      </c>
      <c r="F14" s="1545">
        <v>142</v>
      </c>
      <c r="G14" s="1545">
        <v>151</v>
      </c>
      <c r="H14" s="1545">
        <v>154</v>
      </c>
      <c r="I14" s="1545">
        <v>159</v>
      </c>
      <c r="J14" s="438">
        <f>Q_IS!E18</f>
        <v>165</v>
      </c>
      <c r="K14" s="438">
        <f>Q_IS!I18</f>
        <v>164</v>
      </c>
      <c r="L14" s="438">
        <f>Q_IS!M18</f>
        <v>170</v>
      </c>
      <c r="M14" s="438">
        <f>Q_IS!Q18</f>
        <v>233</v>
      </c>
      <c r="N14" s="438">
        <f>Q_IS!U18</f>
        <v>447</v>
      </c>
      <c r="O14" s="438">
        <f>Q_IS!Y18</f>
        <v>467</v>
      </c>
      <c r="P14" s="438">
        <f>Q_IS!AC18</f>
        <v>498</v>
      </c>
      <c r="Q14" s="438">
        <f>Q_IS!AG18</f>
        <v>517</v>
      </c>
      <c r="R14" s="438">
        <f>Q_IS!AK18</f>
        <v>533</v>
      </c>
      <c r="S14" s="438">
        <f>Q_IS!AO18</f>
        <v>550</v>
      </c>
      <c r="T14" s="438">
        <f>Q_IS!AS18</f>
        <v>356</v>
      </c>
      <c r="U14" s="438">
        <f>Q_IS!AW18</f>
        <v>363</v>
      </c>
      <c r="V14" s="438">
        <f>Q_IS!BA18</f>
        <v>385</v>
      </c>
      <c r="W14" s="438">
        <f>Q_IS!BE18</f>
        <v>415</v>
      </c>
      <c r="X14" s="438">
        <f>Q_IS!BI18</f>
        <v>462</v>
      </c>
      <c r="Y14" s="447">
        <f>Q_IS!BM18</f>
        <v>488</v>
      </c>
      <c r="Z14" s="447">
        <f>Q_IS!BQ18</f>
        <v>520</v>
      </c>
      <c r="AA14" s="447">
        <f>Q_IS!BU18</f>
        <v>548</v>
      </c>
      <c r="AB14" s="447">
        <f>Q_IS!BY18</f>
        <v>572</v>
      </c>
      <c r="AC14" s="447">
        <f>Q_IS!CC18</f>
        <v>596</v>
      </c>
      <c r="AD14" s="447">
        <f>Q_IS!CG18</f>
        <v>620</v>
      </c>
      <c r="AE14" s="447">
        <f>Q_IS!CK18</f>
        <v>640</v>
      </c>
      <c r="AF14" s="447">
        <f>Q_IS!CO18</f>
        <v>660</v>
      </c>
      <c r="AG14" s="447">
        <f>Q_IS!CS18</f>
        <v>680</v>
      </c>
      <c r="AH14" s="447">
        <f>Q_IS!CW18</f>
        <v>697</v>
      </c>
      <c r="AI14" s="1568"/>
      <c r="AJ14" s="1128">
        <f t="shared" si="5"/>
        <v>-6.1281328050714734E-2</v>
      </c>
      <c r="AK14" s="1128">
        <f t="shared" si="0"/>
        <v>8.3706762661827083E-2</v>
      </c>
      <c r="AL14" s="1127">
        <f t="shared" si="1"/>
        <v>5.9693738620801406E-2</v>
      </c>
      <c r="AM14" s="1128">
        <f t="shared" si="2"/>
        <v>4.2006377440747977E-2</v>
      </c>
      <c r="AN14" s="1128">
        <f t="shared" si="3"/>
        <v>4.1979273405585715E-2</v>
      </c>
    </row>
    <row r="15" spans="1:41" hidden="1" outlineLevel="1">
      <c r="A15" s="86" t="s">
        <v>949</v>
      </c>
      <c r="B15" s="1545">
        <v>0</v>
      </c>
      <c r="C15" s="1545">
        <v>0</v>
      </c>
      <c r="D15" s="1545">
        <v>0</v>
      </c>
      <c r="E15" s="1545">
        <v>0</v>
      </c>
      <c r="F15" s="1545">
        <v>0</v>
      </c>
      <c r="G15" s="1545">
        <v>0</v>
      </c>
      <c r="H15" s="1545">
        <v>0</v>
      </c>
      <c r="I15" s="1545">
        <v>0</v>
      </c>
      <c r="J15" s="438">
        <f>Q_IS!E85</f>
        <v>0</v>
      </c>
      <c r="K15" s="438">
        <f>Q_IS!I85</f>
        <v>0</v>
      </c>
      <c r="L15" s="438">
        <f>Q_IS!M85</f>
        <v>0</v>
      </c>
      <c r="M15" s="438">
        <f>Q_IS!Q85</f>
        <v>0</v>
      </c>
      <c r="N15" s="438">
        <f>Q_IS!U85</f>
        <v>0</v>
      </c>
      <c r="O15" s="438">
        <f>Q_IS!Y85</f>
        <v>140</v>
      </c>
      <c r="P15" s="438">
        <f>Q_IS!AC85</f>
        <v>154</v>
      </c>
      <c r="Q15" s="438">
        <f>Q_IS!AG85</f>
        <v>155</v>
      </c>
      <c r="R15" s="438">
        <f>Q_IS!AK85</f>
        <v>168</v>
      </c>
      <c r="S15" s="438">
        <f>Q_IS!AO85</f>
        <v>173</v>
      </c>
      <c r="T15" s="438">
        <f>Q_IS!AS85</f>
        <v>510</v>
      </c>
      <c r="U15" s="438">
        <f>Q_IS!AW85</f>
        <v>514</v>
      </c>
      <c r="V15" s="438">
        <f>Q_IS!BA85</f>
        <v>546</v>
      </c>
      <c r="W15" s="438">
        <f>Q_IS!BE85</f>
        <v>548</v>
      </c>
      <c r="X15" s="438">
        <f>Q_IS!BI85</f>
        <v>558</v>
      </c>
      <c r="Y15" s="447">
        <f>Q_IS!BM85</f>
        <v>591</v>
      </c>
      <c r="Z15" s="447">
        <f>Q_IS!BQ85</f>
        <v>605</v>
      </c>
      <c r="AA15" s="447">
        <f>Q_IS!BU85</f>
        <v>616</v>
      </c>
      <c r="AB15" s="447">
        <f>Q_IS!BY85</f>
        <v>625</v>
      </c>
      <c r="AC15" s="447">
        <f>Q_IS!CC85</f>
        <v>634</v>
      </c>
      <c r="AD15" s="447">
        <f>Q_IS!CG85</f>
        <v>643</v>
      </c>
      <c r="AE15" s="447">
        <f>Q_IS!CK85</f>
        <v>653</v>
      </c>
      <c r="AF15" s="447">
        <f>Q_IS!CO85</f>
        <v>663</v>
      </c>
      <c r="AG15" s="447">
        <f>Q_IS!CS85</f>
        <v>673</v>
      </c>
      <c r="AH15" s="447">
        <f>Q_IS!CW85</f>
        <v>682</v>
      </c>
      <c r="AI15" s="1568"/>
      <c r="AJ15" s="1128">
        <f t="shared" si="5"/>
        <v>0.27258992205548904</v>
      </c>
      <c r="AK15" s="1128">
        <f t="shared" si="0"/>
        <v>2.7756802541692327E-2</v>
      </c>
      <c r="AL15" s="1127">
        <f t="shared" si="1"/>
        <v>2.093152778879559E-2</v>
      </c>
      <c r="AM15" s="1128">
        <f t="shared" si="2"/>
        <v>1.4401976932822969E-2</v>
      </c>
      <c r="AN15" s="1128">
        <f t="shared" si="3"/>
        <v>2.0269766762328834E-2</v>
      </c>
    </row>
    <row r="16" spans="1:41" hidden="1" outlineLevel="1">
      <c r="A16" s="86" t="s">
        <v>733</v>
      </c>
      <c r="B16" s="1545">
        <v>12</v>
      </c>
      <c r="C16" s="1545">
        <v>23</v>
      </c>
      <c r="D16" s="1545">
        <v>29</v>
      </c>
      <c r="E16" s="1545">
        <v>29</v>
      </c>
      <c r="F16" s="1545">
        <v>27</v>
      </c>
      <c r="G16" s="1545">
        <v>25</v>
      </c>
      <c r="H16" s="1545">
        <v>29</v>
      </c>
      <c r="I16" s="1545">
        <v>47</v>
      </c>
      <c r="J16" s="438">
        <f>Q_IS!E150</f>
        <v>54</v>
      </c>
      <c r="K16" s="438">
        <f>Q_IS!I150</f>
        <v>31</v>
      </c>
      <c r="L16" s="438">
        <f>Q_IS!M150</f>
        <v>36</v>
      </c>
      <c r="M16" s="438">
        <f>Q_IS!Q150</f>
        <v>41</v>
      </c>
      <c r="N16" s="438">
        <f>Q_IS!U150</f>
        <v>4</v>
      </c>
      <c r="O16" s="438">
        <f>Q_IS!Y150</f>
        <v>16</v>
      </c>
      <c r="P16" s="438">
        <f>Q_IS!AC150</f>
        <v>19</v>
      </c>
      <c r="Q16" s="438">
        <f>Q_IS!AG150</f>
        <v>21</v>
      </c>
      <c r="R16" s="438">
        <f>Q_IS!AK150</f>
        <v>21</v>
      </c>
      <c r="S16" s="438">
        <f>Q_IS!AO150</f>
        <v>18</v>
      </c>
      <c r="T16" s="438">
        <f>Q_IS!AS150</f>
        <v>25</v>
      </c>
      <c r="U16" s="438">
        <f>Q_IS!AW150</f>
        <v>32</v>
      </c>
      <c r="V16" s="438">
        <f>Q_IS!BA150</f>
        <v>42</v>
      </c>
      <c r="W16" s="438">
        <f>Q_IS!BE150</f>
        <v>48</v>
      </c>
      <c r="X16" s="438">
        <f>Q_IS!BI150</f>
        <v>50</v>
      </c>
      <c r="Y16" s="447">
        <f>Q_IS!BM150</f>
        <v>49</v>
      </c>
      <c r="Z16" s="447">
        <f>Q_IS!BQ150</f>
        <v>58</v>
      </c>
      <c r="AA16" s="447">
        <f>Q_IS!BU150</f>
        <v>66</v>
      </c>
      <c r="AB16" s="447">
        <f>Q_IS!BY150</f>
        <v>74</v>
      </c>
      <c r="AC16" s="447">
        <f>Q_IS!CC150</f>
        <v>79</v>
      </c>
      <c r="AD16" s="447">
        <f>Q_IS!CG150</f>
        <v>84</v>
      </c>
      <c r="AE16" s="447">
        <f>Q_IS!CK150</f>
        <v>88</v>
      </c>
      <c r="AF16" s="447">
        <f>Q_IS!CO150</f>
        <v>93</v>
      </c>
      <c r="AG16" s="447">
        <f>Q_IS!CS150</f>
        <v>98</v>
      </c>
      <c r="AH16" s="447">
        <f>Q_IS!CW150</f>
        <v>102</v>
      </c>
      <c r="AI16" s="1568"/>
      <c r="AJ16" s="1128">
        <f t="shared" si="5"/>
        <v>0.1098883056567086</v>
      </c>
      <c r="AK16" s="1128">
        <f t="shared" si="0"/>
        <v>0.16039720840319482</v>
      </c>
      <c r="AL16" s="1127">
        <f t="shared" si="1"/>
        <v>0.16057691494799431</v>
      </c>
      <c r="AM16" s="1128">
        <f t="shared" si="2"/>
        <v>8.3706762661827083E-2</v>
      </c>
      <c r="AN16" s="1128">
        <f t="shared" si="3"/>
        <v>7.3897958414493869E-2</v>
      </c>
    </row>
    <row r="17" spans="1:42" collapsed="1">
      <c r="A17" s="43" t="s">
        <v>1252</v>
      </c>
      <c r="B17" s="1569"/>
      <c r="C17" s="967">
        <f t="shared" ref="C17:Z17" si="8">+C9-B9</f>
        <v>59</v>
      </c>
      <c r="D17" s="967">
        <f t="shared" si="8"/>
        <v>21</v>
      </c>
      <c r="E17" s="967">
        <f t="shared" si="8"/>
        <v>62</v>
      </c>
      <c r="F17" s="967">
        <f t="shared" si="8"/>
        <v>134</v>
      </c>
      <c r="G17" s="967">
        <f t="shared" si="8"/>
        <v>130</v>
      </c>
      <c r="H17" s="967">
        <f t="shared" si="8"/>
        <v>117</v>
      </c>
      <c r="I17" s="967">
        <f t="shared" si="8"/>
        <v>123</v>
      </c>
      <c r="J17" s="967">
        <f t="shared" si="8"/>
        <v>23</v>
      </c>
      <c r="K17" s="967">
        <f t="shared" si="8"/>
        <v>59</v>
      </c>
      <c r="L17" s="967">
        <f t="shared" si="8"/>
        <v>66</v>
      </c>
      <c r="M17" s="967">
        <f t="shared" si="8"/>
        <v>84</v>
      </c>
      <c r="N17" s="972">
        <f t="shared" si="8"/>
        <v>250</v>
      </c>
      <c r="O17" s="972">
        <f t="shared" si="8"/>
        <v>750</v>
      </c>
      <c r="P17" s="972">
        <f t="shared" si="8"/>
        <v>122</v>
      </c>
      <c r="Q17" s="972">
        <f t="shared" si="8"/>
        <v>219</v>
      </c>
      <c r="R17" s="972">
        <f t="shared" si="8"/>
        <v>214</v>
      </c>
      <c r="S17" s="972">
        <f t="shared" si="8"/>
        <v>231</v>
      </c>
      <c r="T17" s="972">
        <f t="shared" si="8"/>
        <v>472</v>
      </c>
      <c r="U17" s="972">
        <f t="shared" si="8"/>
        <v>-135</v>
      </c>
      <c r="V17" s="972">
        <f t="shared" si="8"/>
        <v>5</v>
      </c>
      <c r="W17" s="972">
        <f t="shared" si="8"/>
        <v>147</v>
      </c>
      <c r="X17" s="972">
        <f t="shared" si="8"/>
        <v>116</v>
      </c>
      <c r="Y17" s="1396">
        <f t="shared" si="8"/>
        <v>105</v>
      </c>
      <c r="Z17" s="1396">
        <f t="shared" si="8"/>
        <v>88</v>
      </c>
      <c r="AA17" s="1396">
        <f t="shared" ref="AA17:AB20" si="9">+AA9-Z9</f>
        <v>69</v>
      </c>
      <c r="AB17" s="1396">
        <f t="shared" si="9"/>
        <v>61</v>
      </c>
      <c r="AC17" s="1396">
        <f t="shared" ref="AC17:AE20" si="10">+AC9-AB9</f>
        <v>61</v>
      </c>
      <c r="AD17" s="1396">
        <f t="shared" si="10"/>
        <v>61</v>
      </c>
      <c r="AE17" s="1396">
        <f t="shared" si="10"/>
        <v>51</v>
      </c>
      <c r="AF17" s="1396">
        <f t="shared" ref="AF17:AF20" si="11">+AF9-AE9</f>
        <v>51</v>
      </c>
      <c r="AG17" s="1396">
        <f t="shared" ref="AG17:AG20" si="12">+AG9-AF9</f>
        <v>51</v>
      </c>
      <c r="AH17" s="1396">
        <f t="shared" ref="AH17:AH20" si="13">+AH9-AG9</f>
        <v>46</v>
      </c>
      <c r="AI17" s="1570"/>
      <c r="AJ17" s="1127">
        <f t="shared" si="5"/>
        <v>-2.0204571842626802</v>
      </c>
      <c r="AK17" s="1127">
        <f t="shared" si="0"/>
        <v>-1.9506954314282725</v>
      </c>
      <c r="AL17" s="1127">
        <f t="shared" si="1"/>
        <v>-0.18935651662222241</v>
      </c>
      <c r="AM17" s="1127">
        <f t="shared" si="2"/>
        <v>-4.0245298851542155E-2</v>
      </c>
      <c r="AN17" s="1127">
        <f t="shared" si="3"/>
        <v>-8.8346120888910251E-2</v>
      </c>
    </row>
    <row r="18" spans="1:42" hidden="1" outlineLevel="1">
      <c r="A18" s="42" t="s">
        <v>731</v>
      </c>
      <c r="B18" s="1571"/>
      <c r="C18" s="967">
        <f t="shared" ref="C18:Z18" si="14">+C10-B10</f>
        <v>59</v>
      </c>
      <c r="D18" s="967">
        <f t="shared" si="14"/>
        <v>21</v>
      </c>
      <c r="E18" s="967">
        <f t="shared" si="14"/>
        <v>62</v>
      </c>
      <c r="F18" s="967">
        <f t="shared" si="14"/>
        <v>134</v>
      </c>
      <c r="G18" s="967">
        <f t="shared" si="14"/>
        <v>80</v>
      </c>
      <c r="H18" s="967">
        <f t="shared" si="14"/>
        <v>106</v>
      </c>
      <c r="I18" s="967">
        <f t="shared" si="14"/>
        <v>86</v>
      </c>
      <c r="J18" s="967">
        <f t="shared" si="14"/>
        <v>5</v>
      </c>
      <c r="K18" s="967">
        <f t="shared" si="14"/>
        <v>37</v>
      </c>
      <c r="L18" s="967">
        <f t="shared" si="14"/>
        <v>32</v>
      </c>
      <c r="M18" s="967">
        <f t="shared" si="14"/>
        <v>48</v>
      </c>
      <c r="N18" s="967">
        <f t="shared" si="14"/>
        <v>175</v>
      </c>
      <c r="O18" s="967">
        <f t="shared" si="14"/>
        <v>404</v>
      </c>
      <c r="P18" s="967">
        <f t="shared" si="14"/>
        <v>62</v>
      </c>
      <c r="Q18" s="967">
        <f t="shared" si="14"/>
        <v>104</v>
      </c>
      <c r="R18" s="967">
        <f t="shared" si="14"/>
        <v>115</v>
      </c>
      <c r="S18" s="967">
        <f t="shared" si="14"/>
        <v>104</v>
      </c>
      <c r="T18" s="967">
        <f t="shared" si="14"/>
        <v>-1</v>
      </c>
      <c r="U18" s="967">
        <f t="shared" si="14"/>
        <v>-95</v>
      </c>
      <c r="V18" s="967">
        <f t="shared" si="14"/>
        <v>-32</v>
      </c>
      <c r="W18" s="967">
        <f t="shared" si="14"/>
        <v>44</v>
      </c>
      <c r="X18" s="967">
        <f t="shared" si="14"/>
        <v>18</v>
      </c>
      <c r="Y18" s="1397">
        <f t="shared" si="14"/>
        <v>49</v>
      </c>
      <c r="Z18" s="1397">
        <f t="shared" si="14"/>
        <v>51</v>
      </c>
      <c r="AA18" s="1397">
        <f t="shared" si="9"/>
        <v>42</v>
      </c>
      <c r="AB18" s="1397">
        <f t="shared" si="9"/>
        <v>35</v>
      </c>
      <c r="AC18" s="1397">
        <f t="shared" si="10"/>
        <v>35</v>
      </c>
      <c r="AD18" s="1397">
        <f t="shared" si="10"/>
        <v>35</v>
      </c>
      <c r="AE18" s="1397">
        <f t="shared" si="10"/>
        <v>29</v>
      </c>
      <c r="AF18" s="1397">
        <f t="shared" si="11"/>
        <v>29</v>
      </c>
      <c r="AG18" s="1397">
        <f t="shared" si="12"/>
        <v>29</v>
      </c>
      <c r="AH18" s="1397">
        <f t="shared" si="13"/>
        <v>28</v>
      </c>
      <c r="AI18" s="1570"/>
      <c r="AJ18" s="1128">
        <f t="shared" si="5"/>
        <v>-2.0890965521452962</v>
      </c>
      <c r="AK18" s="1128">
        <f t="shared" si="0"/>
        <v>-1.5743583862351338</v>
      </c>
      <c r="AL18" s="1127">
        <f t="shared" si="1"/>
        <v>-7.4179900227448581E-2</v>
      </c>
      <c r="AM18" s="1128">
        <f t="shared" si="2"/>
        <v>-5.8963971118971448E-2</v>
      </c>
      <c r="AN18" s="1128">
        <f t="shared" si="3"/>
        <v>4.5173891819142664E-2</v>
      </c>
    </row>
    <row r="19" spans="1:42" hidden="1" outlineLevel="1">
      <c r="A19" s="42" t="s">
        <v>949</v>
      </c>
      <c r="B19" s="1571"/>
      <c r="C19" s="967">
        <f t="shared" ref="C19:Z19" si="15">+C11-B11</f>
        <v>0</v>
      </c>
      <c r="D19" s="967">
        <f t="shared" si="15"/>
        <v>0</v>
      </c>
      <c r="E19" s="967">
        <f t="shared" si="15"/>
        <v>0</v>
      </c>
      <c r="F19" s="967">
        <f t="shared" si="15"/>
        <v>0</v>
      </c>
      <c r="G19" s="967">
        <f t="shared" si="15"/>
        <v>0</v>
      </c>
      <c r="H19" s="967">
        <f t="shared" si="15"/>
        <v>0</v>
      </c>
      <c r="I19" s="967">
        <f t="shared" si="15"/>
        <v>0</v>
      </c>
      <c r="J19" s="967">
        <f t="shared" si="15"/>
        <v>0</v>
      </c>
      <c r="K19" s="967">
        <f t="shared" si="15"/>
        <v>0</v>
      </c>
      <c r="L19" s="967">
        <f t="shared" si="15"/>
        <v>0</v>
      </c>
      <c r="M19" s="967">
        <f t="shared" si="15"/>
        <v>0</v>
      </c>
      <c r="N19" s="967">
        <f t="shared" si="15"/>
        <v>0</v>
      </c>
      <c r="O19" s="967">
        <f t="shared" si="15"/>
        <v>302</v>
      </c>
      <c r="P19" s="967">
        <f t="shared" si="15"/>
        <v>11</v>
      </c>
      <c r="Q19" s="967">
        <f t="shared" si="15"/>
        <v>31</v>
      </c>
      <c r="R19" s="967">
        <f t="shared" si="15"/>
        <v>37</v>
      </c>
      <c r="S19" s="967">
        <f t="shared" si="15"/>
        <v>39</v>
      </c>
      <c r="T19" s="967">
        <f t="shared" si="15"/>
        <v>468</v>
      </c>
      <c r="U19" s="967">
        <f t="shared" si="15"/>
        <v>-26</v>
      </c>
      <c r="V19" s="967">
        <f t="shared" si="15"/>
        <v>16</v>
      </c>
      <c r="W19" s="967">
        <f t="shared" si="15"/>
        <v>50</v>
      </c>
      <c r="X19" s="967">
        <f t="shared" si="15"/>
        <v>48</v>
      </c>
      <c r="Y19" s="1397">
        <f t="shared" si="15"/>
        <v>31</v>
      </c>
      <c r="Z19" s="1397">
        <f t="shared" si="15"/>
        <v>22</v>
      </c>
      <c r="AA19" s="1397">
        <f t="shared" si="9"/>
        <v>17</v>
      </c>
      <c r="AB19" s="1397">
        <f t="shared" si="9"/>
        <v>15</v>
      </c>
      <c r="AC19" s="1397">
        <f t="shared" si="10"/>
        <v>15</v>
      </c>
      <c r="AD19" s="1397">
        <f t="shared" si="10"/>
        <v>15</v>
      </c>
      <c r="AE19" s="1397">
        <f t="shared" si="10"/>
        <v>12</v>
      </c>
      <c r="AF19" s="1397">
        <f t="shared" si="11"/>
        <v>12</v>
      </c>
      <c r="AG19" s="1397">
        <f t="shared" si="12"/>
        <v>12</v>
      </c>
      <c r="AH19" s="1397">
        <f t="shared" si="13"/>
        <v>10</v>
      </c>
      <c r="AI19" s="1570"/>
      <c r="AJ19" s="1128">
        <f t="shared" si="5"/>
        <v>-2.1877256418249376</v>
      </c>
      <c r="AK19" s="1128">
        <f t="shared" si="0"/>
        <v>-2.2267497075930422</v>
      </c>
      <c r="AL19" s="1127">
        <f t="shared" si="1"/>
        <v>-0.25946836882264546</v>
      </c>
      <c r="AM19" s="1128">
        <f t="shared" si="2"/>
        <v>-4.0862703139747492E-2</v>
      </c>
      <c r="AN19" s="1128">
        <f t="shared" si="3"/>
        <v>-0.14517763493754876</v>
      </c>
    </row>
    <row r="20" spans="1:42" hidden="1" outlineLevel="1">
      <c r="A20" s="42" t="s">
        <v>733</v>
      </c>
      <c r="B20" s="1571"/>
      <c r="C20" s="967">
        <f t="shared" ref="C20:Z20" si="16">+C12-B12</f>
        <v>0</v>
      </c>
      <c r="D20" s="967">
        <f t="shared" si="16"/>
        <v>0</v>
      </c>
      <c r="E20" s="967">
        <f t="shared" si="16"/>
        <v>0</v>
      </c>
      <c r="F20" s="967">
        <f t="shared" si="16"/>
        <v>0</v>
      </c>
      <c r="G20" s="967">
        <f t="shared" si="16"/>
        <v>50</v>
      </c>
      <c r="H20" s="967">
        <f t="shared" si="16"/>
        <v>11</v>
      </c>
      <c r="I20" s="967">
        <f t="shared" si="16"/>
        <v>37</v>
      </c>
      <c r="J20" s="967">
        <f t="shared" si="16"/>
        <v>18</v>
      </c>
      <c r="K20" s="967">
        <f t="shared" si="16"/>
        <v>22</v>
      </c>
      <c r="L20" s="967">
        <f t="shared" si="16"/>
        <v>34</v>
      </c>
      <c r="M20" s="967">
        <f t="shared" si="16"/>
        <v>36</v>
      </c>
      <c r="N20" s="967">
        <f t="shared" si="16"/>
        <v>75</v>
      </c>
      <c r="O20" s="967">
        <f t="shared" si="16"/>
        <v>44</v>
      </c>
      <c r="P20" s="967">
        <f t="shared" si="16"/>
        <v>49</v>
      </c>
      <c r="Q20" s="967">
        <f t="shared" si="16"/>
        <v>84</v>
      </c>
      <c r="R20" s="967">
        <f t="shared" si="16"/>
        <v>62</v>
      </c>
      <c r="S20" s="967">
        <f t="shared" si="16"/>
        <v>88</v>
      </c>
      <c r="T20" s="967">
        <f t="shared" si="16"/>
        <v>5</v>
      </c>
      <c r="U20" s="967">
        <f t="shared" si="16"/>
        <v>-14</v>
      </c>
      <c r="V20" s="967">
        <f t="shared" si="16"/>
        <v>21</v>
      </c>
      <c r="W20" s="967">
        <f t="shared" si="16"/>
        <v>53</v>
      </c>
      <c r="X20" s="967">
        <f t="shared" si="16"/>
        <v>50</v>
      </c>
      <c r="Y20" s="1397">
        <f t="shared" si="16"/>
        <v>25</v>
      </c>
      <c r="Z20" s="1397">
        <f t="shared" si="16"/>
        <v>15</v>
      </c>
      <c r="AA20" s="1397">
        <f t="shared" si="9"/>
        <v>10</v>
      </c>
      <c r="AB20" s="1397">
        <f t="shared" si="9"/>
        <v>11</v>
      </c>
      <c r="AC20" s="1397">
        <f t="shared" si="10"/>
        <v>11</v>
      </c>
      <c r="AD20" s="1397">
        <f t="shared" si="10"/>
        <v>11</v>
      </c>
      <c r="AE20" s="1397">
        <f t="shared" si="10"/>
        <v>10</v>
      </c>
      <c r="AF20" s="1397">
        <f t="shared" si="11"/>
        <v>10</v>
      </c>
      <c r="AG20" s="1397">
        <f t="shared" si="12"/>
        <v>10</v>
      </c>
      <c r="AH20" s="1397">
        <f t="shared" si="13"/>
        <v>8</v>
      </c>
      <c r="AI20" s="1570"/>
      <c r="AJ20" s="1128">
        <f t="shared" si="5"/>
        <v>-1.7783705415511708</v>
      </c>
      <c r="AK20" s="1128">
        <f t="shared" si="0"/>
        <v>-2.5285535436643993</v>
      </c>
      <c r="AL20" s="1127">
        <f t="shared" si="1"/>
        <v>-0.36754446796632412</v>
      </c>
      <c r="AM20" s="1128">
        <f t="shared" si="2"/>
        <v>3.228011545636722E-2</v>
      </c>
      <c r="AN20" s="1128">
        <f t="shared" si="3"/>
        <v>-0.16744679259812689</v>
      </c>
    </row>
    <row r="21" spans="1:42" collapsed="1">
      <c r="A21" s="43" t="s">
        <v>760</v>
      </c>
      <c r="B21" s="1572">
        <f t="shared" ref="B21:I21" si="17">B36/B9</f>
        <v>8.7443604240282689</v>
      </c>
      <c r="C21" s="1572">
        <f t="shared" si="17"/>
        <v>7.6839649122807021</v>
      </c>
      <c r="D21" s="1572">
        <f t="shared" si="17"/>
        <v>7.9104435261707993</v>
      </c>
      <c r="E21" s="1572">
        <f t="shared" si="17"/>
        <v>8.7261035294117644</v>
      </c>
      <c r="F21" s="1572">
        <f t="shared" si="17"/>
        <v>8.3457960644007159</v>
      </c>
      <c r="G21" s="1572">
        <f t="shared" si="17"/>
        <v>8.7466531204644422</v>
      </c>
      <c r="H21" s="1572">
        <f t="shared" si="17"/>
        <v>8.6667531017369726</v>
      </c>
      <c r="I21" s="1572">
        <f t="shared" si="17"/>
        <v>8.3819623250807318</v>
      </c>
      <c r="J21" s="1511">
        <f t="shared" ref="J21:Z21" si="18">J43/J9</f>
        <v>7.7902450145758877</v>
      </c>
      <c r="K21" s="1511">
        <f t="shared" si="18"/>
        <v>7.8071224134417063</v>
      </c>
      <c r="L21" s="1511">
        <f t="shared" si="18"/>
        <v>8.6056821918270696</v>
      </c>
      <c r="M21" s="1511">
        <f t="shared" si="18"/>
        <v>10.268132693674076</v>
      </c>
      <c r="N21" s="1511">
        <f t="shared" si="18"/>
        <v>10.098705772420976</v>
      </c>
      <c r="O21" s="1511">
        <f t="shared" si="18"/>
        <v>9.8160616510396626</v>
      </c>
      <c r="P21" s="1511">
        <f t="shared" si="18"/>
        <v>11.011442736576171</v>
      </c>
      <c r="Q21" s="1511">
        <f t="shared" si="18"/>
        <v>11.784556795352522</v>
      </c>
      <c r="R21" s="1511">
        <f t="shared" si="18"/>
        <v>12.70416836598498</v>
      </c>
      <c r="S21" s="1511">
        <f t="shared" si="18"/>
        <v>14.831108701315719</v>
      </c>
      <c r="T21" s="1511">
        <f>T43/T9</f>
        <v>16.526011687415455</v>
      </c>
      <c r="U21" s="1511">
        <f t="shared" si="18"/>
        <v>11.378650635125464</v>
      </c>
      <c r="V21" s="1511">
        <f t="shared" si="18"/>
        <v>15.883420563966551</v>
      </c>
      <c r="W21" s="1511">
        <f t="shared" si="18"/>
        <v>19.647487200777157</v>
      </c>
      <c r="X21" s="1511">
        <f t="shared" ref="X21" si="19">X43/X9</f>
        <v>20.763782431595924</v>
      </c>
      <c r="Y21" s="1573">
        <f t="shared" si="18"/>
        <v>20.707182144185865</v>
      </c>
      <c r="Z21" s="1573">
        <f t="shared" si="18"/>
        <v>22.110341503827534</v>
      </c>
      <c r="AA21" s="1573">
        <f t="shared" ref="AA21:AE22" si="20">AA43/AA9</f>
        <v>23.17169334440057</v>
      </c>
      <c r="AB21" s="1573">
        <f t="shared" si="20"/>
        <v>24.125472037724947</v>
      </c>
      <c r="AC21" s="1573">
        <f t="shared" si="20"/>
        <v>24.981833054576597</v>
      </c>
      <c r="AD21" s="1573">
        <f t="shared" si="20"/>
        <v>25.869379641216852</v>
      </c>
      <c r="AE21" s="1573">
        <f t="shared" si="20"/>
        <v>26.829365316401407</v>
      </c>
      <c r="AF21" s="1573">
        <f t="shared" ref="AF21:AH21" si="21">AF43/AF9</f>
        <v>27.795100978804342</v>
      </c>
      <c r="AG21" s="1573">
        <f t="shared" si="21"/>
        <v>28.796484251763427</v>
      </c>
      <c r="AH21" s="1573">
        <f t="shared" si="21"/>
        <v>29.868628076395627</v>
      </c>
      <c r="AI21" s="1570"/>
      <c r="AJ21" s="1127">
        <f t="shared" si="5"/>
        <v>6.5823425004154501E-3</v>
      </c>
      <c r="AK21" s="1127">
        <f t="shared" si="0"/>
        <v>0.22200195895013231</v>
      </c>
      <c r="AL21" s="1127">
        <f t="shared" si="1"/>
        <v>5.7836101415930985E-2</v>
      </c>
      <c r="AM21" s="1127">
        <f t="shared" si="2"/>
        <v>3.7391648269030187E-2</v>
      </c>
      <c r="AN21" s="1127">
        <f t="shared" si="3"/>
        <v>3.7028950242662173E-2</v>
      </c>
    </row>
    <row r="22" spans="1:42" hidden="1" outlineLevel="1">
      <c r="A22" s="42" t="str">
        <f>A6</f>
        <v>Mexico</v>
      </c>
      <c r="B22" s="610">
        <f t="shared" ref="B22:I22" si="22">B38/B10</f>
        <v>8.7443604240282689</v>
      </c>
      <c r="C22" s="610">
        <f t="shared" si="22"/>
        <v>7.6842105263157894</v>
      </c>
      <c r="D22" s="610">
        <f t="shared" si="22"/>
        <v>7.9090909090909092</v>
      </c>
      <c r="E22" s="610">
        <f t="shared" si="22"/>
        <v>11</v>
      </c>
      <c r="F22" s="610">
        <f t="shared" si="22"/>
        <v>10.067978533094813</v>
      </c>
      <c r="G22" s="610">
        <f t="shared" si="22"/>
        <v>11.073552425665103</v>
      </c>
      <c r="H22" s="610">
        <f t="shared" si="22"/>
        <v>10.748993288590604</v>
      </c>
      <c r="I22" s="610">
        <f t="shared" si="22"/>
        <v>10.462214199759327</v>
      </c>
      <c r="J22" s="610">
        <f t="shared" ref="J22:Z22" si="23">J44/J10</f>
        <v>7.2153110047846889</v>
      </c>
      <c r="K22" s="610">
        <f t="shared" si="23"/>
        <v>7.0002290950744568</v>
      </c>
      <c r="L22" s="610">
        <f t="shared" si="23"/>
        <v>7.6131701657458564</v>
      </c>
      <c r="M22" s="610">
        <f t="shared" si="23"/>
        <v>8.9584669464847835</v>
      </c>
      <c r="N22" s="610">
        <f t="shared" si="23"/>
        <v>8.9112074468085112</v>
      </c>
      <c r="O22" s="610">
        <f t="shared" si="23"/>
        <v>9.8949027415143611</v>
      </c>
      <c r="P22" s="610">
        <f t="shared" si="23"/>
        <v>8.0820922208281054</v>
      </c>
      <c r="Q22" s="610">
        <f t="shared" si="23"/>
        <v>8.2098127208480562</v>
      </c>
      <c r="R22" s="610">
        <f t="shared" si="23"/>
        <v>8.7364655267512408</v>
      </c>
      <c r="S22" s="610">
        <f t="shared" si="23"/>
        <v>12.428149713093374</v>
      </c>
      <c r="T22" s="610">
        <f>T44/T10</f>
        <v>13.615288622129434</v>
      </c>
      <c r="U22" s="610">
        <f t="shared" si="23"/>
        <v>10.041501372872048</v>
      </c>
      <c r="V22" s="610">
        <f t="shared" si="23"/>
        <v>14.185298490776971</v>
      </c>
      <c r="W22" s="610">
        <f t="shared" si="23"/>
        <v>17.879829241680305</v>
      </c>
      <c r="X22" s="610">
        <f t="shared" ref="X22" si="24">X44/X10</f>
        <v>20.264267963263102</v>
      </c>
      <c r="Y22" s="1574">
        <f t="shared" si="23"/>
        <v>21.506897585490705</v>
      </c>
      <c r="Z22" s="1574">
        <f t="shared" si="23"/>
        <v>22.11526459618462</v>
      </c>
      <c r="AA22" s="1574">
        <f t="shared" si="20"/>
        <v>22.898670907243105</v>
      </c>
      <c r="AB22" s="1574">
        <f t="shared" si="20"/>
        <v>23.722831645448004</v>
      </c>
      <c r="AC22" s="1574">
        <f t="shared" si="20"/>
        <v>24.305225672167232</v>
      </c>
      <c r="AD22" s="1574">
        <f t="shared" si="20"/>
        <v>24.903219248216953</v>
      </c>
      <c r="AE22" s="1574">
        <f t="shared" si="20"/>
        <v>25.566886946723688</v>
      </c>
      <c r="AF22" s="1574">
        <f t="shared" ref="AF22:AH22" si="25">AF44/AF10</f>
        <v>26.211663207636843</v>
      </c>
      <c r="AG22" s="1574">
        <f t="shared" si="25"/>
        <v>26.873603110604016</v>
      </c>
      <c r="AH22" s="1574">
        <f t="shared" si="25"/>
        <v>27.564294469715531</v>
      </c>
      <c r="AI22" s="1570"/>
      <c r="AJ22" s="1128">
        <f t="shared" si="5"/>
        <v>4.4371399657326061E-2</v>
      </c>
      <c r="AK22" s="1128">
        <f t="shared" si="0"/>
        <v>0.26370030188176052</v>
      </c>
      <c r="AL22" s="1128">
        <f t="shared" si="1"/>
        <v>3.1849253437452374E-2</v>
      </c>
      <c r="AM22" s="1128">
        <f t="shared" si="2"/>
        <v>2.8367648097672449E-2</v>
      </c>
      <c r="AN22" s="1128">
        <f t="shared" si="3"/>
        <v>3.1244383175431656E-2</v>
      </c>
    </row>
    <row r="23" spans="1:42" hidden="1" outlineLevel="1">
      <c r="A23" s="42" t="str">
        <f>A7</f>
        <v>Europe</v>
      </c>
      <c r="B23" s="438" t="str">
        <f t="shared" ref="B23:I23" si="26">IF(ISERROR(B39/B7),"NM",B39/B7)</f>
        <v>NM</v>
      </c>
      <c r="C23" s="438" t="str">
        <f t="shared" si="26"/>
        <v>NM</v>
      </c>
      <c r="D23" s="438" t="str">
        <f t="shared" si="26"/>
        <v>NM</v>
      </c>
      <c r="E23" s="438" t="str">
        <f t="shared" si="26"/>
        <v>NM</v>
      </c>
      <c r="F23" s="438" t="str">
        <f t="shared" si="26"/>
        <v>NM</v>
      </c>
      <c r="G23" s="438" t="str">
        <f t="shared" si="26"/>
        <v>NM</v>
      </c>
      <c r="H23" s="438" t="str">
        <f t="shared" si="26"/>
        <v>NM</v>
      </c>
      <c r="I23" s="438" t="str">
        <f t="shared" si="26"/>
        <v>NM</v>
      </c>
      <c r="J23" s="438" t="str">
        <f t="shared" ref="J23:Z23" si="27">IF(ISERROR(J45/J11),"NM",J45/J11)</f>
        <v>NM</v>
      </c>
      <c r="K23" s="438" t="str">
        <f t="shared" si="27"/>
        <v>NM</v>
      </c>
      <c r="L23" s="438" t="str">
        <f t="shared" si="27"/>
        <v>NM</v>
      </c>
      <c r="M23" s="610" t="str">
        <f t="shared" si="27"/>
        <v>NM</v>
      </c>
      <c r="N23" s="610" t="str">
        <f t="shared" si="27"/>
        <v>NM</v>
      </c>
      <c r="O23" s="610">
        <f t="shared" si="27"/>
        <v>4.7615958481998053</v>
      </c>
      <c r="P23" s="610">
        <f t="shared" si="27"/>
        <v>17.741467954900582</v>
      </c>
      <c r="Q23" s="610">
        <f t="shared" si="27"/>
        <v>21.61944251530355</v>
      </c>
      <c r="R23" s="610">
        <f t="shared" si="27"/>
        <v>22.050724993631402</v>
      </c>
      <c r="S23" s="610">
        <f t="shared" si="27"/>
        <v>23.103154590079431</v>
      </c>
      <c r="T23" s="610">
        <f>IF(ISERROR(T45/T11),"NM",T45/T11)</f>
        <v>23.308689842247077</v>
      </c>
      <c r="U23" s="610">
        <f t="shared" si="27"/>
        <v>15.667476604444849</v>
      </c>
      <c r="V23" s="610">
        <f t="shared" si="27"/>
        <v>20.415123119621477</v>
      </c>
      <c r="W23" s="610">
        <f t="shared" si="27"/>
        <v>23.04809144753866</v>
      </c>
      <c r="X23" s="610">
        <f t="shared" ref="X23" si="28">IF(ISERROR(X45/X11),"NM",X45/X11)</f>
        <v>22.930954127181923</v>
      </c>
      <c r="Y23" s="1574">
        <f t="shared" si="27"/>
        <v>23.275597362125197</v>
      </c>
      <c r="Z23" s="1574">
        <f t="shared" si="27"/>
        <v>26.475775431986204</v>
      </c>
      <c r="AA23" s="1574">
        <f>IF(ISERROR(AA45/AA11),"NM",AA45/AA11)</f>
        <v>28.444483824040628</v>
      </c>
      <c r="AB23" s="1574">
        <f>IF(ISERROR(AB45/AB11),"NM",AB45/AB11)</f>
        <v>30.298973899364444</v>
      </c>
      <c r="AC23" s="1574">
        <f>IF(ISERROR(AC45/AC11),"NM",AC45/AC11)</f>
        <v>32.174378856650236</v>
      </c>
      <c r="AD23" s="1574">
        <f>IF(ISERROR(AD45/AD11),"NM",AD45/AD11)</f>
        <v>34.138580096370951</v>
      </c>
      <c r="AE23" s="1574">
        <f>IF(ISERROR(AE45/AE11),"NM",AE45/AE11)</f>
        <v>36.242580589052089</v>
      </c>
      <c r="AF23" s="1574">
        <f t="shared" ref="AF23:AH23" si="29">IF(ISERROR(AF45/AF11),"NM",AF45/AF11)</f>
        <v>38.419387127728626</v>
      </c>
      <c r="AG23" s="1574">
        <f t="shared" si="29"/>
        <v>40.701864550540755</v>
      </c>
      <c r="AH23" s="1574">
        <f t="shared" si="29"/>
        <v>43.16198025200147</v>
      </c>
      <c r="AI23" s="1570"/>
      <c r="AJ23" s="1128">
        <f t="shared" si="5"/>
        <v>-2.4556990421347513E-2</v>
      </c>
      <c r="AK23" s="1128">
        <f t="shared" si="0"/>
        <v>0.13537943480334169</v>
      </c>
      <c r="AL23" s="1128">
        <f t="shared" si="1"/>
        <v>0.10547419832873617</v>
      </c>
      <c r="AM23" s="1128">
        <f t="shared" si="2"/>
        <v>6.2712524388118362E-2</v>
      </c>
      <c r="AN23" s="1128">
        <f t="shared" si="3"/>
        <v>6.52901799183081E-2</v>
      </c>
    </row>
    <row r="24" spans="1:42" hidden="1" outlineLevel="1">
      <c r="A24" s="42" t="str">
        <f>A8</f>
        <v>South America</v>
      </c>
      <c r="B24" s="610" t="s">
        <v>1299</v>
      </c>
      <c r="C24" s="610" t="s">
        <v>1299</v>
      </c>
      <c r="D24" s="610" t="s">
        <v>1299</v>
      </c>
      <c r="E24" s="610" t="s">
        <v>1299</v>
      </c>
      <c r="F24" s="610" t="s">
        <v>1299</v>
      </c>
      <c r="G24" s="610" t="s">
        <v>1299</v>
      </c>
      <c r="H24" s="610" t="s">
        <v>1299</v>
      </c>
      <c r="I24" s="610" t="s">
        <v>1299</v>
      </c>
      <c r="J24" s="610">
        <f t="shared" ref="J24:Z24" si="30">J46/J12</f>
        <v>11.933734947209006</v>
      </c>
      <c r="K24" s="610">
        <f t="shared" si="30"/>
        <v>12.911599710069305</v>
      </c>
      <c r="L24" s="610">
        <f t="shared" si="30"/>
        <v>13.827911166266013</v>
      </c>
      <c r="M24" s="610">
        <f t="shared" si="30"/>
        <v>16.268668544978865</v>
      </c>
      <c r="N24" s="610">
        <f t="shared" si="30"/>
        <v>14.831914646240275</v>
      </c>
      <c r="O24" s="610">
        <f t="shared" si="30"/>
        <v>14.114728690337516</v>
      </c>
      <c r="P24" s="610">
        <f t="shared" si="30"/>
        <v>17.827631110956158</v>
      </c>
      <c r="Q24" s="610">
        <f t="shared" si="30"/>
        <v>17.625241036320851</v>
      </c>
      <c r="R24" s="610">
        <f t="shared" si="30"/>
        <v>19.662802795865222</v>
      </c>
      <c r="S24" s="610">
        <f t="shared" si="30"/>
        <v>16.687195762203377</v>
      </c>
      <c r="T24" s="610">
        <f>T46/T12</f>
        <v>15.800690047736646</v>
      </c>
      <c r="U24" s="610">
        <f t="shared" si="30"/>
        <v>9.2787851126798078</v>
      </c>
      <c r="V24" s="610">
        <f t="shared" si="30"/>
        <v>14.370728514241682</v>
      </c>
      <c r="W24" s="610">
        <f t="shared" si="30"/>
        <v>19.772459494154706</v>
      </c>
      <c r="X24" s="610">
        <f t="shared" ref="X24" si="31">X46/X12</f>
        <v>19.121633060550586</v>
      </c>
      <c r="Y24" s="1574">
        <f t="shared" si="30"/>
        <v>15.232710860260394</v>
      </c>
      <c r="Z24" s="1574">
        <f t="shared" si="30"/>
        <v>16.225849392371387</v>
      </c>
      <c r="AA24" s="1574">
        <f>AA46/AA12</f>
        <v>16.757235119305488</v>
      </c>
      <c r="AB24" s="1574">
        <f>AB46/AB12</f>
        <v>16.830903641208568</v>
      </c>
      <c r="AC24" s="1574">
        <f>AC46/AC12</f>
        <v>17.022813916407564</v>
      </c>
      <c r="AD24" s="1574">
        <f>AD46/AD12</f>
        <v>17.212581136192931</v>
      </c>
      <c r="AE24" s="1574">
        <f>AE46/AE12</f>
        <v>17.419237011475754</v>
      </c>
      <c r="AF24" s="1574">
        <f t="shared" ref="AF24:AH24" si="32">AF46/AF12</f>
        <v>17.611299986759118</v>
      </c>
      <c r="AG24" s="1574">
        <f t="shared" si="32"/>
        <v>17.799028042588318</v>
      </c>
      <c r="AH24" s="1574">
        <f t="shared" si="32"/>
        <v>18.03050614722212</v>
      </c>
      <c r="AI24" s="1570"/>
      <c r="AJ24" s="1128">
        <f t="shared" si="5"/>
        <v>-0.12243459247839072</v>
      </c>
      <c r="AK24" s="1128">
        <f t="shared" si="0"/>
        <v>0.27255908062772116</v>
      </c>
      <c r="AL24" s="1128">
        <f t="shared" si="1"/>
        <v>4.8848067428715058E-2</v>
      </c>
      <c r="AM24" s="1128">
        <f t="shared" si="2"/>
        <v>8.9768744202900486E-3</v>
      </c>
      <c r="AN24" s="1128">
        <f t="shared" si="3"/>
        <v>-5.8582934617898985E-3</v>
      </c>
    </row>
    <row r="25" spans="1:42" collapsed="1">
      <c r="A25" s="93" t="s">
        <v>767</v>
      </c>
      <c r="B25" s="1569"/>
      <c r="C25" s="1569"/>
      <c r="D25" s="1569"/>
      <c r="E25" s="1569"/>
      <c r="F25" s="1569"/>
      <c r="G25" s="1569"/>
      <c r="H25" s="1569"/>
      <c r="I25" s="1569"/>
      <c r="J25" s="1512">
        <v>-3.6999999999999998E-2</v>
      </c>
      <c r="K25" s="1512">
        <f>IS!D369</f>
        <v>3.7999999999999999E-2</v>
      </c>
      <c r="L25" s="1512">
        <f>IS!E369</f>
        <v>0.122</v>
      </c>
      <c r="M25" s="1512">
        <f>IS!F369</f>
        <v>0.105</v>
      </c>
      <c r="N25" s="1512">
        <f>IS!G369</f>
        <v>0.08</v>
      </c>
      <c r="O25" s="1512">
        <f>IS!H369</f>
        <v>4.4999999999999998E-2</v>
      </c>
      <c r="P25" s="1512">
        <f>IS!I369</f>
        <v>0.104</v>
      </c>
      <c r="Q25" s="1512">
        <f>IS!J369</f>
        <v>8.8999999999999996E-2</v>
      </c>
      <c r="R25" s="1512">
        <f>IS!K369</f>
        <v>6.6000000000000003E-2</v>
      </c>
      <c r="S25" s="1575">
        <f>IS!L369</f>
        <v>4.9000000000000002E-2</v>
      </c>
      <c r="T25" s="1575">
        <f>IS!M369</f>
        <v>5.0999999999999997E-2</v>
      </c>
      <c r="U25" s="1575">
        <f>IS!N369</f>
        <v>-0.23</v>
      </c>
      <c r="V25" s="1575">
        <f>IS!O369</f>
        <v>0.307</v>
      </c>
      <c r="W25" s="1575">
        <f>(Q_IS!BB245/W36)*Q_IS!BB247+(Q_IS!BC245/W36)*Q_IS!BC247+(Q_IS!BD245/W36)*Q_IS!BD247+(Q_IS!BE245/W36)*Q_IS!BE247</f>
        <v>0.35870779740410264</v>
      </c>
      <c r="X25" s="1575">
        <f>(Q_IS!BH245/X36)*Q_IS!BH247+(Q_IS!BF245/X36)*Q_IS!BF247+(Q_IS!BG245/X36)*Q_IS!BG247+(Q_IS!BI245/X36)*Q_IS!BI247</f>
        <v>0.18932600635373661</v>
      </c>
      <c r="Y25" s="1576">
        <f>(Q_IS!BJ245/Y36)*Q_IS!BJ247+(Q_IS!BK245/Y36)*Q_IS!BK247+(Q_IS!BL245/Y36)*Q_IS!BL247+(Q_IS!BM245/Y36)*Q_IS!BM247</f>
        <v>9.4324838023244179E-2</v>
      </c>
      <c r="Z25" s="1576">
        <f>(Q_IS!BN245/Z36)*Q_IS!BN247+(Q_IS!BO245/Z36)*Q_IS!BO247+(Q_IS!BP245/Z36)*Q_IS!BP247+(Q_IS!BQ245/Z36)*Q_IS!BQ247</f>
        <v>5.3256384283964037E-2</v>
      </c>
      <c r="AA25" s="1576">
        <f>(Q_IS!BU245/AA36)*Q_IS!BU247+(Q_IS!BT245/AA36)*Q_IS!BT247+(Q_IS!BS245/AA36)*Q_IS!BS247+(Q_IS!BR245/AA36)*Q_IS!BR247</f>
        <v>4.5537668816271394E-2</v>
      </c>
      <c r="AB25" s="1576">
        <f>(Q_IS!BV245/AB36)*Q_IS!BV247+(Q_IS!BW245/AB36)*Q_IS!BW247+(Q_IS!BX245/AB36)*Q_IS!BX247+(Q_IS!BY245/AB36)*Q_IS!BY247</f>
        <v>4.1543319079351881E-2</v>
      </c>
      <c r="AC25" s="1576">
        <f>(Q_IS!CC245/AC36)*Q_IS!CC247+(Q_IS!CB245/AC36)*Q_IS!CB247+(Q_IS!CA245/AC36)*Q_IS!CA247+(Q_IS!BZ245/AC36)*Q_IS!BZ247</f>
        <v>3.672410905885181E-2</v>
      </c>
      <c r="AD25" s="1576">
        <f>(Q_IS!CD245/AD36)*Q_IS!CD247+(Q_IS!CE245/AD36)*Q_IS!CE247+(Q_IS!CF245/AD36)*Q_IS!CF247+(Q_IS!CG245/AD36)*Q_IS!CG247</f>
        <v>3.6277820422093335E-2</v>
      </c>
      <c r="AE25" s="1576">
        <f>(Q_IS!CK245/AE36)*Q_IS!CK247+(Q_IS!CJ245/AE36)*Q_IS!CJ247+(Q_IS!CI245/AE36)*Q_IS!CI247+(Q_IS!CH245/AE36)*Q_IS!CH247</f>
        <v>3.5852893734396235E-2</v>
      </c>
      <c r="AF25" s="1576">
        <f>(Q_IS!CO245/AF36)*Q_IS!CO247+(Q_IS!CN245/AF36)*Q_IS!CN247+(Q_IS!CM245/AF36)*Q_IS!CM247+(Q_IS!CL245/AF36)*Q_IS!CL247</f>
        <v>3.5468293413223273E-2</v>
      </c>
      <c r="AG25" s="1576">
        <f>(Q_IS!CS245/AG36)*Q_IS!CS247+(Q_IS!CR245/AG36)*Q_IS!CR247+(Q_IS!CQ245/AG36)*Q_IS!CQ247+(Q_IS!CP245/AG36)*Q_IS!CP247</f>
        <v>3.5053135521949587E-2</v>
      </c>
      <c r="AH25" s="1576">
        <f>(Q_IS!CW245/AH36)*Q_IS!CW247+(Q_IS!CV245/AH36)*Q_IS!CV247+(Q_IS!CU245/AH36)*Q_IS!CU247+(Q_IS!CT245/AH36)*Q_IS!CT247</f>
        <v>3.4722122744526053E-2</v>
      </c>
      <c r="AI25" s="1570"/>
      <c r="AJ25" s="1127"/>
      <c r="AK25" s="1127"/>
      <c r="AL25" s="1127"/>
      <c r="AM25" s="1127"/>
      <c r="AN25" s="1127"/>
    </row>
    <row r="26" spans="1:42">
      <c r="A26" s="42" t="s">
        <v>731</v>
      </c>
      <c r="B26" s="1571"/>
      <c r="C26" s="1571"/>
      <c r="D26" s="1571"/>
      <c r="E26" s="1571"/>
      <c r="F26" s="1571"/>
      <c r="G26" s="1571"/>
      <c r="H26" s="1571"/>
      <c r="I26" s="1571"/>
      <c r="J26" s="649" t="s">
        <v>750</v>
      </c>
      <c r="K26" s="649" t="s">
        <v>750</v>
      </c>
      <c r="L26" s="649" t="s">
        <v>750</v>
      </c>
      <c r="M26" s="649" t="s">
        <v>750</v>
      </c>
      <c r="N26" s="1141">
        <f>IS!G370</f>
        <v>0.04</v>
      </c>
      <c r="O26" s="1141">
        <f>IS!H370</f>
        <v>-4.0000000000000001E-3</v>
      </c>
      <c r="P26" s="1141">
        <f>IS!I370</f>
        <v>4.3999999999999997E-2</v>
      </c>
      <c r="Q26" s="1141">
        <f>IS!J370</f>
        <v>5.8999999999999997E-2</v>
      </c>
      <c r="R26" s="1141">
        <f>IS!K370</f>
        <v>3.1E-2</v>
      </c>
      <c r="S26" s="1577">
        <f>IS!L370</f>
        <v>0.04</v>
      </c>
      <c r="T26" s="1577">
        <f>IS!M370</f>
        <v>3.4000000000000002E-2</v>
      </c>
      <c r="U26" s="1577">
        <f>IS!N370</f>
        <v>-0.23</v>
      </c>
      <c r="V26" s="1577">
        <f>IS!O370</f>
        <v>0.34300000000000003</v>
      </c>
      <c r="W26" s="1577">
        <f>(Q_IS!BB38/W38)*Q_IS!BB45+(Q_IS!BC38/W38)*Q_IS!BC45+(Q_IS!BD38/W38)*Q_IS!BD45+(Q_IS!BE38/W38)*Q_IS!BE45</f>
        <v>0.27128725947173421</v>
      </c>
      <c r="X26" s="1577">
        <f>(Q_IS!BH38/X38)*Q_IS!BH45+(Q_IS!BF38/X38)*Q_IS!BF45+(Q_IS!BG38/X38)*Q_IS!BG45+(Q_IS!BI38/X38)*Q_IS!BI45</f>
        <v>0.15443653132781138</v>
      </c>
      <c r="Y26" s="1578">
        <f>(Q_IS!BJ38/Y38)*Q_IS!BJ45+(Q_IS!BK38/Y38)*Q_IS!BK45+(Q_IS!BL38/Y38)*Q_IS!BL45+(Q_IS!BM38/Y38)*Q_IS!BM45</f>
        <v>6.5306215313657767E-2</v>
      </c>
      <c r="Z26" s="1578">
        <f>(Q_IS!BN38/Z38)*Q_IS!BN45+(Q_IS!BO38/Z38)*Q_IS!BO45+(Q_IS!BP38/Z38)*Q_IS!BP45+(Q_IS!BQ38/Z38)*Q_IS!BQ45</f>
        <v>3.8466053076892298E-2</v>
      </c>
      <c r="AA26" s="1578">
        <f>(Q_IS!BU38/AA38)*Q_IS!BU45+(Q_IS!BT38/AA38)*Q_IS!BT45+(Q_IS!BS38/AA38)*Q_IS!BS45+(Q_IS!BR38/AA38)*Q_IS!BR45</f>
        <v>3.7499827374370118E-2</v>
      </c>
      <c r="AB26" s="1578">
        <f>(Q_IS!BV38/AB38)*Q_IS!BV45+(Q_IS!BW38/AB38)*Q_IS!BW45+(Q_IS!BX38/AB38)*Q_IS!BX45+(Q_IS!BY38/AB38)*Q_IS!BY45</f>
        <v>3.7499827374370125E-2</v>
      </c>
      <c r="AC26" s="1578">
        <f>(Q_IS!CC38/AC38)*Q_IS!CC45+(Q_IS!CB38/AC38)*Q_IS!CB45+(Q_IS!CA38/AC38)*Q_IS!CA45+(Q_IS!BZ38/AC38)*Q_IS!BZ45</f>
        <v>2.7899827374370113E-2</v>
      </c>
      <c r="AD26" s="1578">
        <f>(Q_IS!CD38/AD38)*Q_IS!CD45+(Q_IS!CE38/AD38)*Q_IS!CE45+(Q_IS!CF38/AD38)*Q_IS!CF45+(Q_IS!CG38/AD38)*Q_IS!CG45</f>
        <v>2.7899827374370113E-2</v>
      </c>
      <c r="AE26" s="1578">
        <f>(Q_IS!CK38/AE38)*Q_IS!CK45+(Q_IS!CJ38/AE38)*Q_IS!CJ45+(Q_IS!CI38/AE38)*Q_IS!CI45+(Q_IS!CH38/AE38)*Q_IS!CH45</f>
        <v>2.7899827374370113E-2</v>
      </c>
      <c r="AF26" s="1578">
        <f>(Q_IS!CO38/AF38)*Q_IS!CO45+(Q_IS!CN38/AF38)*Q_IS!CN45+(Q_IS!CM38/AF38)*Q_IS!CM45+(Q_IS!CN38/AF38)*Q_IS!CN45</f>
        <v>2.8235660979418355E-2</v>
      </c>
      <c r="AG26" s="1578">
        <f>(Q_IS!CS38/AG38)*Q_IS!CS45+(Q_IS!CR38/AG38)*Q_IS!CR45+(Q_IS!CQ38/AG38)*Q_IS!CQ45+(Q_IS!CP38/AG38)*Q_IS!CP45</f>
        <v>2.7899827374370113E-2</v>
      </c>
      <c r="AH26" s="1578">
        <f>(Q_IS!CW38/AH38)*Q_IS!CW45+(Q_IS!CV38/AH38)*Q_IS!CV45+(Q_IS!CU38/AH38)*Q_IS!CU45+(Q_IS!CT38/AH38)*Q_IS!CT45</f>
        <v>2.7899827374370113E-2</v>
      </c>
      <c r="AI26" s="1570"/>
      <c r="AJ26" s="1128"/>
      <c r="AK26" s="1128"/>
      <c r="AL26" s="1128"/>
      <c r="AM26" s="1128"/>
      <c r="AN26" s="1128"/>
    </row>
    <row r="27" spans="1:42">
      <c r="A27" s="42" t="s">
        <v>949</v>
      </c>
      <c r="B27" s="1571"/>
      <c r="C27" s="1571"/>
      <c r="D27" s="1571"/>
      <c r="E27" s="1571"/>
      <c r="F27" s="1571"/>
      <c r="G27" s="1571"/>
      <c r="H27" s="1571"/>
      <c r="I27" s="1571"/>
      <c r="J27" s="649" t="s">
        <v>750</v>
      </c>
      <c r="K27" s="649" t="s">
        <v>750</v>
      </c>
      <c r="L27" s="649" t="s">
        <v>750</v>
      </c>
      <c r="M27" s="649" t="s">
        <v>750</v>
      </c>
      <c r="N27" s="1141" t="str">
        <f>IS!G372</f>
        <v>ND</v>
      </c>
      <c r="O27" s="1141">
        <f>IS!H372</f>
        <v>6.5000000000000002E-2</v>
      </c>
      <c r="P27" s="1141">
        <f>IS!I372</f>
        <v>7.1999999999999995E-2</v>
      </c>
      <c r="Q27" s="1141">
        <f>IS!J372</f>
        <v>4.2999999999999997E-2</v>
      </c>
      <c r="R27" s="1141">
        <f>IS!K372</f>
        <v>2.3E-2</v>
      </c>
      <c r="S27" s="1577">
        <f>IS!L372</f>
        <v>1.0999999999999999E-2</v>
      </c>
      <c r="T27" s="1577">
        <f>IS!M372</f>
        <v>0.02</v>
      </c>
      <c r="U27" s="1577">
        <f>IS!N372</f>
        <v>-0.24399999999999999</v>
      </c>
      <c r="V27" s="1577">
        <f>IS!O372</f>
        <v>0.127</v>
      </c>
      <c r="W27" s="1577">
        <f>(Q_IS!BB105/W39)*Q_IS!BB112+(Q_IS!BC105/W39)*Q_IS!BC112+(Q_IS!BD105/W39)*Q_IS!BD112+(Q_IS!BE105/W39)*Q_IS!BE112</f>
        <v>0.27673825991991263</v>
      </c>
      <c r="X27" s="1577">
        <f>(Q_IS!BH105/X39)*Q_IS!BH112+(Q_IS!BF105/X39)*Q_IS!BF112+(Q_IS!BG105/X39)*Q_IS!BG112+(Q_IS!BI105/X39)*Q_IS!BI112</f>
        <v>9.8127100931812261E-2</v>
      </c>
      <c r="Y27" s="1578">
        <f>(Q_IS!BJ105/Y39)*Q_IS!BJ112+(Q_IS!BK105/Y39)*Q_IS!BK112+(Q_IS!BL105/Y39)*Q_IS!BL112+(Q_IS!BM105/Y39)*Q_IS!BM112</f>
        <v>4.1612101721427023E-3</v>
      </c>
      <c r="Z27" s="1578">
        <f>(Q_IS!BN105/Z39)*Q_IS!BN112+(Q_IS!BO105/Z39)*Q_IS!BO112+(Q_IS!BP105/Z39)*Q_IS!BP112+(Q_IS!BQ105/Z39)*Q_IS!BQ112</f>
        <v>1.7171506765586236E-2</v>
      </c>
      <c r="AA27" s="1578">
        <f>(Q_IS!BU105/AA39)*Q_IS!BU112+(Q_IS!BT105/AA39)*Q_IS!BT112+(Q_IS!BS105/AA39)*Q_IS!BS112+(Q_IS!BR105/AA39)*Q_IS!BR112</f>
        <v>1.6800000000000002E-2</v>
      </c>
      <c r="AB27" s="1578">
        <f>(Q_IS!BV105/AB39)*Q_IS!BV112+(Q_IS!BW105/AB39)*Q_IS!BW112+(Q_IS!BX105/AB39)*Q_IS!BX112+(Q_IS!BY105/AB39)*Q_IS!BY112</f>
        <v>1.6800000000000002E-2</v>
      </c>
      <c r="AC27" s="1578">
        <f>(Q_IS!CC105/AC39)*Q_IS!CC112+(Q_IS!CB105/AC39)*Q_IS!CB112+(Q_IS!CA105/AC39)*Q_IS!CA112+(Q_IS!BZ105/AC39)*Q_IS!BZ112</f>
        <v>1.5959999999999998E-2</v>
      </c>
      <c r="AD27" s="1578">
        <f>(Q_IS!CD105/AD39)*Q_IS!CD112+(Q_IS!CE105/AD39)*Q_IS!CE112+(Q_IS!CF105/AD39)*Q_IS!CF112+(Q_IS!CG105/AD39)*Q_IS!CG112</f>
        <v>1.5959999999999998E-2</v>
      </c>
      <c r="AE27" s="1578">
        <f>(Q_IS!CK105/AE39)*Q_IS!CK112+(Q_IS!CJ105/AE39)*Q_IS!CJ112+(Q_IS!CI105/AE39)*Q_IS!CI112+(Q_IS!CH105/AE39)*Q_IS!CH112</f>
        <v>1.5959999999999998E-2</v>
      </c>
      <c r="AF27" s="1578">
        <f>(Q_IS!CO105/AF39)*Q_IS!CO112+(Q_IS!CN105/AF39)*Q_IS!CN112+(Q_IS!CM105/AF39)*Q_IS!CM112+(Q_IS!CL105/AF39)*Q_IS!CL112</f>
        <v>1.5959999999999998E-2</v>
      </c>
      <c r="AG27" s="1578">
        <f>(Q_IS!CS105/AG39)*Q_IS!CS112+(Q_IS!CR105/AG39)*Q_IS!CR112+(Q_IS!CQ105/AG39)*Q_IS!CQ112+(Q_IS!CP105/AG39)*Q_IS!CP112</f>
        <v>1.5959999999999998E-2</v>
      </c>
      <c r="AH27" s="1578">
        <f>(Q_IS!CW105/AH39)*Q_IS!CW112+(Q_IS!CV105/AH39)*Q_IS!CV112+(Q_IS!CU105/AH39)*Q_IS!CU112+(Q_IS!CT105/AH39)*Q_IS!CT112</f>
        <v>1.5959999999999998E-2</v>
      </c>
      <c r="AI27" s="1570"/>
      <c r="AJ27" s="1129"/>
      <c r="AK27" s="1129"/>
      <c r="AL27" s="1130"/>
      <c r="AM27" s="1130"/>
      <c r="AN27" s="1130"/>
    </row>
    <row r="28" spans="1:42">
      <c r="A28" s="42" t="s">
        <v>733</v>
      </c>
      <c r="B28" s="1571"/>
      <c r="C28" s="1571"/>
      <c r="D28" s="1571"/>
      <c r="E28" s="1571"/>
      <c r="F28" s="1571"/>
      <c r="G28" s="1571"/>
      <c r="H28" s="1571"/>
      <c r="I28" s="1571"/>
      <c r="J28" s="649" t="s">
        <v>750</v>
      </c>
      <c r="K28" s="649" t="s">
        <v>750</v>
      </c>
      <c r="L28" s="649" t="s">
        <v>750</v>
      </c>
      <c r="M28" s="649" t="s">
        <v>750</v>
      </c>
      <c r="N28" s="1141">
        <f>IS!G371</f>
        <v>0.21099999999999999</v>
      </c>
      <c r="O28" s="1141">
        <f>IS!H371</f>
        <v>0.2</v>
      </c>
      <c r="P28" s="1141">
        <f>IS!I371</f>
        <v>0.255</v>
      </c>
      <c r="Q28" s="1141">
        <f>IS!J371</f>
        <v>0.23499999999999999</v>
      </c>
      <c r="R28" s="1141">
        <f>IS!K371</f>
        <v>0.19600000000000001</v>
      </c>
      <c r="S28" s="1577">
        <f>IS!L371</f>
        <v>0.115</v>
      </c>
      <c r="T28" s="1577">
        <f>IS!M371</f>
        <v>0.14599999999999999</v>
      </c>
      <c r="U28" s="1577">
        <f>IS!N371</f>
        <v>-0.20100000000000001</v>
      </c>
      <c r="V28" s="1577">
        <f>IS!O371</f>
        <v>0.63400000000000001</v>
      </c>
      <c r="W28" s="1577">
        <f>(Q_IS!BB189/W40)*Q_IS!BB196+(Q_IS!BC189/W40)*Q_IS!BC196+(Q_IS!BD189/W40)*Q_IS!BD196+(Q_IS!BE189/W40)*Q_IS!BE196</f>
        <v>0.71179330784827166</v>
      </c>
      <c r="X28" s="1577">
        <f>(Q_IS!BH189/X40)*Q_IS!BH196+(Q_IS!BF189/X40)*Q_IS!BF196+(Q_IS!BG189/X40)*Q_IS!BG196+(Q_IS!BI189/X40)*Q_IS!BI196</f>
        <v>0.43871130918072654</v>
      </c>
      <c r="Y28" s="1578">
        <f>(Q_IS!BJ189/Y40)*Q_IS!BJ196+(Q_IS!BK189/Y40)*Q_IS!BK196+(Q_IS!BL189/Y40)*Q_IS!BL196+(Q_IS!BM189/Y40)*Q_IS!BM196</f>
        <v>0.39270172196184605</v>
      </c>
      <c r="Z28" s="1578">
        <f>(Q_IS!BN189/Z40)*Q_IS!BN196+(Q_IS!BO189/Z40)*Q_IS!BO196+(Q_IS!BP189/Z40)*Q_IS!BP196+(Q_IS!BQ189/Z40)*Q_IS!BQ196</f>
        <v>0.18817245562685256</v>
      </c>
      <c r="AA28" s="1578">
        <f>(Q_IS!BU189/AA40)*Q_IS!BU196+(Q_IS!BT189/AA40)*Q_IS!BT196+(Q_IS!BS189/AA40)*Q_IS!BS196+(Q_IS!BR189/AA40)*Q_IS!BR196</f>
        <v>0.14221925248719891</v>
      </c>
      <c r="AB28" s="1578">
        <f>(Q_IS!BV189/AB40)*Q_IS!BV196+(Q_IS!BW189/AB40)*Q_IS!BW196+(Q_IS!BX189/AB40)*Q_IS!BX196+(Q_IS!BY189/AB40)*Q_IS!BY196</f>
        <v>0.11801101744473239</v>
      </c>
      <c r="AC28" s="1578">
        <f>(Q_IS!CC189/AC40)*Q_IS!CC196+(Q_IS!CB189/AC40)*Q_IS!CB196+(Q_IS!CA189/AC40)*Q_IS!CA196+(Q_IS!BZ189/AC40)*Q_IS!BZ196</f>
        <v>0.12471946926283814</v>
      </c>
      <c r="AD28" s="1578">
        <f>(Q_IS!CD189/AD40)*Q_IS!CD196+(Q_IS!CE189/AD40)*Q_IS!CE196+(Q_IS!CF189/AD40)*Q_IS!CF196+(Q_IS!CG189/AD40)*Q_IS!CG196</f>
        <v>0.12439647404914214</v>
      </c>
      <c r="AE28" s="1578">
        <f>(Q_IS!CK189/AE40)*Q_IS!CK196+(Q_IS!CJ189/AE40)*Q_IS!CJ196+(Q_IS!CI189/AE40)*Q_IS!CI196+(Q_IS!CH189/AE40)*Q_IS!CH196</f>
        <v>0.12405617881607967</v>
      </c>
      <c r="AF28" s="1578">
        <f>(Q_IS!CO189/AF40)*Q_IS!CO196+(Q_IS!CN189/AF40)*Q_IS!CN196+(Q_IS!CN189/AF40)*Q_IS!CN196+(Q_IS!CL189/AF40)*Q_IS!CL196</f>
        <v>0.12462263376574066</v>
      </c>
      <c r="AG28" s="1578">
        <f>(Q_IS!CS189/AG40)*Q_IS!CS196+(Q_IS!CR189/AG40)*Q_IS!CR196+(Q_IS!CQ189/AG40)*Q_IS!CQ196+(Q_IS!CP189/AG40)*Q_IS!CP196</f>
        <v>0.12350365576607875</v>
      </c>
      <c r="AH28" s="1578">
        <f>(Q_IS!CW189/AH40)*Q_IS!CW196+(Q_IS!CV189/AH40)*Q_IS!CV196+(Q_IS!CU189/AH40)*Q_IS!CU196+(Q_IS!CT189/AH40)*Q_IS!CT196</f>
        <v>0.12365109809767066</v>
      </c>
      <c r="AI28" s="1570"/>
      <c r="AJ28" s="1128"/>
      <c r="AK28" s="1128"/>
      <c r="AL28" s="1128"/>
      <c r="AM28" s="1128"/>
      <c r="AN28" s="1128"/>
    </row>
    <row r="29" spans="1:42" s="13" customFormat="1">
      <c r="A29" s="1155" t="s">
        <v>922</v>
      </c>
      <c r="B29" s="1511"/>
      <c r="C29" s="1511"/>
      <c r="D29" s="1511"/>
      <c r="E29" s="1511"/>
      <c r="F29" s="1511"/>
      <c r="G29" s="1511"/>
      <c r="H29" s="1511"/>
      <c r="I29" s="1511"/>
      <c r="J29" s="1513">
        <f>IFERROR(IF(SUM(Q_BS!AL32:AO32)/SUM(Q_BS!AL33:AO33)&gt;0,SUM(Q_BS!AL32:AO32)/SUM(Q_BS!AL33:AO33),"NA"),"NA")</f>
        <v>12.559485064935066</v>
      </c>
      <c r="K29" s="1513">
        <f>IFERROR(IF(SUM(Q_BS!AM32:AP32)/SUM(Q_BS!AM33:AP33)&gt;0,SUM(Q_BS!AM32:AP32)/SUM(Q_BS!AM33:AP33),"NA"),"NA")</f>
        <v>4.067049598214286</v>
      </c>
      <c r="L29" s="1513">
        <f>IFERROR(IF(SUM(Q_BS!AN32:AQ32)/SUM(Q_BS!AN33:AQ33)&gt;0,SUM(Q_BS!AN32:AQ32)/SUM(Q_BS!AN33:AQ33),"NA"),"NA")</f>
        <v>3.4638024276527339</v>
      </c>
      <c r="M29" s="1513">
        <f>IFERROR(IF(SUM(Q_BS!AO32:AR32)/SUM(Q_BS!AO33:AR33)&gt;0,SUM(Q_BS!AO32:AR32)/SUM(Q_BS!AO33:AR33),"NA"),"NA")</f>
        <v>3.1895798621908127</v>
      </c>
      <c r="N29" s="1513">
        <f>IFERROR(IF(SUM(Q_BS!AP32:AS32)/SUM(Q_BS!AP33:AS33)&gt;0,SUM(Q_BS!AP32:AS32)/SUM(Q_BS!AP33:AS33),"NA"),"NA")</f>
        <v>4.4015171101694914</v>
      </c>
      <c r="O29" s="1513">
        <f>IFERROR(IF(SUM(Q_BS!AQ32:AT32)/SUM(Q_BS!AQ33:AT33)&gt;0,SUM(Q_BS!AQ32:AT32)/SUM(Q_BS!AQ33:AT33),"NA"),"NA")</f>
        <v>602.96500866666668</v>
      </c>
      <c r="P29" s="1513" t="str">
        <f>IFERROR(IF(SUM(Q_BS!AR32:AU32)/SUM(Q_BS!AR33:AU33)&gt;0,SUM(Q_BS!AR32:AU32)/SUM(Q_BS!AR33:AU33),"NA"),"NA")</f>
        <v>NA</v>
      </c>
      <c r="Q29" s="1513" t="str">
        <f>IFERROR(IF(SUM(Q_BS!AS32:AV32)/SUM(Q_BS!AS33:AV33)&gt;0,SUM(Q_BS!AS32:AV32)/SUM(Q_BS!AS33:AV33),"NA"),"NA")</f>
        <v>NA</v>
      </c>
      <c r="R29" s="1513" t="str">
        <f>IFERROR(IF(SUM(Q_BS!AT32:AW32)/SUM(Q_BS!AT33:AW33)&gt;0,SUM(Q_BS!AT32:AW32)/SUM(Q_BS!AT33:AW33),"NA"),"NA")</f>
        <v>NA</v>
      </c>
      <c r="S29" s="1579" t="str">
        <f>IFERROR(IF(SUM(Q_BS!AU32:AX32)/SUM(Q_BS!AU33:AX33)&gt;0,SUM(Q_BS!AU32:AX32)/SUM(Q_BS!AU33:AX33),"NA"),"NA")</f>
        <v>NA</v>
      </c>
      <c r="T29" s="1579" t="str">
        <f>IFERROR(IF(SUM(Q_BS!AV32:AY32)/SUM(Q_BS!AV33:AY33)&gt;0,SUM(Q_BS!AV32:AY32)/SUM(Q_BS!AV33:AY33),"NA"),"NA")</f>
        <v>NA</v>
      </c>
      <c r="U29" s="1579" t="str">
        <f>IFERROR(IF(SUM(Q_BS!AW32:AZ32)/SUM(Q_BS!AW33:AZ33)&gt;0,SUM(Q_BS!AW32:AZ32)/SUM(Q_BS!AW33:AZ33),"NA"),"NA")</f>
        <v>NA</v>
      </c>
      <c r="V29" s="1579">
        <f>IFERROR(IF(SUM(Q_BS!AX32:BA32)/SUM(Q_BS!AX33:BA33)&gt;0,SUM(Q_BS!AX32:BA32)/SUM(Q_BS!AX33:BA33),"NA"),"NA")</f>
        <v>142.04957540000001</v>
      </c>
      <c r="W29" s="1579">
        <f>IFERROR(IF(SUM(Q_BS!BB32:BE32)/SUM(Q_BS!BB33:BE33)&gt;0,SUM(Q_BS!BB32:BE32)/SUM(Q_BS!BB33:BE33),"NA"),"NA")</f>
        <v>13.307110816326531</v>
      </c>
      <c r="X29" s="1579">
        <f>IFERROR(IF(SUM(Q_BS!BF32:BI32)/SUM(Q_BS!BF33:BI33)&gt;0,SUM(Q_BS!BF32:BI32)/SUM(Q_BS!BF33:BI33),"NA"),"NA")</f>
        <v>19.747604482758625</v>
      </c>
      <c r="Y29" s="1580">
        <f>IFERROR(IF(SUM(Q_BS!BJ32:BM32)/SUM(Q_BS!BJ33:BM33)&gt;0,SUM(Q_BS!BJ32:BM32)/SUM(Q_BS!BJ33:BM33),"NA"),"NA")</f>
        <v>23.224117333333332</v>
      </c>
      <c r="Z29" s="1580">
        <f>IFERROR(IF(SUM(Q_BS!BN32:BQ32)/SUM(Q_BS!BN33:BQ33)&gt;0,SUM(Q_BS!BN32:BQ32)/SUM(Q_BS!BN33:BQ33),"NA"),"NA")</f>
        <v>23</v>
      </c>
      <c r="AA29" s="1580">
        <f>IFERROR(IF(SUM(Q_BS!BR32:BU32)/SUM(Q_BS!BR33:BU33)&gt;0,SUM(Q_BS!BR32:BU32)/SUM(Q_BS!BR33:BU33),"NA"),"NA")</f>
        <v>23.848120037013143</v>
      </c>
      <c r="AB29" s="1580">
        <f>IFERROR(IF(SUM(Q_BS!BV32:BY32)/SUM(Q_BS!BV33:BY33)&gt;0,SUM(Q_BS!BV32:BY32)/SUM(Q_BS!BV33:BY33),"NA"),"NA")</f>
        <v>24.72751431738207</v>
      </c>
      <c r="AC29" s="1580">
        <f>IFERROR(IF(SUM(Q_BS!BZ32:CC32)/SUM(Q_BS!BZ33:CC33)&gt;0,SUM(Q_BS!BZ32:CC32)/SUM(Q_BS!BZ33:CC33),"NA"),"NA")</f>
        <v>20.065567360759918</v>
      </c>
      <c r="AD29" s="1580">
        <f>IFERROR(IF(SUM(Q_BS!CD32:CG32)/SUM(Q_BS!CD33:CG33)&gt;0,SUM(Q_BS!CD32:CG32)/SUM(Q_BS!CD33:CG33),"NA"),"NA")</f>
        <v>20.805480827398934</v>
      </c>
      <c r="AE29" s="1580">
        <f>IFERROR(IF(SUM(Q_BS!CH32:CK32)/SUM(Q_BS!CH33:CK33)&gt;0,SUM(Q_BS!CH32:CK32)/SUM(Q_BS!CH33:CK33),"NA"),"NA")</f>
        <v>21.572678443460234</v>
      </c>
      <c r="AF29" s="1580">
        <f>IFERROR(IF(SUM(Q_BS!CL32:CO32)/SUM(Q_BS!CL33:CO33)&gt;0,SUM(Q_BS!CL32:CO32)/SUM(Q_BS!CL33:CO33),"NA"),"NA")</f>
        <v>22.368166306066318</v>
      </c>
      <c r="AG29" s="1580">
        <f>IFERROR(IF(SUM(Q_BS!CP32:CS32)/SUM(Q_BS!CP33:CS33)&gt;0,SUM(Q_BS!CP32:CS32)/SUM(Q_BS!CP33:CS33),"NA"),"NA")</f>
        <v>23.192987611954013</v>
      </c>
      <c r="AH29" s="1580">
        <f>IFERROR(IF(SUM(Q_BS!CT32:CW32)/SUM(Q_BS!CT33:CW33)&gt;0,SUM(Q_BS!CT32:CW32)/SUM(Q_BS!CT33:CW33),"NA"),"NA")</f>
        <v>24.048224025514703</v>
      </c>
      <c r="AI29" s="968"/>
      <c r="AJ29" s="1128" t="str">
        <f>IFERROR((T29/P29)^(1/4)-1,"NM")</f>
        <v>NM</v>
      </c>
      <c r="AK29" s="1128" t="str">
        <f>IFERROR((#REF!/T29)^(1/3)-1,"NM")</f>
        <v>NM</v>
      </c>
      <c r="AL29" s="1127" t="str">
        <f>IFERROR((Y29/#REF!)^(1/2)-1,"NM")</f>
        <v>NM</v>
      </c>
      <c r="AM29" s="1127" t="str">
        <f>IFERROR((#REF!/AA29)^(1/3)-1,"NM")</f>
        <v>NM</v>
      </c>
      <c r="AN29" s="1127">
        <f>IFERROR((AH29/X29)^(1/10)-1,"NM")</f>
        <v>1.9898278819268089E-2</v>
      </c>
      <c r="AP29" s="9"/>
    </row>
    <row r="30" spans="1:42" hidden="1" outlineLevel="1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</row>
    <row r="31" spans="1:42" hidden="1" outlineLevel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</row>
    <row r="32" spans="1:42" hidden="1" outlineLevel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</row>
    <row r="33" spans="1:42" hidden="1" outlineLevel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</row>
    <row r="34" spans="1:42" ht="12.75" collapsed="1">
      <c r="A34" s="42"/>
      <c r="B34" s="1571"/>
      <c r="C34" s="1571"/>
      <c r="D34" s="1571"/>
      <c r="E34" s="1571"/>
      <c r="F34" s="1571"/>
      <c r="G34" s="1571"/>
      <c r="H34" s="1571"/>
      <c r="I34" s="1571"/>
      <c r="J34" s="649"/>
      <c r="K34" s="649"/>
      <c r="L34" s="649"/>
      <c r="M34" s="649"/>
      <c r="N34" s="1141"/>
      <c r="O34" s="1141"/>
      <c r="P34" s="1141"/>
      <c r="Q34" s="1141"/>
      <c r="R34" s="1141"/>
      <c r="S34" s="40"/>
      <c r="T34" s="1578"/>
      <c r="U34" s="1578"/>
      <c r="V34" s="1578"/>
      <c r="W34" s="1578"/>
      <c r="X34" s="1578"/>
      <c r="Y34" s="1578"/>
      <c r="Z34" s="1578"/>
      <c r="AA34" s="1578"/>
      <c r="AB34" s="1578"/>
      <c r="AC34" s="1578"/>
      <c r="AD34" s="1578"/>
      <c r="AE34" s="1578"/>
      <c r="AF34" s="1578"/>
      <c r="AG34" s="1578"/>
      <c r="AH34" s="1578"/>
      <c r="AI34"/>
      <c r="AJ34" s="1129"/>
      <c r="AK34" s="1129"/>
      <c r="AL34" s="1130"/>
      <c r="AM34" s="1130"/>
      <c r="AN34" s="1130"/>
    </row>
    <row r="35" spans="1:42" ht="12.75">
      <c r="A35" s="1126" t="s">
        <v>662</v>
      </c>
      <c r="B35" s="1124">
        <f t="shared" ref="B35:AH35" si="33">B$4</f>
        <v>2001</v>
      </c>
      <c r="C35" s="1124">
        <f t="shared" si="33"/>
        <v>2002</v>
      </c>
      <c r="D35" s="1124">
        <f t="shared" si="33"/>
        <v>2003</v>
      </c>
      <c r="E35" s="1124">
        <f t="shared" si="33"/>
        <v>2004</v>
      </c>
      <c r="F35" s="1124">
        <f t="shared" si="33"/>
        <v>2005</v>
      </c>
      <c r="G35" s="1124">
        <f t="shared" si="33"/>
        <v>2006</v>
      </c>
      <c r="H35" s="1124">
        <f t="shared" si="33"/>
        <v>2007</v>
      </c>
      <c r="I35" s="1124">
        <f t="shared" si="33"/>
        <v>2008</v>
      </c>
      <c r="J35" s="1124">
        <f t="shared" si="33"/>
        <v>2009</v>
      </c>
      <c r="K35" s="1124">
        <f t="shared" si="33"/>
        <v>2010</v>
      </c>
      <c r="L35" s="1124">
        <f t="shared" si="33"/>
        <v>2011</v>
      </c>
      <c r="M35" s="1124">
        <f t="shared" si="33"/>
        <v>2012</v>
      </c>
      <c r="N35" s="1124">
        <f t="shared" si="33"/>
        <v>2013</v>
      </c>
      <c r="O35" s="1124">
        <f t="shared" si="33"/>
        <v>2014</v>
      </c>
      <c r="P35" s="1124">
        <f t="shared" si="33"/>
        <v>2015</v>
      </c>
      <c r="Q35" s="1124">
        <f t="shared" si="33"/>
        <v>2016</v>
      </c>
      <c r="R35" s="1124">
        <f t="shared" si="33"/>
        <v>2017</v>
      </c>
      <c r="S35" s="1583">
        <f t="shared" si="33"/>
        <v>2018</v>
      </c>
      <c r="T35" s="1583">
        <f t="shared" si="33"/>
        <v>2019</v>
      </c>
      <c r="U35" s="1583">
        <f t="shared" si="33"/>
        <v>2020</v>
      </c>
      <c r="V35" s="1583">
        <f t="shared" si="33"/>
        <v>2021</v>
      </c>
      <c r="W35" s="1583">
        <f t="shared" si="33"/>
        <v>2022</v>
      </c>
      <c r="X35" s="1583">
        <f t="shared" si="33"/>
        <v>2023</v>
      </c>
      <c r="Y35" s="1445">
        <f t="shared" si="33"/>
        <v>2024</v>
      </c>
      <c r="Z35" s="1445">
        <f t="shared" si="33"/>
        <v>2025</v>
      </c>
      <c r="AA35" s="1445">
        <f t="shared" si="33"/>
        <v>2026</v>
      </c>
      <c r="AB35" s="1445">
        <f t="shared" si="33"/>
        <v>2027</v>
      </c>
      <c r="AC35" s="1445">
        <f t="shared" si="33"/>
        <v>2028</v>
      </c>
      <c r="AD35" s="1445">
        <f t="shared" si="33"/>
        <v>2029</v>
      </c>
      <c r="AE35" s="1445">
        <f t="shared" si="33"/>
        <v>2030</v>
      </c>
      <c r="AF35" s="1445">
        <f t="shared" si="33"/>
        <v>2031</v>
      </c>
      <c r="AG35" s="1445">
        <f t="shared" si="33"/>
        <v>2032</v>
      </c>
      <c r="AH35" s="1445">
        <f t="shared" si="33"/>
        <v>2033</v>
      </c>
      <c r="AI35"/>
      <c r="AJ35" s="1131"/>
      <c r="AK35" s="1131"/>
      <c r="AL35" s="1130"/>
      <c r="AM35" s="1130"/>
      <c r="AN35" s="1130"/>
    </row>
    <row r="36" spans="1:42" ht="12.75">
      <c r="A36" s="89" t="s">
        <v>48</v>
      </c>
      <c r="B36" s="985">
        <v>2474.654</v>
      </c>
      <c r="C36" s="985">
        <v>2627.9160000000002</v>
      </c>
      <c r="D36" s="985">
        <v>2871.491</v>
      </c>
      <c r="E36" s="985">
        <v>3708.5940000000001</v>
      </c>
      <c r="F36" s="985">
        <v>4665.3</v>
      </c>
      <c r="G36" s="985">
        <v>6026.4440000000004</v>
      </c>
      <c r="H36" s="985">
        <v>6985.4030000000002</v>
      </c>
      <c r="I36" s="985">
        <v>7786.8429999999998</v>
      </c>
      <c r="J36" s="985">
        <f>J38+J40+J39+J41</f>
        <v>8587.0810000000019</v>
      </c>
      <c r="K36" s="985">
        <f>K38+K40+K39+K41</f>
        <v>8981.4399999999987</v>
      </c>
      <c r="L36" s="985">
        <f>L38+L40+L39+L41</f>
        <v>10696.504000000001</v>
      </c>
      <c r="M36" s="985">
        <f>M38+M40+M39+M41</f>
        <v>13519.513000000001</v>
      </c>
      <c r="N36" s="985">
        <f>N38+N40+N39+N41</f>
        <v>15712.665000000001</v>
      </c>
      <c r="O36" s="985">
        <f t="shared" ref="O36:AE36" si="34">(O38+O40+O39+O41)</f>
        <v>22800.255000000001</v>
      </c>
      <c r="P36" s="985">
        <f t="shared" si="34"/>
        <v>32288.376</v>
      </c>
      <c r="Q36" s="985">
        <f t="shared" si="34"/>
        <v>37701.866999999998</v>
      </c>
      <c r="R36" s="985">
        <f t="shared" si="34"/>
        <v>42529.120999999999</v>
      </c>
      <c r="S36" s="985">
        <f t="shared" si="34"/>
        <v>46156.591</v>
      </c>
      <c r="T36" s="985">
        <f>(T38+T40+T39+T41)</f>
        <v>58154.618999999999</v>
      </c>
      <c r="U36" s="985">
        <f t="shared" si="34"/>
        <v>38495.419000000002</v>
      </c>
      <c r="V36" s="985">
        <f t="shared" si="34"/>
        <v>53379.468999999997</v>
      </c>
      <c r="W36" s="985">
        <f t="shared" si="34"/>
        <v>68831.305000000008</v>
      </c>
      <c r="X36" s="985">
        <f t="shared" ref="X36" si="35">(X38+X40+X39+X41)</f>
        <v>76231.047999999995</v>
      </c>
      <c r="Y36" s="1566">
        <f t="shared" si="34"/>
        <v>78549.033316147907</v>
      </c>
      <c r="Z36" s="1566">
        <f t="shared" si="34"/>
        <v>86000.984261954174</v>
      </c>
      <c r="AA36" s="1566">
        <f t="shared" si="34"/>
        <v>91862.025037079569</v>
      </c>
      <c r="AB36" s="1566">
        <f t="shared" si="34"/>
        <v>97282.619721801486</v>
      </c>
      <c r="AC36" s="1566">
        <f t="shared" si="34"/>
        <v>102409.94176726675</v>
      </c>
      <c r="AD36" s="1566">
        <f t="shared" si="34"/>
        <v>107782.73332679388</v>
      </c>
      <c r="AE36" s="1566">
        <f t="shared" si="34"/>
        <v>113295.62029326905</v>
      </c>
      <c r="AF36" s="1566">
        <f t="shared" ref="AF36:AH36" si="36">(AF38+AF40+AF39+AF41)</f>
        <v>118937.34319902334</v>
      </c>
      <c r="AG36" s="1566">
        <f t="shared" si="36"/>
        <v>124847.65450233992</v>
      </c>
      <c r="AH36" s="1566">
        <f t="shared" si="36"/>
        <v>131016.40663964083</v>
      </c>
      <c r="AI36"/>
      <c r="AJ36" s="1128">
        <f t="shared" ref="AJ36" si="37">IFERROR((U36/P36)^(1/5)-1,"NM")</f>
        <v>3.5792041537159092E-2</v>
      </c>
      <c r="AK36" s="1128">
        <f>IFERROR((X36/U36)^(1/3)-1,"NM")</f>
        <v>0.25576279851379535</v>
      </c>
      <c r="AL36" s="1127">
        <f>IFERROR((AA36/Y36)^(1/2)-1,"NM")</f>
        <v>8.1427938071250594E-2</v>
      </c>
      <c r="AM36" s="1127">
        <f>IFERROR((AD36/AA36)^(1/3)-1,"NM")</f>
        <v>5.4721322751425605E-2</v>
      </c>
      <c r="AN36" s="1127">
        <f>IFERROR((AH36/X36)^(1/10)-1,"NM")</f>
        <v>5.5648607977497377E-2</v>
      </c>
      <c r="AP36" s="92"/>
    </row>
    <row r="37" spans="1:42" ht="12.75">
      <c r="A37" s="88" t="s">
        <v>46</v>
      </c>
      <c r="B37" s="1584"/>
      <c r="C37" s="1584">
        <f t="shared" ref="C37:Z37" si="38">C36/B36-1</f>
        <v>6.1932698470170022E-2</v>
      </c>
      <c r="D37" s="1584">
        <f t="shared" si="38"/>
        <v>9.2687513603935567E-2</v>
      </c>
      <c r="E37" s="1584">
        <f t="shared" si="38"/>
        <v>0.29152206989330631</v>
      </c>
      <c r="F37" s="1584">
        <f t="shared" si="38"/>
        <v>0.25797000156932803</v>
      </c>
      <c r="G37" s="1584">
        <f t="shared" si="38"/>
        <v>0.2917591580391401</v>
      </c>
      <c r="H37" s="1584">
        <f t="shared" si="38"/>
        <v>0.15912518227996464</v>
      </c>
      <c r="I37" s="1584">
        <f t="shared" si="38"/>
        <v>0.11473067480859722</v>
      </c>
      <c r="J37" s="1584">
        <f t="shared" si="38"/>
        <v>0.10276796385903797</v>
      </c>
      <c r="K37" s="1584">
        <f t="shared" si="38"/>
        <v>4.5924686165181861E-2</v>
      </c>
      <c r="L37" s="1514">
        <f t="shared" si="38"/>
        <v>0.19095646132468769</v>
      </c>
      <c r="M37" s="1514">
        <f t="shared" si="38"/>
        <v>0.26391884675591193</v>
      </c>
      <c r="N37" s="1514">
        <f t="shared" si="38"/>
        <v>0.16222122793920168</v>
      </c>
      <c r="O37" s="1514">
        <f t="shared" si="38"/>
        <v>0.4510749767782869</v>
      </c>
      <c r="P37" s="1514">
        <f t="shared" si="38"/>
        <v>0.41614100368614304</v>
      </c>
      <c r="Q37" s="1514">
        <f t="shared" si="38"/>
        <v>0.16766067763829295</v>
      </c>
      <c r="R37" s="1514">
        <f t="shared" si="38"/>
        <v>0.12803753193442646</v>
      </c>
      <c r="S37" s="1584">
        <f t="shared" si="38"/>
        <v>8.5293791987847589E-2</v>
      </c>
      <c r="T37" s="1584">
        <f t="shared" si="38"/>
        <v>0.25994181416040885</v>
      </c>
      <c r="U37" s="1584">
        <f t="shared" si="38"/>
        <v>-0.3380505338707489</v>
      </c>
      <c r="V37" s="1584">
        <f t="shared" si="38"/>
        <v>0.38664470699747411</v>
      </c>
      <c r="W37" s="1584">
        <f t="shared" si="38"/>
        <v>0.28947151947127847</v>
      </c>
      <c r="X37" s="1584">
        <f t="shared" si="38"/>
        <v>0.10750548751037026</v>
      </c>
      <c r="Y37" s="1585">
        <f t="shared" si="38"/>
        <v>3.0407365200435299E-2</v>
      </c>
      <c r="Z37" s="1585">
        <f t="shared" si="38"/>
        <v>9.4870052898210711E-2</v>
      </c>
      <c r="AA37" s="1585">
        <f>AA36/Z36-1</f>
        <v>6.8150856939880988E-2</v>
      </c>
      <c r="AB37" s="1585">
        <f>AB36/AA36-1</f>
        <v>5.9008003389147134E-2</v>
      </c>
      <c r="AC37" s="1585">
        <f>AC36/AB36-1</f>
        <v>5.2705427342806255E-2</v>
      </c>
      <c r="AD37" s="1585">
        <f>AD36/AC36-1</f>
        <v>5.2463574012542091E-2</v>
      </c>
      <c r="AE37" s="1585">
        <f>AE36/AD36-1</f>
        <v>5.1148145870083539E-2</v>
      </c>
      <c r="AF37" s="1585">
        <f t="shared" ref="AF37:AH37" si="39">AF36/AE36-1</f>
        <v>4.9796478373572706E-2</v>
      </c>
      <c r="AG37" s="1585">
        <f t="shared" si="39"/>
        <v>4.9692646097084792E-2</v>
      </c>
      <c r="AH37" s="1585">
        <f t="shared" si="39"/>
        <v>4.9410236514978223E-2</v>
      </c>
      <c r="AI37"/>
      <c r="AJ37" s="1128"/>
      <c r="AK37" s="1128"/>
      <c r="AL37" s="1128"/>
      <c r="AM37" s="1128"/>
      <c r="AN37" s="1128"/>
      <c r="AP37" s="92"/>
    </row>
    <row r="38" spans="1:42" ht="12.75">
      <c r="A38" s="42" t="s">
        <v>731</v>
      </c>
      <c r="B38" s="955">
        <v>2474.654</v>
      </c>
      <c r="C38" s="955">
        <f>1799+6+845+17-39</f>
        <v>2628</v>
      </c>
      <c r="D38" s="955">
        <f>1913+80+910+6-38</f>
        <v>2871</v>
      </c>
      <c r="E38" s="438">
        <f>2791+1884</f>
        <v>4675</v>
      </c>
      <c r="F38" s="438">
        <f>3595+2033</f>
        <v>5628</v>
      </c>
      <c r="G38" s="438">
        <f>4747+2329</f>
        <v>7076</v>
      </c>
      <c r="H38" s="438">
        <f>5388+2620</f>
        <v>8008</v>
      </c>
      <c r="I38" s="438">
        <f>5739+2955.1</f>
        <v>8694.1</v>
      </c>
      <c r="J38" s="955">
        <f>SUM(Q_IS!B38:E38)</f>
        <v>9097.5</v>
      </c>
      <c r="K38" s="955">
        <f>SUM(Q_IS!F38:I38)</f>
        <v>9085.1</v>
      </c>
      <c r="L38" s="438">
        <f>SUM(Q_IS!J38:M38)</f>
        <v>10501</v>
      </c>
      <c r="M38" s="438">
        <f>SUM(Q_IS!N38:Q38)</f>
        <v>12785.8</v>
      </c>
      <c r="N38" s="438">
        <f>SUM(Q_IS!R38:U38)</f>
        <v>14694.7</v>
      </c>
      <c r="O38" s="438">
        <f>SUM(Q_IS!V38:Y38)</f>
        <v>20668</v>
      </c>
      <c r="P38" s="438">
        <f>SUM(Q_IS!Z38:AC38)</f>
        <v>19896</v>
      </c>
      <c r="Q38" s="438">
        <f>SUM(Q_IS!AD38:AG38)</f>
        <v>21986</v>
      </c>
      <c r="R38" s="438">
        <f>SUM(Q_IS!AH38:AK38)</f>
        <v>23677</v>
      </c>
      <c r="S38" s="438">
        <f>SUM(Q_IS!AL38:AO38)</f>
        <v>25462</v>
      </c>
      <c r="T38" s="438">
        <f>SUM(Q_IS!AP38:AS38)</f>
        <v>27217</v>
      </c>
      <c r="U38" s="438">
        <f>SUM(Q_IS!AT38:AW38)</f>
        <v>19067</v>
      </c>
      <c r="V38" s="438">
        <f>SUM(Q_IS!AX38:BA38)</f>
        <v>26015</v>
      </c>
      <c r="W38" s="438">
        <f>SUM(Q_IS!BB38:BE38)</f>
        <v>33468</v>
      </c>
      <c r="X38" s="438">
        <f>SUM(Q_IS!BF38:BI38)</f>
        <v>39358</v>
      </c>
      <c r="Y38" s="447">
        <f>SUM(Q_IS!BJ38:BM38)</f>
        <v>43061.606390245215</v>
      </c>
      <c r="Z38" s="447">
        <f>SUM(Q_IS!BN38:BQ38)</f>
        <v>45599.366837764588</v>
      </c>
      <c r="AA38" s="447">
        <f>SUM(Q_IS!BR38:BU38)</f>
        <v>48364.973472081801</v>
      </c>
      <c r="AB38" s="447">
        <f>SUM(Q_IS!BV38:BY38)</f>
        <v>51104.132916101604</v>
      </c>
      <c r="AC38" s="447">
        <f>SUM(Q_IS!BZ38:CC38)</f>
        <v>53373.295293075018</v>
      </c>
      <c r="AD38" s="447">
        <f>SUM(Q_IS!CD38:CG38)</f>
        <v>55728.868830958374</v>
      </c>
      <c r="AE38" s="447">
        <f>SUM(Q_IS!CH38:CK38)</f>
        <v>58113.813698632242</v>
      </c>
      <c r="AF38" s="447">
        <f>SUM(Q_IS!CL38:CO38)</f>
        <v>60498.382702236704</v>
      </c>
      <c r="AG38" s="447">
        <f>SUM(Q_IS!CP38:CS38)</f>
        <v>62970.957027894437</v>
      </c>
      <c r="AH38" s="447">
        <f>SUM(Q_IS!CT38:CW38)</f>
        <v>65518.670293975345</v>
      </c>
      <c r="AI38" s="1679"/>
      <c r="AJ38" s="1128">
        <f t="shared" ref="AJ38:AJ40" si="40">IFERROR((U38/P38)^(1/5)-1,"NM")</f>
        <v>-8.475799035301268E-3</v>
      </c>
      <c r="AK38" s="1128">
        <f>IFERROR((X38/U38)^(1/3)-1,"NM")</f>
        <v>0.27325938195803201</v>
      </c>
      <c r="AL38" s="1128">
        <f>IFERROR((AA38/Y38)^(1/2)-1,"NM")</f>
        <v>5.9791332932127794E-2</v>
      </c>
      <c r="AM38" s="1128">
        <f>IFERROR((AD38/AA38)^(1/3)-1,"NM")</f>
        <v>4.8374441551299441E-2</v>
      </c>
      <c r="AN38" s="1128">
        <f>IFERROR((AH38/X38)^(1/10)-1,"NM")</f>
        <v>5.2284577514685848E-2</v>
      </c>
      <c r="AP38" s="92"/>
    </row>
    <row r="39" spans="1:42" ht="12.75">
      <c r="A39" s="42" t="s">
        <v>949</v>
      </c>
      <c r="B39" s="1586">
        <v>0</v>
      </c>
      <c r="C39" s="1586">
        <v>0</v>
      </c>
      <c r="D39" s="1586">
        <v>0</v>
      </c>
      <c r="E39" s="1586">
        <v>0</v>
      </c>
      <c r="F39" s="1586">
        <v>0</v>
      </c>
      <c r="G39" s="1586">
        <v>0</v>
      </c>
      <c r="H39" s="1586">
        <v>0</v>
      </c>
      <c r="I39" s="1586">
        <v>0</v>
      </c>
      <c r="J39" s="1586">
        <f>SUM(Q_IS!B105:E105)</f>
        <v>0</v>
      </c>
      <c r="K39" s="1586">
        <f>SUM(Q_IS!F105:I105)</f>
        <v>0</v>
      </c>
      <c r="L39" s="106">
        <f>SUM(Q_IS!J105:M105)</f>
        <v>0</v>
      </c>
      <c r="M39" s="438">
        <f>SUM(Q_IS!N105:Q105)</f>
        <v>0</v>
      </c>
      <c r="N39" s="438">
        <f>SUM(Q_IS!R105:U105)</f>
        <v>0</v>
      </c>
      <c r="O39" s="438">
        <f>SUM(Q_IS!V105:Y105)</f>
        <v>1468</v>
      </c>
      <c r="P39" s="438">
        <f>SUM(Q_IS!Z105:AC105)</f>
        <v>5673</v>
      </c>
      <c r="Q39" s="438">
        <f>SUM(Q_IS!AD105:AG105)</f>
        <v>7591</v>
      </c>
      <c r="R39" s="438">
        <f>SUM(Q_IS!AH105:AK105)</f>
        <v>8570</v>
      </c>
      <c r="S39" s="438">
        <f>SUM(Q_IS!AL105:AO105)</f>
        <v>9887</v>
      </c>
      <c r="T39" s="438">
        <f>SUM(Q_IS!AP105:AS105)</f>
        <v>21207</v>
      </c>
      <c r="U39" s="438">
        <f>SUM(Q_IS!AT105:AW105)</f>
        <v>13860</v>
      </c>
      <c r="V39" s="438">
        <f>SUM(Q_IS!AX105:BA105)</f>
        <v>18414</v>
      </c>
      <c r="W39" s="438">
        <f>SUM(Q_IS!BB105:BE105)</f>
        <v>21976</v>
      </c>
      <c r="X39" s="438">
        <f>SUM(Q_IS!BF105:BI105)</f>
        <v>22966</v>
      </c>
      <c r="Y39" s="447">
        <f>SUM(Q_IS!BJ105:BM105)</f>
        <v>24034.949605353468</v>
      </c>
      <c r="Z39" s="447">
        <f>SUM(Q_IS!BN105:BQ105)</f>
        <v>27931.995653906328</v>
      </c>
      <c r="AA39" s="447">
        <f>SUM(Q_IS!BR105:BU105)</f>
        <v>30430.845077785587</v>
      </c>
      <c r="AB39" s="447">
        <f>SUM(Q_IS!BV105:BY105)</f>
        <v>32847.446319831914</v>
      </c>
      <c r="AC39" s="447">
        <f>SUM(Q_IS!BZ105:CC105)</f>
        <v>35344.199485813224</v>
      </c>
      <c r="AD39" s="447">
        <f>SUM(Q_IS!CD105:CG105)</f>
        <v>37994.783729019713</v>
      </c>
      <c r="AE39" s="447">
        <f>SUM(Q_IS!CH105:CK105)</f>
        <v>40751.057529097307</v>
      </c>
      <c r="AF39" s="447">
        <f>SUM(Q_IS!CL105:CO105)</f>
        <v>43640.796417823301</v>
      </c>
      <c r="AG39" s="447">
        <f>SUM(Q_IS!CP105:CS105)</f>
        <v>46702.665878864376</v>
      </c>
      <c r="AH39" s="447">
        <f>SUM(Q_IS!CT105:CW105)</f>
        <v>49935.964579800369</v>
      </c>
      <c r="AI39" s="1679"/>
      <c r="AJ39" s="1128">
        <f t="shared" si="40"/>
        <v>0.19561151566315527</v>
      </c>
      <c r="AK39" s="1128">
        <f>IFERROR((X39/U39)^(1/3)-1,"NM")</f>
        <v>0.18333409190333394</v>
      </c>
      <c r="AL39" s="1128">
        <f>IFERROR((AA39/Y39)^(1/2)-1,"NM")</f>
        <v>0.12521470355548159</v>
      </c>
      <c r="AM39" s="1128">
        <f>IFERROR((AD39/AA39)^(1/3)-1,"NM")</f>
        <v>7.6803986163472171E-2</v>
      </c>
      <c r="AN39" s="1128">
        <f>IFERROR((AH39/X39)^(1/10)-1,"NM")</f>
        <v>8.0768823500885656E-2</v>
      </c>
      <c r="AP39" s="92"/>
    </row>
    <row r="40" spans="1:42" ht="12.75">
      <c r="A40" s="42" t="s">
        <v>733</v>
      </c>
      <c r="B40" s="1586">
        <v>0</v>
      </c>
      <c r="C40" s="1586">
        <v>0</v>
      </c>
      <c r="D40" s="1586">
        <v>0</v>
      </c>
      <c r="E40" s="438">
        <v>0</v>
      </c>
      <c r="F40" s="438">
        <v>0</v>
      </c>
      <c r="G40" s="438">
        <v>347</v>
      </c>
      <c r="H40" s="438">
        <v>642</v>
      </c>
      <c r="I40" s="438">
        <v>972</v>
      </c>
      <c r="J40" s="955">
        <f>SUM(Q_IS!B189:E189)</f>
        <v>1407.7</v>
      </c>
      <c r="K40" s="955">
        <f>SUM(Q_IS!F189:I189)</f>
        <v>1810.6999999999998</v>
      </c>
      <c r="L40" s="438">
        <f>SUM(Q_IS!J189:M189)</f>
        <v>2402.1</v>
      </c>
      <c r="M40" s="438">
        <f>SUM(Q_IS!N189:Q189)</f>
        <v>3416.5</v>
      </c>
      <c r="N40" s="438">
        <f>SUM(Q_IS!R189:U189)</f>
        <v>4219.5</v>
      </c>
      <c r="O40" s="438">
        <f>SUM(Q_IS!V189:Y189)</f>
        <v>4621</v>
      </c>
      <c r="P40" s="438">
        <f>SUM(Q_IS!Z189:AC189)</f>
        <v>6718</v>
      </c>
      <c r="Q40" s="438">
        <f>SUM(Q_IS!AD189:AG189)</f>
        <v>8124</v>
      </c>
      <c r="R40" s="438">
        <f>SUM(Q_IS!AH189:AK189)</f>
        <v>10283</v>
      </c>
      <c r="S40" s="438">
        <f>SUM(Q_IS!AL189:AO189)</f>
        <v>10194.977999999999</v>
      </c>
      <c r="T40" s="438">
        <f>SUM(Q_IS!AP189:AS189)</f>
        <v>9732.4130000000005</v>
      </c>
      <c r="U40" s="438">
        <f>SUM(Q_IS!AT189:AW189)</f>
        <v>5586.9660000000003</v>
      </c>
      <c r="V40" s="438">
        <f>SUM(Q_IS!AX189:BA189)</f>
        <v>8962.0789999999997</v>
      </c>
      <c r="W40" s="438">
        <f>SUM(Q_IS!BB189:BE189)</f>
        <v>13387.712</v>
      </c>
      <c r="X40" s="438">
        <f>SUM(Q_IS!BF189:BI189)</f>
        <v>13905.773000000001</v>
      </c>
      <c r="Y40" s="447">
        <f>SUM(Q_IS!BJ189:BM189)</f>
        <v>11451.235320549225</v>
      </c>
      <c r="Z40" s="447">
        <f>SUM(Q_IS!BN189:BQ189)</f>
        <v>12469.62177028326</v>
      </c>
      <c r="AA40" s="447">
        <f>SUM(Q_IS!BR189:BU189)</f>
        <v>13066.206487212175</v>
      </c>
      <c r="AB40" s="447">
        <f>SUM(Q_IS!BV189:BY189)</f>
        <v>13331.040485867961</v>
      </c>
      <c r="AC40" s="447">
        <f>SUM(Q_IS!BZ189:CC189)</f>
        <v>13692.446988378508</v>
      </c>
      <c r="AD40" s="447">
        <f>SUM(Q_IS!CD189:CG189)</f>
        <v>14059.080766815794</v>
      </c>
      <c r="AE40" s="447">
        <f>SUM(Q_IS!CH189:CK189)</f>
        <v>14430.749065539501</v>
      </c>
      <c r="AF40" s="447">
        <f>SUM(Q_IS!CL189:CO189)</f>
        <v>14798.164078963329</v>
      </c>
      <c r="AG40" s="447">
        <f>SUM(Q_IS!CP189:CS189)</f>
        <v>15174.031595581117</v>
      </c>
      <c r="AH40" s="447">
        <f>SUM(Q_IS!CT189:CW189)</f>
        <v>15561.771765865124</v>
      </c>
      <c r="AI40" s="1679"/>
      <c r="AJ40" s="1128">
        <f t="shared" si="40"/>
        <v>-3.619937013872887E-2</v>
      </c>
      <c r="AK40" s="1128">
        <f>IFERROR((X40/U40)^(1/3)-1,"NM")</f>
        <v>0.35520928676790975</v>
      </c>
      <c r="AL40" s="1128">
        <f>IFERROR((AA40/Y40)^(1/2)-1,"NM")</f>
        <v>6.8190198993446138E-2</v>
      </c>
      <c r="AM40" s="1128">
        <f>IFERROR((AD40/AA40)^(1/3)-1,"NM")</f>
        <v>2.4713527757116216E-2</v>
      </c>
      <c r="AN40" s="1128">
        <f>IFERROR((AH40/X40)^(1/10)-1,"NM")</f>
        <v>1.1314864404388114E-2</v>
      </c>
      <c r="AP40" s="92"/>
    </row>
    <row r="41" spans="1:42" ht="12.75" hidden="1" outlineLevel="1">
      <c r="A41" s="42" t="s">
        <v>755</v>
      </c>
      <c r="B41" s="1586">
        <v>0</v>
      </c>
      <c r="C41" s="1586">
        <f>23+569+32-624</f>
        <v>0</v>
      </c>
      <c r="D41" s="1586">
        <f>102+676+126-904</f>
        <v>0</v>
      </c>
      <c r="E41" s="438">
        <f>732-1698</f>
        <v>-966</v>
      </c>
      <c r="F41" s="438">
        <f>-2145+1013</f>
        <v>-1132</v>
      </c>
      <c r="G41" s="438">
        <v>-1397</v>
      </c>
      <c r="H41" s="438">
        <v>-1665</v>
      </c>
      <c r="I41" s="438">
        <v>-1879</v>
      </c>
      <c r="J41" s="955">
        <f>(SUM(Q_IS!B267:E267))</f>
        <v>-1918.1189999999997</v>
      </c>
      <c r="K41" s="955">
        <f>(SUM(Q_IS!F267:I267))</f>
        <v>-1914.3600000000004</v>
      </c>
      <c r="L41" s="438">
        <f>(SUM(Q_IS!J267:M267))</f>
        <v>-2206.5959999999995</v>
      </c>
      <c r="M41" s="438">
        <f>(SUM(Q_IS!N267:Q267))</f>
        <v>-2682.7869999999989</v>
      </c>
      <c r="N41" s="438">
        <f>(SUM(Q_IS!R267:U267))</f>
        <v>-3201.5350000000003</v>
      </c>
      <c r="O41" s="438">
        <f>(SUM(Q_IS!V267:Y267))</f>
        <v>-3956.7449999999999</v>
      </c>
      <c r="P41" s="438">
        <f>(SUM(Q_IS!Z267:AC267))</f>
        <v>1.3759999999992942</v>
      </c>
      <c r="Q41" s="438">
        <f>(SUM(Q_IS!AD267:AG267))</f>
        <v>0.86700000000018917</v>
      </c>
      <c r="R41" s="438">
        <f>(SUM(Q_IS!AH267:AK267))</f>
        <v>-0.87900000000081491</v>
      </c>
      <c r="S41" s="438">
        <f>(SUM(Q_IS!AL267:AO267))</f>
        <v>612.61300000000028</v>
      </c>
      <c r="T41" s="438">
        <f>(SUM(Q_IS!AP267:AS267))</f>
        <v>-1.794000000001688</v>
      </c>
      <c r="U41" s="438">
        <f>(SUM(Q_IS!AT267:AW267))</f>
        <v>-18.547000000000025</v>
      </c>
      <c r="V41" s="438">
        <f>(SUM(Q_IS!AX267:BA267))</f>
        <v>-11.609999999999673</v>
      </c>
      <c r="W41" s="438">
        <f>(SUM(Q_IS!BB267:BE267))</f>
        <v>-0.40699999999742431</v>
      </c>
      <c r="X41" s="610">
        <f>(SUM(Q_IS!BF267:BI267))</f>
        <v>1.2749999999996362</v>
      </c>
      <c r="Y41" s="447">
        <f>(SUM(Q_IS!BJ267:BM267))</f>
        <v>1.2420000000038272</v>
      </c>
      <c r="Z41" s="447">
        <f>(SUM(Q_IS!BN267:BQ267))</f>
        <v>0</v>
      </c>
      <c r="AA41" s="447">
        <f>(SUM(Q_IS!BR267:BU267))</f>
        <v>0</v>
      </c>
      <c r="AB41" s="447">
        <f>(SUM(Q_IS!BV267:BY267))</f>
        <v>0</v>
      </c>
      <c r="AC41" s="447">
        <f>(SUM(Q_IS!BZ267:CC267))</f>
        <v>0</v>
      </c>
      <c r="AD41" s="447">
        <f>(SUM(Q_IS!CD267:CG267))</f>
        <v>0</v>
      </c>
      <c r="AE41" s="447">
        <f>(SUM(Q_IS!CH267:CK267))</f>
        <v>0</v>
      </c>
      <c r="AF41" s="447">
        <f>(SUM(Q_IS!CL267:CO267))</f>
        <v>0</v>
      </c>
      <c r="AG41" s="447">
        <f>(SUM(Q_IS!CP267:CS267))</f>
        <v>0</v>
      </c>
      <c r="AH41" s="447">
        <f>(SUM(Q_IS!CT267:CW267))</f>
        <v>0</v>
      </c>
      <c r="AI41"/>
      <c r="AJ41" s="1128"/>
      <c r="AK41" s="1128"/>
      <c r="AL41" s="1128"/>
      <c r="AM41" s="1128"/>
      <c r="AN41" s="1128"/>
      <c r="AP41" s="92"/>
    </row>
    <row r="42" spans="1:42" ht="11.25" hidden="1" customHeight="1" outlineLevel="1">
      <c r="A42" s="1497" t="s">
        <v>1315</v>
      </c>
      <c r="B42" s="1587"/>
      <c r="C42" s="1588"/>
      <c r="D42" s="1588"/>
      <c r="E42" s="1515"/>
      <c r="F42" s="1515"/>
      <c r="G42" s="1515"/>
      <c r="H42" s="1515"/>
      <c r="I42" s="1515"/>
      <c r="J42" s="1588"/>
      <c r="K42" s="1588"/>
      <c r="L42" s="1515"/>
      <c r="M42" s="1515"/>
      <c r="N42" s="1515"/>
      <c r="O42" s="1515"/>
      <c r="P42" s="1515"/>
      <c r="Q42" s="1515"/>
      <c r="R42" s="1515"/>
      <c r="S42" s="1589"/>
      <c r="T42" s="1589"/>
      <c r="U42" s="1589"/>
      <c r="V42" s="1589"/>
      <c r="W42" s="1589"/>
      <c r="X42" s="1589"/>
      <c r="Y42" s="1589"/>
      <c r="Z42" s="1589"/>
      <c r="AA42" s="1589"/>
      <c r="AB42" s="1589"/>
      <c r="AC42" s="1589"/>
      <c r="AD42" s="1589"/>
      <c r="AE42" s="1589"/>
      <c r="AF42" s="1589"/>
      <c r="AG42" s="1589"/>
      <c r="AH42" s="1589"/>
      <c r="AI42"/>
      <c r="AJ42" s="1128"/>
      <c r="AK42" s="1128"/>
      <c r="AL42" s="1128"/>
      <c r="AM42" s="1128"/>
      <c r="AN42" s="1128"/>
      <c r="AP42" s="92"/>
    </row>
    <row r="43" spans="1:42" ht="11.25" hidden="1" customHeight="1" outlineLevel="1">
      <c r="A43" s="42" t="s">
        <v>739</v>
      </c>
      <c r="B43" s="1586">
        <f t="shared" ref="B43:AE43" si="41">SUM(B44:B46)</f>
        <v>0</v>
      </c>
      <c r="C43" s="1586">
        <f t="shared" si="41"/>
        <v>0</v>
      </c>
      <c r="D43" s="1586">
        <f t="shared" si="41"/>
        <v>0</v>
      </c>
      <c r="E43" s="438">
        <f t="shared" si="41"/>
        <v>0</v>
      </c>
      <c r="F43" s="438">
        <f t="shared" si="41"/>
        <v>0</v>
      </c>
      <c r="G43" s="438">
        <f t="shared" si="41"/>
        <v>0</v>
      </c>
      <c r="H43" s="438">
        <f t="shared" si="41"/>
        <v>0</v>
      </c>
      <c r="I43" s="438">
        <f t="shared" si="41"/>
        <v>0</v>
      </c>
      <c r="J43" s="955">
        <f t="shared" si="41"/>
        <v>7416.3132538762447</v>
      </c>
      <c r="K43" s="955">
        <f t="shared" si="41"/>
        <v>7893.0007599895653</v>
      </c>
      <c r="L43" s="438">
        <f t="shared" si="41"/>
        <v>9268.319720597754</v>
      </c>
      <c r="M43" s="438">
        <f t="shared" si="41"/>
        <v>11921.302057355602</v>
      </c>
      <c r="N43" s="438">
        <f t="shared" si="41"/>
        <v>14249.273844885998</v>
      </c>
      <c r="O43" s="438">
        <f t="shared" si="41"/>
        <v>21212.509227896709</v>
      </c>
      <c r="P43" s="438">
        <f t="shared" si="41"/>
        <v>25139.1237676034</v>
      </c>
      <c r="Q43" s="438">
        <f t="shared" si="41"/>
        <v>29484.961101972011</v>
      </c>
      <c r="R43" s="438">
        <f t="shared" si="41"/>
        <v>34504.521282015208</v>
      </c>
      <c r="S43" s="438">
        <f t="shared" si="41"/>
        <v>43707.277342777423</v>
      </c>
      <c r="T43" s="438">
        <f>SUM(T44:T46)</f>
        <v>56502.43395927344</v>
      </c>
      <c r="U43" s="438">
        <f t="shared" si="41"/>
        <v>37367.488685752025</v>
      </c>
      <c r="V43" s="438">
        <f t="shared" si="41"/>
        <v>52240.570234885985</v>
      </c>
      <c r="W43" s="438">
        <f t="shared" si="41"/>
        <v>67508.766021870309</v>
      </c>
      <c r="X43" s="438">
        <f t="shared" ref="X43" si="42">SUM(X44:X46)</f>
        <v>73752.955197028728</v>
      </c>
      <c r="Y43" s="447">
        <f t="shared" si="41"/>
        <v>75726.165101287712</v>
      </c>
      <c r="Z43" s="447">
        <f t="shared" si="41"/>
        <v>82803.228931834121</v>
      </c>
      <c r="AA43" s="447">
        <f t="shared" si="41"/>
        <v>88376.838415543767</v>
      </c>
      <c r="AB43" s="447">
        <f t="shared" si="41"/>
        <v>93486.204146184173</v>
      </c>
      <c r="AC43" s="447">
        <f t="shared" si="41"/>
        <v>98328.494902813487</v>
      </c>
      <c r="AD43" s="447">
        <f t="shared" si="41"/>
        <v>103399.91042594376</v>
      </c>
      <c r="AE43" s="447">
        <f t="shared" si="41"/>
        <v>108605.2708007929</v>
      </c>
      <c r="AF43" s="447">
        <f t="shared" ref="AF43:AH43" si="43">SUM(AF44:AF46)</f>
        <v>113932.118912119</v>
      </c>
      <c r="AG43" s="447">
        <f t="shared" si="43"/>
        <v>119505.40964481822</v>
      </c>
      <c r="AH43" s="447">
        <f t="shared" si="43"/>
        <v>125328.76340855606</v>
      </c>
      <c r="AI43"/>
      <c r="AJ43" s="1128"/>
      <c r="AK43" s="1128"/>
      <c r="AL43" s="1128"/>
      <c r="AM43" s="1128"/>
      <c r="AN43" s="1128"/>
      <c r="AP43" s="92"/>
    </row>
    <row r="44" spans="1:42" ht="11.25" hidden="1" customHeight="1" outlineLevel="2">
      <c r="A44" s="86" t="s">
        <v>731</v>
      </c>
      <c r="B44" s="1586">
        <f>SUMPRODUCT(Q_IS!$B$41:$CK$41, --(YEAR(Q_IS!$B$4:$CK$4)=Financials!B$35))</f>
        <v>0</v>
      </c>
      <c r="C44" s="1586">
        <f>SUMPRODUCT(Q_IS!$B$41:$CK$41, --(YEAR(Q_IS!$B$4:$CK$4)=Financials!C$35))</f>
        <v>0</v>
      </c>
      <c r="D44" s="1586">
        <f>SUMPRODUCT(Q_IS!$B$41:$CK$41, --(YEAR(Q_IS!$B$4:$CK$4)=Financials!D$35))</f>
        <v>0</v>
      </c>
      <c r="E44" s="438">
        <f>SUMPRODUCT(Q_IS!$B$41:$CK$41, --(YEAR(Q_IS!$B$4:$CK$4)=Financials!E$35))</f>
        <v>0</v>
      </c>
      <c r="F44" s="438">
        <f>SUMPRODUCT(Q_IS!$B$41:$CK$41, --(YEAR(Q_IS!$B$4:$CK$4)=Financials!F$35))</f>
        <v>0</v>
      </c>
      <c r="G44" s="438">
        <f>SUMPRODUCT(Q_IS!$B$41:$CK$41, --(YEAR(Q_IS!$B$4:$CK$4)=Financials!G$35))</f>
        <v>0</v>
      </c>
      <c r="H44" s="438">
        <f>SUMPRODUCT(Q_IS!$B$41:$CK$41, --(YEAR(Q_IS!$B$4:$CK$4)=Financials!H$35))</f>
        <v>0</v>
      </c>
      <c r="I44" s="438">
        <f>SUMPRODUCT(Q_IS!$B$41:$CK$41, --(YEAR(Q_IS!$B$4:$CK$4)=Financials!I$35))</f>
        <v>0</v>
      </c>
      <c r="J44" s="955">
        <f>SUMPRODUCT(Q_IS!$B$41:$CK$41, --(YEAR(Q_IS!$B$4:$CK$4)=Financials!J$35))</f>
        <v>6032</v>
      </c>
      <c r="K44" s="955">
        <f>SUMPRODUCT(Q_IS!$B$41:$CK$41, --(YEAR(Q_IS!$B$4:$CK$4)=Financials!K$35))</f>
        <v>6111.2000000000007</v>
      </c>
      <c r="L44" s="438">
        <f>SUMPRODUCT(Q_IS!$B$41:$CK$41, --(YEAR(Q_IS!$B$4:$CK$4)=Financials!L$35))</f>
        <v>6889.9189999999999</v>
      </c>
      <c r="M44" s="438">
        <f>SUMPRODUCT(Q_IS!$B$41:$CK$41, --(YEAR(Q_IS!$B$4:$CK$4)=Financials!M$35))</f>
        <v>8537.4189999999981</v>
      </c>
      <c r="N44" s="438">
        <f>SUMPRODUCT(Q_IS!$B$41:$CK$41, --(YEAR(Q_IS!$B$4:$CK$4)=Financials!N$35))</f>
        <v>10051.842000000001</v>
      </c>
      <c r="O44" s="438">
        <f>SUMPRODUCT(Q_IS!$B$41:$CK$41, --(YEAR(Q_IS!$B$4:$CK$4)=Financials!O$35))</f>
        <v>15158.991</v>
      </c>
      <c r="P44" s="438">
        <f>SUMPRODUCT(Q_IS!$B$41:$CK$41, --(YEAR(Q_IS!$B$4:$CK$4)=Financials!P$35))</f>
        <v>12882.855</v>
      </c>
      <c r="Q44" s="438">
        <f>SUMPRODUCT(Q_IS!$B$41:$CK$41, --(YEAR(Q_IS!$B$4:$CK$4)=Financials!Q$35))</f>
        <v>13940.262000000001</v>
      </c>
      <c r="R44" s="438">
        <f>SUMPRODUCT(Q_IS!$B$41:$CK$41, --(YEAR(Q_IS!$B$4:$CK$4)=Financials!R$35))</f>
        <v>15839.212</v>
      </c>
      <c r="S44" s="438">
        <f>SUMPRODUCT(Q_IS!$B$41:$CK$41, --(YEAR(Q_IS!$B$4:$CK$4)=Financials!S$35))</f>
        <v>23824.762999999999</v>
      </c>
      <c r="T44" s="438">
        <f>SUMPRODUCT(Q_IS!$B$41:$CK$41, --(YEAR(Q_IS!$B$4:$CK$4)=Financials!T$35))</f>
        <v>26086.892999999996</v>
      </c>
      <c r="U44" s="438">
        <f>SUMPRODUCT(Q_IS!$B$41:$CK$41, --(YEAR(Q_IS!$B$4:$CK$4)=Financials!U$35))</f>
        <v>18285.574000000001</v>
      </c>
      <c r="V44" s="438">
        <f>SUMPRODUCT(Q_IS!$B$41:$CK$41, --(YEAR(Q_IS!$B$4:$CK$4)=Financials!V$35))</f>
        <v>25377.499</v>
      </c>
      <c r="W44" s="438">
        <f>SUMPRODUCT(Q_IS!$B$41:$CK$41, --(YEAR(Q_IS!$B$4:$CK$4)=Financials!W$35))</f>
        <v>32773.726999999999</v>
      </c>
      <c r="X44" s="438">
        <f>SUMPRODUCT(Q_IS!$B$41:$CK$41, --(YEAR(Q_IS!$B$4:$CK$4)=Financials!X$35))</f>
        <v>37509.160000000003</v>
      </c>
      <c r="Y44" s="447">
        <f>SUMPRODUCT(Q_IS!$B$41:$CK$41, --(YEAR(Q_IS!$B$4:$CK$4)=Financials!Y$35))</f>
        <v>40863.105412432342</v>
      </c>
      <c r="Z44" s="447">
        <f>SUMPRODUCT(Q_IS!$B$41:$CK$41, --(YEAR(Q_IS!$B$4:$CK$4)=Financials!Z$35))</f>
        <v>43146.881227156191</v>
      </c>
      <c r="AA44" s="447">
        <f>SUMPRODUCT(Q_IS!$B$41:$CK$41, --(YEAR(Q_IS!$B$4:$CK$4)=Financials!AA$35))</f>
        <v>45637.05111813551</v>
      </c>
      <c r="AB44" s="447">
        <f>SUMPRODUCT(Q_IS!$B$41:$CK$41, --(YEAR(Q_IS!$B$4:$CK$4)=Financials!AB$35))</f>
        <v>48109.902576968554</v>
      </c>
      <c r="AC44" s="447">
        <f>SUMPRODUCT(Q_IS!$B$41:$CK$41, --(YEAR(Q_IS!$B$4:$CK$4)=Financials!AC$35))</f>
        <v>50141.680561681002</v>
      </c>
      <c r="AD44" s="447">
        <f>SUMPRODUCT(Q_IS!$B$41:$CK$41, --(YEAR(Q_IS!$B$4:$CK$4)=Financials!AD$35))</f>
        <v>52246.953982759165</v>
      </c>
      <c r="AE44" s="447" cm="1">
        <f t="array" ref="AE44">SUMPRODUCT(Q_IS!$B$41:$CW$41, --(YEAR(Q_IS!$B$4:$CW$4)=Financials!AE$35))</f>
        <v>54380.768535681287</v>
      </c>
      <c r="AF44" s="447" cm="1">
        <f t="array" ref="AF44">SUMPRODUCT(Q_IS!$B$41:$CW$41, --(YEAR(Q_IS!$B$4:$CW$4)=Financials!AF$35))</f>
        <v>56512.345875665036</v>
      </c>
      <c r="AG44" s="447" cm="1">
        <f t="array" ref="AG44">SUMPRODUCT(Q_IS!$B$41:$CW$41, --(YEAR(Q_IS!$B$4:$CW$4)=Financials!AG$35))</f>
        <v>58718.822796669774</v>
      </c>
      <c r="AH44" s="447" cm="1">
        <f t="array" ref="AH44">SUMPRODUCT(Q_IS!$B$41:$CW$41, --(YEAR(Q_IS!$B$4:$CW$4)=Financials!AH$35))</f>
        <v>60999.783661480469</v>
      </c>
      <c r="AI44"/>
      <c r="AJ44" s="1272"/>
      <c r="AK44" s="1128"/>
      <c r="AL44" s="1128"/>
      <c r="AM44" s="1128"/>
      <c r="AN44" s="1128"/>
      <c r="AP44" s="92"/>
    </row>
    <row r="45" spans="1:42" ht="11.25" hidden="1" customHeight="1" outlineLevel="2">
      <c r="A45" s="86" t="s">
        <v>949</v>
      </c>
      <c r="B45" s="1586">
        <f>SUMPRODUCT(Q_IS!$B$108:$CK$108, --(YEAR(Q_IS!$B$4:$CK$4)=Financials!B$35))</f>
        <v>0</v>
      </c>
      <c r="C45" s="1586">
        <f>SUMPRODUCT(Q_IS!$B$108:$CK$108, --(YEAR(Q_IS!$B$4:$CK$4)=Financials!C$35))</f>
        <v>0</v>
      </c>
      <c r="D45" s="1586">
        <f>SUMPRODUCT(Q_IS!$B$108:$CK$108, --(YEAR(Q_IS!$B$4:$CK$4)=Financials!D$35))</f>
        <v>0</v>
      </c>
      <c r="E45" s="438">
        <f>SUMPRODUCT(Q_IS!$B$108:$CK$108, --(YEAR(Q_IS!$B$4:$CK$4)=Financials!E$35))</f>
        <v>0</v>
      </c>
      <c r="F45" s="438">
        <f>SUMPRODUCT(Q_IS!$B$108:$CK$108, --(YEAR(Q_IS!$B$4:$CK$4)=Financials!F$35))</f>
        <v>0</v>
      </c>
      <c r="G45" s="438">
        <f>SUMPRODUCT(Q_IS!$B$108:$CK$108, --(YEAR(Q_IS!$B$4:$CK$4)=Financials!G$35))</f>
        <v>0</v>
      </c>
      <c r="H45" s="438">
        <f>SUMPRODUCT(Q_IS!$B$108:$CK$108, --(YEAR(Q_IS!$B$4:$CK$4)=Financials!H$35))</f>
        <v>0</v>
      </c>
      <c r="I45" s="438">
        <f>SUMPRODUCT(Q_IS!$B$108:$CK$108, --(YEAR(Q_IS!$B$4:$CK$4)=Financials!I$35))</f>
        <v>0</v>
      </c>
      <c r="J45" s="1586">
        <f>SUMPRODUCT(Q_IS!$B$108:$CK$108, --(YEAR(Q_IS!$B$4:$CK$4)=Financials!J$35))</f>
        <v>0</v>
      </c>
      <c r="K45" s="1586">
        <f>SUMPRODUCT(Q_IS!$B$108:$CK$108, --(YEAR(Q_IS!$B$4:$CK$4)=Financials!K$35))</f>
        <v>0</v>
      </c>
      <c r="L45" s="438">
        <f>SUMPRODUCT(Q_IS!$B$108:$CK$108, --(YEAR(Q_IS!$B$4:$CK$4)=Financials!L$35))</f>
        <v>0</v>
      </c>
      <c r="M45" s="438">
        <f>SUMPRODUCT(Q_IS!$B$108:$CK$108, --(YEAR(Q_IS!$B$4:$CK$4)=Financials!M$35))</f>
        <v>0</v>
      </c>
      <c r="N45" s="438">
        <f>SUMPRODUCT(Q_IS!$B$108:$CK$108, --(YEAR(Q_IS!$B$4:$CK$4)=Financials!N$35))</f>
        <v>0</v>
      </c>
      <c r="O45" s="438">
        <f>SUMPRODUCT(Q_IS!$B$108:$CK$108, --(YEAR(Q_IS!$B$4:$CK$4)=Financials!O$35))</f>
        <v>1438.0019461563413</v>
      </c>
      <c r="P45" s="438">
        <f>SUMPRODUCT(Q_IS!$B$108:$CK$108, --(YEAR(Q_IS!$B$4:$CK$4)=Financials!P$35))</f>
        <v>5553.0794698838818</v>
      </c>
      <c r="Q45" s="438">
        <f>SUMPRODUCT(Q_IS!$B$108:$CK$108, --(YEAR(Q_IS!$B$4:$CK$4)=Financials!Q$35))</f>
        <v>7437.0882252644215</v>
      </c>
      <c r="R45" s="438">
        <f>SUMPRODUCT(Q_IS!$B$108:$CK$108, --(YEAR(Q_IS!$B$4:$CK$4)=Financials!R$35))</f>
        <v>8401.3262225735634</v>
      </c>
      <c r="S45" s="438">
        <f>SUMPRODUCT(Q_IS!$B$108:$CK$108, --(YEAR(Q_IS!$B$4:$CK$4)=Financials!S$35))</f>
        <v>9703.3249278333606</v>
      </c>
      <c r="T45" s="438">
        <f>SUMPRODUCT(Q_IS!$B$108:$CK$108, --(YEAR(Q_IS!$B$4:$CK$4)=Financials!T$35))</f>
        <v>20698.116579915404</v>
      </c>
      <c r="U45" s="438">
        <f>SUMPRODUCT(Q_IS!$B$108:$CK$108, --(YEAR(Q_IS!$B$4:$CK$4)=Financials!U$35))</f>
        <v>13505.364833031459</v>
      </c>
      <c r="V45" s="438">
        <f>SUMPRODUCT(Q_IS!$B$108:$CK$108, --(YEAR(Q_IS!$B$4:$CK$4)=Financials!V$35))</f>
        <v>17924.478099027656</v>
      </c>
      <c r="W45" s="438">
        <f>SUMPRODUCT(Q_IS!$B$108:$CK$108, --(YEAR(Q_IS!$B$4:$CK$4)=Financials!W$35))</f>
        <v>21388.628863315877</v>
      </c>
      <c r="X45" s="438">
        <f>SUMPRODUCT(Q_IS!$B$108:$CK$108, --(YEAR(Q_IS!$B$4:$CK$4)=Financials!X$35))</f>
        <v>22380.611228129557</v>
      </c>
      <c r="Y45" s="447">
        <f>SUMPRODUCT(Q_IS!$B$108:$CK$108, --(YEAR(Q_IS!$B$4:$CK$4)=Financials!Y$35))</f>
        <v>23438.526543660075</v>
      </c>
      <c r="Z45" s="447">
        <f>SUMPRODUCT(Q_IS!$B$108:$CK$108, --(YEAR(Q_IS!$B$4:$CK$4)=Financials!Z$35))</f>
        <v>27243.572919513805</v>
      </c>
      <c r="AA45" s="447">
        <f>SUMPRODUCT(Q_IS!$B$108:$CK$108, --(YEAR(Q_IS!$B$4:$CK$4)=Financials!AA$35))</f>
        <v>29752.930079946498</v>
      </c>
      <c r="AB45" s="447">
        <f>SUMPRODUCT(Q_IS!$B$108:$CK$108, --(YEAR(Q_IS!$B$4:$CK$4)=Financials!AB$35))</f>
        <v>32147.211307225676</v>
      </c>
      <c r="AC45" s="447">
        <f>SUMPRODUCT(Q_IS!$B$108:$CK$108, --(YEAR(Q_IS!$B$4:$CK$4)=Financials!AC$35))</f>
        <v>34619.631649755655</v>
      </c>
      <c r="AD45" s="447">
        <f>SUMPRODUCT(Q_IS!$B$108:$CK$108, --(YEAR(Q_IS!$B$4:$CK$4)=Financials!AD$35))</f>
        <v>37245.190885140706</v>
      </c>
      <c r="AE45" s="447" cm="1">
        <f t="array" ref="AE45">SUMPRODUCT(Q_IS!$B$108:$CW$108, --(YEAR(Q_IS!$B$4:$CW$4)=Financials!AE$35))</f>
        <v>39975.566389724452</v>
      </c>
      <c r="AF45" s="447" cm="1">
        <f t="array" ref="AF45">SUMPRODUCT(Q_IS!$B$108:$CW$108, --(YEAR(Q_IS!$B$4:$CW$4)=Financials!AF$35))</f>
        <v>42837.616647417417</v>
      </c>
      <c r="AG45" s="447" cm="1">
        <f t="array" ref="AG45">SUMPRODUCT(Q_IS!$B$108:$CW$108, --(YEAR(Q_IS!$B$4:$CW$4)=Financials!AG$35))</f>
        <v>45871.001348459431</v>
      </c>
      <c r="AH45" s="447" cm="1">
        <f t="array" ref="AH45">SUMPRODUCT(Q_IS!$B$108:$CW$108, --(YEAR(Q_IS!$B$4:$CW$4)=Financials!AH$35))</f>
        <v>49075.171546525671</v>
      </c>
      <c r="AI45"/>
      <c r="AJ45" s="1272"/>
      <c r="AK45" s="1128"/>
      <c r="AL45" s="1128"/>
      <c r="AM45" s="1128"/>
      <c r="AN45" s="1128"/>
      <c r="AP45" s="92"/>
    </row>
    <row r="46" spans="1:42" ht="11.25" hidden="1" customHeight="1" outlineLevel="2">
      <c r="A46" s="86" t="s">
        <v>733</v>
      </c>
      <c r="B46" s="1586">
        <f>SUMPRODUCT(Q_IS!$B$192:$CK$192, --(YEAR(Q_IS!$B$4:$CK$4)=Financials!B$35))</f>
        <v>0</v>
      </c>
      <c r="C46" s="1586">
        <f>SUMPRODUCT(Q_IS!$B$192:$CK$192, --(YEAR(Q_IS!$B$4:$CK$4)=Financials!C$35))</f>
        <v>0</v>
      </c>
      <c r="D46" s="1586">
        <f>SUMPRODUCT(Q_IS!$B$192:$CK$192, --(YEAR(Q_IS!$B$4:$CK$4)=Financials!D$35))</f>
        <v>0</v>
      </c>
      <c r="E46" s="438">
        <f>SUMPRODUCT(Q_IS!$B$192:$CK$192, --(YEAR(Q_IS!$B$4:$CK$4)=Financials!E$35))</f>
        <v>0</v>
      </c>
      <c r="F46" s="438">
        <f>SUMPRODUCT(Q_IS!$B$192:$CK$192, --(YEAR(Q_IS!$B$4:$CK$4)=Financials!F$35))</f>
        <v>0</v>
      </c>
      <c r="G46" s="438">
        <f>SUMPRODUCT(Q_IS!$B$192:$CK$192, --(YEAR(Q_IS!$B$4:$CK$4)=Financials!G$35))</f>
        <v>0</v>
      </c>
      <c r="H46" s="438">
        <f>SUMPRODUCT(Q_IS!$B$192:$CK$192, --(YEAR(Q_IS!$B$4:$CK$4)=Financials!H$35))</f>
        <v>0</v>
      </c>
      <c r="I46" s="438">
        <f>SUMPRODUCT(Q_IS!$B$192:$CK$192, --(YEAR(Q_IS!$B$4:$CK$4)=Financials!I$35))</f>
        <v>0</v>
      </c>
      <c r="J46" s="955">
        <f>SUMPRODUCT(Q_IS!$B$192:$CK$192, --(YEAR(Q_IS!$B$4:$CK$4)=Financials!J$35))</f>
        <v>1384.3132538762447</v>
      </c>
      <c r="K46" s="955">
        <f>SUMPRODUCT(Q_IS!$B$192:$CK$192, --(YEAR(Q_IS!$B$4:$CK$4)=Financials!K$35))</f>
        <v>1781.8007599895641</v>
      </c>
      <c r="L46" s="438">
        <f>SUMPRODUCT(Q_IS!$B$192:$CK$192, --(YEAR(Q_IS!$B$4:$CK$4)=Financials!L$35))</f>
        <v>2378.4007205977541</v>
      </c>
      <c r="M46" s="438">
        <f>SUMPRODUCT(Q_IS!$B$192:$CK$192, --(YEAR(Q_IS!$B$4:$CK$4)=Financials!M$35))</f>
        <v>3383.8830573556043</v>
      </c>
      <c r="N46" s="438">
        <f>SUMPRODUCT(Q_IS!$B$192:$CK$192, --(YEAR(Q_IS!$B$4:$CK$4)=Financials!N$35))</f>
        <v>4197.4318448859976</v>
      </c>
      <c r="O46" s="438">
        <f>SUMPRODUCT(Q_IS!$B$192:$CK$192, --(YEAR(Q_IS!$B$4:$CK$4)=Financials!O$35))</f>
        <v>4615.516281740368</v>
      </c>
      <c r="P46" s="438">
        <f>SUMPRODUCT(Q_IS!$B$192:$CK$192, --(YEAR(Q_IS!$B$4:$CK$4)=Financials!P$35))</f>
        <v>6703.1892977195157</v>
      </c>
      <c r="Q46" s="438">
        <f>SUMPRODUCT(Q_IS!$B$192:$CK$192, --(YEAR(Q_IS!$B$4:$CK$4)=Financials!Q$35))</f>
        <v>8107.6108767075912</v>
      </c>
      <c r="R46" s="438">
        <f>SUMPRODUCT(Q_IS!$B$192:$CK$192, --(YEAR(Q_IS!$B$4:$CK$4)=Financials!R$35))</f>
        <v>10263.983059441645</v>
      </c>
      <c r="S46" s="438">
        <f>SUMPRODUCT(Q_IS!$B$192:$CK$192, --(YEAR(Q_IS!$B$4:$CK$4)=Financials!S$35))</f>
        <v>10179.18941494406</v>
      </c>
      <c r="T46" s="438">
        <f>SUMPRODUCT(Q_IS!$B$192:$CK$192, --(YEAR(Q_IS!$B$4:$CK$4)=Financials!T$35))</f>
        <v>9717.4243793580372</v>
      </c>
      <c r="U46" s="438">
        <f>SUMPRODUCT(Q_IS!$B$192:$CK$192, --(YEAR(Q_IS!$B$4:$CK$4)=Financials!U$35))</f>
        <v>5576.5498527205646</v>
      </c>
      <c r="V46" s="438">
        <f>SUMPRODUCT(Q_IS!$B$192:$CK$192, --(YEAR(Q_IS!$B$4:$CK$4)=Financials!V$35))</f>
        <v>8938.5931358583257</v>
      </c>
      <c r="W46" s="438">
        <f>SUMPRODUCT(Q_IS!$B$192:$CK$192, --(YEAR(Q_IS!$B$4:$CK$4)=Financials!W$35))</f>
        <v>13346.410158554427</v>
      </c>
      <c r="X46" s="438">
        <f>SUMPRODUCT(Q_IS!$B$192:$CK$192, --(YEAR(Q_IS!$B$4:$CK$4)=Financials!X$35))</f>
        <v>13863.183968899175</v>
      </c>
      <c r="Y46" s="447">
        <f>SUMPRODUCT(Q_IS!$B$192:$CK$192, --(YEAR(Q_IS!$B$4:$CK$4)=Financials!Y$35))</f>
        <v>11424.533145195295</v>
      </c>
      <c r="Z46" s="447">
        <f>SUMPRODUCT(Q_IS!$B$192:$CK$192, --(YEAR(Q_IS!$B$4:$CK$4)=Financials!Z$35))</f>
        <v>12412.774785164112</v>
      </c>
      <c r="AA46" s="447">
        <f>SUMPRODUCT(Q_IS!$B$192:$CK$192, --(YEAR(Q_IS!$B$4:$CK$4)=Financials!AA$35))</f>
        <v>12986.857217461753</v>
      </c>
      <c r="AB46" s="447">
        <f>SUMPRODUCT(Q_IS!$B$192:$CK$192, --(YEAR(Q_IS!$B$4:$CK$4)=Financials!AB$35))</f>
        <v>13229.090261989935</v>
      </c>
      <c r="AC46" s="447">
        <f>SUMPRODUCT(Q_IS!$B$192:$CK$192, --(YEAR(Q_IS!$B$4:$CK$4)=Financials!AC$35))</f>
        <v>13567.182691376829</v>
      </c>
      <c r="AD46" s="447">
        <f>SUMPRODUCT(Q_IS!$B$192:$CK$192, --(YEAR(Q_IS!$B$4:$CK$4)=Financials!AD$35))</f>
        <v>13907.765558043888</v>
      </c>
      <c r="AE46" s="447" cm="1">
        <f t="array" ref="AE46">SUMPRODUCT(Q_IS!$B$192:$CW$192, --(YEAR(Q_IS!$B$4:$CW$4)=Financials!AE$35))</f>
        <v>14248.935875387167</v>
      </c>
      <c r="AF46" s="447" cm="1">
        <f t="array" ref="AF46">SUMPRODUCT(Q_IS!$B$192:$CW$192, --(YEAR(Q_IS!$B$4:$CW$4)=Financials!AF$35))</f>
        <v>14582.156389036551</v>
      </c>
      <c r="AG46" s="447" cm="1">
        <f t="array" ref="AG46">SUMPRODUCT(Q_IS!$B$192:$CW$192, --(YEAR(Q_IS!$B$4:$CW$4)=Financials!AG$35))</f>
        <v>14915.58549968901</v>
      </c>
      <c r="AH46" s="447" cm="1">
        <f t="array" ref="AH46">SUMPRODUCT(Q_IS!$B$192:$CW$192, --(YEAR(Q_IS!$B$4:$CW$4)=Financials!AH$35))</f>
        <v>15253.808200549915</v>
      </c>
      <c r="AI46"/>
      <c r="AJ46" s="1272"/>
      <c r="AK46" s="1128"/>
      <c r="AL46" s="1128"/>
      <c r="AM46" s="1128"/>
      <c r="AN46" s="1128"/>
      <c r="AP46" s="92"/>
    </row>
    <row r="47" spans="1:42" ht="11.25" hidden="1" customHeight="1" outlineLevel="1">
      <c r="A47" s="42" t="s">
        <v>744</v>
      </c>
      <c r="B47" s="1586">
        <f t="shared" ref="B47:Z47" si="44">SUM(B48:B50)</f>
        <v>0</v>
      </c>
      <c r="C47" s="1586">
        <f t="shared" si="44"/>
        <v>0</v>
      </c>
      <c r="D47" s="1586">
        <f t="shared" si="44"/>
        <v>0</v>
      </c>
      <c r="E47" s="438">
        <f t="shared" si="44"/>
        <v>0</v>
      </c>
      <c r="F47" s="438">
        <f t="shared" si="44"/>
        <v>0</v>
      </c>
      <c r="G47" s="438">
        <f t="shared" si="44"/>
        <v>0</v>
      </c>
      <c r="H47" s="438">
        <f t="shared" si="44"/>
        <v>0</v>
      </c>
      <c r="I47" s="438">
        <f t="shared" si="44"/>
        <v>0</v>
      </c>
      <c r="J47" s="955">
        <f t="shared" si="44"/>
        <v>3065.5</v>
      </c>
      <c r="K47" s="955">
        <f t="shared" si="44"/>
        <v>2973.8999999999996</v>
      </c>
      <c r="L47" s="438">
        <f t="shared" si="44"/>
        <v>3396.6000000000004</v>
      </c>
      <c r="M47" s="438">
        <f t="shared" si="44"/>
        <v>4033.8999999999996</v>
      </c>
      <c r="N47" s="438">
        <f t="shared" si="44"/>
        <v>4329.3</v>
      </c>
      <c r="O47" s="438">
        <f t="shared" si="44"/>
        <v>5064</v>
      </c>
      <c r="P47" s="438">
        <f t="shared" si="44"/>
        <v>6374</v>
      </c>
      <c r="Q47" s="438">
        <f t="shared" si="44"/>
        <v>7258</v>
      </c>
      <c r="R47" s="438">
        <f t="shared" si="44"/>
        <v>7026</v>
      </c>
      <c r="S47" s="438">
        <f t="shared" si="44"/>
        <v>974.42199999999991</v>
      </c>
      <c r="T47" s="438">
        <f>SUM(T48:T50)</f>
        <v>235.69200000000001</v>
      </c>
      <c r="U47" s="438">
        <f t="shared" si="44"/>
        <v>275.13300000000004</v>
      </c>
      <c r="V47" s="438">
        <f t="shared" si="44"/>
        <v>320.24799999999999</v>
      </c>
      <c r="W47" s="438">
        <f t="shared" si="44"/>
        <v>394.911</v>
      </c>
      <c r="X47" s="438">
        <f t="shared" ref="X47" si="45">SUM(X48:X50)</f>
        <v>1522.79</v>
      </c>
      <c r="Y47" s="447">
        <f t="shared" si="44"/>
        <v>1813.2160087767734</v>
      </c>
      <c r="Z47" s="447">
        <f t="shared" si="44"/>
        <v>2022.6921183046925</v>
      </c>
      <c r="AA47" s="447">
        <f>SUM(AA48:AA50)</f>
        <v>2249.7075590707109</v>
      </c>
      <c r="AB47" s="447">
        <f>SUM(AB48:AB50)</f>
        <v>2469.1799204990921</v>
      </c>
      <c r="AC47" s="447">
        <f>SUM(AC48:AC50)</f>
        <v>2664.9083229990501</v>
      </c>
      <c r="AD47" s="447">
        <f>SUM(AD48:AD50)</f>
        <v>2871.2855556078021</v>
      </c>
      <c r="AE47" s="447">
        <f>SUM(AE48:AE50)</f>
        <v>3078.222840260978</v>
      </c>
      <c r="AF47" s="447">
        <f t="shared" ref="AF47:AH47" si="46">SUM(AF48:AF50)</f>
        <v>3286.8163897927934</v>
      </c>
      <c r="AG47" s="447">
        <f t="shared" si="46"/>
        <v>3506.2153590858352</v>
      </c>
      <c r="AH47" s="447">
        <f t="shared" si="46"/>
        <v>3726.0480459784253</v>
      </c>
      <c r="AI47"/>
      <c r="AJ47" s="1128">
        <f t="shared" ref="AJ47" si="47">IFERROR((U47/P47)^(1/5)-1,"NM")</f>
        <v>-0.46663302088537983</v>
      </c>
      <c r="AK47" s="1128">
        <f>IFERROR((X47/U47)^(1/3)-1,"NM")</f>
        <v>0.76888301104618129</v>
      </c>
      <c r="AL47" s="1128">
        <f>IFERROR((AA47/Y47)^(1/2)-1,"NM")</f>
        <v>0.11387962874884017</v>
      </c>
      <c r="AM47" s="1128">
        <f>IFERROR((AD47/AA47)^(1/3)-1,"NM")</f>
        <v>8.4717814915540535E-2</v>
      </c>
      <c r="AN47" s="1128">
        <f>IFERROR((AH47/X47)^(1/10)-1,"NM")</f>
        <v>9.3605897139474425E-2</v>
      </c>
      <c r="AP47" s="92"/>
    </row>
    <row r="48" spans="1:42" ht="11.25" hidden="1" customHeight="1" outlineLevel="2">
      <c r="A48" s="86" t="s">
        <v>731</v>
      </c>
      <c r="B48" s="1586">
        <f>SUMPRODUCT(Q_IS!$B$52:$CK$52, --(YEAR(Q_IS!$B$4:$CK$4)=Financials!B$35))</f>
        <v>0</v>
      </c>
      <c r="C48" s="1586">
        <f>SUMPRODUCT(Q_IS!$B$52:$CK$52, --(YEAR(Q_IS!$B$4:$CK$4)=Financials!C$35))</f>
        <v>0</v>
      </c>
      <c r="D48" s="1586">
        <f>SUMPRODUCT(Q_IS!$B$52:$CK$52, --(YEAR(Q_IS!$B$4:$CK$4)=Financials!D$35))</f>
        <v>0</v>
      </c>
      <c r="E48" s="438">
        <f>SUMPRODUCT(Q_IS!$B$52:$CK$52, --(YEAR(Q_IS!$B$4:$CK$4)=Financials!E$35))</f>
        <v>0</v>
      </c>
      <c r="F48" s="438">
        <f>SUMPRODUCT(Q_IS!$B$52:$CK$52, --(YEAR(Q_IS!$B$4:$CK$4)=Financials!F$35))</f>
        <v>0</v>
      </c>
      <c r="G48" s="438">
        <f>SUMPRODUCT(Q_IS!$B$52:$CK$52, --(YEAR(Q_IS!$B$4:$CK$4)=Financials!G$35))</f>
        <v>0</v>
      </c>
      <c r="H48" s="438">
        <f>SUMPRODUCT(Q_IS!$B$52:$CK$52, --(YEAR(Q_IS!$B$4:$CK$4)=Financials!H$35))</f>
        <v>0</v>
      </c>
      <c r="I48" s="438">
        <f>SUMPRODUCT(Q_IS!$B$52:$CK$52, --(YEAR(Q_IS!$B$4:$CK$4)=Financials!I$35))</f>
        <v>0</v>
      </c>
      <c r="J48" s="955">
        <f>SUMPRODUCT(Q_IS!$B$52:$CK$52, --(YEAR(Q_IS!$B$4:$CK$4)=Financials!J$35))</f>
        <v>3065.5</v>
      </c>
      <c r="K48" s="955">
        <f>SUMPRODUCT(Q_IS!$B$52:$CK$52, --(YEAR(Q_IS!$B$4:$CK$4)=Financials!K$35))</f>
        <v>2973.8999999999996</v>
      </c>
      <c r="L48" s="438">
        <f>SUMPRODUCT(Q_IS!$B$52:$CK$52, --(YEAR(Q_IS!$B$4:$CK$4)=Financials!L$35))</f>
        <v>3396.6000000000004</v>
      </c>
      <c r="M48" s="438">
        <f>SUMPRODUCT(Q_IS!$B$52:$CK$52, --(YEAR(Q_IS!$B$4:$CK$4)=Financials!M$35))</f>
        <v>4033.8999999999996</v>
      </c>
      <c r="N48" s="438">
        <f>SUMPRODUCT(Q_IS!$B$52:$CK$52, --(YEAR(Q_IS!$B$4:$CK$4)=Financials!N$35))</f>
        <v>4329.3</v>
      </c>
      <c r="O48" s="438">
        <f>SUMPRODUCT(Q_IS!$B$52:$CK$52, --(YEAR(Q_IS!$B$4:$CK$4)=Financials!O$35))</f>
        <v>5064</v>
      </c>
      <c r="P48" s="438">
        <f>SUMPRODUCT(Q_IS!$B$52:$CK$52, --(YEAR(Q_IS!$B$4:$CK$4)=Financials!P$35))</f>
        <v>6374</v>
      </c>
      <c r="Q48" s="438">
        <f>SUMPRODUCT(Q_IS!$B$52:$CK$52, --(YEAR(Q_IS!$B$4:$CK$4)=Financials!Q$35))</f>
        <v>7258</v>
      </c>
      <c r="R48" s="438">
        <f>SUMPRODUCT(Q_IS!$B$52:$CK$52, --(YEAR(Q_IS!$B$4:$CK$4)=Financials!R$35))</f>
        <v>7026</v>
      </c>
      <c r="S48" s="438">
        <f>SUMPRODUCT(Q_IS!$B$52:$CK$52, --(YEAR(Q_IS!$B$4:$CK$4)=Financials!S$35))</f>
        <v>974.42199999999991</v>
      </c>
      <c r="T48" s="438">
        <f>SUMPRODUCT(Q_IS!$B$52:$CK$52, --(YEAR(Q_IS!$B$4:$CK$4)=Financials!T$35))</f>
        <v>235.69200000000001</v>
      </c>
      <c r="U48" s="438">
        <f>SUMPRODUCT(Q_IS!$B$52:$CK$52, --(YEAR(Q_IS!$B$4:$CK$4)=Financials!U$35))</f>
        <v>275.13300000000004</v>
      </c>
      <c r="V48" s="438">
        <f>SUMPRODUCT(Q_IS!$B$52:$CK$52, --(YEAR(Q_IS!$B$4:$CK$4)=Financials!V$35))</f>
        <v>320.24799999999999</v>
      </c>
      <c r="W48" s="438">
        <f>SUMPRODUCT(Q_IS!$B$52:$CK$52, --(YEAR(Q_IS!$B$4:$CK$4)=Financials!W$35))</f>
        <v>394.911</v>
      </c>
      <c r="X48" s="438">
        <f>SUMPRODUCT(Q_IS!$B$52:$CK$52, --(YEAR(Q_IS!$B$4:$CK$4)=Financials!X$35))</f>
        <v>1522.79</v>
      </c>
      <c r="Y48" s="447">
        <f>SUMPRODUCT(Q_IS!$B$52:$CK$52, --(YEAR(Q_IS!$B$4:$CK$4)=Financials!Y$35))</f>
        <v>1813.2160087767734</v>
      </c>
      <c r="Z48" s="447">
        <f>SUMPRODUCT(Q_IS!$B$52:$CK$52, --(YEAR(Q_IS!$B$4:$CK$4)=Financials!Z$35))</f>
        <v>2022.6921183046925</v>
      </c>
      <c r="AA48" s="447">
        <f>SUMPRODUCT(Q_IS!$B$52:$CK$52, --(YEAR(Q_IS!$B$4:$CK$4)=Financials!AA$35))</f>
        <v>2249.7075590707109</v>
      </c>
      <c r="AB48" s="447">
        <f>SUMPRODUCT(Q_IS!$B$52:$CK$52, --(YEAR(Q_IS!$B$4:$CK$4)=Financials!AB$35))</f>
        <v>2469.1799204990921</v>
      </c>
      <c r="AC48" s="447">
        <f>SUMPRODUCT(Q_IS!$B$52:$CK$52, --(YEAR(Q_IS!$B$4:$CK$4)=Financials!AC$35))</f>
        <v>2664.9083229990501</v>
      </c>
      <c r="AD48" s="447">
        <f>SUMPRODUCT(Q_IS!$B$52:$CK$52, --(YEAR(Q_IS!$B$4:$CK$4)=Financials!AD$35))</f>
        <v>2871.2855556078021</v>
      </c>
      <c r="AE48" s="447" cm="1">
        <f t="array" ref="AE48">SUMPRODUCT(Q_IS!$B$52:$CW$52, --(YEAR(Q_IS!$B$4:$CW$4)=Financials!AE$35))</f>
        <v>3078.222840260978</v>
      </c>
      <c r="AF48" s="447" cm="1">
        <f t="array" ref="AF48">SUMPRODUCT(Q_IS!$B$52:$CW$52, --(YEAR(Q_IS!$B$4:$CW$4)=Financials!AF$35))</f>
        <v>3286.8163897927934</v>
      </c>
      <c r="AG48" s="447" cm="1">
        <f t="array" ref="AG48">SUMPRODUCT(Q_IS!$B$52:$CW$52, --(YEAR(Q_IS!$B$4:$CW$4)=Financials!AG$35))</f>
        <v>3506.2153590858352</v>
      </c>
      <c r="AH48" s="447" cm="1">
        <f t="array" ref="AH48">SUMPRODUCT(Q_IS!$B$52:$CW$52, --(YEAR(Q_IS!$B$4:$CW$4)=Financials!AH$35))</f>
        <v>3726.0480459784253</v>
      </c>
      <c r="AI48"/>
      <c r="AJ48" s="1128"/>
      <c r="AK48" s="1128"/>
      <c r="AL48" s="1128"/>
      <c r="AM48" s="1128"/>
      <c r="AN48" s="1128"/>
      <c r="AP48" s="92"/>
    </row>
    <row r="49" spans="1:42" ht="11.25" hidden="1" customHeight="1" outlineLevel="2">
      <c r="A49" s="86" t="s">
        <v>949</v>
      </c>
      <c r="B49" s="955" t="s">
        <v>628</v>
      </c>
      <c r="C49" s="955" t="s">
        <v>628</v>
      </c>
      <c r="D49" s="955" t="s">
        <v>628</v>
      </c>
      <c r="E49" s="438" t="s">
        <v>628</v>
      </c>
      <c r="F49" s="438" t="s">
        <v>628</v>
      </c>
      <c r="G49" s="438" t="s">
        <v>628</v>
      </c>
      <c r="H49" s="438" t="s">
        <v>628</v>
      </c>
      <c r="I49" s="438" t="s">
        <v>628</v>
      </c>
      <c r="J49" s="955" t="s">
        <v>628</v>
      </c>
      <c r="K49" s="955" t="s">
        <v>628</v>
      </c>
      <c r="L49" s="438" t="s">
        <v>628</v>
      </c>
      <c r="M49" s="438" t="s">
        <v>628</v>
      </c>
      <c r="N49" s="438" t="s">
        <v>628</v>
      </c>
      <c r="O49" s="438" t="s">
        <v>628</v>
      </c>
      <c r="P49" s="438" t="s">
        <v>628</v>
      </c>
      <c r="Q49" s="438" t="s">
        <v>628</v>
      </c>
      <c r="R49" s="438" t="s">
        <v>628</v>
      </c>
      <c r="S49" s="438" t="s">
        <v>628</v>
      </c>
      <c r="T49" s="438" t="s">
        <v>628</v>
      </c>
      <c r="U49" s="438" t="s">
        <v>628</v>
      </c>
      <c r="V49" s="438" t="s">
        <v>628</v>
      </c>
      <c r="W49" s="438" t="s">
        <v>628</v>
      </c>
      <c r="X49" s="438" t="s">
        <v>628</v>
      </c>
      <c r="Y49" s="447" t="s">
        <v>628</v>
      </c>
      <c r="Z49" s="447" t="s">
        <v>628</v>
      </c>
      <c r="AA49" s="447" t="s">
        <v>628</v>
      </c>
      <c r="AB49" s="447" t="s">
        <v>628</v>
      </c>
      <c r="AC49" s="447" t="s">
        <v>628</v>
      </c>
      <c r="AD49" s="447" t="s">
        <v>628</v>
      </c>
      <c r="AE49" s="447" t="s">
        <v>628</v>
      </c>
      <c r="AF49" s="447" t="s">
        <v>628</v>
      </c>
      <c r="AG49" s="447" t="s">
        <v>628</v>
      </c>
      <c r="AH49" s="447" t="s">
        <v>628</v>
      </c>
      <c r="AI49"/>
      <c r="AJ49" s="1128"/>
      <c r="AK49" s="1128"/>
      <c r="AL49" s="1128"/>
      <c r="AM49" s="1128"/>
      <c r="AN49" s="1128"/>
      <c r="AP49" s="92"/>
    </row>
    <row r="50" spans="1:42" ht="11.25" hidden="1" customHeight="1" outlineLevel="2">
      <c r="A50" s="86" t="s">
        <v>733</v>
      </c>
      <c r="B50" s="955" t="s">
        <v>628</v>
      </c>
      <c r="C50" s="955" t="s">
        <v>628</v>
      </c>
      <c r="D50" s="955" t="s">
        <v>628</v>
      </c>
      <c r="E50" s="438" t="s">
        <v>628</v>
      </c>
      <c r="F50" s="438" t="s">
        <v>628</v>
      </c>
      <c r="G50" s="438" t="s">
        <v>628</v>
      </c>
      <c r="H50" s="438" t="s">
        <v>628</v>
      </c>
      <c r="I50" s="438" t="s">
        <v>628</v>
      </c>
      <c r="J50" s="955" t="s">
        <v>628</v>
      </c>
      <c r="K50" s="955" t="s">
        <v>628</v>
      </c>
      <c r="L50" s="438" t="s">
        <v>628</v>
      </c>
      <c r="M50" s="438" t="s">
        <v>628</v>
      </c>
      <c r="N50" s="438" t="s">
        <v>628</v>
      </c>
      <c r="O50" s="438" t="s">
        <v>628</v>
      </c>
      <c r="P50" s="438" t="s">
        <v>628</v>
      </c>
      <c r="Q50" s="438" t="s">
        <v>628</v>
      </c>
      <c r="R50" s="438" t="s">
        <v>628</v>
      </c>
      <c r="S50" s="438" t="s">
        <v>628</v>
      </c>
      <c r="T50" s="438" t="s">
        <v>628</v>
      </c>
      <c r="U50" s="438" t="s">
        <v>628</v>
      </c>
      <c r="V50" s="438" t="s">
        <v>628</v>
      </c>
      <c r="W50" s="438" t="s">
        <v>628</v>
      </c>
      <c r="X50" s="438" t="s">
        <v>628</v>
      </c>
      <c r="Y50" s="447" t="s">
        <v>628</v>
      </c>
      <c r="Z50" s="447" t="s">
        <v>628</v>
      </c>
      <c r="AA50" s="447" t="s">
        <v>628</v>
      </c>
      <c r="AB50" s="447" t="s">
        <v>628</v>
      </c>
      <c r="AC50" s="447" t="s">
        <v>628</v>
      </c>
      <c r="AD50" s="447" t="s">
        <v>628</v>
      </c>
      <c r="AE50" s="447" t="s">
        <v>628</v>
      </c>
      <c r="AF50" s="447" t="s">
        <v>628</v>
      </c>
      <c r="AG50" s="447" t="s">
        <v>628</v>
      </c>
      <c r="AH50" s="447" t="s">
        <v>628</v>
      </c>
      <c r="AI50"/>
      <c r="AJ50" s="1128"/>
      <c r="AK50" s="1128"/>
      <c r="AL50" s="1128"/>
      <c r="AM50" s="1128"/>
      <c r="AN50" s="1128"/>
      <c r="AP50" s="92"/>
    </row>
    <row r="51" spans="1:42" ht="11.25" hidden="1" customHeight="1" outlineLevel="1">
      <c r="A51" s="42" t="s">
        <v>1028</v>
      </c>
      <c r="B51" s="1586">
        <f t="shared" ref="B51:Z51" si="48">SUM(B52:B54)</f>
        <v>0</v>
      </c>
      <c r="C51" s="1586">
        <f t="shared" si="48"/>
        <v>0</v>
      </c>
      <c r="D51" s="1586">
        <f t="shared" si="48"/>
        <v>0</v>
      </c>
      <c r="E51" s="438">
        <f t="shared" si="48"/>
        <v>0</v>
      </c>
      <c r="F51" s="438">
        <f t="shared" si="48"/>
        <v>0</v>
      </c>
      <c r="G51" s="438">
        <f t="shared" si="48"/>
        <v>0</v>
      </c>
      <c r="H51" s="438">
        <f t="shared" si="48"/>
        <v>0</v>
      </c>
      <c r="I51" s="438">
        <f t="shared" si="48"/>
        <v>0</v>
      </c>
      <c r="J51" s="955">
        <f t="shared" si="48"/>
        <v>23.386746123755337</v>
      </c>
      <c r="K51" s="955">
        <f t="shared" si="48"/>
        <v>28.899240010435861</v>
      </c>
      <c r="L51" s="438">
        <f t="shared" si="48"/>
        <v>238.18027940224619</v>
      </c>
      <c r="M51" s="438">
        <f t="shared" si="48"/>
        <v>247.09794264439591</v>
      </c>
      <c r="N51" s="438">
        <f t="shared" si="48"/>
        <v>335.62615511400259</v>
      </c>
      <c r="O51" s="438">
        <f t="shared" si="48"/>
        <v>480.49077210329079</v>
      </c>
      <c r="P51" s="438">
        <f t="shared" si="48"/>
        <v>773.87623239660206</v>
      </c>
      <c r="Q51" s="438">
        <f t="shared" si="48"/>
        <v>958.03889802798665</v>
      </c>
      <c r="R51" s="438">
        <f t="shared" si="48"/>
        <v>999.47871798479071</v>
      </c>
      <c r="S51" s="438">
        <f t="shared" si="48"/>
        <v>862.27865722258105</v>
      </c>
      <c r="T51" s="438">
        <f>SUM(T52:T54)</f>
        <v>1418.28704072656</v>
      </c>
      <c r="U51" s="438">
        <f t="shared" si="48"/>
        <v>871.34431424797663</v>
      </c>
      <c r="V51" s="438">
        <f t="shared" si="48"/>
        <v>830.26076511401914</v>
      </c>
      <c r="W51" s="438">
        <f t="shared" si="48"/>
        <v>928.03497812969715</v>
      </c>
      <c r="X51" s="438">
        <f t="shared" ref="X51" si="49">SUM(X52:X54)</f>
        <v>954.02780297126628</v>
      </c>
      <c r="Y51" s="447">
        <f t="shared" si="48"/>
        <v>1008.4102060834136</v>
      </c>
      <c r="Z51" s="447">
        <f t="shared" si="48"/>
        <v>1175.0632118153765</v>
      </c>
      <c r="AA51" s="447">
        <f>SUM(AA52:AA54)</f>
        <v>1235.4790624650852</v>
      </c>
      <c r="AB51" s="447">
        <f>SUM(AB52:AB54)</f>
        <v>1327.2356551182179</v>
      </c>
      <c r="AC51" s="447">
        <f>SUM(AC52:AC54)</f>
        <v>1416.5385414542136</v>
      </c>
      <c r="AD51" s="447">
        <f>SUM(AD52:AD54)</f>
        <v>1511.5373452423187</v>
      </c>
      <c r="AE51" s="447">
        <f>SUM(AE52:AE54)</f>
        <v>1612.1266522151634</v>
      </c>
      <c r="AF51" s="447">
        <f t="shared" ref="AF51:AH51" si="50">SUM(AF52:AF54)</f>
        <v>1718.4078971115339</v>
      </c>
      <c r="AG51" s="447">
        <f t="shared" si="50"/>
        <v>1836.0294984358736</v>
      </c>
      <c r="AH51" s="447">
        <f t="shared" si="50"/>
        <v>1961.5951851063617</v>
      </c>
      <c r="AI51"/>
      <c r="AJ51" s="1128"/>
      <c r="AK51" s="1128"/>
      <c r="AL51" s="1128"/>
      <c r="AM51" s="1128"/>
      <c r="AN51" s="1128"/>
      <c r="AP51" s="92"/>
    </row>
    <row r="52" spans="1:42" ht="11.25" hidden="1" customHeight="1" outlineLevel="2">
      <c r="A52" s="86" t="s">
        <v>731</v>
      </c>
      <c r="B52" s="1586">
        <f>SUMPRODUCT(Q_IS!$B$55:$CK$55, --(YEAR(Q_IS!$B$4:$CK$4)=Financials!B$35))</f>
        <v>0</v>
      </c>
      <c r="C52" s="1586">
        <f>SUMPRODUCT(Q_IS!$B$55:$CK$55, --(YEAR(Q_IS!$B$4:$CK$4)=Financials!C$35))</f>
        <v>0</v>
      </c>
      <c r="D52" s="1586">
        <f>SUMPRODUCT(Q_IS!$B$55:$CK$55, --(YEAR(Q_IS!$B$4:$CK$4)=Financials!D$35))</f>
        <v>0</v>
      </c>
      <c r="E52" s="438">
        <f>SUMPRODUCT(Q_IS!$B$55:$CK$55, --(YEAR(Q_IS!$B$4:$CK$4)=Financials!E$35))</f>
        <v>0</v>
      </c>
      <c r="F52" s="438">
        <f>SUMPRODUCT(Q_IS!$B$55:$CK$55, --(YEAR(Q_IS!$B$4:$CK$4)=Financials!F$35))</f>
        <v>0</v>
      </c>
      <c r="G52" s="438">
        <f>SUMPRODUCT(Q_IS!$B$55:$CK$55, --(YEAR(Q_IS!$B$4:$CK$4)=Financials!G$35))</f>
        <v>0</v>
      </c>
      <c r="H52" s="438">
        <f>SUMPRODUCT(Q_IS!$B$55:$CK$55, --(YEAR(Q_IS!$B$4:$CK$4)=Financials!H$35))</f>
        <v>0</v>
      </c>
      <c r="I52" s="438">
        <f>SUMPRODUCT(Q_IS!$B$55:$CK$55, --(YEAR(Q_IS!$B$4:$CK$4)=Financials!I$35))</f>
        <v>0</v>
      </c>
      <c r="J52" s="1586">
        <f>SUMPRODUCT(Q_IS!$B$55:$CK$55, --(YEAR(Q_IS!$B$4:$CK$4)=Financials!J$35))</f>
        <v>0</v>
      </c>
      <c r="K52" s="1586">
        <f>SUMPRODUCT(Q_IS!$B$55:$CK$55, --(YEAR(Q_IS!$B$4:$CK$4)=Financials!K$35))</f>
        <v>0</v>
      </c>
      <c r="L52" s="438">
        <f>SUMPRODUCT(Q_IS!$B$55:$CK$55, --(YEAR(Q_IS!$B$4:$CK$4)=Financials!L$35))</f>
        <v>214.48099999999999</v>
      </c>
      <c r="M52" s="438">
        <f>SUMPRODUCT(Q_IS!$B$55:$CK$55, --(YEAR(Q_IS!$B$4:$CK$4)=Financials!M$35))</f>
        <v>214.48099999999999</v>
      </c>
      <c r="N52" s="438">
        <f>SUMPRODUCT(Q_IS!$B$55:$CK$55, --(YEAR(Q_IS!$B$4:$CK$4)=Financials!N$35))</f>
        <v>313.55799999999999</v>
      </c>
      <c r="O52" s="438">
        <f>SUMPRODUCT(Q_IS!$B$55:$CK$55, --(YEAR(Q_IS!$B$4:$CK$4)=Financials!O$35))</f>
        <v>445.00900000000001</v>
      </c>
      <c r="P52" s="438">
        <f>SUMPRODUCT(Q_IS!$B$55:$CK$55, --(YEAR(Q_IS!$B$4:$CK$4)=Financials!P$35))</f>
        <v>639.14499999999998</v>
      </c>
      <c r="Q52" s="438">
        <f>SUMPRODUCT(Q_IS!$B$55:$CK$55, --(YEAR(Q_IS!$B$4:$CK$4)=Financials!Q$35))</f>
        <v>787.73800000000006</v>
      </c>
      <c r="R52" s="438">
        <f>SUMPRODUCT(Q_IS!$B$55:$CK$55, --(YEAR(Q_IS!$B$4:$CK$4)=Financials!R$35))</f>
        <v>811.78800000000001</v>
      </c>
      <c r="S52" s="438">
        <f>SUMPRODUCT(Q_IS!$B$55:$CK$55, --(YEAR(Q_IS!$B$4:$CK$4)=Financials!S$35))</f>
        <v>662.81500000000005</v>
      </c>
      <c r="T52" s="438">
        <f>SUMPRODUCT(Q_IS!$B$55:$CK$55, --(YEAR(Q_IS!$B$4:$CK$4)=Financials!T$35))</f>
        <v>894.41499999999996</v>
      </c>
      <c r="U52" s="438">
        <f>SUMPRODUCT(Q_IS!$B$55:$CK$55, --(YEAR(Q_IS!$B$4:$CK$4)=Financials!U$35))</f>
        <v>506.29300000000001</v>
      </c>
      <c r="V52" s="438">
        <f>SUMPRODUCT(Q_IS!$B$55:$CK$55, --(YEAR(Q_IS!$B$4:$CK$4)=Financials!V$35))</f>
        <v>317.25299999999999</v>
      </c>
      <c r="W52" s="438">
        <f>SUMPRODUCT(Q_IS!$B$55:$CK$55, --(YEAR(Q_IS!$B$4:$CK$4)=Financials!W$35))</f>
        <v>299.36200000000002</v>
      </c>
      <c r="X52" s="438">
        <f>SUMPRODUCT(Q_IS!$B$55:$CK$55, --(YEAR(Q_IS!$B$4:$CK$4)=Financials!X$35))</f>
        <v>326.05</v>
      </c>
      <c r="Y52" s="447">
        <f>SUMPRODUCT(Q_IS!$B$55:$CK$55, --(YEAR(Q_IS!$B$4:$CK$4)=Financials!Y$35))</f>
        <v>385.28496903609431</v>
      </c>
      <c r="Z52" s="447">
        <f>SUMPRODUCT(Q_IS!$B$55:$CK$55, --(YEAR(Q_IS!$B$4:$CK$4)=Financials!Z$35))</f>
        <v>429.79349230370792</v>
      </c>
      <c r="AA52" s="447">
        <f>SUMPRODUCT(Q_IS!$B$55:$CK$55, --(YEAR(Q_IS!$B$4:$CK$4)=Financials!AA$35))</f>
        <v>478.21479487557593</v>
      </c>
      <c r="AB52" s="447">
        <f>SUMPRODUCT(Q_IS!$B$55:$CK$55, --(YEAR(Q_IS!$B$4:$CK$4)=Financials!AB$35))</f>
        <v>525.05041863396241</v>
      </c>
      <c r="AC52" s="447">
        <f>SUMPRODUCT(Q_IS!$B$55:$CK$55, --(YEAR(Q_IS!$B$4:$CK$4)=Financials!AC$35))</f>
        <v>566.70640839496878</v>
      </c>
      <c r="AD52" s="447">
        <f>SUMPRODUCT(Q_IS!$B$55:$CK$55, --(YEAR(Q_IS!$B$4:$CK$4)=Financials!AD$35))</f>
        <v>610.6292925914031</v>
      </c>
      <c r="AE52" s="447" cm="1">
        <f t="array" ref="AE52">SUMPRODUCT(Q_IS!$B$55:$CW$55, --(YEAR(Q_IS!$B$4:$CW$4)=Financials!AE$35))</f>
        <v>654.82232268997336</v>
      </c>
      <c r="AF52" s="447" cm="1">
        <f t="array" ref="AF52">SUMPRODUCT(Q_IS!$B$55:$CW$55, --(YEAR(Q_IS!$B$4:$CW$4)=Financials!AF$35))</f>
        <v>699.22043677886722</v>
      </c>
      <c r="AG52" s="447" cm="1">
        <f t="array" ref="AG52">SUMPRODUCT(Q_IS!$B$55:$CW$55, --(YEAR(Q_IS!$B$4:$CW$4)=Financials!AG$35))</f>
        <v>745.91887213882706</v>
      </c>
      <c r="AH52" s="447" cm="1">
        <f t="array" ref="AH52">SUMPRODUCT(Q_IS!$B$55:$CW$55, --(YEAR(Q_IS!$B$4:$CW$4)=Financials!AH$35))</f>
        <v>792.83858651645289</v>
      </c>
      <c r="AI52"/>
      <c r="AJ52" s="1128"/>
      <c r="AK52" s="1128"/>
      <c r="AL52" s="1128"/>
      <c r="AM52" s="1128"/>
      <c r="AN52" s="1128"/>
      <c r="AP52" s="92"/>
    </row>
    <row r="53" spans="1:42" ht="11.25" hidden="1" customHeight="1" outlineLevel="2">
      <c r="A53" s="86" t="s">
        <v>949</v>
      </c>
      <c r="B53" s="1586">
        <f>SUMPRODUCT(Q_IS!$B$119:$CK$119, --(YEAR(Q_IS!$B$4:$CK$4)=Financials!B$35))</f>
        <v>0</v>
      </c>
      <c r="C53" s="1586">
        <f>SUMPRODUCT(Q_IS!$B$119:$CK$119, --(YEAR(Q_IS!$B$4:$CK$4)=Financials!C$35))</f>
        <v>0</v>
      </c>
      <c r="D53" s="1586">
        <f>SUMPRODUCT(Q_IS!$B$119:$CK$119, --(YEAR(Q_IS!$B$4:$CK$4)=Financials!D$35))</f>
        <v>0</v>
      </c>
      <c r="E53" s="438">
        <f>SUMPRODUCT(Q_IS!$B$119:$CK$119, --(YEAR(Q_IS!$B$4:$CK$4)=Financials!E$35))</f>
        <v>0</v>
      </c>
      <c r="F53" s="438">
        <f>SUMPRODUCT(Q_IS!$B$119:$CK$119, --(YEAR(Q_IS!$B$4:$CK$4)=Financials!F$35))</f>
        <v>0</v>
      </c>
      <c r="G53" s="438">
        <f>SUMPRODUCT(Q_IS!$B$119:$CK$119, --(YEAR(Q_IS!$B$4:$CK$4)=Financials!G$35))</f>
        <v>0</v>
      </c>
      <c r="H53" s="438">
        <f>SUMPRODUCT(Q_IS!$B$119:$CK$119, --(YEAR(Q_IS!$B$4:$CK$4)=Financials!H$35))</f>
        <v>0</v>
      </c>
      <c r="I53" s="438">
        <f>SUMPRODUCT(Q_IS!$B$119:$CK$119, --(YEAR(Q_IS!$B$4:$CK$4)=Financials!I$35))</f>
        <v>0</v>
      </c>
      <c r="J53" s="1586">
        <f>SUMPRODUCT(Q_IS!$B$119:$CK$119, --(YEAR(Q_IS!$B$4:$CK$4)=Financials!J$35))</f>
        <v>0</v>
      </c>
      <c r="K53" s="1586">
        <f>SUMPRODUCT(Q_IS!$B$119:$CK$119, --(YEAR(Q_IS!$B$4:$CK$4)=Financials!K$35))</f>
        <v>0</v>
      </c>
      <c r="L53" s="438">
        <f>SUMPRODUCT(Q_IS!$B$119:$CK$119, --(YEAR(Q_IS!$B$4:$CK$4)=Financials!L$35))</f>
        <v>0</v>
      </c>
      <c r="M53" s="438">
        <f>SUMPRODUCT(Q_IS!$B$119:$CK$119, --(YEAR(Q_IS!$B$4:$CK$4)=Financials!M$35))</f>
        <v>0</v>
      </c>
      <c r="N53" s="438">
        <f>SUMPRODUCT(Q_IS!$B$119:$CK$119, --(YEAR(Q_IS!$B$4:$CK$4)=Financials!N$35))</f>
        <v>0</v>
      </c>
      <c r="O53" s="438">
        <f>SUMPRODUCT(Q_IS!$B$119:$CK$119, --(YEAR(Q_IS!$B$4:$CK$4)=Financials!O$35))</f>
        <v>29.99805384365877</v>
      </c>
      <c r="P53" s="438">
        <f>SUMPRODUCT(Q_IS!$B$119:$CK$119, --(YEAR(Q_IS!$B$4:$CK$4)=Financials!P$35))</f>
        <v>119.92053011611762</v>
      </c>
      <c r="Q53" s="438">
        <f>SUMPRODUCT(Q_IS!$B$119:$CK$119, --(YEAR(Q_IS!$B$4:$CK$4)=Financials!Q$35))</f>
        <v>153.91177473557826</v>
      </c>
      <c r="R53" s="438">
        <f>SUMPRODUCT(Q_IS!$B$119:$CK$119, --(YEAR(Q_IS!$B$4:$CK$4)=Financials!R$35))</f>
        <v>168.67377742643626</v>
      </c>
      <c r="S53" s="438">
        <f>SUMPRODUCT(Q_IS!$B$119:$CK$119, --(YEAR(Q_IS!$B$4:$CK$4)=Financials!S$35))</f>
        <v>183.67507216664126</v>
      </c>
      <c r="T53" s="438">
        <f>SUMPRODUCT(Q_IS!$B$119:$CK$119, --(YEAR(Q_IS!$B$4:$CK$4)=Financials!T$35))</f>
        <v>508.88342008459722</v>
      </c>
      <c r="U53" s="438">
        <f>SUMPRODUCT(Q_IS!$B$119:$CK$119, --(YEAR(Q_IS!$B$4:$CK$4)=Financials!U$35))</f>
        <v>354.63516696854089</v>
      </c>
      <c r="V53" s="438">
        <f>SUMPRODUCT(Q_IS!$B$119:$CK$119, --(YEAR(Q_IS!$B$4:$CK$4)=Financials!V$35))</f>
        <v>489.52190097234342</v>
      </c>
      <c r="W53" s="438">
        <f>SUMPRODUCT(Q_IS!$B$119:$CK$119, --(YEAR(Q_IS!$B$4:$CK$4)=Financials!W$35))</f>
        <v>587.37113668412485</v>
      </c>
      <c r="X53" s="438">
        <f>SUMPRODUCT(Q_IS!$B$119:$CK$119, --(YEAR(Q_IS!$B$4:$CK$4)=Financials!X$35))</f>
        <v>585.38877187044068</v>
      </c>
      <c r="Y53" s="447">
        <f>SUMPRODUCT(Q_IS!$B$119:$CK$119, --(YEAR(Q_IS!$B$4:$CK$4)=Financials!Y$35))</f>
        <v>596.4230616933894</v>
      </c>
      <c r="Z53" s="447">
        <f>SUMPRODUCT(Q_IS!$B$119:$CK$119, --(YEAR(Q_IS!$B$4:$CK$4)=Financials!Z$35))</f>
        <v>688.42273439252153</v>
      </c>
      <c r="AA53" s="447">
        <f>SUMPRODUCT(Q_IS!$B$119:$CK$119, --(YEAR(Q_IS!$B$4:$CK$4)=Financials!AA$35))</f>
        <v>677.91499783908648</v>
      </c>
      <c r="AB53" s="447">
        <f>SUMPRODUCT(Q_IS!$B$119:$CK$119, --(YEAR(Q_IS!$B$4:$CK$4)=Financials!AB$35))</f>
        <v>700.23501260622982</v>
      </c>
      <c r="AC53" s="447">
        <f>SUMPRODUCT(Q_IS!$B$119:$CK$119, --(YEAR(Q_IS!$B$4:$CK$4)=Financials!AC$35))</f>
        <v>724.56783605756675</v>
      </c>
      <c r="AD53" s="447">
        <f>SUMPRODUCT(Q_IS!$B$119:$CK$119, --(YEAR(Q_IS!$B$4:$CK$4)=Financials!AD$35))</f>
        <v>749.59284387900777</v>
      </c>
      <c r="AE53" s="447" cm="1">
        <f t="array" ref="AE53">SUMPRODUCT(Q_IS!$B$119:$CW$119, --(YEAR(Q_IS!$B$4:$CW$4)=Financials!AE$35))</f>
        <v>775.49113937285483</v>
      </c>
      <c r="AF53" s="447" cm="1">
        <f t="array" ref="AF53">SUMPRODUCT(Q_IS!$B$119:$CW$119, --(YEAR(Q_IS!$B$4:$CW$4)=Financials!AF$35))</f>
        <v>803.1797704058871</v>
      </c>
      <c r="AG53" s="447" cm="1">
        <f t="array" ref="AG53">SUMPRODUCT(Q_IS!$B$119:$CW$119, --(YEAR(Q_IS!$B$4:$CW$4)=Financials!AG$35))</f>
        <v>831.66453040493923</v>
      </c>
      <c r="AH53" s="447" cm="1">
        <f t="array" ref="AH53">SUMPRODUCT(Q_IS!$B$119:$CW$119, --(YEAR(Q_IS!$B$4:$CW$4)=Financials!AH$35))</f>
        <v>860.79303327470006</v>
      </c>
      <c r="AI53"/>
      <c r="AJ53" s="1128"/>
      <c r="AK53" s="1128"/>
      <c r="AL53" s="1128"/>
      <c r="AM53" s="1128"/>
      <c r="AN53" s="1128"/>
      <c r="AP53" s="92"/>
    </row>
    <row r="54" spans="1:42" ht="11.25" hidden="1" customHeight="1" outlineLevel="2">
      <c r="A54" s="86" t="s">
        <v>733</v>
      </c>
      <c r="B54" s="1586">
        <f>SUMPRODUCT(Q_IS!$B$203:$CK$203, --(YEAR(Q_IS!$B$4:$CK$4)=Financials!B$35))</f>
        <v>0</v>
      </c>
      <c r="C54" s="1586">
        <f>SUMPRODUCT(Q_IS!$B$203:$CK$203, --(YEAR(Q_IS!$B$4:$CK$4)=Financials!C$35))</f>
        <v>0</v>
      </c>
      <c r="D54" s="1586">
        <f>SUMPRODUCT(Q_IS!$B$203:$CK$203, --(YEAR(Q_IS!$B$4:$CK$4)=Financials!D$35))</f>
        <v>0</v>
      </c>
      <c r="E54" s="438">
        <f>SUMPRODUCT(Q_IS!$B$203:$CK$203, --(YEAR(Q_IS!$B$4:$CK$4)=Financials!E$35))</f>
        <v>0</v>
      </c>
      <c r="F54" s="438">
        <f>SUMPRODUCT(Q_IS!$B$203:$CK$203, --(YEAR(Q_IS!$B$4:$CK$4)=Financials!F$35))</f>
        <v>0</v>
      </c>
      <c r="G54" s="438">
        <f>SUMPRODUCT(Q_IS!$B$203:$CK$203, --(YEAR(Q_IS!$B$4:$CK$4)=Financials!G$35))</f>
        <v>0</v>
      </c>
      <c r="H54" s="438">
        <f>SUMPRODUCT(Q_IS!$B$203:$CK$203, --(YEAR(Q_IS!$B$4:$CK$4)=Financials!H$35))</f>
        <v>0</v>
      </c>
      <c r="I54" s="438">
        <f>SUMPRODUCT(Q_IS!$B$203:$CK$203, --(YEAR(Q_IS!$B$4:$CK$4)=Financials!I$35))</f>
        <v>0</v>
      </c>
      <c r="J54" s="955">
        <f>SUMPRODUCT(Q_IS!$B$203:$CK$203, --(YEAR(Q_IS!$B$4:$CK$4)=Financials!J$35))</f>
        <v>23.386746123755337</v>
      </c>
      <c r="K54" s="955">
        <f>SUMPRODUCT(Q_IS!$B$203:$CK$203, --(YEAR(Q_IS!$B$4:$CK$4)=Financials!K$35))</f>
        <v>28.899240010435861</v>
      </c>
      <c r="L54" s="438">
        <f>SUMPRODUCT(Q_IS!$B$203:$CK$203, --(YEAR(Q_IS!$B$4:$CK$4)=Financials!L$35))</f>
        <v>23.699279402246194</v>
      </c>
      <c r="M54" s="438">
        <f>SUMPRODUCT(Q_IS!$B$203:$CK$203, --(YEAR(Q_IS!$B$4:$CK$4)=Financials!M$35))</f>
        <v>32.616942644395934</v>
      </c>
      <c r="N54" s="438">
        <f>SUMPRODUCT(Q_IS!$B$203:$CK$203, --(YEAR(Q_IS!$B$4:$CK$4)=Financials!N$35))</f>
        <v>22.068155114002614</v>
      </c>
      <c r="O54" s="438">
        <f>SUMPRODUCT(Q_IS!$B$203:$CK$203, --(YEAR(Q_IS!$B$4:$CK$4)=Financials!O$35))</f>
        <v>5.4837182596319671</v>
      </c>
      <c r="P54" s="438">
        <f>SUMPRODUCT(Q_IS!$B$203:$CK$203, --(YEAR(Q_IS!$B$4:$CK$4)=Financials!P$35))</f>
        <v>14.81070228048447</v>
      </c>
      <c r="Q54" s="438">
        <f>SUMPRODUCT(Q_IS!$B$203:$CK$203, --(YEAR(Q_IS!$B$4:$CK$4)=Financials!Q$35))</f>
        <v>16.389123292408243</v>
      </c>
      <c r="R54" s="438">
        <f>SUMPRODUCT(Q_IS!$B$203:$CK$203, --(YEAR(Q_IS!$B$4:$CK$4)=Financials!R$35))</f>
        <v>19.01694055835441</v>
      </c>
      <c r="S54" s="438">
        <f>SUMPRODUCT(Q_IS!$B$203:$CK$203, --(YEAR(Q_IS!$B$4:$CK$4)=Financials!S$35))</f>
        <v>15.788585055939711</v>
      </c>
      <c r="T54" s="438">
        <f>SUMPRODUCT(Q_IS!$B$203:$CK$203, --(YEAR(Q_IS!$B$4:$CK$4)=Financials!T$35))</f>
        <v>14.98862064196287</v>
      </c>
      <c r="U54" s="438">
        <f>SUMPRODUCT(Q_IS!$B$203:$CK$203, --(YEAR(Q_IS!$B$4:$CK$4)=Financials!U$35))</f>
        <v>10.416147279435753</v>
      </c>
      <c r="V54" s="438">
        <f>SUMPRODUCT(Q_IS!$B$203:$CK$203, --(YEAR(Q_IS!$B$4:$CK$4)=Financials!V$35))</f>
        <v>23.485864141675712</v>
      </c>
      <c r="W54" s="438">
        <f>SUMPRODUCT(Q_IS!$B$203:$CK$203, --(YEAR(Q_IS!$B$4:$CK$4)=Financials!W$35))</f>
        <v>41.30184144557218</v>
      </c>
      <c r="X54" s="438">
        <f>SUMPRODUCT(Q_IS!$B$203:$CK$203, --(YEAR(Q_IS!$B$4:$CK$4)=Financials!X$35))</f>
        <v>42.589031100825608</v>
      </c>
      <c r="Y54" s="447">
        <f>SUMPRODUCT(Q_IS!$B$203:$CK$203, --(YEAR(Q_IS!$B$4:$CK$4)=Financials!Y$35))</f>
        <v>26.702175353929984</v>
      </c>
      <c r="Z54" s="447">
        <f>SUMPRODUCT(Q_IS!$B$203:$CK$203, --(YEAR(Q_IS!$B$4:$CK$4)=Financials!Z$35))</f>
        <v>56.846985119146836</v>
      </c>
      <c r="AA54" s="447">
        <f>SUMPRODUCT(Q_IS!$B$203:$CK$203, --(YEAR(Q_IS!$B$4:$CK$4)=Financials!AA$35))</f>
        <v>79.349269750422764</v>
      </c>
      <c r="AB54" s="447">
        <f>SUMPRODUCT(Q_IS!$B$203:$CK$203, --(YEAR(Q_IS!$B$4:$CK$4)=Financials!AB$35))</f>
        <v>101.95022387802555</v>
      </c>
      <c r="AC54" s="447">
        <f>SUMPRODUCT(Q_IS!$B$203:$CK$203, --(YEAR(Q_IS!$B$4:$CK$4)=Financials!AC$35))</f>
        <v>125.2642970016779</v>
      </c>
      <c r="AD54" s="447">
        <f>SUMPRODUCT(Q_IS!$B$203:$CK$203, --(YEAR(Q_IS!$B$4:$CK$4)=Financials!AD$35))</f>
        <v>151.31520877190769</v>
      </c>
      <c r="AE54" s="447" cm="1">
        <f t="array" ref="AE54">SUMPRODUCT(Q_IS!$B$203:$CW$203, --(YEAR(Q_IS!$B$4:$CW$4)=Financials!AE$35))</f>
        <v>181.81319015233527</v>
      </c>
      <c r="AF54" s="447" cm="1">
        <f t="array" ref="AF54">SUMPRODUCT(Q_IS!$B$203:$CW$203, --(YEAR(Q_IS!$B$4:$CW$4)=Financials!AF$35))</f>
        <v>216.00768992677951</v>
      </c>
      <c r="AG54" s="447" cm="1">
        <f t="array" ref="AG54">SUMPRODUCT(Q_IS!$B$203:$CW$203, --(YEAR(Q_IS!$B$4:$CW$4)=Financials!AG$35))</f>
        <v>258.44609589210745</v>
      </c>
      <c r="AH54" s="447" cm="1">
        <f t="array" ref="AH54">SUMPRODUCT(Q_IS!$B$203:$CW$203, --(YEAR(Q_IS!$B$4:$CW$4)=Financials!AH$35))</f>
        <v>307.96356531520877</v>
      </c>
      <c r="AI54"/>
      <c r="AJ54" s="1128"/>
      <c r="AK54" s="1128"/>
      <c r="AL54" s="1128"/>
      <c r="AM54" s="1128"/>
      <c r="AN54" s="1128"/>
      <c r="AP54" s="92"/>
    </row>
    <row r="55" spans="1:42" hidden="1" outlineLevel="1">
      <c r="AP55" s="92"/>
    </row>
    <row r="56" spans="1:42" hidden="1" outlineLevel="1">
      <c r="AP56" s="92"/>
    </row>
    <row r="57" spans="1:42" hidden="1" outlineLevel="1">
      <c r="AP57" s="92"/>
    </row>
    <row r="58" spans="1:42" hidden="1" outlineLevel="1">
      <c r="AP58" s="92"/>
    </row>
    <row r="59" spans="1:42" hidden="1" outlineLevel="1">
      <c r="AP59" s="92"/>
    </row>
    <row r="60" spans="1:42" ht="12.75" collapsed="1">
      <c r="A60" s="97" t="s">
        <v>49</v>
      </c>
      <c r="B60" s="438">
        <v>-1156.671</v>
      </c>
      <c r="C60" s="438">
        <v>-1160.8230000000001</v>
      </c>
      <c r="D60" s="438">
        <v>-1256.1659999999999</v>
      </c>
      <c r="E60" s="438">
        <v>-1571.328</v>
      </c>
      <c r="F60" s="438">
        <v>-1769.06</v>
      </c>
      <c r="G60" s="438">
        <v>-2066.5149999999999</v>
      </c>
      <c r="H60" s="438">
        <v>-2323.6970000000001</v>
      </c>
      <c r="I60" s="438">
        <v>-2781.3240000000001</v>
      </c>
      <c r="J60" s="438">
        <f>SUM(Q_IS!B283:E283)</f>
        <v>-3166.4590000000003</v>
      </c>
      <c r="K60" s="438">
        <f>SUM(Q_IS!F283:I283)</f>
        <v>-3173.1430000000005</v>
      </c>
      <c r="L60" s="438">
        <f>SUM(Q_IS!J283:M283)</f>
        <v>-3787.5989999999997</v>
      </c>
      <c r="M60" s="438">
        <f>SUM(Q_IS!N283:Q283)</f>
        <v>-4759.3680000000004</v>
      </c>
      <c r="N60" s="438">
        <f>SUM(Q_IS!R283:U283)</f>
        <v>-5225.7469999999994</v>
      </c>
      <c r="O60" s="438">
        <f>SUM(Q_IS!V283:Y283)</f>
        <v>-7276.5049999999992</v>
      </c>
      <c r="P60" s="438">
        <f>SUM(Q_IS!Z283:AC283)</f>
        <v>-10149.276</v>
      </c>
      <c r="Q60" s="438">
        <f>SUM(Q_IS!AD283:AG283)</f>
        <v>-11779.630999999999</v>
      </c>
      <c r="R60" s="438">
        <f>SUM(Q_IS!AH283:AK283)</f>
        <v>-12923.188</v>
      </c>
      <c r="S60" s="438">
        <f>SUM(Q_IS!AL283:AO283)</f>
        <v>-14187.508000000002</v>
      </c>
      <c r="T60" s="438">
        <f>SUM(Q_IS!AP283:AS283)</f>
        <v>-17164.022000000001</v>
      </c>
      <c r="U60" s="438">
        <f>SUM(Q_IS!AT283:AW283)</f>
        <v>-11454.883999999998</v>
      </c>
      <c r="V60" s="438">
        <f>SUM(Q_IS!AX283:BA283)</f>
        <v>-16753.061000000002</v>
      </c>
      <c r="W60" s="438">
        <f>SUM(Q_IS!BB283:BE283)</f>
        <v>-22512.075000000001</v>
      </c>
      <c r="X60" s="438">
        <f>SUM(Q_IS!BF283:BI283)</f>
        <v>-25003.550999999999</v>
      </c>
      <c r="Y60" s="447">
        <f>SUM(Q_IS!BJ283:BM283)</f>
        <v>-25539.699611295648</v>
      </c>
      <c r="Z60" s="447">
        <f>SUM(Q_IS!BN283:BQ283)</f>
        <v>-28457.514487927321</v>
      </c>
      <c r="AA60" s="447">
        <f>SUM(Q_IS!BR283:BU283)</f>
        <v>-30488.691643925707</v>
      </c>
      <c r="AB60" s="447">
        <f>SUM(Q_IS!BV283:BY283)</f>
        <v>-32385.118524947451</v>
      </c>
      <c r="AC60" s="447">
        <f>SUM(Q_IS!BZ283:CC283)</f>
        <v>-34604.147513970311</v>
      </c>
      <c r="AD60" s="447">
        <f>SUM(Q_IS!CD283:CG283)</f>
        <v>-36419.714693512178</v>
      </c>
      <c r="AE60" s="447">
        <f>SUM(Q_IS!CH283:CK283)</f>
        <v>-38282.553337827507</v>
      </c>
      <c r="AF60" s="447">
        <f>SUM(Q_IS!CL283:CO283)</f>
        <v>-40189.006758800271</v>
      </c>
      <c r="AG60" s="447">
        <f>SUM(Q_IS!CP283:CS283)</f>
        <v>-42186.228880142102</v>
      </c>
      <c r="AH60" s="447">
        <f>SUM(Q_IS!CT283:CW283)</f>
        <v>-44270.744940989782</v>
      </c>
      <c r="AI60"/>
      <c r="AJ60" s="1130"/>
      <c r="AK60" s="1130"/>
      <c r="AL60" s="1130"/>
      <c r="AM60" s="1130"/>
      <c r="AN60" s="1130"/>
      <c r="AP60" s="92"/>
    </row>
    <row r="61" spans="1:42" ht="12.75">
      <c r="A61" s="1760" t="s">
        <v>332</v>
      </c>
      <c r="B61" s="1761">
        <f t="shared" ref="B61:Z61" si="51">B36+B60</f>
        <v>1317.9829999999999</v>
      </c>
      <c r="C61" s="1761">
        <f t="shared" si="51"/>
        <v>1467.0930000000001</v>
      </c>
      <c r="D61" s="1761">
        <f t="shared" si="51"/>
        <v>1615.325</v>
      </c>
      <c r="E61" s="1762">
        <f t="shared" si="51"/>
        <v>2137.2660000000001</v>
      </c>
      <c r="F61" s="1762">
        <f t="shared" si="51"/>
        <v>2896.2400000000002</v>
      </c>
      <c r="G61" s="1762">
        <f t="shared" si="51"/>
        <v>3959.9290000000005</v>
      </c>
      <c r="H61" s="1762">
        <f t="shared" si="51"/>
        <v>4661.7060000000001</v>
      </c>
      <c r="I61" s="1762">
        <f t="shared" si="51"/>
        <v>5005.5190000000002</v>
      </c>
      <c r="J61" s="1761">
        <f t="shared" si="51"/>
        <v>5420.6220000000012</v>
      </c>
      <c r="K61" s="1761">
        <f t="shared" si="51"/>
        <v>5808.2969999999987</v>
      </c>
      <c r="L61" s="1762">
        <f t="shared" si="51"/>
        <v>6908.9050000000007</v>
      </c>
      <c r="M61" s="1762">
        <f t="shared" si="51"/>
        <v>8760.1450000000004</v>
      </c>
      <c r="N61" s="1762">
        <f t="shared" si="51"/>
        <v>10486.918000000001</v>
      </c>
      <c r="O61" s="1762">
        <f t="shared" si="51"/>
        <v>15523.750000000002</v>
      </c>
      <c r="P61" s="1762">
        <f t="shared" si="51"/>
        <v>22139.1</v>
      </c>
      <c r="Q61" s="1762">
        <f t="shared" si="51"/>
        <v>25922.235999999997</v>
      </c>
      <c r="R61" s="1762">
        <f t="shared" si="51"/>
        <v>29605.932999999997</v>
      </c>
      <c r="S61" s="1762">
        <f t="shared" si="51"/>
        <v>31969.082999999999</v>
      </c>
      <c r="T61" s="1762">
        <f>T36+T60</f>
        <v>40990.596999999994</v>
      </c>
      <c r="U61" s="1762">
        <f t="shared" si="51"/>
        <v>27040.535000000003</v>
      </c>
      <c r="V61" s="1762">
        <f t="shared" si="51"/>
        <v>36626.407999999996</v>
      </c>
      <c r="W61" s="1762">
        <f t="shared" si="51"/>
        <v>46319.23000000001</v>
      </c>
      <c r="X61" s="1762">
        <f t="shared" ref="X61" si="52">X36+X60</f>
        <v>51227.496999999996</v>
      </c>
      <c r="Y61" s="1763">
        <f t="shared" si="51"/>
        <v>53009.333704852259</v>
      </c>
      <c r="Z61" s="1763">
        <f t="shared" si="51"/>
        <v>57543.469774026853</v>
      </c>
      <c r="AA61" s="1763">
        <f t="shared" ref="AA61:AF61" si="53">AA36+AA60</f>
        <v>61373.333393153865</v>
      </c>
      <c r="AB61" s="1763">
        <f t="shared" si="53"/>
        <v>64897.501196854035</v>
      </c>
      <c r="AC61" s="1763">
        <f t="shared" si="53"/>
        <v>67805.794253296437</v>
      </c>
      <c r="AD61" s="1763">
        <f t="shared" si="53"/>
        <v>71363.018633281696</v>
      </c>
      <c r="AE61" s="1763">
        <f t="shared" si="53"/>
        <v>75013.066955441551</v>
      </c>
      <c r="AF61" s="1763">
        <f t="shared" si="53"/>
        <v>78748.336440223065</v>
      </c>
      <c r="AG61" s="1763">
        <f t="shared" ref="AG61:AH61" si="54">AG36+AG60</f>
        <v>82661.425622197828</v>
      </c>
      <c r="AH61" s="1763">
        <f t="shared" si="54"/>
        <v>86745.661698651049</v>
      </c>
      <c r="AI61"/>
      <c r="AJ61" s="1128">
        <f t="shared" ref="AJ61" si="55">IFERROR((U61/P61)^(1/5)-1,"NM")</f>
        <v>4.0809059028040995E-2</v>
      </c>
      <c r="AK61" s="1128">
        <f>IFERROR((X61/U61)^(1/3)-1,"NM")</f>
        <v>0.2373596572271246</v>
      </c>
      <c r="AL61" s="1128">
        <f>IFERROR((AA61/Y61)^(1/2)-1,"NM")</f>
        <v>7.6003498130499558E-2</v>
      </c>
      <c r="AM61" s="1128">
        <f>IFERROR((AD61/AA61)^(1/3)-1,"NM")</f>
        <v>5.155300013046249E-2</v>
      </c>
      <c r="AN61" s="1128">
        <f>IFERROR((AH61/X61)^(1/10)-1,"NM")</f>
        <v>5.4082159179854372E-2</v>
      </c>
      <c r="AP61" s="92"/>
    </row>
    <row r="62" spans="1:42" ht="12.75">
      <c r="A62" s="593" t="s">
        <v>50</v>
      </c>
      <c r="B62" s="1593">
        <f t="shared" ref="B62:Z62" si="56">B61/B36</f>
        <v>0.53259283924136458</v>
      </c>
      <c r="C62" s="1593">
        <f t="shared" si="56"/>
        <v>0.55827241053367005</v>
      </c>
      <c r="D62" s="1593">
        <f t="shared" si="56"/>
        <v>0.56253876470446884</v>
      </c>
      <c r="E62" s="1593">
        <f t="shared" si="56"/>
        <v>0.57630088383899669</v>
      </c>
      <c r="F62" s="1593">
        <f t="shared" si="56"/>
        <v>0.62080466422309388</v>
      </c>
      <c r="G62" s="1593">
        <f t="shared" si="56"/>
        <v>0.65709214256367443</v>
      </c>
      <c r="H62" s="1593">
        <f t="shared" si="56"/>
        <v>0.66734961461779652</v>
      </c>
      <c r="I62" s="1593">
        <f t="shared" si="56"/>
        <v>0.64281750640150315</v>
      </c>
      <c r="J62" s="1593">
        <f t="shared" si="56"/>
        <v>0.63125315808713112</v>
      </c>
      <c r="K62" s="1520">
        <f t="shared" si="56"/>
        <v>0.64669997238750132</v>
      </c>
      <c r="L62" s="1520">
        <f t="shared" si="56"/>
        <v>0.64590309132778334</v>
      </c>
      <c r="M62" s="1520">
        <f t="shared" si="56"/>
        <v>0.64796305902438944</v>
      </c>
      <c r="N62" s="1520">
        <f t="shared" si="56"/>
        <v>0.6674181623550175</v>
      </c>
      <c r="O62" s="1520">
        <f t="shared" si="56"/>
        <v>0.68085861320410679</v>
      </c>
      <c r="P62" s="1520">
        <f t="shared" si="56"/>
        <v>0.68566780813008366</v>
      </c>
      <c r="Q62" s="1520">
        <f t="shared" si="56"/>
        <v>0.68755841719986965</v>
      </c>
      <c r="R62" s="1520">
        <f t="shared" si="56"/>
        <v>0.69613319776818328</v>
      </c>
      <c r="S62" s="1520">
        <f t="shared" si="56"/>
        <v>0.69262227359901862</v>
      </c>
      <c r="T62" s="1520">
        <f>T61/T36</f>
        <v>0.7048553959230649</v>
      </c>
      <c r="U62" s="1520">
        <f t="shared" si="56"/>
        <v>0.7024351391005772</v>
      </c>
      <c r="V62" s="1520">
        <f t="shared" si="56"/>
        <v>0.68615159884786414</v>
      </c>
      <c r="W62" s="1520">
        <f t="shared" si="56"/>
        <v>0.67293842532841719</v>
      </c>
      <c r="X62" s="1520">
        <f t="shared" ref="X62" si="57">X61/X36</f>
        <v>0.67200305313918807</v>
      </c>
      <c r="Y62" s="1594">
        <f t="shared" si="56"/>
        <v>0.67485660188200858</v>
      </c>
      <c r="Z62" s="1594">
        <f t="shared" si="56"/>
        <v>0.66910245583646666</v>
      </c>
      <c r="AA62" s="1594">
        <f>AA61/AA36</f>
        <v>0.66810342324133265</v>
      </c>
      <c r="AB62" s="1594">
        <f>AB61/AB36</f>
        <v>0.66710272998857378</v>
      </c>
      <c r="AC62" s="1594">
        <f>AC61/AC36</f>
        <v>0.66210167766123251</v>
      </c>
      <c r="AD62" s="1594">
        <f>AD61/AD36</f>
        <v>0.66210065778264549</v>
      </c>
      <c r="AE62" s="1594">
        <f>AE61/AE36</f>
        <v>0.66210032445444955</v>
      </c>
      <c r="AF62" s="1594">
        <f t="shared" ref="AF62:AH62" si="58">AF61/AF36</f>
        <v>0.66209934005714122</v>
      </c>
      <c r="AG62" s="1594">
        <f t="shared" si="58"/>
        <v>0.66209834659447742</v>
      </c>
      <c r="AH62" s="1594">
        <f t="shared" si="58"/>
        <v>0.66209770152866443</v>
      </c>
      <c r="AI62"/>
      <c r="AJ62" s="1130"/>
      <c r="AK62" s="1130"/>
      <c r="AL62" s="1130"/>
      <c r="AM62" s="1130"/>
      <c r="AN62" s="1130"/>
      <c r="AP62" s="92"/>
    </row>
    <row r="63" spans="1:42" ht="12.75">
      <c r="A63" s="98" t="s">
        <v>51</v>
      </c>
      <c r="B63" s="955">
        <v>-987.41700000000003</v>
      </c>
      <c r="C63" s="955">
        <v>-1083.19</v>
      </c>
      <c r="D63" s="955">
        <v>-1200.116</v>
      </c>
      <c r="E63" s="438">
        <v>-1591.8130000000001</v>
      </c>
      <c r="F63" s="438">
        <v>-2195.6849999999999</v>
      </c>
      <c r="G63" s="438">
        <v>-2952.49</v>
      </c>
      <c r="H63" s="438">
        <v>-3373.03</v>
      </c>
      <c r="I63" s="438">
        <v>-3973.4520000000002</v>
      </c>
      <c r="J63" s="955">
        <f>SUM(Q_Financials!B17:E17,Q_Financials!B14:E14)</f>
        <v>-4420.3860000000004</v>
      </c>
      <c r="K63" s="955">
        <f>SUM(Q_Financials!F17:I17,Q_Financials!F14:I14)</f>
        <v>-4809.6660000000002</v>
      </c>
      <c r="L63" s="438">
        <f>SUM(Q_Financials!J17:M17,Q_Financials!J14:M14)</f>
        <v>-5794.058</v>
      </c>
      <c r="M63" s="438">
        <f>SUM(Q_Financials!N17:Q17,Q_Financials!N14:Q14)</f>
        <v>-7152.08</v>
      </c>
      <c r="N63" s="438">
        <f>SUM(Q_Financials!R17:U17,Q_Financials!R14:U14)</f>
        <v>-8448.1959999999999</v>
      </c>
      <c r="O63" s="438">
        <f>SUM(Q_Financials!V17:Y17,Q_Financials!V14:Y14)</f>
        <v>-12730.657999999999</v>
      </c>
      <c r="P63" s="438">
        <f>SUM(Q_Financials!Z17:AC17,Q_Financials!Z14:AC14)</f>
        <v>-17837.370999999999</v>
      </c>
      <c r="Q63" s="438">
        <f>SUM(Q_Financials!AD17:AG17,Q_Financials!AD14:AG14)</f>
        <v>-20766.998</v>
      </c>
      <c r="R63" s="438">
        <f>SUM(Q_Financials!AH17:AK17,Q_Financials!AH14:AK14)</f>
        <v>-23139.688999999998</v>
      </c>
      <c r="S63" s="438">
        <f>SUM(Q_Financials!AL17:AO17,Q_Financials!AL14:AO14)</f>
        <v>-25560.766</v>
      </c>
      <c r="T63" s="438">
        <f>SUM(Q_Financials!AP17:AS17,Q_Financials!AP14:AS14)</f>
        <v>-28373.038</v>
      </c>
      <c r="U63" s="438">
        <f>SUM(Q_Financials!AT17:AW17,Q_Financials!AT14:AW14)</f>
        <v>-20115.798999999999</v>
      </c>
      <c r="V63" s="438">
        <f>SUM(Q_Financials!AX17:BA17,Q_Financials!AX14:BA14)</f>
        <v>-24315.138999999996</v>
      </c>
      <c r="W63" s="438">
        <f>SUM(Q_Financials!BB17:BE17,Q_Financials!BB14:BE14)</f>
        <v>-32269.436000000002</v>
      </c>
      <c r="X63" s="438">
        <f>SUM(Q_Financials!BF17:BI17,Q_Financials!BF14:BI14)</f>
        <v>-35267.108</v>
      </c>
      <c r="Y63" s="447">
        <f>SUM(Q_Financials!BJ17:BM17,Q_Financials!BJ14:BM14)</f>
        <v>-37224.824719609838</v>
      </c>
      <c r="Z63" s="447">
        <f>SUM(Q_Financials!BN17:BQ17,Q_Financials!BN14:BQ14)</f>
        <v>-40845.480029361148</v>
      </c>
      <c r="AA63" s="447">
        <f>SUM(Q_Financials!BR17:BU17,Q_Financials!BR14:BU14)</f>
        <v>-43538.100497271997</v>
      </c>
      <c r="AB63" s="447">
        <f>SUM(Q_Financials!BV17:BY17,Q_Financials!BV14:BY14)</f>
        <v>-46009.773461736375</v>
      </c>
      <c r="AC63" s="447">
        <f>SUM(Q_Financials!BZ17:CC17,Q_Financials!BZ14:CC14)</f>
        <v>-48536.856654654082</v>
      </c>
      <c r="AD63" s="447">
        <f>SUM(Q_Financials!CD17:CG17,Q_Financials!CD14:CG14)</f>
        <v>-51082.977894216834</v>
      </c>
      <c r="AE63" s="447">
        <f>SUM(Q_Financials!CH17:CK17,Q_Financials!CH14:CK14)</f>
        <v>-53695.741087986455</v>
      </c>
      <c r="AF63" s="447">
        <f>SUM(Q_Financials!CL17:CO17,Q_Financials!CL14:CO14)</f>
        <v>-56369.283190111673</v>
      </c>
      <c r="AG63" s="447">
        <f>SUM(Q_Financials!CP17:CS17,Q_Financials!CP14:CS14)</f>
        <v>-59170.086372495876</v>
      </c>
      <c r="AH63" s="447">
        <f>SUM(Q_Financials!CT17:CW17,Q_Financials!CT14:CW14)</f>
        <v>-62093.502111055423</v>
      </c>
      <c r="AI63"/>
      <c r="AJ63" s="1128">
        <f t="shared" ref="AJ63" si="59">IFERROR((U63/P63)^(1/5)-1,"NM")</f>
        <v>2.4333292972720466E-2</v>
      </c>
      <c r="AK63" s="1128">
        <f>IFERROR((X63/U63)^(1/3)-1,"NM")</f>
        <v>0.2058062209079885</v>
      </c>
      <c r="AL63" s="1128">
        <f>IFERROR((AA63/Y63)^(1/2)-1,"NM")</f>
        <v>8.1479789946807601E-2</v>
      </c>
      <c r="AM63" s="1128">
        <f>IFERROR((AD63/AA63)^(1/3)-1,"NM")</f>
        <v>5.4716102212280404E-2</v>
      </c>
      <c r="AN63" s="1128">
        <f>IFERROR((AH63/X63)^(1/10)-1,"NM")</f>
        <v>5.8199691835005396E-2</v>
      </c>
      <c r="AP63" s="92"/>
    </row>
    <row r="64" spans="1:42">
      <c r="A64" s="593" t="s">
        <v>991</v>
      </c>
      <c r="B64" s="1593">
        <f t="shared" ref="B64:Z64" si="60">-B63/B36</f>
        <v>0.39901214472811147</v>
      </c>
      <c r="C64" s="1593">
        <f t="shared" si="60"/>
        <v>0.41218592983946212</v>
      </c>
      <c r="D64" s="1593">
        <f t="shared" si="60"/>
        <v>0.41794175917667858</v>
      </c>
      <c r="E64" s="1593">
        <f t="shared" si="60"/>
        <v>0.42922277283520388</v>
      </c>
      <c r="F64" s="1593">
        <f t="shared" si="60"/>
        <v>0.47064175937238761</v>
      </c>
      <c r="G64" s="1593">
        <f t="shared" si="60"/>
        <v>0.48992241527507757</v>
      </c>
      <c r="H64" s="1593">
        <f t="shared" si="60"/>
        <v>0.4828683470373864</v>
      </c>
      <c r="I64" s="1593">
        <f t="shared" si="60"/>
        <v>0.51027765681162451</v>
      </c>
      <c r="J64" s="1593">
        <f t="shared" si="60"/>
        <v>0.51477166687958331</v>
      </c>
      <c r="K64" s="1520">
        <f t="shared" si="60"/>
        <v>0.53551167741475769</v>
      </c>
      <c r="L64" s="1520">
        <f t="shared" si="60"/>
        <v>0.54167772947123649</v>
      </c>
      <c r="M64" s="1520">
        <f t="shared" si="60"/>
        <v>0.52901905564201901</v>
      </c>
      <c r="N64" s="1520">
        <f t="shared" si="60"/>
        <v>0.53766792584198797</v>
      </c>
      <c r="O64" s="1520">
        <f t="shared" si="60"/>
        <v>0.55835594821198264</v>
      </c>
      <c r="P64" s="1520">
        <f t="shared" si="60"/>
        <v>0.55243939800502817</v>
      </c>
      <c r="Q64" s="1520">
        <f t="shared" si="60"/>
        <v>0.55082147523357394</v>
      </c>
      <c r="R64" s="1520">
        <f t="shared" si="60"/>
        <v>0.54409045980517678</v>
      </c>
      <c r="S64" s="1520">
        <f t="shared" si="60"/>
        <v>0.55378366222930109</v>
      </c>
      <c r="T64" s="1520">
        <f>-T63/T36</f>
        <v>0.48788967218579837</v>
      </c>
      <c r="U64" s="1520">
        <f t="shared" si="60"/>
        <v>0.52255046243294556</v>
      </c>
      <c r="V64" s="1520">
        <f t="shared" si="60"/>
        <v>0.45551481600538207</v>
      </c>
      <c r="W64" s="1520">
        <f t="shared" si="60"/>
        <v>0.468819180458659</v>
      </c>
      <c r="X64" s="1520">
        <f t="shared" ref="X64" si="61">-X63/X36</f>
        <v>0.46263443734893955</v>
      </c>
      <c r="Y64" s="1594">
        <f t="shared" si="60"/>
        <v>0.4739055739844128</v>
      </c>
      <c r="Z64" s="1594">
        <f t="shared" si="60"/>
        <v>0.47494200653504276</v>
      </c>
      <c r="AA64" s="1594">
        <f>-AA63/AA36</f>
        <v>0.47395102034489328</v>
      </c>
      <c r="AB64" s="1594">
        <f>-AB63/AB36</f>
        <v>0.47294957304100405</v>
      </c>
      <c r="AC64" s="1594">
        <f>-AC63/AC36</f>
        <v>0.47394672643167052</v>
      </c>
      <c r="AD64" s="1594">
        <f>-AD63/AD36</f>
        <v>0.47394398265383419</v>
      </c>
      <c r="AE64" s="1594">
        <f>-AE63/AE36</f>
        <v>0.47394366127299048</v>
      </c>
      <c r="AF64" s="1594">
        <f t="shared" ref="AF64:AH64" si="62">-AF63/AF36</f>
        <v>0.47394099846157112</v>
      </c>
      <c r="AG64" s="1594">
        <f t="shared" si="62"/>
        <v>0.47393830992144825</v>
      </c>
      <c r="AH64" s="1594">
        <f t="shared" si="62"/>
        <v>0.47393684274857967</v>
      </c>
      <c r="AI64" s="438"/>
      <c r="AJ64" s="1129"/>
      <c r="AK64" s="1130"/>
      <c r="AL64" s="1130"/>
      <c r="AM64" s="1130"/>
      <c r="AN64" s="1130"/>
      <c r="AP64" s="92"/>
    </row>
    <row r="65" spans="1:42" s="1209" customFormat="1">
      <c r="A65" s="1237" t="s">
        <v>1270</v>
      </c>
      <c r="B65" s="1591">
        <f t="shared" ref="B65:I65" si="63">+B63</f>
        <v>-987.41700000000003</v>
      </c>
      <c r="C65" s="1591">
        <f t="shared" si="63"/>
        <v>-1083.19</v>
      </c>
      <c r="D65" s="1591">
        <f t="shared" si="63"/>
        <v>-1200.116</v>
      </c>
      <c r="E65" s="1518">
        <f t="shared" si="63"/>
        <v>-1591.8130000000001</v>
      </c>
      <c r="F65" s="1518">
        <f t="shared" si="63"/>
        <v>-2195.6849999999999</v>
      </c>
      <c r="G65" s="1518">
        <f t="shared" si="63"/>
        <v>-2952.49</v>
      </c>
      <c r="H65" s="1518">
        <f t="shared" si="63"/>
        <v>-3373.03</v>
      </c>
      <c r="I65" s="1518">
        <f t="shared" si="63"/>
        <v>-3973.4520000000002</v>
      </c>
      <c r="J65" s="1591">
        <f>SUM(Q_Financials!B15:E15)</f>
        <v>-4420.3860000000004</v>
      </c>
      <c r="K65" s="1591">
        <f>SUM(Q_Financials!F15:I15)</f>
        <v>-4809.6660000000002</v>
      </c>
      <c r="L65" s="1518">
        <f>SUM(Q_Financials!J15:M15)</f>
        <v>-5794.058</v>
      </c>
      <c r="M65" s="1518">
        <f>SUM(Q_Financials!N15:Q15)</f>
        <v>-7152.08</v>
      </c>
      <c r="N65" s="1518">
        <f>SUM(Q_Financials!R15:U15)</f>
        <v>-8448.1959999999999</v>
      </c>
      <c r="O65" s="1518">
        <f>SUM(Q_Financials!V15:Y15)</f>
        <v>-12730.657999999999</v>
      </c>
      <c r="P65" s="1518">
        <f>SUM(Q_Financials!Z15:AC15)</f>
        <v>-17837.370999999999</v>
      </c>
      <c r="Q65" s="1518">
        <f>SUM(Q_Financials!AD15:AG15)</f>
        <v>-20766.998</v>
      </c>
      <c r="R65" s="1518">
        <f>SUM(Q_Financials!AH15:AK15)</f>
        <v>-23139.688999999998</v>
      </c>
      <c r="S65" s="1518">
        <f>SUM(Q_Financials!AL15:AO15)</f>
        <v>-25560.766</v>
      </c>
      <c r="T65" s="1518">
        <f>SUM(Q_Financials!AP15:AS15)</f>
        <v>-33322.428</v>
      </c>
      <c r="U65" s="1518">
        <f>SUM(Q_Financials!AT15:AW15)</f>
        <v>-25603.792999999998</v>
      </c>
      <c r="V65" s="1518">
        <f>SUM(Q_Financials!AX15:BA15)</f>
        <v>-30090.120999999999</v>
      </c>
      <c r="W65" s="1518">
        <f>SUM(Q_Financials!BB15:BE15)</f>
        <v>-37494.724000000002</v>
      </c>
      <c r="X65" s="1518">
        <f>SUM(Q_Financials!BF15:BI15)</f>
        <v>-40432.868000000002</v>
      </c>
      <c r="Y65" s="1518">
        <f>SUM(Q_Financials!BJ15:BM15)</f>
        <v>-41914.223653138462</v>
      </c>
      <c r="Z65" s="1518">
        <f>SUM(Q_Financials!BN15:BQ15)</f>
        <v>-45728.444010173887</v>
      </c>
      <c r="AA65" s="1518">
        <f>SUM(Q_Financials!BR15:BU15)</f>
        <v>-48657.565351950703</v>
      </c>
      <c r="AB65" s="1518">
        <f>SUM(Q_Financials!BV15:BY15)</f>
        <v>-51303.859388363948</v>
      </c>
      <c r="AC65" s="1518">
        <f>SUM(Q_Financials!BZ15:CC15)</f>
        <v>-54124.460763644907</v>
      </c>
      <c r="AD65" s="1518">
        <f>SUM(Q_Financials!CD15:CG15)</f>
        <v>-56979.38486564083</v>
      </c>
      <c r="AE65" s="1518">
        <f>SUM(Q_Financials!CH15:CK15)</f>
        <v>-59909.599151733863</v>
      </c>
      <c r="AF65" s="1518">
        <f>SUM(Q_Financials!CL15:CO15)</f>
        <v>-62910.334491440313</v>
      </c>
      <c r="AG65" s="1518">
        <f>SUM(Q_Financials!CP15:CS15)</f>
        <v>-66054.163778876333</v>
      </c>
      <c r="AH65" s="1518">
        <f>SUM(Q_Financials!CT15:CW15)</f>
        <v>-69336.44257486047</v>
      </c>
      <c r="AI65" s="1518"/>
      <c r="AJ65" s="1128">
        <f t="shared" ref="AJ65" si="64">IFERROR((U65/P65)^(1/5)-1,"NM")</f>
        <v>7.4965911398891416E-2</v>
      </c>
      <c r="AK65" s="1128">
        <f>IFERROR((X65/U65)^(1/3)-1,"NM")</f>
        <v>0.16451051274970641</v>
      </c>
      <c r="AL65" s="1128">
        <f>IFERROR((AA65/Y65)^(1/2)-1,"NM")</f>
        <v>7.7443422100055503E-2</v>
      </c>
      <c r="AM65" s="1128">
        <f>IFERROR((AD65/AA65)^(1/3)-1,"NM")</f>
        <v>5.4036848765255829E-2</v>
      </c>
      <c r="AN65" s="1128">
        <f>IFERROR((AH65/X65)^(1/10)-1,"NM")</f>
        <v>5.5413635476526668E-2</v>
      </c>
      <c r="AP65" s="92"/>
    </row>
    <row r="66" spans="1:42">
      <c r="A66" s="1421" t="s">
        <v>991</v>
      </c>
      <c r="B66" s="1519">
        <f t="shared" ref="B66:Z66" si="65">-B65/B36</f>
        <v>0.39901214472811147</v>
      </c>
      <c r="C66" s="1519">
        <f t="shared" si="65"/>
        <v>0.41218592983946212</v>
      </c>
      <c r="D66" s="1519">
        <f t="shared" si="65"/>
        <v>0.41794175917667858</v>
      </c>
      <c r="E66" s="1519">
        <f t="shared" si="65"/>
        <v>0.42922277283520388</v>
      </c>
      <c r="F66" s="1519">
        <f t="shared" si="65"/>
        <v>0.47064175937238761</v>
      </c>
      <c r="G66" s="1519">
        <f t="shared" si="65"/>
        <v>0.48992241527507757</v>
      </c>
      <c r="H66" s="1519">
        <f t="shared" si="65"/>
        <v>0.4828683470373864</v>
      </c>
      <c r="I66" s="1519">
        <f t="shared" si="65"/>
        <v>0.51027765681162451</v>
      </c>
      <c r="J66" s="1519">
        <f t="shared" si="65"/>
        <v>0.51477166687958331</v>
      </c>
      <c r="K66" s="1519">
        <f t="shared" si="65"/>
        <v>0.53551167741475769</v>
      </c>
      <c r="L66" s="1519">
        <f t="shared" si="65"/>
        <v>0.54167772947123649</v>
      </c>
      <c r="M66" s="1519">
        <f t="shared" si="65"/>
        <v>0.52901905564201901</v>
      </c>
      <c r="N66" s="1519">
        <f t="shared" si="65"/>
        <v>0.53766792584198797</v>
      </c>
      <c r="O66" s="1519">
        <f t="shared" si="65"/>
        <v>0.55835594821198264</v>
      </c>
      <c r="P66" s="1519">
        <f t="shared" si="65"/>
        <v>0.55243939800502817</v>
      </c>
      <c r="Q66" s="1519">
        <f t="shared" si="65"/>
        <v>0.55082147523357394</v>
      </c>
      <c r="R66" s="1519">
        <f t="shared" si="65"/>
        <v>0.54409045980517678</v>
      </c>
      <c r="S66" s="1519">
        <f t="shared" si="65"/>
        <v>0.55378366222930109</v>
      </c>
      <c r="T66" s="1519">
        <f>-T65/T36</f>
        <v>0.57299709933616794</v>
      </c>
      <c r="U66" s="1519">
        <f t="shared" si="65"/>
        <v>0.66511272419193557</v>
      </c>
      <c r="V66" s="1519">
        <f t="shared" si="65"/>
        <v>0.56370214173543021</v>
      </c>
      <c r="W66" s="1519">
        <f t="shared" si="65"/>
        <v>0.54473359178646985</v>
      </c>
      <c r="X66" s="1519">
        <f t="shared" ref="X66" si="66">-X65/X36</f>
        <v>0.53039895240584922</v>
      </c>
      <c r="Y66" s="1519">
        <f t="shared" si="65"/>
        <v>0.53360584953910373</v>
      </c>
      <c r="Z66" s="1519">
        <f t="shared" si="65"/>
        <v>0.53172000765581484</v>
      </c>
      <c r="AA66" s="1519">
        <f>-AA65/AA36</f>
        <v>0.52968095719978259</v>
      </c>
      <c r="AB66" s="1519">
        <f>-AB65/AB36</f>
        <v>0.52736922109085138</v>
      </c>
      <c r="AC66" s="1519">
        <f>-AC65/AC36</f>
        <v>0.5285078755990924</v>
      </c>
      <c r="AD66" s="1519">
        <f>-AD65/AD36</f>
        <v>0.52865039795271396</v>
      </c>
      <c r="AE66" s="1519">
        <f>-AE65/AE36</f>
        <v>0.52879007146662949</v>
      </c>
      <c r="AF66" s="1519">
        <f t="shared" ref="AF66:AH66" si="67">-AF65/AF36</f>
        <v>0.52893677292059194</v>
      </c>
      <c r="AG66" s="1519">
        <f t="shared" si="67"/>
        <v>0.5290781316010893</v>
      </c>
      <c r="AH66" s="1519">
        <f t="shared" si="67"/>
        <v>0.52921954092031831</v>
      </c>
      <c r="AI66" s="438"/>
      <c r="AJ66" s="1129"/>
      <c r="AK66" s="1130"/>
      <c r="AL66" s="1130"/>
      <c r="AM66" s="1130"/>
      <c r="AN66" s="1130"/>
      <c r="AP66" s="92"/>
    </row>
    <row r="67" spans="1:42">
      <c r="A67" s="43" t="s">
        <v>1555</v>
      </c>
      <c r="B67" s="1592">
        <f t="shared" ref="B67:I67" si="68">+B69</f>
        <v>330.56599999999992</v>
      </c>
      <c r="C67" s="1592">
        <f t="shared" si="68"/>
        <v>383.90300000000002</v>
      </c>
      <c r="D67" s="1592">
        <f t="shared" si="68"/>
        <v>415.20900000000006</v>
      </c>
      <c r="E67" s="985">
        <f t="shared" si="68"/>
        <v>545.45299999999997</v>
      </c>
      <c r="F67" s="985">
        <f t="shared" si="68"/>
        <v>700.55500000000029</v>
      </c>
      <c r="G67" s="985">
        <f t="shared" si="68"/>
        <v>1007.4390000000008</v>
      </c>
      <c r="H67" s="985">
        <f t="shared" si="68"/>
        <v>1288.6759999999999</v>
      </c>
      <c r="I67" s="985">
        <f t="shared" si="68"/>
        <v>1032.067</v>
      </c>
      <c r="J67" s="1592">
        <f>SUM(Q_Financials!B18:E18)</f>
        <v>1000.2359999999994</v>
      </c>
      <c r="K67" s="1592">
        <f>SUM(Q_Financials!F18:I18)</f>
        <v>998.63099999999986</v>
      </c>
      <c r="L67" s="985">
        <f>SUM(Q_Financials!J18:M18)</f>
        <v>1114.8470000000004</v>
      </c>
      <c r="M67" s="985">
        <f>SUM(Q_Financials!N18:Q18)</f>
        <v>1608.0649999999994</v>
      </c>
      <c r="N67" s="985">
        <f>SUM(Q_Financials!R18:U18)</f>
        <v>2038.7220000000002</v>
      </c>
      <c r="O67" s="985">
        <f>SUM(Q_Financials!V18:Y18)</f>
        <v>2793.0920000000001</v>
      </c>
      <c r="P67" s="985">
        <f>SUM(Q_Financials!Z18:AC18)</f>
        <v>4301.7290000000003</v>
      </c>
      <c r="Q67" s="985">
        <f>SUM(Q_Financials!AD18:AG18)</f>
        <v>5155.2379999999994</v>
      </c>
      <c r="R67" s="985">
        <f>SUM(Q_Financials!AH18:AK18)</f>
        <v>6466.2439999999997</v>
      </c>
      <c r="S67" s="985">
        <f>SUM(Q_Financials!AL18:AO18)</f>
        <v>6408.3169999999991</v>
      </c>
      <c r="T67" s="985">
        <f>SUM(Q_Financials!AP18:AS18)</f>
        <v>12617.558999999997</v>
      </c>
      <c r="U67" s="985">
        <f>SUM(Q_Financials!AT18:AW18)</f>
        <v>6924.7359999999981</v>
      </c>
      <c r="V67" s="985">
        <f>SUM(Q_Financials!AX18:BA18)</f>
        <v>12311.269</v>
      </c>
      <c r="W67" s="985">
        <f>SUM(Q_Financials!BB18:BE18)</f>
        <v>14049.793999999998</v>
      </c>
      <c r="X67" s="985">
        <f>SUM(Q_Financials!BF18:BI18)</f>
        <v>15960.388999999996</v>
      </c>
      <c r="Y67" s="1566">
        <f>SUM(Q_Financials!BJ18:BM18)</f>
        <v>15784.508985242415</v>
      </c>
      <c r="Z67" s="1566">
        <f>SUM(Q_Financials!BN18:BQ18)</f>
        <v>16697.98974466572</v>
      </c>
      <c r="AA67" s="1566">
        <f>SUM(Q_Financials!BR18:BU18)</f>
        <v>17835.232895881862</v>
      </c>
      <c r="AB67" s="1566">
        <f>SUM(Q_Financials!BV18:BY18)</f>
        <v>18887.72773511766</v>
      </c>
      <c r="AC67" s="1566">
        <f>SUM(Q_Financials!BZ18:CC18)</f>
        <v>19268.937598642347</v>
      </c>
      <c r="AD67" s="1566">
        <f>SUM(Q_Financials!CD18:CG18)</f>
        <v>20280.040739064872</v>
      </c>
      <c r="AE67" s="1566">
        <f>SUM(Q_Financials!CH18:CK18)</f>
        <v>21317.325867455103</v>
      </c>
      <c r="AF67" s="1566">
        <f>SUM(Q_Financials!CL18:CO18)</f>
        <v>22379.053250111392</v>
      </c>
      <c r="AG67" s="1566">
        <f>SUM(Q_Financials!CP18:CS18)</f>
        <v>23491.339249701956</v>
      </c>
      <c r="AH67" s="1566">
        <f>SUM(Q_Financials!CT18:CW18)</f>
        <v>24652.159587595641</v>
      </c>
      <c r="AI67" s="438"/>
      <c r="AJ67" s="1128">
        <f t="shared" ref="AJ67" si="69">IFERROR((U67/P67)^(1/5)-1,"NM")</f>
        <v>9.9897043647288353E-2</v>
      </c>
      <c r="AK67" s="1128">
        <f>IFERROR((X67/U67)^(1/3)-1,"NM")</f>
        <v>0.32093085183440095</v>
      </c>
      <c r="AL67" s="1246">
        <f>IFERROR((AA67/Y67)^(1/2)-1,"NM")</f>
        <v>6.2976966770315279E-2</v>
      </c>
      <c r="AM67" s="1246">
        <f>IFERROR((AD67/AA67)^(1/3)-1,"NM")</f>
        <v>4.3750458872423792E-2</v>
      </c>
      <c r="AN67" s="1246">
        <f>IFERROR((AH67/X67)^(1/10)-1,"NM")</f>
        <v>4.4434357472220576E-2</v>
      </c>
      <c r="AP67" s="92"/>
    </row>
    <row r="68" spans="1:42">
      <c r="A68" s="593" t="s">
        <v>52</v>
      </c>
      <c r="B68" s="1593">
        <f t="shared" ref="B68:Z68" si="70">B67/B$36</f>
        <v>0.13358069451325313</v>
      </c>
      <c r="C68" s="1593">
        <f t="shared" si="70"/>
        <v>0.14608648069420788</v>
      </c>
      <c r="D68" s="1593">
        <f t="shared" si="70"/>
        <v>0.14459700552779028</v>
      </c>
      <c r="E68" s="1593">
        <f t="shared" si="70"/>
        <v>0.14707811100379281</v>
      </c>
      <c r="F68" s="1593">
        <f t="shared" si="70"/>
        <v>0.15016290485070632</v>
      </c>
      <c r="G68" s="1593">
        <f t="shared" si="70"/>
        <v>0.16716972728859683</v>
      </c>
      <c r="H68" s="1593">
        <f t="shared" si="70"/>
        <v>0.18448126758041017</v>
      </c>
      <c r="I68" s="1593">
        <f t="shared" si="70"/>
        <v>0.13253984958987872</v>
      </c>
      <c r="J68" s="1593">
        <f t="shared" si="70"/>
        <v>0.11648149120754761</v>
      </c>
      <c r="K68" s="1520">
        <f t="shared" si="70"/>
        <v>0.1111882949727438</v>
      </c>
      <c r="L68" s="1520">
        <f t="shared" si="70"/>
        <v>0.10422536185654681</v>
      </c>
      <c r="M68" s="1520">
        <f t="shared" si="70"/>
        <v>0.11894400338237031</v>
      </c>
      <c r="N68" s="1520">
        <f t="shared" si="70"/>
        <v>0.12975023651302947</v>
      </c>
      <c r="O68" s="1520">
        <f t="shared" si="70"/>
        <v>0.12250266499212399</v>
      </c>
      <c r="P68" s="1520">
        <f t="shared" si="70"/>
        <v>0.13322841012505554</v>
      </c>
      <c r="Q68" s="1520">
        <f t="shared" si="70"/>
        <v>0.13673694196629571</v>
      </c>
      <c r="R68" s="1520">
        <f t="shared" si="70"/>
        <v>0.15204273796300657</v>
      </c>
      <c r="S68" s="1520">
        <f t="shared" si="70"/>
        <v>0.13883861136971748</v>
      </c>
      <c r="T68" s="1520">
        <f>T67/T$36</f>
        <v>0.21696572373726664</v>
      </c>
      <c r="U68" s="1520">
        <f t="shared" si="70"/>
        <v>0.17988467666763147</v>
      </c>
      <c r="V68" s="1520">
        <f t="shared" si="70"/>
        <v>0.23063678284248201</v>
      </c>
      <c r="W68" s="1520">
        <f t="shared" si="70"/>
        <v>0.20411924486975797</v>
      </c>
      <c r="X68" s="1520">
        <f t="shared" ref="X68" si="71">X67/X$36</f>
        <v>0.20936861579024857</v>
      </c>
      <c r="Y68" s="1594">
        <f t="shared" si="70"/>
        <v>0.20095102789759575</v>
      </c>
      <c r="Z68" s="1594">
        <f t="shared" si="70"/>
        <v>0.19416044930142404</v>
      </c>
      <c r="AA68" s="1594">
        <f>AA67/AA$36</f>
        <v>0.19415240289643923</v>
      </c>
      <c r="AB68" s="1594">
        <f>AB67/AB$36</f>
        <v>0.19415315694756966</v>
      </c>
      <c r="AC68" s="1594">
        <f>AC67/AC$36</f>
        <v>0.18815495122956188</v>
      </c>
      <c r="AD68" s="1594">
        <f>AD67/AD$36</f>
        <v>0.18815667512881143</v>
      </c>
      <c r="AE68" s="1594">
        <f>AE67/AE$36</f>
        <v>0.18815666318145907</v>
      </c>
      <c r="AF68" s="1594">
        <f t="shared" ref="AF68:AH68" si="72">AF67/AF$36</f>
        <v>0.18815834159557013</v>
      </c>
      <c r="AG68" s="1594">
        <f t="shared" si="72"/>
        <v>0.18816003667302916</v>
      </c>
      <c r="AH68" s="1594">
        <f t="shared" si="72"/>
        <v>0.18816085878008493</v>
      </c>
      <c r="AI68" s="438"/>
      <c r="AJ68" s="1130"/>
      <c r="AK68" s="1130"/>
      <c r="AL68" s="1130"/>
      <c r="AM68" s="1130"/>
      <c r="AN68" s="1130"/>
      <c r="AP68" s="92"/>
    </row>
    <row r="69" spans="1:42" s="1207" customFormat="1">
      <c r="A69" s="1235" t="str">
        <f>Q_Financials!A20</f>
        <v>EBITDA (Company definition; IAS 17)</v>
      </c>
      <c r="B69" s="1595">
        <f t="shared" ref="B69:I69" si="73">B61+B63</f>
        <v>330.56599999999992</v>
      </c>
      <c r="C69" s="1595">
        <f t="shared" si="73"/>
        <v>383.90300000000002</v>
      </c>
      <c r="D69" s="1595">
        <f t="shared" si="73"/>
        <v>415.20900000000006</v>
      </c>
      <c r="E69" s="1521">
        <f t="shared" si="73"/>
        <v>545.45299999999997</v>
      </c>
      <c r="F69" s="1521">
        <f t="shared" si="73"/>
        <v>700.55500000000029</v>
      </c>
      <c r="G69" s="1521">
        <f t="shared" si="73"/>
        <v>1007.4390000000008</v>
      </c>
      <c r="H69" s="1521">
        <f t="shared" si="73"/>
        <v>1288.6759999999999</v>
      </c>
      <c r="I69" s="1521">
        <f t="shared" si="73"/>
        <v>1032.067</v>
      </c>
      <c r="J69" s="1595">
        <f>SUM(Q_Financials!B20:E20)</f>
        <v>1000.2359999999994</v>
      </c>
      <c r="K69" s="1595">
        <f>SUM(Q_Financials!F20:I20)</f>
        <v>998.63099999999986</v>
      </c>
      <c r="L69" s="1521">
        <f>SUM(Q_Financials!J20:M20)</f>
        <v>1114.8470000000004</v>
      </c>
      <c r="M69" s="1521">
        <f>SUM(Q_Financials!N20:Q20)</f>
        <v>1608.0649999999994</v>
      </c>
      <c r="N69" s="1521">
        <f>SUM(Q_Financials!R20:U20)</f>
        <v>2038.7220000000002</v>
      </c>
      <c r="O69" s="1521">
        <f>SUM(Q_Financials!V20:Y20)</f>
        <v>2793.0920000000001</v>
      </c>
      <c r="P69" s="1521">
        <f>SUM(Q_Financials!Z20:AC20)</f>
        <v>4301.7290000000003</v>
      </c>
      <c r="Q69" s="1521">
        <f>SUM(Q_Financials!AD20:AG20)</f>
        <v>5155.2379999999994</v>
      </c>
      <c r="R69" s="1521">
        <f>SUM(Q_Financials!AH20:AK20)</f>
        <v>6466.2439999999997</v>
      </c>
      <c r="S69" s="1521">
        <f>SUM(Q_Financials!AL20:AO20)</f>
        <v>6408.3169999999991</v>
      </c>
      <c r="T69" s="1521">
        <f>SUM(Q_Financials!AP20:AS20)</f>
        <v>7668.168999999999</v>
      </c>
      <c r="U69" s="1521">
        <f>SUM(Q_Financials!AT20:AW20)</f>
        <v>1436.7419999999979</v>
      </c>
      <c r="V69" s="1521">
        <f>SUM(Q_Financials!AX20:BA20)</f>
        <v>6536.2869999999994</v>
      </c>
      <c r="W69" s="1521">
        <f>SUM(Q_Financials!BB20:BE20)</f>
        <v>8824.5059999999976</v>
      </c>
      <c r="X69" s="1521">
        <f>SUM(Q_Financials!BF20:BI20)</f>
        <v>10794.628999999997</v>
      </c>
      <c r="Y69" s="1521">
        <f>SUM(Q_Financials!BJ20:BM20)</f>
        <v>11095.110051713798</v>
      </c>
      <c r="Z69" s="1521">
        <f>SUM(Q_Financials!BN20:BQ20)</f>
        <v>11815.025763852975</v>
      </c>
      <c r="AA69" s="1521">
        <f>SUM(Q_Financials!BR20:BU20)</f>
        <v>12715.768041203142</v>
      </c>
      <c r="AB69" s="1521">
        <f>SUM(Q_Financials!BV20:BY20)</f>
        <v>13593.641808490087</v>
      </c>
      <c r="AC69" s="1521">
        <f>SUM(Q_Financials!BZ20:CC20)</f>
        <v>13681.333489651528</v>
      </c>
      <c r="AD69" s="1521">
        <f>SUM(Q_Financials!CD20:CG20)</f>
        <v>14383.633767640877</v>
      </c>
      <c r="AE69" s="1521">
        <f>SUM(Q_Financials!CH20:CK20)</f>
        <v>15103.467803707692</v>
      </c>
      <c r="AF69" s="1521">
        <f>SUM(Q_Financials!CL20:CO20)</f>
        <v>15838.001948782758</v>
      </c>
      <c r="AG69" s="1521">
        <f>SUM(Q_Financials!CP20:CS20)</f>
        <v>16607.261843321488</v>
      </c>
      <c r="AH69" s="1521">
        <f>SUM(Q_Financials!CT20:CW20)</f>
        <v>17409.219123790594</v>
      </c>
      <c r="AI69" s="1021"/>
      <c r="AJ69" s="1244">
        <f t="shared" ref="AJ69" si="74">IFERROR((U69/P69)^(1/5)-1,"NM")</f>
        <v>-0.19694156508327454</v>
      </c>
      <c r="AK69" s="1244">
        <f>IFERROR((X69/U69)^(1/3)-1,"NM")</f>
        <v>0.95858749661951514</v>
      </c>
      <c r="AL69" s="1244">
        <f>IFERROR((AA69/Y69)^(1/2)-1,"NM")</f>
        <v>7.0546390011434701E-2</v>
      </c>
      <c r="AM69" s="1244">
        <f>IFERROR((AD69/AA69)^(1/3)-1,"NM")</f>
        <v>4.1938310190971162E-2</v>
      </c>
      <c r="AN69" s="1244">
        <f>IFERROR((AH69/X69)^(1/10)-1,"NM")</f>
        <v>4.8955723782944771E-2</v>
      </c>
      <c r="AP69" s="92"/>
    </row>
    <row r="70" spans="1:42" s="1209" customFormat="1">
      <c r="A70" s="1236" t="s">
        <v>1215</v>
      </c>
      <c r="B70" s="1519">
        <f t="shared" ref="B70:I70" si="75">B69/B36</f>
        <v>0.13358069451325313</v>
      </c>
      <c r="C70" s="1519">
        <f t="shared" si="75"/>
        <v>0.14608648069420788</v>
      </c>
      <c r="D70" s="1519">
        <f t="shared" si="75"/>
        <v>0.14459700552779028</v>
      </c>
      <c r="E70" s="1519">
        <f t="shared" si="75"/>
        <v>0.14707811100379281</v>
      </c>
      <c r="F70" s="1519">
        <f t="shared" si="75"/>
        <v>0.15016290485070632</v>
      </c>
      <c r="G70" s="1519">
        <f t="shared" si="75"/>
        <v>0.16716972728859683</v>
      </c>
      <c r="H70" s="1519">
        <f t="shared" si="75"/>
        <v>0.18448126758041017</v>
      </c>
      <c r="I70" s="1519">
        <f t="shared" si="75"/>
        <v>0.13253984958987872</v>
      </c>
      <c r="J70" s="1519">
        <f>J69/$J$36</f>
        <v>0.11648149120754761</v>
      </c>
      <c r="K70" s="1519">
        <f t="shared" ref="K70:Z70" si="76">K69/K36</f>
        <v>0.1111882949727438</v>
      </c>
      <c r="L70" s="1519">
        <f t="shared" si="76"/>
        <v>0.10422536185654681</v>
      </c>
      <c r="M70" s="1519">
        <f t="shared" si="76"/>
        <v>0.11894400338237031</v>
      </c>
      <c r="N70" s="1519">
        <f t="shared" si="76"/>
        <v>0.12975023651302947</v>
      </c>
      <c r="O70" s="1519">
        <f t="shared" si="76"/>
        <v>0.12250266499212399</v>
      </c>
      <c r="P70" s="1519">
        <f t="shared" si="76"/>
        <v>0.13322841012505554</v>
      </c>
      <c r="Q70" s="1519">
        <f t="shared" si="76"/>
        <v>0.13673694196629571</v>
      </c>
      <c r="R70" s="1519">
        <f t="shared" si="76"/>
        <v>0.15204273796300657</v>
      </c>
      <c r="S70" s="1519">
        <f t="shared" si="76"/>
        <v>0.13883861136971748</v>
      </c>
      <c r="T70" s="1519">
        <f>T69/T36</f>
        <v>0.13185829658689707</v>
      </c>
      <c r="U70" s="1519">
        <f t="shared" si="76"/>
        <v>3.732241490864141E-2</v>
      </c>
      <c r="V70" s="1519">
        <f t="shared" si="76"/>
        <v>0.12244945711243399</v>
      </c>
      <c r="W70" s="1519">
        <f t="shared" si="76"/>
        <v>0.12820483354194717</v>
      </c>
      <c r="X70" s="1519">
        <f t="shared" ref="X70" si="77">X69/X36</f>
        <v>0.14160410073333896</v>
      </c>
      <c r="Y70" s="1519">
        <f t="shared" si="76"/>
        <v>0.14125075234290496</v>
      </c>
      <c r="Z70" s="1519">
        <f t="shared" si="76"/>
        <v>0.13738244818065184</v>
      </c>
      <c r="AA70" s="1519">
        <f>AA69/AA36</f>
        <v>0.13842246604154979</v>
      </c>
      <c r="AB70" s="1519">
        <f>AB69/AB36</f>
        <v>0.13973350889772235</v>
      </c>
      <c r="AC70" s="1519">
        <f>AC69/AC36</f>
        <v>0.13359380206214011</v>
      </c>
      <c r="AD70" s="1519">
        <f>AD69/AD36</f>
        <v>0.13345025982993164</v>
      </c>
      <c r="AE70" s="1519">
        <f>AE69/AE36</f>
        <v>0.13331025298782001</v>
      </c>
      <c r="AF70" s="1519">
        <f t="shared" ref="AF70:AH70" si="78">AF69/AF36</f>
        <v>0.13316256713654936</v>
      </c>
      <c r="AG70" s="1519">
        <f t="shared" si="78"/>
        <v>0.13302021499338806</v>
      </c>
      <c r="AH70" s="1519">
        <f t="shared" si="78"/>
        <v>0.13287816060834623</v>
      </c>
      <c r="AI70" s="1518"/>
      <c r="AJ70" s="1245"/>
      <c r="AK70" s="1245"/>
      <c r="AL70" s="1245"/>
      <c r="AM70" s="1245"/>
      <c r="AN70" s="1245"/>
      <c r="AP70" s="92"/>
    </row>
    <row r="71" spans="1:42">
      <c r="A71" s="904" t="s">
        <v>963</v>
      </c>
      <c r="B71" s="1522">
        <v>0</v>
      </c>
      <c r="C71" s="1522">
        <v>0</v>
      </c>
      <c r="D71" s="1522">
        <v>0</v>
      </c>
      <c r="E71" s="1522">
        <v>0</v>
      </c>
      <c r="F71" s="1522">
        <v>0</v>
      </c>
      <c r="G71" s="1522">
        <v>0</v>
      </c>
      <c r="H71" s="1522">
        <v>0</v>
      </c>
      <c r="I71" s="1522">
        <v>0</v>
      </c>
      <c r="J71" s="1522">
        <f>SUM(Q_Financials!B22:E22)</f>
        <v>0</v>
      </c>
      <c r="K71" s="1522">
        <f>SUM(Q_Financials!F22:I22)</f>
        <v>0</v>
      </c>
      <c r="L71" s="1522">
        <f>SUM(Q_Financials!J22:M22)</f>
        <v>0</v>
      </c>
      <c r="M71" s="1522">
        <f>SUM(Q_Financials!N22:Q22)</f>
        <v>0</v>
      </c>
      <c r="N71" s="1522">
        <f>SUM(Q_Financials!R22:U22)</f>
        <v>297.68399999999974</v>
      </c>
      <c r="O71" s="1522">
        <f>SUM(Q_Financials!V22:Y22)</f>
        <v>2194.9079999999999</v>
      </c>
      <c r="P71" s="1522">
        <f>SUM(Q_Financials!Z22:AC22)</f>
        <v>2476.2709999999997</v>
      </c>
      <c r="Q71" s="1522">
        <f>SUM(Q_Financials!AD22:AG22)</f>
        <v>2786.7620000000006</v>
      </c>
      <c r="R71" s="1522">
        <f>SUM(Q_Financials!AH22:AK22)</f>
        <v>2429.7560000000003</v>
      </c>
      <c r="S71" s="1522">
        <f>SUM(Q_Financials!AL22:AO22)</f>
        <v>2816.6830000000009</v>
      </c>
      <c r="T71" s="1522">
        <f>SUM(Q_Financials!AP22:AS22)</f>
        <v>3545.8310000000006</v>
      </c>
      <c r="U71" s="1522">
        <f>SUM(Q_Financials!AT22:AW22)</f>
        <v>2914.2580000000021</v>
      </c>
      <c r="V71" s="1522">
        <f>SUM(Q_Financials!AX22:BA22)</f>
        <v>4094.7130000000006</v>
      </c>
      <c r="W71" s="1522">
        <f>SUM(Q_Financials!BB22:BE22)</f>
        <v>3934.4940000000024</v>
      </c>
      <c r="X71" s="1522">
        <f>SUM(Q_Financials!BF22:BI22)</f>
        <v>3962.3710000000033</v>
      </c>
      <c r="Y71" s="1596">
        <f>SUM(Q_Financials!BJ22:BM22)</f>
        <v>4156.0033509562682</v>
      </c>
      <c r="Z71" s="1596">
        <f>SUM(Q_Financials!BN22:BQ22)</f>
        <v>4547.944074928062</v>
      </c>
      <c r="AA71" s="1596">
        <f>SUM(Q_Financials!BR22:BU22)</f>
        <v>4766.7101779934083</v>
      </c>
      <c r="AB71" s="1596">
        <f>SUM(Q_Financials!BV22:BY22)</f>
        <v>4950.6780564213441</v>
      </c>
      <c r="AC71" s="1596">
        <f>SUM(Q_Financials!BZ22:CC22)</f>
        <v>5313.8932311200897</v>
      </c>
      <c r="AD71" s="1596">
        <f>SUM(Q_Financials!CD22:CG22)</f>
        <v>5592.5556376255208</v>
      </c>
      <c r="AE71" s="1596">
        <f>SUM(Q_Financials!CH22:CK22)</f>
        <v>5878.6305437805386</v>
      </c>
      <c r="AF71" s="1596">
        <f>SUM(Q_Financials!CL22:CO22)</f>
        <v>6171.2259593326444</v>
      </c>
      <c r="AG71" s="1596">
        <f>SUM(Q_Financials!CP22:CS22)</f>
        <v>6477.7401096460308</v>
      </c>
      <c r="AH71" s="1596">
        <f>SUM(Q_Financials!CT22:CW22)</f>
        <v>6797.7156243530635</v>
      </c>
      <c r="AI71" s="438"/>
      <c r="AJ71" s="1130"/>
      <c r="AK71" s="1130"/>
      <c r="AL71" s="1130"/>
      <c r="AM71" s="1130"/>
      <c r="AN71" s="1130"/>
      <c r="AP71" s="92"/>
    </row>
    <row r="72" spans="1:42">
      <c r="A72" s="89" t="str">
        <f>Q_Financials!A23</f>
        <v>Adj. EBITDA (stores EBITDA, company definition)</v>
      </c>
      <c r="B72" s="985">
        <f t="shared" ref="B72:Z72" si="79">B69+B71</f>
        <v>330.56599999999992</v>
      </c>
      <c r="C72" s="985">
        <f t="shared" si="79"/>
        <v>383.90300000000002</v>
      </c>
      <c r="D72" s="985">
        <f t="shared" si="79"/>
        <v>415.20900000000006</v>
      </c>
      <c r="E72" s="985">
        <f t="shared" si="79"/>
        <v>545.45299999999997</v>
      </c>
      <c r="F72" s="985">
        <f t="shared" si="79"/>
        <v>700.55500000000029</v>
      </c>
      <c r="G72" s="985">
        <f t="shared" si="79"/>
        <v>1007.4390000000008</v>
      </c>
      <c r="H72" s="985">
        <f t="shared" si="79"/>
        <v>1288.6759999999999</v>
      </c>
      <c r="I72" s="985">
        <f t="shared" si="79"/>
        <v>1032.067</v>
      </c>
      <c r="J72" s="985">
        <f t="shared" si="79"/>
        <v>1000.2359999999994</v>
      </c>
      <c r="K72" s="985">
        <f t="shared" si="79"/>
        <v>998.63099999999986</v>
      </c>
      <c r="L72" s="985">
        <f t="shared" si="79"/>
        <v>1114.8470000000004</v>
      </c>
      <c r="M72" s="985">
        <f t="shared" si="79"/>
        <v>1608.0649999999994</v>
      </c>
      <c r="N72" s="985">
        <f t="shared" si="79"/>
        <v>2336.4059999999999</v>
      </c>
      <c r="O72" s="985">
        <f t="shared" si="79"/>
        <v>4988</v>
      </c>
      <c r="P72" s="985">
        <f t="shared" si="79"/>
        <v>6778</v>
      </c>
      <c r="Q72" s="985">
        <f t="shared" si="79"/>
        <v>7942</v>
      </c>
      <c r="R72" s="985">
        <f t="shared" si="79"/>
        <v>8896</v>
      </c>
      <c r="S72" s="985">
        <f t="shared" si="79"/>
        <v>9225</v>
      </c>
      <c r="T72" s="985">
        <f>T69+T71</f>
        <v>11214</v>
      </c>
      <c r="U72" s="985">
        <f t="shared" si="79"/>
        <v>4351</v>
      </c>
      <c r="V72" s="985">
        <f>V69+V71</f>
        <v>10631</v>
      </c>
      <c r="W72" s="985">
        <f t="shared" si="79"/>
        <v>12759</v>
      </c>
      <c r="X72" s="985">
        <f t="shared" ref="X72" si="80">X69+X71</f>
        <v>14757</v>
      </c>
      <c r="Y72" s="1566">
        <f t="shared" si="79"/>
        <v>15251.113402670067</v>
      </c>
      <c r="Z72" s="1566">
        <f t="shared" si="79"/>
        <v>16362.969838781037</v>
      </c>
      <c r="AA72" s="1566">
        <f>AA69+AA71</f>
        <v>17482.47821919655</v>
      </c>
      <c r="AB72" s="1566">
        <f>AB69+AB71</f>
        <v>18544.319864911431</v>
      </c>
      <c r="AC72" s="1566">
        <f>AC69+AC71</f>
        <v>18995.226720771618</v>
      </c>
      <c r="AD72" s="1566">
        <f>AD69+AD71</f>
        <v>19976.189405266399</v>
      </c>
      <c r="AE72" s="1566">
        <f>AE69+AE71</f>
        <v>20982.098347488231</v>
      </c>
      <c r="AF72" s="1566">
        <f t="shared" ref="AF72:AH72" si="81">AF69+AF71</f>
        <v>22009.227908115401</v>
      </c>
      <c r="AG72" s="1566">
        <f t="shared" si="81"/>
        <v>23085.001952967519</v>
      </c>
      <c r="AH72" s="1566">
        <f t="shared" si="81"/>
        <v>24206.934748143656</v>
      </c>
      <c r="AI72" s="1428"/>
      <c r="AJ72" s="1128">
        <f t="shared" ref="AJ72:AJ75" si="82">IFERROR((U72/P72)^(1/5)-1,"NM")</f>
        <v>-8.4839000904462059E-2</v>
      </c>
      <c r="AK72" s="1128">
        <f t="shared" ref="AK72:AK75" si="83">IFERROR((X72/U72)^(1/3)-1,"NM")</f>
        <v>0.50246027465609888</v>
      </c>
      <c r="AL72" s="1128">
        <f t="shared" ref="AL72:AL75" si="84">IFERROR((AA72/Y72)^(1/2)-1,"NM")</f>
        <v>7.0657892321418947E-2</v>
      </c>
      <c r="AM72" s="1128">
        <f t="shared" ref="AM72:AM75" si="85">IFERROR((AD72/AA72)^(1/3)-1,"NM")</f>
        <v>4.5449879994899467E-2</v>
      </c>
      <c r="AN72" s="1128">
        <f t="shared" ref="AN72:AN75" si="86">IFERROR((AH72/X72)^(1/10)-1,"NM")</f>
        <v>5.0737354976589488E-2</v>
      </c>
      <c r="AP72" s="92"/>
    </row>
    <row r="73" spans="1:42">
      <c r="A73" s="1466" t="s">
        <v>731</v>
      </c>
      <c r="B73" s="1597"/>
      <c r="C73" s="1597"/>
      <c r="D73" s="1597"/>
      <c r="E73" s="1597"/>
      <c r="F73" s="1597"/>
      <c r="G73" s="1523"/>
      <c r="H73" s="1523"/>
      <c r="I73" s="1523"/>
      <c r="J73" s="1597"/>
      <c r="K73" s="1597"/>
      <c r="L73" s="1597"/>
      <c r="M73" s="1597"/>
      <c r="N73" s="1523"/>
      <c r="O73" s="1523">
        <f>SUM(Q_Financials!V25:Y25)</f>
        <v>4019</v>
      </c>
      <c r="P73" s="1523">
        <f>SUM(Q_Financials!Z25:AC25)</f>
        <v>4675</v>
      </c>
      <c r="Q73" s="1523">
        <f>SUM(Q_Financials!AD25:AG25)</f>
        <v>5215</v>
      </c>
      <c r="R73" s="1523">
        <f>SUM(Q_Financials!AH25:AK25)</f>
        <v>5608</v>
      </c>
      <c r="S73" s="1523">
        <f>SUM(Q_Financials!AL25:AO25)</f>
        <v>5901</v>
      </c>
      <c r="T73" s="1523">
        <f>SUM(Q_Financials!AP25:AS25)</f>
        <v>6200</v>
      </c>
      <c r="U73" s="1523">
        <f>SUM(Q_Financials!AT25:AW25)</f>
        <v>2867</v>
      </c>
      <c r="V73" s="1523">
        <f>SUM(Q_Financials!AX25:BA25)</f>
        <v>5951</v>
      </c>
      <c r="W73" s="1523">
        <f>SUM(Q_Financials!BB25:BE25)</f>
        <v>7567</v>
      </c>
      <c r="X73" s="1523">
        <f>SUM(Q_Financials!BF25:BI25)</f>
        <v>9005</v>
      </c>
      <c r="Y73" s="1598">
        <f>SUM(Q_Financials!BJ25:BM25)</f>
        <v>10132.023750099506</v>
      </c>
      <c r="Z73" s="1598">
        <f>SUM(Q_Financials!BN25:BQ25)</f>
        <v>10619.119697261831</v>
      </c>
      <c r="AA73" s="1598">
        <f>SUM(Q_Financials!BR25:BU25)</f>
        <v>11263.353681451592</v>
      </c>
      <c r="AB73" s="1598">
        <f>SUM(Q_Financials!BV25:BY25)</f>
        <v>11901.390263749405</v>
      </c>
      <c r="AC73" s="1598">
        <f>SUM(Q_Financials!BZ25:CC25)</f>
        <v>12162.917468312797</v>
      </c>
      <c r="AD73" s="1598">
        <f>SUM(Q_Financials!CD25:CG25)</f>
        <v>12699.65216024129</v>
      </c>
      <c r="AE73" s="1598">
        <f>SUM(Q_Financials!CH25:CK25)</f>
        <v>13243.268736241422</v>
      </c>
      <c r="AF73" s="1598">
        <f>SUM(Q_Financials!CL25:CO25)</f>
        <v>13786.613788646626</v>
      </c>
      <c r="AG73" s="1598">
        <f>SUM(Q_Financials!CP25:CS25)</f>
        <v>14350.008973991298</v>
      </c>
      <c r="AH73" s="1598">
        <f>SUM(Q_Financials!CT25:CW25)</f>
        <v>14930.583880378141</v>
      </c>
      <c r="AI73" s="1428"/>
      <c r="AJ73" s="1128">
        <f t="shared" si="82"/>
        <v>-9.316303338050802E-2</v>
      </c>
      <c r="AK73" s="1128">
        <f t="shared" si="83"/>
        <v>0.46448639479460474</v>
      </c>
      <c r="AL73" s="1128">
        <f t="shared" si="84"/>
        <v>5.43523279104976E-2</v>
      </c>
      <c r="AM73" s="1128">
        <f t="shared" si="85"/>
        <v>4.0817777309554604E-2</v>
      </c>
      <c r="AN73" s="1128">
        <f t="shared" si="86"/>
        <v>5.1863311671074053E-2</v>
      </c>
      <c r="AP73" s="92"/>
    </row>
    <row r="74" spans="1:42">
      <c r="A74" s="42" t="s">
        <v>949</v>
      </c>
      <c r="B74" s="985"/>
      <c r="C74" s="985"/>
      <c r="D74" s="985"/>
      <c r="E74" s="985"/>
      <c r="F74" s="985"/>
      <c r="G74" s="438"/>
      <c r="H74" s="438"/>
      <c r="I74" s="438"/>
      <c r="J74" s="985"/>
      <c r="K74" s="985"/>
      <c r="L74" s="985"/>
      <c r="M74" s="985"/>
      <c r="N74" s="438"/>
      <c r="O74" s="438">
        <f>SUM(Q_Financials!V27:Y27)</f>
        <v>290</v>
      </c>
      <c r="P74" s="438">
        <f>SUM(Q_Financials!Z27:AC27)</f>
        <v>1082</v>
      </c>
      <c r="Q74" s="438">
        <f>SUM(Q_Financials!AD27:AG27)</f>
        <v>1500</v>
      </c>
      <c r="R74" s="438">
        <f>SUM(Q_Financials!AH27:AK27)</f>
        <v>1726</v>
      </c>
      <c r="S74" s="438">
        <f>SUM(Q_Financials!AL27:AO27)</f>
        <v>1916</v>
      </c>
      <c r="T74" s="438">
        <f>SUM(Q_Financials!AP27:AS27)</f>
        <v>3751</v>
      </c>
      <c r="U74" s="438">
        <f>SUM(Q_Financials!AT27:AW27)</f>
        <v>1187</v>
      </c>
      <c r="V74" s="438">
        <f>SUM(Q_Financials!AX27:BA27)</f>
        <v>3422</v>
      </c>
      <c r="W74" s="438">
        <f>SUM(Q_Financials!BB27:BE27)</f>
        <v>3224</v>
      </c>
      <c r="X74" s="438">
        <f>SUM(Q_Financials!BF27:BI27)</f>
        <v>3541</v>
      </c>
      <c r="Y74" s="447">
        <f>SUM(Q_Financials!BJ27:BM27)</f>
        <v>3479.4100071203366</v>
      </c>
      <c r="Z74" s="447">
        <f>SUM(Q_Financials!BN27:BQ27)</f>
        <v>3986.7761517215631</v>
      </c>
      <c r="AA74" s="447">
        <f>SUM(Q_Financials!BR27:BU27)</f>
        <v>4371.1994678118299</v>
      </c>
      <c r="AB74" s="447">
        <f>SUM(Q_Financials!BV27:BY27)</f>
        <v>4750.872991666979</v>
      </c>
      <c r="AC74" s="447">
        <f>SUM(Q_Financials!BZ27:CC27)</f>
        <v>4882.1053921050388</v>
      </c>
      <c r="AD74" s="447">
        <f>SUM(Q_Financials!CD27:CG27)</f>
        <v>5267.0792148732935</v>
      </c>
      <c r="AE74" s="447">
        <f>SUM(Q_Financials!CH27:CK27)</f>
        <v>5669.0555541519943</v>
      </c>
      <c r="AF74" s="447">
        <f>SUM(Q_Financials!CL27:CO27)</f>
        <v>6092.7431872363441</v>
      </c>
      <c r="AG74" s="447">
        <f>SUM(Q_Financials!CP27:CS27)</f>
        <v>6543.4258226922047</v>
      </c>
      <c r="AH74" s="447">
        <f>SUM(Q_Financials!CT27:CW27)</f>
        <v>7021.0446381416441</v>
      </c>
      <c r="AI74" s="1428"/>
      <c r="AJ74" s="1128">
        <f t="shared" si="82"/>
        <v>1.8696212915184418E-2</v>
      </c>
      <c r="AK74" s="1128">
        <f t="shared" si="83"/>
        <v>0.43954441611797734</v>
      </c>
      <c r="AL74" s="1128">
        <f t="shared" si="84"/>
        <v>0.12085003132811045</v>
      </c>
      <c r="AM74" s="1128">
        <f t="shared" si="85"/>
        <v>6.4117882929931369E-2</v>
      </c>
      <c r="AN74" s="1128">
        <f t="shared" si="86"/>
        <v>7.0847385666911178E-2</v>
      </c>
      <c r="AP74" s="92"/>
    </row>
    <row r="75" spans="1:42">
      <c r="A75" s="1467" t="s">
        <v>733</v>
      </c>
      <c r="B75" s="1599"/>
      <c r="C75" s="1599"/>
      <c r="D75" s="1599"/>
      <c r="E75" s="1599"/>
      <c r="F75" s="1599"/>
      <c r="G75" s="1524"/>
      <c r="H75" s="1524"/>
      <c r="I75" s="1524"/>
      <c r="J75" s="1599"/>
      <c r="K75" s="1599"/>
      <c r="L75" s="1599"/>
      <c r="M75" s="1599"/>
      <c r="N75" s="1524"/>
      <c r="O75" s="1524">
        <f>SUM(Q_Financials!V26:Y26)</f>
        <v>679</v>
      </c>
      <c r="P75" s="1524">
        <f>SUM(Q_Financials!Z26:AC26)</f>
        <v>1021</v>
      </c>
      <c r="Q75" s="1524">
        <f>SUM(Q_Financials!AD26:AG26)</f>
        <v>1227</v>
      </c>
      <c r="R75" s="1524">
        <f>SUM(Q_Financials!AH26:AK26)</f>
        <v>1562</v>
      </c>
      <c r="S75" s="1524">
        <f>SUM(Q_Financials!AL26:AO26)</f>
        <v>1408</v>
      </c>
      <c r="T75" s="1524">
        <f>SUM(Q_Financials!AP26:AS26)</f>
        <v>1263</v>
      </c>
      <c r="U75" s="1524">
        <f>SUM(Q_Financials!AT26:AW26)</f>
        <v>297</v>
      </c>
      <c r="V75" s="1524">
        <f>SUM(Q_Financials!AX26:BA26)</f>
        <v>1258</v>
      </c>
      <c r="W75" s="1524">
        <f>SUM(Q_Financials!BB26:BE26)</f>
        <v>1968</v>
      </c>
      <c r="X75" s="1524">
        <f>SUM(Q_Financials!BF26:BI26)</f>
        <v>2211</v>
      </c>
      <c r="Y75" s="1600">
        <f>SUM(Q_Financials!BJ26:BM26)</f>
        <v>1639.6796454502253</v>
      </c>
      <c r="Z75" s="1600">
        <f>SUM(Q_Financials!BN26:BQ26)</f>
        <v>1757.0739897976418</v>
      </c>
      <c r="AA75" s="1600">
        <f>SUM(Q_Financials!BR26:BU26)</f>
        <v>1847.9250699331251</v>
      </c>
      <c r="AB75" s="1600">
        <f>SUM(Q_Financials!BV26:BY26)</f>
        <v>1892.0566094950441</v>
      </c>
      <c r="AC75" s="1600">
        <f>SUM(Q_Financials!BZ26:CC26)</f>
        <v>1950.2038603537776</v>
      </c>
      <c r="AD75" s="1600">
        <f>SUM(Q_Financials!CD26:CG26)</f>
        <v>2009.4580301518099</v>
      </c>
      <c r="AE75" s="1600">
        <f>SUM(Q_Financials!CH26:CK26)</f>
        <v>2069.774057094819</v>
      </c>
      <c r="AF75" s="1600">
        <f>SUM(Q_Financials!CL26:CO26)</f>
        <v>2129.8709322324294</v>
      </c>
      <c r="AG75" s="1600">
        <f>SUM(Q_Financials!CP26:CS26)</f>
        <v>2191.5671562840153</v>
      </c>
      <c r="AH75" s="1600">
        <f>SUM(Q_Financials!CT26:CW26)</f>
        <v>2255.3062296238741</v>
      </c>
      <c r="AI75" s="1428"/>
      <c r="AJ75" s="1128">
        <f t="shared" si="82"/>
        <v>-0.21882894752709825</v>
      </c>
      <c r="AK75" s="1128">
        <f t="shared" si="83"/>
        <v>0.95258866755021732</v>
      </c>
      <c r="AL75" s="1128">
        <f t="shared" si="84"/>
        <v>6.1604317078285398E-2</v>
      </c>
      <c r="AM75" s="1128">
        <f t="shared" si="85"/>
        <v>2.8327683370121814E-2</v>
      </c>
      <c r="AN75" s="1128">
        <f t="shared" si="86"/>
        <v>1.9860558150530672E-3</v>
      </c>
      <c r="AP75" s="92"/>
    </row>
    <row r="76" spans="1:42" hidden="1" outlineLevel="2">
      <c r="AP76" s="92"/>
    </row>
    <row r="77" spans="1:42" hidden="1" outlineLevel="2">
      <c r="AP77" s="92"/>
    </row>
    <row r="78" spans="1:42" hidden="1" outlineLevel="2">
      <c r="AP78" s="92"/>
    </row>
    <row r="79" spans="1:42" hidden="1" outlineLevel="2">
      <c r="AP79" s="92"/>
    </row>
    <row r="80" spans="1:42" collapsed="1">
      <c r="A80" s="90" t="s">
        <v>319</v>
      </c>
      <c r="B80" s="1584">
        <f t="shared" ref="B80:Z80" si="87">B72/B$36</f>
        <v>0.13358069451325313</v>
      </c>
      <c r="C80" s="1584">
        <f t="shared" si="87"/>
        <v>0.14608648069420788</v>
      </c>
      <c r="D80" s="1584">
        <f t="shared" si="87"/>
        <v>0.14459700552779028</v>
      </c>
      <c r="E80" s="1584">
        <f t="shared" si="87"/>
        <v>0.14707811100379281</v>
      </c>
      <c r="F80" s="1584">
        <f t="shared" si="87"/>
        <v>0.15016290485070632</v>
      </c>
      <c r="G80" s="1584">
        <f t="shared" si="87"/>
        <v>0.16716972728859683</v>
      </c>
      <c r="H80" s="1584">
        <f t="shared" si="87"/>
        <v>0.18448126758041017</v>
      </c>
      <c r="I80" s="1584">
        <f t="shared" si="87"/>
        <v>0.13253984958987872</v>
      </c>
      <c r="J80" s="1584">
        <f t="shared" si="87"/>
        <v>0.11648149120754761</v>
      </c>
      <c r="K80" s="1584">
        <f t="shared" si="87"/>
        <v>0.1111882949727438</v>
      </c>
      <c r="L80" s="1514">
        <f t="shared" si="87"/>
        <v>0.10422536185654681</v>
      </c>
      <c r="M80" s="1514">
        <f t="shared" si="87"/>
        <v>0.11894400338237031</v>
      </c>
      <c r="N80" s="1514">
        <f t="shared" si="87"/>
        <v>0.14869571775379922</v>
      </c>
      <c r="O80" s="1514">
        <f t="shared" si="87"/>
        <v>0.21876948306060612</v>
      </c>
      <c r="P80" s="1514">
        <f t="shared" si="87"/>
        <v>0.20992074671082869</v>
      </c>
      <c r="Q80" s="1514">
        <f t="shared" si="87"/>
        <v>0.21065269791546398</v>
      </c>
      <c r="R80" s="1514">
        <f t="shared" si="87"/>
        <v>0.20917432081420165</v>
      </c>
      <c r="S80" s="1584">
        <f t="shared" si="87"/>
        <v>0.19986311380751667</v>
      </c>
      <c r="T80" s="1584">
        <f>T72/T$36</f>
        <v>0.19283077067360721</v>
      </c>
      <c r="U80" s="1584">
        <f t="shared" si="87"/>
        <v>0.11302643569095844</v>
      </c>
      <c r="V80" s="1584">
        <f t="shared" si="87"/>
        <v>0.19915896877880146</v>
      </c>
      <c r="W80" s="1584">
        <f t="shared" si="87"/>
        <v>0.18536623706320834</v>
      </c>
      <c r="X80" s="1584">
        <f t="shared" ref="X80" si="88">X72/X$36</f>
        <v>0.19358254132882971</v>
      </c>
      <c r="Y80" s="1585">
        <f t="shared" si="87"/>
        <v>0.19416042131653813</v>
      </c>
      <c r="Z80" s="1585">
        <f t="shared" si="87"/>
        <v>0.19026491358448117</v>
      </c>
      <c r="AA80" s="1585">
        <f>AA72/AA$36</f>
        <v>0.1903123539040191</v>
      </c>
      <c r="AB80" s="1585">
        <f>AB72/AB$36</f>
        <v>0.19062315465951174</v>
      </c>
      <c r="AC80" s="1585">
        <f>AC72/AC$36</f>
        <v>0.18548225292364198</v>
      </c>
      <c r="AD80" s="1585">
        <f>AD72/AD$36</f>
        <v>0.18533756556998066</v>
      </c>
      <c r="AE80" s="1585">
        <f>AE72/AE$36</f>
        <v>0.18519778869805781</v>
      </c>
      <c r="AF80" s="1585">
        <f t="shared" ref="AF80:AH80" si="89">AF72/AF$36</f>
        <v>0.18504892842012072</v>
      </c>
      <c r="AG80" s="1585">
        <f t="shared" si="89"/>
        <v>0.18490537163062887</v>
      </c>
      <c r="AH80" s="1585">
        <f t="shared" si="89"/>
        <v>0.1847626214839227</v>
      </c>
      <c r="AI80" s="438"/>
      <c r="AJ80" s="1133"/>
      <c r="AK80" s="1133"/>
      <c r="AL80" s="1133"/>
      <c r="AM80" s="1133"/>
      <c r="AN80" s="1133"/>
      <c r="AP80" s="92"/>
    </row>
    <row r="81" spans="1:43">
      <c r="A81" s="1466" t="s">
        <v>731</v>
      </c>
      <c r="B81" s="1603"/>
      <c r="C81" s="1603"/>
      <c r="D81" s="1603"/>
      <c r="E81" s="1525"/>
      <c r="F81" s="1525"/>
      <c r="G81" s="1525"/>
      <c r="H81" s="1525"/>
      <c r="I81" s="1525"/>
      <c r="J81" s="1603"/>
      <c r="K81" s="1603"/>
      <c r="L81" s="1525"/>
      <c r="M81" s="1525"/>
      <c r="N81" s="1525"/>
      <c r="O81" s="1525">
        <f t="shared" ref="O81:Z81" si="90">+O73/O38</f>
        <v>0.19445519643893941</v>
      </c>
      <c r="P81" s="1525">
        <f t="shared" si="90"/>
        <v>0.2349718536389224</v>
      </c>
      <c r="Q81" s="1525">
        <f t="shared" si="90"/>
        <v>0.23719639770763212</v>
      </c>
      <c r="R81" s="1525">
        <f t="shared" si="90"/>
        <v>0.23685433120750096</v>
      </c>
      <c r="S81" s="1603">
        <f t="shared" si="90"/>
        <v>0.2317571282695782</v>
      </c>
      <c r="T81" s="1603">
        <f>+T73/T38</f>
        <v>0.22779880221920124</v>
      </c>
      <c r="U81" s="1603">
        <f t="shared" si="90"/>
        <v>0.1503645041170609</v>
      </c>
      <c r="V81" s="1603">
        <f t="shared" si="90"/>
        <v>0.22875264270613108</v>
      </c>
      <c r="W81" s="1603">
        <f t="shared" si="90"/>
        <v>0.2260965698577746</v>
      </c>
      <c r="X81" s="1603">
        <f t="shared" ref="X81" si="91">+X73/X38</f>
        <v>0.22879719497941969</v>
      </c>
      <c r="Y81" s="1604">
        <f t="shared" si="90"/>
        <v>0.23529135579100743</v>
      </c>
      <c r="Z81" s="1604">
        <f t="shared" si="90"/>
        <v>0.23287866550961106</v>
      </c>
      <c r="AA81" s="1604">
        <f t="shared" ref="AA81:AE83" si="92">+AA73/AA38</f>
        <v>0.23288245341338293</v>
      </c>
      <c r="AB81" s="1604">
        <f t="shared" si="92"/>
        <v>0.23288508354672782</v>
      </c>
      <c r="AC81" s="1604">
        <f t="shared" si="92"/>
        <v>0.22788395210611792</v>
      </c>
      <c r="AD81" s="1604">
        <f t="shared" si="92"/>
        <v>0.22788282674035559</v>
      </c>
      <c r="AE81" s="1604">
        <f t="shared" si="92"/>
        <v>0.22788503960381304</v>
      </c>
      <c r="AF81" s="1604">
        <f t="shared" ref="AF81:AH81" si="93">+AF73/AF38</f>
        <v>0.22788400570147666</v>
      </c>
      <c r="AG81" s="1604">
        <f t="shared" si="93"/>
        <v>0.22788297417227804</v>
      </c>
      <c r="AH81" s="1604">
        <f t="shared" si="93"/>
        <v>0.22788288915794827</v>
      </c>
      <c r="AI81" s="438"/>
      <c r="AJ81" s="1133"/>
      <c r="AK81" s="1133"/>
      <c r="AL81" s="1133"/>
      <c r="AM81" s="1133"/>
      <c r="AN81" s="1133"/>
      <c r="AP81" s="92"/>
    </row>
    <row r="82" spans="1:43">
      <c r="A82" s="42" t="s">
        <v>949</v>
      </c>
      <c r="B82" s="1584"/>
      <c r="C82" s="1584"/>
      <c r="D82" s="1584"/>
      <c r="E82" s="1514"/>
      <c r="F82" s="1514"/>
      <c r="G82" s="1514"/>
      <c r="H82" s="1514"/>
      <c r="I82" s="1514"/>
      <c r="J82" s="1584"/>
      <c r="K82" s="1584"/>
      <c r="L82" s="1514"/>
      <c r="M82" s="1514"/>
      <c r="N82" s="1514"/>
      <c r="O82" s="1514">
        <f t="shared" ref="O82:Z82" si="94">+O74/O39</f>
        <v>0.19754768392370572</v>
      </c>
      <c r="P82" s="1514">
        <f t="shared" si="94"/>
        <v>0.1907280098713203</v>
      </c>
      <c r="Q82" s="1514">
        <f t="shared" si="94"/>
        <v>0.19760242392306679</v>
      </c>
      <c r="R82" s="1514">
        <f t="shared" si="94"/>
        <v>0.2014002333722287</v>
      </c>
      <c r="S82" s="1584">
        <f t="shared" si="94"/>
        <v>0.19378982502275716</v>
      </c>
      <c r="T82" s="1584">
        <f>+T74/T39</f>
        <v>0.17687555995661811</v>
      </c>
      <c r="U82" s="1584">
        <f t="shared" si="94"/>
        <v>8.5642135642135644E-2</v>
      </c>
      <c r="V82" s="1584">
        <f t="shared" si="94"/>
        <v>0.18583686325621809</v>
      </c>
      <c r="W82" s="1584">
        <f t="shared" si="94"/>
        <v>0.14670549690571533</v>
      </c>
      <c r="X82" s="1584">
        <f t="shared" ref="X82" si="95">+X74/X39</f>
        <v>0.15418444657319516</v>
      </c>
      <c r="Y82" s="1585">
        <f t="shared" si="94"/>
        <v>0.14476460588647724</v>
      </c>
      <c r="Z82" s="1585">
        <f t="shared" si="94"/>
        <v>0.14273151840348389</v>
      </c>
      <c r="AA82" s="1585">
        <f t="shared" si="92"/>
        <v>0.14364370942175347</v>
      </c>
      <c r="AB82" s="1585">
        <f t="shared" si="92"/>
        <v>0.14463447007137967</v>
      </c>
      <c r="AC82" s="1585">
        <f t="shared" si="92"/>
        <v>0.13813031453901403</v>
      </c>
      <c r="AD82" s="1585">
        <f t="shared" si="92"/>
        <v>0.13862637704265693</v>
      </c>
      <c r="AE82" s="1585">
        <f t="shared" si="92"/>
        <v>0.13911431746536007</v>
      </c>
      <c r="AF82" s="1585">
        <f t="shared" ref="AF82:AH82" si="96">+AF74/AF39</f>
        <v>0.13961118236485739</v>
      </c>
      <c r="AG82" s="1585">
        <f t="shared" si="96"/>
        <v>0.14010818653616686</v>
      </c>
      <c r="AH82" s="1585">
        <f t="shared" si="96"/>
        <v>0.14060096159595828</v>
      </c>
      <c r="AI82" s="438"/>
      <c r="AJ82" s="1133"/>
      <c r="AK82" s="1133"/>
      <c r="AL82" s="1133"/>
      <c r="AM82" s="1133"/>
      <c r="AN82" s="1133"/>
      <c r="AP82" s="92"/>
    </row>
    <row r="83" spans="1:43" ht="9" customHeight="1">
      <c r="A83" s="1467" t="s">
        <v>733</v>
      </c>
      <c r="B83" s="1605"/>
      <c r="C83" s="1605"/>
      <c r="D83" s="1605"/>
      <c r="E83" s="1526"/>
      <c r="F83" s="1526"/>
      <c r="G83" s="1526"/>
      <c r="H83" s="1526"/>
      <c r="I83" s="1526"/>
      <c r="J83" s="1605"/>
      <c r="K83" s="1605"/>
      <c r="L83" s="1526"/>
      <c r="M83" s="1526"/>
      <c r="N83" s="1526"/>
      <c r="O83" s="1526">
        <f t="shared" ref="O83:Z83" si="97">+O75/O40</f>
        <v>0.14693789223111881</v>
      </c>
      <c r="P83" s="1526">
        <f t="shared" si="97"/>
        <v>0.15197975587972612</v>
      </c>
      <c r="Q83" s="1526">
        <f t="shared" si="97"/>
        <v>0.15103397341211225</v>
      </c>
      <c r="R83" s="1526">
        <f t="shared" si="97"/>
        <v>0.15190119614898376</v>
      </c>
      <c r="S83" s="1605">
        <f t="shared" si="97"/>
        <v>0.13810721317888083</v>
      </c>
      <c r="T83" s="1605">
        <f>+T75/T40</f>
        <v>0.12977254458889073</v>
      </c>
      <c r="U83" s="1605">
        <f t="shared" si="97"/>
        <v>5.3159442889038518E-2</v>
      </c>
      <c r="V83" s="1605">
        <f t="shared" si="97"/>
        <v>0.14036921566971236</v>
      </c>
      <c r="W83" s="1605">
        <f t="shared" si="97"/>
        <v>0.14700047326981638</v>
      </c>
      <c r="X83" s="1605">
        <f t="shared" ref="X83" si="98">+X75/X40</f>
        <v>0.15899871226144707</v>
      </c>
      <c r="Y83" s="1606">
        <f t="shared" si="97"/>
        <v>0.14318801417938049</v>
      </c>
      <c r="Z83" s="1606">
        <f t="shared" si="97"/>
        <v>0.14090836291321834</v>
      </c>
      <c r="AA83" s="1606">
        <f t="shared" si="92"/>
        <v>0.14142781776345562</v>
      </c>
      <c r="AB83" s="1606">
        <f t="shared" si="92"/>
        <v>0.1419286522684246</v>
      </c>
      <c r="AC83" s="1606">
        <f t="shared" si="92"/>
        <v>0.14242917003870945</v>
      </c>
      <c r="AD83" s="1606">
        <f t="shared" si="92"/>
        <v>0.14292954592698645</v>
      </c>
      <c r="AE83" s="1606">
        <f t="shared" si="92"/>
        <v>0.14342804020045091</v>
      </c>
      <c r="AF83" s="1606">
        <f t="shared" ref="AF83:AH83" si="99">+AF75/AF40</f>
        <v>0.1439280522142741</v>
      </c>
      <c r="AG83" s="1606">
        <f t="shared" si="99"/>
        <v>0.14442879879874701</v>
      </c>
      <c r="AH83" s="1606">
        <f t="shared" si="99"/>
        <v>0.14492605749243201</v>
      </c>
      <c r="AI83" s="438"/>
      <c r="AJ83" s="1133"/>
      <c r="AK83" s="1133"/>
      <c r="AL83" s="1133"/>
      <c r="AM83" s="92"/>
      <c r="AN83" s="92"/>
      <c r="AP83" s="92"/>
    </row>
    <row r="84" spans="1:43" hidden="1" outlineLevel="2">
      <c r="AP84" s="92"/>
    </row>
    <row r="85" spans="1:43" hidden="1" outlineLevel="2">
      <c r="AP85" s="92"/>
    </row>
    <row r="86" spans="1:43" hidden="1" outlineLevel="2">
      <c r="AP86" s="92"/>
    </row>
    <row r="87" spans="1:43" hidden="1" outlineLevel="2">
      <c r="AP87" s="92"/>
    </row>
    <row r="88" spans="1:43" collapsed="1">
      <c r="A88" s="98" t="s">
        <v>79</v>
      </c>
      <c r="B88" s="955">
        <f t="shared" ref="B88:N88" si="100">+B89</f>
        <v>-111.178</v>
      </c>
      <c r="C88" s="955">
        <f t="shared" si="100"/>
        <v>-113.99299999999999</v>
      </c>
      <c r="D88" s="955">
        <f t="shared" si="100"/>
        <v>-161.46</v>
      </c>
      <c r="E88" s="438">
        <f t="shared" si="100"/>
        <v>-183.01</v>
      </c>
      <c r="F88" s="438">
        <f t="shared" si="100"/>
        <v>-210.93</v>
      </c>
      <c r="G88" s="438">
        <f t="shared" si="100"/>
        <v>-571.35799999999995</v>
      </c>
      <c r="H88" s="438">
        <f t="shared" si="100"/>
        <v>-572.98</v>
      </c>
      <c r="I88" s="438">
        <f t="shared" si="100"/>
        <v>-572.98</v>
      </c>
      <c r="J88" s="955">
        <f t="shared" si="100"/>
        <v>-665.16699999999992</v>
      </c>
      <c r="K88" s="955">
        <f t="shared" si="100"/>
        <v>-670.52599999999995</v>
      </c>
      <c r="L88" s="438">
        <f t="shared" si="100"/>
        <v>-661.779</v>
      </c>
      <c r="M88" s="438">
        <f t="shared" si="100"/>
        <v>-805.80099999999993</v>
      </c>
      <c r="N88" s="438">
        <f t="shared" si="100"/>
        <v>-922.07399999999984</v>
      </c>
      <c r="O88" s="438">
        <f>SUM(Q_Financials!V32:Y32)</f>
        <v>-1336.0809999999999</v>
      </c>
      <c r="P88" s="438">
        <f>SUM(Q_Financials!Z32:AC32)</f>
        <v>-1947.8959999999997</v>
      </c>
      <c r="Q88" s="438">
        <f>SUM(Q_Financials!AD32:AG32)</f>
        <v>-2388.2359999999999</v>
      </c>
      <c r="R88" s="438">
        <f>SUM(Q_Financials!AH32:AK32)</f>
        <v>-2751.6759999999999</v>
      </c>
      <c r="S88" s="438">
        <f>SUM(Q_Financials!AL32:AO32)</f>
        <v>-3114.7280000000001</v>
      </c>
      <c r="T88" s="438">
        <f>SUM(Q_Financials!AP32:AS32)</f>
        <v>-8046.665</v>
      </c>
      <c r="U88" s="438">
        <f>SUM(Q_Financials!AT32:AW32)</f>
        <v>-8378.5339999999997</v>
      </c>
      <c r="V88" s="438">
        <f>SUM(Q_Financials!AX32:BA32)</f>
        <v>-8178.3280000000004</v>
      </c>
      <c r="W88" s="438">
        <f>SUM(Q_Financials!BB32:BE32)</f>
        <v>-7708.2970000000005</v>
      </c>
      <c r="X88" s="438">
        <f>SUM(Q_Financials!BF32:BI32)</f>
        <v>-8060.03</v>
      </c>
      <c r="Y88" s="447">
        <f>SUM(Q_Financials!BJ32:BM32)</f>
        <v>-8358.0358469859457</v>
      </c>
      <c r="Z88" s="447">
        <f>SUM(Q_Financials!BN32:BQ32)</f>
        <v>-8825.5464462468699</v>
      </c>
      <c r="AA88" s="447">
        <f>SUM(Q_Financials!BR32:BU32)</f>
        <v>-9023.4744897914425</v>
      </c>
      <c r="AB88" s="447">
        <f>SUM(Q_Financials!BV32:BY32)</f>
        <v>-9224.981070845668</v>
      </c>
      <c r="AC88" s="447">
        <f>SUM(Q_Financials!BZ32:CC32)</f>
        <v>-9561.9092322144006</v>
      </c>
      <c r="AD88" s="447">
        <f>SUM(Q_Financials!CD32:CG32)</f>
        <v>-10334.591427064664</v>
      </c>
      <c r="AE88" s="447">
        <f>SUM(Q_Financials!CH32:CK32)</f>
        <v>-11194.987541209386</v>
      </c>
      <c r="AF88" s="447">
        <f>SUM(Q_Financials!CL32:CO32)</f>
        <v>-12107.989588717486</v>
      </c>
      <c r="AG88" s="447">
        <f>SUM(Q_Financials!CP32:CS32)</f>
        <v>-13105.574967323835</v>
      </c>
      <c r="AH88" s="447">
        <f>SUM(Q_Financials!CT32:CW32)</f>
        <v>-14183.736294791262</v>
      </c>
      <c r="AI88" s="438"/>
      <c r="AJ88" s="1128">
        <f t="shared" ref="AJ88:AJ90" si="101">IFERROR((U88/P88)^(1/5)-1,"NM")</f>
        <v>0.33881464424294139</v>
      </c>
      <c r="AK88" s="1128">
        <f t="shared" ref="AK88:AK90" si="102">IFERROR((X88/U88)^(1/3)-1,"NM")</f>
        <v>-1.2835473659830288E-2</v>
      </c>
      <c r="AL88" s="1128">
        <f t="shared" ref="AL88:AL93" si="103">IFERROR((AA88/Y88)^(1/2)-1,"NM")</f>
        <v>3.9046018919084435E-2</v>
      </c>
      <c r="AM88" s="1128">
        <f t="shared" ref="AM88:AM90" si="104">IFERROR((AD88/AA88)^(1/3)-1,"NM")</f>
        <v>4.6260522753500011E-2</v>
      </c>
      <c r="AN88" s="1128">
        <f t="shared" ref="AN88:AN90" si="105">IFERROR((AH88/X88)^(1/10)-1,"NM")</f>
        <v>5.8145523508228214E-2</v>
      </c>
      <c r="AP88" s="92"/>
      <c r="AQ88" s="92"/>
    </row>
    <row r="89" spans="1:43" s="1209" customFormat="1">
      <c r="A89" s="1237" t="s">
        <v>1216</v>
      </c>
      <c r="B89" s="1591">
        <v>-111.178</v>
      </c>
      <c r="C89" s="1591">
        <v>-113.99299999999999</v>
      </c>
      <c r="D89" s="1591">
        <v>-161.46</v>
      </c>
      <c r="E89" s="1518">
        <v>-183.01</v>
      </c>
      <c r="F89" s="1518">
        <v>-210.93</v>
      </c>
      <c r="G89" s="1518">
        <v>-571.35799999999995</v>
      </c>
      <c r="H89" s="1518">
        <v>-572.98</v>
      </c>
      <c r="I89" s="1518">
        <v>-572.98</v>
      </c>
      <c r="J89" s="1591">
        <f>SUM(Q_Financials!B33:E33)</f>
        <v>-665.16699999999992</v>
      </c>
      <c r="K89" s="1591">
        <f>SUM(Q_Financials!F33:I33)</f>
        <v>-670.52599999999995</v>
      </c>
      <c r="L89" s="1518">
        <f>SUM(Q_Financials!J33:M33)</f>
        <v>-661.779</v>
      </c>
      <c r="M89" s="1518">
        <f>SUM(Q_Financials!N33:Q33)</f>
        <v>-805.80099999999993</v>
      </c>
      <c r="N89" s="1518">
        <f>SUM(Q_Financials!R33:U33)</f>
        <v>-922.07399999999984</v>
      </c>
      <c r="O89" s="1518">
        <f>SUM(Q_Financials!V33:Y33)</f>
        <v>-1336.0809999999999</v>
      </c>
      <c r="P89" s="1518">
        <f>SUM(Q_Financials!Z33:AC33)</f>
        <v>-1947.8959999999997</v>
      </c>
      <c r="Q89" s="1518">
        <f>SUM(Q_Financials!AD33:AG33)</f>
        <v>-2388.2359999999999</v>
      </c>
      <c r="R89" s="1518">
        <f>SUM(Q_Financials!AH33:AK33)</f>
        <v>-2751.6759999999999</v>
      </c>
      <c r="S89" s="1518">
        <f>SUM(Q_Financials!AL33:AO33)</f>
        <v>-3114.7280000000001</v>
      </c>
      <c r="T89" s="1518">
        <f>SUM(Q_Financials!AP33:AS33)</f>
        <v>-4257.2840000000006</v>
      </c>
      <c r="U89" s="1518">
        <f>SUM(Q_Financials!AT33:AW33)</f>
        <v>-4353.3640000000005</v>
      </c>
      <c r="V89" s="1518">
        <f>SUM(Q_Financials!AX33:BA33)</f>
        <v>-3740.0439999999994</v>
      </c>
      <c r="W89" s="1518">
        <f>SUM(Q_Financials!BB33:BE33)</f>
        <v>-3350.9949999999999</v>
      </c>
      <c r="X89" s="1518">
        <f>SUM(Q_Financials!BF33:BI33)</f>
        <v>-3913.605</v>
      </c>
      <c r="Y89" s="1518">
        <f>SUM(Q_Financials!BJ33:BM33)</f>
        <v>-4127.3273107005243</v>
      </c>
      <c r="Z89" s="1518">
        <f>SUM(Q_Financials!BN33:BQ33)</f>
        <v>-4476.9530908591423</v>
      </c>
      <c r="AA89" s="1518">
        <f>SUM(Q_Financials!BR33:BU33)</f>
        <v>-4658.9831313490258</v>
      </c>
      <c r="AB89" s="1518">
        <f>SUM(Q_Financials!BV33:BY33)</f>
        <v>-4810.3802065913678</v>
      </c>
      <c r="AC89" s="1518">
        <f>SUM(Q_Financials!BZ33:CC33)</f>
        <v>-5080.7981233652863</v>
      </c>
      <c r="AD89" s="1518">
        <f>SUM(Q_Financials!CD33:CG33)</f>
        <v>-5739.744654821302</v>
      </c>
      <c r="AE89" s="1518">
        <f>SUM(Q_Financials!CH33:CK33)</f>
        <v>-6446.6711212309401</v>
      </c>
      <c r="AF89" s="1518">
        <f>SUM(Q_Financials!CL33:CO33)</f>
        <v>-7181.7127252486052</v>
      </c>
      <c r="AG89" s="1518">
        <f>SUM(Q_Financials!CP33:CS33)</f>
        <v>-7969.4914974689145</v>
      </c>
      <c r="AH89" s="1518">
        <f>SUM(Q_Financials!CT33:CW33)</f>
        <v>-8808.7774258650534</v>
      </c>
      <c r="AI89" s="1607"/>
      <c r="AJ89" s="1128">
        <f t="shared" si="101"/>
        <v>0.17449681435554676</v>
      </c>
      <c r="AK89" s="1128">
        <f t="shared" si="102"/>
        <v>-3.48740279257167E-2</v>
      </c>
      <c r="AL89" s="1128">
        <f t="shared" si="103"/>
        <v>6.2456391281049184E-2</v>
      </c>
      <c r="AM89" s="1128">
        <f t="shared" si="104"/>
        <v>7.2014051869675688E-2</v>
      </c>
      <c r="AN89" s="1128">
        <f t="shared" si="105"/>
        <v>8.4510758529799279E-2</v>
      </c>
      <c r="AP89" s="92"/>
      <c r="AQ89" s="92"/>
    </row>
    <row r="90" spans="1:43">
      <c r="A90" s="43" t="s">
        <v>336</v>
      </c>
      <c r="B90" s="985">
        <f t="shared" ref="B90:S90" si="106">B61+B63+B88</f>
        <v>219.38799999999992</v>
      </c>
      <c r="C90" s="985">
        <f t="shared" si="106"/>
        <v>269.91000000000003</v>
      </c>
      <c r="D90" s="985">
        <f t="shared" si="106"/>
        <v>253.74900000000005</v>
      </c>
      <c r="E90" s="985">
        <f t="shared" si="106"/>
        <v>362.44299999999998</v>
      </c>
      <c r="F90" s="985">
        <f t="shared" si="106"/>
        <v>489.62500000000028</v>
      </c>
      <c r="G90" s="985">
        <f t="shared" si="106"/>
        <v>436.08100000000081</v>
      </c>
      <c r="H90" s="985">
        <f t="shared" si="106"/>
        <v>715.69599999999991</v>
      </c>
      <c r="I90" s="985">
        <f t="shared" si="106"/>
        <v>459.08699999999999</v>
      </c>
      <c r="J90" s="985">
        <f t="shared" si="106"/>
        <v>335.06900000000087</v>
      </c>
      <c r="K90" s="985">
        <f t="shared" si="106"/>
        <v>328.10499999999854</v>
      </c>
      <c r="L90" s="985">
        <f t="shared" si="106"/>
        <v>453.06800000000067</v>
      </c>
      <c r="M90" s="985">
        <f t="shared" si="106"/>
        <v>802.26400000000058</v>
      </c>
      <c r="N90" s="985">
        <f t="shared" si="106"/>
        <v>1116.6480000000017</v>
      </c>
      <c r="O90" s="985">
        <f t="shared" si="106"/>
        <v>1457.0110000000025</v>
      </c>
      <c r="P90" s="985">
        <f t="shared" si="106"/>
        <v>2353.8329999999996</v>
      </c>
      <c r="Q90" s="985">
        <f t="shared" si="106"/>
        <v>2767.0019999999977</v>
      </c>
      <c r="R90" s="985">
        <f t="shared" si="106"/>
        <v>3714.5679999999988</v>
      </c>
      <c r="S90" s="985">
        <f t="shared" si="106"/>
        <v>3293.588999999999</v>
      </c>
      <c r="T90" s="985">
        <f>T61+T63+T88</f>
        <v>4570.8939999999939</v>
      </c>
      <c r="U90" s="985">
        <f t="shared" ref="U90:Z90" si="107">U61+U63+U88</f>
        <v>-1453.7979999999952</v>
      </c>
      <c r="V90" s="985">
        <f t="shared" si="107"/>
        <v>4132.9409999999998</v>
      </c>
      <c r="W90" s="985">
        <f t="shared" si="107"/>
        <v>6341.4970000000085</v>
      </c>
      <c r="X90" s="985">
        <f t="shared" ref="X90" si="108">X61+X63+X88</f>
        <v>7900.3589999999958</v>
      </c>
      <c r="Y90" s="1566">
        <f>Y61+Y63+Y88</f>
        <v>7426.4731382564751</v>
      </c>
      <c r="Z90" s="1566">
        <f t="shared" si="107"/>
        <v>7872.4432984188352</v>
      </c>
      <c r="AA90" s="1566">
        <f>AA61+AA63+AA88</f>
        <v>8811.7584060904264</v>
      </c>
      <c r="AB90" s="1566">
        <f>AB61+AB63+AB88</f>
        <v>9662.7466642719919</v>
      </c>
      <c r="AC90" s="1566">
        <f>AC61+AC63+AC88</f>
        <v>9707.0283664279541</v>
      </c>
      <c r="AD90" s="1566">
        <f>AD61+AD63+AD88</f>
        <v>9945.4493120001971</v>
      </c>
      <c r="AE90" s="1566">
        <f>AE61+AE63+AE88</f>
        <v>10122.33832624571</v>
      </c>
      <c r="AF90" s="1566">
        <f t="shared" ref="AF90:AH90" si="109">AF61+AF63+AF88</f>
        <v>10271.063661393906</v>
      </c>
      <c r="AG90" s="1566">
        <f t="shared" si="109"/>
        <v>10385.764282378117</v>
      </c>
      <c r="AH90" s="1566">
        <f t="shared" si="109"/>
        <v>10468.423292804364</v>
      </c>
      <c r="AI90" s="985"/>
      <c r="AJ90" s="1128">
        <f t="shared" si="101"/>
        <v>-1.9081251094117162</v>
      </c>
      <c r="AK90" s="1128">
        <f t="shared" si="102"/>
        <v>-2.7581162435806714</v>
      </c>
      <c r="AL90" s="1128">
        <f t="shared" si="103"/>
        <v>8.9281138071123811E-2</v>
      </c>
      <c r="AM90" s="1128">
        <f t="shared" si="104"/>
        <v>4.1167513838835434E-2</v>
      </c>
      <c r="AN90" s="1128">
        <f t="shared" si="105"/>
        <v>2.8545349426310374E-2</v>
      </c>
      <c r="AP90" s="92"/>
      <c r="AQ90" s="92"/>
    </row>
    <row r="91" spans="1:43">
      <c r="A91" s="90" t="s">
        <v>53</v>
      </c>
      <c r="B91" s="1584">
        <f t="shared" ref="B91:Z91" si="110">B90/B$36</f>
        <v>8.8654009813088991E-2</v>
      </c>
      <c r="C91" s="1584">
        <f t="shared" si="110"/>
        <v>0.10270876238053271</v>
      </c>
      <c r="D91" s="1584">
        <f t="shared" si="110"/>
        <v>8.8368377264633619E-2</v>
      </c>
      <c r="E91" s="1584">
        <f t="shared" si="110"/>
        <v>9.7730568511948182E-2</v>
      </c>
      <c r="F91" s="1584">
        <f t="shared" si="110"/>
        <v>0.10495037832508097</v>
      </c>
      <c r="G91" s="1584">
        <f t="shared" si="110"/>
        <v>7.2361246532781323E-2</v>
      </c>
      <c r="H91" s="1584">
        <f t="shared" si="110"/>
        <v>0.1024559356131636</v>
      </c>
      <c r="I91" s="1584">
        <f t="shared" si="110"/>
        <v>5.8956755645387993E-2</v>
      </c>
      <c r="J91" s="1584">
        <f t="shared" si="110"/>
        <v>3.9020128027207474E-2</v>
      </c>
      <c r="K91" s="1584">
        <f t="shared" si="110"/>
        <v>3.6531447073074985E-2</v>
      </c>
      <c r="L91" s="1514">
        <f t="shared" si="110"/>
        <v>4.2356642880702018E-2</v>
      </c>
      <c r="M91" s="1514">
        <f t="shared" si="110"/>
        <v>5.9341190766265067E-2</v>
      </c>
      <c r="N91" s="1514">
        <f t="shared" si="110"/>
        <v>7.1066747747756454E-2</v>
      </c>
      <c r="O91" s="1514">
        <f t="shared" si="110"/>
        <v>6.3903276520372351E-2</v>
      </c>
      <c r="P91" s="1514">
        <f t="shared" si="110"/>
        <v>7.2900321775241958E-2</v>
      </c>
      <c r="Q91" s="1514">
        <f t="shared" si="110"/>
        <v>7.3391643973493348E-2</v>
      </c>
      <c r="R91" s="1514">
        <f t="shared" si="110"/>
        <v>8.7341753430549368E-2</v>
      </c>
      <c r="S91" s="1584">
        <f t="shared" si="110"/>
        <v>7.1356851289125722E-2</v>
      </c>
      <c r="T91" s="1584">
        <f>T90/T$36</f>
        <v>7.859898454497645E-2</v>
      </c>
      <c r="U91" s="1584">
        <f t="shared" si="110"/>
        <v>-3.7765480614719252E-2</v>
      </c>
      <c r="V91" s="1584">
        <f t="shared" si="110"/>
        <v>7.7425667160533201E-2</v>
      </c>
      <c r="W91" s="1584">
        <f t="shared" si="110"/>
        <v>9.2131000567256538E-2</v>
      </c>
      <c r="X91" s="1584">
        <f t="shared" ref="X91" si="111">X90/X$36</f>
        <v>0.1036370246411934</v>
      </c>
      <c r="Y91" s="1585">
        <f t="shared" si="110"/>
        <v>9.4545697441826573E-2</v>
      </c>
      <c r="Z91" s="1585">
        <f t="shared" si="110"/>
        <v>9.1538990698522879E-2</v>
      </c>
      <c r="AA91" s="1585">
        <f>AA90/AA$36</f>
        <v>9.5923842333473619E-2</v>
      </c>
      <c r="AB91" s="1585">
        <f>AB90/AB$36</f>
        <v>9.9326546631911122E-2</v>
      </c>
      <c r="AC91" s="1585">
        <f>AC90/AC$36</f>
        <v>9.4785996348751053E-2</v>
      </c>
      <c r="AD91" s="1585">
        <f>AD90/AD$36</f>
        <v>9.2273122095038226E-2</v>
      </c>
      <c r="AE91" s="1585">
        <f>AE90/AE$36</f>
        <v>8.9344480396009479E-2</v>
      </c>
      <c r="AF91" s="1585">
        <f t="shared" ref="AF91:AH91" si="112">AF90/AF$36</f>
        <v>8.635692865786368E-2</v>
      </c>
      <c r="AG91" s="1585">
        <f t="shared" si="112"/>
        <v>8.3187500187946781E-2</v>
      </c>
      <c r="AH91" s="1585">
        <f t="shared" si="112"/>
        <v>7.9901621188540495E-2</v>
      </c>
      <c r="AI91" s="1514"/>
      <c r="AJ91" s="1133"/>
      <c r="AK91" s="1133"/>
      <c r="AL91" s="1133"/>
      <c r="AM91" s="1133"/>
      <c r="AN91" s="1133"/>
      <c r="AP91" s="92"/>
      <c r="AQ91" s="92"/>
    </row>
    <row r="92" spans="1:43">
      <c r="A92" s="97" t="s">
        <v>699</v>
      </c>
      <c r="B92" s="955">
        <f t="shared" ref="B92:P92" si="113">+B93</f>
        <v>-43.086999999999996</v>
      </c>
      <c r="C92" s="955">
        <f t="shared" si="113"/>
        <v>-18.219000000000001</v>
      </c>
      <c r="D92" s="955">
        <f t="shared" si="113"/>
        <v>-4.6790000000000003</v>
      </c>
      <c r="E92" s="438">
        <f t="shared" si="113"/>
        <v>-2.0659999999999998</v>
      </c>
      <c r="F92" s="438">
        <f t="shared" si="113"/>
        <v>-31.681000000000001</v>
      </c>
      <c r="G92" s="438">
        <f t="shared" si="113"/>
        <v>-49.722000000000001</v>
      </c>
      <c r="H92" s="438">
        <f t="shared" si="113"/>
        <v>-37.064999999999998</v>
      </c>
      <c r="I92" s="438">
        <f t="shared" si="113"/>
        <v>-194.4</v>
      </c>
      <c r="J92" s="955">
        <f t="shared" si="113"/>
        <v>-127.83699999999999</v>
      </c>
      <c r="K92" s="955">
        <f t="shared" si="113"/>
        <v>-79.625</v>
      </c>
      <c r="L92" s="438">
        <f t="shared" si="113"/>
        <v>-118.09400000000001</v>
      </c>
      <c r="M92" s="438">
        <f t="shared" si="113"/>
        <v>-189.33699999999999</v>
      </c>
      <c r="N92" s="438">
        <f t="shared" si="113"/>
        <v>-210.471</v>
      </c>
      <c r="O92" s="438">
        <f t="shared" si="113"/>
        <v>-493.46300000000002</v>
      </c>
      <c r="P92" s="438">
        <f t="shared" si="113"/>
        <v>-858.86599999999999</v>
      </c>
      <c r="Q92" s="438">
        <f>SUM(Q_Financials!AD37:AG37)</f>
        <v>-1179.1570000000002</v>
      </c>
      <c r="R92" s="438">
        <f>SUM(Q_Financials!AH37:AK37)</f>
        <v>-1626.5820000000001</v>
      </c>
      <c r="S92" s="438">
        <f>SUM(Q_Financials!AL37:AO37)</f>
        <v>-1455.97</v>
      </c>
      <c r="T92" s="438">
        <f>SUM(Q_Financials!AP37:AS37)</f>
        <v>-2849.7980000000002</v>
      </c>
      <c r="U92" s="438">
        <f>SUM(Q_Financials!AT37:AW37)</f>
        <v>-3567.605</v>
      </c>
      <c r="V92" s="438">
        <f>SUM(Q_Financials!AX37:BA37)</f>
        <v>-3135.3649999999998</v>
      </c>
      <c r="W92" s="438">
        <f>SUM(Q_Financials!BB37:BE37)</f>
        <v>-3819.6909999999998</v>
      </c>
      <c r="X92" s="438">
        <f>SUM(Q_Financials!BF37:BI37)</f>
        <v>-3455.893</v>
      </c>
      <c r="Y92" s="447">
        <f>SUM(Q_Financials!BJ37:BM37)</f>
        <v>-5737.6232130327453</v>
      </c>
      <c r="Z92" s="447">
        <f>SUM(Q_Financials!BN37:BQ37)</f>
        <v>-4991.8497197753422</v>
      </c>
      <c r="AA92" s="447">
        <f>SUM(Q_Financials!BR37:BU37)</f>
        <v>-4560.3902133976981</v>
      </c>
      <c r="AB92" s="447">
        <f>SUM(Q_Financials!BV37:BY37)</f>
        <v>-3841.8855015204267</v>
      </c>
      <c r="AC92" s="447">
        <f>SUM(Q_Financials!BZ37:CC37)</f>
        <v>-3554.4274121094963</v>
      </c>
      <c r="AD92" s="447">
        <f>SUM(Q_Financials!CD37:CG37)</f>
        <v>-3305.4284781266024</v>
      </c>
      <c r="AE92" s="447">
        <f>SUM(Q_Financials!CH37:CK37)</f>
        <v>-3032.6740649394601</v>
      </c>
      <c r="AF92" s="447">
        <f>SUM(Q_Financials!CL37:CO37)</f>
        <v>-2722.3707405385467</v>
      </c>
      <c r="AG92" s="447">
        <f>SUM(Q_Financials!CP37:CS37)</f>
        <v>-2390.8902208284844</v>
      </c>
      <c r="AH92" s="447">
        <f>SUM(Q_Financials!CT37:CW37)</f>
        <v>-2037.9835865622217</v>
      </c>
      <c r="AI92" s="438"/>
      <c r="AJ92" s="1128">
        <f t="shared" ref="AJ92:AJ93" si="114">IFERROR((U92/P92)^(1/5)-1,"NM")</f>
        <v>0.32950590520447176</v>
      </c>
      <c r="AK92" s="1128">
        <f t="shared" ref="AK92:AK93" si="115">IFERROR((X92/U92)^(1/3)-1,"NM")</f>
        <v>-1.0548507623082126E-2</v>
      </c>
      <c r="AL92" s="1128">
        <f t="shared" si="103"/>
        <v>-0.1084719948073084</v>
      </c>
      <c r="AM92" s="1128">
        <f t="shared" ref="AM92:AM93" si="116">IFERROR((AD92/AA92)^(1/3)-1,"NM")</f>
        <v>-0.10172650257710825</v>
      </c>
      <c r="AN92" s="1128">
        <f t="shared" ref="AN92:AN93" si="117">IFERROR((AH92/X92)^(1/10)-1,"NM")</f>
        <v>-5.1441676144036497E-2</v>
      </c>
      <c r="AP92" s="92"/>
      <c r="AQ92" s="2053"/>
    </row>
    <row r="93" spans="1:43" s="1209" customFormat="1">
      <c r="A93" s="1242" t="s">
        <v>1225</v>
      </c>
      <c r="B93" s="1591">
        <v>-43.086999999999996</v>
      </c>
      <c r="C93" s="1591">
        <v>-18.219000000000001</v>
      </c>
      <c r="D93" s="1591">
        <v>-4.6790000000000003</v>
      </c>
      <c r="E93" s="1518">
        <v>-2.0659999999999998</v>
      </c>
      <c r="F93" s="1518">
        <v>-31.681000000000001</v>
      </c>
      <c r="G93" s="1518">
        <v>-49.722000000000001</v>
      </c>
      <c r="H93" s="1518">
        <v>-37.064999999999998</v>
      </c>
      <c r="I93" s="1518">
        <v>-194.4</v>
      </c>
      <c r="J93" s="1591">
        <f>SUM(Q_Financials!B37:E37)</f>
        <v>-127.83699999999999</v>
      </c>
      <c r="K93" s="1591">
        <f>SUM(Q_Financials!F37:I37)</f>
        <v>-79.625</v>
      </c>
      <c r="L93" s="1518">
        <f>SUM(Q_Financials!J37:M37)</f>
        <v>-118.09400000000001</v>
      </c>
      <c r="M93" s="1518">
        <f>SUM(Q_Financials!N37:Q37)</f>
        <v>-189.33699999999999</v>
      </c>
      <c r="N93" s="1518">
        <f>SUM(Q_Financials!R37:U37)</f>
        <v>-210.471</v>
      </c>
      <c r="O93" s="1518">
        <f>SUMIF(Q_Financials!$A$3:$CV$3,O4,Q_Financials!$A$39:$CV$39)+SUMIF(Q_Financials!$A$3:$CV$3,O4,Q_Financials!$A$40:$CV$40)+SUMIF(Q_Financials!$A$3:$CV$3,O4,Q_Financials!$A$41:$CV$41)</f>
        <v>-493.46300000000002</v>
      </c>
      <c r="P93" s="1518">
        <f>SUMIF(Q_Financials!$A$3:$CV$3,P4,Q_Financials!$A$39:$CV$39)+SUMIF(Q_Financials!$A$3:$CV$3,P4,Q_Financials!$A$40:$CV$40)+SUMIF(Q_Financials!$A$3:$CV$3,P4,Q_Financials!$A$41:$CV$41)</f>
        <v>-858.86599999999999</v>
      </c>
      <c r="Q93" s="1518">
        <f>SUMIF(Q_Financials!$A$3:$CV$3,Q4,Q_Financials!$A$39:$CV$39)+SUMIF(Q_Financials!$A$3:$CV$3,Q4,Q_Financials!$A$40:$CV$40)+SUMIF(Q_Financials!$A$3:$CV$3,Q4,Q_Financials!$A$41:$CV$41)</f>
        <v>-1179.1569999999999</v>
      </c>
      <c r="R93" s="1518">
        <f>SUMIF(Q_Financials!$A$3:$CV$3,R4,Q_Financials!$A$39:$CV$39)+SUMIF(Q_Financials!$A$3:$CV$3,R4,Q_Financials!$A$40:$CV$40)+SUMIF(Q_Financials!$A$3:$CV$3,R4,Q_Financials!$A$41:$CV$41)</f>
        <v>-1626.5820000000001</v>
      </c>
      <c r="S93" s="1518">
        <f>SUMIF(Q_Financials!$A$3:$CV$3,S4,Q_Financials!$A$39:$CV$39)+SUMIF(Q_Financials!$A$3:$CV$3,S4,Q_Financials!$A$40:$CV$40)+SUMIF(Q_Financials!$A$3:$CV$3,S4,Q_Financials!$A$41:$CV$41)</f>
        <v>-1455.97</v>
      </c>
      <c r="T93" s="1518">
        <f>SUMIF(Q_Financials!$A$3:$CV$3,T4,Q_Financials!$A$39:$CV$39)+SUMIF(Q_Financials!$A$3:$CV$3,T4,Q_Financials!$A$40:$CV$40)+SUMIF(Q_Financials!$A$3:$CV$3,T4,Q_Financials!$A$41:$CV$41)</f>
        <v>-1852.0450000000003</v>
      </c>
      <c r="U93" s="1518">
        <f>SUMIF(Q_Financials!$A$3:$CV$3,U4,Q_Financials!$A$39:$CV$39)+SUMIF(Q_Financials!$A$3:$CV$3,U4,Q_Financials!$A$40:$CV$40)+SUMIF(Q_Financials!$A$3:$CV$3,U4,Q_Financials!$A$41:$CV$41)</f>
        <v>-2626.9479999999994</v>
      </c>
      <c r="V93" s="1518">
        <f>SUMIF(Q_Financials!$A$3:$CV$3,V4,Q_Financials!$A$39:$CV$39)+SUMIF(Q_Financials!$A$3:$CV$3,V4,Q_Financials!$A$40:$CV$40)+SUMIF(Q_Financials!$A$3:$CV$3,V4,Q_Financials!$A$41:$CV$41)</f>
        <v>-2145.9099999999994</v>
      </c>
      <c r="W93" s="1518">
        <f>SUMIF(Q_Financials!$A$3:$CV$3,W4,Q_Financials!$A$39:$CV$39)+SUMIF(Q_Financials!$A$3:$CV$3,W4,Q_Financials!$A$40:$CV$40)+SUMIF(Q_Financials!$A$3:$CV$3,W4,Q_Financials!$A$41:$CV$41)</f>
        <v>-2879.3719999999998</v>
      </c>
      <c r="X93" s="1518">
        <f>SUMIF(Q_Financials!$A$3:$CV$3,X4,Q_Financials!$A$39:$CV$39)+SUMIF(Q_Financials!$A$3:$CV$3,X4,Q_Financials!$A$40:$CV$40)+SUMIF(Q_Financials!$A$3:$CV$3,X4,Q_Financials!$A$41:$CV$41)</f>
        <v>-2577.3910000000001</v>
      </c>
      <c r="Y93" s="1518">
        <f>SUMIF(Q_Financials!$A$3:$CV$3,Y4,Q_Financials!$A$39:$CV$39)+SUMIF(Q_Financials!$A$3:$CV$3,Y4,Q_Financials!$A$40:$CV$40)+SUMIF(Q_Financials!$A$3:$CV$3,Y4,Q_Financials!$A$41:$CV$41)</f>
        <v>-4757.9871125950858</v>
      </c>
      <c r="Z93" s="1518">
        <f>SUMIF(Q_Financials!$A$3:$CV$3,Z4,Q_Financials!$A$39:$CV$39)+SUMIF(Q_Financials!$A$3:$CV$3,Z4,Q_Financials!$A$40:$CV$40)+SUMIF(Q_Financials!$A$3:$CV$3,Z4,Q_Financials!$A$41:$CV$41)</f>
        <v>-3995.0096716532789</v>
      </c>
      <c r="AA93" s="1518">
        <f>SUMIF(Q_Financials!$A$3:$CV$3,AA4,Q_Financials!$A$39:$CV$39)+SUMIF(Q_Financials!$A$3:$CV$3,AA4,Q_Financials!$A$40:$CV$40)+SUMIF(Q_Financials!$A$3:$CV$3,AA4,Q_Financials!$A$41:$CV$41)</f>
        <v>-3570.1918316964347</v>
      </c>
      <c r="AB93" s="1518">
        <f>SUMIF(Q_Financials!$A$3:$CV$3,AB4,Q_Financials!$A$39:$CV$39)+SUMIF(Q_Financials!$A$3:$CV$3,AB4,Q_Financials!$A$40:$CV$40)+SUMIF(Q_Financials!$A$3:$CV$3,AB4,Q_Financials!$A$41:$CV$41)</f>
        <v>-2831.7851220824296</v>
      </c>
      <c r="AC93" s="1518">
        <f>SUMIF(Q_Financials!$A$3:$CV$3,AC4,Q_Financials!$A$39:$CV$39)+SUMIF(Q_Financials!$A$3:$CV$3,AC4,Q_Financials!$A$40:$CV$40)+SUMIF(Q_Financials!$A$3:$CV$3,AC4,Q_Financials!$A$41:$CV$41)</f>
        <v>-2528.5234400668865</v>
      </c>
      <c r="AD93" s="1518">
        <f>SUMIF(Q_Financials!$A$3:$CV$3,AD4,Q_Financials!$A$39:$CV$39)+SUMIF(Q_Financials!$A$3:$CV$3,AD4,Q_Financials!$A$40:$CV$40)+SUMIF(Q_Financials!$A$3:$CV$3,AD4,Q_Financials!$A$41:$CV$41)</f>
        <v>-2264.6590732681193</v>
      </c>
      <c r="AE93" s="1518">
        <f>SUMIF(Q_Financials!$A$3:$CV$3,AE4,Q_Financials!$A$39:$CV$39)+SUMIF(Q_Financials!$A$3:$CV$3,AE4,Q_Financials!$A$40:$CV$40)+SUMIF(Q_Financials!$A$3:$CV$3,AE4,Q_Financials!$A$41:$CV$41)</f>
        <v>-1977.7333921047139</v>
      </c>
      <c r="AF93" s="1518">
        <f>SUMIF(Q_Financials!$A$3:$CV$3,AF4,Q_Financials!$A$39:$CV$39)+SUMIF(Q_Financials!$A$3:$CV$3,AF4,Q_Financials!$A$40:$CV$40)+SUMIF(Q_Financials!$A$3:$CV$3,AF4,Q_Financials!$A$41:$CV$41)</f>
        <v>-1655.7801024663954</v>
      </c>
      <c r="AG93" s="1518">
        <f>SUMIF(Q_Financials!$A$3:$CV$3,AG4,Q_Financials!$A$39:$CV$39)+SUMIF(Q_Financials!$A$3:$CV$3,AG4,Q_Financials!$A$40:$CV$40)+SUMIF(Q_Financials!$A$3:$CV$3,AG4,Q_Financials!$A$41:$CV$41)</f>
        <v>-1313.0563979822543</v>
      </c>
      <c r="AH93" s="1518">
        <f>SUMIF(Q_Financials!$A$3:$CW$3,AH4,Q_Financials!$A$39:$CW$39)+SUMIF(Q_Financials!$A$3:$CV$3,AH4,Q_Financials!$A$40:$CW$40)+SUMIF(Q_Financials!$A$3:$CW$3,AH4,Q_Financials!$A$41:$CW$41)</f>
        <v>-949.12605786901099</v>
      </c>
      <c r="AI93" s="1518"/>
      <c r="AJ93" s="1128">
        <f t="shared" si="114"/>
        <v>0.25056195728153696</v>
      </c>
      <c r="AK93" s="1128">
        <f t="shared" si="115"/>
        <v>-6.3282481230537702E-3</v>
      </c>
      <c r="AL93" s="1128">
        <f t="shared" si="103"/>
        <v>-0.13376815538251119</v>
      </c>
      <c r="AM93" s="1128">
        <f t="shared" si="116"/>
        <v>-0.14078122196639531</v>
      </c>
      <c r="AN93" s="1128">
        <f t="shared" si="117"/>
        <v>-9.5071306758807372E-2</v>
      </c>
    </row>
    <row r="94" spans="1:43" ht="12.75" customHeight="1">
      <c r="A94" s="98" t="s">
        <v>590</v>
      </c>
      <c r="B94" s="967">
        <v>-80.444000000000003</v>
      </c>
      <c r="C94" s="967">
        <v>-5.5730000000000004</v>
      </c>
      <c r="D94" s="967">
        <v>-22.995999999999999</v>
      </c>
      <c r="E94" s="967">
        <v>-72.927999999999997</v>
      </c>
      <c r="F94" s="967">
        <v>-16.267000000000003</v>
      </c>
      <c r="G94" s="967">
        <v>-24.486000000000001</v>
      </c>
      <c r="H94" s="967">
        <v>1.847</v>
      </c>
      <c r="I94" s="967">
        <v>-37</v>
      </c>
      <c r="J94" s="967">
        <f>SUM(Q_Financials!B42:E43)</f>
        <v>-23.288999999999998</v>
      </c>
      <c r="K94" s="967">
        <f>SUM(Q_Financials!F42:I43)</f>
        <v>38.258999999999993</v>
      </c>
      <c r="L94" s="967">
        <f>SUM(Q_Financials!J42:M43)</f>
        <v>8.8040000000000003</v>
      </c>
      <c r="M94" s="967">
        <f>SUM(Q_Financials!N42:Q43)</f>
        <v>12.978999999999999</v>
      </c>
      <c r="N94" s="967">
        <f>SUM(Q_Financials!R42:U43)</f>
        <v>43.580999999999996</v>
      </c>
      <c r="O94" s="967">
        <f>SUM(Q_Financials!V42:Y43)</f>
        <v>32.253</v>
      </c>
      <c r="P94" s="967">
        <f>SUM(Q_Financials!Z42:AC43)</f>
        <v>27.703000000000003</v>
      </c>
      <c r="Q94" s="967">
        <f>SUM(Q_Financials!AD42:AG43)</f>
        <v>67.876999999999995</v>
      </c>
      <c r="R94" s="967">
        <f>SUM(Q_Financials!AH42:AK43)</f>
        <v>-0.43800000000000061</v>
      </c>
      <c r="S94" s="967">
        <f>SUM(Q_Financials!AL42:AO43)</f>
        <v>0</v>
      </c>
      <c r="T94" s="967">
        <f>SUM(Q_Financials!AP42:AS43)</f>
        <v>-0.94300000000000006</v>
      </c>
      <c r="U94" s="967">
        <f>SUM(Q_Financials!AT42:AW43)</f>
        <v>-2.617</v>
      </c>
      <c r="V94" s="967">
        <f>SUM(Q_Financials!AX42:BA43)</f>
        <v>1.8399999999999999</v>
      </c>
      <c r="W94" s="967">
        <f>SUM(Q_Financials!BB42:BE43)</f>
        <v>0</v>
      </c>
      <c r="X94" s="967">
        <f>SUM(Q_Financials!BF42:BI43)</f>
        <v>3.4039999999999999</v>
      </c>
      <c r="Y94" s="1397">
        <f>SUM(Q_Financials!BJ42:BM43)</f>
        <v>0</v>
      </c>
      <c r="Z94" s="1397">
        <f>SUM(Q_Financials!BN42:BQ43)</f>
        <v>0</v>
      </c>
      <c r="AA94" s="1397">
        <f>SUM(Q_Financials!BR42:BU43)</f>
        <v>0</v>
      </c>
      <c r="AB94" s="1397">
        <f>SUM(Q_Financials!BV42:BY43)</f>
        <v>0</v>
      </c>
      <c r="AC94" s="1397">
        <f>SUM(Q_Financials!BZ42:CC43)</f>
        <v>0</v>
      </c>
      <c r="AD94" s="1397">
        <f>SUM(Q_Financials!CD42:CG43)</f>
        <v>0</v>
      </c>
      <c r="AE94" s="1397">
        <f>SUM(Q_Financials!CH42:CK43)</f>
        <v>0</v>
      </c>
      <c r="AF94" s="1397">
        <f>SUM(Q_Financials!CL42:CO43)</f>
        <v>0</v>
      </c>
      <c r="AG94" s="1397">
        <f>SUM(Q_Financials!CP42:CS43)</f>
        <v>0</v>
      </c>
      <c r="AH94" s="1397">
        <f>SUM(Q_Financials!CT42:CW43)</f>
        <v>0</v>
      </c>
      <c r="AI94" s="967"/>
      <c r="AJ94" s="1133"/>
      <c r="AK94" s="1133"/>
      <c r="AL94" s="1133"/>
      <c r="AM94" s="1133"/>
      <c r="AN94" s="1133"/>
      <c r="AP94" s="92"/>
      <c r="AQ94" s="92"/>
    </row>
    <row r="95" spans="1:43" ht="12.75" customHeight="1">
      <c r="A95" s="1242" t="s">
        <v>1383</v>
      </c>
      <c r="B95" s="967"/>
      <c r="C95" s="967"/>
      <c r="D95" s="967"/>
      <c r="E95" s="967"/>
      <c r="F95" s="967"/>
      <c r="G95" s="967"/>
      <c r="H95" s="967"/>
      <c r="I95" s="967"/>
      <c r="J95" s="1518">
        <f>SUMIF(Q_Financials!$A$3:$CW$3,J4,Q_Financials!$A$43:$CW$43)-SUMIF(Q_Financials!$A$3:$CV$3,J4,Q_Financials!$A$40:$CW$40)+SUMIF(Q_Financials!$A$3:$CW$3,J4,Q_Financials!$A$41:$CW$41)</f>
        <v>-24.145999999999994</v>
      </c>
      <c r="K95" s="1518">
        <f>SUMIF(Q_Financials!$A$3:$CW$3,K4,Q_Financials!$A$43:$CW$43)-SUMIF(Q_Financials!$A$3:$CV$3,K4,Q_Financials!$A$40:$CW$40)+SUMIF(Q_Financials!$A$3:$CW$3,K4,Q_Financials!$A$41:$CW$41)</f>
        <v>47.025999999999996</v>
      </c>
      <c r="L95" s="1518">
        <f>SUMIF(Q_Financials!$A$3:$CW$3,L4,Q_Financials!$A$43:$CW$43)-SUMIF(Q_Financials!$A$3:$CV$3,L4,Q_Financials!$A$40:$CW$40)+SUMIF(Q_Financials!$A$3:$CW$3,L4,Q_Financials!$A$41:$CW$41)</f>
        <v>12.91</v>
      </c>
      <c r="M95" s="1518">
        <f>SUMIF(Q_Financials!$A$3:$CW$3,M4,Q_Financials!$A$43:$CW$43)-SUMIF(Q_Financials!$A$3:$CV$3,M4,Q_Financials!$A$40:$CW$40)+SUMIF(Q_Financials!$A$3:$CW$3,M4,Q_Financials!$A$41:$CW$41)</f>
        <v>8.7230000000000008</v>
      </c>
      <c r="N95" s="1518">
        <f>SUMIF(Q_Financials!$A$3:$CW$3,N4,Q_Financials!$A$43:$CW$43)-SUMIF(Q_Financials!$A$3:$CV$3,N4,Q_Financials!$A$40:$CW$40)+SUMIF(Q_Financials!$A$3:$CW$3,N4,Q_Financials!$A$41:$CW$41)</f>
        <v>-8.1250000000000018</v>
      </c>
      <c r="O95" s="1518">
        <f>SUMIF(Q_Financials!$A$3:$CW$3,O4,Q_Financials!$A$43:$CW$43)-SUMIF(Q_Financials!$A$3:$CV$3,O4,Q_Financials!$A$40:$CW$40)+SUMIF(Q_Financials!$A$3:$CW$3,O4,Q_Financials!$A$41:$CW$41)</f>
        <v>0.56099999999999994</v>
      </c>
      <c r="P95" s="1518">
        <f>SUMIF(Q_Financials!$A$3:$CW$3,P4,Q_Financials!$A$43:$CW$43)-SUMIF(Q_Financials!$A$3:$CV$3,P4,Q_Financials!$A$40:$CW$40)+SUMIF(Q_Financials!$A$3:$CW$3,P4,Q_Financials!$A$41:$CW$41)</f>
        <v>30.071999999999989</v>
      </c>
      <c r="Q95" s="1518">
        <f>SUMIF(Q_Financials!$A$3:$CW$3,Q4,Q_Financials!$A$43:$CW$43)-SUMIF(Q_Financials!$A$3:$CV$3,Q4,Q_Financials!$A$40:$CW$40)+SUMIF(Q_Financials!$A$3:$CW$3,Q4,Q_Financials!$A$41:$CW$41)</f>
        <v>480.95899999999995</v>
      </c>
      <c r="R95" s="1518">
        <f>SUMIF(Q_Financials!$A$3:$CW$3,R4,Q_Financials!$A$43:$CW$43)-SUMIF(Q_Financials!$A$3:$CV$3,R4,Q_Financials!$A$40:$CW$40)+SUMIF(Q_Financials!$A$3:$CW$3,R4,Q_Financials!$A$41:$CW$41)</f>
        <v>-174.16400000000007</v>
      </c>
      <c r="S95" s="1518">
        <f>SUMIF(Q_Financials!$A$3:$CW$3,S4,Q_Financials!$A$43:$CW$43)-SUMIF(Q_Financials!$A$3:$CV$3,S4,Q_Financials!$A$40:$CW$40)+SUMIF(Q_Financials!$A$3:$CW$3,S4,Q_Financials!$A$41:$CW$41)</f>
        <v>-114.16999999999999</v>
      </c>
      <c r="T95" s="1518">
        <f>SUMIF(Q_Financials!$A$3:$CW$3,T4,Q_Financials!$A$43:$CW$43)-SUMIF(Q_Financials!$A$3:$CV$3,T4,Q_Financials!$A$40:$CW$40)+SUMIF(Q_Financials!$A$3:$CW$3,T4,Q_Financials!$A$41:$CW$41)</f>
        <v>-230.21999999999997</v>
      </c>
      <c r="U95" s="1518">
        <f>SUMIF(Q_Financials!$A$3:$CW$3,U4,Q_Financials!$A$43:$CW$43)-SUMIF(Q_Financials!$A$3:$CV$3,U4,Q_Financials!$A$40:$CW$40)+SUMIF(Q_Financials!$A$3:$CW$3,U4,Q_Financials!$A$41:$CW$41)</f>
        <v>445.22200000000009</v>
      </c>
      <c r="V95" s="1518">
        <f>SUMIF(Q_Financials!$A$3:$CW$3,V4,Q_Financials!$A$43:$CW$43)-SUMIF(Q_Financials!$A$3:$CV$3,V4,Q_Financials!$A$40:$CW$40)+SUMIF(Q_Financials!$A$3:$CW$3,V4,Q_Financials!$A$41:$CW$41)</f>
        <v>-5.3020000000000209</v>
      </c>
      <c r="W95" s="1518">
        <f>SUMIF(Q_Financials!$A$3:$CW$3,W4,Q_Financials!$A$43:$CW$43)-SUMIF(Q_Financials!$A$3:$CV$3,W4,Q_Financials!$A$40:$CW$40)+SUMIF(Q_Financials!$A$3:$CW$3,W4,Q_Financials!$A$41:$CW$41)</f>
        <v>-302.32600000000002</v>
      </c>
      <c r="X95" s="1518">
        <f>SUMIF(Q_Financials!$A$3:$CW$3,X4,Q_Financials!$A$43:$CW$43)-SUMIF(Q_Financials!$A$3:$CV$3,X4,Q_Financials!$A$40:$CW$40)+SUMIF(Q_Financials!$A$3:$CW$3,X4,Q_Financials!$A$41:$CW$41)</f>
        <v>362.99699999999996</v>
      </c>
      <c r="Y95" s="1518">
        <f>SUMIF(Q_Financials!$A$3:$CW$3,Y4,Q_Financials!$A$43:$CW$43)-SUMIF(Q_Financials!$A$3:$CV$3,Y4,Q_Financials!$A$40:$CW$40)+SUMIF(Q_Financials!$A$3:$CW$3,Y4,Q_Financials!$A$41:$CW$41)</f>
        <v>-1298.8578166252321</v>
      </c>
      <c r="Z95" s="1518">
        <f>SUMIF(Q_Financials!$A$3:$CW$3,Z4,Q_Financials!$A$43:$CW$43)-SUMIF(Q_Financials!$A$3:$CV$3,Z4,Q_Financials!$A$40:$CW$40)+SUMIF(Q_Financials!$A$3:$CW$3,Z4,Q_Financials!$A$41:$CW$41)</f>
        <v>-859.19873382515493</v>
      </c>
      <c r="AA95" s="1518">
        <f>SUMIF(Q_Financials!$A$3:$CW$3,AA4,Q_Financials!$A$43:$CW$43)-SUMIF(Q_Financials!$A$3:$CV$3,AA4,Q_Financials!$A$40:$CW$40)+SUMIF(Q_Financials!$A$3:$CW$3,AA4,Q_Financials!$A$41:$CW$41)</f>
        <v>-786.8191181181644</v>
      </c>
      <c r="AB95" s="1518">
        <f>SUMIF(Q_Financials!$A$3:$CW$3,AB4,Q_Financials!$A$43:$CW$43)-SUMIF(Q_Financials!$A$3:$CV$3,AB4,Q_Financials!$A$40:$CW$40)+SUMIF(Q_Financials!$A$3:$CW$3,AB4,Q_Financials!$A$41:$CW$41)</f>
        <v>-359.69523414344627</v>
      </c>
      <c r="AC95" s="1518">
        <f>SUMIF(Q_Financials!$A$3:$CW$3,AC4,Q_Financials!$A$43:$CW$43)-SUMIF(Q_Financials!$A$3:$CV$3,AC4,Q_Financials!$A$40:$CW$40)+SUMIF(Q_Financials!$A$3:$CW$3,AC4,Q_Financials!$A$41:$CW$41)</f>
        <v>-372.15226457853095</v>
      </c>
      <c r="AD95" s="1518">
        <f>SUMIF(Q_Financials!$A$3:$CW$3,AD4,Q_Financials!$A$43:$CW$43)-SUMIF(Q_Financials!$A$3:$CV$3,AD4,Q_Financials!$A$40:$CW$40)+SUMIF(Q_Financials!$A$3:$CW$3,AD4,Q_Financials!$A$41:$CW$41)</f>
        <v>-375.49231073177918</v>
      </c>
      <c r="AE95" s="1518">
        <f>SUMIF(Q_Financials!$A$3:$CW$3,AE4,Q_Financials!$A$43:$CW$43)-SUMIF(Q_Financials!$A$3:$CV$3,AE4,Q_Financials!$A$40:$CW$40)+SUMIF(Q_Financials!$A$3:$CW$3,AE4,Q_Financials!$A$41:$CW$41)</f>
        <v>-378.86233361596589</v>
      </c>
      <c r="AF95" s="1518">
        <f>SUMIF(Q_Financials!$A$3:$CW$3,AF4,Q_Financials!$A$43:$CW$43)-SUMIF(Q_Financials!$A$3:$CV$3,AF4,Q_Financials!$A$40:$CW$40)+SUMIF(Q_Financials!$A$3:$CW$3,AF4,Q_Financials!$A$41:$CW$41)</f>
        <v>-382.26260227061437</v>
      </c>
      <c r="AG95" s="1518">
        <f>SUMIF(Q_Financials!$A$3:$CW$3,AG4,Q_Financials!$A$43:$CW$43)-SUMIF(Q_Financials!$A$3:$CV$3,AG4,Q_Financials!$A$40:$CW$40)+SUMIF(Q_Financials!$A$3:$CW$3,AG4,Q_Financials!$A$41:$CW$41)</f>
        <v>-388.98567450631299</v>
      </c>
      <c r="AH95" s="1518">
        <f>SUMIF(Q_Financials!$A$3:$CW$3,AH4,Q_Financials!$A$43:$CW$43)-SUMIF(Q_Financials!$A$3:$CV$3,AH4,Q_Financials!$A$40:$CW$40)+SUMIF(Q_Financials!$A$3:$CW$3,AH4,Q_Financials!$A$41:$CW$41)</f>
        <v>-399.52511344076925</v>
      </c>
      <c r="AI95" s="967"/>
      <c r="AJ95" s="1128">
        <f t="shared" ref="AJ95:AJ96" si="118">IFERROR((U95/P95)^(1/5)-1,"NM")</f>
        <v>0.71428435117127131</v>
      </c>
      <c r="AK95" s="1128">
        <f t="shared" ref="AK95:AK96" si="119">IFERROR((X95/U95)^(1/3)-1,"NM")</f>
        <v>-6.5795102183017318E-2</v>
      </c>
      <c r="AL95" s="1128">
        <f t="shared" ref="AL95:AL96" si="120">IFERROR((AA95/Y95)^(1/2)-1,"NM")</f>
        <v>-0.22168276818058197</v>
      </c>
      <c r="AM95" s="1128">
        <f t="shared" ref="AM95:AM96" si="121">IFERROR((AD95/AA95)^(1/3)-1,"NM")</f>
        <v>-0.21853647015181421</v>
      </c>
      <c r="AN95" s="1128" t="str">
        <f t="shared" ref="AN95:AN96" si="122">IFERROR((AH95/X95)^(1/10)-1,"NM")</f>
        <v>NM</v>
      </c>
      <c r="AP95" s="92"/>
      <c r="AQ95" s="92"/>
    </row>
    <row r="96" spans="1:43">
      <c r="A96" s="93" t="s">
        <v>55</v>
      </c>
      <c r="B96" s="985">
        <f t="shared" ref="B96:S96" si="123">B93+B90+B94</f>
        <v>95.856999999999928</v>
      </c>
      <c r="C96" s="985">
        <f t="shared" si="123"/>
        <v>246.11800000000002</v>
      </c>
      <c r="D96" s="985">
        <f t="shared" si="123"/>
        <v>226.07400000000004</v>
      </c>
      <c r="E96" s="985">
        <f t="shared" si="123"/>
        <v>287.44900000000001</v>
      </c>
      <c r="F96" s="985">
        <f t="shared" si="123"/>
        <v>441.67700000000031</v>
      </c>
      <c r="G96" s="985">
        <f t="shared" si="123"/>
        <v>361.87300000000084</v>
      </c>
      <c r="H96" s="985">
        <f t="shared" si="123"/>
        <v>680.47799999999984</v>
      </c>
      <c r="I96" s="985">
        <f t="shared" si="123"/>
        <v>227.68700000000001</v>
      </c>
      <c r="J96" s="985">
        <f t="shared" si="123"/>
        <v>183.94300000000089</v>
      </c>
      <c r="K96" s="985">
        <f t="shared" si="123"/>
        <v>286.73899999999855</v>
      </c>
      <c r="L96" s="985">
        <f t="shared" si="123"/>
        <v>343.77800000000065</v>
      </c>
      <c r="M96" s="985">
        <f t="shared" si="123"/>
        <v>625.90600000000063</v>
      </c>
      <c r="N96" s="985">
        <f t="shared" si="123"/>
        <v>949.75800000000174</v>
      </c>
      <c r="O96" s="985">
        <f t="shared" si="123"/>
        <v>995.80100000000255</v>
      </c>
      <c r="P96" s="985">
        <f t="shared" si="123"/>
        <v>1522.6699999999996</v>
      </c>
      <c r="Q96" s="985">
        <f t="shared" si="123"/>
        <v>1655.7219999999977</v>
      </c>
      <c r="R96" s="985">
        <f t="shared" si="123"/>
        <v>2087.5479999999989</v>
      </c>
      <c r="S96" s="985">
        <f t="shared" si="123"/>
        <v>1837.618999999999</v>
      </c>
      <c r="T96" s="985">
        <f>T93+T90+T94</f>
        <v>2717.9059999999936</v>
      </c>
      <c r="U96" s="985">
        <f t="shared" ref="U96:Z96" si="124">U92+U90+U94</f>
        <v>-5024.019999999995</v>
      </c>
      <c r="V96" s="985">
        <f t="shared" si="124"/>
        <v>999.41600000000005</v>
      </c>
      <c r="W96" s="985">
        <f t="shared" si="124"/>
        <v>2521.8060000000087</v>
      </c>
      <c r="X96" s="985">
        <f t="shared" ref="X96" si="125">X92+X90+X94</f>
        <v>4447.8699999999963</v>
      </c>
      <c r="Y96" s="1566">
        <f>Y92+Y90+Y94</f>
        <v>1688.8499252237298</v>
      </c>
      <c r="Z96" s="1566">
        <f t="shared" si="124"/>
        <v>2880.5935786434929</v>
      </c>
      <c r="AA96" s="1566">
        <f>AA92+AA90+AA94</f>
        <v>4251.3681926927284</v>
      </c>
      <c r="AB96" s="1566">
        <f>AB92+AB90+AB94</f>
        <v>5820.8611627515656</v>
      </c>
      <c r="AC96" s="1566">
        <f>AC92+AC90+AC94</f>
        <v>6152.6009543184573</v>
      </c>
      <c r="AD96" s="1566">
        <f>AD92+AD90+AD94</f>
        <v>6640.0208338735947</v>
      </c>
      <c r="AE96" s="1566">
        <f>AE92+AE90+AE94</f>
        <v>7089.6642613062504</v>
      </c>
      <c r="AF96" s="1566">
        <f t="shared" ref="AF96:AH96" si="126">AF92+AF90+AF94</f>
        <v>7548.6929208553593</v>
      </c>
      <c r="AG96" s="1566">
        <f t="shared" si="126"/>
        <v>7994.8740615496326</v>
      </c>
      <c r="AH96" s="1566">
        <f t="shared" si="126"/>
        <v>8430.4397062421413</v>
      </c>
      <c r="AI96" s="985"/>
      <c r="AJ96" s="1128">
        <f t="shared" si="118"/>
        <v>-2.2696649000747335</v>
      </c>
      <c r="AK96" s="1128">
        <f t="shared" si="119"/>
        <v>-1.9602115123896882</v>
      </c>
      <c r="AL96" s="1128">
        <f t="shared" si="120"/>
        <v>0.58660504173963668</v>
      </c>
      <c r="AM96" s="1128">
        <f t="shared" si="121"/>
        <v>0.16023752539801328</v>
      </c>
      <c r="AN96" s="1128">
        <f t="shared" si="122"/>
        <v>6.60309510142989E-2</v>
      </c>
      <c r="AP96" s="92"/>
      <c r="AQ96" s="92"/>
    </row>
    <row r="97" spans="1:43">
      <c r="A97" s="271" t="s">
        <v>356</v>
      </c>
      <c r="B97" s="955">
        <v>-64.39</v>
      </c>
      <c r="C97" s="955">
        <v>-77.775999999999996</v>
      </c>
      <c r="D97" s="955">
        <v>-85.6</v>
      </c>
      <c r="E97" s="967">
        <v>-123.066</v>
      </c>
      <c r="F97" s="967">
        <v>-127.033</v>
      </c>
      <c r="G97" s="967">
        <v>-125.46899999999999</v>
      </c>
      <c r="H97" s="967">
        <v>-168.40899999999999</v>
      </c>
      <c r="I97" s="967">
        <v>-53.148000000000003</v>
      </c>
      <c r="J97" s="955">
        <f>SUM(Q_Financials!B45:E45)</f>
        <v>-45.084999999999994</v>
      </c>
      <c r="K97" s="955">
        <f>SUM(Q_Financials!F45:I45)</f>
        <v>-127.749</v>
      </c>
      <c r="L97" s="967">
        <f>SUM(Q_Financials!J45:M45)</f>
        <v>-107.01700000000001</v>
      </c>
      <c r="M97" s="967">
        <f>SUM(Q_Financials!N45:Q45)</f>
        <v>-222.46199999999999</v>
      </c>
      <c r="N97" s="967">
        <f>SUM(Q_Financials!R45:U45)</f>
        <v>-284.86799999999999</v>
      </c>
      <c r="O97" s="967">
        <f>SUM(Q_Financials!V45:Y45)</f>
        <v>-364.59300000000002</v>
      </c>
      <c r="P97" s="967">
        <f>SUM(Q_Financials!Z45:AC45)</f>
        <v>-489.91800000000001</v>
      </c>
      <c r="Q97" s="967">
        <f>SUM(Q_Financials!AD45:AG45)</f>
        <v>-529.23200000000008</v>
      </c>
      <c r="R97" s="967">
        <f>SUM(Q_Financials!AH45:AK45)</f>
        <v>-835.42800000000011</v>
      </c>
      <c r="S97" s="967">
        <f>SUM(Q_Financials!AL45:AO45)</f>
        <v>-698.29500000000007</v>
      </c>
      <c r="T97" s="967">
        <f>SUM(Q_Financials!AP45:AS45)</f>
        <v>-635.41899999999998</v>
      </c>
      <c r="U97" s="967">
        <f>SUM(Q_Financials!AT45:AW45)</f>
        <v>1178.0889999999999</v>
      </c>
      <c r="V97" s="1875">
        <f>SUM(Q_Financials!AX45:BA45)</f>
        <v>-214.94599999999997</v>
      </c>
      <c r="W97" s="967">
        <f>SUM(Q_Financials!BB45:BE45)</f>
        <v>-937.01099999999997</v>
      </c>
      <c r="X97" s="967">
        <f>SUM(Q_Financials!BF45:BI45)</f>
        <v>-1457.873</v>
      </c>
      <c r="Y97" s="1397">
        <f>SUM(Q_Financials!BJ45:BM45)</f>
        <v>-565.3616409748854</v>
      </c>
      <c r="Z97" s="1397">
        <f>SUM(Q_Financials!BN45:BQ45)</f>
        <v>-979.40181673879272</v>
      </c>
      <c r="AA97" s="1397">
        <f>SUM(Q_Financials!BR45:BU45)</f>
        <v>-1445.4651855155253</v>
      </c>
      <c r="AB97" s="1397">
        <f>SUM(Q_Financials!BV45:BY45)</f>
        <v>-1979.0927953355317</v>
      </c>
      <c r="AC97" s="1397">
        <f>SUM(Q_Financials!BZ45:CC45)</f>
        <v>-2091.884324468273</v>
      </c>
      <c r="AD97" s="1397">
        <f>SUM(Q_Financials!CD45:CG45)</f>
        <v>-2257.6070835170258</v>
      </c>
      <c r="AE97" s="1397">
        <f>SUM(Q_Financials!CH45:CK45)</f>
        <v>-2410.4858488441282</v>
      </c>
      <c r="AF97" s="1397">
        <f>SUM(Q_Financials!CL45:CO45)</f>
        <v>-2566.5555930908231</v>
      </c>
      <c r="AG97" s="1397">
        <f>SUM(Q_Financials!CP45:CS45)</f>
        <v>-2718.2571809268757</v>
      </c>
      <c r="AH97" s="1397">
        <f>SUM(Q_Financials!CT45:CW45)</f>
        <v>-2866.3495001223318</v>
      </c>
      <c r="AI97" s="967"/>
      <c r="AJ97" s="1133"/>
      <c r="AK97" s="1133"/>
      <c r="AL97" s="1133"/>
      <c r="AM97" s="1133"/>
      <c r="AN97" s="1133"/>
      <c r="AP97" s="92"/>
      <c r="AQ97" s="92"/>
    </row>
    <row r="98" spans="1:43">
      <c r="A98" s="90" t="s">
        <v>56</v>
      </c>
      <c r="B98" s="471">
        <f t="shared" ref="B98:Z98" si="127">B97/B96</f>
        <v>-0.67172976412781593</v>
      </c>
      <c r="C98" s="471">
        <f t="shared" si="127"/>
        <v>-0.31601101910465706</v>
      </c>
      <c r="D98" s="471">
        <f t="shared" si="127"/>
        <v>-0.37863708343285818</v>
      </c>
      <c r="E98" s="471">
        <f t="shared" si="127"/>
        <v>-0.42813159899669156</v>
      </c>
      <c r="F98" s="471">
        <f t="shared" si="127"/>
        <v>-0.28761515768310308</v>
      </c>
      <c r="G98" s="471">
        <f t="shared" si="127"/>
        <v>-0.34672108723226019</v>
      </c>
      <c r="H98" s="471">
        <f t="shared" si="127"/>
        <v>-0.24748632578863686</v>
      </c>
      <c r="I98" s="471">
        <f t="shared" si="127"/>
        <v>-0.23342571161287207</v>
      </c>
      <c r="J98" s="471">
        <f t="shared" si="127"/>
        <v>-0.24510310259156246</v>
      </c>
      <c r="K98" s="471">
        <f t="shared" si="127"/>
        <v>-0.44552362950279045</v>
      </c>
      <c r="L98" s="471">
        <f t="shared" si="127"/>
        <v>-0.31129682527677688</v>
      </c>
      <c r="M98" s="471">
        <f t="shared" si="127"/>
        <v>-0.35542397740235715</v>
      </c>
      <c r="N98" s="471">
        <f t="shared" si="127"/>
        <v>-0.29993745775239533</v>
      </c>
      <c r="O98" s="471">
        <f t="shared" si="127"/>
        <v>-0.36613038147179916</v>
      </c>
      <c r="P98" s="471">
        <f t="shared" si="127"/>
        <v>-0.3217492956451497</v>
      </c>
      <c r="Q98" s="471">
        <f t="shared" si="127"/>
        <v>-0.31963820013263144</v>
      </c>
      <c r="R98" s="471">
        <f t="shared" si="127"/>
        <v>-0.4001958278324621</v>
      </c>
      <c r="S98" s="471">
        <f t="shared" si="127"/>
        <v>-0.37999988027986237</v>
      </c>
      <c r="T98" s="471">
        <f>T97/T96</f>
        <v>-0.23378991032066654</v>
      </c>
      <c r="U98" s="471">
        <f t="shared" si="127"/>
        <v>-0.23449130377665717</v>
      </c>
      <c r="V98" s="471">
        <f t="shared" si="127"/>
        <v>-0.2150716018154602</v>
      </c>
      <c r="W98" s="471">
        <f t="shared" si="127"/>
        <v>-0.371563474747858</v>
      </c>
      <c r="X98" s="471">
        <f t="shared" ref="X98" si="128">X97/X96</f>
        <v>-0.3277687971995587</v>
      </c>
      <c r="Y98" s="588">
        <f>Y97/Y96</f>
        <v>-0.33476132635052774</v>
      </c>
      <c r="Z98" s="588">
        <f t="shared" si="127"/>
        <v>-0.3400000000000018</v>
      </c>
      <c r="AA98" s="588">
        <f>AA97/AA96</f>
        <v>-0.33999999999999941</v>
      </c>
      <c r="AB98" s="588">
        <f>AB97/AB96</f>
        <v>-0.33999999999999991</v>
      </c>
      <c r="AC98" s="588">
        <f>AC97/AC96</f>
        <v>-0.33999999999999958</v>
      </c>
      <c r="AD98" s="588">
        <f>AD97/AD96</f>
        <v>-0.34000000000000052</v>
      </c>
      <c r="AE98" s="588">
        <f>AE97/AE96</f>
        <v>-0.34000000000000041</v>
      </c>
      <c r="AF98" s="588">
        <f t="shared" ref="AF98:AH98" si="129">AF97/AF96</f>
        <v>-0.34000000000000014</v>
      </c>
      <c r="AG98" s="588">
        <f t="shared" si="129"/>
        <v>-0.34000000000000008</v>
      </c>
      <c r="AH98" s="588">
        <f t="shared" si="129"/>
        <v>-0.34000000000000047</v>
      </c>
      <c r="AI98" s="100"/>
      <c r="AJ98" s="1133"/>
      <c r="AK98" s="1133"/>
      <c r="AL98" s="1133"/>
      <c r="AM98" s="1133"/>
      <c r="AN98" s="1133"/>
      <c r="AP98" s="92"/>
      <c r="AQ98" s="92"/>
    </row>
    <row r="99" spans="1:43">
      <c r="A99" s="93" t="s">
        <v>57</v>
      </c>
      <c r="B99" s="985">
        <f t="shared" ref="B99:Z99" si="130">B96+B97</f>
        <v>31.466999999999928</v>
      </c>
      <c r="C99" s="985">
        <f t="shared" si="130"/>
        <v>168.34200000000004</v>
      </c>
      <c r="D99" s="985">
        <f t="shared" si="130"/>
        <v>140.47400000000005</v>
      </c>
      <c r="E99" s="985">
        <f t="shared" si="130"/>
        <v>164.38300000000001</v>
      </c>
      <c r="F99" s="985">
        <f t="shared" si="130"/>
        <v>314.64400000000029</v>
      </c>
      <c r="G99" s="985">
        <f t="shared" si="130"/>
        <v>236.40400000000085</v>
      </c>
      <c r="H99" s="985">
        <f t="shared" si="130"/>
        <v>512.06899999999985</v>
      </c>
      <c r="I99" s="985">
        <f t="shared" si="130"/>
        <v>174.53900000000002</v>
      </c>
      <c r="J99" s="985">
        <f t="shared" si="130"/>
        <v>138.85800000000091</v>
      </c>
      <c r="K99" s="985">
        <f t="shared" si="130"/>
        <v>158.98999999999856</v>
      </c>
      <c r="L99" s="985">
        <f t="shared" si="130"/>
        <v>236.76100000000065</v>
      </c>
      <c r="M99" s="985">
        <f t="shared" si="130"/>
        <v>403.44400000000064</v>
      </c>
      <c r="N99" s="985">
        <f t="shared" si="130"/>
        <v>664.89000000000169</v>
      </c>
      <c r="O99" s="985">
        <f t="shared" si="130"/>
        <v>631.20800000000258</v>
      </c>
      <c r="P99" s="985">
        <f t="shared" si="130"/>
        <v>1032.7519999999995</v>
      </c>
      <c r="Q99" s="985">
        <f t="shared" si="130"/>
        <v>1126.4899999999975</v>
      </c>
      <c r="R99" s="985">
        <f t="shared" si="130"/>
        <v>1252.1199999999988</v>
      </c>
      <c r="S99" s="985">
        <f t="shared" si="130"/>
        <v>1139.3239999999989</v>
      </c>
      <c r="T99" s="985">
        <f>T96+T97</f>
        <v>2082.4869999999937</v>
      </c>
      <c r="U99" s="985">
        <f t="shared" si="130"/>
        <v>-3845.930999999995</v>
      </c>
      <c r="V99" s="985">
        <f t="shared" si="130"/>
        <v>784.47</v>
      </c>
      <c r="W99" s="985">
        <f t="shared" si="130"/>
        <v>1584.7950000000087</v>
      </c>
      <c r="X99" s="985">
        <f t="shared" ref="X99" si="131">X96+X97</f>
        <v>2989.9969999999962</v>
      </c>
      <c r="Y99" s="1566">
        <f t="shared" si="130"/>
        <v>1123.4882842488444</v>
      </c>
      <c r="Z99" s="1566">
        <f t="shared" si="130"/>
        <v>1901.1917619047003</v>
      </c>
      <c r="AA99" s="1566">
        <f>AA96+AA97</f>
        <v>2805.9030071772031</v>
      </c>
      <c r="AB99" s="1566">
        <f>AB96+AB97</f>
        <v>3841.7683674160339</v>
      </c>
      <c r="AC99" s="1566">
        <f>AC96+AC97</f>
        <v>4060.7166298501843</v>
      </c>
      <c r="AD99" s="1566">
        <f>AD96+AD97</f>
        <v>4382.4137503565689</v>
      </c>
      <c r="AE99" s="1566">
        <f>AE96+AE97</f>
        <v>4679.1784124621227</v>
      </c>
      <c r="AF99" s="1566">
        <f t="shared" ref="AF99:AH99" si="132">AF96+AF97</f>
        <v>4982.1373277645362</v>
      </c>
      <c r="AG99" s="1566">
        <f t="shared" si="132"/>
        <v>5276.616880622757</v>
      </c>
      <c r="AH99" s="1566">
        <f t="shared" si="132"/>
        <v>5564.0902061198094</v>
      </c>
      <c r="AI99" s="985"/>
      <c r="AJ99" s="1128">
        <f t="shared" ref="AJ99" si="133">IFERROR((U99/P99)^(1/5)-1,"NM")</f>
        <v>-2.3007717269928643</v>
      </c>
      <c r="AK99" s="1128">
        <f t="shared" ref="AK99" si="134">IFERROR((X99/U99)^(1/3)-1,"NM")</f>
        <v>-1.9195099253152179</v>
      </c>
      <c r="AL99" s="1128">
        <f t="shared" ref="AL99:AL117" si="135">IFERROR((AA99/Y99)^(1/2)-1,"NM")</f>
        <v>0.58034553329438343</v>
      </c>
      <c r="AM99" s="1128">
        <f t="shared" ref="AM99" si="136">IFERROR((AD99/AA99)^(1/3)-1,"NM")</f>
        <v>0.16023752539801261</v>
      </c>
      <c r="AN99" s="1128">
        <f t="shared" ref="AN99" si="137">IFERROR((AH99/X99)^(1/10)-1,"NM")</f>
        <v>6.4075248010411423E-2</v>
      </c>
      <c r="AP99" s="92"/>
      <c r="AQ99" s="92"/>
    </row>
    <row r="100" spans="1:43">
      <c r="A100" s="719" t="s">
        <v>58</v>
      </c>
      <c r="B100" s="438">
        <v>1.2649999999999999</v>
      </c>
      <c r="C100" s="438">
        <v>9.9410000000000007</v>
      </c>
      <c r="D100" s="438">
        <v>4.984</v>
      </c>
      <c r="E100" s="967">
        <v>-19.515000000000001</v>
      </c>
      <c r="F100" s="967">
        <v>-3.702</v>
      </c>
      <c r="G100" s="967">
        <v>-6.452</v>
      </c>
      <c r="H100" s="967">
        <v>-10.706</v>
      </c>
      <c r="I100" s="967">
        <v>-10.752000000000001</v>
      </c>
      <c r="J100" s="438">
        <f>SUM(Q_Financials!B48:E48)</f>
        <v>-3.2130000000000001</v>
      </c>
      <c r="K100" s="438">
        <f>SUM(Q_Financials!F48:I48)</f>
        <v>-7.7640000000000011</v>
      </c>
      <c r="L100" s="967">
        <f>SUM(Q_Financials!J48:M48)</f>
        <v>-21.265000000000001</v>
      </c>
      <c r="M100" s="967">
        <f>SUM(Q_Financials!N48:Q48)</f>
        <v>-36.879000000000005</v>
      </c>
      <c r="N100" s="967">
        <f>SUM(Q_Financials!R48:U48)</f>
        <v>17.695</v>
      </c>
      <c r="O100" s="967">
        <f>SUM(Q_Financials!V48:Y48)</f>
        <v>42.572000000000003</v>
      </c>
      <c r="P100" s="967">
        <f>SUM(Q_Financials!Z48:AC48)</f>
        <v>-51.545999999999999</v>
      </c>
      <c r="Q100" s="967">
        <f>SUM(Q_Financials!AD48:AG48)</f>
        <v>-130.018</v>
      </c>
      <c r="R100" s="967">
        <f>SUM(Q_Financials!AH48:AK48)</f>
        <v>-162.65100000000001</v>
      </c>
      <c r="S100" s="967">
        <f>SUM(Q_Financials!AL48:AO48)</f>
        <v>-186.07100000000003</v>
      </c>
      <c r="T100" s="967">
        <f>SUM(Q_Financials!AP48:AS48)</f>
        <v>-158.06399999999999</v>
      </c>
      <c r="U100" s="967">
        <f>SUM(Q_Financials!AT48:AW48)</f>
        <v>659.88400000000001</v>
      </c>
      <c r="V100" s="967">
        <f>SUM(Q_Financials!AX48:BA48)</f>
        <v>50.66</v>
      </c>
      <c r="W100" s="1115">
        <f>SUM(Q_Financials!BB48:BE48)</f>
        <v>47.54</v>
      </c>
      <c r="X100" s="1115">
        <f>SUM(Q_Financials!BF48:BI48)</f>
        <v>-59.268000000000001</v>
      </c>
      <c r="Y100" s="1397">
        <f>SUM(Q_Financials!BJ48:BM48)</f>
        <v>6.800000000000006E-2</v>
      </c>
      <c r="Z100" s="1397">
        <f>SUM(Q_Financials!BN48:BQ48)</f>
        <v>0</v>
      </c>
      <c r="AA100" s="1397">
        <f>SUM(Q_Financials!BR48:BU48)</f>
        <v>0</v>
      </c>
      <c r="AB100" s="1397">
        <f>SUM(Q_Financials!BV48:BY48)</f>
        <v>0</v>
      </c>
      <c r="AC100" s="1397">
        <f>SUM(Q_Financials!BZ48:CC48)</f>
        <v>0</v>
      </c>
      <c r="AD100" s="1397">
        <f>SUM(Q_Financials!CD48:CG48)</f>
        <v>0</v>
      </c>
      <c r="AE100" s="1397">
        <f>SUM(Q_Financials!CH48:CK48)</f>
        <v>0</v>
      </c>
      <c r="AF100" s="1397">
        <f>SUM(Q_Financials!CL48:CO48)</f>
        <v>0</v>
      </c>
      <c r="AG100" s="1397">
        <f>SUM(Q_Financials!CP48:CS48)</f>
        <v>0</v>
      </c>
      <c r="AH100" s="1397">
        <f>SUM(Q_Financials!CT48:CW48)</f>
        <v>0</v>
      </c>
      <c r="AI100" s="1938"/>
      <c r="AJ100" s="1133"/>
      <c r="AK100" s="1133"/>
      <c r="AL100" s="1133"/>
      <c r="AM100" s="1133"/>
      <c r="AN100" s="1133"/>
    </row>
    <row r="101" spans="1:43">
      <c r="A101" s="719" t="s">
        <v>707</v>
      </c>
      <c r="B101" s="438">
        <v>-1.718</v>
      </c>
      <c r="C101" s="438">
        <v>-29.356000000000002</v>
      </c>
      <c r="D101" s="438">
        <v>-17.309999999999999</v>
      </c>
      <c r="E101" s="967">
        <v>9.7409999999999997</v>
      </c>
      <c r="F101" s="967">
        <v>-29.443999999999999</v>
      </c>
      <c r="G101" s="967">
        <v>-7.7750000000000004</v>
      </c>
      <c r="H101" s="967">
        <v>-22.928000000000001</v>
      </c>
      <c r="I101" s="967">
        <v>-35.008000000000003</v>
      </c>
      <c r="J101" s="438">
        <f>SUM(Q_Financials!B47:E47)</f>
        <v>-31.897000000000002</v>
      </c>
      <c r="K101" s="438">
        <f>SUM(Q_Financials!F47:I47)</f>
        <v>0</v>
      </c>
      <c r="L101" s="967">
        <f>SUM(Q_Financials!J47:M47)</f>
        <v>-5.8520000000000003</v>
      </c>
      <c r="M101" s="967">
        <f>SUM(Q_Financials!N47:Q47)</f>
        <v>0</v>
      </c>
      <c r="N101" s="967">
        <f>SUM(Q_Financials!R47:U47)</f>
        <v>-1.5720000000000001</v>
      </c>
      <c r="O101" s="967">
        <f>SUM(Q_Financials!V47:Y47)</f>
        <v>-7.1139999999999999</v>
      </c>
      <c r="P101" s="967">
        <f>SUM(Q_Financials!Z47:AC47)</f>
        <v>0</v>
      </c>
      <c r="Q101" s="967">
        <f>SUM(Q_Financials!AD47:AG47)</f>
        <v>0</v>
      </c>
      <c r="R101" s="967">
        <f>SUM(Q_Financials!AH47:AK47)</f>
        <v>0</v>
      </c>
      <c r="S101" s="967">
        <f>SUM(Q_Financials!AL47:AO47)</f>
        <v>0</v>
      </c>
      <c r="T101" s="967">
        <f>SUM(Q_Financials!AP47:AS47)</f>
        <v>0</v>
      </c>
      <c r="U101" s="967">
        <f>SUM(Q_Financials!AT47:AW47)</f>
        <v>0</v>
      </c>
      <c r="V101" s="967">
        <f>SUM(Q_Financials!AX47:BA47)</f>
        <v>0</v>
      </c>
      <c r="W101" s="967">
        <f>SUM(Q_Financials!BB47:BE47)</f>
        <v>0</v>
      </c>
      <c r="X101" s="967">
        <f>SUM(Q_Financials!BF47:BI47)</f>
        <v>0</v>
      </c>
      <c r="Y101" s="1397">
        <f>SUM(Q_Financials!BJ47:BM47)</f>
        <v>0</v>
      </c>
      <c r="Z101" s="1397">
        <f>SUM(Q_Financials!BN47:BQ47)</f>
        <v>0</v>
      </c>
      <c r="AA101" s="1397">
        <f>SUM(Q_Financials!BR47:BU47)</f>
        <v>0</v>
      </c>
      <c r="AB101" s="1397">
        <f>SUM(Q_Financials!BV47:BY47)</f>
        <v>0</v>
      </c>
      <c r="AC101" s="1397">
        <f>SUM(Q_Financials!BZ47:CC47)</f>
        <v>0</v>
      </c>
      <c r="AD101" s="1397">
        <f>SUM(Q_Financials!CD47:CG47)</f>
        <v>0</v>
      </c>
      <c r="AE101" s="1397">
        <f>SUM(Q_Financials!CH47:CK47)</f>
        <v>0</v>
      </c>
      <c r="AF101" s="1397">
        <f>SUM(Q_Financials!CL47:CO47)</f>
        <v>0</v>
      </c>
      <c r="AG101" s="1397">
        <f>SUM(Q_Financials!CP47:CS47)</f>
        <v>0</v>
      </c>
      <c r="AH101" s="1397">
        <f>SUM(Q_Financials!CT47:CW47)</f>
        <v>0</v>
      </c>
      <c r="AI101" s="967"/>
      <c r="AJ101" s="1133"/>
      <c r="AK101" s="1133"/>
      <c r="AL101" s="1133"/>
      <c r="AM101" s="1133"/>
      <c r="AN101" s="1133"/>
    </row>
    <row r="102" spans="1:43">
      <c r="A102" s="102" t="s">
        <v>1214</v>
      </c>
      <c r="B102" s="1527">
        <f t="shared" ref="B102:R102" si="138">B96+B97+B100+B101</f>
        <v>31.013999999999928</v>
      </c>
      <c r="C102" s="1527">
        <f t="shared" si="138"/>
        <v>148.92700000000005</v>
      </c>
      <c r="D102" s="1527">
        <f t="shared" si="138"/>
        <v>128.14800000000005</v>
      </c>
      <c r="E102" s="1527">
        <f t="shared" si="138"/>
        <v>154.60899999999998</v>
      </c>
      <c r="F102" s="1527">
        <f t="shared" si="138"/>
        <v>281.49800000000027</v>
      </c>
      <c r="G102" s="1527">
        <f t="shared" si="138"/>
        <v>222.17700000000085</v>
      </c>
      <c r="H102" s="1527">
        <f t="shared" si="138"/>
        <v>478.43499999999983</v>
      </c>
      <c r="I102" s="1527">
        <f t="shared" si="138"/>
        <v>128.779</v>
      </c>
      <c r="J102" s="1527">
        <f t="shared" si="138"/>
        <v>103.74800000000091</v>
      </c>
      <c r="K102" s="1527">
        <f t="shared" si="138"/>
        <v>151.22599999999855</v>
      </c>
      <c r="L102" s="1527">
        <f t="shared" si="138"/>
        <v>209.64400000000066</v>
      </c>
      <c r="M102" s="1527">
        <f t="shared" si="138"/>
        <v>366.56500000000062</v>
      </c>
      <c r="N102" s="1527">
        <f t="shared" si="138"/>
        <v>681.01300000000174</v>
      </c>
      <c r="O102" s="1527">
        <f t="shared" si="138"/>
        <v>666.66600000000255</v>
      </c>
      <c r="P102" s="1527">
        <f t="shared" si="138"/>
        <v>981.20599999999945</v>
      </c>
      <c r="Q102" s="1527">
        <f t="shared" si="138"/>
        <v>996.47199999999748</v>
      </c>
      <c r="R102" s="1527">
        <f t="shared" si="138"/>
        <v>1089.4689999999987</v>
      </c>
      <c r="S102" s="1527">
        <f t="shared" ref="S102:Z102" si="139">S67+S88+S92+S94+S97+S100+S101</f>
        <v>953.25299999999891</v>
      </c>
      <c r="T102" s="1527">
        <f>T67+T88+T92+T94+T97+T100+T101</f>
        <v>926.66999999999723</v>
      </c>
      <c r="U102" s="1527">
        <f t="shared" si="139"/>
        <v>-3186.0470000000023</v>
      </c>
      <c r="V102" s="1527">
        <f t="shared" si="139"/>
        <v>835.13</v>
      </c>
      <c r="W102" s="985">
        <f>W67+W88+W92+W94+W97+W100+W101</f>
        <v>1632.3349999999978</v>
      </c>
      <c r="X102" s="985">
        <f>X67+X88+X92+X94+X97+X100+X101</f>
        <v>2930.7289999999962</v>
      </c>
      <c r="Y102" s="1566">
        <f t="shared" si="139"/>
        <v>1123.5562842488389</v>
      </c>
      <c r="Z102" s="1566">
        <f t="shared" si="139"/>
        <v>1901.1917619047149</v>
      </c>
      <c r="AA102" s="1566">
        <f>AA67+AA88+AA92+AA94+AA97+AA100+AA101</f>
        <v>2805.9030071771958</v>
      </c>
      <c r="AB102" s="1566">
        <f>AB67+AB88+AB92+AB94+AB97+AB100+AB101</f>
        <v>3841.7683674160339</v>
      </c>
      <c r="AC102" s="1566">
        <f>AC67+AC88+AC92+AC94+AC97+AC100+AC101</f>
        <v>4060.716629850177</v>
      </c>
      <c r="AD102" s="1566">
        <f>AD67+AD88+AD92+AD94+AD97+AD100+AD101</f>
        <v>4382.4137503565798</v>
      </c>
      <c r="AE102" s="1566">
        <f>AE67+AE88+AE92+AE94+AE97+AE100+AE101</f>
        <v>4679.1784124621299</v>
      </c>
      <c r="AF102" s="1566">
        <f t="shared" ref="AF102:AH102" si="140">AF67+AF88+AF92+AF94+AF97+AF100+AF101</f>
        <v>4982.1373277645362</v>
      </c>
      <c r="AG102" s="1566">
        <f t="shared" si="140"/>
        <v>5276.6168806227606</v>
      </c>
      <c r="AH102" s="1566">
        <f t="shared" si="140"/>
        <v>5564.090206119824</v>
      </c>
      <c r="AI102" s="967"/>
      <c r="AJ102" s="1128">
        <f t="shared" ref="AJ102" si="141">IFERROR((U102/P102)^(1/5)-1,"NM")</f>
        <v>-2.2656056255837949</v>
      </c>
      <c r="AK102" s="1128">
        <f t="shared" ref="AK102" si="142">IFERROR((X102/U102)^(1/3)-1,"NM")</f>
        <v>-1.9725407954776022</v>
      </c>
      <c r="AL102" s="1128">
        <f t="shared" si="135"/>
        <v>0.58029770964558391</v>
      </c>
      <c r="AM102" s="1128">
        <f t="shared" ref="AM102" si="143">IFERROR((AD102/AA102)^(1/3)-1,"NM")</f>
        <v>0.16023752539801461</v>
      </c>
      <c r="AN102" s="1128">
        <f t="shared" ref="AN102" si="144">IFERROR((AH102/X102)^(1/10)-1,"NM")</f>
        <v>6.6207786996721474E-2</v>
      </c>
      <c r="AP102" s="92"/>
      <c r="AQ102" s="92"/>
    </row>
    <row r="103" spans="1:43">
      <c r="A103" s="720" t="s">
        <v>111</v>
      </c>
      <c r="B103" s="1528"/>
      <c r="C103" s="1528"/>
      <c r="D103" s="1528"/>
      <c r="E103" s="1528"/>
      <c r="F103" s="1528"/>
      <c r="G103" s="1528"/>
      <c r="H103" s="1528"/>
      <c r="I103" s="1528"/>
      <c r="J103" s="1528"/>
      <c r="K103" s="1528"/>
      <c r="L103" s="1528"/>
      <c r="M103" s="1528"/>
      <c r="N103" s="1528"/>
      <c r="O103" s="1528"/>
      <c r="P103" s="1528"/>
      <c r="Q103" s="1528"/>
      <c r="R103" s="1528"/>
      <c r="S103" s="1528"/>
      <c r="T103" s="1528"/>
      <c r="U103" s="1608"/>
      <c r="V103" s="1608"/>
      <c r="W103" s="1608">
        <f t="shared" ref="W103:AE103" si="145">W105</f>
        <v>0</v>
      </c>
      <c r="X103" s="1608">
        <f t="shared" ref="X103" si="146">X105</f>
        <v>0</v>
      </c>
      <c r="Y103" s="1608">
        <f t="shared" si="145"/>
        <v>0</v>
      </c>
      <c r="Z103" s="1608">
        <f t="shared" si="145"/>
        <v>0</v>
      </c>
      <c r="AA103" s="1608">
        <f t="shared" si="145"/>
        <v>0</v>
      </c>
      <c r="AB103" s="1608">
        <f t="shared" si="145"/>
        <v>0</v>
      </c>
      <c r="AC103" s="1608">
        <f t="shared" si="145"/>
        <v>0</v>
      </c>
      <c r="AD103" s="1608">
        <f t="shared" si="145"/>
        <v>0</v>
      </c>
      <c r="AE103" s="1608">
        <f t="shared" si="145"/>
        <v>0</v>
      </c>
      <c r="AF103" s="1608">
        <f t="shared" ref="AF103:AH103" si="147">AF105</f>
        <v>0</v>
      </c>
      <c r="AG103" s="1608">
        <f t="shared" si="147"/>
        <v>0</v>
      </c>
      <c r="AH103" s="1608">
        <f t="shared" si="147"/>
        <v>0</v>
      </c>
      <c r="AI103" s="967"/>
      <c r="AJ103" s="1264"/>
      <c r="AK103" s="1133"/>
      <c r="AL103" s="1133"/>
      <c r="AM103" s="1133"/>
      <c r="AN103" s="1133"/>
      <c r="AP103" s="92"/>
      <c r="AQ103" s="92"/>
    </row>
    <row r="104" spans="1:43" s="1209" customFormat="1" hidden="1" outlineLevel="1" collapsed="1">
      <c r="A104" s="1238" t="s">
        <v>1228</v>
      </c>
      <c r="B104" s="1521">
        <f>B69+B89+B93+B94+B97+B100+B101</f>
        <v>31.013999999999928</v>
      </c>
      <c r="C104" s="1521">
        <f>C69+C89+C93+C94+C97+C100+C101</f>
        <v>148.92700000000005</v>
      </c>
      <c r="D104" s="1521">
        <f>D69+D89+D93+D94+D97+D100+D101</f>
        <v>128.14800000000005</v>
      </c>
      <c r="E104" s="1521">
        <f t="shared" ref="E104:P104" si="148">E69+E89+E93+E94+E97+E100+E101</f>
        <v>154.60899999999998</v>
      </c>
      <c r="F104" s="1521">
        <f t="shared" si="148"/>
        <v>281.49800000000027</v>
      </c>
      <c r="G104" s="1521">
        <f t="shared" si="148"/>
        <v>222.17700000000085</v>
      </c>
      <c r="H104" s="1521">
        <f t="shared" si="148"/>
        <v>478.43499999999983</v>
      </c>
      <c r="I104" s="1521">
        <f t="shared" si="148"/>
        <v>128.779</v>
      </c>
      <c r="J104" s="1521">
        <f t="shared" si="148"/>
        <v>103.74799999999955</v>
      </c>
      <c r="K104" s="1521">
        <f t="shared" si="148"/>
        <v>151.22599999999991</v>
      </c>
      <c r="L104" s="1521">
        <f t="shared" si="148"/>
        <v>209.64400000000043</v>
      </c>
      <c r="M104" s="1521">
        <f t="shared" si="148"/>
        <v>366.56499999999949</v>
      </c>
      <c r="N104" s="1521">
        <f t="shared" si="148"/>
        <v>681.01300000000037</v>
      </c>
      <c r="O104" s="1521">
        <f t="shared" si="148"/>
        <v>666.66600000000028</v>
      </c>
      <c r="P104" s="1521">
        <f t="shared" si="148"/>
        <v>981.20600000000036</v>
      </c>
      <c r="Q104" s="1521">
        <f>Q69+Q89+Q93+Q94+Q97+Q100+Q101</f>
        <v>996.4719999999993</v>
      </c>
      <c r="R104" s="1521">
        <f>R69+R89+R93+R94+R97+R100+R101</f>
        <v>1089.4689999999996</v>
      </c>
      <c r="S104" s="1521">
        <f>S69+S89+S93+S94+S97+S100+S101</f>
        <v>953.25299999999891</v>
      </c>
      <c r="T104" s="1521">
        <f>T69+T89+T93+T94+T97+T100+T101</f>
        <v>764.41399999999817</v>
      </c>
      <c r="U104" s="1521">
        <f t="shared" ref="U104:V104" si="149">U69+U89+U93+U94+U97+U100+U101</f>
        <v>-3708.2140000000018</v>
      </c>
      <c r="V104" s="1521">
        <f t="shared" si="149"/>
        <v>487.88700000000063</v>
      </c>
      <c r="W104" s="1521">
        <f>W69+W89+W93+W94+W97+W100+W101-42.788</f>
        <v>1661.8799999999978</v>
      </c>
      <c r="X104" s="1521">
        <f>X69+X89+X93+X94+X97+X100+X101</f>
        <v>2789.8959999999984</v>
      </c>
      <c r="Y104" s="1521">
        <f>(Y69+Y89+Y93+Y94)*(1+Y98)+Y100+Y101</f>
        <v>1470.1095128853174</v>
      </c>
      <c r="Z104" s="1521">
        <f>(Z69+Z89+Z93+Z94)*(1+Z98)+Z100+Z101</f>
        <v>2206.4215808847589</v>
      </c>
      <c r="AA104" s="1521">
        <f t="shared" ref="AA104:AH104" si="150">(AA69+AA89+AA93+AA94)*(1+AA98)+AA100+AA101</f>
        <v>2961.1514315840727</v>
      </c>
      <c r="AB104" s="1521">
        <f t="shared" si="150"/>
        <v>3927.9744766787521</v>
      </c>
      <c r="AC104" s="1521">
        <f t="shared" si="150"/>
        <v>4007.5278713047765</v>
      </c>
      <c r="AD104" s="1521">
        <f t="shared" si="150"/>
        <v>4210.2918261039576</v>
      </c>
      <c r="AE104" s="1521">
        <f t="shared" si="150"/>
        <v>4408.1817716455425</v>
      </c>
      <c r="AF104" s="1521">
        <f t="shared" si="150"/>
        <v>4620.3360199047202</v>
      </c>
      <c r="AG104" s="1521">
        <f t="shared" si="150"/>
        <v>4834.3112055944102</v>
      </c>
      <c r="AH104" s="1521">
        <f t="shared" si="150"/>
        <v>5049.8683224373053</v>
      </c>
      <c r="AI104" s="1518"/>
      <c r="AJ104" s="1128">
        <f t="shared" ref="AJ104" si="151">IFERROR((U104/P104)^(1/5)-1,"NM")</f>
        <v>-2.3046106478878299</v>
      </c>
      <c r="AK104" s="1128">
        <f t="shared" ref="AK104" si="152">IFERROR((X104/U104)^(1/3)-1,"NM")</f>
        <v>-1.9095105512112025</v>
      </c>
      <c r="AL104" s="1128">
        <f t="shared" si="135"/>
        <v>0.41923876465003707</v>
      </c>
      <c r="AM104" s="1128">
        <f t="shared" ref="AM104" si="153">IFERROR((AD104/AA104)^(1/3)-1,"NM")</f>
        <v>0.12447687135379781</v>
      </c>
      <c r="AN104" s="1128">
        <f t="shared" ref="AN104" si="154">IFERROR((AH104/X104)^(1/10)-1,"NM")</f>
        <v>6.1131492860125869E-2</v>
      </c>
    </row>
    <row r="105" spans="1:43" s="1209" customFormat="1" hidden="1" outlineLevel="1">
      <c r="A105" s="1239" t="s">
        <v>1229</v>
      </c>
      <c r="B105" s="1609">
        <v>0</v>
      </c>
      <c r="C105" s="1609">
        <v>0</v>
      </c>
      <c r="D105" s="1609">
        <v>0</v>
      </c>
      <c r="E105" s="1609">
        <v>0</v>
      </c>
      <c r="F105" s="1609">
        <v>0</v>
      </c>
      <c r="G105" s="1609">
        <v>0</v>
      </c>
      <c r="H105" s="1609">
        <v>0</v>
      </c>
      <c r="I105" s="1609">
        <v>0</v>
      </c>
      <c r="J105" s="1609">
        <f>SUM(Q_Financials!B52:E52)</f>
        <v>0</v>
      </c>
      <c r="K105" s="1529">
        <f>SUM(Q_Financials!F52:I52)</f>
        <v>0</v>
      </c>
      <c r="L105" s="1529">
        <f>SUM(Q_Financials!J52:M52)</f>
        <v>0</v>
      </c>
      <c r="M105" s="1529">
        <f>SUM(Q_Financials!N52:Q52)</f>
        <v>0</v>
      </c>
      <c r="N105" s="1529">
        <f>SUM(Q_Financials!R52:U52)</f>
        <v>0</v>
      </c>
      <c r="O105" s="1529">
        <f>SUM(Q_Financials!V52:Y52)</f>
        <v>0</v>
      </c>
      <c r="P105" s="1529">
        <f>SUM(Q_Financials!Z52:AC52)</f>
        <v>0</v>
      </c>
      <c r="Q105" s="1529">
        <f>SUM(Q_Financials!AD52:AG52)</f>
        <v>0</v>
      </c>
      <c r="R105" s="1529">
        <f>SUM(Q_Financials!AH52:AK52)</f>
        <v>0</v>
      </c>
      <c r="S105" s="1529">
        <f>SUM(Q_Financials!AL52:AO52)</f>
        <v>0</v>
      </c>
      <c r="T105" s="1529">
        <f>SUM(Q_Financials!AP52:AS52)</f>
        <v>0</v>
      </c>
      <c r="U105" s="1529">
        <f>SUM(Q_Financials!AT52:AW52)</f>
        <v>0</v>
      </c>
      <c r="V105" s="1529">
        <f>SUM(Q_Financials!AX52:BA52)</f>
        <v>0</v>
      </c>
      <c r="W105" s="1529">
        <f>SUM(Q_Financials!BB52:BE52)</f>
        <v>0</v>
      </c>
      <c r="X105" s="1529">
        <f>SUM(Q_Financials!BF52:BI52)</f>
        <v>0</v>
      </c>
      <c r="Y105" s="1529">
        <f>SUM(Q_Financials!BJ52:BM52)</f>
        <v>0</v>
      </c>
      <c r="Z105" s="1529">
        <f>SUM(Q_Financials!BN52:BQ52)</f>
        <v>0</v>
      </c>
      <c r="AA105" s="1529">
        <f>SUM(Q_Financials!BR52:BU52)</f>
        <v>0</v>
      </c>
      <c r="AB105" s="1529">
        <f>SUM(Q_Financials!BV52:BY52)</f>
        <v>0</v>
      </c>
      <c r="AC105" s="1529">
        <f>SUM(Q_Financials!BZ52:CC52)</f>
        <v>0</v>
      </c>
      <c r="AD105" s="1529">
        <f>SUM(Q_Financials!CD52:CG52)</f>
        <v>0</v>
      </c>
      <c r="AE105" s="1529">
        <f>SUM(Q_Financials!CH52:CK52)</f>
        <v>0</v>
      </c>
      <c r="AF105" s="1529">
        <f>SUM(Q_Financials!CL52:CO52)</f>
        <v>0</v>
      </c>
      <c r="AG105" s="1529">
        <f>SUM(Q_Financials!CP52:CS52)</f>
        <v>0</v>
      </c>
      <c r="AH105" s="1529">
        <f>SUM(Q_Financials!CT52:CW52)</f>
        <v>0</v>
      </c>
      <c r="AI105" s="1610"/>
      <c r="AJ105" s="1262"/>
      <c r="AK105" s="1243"/>
      <c r="AL105" s="1243"/>
      <c r="AM105" s="1243"/>
      <c r="AN105" s="1243"/>
      <c r="AP105" s="92"/>
      <c r="AQ105" s="2053"/>
    </row>
    <row r="106" spans="1:43" s="13" customFormat="1" hidden="1" outlineLevel="1">
      <c r="A106" s="1779" t="s">
        <v>639</v>
      </c>
      <c r="B106" s="1762">
        <f t="shared" ref="B106:R106" si="155">B96+B97+B103+B101+B100</f>
        <v>31.013999999999928</v>
      </c>
      <c r="C106" s="1762">
        <f t="shared" si="155"/>
        <v>148.92700000000005</v>
      </c>
      <c r="D106" s="1762">
        <f t="shared" si="155"/>
        <v>128.14800000000005</v>
      </c>
      <c r="E106" s="1762">
        <f t="shared" si="155"/>
        <v>154.60900000000004</v>
      </c>
      <c r="F106" s="1762">
        <f t="shared" si="155"/>
        <v>281.49800000000027</v>
      </c>
      <c r="G106" s="1762">
        <f t="shared" si="155"/>
        <v>222.17700000000085</v>
      </c>
      <c r="H106" s="1762">
        <f t="shared" si="155"/>
        <v>478.43499999999983</v>
      </c>
      <c r="I106" s="1762">
        <f t="shared" si="155"/>
        <v>128.779</v>
      </c>
      <c r="J106" s="1762">
        <f t="shared" si="155"/>
        <v>103.74800000000091</v>
      </c>
      <c r="K106" s="1780">
        <f t="shared" si="155"/>
        <v>151.22599999999855</v>
      </c>
      <c r="L106" s="1780">
        <f t="shared" si="155"/>
        <v>209.64400000000063</v>
      </c>
      <c r="M106" s="1780">
        <f t="shared" si="155"/>
        <v>366.56500000000062</v>
      </c>
      <c r="N106" s="1780">
        <f t="shared" si="155"/>
        <v>681.01300000000174</v>
      </c>
      <c r="O106" s="1780">
        <f t="shared" si="155"/>
        <v>666.66600000000255</v>
      </c>
      <c r="P106" s="1780">
        <f t="shared" si="155"/>
        <v>981.20599999999945</v>
      </c>
      <c r="Q106" s="1780">
        <f t="shared" si="155"/>
        <v>996.47199999999748</v>
      </c>
      <c r="R106" s="1780">
        <f t="shared" si="155"/>
        <v>1089.4689999999987</v>
      </c>
      <c r="S106" s="1762">
        <f t="shared" ref="S106:W106" si="156">S67+S88+S92+S94+S97+S100+S101+S103</f>
        <v>953.25299999999891</v>
      </c>
      <c r="T106" s="1762">
        <f>T67+T88+T92+T94+T97+T100+T101+T103</f>
        <v>926.66999999999723</v>
      </c>
      <c r="U106" s="1762">
        <f>U67+U88+U92+U94+U97+U100+U101+U103</f>
        <v>-3186.0470000000023</v>
      </c>
      <c r="V106" s="1762">
        <f>V67+V88+V92+V94+V97+V100+V101+V103</f>
        <v>835.13</v>
      </c>
      <c r="W106" s="1762">
        <f t="shared" si="156"/>
        <v>1632.3349999999978</v>
      </c>
      <c r="X106" s="1762">
        <f t="shared" ref="X106" si="157">X67+X88+X92+X94+X97+X100+X101+X103</f>
        <v>2930.7289999999962</v>
      </c>
      <c r="Y106" s="1763">
        <f>Y67+Y88+Y92+Y94+Y97+Y100+Y101-Y103</f>
        <v>1123.5562842488389</v>
      </c>
      <c r="Z106" s="1763">
        <f t="shared" ref="Z106:AH106" si="158">Z67+Z88+Z92+Z94+Z97+Z100+Z101-Z103</f>
        <v>1901.1917619047149</v>
      </c>
      <c r="AA106" s="1763">
        <f t="shared" si="158"/>
        <v>2805.9030071771958</v>
      </c>
      <c r="AB106" s="1763">
        <f t="shared" si="158"/>
        <v>3841.7683674160339</v>
      </c>
      <c r="AC106" s="1763">
        <f t="shared" si="158"/>
        <v>4060.716629850177</v>
      </c>
      <c r="AD106" s="1763">
        <f t="shared" si="158"/>
        <v>4382.4137503565798</v>
      </c>
      <c r="AE106" s="1763">
        <f t="shared" si="158"/>
        <v>4679.1784124621299</v>
      </c>
      <c r="AF106" s="1763">
        <f t="shared" si="158"/>
        <v>4982.1373277645362</v>
      </c>
      <c r="AG106" s="1763">
        <f t="shared" si="158"/>
        <v>5276.6168806227606</v>
      </c>
      <c r="AH106" s="1763">
        <f t="shared" si="158"/>
        <v>5564.090206119824</v>
      </c>
      <c r="AI106" s="1611"/>
      <c r="AJ106" s="1128">
        <f t="shared" ref="AJ106" si="159">IFERROR((U106/P106)^(1/5)-1,"NM")</f>
        <v>-2.2656056255837949</v>
      </c>
      <c r="AK106" s="1128">
        <f t="shared" ref="AK106" si="160">IFERROR((X106/U106)^(1/3)-1,"NM")</f>
        <v>-1.9725407954776022</v>
      </c>
      <c r="AL106" s="1128">
        <f t="shared" si="135"/>
        <v>0.58029770964558391</v>
      </c>
      <c r="AM106" s="1128">
        <f t="shared" ref="AM106" si="161">IFERROR((AD106/AA106)^(1/3)-1,"NM")</f>
        <v>0.16023752539801461</v>
      </c>
      <c r="AN106" s="1128">
        <f t="shared" ref="AN106" si="162">IFERROR((AH106/X106)^(1/10)-1,"NM")</f>
        <v>6.6207786996721474E-2</v>
      </c>
      <c r="AP106" s="92"/>
      <c r="AQ106" s="170"/>
    </row>
    <row r="107" spans="1:43" hidden="1" outlineLevel="1">
      <c r="A107" s="1781" t="s">
        <v>598</v>
      </c>
      <c r="B107" s="1517">
        <f t="shared" ref="B107:Z107" si="163">B106/B36</f>
        <v>1.2532661131616754E-2</v>
      </c>
      <c r="C107" s="1517">
        <f t="shared" si="163"/>
        <v>5.6671141695548884E-2</v>
      </c>
      <c r="D107" s="1517">
        <f t="shared" si="163"/>
        <v>4.4627686452787092E-2</v>
      </c>
      <c r="E107" s="1517">
        <f t="shared" si="163"/>
        <v>4.1689384170928399E-2</v>
      </c>
      <c r="F107" s="1517">
        <f t="shared" si="163"/>
        <v>6.03386706106789E-2</v>
      </c>
      <c r="G107" s="1517">
        <f t="shared" si="163"/>
        <v>3.6867014776873534E-2</v>
      </c>
      <c r="H107" s="1517">
        <f t="shared" si="163"/>
        <v>6.8490679778961908E-2</v>
      </c>
      <c r="I107" s="1517">
        <f t="shared" si="163"/>
        <v>1.6538024459976913E-2</v>
      </c>
      <c r="J107" s="1517">
        <f t="shared" si="163"/>
        <v>1.2081870428379667E-2</v>
      </c>
      <c r="K107" s="1517">
        <f t="shared" si="163"/>
        <v>1.6837611786083142E-2</v>
      </c>
      <c r="L107" s="1517">
        <f t="shared" si="163"/>
        <v>1.9599300855681501E-2</v>
      </c>
      <c r="M107" s="1517">
        <f t="shared" si="163"/>
        <v>2.7113772515326595E-2</v>
      </c>
      <c r="N107" s="1517">
        <f t="shared" si="163"/>
        <v>4.3341661010401593E-2</v>
      </c>
      <c r="O107" s="1517">
        <f t="shared" si="163"/>
        <v>2.9239409822390254E-2</v>
      </c>
      <c r="P107" s="1517">
        <f t="shared" si="163"/>
        <v>3.0388830952662326E-2</v>
      </c>
      <c r="Q107" s="1517">
        <f t="shared" si="163"/>
        <v>2.643030914092391E-2</v>
      </c>
      <c r="R107" s="1517">
        <f t="shared" si="163"/>
        <v>2.5617011929308361E-2</v>
      </c>
      <c r="S107" s="1517">
        <f t="shared" si="163"/>
        <v>2.0652586756244606E-2</v>
      </c>
      <c r="T107" s="1517">
        <f>T106/T36</f>
        <v>1.5934589821661412E-2</v>
      </c>
      <c r="U107" s="1782">
        <f t="shared" si="163"/>
        <v>-8.276431541114028E-2</v>
      </c>
      <c r="V107" s="1782">
        <f t="shared" si="163"/>
        <v>1.5645153757524264E-2</v>
      </c>
      <c r="W107" s="1782">
        <f t="shared" si="163"/>
        <v>2.3715008744930779E-2</v>
      </c>
      <c r="X107" s="1782">
        <f t="shared" ref="X107" si="164">X106/X36</f>
        <v>3.8445345786142102E-2</v>
      </c>
      <c r="Y107" s="1782">
        <f t="shared" si="163"/>
        <v>1.4303884297680607E-2</v>
      </c>
      <c r="Z107" s="1782">
        <f t="shared" si="163"/>
        <v>2.2106627944091795E-2</v>
      </c>
      <c r="AA107" s="1782">
        <f>AA106/AA36</f>
        <v>3.0544754549495394E-2</v>
      </c>
      <c r="AB107" s="1782">
        <f>AB106/AB36</f>
        <v>3.9490798853919803E-2</v>
      </c>
      <c r="AC107" s="1782">
        <f>AC106/AC36</f>
        <v>3.9651586162195267E-2</v>
      </c>
      <c r="AD107" s="1782">
        <f>AD106/AD36</f>
        <v>4.0659701374145318E-2</v>
      </c>
      <c r="AE107" s="1782">
        <f>AE106/AE36</f>
        <v>4.130061162426172E-2</v>
      </c>
      <c r="AF107" s="1782">
        <f t="shared" ref="AF107:AH107" si="165">AF106/AF36</f>
        <v>4.1888755825222161E-2</v>
      </c>
      <c r="AG107" s="1782">
        <f t="shared" si="165"/>
        <v>4.2264445428759456E-2</v>
      </c>
      <c r="AH107" s="1782">
        <f t="shared" si="165"/>
        <v>4.2468652200359856E-2</v>
      </c>
      <c r="AI107" s="1612"/>
      <c r="AJ107" s="1260"/>
    </row>
    <row r="108" spans="1:43" s="1209" customFormat="1" hidden="1" outlineLevel="1">
      <c r="A108" s="1238" t="s">
        <v>1226</v>
      </c>
      <c r="B108" s="1521">
        <f t="shared" ref="B108:R108" si="166">B96+B97+B105+B101+B100</f>
        <v>31.013999999999928</v>
      </c>
      <c r="C108" s="1521">
        <f t="shared" si="166"/>
        <v>148.92700000000005</v>
      </c>
      <c r="D108" s="1521">
        <f t="shared" si="166"/>
        <v>128.14800000000005</v>
      </c>
      <c r="E108" s="1521">
        <f t="shared" si="166"/>
        <v>154.60900000000004</v>
      </c>
      <c r="F108" s="1521">
        <f t="shared" si="166"/>
        <v>281.49800000000027</v>
      </c>
      <c r="G108" s="1521">
        <f t="shared" si="166"/>
        <v>222.17700000000085</v>
      </c>
      <c r="H108" s="1521">
        <f t="shared" si="166"/>
        <v>478.43499999999983</v>
      </c>
      <c r="I108" s="1521">
        <f t="shared" si="166"/>
        <v>128.779</v>
      </c>
      <c r="J108" s="1521">
        <f t="shared" si="166"/>
        <v>103.74800000000091</v>
      </c>
      <c r="K108" s="1521">
        <f t="shared" si="166"/>
        <v>151.22599999999855</v>
      </c>
      <c r="L108" s="1521">
        <f t="shared" si="166"/>
        <v>209.64400000000063</v>
      </c>
      <c r="M108" s="1521">
        <f t="shared" si="166"/>
        <v>366.56500000000062</v>
      </c>
      <c r="N108" s="1521">
        <f t="shared" si="166"/>
        <v>681.01300000000174</v>
      </c>
      <c r="O108" s="1521">
        <f t="shared" si="166"/>
        <v>666.66600000000255</v>
      </c>
      <c r="P108" s="1521">
        <f t="shared" si="166"/>
        <v>981.20599999999945</v>
      </c>
      <c r="Q108" s="1521">
        <f t="shared" si="166"/>
        <v>996.47199999999748</v>
      </c>
      <c r="R108" s="1521">
        <f t="shared" si="166"/>
        <v>1089.4689999999987</v>
      </c>
      <c r="S108" s="1521">
        <f>S69+S89+S93+S97+S100+S101+S105</f>
        <v>953.25299999999891</v>
      </c>
      <c r="T108" s="1521">
        <f>+T104+T105</f>
        <v>764.41399999999817</v>
      </c>
      <c r="U108" s="1521">
        <f t="shared" ref="U108:V108" si="167">U69+U89+U93+U94+U97+U100+U101+U105</f>
        <v>-3708.2140000000018</v>
      </c>
      <c r="V108" s="1521">
        <f t="shared" si="167"/>
        <v>487.88700000000063</v>
      </c>
      <c r="W108" s="1521">
        <f>W69+W89+W93+W94+W97+W100+W101+W105-42.788</f>
        <v>1661.8799999999978</v>
      </c>
      <c r="X108" s="1521">
        <f>X69+X89+X93+X94+X97+X100+X101+X105</f>
        <v>2789.8959999999984</v>
      </c>
      <c r="Y108" s="1521">
        <f>Y69+Y89+Y93+Y94+Y97+Y100+Y101-Y105</f>
        <v>1644.5019874433028</v>
      </c>
      <c r="Z108" s="1521">
        <f t="shared" ref="Z108:AH108" si="168">Z69+Z89+Z93+Z94+Z97+Z100+Z101-Z105</f>
        <v>2363.6611846017609</v>
      </c>
      <c r="AA108" s="1521">
        <f t="shared" si="168"/>
        <v>3041.1278926421564</v>
      </c>
      <c r="AB108" s="1521">
        <f t="shared" si="168"/>
        <v>3972.3836844807579</v>
      </c>
      <c r="AC108" s="1521">
        <f t="shared" si="168"/>
        <v>3980.1276017510818</v>
      </c>
      <c r="AD108" s="1521">
        <f t="shared" si="168"/>
        <v>4121.62295603443</v>
      </c>
      <c r="AE108" s="1521">
        <f t="shared" si="168"/>
        <v>4268.5774415279102</v>
      </c>
      <c r="AF108" s="1521">
        <f t="shared" si="168"/>
        <v>4433.9535279769352</v>
      </c>
      <c r="AG108" s="1521">
        <f t="shared" si="168"/>
        <v>4606.4567669434437</v>
      </c>
      <c r="AH108" s="1521">
        <f t="shared" si="168"/>
        <v>4784.9661399341976</v>
      </c>
      <c r="AI108" s="1613"/>
      <c r="AJ108" s="1261">
        <f t="shared" ref="AJ108" si="169">IFERROR((U108/P108)^(1/5)-1,"NM")</f>
        <v>-2.3046106478878299</v>
      </c>
      <c r="AK108" s="1261">
        <f>IFERROR((X108/U108)^(1/3)-1,"NM")</f>
        <v>-1.9095105512112025</v>
      </c>
      <c r="AL108" s="1261">
        <f t="shared" si="135"/>
        <v>0.35987860450352849</v>
      </c>
      <c r="AM108" s="1261">
        <f>IFERROR((AD108/AA108)^(1/3)-1,"NM")</f>
        <v>0.1066523023950563</v>
      </c>
      <c r="AN108" s="1261">
        <f>IFERROR((AH108/X108)^(1/10)-1,"NM")</f>
        <v>5.5429151557334633E-2</v>
      </c>
      <c r="AP108" s="92"/>
      <c r="AQ108" s="2053"/>
    </row>
    <row r="109" spans="1:43" s="1209" customFormat="1" hidden="1" outlineLevel="1">
      <c r="A109" s="1240" t="s">
        <v>1227</v>
      </c>
      <c r="B109" s="1530">
        <f t="shared" ref="B109:Z109" si="170">B108/B36</f>
        <v>1.2532661131616754E-2</v>
      </c>
      <c r="C109" s="1530">
        <f t="shared" si="170"/>
        <v>5.6671141695548884E-2</v>
      </c>
      <c r="D109" s="1530">
        <f t="shared" si="170"/>
        <v>4.4627686452787092E-2</v>
      </c>
      <c r="E109" s="1530">
        <f t="shared" si="170"/>
        <v>4.1689384170928399E-2</v>
      </c>
      <c r="F109" s="1530">
        <f t="shared" si="170"/>
        <v>6.03386706106789E-2</v>
      </c>
      <c r="G109" s="1530">
        <f t="shared" si="170"/>
        <v>3.6867014776873534E-2</v>
      </c>
      <c r="H109" s="1530">
        <f t="shared" si="170"/>
        <v>6.8490679778961908E-2</v>
      </c>
      <c r="I109" s="1530">
        <f t="shared" si="170"/>
        <v>1.6538024459976913E-2</v>
      </c>
      <c r="J109" s="1530">
        <f t="shared" si="170"/>
        <v>1.2081870428379667E-2</v>
      </c>
      <c r="K109" s="1530">
        <f t="shared" si="170"/>
        <v>1.6837611786083142E-2</v>
      </c>
      <c r="L109" s="1530">
        <f t="shared" si="170"/>
        <v>1.9599300855681501E-2</v>
      </c>
      <c r="M109" s="1530">
        <f t="shared" si="170"/>
        <v>2.7113772515326595E-2</v>
      </c>
      <c r="N109" s="1530">
        <f t="shared" si="170"/>
        <v>4.3341661010401593E-2</v>
      </c>
      <c r="O109" s="1530">
        <f t="shared" si="170"/>
        <v>2.9239409822390254E-2</v>
      </c>
      <c r="P109" s="1530">
        <f t="shared" si="170"/>
        <v>3.0388830952662326E-2</v>
      </c>
      <c r="Q109" s="1530">
        <f t="shared" si="170"/>
        <v>2.643030914092391E-2</v>
      </c>
      <c r="R109" s="1530">
        <f t="shared" si="170"/>
        <v>2.5617011929308361E-2</v>
      </c>
      <c r="S109" s="1530">
        <f t="shared" si="170"/>
        <v>2.0652586756244606E-2</v>
      </c>
      <c r="T109" s="1530">
        <f>T108/T36</f>
        <v>1.3144510498813485E-2</v>
      </c>
      <c r="U109" s="1530">
        <f t="shared" si="170"/>
        <v>-9.632870861855021E-2</v>
      </c>
      <c r="V109" s="1530">
        <f t="shared" si="170"/>
        <v>9.1399747719483806E-3</v>
      </c>
      <c r="W109" s="1530">
        <f t="shared" si="170"/>
        <v>2.4144246575014051E-2</v>
      </c>
      <c r="X109" s="1530">
        <f t="shared" ref="X109" si="171">X108/X36</f>
        <v>3.6597896437157711E-2</v>
      </c>
      <c r="Y109" s="1530">
        <f t="shared" si="170"/>
        <v>2.0935992691653284E-2</v>
      </c>
      <c r="Z109" s="1530">
        <f t="shared" si="170"/>
        <v>2.7484117825933033E-2</v>
      </c>
      <c r="AA109" s="1530">
        <f>AA108/AA36</f>
        <v>3.3105387034681882E-2</v>
      </c>
      <c r="AB109" s="1530">
        <f>AB108/AB36</f>
        <v>4.0833436597827642E-2</v>
      </c>
      <c r="AC109" s="1530">
        <f>AC108/AC36</f>
        <v>3.8864660335382092E-2</v>
      </c>
      <c r="AD109" s="1530">
        <f>AD108/AD36</f>
        <v>3.8240104224651621E-2</v>
      </c>
      <c r="AE109" s="1530">
        <f>AE108/AE36</f>
        <v>3.767645589898861E-2</v>
      </c>
      <c r="AF109" s="1530">
        <f t="shared" ref="AF109:AH109" si="172">AF108/AF36</f>
        <v>3.727974249901813E-2</v>
      </c>
      <c r="AG109" s="1530">
        <f t="shared" si="172"/>
        <v>3.6896622409971734E-2</v>
      </c>
      <c r="AH109" s="1530">
        <f t="shared" si="172"/>
        <v>3.6521885026927915E-2</v>
      </c>
      <c r="AI109" s="1613"/>
      <c r="AJ109" s="1262"/>
      <c r="AK109" s="1243"/>
      <c r="AL109" s="1128"/>
      <c r="AM109" s="1243"/>
      <c r="AN109" s="1243"/>
      <c r="AP109" s="92"/>
      <c r="AQ109" s="92"/>
    </row>
    <row r="110" spans="1:43" collapsed="1">
      <c r="A110" s="103"/>
      <c r="B110" s="1531"/>
      <c r="C110" s="1531"/>
      <c r="D110" s="1531"/>
      <c r="E110" s="1531"/>
      <c r="F110" s="1531"/>
      <c r="G110" s="1531"/>
      <c r="H110" s="1531"/>
      <c r="I110" s="1531"/>
      <c r="J110" s="1531"/>
      <c r="K110" s="1531"/>
      <c r="L110" s="1531"/>
      <c r="M110" s="1531"/>
      <c r="N110" s="1531"/>
      <c r="O110" s="1531"/>
      <c r="P110" s="1531"/>
      <c r="Q110" s="1531"/>
      <c r="R110" s="1531"/>
      <c r="S110" s="1531"/>
      <c r="T110" s="1531"/>
      <c r="U110" s="1531"/>
      <c r="V110" s="1531"/>
      <c r="W110" s="1531"/>
      <c r="X110" s="1531"/>
      <c r="Y110" s="1531"/>
      <c r="Z110" s="1531"/>
      <c r="AA110" s="1531"/>
      <c r="AB110" s="1531"/>
      <c r="AC110" s="1531"/>
      <c r="AD110" s="1531"/>
      <c r="AE110" s="1531"/>
      <c r="AF110" s="1531"/>
      <c r="AG110" s="1531"/>
      <c r="AH110" s="1531"/>
      <c r="AI110" s="1536"/>
      <c r="AJ110" s="508"/>
      <c r="AK110" s="1133"/>
      <c r="AL110" s="1128"/>
      <c r="AM110" s="1133"/>
      <c r="AN110" s="1133"/>
      <c r="AP110" s="92"/>
      <c r="AQ110" s="92"/>
    </row>
    <row r="111" spans="1:43">
      <c r="A111" s="105" t="s">
        <v>591</v>
      </c>
      <c r="B111" s="106"/>
      <c r="C111" s="106"/>
      <c r="D111" s="106">
        <v>467.2</v>
      </c>
      <c r="E111" s="967">
        <v>496.8</v>
      </c>
      <c r="F111" s="967">
        <v>546.4</v>
      </c>
      <c r="G111" s="967">
        <v>623.20000000000005</v>
      </c>
      <c r="H111" s="967">
        <v>618.79999999999995</v>
      </c>
      <c r="I111" s="967">
        <v>618</v>
      </c>
      <c r="J111" s="106">
        <f>Q_Financials!E60</f>
        <v>601.79999999999995</v>
      </c>
      <c r="K111" s="106">
        <f>Q_Financials!I60</f>
        <v>605.20000000000005</v>
      </c>
      <c r="L111" s="967">
        <f>Q_Financials!M60</f>
        <v>606</v>
      </c>
      <c r="M111" s="967">
        <f>Q_Financials!Q60</f>
        <v>687.8</v>
      </c>
      <c r="N111" s="967">
        <f>Q_Financials!U60</f>
        <v>687.8</v>
      </c>
      <c r="O111" s="967">
        <f>Q_Financials!Y60</f>
        <v>837.6</v>
      </c>
      <c r="P111" s="967">
        <f>Q_Financials!AC60</f>
        <v>837.5</v>
      </c>
      <c r="Q111" s="967">
        <f>Q_Financials!AG60</f>
        <v>834.3</v>
      </c>
      <c r="R111" s="967">
        <f>Q_Financials!AK60</f>
        <v>832.8</v>
      </c>
      <c r="S111" s="967">
        <f>Q_Financials!AO60</f>
        <v>835.6</v>
      </c>
      <c r="T111" s="967">
        <f>Q_Financials!AS60</f>
        <v>838.5</v>
      </c>
      <c r="U111" s="967">
        <f>Q_Financials!AW60</f>
        <v>838.5</v>
      </c>
      <c r="V111" s="967">
        <f>Q_Financials!BA60</f>
        <v>838.6</v>
      </c>
      <c r="W111" s="967">
        <f>Q_Financials!BE60</f>
        <v>820</v>
      </c>
      <c r="X111" s="967">
        <f>Q_Financials!BI60</f>
        <v>809.7</v>
      </c>
      <c r="Y111" s="1397">
        <f>Q_Financials!BM60</f>
        <v>815</v>
      </c>
      <c r="Z111" s="1397">
        <f>Q_Financials!BQ60</f>
        <v>815</v>
      </c>
      <c r="AA111" s="1397">
        <f>Q_Financials!BU60</f>
        <v>815</v>
      </c>
      <c r="AB111" s="1397">
        <f>Q_Financials!BY60</f>
        <v>815</v>
      </c>
      <c r="AC111" s="1397">
        <f>Q_Financials!CC60</f>
        <v>815</v>
      </c>
      <c r="AD111" s="1397">
        <f>Q_Financials!CG60</f>
        <v>815</v>
      </c>
      <c r="AE111" s="1397">
        <f>Q_Financials!CK60</f>
        <v>815</v>
      </c>
      <c r="AF111" s="1397">
        <f>Q_Financials!CO60</f>
        <v>815</v>
      </c>
      <c r="AG111" s="1397">
        <f>Q_Financials!CS60</f>
        <v>815</v>
      </c>
      <c r="AH111" s="1397">
        <f>Q_Financials!CW60</f>
        <v>815</v>
      </c>
      <c r="AI111" s="967"/>
      <c r="AJ111" s="508"/>
      <c r="AK111" s="1133"/>
      <c r="AL111" s="1128"/>
      <c r="AM111" s="1133"/>
      <c r="AN111" s="1133"/>
      <c r="AP111" s="92"/>
      <c r="AQ111" s="92"/>
    </row>
    <row r="112" spans="1:43" hidden="1" outlineLevel="1">
      <c r="A112" s="107" t="s">
        <v>592</v>
      </c>
      <c r="B112" s="106"/>
      <c r="C112" s="106"/>
      <c r="D112" s="106" t="s">
        <v>750</v>
      </c>
      <c r="E112" s="106" t="s">
        <v>750</v>
      </c>
      <c r="F112" s="106" t="s">
        <v>750</v>
      </c>
      <c r="G112" s="106" t="s">
        <v>750</v>
      </c>
      <c r="H112" s="106" t="s">
        <v>750</v>
      </c>
      <c r="I112" s="106" t="s">
        <v>750</v>
      </c>
      <c r="J112" s="106" t="s">
        <v>750</v>
      </c>
      <c r="K112" s="106">
        <f t="shared" ref="K112:AE112" si="173">AVERAGE(J111:K111)</f>
        <v>603.5</v>
      </c>
      <c r="L112" s="438">
        <f t="shared" si="173"/>
        <v>605.6</v>
      </c>
      <c r="M112" s="438">
        <f t="shared" si="173"/>
        <v>646.9</v>
      </c>
      <c r="N112" s="438">
        <f t="shared" si="173"/>
        <v>687.8</v>
      </c>
      <c r="O112" s="438">
        <f t="shared" si="173"/>
        <v>762.7</v>
      </c>
      <c r="P112" s="438">
        <f t="shared" si="173"/>
        <v>837.55</v>
      </c>
      <c r="Q112" s="438">
        <f t="shared" si="173"/>
        <v>835.9</v>
      </c>
      <c r="R112" s="438">
        <f t="shared" si="173"/>
        <v>833.55</v>
      </c>
      <c r="S112" s="438">
        <f t="shared" si="173"/>
        <v>834.2</v>
      </c>
      <c r="T112" s="438">
        <f t="shared" si="173"/>
        <v>837.05</v>
      </c>
      <c r="U112" s="438">
        <f t="shared" si="173"/>
        <v>838.5</v>
      </c>
      <c r="V112" s="438">
        <f t="shared" si="173"/>
        <v>838.55</v>
      </c>
      <c r="W112" s="438">
        <f t="shared" si="173"/>
        <v>829.3</v>
      </c>
      <c r="X112" s="438">
        <f t="shared" si="173"/>
        <v>814.85</v>
      </c>
      <c r="Y112" s="447">
        <f t="shared" si="173"/>
        <v>812.35</v>
      </c>
      <c r="Z112" s="447">
        <f t="shared" si="173"/>
        <v>815</v>
      </c>
      <c r="AA112" s="447">
        <f t="shared" si="173"/>
        <v>815</v>
      </c>
      <c r="AB112" s="447">
        <f t="shared" si="173"/>
        <v>815</v>
      </c>
      <c r="AC112" s="447">
        <f t="shared" si="173"/>
        <v>815</v>
      </c>
      <c r="AD112" s="447">
        <f t="shared" si="173"/>
        <v>815</v>
      </c>
      <c r="AE112" s="447">
        <f t="shared" si="173"/>
        <v>815</v>
      </c>
      <c r="AF112" s="447">
        <f t="shared" ref="AF112" si="174">AVERAGE(AE111:AF111)</f>
        <v>815</v>
      </c>
      <c r="AG112" s="447">
        <f t="shared" ref="AG112" si="175">AVERAGE(AF111:AG111)</f>
        <v>815</v>
      </c>
      <c r="AH112" s="447">
        <f t="shared" ref="AH112" si="176">AVERAGE(AG111:AH111)</f>
        <v>815</v>
      </c>
      <c r="AI112" s="438"/>
      <c r="AJ112" s="508"/>
      <c r="AK112" s="1133"/>
      <c r="AL112" s="1128"/>
      <c r="AM112" s="1133"/>
      <c r="AN112" s="1133"/>
      <c r="AP112" s="92"/>
      <c r="AQ112" s="92"/>
    </row>
    <row r="113" spans="1:43" collapsed="1">
      <c r="A113" s="108" t="s">
        <v>593</v>
      </c>
      <c r="B113" s="106"/>
      <c r="C113" s="106"/>
      <c r="D113" s="106">
        <v>467.2</v>
      </c>
      <c r="E113" s="967">
        <v>496.8</v>
      </c>
      <c r="F113" s="967">
        <v>546.4</v>
      </c>
      <c r="G113" s="967">
        <v>623.20000000000005</v>
      </c>
      <c r="H113" s="967">
        <v>618.79999999999995</v>
      </c>
      <c r="I113" s="967">
        <v>618</v>
      </c>
      <c r="J113" s="106">
        <f>((Q_BS!E97))</f>
        <v>601.79999999999995</v>
      </c>
      <c r="K113" s="106">
        <f>((Q_BS!I97))</f>
        <v>605.20000000000005</v>
      </c>
      <c r="L113" s="438">
        <f>((Q_BS!M97))</f>
        <v>606</v>
      </c>
      <c r="M113" s="438">
        <f>((Q_BS!Q97))</f>
        <v>687.8</v>
      </c>
      <c r="N113" s="438">
        <f>((Q_BS!U97))</f>
        <v>687.8</v>
      </c>
      <c r="O113" s="438">
        <f>((Q_BS!Y97))</f>
        <v>837.6</v>
      </c>
      <c r="P113" s="438">
        <f>((Q_BS!AC97))</f>
        <v>837.5</v>
      </c>
      <c r="Q113" s="438">
        <f>((Q_BS!AG97))</f>
        <v>834.3</v>
      </c>
      <c r="R113" s="438">
        <f>((Q_BS!AK97))</f>
        <v>832.8</v>
      </c>
      <c r="S113" s="438">
        <f>((Q_BS!AO97))</f>
        <v>835.6</v>
      </c>
      <c r="T113" s="438">
        <f>((Q_BS!AS97))</f>
        <v>838.5</v>
      </c>
      <c r="U113" s="438">
        <f>((Q_BS!AW97))</f>
        <v>838.5</v>
      </c>
      <c r="V113" s="438">
        <f>((Q_BS!BA97))</f>
        <v>838.6</v>
      </c>
      <c r="W113" s="438">
        <f>((Q_BS!BE97))</f>
        <v>820</v>
      </c>
      <c r="X113" s="438">
        <f>((Q_BS!BI97))</f>
        <v>809.7</v>
      </c>
      <c r="Y113" s="447">
        <f>((Q_BS!BM97))</f>
        <v>815</v>
      </c>
      <c r="Z113" s="447">
        <f>((Q_BS!BQ97))</f>
        <v>815</v>
      </c>
      <c r="AA113" s="447">
        <f>((Q_BS!BU97))</f>
        <v>815</v>
      </c>
      <c r="AB113" s="447">
        <f>((Q_BS!BY97))</f>
        <v>815</v>
      </c>
      <c r="AC113" s="447">
        <f>((Q_BS!CC97))</f>
        <v>815</v>
      </c>
      <c r="AD113" s="447">
        <f>((Q_BS!CG97))</f>
        <v>815</v>
      </c>
      <c r="AE113" s="447">
        <f>((Q_BS!CK97))</f>
        <v>815</v>
      </c>
      <c r="AF113" s="447">
        <f>((Q_BS!CO97))</f>
        <v>815</v>
      </c>
      <c r="AG113" s="447">
        <f>((Q_BS!CS97))</f>
        <v>815</v>
      </c>
      <c r="AH113" s="447">
        <f>((Q_BS!CW97))</f>
        <v>815</v>
      </c>
      <c r="AI113" s="1109"/>
      <c r="AJ113" s="508"/>
      <c r="AK113" s="1134"/>
      <c r="AL113" s="1128"/>
      <c r="AM113" s="1133"/>
      <c r="AN113" s="1133"/>
      <c r="AP113" s="92"/>
      <c r="AQ113" s="92"/>
    </row>
    <row r="114" spans="1:43">
      <c r="A114" s="101" t="s">
        <v>663</v>
      </c>
      <c r="B114" s="1114"/>
      <c r="C114" s="1114"/>
      <c r="D114" s="1114">
        <f t="shared" ref="D114:Z114" si="177">D104/D111</f>
        <v>0.27428938356164395</v>
      </c>
      <c r="E114" s="1114">
        <f t="shared" si="177"/>
        <v>0.31120974235104665</v>
      </c>
      <c r="F114" s="1114">
        <f t="shared" si="177"/>
        <v>0.51518667642752614</v>
      </c>
      <c r="G114" s="1114">
        <f t="shared" si="177"/>
        <v>0.35650994865211943</v>
      </c>
      <c r="H114" s="1114">
        <f t="shared" si="177"/>
        <v>0.77316580478345165</v>
      </c>
      <c r="I114" s="1114">
        <f t="shared" si="177"/>
        <v>0.20838025889967637</v>
      </c>
      <c r="J114" s="1114">
        <f t="shared" si="177"/>
        <v>0.17239614489863669</v>
      </c>
      <c r="K114" s="1114">
        <f t="shared" si="177"/>
        <v>0.24987772637144728</v>
      </c>
      <c r="L114" s="1114">
        <f t="shared" si="177"/>
        <v>0.34594719471947266</v>
      </c>
      <c r="M114" s="1114">
        <f t="shared" si="177"/>
        <v>0.53295289328293038</v>
      </c>
      <c r="N114" s="1114">
        <f t="shared" si="177"/>
        <v>0.99013230590287937</v>
      </c>
      <c r="O114" s="1114">
        <f t="shared" si="177"/>
        <v>0.79592406876790867</v>
      </c>
      <c r="P114" s="1114">
        <f t="shared" si="177"/>
        <v>1.1715892537313437</v>
      </c>
      <c r="Q114" s="1114">
        <f t="shared" si="177"/>
        <v>1.1943809181349627</v>
      </c>
      <c r="R114" s="1114">
        <f t="shared" si="177"/>
        <v>1.3082000480307392</v>
      </c>
      <c r="S114" s="1114">
        <f t="shared" si="177"/>
        <v>1.1408006223073228</v>
      </c>
      <c r="T114" s="1114">
        <f>T104/T111</f>
        <v>0.9116446034585548</v>
      </c>
      <c r="U114" s="1114">
        <f t="shared" si="177"/>
        <v>-4.4224376863446651</v>
      </c>
      <c r="V114" s="1114">
        <f t="shared" si="177"/>
        <v>0.58178750298115978</v>
      </c>
      <c r="W114" s="1114">
        <f t="shared" si="177"/>
        <v>2.0266829268292659</v>
      </c>
      <c r="X114" s="1114">
        <f t="shared" ref="X114" si="178">X104/X111</f>
        <v>3.4455921946399881</v>
      </c>
      <c r="Y114" s="1614">
        <f t="shared" si="177"/>
        <v>1.8038153532335182</v>
      </c>
      <c r="Z114" s="1614">
        <f t="shared" si="177"/>
        <v>2.7072657434168819</v>
      </c>
      <c r="AA114" s="1614">
        <f>AA104/AA111</f>
        <v>3.6333146399804575</v>
      </c>
      <c r="AB114" s="1614">
        <f>AB104/AB111</f>
        <v>4.8196005848819041</v>
      </c>
      <c r="AC114" s="1614">
        <f>AC104/AC111</f>
        <v>4.9172121120304002</v>
      </c>
      <c r="AD114" s="1614">
        <f>AD104/AD111</f>
        <v>5.1660022406183526</v>
      </c>
      <c r="AE114" s="1614">
        <f>AE104/AE111</f>
        <v>5.4088119897491316</v>
      </c>
      <c r="AF114" s="1614">
        <f t="shared" ref="AF114:AH114" si="179">AF104/AF111</f>
        <v>5.6691239508033373</v>
      </c>
      <c r="AG114" s="1614">
        <f t="shared" si="179"/>
        <v>5.9316701909133869</v>
      </c>
      <c r="AH114" s="1614">
        <f t="shared" si="179"/>
        <v>6.1961574508433195</v>
      </c>
      <c r="AI114" s="438"/>
      <c r="AJ114" s="508"/>
      <c r="AK114" s="508"/>
      <c r="AL114" s="1128"/>
      <c r="AM114" s="508"/>
      <c r="AN114" s="508"/>
    </row>
    <row r="115" spans="1:43" s="13" customFormat="1">
      <c r="A115" s="590" t="s">
        <v>664</v>
      </c>
      <c r="B115" s="1615"/>
      <c r="C115" s="1615"/>
      <c r="D115" s="1615"/>
      <c r="E115" s="1615"/>
      <c r="F115" s="1615"/>
      <c r="G115" s="1615"/>
      <c r="H115" s="1615"/>
      <c r="I115" s="1615"/>
      <c r="J115" s="1615"/>
      <c r="K115" s="1615"/>
      <c r="L115" s="1615"/>
      <c r="M115" s="1615"/>
      <c r="N115" s="1615"/>
      <c r="O115" s="1532">
        <f t="shared" ref="O115:Z115" si="180">O102/O113</f>
        <v>0.79592406876791133</v>
      </c>
      <c r="P115" s="1532">
        <f t="shared" si="180"/>
        <v>1.1715892537313426</v>
      </c>
      <c r="Q115" s="1532">
        <f t="shared" si="180"/>
        <v>1.1943809181349605</v>
      </c>
      <c r="R115" s="1532">
        <f t="shared" si="180"/>
        <v>1.3082000480307381</v>
      </c>
      <c r="S115" s="1532">
        <f t="shared" si="180"/>
        <v>1.1408006223073228</v>
      </c>
      <c r="T115" s="1532">
        <f>T102/T113</f>
        <v>1.1051520572450773</v>
      </c>
      <c r="U115" s="1532">
        <f t="shared" si="180"/>
        <v>-3.7996982707215294</v>
      </c>
      <c r="V115" s="1532">
        <f t="shared" si="180"/>
        <v>0.99586215120438826</v>
      </c>
      <c r="W115" s="1532">
        <f t="shared" si="180"/>
        <v>1.9906524390243876</v>
      </c>
      <c r="X115" s="1532">
        <f t="shared" ref="X115" si="181">X102/X113</f>
        <v>3.6195245152525577</v>
      </c>
      <c r="Y115" s="1532">
        <f t="shared" si="180"/>
        <v>1.3785966677899864</v>
      </c>
      <c r="Z115" s="1532">
        <f t="shared" si="180"/>
        <v>2.3327506281039447</v>
      </c>
      <c r="AA115" s="1532">
        <f>AA102/AA113</f>
        <v>3.4428257756775409</v>
      </c>
      <c r="AB115" s="1532">
        <f>AB102/AB113</f>
        <v>4.7138262176883856</v>
      </c>
      <c r="AC115" s="1532">
        <f>AC102/AC113</f>
        <v>4.982474392454205</v>
      </c>
      <c r="AD115" s="1532">
        <f>AD102/AD113</f>
        <v>5.3771947857135949</v>
      </c>
      <c r="AE115" s="1532">
        <f>AE102/AE113</f>
        <v>5.7413232054750063</v>
      </c>
      <c r="AF115" s="1532">
        <f t="shared" ref="AF115:AH115" si="182">AF102/AF113</f>
        <v>6.1130519359074063</v>
      </c>
      <c r="AG115" s="1532">
        <f t="shared" si="182"/>
        <v>6.4743765406414244</v>
      </c>
      <c r="AH115" s="1532">
        <f t="shared" si="182"/>
        <v>6.8271045473862868</v>
      </c>
      <c r="AI115" s="985"/>
      <c r="AJ115" s="1128">
        <f t="shared" ref="AJ115:AJ116" si="183">IFERROR((U115/P115)^(1/5)-1,"NM")</f>
        <v>-2.2653036077411164</v>
      </c>
      <c r="AK115" s="1128">
        <f>IFERROR((X115/U115)^(1/3)-1,"NM")</f>
        <v>-1.9839374040059536</v>
      </c>
      <c r="AL115" s="1128">
        <f t="shared" si="135"/>
        <v>0.58029770964558391</v>
      </c>
      <c r="AM115" s="1127">
        <f>IFERROR((AD115/AA115)^(1/3)-1,"NM")</f>
        <v>0.16023752539801461</v>
      </c>
      <c r="AN115" s="1241"/>
      <c r="AP115" s="9"/>
      <c r="AQ115" s="9"/>
    </row>
    <row r="116" spans="1:43" s="1209" customFormat="1" hidden="1" outlineLevel="1">
      <c r="A116" s="1265" t="s">
        <v>1230</v>
      </c>
      <c r="B116" s="1533"/>
      <c r="C116" s="1533"/>
      <c r="D116" s="1533">
        <f t="shared" ref="D116:Z116" si="184">D104/D113</f>
        <v>0.27428938356164395</v>
      </c>
      <c r="E116" s="1533">
        <f t="shared" si="184"/>
        <v>0.31120974235104665</v>
      </c>
      <c r="F116" s="1533">
        <f t="shared" si="184"/>
        <v>0.51518667642752614</v>
      </c>
      <c r="G116" s="1533">
        <f t="shared" si="184"/>
        <v>0.35650994865211943</v>
      </c>
      <c r="H116" s="1533">
        <f t="shared" si="184"/>
        <v>0.77316580478345165</v>
      </c>
      <c r="I116" s="1533">
        <f t="shared" si="184"/>
        <v>0.20838025889967637</v>
      </c>
      <c r="J116" s="1533">
        <f t="shared" si="184"/>
        <v>0.17239614489863669</v>
      </c>
      <c r="K116" s="1533">
        <f t="shared" si="184"/>
        <v>0.24987772637144728</v>
      </c>
      <c r="L116" s="1533">
        <f t="shared" si="184"/>
        <v>0.34594719471947266</v>
      </c>
      <c r="M116" s="1533">
        <f t="shared" si="184"/>
        <v>0.53295289328293038</v>
      </c>
      <c r="N116" s="1533">
        <f t="shared" si="184"/>
        <v>0.99013230590287937</v>
      </c>
      <c r="O116" s="1533">
        <f t="shared" si="184"/>
        <v>0.79592406876790867</v>
      </c>
      <c r="P116" s="1533">
        <f t="shared" si="184"/>
        <v>1.1715892537313437</v>
      </c>
      <c r="Q116" s="1533">
        <f t="shared" si="184"/>
        <v>1.1943809181349627</v>
      </c>
      <c r="R116" s="1533">
        <f t="shared" si="184"/>
        <v>1.3082000480307392</v>
      </c>
      <c r="S116" s="1533">
        <f t="shared" si="184"/>
        <v>1.1408006223073228</v>
      </c>
      <c r="T116" s="1533">
        <f>T104/T113</f>
        <v>0.9116446034585548</v>
      </c>
      <c r="U116" s="1533">
        <f t="shared" si="184"/>
        <v>-4.4224376863446651</v>
      </c>
      <c r="V116" s="1533">
        <f t="shared" si="184"/>
        <v>0.58178750298115978</v>
      </c>
      <c r="W116" s="1533">
        <f t="shared" si="184"/>
        <v>2.0266829268292659</v>
      </c>
      <c r="X116" s="1533">
        <f t="shared" ref="X116" si="185">X104/X113</f>
        <v>3.4455921946399881</v>
      </c>
      <c r="Y116" s="1533">
        <f t="shared" si="184"/>
        <v>1.8038153532335182</v>
      </c>
      <c r="Z116" s="1533">
        <f t="shared" si="184"/>
        <v>2.7072657434168819</v>
      </c>
      <c r="AA116" s="1533">
        <f>AA104/AA113</f>
        <v>3.6333146399804575</v>
      </c>
      <c r="AB116" s="1533">
        <f>AB104/AB113</f>
        <v>4.8196005848819041</v>
      </c>
      <c r="AC116" s="1533">
        <f>AC104/AC113</f>
        <v>4.9172121120304002</v>
      </c>
      <c r="AD116" s="1533">
        <f>AD104/AD113</f>
        <v>5.1660022406183526</v>
      </c>
      <c r="AE116" s="1533">
        <f>AE104/AE113</f>
        <v>5.4088119897491316</v>
      </c>
      <c r="AF116" s="1533">
        <f t="shared" ref="AF116:AH116" si="186">AF104/AF113</f>
        <v>5.6691239508033373</v>
      </c>
      <c r="AG116" s="1533">
        <f t="shared" si="186"/>
        <v>5.9316701909133869</v>
      </c>
      <c r="AH116" s="1533">
        <f t="shared" si="186"/>
        <v>6.1961574508433195</v>
      </c>
      <c r="AI116" s="1518"/>
      <c r="AJ116" s="1261">
        <f t="shared" si="183"/>
        <v>-2.3042993220802908</v>
      </c>
      <c r="AK116" s="1261">
        <f>IFERROR((X116/U116)^(1/3)-1,"NM")</f>
        <v>-1.9201685470019796</v>
      </c>
      <c r="AL116" s="1128">
        <f t="shared" si="135"/>
        <v>0.41923876465003707</v>
      </c>
      <c r="AM116" s="1261">
        <f>IFERROR((AD116/AA116)^(1/3)-1,"NM")</f>
        <v>0.12447687135379781</v>
      </c>
      <c r="AN116" s="1261">
        <f>IFERROR((AH116/X116)^(1/10)-1,"NM")</f>
        <v>6.0439404151977349E-2</v>
      </c>
      <c r="AP116" s="9"/>
      <c r="AQ116" s="9"/>
    </row>
    <row r="117" spans="1:43" hidden="1" outlineLevel="1">
      <c r="A117" s="95" t="s">
        <v>665</v>
      </c>
      <c r="B117" s="967"/>
      <c r="C117" s="967"/>
      <c r="D117" s="967">
        <v>43.343000000000004</v>
      </c>
      <c r="E117" s="1272">
        <v>78.266999999999996</v>
      </c>
      <c r="F117" s="1272">
        <v>104.13</v>
      </c>
      <c r="G117" s="1272">
        <v>167.67699999999999</v>
      </c>
      <c r="H117" s="1272">
        <v>67.84</v>
      </c>
      <c r="I117" s="1272">
        <v>0</v>
      </c>
      <c r="J117" s="967">
        <f>-SUM(Q_IS!B318:E318)</f>
        <v>41.834000000000003</v>
      </c>
      <c r="K117" s="967">
        <f>-SUM(Q_IS!F318:I318)</f>
        <v>245.958</v>
      </c>
      <c r="L117" s="1272">
        <f>-SUM(Q_IS!J318:M318)</f>
        <v>122.648</v>
      </c>
      <c r="M117" s="1272">
        <f>-SUM(Q_IS!N318:Q318)</f>
        <v>0</v>
      </c>
      <c r="N117" s="1272">
        <f>-SUM(Q_IS!R318:U318)</f>
        <v>343.87799999999999</v>
      </c>
      <c r="O117" s="1272">
        <f>-SUM(Q_IS!V318:Y318)</f>
        <v>0</v>
      </c>
      <c r="P117" s="1272">
        <f>-SUM(Q_IS!Z318:AC318)</f>
        <v>419.173</v>
      </c>
      <c r="Q117" s="1272">
        <f>-SUM(Q_IS!AD318:AG318)</f>
        <v>644.77099999999996</v>
      </c>
      <c r="R117" s="1272">
        <f>-SUM(Q_IS!AH318:AK318)</f>
        <v>719.39800000000002</v>
      </c>
      <c r="S117" s="967">
        <f>-SUM(Q_IS!AL318:AO318)</f>
        <v>720.14400000000001</v>
      </c>
      <c r="T117" s="967">
        <f>-SUM(Q_IS!AP318:AS318)</f>
        <v>0</v>
      </c>
      <c r="U117" s="967">
        <f>-SUM(Q_IS!AT318:AW318)</f>
        <v>0</v>
      </c>
      <c r="V117" s="967">
        <f>-SUM(Q_IS!AX318:BA318)</f>
        <v>0</v>
      </c>
      <c r="W117" s="967">
        <f>-SUM(Q_IS!BB318:BE318)</f>
        <v>0</v>
      </c>
      <c r="X117" s="967">
        <f>-SUM(Q_IS!BF318:BI318)</f>
        <v>0</v>
      </c>
      <c r="Y117" s="1397">
        <f>-SUM(Q_IS!BJ318:BM318)</f>
        <v>978.01700000000005</v>
      </c>
      <c r="Z117" s="1397">
        <f>-SUM(Q_IS!BN318:BQ318)</f>
        <v>0</v>
      </c>
      <c r="AA117" s="1397">
        <f>-SUM(Q_IS!BO318:BU318)</f>
        <v>0</v>
      </c>
      <c r="AB117" s="1397">
        <f>-SUM(Q_IS!BP318:BY318)</f>
        <v>0</v>
      </c>
      <c r="AC117" s="1397">
        <f>-SUM(Q_IS!BQ318:CC318)</f>
        <v>0</v>
      </c>
      <c r="AD117" s="1397">
        <f>-SUM(Q_IS!BR318:CG318)</f>
        <v>0</v>
      </c>
      <c r="AE117" s="1397">
        <f>-SUM(Q_IS!BS318:CK318)</f>
        <v>0</v>
      </c>
      <c r="AF117" s="1397">
        <f>-SUM(Q_IS!BT318:CO318)</f>
        <v>0</v>
      </c>
      <c r="AG117" s="1397">
        <f>-SUM(Q_IS!BU318:CS318)</f>
        <v>0</v>
      </c>
      <c r="AH117" s="1397">
        <f>-SUM(Q_IS!BV318:CW318)</f>
        <v>0</v>
      </c>
      <c r="AI117" s="1272"/>
      <c r="AJ117" s="1128">
        <f>IFERROR((T117/P117)^(1/4)-1,"NM")</f>
        <v>-1</v>
      </c>
      <c r="AK117" s="1128" t="str">
        <f>IFERROR((W117/T117)^(1/3)-1,"NM")</f>
        <v>NM</v>
      </c>
      <c r="AL117" s="1128">
        <f t="shared" si="135"/>
        <v>-1</v>
      </c>
      <c r="AM117" s="1128" t="str">
        <f>IFERROR((AD117/AA117)^(1/3)-1,"NM")</f>
        <v>NM</v>
      </c>
      <c r="AN117" s="1128" t="str">
        <f>IFERROR((AH117/X117)^(1/10)-1,"NM")</f>
        <v>NM</v>
      </c>
    </row>
    <row r="118" spans="1:43" collapsed="1">
      <c r="A118" s="101" t="s">
        <v>666</v>
      </c>
      <c r="B118" s="1114"/>
      <c r="C118" s="1114"/>
      <c r="D118" s="1114">
        <f t="shared" ref="D118:Z118" si="187">D117/D111</f>
        <v>9.2771832191780826E-2</v>
      </c>
      <c r="E118" s="1114">
        <f t="shared" si="187"/>
        <v>0.15754227053140096</v>
      </c>
      <c r="F118" s="1114">
        <f t="shared" si="187"/>
        <v>0.19057467057101024</v>
      </c>
      <c r="G118" s="1114">
        <f t="shared" si="187"/>
        <v>0.26905808729139918</v>
      </c>
      <c r="H118" s="1114">
        <f t="shared" si="187"/>
        <v>0.10963154492566259</v>
      </c>
      <c r="I118" s="1114">
        <f t="shared" si="187"/>
        <v>0</v>
      </c>
      <c r="J118" s="1114">
        <f t="shared" si="187"/>
        <v>6.9514788966434038E-2</v>
      </c>
      <c r="K118" s="1114">
        <f t="shared" si="187"/>
        <v>0.40640779907468599</v>
      </c>
      <c r="L118" s="1534">
        <f t="shared" si="187"/>
        <v>0.20238943894389438</v>
      </c>
      <c r="M118" s="1534">
        <f t="shared" si="187"/>
        <v>0</v>
      </c>
      <c r="N118" s="1534">
        <f t="shared" si="187"/>
        <v>0.49996801395754581</v>
      </c>
      <c r="O118" s="1534">
        <f t="shared" si="187"/>
        <v>0</v>
      </c>
      <c r="P118" s="1534">
        <f t="shared" si="187"/>
        <v>0.50050507462686566</v>
      </c>
      <c r="Q118" s="1534">
        <f t="shared" si="187"/>
        <v>0.77282871868632386</v>
      </c>
      <c r="R118" s="1534">
        <f t="shared" si="187"/>
        <v>0.86383045148895299</v>
      </c>
      <c r="S118" s="1114">
        <f t="shared" si="187"/>
        <v>0.86182862613690758</v>
      </c>
      <c r="T118" s="1114">
        <f>T117/T111</f>
        <v>0</v>
      </c>
      <c r="U118" s="1114">
        <f t="shared" si="187"/>
        <v>0</v>
      </c>
      <c r="V118" s="1114">
        <f t="shared" si="187"/>
        <v>0</v>
      </c>
      <c r="W118" s="1114">
        <f t="shared" si="187"/>
        <v>0</v>
      </c>
      <c r="X118" s="1114">
        <f t="shared" ref="X118" si="188">X117/X111</f>
        <v>0</v>
      </c>
      <c r="Y118" s="1614">
        <f t="shared" si="187"/>
        <v>1.2000208588957055</v>
      </c>
      <c r="Z118" s="1614">
        <f t="shared" si="187"/>
        <v>0</v>
      </c>
      <c r="AA118" s="1614">
        <f>AA117/AA111</f>
        <v>0</v>
      </c>
      <c r="AB118" s="1614">
        <f>AB117/AB111</f>
        <v>0</v>
      </c>
      <c r="AC118" s="1614">
        <f>AC117/AC111</f>
        <v>0</v>
      </c>
      <c r="AD118" s="1614">
        <f>AD117/AD111</f>
        <v>0</v>
      </c>
      <c r="AE118" s="1614">
        <f>AE117/AE111</f>
        <v>0</v>
      </c>
      <c r="AF118" s="1614">
        <f t="shared" ref="AF118:AH118" si="189">AF117/AF111</f>
        <v>0</v>
      </c>
      <c r="AG118" s="1614">
        <f t="shared" si="189"/>
        <v>0</v>
      </c>
      <c r="AH118" s="1614">
        <f t="shared" si="189"/>
        <v>0</v>
      </c>
      <c r="AI118" s="1534"/>
      <c r="AJ118" s="508"/>
      <c r="AK118" s="508"/>
      <c r="AL118" s="508"/>
      <c r="AM118" s="508"/>
      <c r="AN118" s="508"/>
    </row>
    <row r="119" spans="1:43">
      <c r="A119" s="126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119" s="127"/>
      <c r="C119" s="127"/>
      <c r="D119" s="127"/>
      <c r="E119" s="1934"/>
      <c r="F119" s="1934"/>
      <c r="G119" s="1934"/>
      <c r="H119" s="1934"/>
      <c r="I119" s="1934"/>
      <c r="J119" s="1934"/>
      <c r="K119" s="1934"/>
      <c r="L119" s="1934"/>
      <c r="M119" s="1934"/>
      <c r="N119" s="1934"/>
      <c r="O119" s="1934"/>
      <c r="P119" s="1934"/>
      <c r="Q119" s="1934"/>
      <c r="R119" s="1934"/>
      <c r="S119" s="1934"/>
      <c r="T119" s="1934"/>
      <c r="U119" s="1934"/>
      <c r="V119" s="1934"/>
      <c r="W119" s="1969"/>
      <c r="X119" s="1969"/>
      <c r="Y119" s="1934"/>
      <c r="Z119" s="1934"/>
      <c r="AA119" s="1934"/>
      <c r="AB119" s="1934"/>
      <c r="AC119" s="1934"/>
      <c r="AD119" s="1934"/>
      <c r="AE119" s="127"/>
      <c r="AF119" s="127"/>
      <c r="AG119" s="127"/>
      <c r="AH119" s="127" t="s">
        <v>281</v>
      </c>
      <c r="AI119" s="1536"/>
      <c r="AJ119" s="508"/>
      <c r="AK119" s="508"/>
      <c r="AL119" s="508"/>
      <c r="AM119" s="508"/>
      <c r="AN119" s="508"/>
    </row>
    <row r="120" spans="1:43">
      <c r="A120" s="94"/>
      <c r="B120" s="1536"/>
      <c r="C120" s="1536"/>
      <c r="D120" s="1536"/>
      <c r="E120" s="1536"/>
      <c r="F120" s="438"/>
      <c r="G120" s="1536"/>
      <c r="H120" s="1536"/>
      <c r="I120" s="1536"/>
      <c r="J120" s="1536"/>
      <c r="K120" s="1536"/>
      <c r="L120" s="1536"/>
      <c r="M120" s="438"/>
      <c r="N120" s="1536"/>
      <c r="O120" s="1536"/>
      <c r="P120" s="1536"/>
      <c r="Q120" s="1536"/>
      <c r="R120" s="1536"/>
      <c r="S120" s="1536"/>
      <c r="T120" s="1536"/>
      <c r="U120" s="1536"/>
      <c r="V120" s="1536"/>
      <c r="W120" s="1968"/>
      <c r="X120" s="1968"/>
      <c r="Y120" s="1968"/>
      <c r="Z120" s="1968"/>
      <c r="AA120" s="1968"/>
      <c r="AB120" s="1536"/>
      <c r="AC120" s="1536"/>
      <c r="AD120" s="1536"/>
      <c r="AE120" s="1536"/>
      <c r="AF120" s="1536"/>
      <c r="AG120" s="1536"/>
      <c r="AH120" s="1536"/>
      <c r="AI120" s="1536"/>
      <c r="AJ120" s="104"/>
      <c r="AK120" s="104"/>
      <c r="AL120" s="104"/>
      <c r="AM120" s="104"/>
      <c r="AN120" s="104"/>
    </row>
    <row r="121" spans="1:43">
      <c r="A121" s="1126" t="s">
        <v>667</v>
      </c>
      <c r="B121" s="1124">
        <v>2001</v>
      </c>
      <c r="C121" s="1124">
        <v>2002</v>
      </c>
      <c r="D121" s="1124">
        <v>2003</v>
      </c>
      <c r="E121" s="1124">
        <v>2004</v>
      </c>
      <c r="F121" s="1124">
        <v>2005</v>
      </c>
      <c r="G121" s="1124">
        <v>2006</v>
      </c>
      <c r="H121" s="1124">
        <v>2007</v>
      </c>
      <c r="I121" s="1124">
        <v>2008</v>
      </c>
      <c r="J121" s="1124">
        <f t="shared" ref="J121:AH121" si="190">J$4</f>
        <v>2009</v>
      </c>
      <c r="K121" s="1124">
        <f t="shared" si="190"/>
        <v>2010</v>
      </c>
      <c r="L121" s="1124">
        <f t="shared" si="190"/>
        <v>2011</v>
      </c>
      <c r="M121" s="1124">
        <f t="shared" si="190"/>
        <v>2012</v>
      </c>
      <c r="N121" s="1124">
        <f t="shared" si="190"/>
        <v>2013</v>
      </c>
      <c r="O121" s="1124">
        <f t="shared" si="190"/>
        <v>2014</v>
      </c>
      <c r="P121" s="1124">
        <f t="shared" si="190"/>
        <v>2015</v>
      </c>
      <c r="Q121" s="1124">
        <f t="shared" si="190"/>
        <v>2016</v>
      </c>
      <c r="R121" s="1124">
        <f t="shared" si="190"/>
        <v>2017</v>
      </c>
      <c r="S121" s="1124">
        <f t="shared" si="190"/>
        <v>2018</v>
      </c>
      <c r="T121" s="1124">
        <f t="shared" si="190"/>
        <v>2019</v>
      </c>
      <c r="U121" s="1124">
        <f t="shared" si="190"/>
        <v>2020</v>
      </c>
      <c r="V121" s="1124">
        <f t="shared" si="190"/>
        <v>2021</v>
      </c>
      <c r="W121" s="1124">
        <f t="shared" si="190"/>
        <v>2022</v>
      </c>
      <c r="X121" s="1124">
        <f t="shared" si="190"/>
        <v>2023</v>
      </c>
      <c r="Y121" s="1445">
        <f t="shared" si="190"/>
        <v>2024</v>
      </c>
      <c r="Z121" s="1445">
        <f t="shared" si="190"/>
        <v>2025</v>
      </c>
      <c r="AA121" s="1445">
        <f t="shared" si="190"/>
        <v>2026</v>
      </c>
      <c r="AB121" s="1445">
        <f t="shared" si="190"/>
        <v>2027</v>
      </c>
      <c r="AC121" s="1445">
        <f t="shared" si="190"/>
        <v>2028</v>
      </c>
      <c r="AD121" s="1445">
        <f t="shared" si="190"/>
        <v>2029</v>
      </c>
      <c r="AE121" s="1445">
        <f t="shared" si="190"/>
        <v>2030</v>
      </c>
      <c r="AF121" s="1445">
        <f t="shared" si="190"/>
        <v>2031</v>
      </c>
      <c r="AG121" s="1445">
        <f t="shared" si="190"/>
        <v>2032</v>
      </c>
      <c r="AH121" s="1445">
        <f t="shared" si="190"/>
        <v>2033</v>
      </c>
      <c r="AI121" s="121"/>
      <c r="AJ121" s="508"/>
      <c r="AK121" s="508"/>
      <c r="AL121" s="508"/>
      <c r="AM121" s="508"/>
      <c r="AN121" s="508"/>
    </row>
    <row r="122" spans="1:43">
      <c r="A122" s="122" t="s">
        <v>62</v>
      </c>
      <c r="B122" s="1616"/>
      <c r="C122" s="1616"/>
      <c r="D122" s="1616"/>
      <c r="E122" s="1616"/>
      <c r="F122" s="1537"/>
      <c r="G122" s="1537"/>
      <c r="H122" s="1537"/>
      <c r="I122" s="1537"/>
      <c r="J122" s="1616"/>
      <c r="K122" s="1616"/>
      <c r="L122" s="1616"/>
      <c r="M122" s="1537"/>
      <c r="N122" s="1537"/>
      <c r="O122" s="1537"/>
      <c r="P122" s="1537"/>
      <c r="Q122" s="1537"/>
      <c r="R122" s="1537"/>
      <c r="S122" s="1616"/>
      <c r="T122" s="1616"/>
      <c r="U122" s="1616"/>
      <c r="V122" s="1616"/>
      <c r="W122" s="1616"/>
      <c r="X122" s="1616"/>
      <c r="Y122" s="1616"/>
      <c r="Z122" s="1616"/>
      <c r="AA122" s="1616"/>
      <c r="AB122" s="1616"/>
      <c r="AC122" s="1616"/>
      <c r="AD122" s="1616"/>
      <c r="AE122" s="1616"/>
      <c r="AF122" s="1616"/>
      <c r="AG122" s="1616"/>
      <c r="AH122" s="1616"/>
      <c r="AI122" s="1536"/>
      <c r="AJ122" s="508"/>
      <c r="AK122" s="508"/>
      <c r="AL122" s="508"/>
      <c r="AM122" s="508"/>
      <c r="AN122" s="508"/>
    </row>
    <row r="123" spans="1:43">
      <c r="A123" s="721" t="s">
        <v>63</v>
      </c>
      <c r="B123" s="967">
        <v>181.71699999999998</v>
      </c>
      <c r="C123" s="967">
        <v>271.52500000000003</v>
      </c>
      <c r="D123" s="967">
        <v>260.60399999999998</v>
      </c>
      <c r="E123" s="967">
        <v>338.76300000000003</v>
      </c>
      <c r="F123" s="967">
        <v>606.67600000000004</v>
      </c>
      <c r="G123" s="967">
        <v>751.4319999999999</v>
      </c>
      <c r="H123" s="967">
        <v>829.23</v>
      </c>
      <c r="I123" s="967">
        <v>1002.3040000000001</v>
      </c>
      <c r="J123" s="967">
        <f>Q_Financials!E75</f>
        <v>992.6</v>
      </c>
      <c r="K123" s="967">
        <f>Q_Financials!I75</f>
        <v>955.31</v>
      </c>
      <c r="L123" s="967">
        <f>Q_Financials!M75</f>
        <v>928.69399999999996</v>
      </c>
      <c r="M123" s="967">
        <f>Q_Financials!Q75</f>
        <v>2418.83</v>
      </c>
      <c r="N123" s="967">
        <f>Q_Financials!U75</f>
        <v>3386.0430000000001</v>
      </c>
      <c r="O123" s="967">
        <f>Q_Financials!Y75</f>
        <v>13597.599</v>
      </c>
      <c r="P123" s="967">
        <f>Q_Financials!AC75</f>
        <v>13753.902</v>
      </c>
      <c r="Q123" s="967">
        <f>Q_Financials!AG75</f>
        <v>15215.335999999999</v>
      </c>
      <c r="R123" s="967">
        <f>Q_Financials!AK75</f>
        <v>15358.005999999999</v>
      </c>
      <c r="S123" s="967">
        <f>Q_Financials!AO75</f>
        <v>25749.010999999999</v>
      </c>
      <c r="T123" s="967">
        <f>Q_Financials!AS75</f>
        <v>27375.208999999999</v>
      </c>
      <c r="U123" s="967">
        <f>Q_Financials!AW75</f>
        <v>28817</v>
      </c>
      <c r="V123" s="967">
        <f>Q_Financials!BA75</f>
        <v>27796.563999999998</v>
      </c>
      <c r="W123" s="967">
        <f>Q_Financials!BE75</f>
        <v>26671.732</v>
      </c>
      <c r="X123" s="967">
        <f>Q_Financials!BI75</f>
        <v>24991.065999999999</v>
      </c>
      <c r="Y123" s="1397">
        <f>Q_Financials!BM75</f>
        <v>24226.096441226942</v>
      </c>
      <c r="Z123" s="1397">
        <f>Q_Financials!BQ75</f>
        <v>22831.37491894397</v>
      </c>
      <c r="AA123" s="1397">
        <f>Q_Financials!BU75</f>
        <v>21516.948962619736</v>
      </c>
      <c r="AB123" s="1397">
        <f>Q_Financials!BY75</f>
        <v>20278.195873163684</v>
      </c>
      <c r="AC123" s="1397">
        <f>Q_Financials!CC75</f>
        <v>19626.219407437969</v>
      </c>
      <c r="AD123" s="1397">
        <f>Q_Financials!CG75</f>
        <v>18995.205028996501</v>
      </c>
      <c r="AE123" s="1397">
        <f>Q_Financials!CK75</f>
        <v>18384.478773169671</v>
      </c>
      <c r="AF123" s="1397">
        <f>Q_Financials!CO75</f>
        <v>17793.388344331117</v>
      </c>
      <c r="AG123" s="1397">
        <f>Q_Financials!CS75</f>
        <v>17221.30241920329</v>
      </c>
      <c r="AH123" s="1397">
        <f>Q_Financials!CW75</f>
        <v>16667.609972562856</v>
      </c>
      <c r="AI123" s="967"/>
      <c r="AJ123" s="1428"/>
      <c r="AK123" s="1428"/>
      <c r="AL123" s="1128"/>
      <c r="AM123" s="1128"/>
      <c r="AN123" s="1128"/>
    </row>
    <row r="124" spans="1:43">
      <c r="A124" s="721" t="s">
        <v>64</v>
      </c>
      <c r="B124" s="967">
        <v>822.97699999999998</v>
      </c>
      <c r="C124" s="967">
        <v>832.29399999999998</v>
      </c>
      <c r="D124" s="967">
        <v>875.50300000000004</v>
      </c>
      <c r="E124" s="967">
        <v>1308.741</v>
      </c>
      <c r="F124" s="967">
        <v>1809.133</v>
      </c>
      <c r="G124" s="967">
        <v>2244.79</v>
      </c>
      <c r="H124" s="967">
        <v>2748.3519999999999</v>
      </c>
      <c r="I124" s="967">
        <v>3044.9110000000001</v>
      </c>
      <c r="J124" s="967">
        <f>Q_Financials!E74</f>
        <v>2897.6779999999999</v>
      </c>
      <c r="K124" s="967">
        <f>Q_Financials!I74</f>
        <v>2994.123</v>
      </c>
      <c r="L124" s="967">
        <f>Q_Financials!M74</f>
        <v>3472.42</v>
      </c>
      <c r="M124" s="967">
        <f>Q_Financials!Q74</f>
        <v>3924.1080000000002</v>
      </c>
      <c r="N124" s="967">
        <f>Q_Financials!U74</f>
        <v>4764.3959999999997</v>
      </c>
      <c r="O124" s="967">
        <f>Q_Financials!Y74</f>
        <v>9947.0660000000007</v>
      </c>
      <c r="P124" s="967">
        <f>Q_Financials!AC74</f>
        <v>11063.805</v>
      </c>
      <c r="Q124" s="967">
        <f>Q_Financials!AG74</f>
        <v>13673.445</v>
      </c>
      <c r="R124" s="967">
        <f>Q_Financials!AK74</f>
        <v>15772.478999999999</v>
      </c>
      <c r="S124" s="967">
        <f>Q_Financials!AO74</f>
        <v>17993.148000000001</v>
      </c>
      <c r="T124" s="967">
        <f>Q_Financials!AS74</f>
        <v>17538.350999999999</v>
      </c>
      <c r="U124" s="967">
        <f>Q_Financials!AW74</f>
        <v>15880</v>
      </c>
      <c r="V124" s="967">
        <f>Q_Financials!BA74</f>
        <v>15277.931</v>
      </c>
      <c r="W124" s="967">
        <f>Q_Financials!BE74</f>
        <v>15428.754999999999</v>
      </c>
      <c r="X124" s="967">
        <f>Q_Financials!BI74</f>
        <v>15644.915000000001</v>
      </c>
      <c r="Y124" s="1397">
        <f>Q_Financials!BM74</f>
        <v>18929.715082566101</v>
      </c>
      <c r="Z124" s="1397">
        <f>Q_Financials!BQ74</f>
        <v>21064.445705905047</v>
      </c>
      <c r="AA124" s="1397">
        <f>Q_Financials!BU74</f>
        <v>22825.858942722421</v>
      </c>
      <c r="AB124" s="1397">
        <f>Q_Financials!BY74</f>
        <v>24487.12058308972</v>
      </c>
      <c r="AC124" s="1397">
        <f>Q_Financials!CC74</f>
        <v>26552.4793142987</v>
      </c>
      <c r="AD124" s="1397">
        <f>Q_Financials!CG74</f>
        <v>28513.767187325444</v>
      </c>
      <c r="AE124" s="1397">
        <f>Q_Financials!CK74</f>
        <v>30147.610294839385</v>
      </c>
      <c r="AF124" s="1397">
        <f>Q_Financials!CO74</f>
        <v>31674.379422426977</v>
      </c>
      <c r="AG124" s="1397">
        <f>Q_Financials!CS74</f>
        <v>33090.956080210075</v>
      </c>
      <c r="AH124" s="1397">
        <f>Q_Financials!CW74</f>
        <v>34276.907320670143</v>
      </c>
      <c r="AI124" s="967"/>
      <c r="AJ124" s="1428"/>
      <c r="AK124" s="1428"/>
      <c r="AL124" s="1128"/>
      <c r="AM124" s="1128"/>
      <c r="AN124" s="1128"/>
    </row>
    <row r="125" spans="1:43">
      <c r="A125" s="722" t="s">
        <v>347</v>
      </c>
      <c r="B125" s="967">
        <v>53.679000000000002</v>
      </c>
      <c r="C125" s="967">
        <v>47.076000000000001</v>
      </c>
      <c r="D125" s="967">
        <v>74.444000000000003</v>
      </c>
      <c r="E125" s="967">
        <v>3.669</v>
      </c>
      <c r="F125" s="967">
        <v>3.8980000000000001</v>
      </c>
      <c r="G125" s="967">
        <v>3.5150000000000001</v>
      </c>
      <c r="H125" s="967">
        <v>22.873999999999999</v>
      </c>
      <c r="I125" s="967">
        <v>28.884</v>
      </c>
      <c r="J125" s="967">
        <f>Q_Financials!E73</f>
        <v>25.033000000000001</v>
      </c>
      <c r="K125" s="967">
        <f>Q_Financials!I73</f>
        <v>20.783000000000001</v>
      </c>
      <c r="L125" s="967">
        <f>Q_Financials!M73</f>
        <v>30.393999999999998</v>
      </c>
      <c r="M125" s="967">
        <f>Q_Financials!Q73</f>
        <v>40.295999999999999</v>
      </c>
      <c r="N125" s="967">
        <f>Q_Financials!U73</f>
        <v>788.66499999999996</v>
      </c>
      <c r="O125" s="967">
        <f>Q_Financials!Y73</f>
        <v>829.82399999999996</v>
      </c>
      <c r="P125" s="967">
        <f>Q_Financials!AC73</f>
        <v>922.96199999999999</v>
      </c>
      <c r="Q125" s="967">
        <f>Q_Financials!AG73</f>
        <v>1001.398</v>
      </c>
      <c r="R125" s="967">
        <f>Q_Financials!AK73</f>
        <v>0</v>
      </c>
      <c r="S125" s="967">
        <f>Q_Financials!AO73</f>
        <v>14.295999999999999</v>
      </c>
      <c r="T125" s="967">
        <f>Q_Financials!AS73</f>
        <v>85.471000000000004</v>
      </c>
      <c r="U125" s="967">
        <f>Q_Financials!AW73</f>
        <v>90</v>
      </c>
      <c r="V125" s="967">
        <f>Q_Financials!BA73</f>
        <v>131.86699999999999</v>
      </c>
      <c r="W125" s="967">
        <f>Q_Financials!BE73</f>
        <v>156.90299999999999</v>
      </c>
      <c r="X125" s="967">
        <f>Q_Financials!BI73</f>
        <v>164.00299999999999</v>
      </c>
      <c r="Y125" s="1397">
        <f>Q_Financials!BM73</f>
        <v>164.00299999999999</v>
      </c>
      <c r="Z125" s="1397">
        <f>Q_Financials!BQ73</f>
        <v>164.00299999999999</v>
      </c>
      <c r="AA125" s="1397">
        <f>Q_Financials!BU73</f>
        <v>164.00299999999999</v>
      </c>
      <c r="AB125" s="1397">
        <f>Q_Financials!BY73</f>
        <v>164.00299999999999</v>
      </c>
      <c r="AC125" s="1397">
        <f>Q_Financials!CC73</f>
        <v>164.00299999999999</v>
      </c>
      <c r="AD125" s="1397">
        <f>Q_Financials!CG73</f>
        <v>164.00299999999999</v>
      </c>
      <c r="AE125" s="1397">
        <f>Q_Financials!CK73</f>
        <v>164.00299999999999</v>
      </c>
      <c r="AF125" s="1397">
        <f>Q_Financials!CO73</f>
        <v>164.00299999999999</v>
      </c>
      <c r="AG125" s="1397">
        <f>Q_Financials!CS73</f>
        <v>164.00299999999999</v>
      </c>
      <c r="AH125" s="1397">
        <f>Q_Financials!CW73</f>
        <v>164.00299999999999</v>
      </c>
      <c r="AI125" s="967"/>
      <c r="AJ125" s="1428"/>
      <c r="AK125" s="1428"/>
      <c r="AL125" s="1128"/>
      <c r="AM125" s="1128"/>
      <c r="AN125" s="1128"/>
    </row>
    <row r="126" spans="1:43">
      <c r="A126" s="722" t="s">
        <v>1236</v>
      </c>
      <c r="B126" s="967">
        <v>0</v>
      </c>
      <c r="C126" s="967">
        <v>0</v>
      </c>
      <c r="D126" s="967">
        <v>0</v>
      </c>
      <c r="E126" s="967">
        <v>0</v>
      </c>
      <c r="F126" s="967">
        <v>0</v>
      </c>
      <c r="G126" s="967">
        <v>0</v>
      </c>
      <c r="H126" s="967">
        <v>0</v>
      </c>
      <c r="I126" s="967">
        <v>0</v>
      </c>
      <c r="J126" s="967">
        <v>0</v>
      </c>
      <c r="K126" s="967">
        <v>0</v>
      </c>
      <c r="L126" s="967">
        <v>0</v>
      </c>
      <c r="M126" s="967">
        <v>0</v>
      </c>
      <c r="N126" s="967">
        <v>0</v>
      </c>
      <c r="O126" s="967">
        <v>0</v>
      </c>
      <c r="P126" s="967">
        <f>Q_Financials!AC76</f>
        <v>0</v>
      </c>
      <c r="Q126" s="967">
        <f>Q_Financials!AG76</f>
        <v>0</v>
      </c>
      <c r="R126" s="967">
        <f>Q_Financials!AK76</f>
        <v>0</v>
      </c>
      <c r="S126" s="967">
        <f>Q_Financials!AO76</f>
        <v>0</v>
      </c>
      <c r="T126" s="967">
        <f>Q_Financials!AS76</f>
        <v>20347.108</v>
      </c>
      <c r="U126" s="967">
        <f>Q_Financials!AW76</f>
        <v>23423</v>
      </c>
      <c r="V126" s="967">
        <f>Q_Financials!BA76</f>
        <v>22274.256000000001</v>
      </c>
      <c r="W126" s="967">
        <f>Q_Financials!BE76</f>
        <v>20604.243999999999</v>
      </c>
      <c r="X126" s="967">
        <f>Q_Financials!BI76</f>
        <v>17151.940999999999</v>
      </c>
      <c r="Y126" s="1397">
        <f>Q_Financials!BM76</f>
        <v>17104.083384253652</v>
      </c>
      <c r="Z126" s="1397">
        <f>Q_Financials!BQ76</f>
        <v>16986.424189142854</v>
      </c>
      <c r="AA126" s="1397">
        <f>Q_Financials!BU76</f>
        <v>17160.217999624252</v>
      </c>
      <c r="AB126" s="1397">
        <f>Q_Financials!BY76</f>
        <v>17377.825188298011</v>
      </c>
      <c r="AC126" s="1397">
        <f>Q_Financials!CC76</f>
        <v>17750.447151311993</v>
      </c>
      <c r="AD126" s="1397">
        <f>Q_Financials!CG76</f>
        <v>18304.076645060672</v>
      </c>
      <c r="AE126" s="1397">
        <f>Q_Financials!CK76</f>
        <v>18959.625613256852</v>
      </c>
      <c r="AF126" s="1397">
        <f>Q_Financials!CO76</f>
        <v>19733.493985803874</v>
      </c>
      <c r="AG126" s="1397">
        <f>Q_Financials!CS76</f>
        <v>20625.582561876708</v>
      </c>
      <c r="AH126" s="1397">
        <f>Q_Financials!CW76</f>
        <v>21618.755563790903</v>
      </c>
      <c r="AI126" s="1911"/>
      <c r="AJ126" s="1428"/>
      <c r="AK126" s="1428"/>
      <c r="AL126" s="1128"/>
      <c r="AM126" s="1128"/>
      <c r="AN126" s="1128"/>
    </row>
    <row r="127" spans="1:43">
      <c r="A127" s="723" t="s">
        <v>621</v>
      </c>
      <c r="B127" s="967">
        <v>10.439</v>
      </c>
      <c r="C127" s="967">
        <v>37.771999999999998</v>
      </c>
      <c r="D127" s="967">
        <v>30.786999999999999</v>
      </c>
      <c r="E127" s="967">
        <v>4.1269999999999998</v>
      </c>
      <c r="F127" s="967">
        <v>12.048</v>
      </c>
      <c r="G127" s="967">
        <v>99.655000000000001</v>
      </c>
      <c r="H127" s="967">
        <v>268.36099999999999</v>
      </c>
      <c r="I127" s="967">
        <v>341.95099999999996</v>
      </c>
      <c r="J127" s="967">
        <f>Q_Financials!E77</f>
        <v>458.14</v>
      </c>
      <c r="K127" s="967">
        <f>Q_Financials!I77</f>
        <v>535.17499999999995</v>
      </c>
      <c r="L127" s="967">
        <f>Q_Financials!M77</f>
        <v>692.42</v>
      </c>
      <c r="M127" s="967">
        <f>Q_Financials!Q77</f>
        <v>828.96500000000003</v>
      </c>
      <c r="N127" s="967">
        <f>Q_Financials!U77</f>
        <v>741.28200000000004</v>
      </c>
      <c r="O127" s="967">
        <f>Q_Financials!Y77</f>
        <v>1320.8810000000001</v>
      </c>
      <c r="P127" s="967">
        <f>Q_Financials!AC77</f>
        <v>1710.943</v>
      </c>
      <c r="Q127" s="967">
        <f>Q_Financials!AG77</f>
        <v>1900.191</v>
      </c>
      <c r="R127" s="967">
        <f>Q_Financials!AK77</f>
        <v>2456.0720000000001</v>
      </c>
      <c r="S127" s="967">
        <f>Q_Financials!AO77</f>
        <v>2730.5549999999998</v>
      </c>
      <c r="T127" s="967">
        <f>Q_Financials!AS77</f>
        <v>3835.5929999999998</v>
      </c>
      <c r="U127" s="967">
        <f>Q_Financials!AW77</f>
        <v>6698</v>
      </c>
      <c r="V127" s="967">
        <f>Q_Financials!BA77</f>
        <v>5751.8270000000002</v>
      </c>
      <c r="W127" s="967">
        <f>Q_Financials!BE77</f>
        <v>5233.857</v>
      </c>
      <c r="X127" s="967">
        <f>Q_Financials!BI77</f>
        <v>6372.8</v>
      </c>
      <c r="Y127" s="1397">
        <f>Q_Financials!BM77</f>
        <v>6446.9470000000001</v>
      </c>
      <c r="Z127" s="1397">
        <f>Q_Financials!BQ77</f>
        <v>6446.9470000000001</v>
      </c>
      <c r="AA127" s="1397">
        <f>Q_Financials!BU77</f>
        <v>6446.9470000000001</v>
      </c>
      <c r="AB127" s="1397">
        <f>Q_Financials!BY77</f>
        <v>6446.9470000000001</v>
      </c>
      <c r="AC127" s="1397">
        <f>Q_Financials!CC77</f>
        <v>6446.9470000000001</v>
      </c>
      <c r="AD127" s="1397">
        <f>Q_Financials!CG77</f>
        <v>6446.9470000000001</v>
      </c>
      <c r="AE127" s="1397">
        <f>Q_Financials!CK77</f>
        <v>6446.9470000000001</v>
      </c>
      <c r="AF127" s="1397">
        <f>Q_Financials!CO77</f>
        <v>6446.9470000000001</v>
      </c>
      <c r="AG127" s="1397">
        <f>Q_Financials!CS77</f>
        <v>6446.9470000000001</v>
      </c>
      <c r="AH127" s="1397">
        <f>Q_Financials!CW77</f>
        <v>6446.9470000000001</v>
      </c>
      <c r="AI127" s="967"/>
      <c r="AJ127" s="1428"/>
      <c r="AK127" s="1428"/>
      <c r="AL127" s="1128"/>
      <c r="AM127" s="1128"/>
      <c r="AN127" s="1128"/>
    </row>
    <row r="128" spans="1:43">
      <c r="A128" s="109" t="s">
        <v>66</v>
      </c>
      <c r="B128" s="1538">
        <v>1068.8120000000001</v>
      </c>
      <c r="C128" s="1538">
        <v>1188.6669999999999</v>
      </c>
      <c r="D128" s="1538">
        <v>1241.338</v>
      </c>
      <c r="E128" s="1538">
        <v>1655.3</v>
      </c>
      <c r="F128" s="1538">
        <v>2431.7550000000001</v>
      </c>
      <c r="G128" s="1538">
        <v>3099.3919999999998</v>
      </c>
      <c r="H128" s="1538">
        <v>3868.8169999999996</v>
      </c>
      <c r="I128" s="1538">
        <v>4418.05</v>
      </c>
      <c r="J128" s="1538">
        <f t="shared" ref="J128:Z128" si="191">SUM(J123:J127)</f>
        <v>4373.451</v>
      </c>
      <c r="K128" s="1538">
        <f t="shared" si="191"/>
        <v>4505.3909999999996</v>
      </c>
      <c r="L128" s="1538">
        <f t="shared" si="191"/>
        <v>5123.9279999999999</v>
      </c>
      <c r="M128" s="1538">
        <f t="shared" si="191"/>
        <v>7212.1990000000005</v>
      </c>
      <c r="N128" s="1538">
        <f t="shared" si="191"/>
        <v>9680.3859999999986</v>
      </c>
      <c r="O128" s="1538">
        <f t="shared" si="191"/>
        <v>25695.370000000003</v>
      </c>
      <c r="P128" s="1538">
        <f t="shared" si="191"/>
        <v>27451.612000000001</v>
      </c>
      <c r="Q128" s="1538">
        <f t="shared" si="191"/>
        <v>31790.37</v>
      </c>
      <c r="R128" s="1538">
        <f t="shared" si="191"/>
        <v>33586.557000000001</v>
      </c>
      <c r="S128" s="1538">
        <f t="shared" si="191"/>
        <v>46487.01</v>
      </c>
      <c r="T128" s="1538">
        <f>SUM(T123:T127)</f>
        <v>69181.731999999989</v>
      </c>
      <c r="U128" s="1538">
        <f t="shared" si="191"/>
        <v>74908</v>
      </c>
      <c r="V128" s="1538">
        <f t="shared" si="191"/>
        <v>71232.444999999992</v>
      </c>
      <c r="W128" s="1538">
        <f t="shared" si="191"/>
        <v>68095.490999999995</v>
      </c>
      <c r="X128" s="1538">
        <f t="shared" ref="X128" si="192">SUM(X123:X127)</f>
        <v>64324.724999999999</v>
      </c>
      <c r="Y128" s="1617">
        <f t="shared" si="191"/>
        <v>66870.844908046696</v>
      </c>
      <c r="Z128" s="1617">
        <f t="shared" si="191"/>
        <v>67493.194813991868</v>
      </c>
      <c r="AA128" s="1617">
        <f>SUM(AA123:AA127)</f>
        <v>68113.975904966399</v>
      </c>
      <c r="AB128" s="1617">
        <f>SUM(AB123:AB127)</f>
        <v>68754.091644551416</v>
      </c>
      <c r="AC128" s="1617">
        <f>SUM(AC123:AC127)</f>
        <v>70540.09587304866</v>
      </c>
      <c r="AD128" s="1617">
        <f>SUM(AD123:AD127)</f>
        <v>72423.998861382614</v>
      </c>
      <c r="AE128" s="1617">
        <f>SUM(AE123:AE127)</f>
        <v>74102.664681265902</v>
      </c>
      <c r="AF128" s="1617">
        <f t="shared" ref="AF128:AH128" si="193">SUM(AF123:AF127)</f>
        <v>75812.211752561969</v>
      </c>
      <c r="AG128" s="1617">
        <f t="shared" si="193"/>
        <v>77548.791061290074</v>
      </c>
      <c r="AH128" s="1617">
        <f t="shared" si="193"/>
        <v>79174.222857023895</v>
      </c>
      <c r="AI128" s="967"/>
      <c r="AJ128" s="1428"/>
      <c r="AK128" s="1428"/>
      <c r="AL128" s="1128"/>
      <c r="AM128" s="1128"/>
      <c r="AN128" s="1128"/>
    </row>
    <row r="129" spans="1:43">
      <c r="A129" s="723" t="s">
        <v>67</v>
      </c>
      <c r="B129" s="967">
        <v>99.13</v>
      </c>
      <c r="C129" s="967">
        <v>207.08600000000001</v>
      </c>
      <c r="D129" s="967">
        <v>205.8</v>
      </c>
      <c r="E129" s="967">
        <v>147.19499999999999</v>
      </c>
      <c r="F129" s="967">
        <v>165.05500000000001</v>
      </c>
      <c r="G129" s="967">
        <v>244.262</v>
      </c>
      <c r="H129" s="967">
        <v>209.327</v>
      </c>
      <c r="I129" s="967">
        <v>661.86300000000006</v>
      </c>
      <c r="J129" s="967">
        <f>Q_Financials!E68</f>
        <v>463.214</v>
      </c>
      <c r="K129" s="967">
        <f>Q_Financials!I68</f>
        <v>640.20299999999997</v>
      </c>
      <c r="L129" s="967">
        <f>Q_Financials!M68</f>
        <v>739.37900000000002</v>
      </c>
      <c r="M129" s="967">
        <f>Q_Financials!Q68</f>
        <v>932.59400000000005</v>
      </c>
      <c r="N129" s="967">
        <f>Q_Financials!U68</f>
        <v>663.27</v>
      </c>
      <c r="O129" s="967">
        <f>Q_Financials!Y68</f>
        <v>1112.8499999999999</v>
      </c>
      <c r="P129" s="967">
        <f>Q_Financials!AC68</f>
        <v>1195.8139999999999</v>
      </c>
      <c r="Q129" s="967">
        <f>Q_Financials!AG68</f>
        <v>2547.8420000000001</v>
      </c>
      <c r="R129" s="967">
        <f>Q_Financials!AK68</f>
        <v>1540.403</v>
      </c>
      <c r="S129" s="967">
        <f>Q_Financials!AO68</f>
        <v>1987.857</v>
      </c>
      <c r="T129" s="967">
        <f>Q_Financials!AS68</f>
        <v>2625.3890000000001</v>
      </c>
      <c r="U129" s="967">
        <f>Q_Financials!AW68</f>
        <v>3932</v>
      </c>
      <c r="V129" s="967">
        <f>Q_Financials!BA68</f>
        <v>6893.433</v>
      </c>
      <c r="W129" s="967">
        <f>Q_Financials!BE68</f>
        <v>6099.7089999999998</v>
      </c>
      <c r="X129" s="967">
        <f>Q_Financials!BI68</f>
        <v>6409.7979999999998</v>
      </c>
      <c r="Y129" s="1397">
        <f>Q_Financials!BM68</f>
        <v>5027.6001092946917</v>
      </c>
      <c r="Z129" s="1397">
        <f>Q_Financials!BQ68</f>
        <v>10021.567702024999</v>
      </c>
      <c r="AA129" s="1397">
        <f>Q_Financials!BU68</f>
        <v>16668.287619622075</v>
      </c>
      <c r="AB129" s="1397">
        <f>Q_Financials!BY68</f>
        <v>23837.458151008566</v>
      </c>
      <c r="AC129" s="1397">
        <f>Q_Financials!CC68</f>
        <v>27372.725024565363</v>
      </c>
      <c r="AD129" s="1397">
        <f>Q_Financials!CG68</f>
        <v>30976.411823377985</v>
      </c>
      <c r="AE129" s="1397">
        <f>Q_Financials!CK68</f>
        <v>35042.007675271117</v>
      </c>
      <c r="AF129" s="1397">
        <f>Q_Financials!CO68</f>
        <v>39381.865596393211</v>
      </c>
      <c r="AG129" s="1397">
        <f>Q_Financials!CS68</f>
        <v>45014.538811507904</v>
      </c>
      <c r="AH129" s="1397">
        <f>Q_Financials!CW68</f>
        <v>50215.361753652185</v>
      </c>
      <c r="AI129" s="967"/>
      <c r="AJ129" s="1428"/>
      <c r="AK129" s="1428"/>
      <c r="AL129" s="1128"/>
      <c r="AM129" s="1128"/>
      <c r="AN129" s="1128"/>
    </row>
    <row r="130" spans="1:43">
      <c r="A130" s="723" t="s">
        <v>68</v>
      </c>
      <c r="B130" s="967">
        <v>110.291</v>
      </c>
      <c r="C130" s="967">
        <v>121.56</v>
      </c>
      <c r="D130" s="967">
        <v>133.27799999999999</v>
      </c>
      <c r="E130" s="967">
        <v>142.49700000000001</v>
      </c>
      <c r="F130" s="967">
        <v>189.31799999999998</v>
      </c>
      <c r="G130" s="967">
        <v>210.517</v>
      </c>
      <c r="H130" s="967">
        <v>309.786</v>
      </c>
      <c r="I130" s="967">
        <v>182.87299999999999</v>
      </c>
      <c r="J130" s="967">
        <f>Q_Financials!E69</f>
        <v>196.14699999999999</v>
      </c>
      <c r="K130" s="967">
        <f>Q_Financials!I69</f>
        <v>246.70599999999999</v>
      </c>
      <c r="L130" s="967">
        <f>Q_Financials!M69</f>
        <v>385.57799999999997</v>
      </c>
      <c r="M130" s="967">
        <f>Q_Financials!Q69</f>
        <v>535.93100000000004</v>
      </c>
      <c r="N130" s="967">
        <f>Q_Financials!U69</f>
        <v>628.81799999999998</v>
      </c>
      <c r="O130" s="967">
        <f>Q_Financials!Y69</f>
        <v>895.54300000000001</v>
      </c>
      <c r="P130" s="967">
        <f>Q_Financials!AC69</f>
        <v>904.85299999999995</v>
      </c>
      <c r="Q130" s="967">
        <f>Q_Financials!AG69</f>
        <v>953.63800000000003</v>
      </c>
      <c r="R130" s="967">
        <f>Q_Financials!AK69</f>
        <v>1250.588</v>
      </c>
      <c r="S130" s="967">
        <f>Q_Financials!AO69</f>
        <v>1025.1179999999999</v>
      </c>
      <c r="T130" s="967">
        <f>Q_Financials!AS69</f>
        <v>1447.221</v>
      </c>
      <c r="U130" s="967">
        <f>Q_Financials!AW69</f>
        <v>1706</v>
      </c>
      <c r="V130" s="967">
        <f>Q_Financials!BA69</f>
        <v>1751.527</v>
      </c>
      <c r="W130" s="967">
        <f>Q_Financials!BE69</f>
        <v>2029.42</v>
      </c>
      <c r="X130" s="967">
        <f>Q_Financials!BI69</f>
        <v>2372.241</v>
      </c>
      <c r="Y130" s="1397">
        <f>Q_Financials!BM69</f>
        <v>2470.8553474906266</v>
      </c>
      <c r="Z130" s="1397">
        <f>Q_Financials!BQ69</f>
        <v>2674.727110579985</v>
      </c>
      <c r="AA130" s="1397">
        <f>Q_Financials!BU69</f>
        <v>2848.6329347755423</v>
      </c>
      <c r="AB130" s="1397">
        <f>Q_Financials!BY69</f>
        <v>3018.4303820045948</v>
      </c>
      <c r="AC130" s="1397">
        <f>Q_Financials!CC69</f>
        <v>3180.7981301458003</v>
      </c>
      <c r="AD130" s="1397">
        <f>Q_Financials!CG69</f>
        <v>3351.0032516326623</v>
      </c>
      <c r="AE130" s="1397">
        <f>Q_Financials!CK69</f>
        <v>3522.9335880553758</v>
      </c>
      <c r="AF130" s="1397">
        <f>Q_Financials!CO69</f>
        <v>3701.8956798081135</v>
      </c>
      <c r="AG130" s="1397">
        <f>Q_Financials!CS69</f>
        <v>3889.5857357949376</v>
      </c>
      <c r="AH130" s="1397">
        <f>Q_Financials!CW69</f>
        <v>4083.8483426410867</v>
      </c>
      <c r="AI130" s="967"/>
      <c r="AJ130" s="1428"/>
      <c r="AK130" s="1428"/>
      <c r="AL130" s="1128"/>
      <c r="AM130" s="1128"/>
      <c r="AN130" s="1128"/>
    </row>
    <row r="131" spans="1:43">
      <c r="A131" s="723" t="s">
        <v>345</v>
      </c>
      <c r="B131" s="955">
        <v>88.174000000000007</v>
      </c>
      <c r="C131" s="955">
        <v>69.954999999999998</v>
      </c>
      <c r="D131" s="955">
        <v>113.45699999999999</v>
      </c>
      <c r="E131" s="955">
        <v>181.892</v>
      </c>
      <c r="F131" s="955">
        <v>140.095</v>
      </c>
      <c r="G131" s="955">
        <v>226.386</v>
      </c>
      <c r="H131" s="955">
        <v>235.25200000000001</v>
      </c>
      <c r="I131" s="955">
        <v>361.524</v>
      </c>
      <c r="J131" s="955">
        <f>Q_Financials!E70</f>
        <v>336.87</v>
      </c>
      <c r="K131" s="955">
        <f>Q_Financials!I70</f>
        <v>352.32499999999999</v>
      </c>
      <c r="L131" s="955">
        <f>Q_Financials!M70</f>
        <v>403.13</v>
      </c>
      <c r="M131" s="955">
        <f>Q_Financials!Q70</f>
        <v>550.39400000000001</v>
      </c>
      <c r="N131" s="955">
        <f>Q_Financials!U70</f>
        <v>641.88</v>
      </c>
      <c r="O131" s="955">
        <f>Q_Financials!Y70</f>
        <v>1055.174</v>
      </c>
      <c r="P131" s="955">
        <f>Q_Financials!AC70</f>
        <v>1377.981</v>
      </c>
      <c r="Q131" s="955">
        <f>Q_Financials!AG70</f>
        <v>1575.3630000000001</v>
      </c>
      <c r="R131" s="955">
        <f>Q_Financials!AK70</f>
        <v>2009.779</v>
      </c>
      <c r="S131" s="955">
        <f>Q_Financials!AO70</f>
        <v>2120.2080000000001</v>
      </c>
      <c r="T131" s="955">
        <f>Q_Financials!AS70</f>
        <v>1779.646</v>
      </c>
      <c r="U131" s="955">
        <f>Q_Financials!AW70</f>
        <v>1618</v>
      </c>
      <c r="V131" s="955">
        <f>Q_Financials!BA70</f>
        <v>2009.258</v>
      </c>
      <c r="W131" s="955">
        <f>Q_Financials!BE70</f>
        <v>2895.326</v>
      </c>
      <c r="X131" s="955">
        <f>Q_Financials!BI70</f>
        <v>2750.665</v>
      </c>
      <c r="Y131" s="1123">
        <f>Q_Financials!BM70</f>
        <v>2949.8939755864417</v>
      </c>
      <c r="Z131" s="1123">
        <f>Q_Financials!BQ70</f>
        <v>3202.9098523431808</v>
      </c>
      <c r="AA131" s="1123">
        <f>Q_Financials!BU70</f>
        <v>3421.400859520812</v>
      </c>
      <c r="AB131" s="1123">
        <f>Q_Financials!BY70</f>
        <v>3636.1933887556324</v>
      </c>
      <c r="AC131" s="1123">
        <f>Q_Financials!CC70</f>
        <v>3888.9828384477514</v>
      </c>
      <c r="AD131" s="1123">
        <f>Q_Financials!CG70</f>
        <v>4097.0830602772903</v>
      </c>
      <c r="AE131" s="1123">
        <f>Q_Financials!CK70</f>
        <v>4307.2926053029696</v>
      </c>
      <c r="AF131" s="1123">
        <f>Q_Financials!CO70</f>
        <v>4526.0994817793471</v>
      </c>
      <c r="AG131" s="1123">
        <f>Q_Financials!CS70</f>
        <v>4755.5775488601412</v>
      </c>
      <c r="AH131" s="1123">
        <f>Q_Financials!CW70</f>
        <v>4993.0915039322172</v>
      </c>
      <c r="AI131" s="967"/>
      <c r="AJ131" s="1428"/>
      <c r="AK131" s="1428"/>
      <c r="AL131" s="1128"/>
      <c r="AM131" s="1128"/>
      <c r="AN131" s="1128"/>
    </row>
    <row r="132" spans="1:43">
      <c r="A132" s="723" t="s">
        <v>69</v>
      </c>
      <c r="B132" s="967">
        <v>106.58099999999999</v>
      </c>
      <c r="C132" s="967">
        <v>64.171999999999997</v>
      </c>
      <c r="D132" s="967">
        <v>104.354</v>
      </c>
      <c r="E132" s="967">
        <v>79.14</v>
      </c>
      <c r="F132" s="967">
        <v>317.69100000000003</v>
      </c>
      <c r="G132" s="967">
        <v>259.90899999999999</v>
      </c>
      <c r="H132" s="967">
        <v>672.53899999999999</v>
      </c>
      <c r="I132" s="967">
        <v>886.32999999999993</v>
      </c>
      <c r="J132" s="967">
        <f>Q_Financials!E71</f>
        <v>439.12700000000001</v>
      </c>
      <c r="K132" s="967">
        <f>Q_Financials!I71</f>
        <v>396.60400000000004</v>
      </c>
      <c r="L132" s="967">
        <f>Q_Financials!M71</f>
        <v>2722.1579999999999</v>
      </c>
      <c r="M132" s="967">
        <f>Q_Financials!Q71</f>
        <v>566.47500000000002</v>
      </c>
      <c r="N132" s="967">
        <f>Q_Financials!U71</f>
        <v>801.78099999999995</v>
      </c>
      <c r="O132" s="967">
        <f>Q_Financials!Y71</f>
        <v>1012.6589999999999</v>
      </c>
      <c r="P132" s="967">
        <f>Q_Financials!AC71</f>
        <v>912.16700000000014</v>
      </c>
      <c r="Q132" s="967">
        <f>Q_Financials!AG71</f>
        <v>1127.9279999999999</v>
      </c>
      <c r="R132" s="967">
        <f>Q_Financials!AK71</f>
        <v>1271.9299999999998</v>
      </c>
      <c r="S132" s="967">
        <f>Q_Financials!AO71</f>
        <v>1439.9290000000001</v>
      </c>
      <c r="T132" s="967">
        <f>Q_Financials!AS71</f>
        <v>1378.26</v>
      </c>
      <c r="U132" s="967">
        <f>Q_Financials!AW71</f>
        <v>1274</v>
      </c>
      <c r="V132" s="967">
        <f>Q_Financials!BA71</f>
        <v>1090.8989999999999</v>
      </c>
      <c r="W132" s="967">
        <f>Q_Financials!BE71</f>
        <v>1349.377</v>
      </c>
      <c r="X132" s="967">
        <f>Q_Financials!BI71</f>
        <v>1139.5920000000001</v>
      </c>
      <c r="Y132" s="1397">
        <f>Q_Financials!BM71</f>
        <v>1186.9649783295788</v>
      </c>
      <c r="Z132" s="1397">
        <f>Q_Financials!BQ71</f>
        <v>1284.9021736830559</v>
      </c>
      <c r="AA132" s="1397">
        <f>Q_Financials!BU71</f>
        <v>1368.4441434941602</v>
      </c>
      <c r="AB132" s="1397">
        <f>Q_Financials!BY71</f>
        <v>1450.0125054281502</v>
      </c>
      <c r="AC132" s="1397">
        <f>Q_Financials!CC71</f>
        <v>1528.01174194743</v>
      </c>
      <c r="AD132" s="1397">
        <f>Q_Financials!CG71</f>
        <v>1609.7759449965536</v>
      </c>
      <c r="AE132" s="1397">
        <f>Q_Financials!CK71</f>
        <v>1692.3689176096366</v>
      </c>
      <c r="AF132" s="1397">
        <f>Q_Financials!CO71</f>
        <v>1778.3398489208678</v>
      </c>
      <c r="AG132" s="1397">
        <f>Q_Financials!CS71</f>
        <v>1868.5035743948551</v>
      </c>
      <c r="AH132" s="1397">
        <f>Q_Financials!CW71</f>
        <v>1961.8246630452143</v>
      </c>
      <c r="AI132" s="967"/>
      <c r="AJ132" s="1428"/>
      <c r="AK132" s="1428"/>
      <c r="AL132" s="1128"/>
      <c r="AM132" s="1128"/>
      <c r="AN132" s="1128"/>
    </row>
    <row r="133" spans="1:43">
      <c r="A133" s="109" t="s">
        <v>70</v>
      </c>
      <c r="B133" s="1538">
        <v>1472.9879999999998</v>
      </c>
      <c r="C133" s="1538">
        <v>1651.4399999999998</v>
      </c>
      <c r="D133" s="1538">
        <v>1798.2270000000001</v>
      </c>
      <c r="E133" s="1538">
        <v>2206.0239999999999</v>
      </c>
      <c r="F133" s="1538">
        <v>3243.9139999999998</v>
      </c>
      <c r="G133" s="1538">
        <v>4040.4659999999999</v>
      </c>
      <c r="H133" s="1538">
        <v>5295.7209999999995</v>
      </c>
      <c r="I133" s="1538">
        <v>6510.64</v>
      </c>
      <c r="J133" s="1538">
        <f t="shared" ref="J133:Z133" si="194">SUM(J128:J132)</f>
        <v>5808.8090000000002</v>
      </c>
      <c r="K133" s="1538">
        <f t="shared" si="194"/>
        <v>6141.2289999999994</v>
      </c>
      <c r="L133" s="1538">
        <f t="shared" si="194"/>
        <v>9374.1730000000007</v>
      </c>
      <c r="M133" s="1538">
        <f t="shared" si="194"/>
        <v>9797.5930000000008</v>
      </c>
      <c r="N133" s="1538">
        <f t="shared" si="194"/>
        <v>12416.134999999998</v>
      </c>
      <c r="O133" s="1538">
        <f t="shared" si="194"/>
        <v>29771.596000000001</v>
      </c>
      <c r="P133" s="1538">
        <f t="shared" si="194"/>
        <v>31842.427</v>
      </c>
      <c r="Q133" s="1538">
        <f t="shared" si="194"/>
        <v>37995.140999999996</v>
      </c>
      <c r="R133" s="1538">
        <f t="shared" si="194"/>
        <v>39659.257000000005</v>
      </c>
      <c r="S133" s="1538">
        <f t="shared" si="194"/>
        <v>53060.122000000003</v>
      </c>
      <c r="T133" s="1538">
        <f>SUM(T128:T132)</f>
        <v>76412.247999999978</v>
      </c>
      <c r="U133" s="1538">
        <f t="shared" si="194"/>
        <v>83438</v>
      </c>
      <c r="V133" s="1538">
        <f t="shared" si="194"/>
        <v>82977.562000000005</v>
      </c>
      <c r="W133" s="1538">
        <f t="shared" si="194"/>
        <v>80469.322999999989</v>
      </c>
      <c r="X133" s="1538">
        <f t="shared" ref="X133" si="195">SUM(X128:X132)</f>
        <v>76997.020999999993</v>
      </c>
      <c r="Y133" s="1617">
        <f t="shared" si="194"/>
        <v>78506.159318748032</v>
      </c>
      <c r="Z133" s="1617">
        <f t="shared" si="194"/>
        <v>84677.301652623093</v>
      </c>
      <c r="AA133" s="1617">
        <f>SUM(AA128:AA132)</f>
        <v>92420.741462378981</v>
      </c>
      <c r="AB133" s="1617">
        <f>SUM(AB128:AB132)</f>
        <v>100696.18607174837</v>
      </c>
      <c r="AC133" s="1617">
        <f>SUM(AC128:AC132)</f>
        <v>106510.61360815501</v>
      </c>
      <c r="AD133" s="1617">
        <f>SUM(AD128:AD132)</f>
        <v>112458.27294166711</v>
      </c>
      <c r="AE133" s="1617">
        <f>SUM(AE128:AE132)</f>
        <v>118667.26746750499</v>
      </c>
      <c r="AF133" s="1617">
        <f t="shared" ref="AF133:AH133" si="196">SUM(AF128:AF132)</f>
        <v>125200.4123594635</v>
      </c>
      <c r="AG133" s="1617">
        <f t="shared" si="196"/>
        <v>133076.9967318479</v>
      </c>
      <c r="AH133" s="1617">
        <f t="shared" si="196"/>
        <v>140428.34912029459</v>
      </c>
      <c r="AI133" s="967"/>
      <c r="AJ133" s="1428"/>
      <c r="AK133" s="1428"/>
      <c r="AL133" s="1128"/>
      <c r="AM133" s="1128"/>
      <c r="AN133" s="1128"/>
    </row>
    <row r="134" spans="1:43">
      <c r="A134" s="110" t="s">
        <v>71</v>
      </c>
      <c r="B134" s="438"/>
      <c r="C134" s="438"/>
      <c r="D134" s="438"/>
      <c r="E134" s="438"/>
      <c r="F134" s="438"/>
      <c r="G134" s="438"/>
      <c r="H134" s="438"/>
      <c r="I134" s="438"/>
      <c r="J134" s="438"/>
      <c r="K134" s="438"/>
      <c r="L134" s="438"/>
      <c r="M134" s="438"/>
      <c r="N134" s="438"/>
      <c r="O134" s="438"/>
      <c r="P134" s="438"/>
      <c r="Q134" s="438"/>
      <c r="R134" s="438"/>
      <c r="S134" s="447"/>
      <c r="T134" s="447"/>
      <c r="U134" s="447"/>
      <c r="V134" s="447"/>
      <c r="W134" s="447"/>
      <c r="X134" s="447"/>
      <c r="Y134" s="447"/>
      <c r="Z134" s="447"/>
      <c r="AA134" s="447"/>
      <c r="AB134" s="447"/>
      <c r="AC134" s="447"/>
      <c r="AD134" s="447"/>
      <c r="AE134" s="447"/>
      <c r="AF134" s="447"/>
      <c r="AG134" s="447"/>
      <c r="AH134" s="447"/>
      <c r="AI134" s="967"/>
      <c r="AJ134" s="508"/>
      <c r="AK134" s="508"/>
      <c r="AL134" s="508"/>
      <c r="AM134" s="508"/>
      <c r="AN134" s="508"/>
    </row>
    <row r="135" spans="1:43">
      <c r="A135" s="724" t="s">
        <v>72</v>
      </c>
      <c r="B135" s="967">
        <v>142.27600000000001</v>
      </c>
      <c r="C135" s="967">
        <v>66.106999999999999</v>
      </c>
      <c r="D135" s="967">
        <v>45.132000000000005</v>
      </c>
      <c r="E135" s="967">
        <v>98.706999999999994</v>
      </c>
      <c r="F135" s="967">
        <v>769.35500000000002</v>
      </c>
      <c r="G135" s="967">
        <v>497.27600000000001</v>
      </c>
      <c r="H135" s="967">
        <v>1033.45</v>
      </c>
      <c r="I135" s="967">
        <v>1790.1779999999999</v>
      </c>
      <c r="J135" s="967">
        <f>(Q_Financials!E82+Q_Financials!E87+Q_Financials!E88)</f>
        <v>1328.134</v>
      </c>
      <c r="K135" s="967">
        <f>(Q_Financials!I82+Q_Financials!I87+Q_Financials!I88)</f>
        <v>1656.047</v>
      </c>
      <c r="L135" s="967">
        <f>(Q_Financials!M82+Q_Financials!M87+Q_Financials!M88)</f>
        <v>4056.5309999999999</v>
      </c>
      <c r="M135" s="967">
        <f>(Q_Financials!Q82+Q_Financials!Q87+Q_Financials!Q88)</f>
        <v>2474.48</v>
      </c>
      <c r="N135" s="967">
        <f>(Q_Financials!U82+Q_Financials!U87+Q_Financials!U88)</f>
        <v>5043.6170000000002</v>
      </c>
      <c r="O135" s="967">
        <f>(Q_Financials!Y82+Q_Financials!Y87+Q_Financials!Y88)</f>
        <v>11239.179</v>
      </c>
      <c r="P135" s="967">
        <f>(Q_Financials!AC82+Q_Financials!AC87+Q_Financials!AC88)</f>
        <v>12233.341</v>
      </c>
      <c r="Q135" s="967">
        <f>(Q_Financials!AG82+Q_Financials!AG87+Q_Financials!AG88)</f>
        <v>14839.888999999999</v>
      </c>
      <c r="R135" s="967">
        <f>(Q_Financials!AK82+Q_Financials!AK87+Q_Financials!AK88)</f>
        <v>18041.436000000002</v>
      </c>
      <c r="S135" s="967">
        <f>(Q_Financials!AO82+Q_Financials!AO87+Q_Financials!AO88)</f>
        <v>28115.931999999997</v>
      </c>
      <c r="T135" s="967">
        <f>(Q_Financials!AS82+Q_Financials!AS87+Q_Financials!AS88)</f>
        <v>27686.744999999999</v>
      </c>
      <c r="U135" s="967">
        <f>(Q_Financials!AW82+Q_Financials!AW87+Q_Financials!AW88)</f>
        <v>38368.148999999998</v>
      </c>
      <c r="V135" s="967">
        <f>(Q_Financials!BA82+Q_Financials!BA87+Q_Financials!BA88)</f>
        <v>37448.553</v>
      </c>
      <c r="W135" s="967">
        <f>(Q_Financials!BE82+Q_Financials!BE87+Q_Financials!BE88)</f>
        <v>32649.838</v>
      </c>
      <c r="X135" s="967">
        <f>(Q_Financials!BI82+Q_Financials!BI87+Q_Financials!BI88)</f>
        <v>31416.120000000003</v>
      </c>
      <c r="Y135" s="1397">
        <f>(Q_Financials!BM82+Q_Financials!BM87+Q_Financials!BM88)</f>
        <v>34525.30381662523</v>
      </c>
      <c r="Z135" s="1397">
        <f>(Q_Financials!BQ82+Q_Financials!BQ87+Q_Financials!BQ88)</f>
        <v>37359.942550450389</v>
      </c>
      <c r="AA135" s="1397">
        <f>(Q_Financials!BU82+Q_Financials!BU87+Q_Financials!BU88)</f>
        <v>40946.76166856855</v>
      </c>
      <c r="AB135" s="1397">
        <f>(Q_Financials!BY82+Q_Financials!BY87+Q_Financials!BY88)</f>
        <v>44106.456902711994</v>
      </c>
      <c r="AC135" s="1397">
        <f>(Q_Financials!CC82+Q_Financials!CC87+Q_Financials!CC88)</f>
        <v>44478.609167290524</v>
      </c>
      <c r="AD135" s="1397">
        <f>(Q_Financials!CG82+Q_Financials!CG87+Q_Financials!CG88)</f>
        <v>44854.101478022312</v>
      </c>
      <c r="AE135" s="1397">
        <f>(Q_Financials!CK82+Q_Financials!CK87+Q_Financials!CK88)</f>
        <v>45232.96381163827</v>
      </c>
      <c r="AF135" s="1397">
        <f>(Q_Financials!CO82+Q_Financials!CO87+Q_Financials!CO88)</f>
        <v>45615.226413908887</v>
      </c>
      <c r="AG135" s="1397">
        <f>(Q_Financials!CS82+Q_Financials!CS87+Q_Financials!CS88)</f>
        <v>47004.212088415195</v>
      </c>
      <c r="AH135" s="1397">
        <f>(Q_Financials!CW82+Q_Financials!CW87+Q_Financials!CW88)</f>
        <v>47553.737201855962</v>
      </c>
      <c r="AI135" s="967"/>
      <c r="AJ135" s="508"/>
      <c r="AK135" s="508"/>
      <c r="AL135" s="508"/>
      <c r="AM135" s="508"/>
      <c r="AN135" s="508"/>
    </row>
    <row r="136" spans="1:43">
      <c r="A136" s="723" t="s">
        <v>574</v>
      </c>
      <c r="B136" s="967">
        <v>188.44800000000001</v>
      </c>
      <c r="C136" s="967">
        <v>280.45400000000001</v>
      </c>
      <c r="D136" s="967">
        <v>257.99399999999997</v>
      </c>
      <c r="E136" s="967">
        <v>330.79300000000001</v>
      </c>
      <c r="F136" s="967">
        <v>483.69600000000003</v>
      </c>
      <c r="G136" s="967">
        <v>685.5630000000001</v>
      </c>
      <c r="H136" s="967">
        <v>911.31099999999992</v>
      </c>
      <c r="I136" s="967">
        <v>1171.8150000000001</v>
      </c>
      <c r="J136" s="967">
        <f>Q_Financials!E83</f>
        <v>559.149</v>
      </c>
      <c r="K136" s="967">
        <f>Q_Financials!I83</f>
        <v>710.548</v>
      </c>
      <c r="L136" s="967">
        <f>Q_Financials!M83</f>
        <v>1021.424</v>
      </c>
      <c r="M136" s="967">
        <f>Q_Financials!Q83</f>
        <v>1129.6120000000001</v>
      </c>
      <c r="N136" s="967">
        <f>Q_Financials!U83</f>
        <v>1408.5650000000001</v>
      </c>
      <c r="O136" s="967">
        <f>Q_Financials!Y83</f>
        <v>2694.0149999999999</v>
      </c>
      <c r="P136" s="967">
        <f>Q_Financials!AC83</f>
        <v>3013.0909999999999</v>
      </c>
      <c r="Q136" s="967">
        <f>Q_Financials!AG83</f>
        <v>3901.9720000000002</v>
      </c>
      <c r="R136" s="967">
        <f>Q_Financials!AK83</f>
        <v>3960.806</v>
      </c>
      <c r="S136" s="967">
        <f>Q_Financials!AO83</f>
        <v>5215.8770000000004</v>
      </c>
      <c r="T136" s="967">
        <f>Q_Financials!AS83</f>
        <v>5450.5550000000003</v>
      </c>
      <c r="U136" s="967">
        <f>Q_Financials!AW83</f>
        <v>3604</v>
      </c>
      <c r="V136" s="967">
        <f>Q_Financials!BA83</f>
        <v>3979.2370000000001</v>
      </c>
      <c r="W136" s="967">
        <f>Q_Financials!BE83</f>
        <v>5628.5950000000003</v>
      </c>
      <c r="X136" s="967">
        <f>Q_Financials!BI83</f>
        <v>5767.8990000000003</v>
      </c>
      <c r="Y136" s="1397">
        <f>Q_Financials!BM83</f>
        <v>6185.6643800284883</v>
      </c>
      <c r="Z136" s="1397">
        <f>Q_Financials!BQ83</f>
        <v>6716.2160911708188</v>
      </c>
      <c r="AA136" s="1397">
        <f>Q_Financials!BU83</f>
        <v>7174.3722322526492</v>
      </c>
      <c r="AB136" s="1397">
        <f>Q_Financials!BY83</f>
        <v>7624.7729951885176</v>
      </c>
      <c r="AC136" s="1397">
        <f>Q_Financials!CC83</f>
        <v>8154.849908985625</v>
      </c>
      <c r="AD136" s="1397">
        <f>Q_Financials!CG83</f>
        <v>8591.2175006008802</v>
      </c>
      <c r="AE136" s="1397">
        <f>Q_Financials!CK83</f>
        <v>9032.0081546950969</v>
      </c>
      <c r="AF136" s="1397">
        <f>Q_Financials!CO83</f>
        <v>9490.8266455041285</v>
      </c>
      <c r="AG136" s="1397">
        <f>Q_Financials!CS83</f>
        <v>9972.0216705752446</v>
      </c>
      <c r="AH136" s="1397">
        <f>Q_Financials!CW83</f>
        <v>10470.067235537272</v>
      </c>
      <c r="AI136" s="967"/>
      <c r="AJ136" s="508"/>
      <c r="AK136" s="508"/>
      <c r="AL136" s="508"/>
      <c r="AM136" s="508"/>
      <c r="AN136" s="508"/>
    </row>
    <row r="137" spans="1:43">
      <c r="A137" s="723" t="s">
        <v>1182</v>
      </c>
      <c r="B137" s="967">
        <v>0</v>
      </c>
      <c r="C137" s="967">
        <v>0</v>
      </c>
      <c r="D137" s="967">
        <v>0</v>
      </c>
      <c r="E137" s="967">
        <v>0</v>
      </c>
      <c r="F137" s="967">
        <v>0</v>
      </c>
      <c r="G137" s="967">
        <v>0</v>
      </c>
      <c r="H137" s="967">
        <v>0</v>
      </c>
      <c r="I137" s="967">
        <v>0</v>
      </c>
      <c r="J137" s="967">
        <v>0</v>
      </c>
      <c r="K137" s="967">
        <v>0</v>
      </c>
      <c r="L137" s="967">
        <v>0</v>
      </c>
      <c r="M137" s="967">
        <v>0</v>
      </c>
      <c r="N137" s="967">
        <v>0</v>
      </c>
      <c r="O137" s="967">
        <v>0</v>
      </c>
      <c r="P137" s="967">
        <f>Q_Financials!AC89</f>
        <v>0</v>
      </c>
      <c r="Q137" s="967">
        <f>Q_Financials!AG89</f>
        <v>0</v>
      </c>
      <c r="R137" s="967">
        <f>Q_Financials!AK89</f>
        <v>0</v>
      </c>
      <c r="S137" s="967">
        <f>Q_Financials!AO89</f>
        <v>0</v>
      </c>
      <c r="T137" s="967">
        <f>Q_Financials!AS89</f>
        <v>22561.86</v>
      </c>
      <c r="U137" s="967">
        <f>Q_Financials!AW89</f>
        <v>25300</v>
      </c>
      <c r="V137" s="967">
        <f>Q_Financials!BA89</f>
        <v>23763.274000000001</v>
      </c>
      <c r="W137" s="967">
        <f>Q_Financials!BE89</f>
        <v>21981.811000000002</v>
      </c>
      <c r="X137" s="967">
        <f>Q_Financials!BI89</f>
        <v>18330.066999999999</v>
      </c>
      <c r="Y137" s="1397">
        <f>Q_Financials!BM89</f>
        <v>18848.366087448117</v>
      </c>
      <c r="Z137" s="1397">
        <f>Q_Financials!BQ89</f>
        <v>19193.176315034365</v>
      </c>
      <c r="AA137" s="1397">
        <f>Q_Financials!BU89</f>
        <v>19602.195010980726</v>
      </c>
      <c r="AB137" s="1397">
        <f>Q_Financials!BY89</f>
        <v>19950.417516719212</v>
      </c>
      <c r="AC137" s="1397">
        <f>Q_Financials!CC89</f>
        <v>20242.450451634097</v>
      </c>
      <c r="AD137" s="1397">
        <f>Q_Financials!CG89</f>
        <v>20535.289151060624</v>
      </c>
      <c r="AE137" s="1397">
        <f>Q_Financials!CK89</f>
        <v>20780.237148322587</v>
      </c>
      <c r="AF137" s="1397">
        <f>Q_Financials!CO89</f>
        <v>21005.921721082006</v>
      </c>
      <c r="AG137" s="1397">
        <f>Q_Financials!CS89</f>
        <v>21227.850183475533</v>
      </c>
      <c r="AH137" s="1397">
        <f>Q_Financials!CW89</f>
        <v>21441.89911920411</v>
      </c>
      <c r="AI137" s="967"/>
      <c r="AJ137" s="508"/>
      <c r="AK137" s="508"/>
      <c r="AL137" s="508"/>
      <c r="AM137" s="508"/>
      <c r="AN137" s="508"/>
    </row>
    <row r="138" spans="1:43">
      <c r="A138" s="722" t="s">
        <v>73</v>
      </c>
      <c r="B138" s="1539">
        <v>170.74700000000001</v>
      </c>
      <c r="C138" s="1539">
        <v>197.51000000000002</v>
      </c>
      <c r="D138" s="1539">
        <v>240.82499999999999</v>
      </c>
      <c r="E138" s="1539">
        <v>188.51300000000001</v>
      </c>
      <c r="F138" s="1539">
        <v>141.24600000000001</v>
      </c>
      <c r="G138" s="1539">
        <v>135.05700000000002</v>
      </c>
      <c r="H138" s="1539">
        <v>218.87199999999999</v>
      </c>
      <c r="I138" s="1539">
        <v>318.85399999999998</v>
      </c>
      <c r="J138" s="1539">
        <f>(Q_Financials!E84+Q_Financials!E90+Q_Financials!E85)</f>
        <v>789.16300000000001</v>
      </c>
      <c r="K138" s="1539">
        <f>(Q_Financials!I84+Q_Financials!I90+Q_Financials!I85)</f>
        <v>663.20100000000002</v>
      </c>
      <c r="L138" s="1539">
        <f>(Q_Financials!M84+Q_Financials!M90+Q_Financials!M85)</f>
        <v>1003.49</v>
      </c>
      <c r="M138" s="1539">
        <f>(Q_Financials!Q84+Q_Financials!Q90+Q_Financials!Q85)</f>
        <v>1364.6019999999999</v>
      </c>
      <c r="N138" s="1539">
        <f>(Q_Financials!U84+Q_Financials!U90+Q_Financials!U85)</f>
        <v>1453.0210000000002</v>
      </c>
      <c r="O138" s="1539">
        <f>(Q_Financials!Y84+Q_Financials!Y90+Q_Financials!Y85)</f>
        <v>5748.7839999999997</v>
      </c>
      <c r="P138" s="1539">
        <f>(Q_Financials!AC84+Q_Financials!AC90+Q_Financials!AC85)</f>
        <v>6170.5209999999997</v>
      </c>
      <c r="Q138" s="1539">
        <f>(Q_Financials!AG84+Q_Financials!AG85)</f>
        <v>3779.114</v>
      </c>
      <c r="R138" s="1539">
        <f>(Q_Financials!AK84+Q_Financials!AK85)</f>
        <v>4473.75</v>
      </c>
      <c r="S138" s="1539">
        <f>(Q_Financials!AO84+Q_Financials!AO85)</f>
        <v>4127.8909999999996</v>
      </c>
      <c r="T138" s="1539">
        <f>(Q_Financials!AS84+Q_Financials!AS85)</f>
        <v>4174.9709999999995</v>
      </c>
      <c r="U138" s="1539">
        <f>(Q_Financials!AW84+Q_Financials!AW85)</f>
        <v>3659</v>
      </c>
      <c r="V138" s="1539">
        <f>(Q_Financials!BA84+Q_Financials!BA85)</f>
        <v>4159.7520000000004</v>
      </c>
      <c r="W138" s="1539">
        <f>(Q_Financials!BE84+Q_Financials!BE85)</f>
        <v>5899.3039999999992</v>
      </c>
      <c r="X138" s="1539">
        <f>(Q_Financials!BI84+Q_Financials!BI85)</f>
        <v>7101.8060000000005</v>
      </c>
      <c r="Y138" s="1618">
        <f>(Q_Financials!BM84+Q_Financials!BM85)</f>
        <v>7030.3137503973621</v>
      </c>
      <c r="Z138" s="1618">
        <f>(Q_Financials!BQ84+Q_Financials!BQ85)</f>
        <v>7590.2636498139727</v>
      </c>
      <c r="AA138" s="1618">
        <f>(Q_Financials!BU84+Q_Financials!BU85)</f>
        <v>8073.8064972463326</v>
      </c>
      <c r="AB138" s="1618">
        <f>(Q_Financials!BY84+Q_Financials!BY85)</f>
        <v>8549.164236381861</v>
      </c>
      <c r="AC138" s="1618">
        <f>(Q_Financials!CC84+Q_Financials!CC85)</f>
        <v>9108.6130296478023</v>
      </c>
      <c r="AD138" s="1618">
        <f>(Q_Financials!CG84+Q_Financials!CG85)</f>
        <v>9569.1600110297568</v>
      </c>
      <c r="AE138" s="1618">
        <f>(Q_Financials!CK84+Q_Financials!CK85)</f>
        <v>10034.375139433376</v>
      </c>
      <c r="AF138" s="1618">
        <f>(Q_Financials!CO84+Q_Financials!CO85)</f>
        <v>10518.617037788266</v>
      </c>
      <c r="AG138" s="1618">
        <f>(Q_Financials!CS84+Q_Financials!CS85)</f>
        <v>11026.475367578973</v>
      </c>
      <c r="AH138" s="1618">
        <f>(Q_Financials!CW84+Q_Financials!CW85)</f>
        <v>11552.11793577448</v>
      </c>
      <c r="AI138" s="967"/>
      <c r="AJ138" s="508"/>
      <c r="AK138" s="508"/>
      <c r="AL138" s="508"/>
      <c r="AM138" s="508"/>
      <c r="AN138" s="508"/>
    </row>
    <row r="139" spans="1:43">
      <c r="A139" s="722" t="s">
        <v>1543</v>
      </c>
      <c r="B139" s="1539"/>
      <c r="C139" s="1539"/>
      <c r="D139" s="1539"/>
      <c r="E139" s="1539"/>
      <c r="F139" s="1539"/>
      <c r="G139" s="1539"/>
      <c r="H139" s="1539"/>
      <c r="I139" s="1539"/>
      <c r="J139" s="1539"/>
      <c r="K139" s="1539"/>
      <c r="L139" s="1539"/>
      <c r="M139" s="1539"/>
      <c r="N139" s="1539"/>
      <c r="O139" s="1539"/>
      <c r="P139" s="1539"/>
      <c r="Q139" s="1539">
        <f>(Q_Financials!AG90)</f>
        <v>5550.0949999999993</v>
      </c>
      <c r="R139" s="1539">
        <f>(Q_Financials!AK90)</f>
        <v>2580.1390000000001</v>
      </c>
      <c r="S139" s="1539">
        <f>(Q_Financials!AO90)</f>
        <v>2641.6</v>
      </c>
      <c r="T139" s="1539">
        <f>(Q_Financials!AS90)</f>
        <v>4995.5560000000005</v>
      </c>
      <c r="U139" s="1539">
        <f>(Q_Financials!AW90)</f>
        <v>4873</v>
      </c>
      <c r="V139" s="1539">
        <f>(Q_Financials!BA90)</f>
        <v>4952.6570000000002</v>
      </c>
      <c r="W139" s="1539">
        <f>(Q_Financials!BE90)</f>
        <v>5729.777</v>
      </c>
      <c r="X139" s="1539">
        <f>(Q_Financials!BI90)</f>
        <v>5065.4059999999999</v>
      </c>
      <c r="Y139" s="1618">
        <f>(Q_Financials!BM90)</f>
        <v>4243.8869999999997</v>
      </c>
      <c r="Z139" s="1618">
        <f>(Q_Financials!BQ90)</f>
        <v>4243.8869999999997</v>
      </c>
      <c r="AA139" s="1618">
        <f>(Q_Financials!BU90)</f>
        <v>4243.8869999999997</v>
      </c>
      <c r="AB139" s="1618">
        <f>(Q_Financials!BY90)</f>
        <v>4243.8869999999997</v>
      </c>
      <c r="AC139" s="1618">
        <f>(Q_Financials!CC90)</f>
        <v>4243.8869999999997</v>
      </c>
      <c r="AD139" s="1618">
        <f>(Q_Financials!CG90)</f>
        <v>4243.8869999999997</v>
      </c>
      <c r="AE139" s="1618">
        <f>(Q_Financials!CK90)</f>
        <v>4243.8869999999997</v>
      </c>
      <c r="AF139" s="1618">
        <f>(Q_Financials!CO90)</f>
        <v>4243.8869999999997</v>
      </c>
      <c r="AG139" s="1618">
        <f>(Q_Financials!CS90)</f>
        <v>4243.8869999999997</v>
      </c>
      <c r="AH139" s="1618">
        <f>(Q_Financials!BS90)</f>
        <v>4243.8869999999997</v>
      </c>
      <c r="AI139" s="967"/>
      <c r="AJ139" s="508"/>
      <c r="AK139" s="508"/>
      <c r="AL139" s="508"/>
      <c r="AM139" s="508"/>
      <c r="AN139" s="508"/>
    </row>
    <row r="140" spans="1:43">
      <c r="A140" s="109" t="s">
        <v>74</v>
      </c>
      <c r="B140" s="1538">
        <v>922.91300000000001</v>
      </c>
      <c r="C140" s="1538">
        <v>1080.4529999999997</v>
      </c>
      <c r="D140" s="1538">
        <v>1211.9480000000003</v>
      </c>
      <c r="E140" s="1538">
        <v>1425.3859999999997</v>
      </c>
      <c r="F140" s="1538">
        <v>1767.4979999999998</v>
      </c>
      <c r="G140" s="1538">
        <v>2653.8759999999997</v>
      </c>
      <c r="H140" s="1538">
        <v>2997.4830000000002</v>
      </c>
      <c r="I140" s="1538">
        <v>2997.0709999999999</v>
      </c>
      <c r="J140" s="1538">
        <f>Q_Financials!E99</f>
        <v>2908.5889999999999</v>
      </c>
      <c r="K140" s="1538">
        <f>Q_Financials!I99</f>
        <v>2865.3280000000004</v>
      </c>
      <c r="L140" s="1538">
        <f>Q_Financials!M99</f>
        <v>2993.8649999999998</v>
      </c>
      <c r="M140" s="1538">
        <f>Q_Financials!Q99</f>
        <v>4520.71</v>
      </c>
      <c r="N140" s="1538">
        <f>Q_Financials!U99</f>
        <v>4271.4269999999997</v>
      </c>
      <c r="O140" s="1538">
        <f>Q_Financials!Y99</f>
        <v>8800.1280000000006</v>
      </c>
      <c r="P140" s="1538">
        <f>Q_Financials!AC99</f>
        <v>9069.2769999999982</v>
      </c>
      <c r="Q140" s="1538">
        <f>Q_Financials!AG99</f>
        <v>8910.6229999999996</v>
      </c>
      <c r="R140" s="1538">
        <f>Q_Financials!AK99</f>
        <v>9460.389000000001</v>
      </c>
      <c r="S140" s="1538">
        <f>Q_Financials!AO99</f>
        <v>11080.08</v>
      </c>
      <c r="T140" s="1538">
        <f>Q_Financials!AS99</f>
        <v>9580.9979999999996</v>
      </c>
      <c r="U140" s="1538">
        <f>Q_Financials!AW99</f>
        <v>6302.7489999999998</v>
      </c>
      <c r="V140" s="1538">
        <f>Q_Financials!BA99</f>
        <v>7639.1659999999993</v>
      </c>
      <c r="W140" s="1538">
        <f>Q_Financials!BE99</f>
        <v>7617.8669999999993</v>
      </c>
      <c r="X140" s="1538">
        <f>Q_Financials!BI99</f>
        <v>8375.1020000000008</v>
      </c>
      <c r="Y140" s="1617">
        <f>Q_Financials!BM99</f>
        <v>7548.2332842488358</v>
      </c>
      <c r="Z140" s="1617">
        <f>Q_Financials!BQ99</f>
        <v>9449.4250461535503</v>
      </c>
      <c r="AA140" s="1617">
        <f>Q_Financials!BU99</f>
        <v>12255.328053330746</v>
      </c>
      <c r="AB140" s="1617">
        <f>Q_Financials!BY99</f>
        <v>16097.096420746779</v>
      </c>
      <c r="AC140" s="1617">
        <f>Q_Financials!CC99</f>
        <v>20157.813050596957</v>
      </c>
      <c r="AD140" s="1617">
        <f>Q_Financials!CG99</f>
        <v>24540.226800953533</v>
      </c>
      <c r="AE140" s="1617">
        <f>Q_Financials!CK99</f>
        <v>29219.405213415666</v>
      </c>
      <c r="AF140" s="1617">
        <f>Q_Financials!CO99</f>
        <v>34201.542541180206</v>
      </c>
      <c r="AG140" s="1617">
        <f>Q_Financials!CS99</f>
        <v>39478.159421802964</v>
      </c>
      <c r="AH140" s="1617">
        <f>Q_Financials!CW99</f>
        <v>45042.249627922778</v>
      </c>
      <c r="AI140" s="967"/>
      <c r="AJ140" s="508"/>
      <c r="AK140" s="508"/>
      <c r="AL140" s="508"/>
      <c r="AM140" s="508"/>
      <c r="AN140" s="508"/>
    </row>
    <row r="141" spans="1:43" s="13" customFormat="1">
      <c r="A141" s="112" t="s">
        <v>342</v>
      </c>
      <c r="B141" s="1538">
        <v>48.603999999999999</v>
      </c>
      <c r="C141" s="1538">
        <v>26.916</v>
      </c>
      <c r="D141" s="1538">
        <v>42.328000000000003</v>
      </c>
      <c r="E141" s="1538">
        <v>162.625</v>
      </c>
      <c r="F141" s="1538">
        <v>82.119</v>
      </c>
      <c r="G141" s="1538">
        <v>68.694000000000003</v>
      </c>
      <c r="H141" s="1538">
        <v>134.60499999999999</v>
      </c>
      <c r="I141" s="1538">
        <v>232.72200000000001</v>
      </c>
      <c r="J141" s="1538">
        <f>Q_Financials!E93</f>
        <v>223.774</v>
      </c>
      <c r="K141" s="1538">
        <f>Q_Financials!I93</f>
        <v>245.64099999999999</v>
      </c>
      <c r="L141" s="1538">
        <f>Q_Financials!M93</f>
        <v>298.86399999999998</v>
      </c>
      <c r="M141" s="1538">
        <f>Q_Financials!Q93</f>
        <v>308.18900000000002</v>
      </c>
      <c r="N141" s="1538">
        <f>Q_Financials!U93</f>
        <v>239.50399999999999</v>
      </c>
      <c r="O141" s="1538">
        <f>Q_Financials!Y93</f>
        <v>1289.49</v>
      </c>
      <c r="P141" s="1538">
        <f>Q_Financials!AC93</f>
        <v>1356.1969999999999</v>
      </c>
      <c r="Q141" s="1538">
        <f>Q_Financials!AG93</f>
        <v>1013.448</v>
      </c>
      <c r="R141" s="1538">
        <f>Q_Financials!AK93</f>
        <v>1142.7370000000001</v>
      </c>
      <c r="S141" s="1538">
        <f>Q_Financials!AO93</f>
        <v>1878.742</v>
      </c>
      <c r="T141" s="1538">
        <f>Q_Financials!AS93</f>
        <v>1961.5630000000001</v>
      </c>
      <c r="U141" s="1538">
        <f>Q_Financials!AW93</f>
        <v>1330.4459999999999</v>
      </c>
      <c r="V141" s="1538">
        <f>Q_Financials!BA93</f>
        <v>1034.923</v>
      </c>
      <c r="W141" s="1538">
        <f>Q_Financials!BE93</f>
        <v>962.13099999999997</v>
      </c>
      <c r="X141" s="1538">
        <f>Q_Financials!BI93</f>
        <v>940.62099999999998</v>
      </c>
      <c r="Y141" s="1617">
        <f>Q_Financials!BM93</f>
        <v>124.39</v>
      </c>
      <c r="Z141" s="1617">
        <f>Q_Financials!BQ93</f>
        <v>124.39</v>
      </c>
      <c r="AA141" s="1617">
        <f>Q_Financials!BU93</f>
        <v>124.39</v>
      </c>
      <c r="AB141" s="1617">
        <f>Q_Financials!BY93</f>
        <v>124.39</v>
      </c>
      <c r="AC141" s="1617">
        <f>Q_Financials!CC93</f>
        <v>124.39</v>
      </c>
      <c r="AD141" s="1617">
        <f>Q_Financials!CG93</f>
        <v>124.39</v>
      </c>
      <c r="AE141" s="1617">
        <f>Q_Financials!CK93</f>
        <v>124.39</v>
      </c>
      <c r="AF141" s="1617">
        <f>Q_Financials!CO93</f>
        <v>124.39</v>
      </c>
      <c r="AG141" s="1617">
        <f>Q_Financials!CS93</f>
        <v>124.39</v>
      </c>
      <c r="AH141" s="1617">
        <f>Q_Financials!CW93</f>
        <v>124.39</v>
      </c>
      <c r="AI141" s="967"/>
      <c r="AJ141" s="508"/>
      <c r="AK141" s="508"/>
      <c r="AL141" s="508"/>
      <c r="AM141" s="508"/>
      <c r="AN141" s="508"/>
      <c r="AP141" s="9"/>
      <c r="AQ141" s="9"/>
    </row>
    <row r="142" spans="1:43">
      <c r="A142" s="109" t="s">
        <v>78</v>
      </c>
      <c r="B142" s="1538">
        <v>1472.9880000000001</v>
      </c>
      <c r="C142" s="1538">
        <v>1651.4399999999998</v>
      </c>
      <c r="D142" s="1538">
        <v>1798.2270000000003</v>
      </c>
      <c r="E142" s="1538">
        <v>2206.0239999999999</v>
      </c>
      <c r="F142" s="1538">
        <v>3243.9140000000002</v>
      </c>
      <c r="G142" s="1538">
        <v>4040.4659999999999</v>
      </c>
      <c r="H142" s="1538">
        <v>5295.7209999999995</v>
      </c>
      <c r="I142" s="1538">
        <v>6510.6399999999994</v>
      </c>
      <c r="J142" s="1538">
        <f t="shared" ref="J142:Z142" si="197">SUM(J135:J141)</f>
        <v>5808.8090000000002</v>
      </c>
      <c r="K142" s="1538">
        <f t="shared" si="197"/>
        <v>6140.7650000000003</v>
      </c>
      <c r="L142" s="1538">
        <f t="shared" si="197"/>
        <v>9374.1739999999991</v>
      </c>
      <c r="M142" s="1538">
        <f t="shared" si="197"/>
        <v>9797.5929999999989</v>
      </c>
      <c r="N142" s="1538">
        <f t="shared" si="197"/>
        <v>12416.134000000002</v>
      </c>
      <c r="O142" s="1538">
        <f t="shared" si="197"/>
        <v>29771.596000000001</v>
      </c>
      <c r="P142" s="1538">
        <f t="shared" si="197"/>
        <v>31842.427</v>
      </c>
      <c r="Q142" s="1538">
        <f t="shared" si="197"/>
        <v>37995.140999999996</v>
      </c>
      <c r="R142" s="1538">
        <f t="shared" si="197"/>
        <v>39659.257000000005</v>
      </c>
      <c r="S142" s="1538">
        <f t="shared" si="197"/>
        <v>53060.121999999996</v>
      </c>
      <c r="T142" s="1538">
        <f>SUM(T135:T141)</f>
        <v>76412.247999999992</v>
      </c>
      <c r="U142" s="1538">
        <f t="shared" si="197"/>
        <v>83437.343999999997</v>
      </c>
      <c r="V142" s="1538">
        <f t="shared" si="197"/>
        <v>82977.561999999991</v>
      </c>
      <c r="W142" s="1538">
        <f t="shared" si="197"/>
        <v>80469.322999999989</v>
      </c>
      <c r="X142" s="1538">
        <f t="shared" ref="X142" si="198">SUM(X135:X141)</f>
        <v>76997.020999999993</v>
      </c>
      <c r="Y142" s="1617">
        <f t="shared" si="197"/>
        <v>78506.158318748028</v>
      </c>
      <c r="Z142" s="1617">
        <f t="shared" si="197"/>
        <v>84677.300652623104</v>
      </c>
      <c r="AA142" s="1617">
        <f>SUM(AA135:AA141)</f>
        <v>92420.740462379006</v>
      </c>
      <c r="AB142" s="1617">
        <f>SUM(AB135:AB141)</f>
        <v>100696.18507174838</v>
      </c>
      <c r="AC142" s="1617">
        <f>SUM(AC135:AC141)</f>
        <v>106510.61260815502</v>
      </c>
      <c r="AD142" s="1617">
        <f>SUM(AD135:AD141)</f>
        <v>112458.27194166712</v>
      </c>
      <c r="AE142" s="1617">
        <f>SUM(AE135:AE141)</f>
        <v>118667.266467505</v>
      </c>
      <c r="AF142" s="1617">
        <f t="shared" ref="AF142:AH142" si="199">SUM(AF135:AF141)</f>
        <v>125200.41135946348</v>
      </c>
      <c r="AG142" s="1617">
        <f t="shared" si="199"/>
        <v>133076.99573184794</v>
      </c>
      <c r="AH142" s="1617">
        <f t="shared" si="199"/>
        <v>140428.34812029463</v>
      </c>
      <c r="AI142" s="967"/>
      <c r="AJ142" s="1128">
        <f>IFERROR((T142/P142)^(1/4)-1,"NM")</f>
        <v>0.24462695891982578</v>
      </c>
      <c r="AK142" s="1128">
        <f>IFERROR((W142/T142)^(1/3)-1,"NM")</f>
        <v>1.7393886587318219E-2</v>
      </c>
      <c r="AL142" s="1128">
        <f>IFERROR((AA142/Y142)^(1/2)-1,"NM")</f>
        <v>8.5007796686883408E-2</v>
      </c>
      <c r="AM142" s="1128">
        <f>IFERROR((AD142/R142)^(1/5)-1,"NM")</f>
        <v>0.23176927355963706</v>
      </c>
      <c r="AN142" s="1128">
        <f>IFERROR((AH142/X142)^(1/5)-1,"NM")</f>
        <v>0.12770673167306845</v>
      </c>
    </row>
    <row r="143" spans="1:43">
      <c r="A143" s="4"/>
      <c r="B143" s="1619"/>
      <c r="C143" s="1619"/>
      <c r="D143" s="1620"/>
      <c r="E143" s="1540"/>
      <c r="F143" s="1540"/>
      <c r="G143" s="1540"/>
      <c r="H143" s="1540"/>
      <c r="I143" s="1540"/>
      <c r="J143" s="1619"/>
      <c r="K143" s="1620"/>
      <c r="L143" s="1540"/>
      <c r="M143" s="1540"/>
      <c r="N143" s="1540"/>
      <c r="O143" s="1540"/>
      <c r="P143" s="1540"/>
      <c r="Q143" s="1540"/>
      <c r="R143" s="1540"/>
      <c r="S143" s="1540"/>
      <c r="T143" s="1540"/>
      <c r="U143" s="1540"/>
      <c r="V143" s="1540"/>
      <c r="W143" s="1540"/>
      <c r="X143" s="1540"/>
      <c r="Y143" s="1540"/>
      <c r="Z143" s="1540"/>
      <c r="AA143" s="1540"/>
      <c r="AB143" s="1540"/>
      <c r="AC143" s="1540"/>
      <c r="AD143" s="1540"/>
      <c r="AE143" s="1540"/>
      <c r="AF143" s="1540"/>
      <c r="AG143" s="1540"/>
      <c r="AH143" s="1540"/>
      <c r="AI143" s="1540"/>
      <c r="AJ143" s="508"/>
      <c r="AK143" s="508"/>
      <c r="AL143" s="508"/>
      <c r="AM143" s="508"/>
      <c r="AN143" s="508"/>
    </row>
    <row r="144" spans="1:43" hidden="1"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</row>
    <row r="145" spans="1:40" hidden="1"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</row>
    <row r="146" spans="1:40" hidden="1"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</row>
    <row r="147" spans="1:40" hidden="1"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</row>
    <row r="148" spans="1:40" hidden="1"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</row>
    <row r="149" spans="1:40"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1"/>
      <c r="Y149" s="41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</row>
    <row r="150" spans="1:40">
      <c r="A150" s="1126" t="s">
        <v>668</v>
      </c>
      <c r="B150" s="1124">
        <v>2001</v>
      </c>
      <c r="C150" s="1124">
        <v>2002</v>
      </c>
      <c r="D150" s="1124">
        <v>2003</v>
      </c>
      <c r="E150" s="1124">
        <v>2004</v>
      </c>
      <c r="F150" s="1124">
        <v>2005</v>
      </c>
      <c r="G150" s="1124">
        <v>2006</v>
      </c>
      <c r="H150" s="1124">
        <v>2007</v>
      </c>
      <c r="I150" s="1124">
        <v>2008</v>
      </c>
      <c r="J150" s="1124">
        <f t="shared" ref="J150:AH150" si="200">J$4</f>
        <v>2009</v>
      </c>
      <c r="K150" s="1124">
        <f t="shared" si="200"/>
        <v>2010</v>
      </c>
      <c r="L150" s="1124">
        <f t="shared" si="200"/>
        <v>2011</v>
      </c>
      <c r="M150" s="1124">
        <f t="shared" si="200"/>
        <v>2012</v>
      </c>
      <c r="N150" s="1124">
        <f t="shared" si="200"/>
        <v>2013</v>
      </c>
      <c r="O150" s="1124">
        <f t="shared" si="200"/>
        <v>2014</v>
      </c>
      <c r="P150" s="1124">
        <f t="shared" si="200"/>
        <v>2015</v>
      </c>
      <c r="Q150" s="1124">
        <f t="shared" si="200"/>
        <v>2016</v>
      </c>
      <c r="R150" s="1124">
        <f t="shared" si="200"/>
        <v>2017</v>
      </c>
      <c r="S150" s="1583">
        <f t="shared" si="200"/>
        <v>2018</v>
      </c>
      <c r="T150" s="1583">
        <f t="shared" si="200"/>
        <v>2019</v>
      </c>
      <c r="U150" s="1583">
        <f t="shared" si="200"/>
        <v>2020</v>
      </c>
      <c r="V150" s="1583">
        <f t="shared" si="200"/>
        <v>2021</v>
      </c>
      <c r="W150" s="1583">
        <f t="shared" si="200"/>
        <v>2022</v>
      </c>
      <c r="X150" s="1583">
        <f t="shared" si="200"/>
        <v>2023</v>
      </c>
      <c r="Y150" s="1445">
        <f t="shared" si="200"/>
        <v>2024</v>
      </c>
      <c r="Z150" s="1445">
        <f t="shared" si="200"/>
        <v>2025</v>
      </c>
      <c r="AA150" s="1445">
        <f t="shared" si="200"/>
        <v>2026</v>
      </c>
      <c r="AB150" s="1445">
        <f t="shared" si="200"/>
        <v>2027</v>
      </c>
      <c r="AC150" s="1445">
        <f t="shared" si="200"/>
        <v>2028</v>
      </c>
      <c r="AD150" s="1445">
        <f t="shared" si="200"/>
        <v>2029</v>
      </c>
      <c r="AE150" s="1445">
        <f t="shared" si="200"/>
        <v>2030</v>
      </c>
      <c r="AF150" s="1445">
        <f t="shared" si="200"/>
        <v>2031</v>
      </c>
      <c r="AG150" s="1445">
        <f t="shared" si="200"/>
        <v>2032</v>
      </c>
      <c r="AH150" s="1445">
        <f t="shared" si="200"/>
        <v>2033</v>
      </c>
      <c r="AI150" s="121"/>
      <c r="AJ150" s="508"/>
      <c r="AK150" s="508"/>
      <c r="AL150" s="508"/>
      <c r="AM150" s="508"/>
      <c r="AN150" s="508"/>
    </row>
    <row r="151" spans="1:40">
      <c r="A151" s="123" t="s">
        <v>40</v>
      </c>
      <c r="B151" s="1541">
        <v>31.013999999999928</v>
      </c>
      <c r="C151" s="1541">
        <v>148.92700000000005</v>
      </c>
      <c r="D151" s="1541">
        <v>128.14800000000005</v>
      </c>
      <c r="E151" s="1541">
        <v>154.60899999999998</v>
      </c>
      <c r="F151" s="1541">
        <v>281.49800000000027</v>
      </c>
      <c r="G151" s="1541">
        <v>222.17700000000085</v>
      </c>
      <c r="H151" s="1541">
        <v>478.43499999999983</v>
      </c>
      <c r="I151" s="1541">
        <v>128.779</v>
      </c>
      <c r="J151" s="1541">
        <f>SUM(Q_Financials!B105:E105)</f>
        <v>103.74799999999944</v>
      </c>
      <c r="K151" s="1541">
        <f>SUM(Q_Financials!F105:I105)</f>
        <v>151.22599999999986</v>
      </c>
      <c r="L151" s="1541">
        <f>SUM(Q_Financials!J105:M105)</f>
        <v>209.6440000000004</v>
      </c>
      <c r="M151" s="1541">
        <f>SUM(Q_Financials!N105:Q105)</f>
        <v>366.56499999999937</v>
      </c>
      <c r="N151" s="1541">
        <f>SUM(Q_Financials!R105:U105)</f>
        <v>681.01300000000026</v>
      </c>
      <c r="O151" s="1541">
        <f>SUMIF(Q_Financials!$3:$3,Financials!O$150,Q_Financials!105:105)</f>
        <v>666.66600000000017</v>
      </c>
      <c r="P151" s="1541">
        <f>SUMIF(Q_Financials!$3:$3,Financials!P$150,Q_Financials!105:105)</f>
        <v>981.20600000000036</v>
      </c>
      <c r="Q151" s="1541">
        <f>SUMIF(Q_Financials!$3:$3,Financials!Q$150,Q_Financials!105:105)</f>
        <v>996.47199999999941</v>
      </c>
      <c r="R151" s="1541">
        <f>SUMIF(Q_Financials!$3:$3,Financials!R$150,Q_Financials!105:105)</f>
        <v>1089.4689999999996</v>
      </c>
      <c r="S151" s="1541">
        <f>SUMIF(Q_Financials!$3:$3,Financials!S$150,Q_Financials!105:105)</f>
        <v>953.25299999999902</v>
      </c>
      <c r="T151" s="1541">
        <f>SUMIF(Q_Financials!$3:$3,Financials!T$150,Q_Financials!105:105)</f>
        <v>926.66999999999916</v>
      </c>
      <c r="U151" s="1541">
        <f>SUMIF(Q_Financials!$3:$3,Financials!U$150,Q_Financials!105:105)</f>
        <v>-3186.0470000000023</v>
      </c>
      <c r="V151" s="1541">
        <f>SUMIF(Q_Financials!$3:$3,Financials!V$150,Q_Financials!105:105)</f>
        <v>835.12999999999909</v>
      </c>
      <c r="W151" s="1541">
        <f>SUMIF(Q_Financials!$3:$3,Financials!W$150,Q_Financials!105:105)</f>
        <v>1632.3349999999982</v>
      </c>
      <c r="X151" s="1541">
        <f>SUMIF(Q_Financials!$3:$3,Financials!X$150,Q_Financials!105:105)</f>
        <v>2930.7289999999966</v>
      </c>
      <c r="Y151" s="1621">
        <f>SUMIF(Q_Financials!$3:$3,Financials!Y$150,Q_Financials!105:105)</f>
        <v>1123.5562842488382</v>
      </c>
      <c r="Z151" s="1621">
        <f>SUMIF(Q_Financials!$3:$3,Financials!Z$150,Q_Financials!105:105)</f>
        <v>1901.1917619047153</v>
      </c>
      <c r="AA151" s="1621">
        <f>SUMIF(Q_Financials!$3:$3,Financials!AA$150,Q_Financials!105:105)</f>
        <v>2805.9030071771958</v>
      </c>
      <c r="AB151" s="1621">
        <f>SUMIF(Q_Financials!$3:$3,Financials!AB$150,Q_Financials!105:105)</f>
        <v>3841.7683674160317</v>
      </c>
      <c r="AC151" s="1621">
        <f>SUMIF(Q_Financials!$3:$3,Financials!AC$150,Q_Financials!105:105)</f>
        <v>4060.7166298501761</v>
      </c>
      <c r="AD151" s="1621">
        <f>SUMIF(Q_Financials!$3:$3,Financials!AD$150,Q_Financials!105:105)</f>
        <v>4382.4137503565798</v>
      </c>
      <c r="AE151" s="1621">
        <f>SUMIF(Q_Financials!$3:$3,Financials!AE$150,Q_Financials!105:105)</f>
        <v>4679.1784124621308</v>
      </c>
      <c r="AF151" s="1621">
        <f>SUMIF(Q_Financials!$3:$3,Financials!AF$150,Q_Financials!105:105)</f>
        <v>4982.1373277645389</v>
      </c>
      <c r="AG151" s="1621">
        <f>SUMIF(Q_Financials!$3:$3,Financials!AG$150,Q_Financials!105:105)</f>
        <v>5276.6168806227579</v>
      </c>
      <c r="AH151" s="1621">
        <f>SUMIF(Q_Financials!$3:$3,Financials!AH$150,Q_Financials!105:105)</f>
        <v>5564.0902061198212</v>
      </c>
      <c r="AI151" s="972"/>
      <c r="AJ151" s="508"/>
      <c r="AK151" s="508"/>
      <c r="AL151" s="508"/>
      <c r="AM151" s="508"/>
      <c r="AN151" s="508"/>
    </row>
    <row r="152" spans="1:40">
      <c r="A152" s="725" t="s">
        <v>79</v>
      </c>
      <c r="B152" s="967">
        <v>111.178</v>
      </c>
      <c r="C152" s="967">
        <v>113.99299999999999</v>
      </c>
      <c r="D152" s="967">
        <v>161.46</v>
      </c>
      <c r="E152" s="967">
        <v>183.01</v>
      </c>
      <c r="F152" s="967">
        <v>210.93</v>
      </c>
      <c r="G152" s="967">
        <v>571.35799999999995</v>
      </c>
      <c r="H152" s="967">
        <v>437.25299999999999</v>
      </c>
      <c r="I152" s="967">
        <v>572.89</v>
      </c>
      <c r="J152" s="967">
        <f>SUM(Q_Financials!B107:E107)</f>
        <v>665.16700000000003</v>
      </c>
      <c r="K152" s="967">
        <f>SUM(Q_Financials!F107:I107)</f>
        <v>675.03300000000002</v>
      </c>
      <c r="L152" s="967">
        <f>SUM(Q_Financials!J107:M107)</f>
        <v>723.85199999999998</v>
      </c>
      <c r="M152" s="967">
        <f>SUM(Q_Financials!N107:Q107)</f>
        <v>811.298</v>
      </c>
      <c r="N152" s="967">
        <f>SUM(Q_Financials!R107:U107)</f>
        <v>923.12100000000009</v>
      </c>
      <c r="O152" s="967">
        <f>SUMIF(Q_Financials!$3:$3,Financials!O$150,Q_Financials!107:107)</f>
        <v>1333.32</v>
      </c>
      <c r="P152" s="967">
        <f>SUMIF(Q_Financials!$3:$3,Financials!P$150,Q_Financials!107:107)</f>
        <v>1947.8969999999999</v>
      </c>
      <c r="Q152" s="967">
        <f>SUMIF(Q_Financials!$3:$3,Financials!Q$150,Q_Financials!107:107)</f>
        <v>2388.2350000000001</v>
      </c>
      <c r="R152" s="967">
        <f>SUMIF(Q_Financials!$3:$3,Financials!R$150,Q_Financials!107:107)</f>
        <v>2751.6759999999999</v>
      </c>
      <c r="S152" s="967">
        <f>SUMIF(Q_Financials!$3:$3,Financials!S$150,Q_Financials!107:107)</f>
        <v>3023.1880000000001</v>
      </c>
      <c r="T152" s="967">
        <f>SUMIF(Q_Financials!$3:$3,Financials!T$150,Q_Financials!107:107)</f>
        <v>4081.7860000000001</v>
      </c>
      <c r="U152" s="967">
        <f>SUMIF(Q_Financials!$3:$3,Financials!U$150,Q_Financials!107:107)</f>
        <v>4353.3639999999996</v>
      </c>
      <c r="V152" s="967">
        <f>SUMIF(Q_Financials!$3:$3,Financials!V$150,Q_Financials!107:107)</f>
        <v>3506.527</v>
      </c>
      <c r="W152" s="967">
        <f>SUMIF(Q_Financials!$3:$3,Financials!W$150,Q_Financials!107:107)</f>
        <v>3350.9949999999999</v>
      </c>
      <c r="X152" s="967">
        <f>SUMIF(Q_Financials!$3:$3,Financials!X$150,Q_Financials!107:107)</f>
        <v>3913.6039999999998</v>
      </c>
      <c r="Y152" s="1397">
        <f>SUMIF(Q_Financials!$3:$3,Financials!Y$150,Q_Financials!107:107)</f>
        <v>4127.3273107005243</v>
      </c>
      <c r="Z152" s="1397">
        <f>SUMIF(Q_Financials!$3:$3,Financials!Z$150,Q_Financials!107:107)</f>
        <v>4476.9530908591423</v>
      </c>
      <c r="AA152" s="1397">
        <f>SUMIF(Q_Financials!$3:$3,Financials!AA$150,Q_Financials!107:107)</f>
        <v>4658.9831313490258</v>
      </c>
      <c r="AB152" s="1397">
        <f>SUMIF(Q_Financials!$3:$3,Financials!AB$150,Q_Financials!107:107)</f>
        <v>4810.3802065913678</v>
      </c>
      <c r="AC152" s="1397">
        <f>SUMIF(Q_Financials!$3:$3,Financials!AC$150,Q_Financials!107:107)</f>
        <v>5080.7981233652863</v>
      </c>
      <c r="AD152" s="1397">
        <f>SUMIF(Q_Financials!$3:$3,Financials!AD$150,Q_Financials!107:107)</f>
        <v>5739.744654821302</v>
      </c>
      <c r="AE152" s="1397">
        <f>SUMIF(Q_Financials!$3:$3,Financials!AE$150,Q_Financials!107:107)</f>
        <v>6446.6711212309401</v>
      </c>
      <c r="AF152" s="1397">
        <f>SUMIF(Q_Financials!$3:$3,Financials!AF$150,Q_Financials!107:107)</f>
        <v>7181.7127252486052</v>
      </c>
      <c r="AG152" s="1397">
        <f>SUMIF(Q_Financials!$3:$3,Financials!AG$150,Q_Financials!107:107)</f>
        <v>7969.4914974689145</v>
      </c>
      <c r="AH152" s="1397">
        <f>SUMIF(Q_Financials!$3:$3,Financials!AH$150,Q_Financials!107:107)</f>
        <v>8808.7774258650534</v>
      </c>
      <c r="AI152" s="2070"/>
      <c r="AJ152" s="508"/>
      <c r="AK152" s="508"/>
      <c r="AL152" s="508"/>
      <c r="AM152" s="508"/>
      <c r="AN152" s="508"/>
    </row>
    <row r="153" spans="1:40">
      <c r="A153" s="725" t="s">
        <v>1523</v>
      </c>
      <c r="B153" s="438">
        <v>-0.12199999999992883</v>
      </c>
      <c r="C153" s="438">
        <v>0.91099999999994452</v>
      </c>
      <c r="D153" s="438">
        <v>63.397999999999939</v>
      </c>
      <c r="E153" s="438">
        <v>28.021999999999991</v>
      </c>
      <c r="F153" s="438">
        <v>-55.706000000000245</v>
      </c>
      <c r="G153" s="438">
        <v>-123.64300000000085</v>
      </c>
      <c r="H153" s="438">
        <v>-98.70599999999979</v>
      </c>
      <c r="I153" s="438">
        <v>318.32500000000005</v>
      </c>
      <c r="J153" s="438">
        <f>((SUM(Q_Financials!B108:E109))-(SUM(Q_Financials!B39:E39)))+(SUM(Q_Financials!B115:E115))</f>
        <v>93.598000000000582</v>
      </c>
      <c r="K153" s="438">
        <f>((SUM(Q_Financials!F108:I109))-(SUM(Q_Financials!F39:I39)))+(SUM(Q_Financials!F115:I115))</f>
        <v>136.01900000000015</v>
      </c>
      <c r="L153" s="438">
        <f>((SUM(Q_Financials!J108:M109))-(SUM(Q_Financials!J39:M39)))+(SUM(Q_Financials!J115:M115))</f>
        <v>-1895.2460000000005</v>
      </c>
      <c r="M153" s="438">
        <f>((SUM(Q_Financials!N108:Q109))-(SUM(Q_Financials!N39:Q39)))+(SUM(Q_Financials!N115:Q115))</f>
        <v>2855.1200000000008</v>
      </c>
      <c r="N153" s="438">
        <f>((SUM(Q_Financials!R108:U109))-(SUM(Q_Financials!R39:U39)))+(SUM(Q_Financials!R115:U115))</f>
        <v>244.02099999999976</v>
      </c>
      <c r="O153" s="438">
        <f>SUMIF(Q_Financials!$3:$3,Financials!O$150,Q_Financials!108:108)+SUMIF(Q_Financials!$3:$3,Financials!O$150,Q_Financials!109:109)</f>
        <v>370.17999999999972</v>
      </c>
      <c r="P153" s="438">
        <f>SUMIF(Q_Financials!$3:$3,Financials!P$150,Q_Financials!108:108)+SUMIF(Q_Financials!$3:$3,Financials!P$150,Q_Financials!109:109)</f>
        <v>780.76999999999964</v>
      </c>
      <c r="Q153" s="438">
        <f>SUMIF(Q_Financials!$3:$3,Financials!Q$150,Q_Financials!108:108)+SUMIF(Q_Financials!$3:$3,Financials!Q$150,Q_Financials!109:109)</f>
        <v>565.41100000000051</v>
      </c>
      <c r="R153" s="438">
        <f>SUMIF(Q_Financials!$3:$3,Financials!R$150,Q_Financials!108:108)+SUMIF(Q_Financials!$3:$3,Financials!R$150,Q_Financials!109:109)</f>
        <v>-196.6179999999994</v>
      </c>
      <c r="S153" s="438">
        <f>SUMIF(Q_Financials!$3:$3,Financials!S$150,Q_Financials!108:108)+SUMIF(Q_Financials!$3:$3,Financials!S$150,Q_Financials!109:109)</f>
        <v>1096.5500000000006</v>
      </c>
      <c r="T153" s="438">
        <f>SUMIF(Q_Financials!$3:$3,Financials!T$150,Q_Financials!108:108)+SUMIF(Q_Financials!$3:$3,Financials!T$150,Q_Financials!109:109)</f>
        <v>1232.0650000000005</v>
      </c>
      <c r="U153" s="438">
        <f>SUMIF(Q_Financials!$3:$3,Financials!U$150,Q_Financials!108:108)</f>
        <v>4081.826</v>
      </c>
      <c r="V153" s="438">
        <f>SUMIF(Q_Financials!$3:$3,Financials!V$150,Q_Financials!108:108)</f>
        <v>4671.8019999999997</v>
      </c>
      <c r="W153" s="438">
        <f>SUMIF(Q_Financials!$3:$3,Financials!W$150,Q_Financials!108:108)</f>
        <v>4357.3019999999997</v>
      </c>
      <c r="X153" s="438">
        <f>SUMIF(Q_Financials!$3:$3,Financials!X$150,Q_Financials!108:108)</f>
        <v>4146.4250000000002</v>
      </c>
      <c r="Y153" s="447">
        <f>SUMIF(Q_Financials!$3:$3,Financials!Y$150,Q_Financials!108:108)</f>
        <v>4230.7095362854225</v>
      </c>
      <c r="Z153" s="447">
        <f>SUMIF(Q_Financials!$3:$3,Financials!Z$150,Q_Financials!108:108)</f>
        <v>4348.5933553877276</v>
      </c>
      <c r="AA153" s="447">
        <f>SUMIF(Q_Financials!$3:$3,Financials!AA$150,Q_Financials!108:108)</f>
        <v>4364.4913584424166</v>
      </c>
      <c r="AB153" s="447">
        <f>SUMIF(Q_Financials!$3:$3,Financials!AB$150,Q_Financials!108:108)</f>
        <v>4414.6008642543011</v>
      </c>
      <c r="AC153" s="447">
        <f>SUMIF(Q_Financials!$3:$3,Financials!AC$150,Q_Financials!108:108)</f>
        <v>4481.1111088491143</v>
      </c>
      <c r="AD153" s="447">
        <f>SUMIF(Q_Financials!$3:$3,Financials!AD$150,Q_Financials!108:108)</f>
        <v>4594.8467722433634</v>
      </c>
      <c r="AE153" s="447">
        <f>SUMIF(Q_Financials!$3:$3,Financials!AE$150,Q_Financials!108:108)</f>
        <v>4748.3164199784451</v>
      </c>
      <c r="AF153" s="447">
        <f>SUMIF(Q_Financials!$3:$3,Financials!AF$150,Q_Financials!108:108)</f>
        <v>4926.27686346888</v>
      </c>
      <c r="AG153" s="447">
        <f>SUMIF(Q_Financials!$3:$3,Financials!AG$150,Q_Financials!108:108)</f>
        <v>5136.0834698549215</v>
      </c>
      <c r="AH153" s="447">
        <f>SUMIF(Q_Financials!$3:$3,Financials!AH$150,Q_Financials!108:108)</f>
        <v>5374.9588689262118</v>
      </c>
      <c r="AI153" s="438"/>
      <c r="AJ153" s="508"/>
      <c r="AK153" s="508"/>
      <c r="AL153" s="508"/>
      <c r="AM153" s="508"/>
      <c r="AN153" s="508"/>
    </row>
    <row r="154" spans="1:40">
      <c r="A154" s="725" t="s">
        <v>198</v>
      </c>
      <c r="B154" s="438">
        <v>79.549000000000007</v>
      </c>
      <c r="C154" s="438">
        <v>134.40600000000001</v>
      </c>
      <c r="D154" s="438">
        <v>-127.19</v>
      </c>
      <c r="E154" s="438">
        <v>69.669000000000011</v>
      </c>
      <c r="F154" s="438">
        <v>-99.646000000000001</v>
      </c>
      <c r="G154" s="438">
        <v>279.66800000000001</v>
      </c>
      <c r="H154" s="438">
        <v>-212.05200000000005</v>
      </c>
      <c r="I154" s="438">
        <v>-40.324999999999989</v>
      </c>
      <c r="J154" s="438">
        <f>SUM(Q_Financials!B111:E114)</f>
        <v>302.99300000000005</v>
      </c>
      <c r="K154" s="438">
        <f>SUM(Q_Financials!F111:I114)</f>
        <v>-77.469000000000008</v>
      </c>
      <c r="L154" s="438">
        <f>SUM(Q_Financials!J111:M114)</f>
        <v>22.838999999999942</v>
      </c>
      <c r="M154" s="438">
        <f>SUM(Q_Financials!N111:Q114)</f>
        <v>-349.32</v>
      </c>
      <c r="N154" s="438">
        <f>SUM(Q_Financials!R111:U114)</f>
        <v>-290.34099999999995</v>
      </c>
      <c r="O154" s="438">
        <f>SUMIF(Q_Financials!$3:$3,Financials!O$150,Q_Financials!111:111)+SUMIF(Q_Financials!$3:$3,Financials!O$150,Q_Financials!112:112)+SUMIF(Q_Financials!$3:$3,Financials!O$150,Q_Financials!113:113)++SUMIF(Q_Financials!$3:$3,Financials!O$150,Q_Financials!115:115)+(+SUMIF(Q_Financials!$3:$3,Financials!O$150,Q_Financials!114:114)-O97)</f>
        <v>71.646000000000043</v>
      </c>
      <c r="P154" s="438">
        <f>SUMIF(Q_Financials!$3:$3,Financials!P$150,Q_Financials!111:111)+SUMIF(Q_Financials!$3:$3,Financials!P$150,Q_Financials!112:112)+SUMIF(Q_Financials!$3:$3,Financials!P$150,Q_Financials!113:113)++SUMIF(Q_Financials!$3:$3,Financials!P$150,Q_Financials!115:115)+(+SUMIF(Q_Financials!$3:$3,Financials!P$150,Q_Financials!114:114)-P97)</f>
        <v>-128.899</v>
      </c>
      <c r="Q154" s="438">
        <f>SUMIF(Q_Financials!$3:$3,Financials!Q$150,Q_Financials!111:111)+SUMIF(Q_Financials!$3:$3,Financials!Q$150,Q_Financials!112:112)+SUMIF(Q_Financials!$3:$3,Financials!Q$150,Q_Financials!113:113)++SUMIF(Q_Financials!$3:$3,Financials!Q$150,Q_Financials!115:115)+(+SUMIF(Q_Financials!$3:$3,Financials!Q$150,Q_Financials!114:114)-Q97)</f>
        <v>1044.1950000000002</v>
      </c>
      <c r="R154" s="438">
        <f>SUMIF(Q_Financials!$3:$3,Financials!R$150,Q_Financials!111:111)+SUMIF(Q_Financials!$3:$3,Financials!R$150,Q_Financials!112:112)+SUMIF(Q_Financials!$3:$3,Financials!R$150,Q_Financials!113:113)++SUMIF(Q_Financials!$3:$3,Financials!R$150,Q_Financials!115:115)+(+SUMIF(Q_Financials!$3:$3,Financials!R$150,Q_Financials!114:114)-R97)</f>
        <v>-371.01099999999997</v>
      </c>
      <c r="S154" s="438">
        <f>SUMIF(Q_Financials!$3:$3,Financials!S$150,Q_Financials!111:111)+SUMIF(Q_Financials!$3:$3,Financials!S$150,Q_Financials!112:112)+SUMIF(Q_Financials!$3:$3,Financials!S$150,Q_Financials!113:113)++SUMIF(Q_Financials!$3:$3,Financials!S$150,Q_Financials!115:115)+(+SUMIF(Q_Financials!$3:$3,Financials!S$150,Q_Financials!114:114)-S97)</f>
        <v>843.87400000000002</v>
      </c>
      <c r="T154" s="438">
        <f>SUMIF(Q_Financials!$3:$3,Financials!T$150,Q_Financials!111:111)+SUMIF(Q_Financials!$3:$3,Financials!T$150,Q_Financials!112:112)+SUMIF(Q_Financials!$3:$3,Financials!T$150,Q_Financials!113:113)++SUMIF(Q_Financials!$3:$3,Financials!T$150,Q_Financials!115:115)+(+SUMIF(Q_Financials!$3:$3,Financials!T$150,Q_Financials!114:114)-T97)</f>
        <v>347.36900000000003</v>
      </c>
      <c r="U154" s="438">
        <f>SUMIF(Q_Financials!$3:$3,Financials!U$150,Q_Financials!111:111)+SUMIF(Q_Financials!$3:$3,Financials!U$150,Q_Financials!112:112)+SUMIF(Q_Financials!$3:$3,Financials!U$150,Q_Financials!113:113)++SUMIF(Q_Financials!$3:$3,Financials!U$150,Q_Financials!115:115)+(+SUMIF(Q_Financials!$3:$3,Financials!U$150,Q_Financials!114:114))+SUMIF(Q_Financials!$3:$3,Financials!U$150,Q_Financials!109:109)</f>
        <v>-1772.485999999999</v>
      </c>
      <c r="V154" s="438">
        <f>SUMIF(Q_Financials!$3:$3,Financials!V$150,Q_Financials!111:111)+SUMIF(Q_Financials!$3:$3,Financials!V$150,Q_Financials!112:112)+SUMIF(Q_Financials!$3:$3,Financials!V$150,Q_Financials!113:113)++SUMIF(Q_Financials!$3:$3,Financials!V$150,Q_Financials!115:115)+(+SUMIF(Q_Financials!$3:$3,Financials!V$150,Q_Financials!114:114))+SUMIF(Q_Financials!$3:$3,Financials!V$150,Q_Financials!109:109)</f>
        <v>2483.4550000000013</v>
      </c>
      <c r="W154" s="438">
        <f>SUMIF(Q_Financials!$3:$3,Financials!W$150,Q_Financials!111:111)+SUMIF(Q_Financials!$3:$3,Financials!W$150,Q_Financials!112:112)+SUMIF(Q_Financials!$3:$3,Financials!W$150,Q_Financials!113:113)++SUMIF(Q_Financials!$3:$3,Financials!W$150,Q_Financials!115:115)+(+SUMIF(Q_Financials!$3:$3,Financials!W$150,Q_Financials!114:114))+SUMIF(Q_Financials!$3:$3,Financials!W$150,Q_Financials!109:109)</f>
        <v>1631.2390000000016</v>
      </c>
      <c r="X154" s="438">
        <f>SUMIF(Q_Financials!$3:$3,Financials!X$150,Q_Financials!111:111)+SUMIF(Q_Financials!$3:$3,Financials!X$150,Q_Financials!112:112)+SUMIF(Q_Financials!$3:$3,Financials!X$150,Q_Financials!113:113)++SUMIF(Q_Financials!$3:$3,Financials!X$150,Q_Financials!115:115)+(+SUMIF(Q_Financials!$3:$3,Financials!X$150,Q_Financials!114:114))+SUMIF(Q_Financials!$3:$3,Financials!X$150,Q_Financials!109:109)</f>
        <v>443.18800000000329</v>
      </c>
      <c r="Y154" s="447">
        <f>SUMIF(Q_Financials!$3:$3,Financials!Y$150,Q_Financials!111:111)+SUMIF(Q_Financials!$3:$3,Financials!Y$150,Q_Financials!112:112)+SUMIF(Q_Financials!$3:$3,Financials!Y$150,Q_Financials!113:113)++SUMIF(Q_Financials!$3:$3,Financials!Y$150,Q_Financials!115:115)+(+SUMIF(Q_Financials!$3:$3,Financials!Y$150,Q_Financials!114:114))+SUMIF(Q_Financials!$3:$3,Financials!Y$150,Q_Financials!109:109)</f>
        <v>-798.33017098079961</v>
      </c>
      <c r="Z154" s="447">
        <f>SUMIF(Q_Financials!$3:$3,Financials!Z$150,Q_Financials!111:111)+SUMIF(Q_Financials!$3:$3,Financials!Z$150,Q_Financials!112:112)+SUMIF(Q_Financials!$3:$3,Financials!Z$150,Q_Financials!113:113)++SUMIF(Q_Financials!$3:$3,Financials!Z$150,Q_Financials!115:115)+(+SUMIF(Q_Financials!$3:$3,Financials!Z$150,Q_Financials!114:114))+SUMIF(Q_Financials!$3:$3,Financials!Z$150,Q_Financials!109:109)</f>
        <v>535.67677535936627</v>
      </c>
      <c r="AA154" s="447">
        <f>SUMIF(Q_Financials!$3:$3,Financials!AA$150,Q_Financials!111:111)+SUMIF(Q_Financials!$3:$3,Financials!AA$150,Q_Financials!112:112)+SUMIF(Q_Financials!$3:$3,Financials!AA$150,Q_Financials!113:113)++SUMIF(Q_Financials!$3:$3,Financials!AA$150,Q_Financials!115:115)+(+SUMIF(Q_Financials!$3:$3,Financials!AA$150,Q_Financials!114:114))+SUMIF(Q_Financials!$3:$3,Financials!AA$150,Q_Financials!109:109)</f>
        <v>465.76018732989814</v>
      </c>
      <c r="AB154" s="447">
        <f>SUMIF(Q_Financials!$3:$3,Financials!AB$150,Q_Financials!111:111)+SUMIF(Q_Financials!$3:$3,Financials!AB$150,Q_Financials!112:112)+SUMIF(Q_Financials!$3:$3,Financials!AB$150,Q_Financials!113:113)++SUMIF(Q_Financials!$3:$3,Financials!AB$150,Q_Financials!115:115)+(+SUMIF(Q_Financials!$3:$3,Financials!AB$150,Q_Financials!114:114))+SUMIF(Q_Financials!$3:$3,Financials!AB$150,Q_Financials!109:109)</f>
        <v>459.6001636735341</v>
      </c>
      <c r="AC154" s="447">
        <f>SUMIF(Q_Financials!$3:$3,Financials!AC$150,Q_Financials!111:111)+SUMIF(Q_Financials!$3:$3,Financials!AC$150,Q_Financials!112:112)+SUMIF(Q_Financials!$3:$3,Financials!AC$150,Q_Financials!113:113)++SUMIF(Q_Financials!$3:$3,Financials!AC$150,Q_Financials!115:115)+(+SUMIF(Q_Financials!$3:$3,Financials!AC$150,Q_Financials!114:114))+SUMIF(Q_Financials!$3:$3,Financials!AC$150,Q_Financials!109:109)</f>
        <v>596.36927271044487</v>
      </c>
      <c r="AD154" s="447">
        <f>SUMIF(Q_Financials!$3:$3,Financials!AD$150,Q_Financials!111:111)+SUMIF(Q_Financials!$3:$3,Financials!AD$150,Q_Financials!112:112)+SUMIF(Q_Financials!$3:$3,Financials!AD$150,Q_Financials!113:113)++SUMIF(Q_Financials!$3:$3,Financials!AD$150,Q_Financials!115:115)+(+SUMIF(Q_Financials!$3:$3,Financials!AD$150,Q_Financials!114:114))+SUMIF(Q_Financials!$3:$3,Financials!AD$150,Q_Financials!109:109)</f>
        <v>436.8450266316845</v>
      </c>
      <c r="AE154" s="447">
        <f>SUMIF(Q_Financials!$3:$3,Financials!AE$150,Q_Financials!111:111)+SUMIF(Q_Financials!$3:$3,Financials!AE$150,Q_Financials!112:112)+SUMIF(Q_Financials!$3:$3,Financials!AE$150,Q_Financials!113:113)++SUMIF(Q_Financials!$3:$3,Financials!AE$150,Q_Financials!115:115)+(+SUMIF(Q_Financials!$3:$3,Financials!AE$150,Q_Financials!114:114))+SUMIF(Q_Financials!$3:$3,Financials!AE$150,Q_Financials!109:109)</f>
        <v>441.27292843635951</v>
      </c>
      <c r="AF154" s="447">
        <f>SUMIF(Q_Financials!$3:$3,Financials!AF$150,Q_Financials!111:111)+SUMIF(Q_Financials!$3:$3,Financials!AF$150,Q_Financials!112:112)+SUMIF(Q_Financials!$3:$3,Financials!AF$150,Q_Financials!113:113)++SUMIF(Q_Financials!$3:$3,Financials!AF$150,Q_Financials!115:115)+(+SUMIF(Q_Financials!$3:$3,Financials!AF$150,Q_Financials!114:114))+SUMIF(Q_Financials!$3:$3,Financials!AF$150,Q_Financials!109:109)</f>
        <v>459.3204896235743</v>
      </c>
      <c r="AG154" s="447">
        <f>SUMIF(Q_Financials!$3:$3,Financials!AG$150,Q_Financials!111:111)+SUMIF(Q_Financials!$3:$3,Financials!AG$150,Q_Financials!112:112)+SUMIF(Q_Financials!$3:$3,Financials!AG$150,Q_Financials!113:113)++SUMIF(Q_Financials!$3:$3,Financials!AG$150,Q_Financials!115:115)+(+SUMIF(Q_Financials!$3:$3,Financials!AG$150,Q_Financials!114:114))+SUMIF(Q_Financials!$3:$3,Financials!AG$150,Q_Financials!109:109)</f>
        <v>481.72150632021521</v>
      </c>
      <c r="AH154" s="447">
        <f>SUMIF(Q_Financials!$3:$3,Financials!AH$150,Q_Financials!111:111)+SUMIF(Q_Financials!$3:$3,Financials!AH$150,Q_Financials!112:112)+SUMIF(Q_Financials!$3:$3,Financials!AH$150,Q_Financials!113:113)++SUMIF(Q_Financials!$3:$3,Financials!AH$150,Q_Financials!115:115)+(+SUMIF(Q_Financials!$3:$3,Financials!AH$150,Q_Financials!114:114))+SUMIF(Q_Financials!$3:$3,Financials!AH$150,Q_Financials!109:109)</f>
        <v>498.59048258894973</v>
      </c>
      <c r="AI154" s="438"/>
      <c r="AJ154" s="508"/>
      <c r="AK154" s="508"/>
      <c r="AL154" s="508"/>
      <c r="AM154" s="508"/>
      <c r="AN154" s="508"/>
    </row>
    <row r="155" spans="1:40">
      <c r="A155" s="115" t="s">
        <v>81</v>
      </c>
      <c r="B155" s="985">
        <v>221.619</v>
      </c>
      <c r="C155" s="985">
        <v>398.23700000000002</v>
      </c>
      <c r="D155" s="985">
        <v>225.81599999999997</v>
      </c>
      <c r="E155" s="985">
        <v>435.30999999999995</v>
      </c>
      <c r="F155" s="985">
        <v>337.07600000000002</v>
      </c>
      <c r="G155" s="985">
        <v>949.56</v>
      </c>
      <c r="H155" s="985">
        <v>604.93000000000006</v>
      </c>
      <c r="I155" s="985">
        <v>979.6690000000001</v>
      </c>
      <c r="J155" s="985">
        <f t="shared" ref="J155:N155" si="201">SUM(J151:J154)</f>
        <v>1165.5060000000003</v>
      </c>
      <c r="K155" s="985">
        <f t="shared" si="201"/>
        <v>884.80899999999997</v>
      </c>
      <c r="L155" s="985">
        <f t="shared" si="201"/>
        <v>-938.91100000000029</v>
      </c>
      <c r="M155" s="985">
        <f t="shared" si="201"/>
        <v>3683.663</v>
      </c>
      <c r="N155" s="985">
        <f t="shared" si="201"/>
        <v>1557.8140000000003</v>
      </c>
      <c r="O155" s="985">
        <f t="shared" ref="O155:X155" si="202">SUM(O151:O154)</f>
        <v>2441.8119999999999</v>
      </c>
      <c r="P155" s="985">
        <f t="shared" si="202"/>
        <v>3580.9739999999997</v>
      </c>
      <c r="Q155" s="985">
        <f t="shared" si="202"/>
        <v>4994.3130000000001</v>
      </c>
      <c r="R155" s="985">
        <f t="shared" si="202"/>
        <v>3273.5160000000001</v>
      </c>
      <c r="S155" s="985">
        <f t="shared" si="202"/>
        <v>5916.8649999999998</v>
      </c>
      <c r="T155" s="985">
        <f t="shared" si="202"/>
        <v>6587.8899999999994</v>
      </c>
      <c r="U155" s="985">
        <f t="shared" si="202"/>
        <v>3476.6569999999983</v>
      </c>
      <c r="V155" s="985">
        <f t="shared" si="202"/>
        <v>11496.914000000001</v>
      </c>
      <c r="W155" s="985">
        <f t="shared" si="202"/>
        <v>10971.870999999999</v>
      </c>
      <c r="X155" s="985">
        <f t="shared" si="202"/>
        <v>11433.946000000002</v>
      </c>
      <c r="Y155" s="1566">
        <f t="shared" ref="Y155:AH155" si="203">SUM(Y151:Y154)</f>
        <v>8683.2629602539855</v>
      </c>
      <c r="Z155" s="1566">
        <f t="shared" si="203"/>
        <v>11262.414983510953</v>
      </c>
      <c r="AA155" s="1566">
        <f t="shared" si="203"/>
        <v>12295.137684298537</v>
      </c>
      <c r="AB155" s="1566">
        <f t="shared" si="203"/>
        <v>13526.349601935235</v>
      </c>
      <c r="AC155" s="1566">
        <f t="shared" si="203"/>
        <v>14218.995134775021</v>
      </c>
      <c r="AD155" s="1566">
        <f t="shared" si="203"/>
        <v>15153.850204052929</v>
      </c>
      <c r="AE155" s="1566">
        <f t="shared" si="203"/>
        <v>16315.438882107876</v>
      </c>
      <c r="AF155" s="1566">
        <f t="shared" si="203"/>
        <v>17549.447406105599</v>
      </c>
      <c r="AG155" s="1566">
        <f t="shared" si="203"/>
        <v>18863.91335426681</v>
      </c>
      <c r="AH155" s="1566">
        <f t="shared" si="203"/>
        <v>20246.416983500036</v>
      </c>
      <c r="AI155" s="985"/>
      <c r="AJ155" s="508"/>
      <c r="AK155" s="1002"/>
      <c r="AL155" s="508"/>
      <c r="AM155" s="508"/>
      <c r="AN155" s="508"/>
    </row>
    <row r="156" spans="1:40">
      <c r="A156" s="726" t="s">
        <v>42</v>
      </c>
      <c r="B156" s="967">
        <v>-43.343000000000004</v>
      </c>
      <c r="C156" s="967">
        <v>-10.760999999999999</v>
      </c>
      <c r="D156" s="967">
        <v>-46.585000000000001</v>
      </c>
      <c r="E156" s="967">
        <v>-78.266999999999996</v>
      </c>
      <c r="F156" s="967">
        <v>-104.13</v>
      </c>
      <c r="G156" s="967">
        <v>-167.67699999999999</v>
      </c>
      <c r="H156" s="967">
        <v>-67.84</v>
      </c>
      <c r="I156" s="967">
        <v>0</v>
      </c>
      <c r="J156" s="967">
        <f>SUM(Q_Financials!B129:E129)</f>
        <v>-41.834000000000003</v>
      </c>
      <c r="K156" s="967">
        <f>SUM(Q_Financials!F129:I129)</f>
        <v>-245.958</v>
      </c>
      <c r="L156" s="967">
        <f>SUM(Q_Financials!J129:M129)</f>
        <v>-122.648</v>
      </c>
      <c r="M156" s="967">
        <f>SUM(Q_Financials!N129:Q129)</f>
        <v>0</v>
      </c>
      <c r="N156" s="967">
        <f>SUM(Q_Financials!R129:U129)</f>
        <v>-343.87799999999999</v>
      </c>
      <c r="O156" s="967">
        <f>SUMIF(Q_Financials!$3:$3,Financials!O$150,Q_Financials!129:129)</f>
        <v>0</v>
      </c>
      <c r="P156" s="967">
        <f>SUMIF(Q_Financials!$3:$3,Financials!P$150,Q_Financials!129:129)</f>
        <v>-419.173</v>
      </c>
      <c r="Q156" s="967">
        <f>SUMIF(Q_Financials!$3:$3,Financials!Q$150,Q_Financials!129:129)</f>
        <v>-644.77099999999996</v>
      </c>
      <c r="R156" s="967">
        <f>SUMIF(Q_Financials!$3:$3,Financials!R$150,Q_Financials!129:129)</f>
        <v>-719.39800000000002</v>
      </c>
      <c r="S156" s="967">
        <f>SUMIF(Q_Financials!$3:$3,Financials!S$150,Q_Financials!129:129)</f>
        <v>-720.14400000000001</v>
      </c>
      <c r="T156" s="967">
        <f>SUMIF(Q_Financials!$3:$3,Financials!T$150,Q_Financials!129:129)</f>
        <v>0</v>
      </c>
      <c r="U156" s="967">
        <f>SUMIF(Q_Financials!$3:$3,Financials!U$150,Q_Financials!129:129)</f>
        <v>0</v>
      </c>
      <c r="V156" s="967">
        <f>SUMIF(Q_Financials!$3:$3,Financials!V$150,Q_Financials!129:129)</f>
        <v>0</v>
      </c>
      <c r="W156" s="967">
        <f>SUMIF(Q_Financials!$3:$3,Financials!W$150,Q_Financials!129:129)</f>
        <v>0</v>
      </c>
      <c r="X156" s="967">
        <f>SUMIF(Q_Financials!$3:$3,Financials!X$150,Q_Financials!129:129)</f>
        <v>0</v>
      </c>
      <c r="Y156" s="1397">
        <f>SUMIF(Q_Financials!$3:$3,Financials!Y$150,Q_Financials!129:129)</f>
        <v>-978.01700000000005</v>
      </c>
      <c r="Z156" s="1397">
        <f>SUMIF(Q_Financials!$3:$3,Financials!Z$150,Q_Financials!129:129)</f>
        <v>0</v>
      </c>
      <c r="AA156" s="1397">
        <f>SUMIF(Q_Financials!$3:$3,Financials!AA$150,Q_Financials!129:129)</f>
        <v>0</v>
      </c>
      <c r="AB156" s="1397">
        <f>SUMIF(Q_Financials!$3:$3,Financials!AB$150,Q_Financials!129:129)</f>
        <v>0</v>
      </c>
      <c r="AC156" s="1397">
        <f>SUMIF(Q_Financials!$3:$3,Financials!AC$150,Q_Financials!129:129)</f>
        <v>0</v>
      </c>
      <c r="AD156" s="1397">
        <f>SUMIF(Q_Financials!$3:$3,Financials!AD$150,Q_Financials!129:129)</f>
        <v>0</v>
      </c>
      <c r="AE156" s="1397">
        <f>SUMIF(Q_Financials!$3:$3,Financials!AE$150,Q_Financials!129:129)</f>
        <v>0</v>
      </c>
      <c r="AF156" s="1397">
        <f>SUMIF(Q_Financials!$3:$3,Financials!AF$150,Q_Financials!129:129)</f>
        <v>0</v>
      </c>
      <c r="AG156" s="1397">
        <f>SUMIF(Q_Financials!$3:$3,Financials!AG$150,Q_Financials!129:129)</f>
        <v>0</v>
      </c>
      <c r="AH156" s="1397">
        <f>SUMIF(Q_Financials!$3:$3,Financials!AH$150,Q_Financials!129:129)</f>
        <v>0</v>
      </c>
      <c r="AI156" s="967"/>
      <c r="AJ156" s="508"/>
      <c r="AK156" s="508"/>
      <c r="AL156" s="508"/>
      <c r="AM156" s="508"/>
      <c r="AN156" s="508"/>
    </row>
    <row r="157" spans="1:40">
      <c r="A157" s="727" t="s">
        <v>82</v>
      </c>
      <c r="B157" s="967">
        <v>-123.169</v>
      </c>
      <c r="C157" s="967">
        <v>-234.94300000000004</v>
      </c>
      <c r="D157" s="967">
        <v>-164.846</v>
      </c>
      <c r="E157" s="967">
        <v>-526.36199999999997</v>
      </c>
      <c r="F157" s="967">
        <v>-874.95</v>
      </c>
      <c r="G157" s="967">
        <v>-1117.8700000000001</v>
      </c>
      <c r="H157" s="967">
        <v>-1091.8439999999998</v>
      </c>
      <c r="I157" s="967">
        <v>-1094.98</v>
      </c>
      <c r="J157" s="967">
        <f>(SUM(Q_Financials!B119:E122))</f>
        <v>-554.76100000000019</v>
      </c>
      <c r="K157" s="967">
        <f>(SUM(Q_Financials!F119:I122))</f>
        <v>-761.947</v>
      </c>
      <c r="L157" s="967">
        <f>(SUM(Q_Financials!J119:M122))</f>
        <v>-1255.009</v>
      </c>
      <c r="M157" s="967">
        <f>(SUM(Q_Financials!N119:Q122))</f>
        <v>-2751.0480000000002</v>
      </c>
      <c r="N157" s="967">
        <f>(SUM(Q_Financials!R119:U122))</f>
        <v>-3202.7510000000002</v>
      </c>
      <c r="O157" s="967">
        <f>SUMIF(Q_Financials!$3:$3,Financials!O$150,Q_Financials!119:119)+SUMIF(Q_Financials!$3:$3,Financials!O$150,Q_Financials!120:120)+SUMIF(Q_Financials!$3:$3,Financials!O$150,Q_Financials!121:121)+SUMIF(Q_Financials!$3:$3,Financials!O$150,Q_Financials!122:122)</f>
        <v>-12410.406999999999</v>
      </c>
      <c r="P157" s="967">
        <f>SUMIF(Q_Financials!$3:$3,Financials!P$150,Q_Financials!119:119)+SUMIF(Q_Financials!$3:$3,Financials!P$150,Q_Financials!120:120)+SUMIF(Q_Financials!$3:$3,Financials!P$150,Q_Financials!121:121)+SUMIF(Q_Financials!$3:$3,Financials!P$150,Q_Financials!122:122)</f>
        <v>-3439.192</v>
      </c>
      <c r="Q157" s="967">
        <f>SUMIF(Q_Financials!$3:$3,Financials!Q$150,Q_Financials!119:119)+SUMIF(Q_Financials!$3:$3,Financials!Q$150,Q_Financials!120:120)+SUMIF(Q_Financials!$3:$3,Financials!Q$150,Q_Financials!121:121)+SUMIF(Q_Financials!$3:$3,Financials!Q$150,Q_Financials!122:122)</f>
        <v>-5038.588999999999</v>
      </c>
      <c r="R157" s="967">
        <f>SUMIF(Q_Financials!$3:$3,Financials!R$150,Q_Financials!119:119)+SUMIF(Q_Financials!$3:$3,Financials!R$150,Q_Financials!120:120)+SUMIF(Q_Financials!$3:$3,Financials!R$150,Q_Financials!121:121)+SUMIF(Q_Financials!$3:$3,Financials!R$150,Q_Financials!122:122)</f>
        <v>-3274.3160000000007</v>
      </c>
      <c r="S157" s="967">
        <f>SUMIF(Q_Financials!$3:$3,Financials!S$150,Q_Financials!119:119)+SUMIF(Q_Financials!$3:$3,Financials!S$150,Q_Financials!120:120)+SUMIF(Q_Financials!$3:$3,Financials!S$150,Q_Financials!121:121)+SUMIF(Q_Financials!$3:$3,Financials!S$150,Q_Financials!122:122)</f>
        <v>-17497.725999999999</v>
      </c>
      <c r="T157" s="967">
        <f>SUMIF(Q_Financials!$3:$3,Financials!T$150,Q_Financials!119:119)+SUMIF(Q_Financials!$3:$3,Financials!T$150,Q_Financials!120:120)+SUMIF(Q_Financials!$3:$3,Financials!T$150,Q_Financials!121:121)+SUMIF(Q_Financials!$3:$3,Financials!T$150,Q_Financials!122:122)</f>
        <v>-4828.8850000000002</v>
      </c>
      <c r="U157" s="967">
        <f>SUMIF(Q_Financials!$3:$3,Financials!U$150,Q_Financials!119:119)+SUMIF(Q_Financials!$3:$3,Financials!U$150,Q_Financials!120:120)+SUMIF(Q_Financials!$3:$3,Financials!U$150,Q_Financials!121:121)+SUMIF(Q_Financials!$3:$3,Financials!U$150,Q_Financials!122:122)</f>
        <v>-1779.9180000000001</v>
      </c>
      <c r="V157" s="967">
        <f>SUMIF(Q_Financials!$3:$3,Financials!V$150,Q_Financials!119:119)+SUMIF(Q_Financials!$3:$3,Financials!V$150,Q_Financials!120:120)+SUMIF(Q_Financials!$3:$3,Financials!V$150,Q_Financials!121:121)+SUMIF(Q_Financials!$3:$3,Financials!V$150,Q_Financials!122:122)</f>
        <v>-2541.7869999999998</v>
      </c>
      <c r="W157" s="967">
        <f>SUMIF(Q_Financials!$3:$3,Financials!W$150,Q_Financials!119:119)+SUMIF(Q_Financials!$3:$3,Financials!W$150,Q_Financials!120:120)+SUMIF(Q_Financials!$3:$3,Financials!W$150,Q_Financials!121:121)+SUMIF(Q_Financials!$3:$3,Financials!W$150,Q_Financials!122:122)</f>
        <v>-4223.424</v>
      </c>
      <c r="X157" s="967">
        <f>SUMIF(Q_Financials!$3:$3,Financials!X$150,Q_Financials!119:119)+SUMIF(Q_Financials!$3:$3,Financials!X$150,Q_Financials!120:120)+SUMIF(Q_Financials!$3:$3,Financials!X$150,Q_Financials!121:121)+SUMIF(Q_Financials!$3:$3,Financials!X$150,Q_Financials!122:122)</f>
        <v>-4739.5130000000008</v>
      </c>
      <c r="Y157" s="1397">
        <f>SUMIF(Q_Financials!$3:$3,Financials!Y$150,Q_Financials!119:119)+SUMIF(Q_Financials!$3:$3,Financials!Y$150,Q_Financials!120:120)+SUMIF(Q_Financials!$3:$3,Financials!Y$150,Q_Financials!121:121)+SUMIF(Q_Financials!$3:$3,Financials!Y$150,Q_Financials!122:122)</f>
        <v>-5568.2348344935699</v>
      </c>
      <c r="Z157" s="1397">
        <f>SUMIF(Q_Financials!$3:$3,Financials!Z$150,Q_Financials!119:119)+SUMIF(Q_Financials!$3:$3,Financials!Z$150,Q_Financials!120:120)+SUMIF(Q_Financials!$3:$3,Financials!Z$150,Q_Financials!121:121)+SUMIF(Q_Financials!$3:$3,Financials!Z$150,Q_Financials!122:122)</f>
        <v>-5216.9621919151159</v>
      </c>
      <c r="AA157" s="1397">
        <f>SUMIF(Q_Financials!$3:$3,Financials!AA$150,Q_Financials!119:119)+SUMIF(Q_Financials!$3:$3,Financials!AA$150,Q_Financials!120:120)+SUMIF(Q_Financials!$3:$3,Financials!AA$150,Q_Financials!121:121)+SUMIF(Q_Financials!$3:$3,Financials!AA$150,Q_Financials!122:122)</f>
        <v>-5105.9704118421696</v>
      </c>
      <c r="AB157" s="1397">
        <f>SUMIF(Q_Financials!$3:$3,Financials!AB$150,Q_Financials!119:119)+SUMIF(Q_Financials!$3:$3,Financials!AB$150,Q_Financials!120:120)+SUMIF(Q_Financials!$3:$3,Financials!AB$150,Q_Financials!121:121)+SUMIF(Q_Financials!$3:$3,Financials!AB$150,Q_Financials!122:122)</f>
        <v>-5232.888757502612</v>
      </c>
      <c r="AC157" s="1397">
        <f>SUMIF(Q_Financials!$3:$3,Financials!AC$150,Q_Financials!119:119)+SUMIF(Q_Financials!$3:$3,Financials!AC$150,Q_Financials!120:120)+SUMIF(Q_Financials!$3:$3,Financials!AC$150,Q_Financials!121:121)+SUMIF(Q_Financials!$3:$3,Financials!AC$150,Q_Financials!122:122)</f>
        <v>-6494.1803888485501</v>
      </c>
      <c r="AD157" s="1397">
        <f>SUMIF(Q_Financials!$3:$3,Financials!AD$150,Q_Financials!119:119)+SUMIF(Q_Financials!$3:$3,Financials!AD$150,Q_Financials!120:120)+SUMIF(Q_Financials!$3:$3,Financials!AD$150,Q_Financials!121:121)+SUMIF(Q_Financials!$3:$3,Financials!AD$150,Q_Financials!122:122)</f>
        <v>-7070.018149406571</v>
      </c>
      <c r="AE157" s="1397">
        <f>SUMIF(Q_Financials!$3:$3,Financials!AE$150,Q_Financials!119:119)+SUMIF(Q_Financials!$3:$3,Financials!AE$150,Q_Financials!120:120)+SUMIF(Q_Financials!$3:$3,Financials!AE$150,Q_Financials!121:121)+SUMIF(Q_Financials!$3:$3,Financials!AE$150,Q_Financials!122:122)</f>
        <v>-7469.7879729180422</v>
      </c>
      <c r="AF157" s="1397">
        <f>SUMIF(Q_Financials!$3:$3,Financials!AF$150,Q_Financials!119:119)+SUMIF(Q_Financials!$3:$3,Financials!AF$150,Q_Financials!120:120)+SUMIF(Q_Financials!$3:$3,Financials!AF$150,Q_Financials!121:121)+SUMIF(Q_Financials!$3:$3,Financials!AF$150,Q_Financials!122:122)</f>
        <v>-8117.3914239976357</v>
      </c>
      <c r="AG157" s="1397">
        <f>SUMIF(Q_Financials!$3:$3,Financials!AG$150,Q_Financials!119:119)+SUMIF(Q_Financials!$3:$3,Financials!AG$150,Q_Financials!120:120)+SUMIF(Q_Financials!$3:$3,Financials!AG$150,Q_Financials!121:121)+SUMIF(Q_Financials!$3:$3,Financials!AG$150,Q_Financials!122:122)</f>
        <v>-8813.9822301241838</v>
      </c>
      <c r="AH157" s="1397">
        <f>SUMIF(Q_Financials!$3:$3,Financials!AH$150,Q_Financials!119:119)+SUMIF(Q_Financials!$3:$3,Financials!AH$150,Q_Financials!120:120)+SUMIF(Q_Financials!$3:$3,Financials!AH$150,Q_Financials!121:121)+SUMIF(Q_Financials!$3:$3,Financials!AH$150,Q_Financials!122:122)</f>
        <v>-9441.0362196846927</v>
      </c>
      <c r="AI157" s="967"/>
      <c r="AJ157" s="508"/>
      <c r="AK157" s="508"/>
      <c r="AL157" s="508"/>
      <c r="AM157" s="508"/>
      <c r="AN157" s="508"/>
    </row>
    <row r="158" spans="1:40">
      <c r="A158" s="727" t="s">
        <v>83</v>
      </c>
      <c r="B158" s="438">
        <v>-4.1900000000000004</v>
      </c>
      <c r="C158" s="438">
        <v>14.678000000000001</v>
      </c>
      <c r="D158" s="438">
        <v>2.5609999999999999</v>
      </c>
      <c r="E158" s="438">
        <v>191.41500000000002</v>
      </c>
      <c r="F158" s="438">
        <v>26.544</v>
      </c>
      <c r="G158" s="438">
        <v>741.04399999999998</v>
      </c>
      <c r="H158" s="438">
        <v>-15.052999999999997</v>
      </c>
      <c r="I158" s="438">
        <v>-125.748</v>
      </c>
      <c r="J158" s="438">
        <f>(SUM(Q_Financials!B126:E127))</f>
        <v>-118.035</v>
      </c>
      <c r="K158" s="438">
        <f>(SUM(Q_Financials!F126:I127))</f>
        <v>62.094999999999999</v>
      </c>
      <c r="L158" s="438">
        <f>(SUM(Q_Financials!J126:M127))</f>
        <v>27.172999999999995</v>
      </c>
      <c r="M158" s="438">
        <f>(SUM(Q_Financials!N126:Q127))</f>
        <v>186.226</v>
      </c>
      <c r="N158" s="438">
        <f>(SUM(Q_Financials!R126:U127))</f>
        <v>5.07</v>
      </c>
      <c r="O158" s="438">
        <f>SUMIF(Q_Financials!$3:$3,Financials!O$150,Q_Financials!126:126)+SUMIF(Q_Financials!$3:$3,Financials!O$150,Q_Financials!127:127)</f>
        <v>6613.2640000000001</v>
      </c>
      <c r="P158" s="438">
        <f>SUMIF(Q_Financials!$3:$3,Financials!P$150,Q_Financials!126:126)+SUMIF(Q_Financials!$3:$3,Financials!P$150,Q_Financials!127:127)</f>
        <v>-13.844999999999999</v>
      </c>
      <c r="Q158" s="438">
        <f>SUMIF(Q_Financials!$3:$3,Financials!Q$150,Q_Financials!126:126)+SUMIF(Q_Financials!$3:$3,Financials!Q$150,Q_Financials!127:127)</f>
        <v>-199.00200000000001</v>
      </c>
      <c r="R158" s="438">
        <f>SUMIF(Q_Financials!$3:$3,Financials!R$150,Q_Financials!126:126)+SUMIF(Q_Financials!$3:$3,Financials!R$150,Q_Financials!127:127)</f>
        <v>-60.576999999999991</v>
      </c>
      <c r="S158" s="438">
        <f>SUMIF(Q_Financials!$3:$3,Financials!S$150,Q_Financials!126:126)+SUMIF(Q_Financials!$3:$3,Financials!S$150,Q_Financials!127:127)</f>
        <v>221.19499999999999</v>
      </c>
      <c r="T158" s="438">
        <f>SUMIF(Q_Financials!$3:$3,Financials!T$150,Q_Financials!126:126)+SUMIF(Q_Financials!$3:$3,Financials!T$150,Q_Financials!127:127)</f>
        <v>227.923</v>
      </c>
      <c r="U158" s="438">
        <f>SUMIF(Q_Financials!$3:$3,Financials!U$150,Q_Financials!126:126)+SUMIF(Q_Financials!$3:$3,Financials!U$150,Q_Financials!127:127)</f>
        <v>4.4850000000000136</v>
      </c>
      <c r="V158" s="438">
        <f>SUMIF(Q_Financials!$3:$3,Financials!V$150,Q_Financials!126:126)+SUMIF(Q_Financials!$3:$3,Financials!V$150,Q_Financials!127:127)</f>
        <v>0</v>
      </c>
      <c r="W158" s="438">
        <f>SUMIF(Q_Financials!$3:$3,Financials!W$150,Q_Financials!126:126)+SUMIF(Q_Financials!$3:$3,Financials!W$150,Q_Financials!127:127)</f>
        <v>-729.08699999999999</v>
      </c>
      <c r="X158" s="438">
        <f>SUMIF(Q_Financials!$3:$3,Financials!X$150,Q_Financials!126:126)+SUMIF(Q_Financials!$3:$3,Financials!X$150,Q_Financials!127:127)</f>
        <v>-348.23700000000002</v>
      </c>
      <c r="Y158" s="447">
        <f>SUMIF(Q_Financials!$3:$3,Financials!Y$150,Q_Financials!126:126)+SUMIF(Q_Financials!$3:$3,Financials!Y$150,Q_Financials!127:127)</f>
        <v>356.35599999999999</v>
      </c>
      <c r="Z158" s="447">
        <f>SUMIF(Q_Financials!$3:$3,Financials!Z$150,Q_Financials!126:126)+SUMIF(Q_Financials!$3:$3,Financials!Z$150,Q_Financials!127:127)</f>
        <v>0</v>
      </c>
      <c r="AA158" s="447">
        <f>SUMIF(Q_Financials!$3:$3,Financials!AA$150,Q_Financials!126:126)+SUMIF(Q_Financials!$3:$3,Financials!AA$150,Q_Financials!127:127)</f>
        <v>0</v>
      </c>
      <c r="AB158" s="447">
        <f>SUMIF(Q_Financials!$3:$3,Financials!AB$150,Q_Financials!126:126)+SUMIF(Q_Financials!$3:$3,Financials!AB$150,Q_Financials!127:127)</f>
        <v>0</v>
      </c>
      <c r="AC158" s="447">
        <f>SUMIF(Q_Financials!$3:$3,Financials!AC$150,Q_Financials!126:126)+SUMIF(Q_Financials!$3:$3,Financials!AC$150,Q_Financials!127:127)</f>
        <v>0</v>
      </c>
      <c r="AD158" s="447">
        <f>SUMIF(Q_Financials!$3:$3,Financials!AD$150,Q_Financials!126:126)+SUMIF(Q_Financials!$3:$3,Financials!AD$150,Q_Financials!127:127)</f>
        <v>0</v>
      </c>
      <c r="AE158" s="447">
        <f>SUMIF(Q_Financials!$3:$3,Financials!AE$150,Q_Financials!126:126)+SUMIF(Q_Financials!$3:$3,Financials!AE$150,Q_Financials!127:127)</f>
        <v>0</v>
      </c>
      <c r="AF158" s="447">
        <f>SUMIF(Q_Financials!$3:$3,Financials!AF$150,Q_Financials!126:126)+SUMIF(Q_Financials!$3:$3,Financials!AF$150,Q_Financials!127:127)</f>
        <v>0</v>
      </c>
      <c r="AG158" s="447">
        <f>SUMIF(Q_Financials!$3:$3,Financials!AG$150,Q_Financials!126:126)+SUMIF(Q_Financials!$3:$3,Financials!AG$150,Q_Financials!127:127)</f>
        <v>0</v>
      </c>
      <c r="AH158" s="447">
        <f>SUMIF(Q_Financials!$3:$3,Financials!AH$150,Q_Financials!126:126)+SUMIF(Q_Financials!$3:$3,Financials!AH$150,Q_Financials!127:127)</f>
        <v>0</v>
      </c>
      <c r="AI158" s="438"/>
      <c r="AJ158" s="508"/>
      <c r="AK158" s="508"/>
      <c r="AL158" s="508"/>
      <c r="AM158" s="508"/>
      <c r="AN158" s="508"/>
    </row>
    <row r="159" spans="1:40">
      <c r="A159" s="728" t="s">
        <v>80</v>
      </c>
      <c r="B159" s="438">
        <v>33.78</v>
      </c>
      <c r="C159" s="438">
        <v>-3.4000000000000002E-2</v>
      </c>
      <c r="D159" s="438">
        <v>0</v>
      </c>
      <c r="E159" s="438">
        <v>0</v>
      </c>
      <c r="F159" s="438">
        <v>0</v>
      </c>
      <c r="G159" s="438">
        <v>0</v>
      </c>
      <c r="H159" s="438">
        <v>0</v>
      </c>
      <c r="I159" s="438">
        <v>-46.424000000000007</v>
      </c>
      <c r="J159" s="438">
        <f>(SUM(Q_Financials!B130:E131,Q_Financials!B138:E138))+(SUM(Q_Financials!B39:E39))</f>
        <v>-38.065999999999988</v>
      </c>
      <c r="K159" s="438">
        <f>(SUM(Q_Financials!F130:I131,Q_Financials!F138:I138))+(SUM(Q_Financials!F39:I39))</f>
        <v>-57.430999999999997</v>
      </c>
      <c r="L159" s="438">
        <f>(SUM(Q_Financials!J130:M131,Q_Financials!J138:M138))+(SUM(Q_Financials!J39:M39))</f>
        <v>-76.904999999999987</v>
      </c>
      <c r="M159" s="438">
        <f>(SUM(Q_Financials!N130:Q131,Q_Financials!N138:Q138))+(SUM(Q_Financials!N39:Q39))</f>
        <v>733.64499999999998</v>
      </c>
      <c r="N159" s="438">
        <f>(SUM(Q_Financials!R130:U131,Q_Financials!R138:U138))+(SUM(Q_Financials!R39:U39))</f>
        <v>-854.71499999999992</v>
      </c>
      <c r="O159" s="438">
        <f>SUMIF(Q_Financials!$3:$3,Financials!O$150,Q_Financials!131:131)+SUMIF(Q_Financials!$3:$3,Financials!O$150,Q_Financials!138:138)</f>
        <v>-18.565999999999999</v>
      </c>
      <c r="P159" s="438">
        <f>SUMIF(Q_Financials!$3:$3,Financials!P$150,Q_Financials!131:131)+SUMIF(Q_Financials!$3:$3,Financials!P$150,Q_Financials!138:138)</f>
        <v>-18.462</v>
      </c>
      <c r="Q159" s="438">
        <f>SUMIF(Q_Financials!$3:$3,Financials!Q$150,Q_Financials!131:131)+SUMIF(Q_Financials!$3:$3,Financials!Q$150,Q_Financials!138:138)</f>
        <v>-116.83200000000002</v>
      </c>
      <c r="R159" s="438">
        <f>SUMIF(Q_Financials!$3:$3,Financials!R$150,Q_Financials!131:131)+SUMIF(Q_Financials!$3:$3,Financials!R$150,Q_Financials!138:138)</f>
        <v>38.690999999999995</v>
      </c>
      <c r="S159" s="438">
        <f>SUMIF(Q_Financials!$3:$3,Financials!S$150,Q_Financials!131:131)+SUMIF(Q_Financials!$3:$3,Financials!S$150,Q_Financials!138:138)</f>
        <v>1295.4759999999999</v>
      </c>
      <c r="T159" s="438">
        <f>SUMIF(Q_Financials!$3:$3,Financials!T$150,Q_Financials!131:131)+SUMIF(Q_Financials!$3:$3,Financials!T$150,Q_Financials!138:138)</f>
        <v>-1753.6409999999998</v>
      </c>
      <c r="U159" s="438">
        <f>SUMIF(Q_Financials!$3:$3,Financials!U$150,Q_Financials!131:131)+SUMIF(Q_Financials!$3:$3,Financials!U$150,Q_Financials!138:138)</f>
        <v>-253.41799999999992</v>
      </c>
      <c r="V159" s="438">
        <f>SUMIF(Q_Financials!$3:$3,Financials!V$150,Q_Financials!131:131)+SUMIF(Q_Financials!$3:$3,Financials!V$150,Q_Financials!138:138)</f>
        <v>-745.85900000000004</v>
      </c>
      <c r="W159" s="438">
        <f>SUMIF(Q_Financials!$3:$3,Financials!W$150,Q_Financials!131:131)+SUMIF(Q_Financials!$3:$3,Financials!W$150,Q_Financials!138:138)</f>
        <v>-1208.6290000000001</v>
      </c>
      <c r="X159" s="438">
        <f>SUMIF(Q_Financials!$3:$3,Financials!X$150,Q_Financials!131:131)+SUMIF(Q_Financials!$3:$3,Financials!X$150,Q_Financials!138:138)</f>
        <v>-2930.3290000000006</v>
      </c>
      <c r="Y159" s="447">
        <f>SUMIF(Q_Financials!$3:$3,Financials!Y$150,Q_Financials!131:131)+SUMIF(Q_Financials!$3:$3,Financials!Y$150,Q_Financials!138:138)</f>
        <v>-3046.6060000000002</v>
      </c>
      <c r="Z159" s="447">
        <f>SUMIF(Q_Financials!$3:$3,Financials!Z$150,Q_Financials!131:131)+SUMIF(Q_Financials!$3:$3,Financials!Z$150,Q_Financials!138:138)</f>
        <v>-824.56</v>
      </c>
      <c r="AA159" s="447">
        <f>SUMIF(Q_Financials!$3:$3,Financials!AA$150,Q_Financials!131:131)+SUMIF(Q_Financials!$3:$3,Financials!AA$150,Q_Financials!138:138)</f>
        <v>0</v>
      </c>
      <c r="AB159" s="447">
        <f>SUMIF(Q_Financials!$3:$3,Financials!AB$150,Q_Financials!131:131)+SUMIF(Q_Financials!$3:$3,Financials!AB$150,Q_Financials!138:138)</f>
        <v>0</v>
      </c>
      <c r="AC159" s="447">
        <f>SUMIF(Q_Financials!$3:$3,Financials!AC$150,Q_Financials!131:131)+SUMIF(Q_Financials!$3:$3,Financials!AC$150,Q_Financials!138:138)</f>
        <v>0</v>
      </c>
      <c r="AD159" s="447">
        <f>SUMIF(Q_Financials!$3:$3,Financials!AD$150,Q_Financials!131:131)+SUMIF(Q_Financials!$3:$3,Financials!AD$150,Q_Financials!138:138)</f>
        <v>0</v>
      </c>
      <c r="AE159" s="447">
        <f>SUMIF(Q_Financials!$3:$3,Financials!AE$150,Q_Financials!131:131)+SUMIF(Q_Financials!$3:$3,Financials!AE$150,Q_Financials!138:138)</f>
        <v>0</v>
      </c>
      <c r="AF159" s="447">
        <f>SUMIF(Q_Financials!$3:$3,Financials!AF$150,Q_Financials!131:131)+SUMIF(Q_Financials!$3:$3,Financials!AF$150,Q_Financials!138:138)</f>
        <v>0</v>
      </c>
      <c r="AG159" s="447">
        <f>SUMIF(Q_Financials!$3:$3,Financials!AG$150,Q_Financials!131:131)+SUMIF(Q_Financials!$3:$3,Financials!AG$150,Q_Financials!138:138)</f>
        <v>0</v>
      </c>
      <c r="AH159" s="447">
        <f>SUMIF(Q_Financials!$3:$3,Financials!AH$150,Q_Financials!131:131)+SUMIF(Q_Financials!$3:$3,Financials!AH$150,Q_Financials!138:138)</f>
        <v>0</v>
      </c>
      <c r="AI159" s="438"/>
      <c r="AJ159" s="508"/>
      <c r="AK159" s="508"/>
      <c r="AL159" s="508"/>
      <c r="AM159" s="508"/>
      <c r="AN159" s="508"/>
    </row>
    <row r="160" spans="1:40">
      <c r="A160" s="113" t="s">
        <v>206</v>
      </c>
      <c r="B160" s="985">
        <f t="shared" ref="B160:N160" si="204">SUM(B155:B159)</f>
        <v>84.697000000000017</v>
      </c>
      <c r="C160" s="985">
        <f t="shared" si="204"/>
        <v>167.17699999999996</v>
      </c>
      <c r="D160" s="985">
        <f t="shared" si="204"/>
        <v>16.945999999999962</v>
      </c>
      <c r="E160" s="985">
        <f t="shared" si="204"/>
        <v>22.096000000000004</v>
      </c>
      <c r="F160" s="985">
        <f t="shared" si="204"/>
        <v>-615.46</v>
      </c>
      <c r="G160" s="985">
        <f t="shared" si="204"/>
        <v>405.05699999999979</v>
      </c>
      <c r="H160" s="985">
        <f t="shared" si="204"/>
        <v>-569.80699999999979</v>
      </c>
      <c r="I160" s="985">
        <f t="shared" si="204"/>
        <v>-287.48299999999995</v>
      </c>
      <c r="J160" s="985">
        <f t="shared" si="204"/>
        <v>412.81000000000012</v>
      </c>
      <c r="K160" s="985">
        <f t="shared" si="204"/>
        <v>-118.432</v>
      </c>
      <c r="L160" s="985">
        <f t="shared" si="204"/>
        <v>-2366.3000000000006</v>
      </c>
      <c r="M160" s="985">
        <f t="shared" si="204"/>
        <v>1852.4859999999999</v>
      </c>
      <c r="N160" s="985">
        <f t="shared" si="204"/>
        <v>-2838.46</v>
      </c>
      <c r="O160" s="985">
        <f t="shared" ref="O160:X160" si="205">SUM(O155:O159)</f>
        <v>-3373.896999999999</v>
      </c>
      <c r="P160" s="985">
        <f t="shared" si="205"/>
        <v>-309.69800000000055</v>
      </c>
      <c r="Q160" s="985">
        <f t="shared" si="205"/>
        <v>-1004.8809999999986</v>
      </c>
      <c r="R160" s="985">
        <f t="shared" si="205"/>
        <v>-742.08400000000074</v>
      </c>
      <c r="S160" s="985">
        <f t="shared" si="205"/>
        <v>-10784.333999999999</v>
      </c>
      <c r="T160" s="985">
        <f t="shared" si="205"/>
        <v>233.28699999999935</v>
      </c>
      <c r="U160" s="985">
        <f t="shared" si="205"/>
        <v>1447.8059999999984</v>
      </c>
      <c r="V160" s="985">
        <f t="shared" si="205"/>
        <v>8209.268</v>
      </c>
      <c r="W160" s="985">
        <f t="shared" si="205"/>
        <v>4810.7309999999989</v>
      </c>
      <c r="X160" s="985">
        <f t="shared" si="205"/>
        <v>3415.8670000000002</v>
      </c>
      <c r="Y160" s="1566">
        <f t="shared" ref="Y160:AH160" si="206">SUM(Y155:Y159)</f>
        <v>-553.23887423958467</v>
      </c>
      <c r="Z160" s="1566">
        <f t="shared" si="206"/>
        <v>5220.8927915958375</v>
      </c>
      <c r="AA160" s="1566">
        <f t="shared" si="206"/>
        <v>7189.1672724563678</v>
      </c>
      <c r="AB160" s="1566">
        <f t="shared" si="206"/>
        <v>8293.4608444326223</v>
      </c>
      <c r="AC160" s="1566">
        <f t="shared" si="206"/>
        <v>7724.814745926471</v>
      </c>
      <c r="AD160" s="1566">
        <f t="shared" si="206"/>
        <v>8083.8320546463583</v>
      </c>
      <c r="AE160" s="1566">
        <f t="shared" si="206"/>
        <v>8845.6509091898333</v>
      </c>
      <c r="AF160" s="1566">
        <f t="shared" si="206"/>
        <v>9432.0559821079623</v>
      </c>
      <c r="AG160" s="1566">
        <f t="shared" si="206"/>
        <v>10049.931124142626</v>
      </c>
      <c r="AH160" s="1566">
        <f t="shared" si="206"/>
        <v>10805.380763815343</v>
      </c>
      <c r="AI160" s="985"/>
      <c r="AJ160" s="508"/>
      <c r="AK160" s="508"/>
      <c r="AL160" s="508"/>
      <c r="AM160" s="508"/>
      <c r="AN160" s="508"/>
    </row>
    <row r="161" spans="1:43">
      <c r="A161" s="1411" t="s">
        <v>918</v>
      </c>
      <c r="B161" s="438">
        <v>-93.914000000000001</v>
      </c>
      <c r="C161" s="438">
        <v>-60.65</v>
      </c>
      <c r="D161" s="438">
        <v>-28.98</v>
      </c>
      <c r="E161" s="438">
        <v>-87.554000000000002</v>
      </c>
      <c r="F161" s="438">
        <v>627.36</v>
      </c>
      <c r="G161" s="438">
        <v>-332.04700000000003</v>
      </c>
      <c r="H161" s="438">
        <v>536.17399999999998</v>
      </c>
      <c r="I161" s="438">
        <v>739.92899999999997</v>
      </c>
      <c r="J161" s="438">
        <f>SUM(Q_Financials!B128:E128)</f>
        <v>-488.07600000000002</v>
      </c>
      <c r="K161" s="438">
        <f>SUM(Q_Financials!F128:I128)</f>
        <v>295.42099999999999</v>
      </c>
      <c r="L161" s="438">
        <f>SUM(Q_Financials!J128:M128)</f>
        <v>2465.4760000000001</v>
      </c>
      <c r="M161" s="438">
        <f>SUM(Q_Financials!N128:Q128)</f>
        <v>-1659.2719999999999</v>
      </c>
      <c r="N161" s="438">
        <f>SUM(Q_Financials!R128:U128)</f>
        <v>2569.136</v>
      </c>
      <c r="O161" s="438">
        <f>SUMIF(Q_Financials!$3:$3,Financials!O$150,Q_Financials!128:128)</f>
        <v>4188.07</v>
      </c>
      <c r="P161" s="438">
        <f>SUMIF(Q_Financials!$3:$3,Financials!P$150,Q_Financials!128:128)</f>
        <v>882.57999999999993</v>
      </c>
      <c r="Q161" s="438">
        <f>SUMIF(Q_Financials!$3:$3,Financials!Q$150,Q_Financials!128:128)</f>
        <v>2356.9089999999997</v>
      </c>
      <c r="R161" s="438">
        <f>SUMIF(Q_Financials!$3:$3,Financials!R$150,Q_Financials!128:128)</f>
        <v>-265.35500000000002</v>
      </c>
      <c r="S161" s="438">
        <f>SUMIF(Q_Financials!$3:$3,Financials!S$150,Q_Financials!128:128)</f>
        <v>11231.788</v>
      </c>
      <c r="T161" s="438">
        <f>SUMIF(Q_Financials!$3:$3,Financials!T$150,Q_Financials!128:128)</f>
        <v>404.24599999999987</v>
      </c>
      <c r="U161" s="438">
        <f>SUMIF(Q_Financials!$3:$3,Financials!U$150,Q_Financials!128:128)</f>
        <v>5347.3440000000001</v>
      </c>
      <c r="V161" s="438">
        <f>SUMIF(Q_Financials!$3:$3,Financials!V$150,Q_Financials!128:128)</f>
        <v>275.26300000000015</v>
      </c>
      <c r="W161" s="438">
        <f>SUMIF(Q_Financials!$3:$3,Financials!W$150,Q_Financials!128:128)</f>
        <v>-2152.7870000000003</v>
      </c>
      <c r="X161" s="438">
        <f>SUMIF(Q_Financials!$3:$3,Financials!X$150,Q_Financials!128:128)</f>
        <v>566.35699999999997</v>
      </c>
      <c r="Y161" s="447">
        <f>SUMIF(Q_Financials!$3:$3,Financials!Y$150,Q_Financials!128:128)</f>
        <v>2955.9718166252323</v>
      </c>
      <c r="Z161" s="447">
        <f>SUMIF(Q_Financials!$3:$3,Financials!Z$150,Q_Financials!128:128)</f>
        <v>3659.1987338251547</v>
      </c>
      <c r="AA161" s="447">
        <f>SUMIF(Q_Financials!$3:$3,Financials!AA$150,Q_Financials!128:128)</f>
        <v>3586.8191181181646</v>
      </c>
      <c r="AB161" s="447">
        <f>SUMIF(Q_Financials!$3:$3,Financials!AB$150,Q_Financials!128:128)</f>
        <v>3159.6952341434467</v>
      </c>
      <c r="AC161" s="447">
        <f>SUMIF(Q_Financials!$3:$3,Financials!AC$150,Q_Financials!128:128)</f>
        <v>372.15226457853095</v>
      </c>
      <c r="AD161" s="447">
        <f>SUMIF(Q_Financials!$3:$3,Financials!AD$150,Q_Financials!128:128)</f>
        <v>375.49231073177918</v>
      </c>
      <c r="AE161" s="447">
        <f>SUMIF(Q_Financials!$3:$3,Financials!AE$150,Q_Financials!128:128)</f>
        <v>378.86233361596589</v>
      </c>
      <c r="AF161" s="447">
        <f>SUMIF(Q_Financials!$3:$3,Financials!AF$150,Q_Financials!128:128)</f>
        <v>382.26260227061437</v>
      </c>
      <c r="AG161" s="447">
        <f>SUMIF(Q_Financials!$3:$3,Financials!AG$150,Q_Financials!128:128)</f>
        <v>1388.985674506313</v>
      </c>
      <c r="AH161" s="447">
        <f>SUMIF(Q_Financials!$3:$3,Financials!AH$150,Q_Financials!128:128)</f>
        <v>549.52511344076925</v>
      </c>
      <c r="AI161" s="438"/>
      <c r="AJ161" s="508"/>
      <c r="AK161" s="508"/>
      <c r="AL161" s="508"/>
      <c r="AM161" s="508"/>
      <c r="AN161" s="508"/>
    </row>
    <row r="162" spans="1:43">
      <c r="A162" s="1411" t="s">
        <v>1267</v>
      </c>
      <c r="B162" s="438"/>
      <c r="C162" s="438"/>
      <c r="D162" s="438"/>
      <c r="E162" s="438"/>
      <c r="F162" s="438"/>
      <c r="G162" s="438"/>
      <c r="H162" s="438"/>
      <c r="I162" s="438"/>
      <c r="J162" s="438"/>
      <c r="K162" s="438"/>
      <c r="L162" s="438"/>
      <c r="M162" s="438"/>
      <c r="N162" s="438"/>
      <c r="O162" s="438">
        <f>SUMIF(Q_Financials!$3:$3,Financials!O$150,Q_Financials!130:130)</f>
        <v>0</v>
      </c>
      <c r="P162" s="438">
        <f>SUMIF(Q_Financials!$3:$3,Financials!P$150,Q_Financials!130:130)</f>
        <v>0</v>
      </c>
      <c r="Q162" s="438">
        <f>SUMIF(Q_Financials!$3:$3,Financials!Q$150,Q_Financials!130:130)</f>
        <v>0</v>
      </c>
      <c r="R162" s="438">
        <f>SUMIF(Q_Financials!$3:$3,Financials!R$150,Q_Financials!130:130)</f>
        <v>0</v>
      </c>
      <c r="S162" s="438">
        <f>SUMIF(Q_Financials!$3:$3,Financials!S$150,Q_Financials!130:130)</f>
        <v>0</v>
      </c>
      <c r="T162" s="438">
        <f>SUMIF(Q_Financials!$3:$3,Financials!T$150,Q_Financials!130:130)</f>
        <v>0</v>
      </c>
      <c r="U162" s="438">
        <f>SUMIF(Q_Financials!$3:$3,Financials!U$150,Q_Financials!130:130)</f>
        <v>-4310.0410000000002</v>
      </c>
      <c r="V162" s="438">
        <f>SUMIF(Q_Financials!$3:$3,Financials!V$150,Q_Financials!130:130)</f>
        <v>-5738.4549999999999</v>
      </c>
      <c r="W162" s="438">
        <f>SUMIF(Q_Financials!$3:$3,Financials!W$150,Q_Financials!130:130)</f>
        <v>-4388.6689999999999</v>
      </c>
      <c r="X162" s="438">
        <f>SUMIF(Q_Financials!$3:$3,Financials!X$150,Q_Financials!130:130)</f>
        <v>-5130</v>
      </c>
      <c r="Y162" s="447">
        <f>SUMIF(Q_Financials!$3:$3,Financials!Y$150,Q_Financials!130:130)</f>
        <v>-3784.9318330909573</v>
      </c>
      <c r="Z162" s="447">
        <f>SUMIF(Q_Financials!$3:$3,Financials!Z$150,Q_Financials!130:130)</f>
        <v>-3886.1239326906825</v>
      </c>
      <c r="AA162" s="447">
        <f>SUMIF(Q_Financials!$3:$3,Financials!AA$150,Q_Financials!130:130)</f>
        <v>-4129.266472977456</v>
      </c>
      <c r="AB162" s="447">
        <f>SUMIF(Q_Financials!$3:$3,Financials!AB$150,Q_Financials!130:130)</f>
        <v>-4283.9855471895753</v>
      </c>
      <c r="AC162" s="447">
        <f>SUMIF(Q_Financials!$3:$3,Financials!AC$150,Q_Financials!130:130)</f>
        <v>-4561.7001369482095</v>
      </c>
      <c r="AD162" s="447">
        <f>SUMIF(Q_Financials!$3:$3,Financials!AD$150,Q_Financials!130:130)</f>
        <v>-4855.6375665655132</v>
      </c>
      <c r="AE162" s="447">
        <f>SUMIF(Q_Financials!$3:$3,Financials!AE$150,Q_Financials!130:130)</f>
        <v>-5158.9173909126648</v>
      </c>
      <c r="AF162" s="447">
        <f>SUMIF(Q_Financials!$3:$3,Financials!AF$150,Q_Financials!130:130)</f>
        <v>-5474.4606632564846</v>
      </c>
      <c r="AG162" s="447">
        <f>SUMIF(Q_Financials!$3:$3,Financials!AG$150,Q_Financials!130:130)</f>
        <v>-5806.243583534233</v>
      </c>
      <c r="AH162" s="447">
        <f>SUMIF(Q_Financials!$3:$3,Financials!AH$150,Q_Financials!130:130)</f>
        <v>-6154.0829351118327</v>
      </c>
      <c r="AI162" s="438"/>
      <c r="AJ162" s="508"/>
      <c r="AK162" s="508"/>
      <c r="AL162" s="508"/>
      <c r="AM162" s="508"/>
      <c r="AN162" s="508"/>
    </row>
    <row r="163" spans="1:43">
      <c r="A163" s="113" t="s">
        <v>919</v>
      </c>
      <c r="B163" s="985">
        <f t="shared" ref="B163:N163" si="207">+B160+B161</f>
        <v>-9.2169999999999845</v>
      </c>
      <c r="C163" s="985">
        <f t="shared" si="207"/>
        <v>106.52699999999996</v>
      </c>
      <c r="D163" s="985">
        <f t="shared" si="207"/>
        <v>-12.034000000000038</v>
      </c>
      <c r="E163" s="985">
        <f t="shared" si="207"/>
        <v>-65.457999999999998</v>
      </c>
      <c r="F163" s="985">
        <f t="shared" si="207"/>
        <v>11.899999999999977</v>
      </c>
      <c r="G163" s="985">
        <f t="shared" si="207"/>
        <v>73.009999999999764</v>
      </c>
      <c r="H163" s="985">
        <f t="shared" si="207"/>
        <v>-33.632999999999811</v>
      </c>
      <c r="I163" s="985">
        <f t="shared" si="207"/>
        <v>452.44600000000003</v>
      </c>
      <c r="J163" s="985">
        <f t="shared" si="207"/>
        <v>-75.265999999999906</v>
      </c>
      <c r="K163" s="985">
        <f t="shared" si="207"/>
        <v>176.98899999999998</v>
      </c>
      <c r="L163" s="985">
        <f t="shared" si="207"/>
        <v>99.175999999999476</v>
      </c>
      <c r="M163" s="985">
        <f t="shared" si="207"/>
        <v>193.21399999999994</v>
      </c>
      <c r="N163" s="985">
        <f t="shared" si="207"/>
        <v>-269.32400000000007</v>
      </c>
      <c r="O163" s="985">
        <f t="shared" ref="O163:X163" si="208">+O160+O161+O162</f>
        <v>814.17300000000068</v>
      </c>
      <c r="P163" s="985">
        <f t="shared" si="208"/>
        <v>572.88199999999938</v>
      </c>
      <c r="Q163" s="985">
        <f t="shared" si="208"/>
        <v>1352.0280000000012</v>
      </c>
      <c r="R163" s="985">
        <f t="shared" si="208"/>
        <v>-1007.4390000000008</v>
      </c>
      <c r="S163" s="985">
        <f t="shared" si="208"/>
        <v>447.45400000000154</v>
      </c>
      <c r="T163" s="985">
        <f t="shared" si="208"/>
        <v>637.53299999999922</v>
      </c>
      <c r="U163" s="985">
        <f t="shared" si="208"/>
        <v>2485.1089999999986</v>
      </c>
      <c r="V163" s="985">
        <f t="shared" si="208"/>
        <v>2746.0760000000009</v>
      </c>
      <c r="W163" s="985">
        <f t="shared" si="208"/>
        <v>-1730.7250000000013</v>
      </c>
      <c r="X163" s="985">
        <f t="shared" si="208"/>
        <v>-1147.7759999999998</v>
      </c>
      <c r="Y163" s="1566">
        <f t="shared" ref="Y163:AH163" si="209">+Y160+Y161+Y162</f>
        <v>-1382.1988907053096</v>
      </c>
      <c r="Z163" s="1566">
        <f t="shared" si="209"/>
        <v>4993.9675927303097</v>
      </c>
      <c r="AA163" s="1566">
        <f t="shared" si="209"/>
        <v>6646.7199175970773</v>
      </c>
      <c r="AB163" s="1566">
        <f t="shared" si="209"/>
        <v>7169.1705313864932</v>
      </c>
      <c r="AC163" s="1566">
        <f t="shared" si="209"/>
        <v>3535.2668735567922</v>
      </c>
      <c r="AD163" s="1566">
        <f t="shared" si="209"/>
        <v>3603.6867988126241</v>
      </c>
      <c r="AE163" s="1566">
        <f t="shared" si="209"/>
        <v>4065.5958518931338</v>
      </c>
      <c r="AF163" s="1566">
        <f t="shared" si="209"/>
        <v>4339.8579211220913</v>
      </c>
      <c r="AG163" s="1566">
        <f t="shared" si="209"/>
        <v>5632.6732151147062</v>
      </c>
      <c r="AH163" s="1566">
        <f t="shared" si="209"/>
        <v>5200.8229421442802</v>
      </c>
      <c r="AI163" s="985"/>
      <c r="AJ163" s="508"/>
      <c r="AK163" s="508"/>
      <c r="AL163" s="508"/>
      <c r="AM163" s="508"/>
      <c r="AN163" s="508"/>
    </row>
    <row r="164" spans="1:43">
      <c r="A164" s="95"/>
      <c r="B164" s="1536"/>
      <c r="C164" s="1536"/>
      <c r="D164" s="1536"/>
      <c r="E164" s="1536"/>
      <c r="F164" s="1536"/>
      <c r="G164" s="1542"/>
      <c r="H164" s="1542"/>
      <c r="I164" s="1542"/>
      <c r="J164" s="1542"/>
      <c r="K164" s="1542"/>
      <c r="L164" s="1542"/>
      <c r="M164" s="1542"/>
      <c r="N164" s="1542"/>
      <c r="O164" s="1542"/>
      <c r="P164" s="1542"/>
      <c r="Q164" s="1542"/>
      <c r="R164" s="1542"/>
      <c r="S164" s="1542"/>
      <c r="T164" s="1622"/>
      <c r="U164" s="1622"/>
      <c r="V164" s="1622"/>
      <c r="W164" s="1622"/>
      <c r="X164" s="1622"/>
      <c r="Y164" s="1622"/>
      <c r="Z164" s="1622"/>
      <c r="AA164" s="1622"/>
      <c r="AB164" s="1622"/>
      <c r="AC164" s="1622"/>
      <c r="AD164" s="1622"/>
      <c r="AE164" s="1622"/>
      <c r="AF164" s="1622"/>
      <c r="AG164" s="1622"/>
      <c r="AH164" s="1622"/>
      <c r="AI164" s="1536"/>
      <c r="AJ164" s="1410"/>
      <c r="AK164" s="1410"/>
      <c r="AL164" s="1410"/>
      <c r="AM164" s="1410"/>
      <c r="AN164" s="1410"/>
    </row>
    <row r="165" spans="1:43">
      <c r="A165" s="1126" t="s">
        <v>669</v>
      </c>
      <c r="B165" s="1124">
        <v>2001</v>
      </c>
      <c r="C165" s="1124">
        <v>2002</v>
      </c>
      <c r="D165" s="1124">
        <v>2003</v>
      </c>
      <c r="E165" s="1124">
        <v>2004</v>
      </c>
      <c r="F165" s="1124">
        <v>2005</v>
      </c>
      <c r="G165" s="1124">
        <v>2006</v>
      </c>
      <c r="H165" s="1124">
        <v>2007</v>
      </c>
      <c r="I165" s="1124">
        <v>2008</v>
      </c>
      <c r="J165" s="1124">
        <f t="shared" ref="J165:AH165" si="210">J$4</f>
        <v>2009</v>
      </c>
      <c r="K165" s="1124">
        <f t="shared" si="210"/>
        <v>2010</v>
      </c>
      <c r="L165" s="1124">
        <f t="shared" si="210"/>
        <v>2011</v>
      </c>
      <c r="M165" s="1124">
        <f t="shared" si="210"/>
        <v>2012</v>
      </c>
      <c r="N165" s="1124">
        <f t="shared" si="210"/>
        <v>2013</v>
      </c>
      <c r="O165" s="1124">
        <f t="shared" si="210"/>
        <v>2014</v>
      </c>
      <c r="P165" s="1124">
        <f t="shared" si="210"/>
        <v>2015</v>
      </c>
      <c r="Q165" s="1124">
        <f t="shared" si="210"/>
        <v>2016</v>
      </c>
      <c r="R165" s="1124">
        <f t="shared" si="210"/>
        <v>2017</v>
      </c>
      <c r="S165" s="1583">
        <f t="shared" si="210"/>
        <v>2018</v>
      </c>
      <c r="T165" s="1583">
        <f t="shared" si="210"/>
        <v>2019</v>
      </c>
      <c r="U165" s="1583">
        <f t="shared" si="210"/>
        <v>2020</v>
      </c>
      <c r="V165" s="1583">
        <f t="shared" si="210"/>
        <v>2021</v>
      </c>
      <c r="W165" s="1583">
        <f t="shared" si="210"/>
        <v>2022</v>
      </c>
      <c r="X165" s="1583">
        <f t="shared" si="210"/>
        <v>2023</v>
      </c>
      <c r="Y165" s="1445">
        <f t="shared" si="210"/>
        <v>2024</v>
      </c>
      <c r="Z165" s="1445">
        <f t="shared" si="210"/>
        <v>2025</v>
      </c>
      <c r="AA165" s="1445">
        <f t="shared" si="210"/>
        <v>2026</v>
      </c>
      <c r="AB165" s="1445">
        <f t="shared" si="210"/>
        <v>2027</v>
      </c>
      <c r="AC165" s="1445">
        <f t="shared" si="210"/>
        <v>2028</v>
      </c>
      <c r="AD165" s="1445">
        <f t="shared" si="210"/>
        <v>2029</v>
      </c>
      <c r="AE165" s="1445">
        <f t="shared" si="210"/>
        <v>2030</v>
      </c>
      <c r="AF165" s="1445">
        <f t="shared" si="210"/>
        <v>2031</v>
      </c>
      <c r="AG165" s="1445">
        <f t="shared" si="210"/>
        <v>2032</v>
      </c>
      <c r="AH165" s="1445">
        <f t="shared" si="210"/>
        <v>2033</v>
      </c>
      <c r="AI165" s="121"/>
      <c r="AJ165" s="508"/>
      <c r="AK165" s="508"/>
      <c r="AL165" s="508"/>
      <c r="AM165" s="508"/>
      <c r="AN165" s="508"/>
    </row>
    <row r="166" spans="1:43">
      <c r="A166" s="124" t="s">
        <v>84</v>
      </c>
      <c r="B166" s="1522">
        <f t="shared" ref="B166:T166" si="211">B135-B129+B137</f>
        <v>43.146000000000015</v>
      </c>
      <c r="C166" s="1522">
        <f t="shared" si="211"/>
        <v>-140.97900000000001</v>
      </c>
      <c r="D166" s="1522">
        <f t="shared" si="211"/>
        <v>-160.66800000000001</v>
      </c>
      <c r="E166" s="1522">
        <f t="shared" si="211"/>
        <v>-48.488</v>
      </c>
      <c r="F166" s="1522">
        <f t="shared" si="211"/>
        <v>604.29999999999995</v>
      </c>
      <c r="G166" s="1522">
        <f t="shared" si="211"/>
        <v>253.01400000000001</v>
      </c>
      <c r="H166" s="1522">
        <f t="shared" si="211"/>
        <v>824.12300000000005</v>
      </c>
      <c r="I166" s="1522">
        <f t="shared" si="211"/>
        <v>1128.3149999999998</v>
      </c>
      <c r="J166" s="1522">
        <f t="shared" si="211"/>
        <v>864.92000000000007</v>
      </c>
      <c r="K166" s="1522">
        <f t="shared" si="211"/>
        <v>1015.8440000000001</v>
      </c>
      <c r="L166" s="1522">
        <f t="shared" si="211"/>
        <v>3317.152</v>
      </c>
      <c r="M166" s="1522">
        <f t="shared" si="211"/>
        <v>1541.886</v>
      </c>
      <c r="N166" s="1522">
        <f t="shared" si="211"/>
        <v>4380.3469999999998</v>
      </c>
      <c r="O166" s="1522">
        <f t="shared" si="211"/>
        <v>10126.329</v>
      </c>
      <c r="P166" s="1522">
        <f t="shared" si="211"/>
        <v>11037.527</v>
      </c>
      <c r="Q166" s="1522">
        <f t="shared" si="211"/>
        <v>12292.046999999999</v>
      </c>
      <c r="R166" s="1522">
        <f t="shared" si="211"/>
        <v>16501.033000000003</v>
      </c>
      <c r="S166" s="1522">
        <f t="shared" si="211"/>
        <v>26128.074999999997</v>
      </c>
      <c r="T166" s="1522">
        <f t="shared" si="211"/>
        <v>47623.216</v>
      </c>
      <c r="U166" s="1522">
        <f t="shared" ref="U166:Z166" si="212">U135-U129+U137</f>
        <v>59736.148999999998</v>
      </c>
      <c r="V166" s="1522">
        <f t="shared" si="212"/>
        <v>54318.394</v>
      </c>
      <c r="W166" s="1522">
        <f t="shared" si="212"/>
        <v>48531.94</v>
      </c>
      <c r="X166" s="1522">
        <f t="shared" ref="X166" si="213">X135-X129+X137</f>
        <v>43336.389000000003</v>
      </c>
      <c r="Y166" s="1596">
        <f t="shared" si="212"/>
        <v>48346.069794778654</v>
      </c>
      <c r="Z166" s="1596">
        <f t="shared" si="212"/>
        <v>46531.55116345975</v>
      </c>
      <c r="AA166" s="1596">
        <f>AA135-AA129+AA137</f>
        <v>43880.669059927197</v>
      </c>
      <c r="AB166" s="1596">
        <f>AB135-AB129+AB137</f>
        <v>40219.416268422639</v>
      </c>
      <c r="AC166" s="1596">
        <f>AC135-AC129+AC137</f>
        <v>37348.334594359258</v>
      </c>
      <c r="AD166" s="1596">
        <f>AD135-AD129+AD137</f>
        <v>34412.978805704952</v>
      </c>
      <c r="AE166" s="1596">
        <f>AE135-AE129+AE137</f>
        <v>30971.19328468974</v>
      </c>
      <c r="AF166" s="1596">
        <f t="shared" ref="AF166:AH166" si="214">AF135-AF129+AF137</f>
        <v>27239.282538597683</v>
      </c>
      <c r="AG166" s="1596">
        <f t="shared" si="214"/>
        <v>23217.523460382825</v>
      </c>
      <c r="AH166" s="1596">
        <f t="shared" si="214"/>
        <v>18780.274567407887</v>
      </c>
      <c r="AI166" s="438"/>
      <c r="AJ166" s="1128">
        <f>IFERROR((T166/P166)^(1/4)-1,"NM")</f>
        <v>0.44124142130556043</v>
      </c>
      <c r="AK166" s="1128">
        <f>IFERROR((W166/T166)^(1/3)-1,"NM")</f>
        <v>6.3204786119639422E-3</v>
      </c>
      <c r="AL166" s="1128">
        <f>IFERROR((AA166/Y166)^(1/2)-1,"NM")</f>
        <v>-4.7300289960553243E-2</v>
      </c>
      <c r="AM166" s="1128">
        <f>IFERROR((AD166/R166)^(1/5)-1,"NM")</f>
        <v>0.15835646486377253</v>
      </c>
      <c r="AN166" s="1128">
        <f>IFERROR((AH166/X166)^(1/5)-1,"NM")</f>
        <v>-0.15400101248042131</v>
      </c>
    </row>
    <row r="167" spans="1:43">
      <c r="A167" s="4" t="s">
        <v>1263</v>
      </c>
      <c r="B167" s="605">
        <f t="shared" ref="B167:N167" si="215">B135/B140</f>
        <v>0.15415970952841709</v>
      </c>
      <c r="C167" s="605">
        <f t="shared" si="215"/>
        <v>6.118452167748159E-2</v>
      </c>
      <c r="D167" s="605">
        <f t="shared" si="215"/>
        <v>3.7239221484750167E-2</v>
      </c>
      <c r="E167" s="605">
        <f t="shared" si="215"/>
        <v>6.9249312116156619E-2</v>
      </c>
      <c r="F167" s="605">
        <f t="shared" si="215"/>
        <v>0.43527913468643253</v>
      </c>
      <c r="G167" s="605">
        <f t="shared" si="215"/>
        <v>0.1873772550036249</v>
      </c>
      <c r="H167" s="605">
        <f t="shared" si="215"/>
        <v>0.34477259754267164</v>
      </c>
      <c r="I167" s="605">
        <f t="shared" si="215"/>
        <v>0.59730917285576479</v>
      </c>
      <c r="J167" s="605">
        <f t="shared" si="215"/>
        <v>0.45662484455521218</v>
      </c>
      <c r="K167" s="605">
        <f t="shared" si="215"/>
        <v>0.57796070816325384</v>
      </c>
      <c r="L167" s="605">
        <f t="shared" si="215"/>
        <v>1.3549478683908593</v>
      </c>
      <c r="M167" s="605">
        <f t="shared" si="215"/>
        <v>0.54736534747860399</v>
      </c>
      <c r="N167" s="605">
        <f t="shared" si="215"/>
        <v>1.1807803340663439</v>
      </c>
      <c r="O167" s="605">
        <f t="shared" ref="O167:Z167" si="216">(O135+O137)/O140</f>
        <v>1.2771608549330191</v>
      </c>
      <c r="P167" s="605">
        <f t="shared" si="216"/>
        <v>1.3488772037726935</v>
      </c>
      <c r="Q167" s="605">
        <f t="shared" si="216"/>
        <v>1.6654154260594349</v>
      </c>
      <c r="R167" s="605">
        <f t="shared" si="216"/>
        <v>1.9070501223575478</v>
      </c>
      <c r="S167" s="605">
        <f t="shared" si="216"/>
        <v>2.5375206677208104</v>
      </c>
      <c r="T167" s="605">
        <f>(T135+T137)/T140</f>
        <v>5.2446107388812733</v>
      </c>
      <c r="U167" s="605">
        <f t="shared" si="216"/>
        <v>10.101647550933727</v>
      </c>
      <c r="V167" s="605">
        <f t="shared" si="216"/>
        <v>8.0128939467999523</v>
      </c>
      <c r="W167" s="605">
        <f t="shared" si="216"/>
        <v>7.1715152023525759</v>
      </c>
      <c r="X167" s="605">
        <f t="shared" ref="X167" si="217">(X135+X137)/X140</f>
        <v>5.9397708827904427</v>
      </c>
      <c r="Y167" s="606">
        <f t="shared" si="216"/>
        <v>7.0710148844299852</v>
      </c>
      <c r="Z167" s="606">
        <f t="shared" si="216"/>
        <v>5.9848211493571313</v>
      </c>
      <c r="AA167" s="606">
        <f>(AA135+AA137)/AA140</f>
        <v>4.9406230837772886</v>
      </c>
      <c r="AB167" s="606">
        <f>(AB135+AB137)/AB140</f>
        <v>3.9794055241460415</v>
      </c>
      <c r="AC167" s="606">
        <f>(AC135+AC137)/AC140</f>
        <v>3.2107183183251102</v>
      </c>
      <c r="AD167" s="606">
        <f>(AD135+AD137)/AD140</f>
        <v>2.66457971882078</v>
      </c>
      <c r="AE167" s="606">
        <f>(AE135+AE137)/AE140</f>
        <v>2.2592246651773684</v>
      </c>
      <c r="AF167" s="606">
        <f t="shared" ref="AF167:AH167" si="218">(AF135+AF137)/AF140</f>
        <v>1.9478989304291174</v>
      </c>
      <c r="AG167" s="606">
        <f t="shared" si="218"/>
        <v>1.7283496310673385</v>
      </c>
      <c r="AH167" s="606">
        <f t="shared" si="218"/>
        <v>1.5317981870578685</v>
      </c>
      <c r="AI167" s="1623"/>
      <c r="AJ167" s="1133"/>
      <c r="AK167" s="508"/>
      <c r="AL167" s="1133"/>
      <c r="AM167" s="1133"/>
      <c r="AN167" s="1133"/>
    </row>
    <row r="168" spans="1:43">
      <c r="A168" s="91" t="s">
        <v>299</v>
      </c>
      <c r="B168" s="605">
        <f t="shared" ref="B168:N168" si="219">B166/B69</f>
        <v>0.13052159024219073</v>
      </c>
      <c r="C168" s="605">
        <f t="shared" si="219"/>
        <v>-0.36722557521040472</v>
      </c>
      <c r="D168" s="605">
        <f t="shared" si="219"/>
        <v>-0.38695693012434695</v>
      </c>
      <c r="E168" s="605">
        <f t="shared" si="219"/>
        <v>-8.8894918535602524E-2</v>
      </c>
      <c r="F168" s="605">
        <f t="shared" si="219"/>
        <v>0.86260179429166828</v>
      </c>
      <c r="G168" s="605">
        <f t="shared" si="219"/>
        <v>0.25114572693731313</v>
      </c>
      <c r="H168" s="605">
        <f t="shared" si="219"/>
        <v>0.63951140550456442</v>
      </c>
      <c r="I168" s="605">
        <f t="shared" si="219"/>
        <v>1.0932575113824974</v>
      </c>
      <c r="J168" s="605">
        <f t="shared" si="219"/>
        <v>0.8647159270412188</v>
      </c>
      <c r="K168" s="605">
        <f t="shared" si="219"/>
        <v>1.0172365969011579</v>
      </c>
      <c r="L168" s="605">
        <f t="shared" si="219"/>
        <v>2.9754325032941731</v>
      </c>
      <c r="M168" s="605">
        <f t="shared" si="219"/>
        <v>0.95884556905349005</v>
      </c>
      <c r="N168" s="605">
        <f t="shared" si="219"/>
        <v>2.148574940575517</v>
      </c>
      <c r="O168" s="605">
        <f t="shared" ref="O168:Z168" si="220">O166/O67</f>
        <v>3.625490674850667</v>
      </c>
      <c r="P168" s="605">
        <f t="shared" si="220"/>
        <v>2.5658350398177103</v>
      </c>
      <c r="Q168" s="605">
        <f t="shared" si="220"/>
        <v>2.3843801197927235</v>
      </c>
      <c r="R168" s="605">
        <f t="shared" si="220"/>
        <v>2.5518729265397351</v>
      </c>
      <c r="S168" s="605">
        <f t="shared" si="220"/>
        <v>4.0772132527151825</v>
      </c>
      <c r="T168" s="605">
        <f>T166/T67</f>
        <v>3.7743604765390844</v>
      </c>
      <c r="U168" s="605">
        <f t="shared" si="220"/>
        <v>8.6264875657353599</v>
      </c>
      <c r="V168" s="605">
        <f t="shared" si="220"/>
        <v>4.4120873323456742</v>
      </c>
      <c r="W168" s="605">
        <f t="shared" si="220"/>
        <v>3.4542812513834731</v>
      </c>
      <c r="X168" s="605">
        <f t="shared" ref="X168" si="221">X166/X67</f>
        <v>2.7152464141068249</v>
      </c>
      <c r="Y168" s="606">
        <f t="shared" si="220"/>
        <v>3.0628808181476774</v>
      </c>
      <c r="Z168" s="606">
        <f t="shared" si="220"/>
        <v>2.7866558714544998</v>
      </c>
      <c r="AA168" s="606">
        <f>AA166/AA67</f>
        <v>2.460336196117697</v>
      </c>
      <c r="AB168" s="606">
        <f>AB166/AB67</f>
        <v>2.1293941141285777</v>
      </c>
      <c r="AC168" s="606">
        <f>AC166/AC67</f>
        <v>1.9382664146979618</v>
      </c>
      <c r="AD168" s="606">
        <f>AD166/AD67</f>
        <v>1.6968890372797032</v>
      </c>
      <c r="AE168" s="606">
        <f>AE166/AE67</f>
        <v>1.4528648423005568</v>
      </c>
      <c r="AF168" s="606">
        <f t="shared" ref="AF168:AH168" si="222">AF166/AF67</f>
        <v>1.2171776095336875</v>
      </c>
      <c r="AG168" s="606">
        <f t="shared" si="222"/>
        <v>0.98834396854055029</v>
      </c>
      <c r="AH168" s="606">
        <f t="shared" si="222"/>
        <v>0.76181052214417999</v>
      </c>
      <c r="AI168" s="605"/>
      <c r="AJ168" s="1133"/>
      <c r="AK168" s="508"/>
      <c r="AL168" s="1133"/>
      <c r="AM168" s="1133"/>
      <c r="AN168" s="1133"/>
    </row>
    <row r="169" spans="1:43" s="1209" customFormat="1">
      <c r="A169" s="1266" t="s">
        <v>1231</v>
      </c>
      <c r="B169" s="1624">
        <f t="shared" ref="B169:Z169" si="223">B135-B129</f>
        <v>43.146000000000015</v>
      </c>
      <c r="C169" s="1624">
        <f t="shared" si="223"/>
        <v>-140.97900000000001</v>
      </c>
      <c r="D169" s="1624">
        <f t="shared" si="223"/>
        <v>-160.66800000000001</v>
      </c>
      <c r="E169" s="1624">
        <f t="shared" si="223"/>
        <v>-48.488</v>
      </c>
      <c r="F169" s="1624">
        <f t="shared" si="223"/>
        <v>604.29999999999995</v>
      </c>
      <c r="G169" s="1624">
        <f t="shared" si="223"/>
        <v>253.01400000000001</v>
      </c>
      <c r="H169" s="1624">
        <f t="shared" si="223"/>
        <v>824.12300000000005</v>
      </c>
      <c r="I169" s="1624">
        <f t="shared" si="223"/>
        <v>1128.3149999999998</v>
      </c>
      <c r="J169" s="1624">
        <f t="shared" si="223"/>
        <v>864.92000000000007</v>
      </c>
      <c r="K169" s="1624">
        <f t="shared" si="223"/>
        <v>1015.8440000000001</v>
      </c>
      <c r="L169" s="1624">
        <f t="shared" si="223"/>
        <v>3317.152</v>
      </c>
      <c r="M169" s="1624">
        <f t="shared" si="223"/>
        <v>1541.886</v>
      </c>
      <c r="N169" s="1624">
        <f t="shared" si="223"/>
        <v>4380.3469999999998</v>
      </c>
      <c r="O169" s="1624">
        <f t="shared" si="223"/>
        <v>10126.329</v>
      </c>
      <c r="P169" s="1624">
        <f t="shared" si="223"/>
        <v>11037.527</v>
      </c>
      <c r="Q169" s="1624">
        <f t="shared" si="223"/>
        <v>12292.046999999999</v>
      </c>
      <c r="R169" s="1624">
        <f t="shared" si="223"/>
        <v>16501.033000000003</v>
      </c>
      <c r="S169" s="1624">
        <f t="shared" si="223"/>
        <v>26128.074999999997</v>
      </c>
      <c r="T169" s="1624">
        <f>T135-T129</f>
        <v>25061.356</v>
      </c>
      <c r="U169" s="1624">
        <f t="shared" si="223"/>
        <v>34436.148999999998</v>
      </c>
      <c r="V169" s="1624">
        <f t="shared" si="223"/>
        <v>30555.119999999999</v>
      </c>
      <c r="W169" s="1624">
        <f t="shared" si="223"/>
        <v>26550.129000000001</v>
      </c>
      <c r="X169" s="1624">
        <f t="shared" ref="X169" si="224">X135-X129</f>
        <v>25006.322000000004</v>
      </c>
      <c r="Y169" s="1624">
        <f t="shared" si="223"/>
        <v>29497.70370733054</v>
      </c>
      <c r="Z169" s="1624">
        <f t="shared" si="223"/>
        <v>27338.374848425388</v>
      </c>
      <c r="AA169" s="1624">
        <f>AA135-AA129</f>
        <v>24278.474048946475</v>
      </c>
      <c r="AB169" s="1624">
        <f>AB135-AB129</f>
        <v>20268.998751703428</v>
      </c>
      <c r="AC169" s="1624">
        <f>AC135-AC129</f>
        <v>17105.884142725161</v>
      </c>
      <c r="AD169" s="1624">
        <f>AD135-AD129</f>
        <v>13877.689654644328</v>
      </c>
      <c r="AE169" s="1624">
        <f>AE135-AE129</f>
        <v>10190.956136367153</v>
      </c>
      <c r="AF169" s="1624">
        <f t="shared" ref="AF169:AH169" si="225">AF135-AF129</f>
        <v>6233.3608175156769</v>
      </c>
      <c r="AG169" s="1624">
        <f t="shared" si="225"/>
        <v>1989.6732769072914</v>
      </c>
      <c r="AH169" s="1624">
        <f t="shared" si="225"/>
        <v>-2661.6245517962234</v>
      </c>
      <c r="AI169" s="1518"/>
      <c r="AJ169" s="1261">
        <f>IFERROR((T169/P169)^(1/4)-1,"NM")</f>
        <v>0.22753305802065449</v>
      </c>
      <c r="AK169" s="1261">
        <f>IFERROR((W169/T169)^(1/3)-1,"NM")</f>
        <v>1.9422050377688294E-2</v>
      </c>
      <c r="AL169" s="1261">
        <f>IFERROR((AA169/Y169)^(1/2)-1,"NM")</f>
        <v>-9.2771700234555166E-2</v>
      </c>
      <c r="AM169" s="1261">
        <f>IFERROR((AD169/R169)^(1/5)-1,"NM")</f>
        <v>-3.4035407371994175E-2</v>
      </c>
      <c r="AN169" s="1261">
        <f>IFERROR((AH169/X169)^(1/5)-1,"NM")</f>
        <v>-1.6388801502091783</v>
      </c>
      <c r="AP169" s="9"/>
      <c r="AQ169" s="9"/>
    </row>
    <row r="170" spans="1:43" s="1209" customFormat="1">
      <c r="A170" s="1267" t="s">
        <v>1264</v>
      </c>
      <c r="B170" s="1625">
        <f t="shared" ref="B170:N170" si="226">B138/B142</f>
        <v>0.11591879906693063</v>
      </c>
      <c r="C170" s="1625">
        <f t="shared" si="226"/>
        <v>0.119598653296517</v>
      </c>
      <c r="D170" s="1625">
        <f t="shared" si="226"/>
        <v>0.13392358139434007</v>
      </c>
      <c r="E170" s="1625">
        <f t="shared" si="226"/>
        <v>8.5453739397214179E-2</v>
      </c>
      <c r="F170" s="1625">
        <f t="shared" si="226"/>
        <v>4.3541844820793645E-2</v>
      </c>
      <c r="G170" s="1625">
        <f t="shared" si="226"/>
        <v>3.342609491083455E-2</v>
      </c>
      <c r="H170" s="1625">
        <f t="shared" si="226"/>
        <v>4.1329971877294897E-2</v>
      </c>
      <c r="I170" s="1625">
        <f t="shared" si="226"/>
        <v>4.8974294385805389E-2</v>
      </c>
      <c r="J170" s="1625">
        <f t="shared" si="226"/>
        <v>0.13585624867335111</v>
      </c>
      <c r="K170" s="1625">
        <f t="shared" si="226"/>
        <v>0.10799973618922072</v>
      </c>
      <c r="L170" s="1625">
        <f t="shared" si="226"/>
        <v>0.10704836500794632</v>
      </c>
      <c r="M170" s="1625">
        <f t="shared" si="226"/>
        <v>0.13927931074499625</v>
      </c>
      <c r="N170" s="1625">
        <f t="shared" si="226"/>
        <v>0.11702684587650229</v>
      </c>
      <c r="O170" s="1625">
        <f t="shared" ref="O170:Z170" si="227">O135/O140</f>
        <v>1.2771608549330191</v>
      </c>
      <c r="P170" s="1625">
        <f t="shared" si="227"/>
        <v>1.3488772037726935</v>
      </c>
      <c r="Q170" s="1625">
        <f t="shared" si="227"/>
        <v>1.6654154260594349</v>
      </c>
      <c r="R170" s="1625">
        <f t="shared" si="227"/>
        <v>1.9070501223575478</v>
      </c>
      <c r="S170" s="1625">
        <f t="shared" si="227"/>
        <v>2.5375206677208104</v>
      </c>
      <c r="T170" s="1625">
        <f>T135/T140</f>
        <v>2.8897558479815988</v>
      </c>
      <c r="U170" s="1625">
        <f t="shared" si="227"/>
        <v>6.0875260937727331</v>
      </c>
      <c r="V170" s="1625">
        <f t="shared" si="227"/>
        <v>4.9021781958920654</v>
      </c>
      <c r="W170" s="1625">
        <f t="shared" si="227"/>
        <v>4.2859553730722793</v>
      </c>
      <c r="X170" s="1625">
        <f t="shared" ref="X170" si="228">X135/X140</f>
        <v>3.7511328220241378</v>
      </c>
      <c r="Y170" s="1625">
        <f t="shared" si="227"/>
        <v>4.5739582385020343</v>
      </c>
      <c r="Z170" s="1625">
        <f t="shared" si="227"/>
        <v>3.9536736222547209</v>
      </c>
      <c r="AA170" s="1625">
        <f>AA135/AA140</f>
        <v>3.3411395835658646</v>
      </c>
      <c r="AB170" s="1625">
        <f>AB135/AB140</f>
        <v>2.7400256387770212</v>
      </c>
      <c r="AC170" s="1625">
        <f>AC135/AC140</f>
        <v>2.2065195790658119</v>
      </c>
      <c r="AD170" s="1625">
        <f>AD135/AD140</f>
        <v>1.8277786037527357</v>
      </c>
      <c r="AE170" s="1625">
        <f>AE135/AE140</f>
        <v>1.5480453308772422</v>
      </c>
      <c r="AF170" s="1625">
        <f t="shared" ref="AF170:AH170" si="229">AF135/AF140</f>
        <v>1.3337183946889557</v>
      </c>
      <c r="AG170" s="1625">
        <f t="shared" si="229"/>
        <v>1.1906383878285813</v>
      </c>
      <c r="AH170" s="1625">
        <f t="shared" si="229"/>
        <v>1.0557584844158461</v>
      </c>
      <c r="AI170" s="1530"/>
      <c r="AJ170" s="1243"/>
      <c r="AK170" s="1262"/>
      <c r="AL170" s="1243"/>
      <c r="AM170" s="1243"/>
      <c r="AN170" s="1243"/>
      <c r="AP170" s="9"/>
      <c r="AQ170" s="9"/>
    </row>
    <row r="171" spans="1:43" s="1209" customFormat="1">
      <c r="A171" s="1267" t="s">
        <v>1243</v>
      </c>
      <c r="B171" s="1625">
        <f t="shared" ref="B171:Z171" si="230">+B169/B69</f>
        <v>0.13052159024219073</v>
      </c>
      <c r="C171" s="1625">
        <f t="shared" si="230"/>
        <v>-0.36722557521040472</v>
      </c>
      <c r="D171" s="1625">
        <f t="shared" si="230"/>
        <v>-0.38695693012434695</v>
      </c>
      <c r="E171" s="1625">
        <f t="shared" si="230"/>
        <v>-8.8894918535602524E-2</v>
      </c>
      <c r="F171" s="1625">
        <f t="shared" si="230"/>
        <v>0.86260179429166828</v>
      </c>
      <c r="G171" s="1625">
        <f t="shared" si="230"/>
        <v>0.25114572693731313</v>
      </c>
      <c r="H171" s="1625">
        <f t="shared" si="230"/>
        <v>0.63951140550456442</v>
      </c>
      <c r="I171" s="1625">
        <f t="shared" si="230"/>
        <v>1.0932575113824974</v>
      </c>
      <c r="J171" s="1625">
        <f t="shared" si="230"/>
        <v>0.8647159270412188</v>
      </c>
      <c r="K171" s="1625">
        <f t="shared" si="230"/>
        <v>1.0172365969011579</v>
      </c>
      <c r="L171" s="1625">
        <f t="shared" si="230"/>
        <v>2.9754325032941731</v>
      </c>
      <c r="M171" s="1625">
        <f t="shared" si="230"/>
        <v>0.95884556905349005</v>
      </c>
      <c r="N171" s="1625">
        <f t="shared" si="230"/>
        <v>2.148574940575517</v>
      </c>
      <c r="O171" s="1625">
        <f t="shared" si="230"/>
        <v>3.625490674850667</v>
      </c>
      <c r="P171" s="1625">
        <f t="shared" si="230"/>
        <v>2.5658350398177103</v>
      </c>
      <c r="Q171" s="1625">
        <f t="shared" si="230"/>
        <v>2.3843801197927235</v>
      </c>
      <c r="R171" s="1625">
        <f t="shared" si="230"/>
        <v>2.5518729265397351</v>
      </c>
      <c r="S171" s="1625">
        <f t="shared" si="230"/>
        <v>4.0772132527151825</v>
      </c>
      <c r="T171" s="1625">
        <f>+T169/T69</f>
        <v>3.2682320903464706</v>
      </c>
      <c r="U171" s="1625">
        <f t="shared" si="230"/>
        <v>23.968220459901673</v>
      </c>
      <c r="V171" s="1625">
        <f t="shared" si="230"/>
        <v>4.674690692131481</v>
      </c>
      <c r="W171" s="1625">
        <f t="shared" si="230"/>
        <v>3.0086816191183967</v>
      </c>
      <c r="X171" s="1625">
        <f t="shared" ref="X171" si="231">+X169/X69</f>
        <v>2.3165522409338952</v>
      </c>
      <c r="Y171" s="1625">
        <f t="shared" si="230"/>
        <v>2.6586220028321574</v>
      </c>
      <c r="Z171" s="1625">
        <f t="shared" si="230"/>
        <v>2.3138650219506696</v>
      </c>
      <c r="AA171" s="1625">
        <f>+AA169/AA69</f>
        <v>1.9093202998258916</v>
      </c>
      <c r="AB171" s="1625">
        <f>+AB169/AB69</f>
        <v>1.4910646489923076</v>
      </c>
      <c r="AC171" s="1625">
        <f>+AC169/AC69</f>
        <v>1.2503082507026044</v>
      </c>
      <c r="AD171" s="1625">
        <f>+AD169/AD69</f>
        <v>0.9648250142370296</v>
      </c>
      <c r="AE171" s="1625">
        <f>+AE169/AE69</f>
        <v>0.67474279872768128</v>
      </c>
      <c r="AF171" s="1625">
        <f t="shared" ref="AF171:AH171" si="232">+AF169/AF69</f>
        <v>0.39356989837943207</v>
      </c>
      <c r="AG171" s="1625">
        <f t="shared" si="232"/>
        <v>0.11980742494931075</v>
      </c>
      <c r="AH171" s="1625">
        <f t="shared" si="232"/>
        <v>-0.15288592399638284</v>
      </c>
      <c r="AI171" s="1530"/>
      <c r="AJ171" s="1243"/>
      <c r="AK171" s="1262"/>
      <c r="AL171" s="1243"/>
      <c r="AM171" s="1243"/>
      <c r="AN171" s="1243"/>
      <c r="AP171" s="9"/>
      <c r="AQ171" s="9"/>
    </row>
    <row r="172" spans="1:43">
      <c r="A172" s="91" t="s">
        <v>342</v>
      </c>
      <c r="B172" s="438">
        <f t="shared" ref="B172:Z172" si="233">B141</f>
        <v>48.603999999999999</v>
      </c>
      <c r="C172" s="438">
        <f t="shared" si="233"/>
        <v>26.916</v>
      </c>
      <c r="D172" s="438">
        <f t="shared" si="233"/>
        <v>42.328000000000003</v>
      </c>
      <c r="E172" s="438">
        <f t="shared" si="233"/>
        <v>162.625</v>
      </c>
      <c r="F172" s="438">
        <f t="shared" si="233"/>
        <v>82.119</v>
      </c>
      <c r="G172" s="438">
        <f t="shared" si="233"/>
        <v>68.694000000000003</v>
      </c>
      <c r="H172" s="438">
        <f t="shared" si="233"/>
        <v>134.60499999999999</v>
      </c>
      <c r="I172" s="438">
        <f t="shared" si="233"/>
        <v>232.72200000000001</v>
      </c>
      <c r="J172" s="438">
        <f t="shared" si="233"/>
        <v>223.774</v>
      </c>
      <c r="K172" s="438">
        <f t="shared" si="233"/>
        <v>245.64099999999999</v>
      </c>
      <c r="L172" s="438">
        <f t="shared" si="233"/>
        <v>298.86399999999998</v>
      </c>
      <c r="M172" s="438">
        <f t="shared" si="233"/>
        <v>308.18900000000002</v>
      </c>
      <c r="N172" s="438">
        <f t="shared" si="233"/>
        <v>239.50399999999999</v>
      </c>
      <c r="O172" s="438">
        <f t="shared" si="233"/>
        <v>1289.49</v>
      </c>
      <c r="P172" s="438">
        <f t="shared" si="233"/>
        <v>1356.1969999999999</v>
      </c>
      <c r="Q172" s="438">
        <f t="shared" si="233"/>
        <v>1013.448</v>
      </c>
      <c r="R172" s="438">
        <f t="shared" si="233"/>
        <v>1142.7370000000001</v>
      </c>
      <c r="S172" s="438">
        <f t="shared" si="233"/>
        <v>1878.742</v>
      </c>
      <c r="T172" s="438">
        <f>T141</f>
        <v>1961.5630000000001</v>
      </c>
      <c r="U172" s="438">
        <f t="shared" si="233"/>
        <v>1330.4459999999999</v>
      </c>
      <c r="V172" s="438">
        <f t="shared" si="233"/>
        <v>1034.923</v>
      </c>
      <c r="W172" s="438">
        <f t="shared" si="233"/>
        <v>962.13099999999997</v>
      </c>
      <c r="X172" s="438">
        <f t="shared" ref="X172" si="234">X141</f>
        <v>940.62099999999998</v>
      </c>
      <c r="Y172" s="447">
        <f t="shared" si="233"/>
        <v>124.39</v>
      </c>
      <c r="Z172" s="447">
        <f t="shared" si="233"/>
        <v>124.39</v>
      </c>
      <c r="AA172" s="447">
        <f>AA141</f>
        <v>124.39</v>
      </c>
      <c r="AB172" s="447">
        <f>AB141</f>
        <v>124.39</v>
      </c>
      <c r="AC172" s="447">
        <f>AC141</f>
        <v>124.39</v>
      </c>
      <c r="AD172" s="447">
        <f>AD141</f>
        <v>124.39</v>
      </c>
      <c r="AE172" s="447">
        <f>AE141</f>
        <v>124.39</v>
      </c>
      <c r="AF172" s="447">
        <f t="shared" ref="AF172:AH172" si="235">AF141</f>
        <v>124.39</v>
      </c>
      <c r="AG172" s="447">
        <f t="shared" si="235"/>
        <v>124.39</v>
      </c>
      <c r="AH172" s="447">
        <f t="shared" si="235"/>
        <v>124.39</v>
      </c>
      <c r="AI172" s="438"/>
      <c r="AJ172" s="1133"/>
      <c r="AK172" s="508"/>
      <c r="AL172" s="1133"/>
      <c r="AM172" s="1133"/>
      <c r="AN172" s="1133"/>
    </row>
    <row r="173" spans="1:43">
      <c r="A173" s="91" t="s">
        <v>95</v>
      </c>
      <c r="B173" s="438">
        <f t="shared" ref="B173:X173" si="236">+B67+B92+B94+B97+B154+B157+B162</f>
        <v>99.024999999999935</v>
      </c>
      <c r="C173" s="438">
        <f t="shared" si="236"/>
        <v>181.798</v>
      </c>
      <c r="D173" s="438">
        <f t="shared" si="236"/>
        <v>9.8980000000000814</v>
      </c>
      <c r="E173" s="438">
        <f t="shared" si="236"/>
        <v>-109.30000000000007</v>
      </c>
      <c r="F173" s="438">
        <f t="shared" si="236"/>
        <v>-449.02199999999988</v>
      </c>
      <c r="G173" s="438">
        <f t="shared" si="236"/>
        <v>-30.439999999999372</v>
      </c>
      <c r="H173" s="438">
        <f t="shared" si="236"/>
        <v>-218.84699999999987</v>
      </c>
      <c r="I173" s="438">
        <f t="shared" si="236"/>
        <v>-387.78600000000006</v>
      </c>
      <c r="J173" s="438">
        <f t="shared" si="236"/>
        <v>552.25699999999938</v>
      </c>
      <c r="K173" s="438">
        <f t="shared" si="236"/>
        <v>-9.9000000000002046</v>
      </c>
      <c r="L173" s="438">
        <f t="shared" si="236"/>
        <v>-333.62999999999977</v>
      </c>
      <c r="M173" s="438">
        <f t="shared" si="236"/>
        <v>-1891.1230000000007</v>
      </c>
      <c r="N173" s="438">
        <f t="shared" si="236"/>
        <v>-1906.1279999999999</v>
      </c>
      <c r="O173" s="438">
        <f t="shared" si="236"/>
        <v>-10371.472</v>
      </c>
      <c r="P173" s="438">
        <f t="shared" si="236"/>
        <v>-587.44299999999976</v>
      </c>
      <c r="Q173" s="438">
        <f t="shared" si="236"/>
        <v>-479.66799999999967</v>
      </c>
      <c r="R173" s="438">
        <f t="shared" si="236"/>
        <v>358.46899999999869</v>
      </c>
      <c r="S173" s="438">
        <f t="shared" si="236"/>
        <v>-12399.8</v>
      </c>
      <c r="T173" s="438">
        <f t="shared" si="236"/>
        <v>4649.882999999998</v>
      </c>
      <c r="U173" s="438">
        <f t="shared" si="236"/>
        <v>-3329.8420000000019</v>
      </c>
      <c r="V173" s="438">
        <f t="shared" si="236"/>
        <v>3166.0110000000022</v>
      </c>
      <c r="W173" s="438">
        <f t="shared" si="236"/>
        <v>2312.2380000000003</v>
      </c>
      <c r="X173" s="438">
        <f t="shared" si="236"/>
        <v>1623.7019999999993</v>
      </c>
      <c r="Y173" s="447">
        <f>+Y67+Y92+Y94+Y97+Y154+Y157+Y162+Y159</f>
        <v>-3716.5787073305432</v>
      </c>
      <c r="Z173" s="447">
        <f>+Z67+Z92+Z94+Z97+Z154+Z157+Z162+Z159</f>
        <v>1334.7688589051527</v>
      </c>
      <c r="AA173" s="447">
        <f t="shared" ref="AA173:AH173" si="237">+AA67+AA92+AA94+AA97+AA154+AA157+AA162+AA159</f>
        <v>3059.9007994789117</v>
      </c>
      <c r="AB173" s="447">
        <f t="shared" si="237"/>
        <v>4009.4752972430506</v>
      </c>
      <c r="AC173" s="447">
        <f t="shared" si="237"/>
        <v>3163.1146089782633</v>
      </c>
      <c r="AD173" s="447">
        <f t="shared" si="237"/>
        <v>3228.1944880808451</v>
      </c>
      <c r="AE173" s="447">
        <f t="shared" si="237"/>
        <v>3686.7335182771685</v>
      </c>
      <c r="AF173" s="447">
        <f t="shared" si="237"/>
        <v>3957.5953188514741</v>
      </c>
      <c r="AG173" s="447">
        <f t="shared" si="237"/>
        <v>4243.6875406083964</v>
      </c>
      <c r="AH173" s="447">
        <f t="shared" si="237"/>
        <v>4651.2978287035103</v>
      </c>
      <c r="AI173" s="438"/>
      <c r="AJ173" s="1133"/>
      <c r="AK173" s="508"/>
      <c r="AL173" s="1133"/>
      <c r="AM173" s="1133"/>
      <c r="AN173" s="1133"/>
    </row>
    <row r="174" spans="1:43">
      <c r="A174" s="4" t="s">
        <v>85</v>
      </c>
      <c r="B174" s="1623">
        <f t="shared" ref="B174:N174" si="238">B104/B133</f>
        <v>2.1055161345509898E-2</v>
      </c>
      <c r="C174" s="1623">
        <f t="shared" si="238"/>
        <v>9.0180085258925582E-2</v>
      </c>
      <c r="D174" s="1623">
        <f t="shared" si="238"/>
        <v>7.1263527908323063E-2</v>
      </c>
      <c r="E174" s="1623">
        <f t="shared" si="238"/>
        <v>7.0084912947456598E-2</v>
      </c>
      <c r="F174" s="1623">
        <f t="shared" si="238"/>
        <v>8.6777269681008892E-2</v>
      </c>
      <c r="G174" s="1623">
        <f t="shared" si="238"/>
        <v>5.4987964259568291E-2</v>
      </c>
      <c r="H174" s="1623">
        <f t="shared" si="238"/>
        <v>9.0343694465777155E-2</v>
      </c>
      <c r="I174" s="1623">
        <f t="shared" si="238"/>
        <v>1.9779775874568396E-2</v>
      </c>
      <c r="J174" s="1623">
        <f t="shared" si="238"/>
        <v>1.7860459863631176E-2</v>
      </c>
      <c r="K174" s="1623">
        <f t="shared" si="238"/>
        <v>2.4624712740723385E-2</v>
      </c>
      <c r="L174" s="1623">
        <f t="shared" si="238"/>
        <v>2.2363999469606589E-2</v>
      </c>
      <c r="M174" s="1623">
        <f t="shared" si="238"/>
        <v>3.7413781119505524E-2</v>
      </c>
      <c r="N174" s="1623">
        <f t="shared" si="238"/>
        <v>5.4849033133096609E-2</v>
      </c>
      <c r="O174" s="1623">
        <f t="shared" ref="O174:Z174" si="239">O102/O133</f>
        <v>2.2392685968196078E-2</v>
      </c>
      <c r="P174" s="1623">
        <f t="shared" si="239"/>
        <v>3.0814422531297615E-2</v>
      </c>
      <c r="Q174" s="1623">
        <f t="shared" si="239"/>
        <v>2.6226300884105092E-2</v>
      </c>
      <c r="R174" s="1623">
        <f t="shared" si="239"/>
        <v>2.7470736529431161E-2</v>
      </c>
      <c r="S174" s="1623">
        <f t="shared" si="239"/>
        <v>1.7965525974478515E-2</v>
      </c>
      <c r="T174" s="1623">
        <f>T102/T133</f>
        <v>1.212724431297974E-2</v>
      </c>
      <c r="U174" s="1623">
        <f t="shared" si="239"/>
        <v>-3.8184604137203697E-2</v>
      </c>
      <c r="V174" s="1623">
        <f t="shared" si="239"/>
        <v>1.0064528046750757E-2</v>
      </c>
      <c r="W174" s="1623">
        <f t="shared" si="239"/>
        <v>2.0285183709076289E-2</v>
      </c>
      <c r="X174" s="1623">
        <f t="shared" ref="X174" si="240">X102/X133</f>
        <v>3.8062888173296942E-2</v>
      </c>
      <c r="Y174" s="1626">
        <f t="shared" si="239"/>
        <v>1.4311695973904595E-2</v>
      </c>
      <c r="Z174" s="1626">
        <f t="shared" si="239"/>
        <v>2.2452200587402878E-2</v>
      </c>
      <c r="AA174" s="1626">
        <f>AA102/AA133</f>
        <v>3.0360100587586973E-2</v>
      </c>
      <c r="AB174" s="1626">
        <f>AB102/AB133</f>
        <v>3.815207424716846E-2</v>
      </c>
      <c r="AC174" s="1626">
        <f>AC102/AC133</f>
        <v>3.8124995174558522E-2</v>
      </c>
      <c r="AD174" s="1626">
        <f>AD102/AD133</f>
        <v>3.8969242864237905E-2</v>
      </c>
      <c r="AE174" s="1626">
        <f>AE102/AE133</f>
        <v>3.9431079119972519E-2</v>
      </c>
      <c r="AF174" s="1626">
        <f t="shared" ref="AF174:AH174" si="241">AF102/AF133</f>
        <v>3.979329807205665E-2</v>
      </c>
      <c r="AG174" s="1626">
        <f t="shared" si="241"/>
        <v>3.9650856347887238E-2</v>
      </c>
      <c r="AH174" s="1626">
        <f t="shared" si="241"/>
        <v>3.9622271720601648E-2</v>
      </c>
      <c r="AI174" s="1623"/>
      <c r="AJ174" s="1133"/>
      <c r="AK174" s="1133"/>
      <c r="AL174" s="1133"/>
      <c r="AM174" s="1133"/>
      <c r="AN174" s="1133"/>
    </row>
    <row r="175" spans="1:43" s="1209" customFormat="1">
      <c r="A175" s="1267" t="s">
        <v>1232</v>
      </c>
      <c r="B175" s="1530">
        <f t="shared" ref="B175:Z175" si="242">B104/B133</f>
        <v>2.1055161345509898E-2</v>
      </c>
      <c r="C175" s="1530">
        <f t="shared" si="242"/>
        <v>9.0180085258925582E-2</v>
      </c>
      <c r="D175" s="1530">
        <f t="shared" si="242"/>
        <v>7.1263527908323063E-2</v>
      </c>
      <c r="E175" s="1530">
        <f t="shared" si="242"/>
        <v>7.0084912947456598E-2</v>
      </c>
      <c r="F175" s="1530">
        <f t="shared" si="242"/>
        <v>8.6777269681008892E-2</v>
      </c>
      <c r="G175" s="1530">
        <f t="shared" si="242"/>
        <v>5.4987964259568291E-2</v>
      </c>
      <c r="H175" s="1530">
        <f t="shared" si="242"/>
        <v>9.0343694465777155E-2</v>
      </c>
      <c r="I175" s="1530">
        <f t="shared" si="242"/>
        <v>1.9779775874568396E-2</v>
      </c>
      <c r="J175" s="1530">
        <f t="shared" si="242"/>
        <v>1.7860459863631176E-2</v>
      </c>
      <c r="K175" s="1530">
        <f t="shared" si="242"/>
        <v>2.4624712740723385E-2</v>
      </c>
      <c r="L175" s="1530">
        <f t="shared" si="242"/>
        <v>2.2363999469606589E-2</v>
      </c>
      <c r="M175" s="1530">
        <f t="shared" si="242"/>
        <v>3.7413781119505524E-2</v>
      </c>
      <c r="N175" s="1530">
        <f t="shared" si="242"/>
        <v>5.4849033133096609E-2</v>
      </c>
      <c r="O175" s="1530">
        <f t="shared" si="242"/>
        <v>2.2392685968196002E-2</v>
      </c>
      <c r="P175" s="1530">
        <f t="shared" si="242"/>
        <v>3.0814422531297642E-2</v>
      </c>
      <c r="Q175" s="1530">
        <f t="shared" si="242"/>
        <v>2.6226300884105137E-2</v>
      </c>
      <c r="R175" s="1530">
        <f t="shared" si="242"/>
        <v>2.7470736529431185E-2</v>
      </c>
      <c r="S175" s="1530">
        <f t="shared" si="242"/>
        <v>1.7965525974478515E-2</v>
      </c>
      <c r="T175" s="1530">
        <f>T104/T133</f>
        <v>1.0003815095192572E-2</v>
      </c>
      <c r="U175" s="1530">
        <f t="shared" si="242"/>
        <v>-4.4442747908626783E-2</v>
      </c>
      <c r="V175" s="1530">
        <f t="shared" si="242"/>
        <v>5.8797461414930533E-3</v>
      </c>
      <c r="W175" s="1530">
        <f t="shared" si="242"/>
        <v>2.0652342259670782E-2</v>
      </c>
      <c r="X175" s="1530">
        <f t="shared" ref="X175" si="243">X104/X133</f>
        <v>3.6233817409637166E-2</v>
      </c>
      <c r="Y175" s="1530">
        <f t="shared" si="242"/>
        <v>1.8726040423356197E-2</v>
      </c>
      <c r="Z175" s="1530">
        <f t="shared" si="242"/>
        <v>2.6056824412477125E-2</v>
      </c>
      <c r="AA175" s="1530">
        <f>AA104/AA133</f>
        <v>3.2039901268152524E-2</v>
      </c>
      <c r="AB175" s="1530">
        <f>AB104/AB133</f>
        <v>3.9008175283619773E-2</v>
      </c>
      <c r="AC175" s="1530">
        <f>AC104/AC133</f>
        <v>3.7625619978570279E-2</v>
      </c>
      <c r="AD175" s="1530">
        <f>AD104/AD133</f>
        <v>3.7438702515802155E-2</v>
      </c>
      <c r="AE175" s="1530">
        <f>AE104/AE133</f>
        <v>3.7147411124576944E-2</v>
      </c>
      <c r="AF175" s="1530">
        <f t="shared" ref="AF175:AH175" si="244">AF104/AF133</f>
        <v>3.6903520785852136E-2</v>
      </c>
      <c r="AG175" s="1530">
        <f t="shared" si="244"/>
        <v>3.6327173924247919E-2</v>
      </c>
      <c r="AH175" s="1530">
        <f t="shared" si="244"/>
        <v>3.5960462072451314E-2</v>
      </c>
      <c r="AI175" s="1530"/>
      <c r="AJ175" s="1275"/>
      <c r="AK175" s="1243"/>
      <c r="AL175" s="1243"/>
      <c r="AM175" s="1243"/>
      <c r="AN175" s="1243"/>
      <c r="AP175" s="9"/>
      <c r="AQ175" s="9"/>
    </row>
    <row r="176" spans="1:43">
      <c r="A176" s="4" t="s">
        <v>86</v>
      </c>
      <c r="B176" s="1623"/>
      <c r="C176" s="1623">
        <f t="shared" ref="C176:N176" si="245">C104/AVERAGE(B140:C140)</f>
        <v>0.14867677698433543</v>
      </c>
      <c r="D176" s="1623">
        <f t="shared" si="245"/>
        <v>0.11180242898166601</v>
      </c>
      <c r="E176" s="1623">
        <f t="shared" si="245"/>
        <v>0.11724643143416798</v>
      </c>
      <c r="F176" s="1623">
        <f t="shared" si="245"/>
        <v>0.17632836019097486</v>
      </c>
      <c r="G176" s="1623">
        <f t="shared" si="245"/>
        <v>0.10050133736707226</v>
      </c>
      <c r="H176" s="1623">
        <f t="shared" si="245"/>
        <v>0.16931679619008447</v>
      </c>
      <c r="I176" s="1623">
        <f t="shared" si="245"/>
        <v>4.296533153258774E-2</v>
      </c>
      <c r="J176" s="1623">
        <f t="shared" si="245"/>
        <v>3.5135107676364553E-2</v>
      </c>
      <c r="K176" s="1623">
        <f t="shared" si="245"/>
        <v>5.2382464105389777E-2</v>
      </c>
      <c r="L176" s="1623">
        <f t="shared" si="245"/>
        <v>7.1560708104341481E-2</v>
      </c>
      <c r="M176" s="1623">
        <f t="shared" si="245"/>
        <v>9.7561072981505806E-2</v>
      </c>
      <c r="N176" s="1623">
        <f t="shared" si="245"/>
        <v>0.15491410108827933</v>
      </c>
      <c r="O176" s="1623">
        <f t="shared" ref="O176:Z176" si="246">O102/AVERAGE(N140:O140)</f>
        <v>0.10200255440152339</v>
      </c>
      <c r="P176" s="1623">
        <f t="shared" si="246"/>
        <v>0.10981966103516032</v>
      </c>
      <c r="Q176" s="1623">
        <f t="shared" si="246"/>
        <v>0.11084288566677207</v>
      </c>
      <c r="R176" s="1623">
        <f t="shared" si="246"/>
        <v>0.11860740170438064</v>
      </c>
      <c r="S176" s="1623">
        <f t="shared" si="246"/>
        <v>9.2817062745743431E-2</v>
      </c>
      <c r="T176" s="1623">
        <f t="shared" si="246"/>
        <v>8.9701999092205859E-2</v>
      </c>
      <c r="U176" s="1623">
        <f t="shared" si="246"/>
        <v>-0.4011707061312425</v>
      </c>
      <c r="V176" s="1623">
        <f t="shared" si="246"/>
        <v>0.11980133288719663</v>
      </c>
      <c r="W176" s="1623">
        <f t="shared" si="246"/>
        <v>0.21397803884936184</v>
      </c>
      <c r="X176" s="1623">
        <f t="shared" si="246"/>
        <v>0.36650217980163607</v>
      </c>
      <c r="Y176" s="1626">
        <f t="shared" si="246"/>
        <v>0.14112072178248317</v>
      </c>
      <c r="Z176" s="1626">
        <f t="shared" si="246"/>
        <v>0.22370043272421838</v>
      </c>
      <c r="AA176" s="1626">
        <f>AA102/AVERAGE(Z140:AA140)</f>
        <v>0.25855193968954793</v>
      </c>
      <c r="AB176" s="1626">
        <f>AB102/AVERAGE(AA140:AB140)</f>
        <v>0.27100104761259786</v>
      </c>
      <c r="AC176" s="1626">
        <f>AC102/AVERAGE(AB140:AC140)</f>
        <v>0.22400919980560483</v>
      </c>
      <c r="AD176" s="1626">
        <f>AD102/AVERAGE(AC140:AD140)</f>
        <v>0.1960897509112835</v>
      </c>
      <c r="AE176" s="1626">
        <f>AE102/AVERAGE(AD140:AE140)</f>
        <v>0.17407776940182368</v>
      </c>
      <c r="AF176" s="1626">
        <f t="shared" ref="AF176:AH176" si="247">AF102/AVERAGE(AE140:AF140)</f>
        <v>0.15711330417333599</v>
      </c>
      <c r="AG176" s="1626">
        <f t="shared" si="247"/>
        <v>0.14323122216953979</v>
      </c>
      <c r="AH176" s="1626">
        <f t="shared" si="247"/>
        <v>0.13166264263691183</v>
      </c>
      <c r="AI176" s="1623"/>
      <c r="AJ176" s="1133"/>
      <c r="AK176" s="1133"/>
      <c r="AL176" s="1133"/>
      <c r="AM176" s="1133"/>
      <c r="AN176" s="1133"/>
    </row>
    <row r="177" spans="1:43" s="1209" customFormat="1">
      <c r="A177" s="1267" t="s">
        <v>1233</v>
      </c>
      <c r="B177" s="1530"/>
      <c r="C177" s="1530">
        <f t="shared" ref="C177:Z177" si="248">C104/AVERAGE(B140:C140)</f>
        <v>0.14867677698433543</v>
      </c>
      <c r="D177" s="1530">
        <f t="shared" si="248"/>
        <v>0.11180242898166601</v>
      </c>
      <c r="E177" s="1530">
        <f t="shared" si="248"/>
        <v>0.11724643143416798</v>
      </c>
      <c r="F177" s="1530">
        <f t="shared" si="248"/>
        <v>0.17632836019097486</v>
      </c>
      <c r="G177" s="1530">
        <f t="shared" si="248"/>
        <v>0.10050133736707226</v>
      </c>
      <c r="H177" s="1530">
        <f t="shared" si="248"/>
        <v>0.16931679619008447</v>
      </c>
      <c r="I177" s="1530">
        <f t="shared" si="248"/>
        <v>4.296533153258774E-2</v>
      </c>
      <c r="J177" s="1530">
        <f t="shared" si="248"/>
        <v>3.5135107676364553E-2</v>
      </c>
      <c r="K177" s="1530">
        <f t="shared" si="248"/>
        <v>5.2382464105389777E-2</v>
      </c>
      <c r="L177" s="1530">
        <f t="shared" si="248"/>
        <v>7.1560708104341481E-2</v>
      </c>
      <c r="M177" s="1530">
        <f t="shared" si="248"/>
        <v>9.7561072981505806E-2</v>
      </c>
      <c r="N177" s="1530">
        <f t="shared" si="248"/>
        <v>0.15491410108827933</v>
      </c>
      <c r="O177" s="1530">
        <f t="shared" si="248"/>
        <v>0.10200255440152305</v>
      </c>
      <c r="P177" s="1530">
        <f t="shared" si="248"/>
        <v>0.10981966103516043</v>
      </c>
      <c r="Q177" s="1530">
        <f t="shared" si="248"/>
        <v>0.11084288566677228</v>
      </c>
      <c r="R177" s="1530">
        <f t="shared" si="248"/>
        <v>0.11860740170438074</v>
      </c>
      <c r="S177" s="1530">
        <f t="shared" si="248"/>
        <v>9.2817062745743431E-2</v>
      </c>
      <c r="T177" s="1530">
        <f t="shared" si="248"/>
        <v>7.3995558218210897E-2</v>
      </c>
      <c r="U177" s="1530">
        <f t="shared" si="248"/>
        <v>-0.4669192980724261</v>
      </c>
      <c r="V177" s="1530">
        <f t="shared" si="248"/>
        <v>6.9988520228390527E-2</v>
      </c>
      <c r="W177" s="1530">
        <f t="shared" si="248"/>
        <v>0.2178510068110881</v>
      </c>
      <c r="X177" s="1530">
        <f t="shared" si="248"/>
        <v>0.34889031548801203</v>
      </c>
      <c r="Y177" s="1530">
        <f t="shared" si="248"/>
        <v>0.18464844037285721</v>
      </c>
      <c r="Z177" s="1530">
        <f t="shared" si="248"/>
        <v>0.25961477022259055</v>
      </c>
      <c r="AA177" s="1530">
        <f>AA104/AVERAGE(Z140:AA140)</f>
        <v>0.27285741680742082</v>
      </c>
      <c r="AB177" s="1530">
        <f>AB104/AVERAGE(AA140:AB140)</f>
        <v>0.2770820873022749</v>
      </c>
      <c r="AC177" s="1530">
        <f>AC104/AVERAGE(AB140:AC140)</f>
        <v>0.22107504499341635</v>
      </c>
      <c r="AD177" s="1530">
        <f>AD104/AVERAGE(AC140:AD140)</f>
        <v>0.18838820852489396</v>
      </c>
      <c r="AE177" s="1530">
        <f>AE104/AVERAGE(AD140:AE140)</f>
        <v>0.16399598012379613</v>
      </c>
      <c r="AF177" s="1530">
        <f t="shared" ref="AF177:AH177" si="249">AF104/AVERAGE(AE140:AF140)</f>
        <v>0.14570378348122059</v>
      </c>
      <c r="AG177" s="1530">
        <f t="shared" si="249"/>
        <v>0.13122504778923175</v>
      </c>
      <c r="AH177" s="1530">
        <f t="shared" si="249"/>
        <v>0.1194946493802775</v>
      </c>
      <c r="AI177" s="1530"/>
      <c r="AJ177" s="1243"/>
      <c r="AK177" s="1243"/>
      <c r="AL177" s="1243"/>
      <c r="AM177" s="1243"/>
      <c r="AN177" s="1243"/>
      <c r="AP177" s="9"/>
      <c r="AQ177" s="9"/>
    </row>
    <row r="178" spans="1:43">
      <c r="A178" s="4" t="s">
        <v>87</v>
      </c>
      <c r="B178" s="1623"/>
      <c r="C178" s="1623">
        <f>(C90*(1+DCF!C24))/(AVERAGE(B166:C166)+AVERAGE(B140:C140)+AVERAGE(B141:C141))</f>
        <v>0.27249144773007089</v>
      </c>
      <c r="D178" s="1623">
        <f>(D90*(1+DCF!D24))/(AVERAGE(C166:D166)+AVERAGE(C140:D140)+AVERAGE(C141:D141))</f>
        <v>0.24635849161018608</v>
      </c>
      <c r="E178" s="1623">
        <f>(E90*(1+DCF!E24))/(AVERAGE(D166:E166)+AVERAGE(D140:E140)+AVERAGE(D141:E141))</f>
        <v>0.27529431691776823</v>
      </c>
      <c r="F178" s="1623">
        <f>(F90*(1+DCF!F24))/(AVERAGE(E166:F166)+AVERAGE(E140:F140)+AVERAGE(E141:F141))</f>
        <v>0.24521465202932827</v>
      </c>
      <c r="G178" s="1623">
        <f>(G90*(1+DCF!G24))/(AVERAGE(F166:G166)+AVERAGE(F140:G140)+AVERAGE(F141:G141))</f>
        <v>0.16063391460835932</v>
      </c>
      <c r="H178" s="1623">
        <f>(H90*(1+DCF!H24))/(AVERAGE(G166:H166)+AVERAGE(G140:H140)+AVERAGE(G141:H141))</f>
        <v>0.20649658566071263</v>
      </c>
      <c r="I178" s="1623">
        <f>(I90*(1+DCF!I24))/(AVERAGE(H166:I166)+AVERAGE(H140:I140)+AVERAGE(H141:I141))</f>
        <v>0.11043285685815038</v>
      </c>
      <c r="J178" s="1623">
        <f>(J90*(1+DCF!J24))/(AVERAGE(I166:J166)+AVERAGE(I140:J140)+AVERAGE(I141:J141))</f>
        <v>6.0545951354699847E-2</v>
      </c>
      <c r="K178" s="1623">
        <f>(K90*(1+DCF!K24))/(AVERAGE(J166:K166)+AVERAGE(J140:K140)+AVERAGE(J141:K141))</f>
        <v>4.4786883252483999E-2</v>
      </c>
      <c r="L178" s="1623">
        <f>(L90*(1+DCF!L24))/(AVERAGE(K166:L166)+AVERAGE(K140:L140)+AVERAGE(K141:L141))</f>
        <v>5.8123919702936809E-2</v>
      </c>
      <c r="M178" s="1623">
        <f>(M90*(1+DCF!M24))/(AVERAGE(L166:M166)+AVERAGE(L140:M140)+AVERAGE(L141:M141))</f>
        <v>7.9675440103500972E-2</v>
      </c>
      <c r="N178" s="1623">
        <f>(N90*(1+DCF!N24))/(AVERAGE(M166:N166)+AVERAGE(M140:N140)+AVERAGE(M141:N141))</f>
        <v>0.10244007480190646</v>
      </c>
      <c r="O178" s="1623">
        <f>(O90*(1+DCF!O24))/(AVERAGE(N166:O166)+AVERAGE(N140:O140)+AVERAGE(N141:O141))</f>
        <v>6.3458815243390199E-2</v>
      </c>
      <c r="P178" s="1623">
        <f>(P90*(1+DCF!P24))/(AVERAGE(O166:P166)+AVERAGE(O140:P140)+AVERAGE(O141:P141))</f>
        <v>7.6608886106419485E-2</v>
      </c>
      <c r="Q178" s="1623">
        <f>(Q90*(1+DCF!Q24))/(AVERAGE(P166:Q166)+AVERAGE(P140:Q140)+AVERAGE(P141:Q141))</f>
        <v>8.6199653475456176E-2</v>
      </c>
      <c r="R178" s="1623">
        <f>(R90*(1+DCF!R24))/(AVERAGE(Q166:R166)+AVERAGE(Q140:R140)+AVERAGE(Q141:R141))</f>
        <v>9.034877821955567E-2</v>
      </c>
      <c r="S178" s="1623">
        <f>(S90*(1+DCF!S24))/(AVERAGE(R166:S166)+AVERAGE(R140:S140)+AVERAGE(R141:S141))</f>
        <v>6.1700951690782144E-2</v>
      </c>
      <c r="T178" s="1623">
        <f>(T90*(1+DCF!T24))/(AVERAGE(S166:T166)+AVERAGE(S140:T140)+AVERAGE(S141:T141))</f>
        <v>7.1290988002112241E-2</v>
      </c>
      <c r="U178" s="1623">
        <f>(U90*(1+DCF!U24))/(AVERAGE(T166:U166)+AVERAGE(T140:U140)+AVERAGE(T141:U141))</f>
        <v>-1.7590294342897887E-2</v>
      </c>
      <c r="V178" s="1623">
        <f>(V90*(1+DCF!V24))/(AVERAGE(U166:V166)+AVERAGE(U140:V140)+AVERAGE(U141:V141))</f>
        <v>4.9770133383006517E-2</v>
      </c>
      <c r="W178" s="1623">
        <f>(W90*(1+DCF!W24))/(AVERAGE(V166:W166)+AVERAGE(V140:W140)+AVERAGE(V141:W141))</f>
        <v>6.6362725141931089E-2</v>
      </c>
      <c r="X178" s="1623">
        <f>(X90*(1+DCF!X24))/(AVERAGE(W166:X166)+AVERAGE(W140:X140)+AVERAGE(W141:X141))</f>
        <v>9.6768802410721722E-2</v>
      </c>
      <c r="Y178" s="1626">
        <f>(Y90*(1+DCF!Y24))/(AVERAGE(X166:Y166)+AVERAGE(X140:Y140)+AVERAGE(X141:Y141))</f>
        <v>9.0207710666813018E-2</v>
      </c>
      <c r="Z178" s="1626">
        <f>(Z90*(1+DCF!Z24))/(AVERAGE(Y166:Z166)+AVERAGE(Y140:Z140)+AVERAGE(Y141:Z141))</f>
        <v>9.2679708706957492E-2</v>
      </c>
      <c r="AA178" s="1626">
        <f>(AA90*(1+DCF!AA24))/(AVERAGE(Z166:AA166)+AVERAGE(Z140:AA140)+AVERAGE(Z141:AA141))</f>
        <v>0.10351482326307555</v>
      </c>
      <c r="AB178" s="1626">
        <f>(AB90*(1+DCF!AB24))/(AVERAGE(AA166:AB166)+AVERAGE(AA140:AB140)+AVERAGE(AA141:AB141))</f>
        <v>0.11317373225452042</v>
      </c>
      <c r="AC178" s="1626">
        <f>(AC90*(1+DCF!AC24))/(AVERAGE(AB166:AC166)+AVERAGE(AB140:AC140)+AVERAGE(AB141:AC141))</f>
        <v>0.11232677878138159</v>
      </c>
      <c r="AD178" s="1626">
        <f>(AD90*(1+DCF!AD24))/(AVERAGE(AC166:AD166)+AVERAGE(AC140:AD140)+AVERAGE(AC141:AD141))</f>
        <v>0.11248567452910252</v>
      </c>
      <c r="AE178" s="1626">
        <f>(AE90*(1+DCF!AE24))/(AVERAGE(AD166:AE166)+AVERAGE(AD140:AE140)+AVERAGE(AD141:AE141))</f>
        <v>0.11191219865816773</v>
      </c>
      <c r="AF178" s="1626">
        <f>(AF90*(1+DCF!AF24))/(AVERAGE(AE166:AF166)+AVERAGE(AE140:AF140)+AVERAGE(AE141:AF141))</f>
        <v>0.11123877081790656</v>
      </c>
      <c r="AG178" s="1626">
        <f>(AG90*(1+DCF!AG24))/(AVERAGE(AF166:AG166)+AVERAGE(AF140:AG140)+AVERAGE(AF141:AG141))</f>
        <v>0.11021567805455668</v>
      </c>
      <c r="AH178" s="1626">
        <f>(AH90*(1+DCF!AH24))/(AVERAGE(AG166:AH166)+AVERAGE(AG140:AH140)+AVERAGE(AG141:AH141))</f>
        <v>0.10900565726983814</v>
      </c>
      <c r="AI178" s="1623"/>
      <c r="AJ178" s="1133"/>
      <c r="AK178" s="1133"/>
      <c r="AL178" s="1133"/>
      <c r="AM178" s="1133"/>
      <c r="AN178" s="1133"/>
    </row>
    <row r="179" spans="1:43" s="1209" customFormat="1">
      <c r="A179" s="1267" t="s">
        <v>1234</v>
      </c>
      <c r="B179" s="1530"/>
      <c r="C179" s="1530">
        <f t="shared" ref="C179:Q179" si="250">((C69+C89)*(1-C98))/(AVERAGE(B124:C124)+AVERAGE(B125:C125)+AVERAGE(B123:C123)+AVERAGE(B130:C130)+AVERAGE(B131:C131)-AVERAGE(B136:C136))</f>
        <v>0.33347121469145202</v>
      </c>
      <c r="D179" s="1530">
        <f t="shared" si="250"/>
        <v>0.30941124660718716</v>
      </c>
      <c r="E179" s="1530">
        <f t="shared" si="250"/>
        <v>0.36399803037639328</v>
      </c>
      <c r="F179" s="1530">
        <f t="shared" si="250"/>
        <v>0.32246417073560807</v>
      </c>
      <c r="G179" s="1530">
        <f t="shared" si="250"/>
        <v>0.23413908556634691</v>
      </c>
      <c r="H179" s="1530">
        <f t="shared" si="250"/>
        <v>0.29833991285980033</v>
      </c>
      <c r="I179" s="1530">
        <f t="shared" si="250"/>
        <v>0.16946318514553602</v>
      </c>
      <c r="J179" s="1530">
        <f t="shared" si="250"/>
        <v>0.1137103873560552</v>
      </c>
      <c r="K179" s="1530">
        <f t="shared" si="250"/>
        <v>0.12242927172007949</v>
      </c>
      <c r="L179" s="1530">
        <f t="shared" si="250"/>
        <v>0.14746690502899712</v>
      </c>
      <c r="M179" s="1530">
        <f t="shared" si="250"/>
        <v>0.2063639419871246</v>
      </c>
      <c r="N179" s="1530">
        <f t="shared" si="250"/>
        <v>0.19173831614810272</v>
      </c>
      <c r="O179" s="1530">
        <f t="shared" si="250"/>
        <v>0.12274548135826327</v>
      </c>
      <c r="P179" s="1530">
        <f t="shared" si="250"/>
        <v>0.12792247450464619</v>
      </c>
      <c r="Q179" s="1530">
        <f t="shared" si="250"/>
        <v>0.13643205279978415</v>
      </c>
      <c r="R179" s="1530">
        <f>((R69+R89)*(1+DCF!R24))/(AVERAGE(Q124:R124)+AVERAGE(Q125:R125)+AVERAGE(Q123:R123)+AVERAGE(Q130:R130)+AVERAGE(Q131:R131)-AVERAGE(Q136:R136))</f>
        <v>7.5593457981945236E-2</v>
      </c>
      <c r="S179" s="1530">
        <f>((S69+S89)*(1+DCF!S24))/(AVERAGE(R124:S124)+AVERAGE(R125:S125)+AVERAGE(R123:S123)+AVERAGE(R130:S130)+AVERAGE(R131:S131)-AVERAGE(R136:S136))</f>
        <v>5.6631731934722575E-2</v>
      </c>
      <c r="T179" s="1530">
        <f>((T69+T89)*(1+DCF!T24))/(AVERAGE(S124:T124)+AVERAGE(S125:T125)+AVERAGE(S123:T123)+AVERAGE(S130:T130)+AVERAGE(S131:T131)-AVERAGE(S136:T136))</f>
        <v>6.188529283106349E-2</v>
      </c>
      <c r="U179" s="1530">
        <f>((U69+U89)*(1+DCF!U24))/(AVERAGE(T124:U124)+AVERAGE(T125:U125)+AVERAGE(T123:U123)+AVERAGE(T130:U130)+AVERAGE(T131:U131)-AVERAGE(T136:U136))</f>
        <v>-5.116039345085685E-2</v>
      </c>
      <c r="V179" s="1530">
        <f>((V69+V89)*(1+DCF!V24))/(AVERAGE(U124:V124)+AVERAGE(U125:V125)+AVERAGE(U123:V123)+AVERAGE(U130:V130)+AVERAGE(U131:V131)-AVERAGE(U136:V136))</f>
        <v>5.0170930832998901E-2</v>
      </c>
      <c r="W179" s="1530">
        <f>((W69+W89)*(1+DCF!W24))/(AVERAGE(V124:W124)+AVERAGE(V125:W125)+AVERAGE(V123:W123)+AVERAGE(V130:W130)+AVERAGE(V131:W131)-AVERAGE(V136:W136))</f>
        <v>8.1374383644524262E-2</v>
      </c>
      <c r="X179" s="1530">
        <f>((X69+X89)*(1+DCF!X24))/(AVERAGE(W124:X124)+AVERAGE(W125:X125)+AVERAGE(W123:X123)+AVERAGE(W130:X130)+AVERAGE(W131:X131)-AVERAGE(W136:X136))</f>
        <v>0.1132229138572384</v>
      </c>
      <c r="Y179" s="1530">
        <f>((Y69+Y89)*(1+DCF!Y24))/(AVERAGE(X124:Y124)+AVERAGE(X125:Y125)+AVERAGE(X123:Y123)+AVERAGE(X130:Y130)+AVERAGE(X131:Y131)-AVERAGE(X136:Y136))</f>
        <v>0.11120161284489649</v>
      </c>
      <c r="Z179" s="1530">
        <f>((Z69+Z89)*(1+DCF!Z24))/(AVERAGE(Y124:Z124)+AVERAGE(Y125:Z125)+AVERAGE(Y123:Z123)+AVERAGE(Y130:Z130)+AVERAGE(Y131:Z131)-AVERAGE(Y136:Z136))</f>
        <v>0.1129248236255532</v>
      </c>
      <c r="AA179" s="1530">
        <f>((AA69+AA89)*(1+DCF!AA24))/(AVERAGE(Z124:AA124)+AVERAGE(Z125:AA125)+AVERAGE(Z123:AA123)+AVERAGE(Z130:AA130)+AVERAGE(Z131:AA131)-AVERAGE(Z136:AA136))</f>
        <v>0.122489066961031</v>
      </c>
      <c r="AB179" s="1530">
        <f>((AB69+AB89)*(1+DCF!AB24))/(AVERAGE(AA124:AB124)+AVERAGE(AA125:AB125)+AVERAGE(AA123:AB123)+AVERAGE(AA130:AB130)+AVERAGE(AA131:AB131)-AVERAGE(AA136:AB136))</f>
        <v>0.13240849482841854</v>
      </c>
      <c r="AC179" s="1530">
        <f>((AC69+AC89)*(1+DCF!AC24))/(AVERAGE(AB124:AC124)+AVERAGE(AB125:AC125)+AVERAGE(AB123:AC123)+AVERAGE(AB130:AC130)+AVERAGE(AB131:AC131)-AVERAGE(AB136:AC136))</f>
        <v>0.12724852606321269</v>
      </c>
      <c r="AD179" s="1530">
        <f>((AD69+AD89)*(1+DCF!AD24))/(AVERAGE(AC124:AD124)+AVERAGE(AC125:AD125)+AVERAGE(AC123:AD123)+AVERAGE(AC130:AD130)+AVERAGE(AC131:AD131)-AVERAGE(AC136:AD136))</f>
        <v>0.1243081738990138</v>
      </c>
      <c r="AE179" s="1530">
        <f>((AE69+AE89)*(1+DCF!AE24))/(AVERAGE(AD124:AE124)+AVERAGE(AD125:AE125)+AVERAGE(AD123:AE123)+AVERAGE(AD130:AE130)+AVERAGE(AD131:AE131)-AVERAGE(AD136:AE136))</f>
        <v>0.12153229907867207</v>
      </c>
      <c r="AF179" s="1530">
        <f>((AF69+AF89)*(1+DCF!AF24))/(AVERAGE(AE124:AF124)+AVERAGE(AE125:AF125)+AVERAGE(AE123:AF123)+AVERAGE(AE130:AF130)+AVERAGE(AE131:AF131)-AVERAGE(AE136:AF136))</f>
        <v>0.11919376661892059</v>
      </c>
      <c r="AG179" s="1530">
        <f>((AG69+AG89)*(1+DCF!AG24))/(AVERAGE(AF124:AG124)+AVERAGE(AF125:AG125)+AVERAGE(AF123:AG123)+AVERAGE(AF130:AG130)+AVERAGE(AF131:AG131)-AVERAGE(AF136:AG136))</f>
        <v>0.11692012575630027</v>
      </c>
      <c r="AH179" s="1530">
        <f>((AH69+AH89)*(1+DCF!AH24))/(AVERAGE(AG124:AH124)+AVERAGE(AG125:AH125)+AVERAGE(AG123:AH123)+AVERAGE(AG130:AH130)+AVERAGE(AG131:AH131)-AVERAGE(AG136:AH136))</f>
        <v>0.11482937808542169</v>
      </c>
      <c r="AI179" s="1530"/>
      <c r="AJ179" s="1243"/>
      <c r="AK179" s="1243"/>
      <c r="AL179" s="1243"/>
      <c r="AM179" s="1243"/>
      <c r="AN179" s="1243"/>
      <c r="AP179" s="9"/>
      <c r="AQ179" s="9"/>
    </row>
    <row r="180" spans="1:43" ht="12.75" customHeight="1">
      <c r="A180" s="1267" t="s">
        <v>1369</v>
      </c>
      <c r="B180" s="1625"/>
      <c r="C180" s="1625">
        <f>+C135/C69</f>
        <v>0.17219714354928198</v>
      </c>
      <c r="D180" s="1625">
        <f t="shared" ref="D180:Z180" si="251">+D135/D69</f>
        <v>0.10869706581504736</v>
      </c>
      <c r="E180" s="1625">
        <f t="shared" si="251"/>
        <v>0.18096334606281383</v>
      </c>
      <c r="F180" s="1625">
        <f t="shared" si="251"/>
        <v>1.0982078494907606</v>
      </c>
      <c r="G180" s="1625">
        <f t="shared" si="251"/>
        <v>0.49360407925442595</v>
      </c>
      <c r="H180" s="1625">
        <f t="shared" si="251"/>
        <v>0.80194711471308544</v>
      </c>
      <c r="I180" s="1625">
        <f t="shared" si="251"/>
        <v>1.7345559929733243</v>
      </c>
      <c r="J180" s="1625">
        <f t="shared" si="251"/>
        <v>1.3278206343302987</v>
      </c>
      <c r="K180" s="1625">
        <f t="shared" si="251"/>
        <v>1.6583172362964902</v>
      </c>
      <c r="L180" s="1625">
        <f t="shared" si="251"/>
        <v>3.6386436883267375</v>
      </c>
      <c r="M180" s="1625">
        <f t="shared" si="251"/>
        <v>1.538793518918701</v>
      </c>
      <c r="N180" s="1625">
        <f t="shared" si="251"/>
        <v>2.4739111070562831</v>
      </c>
      <c r="O180" s="1625">
        <f t="shared" si="251"/>
        <v>4.0239200856971413</v>
      </c>
      <c r="P180" s="1625">
        <f t="shared" si="251"/>
        <v>2.8438195432580713</v>
      </c>
      <c r="Q180" s="1625">
        <f t="shared" si="251"/>
        <v>2.878604052809977</v>
      </c>
      <c r="R180" s="1625">
        <f t="shared" si="251"/>
        <v>2.7900951464250348</v>
      </c>
      <c r="S180" s="1625">
        <f t="shared" si="251"/>
        <v>4.3874127949662913</v>
      </c>
      <c r="T180" s="1625">
        <f t="shared" si="251"/>
        <v>3.6106070432198356</v>
      </c>
      <c r="U180" s="1625">
        <f t="shared" si="251"/>
        <v>26.704967906555286</v>
      </c>
      <c r="V180" s="1625">
        <f t="shared" si="251"/>
        <v>5.729331193688405</v>
      </c>
      <c r="W180" s="1625">
        <f t="shared" si="251"/>
        <v>3.6999054677961585</v>
      </c>
      <c r="X180" s="1625">
        <f t="shared" ref="X180" si="252">+X135/X69</f>
        <v>2.9103473588578184</v>
      </c>
      <c r="Y180" s="1625">
        <f t="shared" si="251"/>
        <v>3.1117585725336996</v>
      </c>
      <c r="Z180" s="1625">
        <f t="shared" si="251"/>
        <v>3.1620703413741023</v>
      </c>
      <c r="AA180" s="1625">
        <f>+AA135/AA69</f>
        <v>3.2201563866129037</v>
      </c>
      <c r="AB180" s="1625">
        <f>+AB135/AB69</f>
        <v>3.2446387453849734</v>
      </c>
      <c r="AC180" s="1625">
        <f>+AC135/AC69</f>
        <v>3.2510434162674171</v>
      </c>
      <c r="AD180" s="1625">
        <f>+AD135/AD69</f>
        <v>3.118412370796829</v>
      </c>
      <c r="AE180" s="1625">
        <f>+AE135/AE69</f>
        <v>2.9948727272113098</v>
      </c>
      <c r="AF180" s="1625">
        <f t="shared" ref="AF180:AH180" si="253">+AF135/AF69</f>
        <v>2.8801124385146752</v>
      </c>
      <c r="AG180" s="1625">
        <f t="shared" si="253"/>
        <v>2.8303408793014038</v>
      </c>
      <c r="AH180" s="1625">
        <f t="shared" si="253"/>
        <v>2.7315261450682375</v>
      </c>
      <c r="AI180" s="1536"/>
      <c r="AJ180" s="1133"/>
      <c r="AK180" s="1133"/>
      <c r="AL180" s="1133"/>
      <c r="AM180" s="1133"/>
      <c r="AN180" s="1133"/>
    </row>
    <row r="181" spans="1:43">
      <c r="A181" s="97" t="s">
        <v>603</v>
      </c>
      <c r="B181" s="1623"/>
      <c r="C181" s="1623"/>
      <c r="D181" s="1623"/>
      <c r="E181" s="1623"/>
      <c r="F181" s="1623"/>
      <c r="G181" s="1623"/>
      <c r="H181" s="1623"/>
      <c r="I181" s="1623"/>
      <c r="J181" s="1623">
        <f t="shared" ref="J181:Z181" si="254">-J157/J36</f>
        <v>6.4604141966286346E-2</v>
      </c>
      <c r="K181" s="1623">
        <f t="shared" si="254"/>
        <v>8.4835727901093824E-2</v>
      </c>
      <c r="L181" s="1623">
        <f t="shared" si="254"/>
        <v>0.11732889549707082</v>
      </c>
      <c r="M181" s="1623">
        <f t="shared" si="254"/>
        <v>0.20348721141064771</v>
      </c>
      <c r="N181" s="1623">
        <f t="shared" si="254"/>
        <v>0.20383244981039181</v>
      </c>
      <c r="O181" s="1623">
        <f t="shared" si="254"/>
        <v>0.54431000881349789</v>
      </c>
      <c r="P181" s="1623">
        <f t="shared" si="254"/>
        <v>0.10651486466832522</v>
      </c>
      <c r="Q181" s="1623">
        <f t="shared" si="254"/>
        <v>0.13364295725726261</v>
      </c>
      <c r="R181" s="1623">
        <f t="shared" si="254"/>
        <v>7.698997588029155E-2</v>
      </c>
      <c r="S181" s="1623">
        <f t="shared" si="254"/>
        <v>0.37909485126403719</v>
      </c>
      <c r="T181" s="1623">
        <f>-T157/T36</f>
        <v>8.3035278762637929E-2</v>
      </c>
      <c r="U181" s="1623">
        <f t="shared" si="254"/>
        <v>4.6237137982573978E-2</v>
      </c>
      <c r="V181" s="1623">
        <f t="shared" si="254"/>
        <v>4.7617315189103886E-2</v>
      </c>
      <c r="W181" s="1623">
        <f t="shared" si="254"/>
        <v>6.1359057481185336E-2</v>
      </c>
      <c r="X181" s="1623">
        <f t="shared" ref="X181" si="255">-X157/X36</f>
        <v>6.2173000691266911E-2</v>
      </c>
      <c r="Y181" s="1626">
        <f t="shared" si="254"/>
        <v>7.0888648776647217E-2</v>
      </c>
      <c r="Z181" s="1626">
        <f t="shared" si="254"/>
        <v>6.0661656801793591E-2</v>
      </c>
      <c r="AA181" s="1626">
        <f>-AA157/AA36</f>
        <v>5.558303781983006E-2</v>
      </c>
      <c r="AB181" s="1626">
        <f>-AB157/AB36</f>
        <v>5.3790582248577107E-2</v>
      </c>
      <c r="AC181" s="1626">
        <f>-AC157/AC36</f>
        <v>6.3413573690013395E-2</v>
      </c>
      <c r="AD181" s="1626">
        <f>-AD157/AD36</f>
        <v>6.5595090523177746E-2</v>
      </c>
      <c r="AE181" s="1626">
        <f>-AE157/AE36</f>
        <v>6.5931833495260245E-2</v>
      </c>
      <c r="AF181" s="1626">
        <f t="shared" ref="AF181:AH181" si="256">-AF157/AF36</f>
        <v>6.8249308464999339E-2</v>
      </c>
      <c r="AG181" s="1626">
        <f t="shared" si="256"/>
        <v>7.0597900018690304E-2</v>
      </c>
      <c r="AH181" s="1626">
        <f t="shared" si="256"/>
        <v>7.2059953877777749E-2</v>
      </c>
      <c r="AI181" s="1623"/>
      <c r="AJ181" s="1133"/>
      <c r="AK181" s="1133"/>
      <c r="AL181" s="1133"/>
      <c r="AM181" s="1133"/>
      <c r="AN181" s="1133"/>
    </row>
    <row r="182" spans="1:43">
      <c r="A182" s="116" t="s">
        <v>522</v>
      </c>
      <c r="B182" s="1623">
        <f t="shared" ref="B182:Z182" si="257">B183/B36</f>
        <v>4.0478386069325231E-3</v>
      </c>
      <c r="C182" s="1623">
        <f t="shared" si="257"/>
        <v>-3.3843928040317883E-2</v>
      </c>
      <c r="D182" s="1623">
        <f t="shared" si="257"/>
        <v>-3.9209595293873412E-3</v>
      </c>
      <c r="E182" s="1623">
        <f t="shared" si="257"/>
        <v>-1.7267999678584381E-3</v>
      </c>
      <c r="F182" s="1623">
        <f t="shared" si="257"/>
        <v>-3.3070327738837807E-2</v>
      </c>
      <c r="G182" s="1623">
        <f t="shared" si="257"/>
        <v>-4.1261480236106082E-2</v>
      </c>
      <c r="H182" s="1623">
        <f t="shared" si="257"/>
        <v>-5.2434054270025635E-2</v>
      </c>
      <c r="I182" s="1623">
        <f t="shared" si="257"/>
        <v>-8.05741171357892E-2</v>
      </c>
      <c r="J182" s="1623">
        <f t="shared" si="257"/>
        <v>-2.4444860832219914E-3</v>
      </c>
      <c r="K182" s="1623">
        <f t="shared" si="257"/>
        <v>-3.2114003990451382E-3</v>
      </c>
      <c r="L182" s="1623">
        <f t="shared" si="257"/>
        <v>-2.175626728134725E-2</v>
      </c>
      <c r="M182" s="1623">
        <f t="shared" si="257"/>
        <v>-3.2018165151363096E-3</v>
      </c>
      <c r="N182" s="1623">
        <f t="shared" si="257"/>
        <v>-8.7742594906720268E-3</v>
      </c>
      <c r="O182" s="1623">
        <f t="shared" si="257"/>
        <v>-3.2600424863669278E-2</v>
      </c>
      <c r="P182" s="1623">
        <f t="shared" si="257"/>
        <v>-2.2616715067986078E-2</v>
      </c>
      <c r="Q182" s="1623">
        <f t="shared" si="257"/>
        <v>-3.641652547339367E-2</v>
      </c>
      <c r="R182" s="1623">
        <f t="shared" si="257"/>
        <v>-1.6469632654763776E-2</v>
      </c>
      <c r="S182" s="1623">
        <f t="shared" si="257"/>
        <v>-4.485927047775258E-2</v>
      </c>
      <c r="T182" s="1623">
        <f>T183/T36</f>
        <v>-3.8237512999612297E-2</v>
      </c>
      <c r="U182" s="1623">
        <f t="shared" si="257"/>
        <v>-7.2735927358005895E-3</v>
      </c>
      <c r="V182" s="1623">
        <f t="shared" si="257"/>
        <v>-4.0924348647979293E-3</v>
      </c>
      <c r="W182" s="1623">
        <f t="shared" si="257"/>
        <v>-1.0225710525174557E-2</v>
      </c>
      <c r="X182" s="1623">
        <f t="shared" ref="X182" si="258">X183/X36</f>
        <v>-8.4610275855055862E-3</v>
      </c>
      <c r="Y182" s="1626">
        <f t="shared" si="257"/>
        <v>-9.7380581868239269E-3</v>
      </c>
      <c r="Z182" s="1626">
        <f t="shared" si="257"/>
        <v>-9.7508084988119203E-3</v>
      </c>
      <c r="AA182" s="1626">
        <f>AA183/AA36</f>
        <v>-9.8445297454662472E-3</v>
      </c>
      <c r="AB182" s="1626">
        <f>AB183/AB36</f>
        <v>-9.9724825174591376E-3</v>
      </c>
      <c r="AC182" s="1626">
        <f>AC183/AC36</f>
        <v>-1.0595347694445164E-2</v>
      </c>
      <c r="AD182" s="1626">
        <f>AD183/AD36</f>
        <v>-1.0605884202481578E-2</v>
      </c>
      <c r="AE182" s="1626">
        <f>AE183/AE36</f>
        <v>-1.0607488252642988E-2</v>
      </c>
      <c r="AF182" s="1626">
        <f t="shared" ref="AF182:AH182" si="259">AF183/AF36</f>
        <v>-1.0617619747933285E-2</v>
      </c>
      <c r="AG182" s="1626">
        <f t="shared" si="259"/>
        <v>-1.0627819891444561E-2</v>
      </c>
      <c r="AH182" s="1626">
        <f t="shared" si="259"/>
        <v>-1.0633228499356957E-2</v>
      </c>
      <c r="AI182" s="1623"/>
      <c r="AJ182" s="1133"/>
      <c r="AK182" s="1133"/>
      <c r="AL182" s="1133"/>
      <c r="AM182" s="1133"/>
      <c r="AN182" s="1133"/>
    </row>
    <row r="183" spans="1:43">
      <c r="A183" s="98" t="s">
        <v>30</v>
      </c>
      <c r="B183" s="967">
        <f t="shared" ref="B183:I183" si="260">B130+B131-B136</f>
        <v>10.016999999999996</v>
      </c>
      <c r="C183" s="967">
        <f t="shared" si="260"/>
        <v>-88.939000000000021</v>
      </c>
      <c r="D183" s="967">
        <f t="shared" si="260"/>
        <v>-11.258999999999986</v>
      </c>
      <c r="E183" s="967">
        <f t="shared" si="260"/>
        <v>-6.4039999999999964</v>
      </c>
      <c r="F183" s="967">
        <f t="shared" si="260"/>
        <v>-154.28300000000002</v>
      </c>
      <c r="G183" s="967">
        <f t="shared" si="260"/>
        <v>-248.66000000000008</v>
      </c>
      <c r="H183" s="967">
        <f t="shared" si="260"/>
        <v>-366.27299999999991</v>
      </c>
      <c r="I183" s="967">
        <f t="shared" si="260"/>
        <v>-627.41800000000012</v>
      </c>
      <c r="J183" s="967">
        <f>SUM(Q_BS!K26)</f>
        <v>-20.990999999999985</v>
      </c>
      <c r="K183" s="967">
        <f>SUM(Q_BS!L26)</f>
        <v>-28.842999999999961</v>
      </c>
      <c r="L183" s="967">
        <f>SUM(Q_BS!M26)</f>
        <v>-232.71600000000001</v>
      </c>
      <c r="M183" s="967">
        <f>SUM(Q_BS!Q26)</f>
        <v>-43.287000000000035</v>
      </c>
      <c r="N183" s="967">
        <f>SUM(Q_BS!U26)</f>
        <v>-137.86700000000019</v>
      </c>
      <c r="O183" s="967">
        <f>SUM(Q_BS!Y26)</f>
        <v>-743.29799999999977</v>
      </c>
      <c r="P183" s="967">
        <f>SUM(Q_BS!AC26)</f>
        <v>-730.25700000000006</v>
      </c>
      <c r="Q183" s="967">
        <f>SUM(Q_BS!AG26)</f>
        <v>-1372.971</v>
      </c>
      <c r="R183" s="967">
        <f>SUM(Q_BS!AK26)</f>
        <v>-700.43899999999985</v>
      </c>
      <c r="S183" s="967">
        <f>SUM(Q_BS!AO26)</f>
        <v>-2070.5510000000004</v>
      </c>
      <c r="T183" s="967">
        <f>SUM(Q_BS!AS26)</f>
        <v>-2223.6880000000001</v>
      </c>
      <c r="U183" s="967">
        <f>SUM(Q_BS!AW26)</f>
        <v>-280</v>
      </c>
      <c r="V183" s="967">
        <f>SUM(Q_BS!BA26)</f>
        <v>-218.45200000000023</v>
      </c>
      <c r="W183" s="967">
        <f>SUM(Q_BS!BE26)</f>
        <v>-703.84900000000016</v>
      </c>
      <c r="X183" s="967">
        <f>SUM(Q_BS!BI26)</f>
        <v>-644.99300000000039</v>
      </c>
      <c r="Y183" s="1397">
        <f>SUM(Q_BS!BM26)</f>
        <v>-764.9150569514195</v>
      </c>
      <c r="Z183" s="1397">
        <f>SUM(Q_BS!BQ26)</f>
        <v>-838.57912824765299</v>
      </c>
      <c r="AA183" s="1397">
        <f>SUM(Q_BS!BU26)</f>
        <v>-904.33843795629491</v>
      </c>
      <c r="AB183" s="1397">
        <f>SUM(Q_BS!BY26)</f>
        <v>-970.14922442829084</v>
      </c>
      <c r="AC183" s="1397">
        <f>SUM(Q_BS!CC26)</f>
        <v>-1085.0689403920733</v>
      </c>
      <c r="AD183" s="1397">
        <f>SUM(Q_BS!CG26)</f>
        <v>-1143.131188690928</v>
      </c>
      <c r="AE183" s="1397">
        <f>SUM(Q_BS!CK26)</f>
        <v>-1201.7819613367519</v>
      </c>
      <c r="AF183" s="1397">
        <f>SUM(Q_BS!CO26)</f>
        <v>-1262.8314839166687</v>
      </c>
      <c r="AG183" s="1397">
        <f>SUM(Q_BS!CS26)</f>
        <v>-1326.8583859201663</v>
      </c>
      <c r="AH183" s="1397">
        <f>SUM(Q_BS!CW26)</f>
        <v>-1393.1273889639688</v>
      </c>
      <c r="AI183" s="1623"/>
      <c r="AJ183" s="1133"/>
      <c r="AK183" s="1133"/>
      <c r="AL183" s="1133"/>
      <c r="AM183" s="1133"/>
      <c r="AN183" s="1133"/>
    </row>
    <row r="184" spans="1:43">
      <c r="A184" s="9" t="s">
        <v>38</v>
      </c>
      <c r="B184" s="967">
        <f t="shared" ref="B184:Z184" si="261">B183/B36*360</f>
        <v>1.4572218984957084</v>
      </c>
      <c r="C184" s="967">
        <f t="shared" si="261"/>
        <v>-12.183814094514439</v>
      </c>
      <c r="D184" s="967">
        <f t="shared" si="261"/>
        <v>-1.4115454305794428</v>
      </c>
      <c r="E184" s="967">
        <f t="shared" si="261"/>
        <v>-0.62164798842903768</v>
      </c>
      <c r="F184" s="967">
        <f t="shared" si="261"/>
        <v>-11.905317985981611</v>
      </c>
      <c r="G184" s="967">
        <f t="shared" si="261"/>
        <v>-14.85413288499819</v>
      </c>
      <c r="H184" s="967">
        <f t="shared" si="261"/>
        <v>-18.876259537209229</v>
      </c>
      <c r="I184" s="967">
        <f t="shared" si="261"/>
        <v>-29.006682168884112</v>
      </c>
      <c r="J184" s="967">
        <f t="shared" si="261"/>
        <v>-0.88001498995991689</v>
      </c>
      <c r="K184" s="967">
        <f t="shared" si="261"/>
        <v>-1.1561041436562498</v>
      </c>
      <c r="L184" s="967">
        <f t="shared" si="261"/>
        <v>-7.83225622128501</v>
      </c>
      <c r="M184" s="967">
        <f t="shared" si="261"/>
        <v>-1.1526539454490714</v>
      </c>
      <c r="N184" s="967">
        <f t="shared" si="261"/>
        <v>-3.1587334166419296</v>
      </c>
      <c r="O184" s="967">
        <f t="shared" si="261"/>
        <v>-11.736152950920941</v>
      </c>
      <c r="P184" s="967">
        <f t="shared" si="261"/>
        <v>-8.1420174244749877</v>
      </c>
      <c r="Q184" s="967">
        <f t="shared" si="261"/>
        <v>-13.109949170421721</v>
      </c>
      <c r="R184" s="967">
        <f t="shared" si="261"/>
        <v>-5.9290677557149589</v>
      </c>
      <c r="S184" s="967">
        <f t="shared" si="261"/>
        <v>-16.149337371990928</v>
      </c>
      <c r="T184" s="967">
        <f>T183/T36*360</f>
        <v>-13.765504679860427</v>
      </c>
      <c r="U184" s="967">
        <f t="shared" si="261"/>
        <v>-2.6184933848882124</v>
      </c>
      <c r="V184" s="967">
        <f t="shared" si="261"/>
        <v>-1.4732765513272545</v>
      </c>
      <c r="W184" s="967">
        <f t="shared" si="261"/>
        <v>-3.6812557890628406</v>
      </c>
      <c r="X184" s="967">
        <f t="shared" ref="X184" si="262">X183/X36*360</f>
        <v>-3.0459699307820109</v>
      </c>
      <c r="Y184" s="1397">
        <f t="shared" si="261"/>
        <v>-3.5057009472566136</v>
      </c>
      <c r="Z184" s="1397">
        <f t="shared" si="261"/>
        <v>-3.5102910595722912</v>
      </c>
      <c r="AA184" s="1397">
        <f>AA183/AA36*360</f>
        <v>-3.5440307083678491</v>
      </c>
      <c r="AB184" s="1397">
        <f>AB183/AB36*360</f>
        <v>-3.5900937062852893</v>
      </c>
      <c r="AC184" s="1397">
        <f>AC183/AC36*360</f>
        <v>-3.8143251700002589</v>
      </c>
      <c r="AD184" s="1397">
        <f>AD183/AD36*360</f>
        <v>-3.8181183128933682</v>
      </c>
      <c r="AE184" s="1397">
        <f>AE183/AE36*360</f>
        <v>-3.8186957709514759</v>
      </c>
      <c r="AF184" s="1397">
        <f t="shared" ref="AF184:AH184" si="263">AF183/AF36*360</f>
        <v>-3.8223431092559825</v>
      </c>
      <c r="AG184" s="1397">
        <f t="shared" si="263"/>
        <v>-3.8260151609200417</v>
      </c>
      <c r="AH184" s="1397">
        <f t="shared" si="263"/>
        <v>-3.8279622597685043</v>
      </c>
      <c r="AI184" s="967"/>
      <c r="AJ184" s="1133"/>
      <c r="AK184" s="1133"/>
      <c r="AL184" s="1133"/>
      <c r="AM184" s="1133"/>
      <c r="AN184" s="1133"/>
    </row>
    <row r="185" spans="1:43">
      <c r="A185" s="126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185" s="12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535"/>
      <c r="R185" s="1627"/>
      <c r="S185" s="1627"/>
      <c r="T185" s="1627"/>
      <c r="U185" s="1627"/>
      <c r="V185" s="1627"/>
      <c r="W185" s="1627"/>
      <c r="X185" s="16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 t="s">
        <v>281</v>
      </c>
      <c r="AI185" s="1628"/>
      <c r="AJ185" s="1133"/>
      <c r="AK185" s="1133"/>
      <c r="AL185" s="1133"/>
      <c r="AM185" s="1133"/>
      <c r="AN185" s="1133"/>
    </row>
    <row r="186" spans="1:43">
      <c r="A186" s="103"/>
      <c r="B186" s="1628"/>
      <c r="C186" s="1628"/>
      <c r="D186" s="1628"/>
      <c r="E186" s="1628"/>
      <c r="F186" s="1628"/>
      <c r="G186" s="1628"/>
      <c r="H186" s="1628"/>
      <c r="I186" s="1628"/>
      <c r="J186" s="1628"/>
      <c r="K186" s="1628"/>
      <c r="L186" s="1628"/>
      <c r="M186" s="1628"/>
      <c r="N186" s="1628"/>
      <c r="O186" s="1628"/>
      <c r="P186" s="1628"/>
      <c r="Q186" s="1628"/>
      <c r="R186" s="1628"/>
      <c r="S186" s="1628"/>
      <c r="T186" s="1628"/>
      <c r="U186" s="1628"/>
      <c r="V186" s="1628"/>
      <c r="W186" s="1628"/>
      <c r="X186" s="1628"/>
      <c r="Y186" s="1628"/>
      <c r="Z186" s="1628"/>
      <c r="AA186" s="1628"/>
      <c r="AB186" s="1628"/>
      <c r="AC186" s="1628"/>
      <c r="AD186" s="1628"/>
      <c r="AE186" s="1628"/>
      <c r="AF186" s="1628"/>
      <c r="AG186" s="1628"/>
      <c r="AH186" s="1628"/>
      <c r="AI186" s="1628"/>
      <c r="AJ186" s="1133"/>
      <c r="AK186" s="1133"/>
      <c r="AL186" s="1133"/>
      <c r="AM186" s="1133"/>
      <c r="AN186" s="1133"/>
    </row>
    <row r="187" spans="1:43">
      <c r="A187" s="1126" t="s">
        <v>1123</v>
      </c>
      <c r="B187" s="1124">
        <v>2001</v>
      </c>
      <c r="C187" s="1124">
        <v>2002</v>
      </c>
      <c r="D187" s="1124">
        <v>2003</v>
      </c>
      <c r="E187" s="1124">
        <v>2004</v>
      </c>
      <c r="F187" s="1124">
        <v>2005</v>
      </c>
      <c r="G187" s="1124">
        <v>2006</v>
      </c>
      <c r="H187" s="1124">
        <v>2007</v>
      </c>
      <c r="I187" s="1124">
        <v>2008</v>
      </c>
      <c r="J187" s="1124">
        <f t="shared" ref="J187:AH187" si="264">J$4</f>
        <v>2009</v>
      </c>
      <c r="K187" s="1124">
        <f t="shared" si="264"/>
        <v>2010</v>
      </c>
      <c r="L187" s="1124">
        <f t="shared" si="264"/>
        <v>2011</v>
      </c>
      <c r="M187" s="1124">
        <f t="shared" si="264"/>
        <v>2012</v>
      </c>
      <c r="N187" s="1124">
        <f t="shared" si="264"/>
        <v>2013</v>
      </c>
      <c r="O187" s="1124">
        <f t="shared" si="264"/>
        <v>2014</v>
      </c>
      <c r="P187" s="1124">
        <f t="shared" si="264"/>
        <v>2015</v>
      </c>
      <c r="Q187" s="1124">
        <f t="shared" si="264"/>
        <v>2016</v>
      </c>
      <c r="R187" s="1124">
        <f t="shared" si="264"/>
        <v>2017</v>
      </c>
      <c r="S187" s="1583">
        <f t="shared" si="264"/>
        <v>2018</v>
      </c>
      <c r="T187" s="1583">
        <f t="shared" si="264"/>
        <v>2019</v>
      </c>
      <c r="U187" s="1583">
        <f t="shared" si="264"/>
        <v>2020</v>
      </c>
      <c r="V187" s="1583">
        <f t="shared" si="264"/>
        <v>2021</v>
      </c>
      <c r="W187" s="1583">
        <f t="shared" si="264"/>
        <v>2022</v>
      </c>
      <c r="X187" s="1583">
        <f t="shared" si="264"/>
        <v>2023</v>
      </c>
      <c r="Y187" s="1445">
        <f t="shared" si="264"/>
        <v>2024</v>
      </c>
      <c r="Z187" s="1445">
        <f t="shared" si="264"/>
        <v>2025</v>
      </c>
      <c r="AA187" s="1445">
        <f t="shared" si="264"/>
        <v>2026</v>
      </c>
      <c r="AB187" s="1445">
        <f t="shared" si="264"/>
        <v>2027</v>
      </c>
      <c r="AC187" s="1445">
        <f t="shared" si="264"/>
        <v>2028</v>
      </c>
      <c r="AD187" s="1445">
        <f t="shared" si="264"/>
        <v>2029</v>
      </c>
      <c r="AE187" s="1445">
        <f t="shared" si="264"/>
        <v>2030</v>
      </c>
      <c r="AF187" s="1445">
        <f t="shared" si="264"/>
        <v>2031</v>
      </c>
      <c r="AG187" s="1445">
        <f t="shared" si="264"/>
        <v>2032</v>
      </c>
      <c r="AH187" s="1445">
        <f t="shared" si="264"/>
        <v>2033</v>
      </c>
      <c r="AI187" s="121"/>
      <c r="AJ187" s="1133"/>
      <c r="AK187" s="1133"/>
      <c r="AL187" s="1133"/>
      <c r="AM187" s="1133"/>
      <c r="AN187" s="1133"/>
    </row>
    <row r="188" spans="1:43">
      <c r="A188" s="124" t="s">
        <v>515</v>
      </c>
      <c r="B188" s="716">
        <v>0.88</v>
      </c>
      <c r="C188" s="716">
        <v>1.72</v>
      </c>
      <c r="D188" s="716">
        <v>2.74</v>
      </c>
      <c r="E188" s="716">
        <v>5.63</v>
      </c>
      <c r="F188" s="716">
        <v>7.84</v>
      </c>
      <c r="G188" s="716">
        <v>16.2</v>
      </c>
      <c r="H188" s="716">
        <v>13.53</v>
      </c>
      <c r="I188" s="716">
        <v>4.84</v>
      </c>
      <c r="J188" s="716">
        <v>9.16</v>
      </c>
      <c r="K188" s="716">
        <v>12.1</v>
      </c>
      <c r="L188" s="716">
        <v>13.44</v>
      </c>
      <c r="M188" s="716">
        <v>25.15</v>
      </c>
      <c r="N188" s="716">
        <v>40.78</v>
      </c>
      <c r="O188" s="716">
        <v>40.770000000000003</v>
      </c>
      <c r="P188" s="716">
        <v>59.85</v>
      </c>
      <c r="Q188" s="716">
        <v>59.33</v>
      </c>
      <c r="R188" s="716">
        <v>64.37</v>
      </c>
      <c r="S188" s="716">
        <v>51.15</v>
      </c>
      <c r="T188" s="716">
        <v>49.83</v>
      </c>
      <c r="U188" s="716">
        <v>25.89</v>
      </c>
      <c r="V188" s="716">
        <v>37.950000000000003</v>
      </c>
      <c r="W188" s="716">
        <v>36.86</v>
      </c>
      <c r="X188" s="716">
        <v>64.16</v>
      </c>
      <c r="Y188" s="1629">
        <f>Index!$H$36</f>
        <v>61.26</v>
      </c>
      <c r="Z188" s="1629">
        <f>Index!$H$36</f>
        <v>61.26</v>
      </c>
      <c r="AA188" s="1629">
        <f>Index!$H$36</f>
        <v>61.26</v>
      </c>
      <c r="AB188" s="1629">
        <f>Index!$H$36</f>
        <v>61.26</v>
      </c>
      <c r="AC188" s="1629">
        <f>Index!$H$36</f>
        <v>61.26</v>
      </c>
      <c r="AD188" s="1629">
        <f>Index!$H$36</f>
        <v>61.26</v>
      </c>
      <c r="AE188" s="1629">
        <f>Index!$H$36</f>
        <v>61.26</v>
      </c>
      <c r="AF188" s="1629">
        <f>Index!$H$36</f>
        <v>61.26</v>
      </c>
      <c r="AG188" s="1629">
        <f>Index!$H$36</f>
        <v>61.26</v>
      </c>
      <c r="AH188" s="1629">
        <f>Index!$H$36</f>
        <v>61.26</v>
      </c>
      <c r="AI188" s="610"/>
      <c r="AJ188" s="1133"/>
      <c r="AK188" s="1133"/>
      <c r="AL188" s="1133"/>
      <c r="AM188" s="1133"/>
      <c r="AN188" s="1133"/>
    </row>
    <row r="189" spans="1:43">
      <c r="A189" s="98" t="s">
        <v>88</v>
      </c>
      <c r="B189" s="438"/>
      <c r="C189" s="438"/>
      <c r="D189" s="438">
        <f t="shared" ref="D189:Z189" si="265">D188*D113</f>
        <v>1280.1280000000002</v>
      </c>
      <c r="E189" s="438">
        <f t="shared" si="265"/>
        <v>2796.9839999999999</v>
      </c>
      <c r="F189" s="438">
        <f t="shared" si="265"/>
        <v>4283.7759999999998</v>
      </c>
      <c r="G189" s="438">
        <f t="shared" si="265"/>
        <v>10095.84</v>
      </c>
      <c r="H189" s="438">
        <f t="shared" si="265"/>
        <v>8372.3639999999996</v>
      </c>
      <c r="I189" s="438">
        <f t="shared" si="265"/>
        <v>2991.12</v>
      </c>
      <c r="J189" s="438">
        <f t="shared" si="265"/>
        <v>5512.4879999999994</v>
      </c>
      <c r="K189" s="438">
        <f t="shared" si="265"/>
        <v>7322.92</v>
      </c>
      <c r="L189" s="438">
        <f t="shared" si="265"/>
        <v>8144.6399999999994</v>
      </c>
      <c r="M189" s="438">
        <f t="shared" si="265"/>
        <v>17298.169999999998</v>
      </c>
      <c r="N189" s="438">
        <f t="shared" si="265"/>
        <v>28048.484</v>
      </c>
      <c r="O189" s="438">
        <f t="shared" si="265"/>
        <v>34148.952000000005</v>
      </c>
      <c r="P189" s="438">
        <f t="shared" si="265"/>
        <v>50124.375</v>
      </c>
      <c r="Q189" s="438">
        <f t="shared" si="265"/>
        <v>49499.018999999993</v>
      </c>
      <c r="R189" s="438">
        <f t="shared" si="265"/>
        <v>53607.336000000003</v>
      </c>
      <c r="S189" s="438">
        <f t="shared" si="265"/>
        <v>42740.94</v>
      </c>
      <c r="T189" s="438">
        <f>T188*T113</f>
        <v>41782.455000000002</v>
      </c>
      <c r="U189" s="438">
        <f t="shared" si="265"/>
        <v>21708.764999999999</v>
      </c>
      <c r="V189" s="438">
        <f>V188*V113</f>
        <v>31824.870000000003</v>
      </c>
      <c r="W189" s="438">
        <f t="shared" si="265"/>
        <v>30225.200000000001</v>
      </c>
      <c r="X189" s="438">
        <f t="shared" ref="X189" si="266">X188*X113</f>
        <v>51950.351999999999</v>
      </c>
      <c r="Y189" s="447">
        <f t="shared" si="265"/>
        <v>49926.9</v>
      </c>
      <c r="Z189" s="447">
        <f t="shared" si="265"/>
        <v>49926.9</v>
      </c>
      <c r="AA189" s="447">
        <f>AA188*AA113</f>
        <v>49926.9</v>
      </c>
      <c r="AB189" s="447">
        <f>AB188*AB113</f>
        <v>49926.9</v>
      </c>
      <c r="AC189" s="447">
        <f>AC188*AC113</f>
        <v>49926.9</v>
      </c>
      <c r="AD189" s="447">
        <f>AD188*AD113</f>
        <v>49926.9</v>
      </c>
      <c r="AE189" s="447">
        <f>AE188*AE113</f>
        <v>49926.9</v>
      </c>
      <c r="AF189" s="447">
        <f t="shared" ref="AF189:AH189" si="267">AF188*AF113</f>
        <v>49926.9</v>
      </c>
      <c r="AG189" s="447">
        <f t="shared" si="267"/>
        <v>49926.9</v>
      </c>
      <c r="AH189" s="447">
        <f t="shared" si="267"/>
        <v>49926.9</v>
      </c>
      <c r="AI189" s="438"/>
      <c r="AJ189" s="1133"/>
      <c r="AK189" s="1133"/>
      <c r="AL189" s="1133"/>
      <c r="AM189" s="1133"/>
      <c r="AN189" s="1133"/>
    </row>
    <row r="190" spans="1:43">
      <c r="A190" s="98" t="s">
        <v>89</v>
      </c>
      <c r="B190" s="438">
        <f t="shared" ref="B190:Z190" si="268">B189+B166+B172</f>
        <v>91.750000000000014</v>
      </c>
      <c r="C190" s="438">
        <f t="shared" si="268"/>
        <v>-114.06300000000002</v>
      </c>
      <c r="D190" s="438">
        <f t="shared" si="268"/>
        <v>1161.788</v>
      </c>
      <c r="E190" s="438">
        <f t="shared" si="268"/>
        <v>2911.1210000000001</v>
      </c>
      <c r="F190" s="438">
        <f t="shared" si="268"/>
        <v>4970.1949999999997</v>
      </c>
      <c r="G190" s="438">
        <f t="shared" si="268"/>
        <v>10417.547999999999</v>
      </c>
      <c r="H190" s="438">
        <f t="shared" si="268"/>
        <v>9331.0919999999987</v>
      </c>
      <c r="I190" s="438">
        <f t="shared" si="268"/>
        <v>4352.1569999999992</v>
      </c>
      <c r="J190" s="438">
        <f t="shared" si="268"/>
        <v>6601.1819999999998</v>
      </c>
      <c r="K190" s="438">
        <f t="shared" si="268"/>
        <v>8584.4049999999988</v>
      </c>
      <c r="L190" s="438">
        <f t="shared" si="268"/>
        <v>11760.655999999999</v>
      </c>
      <c r="M190" s="438">
        <f t="shared" si="268"/>
        <v>19148.244999999995</v>
      </c>
      <c r="N190" s="438">
        <f t="shared" si="268"/>
        <v>32668.334999999999</v>
      </c>
      <c r="O190" s="438">
        <f t="shared" si="268"/>
        <v>45564.771000000001</v>
      </c>
      <c r="P190" s="438">
        <f t="shared" si="268"/>
        <v>62518.099000000002</v>
      </c>
      <c r="Q190" s="438">
        <f t="shared" si="268"/>
        <v>62804.513999999988</v>
      </c>
      <c r="R190" s="438">
        <f t="shared" si="268"/>
        <v>71251.106</v>
      </c>
      <c r="S190" s="438">
        <f t="shared" si="268"/>
        <v>70747.756999999998</v>
      </c>
      <c r="T190" s="438">
        <f>T189+T166+T172</f>
        <v>91367.233999999997</v>
      </c>
      <c r="U190" s="438">
        <f t="shared" si="268"/>
        <v>82775.359999999986</v>
      </c>
      <c r="V190" s="438">
        <f>V189+V166+V172</f>
        <v>87178.186999999991</v>
      </c>
      <c r="W190" s="438">
        <f t="shared" si="268"/>
        <v>79719.270999999993</v>
      </c>
      <c r="X190" s="438">
        <f t="shared" ref="X190" si="269">X189+X166+X172</f>
        <v>96227.362000000008</v>
      </c>
      <c r="Y190" s="447">
        <f t="shared" si="268"/>
        <v>98397.359794778647</v>
      </c>
      <c r="Z190" s="447">
        <f t="shared" si="268"/>
        <v>96582.841163459743</v>
      </c>
      <c r="AA190" s="447">
        <f>AA189+AA166+AA172</f>
        <v>93931.959059927191</v>
      </c>
      <c r="AB190" s="447">
        <f>AB189+AB166+AB172</f>
        <v>90270.70626842264</v>
      </c>
      <c r="AC190" s="447">
        <f>AC189+AC166+AC172</f>
        <v>87399.624594359266</v>
      </c>
      <c r="AD190" s="447">
        <f>AD189+AD166+AD172</f>
        <v>84464.268805704953</v>
      </c>
      <c r="AE190" s="447">
        <f>AE189+AE166+AE172</f>
        <v>81022.483284689733</v>
      </c>
      <c r="AF190" s="447">
        <f t="shared" ref="AF190:AH190" si="270">AF189+AF166+AF172</f>
        <v>77290.572538597684</v>
      </c>
      <c r="AG190" s="447">
        <f t="shared" si="270"/>
        <v>73268.813460382822</v>
      </c>
      <c r="AH190" s="447">
        <f t="shared" si="270"/>
        <v>68831.564567407884</v>
      </c>
      <c r="AI190" s="438"/>
      <c r="AJ190" s="1133"/>
      <c r="AK190" s="1133"/>
      <c r="AL190" s="1133"/>
      <c r="AM190" s="1133"/>
      <c r="AN190" s="1133"/>
    </row>
    <row r="191" spans="1:43" s="1209" customFormat="1">
      <c r="A191" s="1237" t="s">
        <v>1235</v>
      </c>
      <c r="B191" s="1518">
        <f t="shared" ref="B191:Z191" si="271">B189+B169+B172</f>
        <v>91.750000000000014</v>
      </c>
      <c r="C191" s="1518">
        <f t="shared" si="271"/>
        <v>-114.06300000000002</v>
      </c>
      <c r="D191" s="1518">
        <f t="shared" si="271"/>
        <v>1161.788</v>
      </c>
      <c r="E191" s="1518">
        <f t="shared" si="271"/>
        <v>2911.1210000000001</v>
      </c>
      <c r="F191" s="1518">
        <f t="shared" si="271"/>
        <v>4970.1949999999997</v>
      </c>
      <c r="G191" s="1518">
        <f t="shared" si="271"/>
        <v>10417.547999999999</v>
      </c>
      <c r="H191" s="1518">
        <f t="shared" si="271"/>
        <v>9331.0919999999987</v>
      </c>
      <c r="I191" s="1518">
        <f t="shared" si="271"/>
        <v>4352.1569999999992</v>
      </c>
      <c r="J191" s="1518">
        <f t="shared" si="271"/>
        <v>6601.1819999999998</v>
      </c>
      <c r="K191" s="1518">
        <f t="shared" si="271"/>
        <v>8584.4049999999988</v>
      </c>
      <c r="L191" s="1518">
        <f t="shared" si="271"/>
        <v>11760.655999999999</v>
      </c>
      <c r="M191" s="1518">
        <f t="shared" si="271"/>
        <v>19148.244999999995</v>
      </c>
      <c r="N191" s="1518">
        <f t="shared" si="271"/>
        <v>32668.334999999999</v>
      </c>
      <c r="O191" s="1518">
        <f t="shared" si="271"/>
        <v>45564.771000000001</v>
      </c>
      <c r="P191" s="1518">
        <f t="shared" si="271"/>
        <v>62518.099000000002</v>
      </c>
      <c r="Q191" s="1518">
        <f t="shared" si="271"/>
        <v>62804.513999999988</v>
      </c>
      <c r="R191" s="1518">
        <f t="shared" si="271"/>
        <v>71251.106</v>
      </c>
      <c r="S191" s="1518">
        <f t="shared" si="271"/>
        <v>70747.756999999998</v>
      </c>
      <c r="T191" s="1518">
        <f>T189+T169+T172</f>
        <v>68805.373999999996</v>
      </c>
      <c r="U191" s="1518">
        <f t="shared" si="271"/>
        <v>57475.360000000001</v>
      </c>
      <c r="V191" s="1518">
        <f>V189+V169+V172</f>
        <v>63414.913000000008</v>
      </c>
      <c r="W191" s="1518">
        <f t="shared" si="271"/>
        <v>57737.46</v>
      </c>
      <c r="X191" s="1518">
        <f t="shared" ref="X191" si="272">X189+X169+X172</f>
        <v>77897.294999999998</v>
      </c>
      <c r="Y191" s="1518">
        <f t="shared" si="271"/>
        <v>79548.993707330534</v>
      </c>
      <c r="Z191" s="1518">
        <f t="shared" si="271"/>
        <v>77389.664848425382</v>
      </c>
      <c r="AA191" s="1518">
        <f>AA189+AA169+AA172</f>
        <v>74329.764048946483</v>
      </c>
      <c r="AB191" s="1518">
        <f>AB189+AB169+AB172</f>
        <v>70320.288751703425</v>
      </c>
      <c r="AC191" s="1518">
        <f>AC189+AC169+AC172</f>
        <v>67157.174142725169</v>
      </c>
      <c r="AD191" s="1518">
        <f>AD189+AD169+AD172</f>
        <v>63928.979654644325</v>
      </c>
      <c r="AE191" s="1518">
        <f>AE189+AE169+AE172</f>
        <v>60242.246136367154</v>
      </c>
      <c r="AF191" s="1518">
        <f t="shared" ref="AF191:AH191" si="273">AF189+AF169+AF172</f>
        <v>56284.650817515678</v>
      </c>
      <c r="AG191" s="1518">
        <f t="shared" si="273"/>
        <v>52040.963276907292</v>
      </c>
      <c r="AH191" s="1518">
        <f t="shared" si="273"/>
        <v>47389.665448203777</v>
      </c>
      <c r="AI191" s="1518"/>
      <c r="AJ191" s="1243"/>
      <c r="AK191" s="1243"/>
      <c r="AL191" s="1243"/>
      <c r="AM191" s="1243"/>
      <c r="AN191" s="1243"/>
      <c r="AP191" s="9"/>
      <c r="AQ191" s="9"/>
    </row>
    <row r="192" spans="1:43">
      <c r="A192" s="98" t="s">
        <v>638</v>
      </c>
      <c r="B192" s="1630">
        <f t="shared" ref="B192:Z192" si="274">B190/B36</f>
        <v>3.7075890205256985E-2</v>
      </c>
      <c r="C192" s="1630">
        <f t="shared" si="274"/>
        <v>-4.3404355390354948E-2</v>
      </c>
      <c r="D192" s="605">
        <f t="shared" si="274"/>
        <v>0.40459398967296084</v>
      </c>
      <c r="E192" s="605">
        <f t="shared" si="274"/>
        <v>0.78496621630731211</v>
      </c>
      <c r="F192" s="605">
        <f t="shared" si="274"/>
        <v>1.0653537821790666</v>
      </c>
      <c r="G192" s="605">
        <f t="shared" si="274"/>
        <v>1.7286393103462006</v>
      </c>
      <c r="H192" s="605">
        <f t="shared" si="274"/>
        <v>1.3357986647298659</v>
      </c>
      <c r="I192" s="605">
        <f t="shared" si="274"/>
        <v>0.55891161540049017</v>
      </c>
      <c r="J192" s="605">
        <f t="shared" si="274"/>
        <v>0.76873410184438673</v>
      </c>
      <c r="K192" s="605">
        <f t="shared" si="274"/>
        <v>0.95579383706844334</v>
      </c>
      <c r="L192" s="605">
        <f t="shared" si="274"/>
        <v>1.0994859628903049</v>
      </c>
      <c r="M192" s="605">
        <f t="shared" si="274"/>
        <v>1.4163413282712176</v>
      </c>
      <c r="N192" s="605">
        <f t="shared" si="274"/>
        <v>2.0791084771424835</v>
      </c>
      <c r="O192" s="605">
        <f t="shared" si="274"/>
        <v>1.9984325175310538</v>
      </c>
      <c r="P192" s="605">
        <f t="shared" si="274"/>
        <v>1.9362416678993084</v>
      </c>
      <c r="Q192" s="605">
        <f t="shared" si="274"/>
        <v>1.665819732481683</v>
      </c>
      <c r="R192" s="605">
        <f t="shared" si="274"/>
        <v>1.6753486628609136</v>
      </c>
      <c r="S192" s="605">
        <f t="shared" si="274"/>
        <v>1.5327769115357761</v>
      </c>
      <c r="T192" s="605">
        <f>T190/T36</f>
        <v>1.5711088056479228</v>
      </c>
      <c r="U192" s="605">
        <f t="shared" si="274"/>
        <v>2.1502652042831376</v>
      </c>
      <c r="V192" s="605">
        <f>V190/V36</f>
        <v>1.6331782356246367</v>
      </c>
      <c r="W192" s="605">
        <f t="shared" si="274"/>
        <v>1.158183344046724</v>
      </c>
      <c r="X192" s="605">
        <f t="shared" ref="X192" si="275">X190/X36</f>
        <v>1.2623119388310129</v>
      </c>
      <c r="Y192" s="606">
        <f t="shared" si="274"/>
        <v>1.2526870878059599</v>
      </c>
      <c r="Z192" s="606">
        <f t="shared" si="274"/>
        <v>1.1230434394712718</v>
      </c>
      <c r="AA192" s="606">
        <f>AA190/AA36</f>
        <v>1.0225330763393481</v>
      </c>
      <c r="AB192" s="606">
        <f>AB190/AB36</f>
        <v>0.92792223859276435</v>
      </c>
      <c r="AC192" s="606">
        <f>AC190/AC36</f>
        <v>0.85342910157082796</v>
      </c>
      <c r="AD192" s="606">
        <f>AD190/AD36</f>
        <v>0.78365306017627079</v>
      </c>
      <c r="AE192" s="606">
        <f>AE190/AE36</f>
        <v>0.71514223652212372</v>
      </c>
      <c r="AF192" s="606">
        <f t="shared" ref="AF192:AH192" si="276">AF190/AF36</f>
        <v>0.64984276981253741</v>
      </c>
      <c r="AG192" s="606">
        <f t="shared" si="276"/>
        <v>0.58686575853140754</v>
      </c>
      <c r="AH192" s="606">
        <f t="shared" si="276"/>
        <v>0.52536599295329733</v>
      </c>
      <c r="AI192" s="438"/>
      <c r="AJ192" s="1133"/>
      <c r="AK192" s="1133"/>
      <c r="AL192" s="1133"/>
      <c r="AM192" s="1133"/>
      <c r="AN192" s="1133"/>
    </row>
    <row r="193" spans="1:43" s="1209" customFormat="1">
      <c r="A193" s="1237" t="s">
        <v>1237</v>
      </c>
      <c r="B193" s="1631">
        <f t="shared" ref="B193:Z193" si="277">B191/B36</f>
        <v>3.7075890205256985E-2</v>
      </c>
      <c r="C193" s="1631">
        <f t="shared" si="277"/>
        <v>-4.3404355390354948E-2</v>
      </c>
      <c r="D193" s="1268">
        <f t="shared" si="277"/>
        <v>0.40459398967296084</v>
      </c>
      <c r="E193" s="1268">
        <f t="shared" si="277"/>
        <v>0.78496621630731211</v>
      </c>
      <c r="F193" s="1268">
        <f t="shared" si="277"/>
        <v>1.0653537821790666</v>
      </c>
      <c r="G193" s="1268">
        <f t="shared" si="277"/>
        <v>1.7286393103462006</v>
      </c>
      <c r="H193" s="1268">
        <f t="shared" si="277"/>
        <v>1.3357986647298659</v>
      </c>
      <c r="I193" s="1268">
        <f t="shared" si="277"/>
        <v>0.55891161540049017</v>
      </c>
      <c r="J193" s="1268">
        <f t="shared" si="277"/>
        <v>0.76873410184438673</v>
      </c>
      <c r="K193" s="1268">
        <f t="shared" si="277"/>
        <v>0.95579383706844334</v>
      </c>
      <c r="L193" s="1268">
        <f t="shared" si="277"/>
        <v>1.0994859628903049</v>
      </c>
      <c r="M193" s="1268">
        <f t="shared" si="277"/>
        <v>1.4163413282712176</v>
      </c>
      <c r="N193" s="1268">
        <f t="shared" si="277"/>
        <v>2.0791084771424835</v>
      </c>
      <c r="O193" s="1268">
        <f t="shared" si="277"/>
        <v>1.9984325175310538</v>
      </c>
      <c r="P193" s="1268">
        <f t="shared" si="277"/>
        <v>1.9362416678993084</v>
      </c>
      <c r="Q193" s="1268">
        <f t="shared" si="277"/>
        <v>1.665819732481683</v>
      </c>
      <c r="R193" s="1268">
        <f t="shared" si="277"/>
        <v>1.6753486628609136</v>
      </c>
      <c r="S193" s="1268">
        <f t="shared" si="277"/>
        <v>1.5327769115357761</v>
      </c>
      <c r="T193" s="1268">
        <f>T191/T36</f>
        <v>1.1831454694940053</v>
      </c>
      <c r="U193" s="1268">
        <f t="shared" si="277"/>
        <v>1.4930441463697277</v>
      </c>
      <c r="V193" s="1268">
        <f>V191/V36</f>
        <v>1.1880019450924102</v>
      </c>
      <c r="W193" s="1268">
        <f t="shared" si="277"/>
        <v>0.83882558960635711</v>
      </c>
      <c r="X193" s="1268">
        <f t="shared" ref="X193" si="278">X191/X36</f>
        <v>1.0218578524592763</v>
      </c>
      <c r="Y193" s="1268">
        <f t="shared" si="277"/>
        <v>1.0127303971667982</v>
      </c>
      <c r="Z193" s="1268">
        <f t="shared" si="277"/>
        <v>0.89986952489637562</v>
      </c>
      <c r="AA193" s="1268">
        <f>AA191/AA36</f>
        <v>0.80914571629510357</v>
      </c>
      <c r="AB193" s="1268">
        <f>AB191/AB36</f>
        <v>0.72284534434617331</v>
      </c>
      <c r="AC193" s="1268">
        <f>AC191/AC36</f>
        <v>0.65576811180445949</v>
      </c>
      <c r="AD193" s="1268">
        <f>AD191/AD36</f>
        <v>0.59312820969954116</v>
      </c>
      <c r="AE193" s="1268">
        <f>AE191/AE36</f>
        <v>0.53172616894129121</v>
      </c>
      <c r="AF193" s="1268">
        <f t="shared" ref="AF193:AH193" si="279">AF191/AF36</f>
        <v>0.47322942739129442</v>
      </c>
      <c r="AG193" s="1268">
        <f t="shared" si="279"/>
        <v>0.41683573058981199</v>
      </c>
      <c r="AH193" s="1268">
        <f t="shared" si="279"/>
        <v>0.36170787051539677</v>
      </c>
      <c r="AI193" s="1518"/>
      <c r="AJ193" s="1243"/>
      <c r="AK193" s="1243"/>
      <c r="AL193" s="1243"/>
      <c r="AM193" s="1243"/>
      <c r="AN193" s="1243"/>
      <c r="AP193" s="9"/>
      <c r="AQ193" s="9"/>
    </row>
    <row r="194" spans="1:43">
      <c r="A194" s="98" t="s">
        <v>90</v>
      </c>
      <c r="B194" s="605">
        <f t="shared" ref="B194:Z194" si="280">B190/B67</f>
        <v>0.2775542554285681</v>
      </c>
      <c r="C194" s="605">
        <f t="shared" si="280"/>
        <v>-0.29711411476336475</v>
      </c>
      <c r="D194" s="605">
        <f t="shared" si="280"/>
        <v>2.7980800030827844</v>
      </c>
      <c r="E194" s="605">
        <f t="shared" si="280"/>
        <v>5.3370702883658172</v>
      </c>
      <c r="F194" s="605">
        <f t="shared" si="280"/>
        <v>7.094653524705409</v>
      </c>
      <c r="G194" s="605">
        <f t="shared" si="280"/>
        <v>10.34062409733988</v>
      </c>
      <c r="H194" s="605">
        <f t="shared" si="280"/>
        <v>7.2408363312422974</v>
      </c>
      <c r="I194" s="605">
        <f t="shared" si="280"/>
        <v>4.2169326216224325</v>
      </c>
      <c r="J194" s="605">
        <f t="shared" si="280"/>
        <v>6.5996244886206892</v>
      </c>
      <c r="K194" s="605">
        <f t="shared" si="280"/>
        <v>8.5961731610574876</v>
      </c>
      <c r="L194" s="605">
        <f t="shared" si="280"/>
        <v>10.549121090158556</v>
      </c>
      <c r="M194" s="605">
        <f t="shared" si="280"/>
        <v>11.907631221374759</v>
      </c>
      <c r="N194" s="605">
        <f t="shared" si="280"/>
        <v>16.023928225623699</v>
      </c>
      <c r="O194" s="605">
        <f t="shared" si="280"/>
        <v>16.313379938791847</v>
      </c>
      <c r="P194" s="605">
        <f t="shared" si="280"/>
        <v>14.533249072640325</v>
      </c>
      <c r="Q194" s="605">
        <f t="shared" si="280"/>
        <v>12.182660431972296</v>
      </c>
      <c r="R194" s="605">
        <f t="shared" si="280"/>
        <v>11.018932474555553</v>
      </c>
      <c r="S194" s="605">
        <f t="shared" si="280"/>
        <v>11.039990218960767</v>
      </c>
      <c r="T194" s="605">
        <f>T190/T67</f>
        <v>7.2412765416829048</v>
      </c>
      <c r="U194" s="605">
        <f t="shared" si="280"/>
        <v>11.953576280741968</v>
      </c>
      <c r="V194" s="605">
        <f>V190/V67</f>
        <v>7.0811698615309266</v>
      </c>
      <c r="W194" s="605">
        <f t="shared" si="280"/>
        <v>5.6740526587080211</v>
      </c>
      <c r="X194" s="605">
        <f t="shared" ref="X194" si="281">X190/X67</f>
        <v>6.0291363825781463</v>
      </c>
      <c r="Y194" s="606">
        <f t="shared" si="280"/>
        <v>6.2337928843256618</v>
      </c>
      <c r="Z194" s="606">
        <f t="shared" si="280"/>
        <v>5.7840999210287425</v>
      </c>
      <c r="AA194" s="606">
        <f>AA190/AA67</f>
        <v>5.2666516668597021</v>
      </c>
      <c r="AB194" s="606">
        <f>AB190/AB67</f>
        <v>4.7793311897748145</v>
      </c>
      <c r="AC194" s="606">
        <f>AC190/AC67</f>
        <v>4.5357780701161889</v>
      </c>
      <c r="AD194" s="606">
        <f>AD190/AD67</f>
        <v>4.1648964068895484</v>
      </c>
      <c r="AE194" s="606">
        <f>AE190/AE67</f>
        <v>3.8007808197174371</v>
      </c>
      <c r="AF194" s="606">
        <f t="shared" ref="AF194:AH194" si="282">AF190/AF67</f>
        <v>3.4537016233344442</v>
      </c>
      <c r="AG194" s="606">
        <f t="shared" si="282"/>
        <v>3.1189713230722855</v>
      </c>
      <c r="AH194" s="606">
        <f t="shared" si="282"/>
        <v>2.79211094358006</v>
      </c>
      <c r="AI194" s="605"/>
      <c r="AJ194" s="1133"/>
      <c r="AK194" s="1133"/>
      <c r="AL194" s="1133"/>
      <c r="AM194" s="1133"/>
      <c r="AN194" s="1133"/>
    </row>
    <row r="195" spans="1:43" s="1209" customFormat="1">
      <c r="A195" s="1237" t="s">
        <v>1238</v>
      </c>
      <c r="B195" s="1268">
        <f t="shared" ref="B195:Z195" si="283">B191/B69</f>
        <v>0.2775542554285681</v>
      </c>
      <c r="C195" s="1268">
        <f t="shared" si="283"/>
        <v>-0.29711411476336475</v>
      </c>
      <c r="D195" s="1268">
        <f t="shared" si="283"/>
        <v>2.7980800030827844</v>
      </c>
      <c r="E195" s="1268">
        <f t="shared" si="283"/>
        <v>5.3370702883658172</v>
      </c>
      <c r="F195" s="1268">
        <f t="shared" si="283"/>
        <v>7.094653524705409</v>
      </c>
      <c r="G195" s="1268">
        <f t="shared" si="283"/>
        <v>10.34062409733988</v>
      </c>
      <c r="H195" s="1268">
        <f t="shared" si="283"/>
        <v>7.2408363312422974</v>
      </c>
      <c r="I195" s="1268">
        <f t="shared" si="283"/>
        <v>4.2169326216224325</v>
      </c>
      <c r="J195" s="1268">
        <f t="shared" si="283"/>
        <v>6.5996244886206892</v>
      </c>
      <c r="K195" s="1268">
        <f t="shared" si="283"/>
        <v>8.5961731610574876</v>
      </c>
      <c r="L195" s="1268">
        <f t="shared" si="283"/>
        <v>10.549121090158556</v>
      </c>
      <c r="M195" s="1268">
        <f t="shared" si="283"/>
        <v>11.907631221374759</v>
      </c>
      <c r="N195" s="1268">
        <f t="shared" si="283"/>
        <v>16.023928225623699</v>
      </c>
      <c r="O195" s="1268">
        <f t="shared" si="283"/>
        <v>16.313379938791847</v>
      </c>
      <c r="P195" s="1268">
        <f t="shared" si="283"/>
        <v>14.533249072640325</v>
      </c>
      <c r="Q195" s="1268">
        <f t="shared" si="283"/>
        <v>12.182660431972296</v>
      </c>
      <c r="R195" s="1268">
        <f t="shared" si="283"/>
        <v>11.018932474555553</v>
      </c>
      <c r="S195" s="1268">
        <f t="shared" si="283"/>
        <v>11.039990218960767</v>
      </c>
      <c r="T195" s="1268">
        <f>T191/T69</f>
        <v>8.9728557104049234</v>
      </c>
      <c r="U195" s="1268">
        <f t="shared" si="283"/>
        <v>40.003953388987085</v>
      </c>
      <c r="V195" s="1268">
        <f>V191/V69</f>
        <v>9.7019780496174679</v>
      </c>
      <c r="W195" s="1268">
        <f t="shared" si="283"/>
        <v>6.5428546368487952</v>
      </c>
      <c r="X195" s="1268">
        <f t="shared" ref="X195" si="284">X191/X69</f>
        <v>7.2163012735314958</v>
      </c>
      <c r="Y195" s="1268">
        <f>Y191/Y69</f>
        <v>7.1697345349939141</v>
      </c>
      <c r="Z195" s="1268">
        <f t="shared" si="283"/>
        <v>6.550105466988672</v>
      </c>
      <c r="AA195" s="1268">
        <f>AA191/AA69</f>
        <v>5.845479707406926</v>
      </c>
      <c r="AB195" s="1268">
        <f>AB191/AB69</f>
        <v>5.1730279304390647</v>
      </c>
      <c r="AC195" s="1268">
        <f>AC191/AC69</f>
        <v>4.9086716725034458</v>
      </c>
      <c r="AD195" s="1268">
        <f>AD191/AD69</f>
        <v>4.444563918087689</v>
      </c>
      <c r="AE195" s="1268">
        <f>AE191/AE69</f>
        <v>3.988636710410209</v>
      </c>
      <c r="AF195" s="1268">
        <f t="shared" ref="AF195:AH195" si="285">AF191/AF69</f>
        <v>3.5537721866388252</v>
      </c>
      <c r="AG195" s="1268">
        <f t="shared" si="285"/>
        <v>3.1336269499378826</v>
      </c>
      <c r="AH195" s="1268">
        <f t="shared" si="285"/>
        <v>2.7221017273223564</v>
      </c>
      <c r="AI195" s="1268"/>
      <c r="AJ195" s="1243"/>
      <c r="AK195" s="1243"/>
      <c r="AL195" s="1243"/>
      <c r="AM195" s="1243"/>
      <c r="AN195" s="1243"/>
      <c r="AP195" s="9"/>
      <c r="AQ195" s="9"/>
    </row>
    <row r="196" spans="1:43">
      <c r="A196" s="9" t="s">
        <v>306</v>
      </c>
      <c r="B196" s="605"/>
      <c r="C196" s="605"/>
      <c r="D196" s="605">
        <f t="shared" ref="D196:N196" si="286">IF((D104&lt;=0)+((D188/(D104/D113))&gt;100),"NM",D188/(D104/D113))</f>
        <v>9.9894496987857764</v>
      </c>
      <c r="E196" s="605">
        <f t="shared" si="286"/>
        <v>18.090693297285412</v>
      </c>
      <c r="F196" s="605">
        <f t="shared" si="286"/>
        <v>15.217784851046884</v>
      </c>
      <c r="G196" s="605">
        <f t="shared" si="286"/>
        <v>45.440527147274295</v>
      </c>
      <c r="H196" s="605">
        <f t="shared" si="286"/>
        <v>17.499480598200385</v>
      </c>
      <c r="I196" s="605">
        <f t="shared" si="286"/>
        <v>23.226768339558468</v>
      </c>
      <c r="J196" s="605">
        <f t="shared" si="286"/>
        <v>53.133438716891156</v>
      </c>
      <c r="K196" s="605">
        <f t="shared" si="286"/>
        <v>48.423683758083961</v>
      </c>
      <c r="L196" s="605">
        <f t="shared" si="286"/>
        <v>38.849859762263563</v>
      </c>
      <c r="M196" s="605">
        <f t="shared" si="286"/>
        <v>47.189911748257529</v>
      </c>
      <c r="N196" s="605">
        <f t="shared" si="286"/>
        <v>41.186414943620726</v>
      </c>
      <c r="O196" s="606">
        <f t="shared" ref="O196:W196" si="287">IF((O102&lt;=0)+((O188/(O102/O113))&gt;100),"NM",O188/(O102/O113))</f>
        <v>51.223479223479032</v>
      </c>
      <c r="P196" s="606">
        <f t="shared" si="287"/>
        <v>51.084456271160214</v>
      </c>
      <c r="Q196" s="606">
        <f t="shared" si="287"/>
        <v>49.674269823938978</v>
      </c>
      <c r="R196" s="606">
        <f t="shared" si="287"/>
        <v>49.205012717204497</v>
      </c>
      <c r="S196" s="606">
        <f t="shared" si="287"/>
        <v>44.836932063156418</v>
      </c>
      <c r="T196" s="606">
        <f>IF((T102&lt;=0)+((T188/(T102/T113))&gt;100),"NM",T188/(T102/T113))</f>
        <v>45.08881802583457</v>
      </c>
      <c r="U196" s="606" t="str">
        <f t="shared" si="287"/>
        <v>NM</v>
      </c>
      <c r="V196" s="606">
        <f>IF((V102&lt;=0)+((V188/(V102/V113))&gt;100),"NM",V188/(V102/V113))</f>
        <v>38.107683833654647</v>
      </c>
      <c r="W196" s="606">
        <f t="shared" si="287"/>
        <v>18.516542253887859</v>
      </c>
      <c r="X196" s="606">
        <f t="shared" ref="X196" si="288">IF((X102&lt;=0)+((X188/(X102/X113))&gt;100),"NM",X188/(X102/X113))</f>
        <v>17.726085216340394</v>
      </c>
      <c r="Y196" s="606">
        <f>IF((Y102&lt;=0)+((Y188/(Y102/Y113))&gt;100),"NM",Y188/(Y102/Y113))</f>
        <v>44.436492145454878</v>
      </c>
      <c r="Z196" s="606">
        <f t="shared" ref="Z196:AE196" si="289">IF((Z102&lt;=0)+((Z188/(Z102/Z113))&gt;100),"NM",Z188/(Z102/Z113))</f>
        <v>26.260843856161348</v>
      </c>
      <c r="AA196" s="606">
        <f t="shared" si="289"/>
        <v>17.793523109064139</v>
      </c>
      <c r="AB196" s="606">
        <f t="shared" si="289"/>
        <v>12.99581214303681</v>
      </c>
      <c r="AC196" s="606">
        <f t="shared" si="289"/>
        <v>12.295095804762443</v>
      </c>
      <c r="AD196" s="606">
        <f t="shared" si="289"/>
        <v>11.392557354023829</v>
      </c>
      <c r="AE196" s="606">
        <f t="shared" si="289"/>
        <v>10.670014177495112</v>
      </c>
      <c r="AF196" s="606">
        <f t="shared" ref="AF196:AH196" si="290">IF((AF102&lt;=0)+((AF188/(AF102/AF113))&gt;100),"NM",AF188/(AF102/AF113))</f>
        <v>10.021181014374404</v>
      </c>
      <c r="AG196" s="606">
        <f t="shared" si="290"/>
        <v>9.4619149219163106</v>
      </c>
      <c r="AH196" s="606">
        <f t="shared" si="290"/>
        <v>8.9730572565280244</v>
      </c>
      <c r="AI196" s="605"/>
      <c r="AJ196" s="1133"/>
      <c r="AK196" s="1133"/>
      <c r="AL196" s="1133"/>
      <c r="AM196" s="1133"/>
      <c r="AN196" s="1133"/>
    </row>
    <row r="197" spans="1:43" s="1209" customFormat="1">
      <c r="A197" s="1209" t="s">
        <v>1239</v>
      </c>
      <c r="B197" s="1268"/>
      <c r="C197" s="1268"/>
      <c r="D197" s="1268">
        <f t="shared" ref="D197:Z197" si="291">IF((D104&lt;=0)+((D188/(D104/D113))&gt;100),"NM",D188/(D104/D113))</f>
        <v>9.9894496987857764</v>
      </c>
      <c r="E197" s="1268">
        <f t="shared" si="291"/>
        <v>18.090693297285412</v>
      </c>
      <c r="F197" s="1268">
        <f t="shared" si="291"/>
        <v>15.217784851046884</v>
      </c>
      <c r="G197" s="1268">
        <f t="shared" si="291"/>
        <v>45.440527147274295</v>
      </c>
      <c r="H197" s="1268">
        <f t="shared" si="291"/>
        <v>17.499480598200385</v>
      </c>
      <c r="I197" s="1268">
        <f t="shared" si="291"/>
        <v>23.226768339558468</v>
      </c>
      <c r="J197" s="1268">
        <f t="shared" si="291"/>
        <v>53.133438716891156</v>
      </c>
      <c r="K197" s="1268">
        <f t="shared" si="291"/>
        <v>48.423683758083961</v>
      </c>
      <c r="L197" s="1268">
        <f t="shared" si="291"/>
        <v>38.849859762263563</v>
      </c>
      <c r="M197" s="1268">
        <f t="shared" si="291"/>
        <v>47.189911748257529</v>
      </c>
      <c r="N197" s="1268">
        <f t="shared" si="291"/>
        <v>41.186414943620726</v>
      </c>
      <c r="O197" s="1268">
        <f t="shared" si="291"/>
        <v>51.223479223479202</v>
      </c>
      <c r="P197" s="1268">
        <f t="shared" si="291"/>
        <v>51.084456271160164</v>
      </c>
      <c r="Q197" s="1268">
        <f t="shared" si="291"/>
        <v>49.674269823938886</v>
      </c>
      <c r="R197" s="1268">
        <f t="shared" si="291"/>
        <v>49.205012717204461</v>
      </c>
      <c r="S197" s="1268">
        <f t="shared" si="291"/>
        <v>44.836932063156418</v>
      </c>
      <c r="T197" s="1268">
        <f>IF((T104&lt;=0)+((T188/(T104/T113))&gt;100),"NM",T188/(T104/T113))</f>
        <v>54.659458094697506</v>
      </c>
      <c r="U197" s="1268" t="str">
        <f t="shared" si="291"/>
        <v>NM</v>
      </c>
      <c r="V197" s="1268">
        <f>IF((V104&lt;=0)+((V188/(V104/V113))&gt;100),"NM",V188/(V104/V113))</f>
        <v>65.230002029158314</v>
      </c>
      <c r="W197" s="1268">
        <f t="shared" si="291"/>
        <v>18.187354080920425</v>
      </c>
      <c r="X197" s="1268">
        <f t="shared" ref="X197" si="292">IF((X104&lt;=0)+((X188/(X104/X113))&gt;100),"NM",X188/(X104/X113))</f>
        <v>18.620891961564169</v>
      </c>
      <c r="Y197" s="1268">
        <f t="shared" si="291"/>
        <v>33.961347479488609</v>
      </c>
      <c r="Z197" s="1268">
        <f t="shared" si="291"/>
        <v>22.627996586209822</v>
      </c>
      <c r="AA197" s="1268">
        <f>IF((AA104&lt;=0)+((AA188/(AA104/AA113))&gt;100),"NM",AA188/(AA104/AA113))</f>
        <v>16.860637206011283</v>
      </c>
      <c r="AB197" s="1268">
        <f>IF((AB104&lt;=0)+((AB188/(AB104/AB113))&gt;100),"NM",AB188/(AB104/AB113))</f>
        <v>12.71059684741512</v>
      </c>
      <c r="AC197" s="1268">
        <f>IF((AC104&lt;=0)+((AC188/(AC104/AC113))&gt;100),"NM",AC188/(AC104/AC113))</f>
        <v>12.458278919902991</v>
      </c>
      <c r="AD197" s="1268">
        <f>IF((AD104&lt;=0)+((AD188/(AD104/AD113))&gt;100),"NM",AD188/(AD104/AD113))</f>
        <v>11.858299154099358</v>
      </c>
      <c r="AE197" s="1268">
        <f>IF((AE104&lt;=0)+((AE188/(AE104/AE113))&gt;100),"NM",AE188/(AE104/AE113))</f>
        <v>11.325962173597631</v>
      </c>
      <c r="AF197" s="1268">
        <f t="shared" ref="AF197:AH197" si="293">IF((AF104&lt;=0)+((AF188/(AF104/AF113))&gt;100),"NM",AF188/(AF104/AF113))</f>
        <v>10.805902381322817</v>
      </c>
      <c r="AG197" s="1268">
        <f t="shared" si="293"/>
        <v>10.32761398195116</v>
      </c>
      <c r="AH197" s="1268">
        <f t="shared" si="293"/>
        <v>9.8867726467574339</v>
      </c>
      <c r="AI197" s="1268"/>
      <c r="AJ197" s="1243"/>
      <c r="AK197" s="1243"/>
      <c r="AL197" s="1243"/>
      <c r="AM197" s="1243"/>
      <c r="AN197" s="1243"/>
      <c r="AP197" s="9"/>
      <c r="AQ197" s="9"/>
    </row>
    <row r="198" spans="1:43">
      <c r="A198" s="98" t="s">
        <v>92</v>
      </c>
      <c r="B198" s="605"/>
      <c r="C198" s="605"/>
      <c r="D198" s="605">
        <f t="shared" ref="D198:Z198" si="294">D188/(D140/D113)</f>
        <v>1.0562565390594314</v>
      </c>
      <c r="E198" s="605">
        <f t="shared" si="294"/>
        <v>1.9622642568399018</v>
      </c>
      <c r="F198" s="605">
        <f t="shared" si="294"/>
        <v>2.4236383860123181</v>
      </c>
      <c r="G198" s="605">
        <f t="shared" si="294"/>
        <v>3.8041867818993813</v>
      </c>
      <c r="H198" s="605">
        <f t="shared" si="294"/>
        <v>2.793131437275874</v>
      </c>
      <c r="I198" s="605">
        <f t="shared" si="294"/>
        <v>0.99801439472071241</v>
      </c>
      <c r="J198" s="605">
        <f t="shared" si="294"/>
        <v>1.8952447389438658</v>
      </c>
      <c r="K198" s="605">
        <f t="shared" si="294"/>
        <v>2.5557004294098262</v>
      </c>
      <c r="L198" s="605">
        <f t="shared" si="294"/>
        <v>2.7204433065619193</v>
      </c>
      <c r="M198" s="605">
        <f t="shared" si="294"/>
        <v>3.8264277071521948</v>
      </c>
      <c r="N198" s="605">
        <f t="shared" si="294"/>
        <v>6.5665371315019545</v>
      </c>
      <c r="O198" s="605">
        <f t="shared" si="294"/>
        <v>3.8805062835449671</v>
      </c>
      <c r="P198" s="605">
        <f t="shared" si="294"/>
        <v>5.5268325137714962</v>
      </c>
      <c r="Q198" s="605">
        <f t="shared" si="294"/>
        <v>5.5550570369770993</v>
      </c>
      <c r="R198" s="605">
        <f t="shared" si="294"/>
        <v>5.6665044111822462</v>
      </c>
      <c r="S198" s="605">
        <f t="shared" si="294"/>
        <v>3.8574577078865859</v>
      </c>
      <c r="T198" s="605">
        <f>T188/(T140/T113)</f>
        <v>4.360971059591078</v>
      </c>
      <c r="U198" s="605">
        <f t="shared" si="294"/>
        <v>3.4443327824097074</v>
      </c>
      <c r="V198" s="605">
        <f>V188/(V140/V113)</f>
        <v>4.1660136721731158</v>
      </c>
      <c r="W198" s="605">
        <f t="shared" si="294"/>
        <v>3.9676723156232576</v>
      </c>
      <c r="X198" s="605">
        <f t="shared" ref="X198" si="295">X188/(X140/X113)</f>
        <v>6.2029515580825159</v>
      </c>
      <c r="Y198" s="606">
        <f>Y188/(Y140/Y113)</f>
        <v>6.6143822163239463</v>
      </c>
      <c r="Z198" s="606">
        <f t="shared" si="294"/>
        <v>5.2835913038246778</v>
      </c>
      <c r="AA198" s="606">
        <f>AA188/(AA140/AA113)</f>
        <v>4.073893394182206</v>
      </c>
      <c r="AB198" s="606">
        <f>AB188/(AB140/AB113)</f>
        <v>3.1016090538944407</v>
      </c>
      <c r="AC198" s="606">
        <f>AC188/(AC140/AC113)</f>
        <v>2.4768014206045756</v>
      </c>
      <c r="AD198" s="606">
        <f>AD188/(AD140/AD113)</f>
        <v>2.0344921994795926</v>
      </c>
      <c r="AE198" s="606">
        <f>AE188/(AE140/AE113)</f>
        <v>1.7086898119704634</v>
      </c>
      <c r="AF198" s="606">
        <f t="shared" ref="AF198:AH198" si="296">AF188/(AF140/AF113)</f>
        <v>1.4597850357154432</v>
      </c>
      <c r="AG198" s="606">
        <f t="shared" si="296"/>
        <v>1.2646714216475454</v>
      </c>
      <c r="AH198" s="606">
        <f t="shared" si="296"/>
        <v>1.1084459682282188</v>
      </c>
      <c r="AI198" s="605"/>
      <c r="AJ198" s="1133"/>
      <c r="AK198" s="1133"/>
      <c r="AL198" s="1133"/>
      <c r="AM198" s="1133"/>
      <c r="AN198" s="1133"/>
    </row>
    <row r="199" spans="1:43">
      <c r="A199" s="90" t="s">
        <v>99</v>
      </c>
      <c r="B199" s="117"/>
      <c r="C199" s="117"/>
      <c r="D199" s="117"/>
      <c r="E199" s="117"/>
      <c r="F199" s="117"/>
      <c r="G199" s="117"/>
      <c r="H199" s="117"/>
      <c r="I199" s="117"/>
      <c r="J199" s="117"/>
      <c r="K199" s="117">
        <f t="shared" ref="K199:Z199" si="297">+K173/K189</f>
        <v>-1.3519197260109634E-3</v>
      </c>
      <c r="L199" s="117">
        <f t="shared" si="297"/>
        <v>-4.0963136492220623E-2</v>
      </c>
      <c r="M199" s="117">
        <f t="shared" si="297"/>
        <v>-0.10932503264796224</v>
      </c>
      <c r="N199" s="117">
        <f t="shared" si="297"/>
        <v>-6.7958325305567308E-2</v>
      </c>
      <c r="O199" s="117">
        <f t="shared" si="297"/>
        <v>-0.30371274644094493</v>
      </c>
      <c r="P199" s="117">
        <f t="shared" si="297"/>
        <v>-1.1719707228269675E-2</v>
      </c>
      <c r="Q199" s="117">
        <f t="shared" si="297"/>
        <v>-9.6904546734552406E-3</v>
      </c>
      <c r="R199" s="117">
        <f t="shared" si="297"/>
        <v>6.6869392651781592E-3</v>
      </c>
      <c r="S199" s="117">
        <f t="shared" si="297"/>
        <v>-0.29011528525109648</v>
      </c>
      <c r="T199" s="117">
        <f>+T173/T189</f>
        <v>0.111287931740727</v>
      </c>
      <c r="U199" s="117">
        <f t="shared" si="297"/>
        <v>-0.15338698447378291</v>
      </c>
      <c r="V199" s="117">
        <f>+V173/V189</f>
        <v>9.94822916794319E-2</v>
      </c>
      <c r="W199" s="117">
        <f t="shared" si="297"/>
        <v>7.6500337466749613E-2</v>
      </c>
      <c r="X199" s="117">
        <f t="shared" ref="X199" si="298">+X173/X189</f>
        <v>3.1254879658948208E-2</v>
      </c>
      <c r="Y199" s="589">
        <f t="shared" si="297"/>
        <v>-7.4440406020212416E-2</v>
      </c>
      <c r="Z199" s="589">
        <f t="shared" si="297"/>
        <v>2.6734462962954893E-2</v>
      </c>
      <c r="AA199" s="589">
        <f>+AA173/AA189</f>
        <v>6.1287618487807408E-2</v>
      </c>
      <c r="AB199" s="589">
        <f>+AB173/AB189</f>
        <v>8.0306914654085279E-2</v>
      </c>
      <c r="AC199" s="589">
        <f>+AC173/AC189</f>
        <v>6.3354917068319153E-2</v>
      </c>
      <c r="AD199" s="589">
        <f>+AD173/AD189</f>
        <v>6.4658420372201056E-2</v>
      </c>
      <c r="AE199" s="589">
        <f>+AE173/AE189</f>
        <v>7.3842628288100565E-2</v>
      </c>
      <c r="AF199" s="589">
        <f t="shared" ref="AF199:AH199" si="299">+AF173/AF189</f>
        <v>7.926779589462743E-2</v>
      </c>
      <c r="AG199" s="589">
        <f t="shared" si="299"/>
        <v>8.4998017914358723E-2</v>
      </c>
      <c r="AH199" s="589">
        <f t="shared" si="299"/>
        <v>9.3162159651480669E-2</v>
      </c>
      <c r="AI199" s="117"/>
      <c r="AJ199" s="1133"/>
      <c r="AK199" s="1133"/>
      <c r="AL199" s="1133"/>
      <c r="AM199" s="1133"/>
      <c r="AN199" s="1133"/>
    </row>
    <row r="200" spans="1:43">
      <c r="A200" s="90" t="s">
        <v>247</v>
      </c>
      <c r="B200" s="117"/>
      <c r="C200" s="117"/>
      <c r="D200" s="117">
        <f t="shared" ref="D200:Z200" si="300">-D156/D189</f>
        <v>3.6390892160783915E-2</v>
      </c>
      <c r="E200" s="117">
        <f t="shared" si="300"/>
        <v>2.7982641302202658E-2</v>
      </c>
      <c r="F200" s="117">
        <f t="shared" si="300"/>
        <v>2.4307993695281919E-2</v>
      </c>
      <c r="G200" s="117">
        <f t="shared" si="300"/>
        <v>1.6608523906876494E-2</v>
      </c>
      <c r="H200" s="117">
        <f t="shared" si="300"/>
        <v>8.1028488489033688E-3</v>
      </c>
      <c r="I200" s="117">
        <f t="shared" si="300"/>
        <v>0</v>
      </c>
      <c r="J200" s="117">
        <f t="shared" si="300"/>
        <v>7.5889507605277342E-3</v>
      </c>
      <c r="K200" s="117">
        <f t="shared" si="300"/>
        <v>3.358742141113108E-2</v>
      </c>
      <c r="L200" s="117">
        <f t="shared" si="300"/>
        <v>1.505873801665881E-2</v>
      </c>
      <c r="M200" s="117">
        <f t="shared" si="300"/>
        <v>0</v>
      </c>
      <c r="N200" s="117">
        <f t="shared" si="300"/>
        <v>1.226012785575149E-2</v>
      </c>
      <c r="O200" s="117">
        <f t="shared" si="300"/>
        <v>0</v>
      </c>
      <c r="P200" s="117">
        <f t="shared" si="300"/>
        <v>8.3626578885023506E-3</v>
      </c>
      <c r="Q200" s="117">
        <f t="shared" si="300"/>
        <v>1.3025934918023325E-2</v>
      </c>
      <c r="R200" s="117">
        <f t="shared" si="300"/>
        <v>1.3419767772082538E-2</v>
      </c>
      <c r="S200" s="117">
        <f t="shared" si="300"/>
        <v>1.684904449925528E-2</v>
      </c>
      <c r="T200" s="117">
        <f>-T156/T189</f>
        <v>0</v>
      </c>
      <c r="U200" s="117">
        <f t="shared" si="300"/>
        <v>0</v>
      </c>
      <c r="V200" s="117">
        <f>-V156/V189</f>
        <v>0</v>
      </c>
      <c r="W200" s="117">
        <f t="shared" si="300"/>
        <v>0</v>
      </c>
      <c r="X200" s="117">
        <f t="shared" ref="X200" si="301">-X156/X189</f>
        <v>0</v>
      </c>
      <c r="Y200" s="589">
        <f t="shared" si="300"/>
        <v>1.9588979087425816E-2</v>
      </c>
      <c r="Z200" s="589">
        <f t="shared" si="300"/>
        <v>0</v>
      </c>
      <c r="AA200" s="589">
        <f>-AA156/AA189</f>
        <v>0</v>
      </c>
      <c r="AB200" s="589">
        <f>-AB156/AB189</f>
        <v>0</v>
      </c>
      <c r="AC200" s="589">
        <f>-AC156/AC189</f>
        <v>0</v>
      </c>
      <c r="AD200" s="589">
        <f>-AD156/AD189</f>
        <v>0</v>
      </c>
      <c r="AE200" s="589">
        <f>-AE156/AE189</f>
        <v>0</v>
      </c>
      <c r="AF200" s="589">
        <f t="shared" ref="AF200:AH200" si="302">-AF156/AF189</f>
        <v>0</v>
      </c>
      <c r="AG200" s="589">
        <f t="shared" si="302"/>
        <v>0</v>
      </c>
      <c r="AH200" s="589">
        <f t="shared" si="302"/>
        <v>0</v>
      </c>
      <c r="AI200" s="117"/>
      <c r="AJ200" s="1133"/>
      <c r="AK200" s="1133"/>
      <c r="AL200" s="1133"/>
      <c r="AM200" s="1133"/>
      <c r="AN200" s="1133"/>
    </row>
    <row r="201" spans="1:43">
      <c r="A201" s="90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7"/>
      <c r="AJ201" s="1133"/>
      <c r="AK201" s="1133"/>
      <c r="AL201" s="1133"/>
      <c r="AM201" s="1133"/>
      <c r="AN201" s="1133"/>
    </row>
    <row r="202" spans="1:43">
      <c r="A202" s="1126" t="s">
        <v>1124</v>
      </c>
      <c r="B202" s="1124">
        <v>2001</v>
      </c>
      <c r="C202" s="1124">
        <v>2002</v>
      </c>
      <c r="D202" s="1124">
        <v>2003</v>
      </c>
      <c r="E202" s="1124">
        <v>2004</v>
      </c>
      <c r="F202" s="1124">
        <v>2005</v>
      </c>
      <c r="G202" s="1124">
        <v>2006</v>
      </c>
      <c r="H202" s="1124">
        <v>2007</v>
      </c>
      <c r="I202" s="1124">
        <v>2008</v>
      </c>
      <c r="J202" s="1124">
        <f t="shared" ref="J202:AH202" si="303">J$4</f>
        <v>2009</v>
      </c>
      <c r="K202" s="1124">
        <f t="shared" si="303"/>
        <v>2010</v>
      </c>
      <c r="L202" s="1124">
        <f t="shared" si="303"/>
        <v>2011</v>
      </c>
      <c r="M202" s="1124">
        <f t="shared" si="303"/>
        <v>2012</v>
      </c>
      <c r="N202" s="1124">
        <f t="shared" si="303"/>
        <v>2013</v>
      </c>
      <c r="O202" s="1124">
        <f t="shared" si="303"/>
        <v>2014</v>
      </c>
      <c r="P202" s="1124">
        <f t="shared" si="303"/>
        <v>2015</v>
      </c>
      <c r="Q202" s="1124">
        <f t="shared" si="303"/>
        <v>2016</v>
      </c>
      <c r="R202" s="1124">
        <f t="shared" si="303"/>
        <v>2017</v>
      </c>
      <c r="S202" s="1583">
        <f t="shared" si="303"/>
        <v>2018</v>
      </c>
      <c r="T202" s="1583">
        <f t="shared" si="303"/>
        <v>2019</v>
      </c>
      <c r="U202" s="1583">
        <f t="shared" si="303"/>
        <v>2020</v>
      </c>
      <c r="V202" s="1583">
        <f t="shared" si="303"/>
        <v>2021</v>
      </c>
      <c r="W202" s="1583">
        <f t="shared" si="303"/>
        <v>2022</v>
      </c>
      <c r="X202" s="1583">
        <f t="shared" si="303"/>
        <v>2023</v>
      </c>
      <c r="Y202" s="1445">
        <f t="shared" si="303"/>
        <v>2024</v>
      </c>
      <c r="Z202" s="1445">
        <f t="shared" si="303"/>
        <v>2025</v>
      </c>
      <c r="AA202" s="1445">
        <f t="shared" si="303"/>
        <v>2026</v>
      </c>
      <c r="AB202" s="1445">
        <f t="shared" si="303"/>
        <v>2027</v>
      </c>
      <c r="AC202" s="1445">
        <f t="shared" si="303"/>
        <v>2028</v>
      </c>
      <c r="AD202" s="1445">
        <f t="shared" si="303"/>
        <v>2029</v>
      </c>
      <c r="AE202" s="1445">
        <f t="shared" si="303"/>
        <v>2030</v>
      </c>
      <c r="AF202" s="1445">
        <f t="shared" si="303"/>
        <v>2031</v>
      </c>
      <c r="AG202" s="1445">
        <f t="shared" si="303"/>
        <v>2032</v>
      </c>
      <c r="AH202" s="1445">
        <f t="shared" si="303"/>
        <v>2033</v>
      </c>
      <c r="AI202" s="1628"/>
      <c r="AJ202" s="1133"/>
      <c r="AK202" s="1133"/>
      <c r="AL202" s="1133"/>
      <c r="AM202" s="1133"/>
      <c r="AN202" s="1133"/>
    </row>
    <row r="203" spans="1:43">
      <c r="A203" s="124" t="s">
        <v>594</v>
      </c>
      <c r="B203" s="1632">
        <f t="shared" ref="B203:Q203" si="304">B188</f>
        <v>0.88</v>
      </c>
      <c r="C203" s="1632">
        <f t="shared" si="304"/>
        <v>1.72</v>
      </c>
      <c r="D203" s="1632">
        <f t="shared" si="304"/>
        <v>2.74</v>
      </c>
      <c r="E203" s="1632">
        <f t="shared" si="304"/>
        <v>5.63</v>
      </c>
      <c r="F203" s="1632">
        <f t="shared" si="304"/>
        <v>7.84</v>
      </c>
      <c r="G203" s="1632">
        <f t="shared" si="304"/>
        <v>16.2</v>
      </c>
      <c r="H203" s="1632">
        <f t="shared" si="304"/>
        <v>13.53</v>
      </c>
      <c r="I203" s="1632">
        <f t="shared" si="304"/>
        <v>4.84</v>
      </c>
      <c r="J203" s="1632">
        <f t="shared" si="304"/>
        <v>9.16</v>
      </c>
      <c r="K203" s="1632">
        <f t="shared" si="304"/>
        <v>12.1</v>
      </c>
      <c r="L203" s="1632">
        <f t="shared" si="304"/>
        <v>13.44</v>
      </c>
      <c r="M203" s="1632">
        <f t="shared" si="304"/>
        <v>25.15</v>
      </c>
      <c r="N203" s="1632">
        <f t="shared" si="304"/>
        <v>40.78</v>
      </c>
      <c r="O203" s="1632">
        <f t="shared" si="304"/>
        <v>40.770000000000003</v>
      </c>
      <c r="P203" s="1632">
        <f t="shared" si="304"/>
        <v>59.85</v>
      </c>
      <c r="Q203" s="1632">
        <f t="shared" si="304"/>
        <v>59.33</v>
      </c>
      <c r="R203" s="716">
        <f t="shared" ref="R203:W203" si="305">R188</f>
        <v>64.37</v>
      </c>
      <c r="S203" s="716">
        <f t="shared" si="305"/>
        <v>51.15</v>
      </c>
      <c r="T203" s="716">
        <f t="shared" si="305"/>
        <v>49.83</v>
      </c>
      <c r="U203" s="716">
        <f t="shared" si="305"/>
        <v>25.89</v>
      </c>
      <c r="V203" s="716">
        <f t="shared" si="305"/>
        <v>37.950000000000003</v>
      </c>
      <c r="W203" s="716">
        <f t="shared" si="305"/>
        <v>36.86</v>
      </c>
      <c r="X203" s="716">
        <f t="shared" ref="X203" si="306">X188</f>
        <v>64.16</v>
      </c>
      <c r="Y203" s="1629">
        <f ca="1">DCF!$B$8</f>
        <v>45</v>
      </c>
      <c r="Z203" s="1629">
        <f ca="1">DCF!$B$8</f>
        <v>45</v>
      </c>
      <c r="AA203" s="1629">
        <f ca="1">DCF!$B$8</f>
        <v>45</v>
      </c>
      <c r="AB203" s="1629">
        <f ca="1">DCF!$B$8</f>
        <v>45</v>
      </c>
      <c r="AC203" s="1629">
        <f ca="1">DCF!$B$8</f>
        <v>45</v>
      </c>
      <c r="AD203" s="1629">
        <f ca="1">DCF!$B$8</f>
        <v>45</v>
      </c>
      <c r="AE203" s="1629">
        <f ca="1">DCF!$B$8</f>
        <v>45</v>
      </c>
      <c r="AF203" s="1629">
        <f ca="1">DCF!$B$8</f>
        <v>45</v>
      </c>
      <c r="AG203" s="1629">
        <f ca="1">DCF!$B$8</f>
        <v>45</v>
      </c>
      <c r="AH203" s="1629">
        <f ca="1">DCF!$B$8</f>
        <v>45</v>
      </c>
      <c r="AI203" s="610"/>
      <c r="AJ203" s="1133"/>
      <c r="AK203" s="1133"/>
      <c r="AL203" s="1133"/>
      <c r="AM203" s="1133"/>
      <c r="AN203" s="1133"/>
    </row>
    <row r="204" spans="1:43">
      <c r="A204" s="98" t="s">
        <v>88</v>
      </c>
      <c r="B204" s="438"/>
      <c r="C204" s="438"/>
      <c r="D204" s="438">
        <f t="shared" ref="D204:Q204" si="307">D189</f>
        <v>1280.1280000000002</v>
      </c>
      <c r="E204" s="438">
        <f t="shared" si="307"/>
        <v>2796.9839999999999</v>
      </c>
      <c r="F204" s="438">
        <f t="shared" si="307"/>
        <v>4283.7759999999998</v>
      </c>
      <c r="G204" s="438">
        <f t="shared" si="307"/>
        <v>10095.84</v>
      </c>
      <c r="H204" s="438">
        <f t="shared" si="307"/>
        <v>8372.3639999999996</v>
      </c>
      <c r="I204" s="438">
        <f t="shared" si="307"/>
        <v>2991.12</v>
      </c>
      <c r="J204" s="438">
        <f t="shared" si="307"/>
        <v>5512.4879999999994</v>
      </c>
      <c r="K204" s="438">
        <f t="shared" si="307"/>
        <v>7322.92</v>
      </c>
      <c r="L204" s="438">
        <f t="shared" si="307"/>
        <v>8144.6399999999994</v>
      </c>
      <c r="M204" s="438">
        <f t="shared" si="307"/>
        <v>17298.169999999998</v>
      </c>
      <c r="N204" s="438">
        <f t="shared" si="307"/>
        <v>28048.484</v>
      </c>
      <c r="O204" s="438">
        <f t="shared" si="307"/>
        <v>34148.952000000005</v>
      </c>
      <c r="P204" s="438">
        <f t="shared" si="307"/>
        <v>50124.375</v>
      </c>
      <c r="Q204" s="438">
        <f t="shared" si="307"/>
        <v>49499.018999999993</v>
      </c>
      <c r="R204" s="438">
        <f>R189</f>
        <v>53607.336000000003</v>
      </c>
      <c r="S204" s="438">
        <f t="shared" ref="S204:Z204" si="308">S203*S113</f>
        <v>42740.94</v>
      </c>
      <c r="T204" s="438">
        <f>T203*T113</f>
        <v>41782.455000000002</v>
      </c>
      <c r="U204" s="438">
        <f t="shared" si="308"/>
        <v>21708.764999999999</v>
      </c>
      <c r="V204" s="438">
        <f>V203*V113</f>
        <v>31824.870000000003</v>
      </c>
      <c r="W204" s="438">
        <f t="shared" si="308"/>
        <v>30225.200000000001</v>
      </c>
      <c r="X204" s="438">
        <f t="shared" ref="X204" si="309">X203*X113</f>
        <v>51950.351999999999</v>
      </c>
      <c r="Y204" s="447">
        <f t="shared" ca="1" si="308"/>
        <v>36675</v>
      </c>
      <c r="Z204" s="447">
        <f t="shared" ca="1" si="308"/>
        <v>36675</v>
      </c>
      <c r="AA204" s="447">
        <f ca="1">AA203*AA113</f>
        <v>36675</v>
      </c>
      <c r="AB204" s="447">
        <f ca="1">AB203*AB113</f>
        <v>36675</v>
      </c>
      <c r="AC204" s="447">
        <f ca="1">AC203*AC113</f>
        <v>36675</v>
      </c>
      <c r="AD204" s="447">
        <f ca="1">AD203*AD113</f>
        <v>36675</v>
      </c>
      <c r="AE204" s="447">
        <f ca="1">AE203*AE113</f>
        <v>36675</v>
      </c>
      <c r="AF204" s="447">
        <f t="shared" ref="AF204:AH204" ca="1" si="310">AF203*AF113</f>
        <v>36675</v>
      </c>
      <c r="AG204" s="447">
        <f t="shared" ca="1" si="310"/>
        <v>36675</v>
      </c>
      <c r="AH204" s="447">
        <f t="shared" ca="1" si="310"/>
        <v>36675</v>
      </c>
      <c r="AI204" s="438"/>
      <c r="AJ204" s="1133"/>
      <c r="AK204" s="1133"/>
      <c r="AL204" s="1133"/>
      <c r="AM204" s="1133"/>
      <c r="AN204" s="1133"/>
    </row>
    <row r="205" spans="1:43">
      <c r="A205" s="98" t="s">
        <v>89</v>
      </c>
      <c r="B205" s="438">
        <f t="shared" ref="B205:R205" si="311">B190</f>
        <v>91.750000000000014</v>
      </c>
      <c r="C205" s="438">
        <f t="shared" si="311"/>
        <v>-114.06300000000002</v>
      </c>
      <c r="D205" s="438">
        <f t="shared" si="311"/>
        <v>1161.788</v>
      </c>
      <c r="E205" s="438">
        <f t="shared" si="311"/>
        <v>2911.1210000000001</v>
      </c>
      <c r="F205" s="438">
        <f t="shared" si="311"/>
        <v>4970.1949999999997</v>
      </c>
      <c r="G205" s="438">
        <f t="shared" si="311"/>
        <v>10417.547999999999</v>
      </c>
      <c r="H205" s="438">
        <f t="shared" si="311"/>
        <v>9331.0919999999987</v>
      </c>
      <c r="I205" s="438">
        <f t="shared" si="311"/>
        <v>4352.1569999999992</v>
      </c>
      <c r="J205" s="438">
        <f t="shared" si="311"/>
        <v>6601.1819999999998</v>
      </c>
      <c r="K205" s="438">
        <f t="shared" si="311"/>
        <v>8584.4049999999988</v>
      </c>
      <c r="L205" s="438">
        <f t="shared" si="311"/>
        <v>11760.655999999999</v>
      </c>
      <c r="M205" s="438">
        <f t="shared" si="311"/>
        <v>19148.244999999995</v>
      </c>
      <c r="N205" s="438">
        <f t="shared" si="311"/>
        <v>32668.334999999999</v>
      </c>
      <c r="O205" s="438">
        <f t="shared" si="311"/>
        <v>45564.771000000001</v>
      </c>
      <c r="P205" s="438">
        <f t="shared" si="311"/>
        <v>62518.099000000002</v>
      </c>
      <c r="Q205" s="438">
        <f t="shared" si="311"/>
        <v>62804.513999999988</v>
      </c>
      <c r="R205" s="438">
        <f t="shared" si="311"/>
        <v>71251.106</v>
      </c>
      <c r="S205" s="438">
        <f t="shared" ref="S205:Y205" si="312">S204+S166+S172</f>
        <v>70747.756999999998</v>
      </c>
      <c r="T205" s="438">
        <f>T204+T166+T172</f>
        <v>91367.233999999997</v>
      </c>
      <c r="U205" s="438">
        <f t="shared" si="312"/>
        <v>82775.359999999986</v>
      </c>
      <c r="V205" s="438">
        <f>V204+V166+V172</f>
        <v>87178.186999999991</v>
      </c>
      <c r="W205" s="438">
        <f t="shared" si="312"/>
        <v>79719.270999999993</v>
      </c>
      <c r="X205" s="438">
        <f t="shared" ref="X205" si="313">X204+X166+X172</f>
        <v>96227.362000000008</v>
      </c>
      <c r="Y205" s="447">
        <f t="shared" ca="1" si="312"/>
        <v>85145.459794778653</v>
      </c>
      <c r="Z205" s="447">
        <f t="shared" ref="Z205:AE205" ca="1" si="314">Z204+Z166+Z172</f>
        <v>83330.941163459749</v>
      </c>
      <c r="AA205" s="447">
        <f t="shared" ca="1" si="314"/>
        <v>80680.059059927196</v>
      </c>
      <c r="AB205" s="447">
        <f t="shared" ca="1" si="314"/>
        <v>77018.806268422646</v>
      </c>
      <c r="AC205" s="447">
        <f t="shared" ca="1" si="314"/>
        <v>74147.724594359257</v>
      </c>
      <c r="AD205" s="447">
        <f t="shared" ca="1" si="314"/>
        <v>71212.368805704944</v>
      </c>
      <c r="AE205" s="447">
        <f t="shared" ca="1" si="314"/>
        <v>67770.583284689739</v>
      </c>
      <c r="AF205" s="447">
        <f t="shared" ref="AF205:AH205" ca="1" si="315">AF204+AF166+AF172</f>
        <v>64038.672538597682</v>
      </c>
      <c r="AG205" s="447">
        <f t="shared" ca="1" si="315"/>
        <v>60016.913460382828</v>
      </c>
      <c r="AH205" s="447">
        <f t="shared" ca="1" si="315"/>
        <v>55579.66456740789</v>
      </c>
      <c r="AI205" s="438"/>
      <c r="AJ205" s="1133"/>
      <c r="AK205" s="1133"/>
      <c r="AL205" s="1133"/>
      <c r="AM205" s="1133"/>
      <c r="AN205" s="1133"/>
    </row>
    <row r="206" spans="1:43" s="1209" customFormat="1">
      <c r="A206" s="1237" t="s">
        <v>1240</v>
      </c>
      <c r="B206" s="1518">
        <f t="shared" ref="B206:Q206" si="316">B204+B169+B173</f>
        <v>142.17099999999994</v>
      </c>
      <c r="C206" s="1518">
        <f t="shared" si="316"/>
        <v>40.818999999999988</v>
      </c>
      <c r="D206" s="1518">
        <f t="shared" si="316"/>
        <v>1129.3580000000002</v>
      </c>
      <c r="E206" s="1518">
        <f t="shared" si="316"/>
        <v>2639.1959999999999</v>
      </c>
      <c r="F206" s="1518">
        <f t="shared" si="316"/>
        <v>4439.0540000000001</v>
      </c>
      <c r="G206" s="1518">
        <f t="shared" si="316"/>
        <v>10318.414000000001</v>
      </c>
      <c r="H206" s="1518">
        <f t="shared" si="316"/>
        <v>8977.64</v>
      </c>
      <c r="I206" s="1518">
        <f t="shared" si="316"/>
        <v>3731.6489999999994</v>
      </c>
      <c r="J206" s="1518">
        <f t="shared" si="316"/>
        <v>6929.6649999999991</v>
      </c>
      <c r="K206" s="1518">
        <f t="shared" si="316"/>
        <v>8328.8639999999996</v>
      </c>
      <c r="L206" s="1518">
        <f t="shared" si="316"/>
        <v>11128.162</v>
      </c>
      <c r="M206" s="1518">
        <f t="shared" si="316"/>
        <v>16948.932999999997</v>
      </c>
      <c r="N206" s="1518">
        <f t="shared" si="316"/>
        <v>30522.702999999998</v>
      </c>
      <c r="O206" s="1518">
        <f t="shared" si="316"/>
        <v>33903.809000000001</v>
      </c>
      <c r="P206" s="1518">
        <f t="shared" si="316"/>
        <v>60574.459000000003</v>
      </c>
      <c r="Q206" s="1518">
        <f t="shared" si="316"/>
        <v>61311.397999999994</v>
      </c>
      <c r="R206" s="1518">
        <f t="shared" ref="R206:X206" si="317">R204+R169+R172</f>
        <v>71251.106</v>
      </c>
      <c r="S206" s="1518">
        <f t="shared" si="317"/>
        <v>70747.756999999998</v>
      </c>
      <c r="T206" s="1518">
        <f t="shared" si="317"/>
        <v>68805.373999999996</v>
      </c>
      <c r="U206" s="1518">
        <f t="shared" si="317"/>
        <v>57475.360000000001</v>
      </c>
      <c r="V206" s="1518">
        <f t="shared" si="317"/>
        <v>63414.913000000008</v>
      </c>
      <c r="W206" s="1518">
        <f t="shared" si="317"/>
        <v>57737.46</v>
      </c>
      <c r="X206" s="1518">
        <f t="shared" si="317"/>
        <v>77897.294999999998</v>
      </c>
      <c r="Y206" s="1518">
        <f ca="1">Y204+Y169+Y172</f>
        <v>66297.093707330539</v>
      </c>
      <c r="Z206" s="1518">
        <f t="shared" ref="Z206:AH206" ca="1" si="318">Z204+Z169+Z172</f>
        <v>64137.764848425388</v>
      </c>
      <c r="AA206" s="1518">
        <f t="shared" ca="1" si="318"/>
        <v>61077.864048946474</v>
      </c>
      <c r="AB206" s="1518">
        <f t="shared" ca="1" si="318"/>
        <v>57068.388751703431</v>
      </c>
      <c r="AC206" s="1518">
        <f t="shared" ca="1" si="318"/>
        <v>53905.27414272516</v>
      </c>
      <c r="AD206" s="1518">
        <f t="shared" ca="1" si="318"/>
        <v>50677.079654644331</v>
      </c>
      <c r="AE206" s="1518">
        <f t="shared" ca="1" si="318"/>
        <v>46990.346136367152</v>
      </c>
      <c r="AF206" s="1518">
        <f t="shared" ca="1" si="318"/>
        <v>43032.750817515676</v>
      </c>
      <c r="AG206" s="1518">
        <f t="shared" ca="1" si="318"/>
        <v>38789.063276907291</v>
      </c>
      <c r="AH206" s="1518">
        <f t="shared" ca="1" si="318"/>
        <v>34137.765448203776</v>
      </c>
      <c r="AI206" s="1518"/>
      <c r="AJ206" s="1243"/>
      <c r="AK206" s="1243"/>
      <c r="AL206" s="1243"/>
      <c r="AM206" s="1243"/>
      <c r="AN206" s="1243"/>
      <c r="AP206" s="9"/>
      <c r="AQ206" s="9"/>
    </row>
    <row r="207" spans="1:43">
      <c r="A207" s="98" t="s">
        <v>638</v>
      </c>
      <c r="B207" s="605">
        <f t="shared" ref="B207:Z207" si="319">B205/B36</f>
        <v>3.7075890205256985E-2</v>
      </c>
      <c r="C207" s="605">
        <f t="shared" si="319"/>
        <v>-4.3404355390354948E-2</v>
      </c>
      <c r="D207" s="605">
        <f t="shared" si="319"/>
        <v>0.40459398967296084</v>
      </c>
      <c r="E207" s="605">
        <f t="shared" si="319"/>
        <v>0.78496621630731211</v>
      </c>
      <c r="F207" s="605">
        <f t="shared" si="319"/>
        <v>1.0653537821790666</v>
      </c>
      <c r="G207" s="605">
        <f t="shared" si="319"/>
        <v>1.7286393103462006</v>
      </c>
      <c r="H207" s="605">
        <f t="shared" si="319"/>
        <v>1.3357986647298659</v>
      </c>
      <c r="I207" s="605">
        <f t="shared" si="319"/>
        <v>0.55891161540049017</v>
      </c>
      <c r="J207" s="605">
        <f t="shared" si="319"/>
        <v>0.76873410184438673</v>
      </c>
      <c r="K207" s="605">
        <f t="shared" si="319"/>
        <v>0.95579383706844334</v>
      </c>
      <c r="L207" s="605">
        <f t="shared" si="319"/>
        <v>1.0994859628903049</v>
      </c>
      <c r="M207" s="605">
        <f t="shared" si="319"/>
        <v>1.4163413282712176</v>
      </c>
      <c r="N207" s="605">
        <f t="shared" si="319"/>
        <v>2.0791084771424835</v>
      </c>
      <c r="O207" s="605">
        <f t="shared" si="319"/>
        <v>1.9984325175310538</v>
      </c>
      <c r="P207" s="605">
        <f t="shared" si="319"/>
        <v>1.9362416678993084</v>
      </c>
      <c r="Q207" s="605">
        <f t="shared" si="319"/>
        <v>1.665819732481683</v>
      </c>
      <c r="R207" s="605">
        <f t="shared" si="319"/>
        <v>1.6753486628609136</v>
      </c>
      <c r="S207" s="605">
        <f t="shared" si="319"/>
        <v>1.5327769115357761</v>
      </c>
      <c r="T207" s="605">
        <f>T205/T36</f>
        <v>1.5711088056479228</v>
      </c>
      <c r="U207" s="605">
        <f t="shared" si="319"/>
        <v>2.1502652042831376</v>
      </c>
      <c r="V207" s="605">
        <f>V205/V36</f>
        <v>1.6331782356246367</v>
      </c>
      <c r="W207" s="605">
        <f t="shared" si="319"/>
        <v>1.158183344046724</v>
      </c>
      <c r="X207" s="605">
        <f t="shared" ref="X207" si="320">X205/X36</f>
        <v>1.2623119388310129</v>
      </c>
      <c r="Y207" s="606">
        <f t="shared" ca="1" si="319"/>
        <v>1.0839784552418505</v>
      </c>
      <c r="Z207" s="606">
        <f t="shared" ca="1" si="319"/>
        <v>0.96895334255289889</v>
      </c>
      <c r="AA207" s="606">
        <f ca="1">AA205/AA36</f>
        <v>0.87827433618365325</v>
      </c>
      <c r="AB207" s="606">
        <f ca="1">AB205/AB36</f>
        <v>0.79170160598751205</v>
      </c>
      <c r="AC207" s="606">
        <f ca="1">AC205/AC36</f>
        <v>0.72402857881576366</v>
      </c>
      <c r="AD207" s="606">
        <f ca="1">AD205/AD36</f>
        <v>0.66070294014340192</v>
      </c>
      <c r="AE207" s="606">
        <f ca="1">AE205/AE36</f>
        <v>0.59817478477335295</v>
      </c>
      <c r="AF207" s="606">
        <f t="shared" ref="AF207:AH207" ca="1" si="321">AF205/AF36</f>
        <v>0.53842360032743308</v>
      </c>
      <c r="AG207" s="606">
        <f t="shared" ca="1" si="321"/>
        <v>0.48072119335856628</v>
      </c>
      <c r="AH207" s="606">
        <f t="shared" ca="1" si="321"/>
        <v>0.42421911875723428</v>
      </c>
      <c r="AI207" s="438"/>
      <c r="AJ207" s="1133"/>
      <c r="AK207" s="1133"/>
      <c r="AL207" s="1133"/>
      <c r="AM207" s="1133"/>
      <c r="AN207" s="1133"/>
    </row>
    <row r="208" spans="1:43" s="1209" customFormat="1">
      <c r="A208" s="1237" t="s">
        <v>1237</v>
      </c>
      <c r="B208" s="1268">
        <f t="shared" ref="B208:Z208" si="322">B206/B36</f>
        <v>5.7450859796965528E-2</v>
      </c>
      <c r="C208" s="1268">
        <f t="shared" si="322"/>
        <v>1.5532840471308819E-2</v>
      </c>
      <c r="D208" s="1268">
        <f t="shared" si="322"/>
        <v>0.39330020536369442</v>
      </c>
      <c r="E208" s="1268">
        <f t="shared" si="322"/>
        <v>0.71164328044536551</v>
      </c>
      <c r="F208" s="1268">
        <f t="shared" si="322"/>
        <v>0.95150451203566755</v>
      </c>
      <c r="G208" s="1268">
        <f t="shared" si="322"/>
        <v>1.7121894769120893</v>
      </c>
      <c r="H208" s="1268">
        <f t="shared" si="322"/>
        <v>1.2852000092192246</v>
      </c>
      <c r="I208" s="1268">
        <f t="shared" si="322"/>
        <v>0.47922489255273282</v>
      </c>
      <c r="J208" s="1268">
        <f t="shared" si="322"/>
        <v>0.80698726377450003</v>
      </c>
      <c r="K208" s="1268">
        <f t="shared" si="322"/>
        <v>0.92734171803185239</v>
      </c>
      <c r="L208" s="1268">
        <f t="shared" si="322"/>
        <v>1.0403550543242914</v>
      </c>
      <c r="M208" s="1268">
        <f t="shared" si="322"/>
        <v>1.253664462617847</v>
      </c>
      <c r="N208" s="1268">
        <f t="shared" si="322"/>
        <v>1.9425541752465285</v>
      </c>
      <c r="O208" s="1268">
        <f t="shared" si="322"/>
        <v>1.486992535829095</v>
      </c>
      <c r="P208" s="1268">
        <f t="shared" si="322"/>
        <v>1.8760453916914248</v>
      </c>
      <c r="Q208" s="1268">
        <f t="shared" si="322"/>
        <v>1.6262164947958677</v>
      </c>
      <c r="R208" s="1268">
        <f t="shared" si="322"/>
        <v>1.6753486628609136</v>
      </c>
      <c r="S208" s="1268">
        <f t="shared" si="322"/>
        <v>1.5327769115357761</v>
      </c>
      <c r="T208" s="1268">
        <f>T206/T36</f>
        <v>1.1831454694940053</v>
      </c>
      <c r="U208" s="1268">
        <f t="shared" si="322"/>
        <v>1.4930441463697277</v>
      </c>
      <c r="V208" s="1268">
        <f>V206/V36</f>
        <v>1.1880019450924102</v>
      </c>
      <c r="W208" s="1268">
        <f t="shared" si="322"/>
        <v>0.83882558960635711</v>
      </c>
      <c r="X208" s="1268">
        <f t="shared" ref="X208" si="323">X206/X36</f>
        <v>1.0218578524592763</v>
      </c>
      <c r="Y208" s="1268">
        <f t="shared" ca="1" si="322"/>
        <v>0.84402176460268874</v>
      </c>
      <c r="Z208" s="1268">
        <f t="shared" ca="1" si="322"/>
        <v>0.74577942797800256</v>
      </c>
      <c r="AA208" s="1268">
        <f ca="1">AA206/AA36</f>
        <v>0.6648869761394085</v>
      </c>
      <c r="AB208" s="1268">
        <f ca="1">AB206/AB36</f>
        <v>0.58662471174092101</v>
      </c>
      <c r="AC208" s="1268">
        <f ca="1">AC206/AC36</f>
        <v>0.52636758904939529</v>
      </c>
      <c r="AD208" s="1268">
        <f ca="1">AD206/AD36</f>
        <v>0.47017808966667241</v>
      </c>
      <c r="AE208" s="1268">
        <f ca="1">AE206/AE36</f>
        <v>0.41475871719252039</v>
      </c>
      <c r="AF208" s="1268">
        <f t="shared" ref="AF208:AH208" ca="1" si="324">AF206/AF36</f>
        <v>0.36181025790619009</v>
      </c>
      <c r="AG208" s="1268">
        <f t="shared" ca="1" si="324"/>
        <v>0.31069116541697062</v>
      </c>
      <c r="AH208" s="1268">
        <f t="shared" ca="1" si="324"/>
        <v>0.26056099631933366</v>
      </c>
      <c r="AI208" s="1518"/>
      <c r="AJ208" s="1243"/>
      <c r="AK208" s="1243"/>
      <c r="AL208" s="1243"/>
      <c r="AM208" s="1243"/>
      <c r="AN208" s="1243"/>
      <c r="AP208" s="9"/>
      <c r="AQ208" s="9"/>
    </row>
    <row r="209" spans="1:43">
      <c r="A209" s="98" t="s">
        <v>90</v>
      </c>
      <c r="B209" s="605">
        <f t="shared" ref="B209:N209" si="325">B194</f>
        <v>0.2775542554285681</v>
      </c>
      <c r="C209" s="605">
        <f t="shared" si="325"/>
        <v>-0.29711411476336475</v>
      </c>
      <c r="D209" s="605">
        <f t="shared" si="325"/>
        <v>2.7980800030827844</v>
      </c>
      <c r="E209" s="605">
        <f t="shared" si="325"/>
        <v>5.3370702883658172</v>
      </c>
      <c r="F209" s="605">
        <f t="shared" si="325"/>
        <v>7.094653524705409</v>
      </c>
      <c r="G209" s="605">
        <f t="shared" si="325"/>
        <v>10.34062409733988</v>
      </c>
      <c r="H209" s="605">
        <f t="shared" si="325"/>
        <v>7.2408363312422974</v>
      </c>
      <c r="I209" s="605">
        <f t="shared" si="325"/>
        <v>4.2169326216224325</v>
      </c>
      <c r="J209" s="605">
        <f t="shared" si="325"/>
        <v>6.5996244886206892</v>
      </c>
      <c r="K209" s="605">
        <f t="shared" si="325"/>
        <v>8.5961731610574876</v>
      </c>
      <c r="L209" s="605">
        <f t="shared" si="325"/>
        <v>10.549121090158556</v>
      </c>
      <c r="M209" s="605">
        <f t="shared" si="325"/>
        <v>11.907631221374759</v>
      </c>
      <c r="N209" s="605">
        <f t="shared" si="325"/>
        <v>16.023928225623699</v>
      </c>
      <c r="O209" s="606">
        <f t="shared" ref="O209:Z209" si="326">O205/O67</f>
        <v>16.313379938791847</v>
      </c>
      <c r="P209" s="606">
        <f t="shared" si="326"/>
        <v>14.533249072640325</v>
      </c>
      <c r="Q209" s="606">
        <f t="shared" si="326"/>
        <v>12.182660431972296</v>
      </c>
      <c r="R209" s="606">
        <f t="shared" si="326"/>
        <v>11.018932474555553</v>
      </c>
      <c r="S209" s="606">
        <f t="shared" si="326"/>
        <v>11.039990218960767</v>
      </c>
      <c r="T209" s="606">
        <f>T205/T67</f>
        <v>7.2412765416829048</v>
      </c>
      <c r="U209" s="606">
        <f t="shared" si="326"/>
        <v>11.953576280741968</v>
      </c>
      <c r="V209" s="606">
        <f>V205/V67</f>
        <v>7.0811698615309266</v>
      </c>
      <c r="W209" s="606">
        <f t="shared" si="326"/>
        <v>5.6740526587080211</v>
      </c>
      <c r="X209" s="606">
        <f t="shared" ref="X209" si="327">X205/X67</f>
        <v>6.0291363825781463</v>
      </c>
      <c r="Y209" s="606">
        <f t="shared" ca="1" si="326"/>
        <v>5.394241903526086</v>
      </c>
      <c r="Z209" s="606">
        <f t="shared" ca="1" si="326"/>
        <v>4.990477442955692</v>
      </c>
      <c r="AA209" s="606">
        <f ca="1">AA205/AA67</f>
        <v>4.5236336150427361</v>
      </c>
      <c r="AB209" s="606">
        <f ca="1">AB205/AB67</f>
        <v>4.0777168830754995</v>
      </c>
      <c r="AC209" s="606">
        <f ca="1">AC205/AC67</f>
        <v>3.8480442533367052</v>
      </c>
      <c r="AD209" s="606">
        <f ca="1">AD205/AD67</f>
        <v>3.5114509739879645</v>
      </c>
      <c r="AE209" s="606">
        <f ca="1">AE205/AE67</f>
        <v>3.1791315527129154</v>
      </c>
      <c r="AF209" s="606">
        <f t="shared" ref="AF209:AH209" ca="1" si="328">AF205/AF67</f>
        <v>2.8615452058178077</v>
      </c>
      <c r="AG209" s="606">
        <f t="shared" ca="1" si="328"/>
        <v>2.5548527830802277</v>
      </c>
      <c r="AH209" s="606">
        <f t="shared" ca="1" si="328"/>
        <v>2.254555604750109</v>
      </c>
      <c r="AI209" s="605"/>
      <c r="AJ209" s="1133"/>
      <c r="AK209" s="1133"/>
      <c r="AL209" s="1133"/>
      <c r="AM209" s="1133"/>
      <c r="AN209" s="1133"/>
    </row>
    <row r="210" spans="1:43" s="1209" customFormat="1">
      <c r="A210" s="1237" t="s">
        <v>1238</v>
      </c>
      <c r="B210" s="1268">
        <f t="shared" ref="B210:N210" si="329">B195</f>
        <v>0.2775542554285681</v>
      </c>
      <c r="C210" s="1268">
        <f t="shared" si="329"/>
        <v>-0.29711411476336475</v>
      </c>
      <c r="D210" s="1268">
        <f t="shared" si="329"/>
        <v>2.7980800030827844</v>
      </c>
      <c r="E210" s="1268">
        <f t="shared" si="329"/>
        <v>5.3370702883658172</v>
      </c>
      <c r="F210" s="1268">
        <f t="shared" si="329"/>
        <v>7.094653524705409</v>
      </c>
      <c r="G210" s="1268">
        <f t="shared" si="329"/>
        <v>10.34062409733988</v>
      </c>
      <c r="H210" s="1268">
        <f t="shared" si="329"/>
        <v>7.2408363312422974</v>
      </c>
      <c r="I210" s="1268">
        <f t="shared" si="329"/>
        <v>4.2169326216224325</v>
      </c>
      <c r="J210" s="1268">
        <f t="shared" si="329"/>
        <v>6.5996244886206892</v>
      </c>
      <c r="K210" s="1268">
        <f t="shared" si="329"/>
        <v>8.5961731610574876</v>
      </c>
      <c r="L210" s="1268">
        <f t="shared" si="329"/>
        <v>10.549121090158556</v>
      </c>
      <c r="M210" s="1268">
        <f t="shared" si="329"/>
        <v>11.907631221374759</v>
      </c>
      <c r="N210" s="1268">
        <f t="shared" si="329"/>
        <v>16.023928225623699</v>
      </c>
      <c r="O210" s="1268">
        <f t="shared" ref="O210:Z210" si="330">O206/O69</f>
        <v>12.138450505747752</v>
      </c>
      <c r="P210" s="1268">
        <f t="shared" si="330"/>
        <v>14.081421447050708</v>
      </c>
      <c r="Q210" s="1268">
        <f t="shared" si="330"/>
        <v>11.893029574968217</v>
      </c>
      <c r="R210" s="1268">
        <f t="shared" si="330"/>
        <v>11.018932474555553</v>
      </c>
      <c r="S210" s="1268">
        <f t="shared" si="330"/>
        <v>11.039990218960767</v>
      </c>
      <c r="T210" s="1268">
        <f>T206/T69</f>
        <v>8.9728557104049234</v>
      </c>
      <c r="U210" s="1268">
        <f t="shared" si="330"/>
        <v>40.003953388987085</v>
      </c>
      <c r="V210" s="1268">
        <f>V206/V69</f>
        <v>9.7019780496174679</v>
      </c>
      <c r="W210" s="1268">
        <f t="shared" si="330"/>
        <v>6.5428546368487952</v>
      </c>
      <c r="X210" s="1268">
        <f t="shared" ref="X210" si="331">X206/X69</f>
        <v>7.2163012735314958</v>
      </c>
      <c r="Y210" s="1268">
        <f t="shared" ca="1" si="330"/>
        <v>5.9753434980205542</v>
      </c>
      <c r="Z210" s="1268">
        <f t="shared" ca="1" si="330"/>
        <v>5.4284913237048711</v>
      </c>
      <c r="AA210" s="1268">
        <f ca="1">AA206/AA69</f>
        <v>4.8033169409063392</v>
      </c>
      <c r="AB210" s="1268">
        <f ca="1">AB206/AB69</f>
        <v>4.1981677578160568</v>
      </c>
      <c r="AC210" s="1268">
        <f ca="1">AC206/AC69</f>
        <v>3.9400599498213214</v>
      </c>
      <c r="AD210" s="1268">
        <f ca="1">AD206/AD69</f>
        <v>3.5232459664437146</v>
      </c>
      <c r="AE210" s="1268">
        <f ca="1">AE206/AE69</f>
        <v>3.1112289407358271</v>
      </c>
      <c r="AF210" s="1268">
        <f t="shared" ref="AF210:AH210" ca="1" si="332">AF206/AF69</f>
        <v>2.7170567952116582</v>
      </c>
      <c r="AG210" s="1268">
        <f t="shared" ca="1" si="332"/>
        <v>2.3356687961481191</v>
      </c>
      <c r="AH210" s="1268">
        <f t="shared" ca="1" si="332"/>
        <v>1.9609015892937303</v>
      </c>
      <c r="AI210" s="1268"/>
      <c r="AJ210" s="1243"/>
      <c r="AK210" s="1243"/>
      <c r="AL210" s="1243"/>
      <c r="AM210" s="1243"/>
      <c r="AN210" s="1243"/>
      <c r="AP210" s="9"/>
      <c r="AQ210" s="9"/>
    </row>
    <row r="211" spans="1:43">
      <c r="A211" s="9" t="s">
        <v>306</v>
      </c>
      <c r="B211" s="605"/>
      <c r="C211" s="605"/>
      <c r="D211" s="605">
        <f t="shared" ref="D211:Y211" si="333">IF((D102&lt;=0)+((D203/(D102/D113))&gt;100),"NM",D203/(D102/D113))</f>
        <v>9.9894496987857764</v>
      </c>
      <c r="E211" s="605">
        <f t="shared" si="333"/>
        <v>18.090693297285412</v>
      </c>
      <c r="F211" s="605">
        <f t="shared" si="333"/>
        <v>15.217784851046884</v>
      </c>
      <c r="G211" s="605">
        <f t="shared" si="333"/>
        <v>45.440527147274295</v>
      </c>
      <c r="H211" s="605">
        <f t="shared" si="333"/>
        <v>17.499480598200385</v>
      </c>
      <c r="I211" s="605">
        <f t="shared" si="333"/>
        <v>23.226768339558468</v>
      </c>
      <c r="J211" s="605">
        <f t="shared" si="333"/>
        <v>53.13343871689046</v>
      </c>
      <c r="K211" s="605">
        <f t="shared" si="333"/>
        <v>48.423683758084394</v>
      </c>
      <c r="L211" s="605">
        <f t="shared" si="333"/>
        <v>38.84985976226352</v>
      </c>
      <c r="M211" s="605">
        <f t="shared" si="333"/>
        <v>47.18991174825738</v>
      </c>
      <c r="N211" s="605">
        <f t="shared" si="333"/>
        <v>41.186414943620647</v>
      </c>
      <c r="O211" s="605">
        <f t="shared" si="333"/>
        <v>51.223479223479032</v>
      </c>
      <c r="P211" s="605">
        <f t="shared" si="333"/>
        <v>51.084456271160214</v>
      </c>
      <c r="Q211" s="605">
        <f t="shared" si="333"/>
        <v>49.674269823938978</v>
      </c>
      <c r="R211" s="605">
        <f t="shared" si="333"/>
        <v>49.205012717204497</v>
      </c>
      <c r="S211" s="605">
        <f t="shared" si="333"/>
        <v>44.836932063156418</v>
      </c>
      <c r="T211" s="605">
        <f>IF((T102&lt;=0)+((T203/(T102/T113))&gt;100),"NM",T203/(T102/T113))</f>
        <v>45.08881802583457</v>
      </c>
      <c r="U211" s="605" t="str">
        <f t="shared" si="333"/>
        <v>NM</v>
      </c>
      <c r="V211" s="605">
        <f>IF((V102&lt;=0)+((V203/(V102/V113))&gt;100),"NM",V203/(V102/V113))</f>
        <v>38.107683833654647</v>
      </c>
      <c r="W211" s="605">
        <f t="shared" si="333"/>
        <v>18.516542253887859</v>
      </c>
      <c r="X211" s="605">
        <f t="shared" ref="X211" si="334">IF((X102&lt;=0)+((X203/(X102/X113))&gt;100),"NM",X203/(X102/X113))</f>
        <v>17.726085216340394</v>
      </c>
      <c r="Y211" s="606">
        <f t="shared" ca="1" si="333"/>
        <v>32.641889431039331</v>
      </c>
      <c r="Z211" s="606">
        <f t="shared" ref="Z211:AE211" ca="1" si="335">IF((Z102&lt;=0)+((Z203/(Z102/Z113))&gt;100),"NM",Z203/(Z102/Z113))</f>
        <v>19.290531725877582</v>
      </c>
      <c r="AA211" s="606">
        <f t="shared" ca="1" si="335"/>
        <v>13.07065850323027</v>
      </c>
      <c r="AB211" s="606">
        <f t="shared" ca="1" si="335"/>
        <v>9.5463850218194004</v>
      </c>
      <c r="AC211" s="606">
        <f t="shared" ca="1" si="335"/>
        <v>9.0316570554082585</v>
      </c>
      <c r="AD211" s="606">
        <f t="shared" ca="1" si="335"/>
        <v>8.3686758232300402</v>
      </c>
      <c r="AE211" s="606">
        <f t="shared" ca="1" si="335"/>
        <v>7.8379144300894552</v>
      </c>
      <c r="AF211" s="606">
        <f t="shared" ref="AF211:AH211" ca="1" si="336">IF((AF102&lt;=0)+((AF203/(AF102/AF113))&gt;100),"NM",AF203/(AF102/AF113))</f>
        <v>7.3612984924395723</v>
      </c>
      <c r="AG211" s="606">
        <f t="shared" ca="1" si="336"/>
        <v>6.9504761914174669</v>
      </c>
      <c r="AH211" s="606">
        <f t="shared" ca="1" si="336"/>
        <v>6.5913740865778836</v>
      </c>
      <c r="AI211" s="605"/>
      <c r="AJ211" s="1133"/>
      <c r="AK211" s="1133"/>
      <c r="AL211" s="1133"/>
      <c r="AM211" s="1133"/>
      <c r="AN211" s="1133"/>
    </row>
    <row r="212" spans="1:43" s="1209" customFormat="1">
      <c r="A212" s="1209" t="s">
        <v>1239</v>
      </c>
      <c r="B212" s="1268"/>
      <c r="C212" s="1268"/>
      <c r="D212" s="1268">
        <f t="shared" ref="D212:Y212" si="337">IF((D104&lt;=0)+((D203/(D104/D113))&gt;100),"NM",D203/(D104/D113))</f>
        <v>9.9894496987857764</v>
      </c>
      <c r="E212" s="1268">
        <f t="shared" si="337"/>
        <v>18.090693297285412</v>
      </c>
      <c r="F212" s="1268">
        <f t="shared" si="337"/>
        <v>15.217784851046884</v>
      </c>
      <c r="G212" s="1268">
        <f t="shared" si="337"/>
        <v>45.440527147274295</v>
      </c>
      <c r="H212" s="1268">
        <f t="shared" si="337"/>
        <v>17.499480598200385</v>
      </c>
      <c r="I212" s="1268">
        <f t="shared" si="337"/>
        <v>23.226768339558468</v>
      </c>
      <c r="J212" s="1268">
        <f t="shared" si="337"/>
        <v>53.133438716891156</v>
      </c>
      <c r="K212" s="1268">
        <f t="shared" si="337"/>
        <v>48.423683758083961</v>
      </c>
      <c r="L212" s="1268">
        <f t="shared" si="337"/>
        <v>38.849859762263563</v>
      </c>
      <c r="M212" s="1268">
        <f t="shared" si="337"/>
        <v>47.189911748257529</v>
      </c>
      <c r="N212" s="1268">
        <f t="shared" si="337"/>
        <v>41.186414943620726</v>
      </c>
      <c r="O212" s="1268">
        <f t="shared" si="337"/>
        <v>51.223479223479202</v>
      </c>
      <c r="P212" s="1268">
        <f t="shared" si="337"/>
        <v>51.084456271160164</v>
      </c>
      <c r="Q212" s="1268">
        <f t="shared" si="337"/>
        <v>49.674269823938886</v>
      </c>
      <c r="R212" s="1268">
        <f t="shared" si="337"/>
        <v>49.205012717204461</v>
      </c>
      <c r="S212" s="1268">
        <f t="shared" si="337"/>
        <v>44.836932063156418</v>
      </c>
      <c r="T212" s="1268">
        <f>IF((T104&lt;=0)+((T203/(T104/T113))&gt;100),"NM",T203/(T104/T113))</f>
        <v>54.659458094697506</v>
      </c>
      <c r="U212" s="1268" t="str">
        <f t="shared" si="337"/>
        <v>NM</v>
      </c>
      <c r="V212" s="1268">
        <f>IF((V104&lt;=0)+((V203/(V104/V113))&gt;100),"NM",V203/(V104/V113))</f>
        <v>65.230002029158314</v>
      </c>
      <c r="W212" s="1268">
        <f t="shared" si="337"/>
        <v>18.187354080920425</v>
      </c>
      <c r="X212" s="1268">
        <f t="shared" ref="X212" si="338">IF((X104&lt;=0)+((X203/(X104/X113))&gt;100),"NM",X203/(X104/X113))</f>
        <v>18.620891961564169</v>
      </c>
      <c r="Y212" s="1268">
        <f t="shared" ca="1" si="337"/>
        <v>24.947121067205149</v>
      </c>
      <c r="Z212" s="1268">
        <f t="shared" ref="Z212:AE212" ca="1" si="339">IF((Z104&lt;=0)+((Z203/(Z104/Z113))&gt;100),"NM",Z203/(Z104/Z113))</f>
        <v>16.621936767539047</v>
      </c>
      <c r="AA212" s="1268">
        <f t="shared" ca="1" si="339"/>
        <v>12.385384823220827</v>
      </c>
      <c r="AB212" s="1268">
        <f t="shared" ca="1" si="339"/>
        <v>9.3368732963382364</v>
      </c>
      <c r="AC212" s="1268">
        <f t="shared" ca="1" si="339"/>
        <v>9.1515271203988675</v>
      </c>
      <c r="AD212" s="1268">
        <f t="shared" ca="1" si="339"/>
        <v>8.7107976156459532</v>
      </c>
      <c r="AE212" s="1268">
        <f t="shared" ca="1" si="339"/>
        <v>8.31975673868582</v>
      </c>
      <c r="AF212" s="1268">
        <f t="shared" ref="AF212:AH212" ca="1" si="340">IF((AF104&lt;=0)+((AF203/(AF104/AF113))&gt;100),"NM",AF203/(AF104/AF113))</f>
        <v>7.9377343643409528</v>
      </c>
      <c r="AG212" s="1268">
        <f t="shared" ca="1" si="340"/>
        <v>7.5863961669572673</v>
      </c>
      <c r="AH212" s="1268">
        <f t="shared" ca="1" si="340"/>
        <v>7.2625656073144711</v>
      </c>
      <c r="AI212" s="1268"/>
      <c r="AJ212" s="1243"/>
      <c r="AK212" s="1243"/>
      <c r="AL212" s="1243"/>
      <c r="AM212" s="1243"/>
      <c r="AN212" s="1243"/>
      <c r="AP212" s="9"/>
      <c r="AQ212" s="9"/>
    </row>
    <row r="213" spans="1:43">
      <c r="A213" s="98" t="s">
        <v>92</v>
      </c>
      <c r="B213" s="605"/>
      <c r="C213" s="605"/>
      <c r="D213" s="605">
        <f t="shared" ref="D213:Q213" si="341">D198</f>
        <v>1.0562565390594314</v>
      </c>
      <c r="E213" s="605">
        <f t="shared" si="341"/>
        <v>1.9622642568399018</v>
      </c>
      <c r="F213" s="605">
        <f t="shared" si="341"/>
        <v>2.4236383860123181</v>
      </c>
      <c r="G213" s="605">
        <f t="shared" si="341"/>
        <v>3.8041867818993813</v>
      </c>
      <c r="H213" s="605">
        <f t="shared" si="341"/>
        <v>2.793131437275874</v>
      </c>
      <c r="I213" s="605">
        <f t="shared" si="341"/>
        <v>0.99801439472071241</v>
      </c>
      <c r="J213" s="605">
        <f t="shared" si="341"/>
        <v>1.8952447389438658</v>
      </c>
      <c r="K213" s="605">
        <f t="shared" si="341"/>
        <v>2.5557004294098262</v>
      </c>
      <c r="L213" s="605">
        <f t="shared" si="341"/>
        <v>2.7204433065619193</v>
      </c>
      <c r="M213" s="605">
        <f t="shared" si="341"/>
        <v>3.8264277071521948</v>
      </c>
      <c r="N213" s="605">
        <f t="shared" si="341"/>
        <v>6.5665371315019545</v>
      </c>
      <c r="O213" s="605">
        <f t="shared" si="341"/>
        <v>3.8805062835449671</v>
      </c>
      <c r="P213" s="605">
        <f t="shared" si="341"/>
        <v>5.5268325137714962</v>
      </c>
      <c r="Q213" s="605">
        <f t="shared" si="341"/>
        <v>5.5550570369770993</v>
      </c>
      <c r="R213" s="605">
        <f>R198</f>
        <v>5.6665044111822462</v>
      </c>
      <c r="S213" s="605">
        <f t="shared" ref="S213:Z213" si="342">S203/(S140/S113)</f>
        <v>3.8574577078865859</v>
      </c>
      <c r="T213" s="605">
        <f>T203/(T140/T113)</f>
        <v>4.360971059591078</v>
      </c>
      <c r="U213" s="605">
        <f t="shared" si="342"/>
        <v>3.4443327824097074</v>
      </c>
      <c r="V213" s="605">
        <f>V203/(V140/V113)</f>
        <v>4.1660136721731158</v>
      </c>
      <c r="W213" s="605">
        <f t="shared" si="342"/>
        <v>3.9676723156232576</v>
      </c>
      <c r="X213" s="605">
        <f t="shared" ref="X213" si="343">X203/(X140/X113)</f>
        <v>6.2029515580825159</v>
      </c>
      <c r="Y213" s="606">
        <f t="shared" ca="1" si="342"/>
        <v>4.8587528523437413</v>
      </c>
      <c r="Z213" s="606">
        <f t="shared" ca="1" si="342"/>
        <v>3.8811885189701352</v>
      </c>
      <c r="AA213" s="606">
        <f ca="1">AA203/(AA140/AA113)</f>
        <v>2.9925759506725313</v>
      </c>
      <c r="AB213" s="606">
        <f ca="1">AB203/(AB140/AB113)</f>
        <v>2.2783612051134483</v>
      </c>
      <c r="AC213" s="606">
        <f ca="1">AC203/(AC140/AC113)</f>
        <v>1.8193937957428323</v>
      </c>
      <c r="AD213" s="606">
        <f ca="1">AD203/(AD140/AD113)</f>
        <v>1.4944849653376047</v>
      </c>
      <c r="AE213" s="606">
        <f ca="1">AE203/(AE140/AE113)</f>
        <v>1.2551590195669418</v>
      </c>
      <c r="AF213" s="606">
        <f t="shared" ref="AF213:AH213" ca="1" si="344">AF203/(AF140/AF113)</f>
        <v>1.0723200556185921</v>
      </c>
      <c r="AG213" s="606">
        <f t="shared" ca="1" si="344"/>
        <v>0.9289946779977073</v>
      </c>
      <c r="AH213" s="606">
        <f t="shared" ca="1" si="344"/>
        <v>0.81423553004031757</v>
      </c>
      <c r="AI213" s="605"/>
      <c r="AJ213" s="1133"/>
      <c r="AK213" s="1133"/>
      <c r="AL213" s="1133"/>
      <c r="AM213" s="1133"/>
      <c r="AN213" s="1133"/>
    </row>
    <row r="214" spans="1:43">
      <c r="A214" s="90" t="s">
        <v>99</v>
      </c>
      <c r="B214" s="117"/>
      <c r="C214" s="117"/>
      <c r="D214" s="117"/>
      <c r="E214" s="117"/>
      <c r="F214" s="117"/>
      <c r="G214" s="117"/>
      <c r="H214" s="117"/>
      <c r="I214" s="117"/>
      <c r="J214" s="117"/>
      <c r="K214" s="117">
        <f t="shared" ref="K214:W214" si="345">+K173/K204</f>
        <v>-1.3519197260109634E-3</v>
      </c>
      <c r="L214" s="117">
        <f t="shared" si="345"/>
        <v>-4.0963136492220623E-2</v>
      </c>
      <c r="M214" s="117">
        <f t="shared" si="345"/>
        <v>-0.10932503264796224</v>
      </c>
      <c r="N214" s="117">
        <f t="shared" si="345"/>
        <v>-6.7958325305567308E-2</v>
      </c>
      <c r="O214" s="117">
        <f t="shared" si="345"/>
        <v>-0.30371274644094493</v>
      </c>
      <c r="P214" s="117">
        <f t="shared" si="345"/>
        <v>-1.1719707228269675E-2</v>
      </c>
      <c r="Q214" s="117">
        <f t="shared" si="345"/>
        <v>-9.6904546734552406E-3</v>
      </c>
      <c r="R214" s="117">
        <f t="shared" si="345"/>
        <v>6.6869392651781592E-3</v>
      </c>
      <c r="S214" s="117">
        <f t="shared" si="345"/>
        <v>-0.29011528525109648</v>
      </c>
      <c r="T214" s="117">
        <f>+T173/T204</f>
        <v>0.111287931740727</v>
      </c>
      <c r="U214" s="117">
        <f t="shared" si="345"/>
        <v>-0.15338698447378291</v>
      </c>
      <c r="V214" s="117">
        <f>+V173/V204</f>
        <v>9.94822916794319E-2</v>
      </c>
      <c r="W214" s="117">
        <f t="shared" si="345"/>
        <v>7.6500337466749613E-2</v>
      </c>
      <c r="X214" s="117">
        <f t="shared" ref="X214" si="346">+X173/X204</f>
        <v>3.1254879658948208E-2</v>
      </c>
      <c r="Y214" s="589">
        <f t="shared" ref="Y214:AE214" ca="1" si="347">+Y173/Y204</f>
        <v>-0.1013382060621825</v>
      </c>
      <c r="Z214" s="589">
        <f t="shared" ca="1" si="347"/>
        <v>3.6394515580235931E-2</v>
      </c>
      <c r="AA214" s="589">
        <f t="shared" ca="1" si="347"/>
        <v>8.3432877968068489E-2</v>
      </c>
      <c r="AB214" s="589">
        <f t="shared" ca="1" si="347"/>
        <v>0.10932447981576143</v>
      </c>
      <c r="AC214" s="589">
        <f t="shared" ca="1" si="347"/>
        <v>8.6247160435671794E-2</v>
      </c>
      <c r="AD214" s="589">
        <f t="shared" ca="1" si="347"/>
        <v>8.8021662933356379E-2</v>
      </c>
      <c r="AE214" s="589">
        <f t="shared" ca="1" si="347"/>
        <v>0.10052443130953424</v>
      </c>
      <c r="AF214" s="589">
        <f t="shared" ref="AF214:AH214" ca="1" si="348">+AF173/AF204</f>
        <v>0.10790989281121947</v>
      </c>
      <c r="AG214" s="589">
        <f t="shared" ca="1" si="348"/>
        <v>0.11571063505408034</v>
      </c>
      <c r="AH214" s="589">
        <f t="shared" ca="1" si="348"/>
        <v>0.12682475333888235</v>
      </c>
      <c r="AI214" s="605"/>
      <c r="AJ214" s="1133"/>
      <c r="AK214" s="1133"/>
      <c r="AL214" s="1133"/>
      <c r="AM214" s="1133"/>
      <c r="AN214" s="1133"/>
    </row>
    <row r="215" spans="1:43">
      <c r="A215" s="90" t="s">
        <v>247</v>
      </c>
      <c r="B215" s="117"/>
      <c r="C215" s="117"/>
      <c r="D215" s="117">
        <f t="shared" ref="D215:Q215" si="349">-C156/D204</f>
        <v>8.4061906309369043E-3</v>
      </c>
      <c r="E215" s="117">
        <f t="shared" si="349"/>
        <v>1.665544028853937E-2</v>
      </c>
      <c r="F215" s="117">
        <f t="shared" si="349"/>
        <v>1.8270563166701528E-2</v>
      </c>
      <c r="G215" s="117">
        <f t="shared" si="349"/>
        <v>1.0314149194123519E-2</v>
      </c>
      <c r="H215" s="117">
        <f t="shared" si="349"/>
        <v>2.0027437889704749E-2</v>
      </c>
      <c r="I215" s="117">
        <f t="shared" si="349"/>
        <v>2.2680467517184201E-2</v>
      </c>
      <c r="J215" s="117">
        <f t="shared" si="349"/>
        <v>0</v>
      </c>
      <c r="K215" s="117">
        <f t="shared" si="349"/>
        <v>5.7127484664587355E-3</v>
      </c>
      <c r="L215" s="117">
        <f t="shared" si="349"/>
        <v>3.0198756482791137E-2</v>
      </c>
      <c r="M215" s="117">
        <f t="shared" si="349"/>
        <v>7.0902297757508455E-3</v>
      </c>
      <c r="N215" s="117">
        <f t="shared" si="349"/>
        <v>0</v>
      </c>
      <c r="O215" s="117">
        <f t="shared" si="349"/>
        <v>1.0069942995615208E-2</v>
      </c>
      <c r="P215" s="117">
        <f t="shared" si="349"/>
        <v>0</v>
      </c>
      <c r="Q215" s="117">
        <f t="shared" si="349"/>
        <v>8.4683092406336383E-3</v>
      </c>
      <c r="R215" s="117">
        <f t="shared" ref="R215:X215" si="350">-R156/R204</f>
        <v>1.3419767772082538E-2</v>
      </c>
      <c r="S215" s="117">
        <f t="shared" si="350"/>
        <v>1.684904449925528E-2</v>
      </c>
      <c r="T215" s="117">
        <f t="shared" si="350"/>
        <v>0</v>
      </c>
      <c r="U215" s="117">
        <f t="shared" si="350"/>
        <v>0</v>
      </c>
      <c r="V215" s="117">
        <f t="shared" si="350"/>
        <v>0</v>
      </c>
      <c r="W215" s="117">
        <f t="shared" si="350"/>
        <v>0</v>
      </c>
      <c r="X215" s="117">
        <f t="shared" si="350"/>
        <v>0</v>
      </c>
      <c r="Y215" s="589">
        <f ca="1">-Y156/Y204</f>
        <v>2.6667130197682347E-2</v>
      </c>
      <c r="Z215" s="589">
        <f t="shared" ref="Z215:AH215" ca="1" si="351">-Z156/Z204</f>
        <v>0</v>
      </c>
      <c r="AA215" s="589">
        <f t="shared" ca="1" si="351"/>
        <v>0</v>
      </c>
      <c r="AB215" s="589">
        <f t="shared" ca="1" si="351"/>
        <v>0</v>
      </c>
      <c r="AC215" s="589">
        <f t="shared" ca="1" si="351"/>
        <v>0</v>
      </c>
      <c r="AD215" s="589">
        <f t="shared" ca="1" si="351"/>
        <v>0</v>
      </c>
      <c r="AE215" s="589">
        <f t="shared" ca="1" si="351"/>
        <v>0</v>
      </c>
      <c r="AF215" s="589">
        <f t="shared" ca="1" si="351"/>
        <v>0</v>
      </c>
      <c r="AG215" s="589">
        <f t="shared" ca="1" si="351"/>
        <v>0</v>
      </c>
      <c r="AH215" s="589">
        <f t="shared" ca="1" si="351"/>
        <v>0</v>
      </c>
      <c r="AI215" s="605"/>
      <c r="AJ215" s="1133"/>
      <c r="AK215" s="1133"/>
      <c r="AL215" s="1133"/>
      <c r="AM215" s="1133"/>
      <c r="AN215" s="1133"/>
    </row>
    <row r="216" spans="1:43">
      <c r="A216" s="126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216" s="12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 t="s">
        <v>281</v>
      </c>
      <c r="AI216" s="467"/>
      <c r="AJ216" s="1133"/>
      <c r="AK216" s="1133"/>
      <c r="AL216" s="1133"/>
      <c r="AM216" s="1133"/>
      <c r="AN216" s="1133"/>
    </row>
    <row r="217" spans="1:43">
      <c r="A217" s="103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988"/>
      <c r="W217" s="988"/>
      <c r="X217" s="988"/>
      <c r="Y217" s="118"/>
      <c r="Z217" s="988"/>
      <c r="AA217" s="988"/>
      <c r="AB217" s="988"/>
      <c r="AC217" s="988"/>
      <c r="AD217" s="988"/>
      <c r="AE217" s="988"/>
      <c r="AF217" s="988"/>
      <c r="AG217" s="988"/>
      <c r="AH217" s="988"/>
      <c r="AI217" s="988"/>
      <c r="AJ217" s="1133"/>
      <c r="AK217" s="1133"/>
      <c r="AL217" s="1133"/>
      <c r="AM217" s="1133"/>
      <c r="AN217" s="1133"/>
    </row>
    <row r="218" spans="1:43">
      <c r="AI218" s="40"/>
      <c r="AJ218" s="1133"/>
      <c r="AK218" s="1133"/>
      <c r="AL218" s="1133"/>
      <c r="AM218" s="1133"/>
      <c r="AN218" s="1133"/>
    </row>
    <row r="219" spans="1:43">
      <c r="AI219" s="40"/>
      <c r="AJ219" s="1133"/>
      <c r="AK219" s="1133"/>
      <c r="AL219" s="1133"/>
      <c r="AM219" s="1133"/>
      <c r="AN219" s="1133"/>
    </row>
    <row r="220" spans="1:43">
      <c r="AI220" s="1633"/>
      <c r="AJ220" s="1133"/>
      <c r="AK220" s="1133"/>
      <c r="AL220" s="1133"/>
      <c r="AM220" s="1133"/>
      <c r="AN220" s="1133"/>
    </row>
    <row r="221" spans="1:43" hidden="1" outlineLevel="1">
      <c r="AI221" s="1634"/>
      <c r="AJ221" s="1133"/>
      <c r="AK221" s="1133"/>
      <c r="AL221" s="1133"/>
      <c r="AM221" s="1133"/>
      <c r="AN221" s="1133"/>
    </row>
    <row r="222" spans="1:43" hidden="1" outlineLevel="1">
      <c r="AI222" s="1634"/>
      <c r="AJ222" s="1133"/>
      <c r="AK222" s="1133"/>
      <c r="AL222" s="1133"/>
      <c r="AM222" s="1133"/>
      <c r="AN222" s="1133"/>
    </row>
    <row r="223" spans="1:43" hidden="1" outlineLevel="1">
      <c r="AI223" s="1634"/>
      <c r="AJ223" s="1133"/>
      <c r="AK223" s="1133"/>
      <c r="AL223" s="1133"/>
      <c r="AM223" s="1133"/>
      <c r="AN223" s="1133"/>
    </row>
    <row r="224" spans="1:43" hidden="1" outlineLevel="1">
      <c r="AI224" s="1634"/>
      <c r="AJ224" s="1133"/>
      <c r="AK224" s="1133"/>
      <c r="AL224" s="1133"/>
      <c r="AM224" s="1133"/>
      <c r="AN224" s="1133"/>
    </row>
    <row r="225" spans="35:40" hidden="1" outlineLevel="1">
      <c r="AI225" s="1634"/>
      <c r="AJ225" s="1133"/>
      <c r="AK225" s="1133"/>
      <c r="AL225" s="1133"/>
      <c r="AM225" s="1133"/>
      <c r="AN225" s="1133"/>
    </row>
    <row r="226" spans="35:40" hidden="1" outlineLevel="1">
      <c r="AI226" s="1634"/>
      <c r="AJ226" s="1133"/>
      <c r="AK226" s="1133"/>
      <c r="AL226" s="1133"/>
      <c r="AM226" s="1133"/>
      <c r="AN226" s="1133"/>
    </row>
    <row r="227" spans="35:40" hidden="1" outlineLevel="1">
      <c r="AI227" s="1634"/>
      <c r="AJ227" s="1133"/>
      <c r="AK227" s="1133"/>
      <c r="AL227" s="1133"/>
      <c r="AM227" s="1133"/>
      <c r="AN227" s="1133"/>
    </row>
    <row r="228" spans="35:40" hidden="1" outlineLevel="1">
      <c r="AI228" s="1634"/>
      <c r="AJ228" s="1133"/>
      <c r="AK228" s="1133"/>
      <c r="AL228" s="1133"/>
      <c r="AM228" s="1133"/>
      <c r="AN228" s="1133"/>
    </row>
    <row r="229" spans="35:40" hidden="1" outlineLevel="1">
      <c r="AI229" s="1634"/>
      <c r="AJ229" s="1133"/>
      <c r="AK229" s="1133"/>
      <c r="AL229" s="1133"/>
      <c r="AM229" s="1133"/>
      <c r="AN229" s="1133"/>
    </row>
    <row r="230" spans="35:40" hidden="1" outlineLevel="1">
      <c r="AI230" s="1634"/>
      <c r="AJ230" s="1133"/>
      <c r="AK230" s="1133"/>
      <c r="AL230" s="1133"/>
      <c r="AM230" s="1133"/>
      <c r="AN230" s="1133"/>
    </row>
    <row r="231" spans="35:40" hidden="1" outlineLevel="1">
      <c r="AI231" s="1634"/>
      <c r="AJ231" s="1133"/>
      <c r="AK231" s="1133"/>
      <c r="AL231" s="1133"/>
      <c r="AM231" s="1133"/>
      <c r="AN231" s="1133"/>
    </row>
    <row r="232" spans="35:40" hidden="1" outlineLevel="1">
      <c r="AI232" s="1635"/>
      <c r="AJ232" s="1133"/>
      <c r="AK232" s="1133"/>
      <c r="AL232" s="1133"/>
      <c r="AM232" s="1133"/>
      <c r="AN232" s="1133"/>
    </row>
    <row r="233" spans="35:40" hidden="1" outlineLevel="2">
      <c r="AI233" s="1634"/>
      <c r="AJ233" s="1133"/>
      <c r="AK233" s="1133"/>
      <c r="AL233" s="1133"/>
      <c r="AM233" s="1133"/>
      <c r="AN233" s="1133"/>
    </row>
    <row r="234" spans="35:40" hidden="1" outlineLevel="1">
      <c r="AI234" s="1634"/>
      <c r="AJ234" s="1133"/>
      <c r="AK234" s="1133"/>
      <c r="AL234" s="1133"/>
      <c r="AM234" s="1133"/>
      <c r="AN234" s="1133"/>
    </row>
    <row r="235" spans="35:40" hidden="1" outlineLevel="1">
      <c r="AI235" s="1634"/>
      <c r="AJ235" s="1133"/>
      <c r="AK235" s="1133"/>
      <c r="AL235" s="1133"/>
      <c r="AM235" s="1133"/>
      <c r="AN235" s="1133"/>
    </row>
    <row r="236" spans="35:40" hidden="1" outlineLevel="1">
      <c r="AI236" s="1634"/>
      <c r="AJ236" s="1133"/>
      <c r="AK236" s="1133"/>
      <c r="AL236" s="1133"/>
      <c r="AM236" s="1133"/>
      <c r="AN236" s="1133"/>
    </row>
    <row r="237" spans="35:40" hidden="1" outlineLevel="1">
      <c r="AI237" s="1634"/>
      <c r="AJ237" s="1133"/>
      <c r="AK237" s="1133"/>
      <c r="AL237" s="1133"/>
      <c r="AM237" s="1133"/>
      <c r="AN237" s="1133"/>
    </row>
    <row r="238" spans="35:40" hidden="1" outlineLevel="1">
      <c r="AI238" s="1634"/>
      <c r="AJ238" s="1133"/>
      <c r="AK238" s="1133"/>
      <c r="AL238" s="1133"/>
      <c r="AM238" s="1133"/>
      <c r="AN238" s="1133"/>
    </row>
    <row r="239" spans="35:40" hidden="1" outlineLevel="1">
      <c r="AI239" s="1634"/>
      <c r="AJ239" s="1133"/>
      <c r="AK239" s="1133"/>
      <c r="AL239" s="1133"/>
      <c r="AM239" s="1133"/>
      <c r="AN239" s="1133"/>
    </row>
    <row r="240" spans="35:40" hidden="1" outlineLevel="1">
      <c r="AI240" s="1634"/>
      <c r="AJ240" s="1133"/>
      <c r="AK240" s="1133"/>
      <c r="AL240" s="1133"/>
      <c r="AM240" s="1133"/>
      <c r="AN240" s="1133"/>
    </row>
    <row r="241" spans="35:47" hidden="1" outlineLevel="1">
      <c r="AI241" s="1634"/>
      <c r="AJ241" s="1133"/>
      <c r="AK241" s="1133"/>
      <c r="AL241" s="1133"/>
      <c r="AM241" s="1133"/>
      <c r="AN241" s="1133"/>
    </row>
    <row r="242" spans="35:47" hidden="1" outlineLevel="1">
      <c r="AI242" s="1634"/>
      <c r="AJ242" s="1133"/>
      <c r="AK242" s="1133"/>
      <c r="AL242" s="1133"/>
      <c r="AM242" s="1133"/>
      <c r="AN242" s="1133"/>
    </row>
    <row r="243" spans="35:47" hidden="1" outlineLevel="1">
      <c r="AI243" s="1634"/>
      <c r="AJ243" s="1133"/>
      <c r="AK243" s="1133"/>
      <c r="AL243" s="1133"/>
      <c r="AM243" s="1133"/>
      <c r="AN243" s="1133"/>
    </row>
    <row r="244" spans="35:47" hidden="1" outlineLevel="1">
      <c r="AI244" s="1634"/>
      <c r="AJ244" s="1133"/>
      <c r="AK244" s="1133"/>
      <c r="AL244" s="1133"/>
      <c r="AM244" s="1133"/>
      <c r="AN244" s="1133"/>
    </row>
    <row r="245" spans="35:47" hidden="1" outlineLevel="1">
      <c r="AI245" s="40"/>
      <c r="AJ245" s="1133"/>
      <c r="AK245" s="1133"/>
      <c r="AL245" s="1133"/>
      <c r="AM245" s="1133"/>
      <c r="AN245" s="1133"/>
      <c r="AO245" s="262"/>
      <c r="AP245" s="262"/>
      <c r="AQ245" s="262"/>
      <c r="AR245" s="262"/>
      <c r="AS245" s="262"/>
      <c r="AT245" s="262"/>
      <c r="AU245" s="262"/>
    </row>
    <row r="246" spans="35:47" hidden="1" outlineLevel="1">
      <c r="AI246" s="40"/>
      <c r="AJ246" s="1133"/>
      <c r="AK246" s="1133"/>
      <c r="AL246" s="1133"/>
      <c r="AM246" s="1133"/>
      <c r="AN246" s="1133"/>
      <c r="AO246" s="262"/>
      <c r="AP246" s="262"/>
      <c r="AQ246" s="262"/>
      <c r="AR246" s="262"/>
      <c r="AS246" s="262"/>
      <c r="AT246" s="262"/>
      <c r="AU246" s="262"/>
    </row>
    <row r="247" spans="35:47" hidden="1" outlineLevel="1">
      <c r="AI247" s="40"/>
      <c r="AJ247" s="1133"/>
      <c r="AK247" s="1133"/>
      <c r="AL247" s="1133"/>
      <c r="AM247" s="1133"/>
      <c r="AN247" s="1133"/>
      <c r="AO247" s="262"/>
      <c r="AP247" s="262"/>
      <c r="AQ247" s="262"/>
      <c r="AR247" s="262"/>
      <c r="AS247" s="262"/>
      <c r="AT247" s="262"/>
      <c r="AU247" s="262"/>
    </row>
    <row r="248" spans="35:47" hidden="1" outlineLevel="1">
      <c r="AI248" s="40"/>
      <c r="AJ248" s="1133"/>
      <c r="AK248" s="1133"/>
      <c r="AL248" s="1133"/>
      <c r="AM248" s="1133"/>
      <c r="AN248" s="1133"/>
      <c r="AO248" s="262"/>
      <c r="AP248" s="262"/>
      <c r="AQ248" s="262"/>
      <c r="AR248" s="262"/>
      <c r="AS248" s="262"/>
      <c r="AT248" s="262"/>
      <c r="AU248" s="262"/>
    </row>
    <row r="249" spans="35:47" hidden="1" outlineLevel="1">
      <c r="AI249" s="40"/>
      <c r="AJ249" s="1133"/>
      <c r="AK249" s="1133"/>
      <c r="AL249" s="1133"/>
      <c r="AM249" s="1133"/>
      <c r="AN249" s="1133"/>
    </row>
    <row r="250" spans="35:47" hidden="1" outlineLevel="1">
      <c r="AI250" s="40"/>
    </row>
    <row r="251" spans="35:47" hidden="1" outlineLevel="1">
      <c r="AI251" s="40"/>
    </row>
    <row r="252" spans="35:47" hidden="1" outlineLevel="1">
      <c r="AI252" s="40"/>
    </row>
    <row r="253" spans="35:47" hidden="1" outlineLevel="1"/>
    <row r="254" spans="35:47" hidden="1" outlineLevel="1"/>
    <row r="255" spans="35:47" hidden="1" outlineLevel="1"/>
    <row r="256" spans="35:47" hidden="1" outlineLevel="1"/>
    <row r="257" spans="1:34" hidden="1" outlineLevel="1"/>
    <row r="258" spans="1:34" hidden="1" outlineLevel="1"/>
    <row r="259" spans="1:34" hidden="1" outlineLevel="1"/>
    <row r="260" spans="1:34" hidden="1" outlineLevel="1"/>
    <row r="261" spans="1:34" hidden="1" outlineLevel="1"/>
    <row r="262" spans="1:34" hidden="1" outlineLevel="1"/>
    <row r="263" spans="1:34" hidden="1" outlineLevel="1"/>
    <row r="264" spans="1:34" collapsed="1"/>
    <row r="267" spans="1:34">
      <c r="A267" s="98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</row>
    <row r="268" spans="1:34">
      <c r="A268" s="1237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</row>
    <row r="269" spans="1:34">
      <c r="A269" s="98"/>
      <c r="B269" s="1389"/>
      <c r="C269" s="1389"/>
      <c r="D269" s="1389"/>
      <c r="E269" s="1389"/>
      <c r="F269" s="1389"/>
      <c r="G269" s="1389"/>
      <c r="H269" s="1389"/>
      <c r="I269" s="1389"/>
      <c r="J269" s="1389"/>
      <c r="K269" s="1389"/>
      <c r="L269" s="1389"/>
      <c r="M269" s="1389"/>
      <c r="N269" s="1389"/>
      <c r="O269" s="1389"/>
      <c r="P269" s="1389"/>
      <c r="Q269" s="1389"/>
      <c r="R269" s="1389"/>
      <c r="S269" s="1389"/>
      <c r="T269" s="1389"/>
      <c r="U269" s="1389"/>
      <c r="V269" s="1389"/>
      <c r="W269" s="1389"/>
      <c r="X269" s="1389"/>
      <c r="Y269" s="1389"/>
      <c r="Z269" s="1389"/>
      <c r="AA269" s="1389"/>
      <c r="AB269" s="1389"/>
      <c r="AC269" s="1389"/>
      <c r="AD269" s="1389"/>
      <c r="AE269" s="1389"/>
      <c r="AF269" s="1389"/>
      <c r="AG269" s="1389"/>
      <c r="AH269" s="1389"/>
    </row>
    <row r="270" spans="1:34">
      <c r="A270" s="1237"/>
      <c r="B270" s="1966"/>
      <c r="C270" s="1966"/>
      <c r="D270" s="1966"/>
      <c r="E270" s="1966"/>
      <c r="F270" s="1966"/>
      <c r="G270" s="1966"/>
      <c r="H270" s="1966"/>
      <c r="I270" s="1966"/>
      <c r="J270" s="1966"/>
      <c r="K270" s="1966"/>
      <c r="L270" s="1966"/>
      <c r="M270" s="1966"/>
      <c r="N270" s="1966"/>
      <c r="O270" s="1966"/>
      <c r="P270" s="1966"/>
      <c r="Q270" s="1966"/>
      <c r="R270" s="1966"/>
      <c r="S270" s="1966"/>
      <c r="T270" s="1966"/>
      <c r="U270" s="1966"/>
      <c r="V270" s="1966"/>
      <c r="W270" s="1966"/>
      <c r="X270" s="1966"/>
      <c r="Y270" s="1966"/>
      <c r="Z270" s="1966"/>
      <c r="AA270" s="1966"/>
      <c r="AB270" s="1966"/>
      <c r="AC270" s="1966"/>
      <c r="AD270" s="1966"/>
      <c r="AE270" s="1966"/>
      <c r="AF270" s="1966"/>
      <c r="AG270" s="1966"/>
      <c r="AH270" s="1966"/>
    </row>
  </sheetData>
  <phoneticPr fontId="18" type="noConversion"/>
  <pageMargins left="0.75" right="0.25" top="0.5" bottom="0.5" header="0.5" footer="0.5"/>
  <pageSetup scale="37" fitToHeight="2" orientation="landscape" r:id="rId1"/>
  <headerFooter alignWithMargins="0"/>
  <rowBreaks count="1" manualBreakCount="1">
    <brk id="149" max="25" man="1"/>
  </rowBreaks>
  <ignoredErrors>
    <ignoredError sqref="L97 J217:K217 L209:M209 L130:O131 L134 M133:O134 L143:O143 M97:O97 L203 L216:O217 L117:O117 M157:N157 R217:V217 L60:O60 L122:L124 M122:O125 M151:N151 M203:M204 M93:N93 J186:O186 L120:M120 R71:S71 L205:M205 O100 M100 R130:S131 R133:S133 S143 R97:S97 R117 R60:S60 R122:V122 R186:V186 R100:S100 U134:V134 L213:M213 U117:V117 U110:V110 U60:V60 U71:W71 U97:V97 U100:V100 U130:V131 U133:V133 R123:S125 U123:V125 Y71:Z71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indexed="8"/>
    <pageSetUpPr fitToPage="1"/>
  </sheetPr>
  <dimension ref="A1"/>
  <sheetViews>
    <sheetView showGridLines="0" workbookViewId="0"/>
  </sheetViews>
  <sheetFormatPr baseColWidth="10" defaultColWidth="9.42578125" defaultRowHeight="11.25"/>
  <cols>
    <col min="1" max="16384" width="9.42578125" style="9"/>
  </cols>
  <sheetData/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0000"/>
    <pageSetUpPr fitToPage="1"/>
  </sheetPr>
  <dimension ref="A1:AM99"/>
  <sheetViews>
    <sheetView showGridLines="0" zoomScaleNormal="10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P12" sqref="P12"/>
    </sheetView>
  </sheetViews>
  <sheetFormatPr baseColWidth="10" defaultColWidth="9.42578125" defaultRowHeight="11.25" outlineLevelRow="1" outlineLevelCol="1"/>
  <cols>
    <col min="1" max="1" width="18.42578125" style="9" customWidth="1"/>
    <col min="2" max="2" width="7.42578125" style="9" customWidth="1"/>
    <col min="3" max="14" width="7.42578125" style="9" hidden="1" customWidth="1" outlineLevel="1"/>
    <col min="15" max="15" width="7.42578125" style="9" customWidth="1" collapsed="1"/>
    <col min="16" max="26" width="7.42578125" style="9" customWidth="1"/>
    <col min="27" max="34" width="7.42578125" style="9" hidden="1" customWidth="1" outlineLevel="1"/>
    <col min="35" max="35" width="7.42578125" style="9" customWidth="1" collapsed="1"/>
    <col min="36" max="36" width="7.42578125" style="9" customWidth="1"/>
    <col min="37" max="37" width="9" style="9" customWidth="1"/>
    <col min="38" max="16384" width="9.42578125" style="9"/>
  </cols>
  <sheetData>
    <row r="1" spans="1:38" ht="18">
      <c r="A1" s="24" t="str">
        <f>Index!G12</f>
        <v>Alsea</v>
      </c>
      <c r="B1" s="130"/>
      <c r="C1" s="130"/>
      <c r="D1" s="130"/>
      <c r="E1" s="130"/>
      <c r="F1" s="130"/>
      <c r="G1" s="130"/>
      <c r="H1" s="130"/>
      <c r="I1" s="130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409"/>
      <c r="Z1" s="409"/>
      <c r="AA1" s="409"/>
      <c r="AB1" s="409"/>
      <c r="AC1" s="409"/>
      <c r="AD1" s="409"/>
      <c r="AE1" s="409"/>
      <c r="AF1" s="409"/>
      <c r="AG1" s="409"/>
      <c r="AH1" s="409"/>
      <c r="AI1" s="409"/>
    </row>
    <row r="2" spans="1:38" ht="12.75">
      <c r="A2" s="551" t="s">
        <v>417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409"/>
      <c r="Z2" s="409"/>
      <c r="AA2" s="409"/>
      <c r="AB2" s="409"/>
      <c r="AC2" s="409"/>
      <c r="AD2" s="409"/>
      <c r="AE2" s="409"/>
      <c r="AF2" s="409"/>
      <c r="AG2" s="409"/>
      <c r="AH2" s="409"/>
      <c r="AI2" s="131" t="s">
        <v>317</v>
      </c>
    </row>
    <row r="3" spans="1:38">
      <c r="A3" s="158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30"/>
      <c r="AG3" s="230"/>
      <c r="AH3" s="230"/>
      <c r="AI3" s="230"/>
    </row>
    <row r="4" spans="1:38">
      <c r="A4" s="130" t="str">
        <f>CONCATENATE(" Multiples (",Inputs!A5,")")</f>
        <v xml:space="preserve"> Multiples (Bear Scenario)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>
        <v>2025</v>
      </c>
      <c r="AA4" s="130"/>
      <c r="AB4" s="130"/>
      <c r="AC4" s="130"/>
      <c r="AD4" s="130"/>
      <c r="AE4" s="130"/>
      <c r="AF4" s="130"/>
      <c r="AG4" s="130"/>
      <c r="AH4" s="130"/>
      <c r="AI4" s="130"/>
      <c r="AJ4" s="158"/>
    </row>
    <row r="5" spans="1:38" ht="12.75">
      <c r="Q5" s="160"/>
      <c r="R5" s="160" t="s">
        <v>1620</v>
      </c>
      <c r="S5" s="160"/>
      <c r="U5" s="160"/>
      <c r="V5" s="160" t="s">
        <v>1622</v>
      </c>
      <c r="W5" s="161"/>
      <c r="Z5" s="160" t="s">
        <v>92</v>
      </c>
      <c r="AA5" s="160"/>
      <c r="AB5"/>
      <c r="AC5" s="160"/>
      <c r="AD5" s="160" t="s">
        <v>1621</v>
      </c>
      <c r="AE5" s="160"/>
      <c r="AF5"/>
      <c r="AG5" s="160"/>
      <c r="AH5" s="160" t="s">
        <v>1623</v>
      </c>
      <c r="AI5" s="160"/>
    </row>
    <row r="6" spans="1:38" ht="12.75">
      <c r="B6" s="190" t="s">
        <v>486</v>
      </c>
      <c r="C6" s="1404"/>
      <c r="D6" s="1404"/>
      <c r="E6" s="1404"/>
      <c r="F6" s="1404"/>
      <c r="G6" s="1404"/>
      <c r="H6" s="1404"/>
      <c r="I6" s="1404"/>
      <c r="K6" s="162"/>
      <c r="O6" s="167"/>
      <c r="Q6" s="1773">
        <f>Financials!X4</f>
        <v>2023</v>
      </c>
      <c r="R6" s="1774">
        <f>Financials!Y4</f>
        <v>2024</v>
      </c>
      <c r="S6" s="576">
        <f>Financials!Z4</f>
        <v>2025</v>
      </c>
      <c r="U6" s="1773">
        <f>+Q6</f>
        <v>2023</v>
      </c>
      <c r="V6" s="1774">
        <f>+R6</f>
        <v>2024</v>
      </c>
      <c r="W6" s="576">
        <f>+S6</f>
        <v>2025</v>
      </c>
      <c r="Y6" s="1773">
        <f>+U6</f>
        <v>2023</v>
      </c>
      <c r="Z6" s="1774">
        <f>+V6</f>
        <v>2024</v>
      </c>
      <c r="AA6" s="576">
        <f>+W6</f>
        <v>2025</v>
      </c>
      <c r="AB6"/>
      <c r="AC6" s="1773">
        <f>Q6</f>
        <v>2023</v>
      </c>
      <c r="AD6" s="1774">
        <f t="shared" ref="AD6:AE6" si="0">R6</f>
        <v>2024</v>
      </c>
      <c r="AE6" s="576">
        <f t="shared" si="0"/>
        <v>2025</v>
      </c>
      <c r="AF6"/>
      <c r="AG6" s="1773">
        <f>Q6</f>
        <v>2023</v>
      </c>
      <c r="AH6" s="1774">
        <f t="shared" ref="AH6:AI6" si="1">R6</f>
        <v>2024</v>
      </c>
      <c r="AI6" s="576">
        <f t="shared" si="1"/>
        <v>2025</v>
      </c>
      <c r="AJ6" s="1454"/>
    </row>
    <row r="7" spans="1:38" ht="12.75">
      <c r="A7" s="159" t="s">
        <v>330</v>
      </c>
      <c r="B7" s="163">
        <f>Index!H36</f>
        <v>61.26</v>
      </c>
      <c r="C7" s="262"/>
      <c r="D7" s="262"/>
      <c r="E7" s="262"/>
      <c r="F7" s="262"/>
      <c r="G7" s="262"/>
      <c r="H7" s="262"/>
      <c r="I7" s="262"/>
      <c r="K7" s="164"/>
      <c r="O7" s="167"/>
      <c r="Q7" s="1775">
        <f>Financials!X195</f>
        <v>7.2163012735314958</v>
      </c>
      <c r="R7" s="1776">
        <f>Financials!Y195</f>
        <v>7.1697345349939141</v>
      </c>
      <c r="S7" s="1775">
        <f>Financials!Z195</f>
        <v>6.550105466988672</v>
      </c>
      <c r="U7" s="1871">
        <f>Financials!X197</f>
        <v>18.620891961564169</v>
      </c>
      <c r="V7" s="1872">
        <f>Financials!Y197</f>
        <v>33.961347479488609</v>
      </c>
      <c r="W7" s="1871">
        <f>Financials!Z197</f>
        <v>22.627996586209822</v>
      </c>
      <c r="Y7" s="1775">
        <f>Financials!X198</f>
        <v>6.2029515580825159</v>
      </c>
      <c r="Z7" s="1776">
        <f>Financials!Y198</f>
        <v>6.6143822163239463</v>
      </c>
      <c r="AA7" s="1775">
        <f>Financials!Z198</f>
        <v>5.2835913038246778</v>
      </c>
      <c r="AB7"/>
      <c r="AC7" s="1775">
        <f>Financials!X194</f>
        <v>6.0291363825781463</v>
      </c>
      <c r="AD7" s="1776">
        <f>Financials!Y194</f>
        <v>6.2337928843256618</v>
      </c>
      <c r="AE7" s="1775">
        <f>Financials!Z194</f>
        <v>5.7840999210287425</v>
      </c>
      <c r="AF7"/>
      <c r="AG7" s="1775">
        <f>Financials!X197</f>
        <v>18.620891961564169</v>
      </c>
      <c r="AH7" s="1776">
        <f>Financials!Y197</f>
        <v>33.961347479488609</v>
      </c>
      <c r="AI7" s="1775">
        <f>Financials!Z197</f>
        <v>22.627996586209822</v>
      </c>
      <c r="AJ7" s="1723"/>
    </row>
    <row r="8" spans="1:38" ht="12.75">
      <c r="A8" s="542" t="str">
        <f>Inputs!A5</f>
        <v>Bear Scenario</v>
      </c>
      <c r="B8" s="442">
        <f ca="1">$X$41</f>
        <v>45</v>
      </c>
      <c r="C8" s="1405"/>
      <c r="D8" s="1405"/>
      <c r="E8" s="1405"/>
      <c r="F8" s="1405"/>
      <c r="G8" s="1405"/>
      <c r="H8" s="1405"/>
      <c r="I8" s="1405"/>
      <c r="J8" s="165"/>
      <c r="K8" s="166"/>
      <c r="L8" s="165"/>
      <c r="O8" s="167"/>
      <c r="Q8" s="1775">
        <f>Financials!X210</f>
        <v>7.2163012735314958</v>
      </c>
      <c r="R8" s="1776">
        <f ca="1">Financials!Y210</f>
        <v>5.9753434980205542</v>
      </c>
      <c r="S8" s="1775">
        <f ca="1">Financials!Z210</f>
        <v>5.4284913237048711</v>
      </c>
      <c r="U8" s="1871">
        <f>Financials!X212</f>
        <v>18.620891961564169</v>
      </c>
      <c r="V8" s="1872">
        <f ca="1">Financials!Y212</f>
        <v>24.947121067205149</v>
      </c>
      <c r="W8" s="1871">
        <f ca="1">Financials!Z212</f>
        <v>16.621936767539047</v>
      </c>
      <c r="Y8" s="1775">
        <f>Financials!X213</f>
        <v>6.2029515580825159</v>
      </c>
      <c r="Z8" s="1776">
        <f ca="1">Financials!Y213</f>
        <v>4.8587528523437413</v>
      </c>
      <c r="AA8" s="1775">
        <f ca="1">Financials!Z213</f>
        <v>3.8811885189701352</v>
      </c>
      <c r="AB8"/>
      <c r="AC8" s="1775">
        <f>Financials!X209</f>
        <v>6.0291363825781463</v>
      </c>
      <c r="AD8" s="1776">
        <f ca="1">Financials!Y209</f>
        <v>5.394241903526086</v>
      </c>
      <c r="AE8" s="1775">
        <f ca="1">Financials!Z209</f>
        <v>4.990477442955692</v>
      </c>
      <c r="AF8"/>
      <c r="AG8" s="1775">
        <f>Financials!X212</f>
        <v>18.620891961564169</v>
      </c>
      <c r="AH8" s="1776">
        <f ca="1">Financials!Y212</f>
        <v>24.947121067205149</v>
      </c>
      <c r="AI8" s="1775">
        <f ca="1">Financials!Z212</f>
        <v>16.621936767539047</v>
      </c>
      <c r="AJ8" s="1454"/>
    </row>
    <row r="9" spans="1:38">
      <c r="A9" s="9" t="s">
        <v>212</v>
      </c>
      <c r="B9" s="37">
        <f ca="1">B8/B7-1</f>
        <v>-0.26542605288932419</v>
      </c>
      <c r="C9" s="37"/>
      <c r="D9" s="37"/>
      <c r="E9" s="37"/>
      <c r="F9" s="37"/>
      <c r="G9" s="37"/>
      <c r="H9" s="37"/>
      <c r="I9" s="37"/>
      <c r="S9" s="37"/>
    </row>
    <row r="10" spans="1:38">
      <c r="Y10" s="92"/>
    </row>
    <row r="11" spans="1:38">
      <c r="A11" s="1450" t="str">
        <f>CONCATENATE("DCF valuation (",Inputs!A5,")")</f>
        <v>DCF valuation (Bear Scenario)</v>
      </c>
      <c r="B11" s="1451"/>
      <c r="C11" s="1451"/>
      <c r="D11" s="1451"/>
      <c r="E11" s="1451"/>
      <c r="F11" s="1451"/>
      <c r="G11" s="1451"/>
      <c r="H11" s="1451"/>
      <c r="I11" s="1451"/>
      <c r="J11" s="1452">
        <v>2009</v>
      </c>
      <c r="K11" s="1452">
        <v>2010</v>
      </c>
      <c r="L11" s="1452">
        <v>2011</v>
      </c>
      <c r="M11" s="1452">
        <v>2012</v>
      </c>
      <c r="N11" s="1452">
        <v>2013</v>
      </c>
      <c r="O11" s="1452">
        <v>2014</v>
      </c>
      <c r="P11" s="1452">
        <v>2015</v>
      </c>
      <c r="Q11" s="1452">
        <v>2016</v>
      </c>
      <c r="R11" s="1452">
        <v>2017</v>
      </c>
      <c r="S11" s="1636">
        <f>Financials!S4</f>
        <v>2018</v>
      </c>
      <c r="T11" s="1636">
        <f>Financials!T4</f>
        <v>2019</v>
      </c>
      <c r="U11" s="1636">
        <v>2020</v>
      </c>
      <c r="V11" s="1636">
        <v>2021</v>
      </c>
      <c r="W11" s="1636">
        <v>2022</v>
      </c>
      <c r="X11" s="1636">
        <v>2023</v>
      </c>
      <c r="Y11" s="1125">
        <v>2024</v>
      </c>
      <c r="Z11" s="1125">
        <v>2025</v>
      </c>
      <c r="AA11" s="1125">
        <v>2026</v>
      </c>
      <c r="AB11" s="1125">
        <v>2027</v>
      </c>
      <c r="AC11" s="1125">
        <v>2028</v>
      </c>
      <c r="AD11" s="1125">
        <v>2029</v>
      </c>
      <c r="AE11" s="1125">
        <v>2030</v>
      </c>
      <c r="AF11" s="1125">
        <v>2031</v>
      </c>
      <c r="AG11" s="1125">
        <v>2032</v>
      </c>
      <c r="AH11" s="1125">
        <v>2033</v>
      </c>
      <c r="AI11" s="1453" t="s">
        <v>94</v>
      </c>
      <c r="AJ11" s="158"/>
      <c r="AK11" s="1125"/>
    </row>
    <row r="12" spans="1:38" outlineLevel="1">
      <c r="A12" s="9" t="s">
        <v>333</v>
      </c>
      <c r="B12" s="147"/>
      <c r="C12" s="147"/>
      <c r="D12" s="147"/>
      <c r="E12" s="147"/>
      <c r="F12" s="147"/>
      <c r="G12" s="147"/>
      <c r="H12" s="147"/>
      <c r="I12" s="147"/>
      <c r="J12" s="92">
        <f>Financials!J36</f>
        <v>8587.0810000000019</v>
      </c>
      <c r="K12" s="92">
        <f>Financials!K36</f>
        <v>8981.4399999999987</v>
      </c>
      <c r="L12" s="92">
        <f>Financials!L36</f>
        <v>10696.504000000001</v>
      </c>
      <c r="M12" s="92">
        <f>Financials!M36</f>
        <v>13519.513000000001</v>
      </c>
      <c r="N12" s="92">
        <f>Financials!N36</f>
        <v>15712.665000000001</v>
      </c>
      <c r="O12" s="92">
        <f>Financials!O36</f>
        <v>22800.255000000001</v>
      </c>
      <c r="P12" s="92">
        <f>Financials!P36</f>
        <v>32288.376</v>
      </c>
      <c r="Q12" s="92">
        <f>Financials!Q36</f>
        <v>37701.866999999998</v>
      </c>
      <c r="R12" s="92">
        <f>Financials!R36</f>
        <v>42529.120999999999</v>
      </c>
      <c r="S12" s="92">
        <f>Financials!S36</f>
        <v>46156.591</v>
      </c>
      <c r="T12" s="92">
        <f>Financials!T36</f>
        <v>58154.618999999999</v>
      </c>
      <c r="U12" s="92">
        <f>Financials!U36</f>
        <v>38495.419000000002</v>
      </c>
      <c r="V12" s="92">
        <f>Financials!V36</f>
        <v>53379.468999999997</v>
      </c>
      <c r="W12" s="92">
        <f>Financials!W36</f>
        <v>68831.305000000008</v>
      </c>
      <c r="X12" s="92">
        <f>Financials!X36</f>
        <v>76231.047999999995</v>
      </c>
      <c r="Y12" s="92">
        <f>Financials!Y36</f>
        <v>78549.033316147907</v>
      </c>
      <c r="Z12" s="92">
        <f>Financials!Z36</f>
        <v>86000.984261954174</v>
      </c>
      <c r="AA12" s="92">
        <f>Financials!AA36</f>
        <v>91862.025037079569</v>
      </c>
      <c r="AB12" s="92">
        <f>Financials!AB36</f>
        <v>97282.619721801486</v>
      </c>
      <c r="AC12" s="92">
        <f>Financials!AC36</f>
        <v>102409.94176726675</v>
      </c>
      <c r="AD12" s="92">
        <f>Financials!AD36</f>
        <v>107782.73332679388</v>
      </c>
      <c r="AE12" s="92">
        <f>Financials!AE36</f>
        <v>113295.62029326905</v>
      </c>
      <c r="AF12" s="92">
        <f>Financials!AF36</f>
        <v>118937.34319902334</v>
      </c>
      <c r="AG12" s="92">
        <f>Financials!AG36</f>
        <v>124847.65450233992</v>
      </c>
      <c r="AH12" s="329">
        <f>Financials!AH36</f>
        <v>131016.40663964083</v>
      </c>
      <c r="AI12" s="92"/>
      <c r="AK12" s="178"/>
      <c r="AL12" s="92"/>
    </row>
    <row r="13" spans="1:38" outlineLevel="1">
      <c r="A13" s="13" t="s">
        <v>336</v>
      </c>
      <c r="B13" s="147"/>
      <c r="C13" s="147"/>
      <c r="D13" s="147"/>
      <c r="E13" s="147"/>
      <c r="F13" s="147"/>
      <c r="G13" s="147"/>
      <c r="H13" s="147"/>
      <c r="I13" s="147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>
        <f>Financials!X90</f>
        <v>7900.3589999999958</v>
      </c>
      <c r="Y13" s="92">
        <f>Financials!Y90</f>
        <v>7426.4731382564751</v>
      </c>
      <c r="Z13" s="92">
        <f>Financials!Z90</f>
        <v>7872.4432984188352</v>
      </c>
      <c r="AA13" s="92">
        <f>Financials!AA90</f>
        <v>8811.7584060904264</v>
      </c>
      <c r="AB13" s="92">
        <f>Financials!AB90</f>
        <v>9662.7466642719919</v>
      </c>
      <c r="AC13" s="92">
        <f>Financials!AC90</f>
        <v>9707.0283664279541</v>
      </c>
      <c r="AD13" s="92">
        <f>Financials!AD90</f>
        <v>9945.4493120001971</v>
      </c>
      <c r="AE13" s="92">
        <f>Financials!AE90</f>
        <v>10122.33832624571</v>
      </c>
      <c r="AF13" s="92">
        <f>Financials!AF90</f>
        <v>10271.063661393906</v>
      </c>
      <c r="AG13" s="92">
        <f>Financials!AG90</f>
        <v>10385.764282378117</v>
      </c>
      <c r="AH13" s="329"/>
      <c r="AI13" s="92"/>
      <c r="AK13" s="178"/>
      <c r="AL13" s="92"/>
    </row>
    <row r="14" spans="1:38" outlineLevel="1">
      <c r="A14" s="9" t="s">
        <v>1556</v>
      </c>
      <c r="B14" s="147"/>
      <c r="C14" s="147"/>
      <c r="D14" s="147"/>
      <c r="E14" s="147"/>
      <c r="F14" s="147"/>
      <c r="G14" s="147"/>
      <c r="H14" s="147"/>
      <c r="I14" s="147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>
        <f>-(Financials!X88-X22)</f>
        <v>4146.4249999999993</v>
      </c>
      <c r="Y14" s="92">
        <f>-(Financials!Y88-Y22)</f>
        <v>4230.7085362854214</v>
      </c>
      <c r="Z14" s="92">
        <f>-(Financials!Z88-Z22)</f>
        <v>4348.5933553877276</v>
      </c>
      <c r="AA14" s="92">
        <f>-(Financials!AA88-AA22)</f>
        <v>4364.4913584424166</v>
      </c>
      <c r="AB14" s="92">
        <f>-(Financials!AB88-AB22)</f>
        <v>4414.6008642543002</v>
      </c>
      <c r="AC14" s="92">
        <f>-(Financials!AC88-AC22)</f>
        <v>4481.1111088491143</v>
      </c>
      <c r="AD14" s="92">
        <f>-(Financials!AD88-AD22)</f>
        <v>4594.8467722433625</v>
      </c>
      <c r="AE14" s="92">
        <f>-(Financials!AE88-AE22)</f>
        <v>4748.316419978446</v>
      </c>
      <c r="AF14" s="92">
        <f>-(Financials!AF88-AF22)</f>
        <v>4926.2768634688809</v>
      </c>
      <c r="AG14" s="92">
        <f>-(Financials!AG88-AG22)</f>
        <v>5136.0834698549206</v>
      </c>
      <c r="AH14" s="329"/>
      <c r="AI14" s="92"/>
      <c r="AK14" s="178"/>
      <c r="AL14" s="92"/>
    </row>
    <row r="15" spans="1:38" outlineLevel="1">
      <c r="A15" s="36" t="s">
        <v>1546</v>
      </c>
      <c r="B15" s="147"/>
      <c r="C15" s="147"/>
      <c r="D15" s="147"/>
      <c r="E15" s="147"/>
      <c r="F15" s="147"/>
      <c r="G15" s="147"/>
      <c r="H15" s="147"/>
      <c r="I15" s="147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>
        <f>SUMIF(Q_BS!$3:$3,DCF!X$11,Q_BS!131:131)</f>
        <v>-878.50199999999995</v>
      </c>
      <c r="Y15" s="92">
        <f>SUMIF(Q_BS!$3:$3,DCF!Y$11,Q_BS!131:131)</f>
        <v>-979.63610043765937</v>
      </c>
      <c r="Z15" s="92">
        <f>SUMIF(Q_BS!$3:$3,DCF!Z$11,Q_BS!131:131)</f>
        <v>-996.84004812206206</v>
      </c>
      <c r="AA15" s="92">
        <f>SUMIF(Q_BS!$3:$3,DCF!AA$11,Q_BS!131:131)</f>
        <v>-990.19838170126332</v>
      </c>
      <c r="AB15" s="92">
        <f>SUMIF(Q_BS!$3:$3,DCF!AB$11,Q_BS!131:131)</f>
        <v>-1010.1003794379975</v>
      </c>
      <c r="AC15" s="92">
        <f>SUMIF(Q_BS!$3:$3,DCF!AC$11,Q_BS!131:131)</f>
        <v>-1025.9039720426099</v>
      </c>
      <c r="AD15" s="92">
        <f>SUMIF(Q_BS!$3:$3,DCF!AD$11,Q_BS!131:131)</f>
        <v>-1040.7694048584824</v>
      </c>
      <c r="AE15" s="92">
        <f>SUMIF(Q_BS!$3:$3,DCF!AE$11,Q_BS!131:131)</f>
        <v>-1054.9406728347462</v>
      </c>
      <c r="AF15" s="92">
        <f>SUMIF(Q_BS!$3:$3,DCF!AF$11,Q_BS!131:131)</f>
        <v>-1066.5906380721515</v>
      </c>
      <c r="AG15" s="92">
        <f>SUMIF(Q_BS!$3:$3,DCF!AG$11,Q_BS!131:131)</f>
        <v>-1077.8338228462305</v>
      </c>
      <c r="AH15" s="329"/>
      <c r="AI15" s="92"/>
      <c r="AK15" s="178"/>
      <c r="AL15" s="92"/>
    </row>
    <row r="16" spans="1:38" outlineLevel="1">
      <c r="A16" s="36" t="s">
        <v>1547</v>
      </c>
      <c r="B16" s="147"/>
      <c r="C16" s="147"/>
      <c r="D16" s="147"/>
      <c r="E16" s="147"/>
      <c r="F16" s="147"/>
      <c r="G16" s="147"/>
      <c r="H16" s="147"/>
      <c r="I16" s="147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>
        <f>Financials!X162</f>
        <v>-5130</v>
      </c>
      <c r="Y16" s="92">
        <f>Financials!Y162</f>
        <v>-3784.9318330909573</v>
      </c>
      <c r="Z16" s="92">
        <f>Financials!Z162</f>
        <v>-3886.1239326906825</v>
      </c>
      <c r="AA16" s="92">
        <f>Financials!AA162</f>
        <v>-4129.266472977456</v>
      </c>
      <c r="AB16" s="92">
        <f>Financials!AB162</f>
        <v>-4283.9855471895753</v>
      </c>
      <c r="AC16" s="92">
        <f>Financials!AC162</f>
        <v>-4561.7001369482095</v>
      </c>
      <c r="AD16" s="92">
        <f>Financials!AD162</f>
        <v>-4855.6375665655132</v>
      </c>
      <c r="AE16" s="92">
        <f>Financials!AE162</f>
        <v>-5158.9173909126648</v>
      </c>
      <c r="AF16" s="92">
        <f>Financials!AF162</f>
        <v>-5474.4606632564846</v>
      </c>
      <c r="AG16" s="92">
        <f>Financials!AG162</f>
        <v>-5806.243583534233</v>
      </c>
      <c r="AH16" s="329"/>
      <c r="AI16" s="92"/>
      <c r="AK16" s="178"/>
      <c r="AL16" s="92"/>
    </row>
    <row r="17" spans="1:38" outlineLevel="1">
      <c r="A17" s="9" t="s">
        <v>1557</v>
      </c>
      <c r="B17" s="147"/>
      <c r="C17" s="147"/>
      <c r="D17" s="147"/>
      <c r="E17" s="147"/>
      <c r="F17" s="147"/>
      <c r="G17" s="147"/>
      <c r="H17" s="147"/>
      <c r="I17" s="147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>
        <f>X15+X16</f>
        <v>-6008.5020000000004</v>
      </c>
      <c r="Y17" s="92">
        <f t="shared" ref="Y17:AG17" si="2">Y15+Y16</f>
        <v>-4764.5679335286168</v>
      </c>
      <c r="Z17" s="92">
        <f t="shared" si="2"/>
        <v>-4882.9639808127449</v>
      </c>
      <c r="AA17" s="92">
        <f t="shared" si="2"/>
        <v>-5119.4648546787193</v>
      </c>
      <c r="AB17" s="92">
        <f t="shared" si="2"/>
        <v>-5294.0859266275729</v>
      </c>
      <c r="AC17" s="92">
        <f t="shared" si="2"/>
        <v>-5587.6041089908194</v>
      </c>
      <c r="AD17" s="92">
        <f t="shared" si="2"/>
        <v>-5896.4069714239959</v>
      </c>
      <c r="AE17" s="92">
        <f t="shared" si="2"/>
        <v>-6213.8580637474115</v>
      </c>
      <c r="AF17" s="92">
        <f t="shared" si="2"/>
        <v>-6541.0513013286363</v>
      </c>
      <c r="AG17" s="92">
        <f t="shared" si="2"/>
        <v>-6884.0774063804638</v>
      </c>
      <c r="AH17" s="329"/>
      <c r="AI17" s="92"/>
      <c r="AK17" s="178"/>
      <c r="AL17" s="92"/>
    </row>
    <row r="18" spans="1:38" outlineLevel="1">
      <c r="A18" s="13" t="s">
        <v>1548</v>
      </c>
      <c r="B18" s="147"/>
      <c r="C18" s="147"/>
      <c r="D18" s="147"/>
      <c r="E18" s="147"/>
      <c r="F18" s="147"/>
      <c r="G18" s="147"/>
      <c r="H18" s="147"/>
      <c r="I18" s="147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>
        <f>X13+X14+X17</f>
        <v>6038.2819999999956</v>
      </c>
      <c r="Y18" s="92">
        <f t="shared" ref="Y18:AG18" si="3">Y13+Y14+Y17</f>
        <v>6892.6137410132797</v>
      </c>
      <c r="Z18" s="92">
        <f t="shared" si="3"/>
        <v>7338.0726729938178</v>
      </c>
      <c r="AA18" s="92">
        <f t="shared" si="3"/>
        <v>8056.7849098541246</v>
      </c>
      <c r="AB18" s="92">
        <f t="shared" si="3"/>
        <v>8783.2616018987192</v>
      </c>
      <c r="AC18" s="92">
        <f t="shared" si="3"/>
        <v>8600.535366286249</v>
      </c>
      <c r="AD18" s="92">
        <f t="shared" si="3"/>
        <v>8643.8891128195646</v>
      </c>
      <c r="AE18" s="92">
        <f t="shared" si="3"/>
        <v>8656.7966824767445</v>
      </c>
      <c r="AF18" s="92">
        <f t="shared" si="3"/>
        <v>8656.2892235341496</v>
      </c>
      <c r="AG18" s="92">
        <f t="shared" si="3"/>
        <v>8637.7703458525739</v>
      </c>
      <c r="AH18" s="329"/>
      <c r="AI18" s="92"/>
      <c r="AK18" s="178"/>
      <c r="AL18" s="92"/>
    </row>
    <row r="19" spans="1:38" outlineLevel="1">
      <c r="A19" s="9" t="s">
        <v>1034</v>
      </c>
      <c r="B19" s="147"/>
      <c r="C19" s="147"/>
      <c r="D19" s="147"/>
      <c r="E19" s="147"/>
      <c r="F19" s="147"/>
      <c r="G19" s="147"/>
      <c r="H19" s="147"/>
      <c r="I19" s="147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>
        <f>-Financials!X89</f>
        <v>3913.605</v>
      </c>
      <c r="Y19" s="92">
        <f>-Financials!Y89</f>
        <v>4127.3273107005243</v>
      </c>
      <c r="Z19" s="92">
        <f>-Financials!Z89</f>
        <v>4476.9530908591423</v>
      </c>
      <c r="AA19" s="92">
        <f>-Financials!AA89</f>
        <v>4658.9831313490258</v>
      </c>
      <c r="AB19" s="92">
        <f>-Financials!AB89</f>
        <v>4810.3802065913678</v>
      </c>
      <c r="AC19" s="92">
        <f>-Financials!AC89</f>
        <v>5080.7981233652863</v>
      </c>
      <c r="AD19" s="92">
        <f>-Financials!AD89</f>
        <v>5739.744654821302</v>
      </c>
      <c r="AE19" s="92">
        <f>-Financials!AE89</f>
        <v>6446.6711212309401</v>
      </c>
      <c r="AF19" s="92">
        <f>-Financials!AF89</f>
        <v>7181.7127252486052</v>
      </c>
      <c r="AG19" s="92">
        <f>-Financials!AG89</f>
        <v>7969.4914974689145</v>
      </c>
      <c r="AH19" s="329"/>
      <c r="AI19" s="92"/>
      <c r="AK19" s="178"/>
      <c r="AL19" s="92"/>
    </row>
    <row r="20" spans="1:38" outlineLevel="1">
      <c r="A20" s="9" t="s">
        <v>288</v>
      </c>
      <c r="J20" s="173">
        <f t="shared" ref="J20:X20" si="4">+J21/J12</f>
        <v>0.11648149120754761</v>
      </c>
      <c r="K20" s="173">
        <f t="shared" si="4"/>
        <v>0.1111882949727438</v>
      </c>
      <c r="L20" s="173">
        <f t="shared" si="4"/>
        <v>0.10422536185654681</v>
      </c>
      <c r="M20" s="173">
        <f t="shared" si="4"/>
        <v>0.11894400338237031</v>
      </c>
      <c r="N20" s="173">
        <f t="shared" si="4"/>
        <v>0.12975023651302947</v>
      </c>
      <c r="O20" s="173">
        <f t="shared" si="4"/>
        <v>0.12250266499212399</v>
      </c>
      <c r="P20" s="173">
        <f t="shared" si="4"/>
        <v>0.13322841012505554</v>
      </c>
      <c r="Q20" s="173">
        <f t="shared" si="4"/>
        <v>0.13673694196629571</v>
      </c>
      <c r="R20" s="173">
        <f t="shared" si="4"/>
        <v>0.15204273796300657</v>
      </c>
      <c r="S20" s="173">
        <f t="shared" si="4"/>
        <v>0.13883861136971748</v>
      </c>
      <c r="T20" s="173">
        <f t="shared" si="4"/>
        <v>0.13185829658689707</v>
      </c>
      <c r="U20" s="173">
        <f t="shared" si="4"/>
        <v>3.732241490864141E-2</v>
      </c>
      <c r="V20" s="173">
        <f t="shared" si="4"/>
        <v>0.12244945711243399</v>
      </c>
      <c r="W20" s="173">
        <f t="shared" si="4"/>
        <v>0.12820483354194717</v>
      </c>
      <c r="X20" s="173">
        <f t="shared" si="4"/>
        <v>0.13054899888035115</v>
      </c>
      <c r="Y20" s="173">
        <f t="shared" ref="Y20:AG20" si="5">+Y21/Y12</f>
        <v>0.14029378321385852</v>
      </c>
      <c r="Z20" s="173">
        <f t="shared" si="5"/>
        <v>0.13738244818065168</v>
      </c>
      <c r="AA20" s="173">
        <f t="shared" si="5"/>
        <v>0.13842246604154987</v>
      </c>
      <c r="AB20" s="173">
        <f t="shared" si="5"/>
        <v>0.13973350889772235</v>
      </c>
      <c r="AC20" s="173">
        <f t="shared" si="5"/>
        <v>0.13359380206214017</v>
      </c>
      <c r="AD20" s="173">
        <f t="shared" si="5"/>
        <v>0.13345025982993156</v>
      </c>
      <c r="AE20" s="173">
        <f t="shared" si="5"/>
        <v>0.13331025298781995</v>
      </c>
      <c r="AF20" s="173">
        <f t="shared" si="5"/>
        <v>0.13316256713654934</v>
      </c>
      <c r="AG20" s="173">
        <f t="shared" si="5"/>
        <v>0.13302021499338806</v>
      </c>
      <c r="AH20" s="445">
        <f>+Financials!AH70</f>
        <v>0.13287816060834623</v>
      </c>
      <c r="AI20" s="92"/>
      <c r="AJ20" s="1455"/>
      <c r="AK20" s="173"/>
      <c r="AL20" s="178"/>
    </row>
    <row r="21" spans="1:38" outlineLevel="1">
      <c r="A21" s="13" t="s">
        <v>1558</v>
      </c>
      <c r="B21" s="147"/>
      <c r="C21" s="147"/>
      <c r="D21" s="147"/>
      <c r="E21" s="147"/>
      <c r="F21" s="147"/>
      <c r="G21" s="147"/>
      <c r="H21" s="147"/>
      <c r="I21" s="147"/>
      <c r="J21" s="92">
        <f>Financials!J69</f>
        <v>1000.2359999999994</v>
      </c>
      <c r="K21" s="92">
        <f>Financials!K69</f>
        <v>998.63099999999986</v>
      </c>
      <c r="L21" s="92">
        <f>Financials!L69</f>
        <v>1114.8470000000004</v>
      </c>
      <c r="M21" s="92">
        <f>Financials!M69</f>
        <v>1608.0649999999994</v>
      </c>
      <c r="N21" s="92">
        <f>Financials!N69</f>
        <v>2038.7220000000002</v>
      </c>
      <c r="O21" s="92">
        <f>Financials!O69</f>
        <v>2793.0920000000001</v>
      </c>
      <c r="P21" s="92">
        <f>Financials!P69</f>
        <v>4301.7290000000003</v>
      </c>
      <c r="Q21" s="92">
        <f>Financials!Q69</f>
        <v>5155.2379999999994</v>
      </c>
      <c r="R21" s="92">
        <f>Financials!R69</f>
        <v>6466.2439999999997</v>
      </c>
      <c r="S21" s="92">
        <f>Financials!S69</f>
        <v>6408.3169999999991</v>
      </c>
      <c r="T21" s="92">
        <f>Financials!T69</f>
        <v>7668.168999999999</v>
      </c>
      <c r="U21" s="92">
        <f>Financials!U69</f>
        <v>1436.7419999999979</v>
      </c>
      <c r="V21" s="92">
        <f>Financials!V69</f>
        <v>6536.2869999999994</v>
      </c>
      <c r="W21" s="92">
        <f>Financials!W69</f>
        <v>8824.5059999999976</v>
      </c>
      <c r="X21" s="92">
        <f>X18+X19</f>
        <v>9951.8869999999952</v>
      </c>
      <c r="Y21" s="92">
        <f t="shared" ref="Y21:AG21" si="6">Y18+Y19</f>
        <v>11019.941051713804</v>
      </c>
      <c r="Z21" s="92">
        <f t="shared" si="6"/>
        <v>11815.02576385296</v>
      </c>
      <c r="AA21" s="92">
        <f t="shared" si="6"/>
        <v>12715.768041203151</v>
      </c>
      <c r="AB21" s="92">
        <f t="shared" si="6"/>
        <v>13593.641808490087</v>
      </c>
      <c r="AC21" s="92">
        <f t="shared" si="6"/>
        <v>13681.333489651535</v>
      </c>
      <c r="AD21" s="92">
        <f t="shared" si="6"/>
        <v>14383.633767640866</v>
      </c>
      <c r="AE21" s="92">
        <f t="shared" si="6"/>
        <v>15103.467803707685</v>
      </c>
      <c r="AF21" s="92">
        <f t="shared" si="6"/>
        <v>15838.001948782756</v>
      </c>
      <c r="AG21" s="92">
        <f t="shared" si="6"/>
        <v>16607.261843321488</v>
      </c>
      <c r="AH21" s="329">
        <f>AH12*AH20</f>
        <v>17409.219123790594</v>
      </c>
      <c r="AI21" s="92"/>
      <c r="AJ21" s="1457"/>
      <c r="AK21" s="178"/>
      <c r="AL21" s="92"/>
    </row>
    <row r="22" spans="1:38" outlineLevel="1">
      <c r="A22" s="9" t="s">
        <v>1034</v>
      </c>
      <c r="B22" s="147"/>
      <c r="C22" s="147"/>
      <c r="D22" s="147"/>
      <c r="E22" s="147"/>
      <c r="F22" s="147"/>
      <c r="G22" s="147"/>
      <c r="H22" s="147"/>
      <c r="I22" s="147"/>
      <c r="J22" s="92">
        <f>Financials!J89</f>
        <v>-665.16699999999992</v>
      </c>
      <c r="K22" s="92">
        <f>Financials!K89</f>
        <v>-670.52599999999995</v>
      </c>
      <c r="L22" s="92">
        <f>Financials!L89</f>
        <v>-661.779</v>
      </c>
      <c r="M22" s="92">
        <f>Financials!M89</f>
        <v>-805.80099999999993</v>
      </c>
      <c r="N22" s="92">
        <f>Financials!N89</f>
        <v>-922.07399999999984</v>
      </c>
      <c r="O22" s="92">
        <f>Financials!O89</f>
        <v>-1336.0809999999999</v>
      </c>
      <c r="P22" s="92">
        <f>Financials!P89</f>
        <v>-1947.8959999999997</v>
      </c>
      <c r="Q22" s="92">
        <f>Financials!Q89</f>
        <v>-2388.2359999999999</v>
      </c>
      <c r="R22" s="92">
        <f>Financials!R89</f>
        <v>-2751.6759999999999</v>
      </c>
      <c r="S22" s="92">
        <f>Financials!S89</f>
        <v>-3114.7280000000001</v>
      </c>
      <c r="T22" s="92">
        <f>Financials!T89</f>
        <v>-4257.2840000000006</v>
      </c>
      <c r="U22" s="92">
        <f>Financials!U89</f>
        <v>-4353.3640000000005</v>
      </c>
      <c r="V22" s="92">
        <f>Financials!V89</f>
        <v>-3740.0439999999994</v>
      </c>
      <c r="W22" s="92">
        <f>Financials!W89</f>
        <v>-3350.9949999999999</v>
      </c>
      <c r="X22" s="92">
        <f>Financials!X89</f>
        <v>-3913.605</v>
      </c>
      <c r="Y22" s="92">
        <f>Financials!Y89</f>
        <v>-4127.3273107005243</v>
      </c>
      <c r="Z22" s="92">
        <f>Financials!Z89</f>
        <v>-4476.9530908591423</v>
      </c>
      <c r="AA22" s="92">
        <f>Financials!AA89</f>
        <v>-4658.9831313490258</v>
      </c>
      <c r="AB22" s="92">
        <f>Financials!AB89</f>
        <v>-4810.3802065913678</v>
      </c>
      <c r="AC22" s="92">
        <f>Financials!AC89</f>
        <v>-5080.7981233652863</v>
      </c>
      <c r="AD22" s="92">
        <f>Financials!AD89</f>
        <v>-5739.744654821302</v>
      </c>
      <c r="AE22" s="92">
        <f>Financials!AE89</f>
        <v>-6446.6711212309401</v>
      </c>
      <c r="AF22" s="92">
        <f>Financials!AF89</f>
        <v>-7181.7127252486052</v>
      </c>
      <c r="AG22" s="92">
        <f>Financials!AG89</f>
        <v>-7969.4914974689145</v>
      </c>
      <c r="AH22" s="329">
        <f>Financials!AH89</f>
        <v>-8808.7774258650534</v>
      </c>
      <c r="AK22" s="92"/>
    </row>
    <row r="23" spans="1:38">
      <c r="A23" s="9" t="s">
        <v>1211</v>
      </c>
      <c r="B23" s="147"/>
      <c r="C23" s="147"/>
      <c r="D23" s="147"/>
      <c r="E23" s="147"/>
      <c r="F23" s="147"/>
      <c r="G23" s="147"/>
      <c r="H23" s="147"/>
      <c r="I23" s="147"/>
      <c r="J23" s="92">
        <f t="shared" ref="J23:AE23" si="7">+J21+J22</f>
        <v>335.06899999999951</v>
      </c>
      <c r="K23" s="92">
        <f t="shared" si="7"/>
        <v>328.1049999999999</v>
      </c>
      <c r="L23" s="92">
        <f t="shared" si="7"/>
        <v>453.06800000000044</v>
      </c>
      <c r="M23" s="92">
        <f t="shared" si="7"/>
        <v>802.26399999999944</v>
      </c>
      <c r="N23" s="92">
        <f t="shared" si="7"/>
        <v>1116.6480000000004</v>
      </c>
      <c r="O23" s="92">
        <f t="shared" si="7"/>
        <v>1457.0110000000002</v>
      </c>
      <c r="P23" s="92">
        <f t="shared" si="7"/>
        <v>2353.8330000000005</v>
      </c>
      <c r="Q23" s="92">
        <f t="shared" si="7"/>
        <v>2767.0019999999995</v>
      </c>
      <c r="R23" s="92">
        <f t="shared" si="7"/>
        <v>3714.5679999999998</v>
      </c>
      <c r="S23" s="92">
        <f t="shared" si="7"/>
        <v>3293.588999999999</v>
      </c>
      <c r="T23" s="92">
        <f t="shared" si="7"/>
        <v>3410.8849999999984</v>
      </c>
      <c r="U23" s="92">
        <f t="shared" si="7"/>
        <v>-2916.6220000000026</v>
      </c>
      <c r="V23" s="92">
        <f t="shared" si="7"/>
        <v>2796.2429999999999</v>
      </c>
      <c r="W23" s="92">
        <f t="shared" si="7"/>
        <v>5473.5109999999977</v>
      </c>
      <c r="X23" s="92">
        <f t="shared" ref="X23" si="8">+X21+X22</f>
        <v>6038.2819999999956</v>
      </c>
      <c r="Y23" s="329">
        <f t="shared" si="7"/>
        <v>6892.6137410132797</v>
      </c>
      <c r="Z23" s="329">
        <f t="shared" si="7"/>
        <v>7338.0726729938178</v>
      </c>
      <c r="AA23" s="329">
        <f t="shared" si="7"/>
        <v>8056.7849098541255</v>
      </c>
      <c r="AB23" s="329">
        <f t="shared" si="7"/>
        <v>8783.2616018987192</v>
      </c>
      <c r="AC23" s="329">
        <f t="shared" si="7"/>
        <v>8600.535366286249</v>
      </c>
      <c r="AD23" s="329">
        <f t="shared" si="7"/>
        <v>8643.8891128195646</v>
      </c>
      <c r="AE23" s="329">
        <f t="shared" si="7"/>
        <v>8656.7966824767445</v>
      </c>
      <c r="AF23" s="329">
        <f t="shared" ref="AF23:AH23" si="9">+AF21+AF22</f>
        <v>8656.2892235341496</v>
      </c>
      <c r="AG23" s="329">
        <f t="shared" si="9"/>
        <v>8637.7703458525739</v>
      </c>
      <c r="AH23" s="329">
        <f t="shared" si="9"/>
        <v>8600.4416979255402</v>
      </c>
      <c r="AI23" s="47"/>
      <c r="AK23" s="178"/>
    </row>
    <row r="24" spans="1:38">
      <c r="A24" s="9" t="s">
        <v>56</v>
      </c>
      <c r="B24" s="147"/>
      <c r="C24" s="147"/>
      <c r="D24" s="147"/>
      <c r="E24" s="147"/>
      <c r="F24" s="147"/>
      <c r="G24" s="147"/>
      <c r="H24" s="147"/>
      <c r="I24" s="147"/>
      <c r="J24" s="173">
        <f>Financials!J98</f>
        <v>-0.24510310259156246</v>
      </c>
      <c r="K24" s="173">
        <f>Financials!K98</f>
        <v>-0.44552362950279045</v>
      </c>
      <c r="L24" s="173">
        <f>Financials!L98</f>
        <v>-0.31129682527677688</v>
      </c>
      <c r="M24" s="173">
        <f>Financials!M98</f>
        <v>-0.35542397740235715</v>
      </c>
      <c r="N24" s="173">
        <f>Financials!N98</f>
        <v>-0.29993745775239533</v>
      </c>
      <c r="O24" s="795">
        <f>Financials!O98</f>
        <v>-0.36613038147179916</v>
      </c>
      <c r="P24" s="795">
        <f>Financials!P98</f>
        <v>-0.3217492956451497</v>
      </c>
      <c r="Q24" s="795">
        <f>Financials!Q98</f>
        <v>-0.31963820013263144</v>
      </c>
      <c r="R24" s="795">
        <f>Financials!R98</f>
        <v>-0.4001958278324621</v>
      </c>
      <c r="S24" s="795">
        <f>Financials!S98</f>
        <v>-0.37999988027986237</v>
      </c>
      <c r="T24" s="795">
        <f>Financials!T98</f>
        <v>-0.23378991032066654</v>
      </c>
      <c r="U24" s="795">
        <f>Financials!U98</f>
        <v>-0.23449130377665717</v>
      </c>
      <c r="V24" s="795">
        <f>Financials!V98</f>
        <v>-0.2150716018154602</v>
      </c>
      <c r="W24" s="795">
        <f>Financials!W98</f>
        <v>-0.371563474747858</v>
      </c>
      <c r="X24" s="795">
        <f>Financials!X98</f>
        <v>-0.3277687971995587</v>
      </c>
      <c r="Y24" s="633">
        <f>-INDEX(Inputs!$A$229:$CX$229,MATCH(DCF!Y$44,Inputs!$A$8:$BQ$8))</f>
        <v>-0.34</v>
      </c>
      <c r="Z24" s="633">
        <f>-INDEX(Inputs!$A$229:$CX$229,MATCH(DCF!Z$44,Inputs!$A$8:$CX$8))</f>
        <v>-0.34</v>
      </c>
      <c r="AA24" s="633">
        <f>-INDEX(Inputs!$A$229:$CX$229,MATCH(DCF!AA$44,Inputs!$A$8:$CX$8))</f>
        <v>-0.34</v>
      </c>
      <c r="AB24" s="633">
        <f>-INDEX(Inputs!$A$229:$CX$229,MATCH(DCF!AB$44,Inputs!$A$8:$CX$8))</f>
        <v>-0.34</v>
      </c>
      <c r="AC24" s="633">
        <f>-INDEX(Inputs!$A$229:$CX$229,MATCH(DCF!AC$44,Inputs!$A$8:$CX$8))</f>
        <v>-0.34</v>
      </c>
      <c r="AD24" s="633">
        <f>-INDEX(Inputs!$A$229:$CX$229,MATCH(DCF!AD$44,Inputs!$A$8:$CX$8))</f>
        <v>-0.34</v>
      </c>
      <c r="AE24" s="633">
        <f>-INDEX(Inputs!$A$229:$CX$229,MATCH(DCF!AE$44,Inputs!$A$8:$CX$8))</f>
        <v>-0.34</v>
      </c>
      <c r="AF24" s="633">
        <f>-INDEX(Inputs!$A$229:$CX$229,MATCH(DCF!AF$44,Inputs!$A$8:$CX$8))</f>
        <v>-0.34</v>
      </c>
      <c r="AG24" s="633">
        <f>-INDEX(Inputs!$A$229:$CX$229,MATCH(DCF!AG$44,Inputs!$A$8:$CX$8))</f>
        <v>-0.34</v>
      </c>
      <c r="AH24" s="633">
        <f>-INDEX(Inputs!$A$229:$CX$229,MATCH(DCF!AH$44,Inputs!$A$8:$CX$8))</f>
        <v>-0.34</v>
      </c>
      <c r="AI24" s="329"/>
      <c r="AK24" s="633"/>
    </row>
    <row r="25" spans="1:38">
      <c r="A25" s="168" t="s">
        <v>565</v>
      </c>
      <c r="B25" s="169"/>
      <c r="C25" s="169"/>
      <c r="D25" s="169"/>
      <c r="E25" s="169"/>
      <c r="F25" s="169"/>
      <c r="G25" s="169"/>
      <c r="H25" s="169"/>
      <c r="I25" s="169"/>
      <c r="J25" s="170">
        <f t="shared" ref="J25:Z25" si="10">J23*(1+J24)</f>
        <v>252.94254851774738</v>
      </c>
      <c r="K25" s="170">
        <f t="shared" si="10"/>
        <v>181.92646954198688</v>
      </c>
      <c r="L25" s="170">
        <f t="shared" si="10"/>
        <v>312.02936996550153</v>
      </c>
      <c r="M25" s="170">
        <f t="shared" si="10"/>
        <v>517.12013819327501</v>
      </c>
      <c r="N25" s="170">
        <f t="shared" si="10"/>
        <v>781.72343767570351</v>
      </c>
      <c r="O25" s="170">
        <f t="shared" si="10"/>
        <v>923.55500676139263</v>
      </c>
      <c r="P25" s="170">
        <f t="shared" si="10"/>
        <v>1596.4888901836905</v>
      </c>
      <c r="Q25" s="170">
        <f t="shared" si="10"/>
        <v>1882.5624609566082</v>
      </c>
      <c r="R25" s="170">
        <f t="shared" si="10"/>
        <v>2228.0133842000268</v>
      </c>
      <c r="S25" s="170">
        <f t="shared" si="10"/>
        <v>2042.0255743089281</v>
      </c>
      <c r="T25" s="170">
        <f t="shared" si="10"/>
        <v>2613.4545017358919</v>
      </c>
      <c r="U25" s="170">
        <f t="shared" si="10"/>
        <v>-2232.6995045963204</v>
      </c>
      <c r="V25" s="170">
        <f t="shared" si="10"/>
        <v>2194.8505389247321</v>
      </c>
      <c r="W25" s="170">
        <f t="shared" si="10"/>
        <v>3439.7542337693753</v>
      </c>
      <c r="X25" s="170">
        <f t="shared" ref="X25" si="11">X23*(1+X24)</f>
        <v>4059.1215717082518</v>
      </c>
      <c r="Y25" s="328">
        <f t="shared" si="10"/>
        <v>4549.1250690687639</v>
      </c>
      <c r="Z25" s="328">
        <f t="shared" si="10"/>
        <v>4843.1279641759193</v>
      </c>
      <c r="AA25" s="328">
        <f>AA23*(1+AA24)</f>
        <v>5317.4780405037218</v>
      </c>
      <c r="AB25" s="328">
        <f>AB23*(1+AB24)</f>
        <v>5796.952657253154</v>
      </c>
      <c r="AC25" s="328">
        <f>AC23*(1+AC24)</f>
        <v>5676.3533417489234</v>
      </c>
      <c r="AD25" s="328">
        <f>AD23*(1+AD24)</f>
        <v>5704.9668144609122</v>
      </c>
      <c r="AE25" s="328">
        <f>AE23*(1+AE24)</f>
        <v>5713.4858104346504</v>
      </c>
      <c r="AF25" s="328">
        <f t="shared" ref="AF25:AH25" si="12">AF23*(1+AF24)</f>
        <v>5713.150887532538</v>
      </c>
      <c r="AG25" s="328">
        <f t="shared" si="12"/>
        <v>5700.9284282626977</v>
      </c>
      <c r="AH25" s="328">
        <f t="shared" si="12"/>
        <v>5676.2915206308562</v>
      </c>
      <c r="AI25" s="328"/>
      <c r="AK25" s="178"/>
      <c r="AL25" s="92"/>
    </row>
    <row r="26" spans="1:38">
      <c r="A26" s="171" t="s">
        <v>1032</v>
      </c>
      <c r="B26" s="147"/>
      <c r="C26" s="147"/>
      <c r="D26" s="147"/>
      <c r="E26" s="147"/>
      <c r="F26" s="147"/>
      <c r="G26" s="147"/>
      <c r="H26" s="147"/>
      <c r="I26" s="147"/>
      <c r="J26" s="92">
        <f t="shared" ref="J26:Z26" si="13">-J22</f>
        <v>665.16699999999992</v>
      </c>
      <c r="K26" s="92">
        <f t="shared" si="13"/>
        <v>670.52599999999995</v>
      </c>
      <c r="L26" s="92">
        <f t="shared" si="13"/>
        <v>661.779</v>
      </c>
      <c r="M26" s="92">
        <f t="shared" si="13"/>
        <v>805.80099999999993</v>
      </c>
      <c r="N26" s="92">
        <f t="shared" si="13"/>
        <v>922.07399999999984</v>
      </c>
      <c r="O26" s="92">
        <f t="shared" si="13"/>
        <v>1336.0809999999999</v>
      </c>
      <c r="P26" s="92">
        <f t="shared" si="13"/>
        <v>1947.8959999999997</v>
      </c>
      <c r="Q26" s="92">
        <f t="shared" si="13"/>
        <v>2388.2359999999999</v>
      </c>
      <c r="R26" s="92">
        <f t="shared" si="13"/>
        <v>2751.6759999999999</v>
      </c>
      <c r="S26" s="92">
        <f t="shared" si="13"/>
        <v>3114.7280000000001</v>
      </c>
      <c r="T26" s="92">
        <f>-T22</f>
        <v>4257.2840000000006</v>
      </c>
      <c r="U26" s="92">
        <f t="shared" si="13"/>
        <v>4353.3640000000005</v>
      </c>
      <c r="V26" s="92">
        <f t="shared" si="13"/>
        <v>3740.0439999999994</v>
      </c>
      <c r="W26" s="92">
        <f t="shared" si="13"/>
        <v>3350.9949999999999</v>
      </c>
      <c r="X26" s="92">
        <f t="shared" ref="X26" si="14">-X22</f>
        <v>3913.605</v>
      </c>
      <c r="Y26" s="329">
        <f t="shared" si="13"/>
        <v>4127.3273107005243</v>
      </c>
      <c r="Z26" s="329">
        <f t="shared" si="13"/>
        <v>4476.9530908591423</v>
      </c>
      <c r="AA26" s="329">
        <f>-AA22</f>
        <v>4658.9831313490258</v>
      </c>
      <c r="AB26" s="329">
        <f>-AB22</f>
        <v>4810.3802065913678</v>
      </c>
      <c r="AC26" s="329">
        <f>-AC22</f>
        <v>5080.7981233652863</v>
      </c>
      <c r="AD26" s="329">
        <f>-AD22</f>
        <v>5739.744654821302</v>
      </c>
      <c r="AE26" s="329">
        <f>-AE22</f>
        <v>6446.6711212309401</v>
      </c>
      <c r="AF26" s="329">
        <f t="shared" ref="AF26:AH26" si="15">-AF22</f>
        <v>7181.7127252486052</v>
      </c>
      <c r="AG26" s="329">
        <f t="shared" si="15"/>
        <v>7969.4914974689145</v>
      </c>
      <c r="AH26" s="329">
        <f t="shared" si="15"/>
        <v>8808.7774258650534</v>
      </c>
      <c r="AI26" s="329"/>
      <c r="AK26" s="329"/>
      <c r="AL26" s="92"/>
    </row>
    <row r="27" spans="1:38">
      <c r="A27" s="172" t="s">
        <v>566</v>
      </c>
      <c r="B27" s="173"/>
      <c r="C27" s="173"/>
      <c r="D27" s="173"/>
      <c r="E27" s="173"/>
      <c r="F27" s="173"/>
      <c r="G27" s="173"/>
      <c r="H27" s="173"/>
      <c r="I27" s="173"/>
      <c r="J27" s="92">
        <f>Financials!J154</f>
        <v>302.99300000000005</v>
      </c>
      <c r="K27" s="92">
        <f>Financials!K154</f>
        <v>-77.469000000000008</v>
      </c>
      <c r="L27" s="92">
        <f>Financials!L154</f>
        <v>22.838999999999942</v>
      </c>
      <c r="M27" s="92">
        <f>Financials!M154</f>
        <v>-349.32</v>
      </c>
      <c r="N27" s="92">
        <f>Financials!N154</f>
        <v>-290.34099999999995</v>
      </c>
      <c r="O27" s="92">
        <f>Financials!O154</f>
        <v>71.646000000000043</v>
      </c>
      <c r="P27" s="92">
        <f>Financials!P154</f>
        <v>-128.899</v>
      </c>
      <c r="Q27" s="92">
        <f>Financials!Q154</f>
        <v>1044.1950000000002</v>
      </c>
      <c r="R27" s="92">
        <f>Financials!R154</f>
        <v>-371.01099999999997</v>
      </c>
      <c r="S27" s="92">
        <f>Financials!S154</f>
        <v>843.87400000000002</v>
      </c>
      <c r="T27" s="92">
        <f>Financials!T154</f>
        <v>347.36900000000003</v>
      </c>
      <c r="U27" s="92">
        <f>Financials!U154</f>
        <v>-1772.485999999999</v>
      </c>
      <c r="V27" s="92">
        <f>Financials!V154</f>
        <v>2483.4550000000013</v>
      </c>
      <c r="W27" s="92">
        <f>Financials!W154</f>
        <v>1631.2390000000016</v>
      </c>
      <c r="X27" s="92">
        <f>Financials!X154</f>
        <v>443.18800000000329</v>
      </c>
      <c r="Y27" s="329">
        <f>Financials!Y154</f>
        <v>-798.33017098079961</v>
      </c>
      <c r="Z27" s="329">
        <f>Financials!Z154</f>
        <v>535.67677535936627</v>
      </c>
      <c r="AA27" s="329">
        <f>Financials!AA154</f>
        <v>465.76018732989814</v>
      </c>
      <c r="AB27" s="329">
        <f>Financials!AB154</f>
        <v>459.6001636735341</v>
      </c>
      <c r="AC27" s="329">
        <f>Financials!AC154</f>
        <v>596.36927271044487</v>
      </c>
      <c r="AD27" s="329">
        <f>Financials!AD154</f>
        <v>436.8450266316845</v>
      </c>
      <c r="AE27" s="329">
        <f>Financials!AE154</f>
        <v>441.27292843635951</v>
      </c>
      <c r="AF27" s="329">
        <f>Financials!AF154</f>
        <v>459.3204896235743</v>
      </c>
      <c r="AG27" s="329">
        <f>Financials!AG154</f>
        <v>481.72150632021521</v>
      </c>
      <c r="AH27" s="329">
        <f>Financials!AH154</f>
        <v>498.59048258894973</v>
      </c>
      <c r="AI27" s="329"/>
      <c r="AK27" s="329"/>
      <c r="AL27" s="178"/>
    </row>
    <row r="28" spans="1:38">
      <c r="A28" s="172" t="s">
        <v>604</v>
      </c>
      <c r="B28" s="173"/>
      <c r="C28" s="173"/>
      <c r="D28" s="173"/>
      <c r="E28" s="173"/>
      <c r="F28" s="173"/>
      <c r="G28" s="173"/>
      <c r="H28" s="173"/>
      <c r="I28" s="173"/>
      <c r="J28" s="92">
        <f>Financials!J157</f>
        <v>-554.76100000000019</v>
      </c>
      <c r="K28" s="92">
        <f>Financials!K157</f>
        <v>-761.947</v>
      </c>
      <c r="L28" s="92">
        <f>Financials!L157</f>
        <v>-1255.009</v>
      </c>
      <c r="M28" s="92">
        <f>Financials!M157</f>
        <v>-2751.0480000000002</v>
      </c>
      <c r="N28" s="92">
        <f>Financials!N157</f>
        <v>-3202.7510000000002</v>
      </c>
      <c r="O28" s="92">
        <f>Financials!O157</f>
        <v>-12410.406999999999</v>
      </c>
      <c r="P28" s="92">
        <f>Financials!P157</f>
        <v>-3439.192</v>
      </c>
      <c r="Q28" s="92">
        <f>Financials!Q157</f>
        <v>-5038.588999999999</v>
      </c>
      <c r="R28" s="92">
        <f>Financials!R157</f>
        <v>-3274.3160000000007</v>
      </c>
      <c r="S28" s="92">
        <f>Financials!S157</f>
        <v>-17497.725999999999</v>
      </c>
      <c r="T28" s="92">
        <f>Financials!T157</f>
        <v>-4828.8850000000002</v>
      </c>
      <c r="U28" s="92">
        <f>Financials!U157</f>
        <v>-1779.9180000000001</v>
      </c>
      <c r="V28" s="92">
        <f>Financials!V157</f>
        <v>-2541.7869999999998</v>
      </c>
      <c r="W28" s="92">
        <f>Financials!W157</f>
        <v>-4223.424</v>
      </c>
      <c r="X28" s="92">
        <f>Financials!X157</f>
        <v>-4739.5130000000008</v>
      </c>
      <c r="Y28" s="329">
        <f>Financials!Y157</f>
        <v>-5568.2348344935699</v>
      </c>
      <c r="Z28" s="329">
        <f>Financials!Z157</f>
        <v>-5216.9621919151159</v>
      </c>
      <c r="AA28" s="329">
        <f>Financials!AA157</f>
        <v>-5105.9704118421696</v>
      </c>
      <c r="AB28" s="329">
        <f>Financials!AB157</f>
        <v>-5232.888757502612</v>
      </c>
      <c r="AC28" s="329">
        <f>Financials!AC157</f>
        <v>-6494.1803888485501</v>
      </c>
      <c r="AD28" s="329">
        <f>Financials!AD157</f>
        <v>-7070.018149406571</v>
      </c>
      <c r="AE28" s="329">
        <f>Financials!AE157</f>
        <v>-7469.7879729180422</v>
      </c>
      <c r="AF28" s="329">
        <f>Financials!AF157</f>
        <v>-8117.3914239976357</v>
      </c>
      <c r="AG28" s="329">
        <f>Financials!AG157</f>
        <v>-8813.9822301241838</v>
      </c>
      <c r="AH28" s="329">
        <f>Financials!AH157</f>
        <v>-9441.0362196846927</v>
      </c>
      <c r="AI28" s="329"/>
      <c r="AK28" s="329"/>
    </row>
    <row r="29" spans="1:38">
      <c r="A29" s="172" t="s">
        <v>418</v>
      </c>
      <c r="B29" s="173"/>
      <c r="C29" s="173"/>
      <c r="D29" s="173"/>
      <c r="E29" s="173"/>
      <c r="F29" s="173"/>
      <c r="G29" s="173"/>
      <c r="H29" s="173"/>
      <c r="I29" s="173"/>
      <c r="J29" s="85">
        <f>((SUM(Q_Financials!B138:E138))+((SUM(Q_Financials!B131:E131))))+((SUM(Q_Financials!B115:E115)))</f>
        <v>-77.866999999999948</v>
      </c>
      <c r="K29" s="85">
        <f>((SUM(Q_Financials!F138:I138))+((SUM(Q_Financials!F131:I131))))+((SUM(Q_Financials!F115:I115)))</f>
        <v>-65.923000000000016</v>
      </c>
      <c r="L29" s="85">
        <f>((SUM(Q_Financials!J138:M138))+((SUM(Q_Financials!J131:M131))))+((SUM(Q_Financials!J115:M115)))</f>
        <v>-2122.7649999999999</v>
      </c>
      <c r="M29" s="85">
        <f>((SUM(Q_Financials!N138:Q138))+((SUM(Q_Financials!N131:Q131))))+((SUM(Q_Financials!N115:Q115)))</f>
        <v>3283.163</v>
      </c>
      <c r="N29" s="85">
        <f>((SUM(Q_Financials!R138:U138))+((SUM(Q_Financials!R131:U131))))+((SUM(Q_Financials!R115:U115)))</f>
        <v>-858.67199999999991</v>
      </c>
      <c r="O29" s="85">
        <f>((SUM(Q_Financials!V138:Y138))+((SUM(Q_Financials!V131:Y131))))+((SUM(Q_Financials!V115:Y115)))</f>
        <v>36.554000000000002</v>
      </c>
      <c r="P29" s="85">
        <f>((SUM(Q_Financials!Z138:AC138))+((SUM(Q_Financials!Z131:AC131))))+((SUM(Q_Financials!Z115:AC115)))</f>
        <v>316.33300000000003</v>
      </c>
      <c r="Q29" s="85">
        <f>((SUM(Q_Financials!AD138:AG138))+((SUM(Q_Financials!AD131:AG131))))+((SUM(Q_Financials!AD115:AG115)))</f>
        <v>564.18200000000002</v>
      </c>
      <c r="R29" s="85">
        <f>((SUM(Q_Financials!AH138:AK138))+((SUM(Q_Financials!AH131:AK131))))+((SUM(Q_Financials!AH115:AK115)))</f>
        <v>467.55699999999996</v>
      </c>
      <c r="S29" s="85">
        <f>((SUM(Q_Financials!AL138:AO138))+((SUM(Q_Financials!AL131:AO131))))+((SUM(Q_Financials!AL115:AO115)))</f>
        <v>1721.5029999999999</v>
      </c>
      <c r="T29" s="85">
        <f>((SUM(Q_Financials!AP138:AS138))+((SUM(Q_Financials!AP131:AS131))))+((SUM(Q_Financials!AP115:AS115)))</f>
        <v>-1925.482</v>
      </c>
      <c r="U29" s="85">
        <f>((SUM(Q_Financials!AT138:AW138))+((SUM(Q_Financials!AT131:AW131))))+((SUM(Q_Financials!AT115:AW115)))</f>
        <v>-3669.2670000000003</v>
      </c>
      <c r="V29" s="85">
        <f>((SUM(Q_Financials!AX138:BA138))+((SUM(Q_Financials!AX131:BA131))))+((SUM(Q_Financials!AX115:BA115)))</f>
        <v>552.87900000000002</v>
      </c>
      <c r="W29" s="85">
        <f>((SUM(Q_Financials!BB138:BE138))+((SUM(Q_Financials!BB131:BE131))))+((SUM(Q_Financials!BB115:BE115)))</f>
        <v>141.99199999999996</v>
      </c>
      <c r="X29" s="85">
        <f ca="1">SUMIF(Q_Financials!$A$3:$CW$3,DCF!X$11,Q_Financials!A131:CV131)</f>
        <v>969.54299999999967</v>
      </c>
      <c r="Y29" s="294">
        <f>SUM(Q_Financials!BJ131:BM131,)</f>
        <v>-3555.6210000000001</v>
      </c>
      <c r="Z29" s="294">
        <f>SUM(Q_Financials!BN131:BQ131,Q_Financials!BN138:BQ138)</f>
        <v>-824.56</v>
      </c>
      <c r="AA29" s="294">
        <f ca="1">SUMIF(Q_Financials!$A$3:$CW$3,DCF!AA$11,Q_Financials!$B131:$CW131)+SUMIF(Q_Financials!$A$3:$CW$3,DCF!AA$11,Q_Financials!$B138:$CW138)</f>
        <v>0</v>
      </c>
      <c r="AB29" s="294">
        <f ca="1">SUMIF(Q_Financials!$A$3:$CW$3,DCF!AB$11,Q_Financials!$B131:$CW131)+SUMIF(Q_Financials!$A$3:$CW$3,DCF!AB$11,Q_Financials!$B138:$CW138)</f>
        <v>0</v>
      </c>
      <c r="AC29" s="294">
        <f ca="1">SUMIF(Q_Financials!$A$3:$CW$3,DCF!AC$11,Q_Financials!$B131:$CW131)+SUMIF(Q_Financials!$A$3:$CW$3,DCF!AC$11,Q_Financials!$B138:$CW138)</f>
        <v>0</v>
      </c>
      <c r="AD29" s="294">
        <f ca="1">SUMIF(Q_Financials!$A$3:$CW$3,DCF!AD$11,Q_Financials!$B131:$CW131)+SUMIF(Q_Financials!$A$3:$CW$3,DCF!AD$11,Q_Financials!$B138:$CW138)</f>
        <v>0</v>
      </c>
      <c r="AE29" s="294">
        <f ca="1">SUMIF(Q_Financials!$A$3:$CW$3,DCF!AE$11,Q_Financials!$B131:$CW131)+SUMIF(Q_Financials!$A$3:$CW$3,DCF!AE$11,Q_Financials!$B138:$CW138)</f>
        <v>0</v>
      </c>
      <c r="AF29" s="294">
        <f ca="1">SUMIF(Q_Financials!$A$3:$CW$3,DCF!AF$11,Q_Financials!$B131:$CW131)+SUMIF(Q_Financials!$A$3:$CW$3,DCF!AF$11,Q_Financials!$B138:$CW138)</f>
        <v>0</v>
      </c>
      <c r="AG29" s="294">
        <f ca="1">SUMIF(Q_Financials!$A$3:$CW$3,DCF!AG$11,Q_Financials!$B131:$CW131)+SUMIF(Q_Financials!$A$3:$CW$3,DCF!AG$11,Q_Financials!$B138:$CW138)</f>
        <v>0</v>
      </c>
      <c r="AH29" s="294">
        <f ca="1">SUMIF(Q_Financials!$A$3:$CW$3,DCF!AH$11,Q_Financials!$B131:$CW131)+SUMIF(Q_Financials!$A$3:$CW$3,DCF!AH$11,Q_Financials!$B138:$CW138)</f>
        <v>0</v>
      </c>
      <c r="AI29" s="329"/>
      <c r="AK29" s="294"/>
    </row>
    <row r="30" spans="1:38">
      <c r="A30" s="13" t="s">
        <v>1033</v>
      </c>
      <c r="B30" s="13"/>
      <c r="C30" s="13"/>
      <c r="D30" s="13"/>
      <c r="E30" s="13"/>
      <c r="F30" s="13"/>
      <c r="G30" s="13"/>
      <c r="H30" s="13"/>
      <c r="I30" s="13"/>
      <c r="J30" s="170">
        <f>SUM(J25:J29)</f>
        <v>588.47454851774728</v>
      </c>
      <c r="K30" s="170">
        <f t="shared" ref="K30:T30" si="16">SUM(K25:K29)</f>
        <v>-52.88653045801324</v>
      </c>
      <c r="L30" s="170">
        <f t="shared" si="16"/>
        <v>-2381.1266300344987</v>
      </c>
      <c r="M30" s="170">
        <f t="shared" si="16"/>
        <v>1505.7161381932749</v>
      </c>
      <c r="N30" s="170">
        <f t="shared" si="16"/>
        <v>-2647.9665623242968</v>
      </c>
      <c r="O30" s="170">
        <f t="shared" si="16"/>
        <v>-10042.570993238607</v>
      </c>
      <c r="P30" s="170">
        <f t="shared" si="16"/>
        <v>292.62689018369014</v>
      </c>
      <c r="Q30" s="170">
        <f t="shared" si="16"/>
        <v>840.58646095660902</v>
      </c>
      <c r="R30" s="170">
        <f t="shared" si="16"/>
        <v>1801.9193842000252</v>
      </c>
      <c r="S30" s="170">
        <f t="shared" si="16"/>
        <v>-9775.59542569107</v>
      </c>
      <c r="T30" s="170">
        <f t="shared" si="16"/>
        <v>463.74050173589148</v>
      </c>
      <c r="U30" s="170">
        <f t="shared" ref="U30:Z30" si="17">SUM(U25:U29)</f>
        <v>-5101.0065045963192</v>
      </c>
      <c r="V30" s="170">
        <f t="shared" si="17"/>
        <v>6429.4415389247324</v>
      </c>
      <c r="W30" s="170">
        <f t="shared" si="17"/>
        <v>4340.5562337693764</v>
      </c>
      <c r="X30" s="170">
        <f t="shared" ref="X30" ca="1" si="18">SUM(X25:X29)</f>
        <v>4645.9445717082544</v>
      </c>
      <c r="Y30" s="328">
        <f t="shared" si="17"/>
        <v>-1245.7336257050802</v>
      </c>
      <c r="Z30" s="328">
        <f t="shared" si="17"/>
        <v>3814.2356384793125</v>
      </c>
      <c r="AA30" s="328">
        <f ca="1">SUM(AA25:AA29)</f>
        <v>5336.250947340478</v>
      </c>
      <c r="AB30" s="328">
        <f ca="1">SUM(AB25:AB29)</f>
        <v>5834.0442700154445</v>
      </c>
      <c r="AC30" s="328">
        <f ca="1">SUM(AC25:AC29)</f>
        <v>4859.340348976104</v>
      </c>
      <c r="AD30" s="328">
        <f ca="1">SUM(AD25:AD29)</f>
        <v>4811.5383465073282</v>
      </c>
      <c r="AE30" s="328">
        <f ca="1">SUM(AE25:AE29)</f>
        <v>5131.6418871839087</v>
      </c>
      <c r="AF30" s="328">
        <f t="shared" ref="AF30:AH30" ca="1" si="19">SUM(AF25:AF29)</f>
        <v>5236.7926784070833</v>
      </c>
      <c r="AG30" s="328">
        <f t="shared" ca="1" si="19"/>
        <v>5338.1592019276432</v>
      </c>
      <c r="AH30" s="328">
        <f t="shared" ca="1" si="19"/>
        <v>5542.623209400168</v>
      </c>
      <c r="AI30" s="328">
        <f ca="1">AH30*(1+AI38)/(AI46-AI38)</f>
        <v>100417.52472488355</v>
      </c>
      <c r="AK30" s="328"/>
    </row>
    <row r="31" spans="1:38">
      <c r="A31" s="12" t="s">
        <v>96</v>
      </c>
      <c r="B31" s="12"/>
      <c r="C31" s="12"/>
      <c r="D31" s="12"/>
      <c r="E31" s="12"/>
      <c r="F31" s="12"/>
      <c r="G31" s="12"/>
      <c r="H31" s="12"/>
      <c r="I31" s="12"/>
      <c r="J31" s="174"/>
      <c r="K31" s="227" t="str">
        <f>IF(SIGN(K30)&lt;&gt;SIGN(J30),"NM",K30/J30-1)</f>
        <v>NM</v>
      </c>
      <c r="L31" s="227">
        <f>IF(SIGN(L30)&lt;&gt;SIGN(K30),"NM",L30/K30-1)</f>
        <v>44.023309515924502</v>
      </c>
      <c r="M31" s="227" t="str">
        <f>IF(SIGN(M30)&lt;&gt;SIGN(L30),"NM",M30/L30-1)</f>
        <v>NM</v>
      </c>
      <c r="N31" s="227" t="str">
        <f>IF(SIGN(N30)&lt;&gt;SIGN(M30),"NM",N30/M30-1)</f>
        <v>NM</v>
      </c>
      <c r="O31" s="227">
        <f t="shared" ref="O31:Y31" si="20">IF(SIGN(O30)&lt;&gt;SIGN(N30),"NM",O30/N30-1)</f>
        <v>2.7925595950213107</v>
      </c>
      <c r="P31" s="227" t="str">
        <f t="shared" si="20"/>
        <v>NM</v>
      </c>
      <c r="Q31" s="227">
        <f t="shared" si="20"/>
        <v>1.8725537165396839</v>
      </c>
      <c r="R31" s="227">
        <f t="shared" si="20"/>
        <v>1.1436454997733305</v>
      </c>
      <c r="S31" s="227" t="str">
        <f t="shared" si="20"/>
        <v>NM</v>
      </c>
      <c r="T31" s="227" t="str">
        <f t="shared" si="20"/>
        <v>NM</v>
      </c>
      <c r="U31" s="227" t="str">
        <f t="shared" si="20"/>
        <v>NM</v>
      </c>
      <c r="V31" s="227" t="str">
        <f t="shared" si="20"/>
        <v>NM</v>
      </c>
      <c r="W31" s="227">
        <f t="shared" si="20"/>
        <v>-0.32489373960536916</v>
      </c>
      <c r="X31" s="227">
        <f t="shared" ca="1" si="20"/>
        <v>7.0356959221716142E-2</v>
      </c>
      <c r="Y31" s="579" t="str">
        <f t="shared" ca="1" si="20"/>
        <v>NM</v>
      </c>
      <c r="Z31" s="579" t="str">
        <f t="shared" ref="Z31:AE31" si="21">IF(SIGN(Z30)&lt;&gt;SIGN(Y30),"NM",Z30/Y30-1)</f>
        <v>NM</v>
      </c>
      <c r="AA31" s="579">
        <f t="shared" ca="1" si="21"/>
        <v>0.3990354695201721</v>
      </c>
      <c r="AB31" s="579">
        <f t="shared" ca="1" si="21"/>
        <v>9.3285216079101563E-2</v>
      </c>
      <c r="AC31" s="579">
        <f t="shared" ca="1" si="21"/>
        <v>-0.16707173890484728</v>
      </c>
      <c r="AD31" s="579">
        <f t="shared" ca="1" si="21"/>
        <v>-9.837138178404814E-3</v>
      </c>
      <c r="AE31" s="579">
        <f t="shared" ca="1" si="21"/>
        <v>6.6528315400196769E-2</v>
      </c>
      <c r="AF31" s="579">
        <f t="shared" ref="AF31" ca="1" si="22">IF(SIGN(AF30)&lt;&gt;SIGN(AE30),"NM",AF30/AE30-1)</f>
        <v>2.0490672095764273E-2</v>
      </c>
      <c r="AG31" s="579">
        <f t="shared" ref="AG31" ca="1" si="23">IF(SIGN(AG30)&lt;&gt;SIGN(AF30),"NM",AG30/AF30-1)</f>
        <v>1.9356604270114763E-2</v>
      </c>
      <c r="AH31" s="579">
        <f t="shared" ref="AH31" ca="1" si="24">IF(SIGN(AH30)&lt;&gt;SIGN(AG30),"NM",AH30/AG30-1)</f>
        <v>3.830234351172801E-2</v>
      </c>
      <c r="AI31" s="580"/>
      <c r="AK31" s="579"/>
    </row>
    <row r="32" spans="1:38"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47"/>
    </row>
    <row r="33" spans="1:39">
      <c r="A33" s="9" t="s">
        <v>419</v>
      </c>
      <c r="K33" s="92"/>
      <c r="L33" s="92"/>
      <c r="M33" s="92"/>
      <c r="N33" s="92"/>
      <c r="O33" s="92"/>
      <c r="P33" s="329"/>
      <c r="Q33" s="92"/>
      <c r="R33" s="92"/>
      <c r="S33" s="329"/>
      <c r="T33" s="329"/>
      <c r="U33" s="329"/>
      <c r="V33" s="329"/>
      <c r="W33" s="329"/>
      <c r="X33" s="329"/>
      <c r="Y33" s="329">
        <f t="shared" ref="Y33:AE33" si="25">Y30/(1+$AI$39)^Y34</f>
        <v>-1137.5941242267913</v>
      </c>
      <c r="Z33" s="329">
        <f t="shared" si="25"/>
        <v>3180.7667682798678</v>
      </c>
      <c r="AA33" s="329">
        <f t="shared" ca="1" si="25"/>
        <v>4063.7099603131387</v>
      </c>
      <c r="AB33" s="329">
        <f t="shared" ca="1" si="25"/>
        <v>4057.1244689379573</v>
      </c>
      <c r="AC33" s="329">
        <f t="shared" ca="1" si="25"/>
        <v>3085.9442958080635</v>
      </c>
      <c r="AD33" s="329">
        <f t="shared" ca="1" si="25"/>
        <v>2790.3383522770228</v>
      </c>
      <c r="AE33" s="329">
        <f t="shared" ca="1" si="25"/>
        <v>2717.6367782692992</v>
      </c>
      <c r="AF33" s="329">
        <f t="shared" ref="AF33:AH33" ca="1" si="26">AF30/(1+$AI$39)^AF34</f>
        <v>2532.5766794964061</v>
      </c>
      <c r="AG33" s="329">
        <f t="shared" ca="1" si="26"/>
        <v>2357.4956351117403</v>
      </c>
      <c r="AH33" s="329">
        <f t="shared" ca="1" si="26"/>
        <v>2235.3054881249413</v>
      </c>
      <c r="AI33" s="329">
        <f ca="1">AI30/(1+$AI$39)^AI34</f>
        <v>40497.763539251311</v>
      </c>
      <c r="AL33" s="329"/>
    </row>
    <row r="34" spans="1:39" hidden="1" outlineLevel="1">
      <c r="A34" s="406" t="s">
        <v>211</v>
      </c>
      <c r="B34" s="175"/>
      <c r="C34" s="175"/>
      <c r="D34" s="175"/>
      <c r="E34" s="175"/>
      <c r="F34" s="175"/>
      <c r="G34" s="175"/>
      <c r="H34" s="175"/>
      <c r="I34" s="175"/>
      <c r="J34" s="175"/>
      <c r="K34" s="175"/>
      <c r="L34" s="176"/>
      <c r="M34" s="407"/>
      <c r="N34" s="407"/>
      <c r="O34" s="407"/>
      <c r="P34" s="581"/>
      <c r="Q34" s="407"/>
      <c r="R34" s="407"/>
      <c r="S34" s="581"/>
      <c r="T34" s="581"/>
      <c r="U34" s="581"/>
      <c r="V34" s="581"/>
      <c r="W34" s="581"/>
      <c r="X34" s="581"/>
      <c r="Y34" s="581">
        <v>1</v>
      </c>
      <c r="Z34" s="581">
        <f t="shared" ref="Z34:AE34" si="27">Y34+1</f>
        <v>2</v>
      </c>
      <c r="AA34" s="581">
        <f t="shared" si="27"/>
        <v>3</v>
      </c>
      <c r="AB34" s="581">
        <f t="shared" si="27"/>
        <v>4</v>
      </c>
      <c r="AC34" s="581">
        <f t="shared" si="27"/>
        <v>5</v>
      </c>
      <c r="AD34" s="581">
        <f t="shared" si="27"/>
        <v>6</v>
      </c>
      <c r="AE34" s="581">
        <f t="shared" si="27"/>
        <v>7</v>
      </c>
      <c r="AF34" s="581">
        <f t="shared" ref="AF34" si="28">AE34+1</f>
        <v>8</v>
      </c>
      <c r="AG34" s="581">
        <f t="shared" ref="AG34" si="29">AF34+1</f>
        <v>9</v>
      </c>
      <c r="AH34" s="581">
        <f t="shared" ref="AH34" si="30">AG34+1</f>
        <v>10</v>
      </c>
      <c r="AI34" s="581">
        <v>10</v>
      </c>
      <c r="AJ34" s="175"/>
      <c r="AK34" s="175"/>
    </row>
    <row r="35" spans="1:39" collapsed="1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177"/>
      <c r="M35" s="177"/>
      <c r="N35" s="177"/>
      <c r="O35" s="177"/>
      <c r="P35" s="582"/>
      <c r="Q35" s="177" t="s">
        <v>449</v>
      </c>
      <c r="R35" s="582"/>
      <c r="S35" s="582"/>
      <c r="T35" s="582"/>
      <c r="U35" s="582"/>
      <c r="V35" s="582"/>
      <c r="W35" s="582"/>
      <c r="X35" s="582"/>
      <c r="Y35" s="582"/>
      <c r="Z35" s="307"/>
      <c r="AA35" s="307"/>
      <c r="AB35" s="307"/>
      <c r="AC35" s="307"/>
      <c r="AD35" s="307"/>
      <c r="AE35" s="307"/>
      <c r="AF35" s="307"/>
      <c r="AG35" s="307"/>
      <c r="AH35" s="582"/>
      <c r="AI35" s="582"/>
    </row>
    <row r="36" spans="1:39">
      <c r="A36" s="13" t="s">
        <v>89</v>
      </c>
      <c r="B36" s="13"/>
      <c r="C36" s="13"/>
      <c r="D36" s="13"/>
      <c r="E36" s="13"/>
      <c r="F36" s="13"/>
      <c r="G36" s="13"/>
      <c r="H36" s="13"/>
      <c r="I36" s="13"/>
      <c r="J36" s="13"/>
      <c r="K36" s="170"/>
      <c r="L36" s="170"/>
      <c r="M36" s="170"/>
      <c r="N36" s="170"/>
      <c r="V36" s="37"/>
      <c r="X36" s="92">
        <f ca="1">SUM(Y33:$AI$33)</f>
        <v>66381.067841642958</v>
      </c>
    </row>
    <row r="37" spans="1:39">
      <c r="A37" s="9" t="str">
        <f>CONCATENATE("Net Debt (cash), YE ",Y11)</f>
        <v>Net Debt (cash), YE 2024</v>
      </c>
      <c r="J37" s="92"/>
      <c r="K37" s="92"/>
      <c r="L37" s="92"/>
      <c r="M37" s="92"/>
      <c r="N37" s="92"/>
      <c r="O37" s="92"/>
      <c r="P37" s="92"/>
      <c r="W37" s="92"/>
      <c r="X37" s="92">
        <f>Financials!Y169</f>
        <v>29497.70370733054</v>
      </c>
      <c r="AA37" s="40"/>
      <c r="AF37" s="271" t="s">
        <v>420</v>
      </c>
      <c r="AG37" s="40"/>
      <c r="AH37" s="40"/>
      <c r="AI37" s="414">
        <f ca="1">AI33/X36</f>
        <v>0.61008002516412929</v>
      </c>
      <c r="AK37" s="2004"/>
      <c r="AL37" s="173"/>
    </row>
    <row r="38" spans="1:39">
      <c r="A38" s="171" t="s">
        <v>631</v>
      </c>
      <c r="K38" s="92"/>
      <c r="L38" s="92"/>
      <c r="M38" s="92"/>
      <c r="N38" s="92"/>
      <c r="O38" s="92"/>
      <c r="P38" s="92"/>
      <c r="X38" s="92"/>
      <c r="AA38" s="40"/>
      <c r="AF38" s="271" t="s">
        <v>97</v>
      </c>
      <c r="AG38" s="40"/>
      <c r="AH38" s="40"/>
      <c r="AI38" s="1417">
        <f>Inputs!$BM$336</f>
        <v>3.7437392108981324E-2</v>
      </c>
      <c r="AK38" s="2004"/>
      <c r="AL38" s="173"/>
    </row>
    <row r="39" spans="1:39">
      <c r="A39" s="9" t="s">
        <v>93</v>
      </c>
      <c r="K39" s="92"/>
      <c r="L39" s="92"/>
      <c r="M39" s="92"/>
      <c r="N39" s="92"/>
      <c r="O39" s="92"/>
      <c r="P39" s="92"/>
      <c r="V39" s="37"/>
      <c r="X39" s="92">
        <f ca="1">X36-X37-X38</f>
        <v>36883.364134312418</v>
      </c>
      <c r="AA39" s="178"/>
      <c r="AF39" s="475" t="s">
        <v>213</v>
      </c>
      <c r="AG39" s="178"/>
      <c r="AH39" s="178"/>
      <c r="AI39" s="179">
        <f>AVERAGE(Y46:AI46)</f>
        <v>9.5059827732311822E-2</v>
      </c>
      <c r="AK39" s="2004"/>
      <c r="AL39" s="173"/>
    </row>
    <row r="40" spans="1:39">
      <c r="A40" s="159" t="s">
        <v>485</v>
      </c>
      <c r="B40" s="159"/>
      <c r="C40" s="159"/>
      <c r="D40" s="159"/>
      <c r="E40" s="159"/>
      <c r="F40" s="159"/>
      <c r="G40" s="159"/>
      <c r="H40" s="159"/>
      <c r="I40" s="159"/>
      <c r="J40" s="159"/>
      <c r="K40" s="180"/>
      <c r="L40" s="181"/>
      <c r="M40" s="181"/>
      <c r="N40" s="181"/>
      <c r="O40" s="92"/>
      <c r="P40" s="92"/>
      <c r="V40" s="37"/>
      <c r="X40" s="92">
        <f>Financials!$Y$113</f>
        <v>815</v>
      </c>
      <c r="AA40" s="178"/>
      <c r="AF40" s="475" t="s">
        <v>43</v>
      </c>
      <c r="AG40" s="178"/>
      <c r="AH40" s="178"/>
      <c r="AI40" s="179">
        <f>+AVERAGE(Y55:AI55)</f>
        <v>0.12053768307256778</v>
      </c>
      <c r="AK40" s="2004"/>
      <c r="AL40" s="173"/>
    </row>
    <row r="41" spans="1:39">
      <c r="A41" s="443" t="s">
        <v>44</v>
      </c>
      <c r="B41" s="443"/>
      <c r="C41" s="443"/>
      <c r="D41" s="443"/>
      <c r="E41" s="443"/>
      <c r="F41" s="443"/>
      <c r="G41" s="443"/>
      <c r="H41" s="443"/>
      <c r="I41" s="443"/>
      <c r="J41" s="443"/>
      <c r="K41" s="444"/>
      <c r="L41" s="444"/>
      <c r="M41" s="444"/>
      <c r="N41" s="444"/>
      <c r="O41" s="444"/>
      <c r="P41" s="444"/>
      <c r="Q41" s="444"/>
      <c r="R41" s="444"/>
      <c r="S41" s="444"/>
      <c r="T41" s="444"/>
      <c r="U41" s="444"/>
      <c r="V41" s="444"/>
      <c r="W41" s="444"/>
      <c r="X41" s="442">
        <f ca="1">ROUND(X39/X40,0)</f>
        <v>45</v>
      </c>
      <c r="AM41" s="286"/>
    </row>
    <row r="42" spans="1:39">
      <c r="A42" s="182" t="s">
        <v>212</v>
      </c>
      <c r="B42" s="182"/>
      <c r="C42" s="182"/>
      <c r="D42" s="182"/>
      <c r="E42" s="182"/>
      <c r="F42" s="182"/>
      <c r="G42" s="182"/>
      <c r="H42" s="182"/>
      <c r="I42" s="182"/>
      <c r="J42" s="182"/>
      <c r="K42" s="183"/>
      <c r="L42" s="183"/>
      <c r="M42" s="183"/>
      <c r="N42" s="183"/>
      <c r="X42" s="37">
        <f ca="1">X41/B7-1</f>
        <v>-0.26542605288932419</v>
      </c>
      <c r="Y42" s="37"/>
      <c r="AA42" s="1785"/>
      <c r="AF42" s="466" t="s">
        <v>487</v>
      </c>
      <c r="AG42" s="1495"/>
      <c r="AH42" s="1496" t="s">
        <v>1522</v>
      </c>
    </row>
    <row r="43" spans="1:39">
      <c r="A43" s="182"/>
      <c r="B43" s="182"/>
      <c r="C43" s="182"/>
      <c r="D43" s="182"/>
      <c r="E43" s="182"/>
      <c r="F43" s="182"/>
      <c r="G43" s="182"/>
      <c r="H43" s="182"/>
      <c r="I43" s="182"/>
      <c r="J43" s="182"/>
      <c r="K43" s="183"/>
      <c r="L43" s="183"/>
      <c r="M43" s="183"/>
      <c r="N43" s="183"/>
      <c r="T43" s="37"/>
    </row>
    <row r="44" spans="1:39">
      <c r="K44" s="184"/>
      <c r="O44" s="600">
        <f>EOMONTH(P44,-12)</f>
        <v>42004</v>
      </c>
      <c r="P44" s="600">
        <f>EOMONTH(Q44,-12)</f>
        <v>42369</v>
      </c>
      <c r="Q44" s="600">
        <f>EOMONTH(R44,-12)</f>
        <v>42735</v>
      </c>
      <c r="R44" s="600">
        <f>EOMONTH(S44,-12)</f>
        <v>43100</v>
      </c>
      <c r="S44" s="600">
        <f>EOMONTH(T44,-12)</f>
        <v>43465</v>
      </c>
      <c r="T44" s="600">
        <v>43830</v>
      </c>
      <c r="U44" s="600">
        <f t="shared" ref="U44:Z44" si="31">EOMONTH(T44,12)</f>
        <v>44196</v>
      </c>
      <c r="V44" s="600">
        <f t="shared" si="31"/>
        <v>44561</v>
      </c>
      <c r="W44" s="600">
        <f t="shared" si="31"/>
        <v>44926</v>
      </c>
      <c r="X44" s="600">
        <f t="shared" si="31"/>
        <v>45291</v>
      </c>
      <c r="Y44" s="600">
        <f t="shared" si="31"/>
        <v>45657</v>
      </c>
      <c r="Z44" s="600">
        <f t="shared" si="31"/>
        <v>46022</v>
      </c>
      <c r="AA44" s="600">
        <f>EOMONTH(Z44,12)</f>
        <v>46387</v>
      </c>
      <c r="AB44" s="600">
        <f>EOMONTH(AA44,12)</f>
        <v>46752</v>
      </c>
      <c r="AC44" s="600">
        <f>EOMONTH(AB44,12)</f>
        <v>47118</v>
      </c>
      <c r="AD44" s="600">
        <f>EOMONTH(AC44,12)</f>
        <v>47483</v>
      </c>
      <c r="AE44" s="600">
        <f>EOMONTH(AD44,12)</f>
        <v>47848</v>
      </c>
      <c r="AF44" s="600">
        <f t="shared" ref="AF44:AG44" si="32">EOMONTH(AE44,12)</f>
        <v>48213</v>
      </c>
      <c r="AG44" s="600">
        <f t="shared" si="32"/>
        <v>48579</v>
      </c>
      <c r="AH44" s="600">
        <f>EOMONTH(AG44,12)</f>
        <v>48944</v>
      </c>
      <c r="AI44" s="600"/>
      <c r="AK44" s="600" t="s">
        <v>1465</v>
      </c>
      <c r="AL44" s="600"/>
    </row>
    <row r="45" spans="1:39">
      <c r="A45" s="226" t="s">
        <v>421</v>
      </c>
      <c r="B45" s="130"/>
      <c r="C45" s="130"/>
      <c r="D45" s="130"/>
      <c r="E45" s="130"/>
      <c r="F45" s="130"/>
      <c r="G45" s="130"/>
      <c r="H45" s="130"/>
      <c r="I45" s="130"/>
      <c r="J45" s="499">
        <f t="shared" ref="J45:AI45" si="33">J11</f>
        <v>2009</v>
      </c>
      <c r="K45" s="499">
        <f t="shared" si="33"/>
        <v>2010</v>
      </c>
      <c r="L45" s="499">
        <f t="shared" si="33"/>
        <v>2011</v>
      </c>
      <c r="M45" s="499">
        <f t="shared" si="33"/>
        <v>2012</v>
      </c>
      <c r="N45" s="499">
        <f t="shared" si="33"/>
        <v>2013</v>
      </c>
      <c r="O45" s="499">
        <f t="shared" si="33"/>
        <v>2014</v>
      </c>
      <c r="P45" s="499">
        <f t="shared" si="33"/>
        <v>2015</v>
      </c>
      <c r="Q45" s="499">
        <f t="shared" si="33"/>
        <v>2016</v>
      </c>
      <c r="R45" s="499">
        <f t="shared" si="33"/>
        <v>2017</v>
      </c>
      <c r="S45" s="499">
        <f t="shared" si="33"/>
        <v>2018</v>
      </c>
      <c r="T45" s="499">
        <f t="shared" si="33"/>
        <v>2019</v>
      </c>
      <c r="U45" s="499">
        <f t="shared" si="33"/>
        <v>2020</v>
      </c>
      <c r="V45" s="499">
        <f t="shared" si="33"/>
        <v>2021</v>
      </c>
      <c r="W45" s="499">
        <f t="shared" si="33"/>
        <v>2022</v>
      </c>
      <c r="X45" s="499">
        <f t="shared" si="33"/>
        <v>2023</v>
      </c>
      <c r="Y45" s="597">
        <f t="shared" si="33"/>
        <v>2024</v>
      </c>
      <c r="Z45" s="597">
        <f t="shared" si="33"/>
        <v>2025</v>
      </c>
      <c r="AA45" s="597">
        <f t="shared" si="33"/>
        <v>2026</v>
      </c>
      <c r="AB45" s="597">
        <f t="shared" si="33"/>
        <v>2027</v>
      </c>
      <c r="AC45" s="597">
        <f t="shared" si="33"/>
        <v>2028</v>
      </c>
      <c r="AD45" s="597">
        <f t="shared" si="33"/>
        <v>2029</v>
      </c>
      <c r="AE45" s="597">
        <f t="shared" si="33"/>
        <v>2030</v>
      </c>
      <c r="AF45" s="597">
        <f t="shared" si="33"/>
        <v>2031</v>
      </c>
      <c r="AG45" s="597">
        <f t="shared" si="33"/>
        <v>2032</v>
      </c>
      <c r="AH45" s="597">
        <f t="shared" si="33"/>
        <v>2033</v>
      </c>
      <c r="AI45" s="160" t="str">
        <f t="shared" si="33"/>
        <v>TV</v>
      </c>
      <c r="AK45" s="600" t="s">
        <v>1463</v>
      </c>
      <c r="AL45" s="600" t="s">
        <v>1464</v>
      </c>
    </row>
    <row r="46" spans="1:39">
      <c r="A46" s="9" t="s">
        <v>213</v>
      </c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580"/>
      <c r="U46" s="580"/>
      <c r="V46" s="580"/>
      <c r="W46" s="580"/>
      <c r="X46" s="580">
        <f t="shared" ref="X46:AI46" si="34">X55*X59/(X59+X58)+X57*X58/(X58+X59)</f>
        <v>9.6156124415457955E-2</v>
      </c>
      <c r="Y46" s="580">
        <f t="shared" si="34"/>
        <v>9.3323743904300815E-2</v>
      </c>
      <c r="Z46" s="580">
        <f t="shared" si="34"/>
        <v>9.6329441266713459E-2</v>
      </c>
      <c r="AA46" s="580">
        <f t="shared" si="34"/>
        <v>9.5803628434605131E-2</v>
      </c>
      <c r="AB46" s="580">
        <f t="shared" si="34"/>
        <v>9.534961489229711E-2</v>
      </c>
      <c r="AC46" s="580">
        <f t="shared" si="34"/>
        <v>9.5307878327916096E-2</v>
      </c>
      <c r="AD46" s="580">
        <f t="shared" si="34"/>
        <v>9.5208522612540897E-2</v>
      </c>
      <c r="AE46" s="580">
        <f t="shared" ref="AE46:AG46" si="35">AE55*AE59/(AE59+AE58)+AE57*AE58/(AE58+AE59)</f>
        <v>9.5111503274349696E-2</v>
      </c>
      <c r="AF46" s="580">
        <f t="shared" si="35"/>
        <v>9.5014917190697989E-2</v>
      </c>
      <c r="AG46" s="580">
        <f t="shared" si="35"/>
        <v>9.4809746946643125E-2</v>
      </c>
      <c r="AH46" s="580">
        <f t="shared" ref="AH46" si="36">AH55*AH59/(AH59+AH58)+AH57*AH58/(AH58+AH59)</f>
        <v>9.4699554102682965E-2</v>
      </c>
      <c r="AI46" s="580">
        <f t="shared" si="34"/>
        <v>9.4699554102682965E-2</v>
      </c>
      <c r="AK46" s="580">
        <v>8.256128543080779E-2</v>
      </c>
      <c r="AL46" s="580">
        <v>0.1372517768844129</v>
      </c>
    </row>
    <row r="47" spans="1:39">
      <c r="A47" s="9" t="s">
        <v>214</v>
      </c>
      <c r="K47" s="403"/>
      <c r="L47" s="186"/>
      <c r="M47" s="186"/>
      <c r="N47" s="186"/>
      <c r="P47" s="186"/>
      <c r="Q47" s="185"/>
      <c r="R47" s="185"/>
      <c r="S47" s="185"/>
      <c r="T47" s="580"/>
      <c r="U47" s="580"/>
      <c r="V47" s="580"/>
      <c r="W47" s="580"/>
      <c r="X47" s="580">
        <f>INDEX(Inputs!$A$229:$CX$229,MATCH(DCF!X$44,Inputs!$A$8:$BQ$8))</f>
        <v>0.25731901619321323</v>
      </c>
      <c r="Y47" s="580">
        <f>INDEX(Inputs!$A$229:$CX$229,MATCH(DCF!Y$44,Inputs!$A$8:$BQ$8))</f>
        <v>0.34</v>
      </c>
      <c r="Z47" s="580">
        <f>INDEX(Inputs!$A$229:$CX$229,MATCH(DCF!Z$44,Inputs!$A$8:$CX$8))</f>
        <v>0.34</v>
      </c>
      <c r="AA47" s="580">
        <f>INDEX(Inputs!$A$229:$CX$229,MATCH(DCF!AA$44,Inputs!$A$8:$CX$8))</f>
        <v>0.34</v>
      </c>
      <c r="AB47" s="580">
        <f>INDEX(Inputs!$A$229:$CX$229,MATCH(DCF!AB$44,Inputs!$A$8:$CX$8))</f>
        <v>0.34</v>
      </c>
      <c r="AC47" s="580">
        <f>INDEX(Inputs!$A$229:$CX$229,MATCH(DCF!AC$44,Inputs!$A$8:$CX$8))</f>
        <v>0.34</v>
      </c>
      <c r="AD47" s="580">
        <f>INDEX(Inputs!$A$229:$CX$229,MATCH(DCF!AD$44,Inputs!$A$8:$CX$8))</f>
        <v>0.34</v>
      </c>
      <c r="AE47" s="580">
        <f>INDEX(Inputs!$A$229:$CX$229,MATCH(DCF!AE$44,Inputs!$A$8:$CX$8))</f>
        <v>0.34</v>
      </c>
      <c r="AF47" s="580">
        <f>INDEX(Inputs!$A$229:$CX$229,MATCH(DCF!AF$44,Inputs!$A$8:$CX$8))</f>
        <v>0.34</v>
      </c>
      <c r="AG47" s="580">
        <f>INDEX(Inputs!$A$229:$CX$229,MATCH(DCF!AG$44,Inputs!$A$8:$CX$8))</f>
        <v>0.34</v>
      </c>
      <c r="AH47" s="580">
        <f>INDEX(Inputs!$A$229:$CX$229,MATCH(DCF!AH$44,Inputs!$A$8:$CX$8))</f>
        <v>0.34</v>
      </c>
      <c r="AI47" s="580">
        <f>+AH47</f>
        <v>0.34</v>
      </c>
      <c r="AK47" s="580">
        <v>0.36000000000000021</v>
      </c>
      <c r="AL47" s="580">
        <v>0.33999999999999958</v>
      </c>
    </row>
    <row r="48" spans="1:39">
      <c r="A48" s="9" t="s">
        <v>1301</v>
      </c>
      <c r="K48" s="403"/>
      <c r="L48" s="186"/>
      <c r="M48" s="186"/>
      <c r="N48" s="186"/>
      <c r="P48" s="186"/>
      <c r="Q48" s="1111"/>
      <c r="R48" s="1111"/>
      <c r="S48" s="1111"/>
      <c r="T48" s="1112"/>
      <c r="U48" s="1112"/>
      <c r="V48" s="1112"/>
      <c r="W48" s="1112"/>
      <c r="X48" s="1112">
        <f t="shared" ref="X48:AC48" si="37">X49*(1+(1-X47)*X50)</f>
        <v>1.0271284304912671</v>
      </c>
      <c r="Y48" s="1112">
        <f t="shared" si="37"/>
        <v>1.0194808883243471</v>
      </c>
      <c r="Z48" s="1112">
        <f t="shared" si="37"/>
        <v>1.0457112990854243</v>
      </c>
      <c r="AA48" s="1112">
        <f t="shared" si="37"/>
        <v>1.0789020325892187</v>
      </c>
      <c r="AB48" s="1112">
        <f t="shared" si="37"/>
        <v>1.1081403629917526</v>
      </c>
      <c r="AC48" s="1112">
        <f t="shared" si="37"/>
        <v>1.1115840846375045</v>
      </c>
      <c r="AD48" s="1112">
        <f t="shared" ref="AD48:AG48" si="38">AD49*(1+(1-AD47)*AD50)</f>
        <v>1.1150587134960572</v>
      </c>
      <c r="AE48" s="1112">
        <f t="shared" si="38"/>
        <v>1.1185645269579501</v>
      </c>
      <c r="AF48" s="1112">
        <f t="shared" si="38"/>
        <v>1.1221018049032865</v>
      </c>
      <c r="AG48" s="1112">
        <f t="shared" si="38"/>
        <v>1.1349548236491311</v>
      </c>
      <c r="AH48" s="1112">
        <f t="shared" ref="AH48" si="39">AH49*(1+(1-AH47)*AH50)</f>
        <v>1.1400398700351404</v>
      </c>
      <c r="AI48" s="1112">
        <f>+AH48</f>
        <v>1.1400398700351404</v>
      </c>
      <c r="AK48" s="1112">
        <v>1.0056480064644646</v>
      </c>
      <c r="AL48" s="1112">
        <v>1.9389968690807018</v>
      </c>
    </row>
    <row r="49" spans="1:38">
      <c r="A49" s="9" t="s">
        <v>1302</v>
      </c>
      <c r="K49" s="696"/>
      <c r="L49" s="150"/>
      <c r="M49" s="150"/>
      <c r="N49" s="150"/>
      <c r="Q49" s="1269">
        <v>0.7</v>
      </c>
      <c r="R49" s="262"/>
      <c r="S49" s="262"/>
      <c r="T49" s="459"/>
      <c r="U49" s="459"/>
      <c r="V49" s="459"/>
      <c r="W49" s="459"/>
      <c r="X49" s="459">
        <f t="shared" ref="X49:AI49" si="40">+$Q$49</f>
        <v>0.7</v>
      </c>
      <c r="Y49" s="459">
        <f t="shared" si="40"/>
        <v>0.7</v>
      </c>
      <c r="Z49" s="459">
        <f t="shared" si="40"/>
        <v>0.7</v>
      </c>
      <c r="AA49" s="459">
        <f t="shared" si="40"/>
        <v>0.7</v>
      </c>
      <c r="AB49" s="459">
        <f t="shared" si="40"/>
        <v>0.7</v>
      </c>
      <c r="AC49" s="459">
        <f t="shared" si="40"/>
        <v>0.7</v>
      </c>
      <c r="AD49" s="459">
        <f t="shared" si="40"/>
        <v>0.7</v>
      </c>
      <c r="AE49" s="459">
        <f t="shared" si="40"/>
        <v>0.7</v>
      </c>
      <c r="AF49" s="459">
        <f t="shared" si="40"/>
        <v>0.7</v>
      </c>
      <c r="AG49" s="459">
        <f t="shared" si="40"/>
        <v>0.7</v>
      </c>
      <c r="AH49" s="459">
        <f t="shared" si="40"/>
        <v>0.7</v>
      </c>
      <c r="AI49" s="459">
        <f t="shared" si="40"/>
        <v>0.7</v>
      </c>
      <c r="AK49" s="459">
        <v>0.6</v>
      </c>
      <c r="AL49" s="459">
        <v>1</v>
      </c>
    </row>
    <row r="50" spans="1:38">
      <c r="A50" s="9" t="s">
        <v>1300</v>
      </c>
      <c r="K50" s="696"/>
      <c r="L50" s="150"/>
      <c r="M50" s="150"/>
      <c r="N50" s="150"/>
      <c r="Q50" s="1269"/>
      <c r="R50" s="262"/>
      <c r="S50" s="262"/>
      <c r="T50" s="459"/>
      <c r="U50" s="459"/>
      <c r="V50" s="459"/>
      <c r="W50" s="459"/>
      <c r="X50" s="459">
        <f>X58/X59</f>
        <v>0.62924235231909054</v>
      </c>
      <c r="Y50" s="459">
        <f t="shared" ref="Y50:AI50" si="41">Y58/Y59</f>
        <v>0.6915170742951241</v>
      </c>
      <c r="Z50" s="459">
        <f t="shared" si="41"/>
        <v>0.74829285516325639</v>
      </c>
      <c r="AA50" s="459">
        <f t="shared" si="41"/>
        <v>0.82013426967363379</v>
      </c>
      <c r="AB50" s="459">
        <f t="shared" si="41"/>
        <v>0.88342069911634791</v>
      </c>
      <c r="AC50" s="459">
        <f t="shared" si="41"/>
        <v>0.89087464207252043</v>
      </c>
      <c r="AD50" s="459">
        <f t="shared" si="41"/>
        <v>0.89839548375769995</v>
      </c>
      <c r="AE50" s="459">
        <f t="shared" si="41"/>
        <v>0.9059838245843076</v>
      </c>
      <c r="AF50" s="459">
        <f t="shared" si="41"/>
        <v>0.91364027035343442</v>
      </c>
      <c r="AG50" s="459">
        <f t="shared" si="41"/>
        <v>0.94146065724920225</v>
      </c>
      <c r="AH50" s="459">
        <f t="shared" si="41"/>
        <v>0.95246725115831266</v>
      </c>
      <c r="AI50" s="459">
        <f t="shared" si="41"/>
        <v>0.95246725115831266</v>
      </c>
      <c r="AK50" s="459">
        <v>1.0563750168345436</v>
      </c>
      <c r="AL50" s="459">
        <v>1.4227225289101535</v>
      </c>
    </row>
    <row r="51" spans="1:38">
      <c r="A51" s="9" t="s">
        <v>215</v>
      </c>
      <c r="J51" s="187"/>
      <c r="K51" s="404"/>
      <c r="L51" s="185"/>
      <c r="M51" s="185"/>
      <c r="N51" s="185"/>
      <c r="Q51" s="1270">
        <v>4.5999999999999999E-2</v>
      </c>
      <c r="R51" s="185"/>
      <c r="S51" s="185"/>
      <c r="T51" s="580"/>
      <c r="U51" s="580"/>
      <c r="V51" s="580"/>
      <c r="W51" s="580"/>
      <c r="X51" s="580">
        <f t="shared" ref="X51:AI51" si="42">+$Q$51</f>
        <v>4.5999999999999999E-2</v>
      </c>
      <c r="Y51" s="580">
        <f t="shared" si="42"/>
        <v>4.5999999999999999E-2</v>
      </c>
      <c r="Z51" s="580">
        <f t="shared" si="42"/>
        <v>4.5999999999999999E-2</v>
      </c>
      <c r="AA51" s="580">
        <f t="shared" si="42"/>
        <v>4.5999999999999999E-2</v>
      </c>
      <c r="AB51" s="580">
        <f t="shared" si="42"/>
        <v>4.5999999999999999E-2</v>
      </c>
      <c r="AC51" s="580">
        <f t="shared" si="42"/>
        <v>4.5999999999999999E-2</v>
      </c>
      <c r="AD51" s="580">
        <f t="shared" si="42"/>
        <v>4.5999999999999999E-2</v>
      </c>
      <c r="AE51" s="580">
        <f t="shared" si="42"/>
        <v>4.5999999999999999E-2</v>
      </c>
      <c r="AF51" s="580">
        <f t="shared" si="42"/>
        <v>4.5999999999999999E-2</v>
      </c>
      <c r="AG51" s="580">
        <f t="shared" si="42"/>
        <v>4.5999999999999999E-2</v>
      </c>
      <c r="AH51" s="580">
        <f t="shared" si="42"/>
        <v>4.5999999999999999E-2</v>
      </c>
      <c r="AI51" s="580">
        <f t="shared" si="42"/>
        <v>4.5999999999999999E-2</v>
      </c>
      <c r="AK51" s="580">
        <v>4.2000000000000003E-2</v>
      </c>
      <c r="AL51" s="580">
        <v>9.7153305782232247E-2</v>
      </c>
    </row>
    <row r="52" spans="1:38">
      <c r="A52" s="171" t="s">
        <v>216</v>
      </c>
      <c r="J52" s="187"/>
      <c r="L52" s="185"/>
      <c r="M52" s="185"/>
      <c r="N52" s="185"/>
      <c r="Q52" s="1270">
        <v>0.04</v>
      </c>
      <c r="R52" s="185"/>
      <c r="S52" s="185"/>
      <c r="T52" s="580"/>
      <c r="U52" s="580"/>
      <c r="V52" s="580"/>
      <c r="W52" s="580"/>
      <c r="X52" s="580">
        <f t="shared" ref="X52:AI52" si="43">+$Q$52</f>
        <v>0.04</v>
      </c>
      <c r="Y52" s="580">
        <f t="shared" si="43"/>
        <v>0.04</v>
      </c>
      <c r="Z52" s="580">
        <f t="shared" si="43"/>
        <v>0.04</v>
      </c>
      <c r="AA52" s="580">
        <f t="shared" si="43"/>
        <v>0.04</v>
      </c>
      <c r="AB52" s="580">
        <f t="shared" si="43"/>
        <v>0.04</v>
      </c>
      <c r="AC52" s="580">
        <f t="shared" si="43"/>
        <v>0.04</v>
      </c>
      <c r="AD52" s="580">
        <f t="shared" si="43"/>
        <v>0.04</v>
      </c>
      <c r="AE52" s="580">
        <f t="shared" si="43"/>
        <v>0.04</v>
      </c>
      <c r="AF52" s="580">
        <f t="shared" si="43"/>
        <v>0.04</v>
      </c>
      <c r="AG52" s="580">
        <f t="shared" si="43"/>
        <v>0.04</v>
      </c>
      <c r="AH52" s="580">
        <f t="shared" si="43"/>
        <v>0.04</v>
      </c>
      <c r="AI52" s="580">
        <f t="shared" si="43"/>
        <v>0.04</v>
      </c>
      <c r="AK52" s="580">
        <v>0.04</v>
      </c>
      <c r="AL52" s="580">
        <v>0.04</v>
      </c>
    </row>
    <row r="53" spans="1:38">
      <c r="A53" s="9" t="s">
        <v>217</v>
      </c>
      <c r="J53" s="187"/>
      <c r="L53" s="185"/>
      <c r="M53" s="185"/>
      <c r="N53" s="185"/>
      <c r="Q53" s="1271"/>
      <c r="R53" s="185"/>
      <c r="S53" s="185"/>
      <c r="T53" s="580"/>
      <c r="U53" s="580"/>
      <c r="V53" s="580"/>
      <c r="W53" s="580"/>
      <c r="X53" s="580">
        <f t="shared" ref="X53:AI53" si="44">+X66</f>
        <v>1.7549336586026969E-2</v>
      </c>
      <c r="Y53" s="580">
        <f t="shared" si="44"/>
        <v>1.6902564052084078E-2</v>
      </c>
      <c r="Z53" s="580">
        <f t="shared" si="44"/>
        <v>1.6740484777628302E-2</v>
      </c>
      <c r="AA53" s="580">
        <f>+AA66</f>
        <v>1.6644198510947537E-2</v>
      </c>
      <c r="AB53" s="580">
        <f>+AB66</f>
        <v>1.6514085828334069E-2</v>
      </c>
      <c r="AC53" s="580">
        <f>+AC66</f>
        <v>1.6517172626931753E-2</v>
      </c>
      <c r="AD53" s="580">
        <f t="shared" ref="AD53:AG53" si="45">+AD66</f>
        <v>1.6410983695371036E-2</v>
      </c>
      <c r="AE53" s="580">
        <f t="shared" si="45"/>
        <v>1.6308479753245744E-2</v>
      </c>
      <c r="AF53" s="580">
        <f t="shared" si="45"/>
        <v>1.6206058913119995E-2</v>
      </c>
      <c r="AG53" s="580">
        <f t="shared" si="45"/>
        <v>1.6104486719479602E-2</v>
      </c>
      <c r="AH53" s="580">
        <f>+AH66</f>
        <v>1.6004487000556965E-2</v>
      </c>
      <c r="AI53" s="580">
        <f t="shared" si="44"/>
        <v>1.6004487000556965E-2</v>
      </c>
      <c r="AK53" s="580">
        <v>2.6175717884109564E-2</v>
      </c>
      <c r="AL53" s="580">
        <v>0</v>
      </c>
    </row>
    <row r="54" spans="1:38">
      <c r="A54" s="9" t="s">
        <v>112</v>
      </c>
      <c r="J54" s="185"/>
      <c r="K54" s="403"/>
      <c r="L54" s="185"/>
      <c r="M54" s="185"/>
      <c r="N54" s="185"/>
      <c r="Q54" s="1271"/>
      <c r="R54" s="185"/>
      <c r="S54" s="185"/>
      <c r="T54" s="580"/>
      <c r="U54" s="580"/>
      <c r="V54" s="580"/>
      <c r="W54" s="580"/>
      <c r="X54" s="580">
        <f t="shared" ref="X54:AI54" si="46">+X72</f>
        <v>5.3879888653809438E-3</v>
      </c>
      <c r="Y54" s="580">
        <f t="shared" si="46"/>
        <v>8.6280600165411503E-3</v>
      </c>
      <c r="Z54" s="580">
        <f t="shared" si="46"/>
        <v>1.4554583383524999E-2</v>
      </c>
      <c r="AA54" s="580">
        <f>+AA72</f>
        <v>1.4554583383524999E-2</v>
      </c>
      <c r="AB54" s="580">
        <f>+AB72</f>
        <v>1.4554583383524999E-2</v>
      </c>
      <c r="AC54" s="580">
        <f>+AC72</f>
        <v>1.4554583383524999E-2</v>
      </c>
      <c r="AD54" s="580">
        <f t="shared" ref="AD54:AG54" si="47">+AD72</f>
        <v>1.4554583383524999E-2</v>
      </c>
      <c r="AE54" s="580">
        <f t="shared" si="47"/>
        <v>1.4554583383524999E-2</v>
      </c>
      <c r="AF54" s="580">
        <f t="shared" si="47"/>
        <v>1.4554583383524999E-2</v>
      </c>
      <c r="AG54" s="580">
        <f t="shared" si="47"/>
        <v>1.4554583383524999E-2</v>
      </c>
      <c r="AH54" s="580">
        <f>+AH72</f>
        <v>1.4554583383524999E-2</v>
      </c>
      <c r="AI54" s="580">
        <f t="shared" si="46"/>
        <v>1.4554583383524999E-2</v>
      </c>
      <c r="AK54" s="580">
        <v>0</v>
      </c>
      <c r="AL54" s="580">
        <v>0</v>
      </c>
    </row>
    <row r="55" spans="1:38">
      <c r="A55" s="9" t="s">
        <v>43</v>
      </c>
      <c r="J55" s="185"/>
      <c r="K55" s="185"/>
      <c r="L55" s="185"/>
      <c r="M55" s="185"/>
      <c r="N55" s="185"/>
      <c r="Q55" s="1271"/>
      <c r="R55" s="185"/>
      <c r="S55" s="185"/>
      <c r="T55" s="580"/>
      <c r="U55" s="580"/>
      <c r="V55" s="580"/>
      <c r="W55" s="580"/>
      <c r="X55" s="580">
        <f>X51+X48*X52+X53+X54</f>
        <v>0.11002246267105861</v>
      </c>
      <c r="Y55" s="580">
        <f>Y51+Y48*Y52+Y53+Y54</f>
        <v>0.11230985960159912</v>
      </c>
      <c r="Z55" s="580">
        <f t="shared" ref="Z55:AI55" si="48">Z51+Z48*Z52+Z53+Z54</f>
        <v>0.11912352012457028</v>
      </c>
      <c r="AA55" s="580">
        <f>AA51+AA48*AA52+AA53+AA54</f>
        <v>0.12035486319804128</v>
      </c>
      <c r="AB55" s="580">
        <f>AB51+AB48*AB52+AB53+AB54</f>
        <v>0.12139428373152918</v>
      </c>
      <c r="AC55" s="580">
        <f>AC51+AC48*AC52+AC53+AC54</f>
        <v>0.12153511939595693</v>
      </c>
      <c r="AD55" s="580">
        <f t="shared" ref="AD55:AG55" si="49">AD51+AD48*AD52+AD53+AD54</f>
        <v>0.12156791561873831</v>
      </c>
      <c r="AE55" s="580">
        <f>AE51+AE48*AE52+AE53+AE54</f>
        <v>0.12160564421508875</v>
      </c>
      <c r="AF55" s="580">
        <f t="shared" si="49"/>
        <v>0.12164471449277645</v>
      </c>
      <c r="AG55" s="580">
        <f t="shared" si="49"/>
        <v>0.12205726304896984</v>
      </c>
      <c r="AH55" s="580">
        <f>AH51+AH48*AH52+AH53+AH54</f>
        <v>0.12216066518548759</v>
      </c>
      <c r="AI55" s="580">
        <f t="shared" si="48"/>
        <v>0.12216066518548759</v>
      </c>
      <c r="AK55" s="580">
        <v>0.10840163814268815</v>
      </c>
      <c r="AL55" s="580">
        <v>0.17471318054546031</v>
      </c>
    </row>
    <row r="56" spans="1:38">
      <c r="A56" s="9" t="s">
        <v>218</v>
      </c>
      <c r="J56" s="185"/>
      <c r="K56" s="403"/>
      <c r="L56" s="185"/>
      <c r="M56" s="185"/>
      <c r="N56" s="185"/>
      <c r="Q56" s="1270">
        <f>Q_BS!BK134-0.5%</f>
        <v>9.98E-2</v>
      </c>
      <c r="R56" s="185"/>
      <c r="S56" s="185"/>
      <c r="T56" s="580"/>
      <c r="U56" s="580"/>
      <c r="V56" s="580"/>
      <c r="W56" s="580"/>
      <c r="X56" s="580">
        <f t="shared" ref="X56:AI56" si="50">+$Q$56</f>
        <v>9.98E-2</v>
      </c>
      <c r="Y56" s="580">
        <f t="shared" si="50"/>
        <v>9.98E-2</v>
      </c>
      <c r="Z56" s="580">
        <f>+$Q$56</f>
        <v>9.98E-2</v>
      </c>
      <c r="AA56" s="580">
        <f t="shared" si="50"/>
        <v>9.98E-2</v>
      </c>
      <c r="AB56" s="580">
        <f t="shared" si="50"/>
        <v>9.98E-2</v>
      </c>
      <c r="AC56" s="580">
        <f t="shared" si="50"/>
        <v>9.98E-2</v>
      </c>
      <c r="AD56" s="580">
        <f t="shared" si="50"/>
        <v>9.98E-2</v>
      </c>
      <c r="AE56" s="580">
        <f>+$Q$56</f>
        <v>9.98E-2</v>
      </c>
      <c r="AF56" s="580">
        <f t="shared" si="50"/>
        <v>9.98E-2</v>
      </c>
      <c r="AG56" s="580">
        <f t="shared" si="50"/>
        <v>9.98E-2</v>
      </c>
      <c r="AH56" s="580">
        <f t="shared" si="50"/>
        <v>9.98E-2</v>
      </c>
      <c r="AI56" s="580">
        <f t="shared" si="50"/>
        <v>9.98E-2</v>
      </c>
      <c r="AK56" s="580">
        <v>8.8257855370715232E-2</v>
      </c>
      <c r="AL56" s="580">
        <v>0.10715330578223224</v>
      </c>
    </row>
    <row r="57" spans="1:38">
      <c r="A57" s="9" t="s">
        <v>219</v>
      </c>
      <c r="J57" s="185"/>
      <c r="K57" s="185"/>
      <c r="L57" s="185"/>
      <c r="M57" s="185"/>
      <c r="N57" s="185"/>
      <c r="P57" s="185"/>
      <c r="Q57" s="185"/>
      <c r="R57" s="185"/>
      <c r="S57" s="185"/>
      <c r="T57" s="580"/>
      <c r="U57" s="580"/>
      <c r="V57" s="580"/>
      <c r="W57" s="580"/>
      <c r="X57" s="580">
        <f t="shared" ref="X57:AI57" si="51">X56*(1-X47)</f>
        <v>7.4119562183917312E-2</v>
      </c>
      <c r="Y57" s="580">
        <f t="shared" si="51"/>
        <v>6.5867999999999996E-2</v>
      </c>
      <c r="Z57" s="580">
        <f t="shared" si="51"/>
        <v>6.5867999999999996E-2</v>
      </c>
      <c r="AA57" s="580">
        <f>AA56*(1-AA47)</f>
        <v>6.5867999999999996E-2</v>
      </c>
      <c r="AB57" s="580">
        <f>AB56*(1-AB47)</f>
        <v>6.5867999999999996E-2</v>
      </c>
      <c r="AC57" s="580">
        <f>AC56*(1-AC47)</f>
        <v>6.5867999999999996E-2</v>
      </c>
      <c r="AD57" s="580">
        <f t="shared" ref="AD57:AG57" si="52">AD56*(1-AD47)</f>
        <v>6.5867999999999996E-2</v>
      </c>
      <c r="AE57" s="580">
        <f t="shared" si="52"/>
        <v>6.5867999999999996E-2</v>
      </c>
      <c r="AF57" s="580">
        <f t="shared" si="52"/>
        <v>6.5867999999999996E-2</v>
      </c>
      <c r="AG57" s="580">
        <f t="shared" si="52"/>
        <v>6.5867999999999996E-2</v>
      </c>
      <c r="AH57" s="580">
        <f>AH56*(1-AH47)</f>
        <v>6.5867999999999996E-2</v>
      </c>
      <c r="AI57" s="580">
        <f t="shared" si="51"/>
        <v>6.5867999999999996E-2</v>
      </c>
      <c r="AK57" s="580">
        <v>5.648502743725773E-2</v>
      </c>
      <c r="AL57" s="580">
        <v>7.0721181816273321E-2</v>
      </c>
    </row>
    <row r="58" spans="1:38">
      <c r="A58" s="9" t="s">
        <v>220</v>
      </c>
      <c r="J58" s="92"/>
      <c r="K58" s="92"/>
      <c r="L58" s="92"/>
      <c r="M58" s="92"/>
      <c r="N58" s="92"/>
      <c r="O58" s="92"/>
      <c r="P58" s="92"/>
      <c r="Q58" s="1448"/>
      <c r="R58" s="1448"/>
      <c r="S58" s="1448"/>
      <c r="T58" s="583"/>
      <c r="U58" s="583"/>
      <c r="V58" s="583"/>
      <c r="W58" s="583"/>
      <c r="X58" s="583">
        <f>Financials!X135</f>
        <v>31416.120000000003</v>
      </c>
      <c r="Y58" s="583">
        <f>Financials!Y135</f>
        <v>34525.30381662523</v>
      </c>
      <c r="Z58" s="583">
        <f>Financials!Z135</f>
        <v>37359.942550450389</v>
      </c>
      <c r="AA58" s="583">
        <f>Financials!AA135</f>
        <v>40946.76166856855</v>
      </c>
      <c r="AB58" s="583">
        <f>Financials!AB135</f>
        <v>44106.456902711994</v>
      </c>
      <c r="AC58" s="583">
        <f>Financials!AC135</f>
        <v>44478.609167290524</v>
      </c>
      <c r="AD58" s="583">
        <f>Financials!AD135</f>
        <v>44854.101478022312</v>
      </c>
      <c r="AE58" s="583">
        <f>Financials!AE135</f>
        <v>45232.96381163827</v>
      </c>
      <c r="AF58" s="583">
        <f>Financials!AF135</f>
        <v>45615.226413908887</v>
      </c>
      <c r="AG58" s="583">
        <f>Financials!AG135</f>
        <v>47004.212088415195</v>
      </c>
      <c r="AH58" s="583">
        <f>Financials!AH135</f>
        <v>47553.737201855962</v>
      </c>
      <c r="AI58" s="583">
        <f>+AH58</f>
        <v>47553.737201855962</v>
      </c>
      <c r="AK58" s="583">
        <v>1680.7110000000002</v>
      </c>
      <c r="AL58" s="583">
        <v>2049.4365000000003</v>
      </c>
    </row>
    <row r="59" spans="1:38">
      <c r="A59" s="9" t="s">
        <v>221</v>
      </c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583"/>
      <c r="W59" s="583"/>
      <c r="X59" s="583">
        <f>Financials!$Y$189</f>
        <v>49926.9</v>
      </c>
      <c r="Y59" s="583">
        <f>Financials!$Y$189</f>
        <v>49926.9</v>
      </c>
      <c r="Z59" s="583">
        <f>Financials!$Y$189</f>
        <v>49926.9</v>
      </c>
      <c r="AA59" s="583">
        <f>Financials!$Y$189</f>
        <v>49926.9</v>
      </c>
      <c r="AB59" s="583">
        <f>Financials!$Y$189</f>
        <v>49926.9</v>
      </c>
      <c r="AC59" s="583">
        <f>Financials!$Y$189</f>
        <v>49926.9</v>
      </c>
      <c r="AD59" s="583">
        <f>Financials!$Y$189</f>
        <v>49926.9</v>
      </c>
      <c r="AE59" s="583">
        <f>Financials!$Y$189</f>
        <v>49926.9</v>
      </c>
      <c r="AF59" s="583">
        <f>Financials!$Y$189</f>
        <v>49926.9</v>
      </c>
      <c r="AG59" s="583">
        <f>Financials!$Y$189</f>
        <v>49926.9</v>
      </c>
      <c r="AH59" s="583">
        <f>Financials!$Y$189</f>
        <v>49926.9</v>
      </c>
      <c r="AI59" s="583">
        <f>Financials!$Y$189</f>
        <v>49926.9</v>
      </c>
      <c r="AK59" s="583">
        <v>1696.0547767</v>
      </c>
      <c r="AL59" s="583">
        <v>1646.6255730600003</v>
      </c>
    </row>
    <row r="60" spans="1:38">
      <c r="R60" s="40"/>
      <c r="S60" s="40"/>
      <c r="T60" s="40"/>
      <c r="U60" s="40"/>
      <c r="V60" s="40"/>
    </row>
    <row r="61" spans="1:38">
      <c r="A61" s="9" t="s">
        <v>1117</v>
      </c>
      <c r="R61" s="40"/>
    </row>
    <row r="62" spans="1:38">
      <c r="A62" s="36" t="s">
        <v>731</v>
      </c>
      <c r="R62" s="1118">
        <f>+Financials!R73/Financials!R$72</f>
        <v>0.63039568345323738</v>
      </c>
      <c r="S62" s="1118">
        <f>+Financials!S73/Financials!S$72</f>
        <v>0.63967479674796746</v>
      </c>
      <c r="T62" s="1118">
        <f>+Financials!T73/Financials!T$72</f>
        <v>0.55288032816122701</v>
      </c>
      <c r="U62" s="1118">
        <f>+Financials!U73/Financials!U$72</f>
        <v>0.65892898184325444</v>
      </c>
      <c r="V62" s="1118">
        <f>+Financials!V73/Financials!V$72</f>
        <v>0.55977800771329134</v>
      </c>
      <c r="W62" s="1118">
        <f>+Financials!W73/Financials!W$72</f>
        <v>0.59307155733207928</v>
      </c>
      <c r="X62" s="1118">
        <f>+Financials!X73/Financials!X$72</f>
        <v>0.61021887917598427</v>
      </c>
      <c r="Y62" s="1118">
        <f>+Financials!Y73/Financials!Y$72</f>
        <v>0.66434649606143881</v>
      </c>
      <c r="Z62" s="1118">
        <f>+Financials!Z73/Financials!Z$72</f>
        <v>0.64897263772337943</v>
      </c>
      <c r="AA62" s="1118">
        <f>+Financials!AA73/Financials!AA$72</f>
        <v>0.64426527750990825</v>
      </c>
      <c r="AB62" s="1118">
        <f>+Financials!AB73/Financials!AB$72</f>
        <v>0.64178089843395003</v>
      </c>
      <c r="AC62" s="1118">
        <f>+Financials!AC73/Financials!AC$72</f>
        <v>0.64031441409501211</v>
      </c>
      <c r="AD62" s="1118">
        <f>+Financials!AD73/Financials!AD$72</f>
        <v>0.63573947476154946</v>
      </c>
      <c r="AE62" s="1118">
        <f>+Financials!AE73/Financials!AE$72</f>
        <v>0.63116989144352076</v>
      </c>
      <c r="AF62" s="1118">
        <f>+Financials!AF73/Financials!AF$72</f>
        <v>0.62640151877218397</v>
      </c>
      <c r="AG62" s="1118">
        <f>+Financials!AG73/Financials!AG$72</f>
        <v>0.6216161039634065</v>
      </c>
      <c r="AH62" s="1118">
        <f>+Financials!AH73/Financials!AH$72</f>
        <v>0.61678952893955785</v>
      </c>
      <c r="AI62" s="1118">
        <f>+AH62</f>
        <v>0.61678952893955785</v>
      </c>
    </row>
    <row r="63" spans="1:38">
      <c r="A63" s="36" t="s">
        <v>949</v>
      </c>
      <c r="R63" s="1118">
        <f>+Financials!R74/Financials!R$72</f>
        <v>0.19401978417266186</v>
      </c>
      <c r="S63" s="1118">
        <f>+Financials!S74/Financials!S$72</f>
        <v>0.20769647696476964</v>
      </c>
      <c r="T63" s="1118">
        <f>+Financials!T74/Financials!T$72</f>
        <v>0.33449259853754237</v>
      </c>
      <c r="U63" s="1118">
        <f>+Financials!U74/Financials!U$72</f>
        <v>0.27281084808090095</v>
      </c>
      <c r="V63" s="1118">
        <f>+Financials!V74/Financials!V$72</f>
        <v>0.32188881572758915</v>
      </c>
      <c r="W63" s="1118">
        <f>+Financials!W74/Financials!W$72</f>
        <v>0.25268437965357787</v>
      </c>
      <c r="X63" s="1118">
        <f>+Financials!X74/Financials!X$72</f>
        <v>0.239953920173477</v>
      </c>
      <c r="Y63" s="1118">
        <f>+Financials!Y74/Financials!Y$72</f>
        <v>0.22814137664933917</v>
      </c>
      <c r="Z63" s="1118">
        <f>+Financials!Z74/Financials!Z$72</f>
        <v>0.2436462445999692</v>
      </c>
      <c r="AA63" s="1118">
        <f>+Financials!AA74/Financials!AA$72</f>
        <v>0.25003317109882373</v>
      </c>
      <c r="AB63" s="1118">
        <f>+Financials!AB74/Financials!AB$72</f>
        <v>0.25619019873876997</v>
      </c>
      <c r="AC63" s="1118">
        <f>+Financials!AC74/Financials!AC$72</f>
        <v>0.25701748464872859</v>
      </c>
      <c r="AD63" s="1118">
        <f>+Financials!AD74/Financials!AD$72</f>
        <v>0.26366786517776575</v>
      </c>
      <c r="AE63" s="1118">
        <f>+Financials!AE74/Financials!AE$72</f>
        <v>0.27018534849402409</v>
      </c>
      <c r="AF63" s="1118">
        <f>+Financials!AF74/Financials!AF$72</f>
        <v>0.27682675706174065</v>
      </c>
      <c r="AG63" s="1118">
        <f>+Financials!AG74/Financials!AG$72</f>
        <v>0.28344922110136811</v>
      </c>
      <c r="AH63" s="1118">
        <f>+Financials!AH74/Financials!AH$72</f>
        <v>0.29004269690445061</v>
      </c>
      <c r="AI63" s="1118">
        <f t="shared" ref="AI63:AI64" si="53">+AH63</f>
        <v>0.29004269690445061</v>
      </c>
    </row>
    <row r="64" spans="1:38">
      <c r="A64" s="36" t="s">
        <v>733</v>
      </c>
      <c r="R64" s="1118">
        <f>+Financials!R75/Financials!R$72</f>
        <v>0.17558453237410071</v>
      </c>
      <c r="S64" s="1118">
        <f>+Financials!S75/Financials!S$72</f>
        <v>0.15262872628726287</v>
      </c>
      <c r="T64" s="1118">
        <f>+Financials!T75/Financials!T$72</f>
        <v>0.1126270733012306</v>
      </c>
      <c r="U64" s="1118">
        <f>+Financials!U75/Financials!U$72</f>
        <v>6.8260170075844631E-2</v>
      </c>
      <c r="V64" s="1118">
        <f>+Financials!V75/Financials!V$72</f>
        <v>0.11833317655911955</v>
      </c>
      <c r="W64" s="1118">
        <f>+Financials!W75/Financials!W$72</f>
        <v>0.15424406301434282</v>
      </c>
      <c r="X64" s="1118">
        <f>+Financials!X75/Financials!X$72</f>
        <v>0.14982720065053873</v>
      </c>
      <c r="Y64" s="1118">
        <f>+Financials!Y75/Financials!Y$72</f>
        <v>0.10751212728922209</v>
      </c>
      <c r="Z64" s="1118">
        <f>+Financials!Z75/Financials!Z$72</f>
        <v>0.10738111767665126</v>
      </c>
      <c r="AA64" s="1118">
        <f>+Financials!AA75/Financials!AA$72</f>
        <v>0.10570155139126786</v>
      </c>
      <c r="AB64" s="1118">
        <f>+Financials!AB75/Financials!AB$72</f>
        <v>0.10202890282727986</v>
      </c>
      <c r="AC64" s="1118">
        <f>+Financials!AC75/Financials!AC$72</f>
        <v>0.10266810125625903</v>
      </c>
      <c r="AD64" s="1118">
        <f>+Financials!AD75/Financials!AD$72</f>
        <v>0.10059266006068449</v>
      </c>
      <c r="AE64" s="1118">
        <f>+Financials!AE75/Financials!AE$72</f>
        <v>9.8644760062455428E-2</v>
      </c>
      <c r="AF64" s="1118">
        <f>+Financials!AF75/Financials!AF$72</f>
        <v>9.6771724166075268E-2</v>
      </c>
      <c r="AG64" s="1118">
        <f>+Financials!AG75/Financials!AG$72</f>
        <v>9.4934674935225408E-2</v>
      </c>
      <c r="AH64" s="1118">
        <f>+Financials!AH75/Financials!AH$72</f>
        <v>9.3167774155991617E-2</v>
      </c>
      <c r="AI64" s="1118">
        <f t="shared" si="53"/>
        <v>9.3167774155991617E-2</v>
      </c>
    </row>
    <row r="65" spans="1:35">
      <c r="A65" s="36"/>
      <c r="R65" s="40"/>
      <c r="S65" s="1118"/>
      <c r="T65" s="1118"/>
      <c r="U65" s="1118"/>
      <c r="V65" s="1118"/>
      <c r="W65" s="1118"/>
      <c r="X65" s="1118"/>
      <c r="Y65" s="1118"/>
      <c r="Z65" s="1118"/>
      <c r="AA65" s="1118"/>
      <c r="AB65" s="1118"/>
      <c r="AC65" s="1118"/>
      <c r="AD65" s="1118"/>
      <c r="AE65" s="1118"/>
      <c r="AF65" s="1118"/>
      <c r="AG65" s="1118"/>
      <c r="AH65" s="1118"/>
      <c r="AI65" s="1118"/>
    </row>
    <row r="66" spans="1:35">
      <c r="A66" s="9" t="s">
        <v>1118</v>
      </c>
      <c r="R66" s="580">
        <f>+SUMPRODUCT(R62:R64,R67:R69)</f>
        <v>1.8490211330935251E-2</v>
      </c>
      <c r="S66" s="580">
        <f>+SUMPRODUCT(S62:S64,S67:S69)</f>
        <v>1.7932463956639565E-2</v>
      </c>
      <c r="T66" s="580">
        <f t="shared" ref="T66:AI66" si="54">+SUMPRODUCT(T62:T64,T67:T69)</f>
        <v>1.5900033886213659E-2</v>
      </c>
      <c r="U66" s="580">
        <f t="shared" si="54"/>
        <v>1.572965295334406E-2</v>
      </c>
      <c r="V66" s="580">
        <f t="shared" si="54"/>
        <v>1.6133475684319443E-2</v>
      </c>
      <c r="W66" s="580">
        <f t="shared" si="54"/>
        <v>1.7498423073908614E-2</v>
      </c>
      <c r="X66" s="580">
        <f t="shared" si="54"/>
        <v>1.7549336586026969E-2</v>
      </c>
      <c r="Y66" s="580">
        <f t="shared" si="54"/>
        <v>1.6902564052084078E-2</v>
      </c>
      <c r="Z66" s="580">
        <f t="shared" si="54"/>
        <v>1.6740484777628302E-2</v>
      </c>
      <c r="AA66" s="580">
        <f>+SUMPRODUCT(AA62:AA64,AA67:AA69)</f>
        <v>1.6644198510947537E-2</v>
      </c>
      <c r="AB66" s="580">
        <f>+SUMPRODUCT(AB62:AB64,AB67:AB69)</f>
        <v>1.6514085828334069E-2</v>
      </c>
      <c r="AC66" s="580">
        <f>+SUMPRODUCT(AC62:AC64,AC67:AC69)</f>
        <v>1.6517172626931753E-2</v>
      </c>
      <c r="AD66" s="580">
        <f>+SUMPRODUCT(AD62:AD64,AD67:AD69)</f>
        <v>1.6410983695371036E-2</v>
      </c>
      <c r="AE66" s="580">
        <f>+SUMPRODUCT(AE62:AE64,AE67:AE69)</f>
        <v>1.6308479753245744E-2</v>
      </c>
      <c r="AF66" s="580">
        <f t="shared" ref="AF66:AG66" si="55">+SUMPRODUCT(AF62:AF64,AF67:AF69)</f>
        <v>1.6206058913119995E-2</v>
      </c>
      <c r="AG66" s="580">
        <f t="shared" si="55"/>
        <v>1.6104486719479602E-2</v>
      </c>
      <c r="AH66" s="580">
        <f>+SUMPRODUCT(AH62:AH64,AH67:AH69)</f>
        <v>1.6004487000556965E-2</v>
      </c>
      <c r="AI66" s="580">
        <f t="shared" si="54"/>
        <v>1.6004487000556965E-2</v>
      </c>
    </row>
    <row r="67" spans="1:35">
      <c r="A67" s="36" t="s">
        <v>731</v>
      </c>
      <c r="P67" s="1270">
        <v>1.7299999999999999E-2</v>
      </c>
      <c r="R67" s="580">
        <f t="shared" ref="R67:AI67" si="56">+$P$67</f>
        <v>1.7299999999999999E-2</v>
      </c>
      <c r="S67" s="580">
        <f t="shared" si="56"/>
        <v>1.7299999999999999E-2</v>
      </c>
      <c r="T67" s="580">
        <f t="shared" si="56"/>
        <v>1.7299999999999999E-2</v>
      </c>
      <c r="U67" s="580">
        <f t="shared" si="56"/>
        <v>1.7299999999999999E-2</v>
      </c>
      <c r="V67" s="580">
        <f t="shared" si="56"/>
        <v>1.7299999999999999E-2</v>
      </c>
      <c r="W67" s="580">
        <f t="shared" si="56"/>
        <v>1.7299999999999999E-2</v>
      </c>
      <c r="X67" s="580">
        <f t="shared" si="56"/>
        <v>1.7299999999999999E-2</v>
      </c>
      <c r="Y67" s="580">
        <f t="shared" si="56"/>
        <v>1.7299999999999999E-2</v>
      </c>
      <c r="Z67" s="580">
        <f t="shared" si="56"/>
        <v>1.7299999999999999E-2</v>
      </c>
      <c r="AA67" s="580">
        <f t="shared" si="56"/>
        <v>1.7299999999999999E-2</v>
      </c>
      <c r="AB67" s="580">
        <f t="shared" si="56"/>
        <v>1.7299999999999999E-2</v>
      </c>
      <c r="AC67" s="580">
        <f t="shared" si="56"/>
        <v>1.7299999999999999E-2</v>
      </c>
      <c r="AD67" s="580">
        <f t="shared" si="56"/>
        <v>1.7299999999999999E-2</v>
      </c>
      <c r="AE67" s="580">
        <f t="shared" si="56"/>
        <v>1.7299999999999999E-2</v>
      </c>
      <c r="AF67" s="580">
        <f t="shared" si="56"/>
        <v>1.7299999999999999E-2</v>
      </c>
      <c r="AG67" s="580">
        <f t="shared" si="56"/>
        <v>1.7299999999999999E-2</v>
      </c>
      <c r="AH67" s="580">
        <f t="shared" si="56"/>
        <v>1.7299999999999999E-2</v>
      </c>
      <c r="AI67" s="580">
        <f t="shared" si="56"/>
        <v>1.7299999999999999E-2</v>
      </c>
    </row>
    <row r="68" spans="1:35">
      <c r="A68" s="36" t="s">
        <v>949</v>
      </c>
      <c r="P68" s="1270">
        <v>7.0000000000000001E-3</v>
      </c>
      <c r="R68" s="580">
        <f t="shared" ref="R68:AI68" si="57">+$P$68</f>
        <v>7.0000000000000001E-3</v>
      </c>
      <c r="S68" s="580">
        <f t="shared" si="57"/>
        <v>7.0000000000000001E-3</v>
      </c>
      <c r="T68" s="580">
        <f t="shared" si="57"/>
        <v>7.0000000000000001E-3</v>
      </c>
      <c r="U68" s="580">
        <f t="shared" si="57"/>
        <v>7.0000000000000001E-3</v>
      </c>
      <c r="V68" s="580">
        <f t="shared" si="57"/>
        <v>7.0000000000000001E-3</v>
      </c>
      <c r="W68" s="580">
        <f t="shared" si="57"/>
        <v>7.0000000000000001E-3</v>
      </c>
      <c r="X68" s="580">
        <f t="shared" si="57"/>
        <v>7.0000000000000001E-3</v>
      </c>
      <c r="Y68" s="580">
        <f t="shared" si="57"/>
        <v>7.0000000000000001E-3</v>
      </c>
      <c r="Z68" s="580">
        <f t="shared" si="57"/>
        <v>7.0000000000000001E-3</v>
      </c>
      <c r="AA68" s="580">
        <f t="shared" si="57"/>
        <v>7.0000000000000001E-3</v>
      </c>
      <c r="AB68" s="580">
        <f t="shared" si="57"/>
        <v>7.0000000000000001E-3</v>
      </c>
      <c r="AC68" s="580">
        <f t="shared" si="57"/>
        <v>7.0000000000000001E-3</v>
      </c>
      <c r="AD68" s="580">
        <f t="shared" si="57"/>
        <v>7.0000000000000001E-3</v>
      </c>
      <c r="AE68" s="580">
        <f t="shared" si="57"/>
        <v>7.0000000000000001E-3</v>
      </c>
      <c r="AF68" s="580">
        <f t="shared" si="57"/>
        <v>7.0000000000000001E-3</v>
      </c>
      <c r="AG68" s="580">
        <f t="shared" si="57"/>
        <v>7.0000000000000001E-3</v>
      </c>
      <c r="AH68" s="580">
        <f t="shared" si="57"/>
        <v>7.0000000000000001E-3</v>
      </c>
      <c r="AI68" s="580">
        <f t="shared" si="57"/>
        <v>7.0000000000000001E-3</v>
      </c>
    </row>
    <row r="69" spans="1:35">
      <c r="A69" s="36" t="s">
        <v>733</v>
      </c>
      <c r="P69" s="1270">
        <f>18%*10%+1.08%*45%+2.8%*45%</f>
        <v>3.5459999999999998E-2</v>
      </c>
      <c r="R69" s="580">
        <f t="shared" ref="R69:AI69" si="58">+$P$69</f>
        <v>3.5459999999999998E-2</v>
      </c>
      <c r="S69" s="580">
        <f t="shared" si="58"/>
        <v>3.5459999999999998E-2</v>
      </c>
      <c r="T69" s="580">
        <f t="shared" si="58"/>
        <v>3.5459999999999998E-2</v>
      </c>
      <c r="U69" s="580">
        <f t="shared" si="58"/>
        <v>3.5459999999999998E-2</v>
      </c>
      <c r="V69" s="580">
        <f t="shared" si="58"/>
        <v>3.5459999999999998E-2</v>
      </c>
      <c r="W69" s="580">
        <f t="shared" si="58"/>
        <v>3.5459999999999998E-2</v>
      </c>
      <c r="X69" s="580">
        <f t="shared" si="58"/>
        <v>3.5459999999999998E-2</v>
      </c>
      <c r="Y69" s="580">
        <f t="shared" si="58"/>
        <v>3.5459999999999998E-2</v>
      </c>
      <c r="Z69" s="580">
        <f t="shared" si="58"/>
        <v>3.5459999999999998E-2</v>
      </c>
      <c r="AA69" s="580">
        <f t="shared" si="58"/>
        <v>3.5459999999999998E-2</v>
      </c>
      <c r="AB69" s="580">
        <f t="shared" si="58"/>
        <v>3.5459999999999998E-2</v>
      </c>
      <c r="AC69" s="580">
        <f t="shared" si="58"/>
        <v>3.5459999999999998E-2</v>
      </c>
      <c r="AD69" s="580">
        <f t="shared" si="58"/>
        <v>3.5459999999999998E-2</v>
      </c>
      <c r="AE69" s="580">
        <f t="shared" si="58"/>
        <v>3.5459999999999998E-2</v>
      </c>
      <c r="AF69" s="580">
        <f t="shared" si="58"/>
        <v>3.5459999999999998E-2</v>
      </c>
      <c r="AG69" s="580">
        <f t="shared" si="58"/>
        <v>3.5459999999999998E-2</v>
      </c>
      <c r="AH69" s="580">
        <f t="shared" si="58"/>
        <v>3.5459999999999998E-2</v>
      </c>
      <c r="AI69" s="580">
        <f t="shared" si="58"/>
        <v>3.5459999999999998E-2</v>
      </c>
    </row>
    <row r="70" spans="1:35">
      <c r="A70" s="36"/>
      <c r="R70" s="40"/>
    </row>
    <row r="71" spans="1:35" hidden="1" outlineLevel="1">
      <c r="A71" s="9" t="s">
        <v>1119</v>
      </c>
      <c r="R71" s="580">
        <f>+SUMPRODUCT(R62:R64,R72:R74)</f>
        <v>4.6992625589744458E-2</v>
      </c>
      <c r="S71" s="580">
        <f>+SUMPRODUCT(S62:S64,S72:S74)</f>
        <v>4.2509165521202062E-2</v>
      </c>
      <c r="T71" s="580">
        <f t="shared" ref="T71:AI71" si="59">+SUMPRODUCT(T62:T64,T72:T74)</f>
        <v>2.7923501668258841E-2</v>
      </c>
      <c r="U71" s="580">
        <f t="shared" si="59"/>
        <v>3.27447512165812E-2</v>
      </c>
      <c r="V71" s="580">
        <f t="shared" si="59"/>
        <v>3.5950630914938018E-2</v>
      </c>
      <c r="W71" s="580">
        <f t="shared" si="59"/>
        <v>7.6580935220826069E-2</v>
      </c>
      <c r="X71" s="580">
        <f t="shared" si="59"/>
        <v>0.14329187400120519</v>
      </c>
      <c r="Y71" s="580">
        <f t="shared" si="59"/>
        <v>7.664876794903118E-2</v>
      </c>
      <c r="Z71" s="580">
        <f t="shared" si="59"/>
        <v>2.6608570036097602E-2</v>
      </c>
      <c r="AA71" s="580">
        <f t="shared" si="59"/>
        <v>3.1522302883673692E-2</v>
      </c>
      <c r="AB71" s="580">
        <f t="shared" si="59"/>
        <v>3.1028431009781459E-2</v>
      </c>
      <c r="AC71" s="580">
        <f t="shared" si="59"/>
        <v>3.1126624932827765E-2</v>
      </c>
      <c r="AD71" s="580">
        <f t="shared" si="59"/>
        <v>3.0867972643929049E-2</v>
      </c>
      <c r="AE71" s="580">
        <f t="shared" si="59"/>
        <v>3.0626992757343492E-2</v>
      </c>
      <c r="AF71" s="580">
        <f t="shared" ref="AF71:AH71" si="60">+SUMPRODUCT(AF62:AF64,AF72:AF74)</f>
        <v>3.0397687757057562E-2</v>
      </c>
      <c r="AG71" s="580">
        <f t="shared" si="60"/>
        <v>3.0173488736340244E-2</v>
      </c>
      <c r="AH71" s="580">
        <f t="shared" si="60"/>
        <v>2.9959293928697402E-2</v>
      </c>
      <c r="AI71" s="580">
        <f t="shared" si="59"/>
        <v>2.9959293928697402E-2</v>
      </c>
    </row>
    <row r="72" spans="1:35" hidden="1" outlineLevel="1">
      <c r="A72" s="36" t="s">
        <v>731</v>
      </c>
      <c r="O72" s="403"/>
      <c r="R72" s="580">
        <v>4.5769902570471865E-2</v>
      </c>
      <c r="S72" s="580">
        <v>2.3735625487799616E-2</v>
      </c>
      <c r="T72" s="580">
        <v>1.0103899561341834E-2</v>
      </c>
      <c r="U72" s="580">
        <v>1.9269511608055456E-2</v>
      </c>
      <c r="V72" s="580">
        <v>2.5359197159866564E-2</v>
      </c>
      <c r="W72" s="580">
        <v>-1.6941789199437229E-3</v>
      </c>
      <c r="X72" s="580">
        <v>5.3879888653809438E-3</v>
      </c>
      <c r="Y72" s="580">
        <v>8.6280600165411503E-3</v>
      </c>
      <c r="Z72" s="580">
        <v>1.4554583383524999E-2</v>
      </c>
      <c r="AA72" s="580">
        <f>+Z72</f>
        <v>1.4554583383524999E-2</v>
      </c>
      <c r="AB72" s="580">
        <f t="shared" ref="AB72:AE72" si="61">+AA72</f>
        <v>1.4554583383524999E-2</v>
      </c>
      <c r="AC72" s="580">
        <f t="shared" si="61"/>
        <v>1.4554583383524999E-2</v>
      </c>
      <c r="AD72" s="580">
        <f t="shared" si="61"/>
        <v>1.4554583383524999E-2</v>
      </c>
      <c r="AE72" s="580">
        <f t="shared" si="61"/>
        <v>1.4554583383524999E-2</v>
      </c>
      <c r="AF72" s="580">
        <f t="shared" ref="AF72" si="62">+AE72</f>
        <v>1.4554583383524999E-2</v>
      </c>
      <c r="AG72" s="580">
        <f t="shared" ref="AG72:AH72" si="63">+AF72</f>
        <v>1.4554583383524999E-2</v>
      </c>
      <c r="AH72" s="580">
        <f t="shared" si="63"/>
        <v>1.4554583383524999E-2</v>
      </c>
      <c r="AI72" s="580">
        <f>+AH72</f>
        <v>1.4554583383524999E-2</v>
      </c>
    </row>
    <row r="73" spans="1:35" hidden="1" outlineLevel="1">
      <c r="A73" s="36" t="s">
        <v>949</v>
      </c>
      <c r="O73" s="403"/>
      <c r="R73" s="580">
        <v>-7.8277886497064575E-3</v>
      </c>
      <c r="S73" s="580">
        <v>-1.8367346938775397E-2</v>
      </c>
      <c r="T73" s="580">
        <v>-1.2707722385141618E-2</v>
      </c>
      <c r="U73" s="580">
        <v>3.2091097308488692E-2</v>
      </c>
      <c r="V73" s="580">
        <v>-1.0406811731314969E-2</v>
      </c>
      <c r="W73" s="580">
        <v>7.8431372549019773E-2</v>
      </c>
      <c r="X73" s="580">
        <v>2.4390243902439046E-2</v>
      </c>
      <c r="Y73" s="580">
        <v>-9.7560975609745082E-4</v>
      </c>
      <c r="Z73" s="580">
        <v>0</v>
      </c>
      <c r="AA73" s="580">
        <v>2.0999999999999908E-2</v>
      </c>
      <c r="AB73" s="580">
        <v>2.0999999999999908E-2</v>
      </c>
      <c r="AC73" s="580">
        <v>2.0999999999999908E-2</v>
      </c>
      <c r="AD73" s="580">
        <v>2.0999999999999908E-2</v>
      </c>
      <c r="AE73" s="580">
        <v>2.0999999999999908E-2</v>
      </c>
      <c r="AF73" s="580">
        <v>2.0999999999999908E-2</v>
      </c>
      <c r="AG73" s="580">
        <v>2.0999999999999908E-2</v>
      </c>
      <c r="AH73" s="580">
        <v>2.0999999999999908E-2</v>
      </c>
      <c r="AI73" s="580">
        <f>+AH73</f>
        <v>2.0999999999999908E-2</v>
      </c>
    </row>
    <row r="74" spans="1:35" hidden="1" outlineLevel="1">
      <c r="A74" s="36" t="s">
        <v>733</v>
      </c>
      <c r="O74" s="403"/>
      <c r="R74" s="580">
        <v>0.11195873677372205</v>
      </c>
      <c r="S74" s="580">
        <v>0.20403051325587865</v>
      </c>
      <c r="T74" s="580">
        <v>0.23607017980538519</v>
      </c>
      <c r="U74" s="580">
        <v>0.16543633083459169</v>
      </c>
      <c r="V74" s="580">
        <v>0.21215475731550079</v>
      </c>
      <c r="W74" s="580">
        <v>0.37451893255675517</v>
      </c>
      <c r="X74" s="580">
        <v>0.89537471336250252</v>
      </c>
      <c r="Y74" s="580">
        <v>0.66168650231139514</v>
      </c>
      <c r="Z74" s="580">
        <v>0.15983297657981457</v>
      </c>
      <c r="AA74" s="580">
        <f t="shared" ref="AA74:AE74" si="64">+Z74</f>
        <v>0.15983297657981457</v>
      </c>
      <c r="AB74" s="580">
        <f t="shared" si="64"/>
        <v>0.15983297657981457</v>
      </c>
      <c r="AC74" s="580">
        <f t="shared" si="64"/>
        <v>0.15983297657981457</v>
      </c>
      <c r="AD74" s="580">
        <f t="shared" si="64"/>
        <v>0.15983297657981457</v>
      </c>
      <c r="AE74" s="580">
        <f t="shared" si="64"/>
        <v>0.15983297657981457</v>
      </c>
      <c r="AF74" s="580">
        <f t="shared" ref="AF74" si="65">+AE74</f>
        <v>0.15983297657981457</v>
      </c>
      <c r="AG74" s="580">
        <f t="shared" ref="AG74:AH74" si="66">+AF74</f>
        <v>0.15983297657981457</v>
      </c>
      <c r="AH74" s="580">
        <f t="shared" si="66"/>
        <v>0.15983297657981457</v>
      </c>
      <c r="AI74" s="580">
        <f>+AH74</f>
        <v>0.15983297657981457</v>
      </c>
    </row>
    <row r="75" spans="1:35" hidden="1" outlineLevel="1">
      <c r="A75" s="36"/>
    </row>
    <row r="76" spans="1:35" collapsed="1">
      <c r="A76" s="130" t="s">
        <v>10</v>
      </c>
      <c r="B76" s="130"/>
      <c r="C76" s="130"/>
      <c r="D76" s="130"/>
      <c r="E76" s="130"/>
      <c r="F76" s="130"/>
      <c r="G76" s="130"/>
      <c r="H76" s="130"/>
      <c r="I76" s="130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</row>
    <row r="77" spans="1:35">
      <c r="R77" s="866"/>
    </row>
    <row r="78" spans="1:35">
      <c r="Q78" s="197"/>
      <c r="R78" s="188" t="s">
        <v>11</v>
      </c>
      <c r="S78" s="189"/>
      <c r="T78" s="270"/>
      <c r="U78" s="190" t="s">
        <v>288</v>
      </c>
      <c r="V78" s="270"/>
      <c r="W78" s="270"/>
      <c r="AB78" s="188" t="s">
        <v>11</v>
      </c>
      <c r="AC78" s="189"/>
      <c r="AD78" s="270"/>
      <c r="AE78" s="190" t="s">
        <v>213</v>
      </c>
      <c r="AF78" s="270"/>
      <c r="AG78" s="270"/>
    </row>
    <row r="79" spans="1:35">
      <c r="Q79" s="197"/>
      <c r="R79" s="191">
        <v>90</v>
      </c>
      <c r="S79" s="192">
        <v>0.11396441159541526</v>
      </c>
      <c r="T79" s="193">
        <v>0.12396441159541526</v>
      </c>
      <c r="U79" s="194">
        <v>0.13396441159541525</v>
      </c>
      <c r="V79" s="193">
        <v>0.14396441159541526</v>
      </c>
      <c r="W79" s="195">
        <v>0.15396441159541527</v>
      </c>
      <c r="X79" s="196"/>
      <c r="AB79" s="191">
        <v>65</v>
      </c>
      <c r="AC79" s="193">
        <v>8.6000000000000007E-2</v>
      </c>
      <c r="AD79" s="193">
        <v>9.6000000000000002E-2</v>
      </c>
      <c r="AE79" s="194">
        <v>0.106</v>
      </c>
      <c r="AF79" s="193">
        <v>0.11599999999999999</v>
      </c>
      <c r="AG79" s="193">
        <v>0.126</v>
      </c>
    </row>
    <row r="80" spans="1:35">
      <c r="Q80" s="197"/>
      <c r="R80" s="198">
        <v>5.5E-2</v>
      </c>
      <c r="S80" s="199">
        <v>145</v>
      </c>
      <c r="T80" s="200">
        <v>145</v>
      </c>
      <c r="U80" s="201">
        <v>145</v>
      </c>
      <c r="V80" s="200">
        <v>145</v>
      </c>
      <c r="W80" s="200">
        <v>145</v>
      </c>
      <c r="AB80" s="202">
        <v>2.8000000000000001E-2</v>
      </c>
      <c r="AC80" s="199">
        <v>59</v>
      </c>
      <c r="AD80" s="200">
        <v>52</v>
      </c>
      <c r="AE80" s="201">
        <v>46</v>
      </c>
      <c r="AF80" s="200">
        <v>40</v>
      </c>
      <c r="AG80" s="200">
        <v>34</v>
      </c>
    </row>
    <row r="81" spans="1:37">
      <c r="Q81" s="197"/>
      <c r="R81" s="202">
        <v>0.05</v>
      </c>
      <c r="S81" s="203">
        <v>124</v>
      </c>
      <c r="T81" s="204">
        <v>124</v>
      </c>
      <c r="U81" s="205">
        <v>124</v>
      </c>
      <c r="V81" s="204">
        <v>124</v>
      </c>
      <c r="W81" s="204">
        <v>124</v>
      </c>
      <c r="Y81" s="1455"/>
      <c r="AB81" s="202">
        <v>3.3000000000000002E-2</v>
      </c>
      <c r="AC81" s="203">
        <v>65</v>
      </c>
      <c r="AD81" s="204">
        <v>57</v>
      </c>
      <c r="AE81" s="205">
        <v>50</v>
      </c>
      <c r="AF81" s="204">
        <v>44</v>
      </c>
      <c r="AG81" s="204">
        <v>38</v>
      </c>
    </row>
    <row r="82" spans="1:37">
      <c r="Q82" s="206" t="s">
        <v>12</v>
      </c>
      <c r="R82" s="207">
        <v>4.5000000000000005E-2</v>
      </c>
      <c r="S82" s="208">
        <v>108</v>
      </c>
      <c r="T82" s="205">
        <v>108</v>
      </c>
      <c r="U82" s="205">
        <v>108</v>
      </c>
      <c r="V82" s="205">
        <v>108</v>
      </c>
      <c r="W82" s="205">
        <v>108</v>
      </c>
      <c r="Y82" s="1456"/>
      <c r="AB82" s="207">
        <v>3.7999999999999999E-2</v>
      </c>
      <c r="AC82" s="208">
        <v>71</v>
      </c>
      <c r="AD82" s="205">
        <v>63</v>
      </c>
      <c r="AE82" s="205">
        <v>56</v>
      </c>
      <c r="AF82" s="205">
        <v>49</v>
      </c>
      <c r="AG82" s="205">
        <v>43</v>
      </c>
    </row>
    <row r="83" spans="1:37">
      <c r="Q83" s="209"/>
      <c r="R83" s="202">
        <v>4.0000000000000008E-2</v>
      </c>
      <c r="S83" s="203">
        <v>96</v>
      </c>
      <c r="T83" s="204">
        <v>96</v>
      </c>
      <c r="U83" s="205">
        <v>96</v>
      </c>
      <c r="V83" s="204">
        <v>96</v>
      </c>
      <c r="W83" s="204">
        <v>96</v>
      </c>
      <c r="AB83" s="202">
        <v>4.2999999999999997E-2</v>
      </c>
      <c r="AC83" s="203">
        <v>79</v>
      </c>
      <c r="AD83" s="204">
        <v>70</v>
      </c>
      <c r="AE83" s="205">
        <v>62</v>
      </c>
      <c r="AF83" s="204">
        <v>55</v>
      </c>
      <c r="AG83" s="204">
        <v>48</v>
      </c>
    </row>
    <row r="84" spans="1:37">
      <c r="Q84" s="209"/>
      <c r="R84" s="210">
        <v>3.500000000000001E-2</v>
      </c>
      <c r="S84" s="211">
        <v>85</v>
      </c>
      <c r="T84" s="204">
        <v>85</v>
      </c>
      <c r="U84" s="205">
        <v>85</v>
      </c>
      <c r="V84" s="204">
        <v>85</v>
      </c>
      <c r="W84" s="204">
        <v>85</v>
      </c>
      <c r="AB84" s="202">
        <v>4.7999999999999994E-2</v>
      </c>
      <c r="AC84" s="211">
        <v>88</v>
      </c>
      <c r="AD84" s="204">
        <v>79</v>
      </c>
      <c r="AE84" s="205">
        <v>70</v>
      </c>
      <c r="AF84" s="204">
        <v>62</v>
      </c>
      <c r="AG84" s="204">
        <v>54</v>
      </c>
    </row>
    <row r="85" spans="1:37">
      <c r="A85" s="212"/>
      <c r="Q85" s="1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3"/>
    </row>
    <row r="86" spans="1:37">
      <c r="A86" s="212"/>
      <c r="Q86" s="197"/>
      <c r="R86" s="188" t="s">
        <v>212</v>
      </c>
      <c r="S86" s="189"/>
      <c r="T86" s="270"/>
      <c r="U86" s="190" t="s">
        <v>288</v>
      </c>
      <c r="V86" s="270"/>
      <c r="W86" s="270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3"/>
    </row>
    <row r="87" spans="1:37">
      <c r="A87" s="212"/>
      <c r="Q87" s="197"/>
      <c r="R87" s="213">
        <v>9.7828738716760233E-2</v>
      </c>
      <c r="S87" s="192">
        <v>0.11396441159541526</v>
      </c>
      <c r="T87" s="193">
        <v>0.12396441159541526</v>
      </c>
      <c r="U87" s="194">
        <v>0.13396441159541525</v>
      </c>
      <c r="V87" s="193">
        <v>0.14396441159541526</v>
      </c>
      <c r="W87" s="195">
        <v>0.15396441159541527</v>
      </c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</row>
    <row r="88" spans="1:37">
      <c r="A88" s="212"/>
      <c r="Q88" s="197"/>
      <c r="R88" s="198">
        <v>5.5E-2</v>
      </c>
      <c r="S88" s="214">
        <v>0.76872407904366913</v>
      </c>
      <c r="T88" s="215">
        <v>0.76872407904366913</v>
      </c>
      <c r="U88" s="216">
        <v>0.76872407904366913</v>
      </c>
      <c r="V88" s="215">
        <v>0.76872407904366913</v>
      </c>
      <c r="W88" s="215">
        <v>0.76872407904366913</v>
      </c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</row>
    <row r="89" spans="1:37">
      <c r="A89" s="212"/>
      <c r="Q89" s="197"/>
      <c r="R89" s="202">
        <v>0.05</v>
      </c>
      <c r="S89" s="217">
        <v>0.51256404000975841</v>
      </c>
      <c r="T89" s="218">
        <v>0.51256404000975841</v>
      </c>
      <c r="U89" s="219">
        <v>0.51256404000975841</v>
      </c>
      <c r="V89" s="218">
        <v>0.51256404000975841</v>
      </c>
      <c r="W89" s="218">
        <v>0.51256404000975841</v>
      </c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</row>
    <row r="90" spans="1:37">
      <c r="A90" s="212"/>
      <c r="Q90" s="206" t="s">
        <v>12</v>
      </c>
      <c r="R90" s="207">
        <v>4.5000000000000005E-2</v>
      </c>
      <c r="S90" s="220">
        <v>0.31739448646011215</v>
      </c>
      <c r="T90" s="219">
        <v>0.31739448646011215</v>
      </c>
      <c r="U90" s="219">
        <v>0.31739448646011215</v>
      </c>
      <c r="V90" s="219">
        <v>0.31739448646011215</v>
      </c>
      <c r="W90" s="219">
        <v>0.31739448646011215</v>
      </c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</row>
    <row r="91" spans="1:37">
      <c r="A91" s="212"/>
      <c r="Q91" s="209"/>
      <c r="R91" s="202">
        <v>4.0000000000000008E-2</v>
      </c>
      <c r="S91" s="217">
        <v>0.17101732129787739</v>
      </c>
      <c r="T91" s="218">
        <v>0.17101732129787739</v>
      </c>
      <c r="U91" s="219">
        <v>0.17101732129787739</v>
      </c>
      <c r="V91" s="218">
        <v>0.17101732129787739</v>
      </c>
      <c r="W91" s="218">
        <v>0.17101732129787739</v>
      </c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</row>
    <row r="92" spans="1:37">
      <c r="A92" s="212"/>
      <c r="Q92" s="209"/>
      <c r="R92" s="210">
        <v>3.500000000000001E-2</v>
      </c>
      <c r="S92" s="221">
        <v>3.6838253232495788E-2</v>
      </c>
      <c r="T92" s="218">
        <v>3.6838253232495788E-2</v>
      </c>
      <c r="U92" s="219">
        <v>3.6838253232495788E-2</v>
      </c>
      <c r="V92" s="218">
        <v>3.6838253232495788E-2</v>
      </c>
      <c r="W92" s="218">
        <v>3.6838253232495788E-2</v>
      </c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</row>
    <row r="94" spans="1:37">
      <c r="A94" s="228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94" s="126"/>
      <c r="C94" s="126"/>
      <c r="D94" s="126"/>
      <c r="E94" s="126"/>
      <c r="F94" s="126"/>
      <c r="G94" s="126"/>
      <c r="H94" s="126"/>
      <c r="I94" s="126"/>
      <c r="J94" s="229"/>
      <c r="K94" s="229"/>
      <c r="L94" s="229"/>
      <c r="M94" s="229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27" t="s">
        <v>281</v>
      </c>
    </row>
    <row r="97" spans="24:24">
      <c r="X97" s="92"/>
    </row>
    <row r="98" spans="24:24">
      <c r="X98" s="92"/>
    </row>
    <row r="99" spans="24:24">
      <c r="X99" s="92"/>
    </row>
  </sheetData>
  <pageMargins left="0.25" right="0.25" top="0.5" bottom="0.5" header="0.5" footer="0.5"/>
  <pageSetup scale="85" orientation="portrait" r:id="rId1"/>
  <headerFooter alignWithMargins="0"/>
  <ignoredErrors>
    <ignoredError sqref="AI49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>
    <tabColor rgb="FFFF0000"/>
  </sheetPr>
  <dimension ref="A1:K19"/>
  <sheetViews>
    <sheetView showGridLines="0" zoomScaleNormal="100" workbookViewId="0"/>
  </sheetViews>
  <sheetFormatPr baseColWidth="10" defaultColWidth="9.140625" defaultRowHeight="12.75" outlineLevelRow="1" outlineLevelCol="1"/>
  <cols>
    <col min="1" max="1" width="4.5703125" customWidth="1"/>
    <col min="2" max="2" width="16.5703125" bestFit="1" customWidth="1"/>
    <col min="3" max="4" width="9.42578125" customWidth="1"/>
    <col min="5" max="5" width="9" customWidth="1"/>
    <col min="6" max="6" width="7.5703125" hidden="1" customWidth="1" outlineLevel="1"/>
    <col min="7" max="7" width="8" customWidth="1" collapsed="1"/>
    <col min="8" max="8" width="6.42578125" bestFit="1" customWidth="1"/>
    <col min="13" max="14" width="16" bestFit="1" customWidth="1"/>
  </cols>
  <sheetData>
    <row r="1" spans="1:11" ht="18">
      <c r="A1" s="24" t="str">
        <f>Index!G12</f>
        <v>Alsea</v>
      </c>
      <c r="B1" s="130"/>
      <c r="C1" s="129"/>
      <c r="D1" s="129"/>
      <c r="E1" s="129"/>
      <c r="F1" s="129"/>
      <c r="G1" s="129"/>
      <c r="H1" s="129"/>
      <c r="I1" s="129"/>
      <c r="J1" s="409"/>
      <c r="K1" s="409"/>
    </row>
    <row r="2" spans="1:11">
      <c r="A2" s="551" t="s">
        <v>1040</v>
      </c>
      <c r="B2" s="129"/>
      <c r="C2" s="129"/>
      <c r="D2" s="129"/>
      <c r="E2" s="129"/>
      <c r="F2" s="129"/>
      <c r="G2" s="129"/>
      <c r="H2" s="129"/>
      <c r="I2" s="129"/>
      <c r="J2" s="409"/>
      <c r="K2" s="131" t="s">
        <v>317</v>
      </c>
    </row>
    <row r="3" spans="1:11">
      <c r="B3" s="9"/>
      <c r="C3" s="9"/>
      <c r="D3" s="9"/>
      <c r="E3" s="9"/>
      <c r="F3" s="9"/>
      <c r="G3" s="9"/>
      <c r="H3" s="9"/>
      <c r="I3" s="9"/>
    </row>
    <row r="4" spans="1:11">
      <c r="B4" s="239" t="s">
        <v>1126</v>
      </c>
      <c r="C4" s="239"/>
      <c r="D4" s="129"/>
      <c r="E4" s="129"/>
      <c r="F4" s="129"/>
      <c r="G4" s="129"/>
      <c r="H4" s="129"/>
      <c r="I4" s="129"/>
      <c r="J4" s="75"/>
      <c r="K4" s="75"/>
    </row>
    <row r="5" spans="1:11">
      <c r="B5" s="9"/>
      <c r="C5" s="62" t="s">
        <v>1041</v>
      </c>
      <c r="D5" s="62" t="s">
        <v>1422</v>
      </c>
      <c r="E5" s="13" t="s">
        <v>1125</v>
      </c>
      <c r="F5" s="62" t="s">
        <v>335</v>
      </c>
      <c r="G5" s="62" t="s">
        <v>871</v>
      </c>
      <c r="H5" s="9"/>
      <c r="I5" s="9"/>
    </row>
    <row r="6" spans="1:11">
      <c r="B6" s="159"/>
      <c r="C6" s="160" t="str">
        <f>+E6</f>
        <v>2025e</v>
      </c>
      <c r="D6" s="160" t="str">
        <f>+Financials!AL4</f>
        <v>2024-26e</v>
      </c>
      <c r="E6" s="160" t="str">
        <f>+F6</f>
        <v>2025e</v>
      </c>
      <c r="F6" s="160" t="s">
        <v>1512</v>
      </c>
      <c r="G6" s="160" t="s">
        <v>872</v>
      </c>
      <c r="H6" s="160" t="s">
        <v>857</v>
      </c>
      <c r="I6" s="160" t="s">
        <v>858</v>
      </c>
      <c r="J6" s="819" t="s">
        <v>859</v>
      </c>
      <c r="K6" s="160" t="s">
        <v>366</v>
      </c>
    </row>
    <row r="7" spans="1:11">
      <c r="B7" s="36" t="str">
        <f>Financials!A38</f>
        <v>Mexico</v>
      </c>
      <c r="C7" s="803">
        <f>+Financials!Z73/Financials!$Z$72</f>
        <v>0.64897263772337943</v>
      </c>
      <c r="D7" s="485">
        <f>+Financials!AL38</f>
        <v>5.9791332932127794E-2</v>
      </c>
      <c r="E7" s="485">
        <f>+F7/Financials!Z38</f>
        <v>0.23764668680221721</v>
      </c>
      <c r="F7" s="814">
        <f>+C7*$F$10</f>
        <v>10836.53844927365</v>
      </c>
      <c r="G7" s="615" t="s">
        <v>90</v>
      </c>
      <c r="H7" s="1019">
        <v>6</v>
      </c>
      <c r="I7" s="817">
        <f>H7*F7</f>
        <v>65019.230695641905</v>
      </c>
      <c r="J7" s="816">
        <f t="shared" ref="J7:J12" si="0">I7/$I$14</f>
        <v>79.778197172566749</v>
      </c>
      <c r="K7" s="803">
        <f>+J7/$J$10</f>
        <v>0.65490649385476551</v>
      </c>
    </row>
    <row r="8" spans="1:11">
      <c r="B8" s="36" t="str">
        <f>Financials!A39</f>
        <v>Europe</v>
      </c>
      <c r="C8" s="803">
        <f>+Financials!Z74/Financials!$Z$72</f>
        <v>0.2436462445999692</v>
      </c>
      <c r="D8" s="485">
        <f>+Financials!AL39</f>
        <v>0.12521470355548159</v>
      </c>
      <c r="E8" s="485">
        <f>+F8/Financials!Z39</f>
        <v>0.14565384242738952</v>
      </c>
      <c r="F8" s="814">
        <f>+C8*$F$10</f>
        <v>4068.4024936566011</v>
      </c>
      <c r="G8" s="615" t="s">
        <v>90</v>
      </c>
      <c r="H8" s="1019">
        <v>6.2176000000000009</v>
      </c>
      <c r="I8" s="817">
        <f>H8*F8</f>
        <v>25295.699344559285</v>
      </c>
      <c r="J8" s="816">
        <f t="shared" si="0"/>
        <v>31.037667907434706</v>
      </c>
      <c r="K8" s="803">
        <f>+J8/$J$10</f>
        <v>0.25479104551232434</v>
      </c>
    </row>
    <row r="9" spans="1:11">
      <c r="B9" s="1014" t="str">
        <f>Financials!A40</f>
        <v>South America</v>
      </c>
      <c r="C9" s="997">
        <f>+Financials!Z75/Financials!$Z$72</f>
        <v>0.10738111767665126</v>
      </c>
      <c r="D9" s="1153">
        <f>+Financials!AL40</f>
        <v>6.8190198993446138E-2</v>
      </c>
      <c r="E9" s="1153">
        <f>+F9/Financials!Z40</f>
        <v>0.14379335915452829</v>
      </c>
      <c r="F9" s="1017">
        <f>+C9*$F$10</f>
        <v>1793.0488017354655</v>
      </c>
      <c r="G9" s="998" t="s">
        <v>90</v>
      </c>
      <c r="H9" s="1167">
        <v>5</v>
      </c>
      <c r="I9" s="999">
        <f>H9*F9</f>
        <v>8965.2440086773277</v>
      </c>
      <c r="J9" s="1000">
        <f t="shared" si="0"/>
        <v>11.000299397150096</v>
      </c>
      <c r="K9" s="1001">
        <f>+J9/$J$10</f>
        <v>9.0302460632910239E-2</v>
      </c>
    </row>
    <row r="10" spans="1:11">
      <c r="B10" s="9" t="s">
        <v>856</v>
      </c>
      <c r="C10" s="484">
        <f>+SUM(C6:C9)</f>
        <v>0.99999999999999989</v>
      </c>
      <c r="D10" s="803"/>
      <c r="E10" s="803"/>
      <c r="F10" s="815">
        <f>+Financials!Z67</f>
        <v>16697.98974466572</v>
      </c>
      <c r="G10" s="815"/>
      <c r="H10" s="1018">
        <f>+I10/F10</f>
        <v>5.9456363051483008</v>
      </c>
      <c r="I10" s="818">
        <f>SUM(I7:I9)</f>
        <v>99280.174048878514</v>
      </c>
      <c r="J10" s="816">
        <f t="shared" si="0"/>
        <v>121.81616447715155</v>
      </c>
      <c r="K10" s="484">
        <f>+SUM(K7:K9)</f>
        <v>1</v>
      </c>
    </row>
    <row r="11" spans="1:11">
      <c r="B11" s="171" t="s">
        <v>98</v>
      </c>
      <c r="D11" s="440"/>
      <c r="E11" s="440"/>
      <c r="F11" s="440"/>
      <c r="H11" s="1427"/>
      <c r="I11" s="250">
        <f>Financials!$Z$166</f>
        <v>46531.55116345975</v>
      </c>
      <c r="J11" s="816">
        <f t="shared" si="0"/>
        <v>57.093927807926072</v>
      </c>
    </row>
    <row r="12" spans="1:11">
      <c r="B12" s="171" t="s">
        <v>631</v>
      </c>
      <c r="D12" s="440"/>
      <c r="E12" s="440"/>
      <c r="F12" s="440"/>
      <c r="I12" s="250">
        <f>DCF!X38</f>
        <v>0</v>
      </c>
      <c r="J12" s="816">
        <f t="shared" si="0"/>
        <v>0</v>
      </c>
      <c r="K12" s="1103" t="s">
        <v>212</v>
      </c>
    </row>
    <row r="13" spans="1:11">
      <c r="B13" s="443" t="s">
        <v>93</v>
      </c>
      <c r="C13" s="443"/>
      <c r="D13" s="443"/>
      <c r="E13" s="443"/>
      <c r="F13" s="443"/>
      <c r="G13" s="443"/>
      <c r="H13" s="443"/>
      <c r="I13" s="1020">
        <f>+I10-I11-I12</f>
        <v>52748.622885418765</v>
      </c>
      <c r="J13" s="829">
        <f>ROUND(I13/I14,0)</f>
        <v>65</v>
      </c>
      <c r="K13" s="803">
        <f>+J13/Index!$H$36-1</f>
        <v>6.1051256937642906E-2</v>
      </c>
    </row>
    <row r="14" spans="1:11" hidden="1" outlineLevel="1">
      <c r="B14" s="9" t="s">
        <v>1039</v>
      </c>
      <c r="C14" s="37"/>
      <c r="D14" s="9"/>
      <c r="E14" s="9"/>
      <c r="F14" s="9"/>
      <c r="I14" s="250">
        <f>+DCF!X40</f>
        <v>815</v>
      </c>
      <c r="J14" s="802"/>
    </row>
    <row r="15" spans="1:11" hidden="1" outlineLevel="1">
      <c r="B15" s="241" t="s">
        <v>874</v>
      </c>
      <c r="J15" s="816">
        <f>+Financials!Z188</f>
        <v>61.26</v>
      </c>
    </row>
    <row r="16" spans="1:11" hidden="1" outlineLevel="1">
      <c r="B16" s="283" t="s">
        <v>212</v>
      </c>
      <c r="J16" s="804">
        <f>J13/J15-1</f>
        <v>6.1051256937642906E-2</v>
      </c>
    </row>
    <row r="17" spans="1:11" hidden="1" outlineLevel="1">
      <c r="B17" s="128"/>
      <c r="C17" s="128"/>
      <c r="D17" s="1016"/>
      <c r="E17" s="1016"/>
      <c r="F17" s="1016"/>
      <c r="G17" s="1016"/>
    </row>
    <row r="18" spans="1:11" collapsed="1">
      <c r="A18" s="228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18" s="126"/>
      <c r="C18" s="229"/>
      <c r="D18" s="229"/>
      <c r="E18" s="229"/>
      <c r="F18" s="229"/>
      <c r="G18" s="229"/>
      <c r="H18" s="135"/>
      <c r="I18" s="135"/>
      <c r="J18" s="135"/>
      <c r="K18" s="127"/>
    </row>
    <row r="19" spans="1:11">
      <c r="K19" s="467" t="s">
        <v>281</v>
      </c>
    </row>
  </sheetData>
  <pageMargins left="0.7" right="0.7" top="0.75" bottom="0.75" header="0.3" footer="0.3"/>
  <pageSetup scale="61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indexed="8"/>
    <pageSetUpPr fitToPage="1"/>
  </sheetPr>
  <dimension ref="A1"/>
  <sheetViews>
    <sheetView showGridLines="0" workbookViewId="0"/>
  </sheetViews>
  <sheetFormatPr baseColWidth="10" defaultColWidth="9.42578125" defaultRowHeight="11.25"/>
  <cols>
    <col min="1" max="16384" width="9.42578125" style="9"/>
  </cols>
  <sheetData/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3" tint="0.59999389629810485"/>
  </sheetPr>
  <dimension ref="A1:DN377"/>
  <sheetViews>
    <sheetView showGridLines="0" zoomScaleNormal="100" workbookViewId="0">
      <pane xSplit="1" ySplit="8" topLeftCell="BD275" activePane="bottomRight" state="frozen"/>
      <selection pane="topRight" activeCell="B1" sqref="B1"/>
      <selection pane="bottomLeft" activeCell="A9" sqref="A9"/>
      <selection pane="bottomRight" activeCell="BM287" sqref="BM287"/>
    </sheetView>
  </sheetViews>
  <sheetFormatPr baseColWidth="10" defaultColWidth="9.42578125" defaultRowHeight="11.25" outlineLevelRow="1" outlineLevelCol="1"/>
  <cols>
    <col min="1" max="1" width="45" style="9" customWidth="1"/>
    <col min="2" max="29" width="9.42578125" style="9" hidden="1" customWidth="1" outlineLevel="1"/>
    <col min="30" max="30" width="9.42578125" style="9" hidden="1" customWidth="1" outlineLevel="1" collapsed="1"/>
    <col min="31" max="33" width="9.42578125" style="9" hidden="1" customWidth="1" outlineLevel="1"/>
    <col min="34" max="34" width="8.5703125" style="9" hidden="1" customWidth="1" outlineLevel="1" collapsed="1"/>
    <col min="35" max="37" width="8.5703125" style="9" hidden="1" customWidth="1" outlineLevel="1"/>
    <col min="38" max="38" width="8.5703125" style="9" customWidth="1" collapsed="1"/>
    <col min="39" max="77" width="8.5703125" style="9" customWidth="1"/>
    <col min="78" max="93" width="8.5703125" style="9" hidden="1" customWidth="1" outlineLevel="1"/>
    <col min="94" max="98" width="10" style="9" hidden="1" customWidth="1" outlineLevel="1"/>
    <col min="99" max="99" width="10.42578125" style="9" hidden="1" customWidth="1" outlineLevel="1"/>
    <col min="100" max="101" width="10" style="9" hidden="1" customWidth="1" outlineLevel="1"/>
    <col min="102" max="102" width="9.42578125" style="9" collapsed="1"/>
    <col min="103" max="104" width="9.42578125" style="9"/>
    <col min="105" max="105" width="10.28515625" style="9" bestFit="1" customWidth="1"/>
    <col min="106" max="16384" width="9.42578125" style="9"/>
  </cols>
  <sheetData>
    <row r="1" spans="1:117" ht="18">
      <c r="A1" s="24" t="str">
        <f>Index!$G$12</f>
        <v>Alsea</v>
      </c>
      <c r="B1" s="130"/>
      <c r="C1" s="130"/>
      <c r="D1" s="130"/>
      <c r="E1" s="130"/>
      <c r="F1" s="130"/>
      <c r="G1" s="130"/>
      <c r="H1" s="130"/>
      <c r="I1" s="129"/>
      <c r="J1" s="130"/>
      <c r="K1" s="130"/>
      <c r="L1" s="130"/>
      <c r="M1" s="129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409"/>
      <c r="AE1" s="409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647"/>
      <c r="BG1" s="1647"/>
      <c r="BH1" s="1647"/>
      <c r="BI1" s="1647"/>
      <c r="BJ1" s="1647"/>
      <c r="BK1" s="130"/>
      <c r="BL1" s="130"/>
      <c r="BM1" s="130"/>
      <c r="BN1" s="130"/>
      <c r="BO1" s="409"/>
      <c r="BP1" s="409"/>
      <c r="BQ1" s="409"/>
      <c r="BR1" s="409"/>
      <c r="BS1" s="409"/>
      <c r="BT1" s="409"/>
      <c r="BU1" s="409"/>
      <c r="BV1" s="409"/>
      <c r="BW1" s="409"/>
      <c r="BX1" s="409"/>
      <c r="BY1" s="409"/>
      <c r="BZ1" s="409"/>
      <c r="CA1" s="409"/>
      <c r="CB1" s="409"/>
      <c r="CC1" s="409"/>
      <c r="CD1" s="409"/>
      <c r="CE1" s="409"/>
      <c r="CF1" s="409"/>
      <c r="CG1" s="409"/>
      <c r="CH1" s="409"/>
      <c r="CI1" s="409"/>
      <c r="CJ1" s="409"/>
      <c r="CK1" s="409"/>
      <c r="CL1" s="409"/>
      <c r="CM1" s="409"/>
      <c r="CN1" s="409"/>
      <c r="CO1" s="409"/>
      <c r="CP1" s="409"/>
      <c r="CQ1" s="409"/>
      <c r="CR1" s="409"/>
      <c r="CS1" s="409"/>
      <c r="CT1" s="409"/>
      <c r="CU1" s="409"/>
      <c r="CV1" s="409"/>
      <c r="CW1" s="409"/>
      <c r="CX1" s="38"/>
      <c r="CY1" s="38"/>
      <c r="CZ1" s="38"/>
      <c r="DA1" s="286"/>
      <c r="DB1" s="13"/>
    </row>
    <row r="2" spans="1:117" ht="12.75">
      <c r="A2" s="551" t="s">
        <v>583</v>
      </c>
      <c r="B2" s="130"/>
      <c r="C2" s="130"/>
      <c r="D2" s="130"/>
      <c r="E2" s="130"/>
      <c r="F2" s="130"/>
      <c r="G2" s="130"/>
      <c r="H2" s="130"/>
      <c r="I2" s="129"/>
      <c r="J2" s="130"/>
      <c r="K2" s="130"/>
      <c r="L2" s="130"/>
      <c r="M2" s="129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9"/>
      <c r="AE2" s="409"/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130"/>
      <c r="AR2" s="130"/>
      <c r="AS2" s="130"/>
      <c r="AT2" s="130"/>
      <c r="AU2" s="1647"/>
      <c r="AV2" s="130"/>
      <c r="AW2" s="130"/>
      <c r="AX2" s="130"/>
      <c r="AY2" s="130"/>
      <c r="AZ2" s="130"/>
      <c r="BA2" s="130"/>
      <c r="BB2" s="130"/>
      <c r="BC2" s="405"/>
      <c r="BD2" s="405"/>
      <c r="BE2" s="405"/>
      <c r="BF2" s="1940"/>
      <c r="BG2" s="1940"/>
      <c r="BH2" s="1940"/>
      <c r="BI2" s="1940"/>
      <c r="BJ2" s="1940"/>
      <c r="BK2" s="405"/>
      <c r="BL2" s="405"/>
      <c r="BM2" s="405"/>
      <c r="BN2" s="405"/>
      <c r="BO2" s="409"/>
      <c r="BP2" s="409"/>
      <c r="BQ2" s="409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409"/>
      <c r="CK2" s="131"/>
      <c r="CL2" s="131"/>
      <c r="CM2" s="131"/>
      <c r="CN2" s="131"/>
      <c r="CO2" s="131"/>
      <c r="CP2" s="131"/>
      <c r="CQ2" s="131"/>
      <c r="CR2" s="131"/>
      <c r="CS2" s="131"/>
      <c r="CT2" s="409"/>
      <c r="CU2" s="131" t="s">
        <v>317</v>
      </c>
      <c r="CV2" s="131"/>
      <c r="CW2" s="131"/>
      <c r="CX2" s="269"/>
      <c r="CY2" s="388"/>
      <c r="CZ2" s="269"/>
    </row>
    <row r="3" spans="1:117">
      <c r="A3" s="269"/>
      <c r="B3" s="388"/>
      <c r="C3" s="388"/>
      <c r="D3" s="388"/>
      <c r="E3" s="388"/>
      <c r="F3" s="388"/>
      <c r="G3" s="388"/>
      <c r="H3" s="388"/>
      <c r="I3" s="269"/>
      <c r="J3" s="388"/>
      <c r="K3" s="388"/>
      <c r="L3" s="388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69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663"/>
      <c r="BX3" s="663"/>
      <c r="BY3" s="663"/>
      <c r="BZ3" s="663"/>
      <c r="CA3" s="663"/>
      <c r="CB3" s="663"/>
      <c r="CC3" s="663"/>
      <c r="CD3" s="663"/>
      <c r="CE3" s="663"/>
      <c r="CF3" s="663"/>
      <c r="CG3" s="663"/>
      <c r="CH3" s="663"/>
      <c r="CI3" s="663"/>
      <c r="CJ3" s="663"/>
      <c r="CK3" s="663"/>
      <c r="CL3" s="663"/>
      <c r="CM3" s="663"/>
      <c r="CN3" s="663"/>
      <c r="CO3" s="663"/>
      <c r="CP3" s="663"/>
      <c r="CQ3" s="663"/>
      <c r="CR3" s="663"/>
      <c r="CS3" s="663"/>
      <c r="CT3" s="663"/>
      <c r="CU3" s="663"/>
      <c r="CV3" s="663"/>
      <c r="CW3" s="663"/>
      <c r="CX3" s="269"/>
      <c r="CY3" s="388"/>
      <c r="CZ3" s="269"/>
    </row>
    <row r="4" spans="1:117">
      <c r="A4" s="269"/>
      <c r="B4" s="388"/>
      <c r="C4" s="388"/>
      <c r="D4" s="388"/>
      <c r="E4" s="388"/>
      <c r="F4" s="388"/>
      <c r="G4" s="388"/>
      <c r="H4" s="388"/>
      <c r="I4" s="269"/>
      <c r="J4" s="388"/>
      <c r="K4" s="388"/>
      <c r="L4" s="388"/>
      <c r="M4" s="269"/>
      <c r="N4" s="269"/>
      <c r="O4" s="269"/>
      <c r="P4" s="269"/>
      <c r="Q4" s="269"/>
      <c r="R4" s="269"/>
      <c r="S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69"/>
      <c r="AR4" s="269"/>
      <c r="AS4" s="269"/>
      <c r="AT4" s="269"/>
      <c r="AU4" s="269"/>
      <c r="AV4" s="269"/>
      <c r="AW4" s="269"/>
      <c r="AX4" s="269"/>
      <c r="AY4" s="269"/>
      <c r="AZ4" s="269"/>
      <c r="BA4" s="269"/>
      <c r="BB4" s="269"/>
      <c r="BC4" s="269"/>
      <c r="BD4" s="269"/>
      <c r="BE4" s="269"/>
      <c r="BF4" s="269"/>
      <c r="BG4" s="269"/>
      <c r="BH4" s="269"/>
      <c r="BI4" s="269"/>
      <c r="BJ4" s="269"/>
      <c r="BK4" s="269"/>
      <c r="BL4" s="269"/>
      <c r="BM4" s="269"/>
      <c r="BN4" s="269"/>
      <c r="BO4" s="269"/>
      <c r="BP4" s="269"/>
      <c r="BQ4" s="269"/>
      <c r="BR4" s="269"/>
      <c r="BS4" s="269"/>
      <c r="BT4" s="269"/>
      <c r="BU4" s="269"/>
      <c r="BV4" s="269"/>
      <c r="BW4" s="546"/>
      <c r="BX4" s="546"/>
      <c r="BY4" s="546"/>
      <c r="BZ4" s="546"/>
      <c r="CA4" s="546"/>
      <c r="CB4" s="546"/>
      <c r="CC4" s="546"/>
      <c r="CD4" s="546"/>
      <c r="CE4" s="546"/>
      <c r="CF4" s="546"/>
      <c r="CG4" s="546"/>
      <c r="CH4" s="546"/>
      <c r="CI4" s="546"/>
      <c r="CJ4" s="546"/>
      <c r="CK4" s="546"/>
      <c r="CL4" s="546"/>
      <c r="CM4" s="546"/>
      <c r="CN4" s="546"/>
      <c r="CO4" s="546"/>
      <c r="CP4" s="546"/>
      <c r="CQ4" s="546"/>
      <c r="CR4" s="546"/>
      <c r="CS4" s="546"/>
      <c r="CT4" s="546"/>
      <c r="CU4" s="546"/>
      <c r="CV4" s="546"/>
      <c r="CW4" s="546"/>
      <c r="CX4" s="269"/>
      <c r="CY4" s="269"/>
    </row>
    <row r="5" spans="1:117">
      <c r="A5" s="474" t="str">
        <f>IF(MASTERSWITCH=2,"Base Scenario",IF(MASTERSWITCH=1,"Bull Scenario","Bear Scenario"))</f>
        <v>Bear Scenario</v>
      </c>
      <c r="B5" s="388"/>
      <c r="C5" s="388"/>
      <c r="D5" s="388"/>
      <c r="E5" s="388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/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546"/>
      <c r="BX5" s="546"/>
      <c r="BY5" s="546"/>
      <c r="BZ5" s="546"/>
      <c r="CA5" s="546"/>
      <c r="CB5" s="546"/>
      <c r="CC5" s="546"/>
      <c r="CD5" s="546"/>
      <c r="CE5" s="546"/>
      <c r="CF5" s="546"/>
      <c r="CG5" s="546"/>
      <c r="CH5" s="546"/>
      <c r="CI5" s="546"/>
      <c r="CJ5" s="546"/>
      <c r="CK5" s="546"/>
      <c r="CL5" s="546"/>
      <c r="CM5" s="546"/>
      <c r="CN5" s="546"/>
      <c r="CO5" s="546"/>
      <c r="CP5" s="546"/>
      <c r="CQ5" s="546"/>
      <c r="CR5" s="546"/>
      <c r="CS5" s="546"/>
      <c r="CT5" s="546"/>
      <c r="CU5" s="546"/>
      <c r="CV5" s="546"/>
      <c r="CW5" s="546"/>
      <c r="CX5" s="269"/>
      <c r="CY5" s="269"/>
    </row>
    <row r="6" spans="1:117">
      <c r="A6" s="473">
        <f>Index!$H$37</f>
        <v>3</v>
      </c>
      <c r="B6" s="388"/>
      <c r="C6" s="388"/>
      <c r="D6" s="388"/>
      <c r="E6" s="388"/>
      <c r="W6" s="269"/>
      <c r="X6" s="269"/>
      <c r="Y6" s="99"/>
      <c r="Z6" s="269"/>
      <c r="AA6" s="269"/>
      <c r="AB6" s="269"/>
      <c r="AC6" s="269"/>
      <c r="AD6" s="269"/>
      <c r="AE6" s="269"/>
      <c r="AF6" s="390"/>
      <c r="AG6" s="390"/>
      <c r="AH6" s="390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1412"/>
      <c r="BX6" s="1412"/>
      <c r="BY6" s="1412"/>
      <c r="BZ6" s="1412"/>
      <c r="CA6" s="1412"/>
      <c r="CB6" s="1412"/>
      <c r="CC6" s="1412"/>
      <c r="CD6" s="1412"/>
      <c r="CE6" s="1412"/>
      <c r="CF6" s="1412"/>
      <c r="CG6" s="1412"/>
      <c r="CH6" s="1412"/>
      <c r="CI6" s="1412"/>
      <c r="CJ6" s="1412"/>
      <c r="CK6" s="1412"/>
      <c r="CL6" s="1412"/>
      <c r="CM6" s="1412"/>
      <c r="CN6" s="1412"/>
      <c r="CO6" s="1412"/>
      <c r="CP6" s="1412"/>
      <c r="CQ6" s="1412"/>
      <c r="CR6" s="1412"/>
      <c r="CS6" s="1412"/>
      <c r="CT6" s="1412"/>
      <c r="CU6" s="1412"/>
      <c r="CV6" s="1412"/>
      <c r="CW6" s="1412"/>
      <c r="CX6" s="269"/>
      <c r="CY6" s="269"/>
    </row>
    <row r="7" spans="1:117">
      <c r="A7" s="1500">
        <f ca="1">DCF!$X$41</f>
        <v>45</v>
      </c>
      <c r="B7" s="388">
        <f>YEAR(B8)</f>
        <v>2009</v>
      </c>
      <c r="C7" s="388">
        <f t="shared" ref="C7:BN7" si="0">YEAR(C8)</f>
        <v>2009</v>
      </c>
      <c r="D7" s="388">
        <f t="shared" si="0"/>
        <v>2009</v>
      </c>
      <c r="E7" s="388">
        <f t="shared" si="0"/>
        <v>2009</v>
      </c>
      <c r="F7" s="388">
        <f t="shared" si="0"/>
        <v>2010</v>
      </c>
      <c r="G7" s="388">
        <f t="shared" si="0"/>
        <v>2010</v>
      </c>
      <c r="H7" s="388">
        <f t="shared" si="0"/>
        <v>2010</v>
      </c>
      <c r="I7" s="388">
        <f t="shared" si="0"/>
        <v>2010</v>
      </c>
      <c r="J7" s="388">
        <f t="shared" si="0"/>
        <v>2011</v>
      </c>
      <c r="K7" s="388">
        <f t="shared" si="0"/>
        <v>2011</v>
      </c>
      <c r="L7" s="388">
        <f t="shared" si="0"/>
        <v>2011</v>
      </c>
      <c r="M7" s="388">
        <f t="shared" si="0"/>
        <v>2011</v>
      </c>
      <c r="N7" s="388">
        <f t="shared" si="0"/>
        <v>2012</v>
      </c>
      <c r="O7" s="388">
        <f t="shared" si="0"/>
        <v>2012</v>
      </c>
      <c r="P7" s="388">
        <f t="shared" si="0"/>
        <v>2012</v>
      </c>
      <c r="Q7" s="388">
        <f t="shared" si="0"/>
        <v>2012</v>
      </c>
      <c r="R7" s="388">
        <f t="shared" si="0"/>
        <v>2013</v>
      </c>
      <c r="S7" s="388">
        <f t="shared" si="0"/>
        <v>2013</v>
      </c>
      <c r="T7" s="388">
        <f t="shared" si="0"/>
        <v>2013</v>
      </c>
      <c r="U7" s="388">
        <f t="shared" si="0"/>
        <v>2013</v>
      </c>
      <c r="V7" s="388">
        <f t="shared" si="0"/>
        <v>2014</v>
      </c>
      <c r="W7" s="388">
        <f t="shared" si="0"/>
        <v>2014</v>
      </c>
      <c r="X7" s="388">
        <f t="shared" si="0"/>
        <v>2014</v>
      </c>
      <c r="Y7" s="388">
        <f t="shared" si="0"/>
        <v>2014</v>
      </c>
      <c r="Z7" s="388">
        <f t="shared" si="0"/>
        <v>2015</v>
      </c>
      <c r="AA7" s="388">
        <f t="shared" si="0"/>
        <v>2015</v>
      </c>
      <c r="AB7" s="388">
        <f t="shared" si="0"/>
        <v>2015</v>
      </c>
      <c r="AC7" s="388">
        <f t="shared" si="0"/>
        <v>2015</v>
      </c>
      <c r="AD7" s="388">
        <f t="shared" si="0"/>
        <v>2016</v>
      </c>
      <c r="AE7" s="388">
        <f t="shared" si="0"/>
        <v>2016</v>
      </c>
      <c r="AF7" s="388">
        <f t="shared" si="0"/>
        <v>2016</v>
      </c>
      <c r="AG7" s="388">
        <f t="shared" si="0"/>
        <v>2016</v>
      </c>
      <c r="AH7" s="388">
        <f t="shared" si="0"/>
        <v>2017</v>
      </c>
      <c r="AI7" s="388">
        <f t="shared" si="0"/>
        <v>2017</v>
      </c>
      <c r="AJ7" s="388">
        <f t="shared" si="0"/>
        <v>2017</v>
      </c>
      <c r="AK7" s="388">
        <f t="shared" si="0"/>
        <v>2017</v>
      </c>
      <c r="AL7" s="388">
        <f t="shared" si="0"/>
        <v>2018</v>
      </c>
      <c r="AM7" s="388">
        <f t="shared" si="0"/>
        <v>2018</v>
      </c>
      <c r="AN7" s="388">
        <f t="shared" si="0"/>
        <v>2018</v>
      </c>
      <c r="AO7" s="388">
        <f t="shared" si="0"/>
        <v>2018</v>
      </c>
      <c r="AP7" s="388">
        <f t="shared" si="0"/>
        <v>2019</v>
      </c>
      <c r="AQ7" s="388">
        <f t="shared" si="0"/>
        <v>2019</v>
      </c>
      <c r="AR7" s="388">
        <f t="shared" si="0"/>
        <v>2019</v>
      </c>
      <c r="AS7" s="388">
        <f t="shared" si="0"/>
        <v>2019</v>
      </c>
      <c r="AT7" s="388">
        <f t="shared" si="0"/>
        <v>2020</v>
      </c>
      <c r="AU7" s="388">
        <f t="shared" si="0"/>
        <v>2020</v>
      </c>
      <c r="AV7" s="388">
        <f t="shared" si="0"/>
        <v>2020</v>
      </c>
      <c r="AW7" s="388">
        <f t="shared" si="0"/>
        <v>2020</v>
      </c>
      <c r="AX7" s="388">
        <f t="shared" si="0"/>
        <v>2021</v>
      </c>
      <c r="AY7" s="388">
        <f t="shared" si="0"/>
        <v>2021</v>
      </c>
      <c r="AZ7" s="388">
        <f t="shared" si="0"/>
        <v>2021</v>
      </c>
      <c r="BA7" s="388">
        <f t="shared" si="0"/>
        <v>2021</v>
      </c>
      <c r="BB7" s="388">
        <f t="shared" si="0"/>
        <v>2022</v>
      </c>
      <c r="BC7" s="388">
        <f t="shared" si="0"/>
        <v>2022</v>
      </c>
      <c r="BD7" s="388">
        <f t="shared" si="0"/>
        <v>2022</v>
      </c>
      <c r="BE7" s="388">
        <f t="shared" si="0"/>
        <v>2022</v>
      </c>
      <c r="BF7" s="388">
        <f t="shared" si="0"/>
        <v>2023</v>
      </c>
      <c r="BG7" s="388">
        <f t="shared" si="0"/>
        <v>2023</v>
      </c>
      <c r="BH7" s="388">
        <f t="shared" si="0"/>
        <v>2023</v>
      </c>
      <c r="BI7" s="388">
        <f t="shared" si="0"/>
        <v>2023</v>
      </c>
      <c r="BJ7" s="388">
        <f t="shared" si="0"/>
        <v>2024</v>
      </c>
      <c r="BK7" s="388">
        <f t="shared" si="0"/>
        <v>2024</v>
      </c>
      <c r="BL7" s="388">
        <f t="shared" si="0"/>
        <v>2024</v>
      </c>
      <c r="BM7" s="388">
        <f t="shared" si="0"/>
        <v>2024</v>
      </c>
      <c r="BN7" s="388">
        <f t="shared" si="0"/>
        <v>2025</v>
      </c>
      <c r="BO7" s="388">
        <f t="shared" ref="BO7:CW7" si="1">YEAR(BO8)</f>
        <v>2025</v>
      </c>
      <c r="BP7" s="388">
        <f t="shared" si="1"/>
        <v>2025</v>
      </c>
      <c r="BQ7" s="388">
        <f t="shared" si="1"/>
        <v>2025</v>
      </c>
      <c r="BR7" s="388">
        <f t="shared" si="1"/>
        <v>2026</v>
      </c>
      <c r="BS7" s="388">
        <f t="shared" si="1"/>
        <v>2026</v>
      </c>
      <c r="BT7" s="388">
        <f t="shared" si="1"/>
        <v>2026</v>
      </c>
      <c r="BU7" s="388">
        <f t="shared" si="1"/>
        <v>2026</v>
      </c>
      <c r="BV7" s="388">
        <f t="shared" si="1"/>
        <v>2027</v>
      </c>
      <c r="BW7" s="388">
        <f t="shared" si="1"/>
        <v>2027</v>
      </c>
      <c r="BX7" s="388">
        <f t="shared" si="1"/>
        <v>2027</v>
      </c>
      <c r="BY7" s="388">
        <f t="shared" si="1"/>
        <v>2027</v>
      </c>
      <c r="BZ7" s="388">
        <f t="shared" si="1"/>
        <v>2028</v>
      </c>
      <c r="CA7" s="388">
        <f t="shared" si="1"/>
        <v>2028</v>
      </c>
      <c r="CB7" s="388">
        <f t="shared" si="1"/>
        <v>2028</v>
      </c>
      <c r="CC7" s="388">
        <f t="shared" si="1"/>
        <v>2028</v>
      </c>
      <c r="CD7" s="388">
        <f t="shared" si="1"/>
        <v>2029</v>
      </c>
      <c r="CE7" s="388">
        <f t="shared" si="1"/>
        <v>2029</v>
      </c>
      <c r="CF7" s="388">
        <f t="shared" si="1"/>
        <v>2029</v>
      </c>
      <c r="CG7" s="388">
        <f t="shared" si="1"/>
        <v>2029</v>
      </c>
      <c r="CH7" s="388">
        <f t="shared" si="1"/>
        <v>2030</v>
      </c>
      <c r="CI7" s="388">
        <f t="shared" si="1"/>
        <v>2030</v>
      </c>
      <c r="CJ7" s="388">
        <f t="shared" si="1"/>
        <v>2030</v>
      </c>
      <c r="CK7" s="388">
        <f t="shared" si="1"/>
        <v>2030</v>
      </c>
      <c r="CL7" s="388">
        <f t="shared" si="1"/>
        <v>2031</v>
      </c>
      <c r="CM7" s="388">
        <f t="shared" si="1"/>
        <v>2031</v>
      </c>
      <c r="CN7" s="388">
        <f t="shared" si="1"/>
        <v>2031</v>
      </c>
      <c r="CO7" s="388">
        <f t="shared" si="1"/>
        <v>2031</v>
      </c>
      <c r="CP7" s="388">
        <f t="shared" si="1"/>
        <v>2032</v>
      </c>
      <c r="CQ7" s="388">
        <f t="shared" si="1"/>
        <v>2032</v>
      </c>
      <c r="CR7" s="388">
        <f t="shared" si="1"/>
        <v>2032</v>
      </c>
      <c r="CS7" s="388">
        <f t="shared" si="1"/>
        <v>2032</v>
      </c>
      <c r="CT7" s="388">
        <f t="shared" si="1"/>
        <v>2033</v>
      </c>
      <c r="CU7" s="388">
        <f t="shared" si="1"/>
        <v>2033</v>
      </c>
      <c r="CV7" s="388">
        <f t="shared" si="1"/>
        <v>2033</v>
      </c>
      <c r="CW7" s="388">
        <f t="shared" si="1"/>
        <v>2033</v>
      </c>
      <c r="CX7" s="388"/>
      <c r="CY7" s="269"/>
      <c r="DM7" s="2004"/>
    </row>
    <row r="8" spans="1:117">
      <c r="A8" s="472" t="s">
        <v>570</v>
      </c>
      <c r="B8" s="601">
        <f>Q_IS!B4</f>
        <v>39903</v>
      </c>
      <c r="C8" s="601">
        <f>Q_IS!C4</f>
        <v>39994</v>
      </c>
      <c r="D8" s="601">
        <f>Q_IS!D4</f>
        <v>40086</v>
      </c>
      <c r="E8" s="601">
        <f>Q_IS!E4</f>
        <v>40178</v>
      </c>
      <c r="F8" s="601">
        <f>Q_IS!F4</f>
        <v>40268</v>
      </c>
      <c r="G8" s="601">
        <f>Q_IS!G4</f>
        <v>40359</v>
      </c>
      <c r="H8" s="601">
        <f>Q_IS!H4</f>
        <v>40451</v>
      </c>
      <c r="I8" s="601">
        <f>Q_IS!I4</f>
        <v>40543</v>
      </c>
      <c r="J8" s="601">
        <f>Q_IS!J4</f>
        <v>40633</v>
      </c>
      <c r="K8" s="601">
        <f>Q_IS!K4</f>
        <v>40724</v>
      </c>
      <c r="L8" s="601">
        <f>Q_IS!L4</f>
        <v>40816</v>
      </c>
      <c r="M8" s="601">
        <f>Q_IS!M4</f>
        <v>40908</v>
      </c>
      <c r="N8" s="601">
        <f>Q_IS!N4</f>
        <v>40999</v>
      </c>
      <c r="O8" s="601">
        <f>Q_IS!O4</f>
        <v>41090</v>
      </c>
      <c r="P8" s="601">
        <f>Q_IS!P4</f>
        <v>41182</v>
      </c>
      <c r="Q8" s="601">
        <f>Q_IS!Q4</f>
        <v>41274</v>
      </c>
      <c r="R8" s="601">
        <f>Q_IS!R4</f>
        <v>41364</v>
      </c>
      <c r="S8" s="601">
        <f>Q_IS!S4</f>
        <v>41455</v>
      </c>
      <c r="T8" s="601">
        <f>Q_IS!T4</f>
        <v>41547</v>
      </c>
      <c r="U8" s="601">
        <f>Q_IS!U4</f>
        <v>41639</v>
      </c>
      <c r="V8" s="601">
        <f>Q_IS!V4</f>
        <v>41729</v>
      </c>
      <c r="W8" s="601">
        <f>Q_IS!W4</f>
        <v>41820</v>
      </c>
      <c r="X8" s="601">
        <f>Q_IS!X4</f>
        <v>41912</v>
      </c>
      <c r="Y8" s="601">
        <f>Q_IS!Y4</f>
        <v>42004</v>
      </c>
      <c r="Z8" s="601">
        <f>Q_IS!Z4</f>
        <v>42094</v>
      </c>
      <c r="AA8" s="601">
        <f>Q_IS!AA4</f>
        <v>42185</v>
      </c>
      <c r="AB8" s="601">
        <f>Q_IS!AB4</f>
        <v>42277</v>
      </c>
      <c r="AC8" s="601">
        <f>Q_IS!AC4</f>
        <v>42369</v>
      </c>
      <c r="AD8" s="601">
        <f>Q_IS!AD4</f>
        <v>42460</v>
      </c>
      <c r="AE8" s="601">
        <f>Q_IS!AE4</f>
        <v>42551</v>
      </c>
      <c r="AF8" s="601">
        <f>Q_IS!AF4</f>
        <v>42643</v>
      </c>
      <c r="AG8" s="601">
        <f>Q_IS!AG4</f>
        <v>42735</v>
      </c>
      <c r="AH8" s="601">
        <f>Q_IS!AH4</f>
        <v>42825</v>
      </c>
      <c r="AI8" s="601">
        <f>Q_IS!AI4</f>
        <v>42916</v>
      </c>
      <c r="AJ8" s="601">
        <f>Q_IS!AJ4</f>
        <v>43008</v>
      </c>
      <c r="AK8" s="601">
        <f>Q_IS!AK4</f>
        <v>43100</v>
      </c>
      <c r="AL8" s="601">
        <f>Q_IS!AL4</f>
        <v>43190</v>
      </c>
      <c r="AM8" s="601">
        <f>Q_IS!AM4</f>
        <v>43281</v>
      </c>
      <c r="AN8" s="601">
        <f>Q_IS!AN4</f>
        <v>43373</v>
      </c>
      <c r="AO8" s="601">
        <f>Q_IS!AO4</f>
        <v>43465</v>
      </c>
      <c r="AP8" s="601">
        <f>Q_IS!AP4</f>
        <v>43555</v>
      </c>
      <c r="AQ8" s="601">
        <f>Q_IS!AQ4</f>
        <v>43646</v>
      </c>
      <c r="AR8" s="601">
        <f>Q_IS!AR4</f>
        <v>43738</v>
      </c>
      <c r="AS8" s="601">
        <f>Q_IS!AS4</f>
        <v>43830</v>
      </c>
      <c r="AT8" s="601">
        <f>Q_IS!AT4</f>
        <v>43921</v>
      </c>
      <c r="AU8" s="601">
        <f>Q_IS!AU4</f>
        <v>44012</v>
      </c>
      <c r="AV8" s="601">
        <f>Q_IS!AV4</f>
        <v>44104</v>
      </c>
      <c r="AW8" s="601">
        <f>Q_IS!AW4</f>
        <v>44196</v>
      </c>
      <c r="AX8" s="601">
        <f>Q_IS!AX4</f>
        <v>44286</v>
      </c>
      <c r="AY8" s="601">
        <f>Q_IS!AY4</f>
        <v>44377</v>
      </c>
      <c r="AZ8" s="601">
        <f>Q_IS!AZ4</f>
        <v>44469</v>
      </c>
      <c r="BA8" s="601">
        <f>Q_IS!BA4</f>
        <v>44561</v>
      </c>
      <c r="BB8" s="601">
        <f>Q_IS!BB4</f>
        <v>44651</v>
      </c>
      <c r="BC8" s="601">
        <f>Q_IS!BC4</f>
        <v>44742</v>
      </c>
      <c r="BD8" s="601">
        <f>Q_IS!BD4</f>
        <v>44834</v>
      </c>
      <c r="BE8" s="601">
        <f>Q_IS!BE4</f>
        <v>44926</v>
      </c>
      <c r="BF8" s="601">
        <f>Q_IS!BF4</f>
        <v>45016</v>
      </c>
      <c r="BG8" s="601">
        <f>Q_IS!BG4</f>
        <v>45107</v>
      </c>
      <c r="BH8" s="601">
        <f>Q_IS!BH4</f>
        <v>45199</v>
      </c>
      <c r="BI8" s="601">
        <f>Q_IS!BI4</f>
        <v>45291</v>
      </c>
      <c r="BJ8" s="601">
        <f>Q_IS!BJ4</f>
        <v>45382</v>
      </c>
      <c r="BK8" s="1172">
        <f>Q_IS!BK4</f>
        <v>45473</v>
      </c>
      <c r="BL8" s="600">
        <f>Q_IS!BL4</f>
        <v>45565</v>
      </c>
      <c r="BM8" s="600">
        <f>Q_IS!BM4</f>
        <v>45657</v>
      </c>
      <c r="BN8" s="600">
        <f>Q_IS!BN4</f>
        <v>45747</v>
      </c>
      <c r="BO8" s="600">
        <f>Q_IS!BO4</f>
        <v>45838</v>
      </c>
      <c r="BP8" s="600">
        <f>Q_IS!BP4</f>
        <v>45930</v>
      </c>
      <c r="BQ8" s="600">
        <f>Q_IS!BQ4</f>
        <v>46022</v>
      </c>
      <c r="BR8" s="600">
        <f>Q_IS!BR4</f>
        <v>46112</v>
      </c>
      <c r="BS8" s="600">
        <f>Q_IS!BS4</f>
        <v>46203</v>
      </c>
      <c r="BT8" s="600">
        <f>Q_IS!BT4</f>
        <v>46295</v>
      </c>
      <c r="BU8" s="600">
        <f>Q_IS!BU4</f>
        <v>46387</v>
      </c>
      <c r="BV8" s="600">
        <f>Q_IS!BV4</f>
        <v>46477</v>
      </c>
      <c r="BW8" s="600">
        <f>Q_IS!BW4</f>
        <v>46568</v>
      </c>
      <c r="BX8" s="600">
        <f>Q_IS!BX4</f>
        <v>46660</v>
      </c>
      <c r="BY8" s="600">
        <f>Q_IS!BY4</f>
        <v>46752</v>
      </c>
      <c r="BZ8" s="600">
        <f>Q_IS!BZ4</f>
        <v>46843</v>
      </c>
      <c r="CA8" s="600">
        <f>Q_IS!CA4</f>
        <v>46934</v>
      </c>
      <c r="CB8" s="600">
        <f>Q_IS!CB4</f>
        <v>47026</v>
      </c>
      <c r="CC8" s="600">
        <f>Q_IS!CC4</f>
        <v>47118</v>
      </c>
      <c r="CD8" s="600">
        <f>Q_IS!CD4</f>
        <v>47208</v>
      </c>
      <c r="CE8" s="600">
        <f>Q_IS!CE4</f>
        <v>47299</v>
      </c>
      <c r="CF8" s="600">
        <f>Q_IS!CF4</f>
        <v>47391</v>
      </c>
      <c r="CG8" s="600">
        <f>Q_IS!CG4</f>
        <v>47483</v>
      </c>
      <c r="CH8" s="600">
        <f>Q_IS!CH4</f>
        <v>47573</v>
      </c>
      <c r="CI8" s="600">
        <f>Q_IS!CI4</f>
        <v>47664</v>
      </c>
      <c r="CJ8" s="600">
        <f>Q_IS!CJ4</f>
        <v>47756</v>
      </c>
      <c r="CK8" s="600">
        <f>Q_IS!CK4</f>
        <v>47848</v>
      </c>
      <c r="CL8" s="600">
        <f>Q_IS!CL4</f>
        <v>47938</v>
      </c>
      <c r="CM8" s="600">
        <f>Q_IS!CM4</f>
        <v>48029</v>
      </c>
      <c r="CN8" s="600">
        <f>Q_IS!CN4</f>
        <v>48121</v>
      </c>
      <c r="CO8" s="600">
        <f>Q_IS!CO4</f>
        <v>48213</v>
      </c>
      <c r="CP8" s="600">
        <f>Q_IS!CP4</f>
        <v>48304</v>
      </c>
      <c r="CQ8" s="600">
        <f>Q_IS!CQ4</f>
        <v>48395</v>
      </c>
      <c r="CR8" s="600">
        <f>Q_IS!CR4</f>
        <v>48487</v>
      </c>
      <c r="CS8" s="600">
        <f>Q_IS!CS4</f>
        <v>48579</v>
      </c>
      <c r="CT8" s="600">
        <f>Q_IS!CT4</f>
        <v>48669</v>
      </c>
      <c r="CU8" s="600">
        <f>Q_IS!CU4</f>
        <v>48760</v>
      </c>
      <c r="CV8" s="600">
        <f>Q_IS!CV4</f>
        <v>48852</v>
      </c>
      <c r="CW8" s="600">
        <f>Q_IS!CW4</f>
        <v>48944</v>
      </c>
      <c r="CX8" s="269"/>
      <c r="CY8" s="572" t="s">
        <v>1488</v>
      </c>
      <c r="CZ8" s="572" t="s">
        <v>1489</v>
      </c>
    </row>
    <row r="9" spans="1:117" hidden="1" outlineLevel="1">
      <c r="A9" s="882" t="s">
        <v>731</v>
      </c>
      <c r="B9" s="399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1815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69"/>
      <c r="CY9" s="269"/>
    </row>
    <row r="10" spans="1:117" hidden="1" outlineLevel="1">
      <c r="A10" s="691" t="s">
        <v>927</v>
      </c>
      <c r="B10" s="931">
        <v>6.1800000000000001E-2</v>
      </c>
      <c r="C10" s="931">
        <v>5.96E-2</v>
      </c>
      <c r="D10" s="931">
        <v>5.1400000000000001E-2</v>
      </c>
      <c r="E10" s="931">
        <v>3.9800000000000002E-2</v>
      </c>
      <c r="F10" s="931">
        <v>4.7500000000000001E-2</v>
      </c>
      <c r="G10" s="931">
        <v>3.9600000000000003E-2</v>
      </c>
      <c r="H10" s="905">
        <v>3.6700000000000003E-2</v>
      </c>
      <c r="I10" s="905">
        <v>4.2500000000000003E-2</v>
      </c>
      <c r="J10" s="931">
        <v>3.4599999999999999E-2</v>
      </c>
      <c r="K10" s="931">
        <v>3.3000000000000002E-2</v>
      </c>
      <c r="L10" s="905">
        <v>3.3700000000000001E-2</v>
      </c>
      <c r="M10" s="905">
        <v>3.5000000000000003E-2</v>
      </c>
      <c r="N10" s="905">
        <v>3.7000000000000005E-2</v>
      </c>
      <c r="O10" s="905">
        <v>4.2999999999999997E-2</v>
      </c>
      <c r="P10" s="905">
        <v>4.8000000000000001E-2</v>
      </c>
      <c r="Q10" s="905">
        <v>3.6000000000000004E-2</v>
      </c>
      <c r="R10" s="905">
        <v>4.2999999999999997E-2</v>
      </c>
      <c r="S10" s="905">
        <v>4.0999999999999995E-2</v>
      </c>
      <c r="T10" s="905">
        <v>3.4000000000000002E-2</v>
      </c>
      <c r="U10" s="905">
        <v>0.04</v>
      </c>
      <c r="V10" s="905">
        <v>3.7999999999999999E-2</v>
      </c>
      <c r="W10" s="905">
        <v>3.7999999999999999E-2</v>
      </c>
      <c r="X10" s="905">
        <v>4.2000000000000003E-2</v>
      </c>
      <c r="Y10" s="905">
        <v>4.0999999999999995E-2</v>
      </c>
      <c r="Z10" s="905">
        <v>3.1E-2</v>
      </c>
      <c r="AA10" s="905">
        <v>2.8999999999999998E-2</v>
      </c>
      <c r="AB10" s="905">
        <v>2.5000000000000001E-2</v>
      </c>
      <c r="AC10" s="905">
        <v>2.1000000000000001E-2</v>
      </c>
      <c r="AD10" s="905">
        <v>2.6000000000000002E-2</v>
      </c>
      <c r="AE10" s="905">
        <v>2.5000000000000001E-2</v>
      </c>
      <c r="AF10" s="905">
        <v>0.03</v>
      </c>
      <c r="AG10" s="905">
        <v>3.4000000000000002E-2</v>
      </c>
      <c r="AH10" s="905">
        <v>5.4000000000000006E-2</v>
      </c>
      <c r="AI10" s="905">
        <v>6.3E-2</v>
      </c>
      <c r="AJ10" s="905">
        <v>6.3E-2</v>
      </c>
      <c r="AK10" s="905">
        <v>6.8000000000000005E-2</v>
      </c>
      <c r="AL10" s="905">
        <v>0.05</v>
      </c>
      <c r="AM10" s="905">
        <v>4.5999999999999999E-2</v>
      </c>
      <c r="AN10" s="905">
        <v>0.05</v>
      </c>
      <c r="AO10" s="905">
        <v>4.8000000000000001E-2</v>
      </c>
      <c r="AP10" s="905">
        <v>0.04</v>
      </c>
      <c r="AQ10" s="905">
        <v>3.9E-2</v>
      </c>
      <c r="AR10" s="905">
        <v>0.03</v>
      </c>
      <c r="AS10" s="905">
        <v>2.7999999999999997E-2</v>
      </c>
      <c r="AT10" s="905">
        <v>3.249062584560658E-2</v>
      </c>
      <c r="AU10" s="905">
        <v>3.3340109778410065E-2</v>
      </c>
      <c r="AV10" s="905">
        <v>4.0137769140482282E-2</v>
      </c>
      <c r="AW10" s="905">
        <v>3.1500745747352177E-2</v>
      </c>
      <c r="AX10" s="905">
        <v>4.6668788258859228E-2</v>
      </c>
      <c r="AY10" s="905">
        <v>5.8786056228511629E-2</v>
      </c>
      <c r="AZ10" s="905">
        <v>6.0001479919344236E-2</v>
      </c>
      <c r="BA10" s="905">
        <v>7.3551079426380284E-2</v>
      </c>
      <c r="BB10" s="905">
        <v>7.453677207039644E-2</v>
      </c>
      <c r="BC10" s="905">
        <v>7.9863384593604536E-2</v>
      </c>
      <c r="BD10" s="905">
        <v>8.6997495658851065E-2</v>
      </c>
      <c r="BE10" s="905">
        <v>7.8170286766460872E-2</v>
      </c>
      <c r="BF10" s="905">
        <v>6.8492580663953584E-2</v>
      </c>
      <c r="BG10" s="905">
        <v>5.0555537347186208E-2</v>
      </c>
      <c r="BH10" s="905">
        <v>4.4544878021369305E-2</v>
      </c>
      <c r="BI10" s="905">
        <v>4.6608896408861566E-2</v>
      </c>
      <c r="BJ10" s="905">
        <v>4.4209394885854625E-2</v>
      </c>
      <c r="BK10" s="1816">
        <v>4.7646069366187094E-2</v>
      </c>
      <c r="BL10" s="575">
        <f t="shared" ref="BL10:BR10" si="2">CHOOSE(MASTERSWITCH,BL11,BL12,BL13)</f>
        <v>4.3645724148090981E-2</v>
      </c>
      <c r="BM10" s="575">
        <f t="shared" si="2"/>
        <v>3.9895529877053804E-2</v>
      </c>
      <c r="BN10" s="575">
        <f t="shared" si="2"/>
        <v>3.8786353035603183E-2</v>
      </c>
      <c r="BO10" s="575">
        <f t="shared" si="2"/>
        <v>4.0158801270886446E-2</v>
      </c>
      <c r="BP10" s="575">
        <f t="shared" si="2"/>
        <v>3.663803056611159E-2</v>
      </c>
      <c r="BQ10" s="575">
        <f t="shared" si="2"/>
        <v>3.6874784217962642E-2</v>
      </c>
      <c r="BR10" s="575">
        <f t="shared" si="2"/>
        <v>3.6874784217962642E-2</v>
      </c>
      <c r="BS10" s="575">
        <f t="shared" ref="BS10:CK10" si="3">CHOOSE(MASTERSWITCH,BS11,BS12,BS13)</f>
        <v>3.6874784217962642E-2</v>
      </c>
      <c r="BT10" s="575">
        <f t="shared" si="3"/>
        <v>3.6874784217962642E-2</v>
      </c>
      <c r="BU10" s="575">
        <f t="shared" si="3"/>
        <v>3.6874784217962642E-2</v>
      </c>
      <c r="BV10" s="575">
        <f t="shared" si="3"/>
        <v>3.6874784217962642E-2</v>
      </c>
      <c r="BW10" s="575">
        <f t="shared" si="3"/>
        <v>3.6874784217962642E-2</v>
      </c>
      <c r="BX10" s="575">
        <f t="shared" si="3"/>
        <v>3.6874784217962642E-2</v>
      </c>
      <c r="BY10" s="575">
        <f t="shared" si="3"/>
        <v>3.6874784217962642E-2</v>
      </c>
      <c r="BZ10" s="575">
        <f t="shared" si="3"/>
        <v>3.6874784217962642E-2</v>
      </c>
      <c r="CA10" s="575">
        <f t="shared" si="3"/>
        <v>3.6874784217962642E-2</v>
      </c>
      <c r="CB10" s="575">
        <f t="shared" si="3"/>
        <v>3.6874784217962642E-2</v>
      </c>
      <c r="CC10" s="575">
        <f t="shared" si="3"/>
        <v>3.6874784217962642E-2</v>
      </c>
      <c r="CD10" s="575">
        <f t="shared" si="3"/>
        <v>3.6874784217962642E-2</v>
      </c>
      <c r="CE10" s="575">
        <f t="shared" si="3"/>
        <v>3.6874784217962642E-2</v>
      </c>
      <c r="CF10" s="575">
        <f t="shared" si="3"/>
        <v>3.6874784217962642E-2</v>
      </c>
      <c r="CG10" s="575">
        <f t="shared" si="3"/>
        <v>3.6874784217962642E-2</v>
      </c>
      <c r="CH10" s="575">
        <f t="shared" si="3"/>
        <v>3.6874784217962642E-2</v>
      </c>
      <c r="CI10" s="575">
        <f t="shared" si="3"/>
        <v>3.6874784217962642E-2</v>
      </c>
      <c r="CJ10" s="575">
        <f t="shared" si="3"/>
        <v>3.6874784217962642E-2</v>
      </c>
      <c r="CK10" s="575">
        <f t="shared" si="3"/>
        <v>3.6874784217962642E-2</v>
      </c>
      <c r="CL10" s="575">
        <f t="shared" ref="CL10:CP10" si="4">CHOOSE(MASTERSWITCH,CL11,CL12,CL13)</f>
        <v>3.6874784217962642E-2</v>
      </c>
      <c r="CM10" s="575">
        <f t="shared" si="4"/>
        <v>3.6874784217962642E-2</v>
      </c>
      <c r="CN10" s="575">
        <f t="shared" si="4"/>
        <v>3.6874784217962642E-2</v>
      </c>
      <c r="CO10" s="575">
        <f t="shared" si="4"/>
        <v>3.6874784217962642E-2</v>
      </c>
      <c r="CP10" s="575">
        <f t="shared" si="4"/>
        <v>3.6874784217962642E-2</v>
      </c>
      <c r="CQ10" s="575">
        <f t="shared" ref="CQ10:CU10" si="5">CHOOSE(MASTERSWITCH,CQ11,CQ12,CQ13)</f>
        <v>3.6874784217962642E-2</v>
      </c>
      <c r="CR10" s="575">
        <f t="shared" si="5"/>
        <v>3.6874784217962642E-2</v>
      </c>
      <c r="CS10" s="575">
        <f t="shared" si="5"/>
        <v>3.6874784217962642E-2</v>
      </c>
      <c r="CT10" s="575">
        <f t="shared" si="5"/>
        <v>3.6874784217962642E-2</v>
      </c>
      <c r="CU10" s="575">
        <f t="shared" si="5"/>
        <v>3.6874784217962642E-2</v>
      </c>
      <c r="CV10" s="575">
        <f t="shared" ref="CV10:CW10" si="6">CHOOSE(MASTERSWITCH,CV11,CV12,CV13)</f>
        <v>3.6874784217962642E-2</v>
      </c>
      <c r="CW10" s="575">
        <f t="shared" si="6"/>
        <v>3.6874784217962642E-2</v>
      </c>
      <c r="CX10" s="269"/>
      <c r="CY10" s="269"/>
    </row>
    <row r="11" spans="1:117" hidden="1" outlineLevel="1">
      <c r="A11" s="86" t="s">
        <v>571</v>
      </c>
      <c r="B11" s="297">
        <f t="shared" ref="B11:K11" si="7">B10</f>
        <v>6.1800000000000001E-2</v>
      </c>
      <c r="C11" s="297">
        <f t="shared" si="7"/>
        <v>5.96E-2</v>
      </c>
      <c r="D11" s="297">
        <f t="shared" si="7"/>
        <v>5.1400000000000001E-2</v>
      </c>
      <c r="E11" s="297">
        <f t="shared" si="7"/>
        <v>3.9800000000000002E-2</v>
      </c>
      <c r="F11" s="297">
        <f t="shared" si="7"/>
        <v>4.7500000000000001E-2</v>
      </c>
      <c r="G11" s="297">
        <f t="shared" si="7"/>
        <v>3.9600000000000003E-2</v>
      </c>
      <c r="H11" s="297">
        <f t="shared" si="7"/>
        <v>3.6700000000000003E-2</v>
      </c>
      <c r="I11" s="297">
        <f t="shared" si="7"/>
        <v>4.2500000000000003E-2</v>
      </c>
      <c r="J11" s="297">
        <f t="shared" si="7"/>
        <v>3.4599999999999999E-2</v>
      </c>
      <c r="K11" s="297">
        <f t="shared" si="7"/>
        <v>3.3000000000000002E-2</v>
      </c>
      <c r="L11" s="297">
        <f t="shared" ref="L11:AA11" si="8">L10</f>
        <v>3.3700000000000001E-2</v>
      </c>
      <c r="M11" s="297">
        <f t="shared" si="8"/>
        <v>3.5000000000000003E-2</v>
      </c>
      <c r="N11" s="297">
        <f t="shared" si="8"/>
        <v>3.7000000000000005E-2</v>
      </c>
      <c r="O11" s="297">
        <f t="shared" si="8"/>
        <v>4.2999999999999997E-2</v>
      </c>
      <c r="P11" s="297">
        <f t="shared" si="8"/>
        <v>4.8000000000000001E-2</v>
      </c>
      <c r="Q11" s="297">
        <f t="shared" si="8"/>
        <v>3.6000000000000004E-2</v>
      </c>
      <c r="R11" s="297">
        <f t="shared" si="8"/>
        <v>4.2999999999999997E-2</v>
      </c>
      <c r="S11" s="297">
        <f t="shared" si="8"/>
        <v>4.0999999999999995E-2</v>
      </c>
      <c r="T11" s="297">
        <f t="shared" si="8"/>
        <v>3.4000000000000002E-2</v>
      </c>
      <c r="U11" s="562">
        <f t="shared" si="8"/>
        <v>0.04</v>
      </c>
      <c r="V11" s="562">
        <f t="shared" si="8"/>
        <v>3.7999999999999999E-2</v>
      </c>
      <c r="W11" s="562">
        <f t="shared" si="8"/>
        <v>3.7999999999999999E-2</v>
      </c>
      <c r="X11" s="562">
        <f t="shared" si="8"/>
        <v>4.2000000000000003E-2</v>
      </c>
      <c r="Y11" s="562">
        <f t="shared" si="8"/>
        <v>4.0999999999999995E-2</v>
      </c>
      <c r="Z11" s="562">
        <f t="shared" si="8"/>
        <v>3.1E-2</v>
      </c>
      <c r="AA11" s="562">
        <f t="shared" si="8"/>
        <v>2.8999999999999998E-2</v>
      </c>
      <c r="AB11" s="562">
        <f t="shared" ref="AB11:AM11" si="9">AB10</f>
        <v>2.5000000000000001E-2</v>
      </c>
      <c r="AC11" s="562">
        <f t="shared" si="9"/>
        <v>2.1000000000000001E-2</v>
      </c>
      <c r="AD11" s="562">
        <f t="shared" si="9"/>
        <v>2.6000000000000002E-2</v>
      </c>
      <c r="AE11" s="562">
        <f t="shared" si="9"/>
        <v>2.5000000000000001E-2</v>
      </c>
      <c r="AF11" s="562">
        <f t="shared" si="9"/>
        <v>0.03</v>
      </c>
      <c r="AG11" s="562">
        <f t="shared" si="9"/>
        <v>3.4000000000000002E-2</v>
      </c>
      <c r="AH11" s="562">
        <f t="shared" si="9"/>
        <v>5.4000000000000006E-2</v>
      </c>
      <c r="AI11" s="562">
        <f t="shared" si="9"/>
        <v>6.3E-2</v>
      </c>
      <c r="AJ11" s="562">
        <f t="shared" si="9"/>
        <v>6.3E-2</v>
      </c>
      <c r="AK11" s="562">
        <f t="shared" si="9"/>
        <v>6.8000000000000005E-2</v>
      </c>
      <c r="AL11" s="562">
        <f t="shared" si="9"/>
        <v>0.05</v>
      </c>
      <c r="AM11" s="562">
        <f t="shared" si="9"/>
        <v>4.5999999999999999E-2</v>
      </c>
      <c r="AN11" s="562">
        <f t="shared" ref="AN11:AS11" si="10">AN10</f>
        <v>0.05</v>
      </c>
      <c r="AO11" s="562">
        <f t="shared" si="10"/>
        <v>4.8000000000000001E-2</v>
      </c>
      <c r="AP11" s="562">
        <f t="shared" si="10"/>
        <v>0.04</v>
      </c>
      <c r="AQ11" s="562">
        <f t="shared" si="10"/>
        <v>3.9E-2</v>
      </c>
      <c r="AR11" s="562">
        <f t="shared" si="10"/>
        <v>0.03</v>
      </c>
      <c r="AS11" s="562">
        <f t="shared" si="10"/>
        <v>2.7999999999999997E-2</v>
      </c>
      <c r="AT11" s="562">
        <f t="shared" ref="AT11:BB11" si="11">AT10</f>
        <v>3.249062584560658E-2</v>
      </c>
      <c r="AU11" s="562">
        <f t="shared" si="11"/>
        <v>3.3340109778410065E-2</v>
      </c>
      <c r="AV11" s="562">
        <f t="shared" si="11"/>
        <v>4.0137769140482282E-2</v>
      </c>
      <c r="AW11" s="562">
        <f t="shared" si="11"/>
        <v>3.1500745747352177E-2</v>
      </c>
      <c r="AX11" s="562">
        <f t="shared" si="11"/>
        <v>4.6668788258859228E-2</v>
      </c>
      <c r="AY11" s="562">
        <f t="shared" si="11"/>
        <v>5.8786056228511629E-2</v>
      </c>
      <c r="AZ11" s="562">
        <f t="shared" si="11"/>
        <v>6.0001479919344236E-2</v>
      </c>
      <c r="BA11" s="562">
        <f t="shared" si="11"/>
        <v>7.3551079426380284E-2</v>
      </c>
      <c r="BB11" s="562">
        <f t="shared" si="11"/>
        <v>7.453677207039644E-2</v>
      </c>
      <c r="BC11" s="562">
        <f t="shared" ref="BC11:BG11" si="12">BC10</f>
        <v>7.9863384593604536E-2</v>
      </c>
      <c r="BD11" s="562">
        <f t="shared" si="12"/>
        <v>8.6997495658851065E-2</v>
      </c>
      <c r="BE11" s="562">
        <f t="shared" si="12"/>
        <v>7.8170286766460872E-2</v>
      </c>
      <c r="BF11" s="562">
        <f t="shared" si="12"/>
        <v>6.8492580663953584E-2</v>
      </c>
      <c r="BG11" s="562">
        <f t="shared" si="12"/>
        <v>5.0555537347186208E-2</v>
      </c>
      <c r="BH11" s="562">
        <f t="shared" ref="BH11" si="13">BH10</f>
        <v>4.4544878021369305E-2</v>
      </c>
      <c r="BI11" s="562">
        <f t="shared" ref="BI11" si="14">BI10</f>
        <v>4.6608896408861566E-2</v>
      </c>
      <c r="BJ11" s="562">
        <f t="shared" ref="BJ11:BK11" si="15">BJ10</f>
        <v>4.4209394885854625E-2</v>
      </c>
      <c r="BK11" s="1817">
        <f t="shared" si="15"/>
        <v>4.7646069366187094E-2</v>
      </c>
      <c r="BL11" s="298">
        <f t="shared" ref="BL11:BQ11" si="16">BL12+$CY11</f>
        <v>4.3645724148090981E-2</v>
      </c>
      <c r="BM11" s="298">
        <f t="shared" si="16"/>
        <v>3.9895529877053804E-2</v>
      </c>
      <c r="BN11" s="298">
        <f t="shared" si="16"/>
        <v>3.8786353035603183E-2</v>
      </c>
      <c r="BO11" s="298">
        <f t="shared" si="16"/>
        <v>4.0158801270886446E-2</v>
      </c>
      <c r="BP11" s="298">
        <f t="shared" si="16"/>
        <v>3.663803056611159E-2</v>
      </c>
      <c r="BQ11" s="298">
        <f t="shared" si="16"/>
        <v>3.6874784217962642E-2</v>
      </c>
      <c r="BR11" s="298">
        <f t="shared" ref="BR11:CU11" si="17">BR12+$CZ11</f>
        <v>3.6874784217962642E-2</v>
      </c>
      <c r="BS11" s="298">
        <f t="shared" si="17"/>
        <v>3.6874784217962642E-2</v>
      </c>
      <c r="BT11" s="298">
        <f t="shared" si="17"/>
        <v>3.6874784217962642E-2</v>
      </c>
      <c r="BU11" s="298">
        <f t="shared" si="17"/>
        <v>3.6874784217962642E-2</v>
      </c>
      <c r="BV11" s="298">
        <f t="shared" si="17"/>
        <v>3.6874784217962642E-2</v>
      </c>
      <c r="BW11" s="298">
        <f t="shared" si="17"/>
        <v>3.6874784217962642E-2</v>
      </c>
      <c r="BX11" s="298">
        <f t="shared" si="17"/>
        <v>3.6874784217962642E-2</v>
      </c>
      <c r="BY11" s="298">
        <f t="shared" si="17"/>
        <v>3.6874784217962642E-2</v>
      </c>
      <c r="BZ11" s="298">
        <f t="shared" si="17"/>
        <v>3.6874784217962642E-2</v>
      </c>
      <c r="CA11" s="298">
        <f t="shared" si="17"/>
        <v>3.6874784217962642E-2</v>
      </c>
      <c r="CB11" s="298">
        <f t="shared" si="17"/>
        <v>3.6874784217962642E-2</v>
      </c>
      <c r="CC11" s="298">
        <f t="shared" si="17"/>
        <v>3.6874784217962642E-2</v>
      </c>
      <c r="CD11" s="298">
        <f t="shared" si="17"/>
        <v>3.6874784217962642E-2</v>
      </c>
      <c r="CE11" s="298">
        <f t="shared" si="17"/>
        <v>3.6874784217962642E-2</v>
      </c>
      <c r="CF11" s="298">
        <f t="shared" si="17"/>
        <v>3.6874784217962642E-2</v>
      </c>
      <c r="CG11" s="298">
        <f t="shared" si="17"/>
        <v>3.6874784217962642E-2</v>
      </c>
      <c r="CH11" s="298">
        <f t="shared" si="17"/>
        <v>3.6874784217962642E-2</v>
      </c>
      <c r="CI11" s="298">
        <f t="shared" si="17"/>
        <v>3.6874784217962642E-2</v>
      </c>
      <c r="CJ11" s="298">
        <f t="shared" si="17"/>
        <v>3.6874784217962642E-2</v>
      </c>
      <c r="CK11" s="298">
        <f t="shared" si="17"/>
        <v>3.6874784217962642E-2</v>
      </c>
      <c r="CL11" s="298">
        <f t="shared" si="17"/>
        <v>3.6874784217962642E-2</v>
      </c>
      <c r="CM11" s="298">
        <f t="shared" si="17"/>
        <v>3.6874784217962642E-2</v>
      </c>
      <c r="CN11" s="298">
        <f t="shared" si="17"/>
        <v>3.6874784217962642E-2</v>
      </c>
      <c r="CO11" s="298">
        <f t="shared" si="17"/>
        <v>3.6874784217962642E-2</v>
      </c>
      <c r="CP11" s="298">
        <f t="shared" si="17"/>
        <v>3.6874784217962642E-2</v>
      </c>
      <c r="CQ11" s="298">
        <f t="shared" si="17"/>
        <v>3.6874784217962642E-2</v>
      </c>
      <c r="CR11" s="298">
        <f t="shared" si="17"/>
        <v>3.6874784217962642E-2</v>
      </c>
      <c r="CS11" s="298">
        <f t="shared" si="17"/>
        <v>3.6874784217962642E-2</v>
      </c>
      <c r="CT11" s="298">
        <f t="shared" si="17"/>
        <v>3.6874784217962642E-2</v>
      </c>
      <c r="CU11" s="298">
        <f t="shared" si="17"/>
        <v>3.6874784217962642E-2</v>
      </c>
      <c r="CV11" s="298">
        <f t="shared" ref="CV11:CW11" si="18">CV12+$CZ11</f>
        <v>3.6874784217962642E-2</v>
      </c>
      <c r="CW11" s="298">
        <f t="shared" si="18"/>
        <v>3.6874784217962642E-2</v>
      </c>
      <c r="CX11" s="269"/>
      <c r="CY11" s="402">
        <v>0</v>
      </c>
      <c r="CZ11" s="402">
        <v>0</v>
      </c>
    </row>
    <row r="12" spans="1:117" hidden="1" outlineLevel="1">
      <c r="A12" s="86" t="s">
        <v>200</v>
      </c>
      <c r="B12" s="297">
        <f t="shared" ref="B12:K12" si="19">B10</f>
        <v>6.1800000000000001E-2</v>
      </c>
      <c r="C12" s="297">
        <f t="shared" si="19"/>
        <v>5.96E-2</v>
      </c>
      <c r="D12" s="297">
        <f t="shared" si="19"/>
        <v>5.1400000000000001E-2</v>
      </c>
      <c r="E12" s="297">
        <f t="shared" si="19"/>
        <v>3.9800000000000002E-2</v>
      </c>
      <c r="F12" s="297">
        <f t="shared" si="19"/>
        <v>4.7500000000000001E-2</v>
      </c>
      <c r="G12" s="297">
        <f t="shared" si="19"/>
        <v>3.9600000000000003E-2</v>
      </c>
      <c r="H12" s="297">
        <f t="shared" si="19"/>
        <v>3.6700000000000003E-2</v>
      </c>
      <c r="I12" s="297">
        <f t="shared" si="19"/>
        <v>4.2500000000000003E-2</v>
      </c>
      <c r="J12" s="297">
        <f t="shared" si="19"/>
        <v>3.4599999999999999E-2</v>
      </c>
      <c r="K12" s="297">
        <f t="shared" si="19"/>
        <v>3.3000000000000002E-2</v>
      </c>
      <c r="L12" s="297">
        <f t="shared" ref="L12:AA12" si="20">L10</f>
        <v>3.3700000000000001E-2</v>
      </c>
      <c r="M12" s="297">
        <f t="shared" si="20"/>
        <v>3.5000000000000003E-2</v>
      </c>
      <c r="N12" s="297">
        <f t="shared" si="20"/>
        <v>3.7000000000000005E-2</v>
      </c>
      <c r="O12" s="297">
        <f t="shared" si="20"/>
        <v>4.2999999999999997E-2</v>
      </c>
      <c r="P12" s="297">
        <f t="shared" si="20"/>
        <v>4.8000000000000001E-2</v>
      </c>
      <c r="Q12" s="297">
        <f t="shared" si="20"/>
        <v>3.6000000000000004E-2</v>
      </c>
      <c r="R12" s="297">
        <f t="shared" si="20"/>
        <v>4.2999999999999997E-2</v>
      </c>
      <c r="S12" s="297">
        <f t="shared" si="20"/>
        <v>4.0999999999999995E-2</v>
      </c>
      <c r="T12" s="297">
        <f t="shared" si="20"/>
        <v>3.4000000000000002E-2</v>
      </c>
      <c r="U12" s="84">
        <f t="shared" si="20"/>
        <v>0.04</v>
      </c>
      <c r="V12" s="84">
        <f t="shared" si="20"/>
        <v>3.7999999999999999E-2</v>
      </c>
      <c r="W12" s="84">
        <f t="shared" si="20"/>
        <v>3.7999999999999999E-2</v>
      </c>
      <c r="X12" s="84">
        <f t="shared" si="20"/>
        <v>4.2000000000000003E-2</v>
      </c>
      <c r="Y12" s="84">
        <f t="shared" si="20"/>
        <v>4.0999999999999995E-2</v>
      </c>
      <c r="Z12" s="84">
        <f t="shared" si="20"/>
        <v>3.1E-2</v>
      </c>
      <c r="AA12" s="84">
        <f t="shared" si="20"/>
        <v>2.8999999999999998E-2</v>
      </c>
      <c r="AB12" s="84">
        <f t="shared" ref="AB12:AM12" si="21">AB10</f>
        <v>2.5000000000000001E-2</v>
      </c>
      <c r="AC12" s="84">
        <f t="shared" si="21"/>
        <v>2.1000000000000001E-2</v>
      </c>
      <c r="AD12" s="84">
        <f t="shared" si="21"/>
        <v>2.6000000000000002E-2</v>
      </c>
      <c r="AE12" s="84">
        <f t="shared" si="21"/>
        <v>2.5000000000000001E-2</v>
      </c>
      <c r="AF12" s="84">
        <f t="shared" si="21"/>
        <v>0.03</v>
      </c>
      <c r="AG12" s="84">
        <f t="shared" si="21"/>
        <v>3.4000000000000002E-2</v>
      </c>
      <c r="AH12" s="84">
        <f t="shared" si="21"/>
        <v>5.4000000000000006E-2</v>
      </c>
      <c r="AI12" s="84">
        <f t="shared" si="21"/>
        <v>6.3E-2</v>
      </c>
      <c r="AJ12" s="84">
        <f t="shared" si="21"/>
        <v>6.3E-2</v>
      </c>
      <c r="AK12" s="84">
        <f t="shared" si="21"/>
        <v>6.8000000000000005E-2</v>
      </c>
      <c r="AL12" s="84">
        <f t="shared" si="21"/>
        <v>0.05</v>
      </c>
      <c r="AM12" s="84">
        <f t="shared" si="21"/>
        <v>4.5999999999999999E-2</v>
      </c>
      <c r="AN12" s="84">
        <f t="shared" ref="AN12:AS12" si="22">AN10</f>
        <v>0.05</v>
      </c>
      <c r="AO12" s="84">
        <f t="shared" si="22"/>
        <v>4.8000000000000001E-2</v>
      </c>
      <c r="AP12" s="84">
        <f t="shared" si="22"/>
        <v>0.04</v>
      </c>
      <c r="AQ12" s="84">
        <f t="shared" si="22"/>
        <v>3.9E-2</v>
      </c>
      <c r="AR12" s="84">
        <f t="shared" si="22"/>
        <v>0.03</v>
      </c>
      <c r="AS12" s="84">
        <f t="shared" si="22"/>
        <v>2.7999999999999997E-2</v>
      </c>
      <c r="AT12" s="84">
        <f t="shared" ref="AT12:BB12" si="23">AT10</f>
        <v>3.249062584560658E-2</v>
      </c>
      <c r="AU12" s="84">
        <f t="shared" si="23"/>
        <v>3.3340109778410065E-2</v>
      </c>
      <c r="AV12" s="84">
        <f t="shared" si="23"/>
        <v>4.0137769140482282E-2</v>
      </c>
      <c r="AW12" s="84">
        <f t="shared" si="23"/>
        <v>3.1500745747352177E-2</v>
      </c>
      <c r="AX12" s="84">
        <f t="shared" si="23"/>
        <v>4.6668788258859228E-2</v>
      </c>
      <c r="AY12" s="84">
        <f t="shared" si="23"/>
        <v>5.8786056228511629E-2</v>
      </c>
      <c r="AZ12" s="84">
        <f t="shared" si="23"/>
        <v>6.0001479919344236E-2</v>
      </c>
      <c r="BA12" s="84">
        <f t="shared" si="23"/>
        <v>7.3551079426380284E-2</v>
      </c>
      <c r="BB12" s="84">
        <f t="shared" si="23"/>
        <v>7.453677207039644E-2</v>
      </c>
      <c r="BC12" s="84">
        <f t="shared" ref="BC12:BG12" si="24">BC10</f>
        <v>7.9863384593604536E-2</v>
      </c>
      <c r="BD12" s="84">
        <f t="shared" si="24"/>
        <v>8.6997495658851065E-2</v>
      </c>
      <c r="BE12" s="84">
        <f t="shared" si="24"/>
        <v>7.8170286766460872E-2</v>
      </c>
      <c r="BF12" s="84">
        <f t="shared" si="24"/>
        <v>6.8492580663953584E-2</v>
      </c>
      <c r="BG12" s="84">
        <f t="shared" si="24"/>
        <v>5.0555537347186208E-2</v>
      </c>
      <c r="BH12" s="84">
        <f t="shared" ref="BH12" si="25">BH10</f>
        <v>4.4544878021369305E-2</v>
      </c>
      <c r="BI12" s="84">
        <f t="shared" ref="BI12" si="26">BI10</f>
        <v>4.6608896408861566E-2</v>
      </c>
      <c r="BJ12" s="84">
        <f t="shared" ref="BJ12:BK12" si="27">BJ10</f>
        <v>4.4209394885854625E-2</v>
      </c>
      <c r="BK12" s="801">
        <f t="shared" si="27"/>
        <v>4.7646069366187094E-2</v>
      </c>
      <c r="BL12" s="560">
        <v>4.3645724148090981E-2</v>
      </c>
      <c r="BM12" s="560">
        <v>3.9895529877053804E-2</v>
      </c>
      <c r="BN12" s="560">
        <v>3.8786353035603183E-2</v>
      </c>
      <c r="BO12" s="560">
        <v>4.0158801270886446E-2</v>
      </c>
      <c r="BP12" s="560">
        <v>3.663803056611159E-2</v>
      </c>
      <c r="BQ12" s="560">
        <v>3.6874784217962642E-2</v>
      </c>
      <c r="BR12" s="1784">
        <f>+BQ12</f>
        <v>3.6874784217962642E-2</v>
      </c>
      <c r="BS12" s="1784">
        <f>+BR12</f>
        <v>3.6874784217962642E-2</v>
      </c>
      <c r="BT12" s="1784">
        <f t="shared" ref="BT12:CL12" si="28">+BS12</f>
        <v>3.6874784217962642E-2</v>
      </c>
      <c r="BU12" s="1784">
        <f t="shared" si="28"/>
        <v>3.6874784217962642E-2</v>
      </c>
      <c r="BV12" s="1784">
        <f t="shared" si="28"/>
        <v>3.6874784217962642E-2</v>
      </c>
      <c r="BW12" s="1784">
        <f t="shared" si="28"/>
        <v>3.6874784217962642E-2</v>
      </c>
      <c r="BX12" s="1784">
        <f t="shared" si="28"/>
        <v>3.6874784217962642E-2</v>
      </c>
      <c r="BY12" s="1784">
        <f t="shared" si="28"/>
        <v>3.6874784217962642E-2</v>
      </c>
      <c r="BZ12" s="1784">
        <f t="shared" si="28"/>
        <v>3.6874784217962642E-2</v>
      </c>
      <c r="CA12" s="1784">
        <f t="shared" si="28"/>
        <v>3.6874784217962642E-2</v>
      </c>
      <c r="CB12" s="1784">
        <f t="shared" si="28"/>
        <v>3.6874784217962642E-2</v>
      </c>
      <c r="CC12" s="1784">
        <f t="shared" si="28"/>
        <v>3.6874784217962642E-2</v>
      </c>
      <c r="CD12" s="1784">
        <f t="shared" si="28"/>
        <v>3.6874784217962642E-2</v>
      </c>
      <c r="CE12" s="1784">
        <f t="shared" si="28"/>
        <v>3.6874784217962642E-2</v>
      </c>
      <c r="CF12" s="1784">
        <f t="shared" si="28"/>
        <v>3.6874784217962642E-2</v>
      </c>
      <c r="CG12" s="1784">
        <f t="shared" si="28"/>
        <v>3.6874784217962642E-2</v>
      </c>
      <c r="CH12" s="1784">
        <f t="shared" si="28"/>
        <v>3.6874784217962642E-2</v>
      </c>
      <c r="CI12" s="1784">
        <f t="shared" si="28"/>
        <v>3.6874784217962642E-2</v>
      </c>
      <c r="CJ12" s="1784">
        <f t="shared" si="28"/>
        <v>3.6874784217962642E-2</v>
      </c>
      <c r="CK12" s="1784">
        <f t="shared" si="28"/>
        <v>3.6874784217962642E-2</v>
      </c>
      <c r="CL12" s="1784">
        <f t="shared" si="28"/>
        <v>3.6874784217962642E-2</v>
      </c>
      <c r="CM12" s="1784">
        <f t="shared" ref="CM12" si="29">+CL12</f>
        <v>3.6874784217962642E-2</v>
      </c>
      <c r="CN12" s="1784">
        <f t="shared" ref="CN12" si="30">+CM12</f>
        <v>3.6874784217962642E-2</v>
      </c>
      <c r="CO12" s="1784">
        <f t="shared" ref="CO12" si="31">+CN12</f>
        <v>3.6874784217962642E-2</v>
      </c>
      <c r="CP12" s="1784">
        <f t="shared" ref="CP12" si="32">+CO12</f>
        <v>3.6874784217962642E-2</v>
      </c>
      <c r="CQ12" s="1784">
        <f t="shared" ref="CQ12" si="33">+CP12</f>
        <v>3.6874784217962642E-2</v>
      </c>
      <c r="CR12" s="1784">
        <f t="shared" ref="CR12" si="34">+CQ12</f>
        <v>3.6874784217962642E-2</v>
      </c>
      <c r="CS12" s="1784">
        <f t="shared" ref="CS12" si="35">+CR12</f>
        <v>3.6874784217962642E-2</v>
      </c>
      <c r="CT12" s="1784">
        <f t="shared" ref="CT12" si="36">+CS12</f>
        <v>3.6874784217962642E-2</v>
      </c>
      <c r="CU12" s="1784">
        <f t="shared" ref="CU12" si="37">+CT12</f>
        <v>3.6874784217962642E-2</v>
      </c>
      <c r="CV12" s="1784">
        <f t="shared" ref="CV12" si="38">+CU12</f>
        <v>3.6874784217962642E-2</v>
      </c>
      <c r="CW12" s="1784">
        <f t="shared" ref="CW12" si="39">+CV12</f>
        <v>3.6874784217962642E-2</v>
      </c>
      <c r="CX12" s="269"/>
      <c r="CY12" s="269"/>
      <c r="CZ12" s="269"/>
    </row>
    <row r="13" spans="1:117" hidden="1" outlineLevel="1">
      <c r="A13" s="86" t="s">
        <v>202</v>
      </c>
      <c r="B13" s="297">
        <f t="shared" ref="B13:K13" si="40">B10</f>
        <v>6.1800000000000001E-2</v>
      </c>
      <c r="C13" s="297">
        <f t="shared" si="40"/>
        <v>5.96E-2</v>
      </c>
      <c r="D13" s="297">
        <f t="shared" si="40"/>
        <v>5.1400000000000001E-2</v>
      </c>
      <c r="E13" s="297">
        <f t="shared" si="40"/>
        <v>3.9800000000000002E-2</v>
      </c>
      <c r="F13" s="297">
        <f t="shared" si="40"/>
        <v>4.7500000000000001E-2</v>
      </c>
      <c r="G13" s="297">
        <f t="shared" si="40"/>
        <v>3.9600000000000003E-2</v>
      </c>
      <c r="H13" s="297">
        <f t="shared" si="40"/>
        <v>3.6700000000000003E-2</v>
      </c>
      <c r="I13" s="297">
        <f t="shared" si="40"/>
        <v>4.2500000000000003E-2</v>
      </c>
      <c r="J13" s="297">
        <f t="shared" si="40"/>
        <v>3.4599999999999999E-2</v>
      </c>
      <c r="K13" s="297">
        <f t="shared" si="40"/>
        <v>3.3000000000000002E-2</v>
      </c>
      <c r="L13" s="297">
        <f t="shared" ref="L13:AA13" si="41">L10</f>
        <v>3.3700000000000001E-2</v>
      </c>
      <c r="M13" s="297">
        <f t="shared" si="41"/>
        <v>3.5000000000000003E-2</v>
      </c>
      <c r="N13" s="297">
        <f t="shared" si="41"/>
        <v>3.7000000000000005E-2</v>
      </c>
      <c r="O13" s="297">
        <f t="shared" si="41"/>
        <v>4.2999999999999997E-2</v>
      </c>
      <c r="P13" s="297">
        <f t="shared" si="41"/>
        <v>4.8000000000000001E-2</v>
      </c>
      <c r="Q13" s="297">
        <f t="shared" si="41"/>
        <v>3.6000000000000004E-2</v>
      </c>
      <c r="R13" s="297">
        <f t="shared" si="41"/>
        <v>4.2999999999999997E-2</v>
      </c>
      <c r="S13" s="297">
        <f t="shared" si="41"/>
        <v>4.0999999999999995E-2</v>
      </c>
      <c r="T13" s="297">
        <f t="shared" si="41"/>
        <v>3.4000000000000002E-2</v>
      </c>
      <c r="U13" s="562">
        <f t="shared" si="41"/>
        <v>0.04</v>
      </c>
      <c r="V13" s="562">
        <f t="shared" si="41"/>
        <v>3.7999999999999999E-2</v>
      </c>
      <c r="W13" s="562">
        <f t="shared" si="41"/>
        <v>3.7999999999999999E-2</v>
      </c>
      <c r="X13" s="562">
        <f t="shared" si="41"/>
        <v>4.2000000000000003E-2</v>
      </c>
      <c r="Y13" s="562">
        <f t="shared" si="41"/>
        <v>4.0999999999999995E-2</v>
      </c>
      <c r="Z13" s="562">
        <f t="shared" si="41"/>
        <v>3.1E-2</v>
      </c>
      <c r="AA13" s="562">
        <f t="shared" si="41"/>
        <v>2.8999999999999998E-2</v>
      </c>
      <c r="AB13" s="562">
        <f t="shared" ref="AB13:AM13" si="42">AB10</f>
        <v>2.5000000000000001E-2</v>
      </c>
      <c r="AC13" s="562">
        <f t="shared" si="42"/>
        <v>2.1000000000000001E-2</v>
      </c>
      <c r="AD13" s="562">
        <f t="shared" si="42"/>
        <v>2.6000000000000002E-2</v>
      </c>
      <c r="AE13" s="562">
        <f t="shared" si="42"/>
        <v>2.5000000000000001E-2</v>
      </c>
      <c r="AF13" s="562">
        <f t="shared" si="42"/>
        <v>0.03</v>
      </c>
      <c r="AG13" s="562">
        <f t="shared" si="42"/>
        <v>3.4000000000000002E-2</v>
      </c>
      <c r="AH13" s="562">
        <f t="shared" si="42"/>
        <v>5.4000000000000006E-2</v>
      </c>
      <c r="AI13" s="562">
        <f t="shared" si="42"/>
        <v>6.3E-2</v>
      </c>
      <c r="AJ13" s="562">
        <f t="shared" si="42"/>
        <v>6.3E-2</v>
      </c>
      <c r="AK13" s="562">
        <f t="shared" si="42"/>
        <v>6.8000000000000005E-2</v>
      </c>
      <c r="AL13" s="562">
        <f t="shared" si="42"/>
        <v>0.05</v>
      </c>
      <c r="AM13" s="562">
        <f t="shared" si="42"/>
        <v>4.5999999999999999E-2</v>
      </c>
      <c r="AN13" s="562">
        <f t="shared" ref="AN13:AS13" si="43">AN10</f>
        <v>0.05</v>
      </c>
      <c r="AO13" s="562">
        <f t="shared" si="43"/>
        <v>4.8000000000000001E-2</v>
      </c>
      <c r="AP13" s="562">
        <f t="shared" si="43"/>
        <v>0.04</v>
      </c>
      <c r="AQ13" s="562">
        <f t="shared" si="43"/>
        <v>3.9E-2</v>
      </c>
      <c r="AR13" s="562">
        <f t="shared" si="43"/>
        <v>0.03</v>
      </c>
      <c r="AS13" s="562">
        <f t="shared" si="43"/>
        <v>2.7999999999999997E-2</v>
      </c>
      <c r="AT13" s="562">
        <f t="shared" ref="AT13:BB13" si="44">AT10</f>
        <v>3.249062584560658E-2</v>
      </c>
      <c r="AU13" s="562">
        <f t="shared" si="44"/>
        <v>3.3340109778410065E-2</v>
      </c>
      <c r="AV13" s="562">
        <f t="shared" si="44"/>
        <v>4.0137769140482282E-2</v>
      </c>
      <c r="AW13" s="562">
        <f t="shared" si="44"/>
        <v>3.1500745747352177E-2</v>
      </c>
      <c r="AX13" s="562">
        <f t="shared" si="44"/>
        <v>4.6668788258859228E-2</v>
      </c>
      <c r="AY13" s="562">
        <f t="shared" si="44"/>
        <v>5.8786056228511629E-2</v>
      </c>
      <c r="AZ13" s="562">
        <f t="shared" si="44"/>
        <v>6.0001479919344236E-2</v>
      </c>
      <c r="BA13" s="562">
        <f t="shared" si="44"/>
        <v>7.3551079426380284E-2</v>
      </c>
      <c r="BB13" s="562">
        <f t="shared" si="44"/>
        <v>7.453677207039644E-2</v>
      </c>
      <c r="BC13" s="562">
        <f t="shared" ref="BC13:BG13" si="45">BC10</f>
        <v>7.9863384593604536E-2</v>
      </c>
      <c r="BD13" s="562">
        <f t="shared" si="45"/>
        <v>8.6997495658851065E-2</v>
      </c>
      <c r="BE13" s="562">
        <f t="shared" si="45"/>
        <v>7.8170286766460872E-2</v>
      </c>
      <c r="BF13" s="562">
        <f t="shared" si="45"/>
        <v>6.8492580663953584E-2</v>
      </c>
      <c r="BG13" s="562">
        <f t="shared" si="45"/>
        <v>5.0555537347186208E-2</v>
      </c>
      <c r="BH13" s="562">
        <f t="shared" ref="BH13" si="46">BH10</f>
        <v>4.4544878021369305E-2</v>
      </c>
      <c r="BI13" s="562">
        <f t="shared" ref="BI13" si="47">BI10</f>
        <v>4.6608896408861566E-2</v>
      </c>
      <c r="BJ13" s="562">
        <f t="shared" ref="BJ13:BK13" si="48">BJ10</f>
        <v>4.4209394885854625E-2</v>
      </c>
      <c r="BK13" s="1817">
        <f t="shared" si="48"/>
        <v>4.7646069366187094E-2</v>
      </c>
      <c r="BL13" s="298">
        <f t="shared" ref="BL13:BQ13" si="49">BL12+$CY13</f>
        <v>4.3645724148090981E-2</v>
      </c>
      <c r="BM13" s="298">
        <f t="shared" si="49"/>
        <v>3.9895529877053804E-2</v>
      </c>
      <c r="BN13" s="298">
        <f t="shared" si="49"/>
        <v>3.8786353035603183E-2</v>
      </c>
      <c r="BO13" s="298">
        <f t="shared" si="49"/>
        <v>4.0158801270886446E-2</v>
      </c>
      <c r="BP13" s="298">
        <f t="shared" si="49"/>
        <v>3.663803056611159E-2</v>
      </c>
      <c r="BQ13" s="298">
        <f t="shared" si="49"/>
        <v>3.6874784217962642E-2</v>
      </c>
      <c r="BR13" s="298">
        <f t="shared" ref="BR13" si="50">BR12+$CZ13</f>
        <v>3.6874784217962642E-2</v>
      </c>
      <c r="BS13" s="298">
        <f t="shared" ref="BS13:CU13" si="51">BS12+$CZ13</f>
        <v>3.6874784217962642E-2</v>
      </c>
      <c r="BT13" s="298">
        <f t="shared" si="51"/>
        <v>3.6874784217962642E-2</v>
      </c>
      <c r="BU13" s="298">
        <f t="shared" si="51"/>
        <v>3.6874784217962642E-2</v>
      </c>
      <c r="BV13" s="298">
        <f t="shared" si="51"/>
        <v>3.6874784217962642E-2</v>
      </c>
      <c r="BW13" s="298">
        <f t="shared" si="51"/>
        <v>3.6874784217962642E-2</v>
      </c>
      <c r="BX13" s="298">
        <f t="shared" si="51"/>
        <v>3.6874784217962642E-2</v>
      </c>
      <c r="BY13" s="298">
        <f t="shared" si="51"/>
        <v>3.6874784217962642E-2</v>
      </c>
      <c r="BZ13" s="298">
        <f t="shared" si="51"/>
        <v>3.6874784217962642E-2</v>
      </c>
      <c r="CA13" s="298">
        <f t="shared" si="51"/>
        <v>3.6874784217962642E-2</v>
      </c>
      <c r="CB13" s="298">
        <f t="shared" si="51"/>
        <v>3.6874784217962642E-2</v>
      </c>
      <c r="CC13" s="298">
        <f t="shared" si="51"/>
        <v>3.6874784217962642E-2</v>
      </c>
      <c r="CD13" s="298">
        <f t="shared" si="51"/>
        <v>3.6874784217962642E-2</v>
      </c>
      <c r="CE13" s="298">
        <f t="shared" si="51"/>
        <v>3.6874784217962642E-2</v>
      </c>
      <c r="CF13" s="298">
        <f t="shared" si="51"/>
        <v>3.6874784217962642E-2</v>
      </c>
      <c r="CG13" s="298">
        <f t="shared" si="51"/>
        <v>3.6874784217962642E-2</v>
      </c>
      <c r="CH13" s="298">
        <f t="shared" si="51"/>
        <v>3.6874784217962642E-2</v>
      </c>
      <c r="CI13" s="298">
        <f t="shared" si="51"/>
        <v>3.6874784217962642E-2</v>
      </c>
      <c r="CJ13" s="298">
        <f t="shared" si="51"/>
        <v>3.6874784217962642E-2</v>
      </c>
      <c r="CK13" s="298">
        <f t="shared" si="51"/>
        <v>3.6874784217962642E-2</v>
      </c>
      <c r="CL13" s="298">
        <f t="shared" si="51"/>
        <v>3.6874784217962642E-2</v>
      </c>
      <c r="CM13" s="298">
        <f t="shared" si="51"/>
        <v>3.6874784217962642E-2</v>
      </c>
      <c r="CN13" s="298">
        <f t="shared" si="51"/>
        <v>3.6874784217962642E-2</v>
      </c>
      <c r="CO13" s="298">
        <f t="shared" si="51"/>
        <v>3.6874784217962642E-2</v>
      </c>
      <c r="CP13" s="298">
        <f t="shared" si="51"/>
        <v>3.6874784217962642E-2</v>
      </c>
      <c r="CQ13" s="298">
        <f t="shared" si="51"/>
        <v>3.6874784217962642E-2</v>
      </c>
      <c r="CR13" s="298">
        <f t="shared" si="51"/>
        <v>3.6874784217962642E-2</v>
      </c>
      <c r="CS13" s="298">
        <f t="shared" si="51"/>
        <v>3.6874784217962642E-2</v>
      </c>
      <c r="CT13" s="298">
        <f t="shared" si="51"/>
        <v>3.6874784217962642E-2</v>
      </c>
      <c r="CU13" s="298">
        <f t="shared" si="51"/>
        <v>3.6874784217962642E-2</v>
      </c>
      <c r="CV13" s="298">
        <f t="shared" ref="CV13:CW13" si="52">CV12+$CZ13</f>
        <v>3.6874784217962642E-2</v>
      </c>
      <c r="CW13" s="298">
        <f t="shared" si="52"/>
        <v>3.6874784217962642E-2</v>
      </c>
      <c r="CX13" s="269"/>
      <c r="CY13" s="402">
        <v>0</v>
      </c>
      <c r="CZ13" s="402">
        <v>0</v>
      </c>
    </row>
    <row r="14" spans="1:117" hidden="1" outlineLevel="1">
      <c r="A14" s="883"/>
      <c r="B14" s="399"/>
      <c r="C14" s="399"/>
      <c r="D14" s="399"/>
      <c r="E14" s="399"/>
      <c r="F14" s="399"/>
      <c r="G14" s="399"/>
      <c r="H14" s="399"/>
      <c r="I14" s="399"/>
      <c r="J14" s="399"/>
      <c r="K14" s="399"/>
      <c r="L14" s="39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69"/>
      <c r="AO14" s="269"/>
      <c r="AP14" s="269"/>
      <c r="AQ14" s="269"/>
      <c r="AR14" s="269"/>
      <c r="AS14" s="269"/>
      <c r="AT14" s="269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1815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  <c r="CK14" s="296"/>
      <c r="CL14" s="296"/>
      <c r="CM14" s="296"/>
      <c r="CN14" s="296"/>
      <c r="CO14" s="296"/>
      <c r="CP14" s="296"/>
      <c r="CQ14" s="296"/>
      <c r="CR14" s="296"/>
      <c r="CS14" s="296"/>
      <c r="CT14" s="296"/>
      <c r="CU14" s="296"/>
      <c r="CV14" s="296"/>
      <c r="CW14" s="296"/>
      <c r="CX14" s="269"/>
      <c r="CY14" s="269"/>
      <c r="CZ14" s="269"/>
    </row>
    <row r="15" spans="1:117" hidden="1" outlineLevel="1">
      <c r="A15" s="691" t="s">
        <v>928</v>
      </c>
      <c r="B15" s="931">
        <v>6.7500000000000004E-2</v>
      </c>
      <c r="C15" s="931">
        <v>4.7500000000000001E-2</v>
      </c>
      <c r="D15" s="931">
        <v>4.4999999999999998E-2</v>
      </c>
      <c r="E15" s="931">
        <v>4.4999999999999998E-2</v>
      </c>
      <c r="F15" s="931">
        <v>4.4999999999999998E-2</v>
      </c>
      <c r="G15" s="931">
        <v>4.4999999999999998E-2</v>
      </c>
      <c r="H15" s="931">
        <v>4.4999999999999998E-2</v>
      </c>
      <c r="I15" s="931">
        <v>4.4999999999999998E-2</v>
      </c>
      <c r="J15" s="931">
        <v>4.4999999999999998E-2</v>
      </c>
      <c r="K15" s="931">
        <v>4.4999999999999998E-2</v>
      </c>
      <c r="L15" s="931">
        <v>4.4999999999999998E-2</v>
      </c>
      <c r="M15" s="931">
        <v>4.4999999999999998E-2</v>
      </c>
      <c r="N15" s="931">
        <v>4.4999999999999998E-2</v>
      </c>
      <c r="O15" s="931">
        <v>4.4999999999999998E-2</v>
      </c>
      <c r="P15" s="931">
        <v>4.4999999999999998E-2</v>
      </c>
      <c r="Q15" s="931">
        <v>4.4999999999999998E-2</v>
      </c>
      <c r="R15" s="931">
        <v>0.04</v>
      </c>
      <c r="S15" s="931">
        <v>0.04</v>
      </c>
      <c r="T15" s="931">
        <v>3.7499999999999999E-2</v>
      </c>
      <c r="U15" s="931">
        <v>3.5000000000000003E-2</v>
      </c>
      <c r="V15" s="931">
        <v>3.5000000000000003E-2</v>
      </c>
      <c r="W15" s="931">
        <v>0.03</v>
      </c>
      <c r="X15" s="931">
        <v>0.03</v>
      </c>
      <c r="Y15" s="931">
        <v>0.03</v>
      </c>
      <c r="Z15" s="931">
        <v>0.03</v>
      </c>
      <c r="AA15" s="931">
        <v>0.03</v>
      </c>
      <c r="AB15" s="931">
        <v>0.03</v>
      </c>
      <c r="AC15" s="931">
        <v>3.2500000000000001E-2</v>
      </c>
      <c r="AD15" s="931">
        <v>3.7499999999999999E-2</v>
      </c>
      <c r="AE15" s="931">
        <v>4.2500000000000003E-2</v>
      </c>
      <c r="AF15" s="931">
        <v>4.7500000000000001E-2</v>
      </c>
      <c r="AG15" s="931">
        <v>5.7500000000000002E-2</v>
      </c>
      <c r="AH15" s="931">
        <v>6.5000000000000002E-2</v>
      </c>
      <c r="AI15" s="931">
        <v>7.0000000000000007E-2</v>
      </c>
      <c r="AJ15" s="931">
        <v>7.0000000000000007E-2</v>
      </c>
      <c r="AK15" s="931">
        <v>7.2499999999999995E-2</v>
      </c>
      <c r="AL15" s="931">
        <v>7.4999999999999997E-2</v>
      </c>
      <c r="AM15" s="931">
        <v>7.7499999999999999E-2</v>
      </c>
      <c r="AN15" s="931">
        <v>7.7499999999999999E-2</v>
      </c>
      <c r="AO15" s="931">
        <v>8.2500000000000004E-2</v>
      </c>
      <c r="AP15" s="931">
        <v>8.2500000000000004E-2</v>
      </c>
      <c r="AQ15" s="931">
        <v>8.2500000000000004E-2</v>
      </c>
      <c r="AR15" s="931">
        <v>7.7499999999999999E-2</v>
      </c>
      <c r="AS15" s="931">
        <v>7.2499999999999995E-2</v>
      </c>
      <c r="AT15" s="931">
        <v>6.5000000000000002E-2</v>
      </c>
      <c r="AU15" s="931">
        <v>0.05</v>
      </c>
      <c r="AV15" s="931">
        <v>4.2500000000000003E-2</v>
      </c>
      <c r="AW15" s="931">
        <v>4.2500000000000003E-2</v>
      </c>
      <c r="AX15" s="931">
        <v>0.04</v>
      </c>
      <c r="AY15" s="931">
        <v>4.2500000000000003E-2</v>
      </c>
      <c r="AZ15" s="931">
        <v>4.4999999999999998E-2</v>
      </c>
      <c r="BA15" s="931">
        <v>5.5E-2</v>
      </c>
      <c r="BB15" s="931">
        <v>6.5000000000000002E-2</v>
      </c>
      <c r="BC15" s="931">
        <v>7.7499999999999999E-2</v>
      </c>
      <c r="BD15" s="931">
        <v>9.2499999999999999E-2</v>
      </c>
      <c r="BE15" s="931">
        <v>0.105</v>
      </c>
      <c r="BF15" s="931">
        <v>0.1125</v>
      </c>
      <c r="BG15" s="931">
        <v>0.1125</v>
      </c>
      <c r="BH15" s="931">
        <v>0.1125</v>
      </c>
      <c r="BI15" s="931">
        <v>0.1125</v>
      </c>
      <c r="BJ15" s="931">
        <v>0.11</v>
      </c>
      <c r="BK15" s="1818">
        <v>0.1075</v>
      </c>
      <c r="BL15" s="398">
        <f t="shared" ref="BL15:BR15" si="53">CHOOSE(MASTERSWITCH,BL16,BL17,BL18)</f>
        <v>0.10249999999999999</v>
      </c>
      <c r="BM15" s="398">
        <f t="shared" si="53"/>
        <v>9.7500000000000003E-2</v>
      </c>
      <c r="BN15" s="398">
        <f t="shared" si="53"/>
        <v>9.2499999999999999E-2</v>
      </c>
      <c r="BO15" s="398">
        <f t="shared" si="53"/>
        <v>8.7499999999999994E-2</v>
      </c>
      <c r="BP15" s="398">
        <f t="shared" si="53"/>
        <v>8.2500000000000004E-2</v>
      </c>
      <c r="BQ15" s="398">
        <f t="shared" si="53"/>
        <v>7.7499999999999999E-2</v>
      </c>
      <c r="BR15" s="398">
        <f t="shared" si="53"/>
        <v>7.7499999999999999E-2</v>
      </c>
      <c r="BS15" s="398">
        <f t="shared" ref="BS15:CK15" si="54">CHOOSE(MASTERSWITCH,BS16,BS17,BS18)</f>
        <v>7.7499999999999999E-2</v>
      </c>
      <c r="BT15" s="398">
        <f t="shared" si="54"/>
        <v>7.7499999999999999E-2</v>
      </c>
      <c r="BU15" s="398">
        <f t="shared" si="54"/>
        <v>7.7499999999999999E-2</v>
      </c>
      <c r="BV15" s="398">
        <f t="shared" si="54"/>
        <v>7.7499999999999999E-2</v>
      </c>
      <c r="BW15" s="398">
        <f t="shared" si="54"/>
        <v>7.7499999999999999E-2</v>
      </c>
      <c r="BX15" s="398">
        <f t="shared" si="54"/>
        <v>7.7499999999999999E-2</v>
      </c>
      <c r="BY15" s="398">
        <f t="shared" si="54"/>
        <v>7.7499999999999999E-2</v>
      </c>
      <c r="BZ15" s="398">
        <f t="shared" si="54"/>
        <v>7.7499999999999999E-2</v>
      </c>
      <c r="CA15" s="398">
        <f t="shared" si="54"/>
        <v>7.7499999999999999E-2</v>
      </c>
      <c r="CB15" s="398">
        <f t="shared" si="54"/>
        <v>7.7499999999999999E-2</v>
      </c>
      <c r="CC15" s="398">
        <f t="shared" si="54"/>
        <v>7.7499999999999999E-2</v>
      </c>
      <c r="CD15" s="398">
        <f t="shared" si="54"/>
        <v>7.7499999999999999E-2</v>
      </c>
      <c r="CE15" s="398">
        <f t="shared" si="54"/>
        <v>7.7499999999999999E-2</v>
      </c>
      <c r="CF15" s="398">
        <f t="shared" si="54"/>
        <v>7.7499999999999999E-2</v>
      </c>
      <c r="CG15" s="398">
        <f t="shared" si="54"/>
        <v>7.7499999999999999E-2</v>
      </c>
      <c r="CH15" s="398">
        <f t="shared" si="54"/>
        <v>7.7499999999999999E-2</v>
      </c>
      <c r="CI15" s="398">
        <f t="shared" si="54"/>
        <v>7.7499999999999999E-2</v>
      </c>
      <c r="CJ15" s="398">
        <f t="shared" si="54"/>
        <v>7.7499999999999999E-2</v>
      </c>
      <c r="CK15" s="398">
        <f t="shared" si="54"/>
        <v>7.7499999999999999E-2</v>
      </c>
      <c r="CL15" s="398">
        <f t="shared" ref="CL15:CP15" si="55">CHOOSE(MASTERSWITCH,CL16,CL17,CL18)</f>
        <v>7.7499999999999999E-2</v>
      </c>
      <c r="CM15" s="398">
        <f t="shared" si="55"/>
        <v>7.7499999999999999E-2</v>
      </c>
      <c r="CN15" s="398">
        <f t="shared" si="55"/>
        <v>7.7499999999999999E-2</v>
      </c>
      <c r="CO15" s="398">
        <f t="shared" si="55"/>
        <v>7.7499999999999999E-2</v>
      </c>
      <c r="CP15" s="398">
        <f t="shared" si="55"/>
        <v>7.7499999999999999E-2</v>
      </c>
      <c r="CQ15" s="398">
        <f t="shared" ref="CQ15:CU15" si="56">CHOOSE(MASTERSWITCH,CQ16,CQ17,CQ18)</f>
        <v>7.7499999999999999E-2</v>
      </c>
      <c r="CR15" s="398">
        <f t="shared" si="56"/>
        <v>7.7499999999999999E-2</v>
      </c>
      <c r="CS15" s="398">
        <f t="shared" si="56"/>
        <v>7.7499999999999999E-2</v>
      </c>
      <c r="CT15" s="398">
        <f t="shared" si="56"/>
        <v>7.7499999999999999E-2</v>
      </c>
      <c r="CU15" s="398">
        <f t="shared" si="56"/>
        <v>7.7499999999999999E-2</v>
      </c>
      <c r="CV15" s="398">
        <f t="shared" ref="CV15:CW15" si="57">CHOOSE(MASTERSWITCH,CV16,CV17,CV18)</f>
        <v>7.7499999999999999E-2</v>
      </c>
      <c r="CW15" s="398">
        <f t="shared" si="57"/>
        <v>7.7499999999999999E-2</v>
      </c>
      <c r="CX15" s="269"/>
      <c r="CY15" s="269"/>
      <c r="CZ15" s="269"/>
    </row>
    <row r="16" spans="1:117" hidden="1" outlineLevel="1">
      <c r="A16" s="86" t="s">
        <v>571</v>
      </c>
      <c r="B16" s="297">
        <f t="shared" ref="B16:K16" si="58">B15</f>
        <v>6.7500000000000004E-2</v>
      </c>
      <c r="C16" s="297">
        <f t="shared" si="58"/>
        <v>4.7500000000000001E-2</v>
      </c>
      <c r="D16" s="297">
        <f t="shared" si="58"/>
        <v>4.4999999999999998E-2</v>
      </c>
      <c r="E16" s="297">
        <f t="shared" si="58"/>
        <v>4.4999999999999998E-2</v>
      </c>
      <c r="F16" s="297">
        <f t="shared" si="58"/>
        <v>4.4999999999999998E-2</v>
      </c>
      <c r="G16" s="297">
        <f t="shared" si="58"/>
        <v>4.4999999999999998E-2</v>
      </c>
      <c r="H16" s="297">
        <f t="shared" si="58"/>
        <v>4.4999999999999998E-2</v>
      </c>
      <c r="I16" s="297">
        <f t="shared" si="58"/>
        <v>4.4999999999999998E-2</v>
      </c>
      <c r="J16" s="297">
        <f t="shared" si="58"/>
        <v>4.4999999999999998E-2</v>
      </c>
      <c r="K16" s="297">
        <f t="shared" si="58"/>
        <v>4.4999999999999998E-2</v>
      </c>
      <c r="L16" s="297">
        <f t="shared" ref="L16:AA16" si="59">L15</f>
        <v>4.4999999999999998E-2</v>
      </c>
      <c r="M16" s="297">
        <f t="shared" si="59"/>
        <v>4.4999999999999998E-2</v>
      </c>
      <c r="N16" s="297">
        <f t="shared" si="59"/>
        <v>4.4999999999999998E-2</v>
      </c>
      <c r="O16" s="297">
        <f t="shared" si="59"/>
        <v>4.4999999999999998E-2</v>
      </c>
      <c r="P16" s="297">
        <f t="shared" si="59"/>
        <v>4.4999999999999998E-2</v>
      </c>
      <c r="Q16" s="297">
        <f t="shared" si="59"/>
        <v>4.4999999999999998E-2</v>
      </c>
      <c r="R16" s="297">
        <f t="shared" si="59"/>
        <v>0.04</v>
      </c>
      <c r="S16" s="297">
        <f t="shared" si="59"/>
        <v>0.04</v>
      </c>
      <c r="T16" s="297">
        <f t="shared" si="59"/>
        <v>3.7499999999999999E-2</v>
      </c>
      <c r="U16" s="297">
        <f t="shared" si="59"/>
        <v>3.5000000000000003E-2</v>
      </c>
      <c r="V16" s="297">
        <f t="shared" si="59"/>
        <v>3.5000000000000003E-2</v>
      </c>
      <c r="W16" s="297">
        <f t="shared" si="59"/>
        <v>0.03</v>
      </c>
      <c r="X16" s="297">
        <f t="shared" si="59"/>
        <v>0.03</v>
      </c>
      <c r="Y16" s="297">
        <f t="shared" si="59"/>
        <v>0.03</v>
      </c>
      <c r="Z16" s="297">
        <f t="shared" si="59"/>
        <v>0.03</v>
      </c>
      <c r="AA16" s="297">
        <f t="shared" si="59"/>
        <v>0.03</v>
      </c>
      <c r="AB16" s="297">
        <f t="shared" ref="AB16:AM16" si="60">AB15</f>
        <v>0.03</v>
      </c>
      <c r="AC16" s="297">
        <f t="shared" si="60"/>
        <v>3.2500000000000001E-2</v>
      </c>
      <c r="AD16" s="297">
        <f t="shared" si="60"/>
        <v>3.7499999999999999E-2</v>
      </c>
      <c r="AE16" s="297">
        <f t="shared" si="60"/>
        <v>4.2500000000000003E-2</v>
      </c>
      <c r="AF16" s="297">
        <f t="shared" si="60"/>
        <v>4.7500000000000001E-2</v>
      </c>
      <c r="AG16" s="297">
        <f t="shared" si="60"/>
        <v>5.7500000000000002E-2</v>
      </c>
      <c r="AH16" s="297">
        <f t="shared" si="60"/>
        <v>6.5000000000000002E-2</v>
      </c>
      <c r="AI16" s="297">
        <f t="shared" si="60"/>
        <v>7.0000000000000007E-2</v>
      </c>
      <c r="AJ16" s="297">
        <f t="shared" si="60"/>
        <v>7.0000000000000007E-2</v>
      </c>
      <c r="AK16" s="297">
        <f t="shared" si="60"/>
        <v>7.2499999999999995E-2</v>
      </c>
      <c r="AL16" s="297">
        <f t="shared" si="60"/>
        <v>7.4999999999999997E-2</v>
      </c>
      <c r="AM16" s="297">
        <f t="shared" si="60"/>
        <v>7.7499999999999999E-2</v>
      </c>
      <c r="AN16" s="297">
        <f t="shared" ref="AN16:AS16" si="61">AN15</f>
        <v>7.7499999999999999E-2</v>
      </c>
      <c r="AO16" s="297">
        <f t="shared" si="61"/>
        <v>8.2500000000000004E-2</v>
      </c>
      <c r="AP16" s="297">
        <f t="shared" si="61"/>
        <v>8.2500000000000004E-2</v>
      </c>
      <c r="AQ16" s="297">
        <f t="shared" si="61"/>
        <v>8.2500000000000004E-2</v>
      </c>
      <c r="AR16" s="297">
        <f t="shared" si="61"/>
        <v>7.7499999999999999E-2</v>
      </c>
      <c r="AS16" s="297">
        <f t="shared" si="61"/>
        <v>7.2499999999999995E-2</v>
      </c>
      <c r="AT16" s="297">
        <f t="shared" ref="AT16:BB16" si="62">AT15</f>
        <v>6.5000000000000002E-2</v>
      </c>
      <c r="AU16" s="297">
        <f t="shared" si="62"/>
        <v>0.05</v>
      </c>
      <c r="AV16" s="297">
        <f t="shared" si="62"/>
        <v>4.2500000000000003E-2</v>
      </c>
      <c r="AW16" s="297">
        <f t="shared" si="62"/>
        <v>4.2500000000000003E-2</v>
      </c>
      <c r="AX16" s="297">
        <f t="shared" si="62"/>
        <v>0.04</v>
      </c>
      <c r="AY16" s="297">
        <f t="shared" si="62"/>
        <v>4.2500000000000003E-2</v>
      </c>
      <c r="AZ16" s="297">
        <f t="shared" si="62"/>
        <v>4.4999999999999998E-2</v>
      </c>
      <c r="BA16" s="297">
        <f t="shared" si="62"/>
        <v>5.5E-2</v>
      </c>
      <c r="BB16" s="297">
        <f t="shared" si="62"/>
        <v>6.5000000000000002E-2</v>
      </c>
      <c r="BC16" s="297">
        <f t="shared" ref="BC16:BG16" si="63">BC15</f>
        <v>7.7499999999999999E-2</v>
      </c>
      <c r="BD16" s="297">
        <f t="shared" si="63"/>
        <v>9.2499999999999999E-2</v>
      </c>
      <c r="BE16" s="297">
        <f t="shared" si="63"/>
        <v>0.105</v>
      </c>
      <c r="BF16" s="297">
        <f t="shared" si="63"/>
        <v>0.1125</v>
      </c>
      <c r="BG16" s="297">
        <f t="shared" si="63"/>
        <v>0.1125</v>
      </c>
      <c r="BH16" s="297">
        <f t="shared" ref="BH16" si="64">BH15</f>
        <v>0.1125</v>
      </c>
      <c r="BI16" s="297">
        <f t="shared" ref="BI16" si="65">BI15</f>
        <v>0.1125</v>
      </c>
      <c r="BJ16" s="297">
        <f t="shared" ref="BJ16:BK16" si="66">BJ15</f>
        <v>0.11</v>
      </c>
      <c r="BK16" s="1819">
        <f t="shared" si="66"/>
        <v>0.1075</v>
      </c>
      <c r="BL16" s="298">
        <f t="shared" ref="BL16:BQ16" si="67">BL17+$CY16</f>
        <v>0.10249999999999999</v>
      </c>
      <c r="BM16" s="298">
        <f t="shared" si="67"/>
        <v>9.7500000000000003E-2</v>
      </c>
      <c r="BN16" s="298">
        <f t="shared" si="67"/>
        <v>9.2499999999999999E-2</v>
      </c>
      <c r="BO16" s="298">
        <f t="shared" si="67"/>
        <v>8.7499999999999994E-2</v>
      </c>
      <c r="BP16" s="298">
        <f t="shared" si="67"/>
        <v>8.2500000000000004E-2</v>
      </c>
      <c r="BQ16" s="298">
        <f t="shared" si="67"/>
        <v>7.7499999999999999E-2</v>
      </c>
      <c r="BR16" s="298">
        <f t="shared" ref="BR16:CU16" si="68">BR17+$CZ16</f>
        <v>7.7499999999999999E-2</v>
      </c>
      <c r="BS16" s="298">
        <f t="shared" si="68"/>
        <v>7.7499999999999999E-2</v>
      </c>
      <c r="BT16" s="298">
        <f t="shared" si="68"/>
        <v>7.7499999999999999E-2</v>
      </c>
      <c r="BU16" s="298">
        <f t="shared" si="68"/>
        <v>7.7499999999999999E-2</v>
      </c>
      <c r="BV16" s="298">
        <f t="shared" si="68"/>
        <v>7.7499999999999999E-2</v>
      </c>
      <c r="BW16" s="298">
        <f t="shared" si="68"/>
        <v>7.7499999999999999E-2</v>
      </c>
      <c r="BX16" s="298">
        <f t="shared" si="68"/>
        <v>7.7499999999999999E-2</v>
      </c>
      <c r="BY16" s="298">
        <f t="shared" si="68"/>
        <v>7.7499999999999999E-2</v>
      </c>
      <c r="BZ16" s="298">
        <f t="shared" si="68"/>
        <v>7.7499999999999999E-2</v>
      </c>
      <c r="CA16" s="298">
        <f t="shared" si="68"/>
        <v>7.7499999999999999E-2</v>
      </c>
      <c r="CB16" s="298">
        <f t="shared" si="68"/>
        <v>7.7499999999999999E-2</v>
      </c>
      <c r="CC16" s="298">
        <f t="shared" si="68"/>
        <v>7.7499999999999999E-2</v>
      </c>
      <c r="CD16" s="298">
        <f t="shared" si="68"/>
        <v>7.7499999999999999E-2</v>
      </c>
      <c r="CE16" s="298">
        <f t="shared" si="68"/>
        <v>7.7499999999999999E-2</v>
      </c>
      <c r="CF16" s="298">
        <f t="shared" si="68"/>
        <v>7.7499999999999999E-2</v>
      </c>
      <c r="CG16" s="298">
        <f t="shared" si="68"/>
        <v>7.7499999999999999E-2</v>
      </c>
      <c r="CH16" s="298">
        <f t="shared" si="68"/>
        <v>7.7499999999999999E-2</v>
      </c>
      <c r="CI16" s="298">
        <f t="shared" si="68"/>
        <v>7.7499999999999999E-2</v>
      </c>
      <c r="CJ16" s="298">
        <f t="shared" si="68"/>
        <v>7.7499999999999999E-2</v>
      </c>
      <c r="CK16" s="298">
        <f t="shared" si="68"/>
        <v>7.7499999999999999E-2</v>
      </c>
      <c r="CL16" s="298">
        <f t="shared" si="68"/>
        <v>7.7499999999999999E-2</v>
      </c>
      <c r="CM16" s="298">
        <f t="shared" si="68"/>
        <v>7.7499999999999999E-2</v>
      </c>
      <c r="CN16" s="298">
        <f t="shared" si="68"/>
        <v>7.7499999999999999E-2</v>
      </c>
      <c r="CO16" s="298">
        <f t="shared" si="68"/>
        <v>7.7499999999999999E-2</v>
      </c>
      <c r="CP16" s="298">
        <f t="shared" si="68"/>
        <v>7.7499999999999999E-2</v>
      </c>
      <c r="CQ16" s="298">
        <f t="shared" si="68"/>
        <v>7.7499999999999999E-2</v>
      </c>
      <c r="CR16" s="298">
        <f t="shared" si="68"/>
        <v>7.7499999999999999E-2</v>
      </c>
      <c r="CS16" s="298">
        <f t="shared" si="68"/>
        <v>7.7499999999999999E-2</v>
      </c>
      <c r="CT16" s="298">
        <f t="shared" si="68"/>
        <v>7.7499999999999999E-2</v>
      </c>
      <c r="CU16" s="298">
        <f t="shared" si="68"/>
        <v>7.7499999999999999E-2</v>
      </c>
      <c r="CV16" s="298">
        <f t="shared" ref="CV16:CW16" si="69">CV17+$CZ16</f>
        <v>7.7499999999999999E-2</v>
      </c>
      <c r="CW16" s="298">
        <f t="shared" si="69"/>
        <v>7.7499999999999999E-2</v>
      </c>
      <c r="CX16" s="269"/>
      <c r="CY16" s="402">
        <v>0</v>
      </c>
      <c r="CZ16" s="402">
        <v>0</v>
      </c>
    </row>
    <row r="17" spans="1:106" hidden="1" outlineLevel="1">
      <c r="A17" s="86" t="s">
        <v>200</v>
      </c>
      <c r="B17" s="297">
        <f t="shared" ref="B17:K17" si="70">B15</f>
        <v>6.7500000000000004E-2</v>
      </c>
      <c r="C17" s="297">
        <f t="shared" si="70"/>
        <v>4.7500000000000001E-2</v>
      </c>
      <c r="D17" s="297">
        <f t="shared" si="70"/>
        <v>4.4999999999999998E-2</v>
      </c>
      <c r="E17" s="297">
        <f t="shared" si="70"/>
        <v>4.4999999999999998E-2</v>
      </c>
      <c r="F17" s="297">
        <f t="shared" si="70"/>
        <v>4.4999999999999998E-2</v>
      </c>
      <c r="G17" s="297">
        <f t="shared" si="70"/>
        <v>4.4999999999999998E-2</v>
      </c>
      <c r="H17" s="297">
        <f t="shared" si="70"/>
        <v>4.4999999999999998E-2</v>
      </c>
      <c r="I17" s="297">
        <f t="shared" si="70"/>
        <v>4.4999999999999998E-2</v>
      </c>
      <c r="J17" s="297">
        <f t="shared" si="70"/>
        <v>4.4999999999999998E-2</v>
      </c>
      <c r="K17" s="297">
        <f t="shared" si="70"/>
        <v>4.4999999999999998E-2</v>
      </c>
      <c r="L17" s="297">
        <f t="shared" ref="L17:AA17" si="71">L15</f>
        <v>4.4999999999999998E-2</v>
      </c>
      <c r="M17" s="297">
        <f t="shared" si="71"/>
        <v>4.4999999999999998E-2</v>
      </c>
      <c r="N17" s="297">
        <f t="shared" si="71"/>
        <v>4.4999999999999998E-2</v>
      </c>
      <c r="O17" s="297">
        <f t="shared" si="71"/>
        <v>4.4999999999999998E-2</v>
      </c>
      <c r="P17" s="297">
        <f t="shared" si="71"/>
        <v>4.4999999999999998E-2</v>
      </c>
      <c r="Q17" s="297">
        <f t="shared" si="71"/>
        <v>4.4999999999999998E-2</v>
      </c>
      <c r="R17" s="297">
        <f t="shared" si="71"/>
        <v>0.04</v>
      </c>
      <c r="S17" s="297">
        <f t="shared" si="71"/>
        <v>0.04</v>
      </c>
      <c r="T17" s="297">
        <f t="shared" si="71"/>
        <v>3.7499999999999999E-2</v>
      </c>
      <c r="U17" s="297">
        <f t="shared" si="71"/>
        <v>3.5000000000000003E-2</v>
      </c>
      <c r="V17" s="297">
        <f t="shared" si="71"/>
        <v>3.5000000000000003E-2</v>
      </c>
      <c r="W17" s="297">
        <f t="shared" si="71"/>
        <v>0.03</v>
      </c>
      <c r="X17" s="297">
        <f t="shared" si="71"/>
        <v>0.03</v>
      </c>
      <c r="Y17" s="297">
        <f t="shared" si="71"/>
        <v>0.03</v>
      </c>
      <c r="Z17" s="297">
        <f t="shared" si="71"/>
        <v>0.03</v>
      </c>
      <c r="AA17" s="297">
        <f t="shared" si="71"/>
        <v>0.03</v>
      </c>
      <c r="AB17" s="297">
        <f t="shared" ref="AB17:AM17" si="72">AB15</f>
        <v>0.03</v>
      </c>
      <c r="AC17" s="297">
        <f t="shared" si="72"/>
        <v>3.2500000000000001E-2</v>
      </c>
      <c r="AD17" s="297">
        <f t="shared" si="72"/>
        <v>3.7499999999999999E-2</v>
      </c>
      <c r="AE17" s="297">
        <f t="shared" si="72"/>
        <v>4.2500000000000003E-2</v>
      </c>
      <c r="AF17" s="297">
        <f t="shared" si="72"/>
        <v>4.7500000000000001E-2</v>
      </c>
      <c r="AG17" s="297">
        <f t="shared" si="72"/>
        <v>5.7500000000000002E-2</v>
      </c>
      <c r="AH17" s="297">
        <f t="shared" si="72"/>
        <v>6.5000000000000002E-2</v>
      </c>
      <c r="AI17" s="297">
        <f t="shared" si="72"/>
        <v>7.0000000000000007E-2</v>
      </c>
      <c r="AJ17" s="297">
        <f t="shared" si="72"/>
        <v>7.0000000000000007E-2</v>
      </c>
      <c r="AK17" s="297">
        <f t="shared" si="72"/>
        <v>7.2499999999999995E-2</v>
      </c>
      <c r="AL17" s="297">
        <f t="shared" si="72"/>
        <v>7.4999999999999997E-2</v>
      </c>
      <c r="AM17" s="297">
        <f t="shared" si="72"/>
        <v>7.7499999999999999E-2</v>
      </c>
      <c r="AN17" s="297">
        <f t="shared" ref="AN17:AS17" si="73">AN15</f>
        <v>7.7499999999999999E-2</v>
      </c>
      <c r="AO17" s="297">
        <f t="shared" si="73"/>
        <v>8.2500000000000004E-2</v>
      </c>
      <c r="AP17" s="297">
        <f t="shared" si="73"/>
        <v>8.2500000000000004E-2</v>
      </c>
      <c r="AQ17" s="297">
        <f t="shared" si="73"/>
        <v>8.2500000000000004E-2</v>
      </c>
      <c r="AR17" s="297">
        <f t="shared" si="73"/>
        <v>7.7499999999999999E-2</v>
      </c>
      <c r="AS17" s="297">
        <f t="shared" si="73"/>
        <v>7.2499999999999995E-2</v>
      </c>
      <c r="AT17" s="297">
        <f t="shared" ref="AT17:BB17" si="74">AT15</f>
        <v>6.5000000000000002E-2</v>
      </c>
      <c r="AU17" s="297">
        <f t="shared" si="74"/>
        <v>0.05</v>
      </c>
      <c r="AV17" s="297">
        <f t="shared" si="74"/>
        <v>4.2500000000000003E-2</v>
      </c>
      <c r="AW17" s="297">
        <f t="shared" si="74"/>
        <v>4.2500000000000003E-2</v>
      </c>
      <c r="AX17" s="297">
        <f t="shared" si="74"/>
        <v>0.04</v>
      </c>
      <c r="AY17" s="297">
        <f t="shared" si="74"/>
        <v>4.2500000000000003E-2</v>
      </c>
      <c r="AZ17" s="297">
        <f t="shared" si="74"/>
        <v>4.4999999999999998E-2</v>
      </c>
      <c r="BA17" s="297">
        <f t="shared" si="74"/>
        <v>5.5E-2</v>
      </c>
      <c r="BB17" s="297">
        <f t="shared" si="74"/>
        <v>6.5000000000000002E-2</v>
      </c>
      <c r="BC17" s="297">
        <f t="shared" ref="BC17:BG17" si="75">BC15</f>
        <v>7.7499999999999999E-2</v>
      </c>
      <c r="BD17" s="297">
        <f t="shared" si="75"/>
        <v>9.2499999999999999E-2</v>
      </c>
      <c r="BE17" s="297">
        <f t="shared" si="75"/>
        <v>0.105</v>
      </c>
      <c r="BF17" s="297">
        <f t="shared" si="75"/>
        <v>0.1125</v>
      </c>
      <c r="BG17" s="297">
        <f t="shared" si="75"/>
        <v>0.1125</v>
      </c>
      <c r="BH17" s="297">
        <f t="shared" ref="BH17" si="76">BH15</f>
        <v>0.1125</v>
      </c>
      <c r="BI17" s="297">
        <f t="shared" ref="BI17" si="77">BI15</f>
        <v>0.1125</v>
      </c>
      <c r="BJ17" s="297">
        <f t="shared" ref="BJ17:BK17" si="78">BJ15</f>
        <v>0.11</v>
      </c>
      <c r="BK17" s="1819">
        <f t="shared" si="78"/>
        <v>0.1075</v>
      </c>
      <c r="BL17" s="560">
        <v>0.10249999999999999</v>
      </c>
      <c r="BM17" s="560">
        <v>9.7500000000000003E-2</v>
      </c>
      <c r="BN17" s="560">
        <v>9.2499999999999999E-2</v>
      </c>
      <c r="BO17" s="560">
        <v>8.7499999999999994E-2</v>
      </c>
      <c r="BP17" s="560">
        <v>8.2500000000000004E-2</v>
      </c>
      <c r="BQ17" s="560">
        <v>7.7499999999999999E-2</v>
      </c>
      <c r="BR17" s="1784">
        <f>+BQ17</f>
        <v>7.7499999999999999E-2</v>
      </c>
      <c r="BS17" s="1784">
        <f>+BR17</f>
        <v>7.7499999999999999E-2</v>
      </c>
      <c r="BT17" s="1784">
        <f t="shared" ref="BT17:CL17" si="79">+BS17</f>
        <v>7.7499999999999999E-2</v>
      </c>
      <c r="BU17" s="1784">
        <f t="shared" si="79"/>
        <v>7.7499999999999999E-2</v>
      </c>
      <c r="BV17" s="1784">
        <f t="shared" si="79"/>
        <v>7.7499999999999999E-2</v>
      </c>
      <c r="BW17" s="1784">
        <f t="shared" si="79"/>
        <v>7.7499999999999999E-2</v>
      </c>
      <c r="BX17" s="1784">
        <f t="shared" si="79"/>
        <v>7.7499999999999999E-2</v>
      </c>
      <c r="BY17" s="1784">
        <f t="shared" si="79"/>
        <v>7.7499999999999999E-2</v>
      </c>
      <c r="BZ17" s="1784">
        <f t="shared" si="79"/>
        <v>7.7499999999999999E-2</v>
      </c>
      <c r="CA17" s="1784">
        <f t="shared" si="79"/>
        <v>7.7499999999999999E-2</v>
      </c>
      <c r="CB17" s="1784">
        <f t="shared" si="79"/>
        <v>7.7499999999999999E-2</v>
      </c>
      <c r="CC17" s="1784">
        <f t="shared" si="79"/>
        <v>7.7499999999999999E-2</v>
      </c>
      <c r="CD17" s="1784">
        <f t="shared" si="79"/>
        <v>7.7499999999999999E-2</v>
      </c>
      <c r="CE17" s="1784">
        <f t="shared" si="79"/>
        <v>7.7499999999999999E-2</v>
      </c>
      <c r="CF17" s="1784">
        <f t="shared" si="79"/>
        <v>7.7499999999999999E-2</v>
      </c>
      <c r="CG17" s="1784">
        <f t="shared" si="79"/>
        <v>7.7499999999999999E-2</v>
      </c>
      <c r="CH17" s="1784">
        <f t="shared" si="79"/>
        <v>7.7499999999999999E-2</v>
      </c>
      <c r="CI17" s="1784">
        <f t="shared" si="79"/>
        <v>7.7499999999999999E-2</v>
      </c>
      <c r="CJ17" s="1784">
        <f t="shared" si="79"/>
        <v>7.7499999999999999E-2</v>
      </c>
      <c r="CK17" s="1784">
        <f t="shared" si="79"/>
        <v>7.7499999999999999E-2</v>
      </c>
      <c r="CL17" s="1784">
        <f t="shared" si="79"/>
        <v>7.7499999999999999E-2</v>
      </c>
      <c r="CM17" s="1784">
        <f t="shared" ref="CM17" si="80">+CL17</f>
        <v>7.7499999999999999E-2</v>
      </c>
      <c r="CN17" s="1784">
        <f t="shared" ref="CN17" si="81">+CM17</f>
        <v>7.7499999999999999E-2</v>
      </c>
      <c r="CO17" s="1784">
        <f t="shared" ref="CO17" si="82">+CN17</f>
        <v>7.7499999999999999E-2</v>
      </c>
      <c r="CP17" s="1784">
        <f t="shared" ref="CP17" si="83">+CO17</f>
        <v>7.7499999999999999E-2</v>
      </c>
      <c r="CQ17" s="1784">
        <f t="shared" ref="CQ17" si="84">+CP17</f>
        <v>7.7499999999999999E-2</v>
      </c>
      <c r="CR17" s="1784">
        <f t="shared" ref="CR17" si="85">+CQ17</f>
        <v>7.7499999999999999E-2</v>
      </c>
      <c r="CS17" s="1784">
        <f t="shared" ref="CS17" si="86">+CR17</f>
        <v>7.7499999999999999E-2</v>
      </c>
      <c r="CT17" s="1784">
        <f t="shared" ref="CT17" si="87">+CS17</f>
        <v>7.7499999999999999E-2</v>
      </c>
      <c r="CU17" s="1784">
        <f t="shared" ref="CU17" si="88">+CT17</f>
        <v>7.7499999999999999E-2</v>
      </c>
      <c r="CV17" s="1784">
        <f t="shared" ref="CV17" si="89">+CU17</f>
        <v>7.7499999999999999E-2</v>
      </c>
      <c r="CW17" s="1784">
        <f t="shared" ref="CW17" si="90">+CV17</f>
        <v>7.7499999999999999E-2</v>
      </c>
      <c r="CX17" s="269"/>
      <c r="CY17" s="269"/>
      <c r="CZ17" s="269"/>
    </row>
    <row r="18" spans="1:106" hidden="1" outlineLevel="1">
      <c r="A18" s="86" t="s">
        <v>202</v>
      </c>
      <c r="B18" s="297">
        <f t="shared" ref="B18:K18" si="91">B15</f>
        <v>6.7500000000000004E-2</v>
      </c>
      <c r="C18" s="297">
        <f t="shared" si="91"/>
        <v>4.7500000000000001E-2</v>
      </c>
      <c r="D18" s="297">
        <f t="shared" si="91"/>
        <v>4.4999999999999998E-2</v>
      </c>
      <c r="E18" s="297">
        <f t="shared" si="91"/>
        <v>4.4999999999999998E-2</v>
      </c>
      <c r="F18" s="297">
        <f t="shared" si="91"/>
        <v>4.4999999999999998E-2</v>
      </c>
      <c r="G18" s="297">
        <f t="shared" si="91"/>
        <v>4.4999999999999998E-2</v>
      </c>
      <c r="H18" s="297">
        <f t="shared" si="91"/>
        <v>4.4999999999999998E-2</v>
      </c>
      <c r="I18" s="297">
        <f t="shared" si="91"/>
        <v>4.4999999999999998E-2</v>
      </c>
      <c r="J18" s="297">
        <f t="shared" si="91"/>
        <v>4.4999999999999998E-2</v>
      </c>
      <c r="K18" s="297">
        <f t="shared" si="91"/>
        <v>4.4999999999999998E-2</v>
      </c>
      <c r="L18" s="297">
        <f t="shared" ref="L18:AA18" si="92">L15</f>
        <v>4.4999999999999998E-2</v>
      </c>
      <c r="M18" s="297">
        <f t="shared" si="92"/>
        <v>4.4999999999999998E-2</v>
      </c>
      <c r="N18" s="297">
        <f t="shared" si="92"/>
        <v>4.4999999999999998E-2</v>
      </c>
      <c r="O18" s="297">
        <f t="shared" si="92"/>
        <v>4.4999999999999998E-2</v>
      </c>
      <c r="P18" s="297">
        <f t="shared" si="92"/>
        <v>4.4999999999999998E-2</v>
      </c>
      <c r="Q18" s="297">
        <f t="shared" si="92"/>
        <v>4.4999999999999998E-2</v>
      </c>
      <c r="R18" s="297">
        <f t="shared" si="92"/>
        <v>0.04</v>
      </c>
      <c r="S18" s="297">
        <f t="shared" si="92"/>
        <v>0.04</v>
      </c>
      <c r="T18" s="297">
        <f t="shared" si="92"/>
        <v>3.7499999999999999E-2</v>
      </c>
      <c r="U18" s="297">
        <f t="shared" si="92"/>
        <v>3.5000000000000003E-2</v>
      </c>
      <c r="V18" s="297">
        <f t="shared" si="92"/>
        <v>3.5000000000000003E-2</v>
      </c>
      <c r="W18" s="297">
        <f t="shared" si="92"/>
        <v>0.03</v>
      </c>
      <c r="X18" s="297">
        <f t="shared" si="92"/>
        <v>0.03</v>
      </c>
      <c r="Y18" s="297">
        <f t="shared" si="92"/>
        <v>0.03</v>
      </c>
      <c r="Z18" s="297">
        <f t="shared" si="92"/>
        <v>0.03</v>
      </c>
      <c r="AA18" s="297">
        <f t="shared" si="92"/>
        <v>0.03</v>
      </c>
      <c r="AB18" s="297">
        <f t="shared" ref="AB18:AM18" si="93">AB15</f>
        <v>0.03</v>
      </c>
      <c r="AC18" s="297">
        <f t="shared" si="93"/>
        <v>3.2500000000000001E-2</v>
      </c>
      <c r="AD18" s="297">
        <f t="shared" si="93"/>
        <v>3.7499999999999999E-2</v>
      </c>
      <c r="AE18" s="297">
        <f t="shared" si="93"/>
        <v>4.2500000000000003E-2</v>
      </c>
      <c r="AF18" s="297">
        <f t="shared" si="93"/>
        <v>4.7500000000000001E-2</v>
      </c>
      <c r="AG18" s="297">
        <f t="shared" si="93"/>
        <v>5.7500000000000002E-2</v>
      </c>
      <c r="AH18" s="297">
        <f t="shared" si="93"/>
        <v>6.5000000000000002E-2</v>
      </c>
      <c r="AI18" s="297">
        <f t="shared" si="93"/>
        <v>7.0000000000000007E-2</v>
      </c>
      <c r="AJ18" s="297">
        <f t="shared" si="93"/>
        <v>7.0000000000000007E-2</v>
      </c>
      <c r="AK18" s="297">
        <f t="shared" si="93"/>
        <v>7.2499999999999995E-2</v>
      </c>
      <c r="AL18" s="297">
        <f t="shared" si="93"/>
        <v>7.4999999999999997E-2</v>
      </c>
      <c r="AM18" s="297">
        <f t="shared" si="93"/>
        <v>7.7499999999999999E-2</v>
      </c>
      <c r="AN18" s="297">
        <f t="shared" ref="AN18:AS18" si="94">AN15</f>
        <v>7.7499999999999999E-2</v>
      </c>
      <c r="AO18" s="297">
        <f t="shared" si="94"/>
        <v>8.2500000000000004E-2</v>
      </c>
      <c r="AP18" s="297">
        <f t="shared" si="94"/>
        <v>8.2500000000000004E-2</v>
      </c>
      <c r="AQ18" s="297">
        <f t="shared" si="94"/>
        <v>8.2500000000000004E-2</v>
      </c>
      <c r="AR18" s="297">
        <f t="shared" si="94"/>
        <v>7.7499999999999999E-2</v>
      </c>
      <c r="AS18" s="297">
        <f t="shared" si="94"/>
        <v>7.2499999999999995E-2</v>
      </c>
      <c r="AT18" s="297">
        <f t="shared" ref="AT18:BB18" si="95">AT15</f>
        <v>6.5000000000000002E-2</v>
      </c>
      <c r="AU18" s="297">
        <f t="shared" si="95"/>
        <v>0.05</v>
      </c>
      <c r="AV18" s="297">
        <f t="shared" si="95"/>
        <v>4.2500000000000003E-2</v>
      </c>
      <c r="AW18" s="297">
        <f t="shared" si="95"/>
        <v>4.2500000000000003E-2</v>
      </c>
      <c r="AX18" s="297">
        <f t="shared" si="95"/>
        <v>0.04</v>
      </c>
      <c r="AY18" s="297">
        <f t="shared" si="95"/>
        <v>4.2500000000000003E-2</v>
      </c>
      <c r="AZ18" s="297">
        <f t="shared" si="95"/>
        <v>4.4999999999999998E-2</v>
      </c>
      <c r="BA18" s="297">
        <f t="shared" si="95"/>
        <v>5.5E-2</v>
      </c>
      <c r="BB18" s="297">
        <f t="shared" si="95"/>
        <v>6.5000000000000002E-2</v>
      </c>
      <c r="BC18" s="297">
        <f t="shared" ref="BC18:BG18" si="96">BC15</f>
        <v>7.7499999999999999E-2</v>
      </c>
      <c r="BD18" s="297">
        <f t="shared" si="96"/>
        <v>9.2499999999999999E-2</v>
      </c>
      <c r="BE18" s="297">
        <f t="shared" si="96"/>
        <v>0.105</v>
      </c>
      <c r="BF18" s="297">
        <f t="shared" si="96"/>
        <v>0.1125</v>
      </c>
      <c r="BG18" s="297">
        <f t="shared" si="96"/>
        <v>0.1125</v>
      </c>
      <c r="BH18" s="297">
        <f t="shared" ref="BH18" si="97">BH15</f>
        <v>0.1125</v>
      </c>
      <c r="BI18" s="297">
        <f t="shared" ref="BI18" si="98">BI15</f>
        <v>0.1125</v>
      </c>
      <c r="BJ18" s="297">
        <f t="shared" ref="BJ18:BK18" si="99">BJ15</f>
        <v>0.11</v>
      </c>
      <c r="BK18" s="1819">
        <f t="shared" si="99"/>
        <v>0.1075</v>
      </c>
      <c r="BL18" s="298">
        <f t="shared" ref="BL18:BQ18" si="100">BL17+$CY18</f>
        <v>0.10249999999999999</v>
      </c>
      <c r="BM18" s="298">
        <f t="shared" si="100"/>
        <v>9.7500000000000003E-2</v>
      </c>
      <c r="BN18" s="298">
        <f t="shared" si="100"/>
        <v>9.2499999999999999E-2</v>
      </c>
      <c r="BO18" s="298">
        <f t="shared" si="100"/>
        <v>8.7499999999999994E-2</v>
      </c>
      <c r="BP18" s="298">
        <f t="shared" si="100"/>
        <v>8.2500000000000004E-2</v>
      </c>
      <c r="BQ18" s="298">
        <f t="shared" si="100"/>
        <v>7.7499999999999999E-2</v>
      </c>
      <c r="BR18" s="298">
        <f t="shared" ref="BR18" si="101">BR17+$CZ18</f>
        <v>7.7499999999999999E-2</v>
      </c>
      <c r="BS18" s="298">
        <f t="shared" ref="BS18:CU18" si="102">BS17+$CZ18</f>
        <v>7.7499999999999999E-2</v>
      </c>
      <c r="BT18" s="298">
        <f t="shared" si="102"/>
        <v>7.7499999999999999E-2</v>
      </c>
      <c r="BU18" s="298">
        <f t="shared" si="102"/>
        <v>7.7499999999999999E-2</v>
      </c>
      <c r="BV18" s="298">
        <f t="shared" si="102"/>
        <v>7.7499999999999999E-2</v>
      </c>
      <c r="BW18" s="298">
        <f t="shared" si="102"/>
        <v>7.7499999999999999E-2</v>
      </c>
      <c r="BX18" s="298">
        <f t="shared" si="102"/>
        <v>7.7499999999999999E-2</v>
      </c>
      <c r="BY18" s="298">
        <f t="shared" si="102"/>
        <v>7.7499999999999999E-2</v>
      </c>
      <c r="BZ18" s="298">
        <f t="shared" si="102"/>
        <v>7.7499999999999999E-2</v>
      </c>
      <c r="CA18" s="298">
        <f t="shared" si="102"/>
        <v>7.7499999999999999E-2</v>
      </c>
      <c r="CB18" s="298">
        <f t="shared" si="102"/>
        <v>7.7499999999999999E-2</v>
      </c>
      <c r="CC18" s="298">
        <f t="shared" si="102"/>
        <v>7.7499999999999999E-2</v>
      </c>
      <c r="CD18" s="298">
        <f t="shared" si="102"/>
        <v>7.7499999999999999E-2</v>
      </c>
      <c r="CE18" s="298">
        <f t="shared" si="102"/>
        <v>7.7499999999999999E-2</v>
      </c>
      <c r="CF18" s="298">
        <f t="shared" si="102"/>
        <v>7.7499999999999999E-2</v>
      </c>
      <c r="CG18" s="298">
        <f t="shared" si="102"/>
        <v>7.7499999999999999E-2</v>
      </c>
      <c r="CH18" s="298">
        <f t="shared" si="102"/>
        <v>7.7499999999999999E-2</v>
      </c>
      <c r="CI18" s="298">
        <f t="shared" si="102"/>
        <v>7.7499999999999999E-2</v>
      </c>
      <c r="CJ18" s="298">
        <f t="shared" si="102"/>
        <v>7.7499999999999999E-2</v>
      </c>
      <c r="CK18" s="298">
        <f t="shared" si="102"/>
        <v>7.7499999999999999E-2</v>
      </c>
      <c r="CL18" s="298">
        <f t="shared" si="102"/>
        <v>7.7499999999999999E-2</v>
      </c>
      <c r="CM18" s="298">
        <f t="shared" si="102"/>
        <v>7.7499999999999999E-2</v>
      </c>
      <c r="CN18" s="298">
        <f t="shared" si="102"/>
        <v>7.7499999999999999E-2</v>
      </c>
      <c r="CO18" s="298">
        <f t="shared" si="102"/>
        <v>7.7499999999999999E-2</v>
      </c>
      <c r="CP18" s="298">
        <f t="shared" si="102"/>
        <v>7.7499999999999999E-2</v>
      </c>
      <c r="CQ18" s="298">
        <f t="shared" si="102"/>
        <v>7.7499999999999999E-2</v>
      </c>
      <c r="CR18" s="298">
        <f t="shared" si="102"/>
        <v>7.7499999999999999E-2</v>
      </c>
      <c r="CS18" s="298">
        <f t="shared" si="102"/>
        <v>7.7499999999999999E-2</v>
      </c>
      <c r="CT18" s="298">
        <f t="shared" si="102"/>
        <v>7.7499999999999999E-2</v>
      </c>
      <c r="CU18" s="298">
        <f t="shared" si="102"/>
        <v>7.7499999999999999E-2</v>
      </c>
      <c r="CV18" s="298">
        <f t="shared" ref="CV18:CW18" si="103">CV17+$CZ18</f>
        <v>7.7499999999999999E-2</v>
      </c>
      <c r="CW18" s="298">
        <f t="shared" si="103"/>
        <v>7.7499999999999999E-2</v>
      </c>
      <c r="CX18" s="269"/>
      <c r="CY18" s="402">
        <v>0</v>
      </c>
      <c r="CZ18" s="402">
        <v>0</v>
      </c>
    </row>
    <row r="19" spans="1:106" hidden="1" outlineLevel="1">
      <c r="AM19" s="269"/>
      <c r="AN19" s="269"/>
      <c r="AO19" s="269"/>
      <c r="AP19" s="269"/>
      <c r="AQ19" s="269"/>
      <c r="AR19" s="269"/>
      <c r="AS19" s="269"/>
      <c r="AT19" s="269"/>
      <c r="BK19" s="1318"/>
    </row>
    <row r="20" spans="1:106" hidden="1" outlineLevel="1">
      <c r="A20" s="691" t="s">
        <v>956</v>
      </c>
      <c r="B20" s="570">
        <v>13.9</v>
      </c>
      <c r="C20" s="570">
        <v>13.2</v>
      </c>
      <c r="D20" s="570">
        <v>13.45</v>
      </c>
      <c r="E20" s="570">
        <v>13.14</v>
      </c>
      <c r="F20" s="570">
        <v>12.7</v>
      </c>
      <c r="G20" s="570">
        <v>12.2</v>
      </c>
      <c r="H20" s="570">
        <v>12.87</v>
      </c>
      <c r="I20" s="570">
        <v>12.41</v>
      </c>
      <c r="J20" s="570">
        <v>11.9678</v>
      </c>
      <c r="K20" s="570">
        <v>11.838900000000001</v>
      </c>
      <c r="L20" s="570">
        <v>13.4217</v>
      </c>
      <c r="M20" s="570">
        <v>13.990399999999999</v>
      </c>
      <c r="N20" s="570">
        <v>12.803900000000001</v>
      </c>
      <c r="O20" s="570">
        <v>13.6652</v>
      </c>
      <c r="P20" s="570">
        <v>12.917</v>
      </c>
      <c r="Q20" s="570">
        <v>13.0101</v>
      </c>
      <c r="R20" s="570">
        <v>12.357900000000001</v>
      </c>
      <c r="S20" s="570">
        <v>13.1884</v>
      </c>
      <c r="T20" s="570">
        <v>13.011900000000001</v>
      </c>
      <c r="U20" s="570">
        <v>13.076499999999999</v>
      </c>
      <c r="V20" s="570">
        <v>13.0837</v>
      </c>
      <c r="W20" s="570">
        <v>13.032299999999999</v>
      </c>
      <c r="X20" s="570">
        <v>13.4541</v>
      </c>
      <c r="Y20" s="570">
        <v>14.718</v>
      </c>
      <c r="Z20" s="570">
        <v>15.154199999999999</v>
      </c>
      <c r="AA20" s="570">
        <v>15.567600000000001</v>
      </c>
      <c r="AB20" s="570">
        <v>17.007300000000001</v>
      </c>
      <c r="AC20" s="570">
        <v>17.206499999999998</v>
      </c>
      <c r="AD20" s="570">
        <v>17.401499999999999</v>
      </c>
      <c r="AE20" s="570">
        <v>18.911300000000001</v>
      </c>
      <c r="AF20" s="570">
        <v>19.5002</v>
      </c>
      <c r="AG20" s="570">
        <v>20.731400000000001</v>
      </c>
      <c r="AH20" s="570">
        <v>18.809200000000001</v>
      </c>
      <c r="AI20" s="570">
        <v>17.897300000000001</v>
      </c>
      <c r="AJ20" s="570">
        <v>18.13</v>
      </c>
      <c r="AK20" s="570">
        <v>19.7867</v>
      </c>
      <c r="AL20" s="570">
        <v>18.326799999999999</v>
      </c>
      <c r="AM20" s="570">
        <v>20.055299999999999</v>
      </c>
      <c r="AN20" s="570">
        <v>18.898599999999998</v>
      </c>
      <c r="AO20" s="570">
        <v>19.6829</v>
      </c>
      <c r="AP20" s="570">
        <v>19.3201</v>
      </c>
      <c r="AQ20" s="570">
        <v>19.144200000000001</v>
      </c>
      <c r="AR20" s="570">
        <v>19.636299999999999</v>
      </c>
      <c r="AS20" s="570">
        <v>18.845199999999998</v>
      </c>
      <c r="AT20" s="570">
        <v>23.5122</v>
      </c>
      <c r="AU20" s="570">
        <v>22.971499999999999</v>
      </c>
      <c r="AV20" s="570">
        <v>22.4573</v>
      </c>
      <c r="AW20" s="570">
        <v>20.25</v>
      </c>
      <c r="AX20" s="570">
        <v>20</v>
      </c>
      <c r="AY20" s="570">
        <v>19.75</v>
      </c>
      <c r="AZ20" s="570">
        <v>20</v>
      </c>
      <c r="BA20" s="570">
        <v>20.322500000000002</v>
      </c>
      <c r="BB20" s="570">
        <v>20.487442187500001</v>
      </c>
      <c r="BC20" s="570">
        <v>20.018890769230801</v>
      </c>
      <c r="BD20" s="570">
        <v>20.221340909090902</v>
      </c>
      <c r="BE20" s="570">
        <v>19.655358461538501</v>
      </c>
      <c r="BF20" s="570">
        <v>18.6359030769231</v>
      </c>
      <c r="BG20" s="570">
        <v>17.660956923076899</v>
      </c>
      <c r="BH20" s="570">
        <v>17.058746153846101</v>
      </c>
      <c r="BI20" s="570">
        <v>17.543401538461499</v>
      </c>
      <c r="BJ20" s="570">
        <v>16.968044615384599</v>
      </c>
      <c r="BK20" s="1820">
        <v>17.233104615384601</v>
      </c>
      <c r="BL20" s="884">
        <f t="shared" ref="BL20:BM20" si="104">CHOOSE(MASTERSWITCH,BL21,BL22,BL23)</f>
        <v>18.22</v>
      </c>
      <c r="BM20" s="884">
        <f t="shared" si="104"/>
        <v>18.48</v>
      </c>
      <c r="BN20" s="884">
        <f t="shared" ref="BN20:BR20" si="105">CHOOSE(MASTERSWITCH,BN21,BN22,BN23)</f>
        <v>18.739999999999998</v>
      </c>
      <c r="BO20" s="884">
        <f t="shared" si="105"/>
        <v>19.010000000000002</v>
      </c>
      <c r="BP20" s="884">
        <f t="shared" si="105"/>
        <v>19.010000000000002</v>
      </c>
      <c r="BQ20" s="884">
        <f t="shared" si="105"/>
        <v>19.55</v>
      </c>
      <c r="BR20" s="884">
        <f t="shared" si="105"/>
        <v>19.050032800239819</v>
      </c>
      <c r="BS20" s="884">
        <f t="shared" ref="BS20:CK20" si="106">CHOOSE(MASTERSWITCH,BS21,BS22,BS23)</f>
        <v>19.324499654885756</v>
      </c>
      <c r="BT20" s="884">
        <f t="shared" si="106"/>
        <v>19.324499654885756</v>
      </c>
      <c r="BU20" s="884">
        <f t="shared" si="106"/>
        <v>19.873433364177618</v>
      </c>
      <c r="BV20" s="884">
        <f t="shared" si="106"/>
        <v>19.365194754013505</v>
      </c>
      <c r="BW20" s="884">
        <f t="shared" si="106"/>
        <v>19.644202362529178</v>
      </c>
      <c r="BX20" s="884">
        <f t="shared" si="106"/>
        <v>19.644202362529178</v>
      </c>
      <c r="BY20" s="884">
        <f t="shared" si="106"/>
        <v>20.202217579560518</v>
      </c>
      <c r="BZ20" s="884">
        <f t="shared" si="106"/>
        <v>19.685570717555464</v>
      </c>
      <c r="CA20" s="884">
        <f t="shared" si="106"/>
        <v>19.969194201746504</v>
      </c>
      <c r="CB20" s="884">
        <f t="shared" si="106"/>
        <v>19.969194201746504</v>
      </c>
      <c r="CC20" s="884">
        <f t="shared" si="106"/>
        <v>20.536441170128573</v>
      </c>
      <c r="CD20" s="884">
        <f t="shared" si="106"/>
        <v>20.011246950953691</v>
      </c>
      <c r="CE20" s="884">
        <f t="shared" si="106"/>
        <v>20.299562675433819</v>
      </c>
      <c r="CF20" s="884">
        <f t="shared" si="106"/>
        <v>20.299562675433819</v>
      </c>
      <c r="CG20" s="884">
        <f t="shared" si="106"/>
        <v>20.876194124394068</v>
      </c>
      <c r="CH20" s="884">
        <f t="shared" si="106"/>
        <v>20.342311141374971</v>
      </c>
      <c r="CI20" s="884">
        <f t="shared" si="106"/>
        <v>20.635396734126914</v>
      </c>
      <c r="CJ20" s="884">
        <f t="shared" si="106"/>
        <v>20.635396734126914</v>
      </c>
      <c r="CK20" s="884">
        <f t="shared" si="106"/>
        <v>21.221567919630782</v>
      </c>
      <c r="CL20" s="884">
        <f t="shared" ref="CL20:CP20" si="107">CHOOSE(MASTERSWITCH,CL21,CL22,CL23)</f>
        <v>20.678852426674343</v>
      </c>
      <c r="CM20" s="884">
        <f t="shared" si="107"/>
        <v>20.976786799950879</v>
      </c>
      <c r="CN20" s="884">
        <f t="shared" si="107"/>
        <v>20.976786799950879</v>
      </c>
      <c r="CO20" s="884">
        <f t="shared" si="107"/>
        <v>21.572655546503928</v>
      </c>
      <c r="CP20" s="884">
        <f t="shared" si="107"/>
        <v>21.02096141939515</v>
      </c>
      <c r="CQ20" s="884">
        <f t="shared" ref="CQ20:CU20" si="108">CHOOSE(MASTERSWITCH,CQ21,CQ22,CQ23)</f>
        <v>21.323824790965958</v>
      </c>
      <c r="CR20" s="884">
        <f t="shared" si="108"/>
        <v>21.323824790965958</v>
      </c>
      <c r="CS20" s="884">
        <f t="shared" si="108"/>
        <v>21.929551534107546</v>
      </c>
      <c r="CT20" s="884">
        <f t="shared" si="108"/>
        <v>21.36873023116614</v>
      </c>
      <c r="CU20" s="884">
        <f t="shared" si="108"/>
        <v>21.676604145916148</v>
      </c>
      <c r="CV20" s="884">
        <f t="shared" ref="CV20:CW20" si="109">CHOOSE(MASTERSWITCH,CV21,CV22,CV23)</f>
        <v>21.676604145916148</v>
      </c>
      <c r="CW20" s="884">
        <f t="shared" si="109"/>
        <v>22.292351975416132</v>
      </c>
      <c r="CX20" s="269"/>
      <c r="CY20" s="269"/>
      <c r="CZ20" s="269"/>
      <c r="DB20" s="1442"/>
    </row>
    <row r="21" spans="1:106" hidden="1" outlineLevel="1">
      <c r="A21" s="86" t="s">
        <v>571</v>
      </c>
      <c r="B21" s="885">
        <f t="shared" ref="B21:AM21" si="110">B20</f>
        <v>13.9</v>
      </c>
      <c r="C21" s="885">
        <f t="shared" si="110"/>
        <v>13.2</v>
      </c>
      <c r="D21" s="885">
        <f t="shared" si="110"/>
        <v>13.45</v>
      </c>
      <c r="E21" s="885">
        <f t="shared" si="110"/>
        <v>13.14</v>
      </c>
      <c r="F21" s="885">
        <f t="shared" si="110"/>
        <v>12.7</v>
      </c>
      <c r="G21" s="885">
        <f t="shared" si="110"/>
        <v>12.2</v>
      </c>
      <c r="H21" s="885">
        <f t="shared" si="110"/>
        <v>12.87</v>
      </c>
      <c r="I21" s="885">
        <f t="shared" si="110"/>
        <v>12.41</v>
      </c>
      <c r="J21" s="885">
        <f t="shared" si="110"/>
        <v>11.9678</v>
      </c>
      <c r="K21" s="885">
        <f t="shared" si="110"/>
        <v>11.838900000000001</v>
      </c>
      <c r="L21" s="885">
        <f t="shared" si="110"/>
        <v>13.4217</v>
      </c>
      <c r="M21" s="885">
        <f t="shared" si="110"/>
        <v>13.990399999999999</v>
      </c>
      <c r="N21" s="885">
        <f t="shared" si="110"/>
        <v>12.803900000000001</v>
      </c>
      <c r="O21" s="885">
        <f t="shared" si="110"/>
        <v>13.6652</v>
      </c>
      <c r="P21" s="885">
        <f t="shared" si="110"/>
        <v>12.917</v>
      </c>
      <c r="Q21" s="885">
        <f t="shared" si="110"/>
        <v>13.0101</v>
      </c>
      <c r="R21" s="885">
        <f t="shared" si="110"/>
        <v>12.357900000000001</v>
      </c>
      <c r="S21" s="885">
        <f t="shared" si="110"/>
        <v>13.1884</v>
      </c>
      <c r="T21" s="885">
        <f t="shared" si="110"/>
        <v>13.011900000000001</v>
      </c>
      <c r="U21" s="885">
        <f t="shared" si="110"/>
        <v>13.076499999999999</v>
      </c>
      <c r="V21" s="885">
        <f t="shared" si="110"/>
        <v>13.0837</v>
      </c>
      <c r="W21" s="885">
        <f t="shared" si="110"/>
        <v>13.032299999999999</v>
      </c>
      <c r="X21" s="885">
        <f t="shared" si="110"/>
        <v>13.4541</v>
      </c>
      <c r="Y21" s="885">
        <f t="shared" si="110"/>
        <v>14.718</v>
      </c>
      <c r="Z21" s="885">
        <f t="shared" si="110"/>
        <v>15.154199999999999</v>
      </c>
      <c r="AA21" s="885">
        <f t="shared" si="110"/>
        <v>15.567600000000001</v>
      </c>
      <c r="AB21" s="885">
        <f t="shared" si="110"/>
        <v>17.007300000000001</v>
      </c>
      <c r="AC21" s="885">
        <f t="shared" si="110"/>
        <v>17.206499999999998</v>
      </c>
      <c r="AD21" s="885">
        <f t="shared" si="110"/>
        <v>17.401499999999999</v>
      </c>
      <c r="AE21" s="885">
        <f t="shared" si="110"/>
        <v>18.911300000000001</v>
      </c>
      <c r="AF21" s="885">
        <f t="shared" si="110"/>
        <v>19.5002</v>
      </c>
      <c r="AG21" s="885">
        <f t="shared" si="110"/>
        <v>20.731400000000001</v>
      </c>
      <c r="AH21" s="885">
        <f t="shared" si="110"/>
        <v>18.809200000000001</v>
      </c>
      <c r="AI21" s="885">
        <f t="shared" si="110"/>
        <v>17.897300000000001</v>
      </c>
      <c r="AJ21" s="885">
        <f t="shared" si="110"/>
        <v>18.13</v>
      </c>
      <c r="AK21" s="885">
        <f t="shared" si="110"/>
        <v>19.7867</v>
      </c>
      <c r="AL21" s="885">
        <f t="shared" si="110"/>
        <v>18.326799999999999</v>
      </c>
      <c r="AM21" s="885">
        <f t="shared" si="110"/>
        <v>20.055299999999999</v>
      </c>
      <c r="AN21" s="885">
        <f t="shared" ref="AN21:AS21" si="111">AN20</f>
        <v>18.898599999999998</v>
      </c>
      <c r="AO21" s="885">
        <f t="shared" si="111"/>
        <v>19.6829</v>
      </c>
      <c r="AP21" s="885">
        <f t="shared" si="111"/>
        <v>19.3201</v>
      </c>
      <c r="AQ21" s="885">
        <f t="shared" si="111"/>
        <v>19.144200000000001</v>
      </c>
      <c r="AR21" s="885">
        <f t="shared" si="111"/>
        <v>19.636299999999999</v>
      </c>
      <c r="AS21" s="885">
        <f t="shared" si="111"/>
        <v>18.845199999999998</v>
      </c>
      <c r="AT21" s="885">
        <f t="shared" ref="AT21:BB21" si="112">AT20</f>
        <v>23.5122</v>
      </c>
      <c r="AU21" s="885">
        <f t="shared" si="112"/>
        <v>22.971499999999999</v>
      </c>
      <c r="AV21" s="885">
        <f t="shared" si="112"/>
        <v>22.4573</v>
      </c>
      <c r="AW21" s="885">
        <f t="shared" si="112"/>
        <v>20.25</v>
      </c>
      <c r="AX21" s="885">
        <f t="shared" si="112"/>
        <v>20</v>
      </c>
      <c r="AY21" s="885">
        <f t="shared" si="112"/>
        <v>19.75</v>
      </c>
      <c r="AZ21" s="885">
        <f t="shared" si="112"/>
        <v>20</v>
      </c>
      <c r="BA21" s="885">
        <f t="shared" si="112"/>
        <v>20.322500000000002</v>
      </c>
      <c r="BB21" s="885">
        <f t="shared" si="112"/>
        <v>20.487442187500001</v>
      </c>
      <c r="BC21" s="885">
        <f t="shared" ref="BC21" si="113">BC20</f>
        <v>20.018890769230801</v>
      </c>
      <c r="BD21" s="885">
        <f t="shared" ref="BD21:BI21" si="114">BD20</f>
        <v>20.221340909090902</v>
      </c>
      <c r="BE21" s="885">
        <f t="shared" si="114"/>
        <v>19.655358461538501</v>
      </c>
      <c r="BF21" s="885">
        <f t="shared" si="114"/>
        <v>18.6359030769231</v>
      </c>
      <c r="BG21" s="885">
        <f t="shared" si="114"/>
        <v>17.660956923076899</v>
      </c>
      <c r="BH21" s="885">
        <f t="shared" si="114"/>
        <v>17.058746153846101</v>
      </c>
      <c r="BI21" s="885">
        <f t="shared" si="114"/>
        <v>17.543401538461499</v>
      </c>
      <c r="BJ21" s="885">
        <f t="shared" ref="BJ21:BK21" si="115">BJ20</f>
        <v>16.968044615384599</v>
      </c>
      <c r="BK21" s="1821">
        <f t="shared" si="115"/>
        <v>17.233104615384601</v>
      </c>
      <c r="BL21" s="886">
        <f t="shared" ref="BL21:BQ21" si="116">BL22+$CY21</f>
        <v>18.22</v>
      </c>
      <c r="BM21" s="886">
        <f t="shared" si="116"/>
        <v>18.48</v>
      </c>
      <c r="BN21" s="886">
        <f t="shared" si="116"/>
        <v>18.739999999999998</v>
      </c>
      <c r="BO21" s="886">
        <f t="shared" si="116"/>
        <v>19.010000000000002</v>
      </c>
      <c r="BP21" s="886">
        <f t="shared" si="116"/>
        <v>19.010000000000002</v>
      </c>
      <c r="BQ21" s="886">
        <f t="shared" si="116"/>
        <v>19.55</v>
      </c>
      <c r="BR21" s="886">
        <f t="shared" ref="BR21:CU21" si="117">BR22+$CZ21</f>
        <v>19.050032800239819</v>
      </c>
      <c r="BS21" s="886">
        <f t="shared" si="117"/>
        <v>19.324499654885756</v>
      </c>
      <c r="BT21" s="886">
        <f t="shared" si="117"/>
        <v>19.324499654885756</v>
      </c>
      <c r="BU21" s="886">
        <f t="shared" si="117"/>
        <v>19.873433364177618</v>
      </c>
      <c r="BV21" s="886">
        <f t="shared" si="117"/>
        <v>19.365194754013505</v>
      </c>
      <c r="BW21" s="886">
        <f t="shared" si="117"/>
        <v>19.644202362529178</v>
      </c>
      <c r="BX21" s="886">
        <f t="shared" si="117"/>
        <v>19.644202362529178</v>
      </c>
      <c r="BY21" s="886">
        <f t="shared" si="117"/>
        <v>20.202217579560518</v>
      </c>
      <c r="BZ21" s="886">
        <f t="shared" si="117"/>
        <v>19.685570717555464</v>
      </c>
      <c r="CA21" s="886">
        <f t="shared" si="117"/>
        <v>19.969194201746504</v>
      </c>
      <c r="CB21" s="886">
        <f t="shared" si="117"/>
        <v>19.969194201746504</v>
      </c>
      <c r="CC21" s="886">
        <f t="shared" si="117"/>
        <v>20.536441170128573</v>
      </c>
      <c r="CD21" s="886">
        <f t="shared" si="117"/>
        <v>20.011246950953691</v>
      </c>
      <c r="CE21" s="886">
        <f t="shared" si="117"/>
        <v>20.299562675433819</v>
      </c>
      <c r="CF21" s="886">
        <f t="shared" si="117"/>
        <v>20.299562675433819</v>
      </c>
      <c r="CG21" s="886">
        <f t="shared" si="117"/>
        <v>20.876194124394068</v>
      </c>
      <c r="CH21" s="886">
        <f t="shared" si="117"/>
        <v>20.342311141374971</v>
      </c>
      <c r="CI21" s="886">
        <f t="shared" si="117"/>
        <v>20.635396734126914</v>
      </c>
      <c r="CJ21" s="886">
        <f t="shared" si="117"/>
        <v>20.635396734126914</v>
      </c>
      <c r="CK21" s="886">
        <f t="shared" si="117"/>
        <v>21.221567919630782</v>
      </c>
      <c r="CL21" s="886">
        <f t="shared" si="117"/>
        <v>20.678852426674343</v>
      </c>
      <c r="CM21" s="886">
        <f t="shared" si="117"/>
        <v>20.976786799950879</v>
      </c>
      <c r="CN21" s="886">
        <f t="shared" si="117"/>
        <v>20.976786799950879</v>
      </c>
      <c r="CO21" s="886">
        <f t="shared" si="117"/>
        <v>21.572655546503928</v>
      </c>
      <c r="CP21" s="886">
        <f t="shared" si="117"/>
        <v>21.02096141939515</v>
      </c>
      <c r="CQ21" s="886">
        <f t="shared" si="117"/>
        <v>21.323824790965958</v>
      </c>
      <c r="CR21" s="886">
        <f t="shared" si="117"/>
        <v>21.323824790965958</v>
      </c>
      <c r="CS21" s="886">
        <f t="shared" si="117"/>
        <v>21.929551534107546</v>
      </c>
      <c r="CT21" s="886">
        <f t="shared" si="117"/>
        <v>21.36873023116614</v>
      </c>
      <c r="CU21" s="886">
        <f t="shared" si="117"/>
        <v>21.676604145916148</v>
      </c>
      <c r="CV21" s="886">
        <f t="shared" ref="CV21:CW21" si="118">CV22+$CZ21</f>
        <v>21.676604145916148</v>
      </c>
      <c r="CW21" s="886">
        <f t="shared" si="118"/>
        <v>22.292351975416132</v>
      </c>
      <c r="CX21" s="269"/>
      <c r="CY21" s="402">
        <v>0</v>
      </c>
      <c r="CZ21" s="402">
        <v>0</v>
      </c>
    </row>
    <row r="22" spans="1:106" hidden="1" outlineLevel="1">
      <c r="A22" s="86" t="s">
        <v>200</v>
      </c>
      <c r="B22" s="887">
        <f t="shared" ref="B22:AM22" si="119">B20</f>
        <v>13.9</v>
      </c>
      <c r="C22" s="887">
        <f t="shared" si="119"/>
        <v>13.2</v>
      </c>
      <c r="D22" s="887">
        <f t="shared" si="119"/>
        <v>13.45</v>
      </c>
      <c r="E22" s="887">
        <f t="shared" si="119"/>
        <v>13.14</v>
      </c>
      <c r="F22" s="887">
        <f t="shared" si="119"/>
        <v>12.7</v>
      </c>
      <c r="G22" s="887">
        <f t="shared" si="119"/>
        <v>12.2</v>
      </c>
      <c r="H22" s="887">
        <f t="shared" si="119"/>
        <v>12.87</v>
      </c>
      <c r="I22" s="887">
        <f t="shared" si="119"/>
        <v>12.41</v>
      </c>
      <c r="J22" s="887">
        <f t="shared" si="119"/>
        <v>11.9678</v>
      </c>
      <c r="K22" s="887">
        <f t="shared" si="119"/>
        <v>11.838900000000001</v>
      </c>
      <c r="L22" s="887">
        <f t="shared" si="119"/>
        <v>13.4217</v>
      </c>
      <c r="M22" s="887">
        <f t="shared" si="119"/>
        <v>13.990399999999999</v>
      </c>
      <c r="N22" s="887">
        <f t="shared" si="119"/>
        <v>12.803900000000001</v>
      </c>
      <c r="O22" s="887">
        <f t="shared" si="119"/>
        <v>13.6652</v>
      </c>
      <c r="P22" s="887">
        <f t="shared" si="119"/>
        <v>12.917</v>
      </c>
      <c r="Q22" s="887">
        <f t="shared" si="119"/>
        <v>13.0101</v>
      </c>
      <c r="R22" s="887">
        <f t="shared" si="119"/>
        <v>12.357900000000001</v>
      </c>
      <c r="S22" s="887">
        <f t="shared" si="119"/>
        <v>13.1884</v>
      </c>
      <c r="T22" s="887">
        <f t="shared" si="119"/>
        <v>13.011900000000001</v>
      </c>
      <c r="U22" s="887">
        <f t="shared" si="119"/>
        <v>13.076499999999999</v>
      </c>
      <c r="V22" s="887">
        <f t="shared" si="119"/>
        <v>13.0837</v>
      </c>
      <c r="W22" s="887">
        <f t="shared" si="119"/>
        <v>13.032299999999999</v>
      </c>
      <c r="X22" s="887">
        <f t="shared" si="119"/>
        <v>13.4541</v>
      </c>
      <c r="Y22" s="887">
        <f t="shared" si="119"/>
        <v>14.718</v>
      </c>
      <c r="Z22" s="887">
        <f t="shared" si="119"/>
        <v>15.154199999999999</v>
      </c>
      <c r="AA22" s="887">
        <f t="shared" si="119"/>
        <v>15.567600000000001</v>
      </c>
      <c r="AB22" s="887">
        <f t="shared" si="119"/>
        <v>17.007300000000001</v>
      </c>
      <c r="AC22" s="887">
        <f t="shared" si="119"/>
        <v>17.206499999999998</v>
      </c>
      <c r="AD22" s="887">
        <f t="shared" si="119"/>
        <v>17.401499999999999</v>
      </c>
      <c r="AE22" s="887">
        <f t="shared" si="119"/>
        <v>18.911300000000001</v>
      </c>
      <c r="AF22" s="887">
        <f t="shared" si="119"/>
        <v>19.5002</v>
      </c>
      <c r="AG22" s="887">
        <f t="shared" si="119"/>
        <v>20.731400000000001</v>
      </c>
      <c r="AH22" s="887">
        <f t="shared" si="119"/>
        <v>18.809200000000001</v>
      </c>
      <c r="AI22" s="887">
        <f t="shared" si="119"/>
        <v>17.897300000000001</v>
      </c>
      <c r="AJ22" s="887">
        <f t="shared" si="119"/>
        <v>18.13</v>
      </c>
      <c r="AK22" s="887">
        <f t="shared" si="119"/>
        <v>19.7867</v>
      </c>
      <c r="AL22" s="887">
        <f t="shared" si="119"/>
        <v>18.326799999999999</v>
      </c>
      <c r="AM22" s="887">
        <f t="shared" si="119"/>
        <v>20.055299999999999</v>
      </c>
      <c r="AN22" s="887">
        <f t="shared" ref="AN22:AS22" si="120">AN20</f>
        <v>18.898599999999998</v>
      </c>
      <c r="AO22" s="887">
        <f t="shared" si="120"/>
        <v>19.6829</v>
      </c>
      <c r="AP22" s="887">
        <f t="shared" si="120"/>
        <v>19.3201</v>
      </c>
      <c r="AQ22" s="887">
        <f t="shared" si="120"/>
        <v>19.144200000000001</v>
      </c>
      <c r="AR22" s="887">
        <f t="shared" si="120"/>
        <v>19.636299999999999</v>
      </c>
      <c r="AS22" s="887">
        <f t="shared" si="120"/>
        <v>18.845199999999998</v>
      </c>
      <c r="AT22" s="887">
        <f t="shared" ref="AT22:BB22" si="121">AT20</f>
        <v>23.5122</v>
      </c>
      <c r="AU22" s="887">
        <f t="shared" si="121"/>
        <v>22.971499999999999</v>
      </c>
      <c r="AV22" s="887">
        <f t="shared" si="121"/>
        <v>22.4573</v>
      </c>
      <c r="AW22" s="887">
        <f t="shared" si="121"/>
        <v>20.25</v>
      </c>
      <c r="AX22" s="887">
        <f t="shared" si="121"/>
        <v>20</v>
      </c>
      <c r="AY22" s="887">
        <f t="shared" si="121"/>
        <v>19.75</v>
      </c>
      <c r="AZ22" s="887">
        <f t="shared" si="121"/>
        <v>20</v>
      </c>
      <c r="BA22" s="887">
        <f t="shared" si="121"/>
        <v>20.322500000000002</v>
      </c>
      <c r="BB22" s="887">
        <f t="shared" si="121"/>
        <v>20.487442187500001</v>
      </c>
      <c r="BC22" s="887">
        <f t="shared" ref="BC22" si="122">BC20</f>
        <v>20.018890769230801</v>
      </c>
      <c r="BD22" s="887">
        <f t="shared" ref="BD22:BH22" si="123">BD20</f>
        <v>20.221340909090902</v>
      </c>
      <c r="BE22" s="887">
        <f t="shared" si="123"/>
        <v>19.655358461538501</v>
      </c>
      <c r="BF22" s="887">
        <f t="shared" si="123"/>
        <v>18.6359030769231</v>
      </c>
      <c r="BG22" s="887">
        <f t="shared" si="123"/>
        <v>17.660956923076899</v>
      </c>
      <c r="BH22" s="887">
        <f t="shared" si="123"/>
        <v>17.058746153846101</v>
      </c>
      <c r="BI22" s="887">
        <v>17.543401538461499</v>
      </c>
      <c r="BJ22" s="887">
        <v>16.968044615384599</v>
      </c>
      <c r="BK22" s="1822">
        <v>17.233104615384601</v>
      </c>
      <c r="BL22" s="2071">
        <f t="shared" ref="BL22:BP22" si="124">BL369</f>
        <v>18.22</v>
      </c>
      <c r="BM22" s="2071">
        <f t="shared" si="124"/>
        <v>18.48</v>
      </c>
      <c r="BN22" s="2071">
        <f t="shared" si="124"/>
        <v>18.739999999999998</v>
      </c>
      <c r="BO22" s="2071">
        <f t="shared" si="124"/>
        <v>19.010000000000002</v>
      </c>
      <c r="BP22" s="2071">
        <f t="shared" si="124"/>
        <v>19.010000000000002</v>
      </c>
      <c r="BQ22" s="2071">
        <f>BQ369</f>
        <v>19.55</v>
      </c>
      <c r="BR22" s="1886">
        <f t="shared" ref="BR22:BY22" si="125">+BN22*(1+BR12)/(1+2%)</f>
        <v>19.050032800239819</v>
      </c>
      <c r="BS22" s="1886">
        <f t="shared" si="125"/>
        <v>19.324499654885756</v>
      </c>
      <c r="BT22" s="1886">
        <f t="shared" si="125"/>
        <v>19.324499654885756</v>
      </c>
      <c r="BU22" s="1886">
        <f t="shared" si="125"/>
        <v>19.873433364177618</v>
      </c>
      <c r="BV22" s="1886">
        <f t="shared" si="125"/>
        <v>19.365194754013505</v>
      </c>
      <c r="BW22" s="1886">
        <f t="shared" si="125"/>
        <v>19.644202362529178</v>
      </c>
      <c r="BX22" s="1886">
        <f t="shared" si="125"/>
        <v>19.644202362529178</v>
      </c>
      <c r="BY22" s="1886">
        <f t="shared" si="125"/>
        <v>20.202217579560518</v>
      </c>
      <c r="BZ22" s="1886">
        <f t="shared" ref="BZ22" si="126">+BV22*(1+BZ12)/(1+2%)</f>
        <v>19.685570717555464</v>
      </c>
      <c r="CA22" s="1886">
        <f t="shared" ref="CA22" si="127">+BW22*(1+CA12)/(1+2%)</f>
        <v>19.969194201746504</v>
      </c>
      <c r="CB22" s="1886">
        <f t="shared" ref="CB22" si="128">+BX22*(1+CB12)/(1+2%)</f>
        <v>19.969194201746504</v>
      </c>
      <c r="CC22" s="1886">
        <f t="shared" ref="CC22" si="129">+BY22*(1+CC12)/(1+2%)</f>
        <v>20.536441170128573</v>
      </c>
      <c r="CD22" s="1886">
        <f t="shared" ref="CD22" si="130">+BZ22*(1+CD12)/(1+2%)</f>
        <v>20.011246950953691</v>
      </c>
      <c r="CE22" s="1886">
        <f t="shared" ref="CE22" si="131">+CA22*(1+CE12)/(1+2%)</f>
        <v>20.299562675433819</v>
      </c>
      <c r="CF22" s="1886">
        <f t="shared" ref="CF22" si="132">+CB22*(1+CF12)/(1+2%)</f>
        <v>20.299562675433819</v>
      </c>
      <c r="CG22" s="1886">
        <f t="shared" ref="CG22" si="133">+CC22*(1+CG12)/(1+2%)</f>
        <v>20.876194124394068</v>
      </c>
      <c r="CH22" s="1886">
        <f t="shared" ref="CH22" si="134">+CD22*(1+CH12)/(1+2%)</f>
        <v>20.342311141374971</v>
      </c>
      <c r="CI22" s="1886">
        <f t="shared" ref="CI22" si="135">+CE22*(1+CI12)/(1+2%)</f>
        <v>20.635396734126914</v>
      </c>
      <c r="CJ22" s="1886">
        <f t="shared" ref="CJ22" si="136">+CF22*(1+CJ12)/(1+2%)</f>
        <v>20.635396734126914</v>
      </c>
      <c r="CK22" s="1886">
        <f t="shared" ref="CK22" si="137">+CG22*(1+CK12)/(1+2%)</f>
        <v>21.221567919630782</v>
      </c>
      <c r="CL22" s="1886">
        <f t="shared" ref="CL22" si="138">+CH22*(1+CL12)/(1+2%)</f>
        <v>20.678852426674343</v>
      </c>
      <c r="CM22" s="1886">
        <f t="shared" ref="CM22" si="139">+CI22*(1+CM12)/(1+2%)</f>
        <v>20.976786799950879</v>
      </c>
      <c r="CN22" s="1886">
        <f t="shared" ref="CN22" si="140">+CJ22*(1+CN12)/(1+2%)</f>
        <v>20.976786799950879</v>
      </c>
      <c r="CO22" s="1886">
        <f t="shared" ref="CO22" si="141">+CK22*(1+CO12)/(1+2%)</f>
        <v>21.572655546503928</v>
      </c>
      <c r="CP22" s="1886">
        <f t="shared" ref="CP22" si="142">+CL22*(1+CP12)/(1+2%)</f>
        <v>21.02096141939515</v>
      </c>
      <c r="CQ22" s="1886">
        <f t="shared" ref="CQ22" si="143">+CM22*(1+CQ12)/(1+2%)</f>
        <v>21.323824790965958</v>
      </c>
      <c r="CR22" s="1886">
        <f t="shared" ref="CR22" si="144">+CN22*(1+CR12)/(1+2%)</f>
        <v>21.323824790965958</v>
      </c>
      <c r="CS22" s="1886">
        <f t="shared" ref="CS22" si="145">+CO22*(1+CS12)/(1+2%)</f>
        <v>21.929551534107546</v>
      </c>
      <c r="CT22" s="1886">
        <f t="shared" ref="CT22" si="146">+CP22*(1+CT12)/(1+2%)</f>
        <v>21.36873023116614</v>
      </c>
      <c r="CU22" s="1886">
        <f t="shared" ref="CU22" si="147">+CQ22*(1+CU12)/(1+2%)</f>
        <v>21.676604145916148</v>
      </c>
      <c r="CV22" s="1886">
        <f t="shared" ref="CV22" si="148">+CR22*(1+CV12)/(1+2%)</f>
        <v>21.676604145916148</v>
      </c>
      <c r="CW22" s="1886">
        <f t="shared" ref="CW22" si="149">+CS22*(1+CW12)/(1+2%)</f>
        <v>22.292351975416132</v>
      </c>
      <c r="CX22" s="269"/>
      <c r="CY22" s="269"/>
      <c r="CZ22" s="269"/>
    </row>
    <row r="23" spans="1:106" hidden="1" outlineLevel="1">
      <c r="A23" s="86" t="s">
        <v>202</v>
      </c>
      <c r="B23" s="887">
        <f t="shared" ref="B23:AM23" si="150">B20</f>
        <v>13.9</v>
      </c>
      <c r="C23" s="887">
        <f t="shared" si="150"/>
        <v>13.2</v>
      </c>
      <c r="D23" s="887">
        <f t="shared" si="150"/>
        <v>13.45</v>
      </c>
      <c r="E23" s="887">
        <f t="shared" si="150"/>
        <v>13.14</v>
      </c>
      <c r="F23" s="887">
        <f t="shared" si="150"/>
        <v>12.7</v>
      </c>
      <c r="G23" s="887">
        <f t="shared" si="150"/>
        <v>12.2</v>
      </c>
      <c r="H23" s="887">
        <f t="shared" si="150"/>
        <v>12.87</v>
      </c>
      <c r="I23" s="887">
        <f t="shared" si="150"/>
        <v>12.41</v>
      </c>
      <c r="J23" s="887">
        <f t="shared" si="150"/>
        <v>11.9678</v>
      </c>
      <c r="K23" s="887">
        <f t="shared" si="150"/>
        <v>11.838900000000001</v>
      </c>
      <c r="L23" s="887">
        <f t="shared" si="150"/>
        <v>13.4217</v>
      </c>
      <c r="M23" s="887">
        <f t="shared" si="150"/>
        <v>13.990399999999999</v>
      </c>
      <c r="N23" s="887">
        <f t="shared" si="150"/>
        <v>12.803900000000001</v>
      </c>
      <c r="O23" s="887">
        <f t="shared" si="150"/>
        <v>13.6652</v>
      </c>
      <c r="P23" s="887">
        <f t="shared" si="150"/>
        <v>12.917</v>
      </c>
      <c r="Q23" s="887">
        <f t="shared" si="150"/>
        <v>13.0101</v>
      </c>
      <c r="R23" s="887">
        <f t="shared" si="150"/>
        <v>12.357900000000001</v>
      </c>
      <c r="S23" s="887">
        <f t="shared" si="150"/>
        <v>13.1884</v>
      </c>
      <c r="T23" s="887">
        <f t="shared" si="150"/>
        <v>13.011900000000001</v>
      </c>
      <c r="U23" s="887">
        <f t="shared" si="150"/>
        <v>13.076499999999999</v>
      </c>
      <c r="V23" s="887">
        <f t="shared" si="150"/>
        <v>13.0837</v>
      </c>
      <c r="W23" s="887">
        <f t="shared" si="150"/>
        <v>13.032299999999999</v>
      </c>
      <c r="X23" s="887">
        <f t="shared" si="150"/>
        <v>13.4541</v>
      </c>
      <c r="Y23" s="887">
        <f t="shared" si="150"/>
        <v>14.718</v>
      </c>
      <c r="Z23" s="887">
        <f t="shared" si="150"/>
        <v>15.154199999999999</v>
      </c>
      <c r="AA23" s="887">
        <f t="shared" si="150"/>
        <v>15.567600000000001</v>
      </c>
      <c r="AB23" s="887">
        <f t="shared" si="150"/>
        <v>17.007300000000001</v>
      </c>
      <c r="AC23" s="887">
        <f t="shared" si="150"/>
        <v>17.206499999999998</v>
      </c>
      <c r="AD23" s="887">
        <f t="shared" si="150"/>
        <v>17.401499999999999</v>
      </c>
      <c r="AE23" s="887">
        <f t="shared" si="150"/>
        <v>18.911300000000001</v>
      </c>
      <c r="AF23" s="887">
        <f t="shared" si="150"/>
        <v>19.5002</v>
      </c>
      <c r="AG23" s="887">
        <f t="shared" si="150"/>
        <v>20.731400000000001</v>
      </c>
      <c r="AH23" s="887">
        <f t="shared" si="150"/>
        <v>18.809200000000001</v>
      </c>
      <c r="AI23" s="887">
        <f t="shared" si="150"/>
        <v>17.897300000000001</v>
      </c>
      <c r="AJ23" s="887">
        <f t="shared" si="150"/>
        <v>18.13</v>
      </c>
      <c r="AK23" s="887">
        <f t="shared" si="150"/>
        <v>19.7867</v>
      </c>
      <c r="AL23" s="887">
        <f t="shared" si="150"/>
        <v>18.326799999999999</v>
      </c>
      <c r="AM23" s="887">
        <f t="shared" si="150"/>
        <v>20.055299999999999</v>
      </c>
      <c r="AN23" s="887">
        <f t="shared" ref="AN23:AS23" si="151">AN20</f>
        <v>18.898599999999998</v>
      </c>
      <c r="AO23" s="887">
        <f t="shared" si="151"/>
        <v>19.6829</v>
      </c>
      <c r="AP23" s="887">
        <f t="shared" si="151"/>
        <v>19.3201</v>
      </c>
      <c r="AQ23" s="887">
        <f t="shared" si="151"/>
        <v>19.144200000000001</v>
      </c>
      <c r="AR23" s="887">
        <f t="shared" si="151"/>
        <v>19.636299999999999</v>
      </c>
      <c r="AS23" s="887">
        <f t="shared" si="151"/>
        <v>18.845199999999998</v>
      </c>
      <c r="AT23" s="887">
        <f t="shared" ref="AT23:BB23" si="152">AT20</f>
        <v>23.5122</v>
      </c>
      <c r="AU23" s="887">
        <f t="shared" si="152"/>
        <v>22.971499999999999</v>
      </c>
      <c r="AV23" s="887">
        <f t="shared" si="152"/>
        <v>22.4573</v>
      </c>
      <c r="AW23" s="887">
        <f t="shared" si="152"/>
        <v>20.25</v>
      </c>
      <c r="AX23" s="887">
        <f t="shared" si="152"/>
        <v>20</v>
      </c>
      <c r="AY23" s="887">
        <f t="shared" si="152"/>
        <v>19.75</v>
      </c>
      <c r="AZ23" s="887">
        <f t="shared" si="152"/>
        <v>20</v>
      </c>
      <c r="BA23" s="887">
        <f t="shared" si="152"/>
        <v>20.322500000000002</v>
      </c>
      <c r="BB23" s="887">
        <f t="shared" si="152"/>
        <v>20.487442187500001</v>
      </c>
      <c r="BC23" s="887">
        <f t="shared" ref="BC23" si="153">BC20</f>
        <v>20.018890769230801</v>
      </c>
      <c r="BD23" s="887">
        <f t="shared" ref="BD23:BI23" si="154">BD20</f>
        <v>20.221340909090902</v>
      </c>
      <c r="BE23" s="887">
        <f t="shared" si="154"/>
        <v>19.655358461538501</v>
      </c>
      <c r="BF23" s="887">
        <f t="shared" si="154"/>
        <v>18.6359030769231</v>
      </c>
      <c r="BG23" s="887">
        <f t="shared" si="154"/>
        <v>17.660956923076899</v>
      </c>
      <c r="BH23" s="887">
        <f t="shared" si="154"/>
        <v>17.058746153846101</v>
      </c>
      <c r="BI23" s="887">
        <f t="shared" si="154"/>
        <v>17.543401538461499</v>
      </c>
      <c r="BJ23" s="887">
        <f t="shared" ref="BJ23:BK23" si="155">BJ20</f>
        <v>16.968044615384599</v>
      </c>
      <c r="BK23" s="1822">
        <f t="shared" si="155"/>
        <v>17.233104615384601</v>
      </c>
      <c r="BL23" s="888">
        <f t="shared" ref="BL23:BQ23" si="156">BL22+$CY23</f>
        <v>18.22</v>
      </c>
      <c r="BM23" s="888">
        <f t="shared" si="156"/>
        <v>18.48</v>
      </c>
      <c r="BN23" s="888">
        <f t="shared" si="156"/>
        <v>18.739999999999998</v>
      </c>
      <c r="BO23" s="888">
        <f t="shared" si="156"/>
        <v>19.010000000000002</v>
      </c>
      <c r="BP23" s="888">
        <f t="shared" si="156"/>
        <v>19.010000000000002</v>
      </c>
      <c r="BQ23" s="888">
        <f t="shared" si="156"/>
        <v>19.55</v>
      </c>
      <c r="BR23" s="888">
        <f t="shared" ref="BR23" si="157">BR22+$CZ23</f>
        <v>19.050032800239819</v>
      </c>
      <c r="BS23" s="888">
        <f t="shared" ref="BS23:CU23" si="158">BS22+$CZ23</f>
        <v>19.324499654885756</v>
      </c>
      <c r="BT23" s="888">
        <f t="shared" si="158"/>
        <v>19.324499654885756</v>
      </c>
      <c r="BU23" s="888">
        <f t="shared" si="158"/>
        <v>19.873433364177618</v>
      </c>
      <c r="BV23" s="888">
        <f t="shared" si="158"/>
        <v>19.365194754013505</v>
      </c>
      <c r="BW23" s="888">
        <f t="shared" si="158"/>
        <v>19.644202362529178</v>
      </c>
      <c r="BX23" s="888">
        <f t="shared" si="158"/>
        <v>19.644202362529178</v>
      </c>
      <c r="BY23" s="888">
        <f t="shared" si="158"/>
        <v>20.202217579560518</v>
      </c>
      <c r="BZ23" s="888">
        <f t="shared" si="158"/>
        <v>19.685570717555464</v>
      </c>
      <c r="CA23" s="888">
        <f t="shared" si="158"/>
        <v>19.969194201746504</v>
      </c>
      <c r="CB23" s="888">
        <f t="shared" si="158"/>
        <v>19.969194201746504</v>
      </c>
      <c r="CC23" s="888">
        <f t="shared" si="158"/>
        <v>20.536441170128573</v>
      </c>
      <c r="CD23" s="888">
        <f t="shared" si="158"/>
        <v>20.011246950953691</v>
      </c>
      <c r="CE23" s="888">
        <f t="shared" si="158"/>
        <v>20.299562675433819</v>
      </c>
      <c r="CF23" s="888">
        <f t="shared" si="158"/>
        <v>20.299562675433819</v>
      </c>
      <c r="CG23" s="888">
        <f t="shared" si="158"/>
        <v>20.876194124394068</v>
      </c>
      <c r="CH23" s="888">
        <f t="shared" si="158"/>
        <v>20.342311141374971</v>
      </c>
      <c r="CI23" s="888">
        <f t="shared" si="158"/>
        <v>20.635396734126914</v>
      </c>
      <c r="CJ23" s="888">
        <f t="shared" si="158"/>
        <v>20.635396734126914</v>
      </c>
      <c r="CK23" s="888">
        <f t="shared" si="158"/>
        <v>21.221567919630782</v>
      </c>
      <c r="CL23" s="888">
        <f t="shared" si="158"/>
        <v>20.678852426674343</v>
      </c>
      <c r="CM23" s="888">
        <f t="shared" si="158"/>
        <v>20.976786799950879</v>
      </c>
      <c r="CN23" s="888">
        <f t="shared" si="158"/>
        <v>20.976786799950879</v>
      </c>
      <c r="CO23" s="888">
        <f t="shared" si="158"/>
        <v>21.572655546503928</v>
      </c>
      <c r="CP23" s="888">
        <f t="shared" si="158"/>
        <v>21.02096141939515</v>
      </c>
      <c r="CQ23" s="888">
        <f t="shared" si="158"/>
        <v>21.323824790965958</v>
      </c>
      <c r="CR23" s="888">
        <f t="shared" si="158"/>
        <v>21.323824790965958</v>
      </c>
      <c r="CS23" s="888">
        <f t="shared" si="158"/>
        <v>21.929551534107546</v>
      </c>
      <c r="CT23" s="888">
        <f t="shared" si="158"/>
        <v>21.36873023116614</v>
      </c>
      <c r="CU23" s="888">
        <f t="shared" si="158"/>
        <v>21.676604145916148</v>
      </c>
      <c r="CV23" s="888">
        <f t="shared" ref="CV23:CW23" si="159">CV22+$CZ23</f>
        <v>21.676604145916148</v>
      </c>
      <c r="CW23" s="888">
        <f t="shared" si="159"/>
        <v>22.292351975416132</v>
      </c>
      <c r="CX23" s="269"/>
      <c r="CY23" s="402">
        <v>0</v>
      </c>
      <c r="CZ23" s="402">
        <v>0</v>
      </c>
    </row>
    <row r="24" spans="1:106" hidden="1" outlineLevel="1">
      <c r="AM24" s="269"/>
      <c r="AN24" s="269"/>
      <c r="AO24" s="269"/>
      <c r="AP24" s="269"/>
      <c r="AQ24" s="269"/>
      <c r="AR24" s="269"/>
      <c r="AS24" s="269"/>
      <c r="BK24" s="1318"/>
    </row>
    <row r="25" spans="1:106" hidden="1" outlineLevel="1">
      <c r="A25" s="882" t="s">
        <v>949</v>
      </c>
      <c r="B25" s="399"/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269"/>
      <c r="AK25" s="269"/>
      <c r="AL25" s="269"/>
      <c r="AM25" s="269"/>
      <c r="AN25" s="269"/>
      <c r="AO25" s="269"/>
      <c r="AP25" s="269"/>
      <c r="AQ25" s="269"/>
      <c r="AR25" s="269"/>
      <c r="AS25" s="269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1815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  <c r="CK25" s="296"/>
      <c r="CL25" s="296"/>
      <c r="CM25" s="296"/>
      <c r="CN25" s="296"/>
      <c r="CO25" s="296"/>
      <c r="CP25" s="296"/>
      <c r="CQ25" s="296"/>
      <c r="CR25" s="296"/>
      <c r="CS25" s="296"/>
      <c r="CT25" s="296"/>
      <c r="CU25" s="296"/>
      <c r="CV25" s="296"/>
      <c r="CW25" s="296"/>
      <c r="CX25" s="269"/>
      <c r="CY25" s="269"/>
      <c r="CZ25" s="269"/>
    </row>
    <row r="26" spans="1:106" hidden="1" outlineLevel="1">
      <c r="A26" s="691" t="s">
        <v>927</v>
      </c>
      <c r="B26" s="905">
        <v>1.6299999999999999E-2</v>
      </c>
      <c r="C26" s="905">
        <v>8.9999999999999993E-3</v>
      </c>
      <c r="D26" s="905">
        <v>3.7000000000000002E-3</v>
      </c>
      <c r="E26" s="905">
        <v>0.01</v>
      </c>
      <c r="F26" s="905">
        <v>1.7299999999999999E-2</v>
      </c>
      <c r="G26" s="905">
        <v>2.0299999999999999E-2</v>
      </c>
      <c r="H26" s="905">
        <v>2.1299999999999999E-2</v>
      </c>
      <c r="I26" s="905">
        <v>2.4299999999999999E-2</v>
      </c>
      <c r="J26" s="905">
        <v>2.9000000000000001E-2</v>
      </c>
      <c r="K26" s="905">
        <v>3.2000000000000001E-2</v>
      </c>
      <c r="L26" s="905">
        <v>3.0700000000000002E-2</v>
      </c>
      <c r="M26" s="905">
        <v>3.2000000000000001E-2</v>
      </c>
      <c r="N26" s="905">
        <v>2.9000000000000001E-2</v>
      </c>
      <c r="O26" s="905">
        <v>2.5999999999999999E-2</v>
      </c>
      <c r="P26" s="905">
        <v>2.63E-2</v>
      </c>
      <c r="Q26" s="905">
        <v>2.4299999999999999E-2</v>
      </c>
      <c r="R26" s="905">
        <v>1.9E-2</v>
      </c>
      <c r="S26" s="905">
        <v>1.4E-2</v>
      </c>
      <c r="T26" s="905">
        <v>1.2999999999999999E-2</v>
      </c>
      <c r="U26" s="905">
        <v>8.0000000000000002E-3</v>
      </c>
      <c r="V26" s="905">
        <v>7.0000000000000001E-3</v>
      </c>
      <c r="W26" s="905">
        <v>6.0000000000000001E-3</v>
      </c>
      <c r="X26" s="905">
        <v>4.0000000000000001E-3</v>
      </c>
      <c r="Y26" s="905">
        <v>2E-3</v>
      </c>
      <c r="Z26" s="905">
        <v>-3.0000000000000001E-3</v>
      </c>
      <c r="AA26" s="905">
        <v>2E-3</v>
      </c>
      <c r="AB26" s="905">
        <v>1E-3</v>
      </c>
      <c r="AC26" s="905">
        <v>2E-3</v>
      </c>
      <c r="AD26" s="905">
        <v>0</v>
      </c>
      <c r="AE26" s="905">
        <v>-1E-3</v>
      </c>
      <c r="AF26" s="905">
        <v>3.0000000000000001E-3</v>
      </c>
      <c r="AG26" s="905">
        <v>7.0000000000000001E-3</v>
      </c>
      <c r="AH26" s="905">
        <v>1.7999999999999999E-2</v>
      </c>
      <c r="AI26" s="905">
        <v>1.4999999999999999E-2</v>
      </c>
      <c r="AJ26" s="905">
        <v>1.4E-2</v>
      </c>
      <c r="AK26" s="905">
        <v>1.4E-2</v>
      </c>
      <c r="AL26" s="905">
        <v>1.2999999999999999E-2</v>
      </c>
      <c r="AM26" s="905">
        <v>1.6E-2</v>
      </c>
      <c r="AN26" s="905">
        <v>1.9E-2</v>
      </c>
      <c r="AO26" s="905">
        <v>1.9E-2</v>
      </c>
      <c r="AP26" s="905">
        <v>1.4E-2</v>
      </c>
      <c r="AQ26" s="905">
        <v>1.4E-2</v>
      </c>
      <c r="AR26" s="905">
        <v>1.01E-2</v>
      </c>
      <c r="AS26" s="905">
        <v>0.01</v>
      </c>
      <c r="AT26" s="905">
        <v>1.0999999999999999E-2</v>
      </c>
      <c r="AU26" s="905">
        <v>2E-3</v>
      </c>
      <c r="AV26" s="905">
        <v>0</v>
      </c>
      <c r="AW26" s="905">
        <v>-3.0000000000000001E-3</v>
      </c>
      <c r="AX26" s="905">
        <v>1.0999999999999999E-2</v>
      </c>
      <c r="AY26" s="905">
        <v>1.7999999999999999E-2</v>
      </c>
      <c r="AZ26" s="905">
        <v>2.8000000000000001E-2</v>
      </c>
      <c r="BA26" s="905">
        <v>4.5999999999999999E-2</v>
      </c>
      <c r="BB26" s="905">
        <v>6.0999999999999999E-2</v>
      </c>
      <c r="BC26" s="905">
        <v>0.08</v>
      </c>
      <c r="BD26" s="905">
        <v>9.3000000000000013E-2</v>
      </c>
      <c r="BE26" s="905">
        <v>0.1</v>
      </c>
      <c r="BF26" s="905">
        <v>0.08</v>
      </c>
      <c r="BG26" s="905">
        <v>6.2E-2</v>
      </c>
      <c r="BH26" s="905">
        <v>6.2E-2</v>
      </c>
      <c r="BI26" s="905">
        <v>0.05</v>
      </c>
      <c r="BJ26" s="905">
        <v>0.05</v>
      </c>
      <c r="BK26" s="1816">
        <v>0.05</v>
      </c>
      <c r="BL26" s="906">
        <f t="shared" ref="BL26:BR26" si="160">CHOOSE(MASTERSWITCH,BL27,BL28,BL29)</f>
        <v>2.2000000000000002E-2</v>
      </c>
      <c r="BM26" s="906">
        <f t="shared" si="160"/>
        <v>2.4E-2</v>
      </c>
      <c r="BN26" s="906">
        <f t="shared" si="160"/>
        <v>2.2000000000000002E-2</v>
      </c>
      <c r="BO26" s="906">
        <f t="shared" si="160"/>
        <v>2.2000000000000002E-2</v>
      </c>
      <c r="BP26" s="906">
        <f t="shared" si="160"/>
        <v>2.1000000000000001E-2</v>
      </c>
      <c r="BQ26" s="906">
        <f t="shared" si="160"/>
        <v>2.1000000000000001E-2</v>
      </c>
      <c r="BR26" s="906">
        <f t="shared" si="160"/>
        <v>2.1000000000000001E-2</v>
      </c>
      <c r="BS26" s="906">
        <f t="shared" ref="BS26:CK26" si="161">CHOOSE(MASTERSWITCH,BS27,BS28,BS29)</f>
        <v>2.1000000000000001E-2</v>
      </c>
      <c r="BT26" s="906">
        <f t="shared" si="161"/>
        <v>2.1000000000000001E-2</v>
      </c>
      <c r="BU26" s="906">
        <f t="shared" si="161"/>
        <v>2.1000000000000001E-2</v>
      </c>
      <c r="BV26" s="906">
        <f t="shared" si="161"/>
        <v>2.1000000000000001E-2</v>
      </c>
      <c r="BW26" s="906">
        <f t="shared" si="161"/>
        <v>2.1000000000000001E-2</v>
      </c>
      <c r="BX26" s="906">
        <f t="shared" si="161"/>
        <v>2.1000000000000001E-2</v>
      </c>
      <c r="BY26" s="906">
        <f t="shared" si="161"/>
        <v>2.1000000000000001E-2</v>
      </c>
      <c r="BZ26" s="906">
        <f t="shared" si="161"/>
        <v>2.1000000000000001E-2</v>
      </c>
      <c r="CA26" s="906">
        <f t="shared" si="161"/>
        <v>2.1000000000000001E-2</v>
      </c>
      <c r="CB26" s="906">
        <f t="shared" si="161"/>
        <v>2.1000000000000001E-2</v>
      </c>
      <c r="CC26" s="906">
        <f t="shared" si="161"/>
        <v>2.1000000000000001E-2</v>
      </c>
      <c r="CD26" s="906">
        <f t="shared" si="161"/>
        <v>2.1000000000000001E-2</v>
      </c>
      <c r="CE26" s="906">
        <f t="shared" si="161"/>
        <v>2.1000000000000001E-2</v>
      </c>
      <c r="CF26" s="906">
        <f t="shared" si="161"/>
        <v>2.1000000000000001E-2</v>
      </c>
      <c r="CG26" s="906">
        <f t="shared" si="161"/>
        <v>2.1000000000000001E-2</v>
      </c>
      <c r="CH26" s="906">
        <f t="shared" si="161"/>
        <v>2.1000000000000001E-2</v>
      </c>
      <c r="CI26" s="906">
        <f t="shared" si="161"/>
        <v>2.1000000000000001E-2</v>
      </c>
      <c r="CJ26" s="906">
        <f t="shared" si="161"/>
        <v>2.1000000000000001E-2</v>
      </c>
      <c r="CK26" s="906">
        <f t="shared" si="161"/>
        <v>2.1000000000000001E-2</v>
      </c>
      <c r="CL26" s="906">
        <f t="shared" ref="CL26:CP26" si="162">CHOOSE(MASTERSWITCH,CL27,CL28,CL29)</f>
        <v>2.1000000000000001E-2</v>
      </c>
      <c r="CM26" s="906">
        <f t="shared" si="162"/>
        <v>2.1000000000000001E-2</v>
      </c>
      <c r="CN26" s="906">
        <f t="shared" si="162"/>
        <v>2.1000000000000001E-2</v>
      </c>
      <c r="CO26" s="906">
        <f t="shared" si="162"/>
        <v>2.1000000000000001E-2</v>
      </c>
      <c r="CP26" s="906">
        <f t="shared" si="162"/>
        <v>2.1000000000000001E-2</v>
      </c>
      <c r="CQ26" s="906">
        <f t="shared" ref="CQ26:CU26" si="163">CHOOSE(MASTERSWITCH,CQ27,CQ28,CQ29)</f>
        <v>2.1000000000000001E-2</v>
      </c>
      <c r="CR26" s="906">
        <f t="shared" si="163"/>
        <v>2.1000000000000001E-2</v>
      </c>
      <c r="CS26" s="906">
        <f t="shared" si="163"/>
        <v>2.1000000000000001E-2</v>
      </c>
      <c r="CT26" s="906">
        <f t="shared" si="163"/>
        <v>2.1000000000000001E-2</v>
      </c>
      <c r="CU26" s="906">
        <f t="shared" si="163"/>
        <v>2.1000000000000001E-2</v>
      </c>
      <c r="CV26" s="906">
        <f t="shared" ref="CV26:CW26" si="164">CHOOSE(MASTERSWITCH,CV27,CV28,CV29)</f>
        <v>2.1000000000000001E-2</v>
      </c>
      <c r="CW26" s="906">
        <f t="shared" si="164"/>
        <v>2.1000000000000001E-2</v>
      </c>
      <c r="CX26" s="269"/>
      <c r="CY26" s="269"/>
      <c r="CZ26" s="269"/>
      <c r="DB26" s="173"/>
    </row>
    <row r="27" spans="1:106" hidden="1" outlineLevel="1">
      <c r="A27" s="86" t="s">
        <v>571</v>
      </c>
      <c r="B27" s="297">
        <f t="shared" ref="B27:AM27" si="165">B26</f>
        <v>1.6299999999999999E-2</v>
      </c>
      <c r="C27" s="297">
        <f t="shared" si="165"/>
        <v>8.9999999999999993E-3</v>
      </c>
      <c r="D27" s="297">
        <f t="shared" si="165"/>
        <v>3.7000000000000002E-3</v>
      </c>
      <c r="E27" s="297">
        <f t="shared" si="165"/>
        <v>0.01</v>
      </c>
      <c r="F27" s="297">
        <f t="shared" si="165"/>
        <v>1.7299999999999999E-2</v>
      </c>
      <c r="G27" s="297">
        <f t="shared" si="165"/>
        <v>2.0299999999999999E-2</v>
      </c>
      <c r="H27" s="297">
        <f t="shared" si="165"/>
        <v>2.1299999999999999E-2</v>
      </c>
      <c r="I27" s="297">
        <f t="shared" si="165"/>
        <v>2.4299999999999999E-2</v>
      </c>
      <c r="J27" s="297">
        <f t="shared" si="165"/>
        <v>2.9000000000000001E-2</v>
      </c>
      <c r="K27" s="297">
        <f t="shared" si="165"/>
        <v>3.2000000000000001E-2</v>
      </c>
      <c r="L27" s="297">
        <f t="shared" si="165"/>
        <v>3.0700000000000002E-2</v>
      </c>
      <c r="M27" s="297">
        <f t="shared" si="165"/>
        <v>3.2000000000000001E-2</v>
      </c>
      <c r="N27" s="297">
        <f t="shared" si="165"/>
        <v>2.9000000000000001E-2</v>
      </c>
      <c r="O27" s="297">
        <f t="shared" si="165"/>
        <v>2.5999999999999999E-2</v>
      </c>
      <c r="P27" s="297">
        <f t="shared" si="165"/>
        <v>2.63E-2</v>
      </c>
      <c r="Q27" s="297">
        <f t="shared" si="165"/>
        <v>2.4299999999999999E-2</v>
      </c>
      <c r="R27" s="297">
        <f t="shared" si="165"/>
        <v>1.9E-2</v>
      </c>
      <c r="S27" s="297">
        <f t="shared" si="165"/>
        <v>1.4E-2</v>
      </c>
      <c r="T27" s="297">
        <f t="shared" si="165"/>
        <v>1.2999999999999999E-2</v>
      </c>
      <c r="U27" s="562">
        <f t="shared" si="165"/>
        <v>8.0000000000000002E-3</v>
      </c>
      <c r="V27" s="562">
        <f t="shared" si="165"/>
        <v>7.0000000000000001E-3</v>
      </c>
      <c r="W27" s="562">
        <f t="shared" si="165"/>
        <v>6.0000000000000001E-3</v>
      </c>
      <c r="X27" s="562">
        <f t="shared" si="165"/>
        <v>4.0000000000000001E-3</v>
      </c>
      <c r="Y27" s="562">
        <f t="shared" si="165"/>
        <v>2E-3</v>
      </c>
      <c r="Z27" s="562">
        <f t="shared" si="165"/>
        <v>-3.0000000000000001E-3</v>
      </c>
      <c r="AA27" s="562">
        <f t="shared" si="165"/>
        <v>2E-3</v>
      </c>
      <c r="AB27" s="562">
        <f t="shared" si="165"/>
        <v>1E-3</v>
      </c>
      <c r="AC27" s="562">
        <f t="shared" si="165"/>
        <v>2E-3</v>
      </c>
      <c r="AD27" s="562">
        <f t="shared" si="165"/>
        <v>0</v>
      </c>
      <c r="AE27" s="562">
        <f t="shared" si="165"/>
        <v>-1E-3</v>
      </c>
      <c r="AF27" s="562">
        <f t="shared" si="165"/>
        <v>3.0000000000000001E-3</v>
      </c>
      <c r="AG27" s="562">
        <f t="shared" si="165"/>
        <v>7.0000000000000001E-3</v>
      </c>
      <c r="AH27" s="562">
        <f t="shared" si="165"/>
        <v>1.7999999999999999E-2</v>
      </c>
      <c r="AI27" s="562">
        <f t="shared" si="165"/>
        <v>1.4999999999999999E-2</v>
      </c>
      <c r="AJ27" s="562">
        <f t="shared" si="165"/>
        <v>1.4E-2</v>
      </c>
      <c r="AK27" s="562">
        <f t="shared" si="165"/>
        <v>1.4E-2</v>
      </c>
      <c r="AL27" s="562">
        <f t="shared" si="165"/>
        <v>1.2999999999999999E-2</v>
      </c>
      <c r="AM27" s="562">
        <f t="shared" si="165"/>
        <v>1.6E-2</v>
      </c>
      <c r="AN27" s="562">
        <f t="shared" ref="AN27:AS27" si="166">AN26</f>
        <v>1.9E-2</v>
      </c>
      <c r="AO27" s="562">
        <f t="shared" si="166"/>
        <v>1.9E-2</v>
      </c>
      <c r="AP27" s="562">
        <f t="shared" si="166"/>
        <v>1.4E-2</v>
      </c>
      <c r="AQ27" s="562">
        <f t="shared" si="166"/>
        <v>1.4E-2</v>
      </c>
      <c r="AR27" s="562">
        <f t="shared" si="166"/>
        <v>1.01E-2</v>
      </c>
      <c r="AS27" s="562">
        <f t="shared" si="166"/>
        <v>0.01</v>
      </c>
      <c r="AT27" s="562">
        <f t="shared" ref="AT27:BB27" si="167">AT26</f>
        <v>1.0999999999999999E-2</v>
      </c>
      <c r="AU27" s="562">
        <f t="shared" si="167"/>
        <v>2E-3</v>
      </c>
      <c r="AV27" s="562">
        <f t="shared" si="167"/>
        <v>0</v>
      </c>
      <c r="AW27" s="562">
        <f t="shared" si="167"/>
        <v>-3.0000000000000001E-3</v>
      </c>
      <c r="AX27" s="562">
        <f t="shared" si="167"/>
        <v>1.0999999999999999E-2</v>
      </c>
      <c r="AY27" s="562">
        <f t="shared" si="167"/>
        <v>1.7999999999999999E-2</v>
      </c>
      <c r="AZ27" s="562">
        <f t="shared" si="167"/>
        <v>2.8000000000000001E-2</v>
      </c>
      <c r="BA27" s="562">
        <f t="shared" si="167"/>
        <v>4.5999999999999999E-2</v>
      </c>
      <c r="BB27" s="562">
        <f t="shared" si="167"/>
        <v>6.0999999999999999E-2</v>
      </c>
      <c r="BC27" s="562">
        <f t="shared" ref="BC27:BG27" si="168">BC26</f>
        <v>0.08</v>
      </c>
      <c r="BD27" s="562">
        <f t="shared" si="168"/>
        <v>9.3000000000000013E-2</v>
      </c>
      <c r="BE27" s="562">
        <f t="shared" si="168"/>
        <v>0.1</v>
      </c>
      <c r="BF27" s="562">
        <f t="shared" si="168"/>
        <v>0.08</v>
      </c>
      <c r="BG27" s="562">
        <f t="shared" si="168"/>
        <v>6.2E-2</v>
      </c>
      <c r="BH27" s="562">
        <f t="shared" ref="BH27" si="169">BH26</f>
        <v>6.2E-2</v>
      </c>
      <c r="BI27" s="562">
        <f t="shared" ref="BI27" si="170">BI26</f>
        <v>0.05</v>
      </c>
      <c r="BJ27" s="562">
        <f t="shared" ref="BJ27:BK27" si="171">BJ26</f>
        <v>0.05</v>
      </c>
      <c r="BK27" s="1817">
        <f t="shared" si="171"/>
        <v>0.05</v>
      </c>
      <c r="BL27" s="298">
        <f t="shared" ref="BL27:BQ27" si="172">BL28+$CY27</f>
        <v>2.2000000000000002E-2</v>
      </c>
      <c r="BM27" s="298">
        <f t="shared" si="172"/>
        <v>2.4E-2</v>
      </c>
      <c r="BN27" s="298">
        <f t="shared" si="172"/>
        <v>2.2000000000000002E-2</v>
      </c>
      <c r="BO27" s="298">
        <f t="shared" si="172"/>
        <v>2.2000000000000002E-2</v>
      </c>
      <c r="BP27" s="298">
        <f t="shared" si="172"/>
        <v>2.1000000000000001E-2</v>
      </c>
      <c r="BQ27" s="298">
        <f t="shared" si="172"/>
        <v>2.1000000000000001E-2</v>
      </c>
      <c r="BR27" s="298">
        <f t="shared" ref="BR27:CU27" si="173">BR28+$CZ27</f>
        <v>2.1000000000000001E-2</v>
      </c>
      <c r="BS27" s="298">
        <f t="shared" si="173"/>
        <v>2.1000000000000001E-2</v>
      </c>
      <c r="BT27" s="298">
        <f t="shared" si="173"/>
        <v>2.1000000000000001E-2</v>
      </c>
      <c r="BU27" s="298">
        <f t="shared" si="173"/>
        <v>2.1000000000000001E-2</v>
      </c>
      <c r="BV27" s="298">
        <f t="shared" si="173"/>
        <v>2.1000000000000001E-2</v>
      </c>
      <c r="BW27" s="298">
        <f t="shared" si="173"/>
        <v>2.1000000000000001E-2</v>
      </c>
      <c r="BX27" s="298">
        <f t="shared" si="173"/>
        <v>2.1000000000000001E-2</v>
      </c>
      <c r="BY27" s="298">
        <f t="shared" si="173"/>
        <v>2.1000000000000001E-2</v>
      </c>
      <c r="BZ27" s="298">
        <f t="shared" si="173"/>
        <v>2.1000000000000001E-2</v>
      </c>
      <c r="CA27" s="298">
        <f t="shared" si="173"/>
        <v>2.1000000000000001E-2</v>
      </c>
      <c r="CB27" s="298">
        <f t="shared" si="173"/>
        <v>2.1000000000000001E-2</v>
      </c>
      <c r="CC27" s="298">
        <f t="shared" si="173"/>
        <v>2.1000000000000001E-2</v>
      </c>
      <c r="CD27" s="298">
        <f t="shared" si="173"/>
        <v>2.1000000000000001E-2</v>
      </c>
      <c r="CE27" s="298">
        <f t="shared" si="173"/>
        <v>2.1000000000000001E-2</v>
      </c>
      <c r="CF27" s="298">
        <f t="shared" si="173"/>
        <v>2.1000000000000001E-2</v>
      </c>
      <c r="CG27" s="298">
        <f t="shared" si="173"/>
        <v>2.1000000000000001E-2</v>
      </c>
      <c r="CH27" s="298">
        <f t="shared" si="173"/>
        <v>2.1000000000000001E-2</v>
      </c>
      <c r="CI27" s="298">
        <f t="shared" si="173"/>
        <v>2.1000000000000001E-2</v>
      </c>
      <c r="CJ27" s="298">
        <f t="shared" si="173"/>
        <v>2.1000000000000001E-2</v>
      </c>
      <c r="CK27" s="298">
        <f t="shared" si="173"/>
        <v>2.1000000000000001E-2</v>
      </c>
      <c r="CL27" s="298">
        <f t="shared" si="173"/>
        <v>2.1000000000000001E-2</v>
      </c>
      <c r="CM27" s="298">
        <f t="shared" si="173"/>
        <v>2.1000000000000001E-2</v>
      </c>
      <c r="CN27" s="298">
        <f t="shared" si="173"/>
        <v>2.1000000000000001E-2</v>
      </c>
      <c r="CO27" s="298">
        <f t="shared" si="173"/>
        <v>2.1000000000000001E-2</v>
      </c>
      <c r="CP27" s="298">
        <f t="shared" si="173"/>
        <v>2.1000000000000001E-2</v>
      </c>
      <c r="CQ27" s="298">
        <f t="shared" si="173"/>
        <v>2.1000000000000001E-2</v>
      </c>
      <c r="CR27" s="298">
        <f t="shared" si="173"/>
        <v>2.1000000000000001E-2</v>
      </c>
      <c r="CS27" s="298">
        <f t="shared" si="173"/>
        <v>2.1000000000000001E-2</v>
      </c>
      <c r="CT27" s="298">
        <f t="shared" si="173"/>
        <v>2.1000000000000001E-2</v>
      </c>
      <c r="CU27" s="298">
        <f t="shared" si="173"/>
        <v>2.1000000000000001E-2</v>
      </c>
      <c r="CV27" s="298">
        <f t="shared" ref="CV27:CW27" si="174">CV28+$CZ27</f>
        <v>2.1000000000000001E-2</v>
      </c>
      <c r="CW27" s="298">
        <f t="shared" si="174"/>
        <v>2.1000000000000001E-2</v>
      </c>
      <c r="CX27" s="269"/>
      <c r="CY27" s="402">
        <v>0</v>
      </c>
      <c r="CZ27" s="402">
        <v>0</v>
      </c>
    </row>
    <row r="28" spans="1:106" hidden="1" outlineLevel="1">
      <c r="A28" s="86" t="s">
        <v>200</v>
      </c>
      <c r="B28" s="297">
        <f t="shared" ref="B28:AM28" si="175">B26</f>
        <v>1.6299999999999999E-2</v>
      </c>
      <c r="C28" s="297">
        <f t="shared" si="175"/>
        <v>8.9999999999999993E-3</v>
      </c>
      <c r="D28" s="297">
        <f t="shared" si="175"/>
        <v>3.7000000000000002E-3</v>
      </c>
      <c r="E28" s="297">
        <f t="shared" si="175"/>
        <v>0.01</v>
      </c>
      <c r="F28" s="297">
        <f t="shared" si="175"/>
        <v>1.7299999999999999E-2</v>
      </c>
      <c r="G28" s="297">
        <f t="shared" si="175"/>
        <v>2.0299999999999999E-2</v>
      </c>
      <c r="H28" s="297">
        <f t="shared" si="175"/>
        <v>2.1299999999999999E-2</v>
      </c>
      <c r="I28" s="297">
        <f t="shared" si="175"/>
        <v>2.4299999999999999E-2</v>
      </c>
      <c r="J28" s="297">
        <f t="shared" si="175"/>
        <v>2.9000000000000001E-2</v>
      </c>
      <c r="K28" s="297">
        <f t="shared" si="175"/>
        <v>3.2000000000000001E-2</v>
      </c>
      <c r="L28" s="297">
        <f t="shared" si="175"/>
        <v>3.0700000000000002E-2</v>
      </c>
      <c r="M28" s="297">
        <f t="shared" si="175"/>
        <v>3.2000000000000001E-2</v>
      </c>
      <c r="N28" s="297">
        <f t="shared" si="175"/>
        <v>2.9000000000000001E-2</v>
      </c>
      <c r="O28" s="297">
        <f t="shared" si="175"/>
        <v>2.5999999999999999E-2</v>
      </c>
      <c r="P28" s="297">
        <f t="shared" si="175"/>
        <v>2.63E-2</v>
      </c>
      <c r="Q28" s="297">
        <f t="shared" si="175"/>
        <v>2.4299999999999999E-2</v>
      </c>
      <c r="R28" s="297">
        <f t="shared" si="175"/>
        <v>1.9E-2</v>
      </c>
      <c r="S28" s="297">
        <f t="shared" si="175"/>
        <v>1.4E-2</v>
      </c>
      <c r="T28" s="297">
        <f t="shared" si="175"/>
        <v>1.2999999999999999E-2</v>
      </c>
      <c r="U28" s="84">
        <f t="shared" si="175"/>
        <v>8.0000000000000002E-3</v>
      </c>
      <c r="V28" s="84">
        <f t="shared" si="175"/>
        <v>7.0000000000000001E-3</v>
      </c>
      <c r="W28" s="84">
        <f t="shared" si="175"/>
        <v>6.0000000000000001E-3</v>
      </c>
      <c r="X28" s="84">
        <f t="shared" si="175"/>
        <v>4.0000000000000001E-3</v>
      </c>
      <c r="Y28" s="84">
        <f t="shared" si="175"/>
        <v>2E-3</v>
      </c>
      <c r="Z28" s="84">
        <f t="shared" si="175"/>
        <v>-3.0000000000000001E-3</v>
      </c>
      <c r="AA28" s="84">
        <f t="shared" si="175"/>
        <v>2E-3</v>
      </c>
      <c r="AB28" s="84">
        <f t="shared" si="175"/>
        <v>1E-3</v>
      </c>
      <c r="AC28" s="84">
        <f t="shared" si="175"/>
        <v>2E-3</v>
      </c>
      <c r="AD28" s="84">
        <f t="shared" si="175"/>
        <v>0</v>
      </c>
      <c r="AE28" s="84">
        <f t="shared" si="175"/>
        <v>-1E-3</v>
      </c>
      <c r="AF28" s="84">
        <f t="shared" si="175"/>
        <v>3.0000000000000001E-3</v>
      </c>
      <c r="AG28" s="84">
        <f t="shared" si="175"/>
        <v>7.0000000000000001E-3</v>
      </c>
      <c r="AH28" s="84">
        <f t="shared" si="175"/>
        <v>1.7999999999999999E-2</v>
      </c>
      <c r="AI28" s="84">
        <f t="shared" si="175"/>
        <v>1.4999999999999999E-2</v>
      </c>
      <c r="AJ28" s="84">
        <f t="shared" si="175"/>
        <v>1.4E-2</v>
      </c>
      <c r="AK28" s="84">
        <f t="shared" si="175"/>
        <v>1.4E-2</v>
      </c>
      <c r="AL28" s="84">
        <f t="shared" si="175"/>
        <v>1.2999999999999999E-2</v>
      </c>
      <c r="AM28" s="84">
        <f t="shared" si="175"/>
        <v>1.6E-2</v>
      </c>
      <c r="AN28" s="84">
        <f t="shared" ref="AN28:AS28" si="176">AN26</f>
        <v>1.9E-2</v>
      </c>
      <c r="AO28" s="84">
        <f t="shared" si="176"/>
        <v>1.9E-2</v>
      </c>
      <c r="AP28" s="84">
        <f t="shared" si="176"/>
        <v>1.4E-2</v>
      </c>
      <c r="AQ28" s="84">
        <f t="shared" si="176"/>
        <v>1.4E-2</v>
      </c>
      <c r="AR28" s="84">
        <f t="shared" si="176"/>
        <v>1.01E-2</v>
      </c>
      <c r="AS28" s="84">
        <f t="shared" si="176"/>
        <v>0.01</v>
      </c>
      <c r="AT28" s="84">
        <f t="shared" ref="AT28:BB28" si="177">AT26</f>
        <v>1.0999999999999999E-2</v>
      </c>
      <c r="AU28" s="84">
        <f t="shared" si="177"/>
        <v>2E-3</v>
      </c>
      <c r="AV28" s="84">
        <f t="shared" si="177"/>
        <v>0</v>
      </c>
      <c r="AW28" s="84">
        <f t="shared" si="177"/>
        <v>-3.0000000000000001E-3</v>
      </c>
      <c r="AX28" s="84">
        <f t="shared" si="177"/>
        <v>1.0999999999999999E-2</v>
      </c>
      <c r="AY28" s="84">
        <f t="shared" si="177"/>
        <v>1.7999999999999999E-2</v>
      </c>
      <c r="AZ28" s="84">
        <f t="shared" si="177"/>
        <v>2.8000000000000001E-2</v>
      </c>
      <c r="BA28" s="84">
        <f t="shared" si="177"/>
        <v>4.5999999999999999E-2</v>
      </c>
      <c r="BB28" s="84">
        <f t="shared" si="177"/>
        <v>6.0999999999999999E-2</v>
      </c>
      <c r="BC28" s="84">
        <f t="shared" ref="BC28:BG28" si="178">BC26</f>
        <v>0.08</v>
      </c>
      <c r="BD28" s="84">
        <f t="shared" si="178"/>
        <v>9.3000000000000013E-2</v>
      </c>
      <c r="BE28" s="84">
        <f t="shared" si="178"/>
        <v>0.1</v>
      </c>
      <c r="BF28" s="84">
        <f t="shared" si="178"/>
        <v>0.08</v>
      </c>
      <c r="BG28" s="84">
        <f t="shared" si="178"/>
        <v>6.2E-2</v>
      </c>
      <c r="BH28" s="84">
        <f t="shared" ref="BH28" si="179">BH26</f>
        <v>6.2E-2</v>
      </c>
      <c r="BI28" s="84">
        <f t="shared" ref="BI28" si="180">BI26</f>
        <v>0.05</v>
      </c>
      <c r="BJ28" s="84">
        <f t="shared" ref="BJ28:BK28" si="181">BJ26</f>
        <v>0.05</v>
      </c>
      <c r="BK28" s="801">
        <f t="shared" si="181"/>
        <v>0.05</v>
      </c>
      <c r="BL28" s="560">
        <v>2.2000000000000002E-2</v>
      </c>
      <c r="BM28" s="560">
        <v>2.4E-2</v>
      </c>
      <c r="BN28" s="560">
        <v>2.2000000000000002E-2</v>
      </c>
      <c r="BO28" s="560">
        <v>2.2000000000000002E-2</v>
      </c>
      <c r="BP28" s="560">
        <v>2.1000000000000001E-2</v>
      </c>
      <c r="BQ28" s="560">
        <v>2.1000000000000001E-2</v>
      </c>
      <c r="BR28" s="1784">
        <f>+BQ28</f>
        <v>2.1000000000000001E-2</v>
      </c>
      <c r="BS28" s="1784">
        <f>+BR28</f>
        <v>2.1000000000000001E-2</v>
      </c>
      <c r="BT28" s="1784">
        <f t="shared" ref="BT28:CL28" si="182">+BS28</f>
        <v>2.1000000000000001E-2</v>
      </c>
      <c r="BU28" s="1784">
        <f t="shared" si="182"/>
        <v>2.1000000000000001E-2</v>
      </c>
      <c r="BV28" s="1784">
        <f t="shared" si="182"/>
        <v>2.1000000000000001E-2</v>
      </c>
      <c r="BW28" s="1784">
        <f t="shared" si="182"/>
        <v>2.1000000000000001E-2</v>
      </c>
      <c r="BX28" s="1784">
        <f t="shared" si="182"/>
        <v>2.1000000000000001E-2</v>
      </c>
      <c r="BY28" s="1784">
        <f t="shared" si="182"/>
        <v>2.1000000000000001E-2</v>
      </c>
      <c r="BZ28" s="1784">
        <f t="shared" si="182"/>
        <v>2.1000000000000001E-2</v>
      </c>
      <c r="CA28" s="1784">
        <f t="shared" si="182"/>
        <v>2.1000000000000001E-2</v>
      </c>
      <c r="CB28" s="1784">
        <f t="shared" si="182"/>
        <v>2.1000000000000001E-2</v>
      </c>
      <c r="CC28" s="1784">
        <f t="shared" si="182"/>
        <v>2.1000000000000001E-2</v>
      </c>
      <c r="CD28" s="1784">
        <f t="shared" si="182"/>
        <v>2.1000000000000001E-2</v>
      </c>
      <c r="CE28" s="1784">
        <f t="shared" si="182"/>
        <v>2.1000000000000001E-2</v>
      </c>
      <c r="CF28" s="1784">
        <f t="shared" si="182"/>
        <v>2.1000000000000001E-2</v>
      </c>
      <c r="CG28" s="1784">
        <f t="shared" si="182"/>
        <v>2.1000000000000001E-2</v>
      </c>
      <c r="CH28" s="1784">
        <f t="shared" si="182"/>
        <v>2.1000000000000001E-2</v>
      </c>
      <c r="CI28" s="1784">
        <f t="shared" si="182"/>
        <v>2.1000000000000001E-2</v>
      </c>
      <c r="CJ28" s="1784">
        <f t="shared" si="182"/>
        <v>2.1000000000000001E-2</v>
      </c>
      <c r="CK28" s="1784">
        <f t="shared" si="182"/>
        <v>2.1000000000000001E-2</v>
      </c>
      <c r="CL28" s="1784">
        <f t="shared" si="182"/>
        <v>2.1000000000000001E-2</v>
      </c>
      <c r="CM28" s="1784">
        <f t="shared" ref="CM28" si="183">+CL28</f>
        <v>2.1000000000000001E-2</v>
      </c>
      <c r="CN28" s="1784">
        <f t="shared" ref="CN28" si="184">+CM28</f>
        <v>2.1000000000000001E-2</v>
      </c>
      <c r="CO28" s="1784">
        <f t="shared" ref="CO28" si="185">+CN28</f>
        <v>2.1000000000000001E-2</v>
      </c>
      <c r="CP28" s="1784">
        <f t="shared" ref="CP28" si="186">+CO28</f>
        <v>2.1000000000000001E-2</v>
      </c>
      <c r="CQ28" s="1784">
        <f t="shared" ref="CQ28" si="187">+CP28</f>
        <v>2.1000000000000001E-2</v>
      </c>
      <c r="CR28" s="1784">
        <f t="shared" ref="CR28" si="188">+CQ28</f>
        <v>2.1000000000000001E-2</v>
      </c>
      <c r="CS28" s="1784">
        <f t="shared" ref="CS28" si="189">+CR28</f>
        <v>2.1000000000000001E-2</v>
      </c>
      <c r="CT28" s="1784">
        <f t="shared" ref="CT28" si="190">+CS28</f>
        <v>2.1000000000000001E-2</v>
      </c>
      <c r="CU28" s="1784">
        <f t="shared" ref="CU28" si="191">+CT28</f>
        <v>2.1000000000000001E-2</v>
      </c>
      <c r="CV28" s="1784">
        <f t="shared" ref="CV28" si="192">+CU28</f>
        <v>2.1000000000000001E-2</v>
      </c>
      <c r="CW28" s="1784">
        <f t="shared" ref="CW28" si="193">+CV28</f>
        <v>2.1000000000000001E-2</v>
      </c>
      <c r="CX28" s="269"/>
      <c r="CY28" s="269"/>
      <c r="CZ28" s="269"/>
    </row>
    <row r="29" spans="1:106" hidden="1" outlineLevel="1">
      <c r="A29" s="86" t="s">
        <v>202</v>
      </c>
      <c r="B29" s="297">
        <f t="shared" ref="B29:AM29" si="194">B26</f>
        <v>1.6299999999999999E-2</v>
      </c>
      <c r="C29" s="297">
        <f t="shared" si="194"/>
        <v>8.9999999999999993E-3</v>
      </c>
      <c r="D29" s="297">
        <f t="shared" si="194"/>
        <v>3.7000000000000002E-3</v>
      </c>
      <c r="E29" s="297">
        <f t="shared" si="194"/>
        <v>0.01</v>
      </c>
      <c r="F29" s="297">
        <f t="shared" si="194"/>
        <v>1.7299999999999999E-2</v>
      </c>
      <c r="G29" s="297">
        <f t="shared" si="194"/>
        <v>2.0299999999999999E-2</v>
      </c>
      <c r="H29" s="297">
        <f t="shared" si="194"/>
        <v>2.1299999999999999E-2</v>
      </c>
      <c r="I29" s="297">
        <f t="shared" si="194"/>
        <v>2.4299999999999999E-2</v>
      </c>
      <c r="J29" s="297">
        <f t="shared" si="194"/>
        <v>2.9000000000000001E-2</v>
      </c>
      <c r="K29" s="297">
        <f t="shared" si="194"/>
        <v>3.2000000000000001E-2</v>
      </c>
      <c r="L29" s="297">
        <f t="shared" si="194"/>
        <v>3.0700000000000002E-2</v>
      </c>
      <c r="M29" s="297">
        <f t="shared" si="194"/>
        <v>3.2000000000000001E-2</v>
      </c>
      <c r="N29" s="297">
        <f t="shared" si="194"/>
        <v>2.9000000000000001E-2</v>
      </c>
      <c r="O29" s="297">
        <f t="shared" si="194"/>
        <v>2.5999999999999999E-2</v>
      </c>
      <c r="P29" s="297">
        <f t="shared" si="194"/>
        <v>2.63E-2</v>
      </c>
      <c r="Q29" s="297">
        <f t="shared" si="194"/>
        <v>2.4299999999999999E-2</v>
      </c>
      <c r="R29" s="297">
        <f t="shared" si="194"/>
        <v>1.9E-2</v>
      </c>
      <c r="S29" s="297">
        <f t="shared" si="194"/>
        <v>1.4E-2</v>
      </c>
      <c r="T29" s="297">
        <f t="shared" si="194"/>
        <v>1.2999999999999999E-2</v>
      </c>
      <c r="U29" s="562">
        <f t="shared" si="194"/>
        <v>8.0000000000000002E-3</v>
      </c>
      <c r="V29" s="562">
        <f t="shared" si="194"/>
        <v>7.0000000000000001E-3</v>
      </c>
      <c r="W29" s="562">
        <f t="shared" si="194"/>
        <v>6.0000000000000001E-3</v>
      </c>
      <c r="X29" s="562">
        <f t="shared" si="194"/>
        <v>4.0000000000000001E-3</v>
      </c>
      <c r="Y29" s="562">
        <f t="shared" si="194"/>
        <v>2E-3</v>
      </c>
      <c r="Z29" s="562">
        <f t="shared" si="194"/>
        <v>-3.0000000000000001E-3</v>
      </c>
      <c r="AA29" s="562">
        <f t="shared" si="194"/>
        <v>2E-3</v>
      </c>
      <c r="AB29" s="562">
        <f t="shared" si="194"/>
        <v>1E-3</v>
      </c>
      <c r="AC29" s="562">
        <f t="shared" si="194"/>
        <v>2E-3</v>
      </c>
      <c r="AD29" s="562">
        <f t="shared" si="194"/>
        <v>0</v>
      </c>
      <c r="AE29" s="562">
        <f t="shared" si="194"/>
        <v>-1E-3</v>
      </c>
      <c r="AF29" s="562">
        <f t="shared" si="194"/>
        <v>3.0000000000000001E-3</v>
      </c>
      <c r="AG29" s="562">
        <f t="shared" si="194"/>
        <v>7.0000000000000001E-3</v>
      </c>
      <c r="AH29" s="562">
        <f t="shared" si="194"/>
        <v>1.7999999999999999E-2</v>
      </c>
      <c r="AI29" s="562">
        <f t="shared" si="194"/>
        <v>1.4999999999999999E-2</v>
      </c>
      <c r="AJ29" s="562">
        <f t="shared" si="194"/>
        <v>1.4E-2</v>
      </c>
      <c r="AK29" s="562">
        <f t="shared" si="194"/>
        <v>1.4E-2</v>
      </c>
      <c r="AL29" s="562">
        <f t="shared" si="194"/>
        <v>1.2999999999999999E-2</v>
      </c>
      <c r="AM29" s="562">
        <f t="shared" si="194"/>
        <v>1.6E-2</v>
      </c>
      <c r="AN29" s="562">
        <f t="shared" ref="AN29:AS29" si="195">AN26</f>
        <v>1.9E-2</v>
      </c>
      <c r="AO29" s="562">
        <f t="shared" si="195"/>
        <v>1.9E-2</v>
      </c>
      <c r="AP29" s="562">
        <f t="shared" si="195"/>
        <v>1.4E-2</v>
      </c>
      <c r="AQ29" s="562">
        <f t="shared" si="195"/>
        <v>1.4E-2</v>
      </c>
      <c r="AR29" s="562">
        <f t="shared" si="195"/>
        <v>1.01E-2</v>
      </c>
      <c r="AS29" s="562">
        <f t="shared" si="195"/>
        <v>0.01</v>
      </c>
      <c r="AT29" s="562">
        <f t="shared" ref="AT29:BB29" si="196">AT26</f>
        <v>1.0999999999999999E-2</v>
      </c>
      <c r="AU29" s="562">
        <f t="shared" si="196"/>
        <v>2E-3</v>
      </c>
      <c r="AV29" s="562">
        <f t="shared" si="196"/>
        <v>0</v>
      </c>
      <c r="AW29" s="562">
        <f t="shared" si="196"/>
        <v>-3.0000000000000001E-3</v>
      </c>
      <c r="AX29" s="562">
        <f t="shared" si="196"/>
        <v>1.0999999999999999E-2</v>
      </c>
      <c r="AY29" s="562">
        <f t="shared" si="196"/>
        <v>1.7999999999999999E-2</v>
      </c>
      <c r="AZ29" s="562">
        <f t="shared" si="196"/>
        <v>2.8000000000000001E-2</v>
      </c>
      <c r="BA29" s="562">
        <f t="shared" si="196"/>
        <v>4.5999999999999999E-2</v>
      </c>
      <c r="BB29" s="562">
        <f t="shared" si="196"/>
        <v>6.0999999999999999E-2</v>
      </c>
      <c r="BC29" s="562">
        <f t="shared" ref="BC29:BG29" si="197">BC26</f>
        <v>0.08</v>
      </c>
      <c r="BD29" s="562">
        <f t="shared" si="197"/>
        <v>9.3000000000000013E-2</v>
      </c>
      <c r="BE29" s="562">
        <f t="shared" si="197"/>
        <v>0.1</v>
      </c>
      <c r="BF29" s="562">
        <f t="shared" si="197"/>
        <v>0.08</v>
      </c>
      <c r="BG29" s="562">
        <f t="shared" si="197"/>
        <v>6.2E-2</v>
      </c>
      <c r="BH29" s="562">
        <f t="shared" ref="BH29" si="198">BH26</f>
        <v>6.2E-2</v>
      </c>
      <c r="BI29" s="562">
        <f t="shared" ref="BI29" si="199">BI26</f>
        <v>0.05</v>
      </c>
      <c r="BJ29" s="562">
        <f t="shared" ref="BJ29:BK29" si="200">BJ26</f>
        <v>0.05</v>
      </c>
      <c r="BK29" s="1817">
        <f t="shared" si="200"/>
        <v>0.05</v>
      </c>
      <c r="BL29" s="298">
        <f t="shared" ref="BL29:BQ29" si="201">BL28+$CY29</f>
        <v>2.2000000000000002E-2</v>
      </c>
      <c r="BM29" s="298">
        <f t="shared" si="201"/>
        <v>2.4E-2</v>
      </c>
      <c r="BN29" s="298">
        <f t="shared" si="201"/>
        <v>2.2000000000000002E-2</v>
      </c>
      <c r="BO29" s="298">
        <f t="shared" si="201"/>
        <v>2.2000000000000002E-2</v>
      </c>
      <c r="BP29" s="298">
        <f t="shared" si="201"/>
        <v>2.1000000000000001E-2</v>
      </c>
      <c r="BQ29" s="298">
        <f t="shared" si="201"/>
        <v>2.1000000000000001E-2</v>
      </c>
      <c r="BR29" s="298">
        <f t="shared" ref="BR29" si="202">BR28+$CZ29</f>
        <v>2.1000000000000001E-2</v>
      </c>
      <c r="BS29" s="298">
        <f t="shared" ref="BS29:CU29" si="203">BS28+$CZ29</f>
        <v>2.1000000000000001E-2</v>
      </c>
      <c r="BT29" s="298">
        <f t="shared" si="203"/>
        <v>2.1000000000000001E-2</v>
      </c>
      <c r="BU29" s="298">
        <f t="shared" si="203"/>
        <v>2.1000000000000001E-2</v>
      </c>
      <c r="BV29" s="298">
        <f t="shared" si="203"/>
        <v>2.1000000000000001E-2</v>
      </c>
      <c r="BW29" s="298">
        <f t="shared" si="203"/>
        <v>2.1000000000000001E-2</v>
      </c>
      <c r="BX29" s="298">
        <f t="shared" si="203"/>
        <v>2.1000000000000001E-2</v>
      </c>
      <c r="BY29" s="298">
        <f t="shared" si="203"/>
        <v>2.1000000000000001E-2</v>
      </c>
      <c r="BZ29" s="298">
        <f t="shared" si="203"/>
        <v>2.1000000000000001E-2</v>
      </c>
      <c r="CA29" s="298">
        <f t="shared" si="203"/>
        <v>2.1000000000000001E-2</v>
      </c>
      <c r="CB29" s="298">
        <f t="shared" si="203"/>
        <v>2.1000000000000001E-2</v>
      </c>
      <c r="CC29" s="298">
        <f t="shared" si="203"/>
        <v>2.1000000000000001E-2</v>
      </c>
      <c r="CD29" s="298">
        <f t="shared" si="203"/>
        <v>2.1000000000000001E-2</v>
      </c>
      <c r="CE29" s="298">
        <f t="shared" si="203"/>
        <v>2.1000000000000001E-2</v>
      </c>
      <c r="CF29" s="298">
        <f t="shared" si="203"/>
        <v>2.1000000000000001E-2</v>
      </c>
      <c r="CG29" s="298">
        <f t="shared" si="203"/>
        <v>2.1000000000000001E-2</v>
      </c>
      <c r="CH29" s="298">
        <f t="shared" si="203"/>
        <v>2.1000000000000001E-2</v>
      </c>
      <c r="CI29" s="298">
        <f t="shared" si="203"/>
        <v>2.1000000000000001E-2</v>
      </c>
      <c r="CJ29" s="298">
        <f t="shared" si="203"/>
        <v>2.1000000000000001E-2</v>
      </c>
      <c r="CK29" s="298">
        <f t="shared" si="203"/>
        <v>2.1000000000000001E-2</v>
      </c>
      <c r="CL29" s="298">
        <f t="shared" si="203"/>
        <v>2.1000000000000001E-2</v>
      </c>
      <c r="CM29" s="298">
        <f t="shared" si="203"/>
        <v>2.1000000000000001E-2</v>
      </c>
      <c r="CN29" s="298">
        <f t="shared" si="203"/>
        <v>2.1000000000000001E-2</v>
      </c>
      <c r="CO29" s="298">
        <f t="shared" si="203"/>
        <v>2.1000000000000001E-2</v>
      </c>
      <c r="CP29" s="298">
        <f t="shared" si="203"/>
        <v>2.1000000000000001E-2</v>
      </c>
      <c r="CQ29" s="298">
        <f t="shared" si="203"/>
        <v>2.1000000000000001E-2</v>
      </c>
      <c r="CR29" s="298">
        <f t="shared" si="203"/>
        <v>2.1000000000000001E-2</v>
      </c>
      <c r="CS29" s="298">
        <f t="shared" si="203"/>
        <v>2.1000000000000001E-2</v>
      </c>
      <c r="CT29" s="298">
        <f t="shared" si="203"/>
        <v>2.1000000000000001E-2</v>
      </c>
      <c r="CU29" s="298">
        <f t="shared" si="203"/>
        <v>2.1000000000000001E-2</v>
      </c>
      <c r="CV29" s="298">
        <f t="shared" ref="CV29:CW29" si="204">CV28+$CZ29</f>
        <v>2.1000000000000001E-2</v>
      </c>
      <c r="CW29" s="298">
        <f t="shared" si="204"/>
        <v>2.1000000000000001E-2</v>
      </c>
      <c r="CX29" s="269"/>
      <c r="CY29" s="402">
        <v>0</v>
      </c>
      <c r="CZ29" s="402">
        <v>0</v>
      </c>
    </row>
    <row r="30" spans="1:106" hidden="1" outlineLevel="1">
      <c r="A30" s="883"/>
      <c r="B30" s="399"/>
      <c r="C30" s="399"/>
      <c r="D30" s="399"/>
      <c r="E30" s="399"/>
      <c r="F30" s="399"/>
      <c r="G30" s="399"/>
      <c r="H30" s="399"/>
      <c r="I30" s="399"/>
      <c r="J30" s="399"/>
      <c r="K30" s="399"/>
      <c r="L30" s="399"/>
      <c r="M30" s="269"/>
      <c r="N30" s="269"/>
      <c r="O30" s="269"/>
      <c r="P30" s="269"/>
      <c r="Q30" s="269"/>
      <c r="R30" s="269"/>
      <c r="S30" s="269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  <c r="AF30" s="269"/>
      <c r="AG30" s="269"/>
      <c r="AH30" s="269"/>
      <c r="AI30" s="269"/>
      <c r="AJ30" s="269"/>
      <c r="AK30" s="269"/>
      <c r="AL30" s="269"/>
      <c r="AM30" s="269"/>
      <c r="AN30" s="269"/>
      <c r="AO30" s="269"/>
      <c r="AP30" s="269"/>
      <c r="AQ30" s="269"/>
      <c r="AR30" s="269"/>
      <c r="AS30" s="269"/>
      <c r="AT30" s="269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1815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  <c r="CK30" s="296"/>
      <c r="CL30" s="296"/>
      <c r="CM30" s="296"/>
      <c r="CN30" s="296"/>
      <c r="CO30" s="296"/>
      <c r="CP30" s="296"/>
      <c r="CQ30" s="296"/>
      <c r="CR30" s="296"/>
      <c r="CS30" s="296"/>
      <c r="CT30" s="296"/>
      <c r="CU30" s="296"/>
      <c r="CV30" s="296"/>
      <c r="CW30" s="296"/>
      <c r="CX30" s="269"/>
      <c r="CY30" s="269"/>
      <c r="CZ30" s="269"/>
    </row>
    <row r="31" spans="1:106" hidden="1" outlineLevel="1">
      <c r="A31" s="691" t="s">
        <v>957</v>
      </c>
      <c r="B31" s="570">
        <v>1.39005</v>
      </c>
      <c r="C31" s="570">
        <v>1.3228500000000001</v>
      </c>
      <c r="D31" s="570">
        <v>1.4131</v>
      </c>
      <c r="E31" s="570">
        <v>1.4561500000000001</v>
      </c>
      <c r="F31" s="570">
        <v>1.43475</v>
      </c>
      <c r="G31" s="570">
        <v>1.35375</v>
      </c>
      <c r="H31" s="570">
        <v>1.2455000000000001</v>
      </c>
      <c r="I31" s="570">
        <v>1.3746499999999999</v>
      </c>
      <c r="J31" s="570">
        <v>1.3362000000000001</v>
      </c>
      <c r="K31" s="570">
        <v>1.4146000000000001</v>
      </c>
      <c r="L31" s="570">
        <v>1.44825</v>
      </c>
      <c r="M31" s="570">
        <v>1.3273999999999999</v>
      </c>
      <c r="N31" s="570">
        <v>1.2981499999999999</v>
      </c>
      <c r="O31" s="570">
        <v>1.3301000000000001</v>
      </c>
      <c r="P31" s="570">
        <v>1.2584</v>
      </c>
      <c r="Q31" s="570">
        <v>1.2905</v>
      </c>
      <c r="R31" s="570">
        <v>1.3184</v>
      </c>
      <c r="S31" s="570">
        <v>1.2847</v>
      </c>
      <c r="T31" s="570">
        <v>1.30355</v>
      </c>
      <c r="U31" s="570">
        <v>1.3525499999999999</v>
      </c>
      <c r="V31" s="570">
        <v>1.37825</v>
      </c>
      <c r="W31" s="570">
        <v>1.3691500000000001</v>
      </c>
      <c r="X31" s="570">
        <v>1.26325</v>
      </c>
      <c r="Y31" s="570">
        <v>1.2100500000000001</v>
      </c>
      <c r="Z31" s="570">
        <v>1.0740000000000001</v>
      </c>
      <c r="AA31" s="570">
        <v>1.1142000000000001</v>
      </c>
      <c r="AB31" s="570">
        <v>1.11625</v>
      </c>
      <c r="AC31" s="570">
        <v>1.0863</v>
      </c>
      <c r="AD31" s="570">
        <v>1.1395500000000001</v>
      </c>
      <c r="AE31" s="570">
        <v>1.1299999999999999</v>
      </c>
      <c r="AF31" s="570">
        <v>1.1599999999999999</v>
      </c>
      <c r="AG31" s="570">
        <v>1.05</v>
      </c>
      <c r="AH31" s="570">
        <v>1.05</v>
      </c>
      <c r="AI31" s="570">
        <v>1.17</v>
      </c>
      <c r="AJ31" s="570">
        <v>1.19</v>
      </c>
      <c r="AK31" s="570">
        <v>1.22</v>
      </c>
      <c r="AL31" s="570">
        <v>1.25</v>
      </c>
      <c r="AM31" s="570">
        <v>1.21</v>
      </c>
      <c r="AN31" s="570">
        <v>1.18</v>
      </c>
      <c r="AO31" s="570">
        <v>1.1599999999999999</v>
      </c>
      <c r="AP31" s="570">
        <v>1.1599999999999999</v>
      </c>
      <c r="AQ31" s="570">
        <v>1.17</v>
      </c>
      <c r="AR31" s="570">
        <v>1.1000000000000001</v>
      </c>
      <c r="AS31" s="570">
        <v>1.1299999999999999</v>
      </c>
      <c r="AT31" s="570">
        <v>1.1599999999999999</v>
      </c>
      <c r="AU31" s="570">
        <v>1.18</v>
      </c>
      <c r="AV31" s="570">
        <v>1.17</v>
      </c>
      <c r="AW31" s="570">
        <v>1.1599999999999999</v>
      </c>
      <c r="AX31" s="570">
        <v>1.17</v>
      </c>
      <c r="AY31" s="570">
        <v>1.18</v>
      </c>
      <c r="AZ31" s="570">
        <v>1.19</v>
      </c>
      <c r="BA31" s="570">
        <v>1.2</v>
      </c>
      <c r="BB31" s="570">
        <v>1.1215828125</v>
      </c>
      <c r="BC31" s="570">
        <v>1.06447538461538</v>
      </c>
      <c r="BD31" s="570">
        <v>1.0065696969697</v>
      </c>
      <c r="BE31" s="570">
        <v>1.02186615384615</v>
      </c>
      <c r="BF31" s="570">
        <v>1.07298153846154</v>
      </c>
      <c r="BG31" s="570">
        <v>1.08868769230769</v>
      </c>
      <c r="BH31" s="570">
        <v>1.08773846153846</v>
      </c>
      <c r="BI31" s="570">
        <v>1.0762323076923099</v>
      </c>
      <c r="BJ31" s="570">
        <v>1.0857246153846101</v>
      </c>
      <c r="BK31" s="1820">
        <v>1.0765030769230799</v>
      </c>
      <c r="BL31" s="884">
        <f t="shared" ref="BL31:BR31" si="205">CHOOSE(MASTERSWITCH,BL32,BL33,BL34)</f>
        <v>1.0900000000000001</v>
      </c>
      <c r="BM31" s="884">
        <f t="shared" si="205"/>
        <v>1.0900000000000001</v>
      </c>
      <c r="BN31" s="884">
        <f t="shared" si="205"/>
        <v>1.1000000000000001</v>
      </c>
      <c r="BO31" s="884">
        <f t="shared" si="205"/>
        <v>1.1000000000000001</v>
      </c>
      <c r="BP31" s="884">
        <f t="shared" si="205"/>
        <v>1.1000000000000001</v>
      </c>
      <c r="BQ31" s="884">
        <f t="shared" si="205"/>
        <v>1.1100000000000001</v>
      </c>
      <c r="BR31" s="884">
        <f t="shared" si="205"/>
        <v>1.1099102250489239</v>
      </c>
      <c r="BS31" s="884">
        <f t="shared" ref="BS31:CK31" si="206">CHOOSE(MASTERSWITCH,BS32,BS33,BS34)</f>
        <v>1.1099102250489239</v>
      </c>
      <c r="BT31" s="884">
        <f t="shared" si="206"/>
        <v>1.1099102250489239</v>
      </c>
      <c r="BU31" s="884">
        <f t="shared" si="206"/>
        <v>1.120000318003914</v>
      </c>
      <c r="BV31" s="884">
        <f t="shared" si="206"/>
        <v>1.1199097342437752</v>
      </c>
      <c r="BW31" s="884">
        <f t="shared" si="206"/>
        <v>1.1199097342437752</v>
      </c>
      <c r="BX31" s="884">
        <f t="shared" si="206"/>
        <v>1.1199097342437752</v>
      </c>
      <c r="BY31" s="884">
        <f t="shared" si="206"/>
        <v>1.1300907318278093</v>
      </c>
      <c r="BZ31" s="884">
        <f t="shared" si="206"/>
        <v>1.129999331971808</v>
      </c>
      <c r="CA31" s="884">
        <f t="shared" si="206"/>
        <v>1.129999331971808</v>
      </c>
      <c r="CB31" s="884">
        <f t="shared" si="206"/>
        <v>1.129999331971808</v>
      </c>
      <c r="CC31" s="884">
        <f t="shared" si="206"/>
        <v>1.1402720531715516</v>
      </c>
      <c r="CD31" s="884">
        <f t="shared" si="206"/>
        <v>1.140179829867239</v>
      </c>
      <c r="CE31" s="884">
        <f t="shared" si="206"/>
        <v>1.140179829867239</v>
      </c>
      <c r="CF31" s="884">
        <f t="shared" si="206"/>
        <v>1.140179829867239</v>
      </c>
      <c r="CG31" s="884">
        <f t="shared" si="206"/>
        <v>1.15054510104785</v>
      </c>
      <c r="CH31" s="884">
        <f t="shared" si="206"/>
        <v>1.1504520468765369</v>
      </c>
      <c r="CI31" s="884">
        <f t="shared" si="206"/>
        <v>1.1504520468765369</v>
      </c>
      <c r="CJ31" s="884">
        <f t="shared" si="206"/>
        <v>1.1504520468765369</v>
      </c>
      <c r="CK31" s="884">
        <f t="shared" si="206"/>
        <v>1.1609107018481417</v>
      </c>
      <c r="CL31" s="884">
        <f t="shared" ref="CL31:CP31" si="207">CHOOSE(MASTERSWITCH,CL32,CL33,CL34)</f>
        <v>1.1608168093243019</v>
      </c>
      <c r="CM31" s="884">
        <f t="shared" si="207"/>
        <v>1.1608168093243019</v>
      </c>
      <c r="CN31" s="884">
        <f t="shared" si="207"/>
        <v>1.1608168093243019</v>
      </c>
      <c r="CO31" s="884">
        <f t="shared" si="207"/>
        <v>1.1713696894090682</v>
      </c>
      <c r="CP31" s="884">
        <f t="shared" si="207"/>
        <v>1.171274950979736</v>
      </c>
      <c r="CQ31" s="884">
        <f t="shared" ref="CQ31:CU31" si="208">CHOOSE(MASTERSWITCH,CQ32,CQ33,CQ34)</f>
        <v>1.171274950979736</v>
      </c>
      <c r="CR31" s="884">
        <f t="shared" si="208"/>
        <v>1.171274950979736</v>
      </c>
      <c r="CS31" s="884">
        <f t="shared" si="208"/>
        <v>1.1819229050795517</v>
      </c>
      <c r="CT31" s="884">
        <f t="shared" si="208"/>
        <v>1.1818273131237145</v>
      </c>
      <c r="CU31" s="884">
        <f t="shared" si="208"/>
        <v>1.1818273131237145</v>
      </c>
      <c r="CV31" s="884">
        <f t="shared" ref="CV31:CW31" si="209">CHOOSE(MASTERSWITCH,CV32,CV33,CV34)</f>
        <v>1.1818273131237145</v>
      </c>
      <c r="CW31" s="884">
        <f t="shared" si="209"/>
        <v>1.1925711977884754</v>
      </c>
      <c r="CX31" s="718"/>
      <c r="CY31" s="269"/>
      <c r="CZ31" s="269"/>
      <c r="DB31" s="1067"/>
    </row>
    <row r="32" spans="1:106" hidden="1" outlineLevel="1">
      <c r="A32" s="86" t="s">
        <v>571</v>
      </c>
      <c r="B32" s="885">
        <f t="shared" ref="B32:AM32" si="210">B31</f>
        <v>1.39005</v>
      </c>
      <c r="C32" s="885">
        <f t="shared" si="210"/>
        <v>1.3228500000000001</v>
      </c>
      <c r="D32" s="885">
        <f t="shared" si="210"/>
        <v>1.4131</v>
      </c>
      <c r="E32" s="885">
        <f t="shared" si="210"/>
        <v>1.4561500000000001</v>
      </c>
      <c r="F32" s="885">
        <f t="shared" si="210"/>
        <v>1.43475</v>
      </c>
      <c r="G32" s="885">
        <f t="shared" si="210"/>
        <v>1.35375</v>
      </c>
      <c r="H32" s="885">
        <f t="shared" si="210"/>
        <v>1.2455000000000001</v>
      </c>
      <c r="I32" s="885">
        <f t="shared" si="210"/>
        <v>1.3746499999999999</v>
      </c>
      <c r="J32" s="885">
        <f t="shared" si="210"/>
        <v>1.3362000000000001</v>
      </c>
      <c r="K32" s="885">
        <f t="shared" si="210"/>
        <v>1.4146000000000001</v>
      </c>
      <c r="L32" s="885">
        <f t="shared" si="210"/>
        <v>1.44825</v>
      </c>
      <c r="M32" s="885">
        <f t="shared" si="210"/>
        <v>1.3273999999999999</v>
      </c>
      <c r="N32" s="885">
        <f t="shared" si="210"/>
        <v>1.2981499999999999</v>
      </c>
      <c r="O32" s="885">
        <f t="shared" si="210"/>
        <v>1.3301000000000001</v>
      </c>
      <c r="P32" s="885">
        <f t="shared" si="210"/>
        <v>1.2584</v>
      </c>
      <c r="Q32" s="885">
        <f t="shared" si="210"/>
        <v>1.2905</v>
      </c>
      <c r="R32" s="885">
        <f t="shared" si="210"/>
        <v>1.3184</v>
      </c>
      <c r="S32" s="885">
        <f t="shared" si="210"/>
        <v>1.2847</v>
      </c>
      <c r="T32" s="885">
        <f t="shared" si="210"/>
        <v>1.30355</v>
      </c>
      <c r="U32" s="885">
        <f t="shared" si="210"/>
        <v>1.3525499999999999</v>
      </c>
      <c r="V32" s="885">
        <f t="shared" si="210"/>
        <v>1.37825</v>
      </c>
      <c r="W32" s="885">
        <f t="shared" si="210"/>
        <v>1.3691500000000001</v>
      </c>
      <c r="X32" s="885">
        <f t="shared" si="210"/>
        <v>1.26325</v>
      </c>
      <c r="Y32" s="885">
        <f t="shared" si="210"/>
        <v>1.2100500000000001</v>
      </c>
      <c r="Z32" s="885">
        <f t="shared" si="210"/>
        <v>1.0740000000000001</v>
      </c>
      <c r="AA32" s="885">
        <f t="shared" si="210"/>
        <v>1.1142000000000001</v>
      </c>
      <c r="AB32" s="885">
        <f t="shared" si="210"/>
        <v>1.11625</v>
      </c>
      <c r="AC32" s="885">
        <f t="shared" si="210"/>
        <v>1.0863</v>
      </c>
      <c r="AD32" s="885">
        <f t="shared" si="210"/>
        <v>1.1395500000000001</v>
      </c>
      <c r="AE32" s="885">
        <f t="shared" si="210"/>
        <v>1.1299999999999999</v>
      </c>
      <c r="AF32" s="885">
        <f t="shared" si="210"/>
        <v>1.1599999999999999</v>
      </c>
      <c r="AG32" s="885">
        <f t="shared" si="210"/>
        <v>1.05</v>
      </c>
      <c r="AH32" s="885">
        <f t="shared" si="210"/>
        <v>1.05</v>
      </c>
      <c r="AI32" s="885">
        <f t="shared" si="210"/>
        <v>1.17</v>
      </c>
      <c r="AJ32" s="885">
        <f t="shared" si="210"/>
        <v>1.19</v>
      </c>
      <c r="AK32" s="885">
        <f t="shared" si="210"/>
        <v>1.22</v>
      </c>
      <c r="AL32" s="885">
        <f t="shared" si="210"/>
        <v>1.25</v>
      </c>
      <c r="AM32" s="885">
        <f t="shared" si="210"/>
        <v>1.21</v>
      </c>
      <c r="AN32" s="885">
        <f t="shared" ref="AN32:AS32" si="211">AN31</f>
        <v>1.18</v>
      </c>
      <c r="AO32" s="885">
        <f t="shared" si="211"/>
        <v>1.1599999999999999</v>
      </c>
      <c r="AP32" s="885">
        <f t="shared" si="211"/>
        <v>1.1599999999999999</v>
      </c>
      <c r="AQ32" s="885">
        <f t="shared" si="211"/>
        <v>1.17</v>
      </c>
      <c r="AR32" s="885">
        <f t="shared" si="211"/>
        <v>1.1000000000000001</v>
      </c>
      <c r="AS32" s="885">
        <f t="shared" si="211"/>
        <v>1.1299999999999999</v>
      </c>
      <c r="AT32" s="885">
        <f t="shared" ref="AT32:BB32" si="212">AT31</f>
        <v>1.1599999999999999</v>
      </c>
      <c r="AU32" s="885">
        <f t="shared" si="212"/>
        <v>1.18</v>
      </c>
      <c r="AV32" s="885">
        <f t="shared" si="212"/>
        <v>1.17</v>
      </c>
      <c r="AW32" s="885">
        <f t="shared" si="212"/>
        <v>1.1599999999999999</v>
      </c>
      <c r="AX32" s="885">
        <f t="shared" si="212"/>
        <v>1.17</v>
      </c>
      <c r="AY32" s="885">
        <f t="shared" si="212"/>
        <v>1.18</v>
      </c>
      <c r="AZ32" s="885">
        <f t="shared" si="212"/>
        <v>1.19</v>
      </c>
      <c r="BA32" s="885">
        <f t="shared" si="212"/>
        <v>1.2</v>
      </c>
      <c r="BB32" s="885">
        <f t="shared" si="212"/>
        <v>1.1215828125</v>
      </c>
      <c r="BC32" s="885">
        <f t="shared" ref="BC32" si="213">BC31</f>
        <v>1.06447538461538</v>
      </c>
      <c r="BD32" s="885">
        <f t="shared" ref="BD32:BI32" si="214">BD31</f>
        <v>1.0065696969697</v>
      </c>
      <c r="BE32" s="885">
        <f t="shared" si="214"/>
        <v>1.02186615384615</v>
      </c>
      <c r="BF32" s="885">
        <f t="shared" si="214"/>
        <v>1.07298153846154</v>
      </c>
      <c r="BG32" s="885">
        <f t="shared" si="214"/>
        <v>1.08868769230769</v>
      </c>
      <c r="BH32" s="885">
        <f t="shared" si="214"/>
        <v>1.08773846153846</v>
      </c>
      <c r="BI32" s="885">
        <f t="shared" si="214"/>
        <v>1.0762323076923099</v>
      </c>
      <c r="BJ32" s="885">
        <f t="shared" ref="BJ32:BK32" si="215">BJ31</f>
        <v>1.0857246153846101</v>
      </c>
      <c r="BK32" s="1821">
        <f t="shared" si="215"/>
        <v>1.0765030769230799</v>
      </c>
      <c r="BL32" s="886">
        <f t="shared" ref="BL32:BQ32" si="216">BL33+$CY32</f>
        <v>1.0900000000000001</v>
      </c>
      <c r="BM32" s="886">
        <f t="shared" si="216"/>
        <v>1.0900000000000001</v>
      </c>
      <c r="BN32" s="886">
        <f t="shared" si="216"/>
        <v>1.1000000000000001</v>
      </c>
      <c r="BO32" s="886">
        <f t="shared" si="216"/>
        <v>1.1000000000000001</v>
      </c>
      <c r="BP32" s="886">
        <f t="shared" si="216"/>
        <v>1.1000000000000001</v>
      </c>
      <c r="BQ32" s="886">
        <f t="shared" si="216"/>
        <v>1.1100000000000001</v>
      </c>
      <c r="BR32" s="886">
        <f t="shared" ref="BR32:CU32" si="217">BR33+$CZ32</f>
        <v>1.1099102250489239</v>
      </c>
      <c r="BS32" s="886">
        <f t="shared" si="217"/>
        <v>1.1099102250489239</v>
      </c>
      <c r="BT32" s="886">
        <f t="shared" si="217"/>
        <v>1.1099102250489239</v>
      </c>
      <c r="BU32" s="886">
        <f t="shared" si="217"/>
        <v>1.120000318003914</v>
      </c>
      <c r="BV32" s="886">
        <f t="shared" si="217"/>
        <v>1.1199097342437752</v>
      </c>
      <c r="BW32" s="886">
        <f t="shared" si="217"/>
        <v>1.1199097342437752</v>
      </c>
      <c r="BX32" s="886">
        <f t="shared" si="217"/>
        <v>1.1199097342437752</v>
      </c>
      <c r="BY32" s="886">
        <f t="shared" si="217"/>
        <v>1.1300907318278093</v>
      </c>
      <c r="BZ32" s="886">
        <f t="shared" si="217"/>
        <v>1.129999331971808</v>
      </c>
      <c r="CA32" s="886">
        <f t="shared" si="217"/>
        <v>1.129999331971808</v>
      </c>
      <c r="CB32" s="886">
        <f t="shared" si="217"/>
        <v>1.129999331971808</v>
      </c>
      <c r="CC32" s="886">
        <f t="shared" si="217"/>
        <v>1.1402720531715516</v>
      </c>
      <c r="CD32" s="886">
        <f t="shared" si="217"/>
        <v>1.140179829867239</v>
      </c>
      <c r="CE32" s="886">
        <f t="shared" si="217"/>
        <v>1.140179829867239</v>
      </c>
      <c r="CF32" s="886">
        <f t="shared" si="217"/>
        <v>1.140179829867239</v>
      </c>
      <c r="CG32" s="886">
        <f t="shared" si="217"/>
        <v>1.15054510104785</v>
      </c>
      <c r="CH32" s="886">
        <f t="shared" si="217"/>
        <v>1.1504520468765369</v>
      </c>
      <c r="CI32" s="886">
        <f t="shared" si="217"/>
        <v>1.1504520468765369</v>
      </c>
      <c r="CJ32" s="886">
        <f t="shared" si="217"/>
        <v>1.1504520468765369</v>
      </c>
      <c r="CK32" s="886">
        <f t="shared" si="217"/>
        <v>1.1609107018481417</v>
      </c>
      <c r="CL32" s="886">
        <f t="shared" si="217"/>
        <v>1.1608168093243019</v>
      </c>
      <c r="CM32" s="886">
        <f t="shared" si="217"/>
        <v>1.1608168093243019</v>
      </c>
      <c r="CN32" s="886">
        <f t="shared" si="217"/>
        <v>1.1608168093243019</v>
      </c>
      <c r="CO32" s="886">
        <f t="shared" si="217"/>
        <v>1.1713696894090682</v>
      </c>
      <c r="CP32" s="886">
        <f t="shared" si="217"/>
        <v>1.171274950979736</v>
      </c>
      <c r="CQ32" s="886">
        <f t="shared" si="217"/>
        <v>1.171274950979736</v>
      </c>
      <c r="CR32" s="886">
        <f t="shared" si="217"/>
        <v>1.171274950979736</v>
      </c>
      <c r="CS32" s="886">
        <f t="shared" si="217"/>
        <v>1.1819229050795517</v>
      </c>
      <c r="CT32" s="886">
        <f t="shared" si="217"/>
        <v>1.1818273131237145</v>
      </c>
      <c r="CU32" s="886">
        <f t="shared" si="217"/>
        <v>1.1818273131237145</v>
      </c>
      <c r="CV32" s="886">
        <f t="shared" ref="CV32:CW32" si="218">CV33+$CZ32</f>
        <v>1.1818273131237145</v>
      </c>
      <c r="CW32" s="886">
        <f t="shared" si="218"/>
        <v>1.1925711977884754</v>
      </c>
      <c r="CX32" s="718"/>
      <c r="CY32" s="402">
        <v>0</v>
      </c>
      <c r="CZ32" s="402">
        <v>0</v>
      </c>
    </row>
    <row r="33" spans="1:106" hidden="1" outlineLevel="1">
      <c r="A33" s="86" t="s">
        <v>200</v>
      </c>
      <c r="B33" s="887">
        <f t="shared" ref="B33:AM33" si="219">B31</f>
        <v>1.39005</v>
      </c>
      <c r="C33" s="887">
        <f t="shared" si="219"/>
        <v>1.3228500000000001</v>
      </c>
      <c r="D33" s="887">
        <f t="shared" si="219"/>
        <v>1.4131</v>
      </c>
      <c r="E33" s="887">
        <f t="shared" si="219"/>
        <v>1.4561500000000001</v>
      </c>
      <c r="F33" s="887">
        <f t="shared" si="219"/>
        <v>1.43475</v>
      </c>
      <c r="G33" s="887">
        <f t="shared" si="219"/>
        <v>1.35375</v>
      </c>
      <c r="H33" s="887">
        <f t="shared" si="219"/>
        <v>1.2455000000000001</v>
      </c>
      <c r="I33" s="887">
        <f t="shared" si="219"/>
        <v>1.3746499999999999</v>
      </c>
      <c r="J33" s="887">
        <f t="shared" si="219"/>
        <v>1.3362000000000001</v>
      </c>
      <c r="K33" s="887">
        <f t="shared" si="219"/>
        <v>1.4146000000000001</v>
      </c>
      <c r="L33" s="887">
        <f t="shared" si="219"/>
        <v>1.44825</v>
      </c>
      <c r="M33" s="887">
        <f t="shared" si="219"/>
        <v>1.3273999999999999</v>
      </c>
      <c r="N33" s="887">
        <f t="shared" si="219"/>
        <v>1.2981499999999999</v>
      </c>
      <c r="O33" s="887">
        <f t="shared" si="219"/>
        <v>1.3301000000000001</v>
      </c>
      <c r="P33" s="887">
        <f t="shared" si="219"/>
        <v>1.2584</v>
      </c>
      <c r="Q33" s="887">
        <f t="shared" si="219"/>
        <v>1.2905</v>
      </c>
      <c r="R33" s="887">
        <f t="shared" si="219"/>
        <v>1.3184</v>
      </c>
      <c r="S33" s="887">
        <f t="shared" si="219"/>
        <v>1.2847</v>
      </c>
      <c r="T33" s="887">
        <f t="shared" si="219"/>
        <v>1.30355</v>
      </c>
      <c r="U33" s="887">
        <f t="shared" si="219"/>
        <v>1.3525499999999999</v>
      </c>
      <c r="V33" s="887">
        <f t="shared" si="219"/>
        <v>1.37825</v>
      </c>
      <c r="W33" s="887">
        <f t="shared" si="219"/>
        <v>1.3691500000000001</v>
      </c>
      <c r="X33" s="887">
        <f t="shared" si="219"/>
        <v>1.26325</v>
      </c>
      <c r="Y33" s="887">
        <f t="shared" si="219"/>
        <v>1.2100500000000001</v>
      </c>
      <c r="Z33" s="887">
        <f t="shared" si="219"/>
        <v>1.0740000000000001</v>
      </c>
      <c r="AA33" s="887">
        <f t="shared" si="219"/>
        <v>1.1142000000000001</v>
      </c>
      <c r="AB33" s="887">
        <f t="shared" si="219"/>
        <v>1.11625</v>
      </c>
      <c r="AC33" s="887">
        <f t="shared" si="219"/>
        <v>1.0863</v>
      </c>
      <c r="AD33" s="887">
        <f t="shared" si="219"/>
        <v>1.1395500000000001</v>
      </c>
      <c r="AE33" s="887">
        <f t="shared" si="219"/>
        <v>1.1299999999999999</v>
      </c>
      <c r="AF33" s="887">
        <f t="shared" si="219"/>
        <v>1.1599999999999999</v>
      </c>
      <c r="AG33" s="887">
        <f t="shared" si="219"/>
        <v>1.05</v>
      </c>
      <c r="AH33" s="887">
        <f t="shared" si="219"/>
        <v>1.05</v>
      </c>
      <c r="AI33" s="887">
        <f t="shared" si="219"/>
        <v>1.17</v>
      </c>
      <c r="AJ33" s="887">
        <f t="shared" si="219"/>
        <v>1.19</v>
      </c>
      <c r="AK33" s="887">
        <f t="shared" si="219"/>
        <v>1.22</v>
      </c>
      <c r="AL33" s="887">
        <f t="shared" si="219"/>
        <v>1.25</v>
      </c>
      <c r="AM33" s="887">
        <f t="shared" si="219"/>
        <v>1.21</v>
      </c>
      <c r="AN33" s="887">
        <f t="shared" ref="AN33:AS33" si="220">AN31</f>
        <v>1.18</v>
      </c>
      <c r="AO33" s="887">
        <f t="shared" si="220"/>
        <v>1.1599999999999999</v>
      </c>
      <c r="AP33" s="887">
        <f t="shared" si="220"/>
        <v>1.1599999999999999</v>
      </c>
      <c r="AQ33" s="887">
        <f t="shared" si="220"/>
        <v>1.17</v>
      </c>
      <c r="AR33" s="887">
        <f t="shared" si="220"/>
        <v>1.1000000000000001</v>
      </c>
      <c r="AS33" s="887">
        <f t="shared" si="220"/>
        <v>1.1299999999999999</v>
      </c>
      <c r="AT33" s="887">
        <f t="shared" ref="AT33:BB33" si="221">AT31</f>
        <v>1.1599999999999999</v>
      </c>
      <c r="AU33" s="887">
        <f t="shared" si="221"/>
        <v>1.18</v>
      </c>
      <c r="AV33" s="887">
        <f t="shared" si="221"/>
        <v>1.17</v>
      </c>
      <c r="AW33" s="887">
        <f t="shared" si="221"/>
        <v>1.1599999999999999</v>
      </c>
      <c r="AX33" s="887">
        <f t="shared" si="221"/>
        <v>1.17</v>
      </c>
      <c r="AY33" s="887">
        <f t="shared" si="221"/>
        <v>1.18</v>
      </c>
      <c r="AZ33" s="887">
        <f t="shared" si="221"/>
        <v>1.19</v>
      </c>
      <c r="BA33" s="887">
        <f t="shared" si="221"/>
        <v>1.2</v>
      </c>
      <c r="BB33" s="887">
        <f t="shared" si="221"/>
        <v>1.1215828125</v>
      </c>
      <c r="BC33" s="887">
        <f t="shared" ref="BC33" si="222">BC31</f>
        <v>1.06447538461538</v>
      </c>
      <c r="BD33" s="887">
        <f t="shared" ref="BD33:BH33" si="223">BD31</f>
        <v>1.0065696969697</v>
      </c>
      <c r="BE33" s="887">
        <f t="shared" si="223"/>
        <v>1.02186615384615</v>
      </c>
      <c r="BF33" s="887">
        <f t="shared" si="223"/>
        <v>1.07298153846154</v>
      </c>
      <c r="BG33" s="887">
        <f t="shared" si="223"/>
        <v>1.08868769230769</v>
      </c>
      <c r="BH33" s="887">
        <f t="shared" si="223"/>
        <v>1.08773846153846</v>
      </c>
      <c r="BI33" s="887">
        <v>1.0762323076923099</v>
      </c>
      <c r="BJ33" s="887">
        <v>1.0857246153846101</v>
      </c>
      <c r="BK33" s="1822">
        <v>1.0765030769230799</v>
      </c>
      <c r="BL33" s="1941">
        <f t="shared" ref="BL33:BQ33" si="224">BL373</f>
        <v>1.0900000000000001</v>
      </c>
      <c r="BM33" s="1941">
        <f t="shared" si="224"/>
        <v>1.0900000000000001</v>
      </c>
      <c r="BN33" s="1941">
        <f t="shared" si="224"/>
        <v>1.1000000000000001</v>
      </c>
      <c r="BO33" s="1941">
        <f t="shared" si="224"/>
        <v>1.1000000000000001</v>
      </c>
      <c r="BP33" s="1941">
        <f t="shared" si="224"/>
        <v>1.1000000000000001</v>
      </c>
      <c r="BQ33" s="1941">
        <f t="shared" si="224"/>
        <v>1.1100000000000001</v>
      </c>
      <c r="BR33" s="1887">
        <f t="shared" ref="BR33:BS33" si="225">+BN33*(1+BR38)/(1+BR$75)</f>
        <v>1.1099102250489239</v>
      </c>
      <c r="BS33" s="1887">
        <f t="shared" si="225"/>
        <v>1.1099102250489239</v>
      </c>
      <c r="BT33" s="1887">
        <f t="shared" ref="BT33" si="226">+BP33*(1+BT38)/(1+BT$75)</f>
        <v>1.1099102250489239</v>
      </c>
      <c r="BU33" s="1887">
        <f t="shared" ref="BU33" si="227">+BQ33*(1+BU38)/(1+BU$75)</f>
        <v>1.120000318003914</v>
      </c>
      <c r="BV33" s="1887">
        <f t="shared" ref="BV33" si="228">+BR33*(1+BV38)/(1+BV$75)</f>
        <v>1.1199097342437752</v>
      </c>
      <c r="BW33" s="1887">
        <f t="shared" ref="BW33" si="229">+BS33*(1+BW38)/(1+BW$75)</f>
        <v>1.1199097342437752</v>
      </c>
      <c r="BX33" s="1887">
        <f t="shared" ref="BX33" si="230">+BT33*(1+BX38)/(1+BX$75)</f>
        <v>1.1199097342437752</v>
      </c>
      <c r="BY33" s="1887">
        <f t="shared" ref="BY33" si="231">+BU33*(1+BY38)/(1+BY$75)</f>
        <v>1.1300907318278093</v>
      </c>
      <c r="BZ33" s="1887">
        <f t="shared" ref="BZ33" si="232">+BV33*(1+BZ38)/(1+BZ$75)</f>
        <v>1.129999331971808</v>
      </c>
      <c r="CA33" s="1887">
        <f t="shared" ref="CA33" si="233">+BW33*(1+CA38)/(1+CA$75)</f>
        <v>1.129999331971808</v>
      </c>
      <c r="CB33" s="1887">
        <f t="shared" ref="CB33" si="234">+BX33*(1+CB38)/(1+CB$75)</f>
        <v>1.129999331971808</v>
      </c>
      <c r="CC33" s="1887">
        <f t="shared" ref="CC33" si="235">+BY33*(1+CC38)/(1+CC$75)</f>
        <v>1.1402720531715516</v>
      </c>
      <c r="CD33" s="1887">
        <f t="shared" ref="CD33" si="236">+BZ33*(1+CD38)/(1+CD$75)</f>
        <v>1.140179829867239</v>
      </c>
      <c r="CE33" s="1887">
        <f t="shared" ref="CE33" si="237">+CA33*(1+CE38)/(1+CE$75)</f>
        <v>1.140179829867239</v>
      </c>
      <c r="CF33" s="1887">
        <f t="shared" ref="CF33" si="238">+CB33*(1+CF38)/(1+CF$75)</f>
        <v>1.140179829867239</v>
      </c>
      <c r="CG33" s="1887">
        <f t="shared" ref="CG33" si="239">+CC33*(1+CG38)/(1+CG$75)</f>
        <v>1.15054510104785</v>
      </c>
      <c r="CH33" s="1887">
        <f t="shared" ref="CH33" si="240">+CD33*(1+CH38)/(1+CH$75)</f>
        <v>1.1504520468765369</v>
      </c>
      <c r="CI33" s="1887">
        <f t="shared" ref="CI33" si="241">+CE33*(1+CI38)/(1+CI$75)</f>
        <v>1.1504520468765369</v>
      </c>
      <c r="CJ33" s="1887">
        <f t="shared" ref="CJ33" si="242">+CF33*(1+CJ38)/(1+CJ$75)</f>
        <v>1.1504520468765369</v>
      </c>
      <c r="CK33" s="1887">
        <f t="shared" ref="CK33:CL33" si="243">+CG33*(1+CK38)/(1+CK$75)</f>
        <v>1.1609107018481417</v>
      </c>
      <c r="CL33" s="1887">
        <f t="shared" si="243"/>
        <v>1.1608168093243019</v>
      </c>
      <c r="CM33" s="1887">
        <f t="shared" ref="CM33" si="244">+CI33*(1+CM38)/(1+CM$75)</f>
        <v>1.1608168093243019</v>
      </c>
      <c r="CN33" s="1887">
        <f t="shared" ref="CN33" si="245">+CJ33*(1+CN38)/(1+CN$75)</f>
        <v>1.1608168093243019</v>
      </c>
      <c r="CO33" s="1887">
        <f t="shared" ref="CO33" si="246">+CK33*(1+CO38)/(1+CO$75)</f>
        <v>1.1713696894090682</v>
      </c>
      <c r="CP33" s="1887">
        <f t="shared" ref="CP33" si="247">+CL33*(1+CP38)/(1+CP$75)</f>
        <v>1.171274950979736</v>
      </c>
      <c r="CQ33" s="1887">
        <f t="shared" ref="CQ33" si="248">+CM33*(1+CQ38)/(1+CQ$75)</f>
        <v>1.171274950979736</v>
      </c>
      <c r="CR33" s="1887">
        <f t="shared" ref="CR33" si="249">+CN33*(1+CR38)/(1+CR$75)</f>
        <v>1.171274950979736</v>
      </c>
      <c r="CS33" s="1887">
        <f t="shared" ref="CS33" si="250">+CO33*(1+CS38)/(1+CS$75)</f>
        <v>1.1819229050795517</v>
      </c>
      <c r="CT33" s="1887">
        <f t="shared" ref="CT33" si="251">+CP33*(1+CT38)/(1+CT$75)</f>
        <v>1.1818273131237145</v>
      </c>
      <c r="CU33" s="1887">
        <f t="shared" ref="CU33" si="252">+CQ33*(1+CU38)/(1+CU$75)</f>
        <v>1.1818273131237145</v>
      </c>
      <c r="CV33" s="1887">
        <f t="shared" ref="CV33" si="253">+CR33*(1+CV38)/(1+CV$75)</f>
        <v>1.1818273131237145</v>
      </c>
      <c r="CW33" s="1887">
        <f t="shared" ref="CW33" si="254">+CS33*(1+CW38)/(1+CW$75)</f>
        <v>1.1925711977884754</v>
      </c>
      <c r="CX33" s="718"/>
      <c r="CY33" s="269"/>
      <c r="CZ33" s="269"/>
    </row>
    <row r="34" spans="1:106" hidden="1" outlineLevel="1">
      <c r="A34" s="86" t="s">
        <v>202</v>
      </c>
      <c r="B34" s="887">
        <f t="shared" ref="B34:AM34" si="255">B31</f>
        <v>1.39005</v>
      </c>
      <c r="C34" s="887">
        <f t="shared" si="255"/>
        <v>1.3228500000000001</v>
      </c>
      <c r="D34" s="887">
        <f t="shared" si="255"/>
        <v>1.4131</v>
      </c>
      <c r="E34" s="887">
        <f t="shared" si="255"/>
        <v>1.4561500000000001</v>
      </c>
      <c r="F34" s="887">
        <f t="shared" si="255"/>
        <v>1.43475</v>
      </c>
      <c r="G34" s="887">
        <f t="shared" si="255"/>
        <v>1.35375</v>
      </c>
      <c r="H34" s="887">
        <f t="shared" si="255"/>
        <v>1.2455000000000001</v>
      </c>
      <c r="I34" s="887">
        <f t="shared" si="255"/>
        <v>1.3746499999999999</v>
      </c>
      <c r="J34" s="887">
        <f t="shared" si="255"/>
        <v>1.3362000000000001</v>
      </c>
      <c r="K34" s="887">
        <f t="shared" si="255"/>
        <v>1.4146000000000001</v>
      </c>
      <c r="L34" s="887">
        <f t="shared" si="255"/>
        <v>1.44825</v>
      </c>
      <c r="M34" s="887">
        <f t="shared" si="255"/>
        <v>1.3273999999999999</v>
      </c>
      <c r="N34" s="887">
        <f t="shared" si="255"/>
        <v>1.2981499999999999</v>
      </c>
      <c r="O34" s="887">
        <f t="shared" si="255"/>
        <v>1.3301000000000001</v>
      </c>
      <c r="P34" s="887">
        <f t="shared" si="255"/>
        <v>1.2584</v>
      </c>
      <c r="Q34" s="887">
        <f t="shared" si="255"/>
        <v>1.2905</v>
      </c>
      <c r="R34" s="887">
        <f t="shared" si="255"/>
        <v>1.3184</v>
      </c>
      <c r="S34" s="887">
        <f t="shared" si="255"/>
        <v>1.2847</v>
      </c>
      <c r="T34" s="887">
        <f t="shared" si="255"/>
        <v>1.30355</v>
      </c>
      <c r="U34" s="887">
        <f t="shared" si="255"/>
        <v>1.3525499999999999</v>
      </c>
      <c r="V34" s="887">
        <f t="shared" si="255"/>
        <v>1.37825</v>
      </c>
      <c r="W34" s="887">
        <f t="shared" si="255"/>
        <v>1.3691500000000001</v>
      </c>
      <c r="X34" s="887">
        <f t="shared" si="255"/>
        <v>1.26325</v>
      </c>
      <c r="Y34" s="887">
        <f t="shared" si="255"/>
        <v>1.2100500000000001</v>
      </c>
      <c r="Z34" s="887">
        <f t="shared" si="255"/>
        <v>1.0740000000000001</v>
      </c>
      <c r="AA34" s="887">
        <f t="shared" si="255"/>
        <v>1.1142000000000001</v>
      </c>
      <c r="AB34" s="887">
        <f t="shared" si="255"/>
        <v>1.11625</v>
      </c>
      <c r="AC34" s="887">
        <f t="shared" si="255"/>
        <v>1.0863</v>
      </c>
      <c r="AD34" s="887">
        <f t="shared" si="255"/>
        <v>1.1395500000000001</v>
      </c>
      <c r="AE34" s="887">
        <f t="shared" si="255"/>
        <v>1.1299999999999999</v>
      </c>
      <c r="AF34" s="887">
        <f t="shared" si="255"/>
        <v>1.1599999999999999</v>
      </c>
      <c r="AG34" s="887">
        <f t="shared" si="255"/>
        <v>1.05</v>
      </c>
      <c r="AH34" s="887">
        <f t="shared" si="255"/>
        <v>1.05</v>
      </c>
      <c r="AI34" s="887">
        <f t="shared" si="255"/>
        <v>1.17</v>
      </c>
      <c r="AJ34" s="887">
        <f t="shared" si="255"/>
        <v>1.19</v>
      </c>
      <c r="AK34" s="887">
        <f t="shared" si="255"/>
        <v>1.22</v>
      </c>
      <c r="AL34" s="887">
        <f t="shared" si="255"/>
        <v>1.25</v>
      </c>
      <c r="AM34" s="887">
        <f t="shared" si="255"/>
        <v>1.21</v>
      </c>
      <c r="AN34" s="887">
        <f t="shared" ref="AN34:AS34" si="256">AN31</f>
        <v>1.18</v>
      </c>
      <c r="AO34" s="887">
        <f t="shared" si="256"/>
        <v>1.1599999999999999</v>
      </c>
      <c r="AP34" s="887">
        <f t="shared" si="256"/>
        <v>1.1599999999999999</v>
      </c>
      <c r="AQ34" s="887">
        <f t="shared" si="256"/>
        <v>1.17</v>
      </c>
      <c r="AR34" s="887">
        <f t="shared" si="256"/>
        <v>1.1000000000000001</v>
      </c>
      <c r="AS34" s="887">
        <f t="shared" si="256"/>
        <v>1.1299999999999999</v>
      </c>
      <c r="AT34" s="887">
        <f t="shared" ref="AT34:BB34" si="257">AT31</f>
        <v>1.1599999999999999</v>
      </c>
      <c r="AU34" s="887">
        <f t="shared" si="257"/>
        <v>1.18</v>
      </c>
      <c r="AV34" s="887">
        <f t="shared" si="257"/>
        <v>1.17</v>
      </c>
      <c r="AW34" s="887">
        <f t="shared" si="257"/>
        <v>1.1599999999999999</v>
      </c>
      <c r="AX34" s="887">
        <f t="shared" si="257"/>
        <v>1.17</v>
      </c>
      <c r="AY34" s="887">
        <f t="shared" si="257"/>
        <v>1.18</v>
      </c>
      <c r="AZ34" s="887">
        <f t="shared" si="257"/>
        <v>1.19</v>
      </c>
      <c r="BA34" s="887">
        <f t="shared" si="257"/>
        <v>1.2</v>
      </c>
      <c r="BB34" s="887">
        <f t="shared" si="257"/>
        <v>1.1215828125</v>
      </c>
      <c r="BC34" s="887">
        <f t="shared" ref="BC34" si="258">BC31</f>
        <v>1.06447538461538</v>
      </c>
      <c r="BD34" s="887">
        <f t="shared" ref="BD34:BI34" si="259">BD31</f>
        <v>1.0065696969697</v>
      </c>
      <c r="BE34" s="887">
        <f t="shared" si="259"/>
        <v>1.02186615384615</v>
      </c>
      <c r="BF34" s="887">
        <f t="shared" si="259"/>
        <v>1.07298153846154</v>
      </c>
      <c r="BG34" s="887">
        <f t="shared" si="259"/>
        <v>1.08868769230769</v>
      </c>
      <c r="BH34" s="887">
        <f t="shared" si="259"/>
        <v>1.08773846153846</v>
      </c>
      <c r="BI34" s="887">
        <f t="shared" si="259"/>
        <v>1.0762323076923099</v>
      </c>
      <c r="BJ34" s="887">
        <f t="shared" ref="BJ34:BK34" si="260">BJ31</f>
        <v>1.0857246153846101</v>
      </c>
      <c r="BK34" s="1822">
        <f t="shared" si="260"/>
        <v>1.0765030769230799</v>
      </c>
      <c r="BL34" s="888">
        <f t="shared" ref="BL34:BQ34" si="261">BL33+$CY34</f>
        <v>1.0900000000000001</v>
      </c>
      <c r="BM34" s="888">
        <f t="shared" si="261"/>
        <v>1.0900000000000001</v>
      </c>
      <c r="BN34" s="888">
        <f t="shared" si="261"/>
        <v>1.1000000000000001</v>
      </c>
      <c r="BO34" s="888">
        <f t="shared" si="261"/>
        <v>1.1000000000000001</v>
      </c>
      <c r="BP34" s="888">
        <f t="shared" si="261"/>
        <v>1.1000000000000001</v>
      </c>
      <c r="BQ34" s="888">
        <f t="shared" si="261"/>
        <v>1.1100000000000001</v>
      </c>
      <c r="BR34" s="888">
        <f t="shared" ref="BR34" si="262">BR33+$CZ34</f>
        <v>1.1099102250489239</v>
      </c>
      <c r="BS34" s="888">
        <f t="shared" ref="BS34:CU34" si="263">BS33+$CZ34</f>
        <v>1.1099102250489239</v>
      </c>
      <c r="BT34" s="888">
        <f t="shared" si="263"/>
        <v>1.1099102250489239</v>
      </c>
      <c r="BU34" s="888">
        <f t="shared" si="263"/>
        <v>1.120000318003914</v>
      </c>
      <c r="BV34" s="888">
        <f t="shared" si="263"/>
        <v>1.1199097342437752</v>
      </c>
      <c r="BW34" s="888">
        <f t="shared" si="263"/>
        <v>1.1199097342437752</v>
      </c>
      <c r="BX34" s="888">
        <f t="shared" si="263"/>
        <v>1.1199097342437752</v>
      </c>
      <c r="BY34" s="888">
        <f t="shared" si="263"/>
        <v>1.1300907318278093</v>
      </c>
      <c r="BZ34" s="888">
        <f t="shared" si="263"/>
        <v>1.129999331971808</v>
      </c>
      <c r="CA34" s="888">
        <f t="shared" si="263"/>
        <v>1.129999331971808</v>
      </c>
      <c r="CB34" s="888">
        <f t="shared" si="263"/>
        <v>1.129999331971808</v>
      </c>
      <c r="CC34" s="888">
        <f t="shared" si="263"/>
        <v>1.1402720531715516</v>
      </c>
      <c r="CD34" s="888">
        <f t="shared" si="263"/>
        <v>1.140179829867239</v>
      </c>
      <c r="CE34" s="888">
        <f t="shared" si="263"/>
        <v>1.140179829867239</v>
      </c>
      <c r="CF34" s="888">
        <f t="shared" si="263"/>
        <v>1.140179829867239</v>
      </c>
      <c r="CG34" s="888">
        <f t="shared" si="263"/>
        <v>1.15054510104785</v>
      </c>
      <c r="CH34" s="888">
        <f t="shared" si="263"/>
        <v>1.1504520468765369</v>
      </c>
      <c r="CI34" s="888">
        <f t="shared" si="263"/>
        <v>1.1504520468765369</v>
      </c>
      <c r="CJ34" s="888">
        <f t="shared" si="263"/>
        <v>1.1504520468765369</v>
      </c>
      <c r="CK34" s="888">
        <f t="shared" si="263"/>
        <v>1.1609107018481417</v>
      </c>
      <c r="CL34" s="888">
        <f t="shared" si="263"/>
        <v>1.1608168093243019</v>
      </c>
      <c r="CM34" s="888">
        <f t="shared" si="263"/>
        <v>1.1608168093243019</v>
      </c>
      <c r="CN34" s="888">
        <f t="shared" si="263"/>
        <v>1.1608168093243019</v>
      </c>
      <c r="CO34" s="888">
        <f t="shared" si="263"/>
        <v>1.1713696894090682</v>
      </c>
      <c r="CP34" s="888">
        <f t="shared" si="263"/>
        <v>1.171274950979736</v>
      </c>
      <c r="CQ34" s="888">
        <f t="shared" si="263"/>
        <v>1.171274950979736</v>
      </c>
      <c r="CR34" s="888">
        <f t="shared" si="263"/>
        <v>1.171274950979736</v>
      </c>
      <c r="CS34" s="888">
        <f t="shared" si="263"/>
        <v>1.1819229050795517</v>
      </c>
      <c r="CT34" s="888">
        <f t="shared" si="263"/>
        <v>1.1818273131237145</v>
      </c>
      <c r="CU34" s="888">
        <f t="shared" si="263"/>
        <v>1.1818273131237145</v>
      </c>
      <c r="CV34" s="888">
        <f t="shared" ref="CV34:CW34" si="264">CV33+$CZ34</f>
        <v>1.1818273131237145</v>
      </c>
      <c r="CW34" s="888">
        <f t="shared" si="264"/>
        <v>1.1925711977884754</v>
      </c>
      <c r="CX34" s="718"/>
      <c r="CY34" s="402">
        <v>0</v>
      </c>
      <c r="CZ34" s="402">
        <v>0</v>
      </c>
    </row>
    <row r="35" spans="1:106" hidden="1" outlineLevel="1">
      <c r="A35" s="86"/>
      <c r="B35" s="887"/>
      <c r="C35" s="887"/>
      <c r="D35" s="887"/>
      <c r="E35" s="887"/>
      <c r="F35" s="887"/>
      <c r="G35" s="887"/>
      <c r="H35" s="887"/>
      <c r="I35" s="887"/>
      <c r="J35" s="887"/>
      <c r="K35" s="887"/>
      <c r="L35" s="887"/>
      <c r="M35" s="887"/>
      <c r="N35" s="887"/>
      <c r="O35" s="887"/>
      <c r="P35" s="887"/>
      <c r="Q35" s="887"/>
      <c r="R35" s="887"/>
      <c r="S35" s="887"/>
      <c r="T35" s="887"/>
      <c r="U35" s="887"/>
      <c r="V35" s="887"/>
      <c r="W35" s="887"/>
      <c r="X35" s="887"/>
      <c r="Y35" s="887"/>
      <c r="Z35" s="887"/>
      <c r="AA35" s="887"/>
      <c r="AB35" s="887"/>
      <c r="AC35" s="887"/>
      <c r="AD35" s="887"/>
      <c r="AE35" s="887"/>
      <c r="AF35" s="887"/>
      <c r="AG35" s="887"/>
      <c r="AH35" s="887"/>
      <c r="AI35" s="887"/>
      <c r="AJ35" s="887"/>
      <c r="AK35" s="887"/>
      <c r="AL35" s="887"/>
      <c r="AM35" s="887"/>
      <c r="AN35" s="887"/>
      <c r="AO35" s="887"/>
      <c r="AP35" s="887"/>
      <c r="AQ35" s="887"/>
      <c r="AR35" s="887"/>
      <c r="AS35" s="887"/>
      <c r="AT35" s="887"/>
      <c r="AU35" s="888"/>
      <c r="AV35" s="888"/>
      <c r="AW35" s="888"/>
      <c r="AX35" s="888"/>
      <c r="AY35" s="888"/>
      <c r="AZ35" s="888"/>
      <c r="BA35" s="888"/>
      <c r="BB35" s="888"/>
      <c r="BC35" s="888"/>
      <c r="BD35" s="888"/>
      <c r="BE35" s="888"/>
      <c r="BF35" s="888"/>
      <c r="BG35" s="888"/>
      <c r="BH35" s="888"/>
      <c r="BI35" s="888"/>
      <c r="BJ35" s="888"/>
      <c r="BK35" s="1823"/>
      <c r="BL35" s="888"/>
      <c r="BM35" s="888"/>
      <c r="BN35" s="888"/>
      <c r="BO35" s="888"/>
      <c r="BP35" s="888"/>
      <c r="BQ35" s="888"/>
      <c r="BR35" s="888"/>
      <c r="BS35" s="888"/>
      <c r="BT35" s="888"/>
      <c r="BU35" s="888"/>
      <c r="BV35" s="888"/>
      <c r="BW35" s="888"/>
      <c r="BX35" s="888"/>
      <c r="BY35" s="888"/>
      <c r="BZ35" s="888"/>
      <c r="CA35" s="888"/>
      <c r="CB35" s="888"/>
      <c r="CC35" s="888"/>
      <c r="CD35" s="888"/>
      <c r="CE35" s="888"/>
      <c r="CF35" s="888"/>
      <c r="CG35" s="888"/>
      <c r="CH35" s="888"/>
      <c r="CI35" s="888"/>
      <c r="CJ35" s="888"/>
      <c r="CK35" s="888"/>
      <c r="CL35" s="888"/>
      <c r="CM35" s="888"/>
      <c r="CN35" s="888"/>
      <c r="CO35" s="888"/>
      <c r="CP35" s="888"/>
      <c r="CQ35" s="888"/>
      <c r="CR35" s="888"/>
      <c r="CS35" s="888"/>
      <c r="CT35" s="888"/>
      <c r="CU35" s="888"/>
      <c r="CV35" s="888"/>
      <c r="CW35" s="888"/>
      <c r="CX35" s="718"/>
    </row>
    <row r="36" spans="1:106" hidden="1" outlineLevel="1">
      <c r="A36" s="691" t="s">
        <v>1102</v>
      </c>
      <c r="B36" s="905">
        <v>2.0612499999999999E-2</v>
      </c>
      <c r="C36" s="905">
        <v>1.53125E-2</v>
      </c>
      <c r="D36" s="905">
        <v>1.3487499999999999E-2</v>
      </c>
      <c r="E36" s="905">
        <v>1.0200000000000001E-2</v>
      </c>
      <c r="F36" s="905">
        <v>8.6688000000000008E-3</v>
      </c>
      <c r="G36" s="905">
        <v>1.15438E-2</v>
      </c>
      <c r="H36" s="905">
        <v>8.9425000000000008E-3</v>
      </c>
      <c r="I36" s="905">
        <v>7.6312999999999997E-3</v>
      </c>
      <c r="J36" s="905">
        <v>7.9375000000000001E-3</v>
      </c>
      <c r="K36" s="905">
        <v>7.3049999999999999E-3</v>
      </c>
      <c r="L36" s="905">
        <v>7.9232999999999994E-3</v>
      </c>
      <c r="M36" s="905">
        <v>1.0414400000000001E-2</v>
      </c>
      <c r="N36" s="905">
        <v>1.06605E-2</v>
      </c>
      <c r="O36" s="905">
        <v>1.0692E-2</v>
      </c>
      <c r="P36" s="905">
        <v>1.04E-2</v>
      </c>
      <c r="Q36" s="905">
        <v>8.5900000000000004E-3</v>
      </c>
      <c r="R36" s="905">
        <v>7.5550000000000001E-3</v>
      </c>
      <c r="S36" s="905">
        <v>6.8589000000000002E-3</v>
      </c>
      <c r="T36" s="905">
        <v>6.7559999999999999E-3</v>
      </c>
      <c r="U36" s="905">
        <v>5.7409999999999996E-3</v>
      </c>
      <c r="V36" s="905">
        <v>5.5529999999999998E-3</v>
      </c>
      <c r="W36" s="905">
        <v>5.3540000000000003E-3</v>
      </c>
      <c r="X36" s="905">
        <v>5.6559999999999996E-3</v>
      </c>
      <c r="Y36" s="905">
        <v>5.6429999999999996E-3</v>
      </c>
      <c r="Z36" s="905">
        <v>6.7840000000000001E-3</v>
      </c>
      <c r="AA36" s="905">
        <v>7.3759999999999997E-3</v>
      </c>
      <c r="AB36" s="905">
        <v>8.4784999999999999E-3</v>
      </c>
      <c r="AC36" s="905">
        <v>9.6135000000000005E-3</v>
      </c>
      <c r="AD36" s="905">
        <v>1.157E-2</v>
      </c>
      <c r="AE36" s="905">
        <v>1.303E-2</v>
      </c>
      <c r="AF36" s="905">
        <v>1.5310000000000001E-2</v>
      </c>
      <c r="AG36" s="905">
        <v>1.62956E-2</v>
      </c>
      <c r="AH36" s="905">
        <v>1.7442800000000001E-2</v>
      </c>
      <c r="AI36" s="905">
        <v>1.7195599999999998E-2</v>
      </c>
      <c r="AJ36" s="905">
        <v>1.72789E-2</v>
      </c>
      <c r="AK36" s="905">
        <v>1.9301100000000002E-2</v>
      </c>
      <c r="AL36" s="905">
        <v>2.4596900000000001E-2</v>
      </c>
      <c r="AM36" s="905">
        <v>2.75409E-2</v>
      </c>
      <c r="AN36" s="905">
        <v>2.8119999999999999E-2</v>
      </c>
      <c r="AO36" s="905">
        <v>3.1207499999999999E-2</v>
      </c>
      <c r="AP36" s="905">
        <v>3.1207499999999999E-2</v>
      </c>
      <c r="AQ36" s="905">
        <v>3.1207499999999999E-2</v>
      </c>
      <c r="AR36" s="905">
        <v>3.1207499999999999E-2</v>
      </c>
      <c r="AS36" s="905">
        <v>3.1207499999999999E-2</v>
      </c>
      <c r="AT36" s="905">
        <v>3.1207499999999999E-2</v>
      </c>
      <c r="AU36" s="905">
        <v>3.1207499999999999E-2</v>
      </c>
      <c r="AV36" s="905">
        <v>3.1207499999999999E-2</v>
      </c>
      <c r="AW36" s="905">
        <v>3.1207499999999999E-2</v>
      </c>
      <c r="AX36" s="905">
        <v>3.1207499999999999E-2</v>
      </c>
      <c r="AY36" s="905">
        <v>3.1207499999999999E-2</v>
      </c>
      <c r="AZ36" s="905">
        <v>3.1207499999999999E-2</v>
      </c>
      <c r="BA36" s="905">
        <v>3.1207499999999999E-2</v>
      </c>
      <c r="BB36" s="905">
        <v>3.1207499999999999E-2</v>
      </c>
      <c r="BC36" s="905">
        <v>3.1207499999999999E-2</v>
      </c>
      <c r="BD36" s="905">
        <v>3.1207499999999999E-2</v>
      </c>
      <c r="BE36" s="905">
        <v>3.1207499999999999E-2</v>
      </c>
      <c r="BF36" s="905">
        <v>3.1207499999999999E-2</v>
      </c>
      <c r="BG36" s="905">
        <v>3.1207499999999999E-2</v>
      </c>
      <c r="BH36" s="905">
        <v>3.1207499999999999E-2</v>
      </c>
      <c r="BI36" s="905">
        <v>3.1207499999999999E-2</v>
      </c>
      <c r="BJ36" s="905">
        <v>3.1207499999999999E-2</v>
      </c>
      <c r="BK36" s="1816">
        <v>3.1207499999999999E-2</v>
      </c>
      <c r="BL36" s="906">
        <f t="shared" ref="BL36:BR36" si="265">CHOOSE(MASTERSWITCH,BL37,BL38,BL39)</f>
        <v>3.1207499999999999E-2</v>
      </c>
      <c r="BM36" s="906">
        <f t="shared" si="265"/>
        <v>3.1207499999999999E-2</v>
      </c>
      <c r="BN36" s="906">
        <f t="shared" si="265"/>
        <v>3.1207499999999999E-2</v>
      </c>
      <c r="BO36" s="906">
        <f t="shared" si="265"/>
        <v>3.1207499999999999E-2</v>
      </c>
      <c r="BP36" s="906">
        <f t="shared" si="265"/>
        <v>3.1207499999999999E-2</v>
      </c>
      <c r="BQ36" s="906">
        <f t="shared" si="265"/>
        <v>3.1207499999999999E-2</v>
      </c>
      <c r="BR36" s="906">
        <f t="shared" si="265"/>
        <v>3.1207499999999999E-2</v>
      </c>
      <c r="BS36" s="906">
        <f t="shared" ref="BS36:CK36" si="266">CHOOSE(MASTERSWITCH,BS37,BS38,BS39)</f>
        <v>3.1207499999999999E-2</v>
      </c>
      <c r="BT36" s="906">
        <f t="shared" si="266"/>
        <v>3.1207499999999999E-2</v>
      </c>
      <c r="BU36" s="906">
        <f t="shared" si="266"/>
        <v>3.1207499999999999E-2</v>
      </c>
      <c r="BV36" s="906">
        <f t="shared" si="266"/>
        <v>3.1207499999999999E-2</v>
      </c>
      <c r="BW36" s="906">
        <f t="shared" si="266"/>
        <v>3.1207499999999999E-2</v>
      </c>
      <c r="BX36" s="906">
        <f t="shared" si="266"/>
        <v>3.1207499999999999E-2</v>
      </c>
      <c r="BY36" s="906">
        <f t="shared" si="266"/>
        <v>3.1207499999999999E-2</v>
      </c>
      <c r="BZ36" s="906">
        <f t="shared" si="266"/>
        <v>3.1207499999999999E-2</v>
      </c>
      <c r="CA36" s="906">
        <f t="shared" si="266"/>
        <v>3.1207499999999999E-2</v>
      </c>
      <c r="CB36" s="906">
        <f t="shared" si="266"/>
        <v>3.1207499999999999E-2</v>
      </c>
      <c r="CC36" s="906">
        <f t="shared" si="266"/>
        <v>3.1207499999999999E-2</v>
      </c>
      <c r="CD36" s="906">
        <f t="shared" si="266"/>
        <v>3.1207499999999999E-2</v>
      </c>
      <c r="CE36" s="906">
        <f t="shared" si="266"/>
        <v>3.1207499999999999E-2</v>
      </c>
      <c r="CF36" s="906">
        <f t="shared" si="266"/>
        <v>3.1207499999999999E-2</v>
      </c>
      <c r="CG36" s="906">
        <f t="shared" si="266"/>
        <v>3.1207499999999999E-2</v>
      </c>
      <c r="CH36" s="906">
        <f t="shared" si="266"/>
        <v>3.1207499999999999E-2</v>
      </c>
      <c r="CI36" s="906">
        <f t="shared" si="266"/>
        <v>3.1207499999999999E-2</v>
      </c>
      <c r="CJ36" s="906">
        <f t="shared" si="266"/>
        <v>3.1207499999999999E-2</v>
      </c>
      <c r="CK36" s="906">
        <f t="shared" si="266"/>
        <v>3.1207499999999999E-2</v>
      </c>
      <c r="CL36" s="906">
        <f t="shared" ref="CL36:CP36" si="267">CHOOSE(MASTERSWITCH,CL37,CL38,CL39)</f>
        <v>3.1207499999999999E-2</v>
      </c>
      <c r="CM36" s="906">
        <f t="shared" si="267"/>
        <v>3.1207499999999999E-2</v>
      </c>
      <c r="CN36" s="906">
        <f t="shared" si="267"/>
        <v>3.1207499999999999E-2</v>
      </c>
      <c r="CO36" s="906">
        <f t="shared" si="267"/>
        <v>3.1207499999999999E-2</v>
      </c>
      <c r="CP36" s="906">
        <f t="shared" si="267"/>
        <v>3.1207499999999999E-2</v>
      </c>
      <c r="CQ36" s="906">
        <f t="shared" ref="CQ36:CU36" si="268">CHOOSE(MASTERSWITCH,CQ37,CQ38,CQ39)</f>
        <v>3.1207499999999999E-2</v>
      </c>
      <c r="CR36" s="906">
        <f t="shared" si="268"/>
        <v>3.1207499999999999E-2</v>
      </c>
      <c r="CS36" s="906">
        <f t="shared" si="268"/>
        <v>3.1207499999999999E-2</v>
      </c>
      <c r="CT36" s="906">
        <f t="shared" si="268"/>
        <v>3.1207499999999999E-2</v>
      </c>
      <c r="CU36" s="906">
        <f t="shared" si="268"/>
        <v>3.1207499999999999E-2</v>
      </c>
      <c r="CV36" s="906">
        <f t="shared" ref="CV36:CW36" si="269">CHOOSE(MASTERSWITCH,CV37,CV38,CV39)</f>
        <v>3.1207499999999999E-2</v>
      </c>
      <c r="CW36" s="906">
        <f t="shared" si="269"/>
        <v>3.1207499999999999E-2</v>
      </c>
      <c r="CX36" s="269"/>
      <c r="CY36" s="269"/>
      <c r="CZ36" s="269"/>
      <c r="DB36" s="173"/>
    </row>
    <row r="37" spans="1:106" hidden="1" outlineLevel="1">
      <c r="A37" s="86" t="s">
        <v>571</v>
      </c>
      <c r="B37" s="297">
        <f t="shared" ref="B37:AM37" si="270">B36</f>
        <v>2.0612499999999999E-2</v>
      </c>
      <c r="C37" s="297">
        <f t="shared" si="270"/>
        <v>1.53125E-2</v>
      </c>
      <c r="D37" s="297">
        <f t="shared" si="270"/>
        <v>1.3487499999999999E-2</v>
      </c>
      <c r="E37" s="297">
        <f t="shared" si="270"/>
        <v>1.0200000000000001E-2</v>
      </c>
      <c r="F37" s="297">
        <f t="shared" si="270"/>
        <v>8.6688000000000008E-3</v>
      </c>
      <c r="G37" s="297">
        <f t="shared" si="270"/>
        <v>1.15438E-2</v>
      </c>
      <c r="H37" s="297">
        <f t="shared" si="270"/>
        <v>8.9425000000000008E-3</v>
      </c>
      <c r="I37" s="297">
        <f t="shared" si="270"/>
        <v>7.6312999999999997E-3</v>
      </c>
      <c r="J37" s="297">
        <f t="shared" si="270"/>
        <v>7.9375000000000001E-3</v>
      </c>
      <c r="K37" s="297">
        <f t="shared" si="270"/>
        <v>7.3049999999999999E-3</v>
      </c>
      <c r="L37" s="297">
        <f t="shared" si="270"/>
        <v>7.9232999999999994E-3</v>
      </c>
      <c r="M37" s="297">
        <f t="shared" si="270"/>
        <v>1.0414400000000001E-2</v>
      </c>
      <c r="N37" s="297">
        <f t="shared" si="270"/>
        <v>1.06605E-2</v>
      </c>
      <c r="O37" s="297">
        <f t="shared" si="270"/>
        <v>1.0692E-2</v>
      </c>
      <c r="P37" s="297">
        <f t="shared" si="270"/>
        <v>1.04E-2</v>
      </c>
      <c r="Q37" s="297">
        <f t="shared" si="270"/>
        <v>8.5900000000000004E-3</v>
      </c>
      <c r="R37" s="297">
        <f t="shared" si="270"/>
        <v>7.5550000000000001E-3</v>
      </c>
      <c r="S37" s="297">
        <f t="shared" si="270"/>
        <v>6.8589000000000002E-3</v>
      </c>
      <c r="T37" s="297">
        <f t="shared" si="270"/>
        <v>6.7559999999999999E-3</v>
      </c>
      <c r="U37" s="562">
        <f t="shared" si="270"/>
        <v>5.7409999999999996E-3</v>
      </c>
      <c r="V37" s="562">
        <f t="shared" si="270"/>
        <v>5.5529999999999998E-3</v>
      </c>
      <c r="W37" s="562">
        <f t="shared" si="270"/>
        <v>5.3540000000000003E-3</v>
      </c>
      <c r="X37" s="562">
        <f t="shared" si="270"/>
        <v>5.6559999999999996E-3</v>
      </c>
      <c r="Y37" s="562">
        <f t="shared" si="270"/>
        <v>5.6429999999999996E-3</v>
      </c>
      <c r="Z37" s="562">
        <f t="shared" si="270"/>
        <v>6.7840000000000001E-3</v>
      </c>
      <c r="AA37" s="562">
        <f t="shared" si="270"/>
        <v>7.3759999999999997E-3</v>
      </c>
      <c r="AB37" s="562">
        <f t="shared" si="270"/>
        <v>8.4784999999999999E-3</v>
      </c>
      <c r="AC37" s="562">
        <f t="shared" si="270"/>
        <v>9.6135000000000005E-3</v>
      </c>
      <c r="AD37" s="562">
        <f t="shared" si="270"/>
        <v>1.157E-2</v>
      </c>
      <c r="AE37" s="562">
        <f t="shared" si="270"/>
        <v>1.303E-2</v>
      </c>
      <c r="AF37" s="562">
        <f t="shared" si="270"/>
        <v>1.5310000000000001E-2</v>
      </c>
      <c r="AG37" s="562">
        <f t="shared" si="270"/>
        <v>1.62956E-2</v>
      </c>
      <c r="AH37" s="562">
        <f t="shared" si="270"/>
        <v>1.7442800000000001E-2</v>
      </c>
      <c r="AI37" s="562">
        <f t="shared" si="270"/>
        <v>1.7195599999999998E-2</v>
      </c>
      <c r="AJ37" s="562">
        <f t="shared" si="270"/>
        <v>1.72789E-2</v>
      </c>
      <c r="AK37" s="562">
        <f t="shared" si="270"/>
        <v>1.9301100000000002E-2</v>
      </c>
      <c r="AL37" s="562">
        <f t="shared" si="270"/>
        <v>2.4596900000000001E-2</v>
      </c>
      <c r="AM37" s="562">
        <f t="shared" si="270"/>
        <v>2.75409E-2</v>
      </c>
      <c r="AN37" s="562">
        <f t="shared" ref="AN37:AS37" si="271">AN36</f>
        <v>2.8119999999999999E-2</v>
      </c>
      <c r="AO37" s="562">
        <f t="shared" si="271"/>
        <v>3.1207499999999999E-2</v>
      </c>
      <c r="AP37" s="562">
        <f t="shared" si="271"/>
        <v>3.1207499999999999E-2</v>
      </c>
      <c r="AQ37" s="562">
        <f t="shared" si="271"/>
        <v>3.1207499999999999E-2</v>
      </c>
      <c r="AR37" s="562">
        <f t="shared" si="271"/>
        <v>3.1207499999999999E-2</v>
      </c>
      <c r="AS37" s="562">
        <f t="shared" si="271"/>
        <v>3.1207499999999999E-2</v>
      </c>
      <c r="AT37" s="562">
        <f t="shared" ref="AT37:BB37" si="272">AT36</f>
        <v>3.1207499999999999E-2</v>
      </c>
      <c r="AU37" s="562">
        <f t="shared" si="272"/>
        <v>3.1207499999999999E-2</v>
      </c>
      <c r="AV37" s="562">
        <f t="shared" si="272"/>
        <v>3.1207499999999999E-2</v>
      </c>
      <c r="AW37" s="562">
        <f t="shared" si="272"/>
        <v>3.1207499999999999E-2</v>
      </c>
      <c r="AX37" s="562">
        <f t="shared" si="272"/>
        <v>3.1207499999999999E-2</v>
      </c>
      <c r="AY37" s="562">
        <f t="shared" si="272"/>
        <v>3.1207499999999999E-2</v>
      </c>
      <c r="AZ37" s="562">
        <f t="shared" si="272"/>
        <v>3.1207499999999999E-2</v>
      </c>
      <c r="BA37" s="562">
        <f t="shared" si="272"/>
        <v>3.1207499999999999E-2</v>
      </c>
      <c r="BB37" s="562">
        <f t="shared" si="272"/>
        <v>3.1207499999999999E-2</v>
      </c>
      <c r="BC37" s="562">
        <f t="shared" ref="BC37:BG37" si="273">BC36</f>
        <v>3.1207499999999999E-2</v>
      </c>
      <c r="BD37" s="562">
        <f t="shared" si="273"/>
        <v>3.1207499999999999E-2</v>
      </c>
      <c r="BE37" s="562">
        <f t="shared" si="273"/>
        <v>3.1207499999999999E-2</v>
      </c>
      <c r="BF37" s="562">
        <f t="shared" si="273"/>
        <v>3.1207499999999999E-2</v>
      </c>
      <c r="BG37" s="562">
        <f t="shared" si="273"/>
        <v>3.1207499999999999E-2</v>
      </c>
      <c r="BH37" s="562">
        <f t="shared" ref="BH37" si="274">BH36</f>
        <v>3.1207499999999999E-2</v>
      </c>
      <c r="BI37" s="562">
        <f t="shared" ref="BI37" si="275">BI36</f>
        <v>3.1207499999999999E-2</v>
      </c>
      <c r="BJ37" s="562">
        <f t="shared" ref="BJ37:BK37" si="276">BJ36</f>
        <v>3.1207499999999999E-2</v>
      </c>
      <c r="BK37" s="1817">
        <f t="shared" si="276"/>
        <v>3.1207499999999999E-2</v>
      </c>
      <c r="BL37" s="298">
        <f t="shared" ref="BL37:BQ37" si="277">BL38+$CY37</f>
        <v>3.1207499999999999E-2</v>
      </c>
      <c r="BM37" s="298">
        <f t="shared" si="277"/>
        <v>3.1207499999999999E-2</v>
      </c>
      <c r="BN37" s="298">
        <f t="shared" si="277"/>
        <v>3.1207499999999999E-2</v>
      </c>
      <c r="BO37" s="298">
        <f t="shared" si="277"/>
        <v>3.1207499999999999E-2</v>
      </c>
      <c r="BP37" s="298">
        <f t="shared" si="277"/>
        <v>3.1207499999999999E-2</v>
      </c>
      <c r="BQ37" s="298">
        <f t="shared" si="277"/>
        <v>3.1207499999999999E-2</v>
      </c>
      <c r="BR37" s="298">
        <f t="shared" ref="BR37:CU37" si="278">BR38+$CZ37</f>
        <v>3.1207499999999999E-2</v>
      </c>
      <c r="BS37" s="298">
        <f t="shared" si="278"/>
        <v>3.1207499999999999E-2</v>
      </c>
      <c r="BT37" s="298">
        <f t="shared" si="278"/>
        <v>3.1207499999999999E-2</v>
      </c>
      <c r="BU37" s="298">
        <f t="shared" si="278"/>
        <v>3.1207499999999999E-2</v>
      </c>
      <c r="BV37" s="298">
        <f t="shared" si="278"/>
        <v>3.1207499999999999E-2</v>
      </c>
      <c r="BW37" s="298">
        <f t="shared" si="278"/>
        <v>3.1207499999999999E-2</v>
      </c>
      <c r="BX37" s="298">
        <f t="shared" si="278"/>
        <v>3.1207499999999999E-2</v>
      </c>
      <c r="BY37" s="298">
        <f t="shared" si="278"/>
        <v>3.1207499999999999E-2</v>
      </c>
      <c r="BZ37" s="298">
        <f t="shared" si="278"/>
        <v>3.1207499999999999E-2</v>
      </c>
      <c r="CA37" s="298">
        <f t="shared" si="278"/>
        <v>3.1207499999999999E-2</v>
      </c>
      <c r="CB37" s="298">
        <f t="shared" si="278"/>
        <v>3.1207499999999999E-2</v>
      </c>
      <c r="CC37" s="298">
        <f t="shared" si="278"/>
        <v>3.1207499999999999E-2</v>
      </c>
      <c r="CD37" s="298">
        <f t="shared" si="278"/>
        <v>3.1207499999999999E-2</v>
      </c>
      <c r="CE37" s="298">
        <f t="shared" si="278"/>
        <v>3.1207499999999999E-2</v>
      </c>
      <c r="CF37" s="298">
        <f t="shared" si="278"/>
        <v>3.1207499999999999E-2</v>
      </c>
      <c r="CG37" s="298">
        <f t="shared" si="278"/>
        <v>3.1207499999999999E-2</v>
      </c>
      <c r="CH37" s="298">
        <f t="shared" si="278"/>
        <v>3.1207499999999999E-2</v>
      </c>
      <c r="CI37" s="298">
        <f t="shared" si="278"/>
        <v>3.1207499999999999E-2</v>
      </c>
      <c r="CJ37" s="298">
        <f t="shared" si="278"/>
        <v>3.1207499999999999E-2</v>
      </c>
      <c r="CK37" s="298">
        <f t="shared" si="278"/>
        <v>3.1207499999999999E-2</v>
      </c>
      <c r="CL37" s="298">
        <f t="shared" si="278"/>
        <v>3.1207499999999999E-2</v>
      </c>
      <c r="CM37" s="298">
        <f t="shared" si="278"/>
        <v>3.1207499999999999E-2</v>
      </c>
      <c r="CN37" s="298">
        <f t="shared" si="278"/>
        <v>3.1207499999999999E-2</v>
      </c>
      <c r="CO37" s="298">
        <f t="shared" si="278"/>
        <v>3.1207499999999999E-2</v>
      </c>
      <c r="CP37" s="298">
        <f t="shared" si="278"/>
        <v>3.1207499999999999E-2</v>
      </c>
      <c r="CQ37" s="298">
        <f t="shared" si="278"/>
        <v>3.1207499999999999E-2</v>
      </c>
      <c r="CR37" s="298">
        <f t="shared" si="278"/>
        <v>3.1207499999999999E-2</v>
      </c>
      <c r="CS37" s="298">
        <f t="shared" si="278"/>
        <v>3.1207499999999999E-2</v>
      </c>
      <c r="CT37" s="298">
        <f t="shared" si="278"/>
        <v>3.1207499999999999E-2</v>
      </c>
      <c r="CU37" s="298">
        <f t="shared" si="278"/>
        <v>3.1207499999999999E-2</v>
      </c>
      <c r="CV37" s="298">
        <f t="shared" ref="CV37:CW37" si="279">CV38+$CZ37</f>
        <v>3.1207499999999999E-2</v>
      </c>
      <c r="CW37" s="298">
        <f t="shared" si="279"/>
        <v>3.1207499999999999E-2</v>
      </c>
      <c r="CX37" s="269"/>
      <c r="CY37" s="402">
        <v>0</v>
      </c>
      <c r="CZ37" s="402">
        <v>0</v>
      </c>
    </row>
    <row r="38" spans="1:106" hidden="1" outlineLevel="1">
      <c r="A38" s="86" t="s">
        <v>200</v>
      </c>
      <c r="B38" s="297">
        <f t="shared" ref="B38:AM38" si="280">B36</f>
        <v>2.0612499999999999E-2</v>
      </c>
      <c r="C38" s="297">
        <f t="shared" si="280"/>
        <v>1.53125E-2</v>
      </c>
      <c r="D38" s="297">
        <f t="shared" si="280"/>
        <v>1.3487499999999999E-2</v>
      </c>
      <c r="E38" s="297">
        <f t="shared" si="280"/>
        <v>1.0200000000000001E-2</v>
      </c>
      <c r="F38" s="297">
        <f t="shared" si="280"/>
        <v>8.6688000000000008E-3</v>
      </c>
      <c r="G38" s="297">
        <f t="shared" si="280"/>
        <v>1.15438E-2</v>
      </c>
      <c r="H38" s="297">
        <f t="shared" si="280"/>
        <v>8.9425000000000008E-3</v>
      </c>
      <c r="I38" s="297">
        <f t="shared" si="280"/>
        <v>7.6312999999999997E-3</v>
      </c>
      <c r="J38" s="297">
        <f t="shared" si="280"/>
        <v>7.9375000000000001E-3</v>
      </c>
      <c r="K38" s="297">
        <f t="shared" si="280"/>
        <v>7.3049999999999999E-3</v>
      </c>
      <c r="L38" s="297">
        <f t="shared" si="280"/>
        <v>7.9232999999999994E-3</v>
      </c>
      <c r="M38" s="297">
        <f t="shared" si="280"/>
        <v>1.0414400000000001E-2</v>
      </c>
      <c r="N38" s="297">
        <f t="shared" si="280"/>
        <v>1.06605E-2</v>
      </c>
      <c r="O38" s="297">
        <f t="shared" si="280"/>
        <v>1.0692E-2</v>
      </c>
      <c r="P38" s="297">
        <f t="shared" si="280"/>
        <v>1.04E-2</v>
      </c>
      <c r="Q38" s="297">
        <f t="shared" si="280"/>
        <v>8.5900000000000004E-3</v>
      </c>
      <c r="R38" s="297">
        <f t="shared" si="280"/>
        <v>7.5550000000000001E-3</v>
      </c>
      <c r="S38" s="297">
        <f t="shared" si="280"/>
        <v>6.8589000000000002E-3</v>
      </c>
      <c r="T38" s="297">
        <f t="shared" si="280"/>
        <v>6.7559999999999999E-3</v>
      </c>
      <c r="U38" s="84">
        <f t="shared" si="280"/>
        <v>5.7409999999999996E-3</v>
      </c>
      <c r="V38" s="84">
        <f t="shared" si="280"/>
        <v>5.5529999999999998E-3</v>
      </c>
      <c r="W38" s="84">
        <f t="shared" si="280"/>
        <v>5.3540000000000003E-3</v>
      </c>
      <c r="X38" s="84">
        <f t="shared" si="280"/>
        <v>5.6559999999999996E-3</v>
      </c>
      <c r="Y38" s="84">
        <f t="shared" si="280"/>
        <v>5.6429999999999996E-3</v>
      </c>
      <c r="Z38" s="84">
        <f t="shared" si="280"/>
        <v>6.7840000000000001E-3</v>
      </c>
      <c r="AA38" s="84">
        <f t="shared" si="280"/>
        <v>7.3759999999999997E-3</v>
      </c>
      <c r="AB38" s="84">
        <f t="shared" si="280"/>
        <v>8.4784999999999999E-3</v>
      </c>
      <c r="AC38" s="84">
        <f t="shared" si="280"/>
        <v>9.6135000000000005E-3</v>
      </c>
      <c r="AD38" s="84">
        <f t="shared" si="280"/>
        <v>1.157E-2</v>
      </c>
      <c r="AE38" s="84">
        <f t="shared" si="280"/>
        <v>1.303E-2</v>
      </c>
      <c r="AF38" s="84">
        <f t="shared" si="280"/>
        <v>1.5310000000000001E-2</v>
      </c>
      <c r="AG38" s="84">
        <f t="shared" si="280"/>
        <v>1.62956E-2</v>
      </c>
      <c r="AH38" s="84">
        <f t="shared" si="280"/>
        <v>1.7442800000000001E-2</v>
      </c>
      <c r="AI38" s="84">
        <f t="shared" si="280"/>
        <v>1.7195599999999998E-2</v>
      </c>
      <c r="AJ38" s="84">
        <f t="shared" si="280"/>
        <v>1.72789E-2</v>
      </c>
      <c r="AK38" s="84">
        <f t="shared" si="280"/>
        <v>1.9301100000000002E-2</v>
      </c>
      <c r="AL38" s="84">
        <f t="shared" si="280"/>
        <v>2.4596900000000001E-2</v>
      </c>
      <c r="AM38" s="84">
        <f t="shared" si="280"/>
        <v>2.75409E-2</v>
      </c>
      <c r="AN38" s="84">
        <f t="shared" ref="AN38:AS38" si="281">AN36</f>
        <v>2.8119999999999999E-2</v>
      </c>
      <c r="AO38" s="84">
        <f t="shared" si="281"/>
        <v>3.1207499999999999E-2</v>
      </c>
      <c r="AP38" s="84">
        <f t="shared" si="281"/>
        <v>3.1207499999999999E-2</v>
      </c>
      <c r="AQ38" s="84">
        <f t="shared" si="281"/>
        <v>3.1207499999999999E-2</v>
      </c>
      <c r="AR38" s="84">
        <f t="shared" si="281"/>
        <v>3.1207499999999999E-2</v>
      </c>
      <c r="AS38" s="84">
        <f t="shared" si="281"/>
        <v>3.1207499999999999E-2</v>
      </c>
      <c r="AT38" s="84">
        <f t="shared" ref="AT38:BB38" si="282">AT36</f>
        <v>3.1207499999999999E-2</v>
      </c>
      <c r="AU38" s="84">
        <f t="shared" si="282"/>
        <v>3.1207499999999999E-2</v>
      </c>
      <c r="AV38" s="84">
        <f t="shared" si="282"/>
        <v>3.1207499999999999E-2</v>
      </c>
      <c r="AW38" s="84">
        <f t="shared" si="282"/>
        <v>3.1207499999999999E-2</v>
      </c>
      <c r="AX38" s="84">
        <f t="shared" si="282"/>
        <v>3.1207499999999999E-2</v>
      </c>
      <c r="AY38" s="84">
        <f t="shared" si="282"/>
        <v>3.1207499999999999E-2</v>
      </c>
      <c r="AZ38" s="84">
        <f t="shared" si="282"/>
        <v>3.1207499999999999E-2</v>
      </c>
      <c r="BA38" s="84">
        <f t="shared" si="282"/>
        <v>3.1207499999999999E-2</v>
      </c>
      <c r="BB38" s="84">
        <f t="shared" si="282"/>
        <v>3.1207499999999999E-2</v>
      </c>
      <c r="BC38" s="84">
        <f t="shared" ref="BC38:BG38" si="283">BC36</f>
        <v>3.1207499999999999E-2</v>
      </c>
      <c r="BD38" s="84">
        <f t="shared" si="283"/>
        <v>3.1207499999999999E-2</v>
      </c>
      <c r="BE38" s="84">
        <f t="shared" si="283"/>
        <v>3.1207499999999999E-2</v>
      </c>
      <c r="BF38" s="84">
        <f t="shared" si="283"/>
        <v>3.1207499999999999E-2</v>
      </c>
      <c r="BG38" s="84">
        <f t="shared" si="283"/>
        <v>3.1207499999999999E-2</v>
      </c>
      <c r="BH38" s="84">
        <f t="shared" ref="BH38" si="284">BH36</f>
        <v>3.1207499999999999E-2</v>
      </c>
      <c r="BI38" s="84">
        <f t="shared" ref="BI38" si="285">BI36</f>
        <v>3.1207499999999999E-2</v>
      </c>
      <c r="BJ38" s="84">
        <f t="shared" ref="BJ38:BK38" si="286">BJ36</f>
        <v>3.1207499999999999E-2</v>
      </c>
      <c r="BK38" s="801">
        <f t="shared" si="286"/>
        <v>3.1207499999999999E-2</v>
      </c>
      <c r="BL38" s="560">
        <v>3.1207499999999999E-2</v>
      </c>
      <c r="BM38" s="560">
        <v>3.1207499999999999E-2</v>
      </c>
      <c r="BN38" s="560">
        <v>3.1207499999999999E-2</v>
      </c>
      <c r="BO38" s="560">
        <v>3.1207499999999999E-2</v>
      </c>
      <c r="BP38" s="560">
        <v>3.1207499999999999E-2</v>
      </c>
      <c r="BQ38" s="560">
        <v>3.1207499999999999E-2</v>
      </c>
      <c r="BR38" s="1784">
        <f>+BQ38</f>
        <v>3.1207499999999999E-2</v>
      </c>
      <c r="BS38" s="1784">
        <f>+BR38</f>
        <v>3.1207499999999999E-2</v>
      </c>
      <c r="BT38" s="1784">
        <f t="shared" ref="BT38:CL38" si="287">+BS38</f>
        <v>3.1207499999999999E-2</v>
      </c>
      <c r="BU38" s="1784">
        <f t="shared" si="287"/>
        <v>3.1207499999999999E-2</v>
      </c>
      <c r="BV38" s="1784">
        <f t="shared" si="287"/>
        <v>3.1207499999999999E-2</v>
      </c>
      <c r="BW38" s="1784">
        <f t="shared" si="287"/>
        <v>3.1207499999999999E-2</v>
      </c>
      <c r="BX38" s="1784">
        <f t="shared" si="287"/>
        <v>3.1207499999999999E-2</v>
      </c>
      <c r="BY38" s="1784">
        <f t="shared" si="287"/>
        <v>3.1207499999999999E-2</v>
      </c>
      <c r="BZ38" s="1784">
        <f t="shared" si="287"/>
        <v>3.1207499999999999E-2</v>
      </c>
      <c r="CA38" s="1784">
        <f t="shared" si="287"/>
        <v>3.1207499999999999E-2</v>
      </c>
      <c r="CB38" s="1784">
        <f t="shared" si="287"/>
        <v>3.1207499999999999E-2</v>
      </c>
      <c r="CC38" s="1784">
        <f t="shared" si="287"/>
        <v>3.1207499999999999E-2</v>
      </c>
      <c r="CD38" s="1784">
        <f t="shared" si="287"/>
        <v>3.1207499999999999E-2</v>
      </c>
      <c r="CE38" s="1784">
        <f t="shared" si="287"/>
        <v>3.1207499999999999E-2</v>
      </c>
      <c r="CF38" s="1784">
        <f t="shared" si="287"/>
        <v>3.1207499999999999E-2</v>
      </c>
      <c r="CG38" s="1784">
        <f t="shared" si="287"/>
        <v>3.1207499999999999E-2</v>
      </c>
      <c r="CH38" s="1784">
        <f t="shared" si="287"/>
        <v>3.1207499999999999E-2</v>
      </c>
      <c r="CI38" s="1784">
        <f t="shared" si="287"/>
        <v>3.1207499999999999E-2</v>
      </c>
      <c r="CJ38" s="1784">
        <f t="shared" si="287"/>
        <v>3.1207499999999999E-2</v>
      </c>
      <c r="CK38" s="1784">
        <f t="shared" si="287"/>
        <v>3.1207499999999999E-2</v>
      </c>
      <c r="CL38" s="1784">
        <f t="shared" si="287"/>
        <v>3.1207499999999999E-2</v>
      </c>
      <c r="CM38" s="1784">
        <f t="shared" ref="CM38" si="288">+CL38</f>
        <v>3.1207499999999999E-2</v>
      </c>
      <c r="CN38" s="1784">
        <f t="shared" ref="CN38" si="289">+CM38</f>
        <v>3.1207499999999999E-2</v>
      </c>
      <c r="CO38" s="1784">
        <f t="shared" ref="CO38" si="290">+CN38</f>
        <v>3.1207499999999999E-2</v>
      </c>
      <c r="CP38" s="1784">
        <f t="shared" ref="CP38" si="291">+CO38</f>
        <v>3.1207499999999999E-2</v>
      </c>
      <c r="CQ38" s="1784">
        <f t="shared" ref="CQ38" si="292">+CP38</f>
        <v>3.1207499999999999E-2</v>
      </c>
      <c r="CR38" s="1784">
        <f t="shared" ref="CR38" si="293">+CQ38</f>
        <v>3.1207499999999999E-2</v>
      </c>
      <c r="CS38" s="1784">
        <f t="shared" ref="CS38" si="294">+CR38</f>
        <v>3.1207499999999999E-2</v>
      </c>
      <c r="CT38" s="1784">
        <f t="shared" ref="CT38" si="295">+CS38</f>
        <v>3.1207499999999999E-2</v>
      </c>
      <c r="CU38" s="1784">
        <f t="shared" ref="CU38" si="296">+CT38</f>
        <v>3.1207499999999999E-2</v>
      </c>
      <c r="CV38" s="1784">
        <f t="shared" ref="CV38" si="297">+CU38</f>
        <v>3.1207499999999999E-2</v>
      </c>
      <c r="CW38" s="1784">
        <f t="shared" ref="CW38" si="298">+CV38</f>
        <v>3.1207499999999999E-2</v>
      </c>
      <c r="CX38" s="269"/>
      <c r="CY38" s="269"/>
      <c r="CZ38" s="269"/>
    </row>
    <row r="39" spans="1:106" hidden="1" outlineLevel="1">
      <c r="A39" s="86" t="s">
        <v>202</v>
      </c>
      <c r="B39" s="297">
        <f t="shared" ref="B39:AM39" si="299">B36</f>
        <v>2.0612499999999999E-2</v>
      </c>
      <c r="C39" s="297">
        <f t="shared" si="299"/>
        <v>1.53125E-2</v>
      </c>
      <c r="D39" s="297">
        <f t="shared" si="299"/>
        <v>1.3487499999999999E-2</v>
      </c>
      <c r="E39" s="297">
        <f t="shared" si="299"/>
        <v>1.0200000000000001E-2</v>
      </c>
      <c r="F39" s="297">
        <f t="shared" si="299"/>
        <v>8.6688000000000008E-3</v>
      </c>
      <c r="G39" s="297">
        <f t="shared" si="299"/>
        <v>1.15438E-2</v>
      </c>
      <c r="H39" s="297">
        <f t="shared" si="299"/>
        <v>8.9425000000000008E-3</v>
      </c>
      <c r="I39" s="297">
        <f t="shared" si="299"/>
        <v>7.6312999999999997E-3</v>
      </c>
      <c r="J39" s="297">
        <f t="shared" si="299"/>
        <v>7.9375000000000001E-3</v>
      </c>
      <c r="K39" s="297">
        <f t="shared" si="299"/>
        <v>7.3049999999999999E-3</v>
      </c>
      <c r="L39" s="297">
        <f t="shared" si="299"/>
        <v>7.9232999999999994E-3</v>
      </c>
      <c r="M39" s="297">
        <f t="shared" si="299"/>
        <v>1.0414400000000001E-2</v>
      </c>
      <c r="N39" s="297">
        <f t="shared" si="299"/>
        <v>1.06605E-2</v>
      </c>
      <c r="O39" s="297">
        <f t="shared" si="299"/>
        <v>1.0692E-2</v>
      </c>
      <c r="P39" s="297">
        <f t="shared" si="299"/>
        <v>1.04E-2</v>
      </c>
      <c r="Q39" s="297">
        <f t="shared" si="299"/>
        <v>8.5900000000000004E-3</v>
      </c>
      <c r="R39" s="297">
        <f t="shared" si="299"/>
        <v>7.5550000000000001E-3</v>
      </c>
      <c r="S39" s="297">
        <f t="shared" si="299"/>
        <v>6.8589000000000002E-3</v>
      </c>
      <c r="T39" s="297">
        <f t="shared" si="299"/>
        <v>6.7559999999999999E-3</v>
      </c>
      <c r="U39" s="562">
        <f t="shared" si="299"/>
        <v>5.7409999999999996E-3</v>
      </c>
      <c r="V39" s="562">
        <f t="shared" si="299"/>
        <v>5.5529999999999998E-3</v>
      </c>
      <c r="W39" s="562">
        <f t="shared" si="299"/>
        <v>5.3540000000000003E-3</v>
      </c>
      <c r="X39" s="562">
        <f t="shared" si="299"/>
        <v>5.6559999999999996E-3</v>
      </c>
      <c r="Y39" s="562">
        <f t="shared" si="299"/>
        <v>5.6429999999999996E-3</v>
      </c>
      <c r="Z39" s="562">
        <f t="shared" si="299"/>
        <v>6.7840000000000001E-3</v>
      </c>
      <c r="AA39" s="562">
        <f t="shared" si="299"/>
        <v>7.3759999999999997E-3</v>
      </c>
      <c r="AB39" s="562">
        <f t="shared" si="299"/>
        <v>8.4784999999999999E-3</v>
      </c>
      <c r="AC39" s="562">
        <f t="shared" si="299"/>
        <v>9.6135000000000005E-3</v>
      </c>
      <c r="AD39" s="562">
        <f t="shared" si="299"/>
        <v>1.157E-2</v>
      </c>
      <c r="AE39" s="562">
        <f t="shared" si="299"/>
        <v>1.303E-2</v>
      </c>
      <c r="AF39" s="562">
        <f t="shared" si="299"/>
        <v>1.5310000000000001E-2</v>
      </c>
      <c r="AG39" s="562">
        <f t="shared" si="299"/>
        <v>1.62956E-2</v>
      </c>
      <c r="AH39" s="562">
        <f t="shared" si="299"/>
        <v>1.7442800000000001E-2</v>
      </c>
      <c r="AI39" s="562">
        <f t="shared" si="299"/>
        <v>1.7195599999999998E-2</v>
      </c>
      <c r="AJ39" s="562">
        <f t="shared" si="299"/>
        <v>1.72789E-2</v>
      </c>
      <c r="AK39" s="562">
        <f t="shared" si="299"/>
        <v>1.9301100000000002E-2</v>
      </c>
      <c r="AL39" s="562">
        <f t="shared" si="299"/>
        <v>2.4596900000000001E-2</v>
      </c>
      <c r="AM39" s="562">
        <f t="shared" si="299"/>
        <v>2.75409E-2</v>
      </c>
      <c r="AN39" s="562">
        <f t="shared" ref="AN39:AS39" si="300">AN36</f>
        <v>2.8119999999999999E-2</v>
      </c>
      <c r="AO39" s="562">
        <f t="shared" si="300"/>
        <v>3.1207499999999999E-2</v>
      </c>
      <c r="AP39" s="562">
        <f t="shared" si="300"/>
        <v>3.1207499999999999E-2</v>
      </c>
      <c r="AQ39" s="562">
        <f t="shared" si="300"/>
        <v>3.1207499999999999E-2</v>
      </c>
      <c r="AR39" s="562">
        <f t="shared" si="300"/>
        <v>3.1207499999999999E-2</v>
      </c>
      <c r="AS39" s="562">
        <f t="shared" si="300"/>
        <v>3.1207499999999999E-2</v>
      </c>
      <c r="AT39" s="562">
        <f t="shared" ref="AT39:BB39" si="301">AT36</f>
        <v>3.1207499999999999E-2</v>
      </c>
      <c r="AU39" s="562">
        <f t="shared" si="301"/>
        <v>3.1207499999999999E-2</v>
      </c>
      <c r="AV39" s="562">
        <f t="shared" si="301"/>
        <v>3.1207499999999999E-2</v>
      </c>
      <c r="AW39" s="562">
        <f t="shared" si="301"/>
        <v>3.1207499999999999E-2</v>
      </c>
      <c r="AX39" s="562">
        <f t="shared" si="301"/>
        <v>3.1207499999999999E-2</v>
      </c>
      <c r="AY39" s="562">
        <f t="shared" si="301"/>
        <v>3.1207499999999999E-2</v>
      </c>
      <c r="AZ39" s="562">
        <f t="shared" si="301"/>
        <v>3.1207499999999999E-2</v>
      </c>
      <c r="BA39" s="562">
        <f t="shared" si="301"/>
        <v>3.1207499999999999E-2</v>
      </c>
      <c r="BB39" s="562">
        <f t="shared" si="301"/>
        <v>3.1207499999999999E-2</v>
      </c>
      <c r="BC39" s="562">
        <f t="shared" ref="BC39:BG39" si="302">BC36</f>
        <v>3.1207499999999999E-2</v>
      </c>
      <c r="BD39" s="562">
        <f t="shared" si="302"/>
        <v>3.1207499999999999E-2</v>
      </c>
      <c r="BE39" s="562">
        <f t="shared" si="302"/>
        <v>3.1207499999999999E-2</v>
      </c>
      <c r="BF39" s="562">
        <f t="shared" si="302"/>
        <v>3.1207499999999999E-2</v>
      </c>
      <c r="BG39" s="562">
        <f t="shared" si="302"/>
        <v>3.1207499999999999E-2</v>
      </c>
      <c r="BH39" s="562">
        <f t="shared" ref="BH39" si="303">BH36</f>
        <v>3.1207499999999999E-2</v>
      </c>
      <c r="BI39" s="562">
        <f t="shared" ref="BI39" si="304">BI36</f>
        <v>3.1207499999999999E-2</v>
      </c>
      <c r="BJ39" s="562">
        <f t="shared" ref="BJ39:BK39" si="305">BJ36</f>
        <v>3.1207499999999999E-2</v>
      </c>
      <c r="BK39" s="1817">
        <f t="shared" si="305"/>
        <v>3.1207499999999999E-2</v>
      </c>
      <c r="BL39" s="298">
        <f t="shared" ref="BL39:BQ39" si="306">BL38+$CY39</f>
        <v>3.1207499999999999E-2</v>
      </c>
      <c r="BM39" s="298">
        <f t="shared" si="306"/>
        <v>3.1207499999999999E-2</v>
      </c>
      <c r="BN39" s="298">
        <f t="shared" si="306"/>
        <v>3.1207499999999999E-2</v>
      </c>
      <c r="BO39" s="298">
        <f t="shared" si="306"/>
        <v>3.1207499999999999E-2</v>
      </c>
      <c r="BP39" s="298">
        <f t="shared" si="306"/>
        <v>3.1207499999999999E-2</v>
      </c>
      <c r="BQ39" s="298">
        <f t="shared" si="306"/>
        <v>3.1207499999999999E-2</v>
      </c>
      <c r="BR39" s="298">
        <f t="shared" ref="BR39" si="307">BR38+$CZ39</f>
        <v>3.1207499999999999E-2</v>
      </c>
      <c r="BS39" s="298">
        <f t="shared" ref="BS39:CU39" si="308">BS38+$CZ39</f>
        <v>3.1207499999999999E-2</v>
      </c>
      <c r="BT39" s="298">
        <f t="shared" si="308"/>
        <v>3.1207499999999999E-2</v>
      </c>
      <c r="BU39" s="298">
        <f t="shared" si="308"/>
        <v>3.1207499999999999E-2</v>
      </c>
      <c r="BV39" s="298">
        <f t="shared" si="308"/>
        <v>3.1207499999999999E-2</v>
      </c>
      <c r="BW39" s="298">
        <f t="shared" si="308"/>
        <v>3.1207499999999999E-2</v>
      </c>
      <c r="BX39" s="298">
        <f t="shared" si="308"/>
        <v>3.1207499999999999E-2</v>
      </c>
      <c r="BY39" s="298">
        <f t="shared" si="308"/>
        <v>3.1207499999999999E-2</v>
      </c>
      <c r="BZ39" s="298">
        <f t="shared" si="308"/>
        <v>3.1207499999999999E-2</v>
      </c>
      <c r="CA39" s="298">
        <f t="shared" si="308"/>
        <v>3.1207499999999999E-2</v>
      </c>
      <c r="CB39" s="298">
        <f t="shared" si="308"/>
        <v>3.1207499999999999E-2</v>
      </c>
      <c r="CC39" s="298">
        <f t="shared" si="308"/>
        <v>3.1207499999999999E-2</v>
      </c>
      <c r="CD39" s="298">
        <f t="shared" si="308"/>
        <v>3.1207499999999999E-2</v>
      </c>
      <c r="CE39" s="298">
        <f t="shared" si="308"/>
        <v>3.1207499999999999E-2</v>
      </c>
      <c r="CF39" s="298">
        <f t="shared" si="308"/>
        <v>3.1207499999999999E-2</v>
      </c>
      <c r="CG39" s="298">
        <f t="shared" si="308"/>
        <v>3.1207499999999999E-2</v>
      </c>
      <c r="CH39" s="298">
        <f t="shared" si="308"/>
        <v>3.1207499999999999E-2</v>
      </c>
      <c r="CI39" s="298">
        <f t="shared" si="308"/>
        <v>3.1207499999999999E-2</v>
      </c>
      <c r="CJ39" s="298">
        <f t="shared" si="308"/>
        <v>3.1207499999999999E-2</v>
      </c>
      <c r="CK39" s="298">
        <f t="shared" si="308"/>
        <v>3.1207499999999999E-2</v>
      </c>
      <c r="CL39" s="298">
        <f t="shared" si="308"/>
        <v>3.1207499999999999E-2</v>
      </c>
      <c r="CM39" s="298">
        <f t="shared" si="308"/>
        <v>3.1207499999999999E-2</v>
      </c>
      <c r="CN39" s="298">
        <f t="shared" si="308"/>
        <v>3.1207499999999999E-2</v>
      </c>
      <c r="CO39" s="298">
        <f t="shared" si="308"/>
        <v>3.1207499999999999E-2</v>
      </c>
      <c r="CP39" s="298">
        <f t="shared" si="308"/>
        <v>3.1207499999999999E-2</v>
      </c>
      <c r="CQ39" s="298">
        <f t="shared" si="308"/>
        <v>3.1207499999999999E-2</v>
      </c>
      <c r="CR39" s="298">
        <f t="shared" si="308"/>
        <v>3.1207499999999999E-2</v>
      </c>
      <c r="CS39" s="298">
        <f t="shared" si="308"/>
        <v>3.1207499999999999E-2</v>
      </c>
      <c r="CT39" s="298">
        <f t="shared" si="308"/>
        <v>3.1207499999999999E-2</v>
      </c>
      <c r="CU39" s="298">
        <f t="shared" si="308"/>
        <v>3.1207499999999999E-2</v>
      </c>
      <c r="CV39" s="298">
        <f t="shared" ref="CV39:CW39" si="309">CV38+$CZ39</f>
        <v>3.1207499999999999E-2</v>
      </c>
      <c r="CW39" s="298">
        <f t="shared" si="309"/>
        <v>3.1207499999999999E-2</v>
      </c>
      <c r="CX39" s="269"/>
      <c r="CY39" s="402">
        <v>0</v>
      </c>
      <c r="CZ39" s="402">
        <v>0</v>
      </c>
    </row>
    <row r="40" spans="1:106" hidden="1" outlineLevel="1">
      <c r="A40" s="883"/>
      <c r="B40" s="399"/>
      <c r="C40" s="399"/>
      <c r="D40" s="399"/>
      <c r="E40" s="399"/>
      <c r="F40" s="399"/>
      <c r="G40" s="399"/>
      <c r="H40" s="399"/>
      <c r="I40" s="399"/>
      <c r="J40" s="399"/>
      <c r="K40" s="399"/>
      <c r="L40" s="399"/>
      <c r="M40" s="269"/>
      <c r="N40" s="269"/>
      <c r="O40" s="269"/>
      <c r="P40" s="269"/>
      <c r="Q40" s="269"/>
      <c r="R40" s="269"/>
      <c r="S40" s="269"/>
      <c r="T40" s="269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1815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  <c r="CK40" s="296"/>
      <c r="CL40" s="296"/>
      <c r="CM40" s="296"/>
      <c r="CN40" s="296"/>
      <c r="CO40" s="296"/>
      <c r="CP40" s="296"/>
      <c r="CQ40" s="296"/>
      <c r="CR40" s="296"/>
      <c r="CS40" s="296"/>
      <c r="CT40" s="296"/>
      <c r="CU40" s="296"/>
      <c r="CV40" s="296"/>
      <c r="CW40" s="296"/>
      <c r="CX40" s="269"/>
      <c r="CY40" s="269"/>
      <c r="CZ40" s="269"/>
    </row>
    <row r="41" spans="1:106" hidden="1" outlineLevel="1">
      <c r="A41" s="882" t="s">
        <v>733</v>
      </c>
      <c r="AM41" s="269"/>
      <c r="AN41" s="269"/>
      <c r="AO41" s="269"/>
      <c r="AP41" s="269"/>
      <c r="AQ41" s="269"/>
      <c r="AR41" s="269"/>
      <c r="AS41" s="269"/>
      <c r="BK41" s="1318"/>
    </row>
    <row r="42" spans="1:106" hidden="1" outlineLevel="1">
      <c r="A42" s="691" t="s">
        <v>970</v>
      </c>
      <c r="B42" s="570">
        <v>3.7120000000000002</v>
      </c>
      <c r="C42" s="570">
        <v>3.7978999999999998</v>
      </c>
      <c r="D42" s="570">
        <v>3.8431999999999999</v>
      </c>
      <c r="E42" s="570">
        <v>3.8008000000000002</v>
      </c>
      <c r="F42" s="570">
        <v>3.8730000000000002</v>
      </c>
      <c r="G42" s="570">
        <v>3.9323999999999999</v>
      </c>
      <c r="H42" s="570">
        <v>3.9603999999999999</v>
      </c>
      <c r="I42" s="570">
        <v>3.9698000000000002</v>
      </c>
      <c r="J42" s="570">
        <v>4.0540000000000003</v>
      </c>
      <c r="K42" s="570">
        <v>4.1100000000000003</v>
      </c>
      <c r="L42" s="570">
        <v>4.2050000000000001</v>
      </c>
      <c r="M42" s="570">
        <v>4.3040000000000003</v>
      </c>
      <c r="N42" s="570">
        <v>4.3789999999999996</v>
      </c>
      <c r="O42" s="570">
        <v>4.5270000000000001</v>
      </c>
      <c r="P42" s="570">
        <v>4.6970000000000001</v>
      </c>
      <c r="Q42" s="570">
        <v>4.9180000000000001</v>
      </c>
      <c r="R42" s="570">
        <v>5.1219999999999999</v>
      </c>
      <c r="S42" s="570">
        <v>5.3879999999999999</v>
      </c>
      <c r="T42" s="570">
        <v>5.7930000000000001</v>
      </c>
      <c r="U42" s="570">
        <v>6.5209999999999999</v>
      </c>
      <c r="V42" s="570">
        <v>8.0020000000000007</v>
      </c>
      <c r="W42" s="570">
        <v>8.1329999999999991</v>
      </c>
      <c r="X42" s="570">
        <v>8.43</v>
      </c>
      <c r="Y42" s="570">
        <v>8.5510000000000002</v>
      </c>
      <c r="Z42" s="570">
        <v>8.8219999999999992</v>
      </c>
      <c r="AA42" s="570">
        <v>9.0879999999999992</v>
      </c>
      <c r="AB42" s="570">
        <v>9.4220000000000006</v>
      </c>
      <c r="AC42" s="570">
        <v>13.04</v>
      </c>
      <c r="AD42" s="570">
        <v>14.7</v>
      </c>
      <c r="AE42" s="570">
        <v>15.04</v>
      </c>
      <c r="AF42" s="570">
        <v>15.31</v>
      </c>
      <c r="AG42" s="570">
        <v>15.89</v>
      </c>
      <c r="AH42" s="570">
        <v>15.39</v>
      </c>
      <c r="AI42" s="570">
        <v>16.63</v>
      </c>
      <c r="AJ42" s="570">
        <v>17.309999999999999</v>
      </c>
      <c r="AK42" s="570">
        <v>18.649000000000001</v>
      </c>
      <c r="AL42" s="570">
        <v>20.149000000000001</v>
      </c>
      <c r="AM42" s="570">
        <v>28.85</v>
      </c>
      <c r="AN42" s="570">
        <v>41.25</v>
      </c>
      <c r="AO42" s="570">
        <v>37.700000000000003</v>
      </c>
      <c r="AP42" s="570">
        <v>43.35</v>
      </c>
      <c r="AQ42" s="570">
        <v>42.463000000000001</v>
      </c>
      <c r="AR42" s="570">
        <v>57.59</v>
      </c>
      <c r="AS42" s="570">
        <v>59.89</v>
      </c>
      <c r="AT42" s="570">
        <v>64.468999999999994</v>
      </c>
      <c r="AU42" s="570">
        <v>70.459999999999994</v>
      </c>
      <c r="AV42" s="570">
        <v>76.450999999999993</v>
      </c>
      <c r="AW42" s="570">
        <v>83</v>
      </c>
      <c r="AX42" s="570">
        <v>97</v>
      </c>
      <c r="AY42" s="570">
        <v>103</v>
      </c>
      <c r="AZ42" s="570">
        <v>110</v>
      </c>
      <c r="BA42" s="570">
        <v>95.092500000000001</v>
      </c>
      <c r="BB42" s="570">
        <v>106.636875</v>
      </c>
      <c r="BC42" s="570">
        <v>118.014615384615</v>
      </c>
      <c r="BD42" s="570">
        <v>95.092500000000001</v>
      </c>
      <c r="BE42" s="570">
        <v>162.47461538461499</v>
      </c>
      <c r="BF42" s="570">
        <v>192.627076923077</v>
      </c>
      <c r="BG42" s="570">
        <v>232.48230769230801</v>
      </c>
      <c r="BH42" s="570">
        <v>313.50938461538499</v>
      </c>
      <c r="BI42" s="570">
        <v>443.72507692307698</v>
      </c>
      <c r="BJ42" s="570">
        <v>833.88046153846199</v>
      </c>
      <c r="BK42" s="1820">
        <v>885.24538461538395</v>
      </c>
      <c r="BL42" s="884">
        <f t="shared" ref="BL42:BQ42" si="310">CHOOSE(MASTERSWITCH,BL43,BL44,BL45)</f>
        <v>1039.45</v>
      </c>
      <c r="BM42" s="884">
        <f t="shared" si="310"/>
        <v>1218.03</v>
      </c>
      <c r="BN42" s="884">
        <f t="shared" si="310"/>
        <v>1344.93</v>
      </c>
      <c r="BO42" s="884">
        <f t="shared" si="310"/>
        <v>1464.02</v>
      </c>
      <c r="BP42" s="884">
        <f t="shared" si="310"/>
        <v>1464.02</v>
      </c>
      <c r="BQ42" s="884">
        <f t="shared" si="310"/>
        <v>1707.03</v>
      </c>
      <c r="BR42" s="884">
        <f t="shared" ref="BR42:CK42" si="311">CHOOSE(MASTERSWITCH,BR43,BR44,BR45)</f>
        <v>1803.4715073423208</v>
      </c>
      <c r="BS42" s="884">
        <f t="shared" si="311"/>
        <v>1963.1641469662395</v>
      </c>
      <c r="BT42" s="884">
        <f t="shared" si="311"/>
        <v>1963.1641469662395</v>
      </c>
      <c r="BU42" s="884">
        <f t="shared" si="311"/>
        <v>2289.026170268015</v>
      </c>
      <c r="BV42" s="884">
        <f t="shared" si="311"/>
        <v>2418.3485220759317</v>
      </c>
      <c r="BW42" s="884">
        <f t="shared" si="311"/>
        <v>2632.4868976746784</v>
      </c>
      <c r="BX42" s="884">
        <f t="shared" si="311"/>
        <v>2632.4868976746784</v>
      </c>
      <c r="BY42" s="884">
        <f t="shared" si="311"/>
        <v>3069.448579211763</v>
      </c>
      <c r="BZ42" s="884">
        <f t="shared" si="311"/>
        <v>3242.8621968335556</v>
      </c>
      <c r="CA42" s="884">
        <f t="shared" si="311"/>
        <v>3530.0090810735592</v>
      </c>
      <c r="CB42" s="884">
        <f t="shared" si="311"/>
        <v>3530.0090810735592</v>
      </c>
      <c r="CC42" s="884">
        <f t="shared" si="311"/>
        <v>4115.94882697299</v>
      </c>
      <c r="CD42" s="884">
        <f t="shared" si="311"/>
        <v>4348.486221756405</v>
      </c>
      <c r="CE42" s="884">
        <f t="shared" si="311"/>
        <v>4733.5331938285353</v>
      </c>
      <c r="CF42" s="884">
        <f t="shared" si="311"/>
        <v>4733.5331938285353</v>
      </c>
      <c r="CG42" s="884">
        <f t="shared" si="311"/>
        <v>5519.2437042261199</v>
      </c>
      <c r="CH42" s="884">
        <f t="shared" si="311"/>
        <v>5831.0625839324994</v>
      </c>
      <c r="CI42" s="884">
        <f t="shared" si="311"/>
        <v>6347.3877778983724</v>
      </c>
      <c r="CJ42" s="884">
        <f t="shared" si="311"/>
        <v>6347.3877778983724</v>
      </c>
      <c r="CK42" s="884">
        <f t="shared" si="311"/>
        <v>7400.9790566425718</v>
      </c>
      <c r="CL42" s="884">
        <f t="shared" ref="CL42:CP42" si="312">CHOOSE(MASTERSWITCH,CL43,CL44,CL45)</f>
        <v>7819.1097140015845</v>
      </c>
      <c r="CM42" s="884">
        <f t="shared" si="312"/>
        <v>8511.4712315827601</v>
      </c>
      <c r="CN42" s="884">
        <f t="shared" si="312"/>
        <v>8511.4712315827601</v>
      </c>
      <c r="CO42" s="884">
        <f t="shared" si="312"/>
        <v>9924.2747615802509</v>
      </c>
      <c r="CP42" s="884">
        <f t="shared" si="312"/>
        <v>10484.963218892744</v>
      </c>
      <c r="CQ42" s="884">
        <f t="shared" ref="CQ42:CU42" si="313">CHOOSE(MASTERSWITCH,CQ43,CQ44,CQ45)</f>
        <v>11413.379024724974</v>
      </c>
      <c r="CR42" s="884">
        <f t="shared" si="313"/>
        <v>11413.379024724974</v>
      </c>
      <c r="CS42" s="884">
        <f t="shared" si="313"/>
        <v>13307.864917539564</v>
      </c>
      <c r="CT42" s="884">
        <f t="shared" si="313"/>
        <v>14059.714944870952</v>
      </c>
      <c r="CU42" s="884">
        <f t="shared" si="313"/>
        <v>15304.665576342246</v>
      </c>
      <c r="CV42" s="884">
        <f t="shared" ref="CV42:CW42" si="314">CHOOSE(MASTERSWITCH,CV43,CV44,CV45)</f>
        <v>15304.665576342246</v>
      </c>
      <c r="CW42" s="884">
        <f t="shared" si="314"/>
        <v>17845.059001095273</v>
      </c>
      <c r="CX42" s="718"/>
      <c r="CY42" s="269"/>
      <c r="CZ42" s="269"/>
      <c r="DB42" s="1067"/>
    </row>
    <row r="43" spans="1:106" hidden="1" outlineLevel="1">
      <c r="A43" s="86" t="s">
        <v>571</v>
      </c>
      <c r="B43" s="885">
        <f t="shared" ref="B43:AM43" si="315">B42</f>
        <v>3.7120000000000002</v>
      </c>
      <c r="C43" s="885">
        <f t="shared" si="315"/>
        <v>3.7978999999999998</v>
      </c>
      <c r="D43" s="885">
        <f t="shared" si="315"/>
        <v>3.8431999999999999</v>
      </c>
      <c r="E43" s="885">
        <f t="shared" si="315"/>
        <v>3.8008000000000002</v>
      </c>
      <c r="F43" s="885">
        <f t="shared" si="315"/>
        <v>3.8730000000000002</v>
      </c>
      <c r="G43" s="885">
        <f t="shared" si="315"/>
        <v>3.9323999999999999</v>
      </c>
      <c r="H43" s="885">
        <f t="shared" si="315"/>
        <v>3.9603999999999999</v>
      </c>
      <c r="I43" s="885">
        <f t="shared" si="315"/>
        <v>3.9698000000000002</v>
      </c>
      <c r="J43" s="885">
        <f t="shared" si="315"/>
        <v>4.0540000000000003</v>
      </c>
      <c r="K43" s="885">
        <f t="shared" si="315"/>
        <v>4.1100000000000003</v>
      </c>
      <c r="L43" s="885">
        <f t="shared" si="315"/>
        <v>4.2050000000000001</v>
      </c>
      <c r="M43" s="885">
        <f t="shared" si="315"/>
        <v>4.3040000000000003</v>
      </c>
      <c r="N43" s="885">
        <f t="shared" si="315"/>
        <v>4.3789999999999996</v>
      </c>
      <c r="O43" s="885">
        <f t="shared" si="315"/>
        <v>4.5270000000000001</v>
      </c>
      <c r="P43" s="885">
        <f t="shared" si="315"/>
        <v>4.6970000000000001</v>
      </c>
      <c r="Q43" s="885">
        <f t="shared" si="315"/>
        <v>4.9180000000000001</v>
      </c>
      <c r="R43" s="885">
        <f t="shared" si="315"/>
        <v>5.1219999999999999</v>
      </c>
      <c r="S43" s="885">
        <f t="shared" si="315"/>
        <v>5.3879999999999999</v>
      </c>
      <c r="T43" s="885">
        <f t="shared" si="315"/>
        <v>5.7930000000000001</v>
      </c>
      <c r="U43" s="885">
        <f t="shared" si="315"/>
        <v>6.5209999999999999</v>
      </c>
      <c r="V43" s="885">
        <f t="shared" si="315"/>
        <v>8.0020000000000007</v>
      </c>
      <c r="W43" s="885">
        <f t="shared" si="315"/>
        <v>8.1329999999999991</v>
      </c>
      <c r="X43" s="885">
        <f t="shared" si="315"/>
        <v>8.43</v>
      </c>
      <c r="Y43" s="885">
        <f t="shared" si="315"/>
        <v>8.5510000000000002</v>
      </c>
      <c r="Z43" s="885">
        <f t="shared" si="315"/>
        <v>8.8219999999999992</v>
      </c>
      <c r="AA43" s="885">
        <f t="shared" si="315"/>
        <v>9.0879999999999992</v>
      </c>
      <c r="AB43" s="885">
        <f t="shared" si="315"/>
        <v>9.4220000000000006</v>
      </c>
      <c r="AC43" s="885">
        <f t="shared" si="315"/>
        <v>13.04</v>
      </c>
      <c r="AD43" s="885">
        <f t="shared" si="315"/>
        <v>14.7</v>
      </c>
      <c r="AE43" s="885">
        <f t="shared" si="315"/>
        <v>15.04</v>
      </c>
      <c r="AF43" s="885">
        <f t="shared" si="315"/>
        <v>15.31</v>
      </c>
      <c r="AG43" s="885">
        <f t="shared" si="315"/>
        <v>15.89</v>
      </c>
      <c r="AH43" s="885">
        <f t="shared" si="315"/>
        <v>15.39</v>
      </c>
      <c r="AI43" s="885">
        <f t="shared" si="315"/>
        <v>16.63</v>
      </c>
      <c r="AJ43" s="885">
        <f t="shared" si="315"/>
        <v>17.309999999999999</v>
      </c>
      <c r="AK43" s="885">
        <f t="shared" si="315"/>
        <v>18.649000000000001</v>
      </c>
      <c r="AL43" s="885">
        <f t="shared" si="315"/>
        <v>20.149000000000001</v>
      </c>
      <c r="AM43" s="885">
        <f t="shared" si="315"/>
        <v>28.85</v>
      </c>
      <c r="AN43" s="885">
        <f t="shared" ref="AN43:AS43" si="316">AN42</f>
        <v>41.25</v>
      </c>
      <c r="AO43" s="885">
        <f t="shared" si="316"/>
        <v>37.700000000000003</v>
      </c>
      <c r="AP43" s="885">
        <f t="shared" si="316"/>
        <v>43.35</v>
      </c>
      <c r="AQ43" s="885">
        <f t="shared" si="316"/>
        <v>42.463000000000001</v>
      </c>
      <c r="AR43" s="885">
        <f t="shared" si="316"/>
        <v>57.59</v>
      </c>
      <c r="AS43" s="885">
        <f t="shared" si="316"/>
        <v>59.89</v>
      </c>
      <c r="AT43" s="885">
        <f t="shared" ref="AT43:BB43" si="317">AT42</f>
        <v>64.468999999999994</v>
      </c>
      <c r="AU43" s="885">
        <f t="shared" si="317"/>
        <v>70.459999999999994</v>
      </c>
      <c r="AV43" s="885">
        <f t="shared" si="317"/>
        <v>76.450999999999993</v>
      </c>
      <c r="AW43" s="885">
        <f t="shared" si="317"/>
        <v>83</v>
      </c>
      <c r="AX43" s="885">
        <f t="shared" si="317"/>
        <v>97</v>
      </c>
      <c r="AY43" s="885">
        <f t="shared" si="317"/>
        <v>103</v>
      </c>
      <c r="AZ43" s="885">
        <f t="shared" si="317"/>
        <v>110</v>
      </c>
      <c r="BA43" s="885">
        <f t="shared" si="317"/>
        <v>95.092500000000001</v>
      </c>
      <c r="BB43" s="885">
        <f t="shared" si="317"/>
        <v>106.636875</v>
      </c>
      <c r="BC43" s="885">
        <f t="shared" ref="BC43:BG43" si="318">BC42</f>
        <v>118.014615384615</v>
      </c>
      <c r="BD43" s="885">
        <f t="shared" si="318"/>
        <v>95.092500000000001</v>
      </c>
      <c r="BE43" s="885">
        <f t="shared" si="318"/>
        <v>162.47461538461499</v>
      </c>
      <c r="BF43" s="885">
        <f t="shared" si="318"/>
        <v>192.627076923077</v>
      </c>
      <c r="BG43" s="885">
        <f t="shared" si="318"/>
        <v>232.48230769230801</v>
      </c>
      <c r="BH43" s="885">
        <f t="shared" ref="BH43" si="319">BH42</f>
        <v>313.50938461538499</v>
      </c>
      <c r="BI43" s="885">
        <f t="shared" ref="BI43" si="320">BI42</f>
        <v>443.72507692307698</v>
      </c>
      <c r="BJ43" s="885">
        <f t="shared" ref="BJ43:BK43" si="321">BJ42</f>
        <v>833.88046153846199</v>
      </c>
      <c r="BK43" s="1821">
        <f t="shared" si="321"/>
        <v>885.24538461538395</v>
      </c>
      <c r="BL43" s="886">
        <f t="shared" ref="BL43:BQ43" si="322">BL44+$CY43</f>
        <v>1039.45</v>
      </c>
      <c r="BM43" s="886">
        <f t="shared" si="322"/>
        <v>1218.03</v>
      </c>
      <c r="BN43" s="886">
        <f t="shared" si="322"/>
        <v>1344.93</v>
      </c>
      <c r="BO43" s="886">
        <f t="shared" si="322"/>
        <v>1464.02</v>
      </c>
      <c r="BP43" s="886">
        <f t="shared" si="322"/>
        <v>1464.02</v>
      </c>
      <c r="BQ43" s="886">
        <f t="shared" si="322"/>
        <v>1707.03</v>
      </c>
      <c r="BR43" s="886">
        <f t="shared" ref="BR43:CU43" si="323">BR44+$CZ43</f>
        <v>1803.4715073423208</v>
      </c>
      <c r="BS43" s="886">
        <f t="shared" si="323"/>
        <v>1963.1641469662395</v>
      </c>
      <c r="BT43" s="886">
        <f t="shared" si="323"/>
        <v>1963.1641469662395</v>
      </c>
      <c r="BU43" s="886">
        <f t="shared" si="323"/>
        <v>2289.026170268015</v>
      </c>
      <c r="BV43" s="886">
        <f t="shared" si="323"/>
        <v>2418.3485220759317</v>
      </c>
      <c r="BW43" s="886">
        <f t="shared" si="323"/>
        <v>2632.4868976746784</v>
      </c>
      <c r="BX43" s="886">
        <f t="shared" si="323"/>
        <v>2632.4868976746784</v>
      </c>
      <c r="BY43" s="886">
        <f t="shared" si="323"/>
        <v>3069.448579211763</v>
      </c>
      <c r="BZ43" s="886">
        <f t="shared" si="323"/>
        <v>3242.8621968335556</v>
      </c>
      <c r="CA43" s="886">
        <f t="shared" si="323"/>
        <v>3530.0090810735592</v>
      </c>
      <c r="CB43" s="886">
        <f t="shared" si="323"/>
        <v>3530.0090810735592</v>
      </c>
      <c r="CC43" s="886">
        <f t="shared" si="323"/>
        <v>4115.94882697299</v>
      </c>
      <c r="CD43" s="886">
        <f t="shared" si="323"/>
        <v>4348.486221756405</v>
      </c>
      <c r="CE43" s="886">
        <f t="shared" si="323"/>
        <v>4733.5331938285353</v>
      </c>
      <c r="CF43" s="886">
        <f t="shared" si="323"/>
        <v>4733.5331938285353</v>
      </c>
      <c r="CG43" s="886">
        <f t="shared" si="323"/>
        <v>5519.2437042261199</v>
      </c>
      <c r="CH43" s="886">
        <f t="shared" si="323"/>
        <v>5831.0625839324994</v>
      </c>
      <c r="CI43" s="886">
        <f t="shared" si="323"/>
        <v>6347.3877778983724</v>
      </c>
      <c r="CJ43" s="886">
        <f t="shared" si="323"/>
        <v>6347.3877778983724</v>
      </c>
      <c r="CK43" s="886">
        <f t="shared" si="323"/>
        <v>7400.9790566425718</v>
      </c>
      <c r="CL43" s="886">
        <f t="shared" si="323"/>
        <v>7819.1097140015845</v>
      </c>
      <c r="CM43" s="886">
        <f t="shared" si="323"/>
        <v>8511.4712315827601</v>
      </c>
      <c r="CN43" s="886">
        <f t="shared" si="323"/>
        <v>8511.4712315827601</v>
      </c>
      <c r="CO43" s="886">
        <f t="shared" si="323"/>
        <v>9924.2747615802509</v>
      </c>
      <c r="CP43" s="886">
        <f t="shared" si="323"/>
        <v>10484.963218892744</v>
      </c>
      <c r="CQ43" s="886">
        <f t="shared" si="323"/>
        <v>11413.379024724974</v>
      </c>
      <c r="CR43" s="886">
        <f t="shared" si="323"/>
        <v>11413.379024724974</v>
      </c>
      <c r="CS43" s="886">
        <f t="shared" si="323"/>
        <v>13307.864917539564</v>
      </c>
      <c r="CT43" s="886">
        <f t="shared" si="323"/>
        <v>14059.714944870952</v>
      </c>
      <c r="CU43" s="886">
        <f t="shared" si="323"/>
        <v>15304.665576342246</v>
      </c>
      <c r="CV43" s="886">
        <f t="shared" ref="CV43:CW43" si="324">CV44+$CZ43</f>
        <v>15304.665576342246</v>
      </c>
      <c r="CW43" s="886">
        <f t="shared" si="324"/>
        <v>17845.059001095273</v>
      </c>
      <c r="CX43" s="718"/>
      <c r="CY43" s="402">
        <v>0</v>
      </c>
      <c r="CZ43" s="402">
        <v>0</v>
      </c>
    </row>
    <row r="44" spans="1:106" hidden="1" outlineLevel="1">
      <c r="A44" s="86" t="s">
        <v>200</v>
      </c>
      <c r="B44" s="887">
        <f t="shared" ref="B44:AM44" si="325">B42</f>
        <v>3.7120000000000002</v>
      </c>
      <c r="C44" s="887">
        <f t="shared" si="325"/>
        <v>3.7978999999999998</v>
      </c>
      <c r="D44" s="887">
        <f t="shared" si="325"/>
        <v>3.8431999999999999</v>
      </c>
      <c r="E44" s="887">
        <f t="shared" si="325"/>
        <v>3.8008000000000002</v>
      </c>
      <c r="F44" s="887">
        <f t="shared" si="325"/>
        <v>3.8730000000000002</v>
      </c>
      <c r="G44" s="887">
        <f t="shared" si="325"/>
        <v>3.9323999999999999</v>
      </c>
      <c r="H44" s="887">
        <f t="shared" si="325"/>
        <v>3.9603999999999999</v>
      </c>
      <c r="I44" s="887">
        <f t="shared" si="325"/>
        <v>3.9698000000000002</v>
      </c>
      <c r="J44" s="887">
        <f t="shared" si="325"/>
        <v>4.0540000000000003</v>
      </c>
      <c r="K44" s="887">
        <f t="shared" si="325"/>
        <v>4.1100000000000003</v>
      </c>
      <c r="L44" s="887">
        <f t="shared" si="325"/>
        <v>4.2050000000000001</v>
      </c>
      <c r="M44" s="887">
        <f t="shared" si="325"/>
        <v>4.3040000000000003</v>
      </c>
      <c r="N44" s="887">
        <f t="shared" si="325"/>
        <v>4.3789999999999996</v>
      </c>
      <c r="O44" s="887">
        <f t="shared" si="325"/>
        <v>4.5270000000000001</v>
      </c>
      <c r="P44" s="887">
        <f t="shared" si="325"/>
        <v>4.6970000000000001</v>
      </c>
      <c r="Q44" s="887">
        <f t="shared" si="325"/>
        <v>4.9180000000000001</v>
      </c>
      <c r="R44" s="887">
        <f t="shared" si="325"/>
        <v>5.1219999999999999</v>
      </c>
      <c r="S44" s="887">
        <f t="shared" si="325"/>
        <v>5.3879999999999999</v>
      </c>
      <c r="T44" s="887">
        <f t="shared" si="325"/>
        <v>5.7930000000000001</v>
      </c>
      <c r="U44" s="887">
        <f t="shared" si="325"/>
        <v>6.5209999999999999</v>
      </c>
      <c r="V44" s="887">
        <f t="shared" si="325"/>
        <v>8.0020000000000007</v>
      </c>
      <c r="W44" s="887">
        <f t="shared" si="325"/>
        <v>8.1329999999999991</v>
      </c>
      <c r="X44" s="887">
        <f t="shared" si="325"/>
        <v>8.43</v>
      </c>
      <c r="Y44" s="887">
        <f t="shared" si="325"/>
        <v>8.5510000000000002</v>
      </c>
      <c r="Z44" s="887">
        <f t="shared" si="325"/>
        <v>8.8219999999999992</v>
      </c>
      <c r="AA44" s="887">
        <f t="shared" si="325"/>
        <v>9.0879999999999992</v>
      </c>
      <c r="AB44" s="887">
        <f t="shared" si="325"/>
        <v>9.4220000000000006</v>
      </c>
      <c r="AC44" s="887">
        <f t="shared" si="325"/>
        <v>13.04</v>
      </c>
      <c r="AD44" s="887">
        <f t="shared" si="325"/>
        <v>14.7</v>
      </c>
      <c r="AE44" s="887">
        <f t="shared" si="325"/>
        <v>15.04</v>
      </c>
      <c r="AF44" s="887">
        <f t="shared" si="325"/>
        <v>15.31</v>
      </c>
      <c r="AG44" s="887">
        <f t="shared" si="325"/>
        <v>15.89</v>
      </c>
      <c r="AH44" s="887">
        <f t="shared" si="325"/>
        <v>15.39</v>
      </c>
      <c r="AI44" s="887">
        <f t="shared" si="325"/>
        <v>16.63</v>
      </c>
      <c r="AJ44" s="887">
        <f t="shared" si="325"/>
        <v>17.309999999999999</v>
      </c>
      <c r="AK44" s="887">
        <f t="shared" si="325"/>
        <v>18.649000000000001</v>
      </c>
      <c r="AL44" s="887">
        <f t="shared" si="325"/>
        <v>20.149000000000001</v>
      </c>
      <c r="AM44" s="887">
        <f t="shared" si="325"/>
        <v>28.85</v>
      </c>
      <c r="AN44" s="887">
        <f t="shared" ref="AN44:AS44" si="326">AN42</f>
        <v>41.25</v>
      </c>
      <c r="AO44" s="887">
        <f t="shared" si="326"/>
        <v>37.700000000000003</v>
      </c>
      <c r="AP44" s="887">
        <f t="shared" si="326"/>
        <v>43.35</v>
      </c>
      <c r="AQ44" s="887">
        <f t="shared" si="326"/>
        <v>42.463000000000001</v>
      </c>
      <c r="AR44" s="887">
        <f t="shared" si="326"/>
        <v>57.59</v>
      </c>
      <c r="AS44" s="887">
        <f t="shared" si="326"/>
        <v>59.89</v>
      </c>
      <c r="AT44" s="887">
        <f t="shared" ref="AT44:BB44" si="327">AT42</f>
        <v>64.468999999999994</v>
      </c>
      <c r="AU44" s="887">
        <f t="shared" si="327"/>
        <v>70.459999999999994</v>
      </c>
      <c r="AV44" s="887">
        <f t="shared" si="327"/>
        <v>76.450999999999993</v>
      </c>
      <c r="AW44" s="887">
        <f t="shared" si="327"/>
        <v>83</v>
      </c>
      <c r="AX44" s="887">
        <f t="shared" si="327"/>
        <v>97</v>
      </c>
      <c r="AY44" s="887">
        <f t="shared" si="327"/>
        <v>103</v>
      </c>
      <c r="AZ44" s="887">
        <f t="shared" si="327"/>
        <v>110</v>
      </c>
      <c r="BA44" s="887">
        <f t="shared" si="327"/>
        <v>95.092500000000001</v>
      </c>
      <c r="BB44" s="887">
        <f t="shared" si="327"/>
        <v>106.636875</v>
      </c>
      <c r="BC44" s="887">
        <f t="shared" ref="BC44:BG44" si="328">BC42</f>
        <v>118.014615384615</v>
      </c>
      <c r="BD44" s="887">
        <f t="shared" si="328"/>
        <v>95.092500000000001</v>
      </c>
      <c r="BE44" s="887">
        <f t="shared" si="328"/>
        <v>162.47461538461499</v>
      </c>
      <c r="BF44" s="887">
        <f t="shared" si="328"/>
        <v>192.627076923077</v>
      </c>
      <c r="BG44" s="887">
        <f t="shared" si="328"/>
        <v>232.48230769230801</v>
      </c>
      <c r="BH44" s="887">
        <f t="shared" ref="BH44" si="329">BH42</f>
        <v>313.50938461538499</v>
      </c>
      <c r="BI44" s="887">
        <f t="shared" ref="BI44" si="330">BI42</f>
        <v>443.72507692307698</v>
      </c>
      <c r="BJ44" s="887">
        <f t="shared" ref="BJ44" si="331">BJ42</f>
        <v>833.88046153846199</v>
      </c>
      <c r="BK44" s="1822">
        <v>885.24538461538395</v>
      </c>
      <c r="BL44" s="1426">
        <f t="shared" ref="BL44:BQ44" si="332">BL361</f>
        <v>1039.45</v>
      </c>
      <c r="BM44" s="1426">
        <f t="shared" si="332"/>
        <v>1218.03</v>
      </c>
      <c r="BN44" s="1426">
        <f t="shared" si="332"/>
        <v>1344.93</v>
      </c>
      <c r="BO44" s="1426">
        <f t="shared" si="332"/>
        <v>1464.02</v>
      </c>
      <c r="BP44" s="1426">
        <f t="shared" si="332"/>
        <v>1464.02</v>
      </c>
      <c r="BQ44" s="1426">
        <f t="shared" si="332"/>
        <v>1707.03</v>
      </c>
      <c r="BR44" s="1886">
        <f t="shared" ref="BR44" si="333">+BN44*(1+BR49)/(1+BR$75)</f>
        <v>1803.4715073423208</v>
      </c>
      <c r="BS44" s="1886">
        <f t="shared" ref="BS44" si="334">+BO44*(1+BS49)/(1+BS$75)</f>
        <v>1963.1641469662395</v>
      </c>
      <c r="BT44" s="1886">
        <f t="shared" ref="BT44" si="335">+BP44*(1+BT49)/(1+BT$75)</f>
        <v>1963.1641469662395</v>
      </c>
      <c r="BU44" s="1886">
        <f t="shared" ref="BU44" si="336">+BQ44*(1+BU49)/(1+BU$75)</f>
        <v>2289.026170268015</v>
      </c>
      <c r="BV44" s="1886">
        <f t="shared" ref="BV44" si="337">+BR44*(1+BV49)/(1+BV$75)</f>
        <v>2418.3485220759317</v>
      </c>
      <c r="BW44" s="1886">
        <f t="shared" ref="BW44" si="338">+BS44*(1+BW49)/(1+BW$75)</f>
        <v>2632.4868976746784</v>
      </c>
      <c r="BX44" s="1886">
        <f t="shared" ref="BX44" si="339">+BT44*(1+BX49)/(1+BX$75)</f>
        <v>2632.4868976746784</v>
      </c>
      <c r="BY44" s="1886">
        <f t="shared" ref="BY44" si="340">+BU44*(1+BY49)/(1+BY$75)</f>
        <v>3069.448579211763</v>
      </c>
      <c r="BZ44" s="1886">
        <f t="shared" ref="BZ44" si="341">+BV44*(1+BZ49)/(1+BZ$75)</f>
        <v>3242.8621968335556</v>
      </c>
      <c r="CA44" s="1886">
        <f t="shared" ref="CA44" si="342">+BW44*(1+CA49)/(1+CA$75)</f>
        <v>3530.0090810735592</v>
      </c>
      <c r="CB44" s="1886">
        <f t="shared" ref="CB44" si="343">+BX44*(1+CB49)/(1+CB$75)</f>
        <v>3530.0090810735592</v>
      </c>
      <c r="CC44" s="1886">
        <f t="shared" ref="CC44" si="344">+BY44*(1+CC49)/(1+CC$75)</f>
        <v>4115.94882697299</v>
      </c>
      <c r="CD44" s="1886">
        <f t="shared" ref="CD44" si="345">+BZ44*(1+CD49)/(1+CD$75)</f>
        <v>4348.486221756405</v>
      </c>
      <c r="CE44" s="1886">
        <f t="shared" ref="CE44" si="346">+CA44*(1+CE49)/(1+CE$75)</f>
        <v>4733.5331938285353</v>
      </c>
      <c r="CF44" s="1886">
        <f t="shared" ref="CF44" si="347">+CB44*(1+CF49)/(1+CF$75)</f>
        <v>4733.5331938285353</v>
      </c>
      <c r="CG44" s="1886">
        <f t="shared" ref="CG44" si="348">+CC44*(1+CG49)/(1+CG$75)</f>
        <v>5519.2437042261199</v>
      </c>
      <c r="CH44" s="1886">
        <f t="shared" ref="CH44" si="349">+CD44*(1+CH49)/(1+CH$75)</f>
        <v>5831.0625839324994</v>
      </c>
      <c r="CI44" s="1886">
        <f t="shared" ref="CI44" si="350">+CE44*(1+CI49)/(1+CI$75)</f>
        <v>6347.3877778983724</v>
      </c>
      <c r="CJ44" s="1886">
        <f t="shared" ref="CJ44" si="351">+CF44*(1+CJ49)/(1+CJ$75)</f>
        <v>6347.3877778983724</v>
      </c>
      <c r="CK44" s="1886">
        <f t="shared" ref="CK44:CL44" si="352">+CG44*(1+CK49)/(1+CK$75)</f>
        <v>7400.9790566425718</v>
      </c>
      <c r="CL44" s="1886">
        <f t="shared" si="352"/>
        <v>7819.1097140015845</v>
      </c>
      <c r="CM44" s="1886">
        <f t="shared" ref="CM44" si="353">+CI44*(1+CM49)/(1+CM$75)</f>
        <v>8511.4712315827601</v>
      </c>
      <c r="CN44" s="1886">
        <f t="shared" ref="CN44" si="354">+CJ44*(1+CN49)/(1+CN$75)</f>
        <v>8511.4712315827601</v>
      </c>
      <c r="CO44" s="1886">
        <f t="shared" ref="CO44" si="355">+CK44*(1+CO49)/(1+CO$75)</f>
        <v>9924.2747615802509</v>
      </c>
      <c r="CP44" s="1886">
        <f t="shared" ref="CP44" si="356">+CL44*(1+CP49)/(1+CP$75)</f>
        <v>10484.963218892744</v>
      </c>
      <c r="CQ44" s="1886">
        <f t="shared" ref="CQ44" si="357">+CM44*(1+CQ49)/(1+CQ$75)</f>
        <v>11413.379024724974</v>
      </c>
      <c r="CR44" s="1886">
        <f t="shared" ref="CR44" si="358">+CN44*(1+CR49)/(1+CR$75)</f>
        <v>11413.379024724974</v>
      </c>
      <c r="CS44" s="1886">
        <f t="shared" ref="CS44" si="359">+CO44*(1+CS49)/(1+CS$75)</f>
        <v>13307.864917539564</v>
      </c>
      <c r="CT44" s="1886">
        <f t="shared" ref="CT44" si="360">+CP44*(1+CT49)/(1+CT$75)</f>
        <v>14059.714944870952</v>
      </c>
      <c r="CU44" s="1886">
        <f t="shared" ref="CU44" si="361">+CQ44*(1+CU49)/(1+CU$75)</f>
        <v>15304.665576342246</v>
      </c>
      <c r="CV44" s="1886">
        <f t="shared" ref="CV44" si="362">+CR44*(1+CV49)/(1+CV$75)</f>
        <v>15304.665576342246</v>
      </c>
      <c r="CW44" s="1886">
        <f t="shared" ref="CW44" si="363">+CS44*(1+CW49)/(1+CW$75)</f>
        <v>17845.059001095273</v>
      </c>
      <c r="CX44" s="718"/>
      <c r="CY44" s="269"/>
      <c r="CZ44" s="269"/>
    </row>
    <row r="45" spans="1:106" hidden="1" outlineLevel="1">
      <c r="A45" s="86" t="s">
        <v>202</v>
      </c>
      <c r="B45" s="887">
        <f t="shared" ref="B45:AM45" si="364">B42</f>
        <v>3.7120000000000002</v>
      </c>
      <c r="C45" s="887">
        <f t="shared" si="364"/>
        <v>3.7978999999999998</v>
      </c>
      <c r="D45" s="887">
        <f t="shared" si="364"/>
        <v>3.8431999999999999</v>
      </c>
      <c r="E45" s="887">
        <f t="shared" si="364"/>
        <v>3.8008000000000002</v>
      </c>
      <c r="F45" s="887">
        <f t="shared" si="364"/>
        <v>3.8730000000000002</v>
      </c>
      <c r="G45" s="887">
        <f t="shared" si="364"/>
        <v>3.9323999999999999</v>
      </c>
      <c r="H45" s="887">
        <f t="shared" si="364"/>
        <v>3.9603999999999999</v>
      </c>
      <c r="I45" s="887">
        <f t="shared" si="364"/>
        <v>3.9698000000000002</v>
      </c>
      <c r="J45" s="887">
        <f t="shared" si="364"/>
        <v>4.0540000000000003</v>
      </c>
      <c r="K45" s="887">
        <f t="shared" si="364"/>
        <v>4.1100000000000003</v>
      </c>
      <c r="L45" s="887">
        <f t="shared" si="364"/>
        <v>4.2050000000000001</v>
      </c>
      <c r="M45" s="887">
        <f t="shared" si="364"/>
        <v>4.3040000000000003</v>
      </c>
      <c r="N45" s="887">
        <f t="shared" si="364"/>
        <v>4.3789999999999996</v>
      </c>
      <c r="O45" s="887">
        <f t="shared" si="364"/>
        <v>4.5270000000000001</v>
      </c>
      <c r="P45" s="887">
        <f t="shared" si="364"/>
        <v>4.6970000000000001</v>
      </c>
      <c r="Q45" s="887">
        <f t="shared" si="364"/>
        <v>4.9180000000000001</v>
      </c>
      <c r="R45" s="887">
        <f t="shared" si="364"/>
        <v>5.1219999999999999</v>
      </c>
      <c r="S45" s="887">
        <f t="shared" si="364"/>
        <v>5.3879999999999999</v>
      </c>
      <c r="T45" s="887">
        <f t="shared" si="364"/>
        <v>5.7930000000000001</v>
      </c>
      <c r="U45" s="887">
        <f t="shared" si="364"/>
        <v>6.5209999999999999</v>
      </c>
      <c r="V45" s="887">
        <f t="shared" si="364"/>
        <v>8.0020000000000007</v>
      </c>
      <c r="W45" s="887">
        <f t="shared" si="364"/>
        <v>8.1329999999999991</v>
      </c>
      <c r="X45" s="887">
        <f t="shared" si="364"/>
        <v>8.43</v>
      </c>
      <c r="Y45" s="887">
        <f t="shared" si="364"/>
        <v>8.5510000000000002</v>
      </c>
      <c r="Z45" s="887">
        <f t="shared" si="364"/>
        <v>8.8219999999999992</v>
      </c>
      <c r="AA45" s="887">
        <f t="shared" si="364"/>
        <v>9.0879999999999992</v>
      </c>
      <c r="AB45" s="887">
        <f t="shared" si="364"/>
        <v>9.4220000000000006</v>
      </c>
      <c r="AC45" s="887">
        <f t="shared" si="364"/>
        <v>13.04</v>
      </c>
      <c r="AD45" s="887">
        <f t="shared" si="364"/>
        <v>14.7</v>
      </c>
      <c r="AE45" s="887">
        <f t="shared" si="364"/>
        <v>15.04</v>
      </c>
      <c r="AF45" s="887">
        <f t="shared" si="364"/>
        <v>15.31</v>
      </c>
      <c r="AG45" s="887">
        <f t="shared" si="364"/>
        <v>15.89</v>
      </c>
      <c r="AH45" s="887">
        <f t="shared" si="364"/>
        <v>15.39</v>
      </c>
      <c r="AI45" s="887">
        <f t="shared" si="364"/>
        <v>16.63</v>
      </c>
      <c r="AJ45" s="887">
        <f t="shared" si="364"/>
        <v>17.309999999999999</v>
      </c>
      <c r="AK45" s="887">
        <f t="shared" si="364"/>
        <v>18.649000000000001</v>
      </c>
      <c r="AL45" s="887">
        <f t="shared" si="364"/>
        <v>20.149000000000001</v>
      </c>
      <c r="AM45" s="887">
        <f t="shared" si="364"/>
        <v>28.85</v>
      </c>
      <c r="AN45" s="887">
        <f t="shared" ref="AN45:AS45" si="365">AN42</f>
        <v>41.25</v>
      </c>
      <c r="AO45" s="887">
        <f t="shared" si="365"/>
        <v>37.700000000000003</v>
      </c>
      <c r="AP45" s="887">
        <f t="shared" si="365"/>
        <v>43.35</v>
      </c>
      <c r="AQ45" s="887">
        <f t="shared" si="365"/>
        <v>42.463000000000001</v>
      </c>
      <c r="AR45" s="887">
        <f t="shared" si="365"/>
        <v>57.59</v>
      </c>
      <c r="AS45" s="887">
        <f t="shared" si="365"/>
        <v>59.89</v>
      </c>
      <c r="AT45" s="887">
        <f t="shared" ref="AT45:BB45" si="366">AT42</f>
        <v>64.468999999999994</v>
      </c>
      <c r="AU45" s="887">
        <f t="shared" si="366"/>
        <v>70.459999999999994</v>
      </c>
      <c r="AV45" s="887">
        <f t="shared" si="366"/>
        <v>76.450999999999993</v>
      </c>
      <c r="AW45" s="887">
        <f t="shared" si="366"/>
        <v>83</v>
      </c>
      <c r="AX45" s="887">
        <f t="shared" si="366"/>
        <v>97</v>
      </c>
      <c r="AY45" s="887">
        <f t="shared" si="366"/>
        <v>103</v>
      </c>
      <c r="AZ45" s="887">
        <f t="shared" si="366"/>
        <v>110</v>
      </c>
      <c r="BA45" s="887">
        <f t="shared" si="366"/>
        <v>95.092500000000001</v>
      </c>
      <c r="BB45" s="887">
        <f t="shared" si="366"/>
        <v>106.636875</v>
      </c>
      <c r="BC45" s="887">
        <f t="shared" ref="BC45:BG45" si="367">BC42</f>
        <v>118.014615384615</v>
      </c>
      <c r="BD45" s="887">
        <f t="shared" si="367"/>
        <v>95.092500000000001</v>
      </c>
      <c r="BE45" s="887">
        <f t="shared" si="367"/>
        <v>162.47461538461499</v>
      </c>
      <c r="BF45" s="887">
        <f t="shared" si="367"/>
        <v>192.627076923077</v>
      </c>
      <c r="BG45" s="887">
        <f t="shared" si="367"/>
        <v>232.48230769230801</v>
      </c>
      <c r="BH45" s="887">
        <f t="shared" ref="BH45" si="368">BH42</f>
        <v>313.50938461538499</v>
      </c>
      <c r="BI45" s="887">
        <f t="shared" ref="BI45" si="369">BI42</f>
        <v>443.72507692307698</v>
      </c>
      <c r="BJ45" s="887">
        <f t="shared" ref="BJ45:BK45" si="370">BJ42</f>
        <v>833.88046153846199</v>
      </c>
      <c r="BK45" s="1822">
        <f t="shared" si="370"/>
        <v>885.24538461538395</v>
      </c>
      <c r="BL45" s="888">
        <f t="shared" ref="BL45:BQ45" si="371">BL44+$CY45</f>
        <v>1039.45</v>
      </c>
      <c r="BM45" s="888">
        <f t="shared" si="371"/>
        <v>1218.03</v>
      </c>
      <c r="BN45" s="888">
        <f t="shared" si="371"/>
        <v>1344.93</v>
      </c>
      <c r="BO45" s="888">
        <f t="shared" si="371"/>
        <v>1464.02</v>
      </c>
      <c r="BP45" s="888">
        <f t="shared" si="371"/>
        <v>1464.02</v>
      </c>
      <c r="BQ45" s="888">
        <f t="shared" si="371"/>
        <v>1707.03</v>
      </c>
      <c r="BR45" s="888">
        <f t="shared" ref="BR45:CU45" si="372">BR44+$CZ45</f>
        <v>1803.4715073423208</v>
      </c>
      <c r="BS45" s="888">
        <f t="shared" si="372"/>
        <v>1963.1641469662395</v>
      </c>
      <c r="BT45" s="888">
        <f t="shared" si="372"/>
        <v>1963.1641469662395</v>
      </c>
      <c r="BU45" s="888">
        <f t="shared" si="372"/>
        <v>2289.026170268015</v>
      </c>
      <c r="BV45" s="888">
        <f t="shared" si="372"/>
        <v>2418.3485220759317</v>
      </c>
      <c r="BW45" s="888">
        <f t="shared" si="372"/>
        <v>2632.4868976746784</v>
      </c>
      <c r="BX45" s="888">
        <f t="shared" si="372"/>
        <v>2632.4868976746784</v>
      </c>
      <c r="BY45" s="888">
        <f t="shared" si="372"/>
        <v>3069.448579211763</v>
      </c>
      <c r="BZ45" s="888">
        <f t="shared" si="372"/>
        <v>3242.8621968335556</v>
      </c>
      <c r="CA45" s="888">
        <f t="shared" si="372"/>
        <v>3530.0090810735592</v>
      </c>
      <c r="CB45" s="888">
        <f t="shared" si="372"/>
        <v>3530.0090810735592</v>
      </c>
      <c r="CC45" s="888">
        <f t="shared" si="372"/>
        <v>4115.94882697299</v>
      </c>
      <c r="CD45" s="888">
        <f t="shared" si="372"/>
        <v>4348.486221756405</v>
      </c>
      <c r="CE45" s="888">
        <f t="shared" si="372"/>
        <v>4733.5331938285353</v>
      </c>
      <c r="CF45" s="888">
        <f t="shared" si="372"/>
        <v>4733.5331938285353</v>
      </c>
      <c r="CG45" s="888">
        <f t="shared" si="372"/>
        <v>5519.2437042261199</v>
      </c>
      <c r="CH45" s="888">
        <f t="shared" si="372"/>
        <v>5831.0625839324994</v>
      </c>
      <c r="CI45" s="888">
        <f t="shared" si="372"/>
        <v>6347.3877778983724</v>
      </c>
      <c r="CJ45" s="888">
        <f t="shared" si="372"/>
        <v>6347.3877778983724</v>
      </c>
      <c r="CK45" s="888">
        <f t="shared" si="372"/>
        <v>7400.9790566425718</v>
      </c>
      <c r="CL45" s="888">
        <f t="shared" si="372"/>
        <v>7819.1097140015845</v>
      </c>
      <c r="CM45" s="888">
        <f t="shared" si="372"/>
        <v>8511.4712315827601</v>
      </c>
      <c r="CN45" s="888">
        <f t="shared" si="372"/>
        <v>8511.4712315827601</v>
      </c>
      <c r="CO45" s="888">
        <f t="shared" si="372"/>
        <v>9924.2747615802509</v>
      </c>
      <c r="CP45" s="888">
        <f t="shared" si="372"/>
        <v>10484.963218892744</v>
      </c>
      <c r="CQ45" s="888">
        <f t="shared" si="372"/>
        <v>11413.379024724974</v>
      </c>
      <c r="CR45" s="888">
        <f t="shared" si="372"/>
        <v>11413.379024724974</v>
      </c>
      <c r="CS45" s="888">
        <f t="shared" si="372"/>
        <v>13307.864917539564</v>
      </c>
      <c r="CT45" s="888">
        <f t="shared" si="372"/>
        <v>14059.714944870952</v>
      </c>
      <c r="CU45" s="888">
        <f t="shared" si="372"/>
        <v>15304.665576342246</v>
      </c>
      <c r="CV45" s="888">
        <f t="shared" ref="CV45:CW45" si="373">CV44+$CZ45</f>
        <v>15304.665576342246</v>
      </c>
      <c r="CW45" s="888">
        <f t="shared" si="373"/>
        <v>17845.059001095273</v>
      </c>
      <c r="CX45" s="718"/>
      <c r="CY45" s="402">
        <v>0</v>
      </c>
      <c r="CZ45" s="402">
        <v>0</v>
      </c>
    </row>
    <row r="46" spans="1:106" hidden="1" outlineLevel="1">
      <c r="A46" s="86"/>
      <c r="B46" s="887"/>
      <c r="C46" s="887"/>
      <c r="D46" s="887"/>
      <c r="E46" s="887"/>
      <c r="F46" s="887"/>
      <c r="G46" s="887"/>
      <c r="H46" s="887"/>
      <c r="I46" s="887"/>
      <c r="J46" s="887"/>
      <c r="K46" s="887"/>
      <c r="L46" s="887"/>
      <c r="M46" s="887"/>
      <c r="N46" s="887"/>
      <c r="O46" s="887"/>
      <c r="P46" s="887"/>
      <c r="Q46" s="887"/>
      <c r="R46" s="887"/>
      <c r="S46" s="887"/>
      <c r="T46" s="887"/>
      <c r="U46" s="887"/>
      <c r="V46" s="887"/>
      <c r="W46" s="887"/>
      <c r="X46" s="887"/>
      <c r="Y46" s="887"/>
      <c r="Z46" s="887"/>
      <c r="AA46" s="887"/>
      <c r="AB46" s="887"/>
      <c r="AC46" s="887"/>
      <c r="AD46" s="887"/>
      <c r="AE46" s="887"/>
      <c r="AF46" s="887"/>
      <c r="AG46" s="887"/>
      <c r="AH46" s="887"/>
      <c r="AI46" s="887"/>
      <c r="AJ46" s="887"/>
      <c r="AK46" s="887"/>
      <c r="AL46" s="887"/>
      <c r="AM46" s="887"/>
      <c r="AN46" s="887"/>
      <c r="AO46" s="887"/>
      <c r="AP46" s="887"/>
      <c r="AQ46" s="887"/>
      <c r="AR46" s="887"/>
      <c r="AS46" s="887"/>
      <c r="AT46" s="887"/>
      <c r="AU46" s="888"/>
      <c r="AV46" s="888"/>
      <c r="AW46" s="888"/>
      <c r="AX46" s="888"/>
      <c r="AY46" s="888"/>
      <c r="AZ46" s="888"/>
      <c r="BA46" s="888"/>
      <c r="BB46" s="888"/>
      <c r="BC46" s="888"/>
      <c r="BD46" s="888"/>
      <c r="BE46" s="888"/>
      <c r="BF46" s="888"/>
      <c r="BG46" s="888"/>
      <c r="BH46" s="888"/>
      <c r="BI46" s="888"/>
      <c r="BJ46" s="888"/>
      <c r="BK46" s="1823"/>
      <c r="BL46" s="888"/>
      <c r="BM46" s="888"/>
      <c r="BN46" s="888"/>
      <c r="BO46" s="888"/>
      <c r="BP46" s="888"/>
      <c r="BQ46" s="888"/>
      <c r="BR46" s="888"/>
      <c r="BS46" s="888"/>
      <c r="BT46" s="888"/>
      <c r="BU46" s="888"/>
      <c r="BV46" s="888"/>
      <c r="BW46" s="888"/>
      <c r="BX46" s="888"/>
      <c r="BY46" s="888"/>
      <c r="BZ46" s="888"/>
      <c r="CA46" s="888"/>
      <c r="CB46" s="888"/>
      <c r="CC46" s="888"/>
      <c r="CD46" s="888"/>
      <c r="CE46" s="888"/>
      <c r="CF46" s="888"/>
      <c r="CG46" s="888"/>
      <c r="CH46" s="888"/>
      <c r="CI46" s="888"/>
      <c r="CJ46" s="888"/>
      <c r="CK46" s="888"/>
      <c r="CL46" s="888"/>
      <c r="CM46" s="888"/>
      <c r="CN46" s="888"/>
      <c r="CO46" s="888"/>
      <c r="CP46" s="888"/>
      <c r="CQ46" s="888"/>
      <c r="CR46" s="888"/>
      <c r="CS46" s="888"/>
      <c r="CT46" s="888"/>
      <c r="CU46" s="888"/>
      <c r="CV46" s="888"/>
      <c r="CW46" s="888"/>
      <c r="CX46" s="718"/>
      <c r="CY46" s="269"/>
      <c r="CZ46" s="269"/>
    </row>
    <row r="47" spans="1:106" hidden="1" outlineLevel="1">
      <c r="A47" s="691" t="s">
        <v>988</v>
      </c>
      <c r="B47" s="397">
        <v>6.2512603347449014E-2</v>
      </c>
      <c r="C47" s="397">
        <v>5.2667984189723294E-2</v>
      </c>
      <c r="D47" s="397">
        <v>6.151896265964707E-2</v>
      </c>
      <c r="E47" s="397">
        <v>7.6945328319352191E-2</v>
      </c>
      <c r="F47" s="397">
        <v>9.6602770924274051E-2</v>
      </c>
      <c r="G47" s="397">
        <v>0.1100159579461184</v>
      </c>
      <c r="H47" s="397">
        <v>0.11085598824393839</v>
      </c>
      <c r="I47" s="397">
        <v>0.10923090697466198</v>
      </c>
      <c r="J47" s="397">
        <v>9.7005884389061992E-2</v>
      </c>
      <c r="K47" s="397">
        <v>9.6744186046511693E-2</v>
      </c>
      <c r="L47" s="397">
        <v>9.8883836295990069E-2</v>
      </c>
      <c r="M47" s="397">
        <v>9.5084349019291192E-2</v>
      </c>
      <c r="N47" s="397">
        <v>9.8000000000000004E-2</v>
      </c>
      <c r="O47" s="397">
        <v>9.9000000000000005E-2</v>
      </c>
      <c r="P47" s="397">
        <v>0.122</v>
      </c>
      <c r="Q47" s="397">
        <v>0.161</v>
      </c>
      <c r="R47" s="397">
        <v>0.18899999999999997</v>
      </c>
      <c r="S47" s="397">
        <v>0.22500000000000001</v>
      </c>
      <c r="T47" s="397">
        <v>0.25</v>
      </c>
      <c r="U47" s="397">
        <v>0.26600000000000001</v>
      </c>
      <c r="V47" s="397">
        <v>0.36700000000000005</v>
      </c>
      <c r="W47" s="397">
        <v>0.40200000000000002</v>
      </c>
      <c r="X47" s="397">
        <v>0.40299999999999997</v>
      </c>
      <c r="Y47" s="397">
        <v>0.38</v>
      </c>
      <c r="Z47" s="397">
        <v>0.28000000000000003</v>
      </c>
      <c r="AA47" s="397">
        <v>0.255</v>
      </c>
      <c r="AB47" s="397">
        <v>0.24</v>
      </c>
      <c r="AC47" s="397">
        <v>0.26899999999999996</v>
      </c>
      <c r="AD47" s="397">
        <v>0.35</v>
      </c>
      <c r="AE47" s="397">
        <v>0.45700000000000002</v>
      </c>
      <c r="AF47" s="397">
        <v>0.42599999999999999</v>
      </c>
      <c r="AG47" s="397">
        <v>0.39299999999999996</v>
      </c>
      <c r="AH47" s="397">
        <v>0.32200000000000001</v>
      </c>
      <c r="AI47" s="397">
        <v>0.217</v>
      </c>
      <c r="AJ47" s="397">
        <v>0.23800000000000002</v>
      </c>
      <c r="AK47" s="397">
        <v>0.248</v>
      </c>
      <c r="AL47" s="397">
        <v>0.254</v>
      </c>
      <c r="AM47" s="397">
        <v>0.29499999999999998</v>
      </c>
      <c r="AN47" s="397">
        <v>0.40500000000000003</v>
      </c>
      <c r="AO47" s="397">
        <v>0.47600000000000003</v>
      </c>
      <c r="AP47" s="397">
        <v>0.54700000000000004</v>
      </c>
      <c r="AQ47" s="397">
        <v>0.55799999999999994</v>
      </c>
      <c r="AR47" s="397">
        <v>0.53500000000000003</v>
      </c>
      <c r="AS47" s="397">
        <v>0.53799999999999992</v>
      </c>
      <c r="AT47" s="397">
        <v>0.48356866551335176</v>
      </c>
      <c r="AU47" s="397">
        <v>0.42758749118769801</v>
      </c>
      <c r="AV47" s="397">
        <v>0.36620719230050613</v>
      </c>
      <c r="AW47" s="397">
        <v>0.36140587812345393</v>
      </c>
      <c r="AX47" s="397">
        <v>0.42648849702914249</v>
      </c>
      <c r="AY47" s="397">
        <v>0.5020007839147167</v>
      </c>
      <c r="AZ47" s="397">
        <v>0.52471217096959344</v>
      </c>
      <c r="BA47" s="397">
        <v>0.50941633543466391</v>
      </c>
      <c r="BB47" s="397">
        <v>0.5510663032213825</v>
      </c>
      <c r="BC47" s="397">
        <v>0.63982581648779857</v>
      </c>
      <c r="BD47" s="397">
        <v>0.83029982395352309</v>
      </c>
      <c r="BE47" s="397">
        <v>0.94793182335191917</v>
      </c>
      <c r="BF47" s="397">
        <v>1.0429651896009893</v>
      </c>
      <c r="BG47" s="397">
        <v>1.1558027347843289</v>
      </c>
      <c r="BH47" s="397">
        <v>1.3828244500508413</v>
      </c>
      <c r="BI47" s="397">
        <v>2.1140764374717671</v>
      </c>
      <c r="BJ47" s="397">
        <v>2.8786907470031879</v>
      </c>
      <c r="BK47" s="1824">
        <v>2.8209147086771456</v>
      </c>
      <c r="BL47" s="398">
        <f t="shared" ref="BL47:BQ47" si="374">CHOOSE(MASTERSWITCH,BL48,BL49,BL50)</f>
        <v>2.3308387888508721</v>
      </c>
      <c r="BM47" s="398">
        <f t="shared" si="374"/>
        <v>1.5392684959615153</v>
      </c>
      <c r="BN47" s="398">
        <f t="shared" si="374"/>
        <v>0.89834118289293174</v>
      </c>
      <c r="BO47" s="398">
        <f t="shared" si="374"/>
        <v>0.69617255422502855</v>
      </c>
      <c r="BP47" s="398">
        <f t="shared" si="374"/>
        <v>0.52252680444252664</v>
      </c>
      <c r="BQ47" s="398">
        <f t="shared" si="374"/>
        <v>0.37044149547102956</v>
      </c>
      <c r="BR47" s="398">
        <f t="shared" ref="BR47:CK47" si="375">CHOOSE(MASTERSWITCH,BR48,BR49,BR50)</f>
        <v>0.37044149547102956</v>
      </c>
      <c r="BS47" s="398">
        <f t="shared" si="375"/>
        <v>0.37044149547102956</v>
      </c>
      <c r="BT47" s="398">
        <f t="shared" si="375"/>
        <v>0.37044149547102956</v>
      </c>
      <c r="BU47" s="398">
        <f t="shared" si="375"/>
        <v>0.37044149547102956</v>
      </c>
      <c r="BV47" s="398">
        <f t="shared" si="375"/>
        <v>0.37044149547102956</v>
      </c>
      <c r="BW47" s="398">
        <f t="shared" si="375"/>
        <v>0.37044149547102956</v>
      </c>
      <c r="BX47" s="398">
        <f t="shared" si="375"/>
        <v>0.37044149547102956</v>
      </c>
      <c r="BY47" s="398">
        <f t="shared" si="375"/>
        <v>0.37044149547102956</v>
      </c>
      <c r="BZ47" s="398">
        <f t="shared" si="375"/>
        <v>0.37044149547102956</v>
      </c>
      <c r="CA47" s="398">
        <f t="shared" si="375"/>
        <v>0.37044149547102956</v>
      </c>
      <c r="CB47" s="398">
        <f t="shared" si="375"/>
        <v>0.37044149547102956</v>
      </c>
      <c r="CC47" s="398">
        <f t="shared" si="375"/>
        <v>0.37044149547102956</v>
      </c>
      <c r="CD47" s="398">
        <f t="shared" si="375"/>
        <v>0.37044149547102956</v>
      </c>
      <c r="CE47" s="398">
        <f t="shared" si="375"/>
        <v>0.37044149547102956</v>
      </c>
      <c r="CF47" s="398">
        <f t="shared" si="375"/>
        <v>0.37044149547102956</v>
      </c>
      <c r="CG47" s="398">
        <f t="shared" si="375"/>
        <v>0.37044149547102956</v>
      </c>
      <c r="CH47" s="398">
        <f t="shared" si="375"/>
        <v>0.37044149547102956</v>
      </c>
      <c r="CI47" s="398">
        <f t="shared" si="375"/>
        <v>0.37044149547102956</v>
      </c>
      <c r="CJ47" s="398">
        <f t="shared" si="375"/>
        <v>0.37044149547102956</v>
      </c>
      <c r="CK47" s="398">
        <f t="shared" si="375"/>
        <v>0.37044149547102956</v>
      </c>
      <c r="CL47" s="398">
        <f t="shared" ref="CL47:CP47" si="376">CHOOSE(MASTERSWITCH,CL48,CL49,CL50)</f>
        <v>0.37044149547102956</v>
      </c>
      <c r="CM47" s="398">
        <f t="shared" si="376"/>
        <v>0.37044149547102956</v>
      </c>
      <c r="CN47" s="398">
        <f t="shared" si="376"/>
        <v>0.37044149547102956</v>
      </c>
      <c r="CO47" s="398">
        <f t="shared" si="376"/>
        <v>0.37044149547102956</v>
      </c>
      <c r="CP47" s="398">
        <f t="shared" si="376"/>
        <v>0.37044149547102956</v>
      </c>
      <c r="CQ47" s="398">
        <f t="shared" ref="CQ47:CU47" si="377">CHOOSE(MASTERSWITCH,CQ48,CQ49,CQ50)</f>
        <v>0.37044149547102956</v>
      </c>
      <c r="CR47" s="398">
        <f t="shared" si="377"/>
        <v>0.37044149547102956</v>
      </c>
      <c r="CS47" s="398">
        <f t="shared" si="377"/>
        <v>0.37044149547102956</v>
      </c>
      <c r="CT47" s="398">
        <f t="shared" si="377"/>
        <v>0.37044149547102956</v>
      </c>
      <c r="CU47" s="398">
        <f t="shared" si="377"/>
        <v>0.37044149547102956</v>
      </c>
      <c r="CV47" s="398">
        <f t="shared" ref="CV47:CW47" si="378">CHOOSE(MASTERSWITCH,CV48,CV49,CV50)</f>
        <v>0.37044149547102956</v>
      </c>
      <c r="CW47" s="398">
        <f t="shared" si="378"/>
        <v>0.37044149547102956</v>
      </c>
      <c r="CX47" s="718"/>
      <c r="CY47" s="269"/>
      <c r="CZ47" s="269"/>
      <c r="DB47" s="173"/>
    </row>
    <row r="48" spans="1:106" hidden="1" outlineLevel="1">
      <c r="A48" s="86" t="s">
        <v>571</v>
      </c>
      <c r="B48" s="149">
        <f t="shared" ref="B48:AM48" si="379">B47</f>
        <v>6.2512603347449014E-2</v>
      </c>
      <c r="C48" s="149">
        <f t="shared" si="379"/>
        <v>5.2667984189723294E-2</v>
      </c>
      <c r="D48" s="149">
        <f t="shared" si="379"/>
        <v>6.151896265964707E-2</v>
      </c>
      <c r="E48" s="149">
        <f t="shared" si="379"/>
        <v>7.6945328319352191E-2</v>
      </c>
      <c r="F48" s="149">
        <f t="shared" si="379"/>
        <v>9.6602770924274051E-2</v>
      </c>
      <c r="G48" s="149">
        <f t="shared" si="379"/>
        <v>0.1100159579461184</v>
      </c>
      <c r="H48" s="149">
        <f t="shared" si="379"/>
        <v>0.11085598824393839</v>
      </c>
      <c r="I48" s="149">
        <f t="shared" si="379"/>
        <v>0.10923090697466198</v>
      </c>
      <c r="J48" s="149">
        <f t="shared" si="379"/>
        <v>9.7005884389061992E-2</v>
      </c>
      <c r="K48" s="149">
        <f t="shared" si="379"/>
        <v>9.6744186046511693E-2</v>
      </c>
      <c r="L48" s="149">
        <f t="shared" si="379"/>
        <v>9.8883836295990069E-2</v>
      </c>
      <c r="M48" s="149">
        <f t="shared" si="379"/>
        <v>9.5084349019291192E-2</v>
      </c>
      <c r="N48" s="149">
        <f t="shared" si="379"/>
        <v>9.8000000000000004E-2</v>
      </c>
      <c r="O48" s="149">
        <f t="shared" si="379"/>
        <v>9.9000000000000005E-2</v>
      </c>
      <c r="P48" s="149">
        <f t="shared" si="379"/>
        <v>0.122</v>
      </c>
      <c r="Q48" s="149">
        <f t="shared" si="379"/>
        <v>0.161</v>
      </c>
      <c r="R48" s="149">
        <f t="shared" si="379"/>
        <v>0.18899999999999997</v>
      </c>
      <c r="S48" s="149">
        <f t="shared" si="379"/>
        <v>0.22500000000000001</v>
      </c>
      <c r="T48" s="149">
        <f t="shared" si="379"/>
        <v>0.25</v>
      </c>
      <c r="U48" s="149">
        <f t="shared" si="379"/>
        <v>0.26600000000000001</v>
      </c>
      <c r="V48" s="149">
        <f t="shared" si="379"/>
        <v>0.36700000000000005</v>
      </c>
      <c r="W48" s="149">
        <f t="shared" si="379"/>
        <v>0.40200000000000002</v>
      </c>
      <c r="X48" s="149">
        <f t="shared" si="379"/>
        <v>0.40299999999999997</v>
      </c>
      <c r="Y48" s="149">
        <f t="shared" si="379"/>
        <v>0.38</v>
      </c>
      <c r="Z48" s="149">
        <f t="shared" si="379"/>
        <v>0.28000000000000003</v>
      </c>
      <c r="AA48" s="149">
        <f t="shared" si="379"/>
        <v>0.255</v>
      </c>
      <c r="AB48" s="149">
        <f t="shared" si="379"/>
        <v>0.24</v>
      </c>
      <c r="AC48" s="149">
        <f t="shared" si="379"/>
        <v>0.26899999999999996</v>
      </c>
      <c r="AD48" s="149">
        <f t="shared" si="379"/>
        <v>0.35</v>
      </c>
      <c r="AE48" s="149">
        <f t="shared" si="379"/>
        <v>0.45700000000000002</v>
      </c>
      <c r="AF48" s="149">
        <f t="shared" si="379"/>
        <v>0.42599999999999999</v>
      </c>
      <c r="AG48" s="149">
        <f t="shared" si="379"/>
        <v>0.39299999999999996</v>
      </c>
      <c r="AH48" s="149">
        <f t="shared" si="379"/>
        <v>0.32200000000000001</v>
      </c>
      <c r="AI48" s="149">
        <f t="shared" si="379"/>
        <v>0.217</v>
      </c>
      <c r="AJ48" s="149">
        <f t="shared" si="379"/>
        <v>0.23800000000000002</v>
      </c>
      <c r="AK48" s="149">
        <f t="shared" si="379"/>
        <v>0.248</v>
      </c>
      <c r="AL48" s="149">
        <f t="shared" si="379"/>
        <v>0.254</v>
      </c>
      <c r="AM48" s="149">
        <f t="shared" si="379"/>
        <v>0.29499999999999998</v>
      </c>
      <c r="AN48" s="149">
        <f t="shared" ref="AN48:AS48" si="380">AN47</f>
        <v>0.40500000000000003</v>
      </c>
      <c r="AO48" s="149">
        <f t="shared" si="380"/>
        <v>0.47600000000000003</v>
      </c>
      <c r="AP48" s="149">
        <f t="shared" si="380"/>
        <v>0.54700000000000004</v>
      </c>
      <c r="AQ48" s="149">
        <f t="shared" si="380"/>
        <v>0.55799999999999994</v>
      </c>
      <c r="AR48" s="149">
        <f t="shared" si="380"/>
        <v>0.53500000000000003</v>
      </c>
      <c r="AS48" s="149">
        <f t="shared" si="380"/>
        <v>0.53799999999999992</v>
      </c>
      <c r="AT48" s="149">
        <f t="shared" ref="AT48:BB48" si="381">AT47</f>
        <v>0.48356866551335176</v>
      </c>
      <c r="AU48" s="149">
        <f t="shared" si="381"/>
        <v>0.42758749118769801</v>
      </c>
      <c r="AV48" s="149">
        <f t="shared" si="381"/>
        <v>0.36620719230050613</v>
      </c>
      <c r="AW48" s="149">
        <f t="shared" si="381"/>
        <v>0.36140587812345393</v>
      </c>
      <c r="AX48" s="149">
        <f t="shared" si="381"/>
        <v>0.42648849702914249</v>
      </c>
      <c r="AY48" s="149">
        <f t="shared" si="381"/>
        <v>0.5020007839147167</v>
      </c>
      <c r="AZ48" s="149">
        <f t="shared" si="381"/>
        <v>0.52471217096959344</v>
      </c>
      <c r="BA48" s="149">
        <f t="shared" si="381"/>
        <v>0.50941633543466391</v>
      </c>
      <c r="BB48" s="149">
        <f t="shared" si="381"/>
        <v>0.5510663032213825</v>
      </c>
      <c r="BC48" s="149">
        <f t="shared" ref="BC48:BG48" si="382">BC47</f>
        <v>0.63982581648779857</v>
      </c>
      <c r="BD48" s="149">
        <f t="shared" si="382"/>
        <v>0.83029982395352309</v>
      </c>
      <c r="BE48" s="149">
        <f t="shared" si="382"/>
        <v>0.94793182335191917</v>
      </c>
      <c r="BF48" s="149">
        <f t="shared" si="382"/>
        <v>1.0429651896009893</v>
      </c>
      <c r="BG48" s="149">
        <f t="shared" si="382"/>
        <v>1.1558027347843289</v>
      </c>
      <c r="BH48" s="149">
        <f t="shared" ref="BH48" si="383">BH47</f>
        <v>1.3828244500508413</v>
      </c>
      <c r="BI48" s="149">
        <f t="shared" ref="BI48" si="384">BI47</f>
        <v>2.1140764374717671</v>
      </c>
      <c r="BJ48" s="149">
        <f t="shared" ref="BJ48:BK48" si="385">BJ47</f>
        <v>2.8786907470031879</v>
      </c>
      <c r="BK48" s="1825">
        <f t="shared" si="385"/>
        <v>2.8209147086771456</v>
      </c>
      <c r="BL48" s="514">
        <f t="shared" ref="BL48:BQ48" si="386">BL49+$CY48</f>
        <v>2.3308387888508721</v>
      </c>
      <c r="BM48" s="514">
        <f t="shared" si="386"/>
        <v>1.5392684959615153</v>
      </c>
      <c r="BN48" s="514">
        <f t="shared" si="386"/>
        <v>0.89834118289293174</v>
      </c>
      <c r="BO48" s="514">
        <f t="shared" si="386"/>
        <v>0.69617255422502855</v>
      </c>
      <c r="BP48" s="514">
        <f t="shared" si="386"/>
        <v>0.52252680444252664</v>
      </c>
      <c r="BQ48" s="514">
        <f t="shared" si="386"/>
        <v>0.37044149547102956</v>
      </c>
      <c r="BR48" s="514">
        <f t="shared" ref="BR48:CU48" si="387">BR49+$CZ48</f>
        <v>0.37044149547102956</v>
      </c>
      <c r="BS48" s="514">
        <f t="shared" si="387"/>
        <v>0.37044149547102956</v>
      </c>
      <c r="BT48" s="514">
        <f t="shared" si="387"/>
        <v>0.37044149547102956</v>
      </c>
      <c r="BU48" s="514">
        <f t="shared" si="387"/>
        <v>0.37044149547102956</v>
      </c>
      <c r="BV48" s="514">
        <f t="shared" si="387"/>
        <v>0.37044149547102956</v>
      </c>
      <c r="BW48" s="514">
        <f t="shared" si="387"/>
        <v>0.37044149547102956</v>
      </c>
      <c r="BX48" s="514">
        <f t="shared" si="387"/>
        <v>0.37044149547102956</v>
      </c>
      <c r="BY48" s="514">
        <f t="shared" si="387"/>
        <v>0.37044149547102956</v>
      </c>
      <c r="BZ48" s="514">
        <f t="shared" si="387"/>
        <v>0.37044149547102956</v>
      </c>
      <c r="CA48" s="514">
        <f t="shared" si="387"/>
        <v>0.37044149547102956</v>
      </c>
      <c r="CB48" s="514">
        <f t="shared" si="387"/>
        <v>0.37044149547102956</v>
      </c>
      <c r="CC48" s="514">
        <f t="shared" si="387"/>
        <v>0.37044149547102956</v>
      </c>
      <c r="CD48" s="514">
        <f t="shared" si="387"/>
        <v>0.37044149547102956</v>
      </c>
      <c r="CE48" s="514">
        <f t="shared" si="387"/>
        <v>0.37044149547102956</v>
      </c>
      <c r="CF48" s="514">
        <f t="shared" si="387"/>
        <v>0.37044149547102956</v>
      </c>
      <c r="CG48" s="514">
        <f t="shared" si="387"/>
        <v>0.37044149547102956</v>
      </c>
      <c r="CH48" s="514">
        <f t="shared" si="387"/>
        <v>0.37044149547102956</v>
      </c>
      <c r="CI48" s="514">
        <f t="shared" si="387"/>
        <v>0.37044149547102956</v>
      </c>
      <c r="CJ48" s="514">
        <f t="shared" si="387"/>
        <v>0.37044149547102956</v>
      </c>
      <c r="CK48" s="514">
        <f t="shared" si="387"/>
        <v>0.37044149547102956</v>
      </c>
      <c r="CL48" s="514">
        <f t="shared" si="387"/>
        <v>0.37044149547102956</v>
      </c>
      <c r="CM48" s="514">
        <f t="shared" si="387"/>
        <v>0.37044149547102956</v>
      </c>
      <c r="CN48" s="514">
        <f t="shared" si="387"/>
        <v>0.37044149547102956</v>
      </c>
      <c r="CO48" s="514">
        <f t="shared" si="387"/>
        <v>0.37044149547102956</v>
      </c>
      <c r="CP48" s="514">
        <f t="shared" si="387"/>
        <v>0.37044149547102956</v>
      </c>
      <c r="CQ48" s="514">
        <f t="shared" si="387"/>
        <v>0.37044149547102956</v>
      </c>
      <c r="CR48" s="514">
        <f t="shared" si="387"/>
        <v>0.37044149547102956</v>
      </c>
      <c r="CS48" s="514">
        <f t="shared" si="387"/>
        <v>0.37044149547102956</v>
      </c>
      <c r="CT48" s="514">
        <f t="shared" si="387"/>
        <v>0.37044149547102956</v>
      </c>
      <c r="CU48" s="514">
        <f t="shared" si="387"/>
        <v>0.37044149547102956</v>
      </c>
      <c r="CV48" s="514">
        <f t="shared" ref="CV48:CW48" si="388">CV49+$CZ48</f>
        <v>0.37044149547102956</v>
      </c>
      <c r="CW48" s="514">
        <f t="shared" si="388"/>
        <v>0.37044149547102956</v>
      </c>
      <c r="CX48" s="718"/>
      <c r="CY48" s="402">
        <v>0</v>
      </c>
      <c r="CZ48" s="402">
        <v>0</v>
      </c>
    </row>
    <row r="49" spans="1:106" hidden="1" outlineLevel="1">
      <c r="A49" s="86" t="s">
        <v>200</v>
      </c>
      <c r="B49" s="84">
        <f t="shared" ref="B49:AM49" si="389">B47</f>
        <v>6.2512603347449014E-2</v>
      </c>
      <c r="C49" s="84">
        <f t="shared" si="389"/>
        <v>5.2667984189723294E-2</v>
      </c>
      <c r="D49" s="84">
        <f t="shared" si="389"/>
        <v>6.151896265964707E-2</v>
      </c>
      <c r="E49" s="84">
        <f t="shared" si="389"/>
        <v>7.6945328319352191E-2</v>
      </c>
      <c r="F49" s="84">
        <f t="shared" si="389"/>
        <v>9.6602770924274051E-2</v>
      </c>
      <c r="G49" s="84">
        <f t="shared" si="389"/>
        <v>0.1100159579461184</v>
      </c>
      <c r="H49" s="84">
        <f t="shared" si="389"/>
        <v>0.11085598824393839</v>
      </c>
      <c r="I49" s="84">
        <f t="shared" si="389"/>
        <v>0.10923090697466198</v>
      </c>
      <c r="J49" s="84">
        <f t="shared" si="389"/>
        <v>9.7005884389061992E-2</v>
      </c>
      <c r="K49" s="84">
        <f t="shared" si="389"/>
        <v>9.6744186046511693E-2</v>
      </c>
      <c r="L49" s="84">
        <f t="shared" si="389"/>
        <v>9.8883836295990069E-2</v>
      </c>
      <c r="M49" s="84">
        <f t="shared" si="389"/>
        <v>9.5084349019291192E-2</v>
      </c>
      <c r="N49" s="84">
        <f t="shared" si="389"/>
        <v>9.8000000000000004E-2</v>
      </c>
      <c r="O49" s="84">
        <f t="shared" si="389"/>
        <v>9.9000000000000005E-2</v>
      </c>
      <c r="P49" s="84">
        <f t="shared" si="389"/>
        <v>0.122</v>
      </c>
      <c r="Q49" s="84">
        <f t="shared" si="389"/>
        <v>0.161</v>
      </c>
      <c r="R49" s="84">
        <f t="shared" si="389"/>
        <v>0.18899999999999997</v>
      </c>
      <c r="S49" s="84">
        <f t="shared" si="389"/>
        <v>0.22500000000000001</v>
      </c>
      <c r="T49" s="84">
        <f t="shared" si="389"/>
        <v>0.25</v>
      </c>
      <c r="U49" s="84">
        <f t="shared" si="389"/>
        <v>0.26600000000000001</v>
      </c>
      <c r="V49" s="84">
        <f t="shared" si="389"/>
        <v>0.36700000000000005</v>
      </c>
      <c r="W49" s="84">
        <f t="shared" si="389"/>
        <v>0.40200000000000002</v>
      </c>
      <c r="X49" s="84">
        <f t="shared" si="389"/>
        <v>0.40299999999999997</v>
      </c>
      <c r="Y49" s="84">
        <f t="shared" si="389"/>
        <v>0.38</v>
      </c>
      <c r="Z49" s="84">
        <f t="shared" si="389"/>
        <v>0.28000000000000003</v>
      </c>
      <c r="AA49" s="84">
        <f t="shared" si="389"/>
        <v>0.255</v>
      </c>
      <c r="AB49" s="84">
        <f t="shared" si="389"/>
        <v>0.24</v>
      </c>
      <c r="AC49" s="84">
        <f t="shared" si="389"/>
        <v>0.26899999999999996</v>
      </c>
      <c r="AD49" s="84">
        <f t="shared" si="389"/>
        <v>0.35</v>
      </c>
      <c r="AE49" s="84">
        <f t="shared" si="389"/>
        <v>0.45700000000000002</v>
      </c>
      <c r="AF49" s="84">
        <f t="shared" si="389"/>
        <v>0.42599999999999999</v>
      </c>
      <c r="AG49" s="84">
        <f t="shared" si="389"/>
        <v>0.39299999999999996</v>
      </c>
      <c r="AH49" s="84">
        <f t="shared" si="389"/>
        <v>0.32200000000000001</v>
      </c>
      <c r="AI49" s="84">
        <f t="shared" si="389"/>
        <v>0.217</v>
      </c>
      <c r="AJ49" s="84">
        <f t="shared" si="389"/>
        <v>0.23800000000000002</v>
      </c>
      <c r="AK49" s="84">
        <f t="shared" si="389"/>
        <v>0.248</v>
      </c>
      <c r="AL49" s="84">
        <f t="shared" si="389"/>
        <v>0.254</v>
      </c>
      <c r="AM49" s="84">
        <f t="shared" si="389"/>
        <v>0.29499999999999998</v>
      </c>
      <c r="AN49" s="84">
        <f t="shared" ref="AN49:AS49" si="390">AN47</f>
        <v>0.40500000000000003</v>
      </c>
      <c r="AO49" s="84">
        <f t="shared" si="390"/>
        <v>0.47600000000000003</v>
      </c>
      <c r="AP49" s="84">
        <f t="shared" si="390"/>
        <v>0.54700000000000004</v>
      </c>
      <c r="AQ49" s="84">
        <f t="shared" si="390"/>
        <v>0.55799999999999994</v>
      </c>
      <c r="AR49" s="84">
        <f t="shared" si="390"/>
        <v>0.53500000000000003</v>
      </c>
      <c r="AS49" s="84">
        <f t="shared" si="390"/>
        <v>0.53799999999999992</v>
      </c>
      <c r="AT49" s="84">
        <f t="shared" ref="AT49:BB49" si="391">AT47</f>
        <v>0.48356866551335176</v>
      </c>
      <c r="AU49" s="84">
        <f t="shared" si="391"/>
        <v>0.42758749118769801</v>
      </c>
      <c r="AV49" s="84">
        <f t="shared" si="391"/>
        <v>0.36620719230050613</v>
      </c>
      <c r="AW49" s="84">
        <f t="shared" si="391"/>
        <v>0.36140587812345393</v>
      </c>
      <c r="AX49" s="84">
        <f t="shared" si="391"/>
        <v>0.42648849702914249</v>
      </c>
      <c r="AY49" s="84">
        <f t="shared" si="391"/>
        <v>0.5020007839147167</v>
      </c>
      <c r="AZ49" s="84">
        <f t="shared" si="391"/>
        <v>0.52471217096959344</v>
      </c>
      <c r="BA49" s="84">
        <f t="shared" si="391"/>
        <v>0.50941633543466391</v>
      </c>
      <c r="BB49" s="84">
        <f t="shared" si="391"/>
        <v>0.5510663032213825</v>
      </c>
      <c r="BC49" s="84">
        <f t="shared" ref="BC49:BG49" si="392">BC47</f>
        <v>0.63982581648779857</v>
      </c>
      <c r="BD49" s="84">
        <f t="shared" si="392"/>
        <v>0.83029982395352309</v>
      </c>
      <c r="BE49" s="84">
        <f t="shared" si="392"/>
        <v>0.94793182335191917</v>
      </c>
      <c r="BF49" s="84">
        <f t="shared" si="392"/>
        <v>1.0429651896009893</v>
      </c>
      <c r="BG49" s="84">
        <f t="shared" si="392"/>
        <v>1.1558027347843289</v>
      </c>
      <c r="BH49" s="84">
        <f t="shared" ref="BH49" si="393">BH47</f>
        <v>1.3828244500508413</v>
      </c>
      <c r="BI49" s="84">
        <f t="shared" ref="BI49" si="394">BI47</f>
        <v>2.1140764374717671</v>
      </c>
      <c r="BJ49" s="84">
        <f t="shared" ref="BJ49:BK49" si="395">BJ47</f>
        <v>2.8786907470031879</v>
      </c>
      <c r="BK49" s="801">
        <f t="shared" si="395"/>
        <v>2.8209147086771456</v>
      </c>
      <c r="BL49" s="560">
        <v>2.3308387888508721</v>
      </c>
      <c r="BM49" s="560">
        <v>1.5392684959615153</v>
      </c>
      <c r="BN49" s="560">
        <v>0.89834118289293174</v>
      </c>
      <c r="BO49" s="560">
        <v>0.69617255422502855</v>
      </c>
      <c r="BP49" s="560">
        <v>0.52252680444252664</v>
      </c>
      <c r="BQ49" s="560">
        <v>0.37044149547102956</v>
      </c>
      <c r="BR49" s="1784">
        <f t="shared" ref="BR49" si="396">+BQ49</f>
        <v>0.37044149547102956</v>
      </c>
      <c r="BS49" s="1784">
        <f t="shared" ref="BS49" si="397">+BR49</f>
        <v>0.37044149547102956</v>
      </c>
      <c r="BT49" s="1784">
        <f t="shared" ref="BT49:CL49" si="398">+BS49</f>
        <v>0.37044149547102956</v>
      </c>
      <c r="BU49" s="1784">
        <f t="shared" si="398"/>
        <v>0.37044149547102956</v>
      </c>
      <c r="BV49" s="1784">
        <f t="shared" si="398"/>
        <v>0.37044149547102956</v>
      </c>
      <c r="BW49" s="1784">
        <f t="shared" si="398"/>
        <v>0.37044149547102956</v>
      </c>
      <c r="BX49" s="1784">
        <f t="shared" si="398"/>
        <v>0.37044149547102956</v>
      </c>
      <c r="BY49" s="1784">
        <f t="shared" si="398"/>
        <v>0.37044149547102956</v>
      </c>
      <c r="BZ49" s="1784">
        <f t="shared" si="398"/>
        <v>0.37044149547102956</v>
      </c>
      <c r="CA49" s="1784">
        <f t="shared" si="398"/>
        <v>0.37044149547102956</v>
      </c>
      <c r="CB49" s="1784">
        <f t="shared" si="398"/>
        <v>0.37044149547102956</v>
      </c>
      <c r="CC49" s="1784">
        <f t="shared" si="398"/>
        <v>0.37044149547102956</v>
      </c>
      <c r="CD49" s="1784">
        <f t="shared" si="398"/>
        <v>0.37044149547102956</v>
      </c>
      <c r="CE49" s="1784">
        <f t="shared" si="398"/>
        <v>0.37044149547102956</v>
      </c>
      <c r="CF49" s="1784">
        <f t="shared" si="398"/>
        <v>0.37044149547102956</v>
      </c>
      <c r="CG49" s="1784">
        <f t="shared" si="398"/>
        <v>0.37044149547102956</v>
      </c>
      <c r="CH49" s="1784">
        <f t="shared" si="398"/>
        <v>0.37044149547102956</v>
      </c>
      <c r="CI49" s="1784">
        <f t="shared" si="398"/>
        <v>0.37044149547102956</v>
      </c>
      <c r="CJ49" s="1784">
        <f t="shared" si="398"/>
        <v>0.37044149547102956</v>
      </c>
      <c r="CK49" s="1784">
        <f t="shared" si="398"/>
        <v>0.37044149547102956</v>
      </c>
      <c r="CL49" s="1784">
        <f t="shared" si="398"/>
        <v>0.37044149547102956</v>
      </c>
      <c r="CM49" s="1784">
        <f t="shared" ref="CM49" si="399">+CL49</f>
        <v>0.37044149547102956</v>
      </c>
      <c r="CN49" s="1784">
        <f t="shared" ref="CN49" si="400">+CM49</f>
        <v>0.37044149547102956</v>
      </c>
      <c r="CO49" s="1784">
        <f t="shared" ref="CO49" si="401">+CN49</f>
        <v>0.37044149547102956</v>
      </c>
      <c r="CP49" s="1784">
        <f t="shared" ref="CP49" si="402">+CO49</f>
        <v>0.37044149547102956</v>
      </c>
      <c r="CQ49" s="1784">
        <f t="shared" ref="CQ49" si="403">+CP49</f>
        <v>0.37044149547102956</v>
      </c>
      <c r="CR49" s="1784">
        <f t="shared" ref="CR49" si="404">+CQ49</f>
        <v>0.37044149547102956</v>
      </c>
      <c r="CS49" s="1784">
        <f t="shared" ref="CS49" si="405">+CR49</f>
        <v>0.37044149547102956</v>
      </c>
      <c r="CT49" s="1784">
        <f t="shared" ref="CT49" si="406">+CS49</f>
        <v>0.37044149547102956</v>
      </c>
      <c r="CU49" s="1784">
        <f t="shared" ref="CU49" si="407">+CT49</f>
        <v>0.37044149547102956</v>
      </c>
      <c r="CV49" s="1784">
        <f t="shared" ref="CV49" si="408">+CU49</f>
        <v>0.37044149547102956</v>
      </c>
      <c r="CW49" s="1784">
        <f t="shared" ref="CW49" si="409">+CV49</f>
        <v>0.37044149547102956</v>
      </c>
      <c r="CX49" s="718"/>
      <c r="CY49" s="269"/>
      <c r="CZ49" s="269"/>
    </row>
    <row r="50" spans="1:106" hidden="1" outlineLevel="1">
      <c r="A50" s="86" t="s">
        <v>202</v>
      </c>
      <c r="B50" s="84">
        <f t="shared" ref="B50:AM50" si="410">B47</f>
        <v>6.2512603347449014E-2</v>
      </c>
      <c r="C50" s="84">
        <f t="shared" si="410"/>
        <v>5.2667984189723294E-2</v>
      </c>
      <c r="D50" s="84">
        <f t="shared" si="410"/>
        <v>6.151896265964707E-2</v>
      </c>
      <c r="E50" s="84">
        <f t="shared" si="410"/>
        <v>7.6945328319352191E-2</v>
      </c>
      <c r="F50" s="84">
        <f t="shared" si="410"/>
        <v>9.6602770924274051E-2</v>
      </c>
      <c r="G50" s="84">
        <f t="shared" si="410"/>
        <v>0.1100159579461184</v>
      </c>
      <c r="H50" s="84">
        <f t="shared" si="410"/>
        <v>0.11085598824393839</v>
      </c>
      <c r="I50" s="84">
        <f t="shared" si="410"/>
        <v>0.10923090697466198</v>
      </c>
      <c r="J50" s="84">
        <f t="shared" si="410"/>
        <v>9.7005884389061992E-2</v>
      </c>
      <c r="K50" s="84">
        <f t="shared" si="410"/>
        <v>9.6744186046511693E-2</v>
      </c>
      <c r="L50" s="84">
        <f t="shared" si="410"/>
        <v>9.8883836295990069E-2</v>
      </c>
      <c r="M50" s="84">
        <f t="shared" si="410"/>
        <v>9.5084349019291192E-2</v>
      </c>
      <c r="N50" s="84">
        <f t="shared" si="410"/>
        <v>9.8000000000000004E-2</v>
      </c>
      <c r="O50" s="84">
        <f t="shared" si="410"/>
        <v>9.9000000000000005E-2</v>
      </c>
      <c r="P50" s="84">
        <f t="shared" si="410"/>
        <v>0.122</v>
      </c>
      <c r="Q50" s="84">
        <f t="shared" si="410"/>
        <v>0.161</v>
      </c>
      <c r="R50" s="84">
        <f t="shared" si="410"/>
        <v>0.18899999999999997</v>
      </c>
      <c r="S50" s="84">
        <f t="shared" si="410"/>
        <v>0.22500000000000001</v>
      </c>
      <c r="T50" s="84">
        <f t="shared" si="410"/>
        <v>0.25</v>
      </c>
      <c r="U50" s="84">
        <f t="shared" si="410"/>
        <v>0.26600000000000001</v>
      </c>
      <c r="V50" s="84">
        <f t="shared" si="410"/>
        <v>0.36700000000000005</v>
      </c>
      <c r="W50" s="84">
        <f t="shared" si="410"/>
        <v>0.40200000000000002</v>
      </c>
      <c r="X50" s="84">
        <f t="shared" si="410"/>
        <v>0.40299999999999997</v>
      </c>
      <c r="Y50" s="84">
        <f t="shared" si="410"/>
        <v>0.38</v>
      </c>
      <c r="Z50" s="84">
        <f t="shared" si="410"/>
        <v>0.28000000000000003</v>
      </c>
      <c r="AA50" s="84">
        <f t="shared" si="410"/>
        <v>0.255</v>
      </c>
      <c r="AB50" s="84">
        <f t="shared" si="410"/>
        <v>0.24</v>
      </c>
      <c r="AC50" s="84">
        <f t="shared" si="410"/>
        <v>0.26899999999999996</v>
      </c>
      <c r="AD50" s="84">
        <f t="shared" si="410"/>
        <v>0.35</v>
      </c>
      <c r="AE50" s="84">
        <f t="shared" si="410"/>
        <v>0.45700000000000002</v>
      </c>
      <c r="AF50" s="84">
        <f t="shared" si="410"/>
        <v>0.42599999999999999</v>
      </c>
      <c r="AG50" s="84">
        <f t="shared" si="410"/>
        <v>0.39299999999999996</v>
      </c>
      <c r="AH50" s="84">
        <f t="shared" si="410"/>
        <v>0.32200000000000001</v>
      </c>
      <c r="AI50" s="84">
        <f t="shared" si="410"/>
        <v>0.217</v>
      </c>
      <c r="AJ50" s="84">
        <f t="shared" si="410"/>
        <v>0.23800000000000002</v>
      </c>
      <c r="AK50" s="84">
        <f t="shared" si="410"/>
        <v>0.248</v>
      </c>
      <c r="AL50" s="84">
        <f t="shared" si="410"/>
        <v>0.254</v>
      </c>
      <c r="AM50" s="84">
        <f t="shared" si="410"/>
        <v>0.29499999999999998</v>
      </c>
      <c r="AN50" s="84">
        <f t="shared" ref="AN50:AS50" si="411">AN47</f>
        <v>0.40500000000000003</v>
      </c>
      <c r="AO50" s="84">
        <f t="shared" si="411"/>
        <v>0.47600000000000003</v>
      </c>
      <c r="AP50" s="84">
        <f t="shared" si="411"/>
        <v>0.54700000000000004</v>
      </c>
      <c r="AQ50" s="84">
        <f t="shared" si="411"/>
        <v>0.55799999999999994</v>
      </c>
      <c r="AR50" s="84">
        <f t="shared" si="411"/>
        <v>0.53500000000000003</v>
      </c>
      <c r="AS50" s="84">
        <f t="shared" si="411"/>
        <v>0.53799999999999992</v>
      </c>
      <c r="AT50" s="84">
        <f t="shared" ref="AT50:BB50" si="412">AT47</f>
        <v>0.48356866551335176</v>
      </c>
      <c r="AU50" s="84">
        <f t="shared" si="412"/>
        <v>0.42758749118769801</v>
      </c>
      <c r="AV50" s="84">
        <f t="shared" si="412"/>
        <v>0.36620719230050613</v>
      </c>
      <c r="AW50" s="84">
        <f t="shared" si="412"/>
        <v>0.36140587812345393</v>
      </c>
      <c r="AX50" s="84">
        <f t="shared" si="412"/>
        <v>0.42648849702914249</v>
      </c>
      <c r="AY50" s="84">
        <f t="shared" si="412"/>
        <v>0.5020007839147167</v>
      </c>
      <c r="AZ50" s="84">
        <f t="shared" si="412"/>
        <v>0.52471217096959344</v>
      </c>
      <c r="BA50" s="84">
        <f t="shared" si="412"/>
        <v>0.50941633543466391</v>
      </c>
      <c r="BB50" s="84">
        <f t="shared" si="412"/>
        <v>0.5510663032213825</v>
      </c>
      <c r="BC50" s="84">
        <f t="shared" ref="BC50:BG50" si="413">BC47</f>
        <v>0.63982581648779857</v>
      </c>
      <c r="BD50" s="84">
        <f t="shared" si="413"/>
        <v>0.83029982395352309</v>
      </c>
      <c r="BE50" s="84">
        <f t="shared" si="413"/>
        <v>0.94793182335191917</v>
      </c>
      <c r="BF50" s="84">
        <f t="shared" si="413"/>
        <v>1.0429651896009893</v>
      </c>
      <c r="BG50" s="84">
        <f t="shared" si="413"/>
        <v>1.1558027347843289</v>
      </c>
      <c r="BH50" s="84">
        <f t="shared" ref="BH50" si="414">BH47</f>
        <v>1.3828244500508413</v>
      </c>
      <c r="BI50" s="84">
        <f t="shared" ref="BI50" si="415">BI47</f>
        <v>2.1140764374717671</v>
      </c>
      <c r="BJ50" s="84">
        <f t="shared" ref="BJ50:BK50" si="416">BJ47</f>
        <v>2.8786907470031879</v>
      </c>
      <c r="BK50" s="801">
        <f t="shared" si="416"/>
        <v>2.8209147086771456</v>
      </c>
      <c r="BL50" s="305">
        <f t="shared" ref="BL50:BQ50" si="417">BL49+$CY50</f>
        <v>2.3308387888508721</v>
      </c>
      <c r="BM50" s="305">
        <f t="shared" si="417"/>
        <v>1.5392684959615153</v>
      </c>
      <c r="BN50" s="305">
        <f t="shared" si="417"/>
        <v>0.89834118289293174</v>
      </c>
      <c r="BO50" s="305">
        <f t="shared" si="417"/>
        <v>0.69617255422502855</v>
      </c>
      <c r="BP50" s="305">
        <f t="shared" si="417"/>
        <v>0.52252680444252664</v>
      </c>
      <c r="BQ50" s="305">
        <f t="shared" si="417"/>
        <v>0.37044149547102956</v>
      </c>
      <c r="BR50" s="305">
        <f t="shared" ref="BR50:CU50" si="418">BR49+$CZ50</f>
        <v>0.37044149547102956</v>
      </c>
      <c r="BS50" s="305">
        <f t="shared" si="418"/>
        <v>0.37044149547102956</v>
      </c>
      <c r="BT50" s="305">
        <f t="shared" si="418"/>
        <v>0.37044149547102956</v>
      </c>
      <c r="BU50" s="305">
        <f t="shared" si="418"/>
        <v>0.37044149547102956</v>
      </c>
      <c r="BV50" s="305">
        <f t="shared" si="418"/>
        <v>0.37044149547102956</v>
      </c>
      <c r="BW50" s="305">
        <f t="shared" si="418"/>
        <v>0.37044149547102956</v>
      </c>
      <c r="BX50" s="305">
        <f t="shared" si="418"/>
        <v>0.37044149547102956</v>
      </c>
      <c r="BY50" s="305">
        <f t="shared" si="418"/>
        <v>0.37044149547102956</v>
      </c>
      <c r="BZ50" s="305">
        <f t="shared" si="418"/>
        <v>0.37044149547102956</v>
      </c>
      <c r="CA50" s="305">
        <f t="shared" si="418"/>
        <v>0.37044149547102956</v>
      </c>
      <c r="CB50" s="305">
        <f t="shared" si="418"/>
        <v>0.37044149547102956</v>
      </c>
      <c r="CC50" s="305">
        <f t="shared" si="418"/>
        <v>0.37044149547102956</v>
      </c>
      <c r="CD50" s="305">
        <f t="shared" si="418"/>
        <v>0.37044149547102956</v>
      </c>
      <c r="CE50" s="305">
        <f t="shared" si="418"/>
        <v>0.37044149547102956</v>
      </c>
      <c r="CF50" s="305">
        <f t="shared" si="418"/>
        <v>0.37044149547102956</v>
      </c>
      <c r="CG50" s="305">
        <f t="shared" si="418"/>
        <v>0.37044149547102956</v>
      </c>
      <c r="CH50" s="305">
        <f t="shared" si="418"/>
        <v>0.37044149547102956</v>
      </c>
      <c r="CI50" s="305">
        <f t="shared" si="418"/>
        <v>0.37044149547102956</v>
      </c>
      <c r="CJ50" s="305">
        <f t="shared" si="418"/>
        <v>0.37044149547102956</v>
      </c>
      <c r="CK50" s="305">
        <f t="shared" si="418"/>
        <v>0.37044149547102956</v>
      </c>
      <c r="CL50" s="305">
        <f t="shared" si="418"/>
        <v>0.37044149547102956</v>
      </c>
      <c r="CM50" s="305">
        <f t="shared" si="418"/>
        <v>0.37044149547102956</v>
      </c>
      <c r="CN50" s="305">
        <f t="shared" si="418"/>
        <v>0.37044149547102956</v>
      </c>
      <c r="CO50" s="305">
        <f t="shared" si="418"/>
        <v>0.37044149547102956</v>
      </c>
      <c r="CP50" s="305">
        <f t="shared" si="418"/>
        <v>0.37044149547102956</v>
      </c>
      <c r="CQ50" s="305">
        <f t="shared" si="418"/>
        <v>0.37044149547102956</v>
      </c>
      <c r="CR50" s="305">
        <f t="shared" si="418"/>
        <v>0.37044149547102956</v>
      </c>
      <c r="CS50" s="305">
        <f t="shared" si="418"/>
        <v>0.37044149547102956</v>
      </c>
      <c r="CT50" s="305">
        <f t="shared" si="418"/>
        <v>0.37044149547102956</v>
      </c>
      <c r="CU50" s="305">
        <f t="shared" si="418"/>
        <v>0.37044149547102956</v>
      </c>
      <c r="CV50" s="305">
        <f t="shared" ref="CV50:CW50" si="419">CV49+$CZ50</f>
        <v>0.37044149547102956</v>
      </c>
      <c r="CW50" s="305">
        <f t="shared" si="419"/>
        <v>0.37044149547102956</v>
      </c>
      <c r="CX50" s="718"/>
      <c r="CY50" s="402">
        <v>0</v>
      </c>
      <c r="CZ50" s="402">
        <v>0</v>
      </c>
    </row>
    <row r="51" spans="1:106" hidden="1" outlineLevel="1">
      <c r="A51" s="86"/>
      <c r="B51" s="887"/>
      <c r="C51" s="887"/>
      <c r="D51" s="887"/>
      <c r="E51" s="887"/>
      <c r="F51" s="887"/>
      <c r="G51" s="887"/>
      <c r="H51" s="887"/>
      <c r="I51" s="887"/>
      <c r="J51" s="887"/>
      <c r="K51" s="887"/>
      <c r="L51" s="887"/>
      <c r="M51" s="887"/>
      <c r="N51" s="887"/>
      <c r="O51" s="887"/>
      <c r="P51" s="887"/>
      <c r="Q51" s="887"/>
      <c r="R51" s="887"/>
      <c r="S51" s="887"/>
      <c r="T51" s="887"/>
      <c r="U51" s="887"/>
      <c r="V51" s="887"/>
      <c r="W51" s="887"/>
      <c r="X51" s="887"/>
      <c r="Y51" s="887"/>
      <c r="Z51" s="887"/>
      <c r="AA51" s="887"/>
      <c r="AB51" s="887"/>
      <c r="AC51" s="887"/>
      <c r="AD51" s="887"/>
      <c r="AE51" s="887"/>
      <c r="AF51" s="887"/>
      <c r="AG51" s="887"/>
      <c r="AH51" s="887"/>
      <c r="AI51" s="887"/>
      <c r="AJ51" s="887"/>
      <c r="AK51" s="887"/>
      <c r="AL51" s="887"/>
      <c r="AM51" s="887"/>
      <c r="AN51" s="887"/>
      <c r="AO51" s="887"/>
      <c r="AP51" s="887"/>
      <c r="AQ51" s="887"/>
      <c r="AR51" s="887"/>
      <c r="AS51" s="887"/>
      <c r="AT51" s="887"/>
      <c r="AU51" s="888"/>
      <c r="AV51" s="888"/>
      <c r="AW51" s="888"/>
      <c r="AX51" s="888"/>
      <c r="AY51" s="888"/>
      <c r="AZ51" s="888"/>
      <c r="BA51" s="888"/>
      <c r="BB51" s="888"/>
      <c r="BC51" s="888"/>
      <c r="BD51" s="888"/>
      <c r="BE51" s="888"/>
      <c r="BF51" s="888"/>
      <c r="BG51" s="888"/>
      <c r="BH51" s="888"/>
      <c r="BI51" s="888"/>
      <c r="BJ51" s="888"/>
      <c r="BK51" s="1823"/>
      <c r="BL51" s="888"/>
      <c r="BM51" s="888"/>
      <c r="BN51" s="888"/>
      <c r="BO51" s="888"/>
      <c r="BP51" s="888"/>
      <c r="BQ51" s="888"/>
      <c r="BR51" s="888"/>
      <c r="BS51" s="888"/>
      <c r="BT51" s="888"/>
      <c r="BU51" s="888"/>
      <c r="BV51" s="888"/>
      <c r="BW51" s="888"/>
      <c r="BX51" s="888"/>
      <c r="BY51" s="888"/>
      <c r="BZ51" s="888"/>
      <c r="CA51" s="888"/>
      <c r="CB51" s="888"/>
      <c r="CC51" s="888"/>
      <c r="CD51" s="888"/>
      <c r="CE51" s="888"/>
      <c r="CF51" s="888"/>
      <c r="CG51" s="888"/>
      <c r="CH51" s="888"/>
      <c r="CI51" s="888"/>
      <c r="CJ51" s="888"/>
      <c r="CK51" s="888"/>
      <c r="CL51" s="888"/>
      <c r="CM51" s="888"/>
      <c r="CN51" s="888"/>
      <c r="CO51" s="888"/>
      <c r="CP51" s="888"/>
      <c r="CQ51" s="888"/>
      <c r="CR51" s="888"/>
      <c r="CS51" s="888"/>
      <c r="CT51" s="888"/>
      <c r="CU51" s="888"/>
      <c r="CV51" s="888"/>
      <c r="CW51" s="888"/>
      <c r="CX51" s="718"/>
      <c r="CY51" s="269"/>
      <c r="CZ51" s="269"/>
    </row>
    <row r="52" spans="1:106" hidden="1" outlineLevel="1">
      <c r="A52" s="691" t="s">
        <v>971</v>
      </c>
      <c r="B52" s="925">
        <v>637.25</v>
      </c>
      <c r="C52" s="925">
        <v>580.75</v>
      </c>
      <c r="D52" s="925">
        <v>534.35</v>
      </c>
      <c r="E52" s="925">
        <v>554</v>
      </c>
      <c r="F52" s="925">
        <v>507.25</v>
      </c>
      <c r="G52" s="925">
        <v>521.75</v>
      </c>
      <c r="H52" s="925">
        <v>547.35</v>
      </c>
      <c r="I52" s="925">
        <v>480.65</v>
      </c>
      <c r="J52" s="925">
        <v>482.08</v>
      </c>
      <c r="K52" s="925">
        <v>471.13</v>
      </c>
      <c r="L52" s="925">
        <v>515.14</v>
      </c>
      <c r="M52" s="925">
        <v>521.46</v>
      </c>
      <c r="N52" s="925">
        <v>489.76</v>
      </c>
      <c r="O52" s="925">
        <v>509.73</v>
      </c>
      <c r="P52" s="925">
        <v>470.48</v>
      </c>
      <c r="Q52" s="925">
        <v>478.6</v>
      </c>
      <c r="R52" s="925">
        <v>472.54</v>
      </c>
      <c r="S52" s="925">
        <v>503.86</v>
      </c>
      <c r="T52" s="925">
        <v>502.97</v>
      </c>
      <c r="U52" s="925">
        <v>523.76</v>
      </c>
      <c r="V52" s="925">
        <v>550.53</v>
      </c>
      <c r="W52" s="925">
        <v>550.6</v>
      </c>
      <c r="X52" s="925">
        <v>601.66</v>
      </c>
      <c r="Y52" s="925">
        <v>607.38</v>
      </c>
      <c r="Z52" s="925">
        <v>626.87</v>
      </c>
      <c r="AA52" s="925">
        <v>634.58000000000004</v>
      </c>
      <c r="AB52" s="925">
        <v>704.68</v>
      </c>
      <c r="AC52" s="925">
        <v>707.34</v>
      </c>
      <c r="AD52" s="925">
        <v>675.1</v>
      </c>
      <c r="AE52" s="925">
        <v>661.49</v>
      </c>
      <c r="AF52" s="925">
        <v>659.08</v>
      </c>
      <c r="AG52" s="925">
        <v>667.29</v>
      </c>
      <c r="AH52" s="925">
        <v>662.66</v>
      </c>
      <c r="AI52" s="925">
        <v>663.21</v>
      </c>
      <c r="AJ52" s="925">
        <v>636.85</v>
      </c>
      <c r="AK52" s="925">
        <v>615.22</v>
      </c>
      <c r="AL52" s="925">
        <v>605.26</v>
      </c>
      <c r="AM52" s="925">
        <v>647.95000000000005</v>
      </c>
      <c r="AN52" s="925">
        <v>661.5</v>
      </c>
      <c r="AO52" s="925">
        <v>695.69</v>
      </c>
      <c r="AP52" s="925">
        <v>681.09</v>
      </c>
      <c r="AQ52" s="925">
        <v>679.86</v>
      </c>
      <c r="AR52" s="925">
        <v>725.68</v>
      </c>
      <c r="AS52" s="925">
        <v>744.62</v>
      </c>
      <c r="AT52" s="925">
        <v>846.3</v>
      </c>
      <c r="AU52" s="925">
        <v>816.36</v>
      </c>
      <c r="AV52" s="925">
        <v>784.46</v>
      </c>
      <c r="AW52" s="925">
        <v>745</v>
      </c>
      <c r="AX52" s="925">
        <v>735</v>
      </c>
      <c r="AY52" s="925">
        <v>725</v>
      </c>
      <c r="AZ52" s="925">
        <v>750</v>
      </c>
      <c r="BA52" s="925">
        <v>759</v>
      </c>
      <c r="BB52" s="925">
        <v>807.18562499999996</v>
      </c>
      <c r="BC52" s="925">
        <v>843.97261538461498</v>
      </c>
      <c r="BD52" s="925">
        <v>759</v>
      </c>
      <c r="BE52" s="925">
        <v>912.46446153846205</v>
      </c>
      <c r="BF52" s="925">
        <v>810.20230769230795</v>
      </c>
      <c r="BG52" s="925">
        <v>800.72523076923096</v>
      </c>
      <c r="BH52" s="925">
        <v>852.77753846153803</v>
      </c>
      <c r="BI52" s="925">
        <v>895.30538461538401</v>
      </c>
      <c r="BJ52" s="925">
        <v>945.95953846153895</v>
      </c>
      <c r="BK52" s="1826">
        <v>933.71784615384604</v>
      </c>
      <c r="BL52" s="926">
        <f t="shared" ref="BL52:BQ52" si="420">CHOOSE(MASTERSWITCH,BL53,BL54,BL55)</f>
        <v>938</v>
      </c>
      <c r="BM52" s="926">
        <f t="shared" si="420"/>
        <v>938</v>
      </c>
      <c r="BN52" s="926">
        <f t="shared" si="420"/>
        <v>938</v>
      </c>
      <c r="BO52" s="926">
        <f t="shared" si="420"/>
        <v>939</v>
      </c>
      <c r="BP52" s="926">
        <f t="shared" si="420"/>
        <v>939</v>
      </c>
      <c r="BQ52" s="926">
        <f t="shared" si="420"/>
        <v>945</v>
      </c>
      <c r="BR52" s="926">
        <f t="shared" ref="BR52:CK52" si="421">CHOOSE(MASTERSWITCH,BR53,BR54,BR55)</f>
        <v>946.66390475907826</v>
      </c>
      <c r="BS52" s="926">
        <f t="shared" si="421"/>
        <v>947.67314133131606</v>
      </c>
      <c r="BT52" s="926">
        <f t="shared" si="421"/>
        <v>947.67314133131606</v>
      </c>
      <c r="BU52" s="926">
        <f t="shared" si="421"/>
        <v>953.72856076474295</v>
      </c>
      <c r="BV52" s="926">
        <f t="shared" si="421"/>
        <v>955.40783430032525</v>
      </c>
      <c r="BW52" s="926">
        <f t="shared" si="421"/>
        <v>956.42639275906765</v>
      </c>
      <c r="BX52" s="926">
        <f t="shared" si="421"/>
        <v>956.42639275906765</v>
      </c>
      <c r="BY52" s="926">
        <f t="shared" si="421"/>
        <v>962.53774351152163</v>
      </c>
      <c r="BZ52" s="926">
        <f t="shared" si="421"/>
        <v>964.23252777842242</v>
      </c>
      <c r="CA52" s="926">
        <f t="shared" si="421"/>
        <v>965.26049422594747</v>
      </c>
      <c r="CB52" s="926">
        <f t="shared" si="421"/>
        <v>965.26049422594747</v>
      </c>
      <c r="CC52" s="926">
        <f t="shared" si="421"/>
        <v>971.42829291109717</v>
      </c>
      <c r="CD52" s="926">
        <f t="shared" si="421"/>
        <v>973.1387311753067</v>
      </c>
      <c r="CE52" s="926">
        <f t="shared" si="421"/>
        <v>974.17619250918233</v>
      </c>
      <c r="CF52" s="926">
        <f t="shared" si="421"/>
        <v>974.17619250918233</v>
      </c>
      <c r="CG52" s="926">
        <f t="shared" si="421"/>
        <v>980.40096051243586</v>
      </c>
      <c r="CH52" s="926">
        <f t="shared" si="421"/>
        <v>982.12719736323106</v>
      </c>
      <c r="CI52" s="926">
        <f t="shared" si="421"/>
        <v>983.17424128366099</v>
      </c>
      <c r="CJ52" s="926">
        <f t="shared" si="421"/>
        <v>983.17424128366099</v>
      </c>
      <c r="CK52" s="926">
        <f t="shared" si="421"/>
        <v>989.45650480624022</v>
      </c>
      <c r="CL52" s="926">
        <f t="shared" ref="CL52:CP52" si="422">CHOOSE(MASTERSWITCH,CL53,CL54,CL55)</f>
        <v>991.19868616840733</v>
      </c>
      <c r="CM52" s="926">
        <f t="shared" si="422"/>
        <v>992.25540118564447</v>
      </c>
      <c r="CN52" s="926">
        <f t="shared" si="422"/>
        <v>992.25540118564447</v>
      </c>
      <c r="CO52" s="926">
        <f t="shared" si="422"/>
        <v>998.59569128906719</v>
      </c>
      <c r="CP52" s="926">
        <f t="shared" si="422"/>
        <v>1000.3539644352373</v>
      </c>
      <c r="CQ52" s="926">
        <f t="shared" ref="CQ52:CU52" si="423">CHOOSE(MASTERSWITCH,CQ53,CQ54,CQ55)</f>
        <v>1001.420439877066</v>
      </c>
      <c r="CR52" s="926">
        <f t="shared" si="423"/>
        <v>1001.420439877066</v>
      </c>
      <c r="CS52" s="926">
        <f t="shared" si="423"/>
        <v>1007.8192925280376</v>
      </c>
      <c r="CT52" s="926">
        <f t="shared" si="423"/>
        <v>1009.5938060911361</v>
      </c>
      <c r="CU52" s="926">
        <f t="shared" si="423"/>
        <v>1010.6701321104231</v>
      </c>
      <c r="CV52" s="926">
        <f t="shared" ref="CV52:CW52" si="424">CHOOSE(MASTERSWITCH,CV53,CV54,CV55)</f>
        <v>1010.6701321104231</v>
      </c>
      <c r="CW52" s="926">
        <f t="shared" si="424"/>
        <v>1017.1280882261448</v>
      </c>
      <c r="CX52" s="718"/>
      <c r="CY52" s="269"/>
      <c r="CZ52" s="269"/>
      <c r="DB52" s="1067"/>
    </row>
    <row r="53" spans="1:106" hidden="1" outlineLevel="1">
      <c r="A53" s="86" t="s">
        <v>571</v>
      </c>
      <c r="B53" s="927">
        <f t="shared" ref="B53:AM53" si="425">B52</f>
        <v>637.25</v>
      </c>
      <c r="C53" s="927">
        <f t="shared" si="425"/>
        <v>580.75</v>
      </c>
      <c r="D53" s="927">
        <f t="shared" si="425"/>
        <v>534.35</v>
      </c>
      <c r="E53" s="927">
        <f t="shared" si="425"/>
        <v>554</v>
      </c>
      <c r="F53" s="927">
        <f t="shared" si="425"/>
        <v>507.25</v>
      </c>
      <c r="G53" s="927">
        <f t="shared" si="425"/>
        <v>521.75</v>
      </c>
      <c r="H53" s="927">
        <f t="shared" si="425"/>
        <v>547.35</v>
      </c>
      <c r="I53" s="927">
        <f t="shared" si="425"/>
        <v>480.65</v>
      </c>
      <c r="J53" s="927">
        <f t="shared" si="425"/>
        <v>482.08</v>
      </c>
      <c r="K53" s="927">
        <f t="shared" si="425"/>
        <v>471.13</v>
      </c>
      <c r="L53" s="927">
        <f t="shared" si="425"/>
        <v>515.14</v>
      </c>
      <c r="M53" s="927">
        <f t="shared" si="425"/>
        <v>521.46</v>
      </c>
      <c r="N53" s="927">
        <f t="shared" si="425"/>
        <v>489.76</v>
      </c>
      <c r="O53" s="927">
        <f t="shared" si="425"/>
        <v>509.73</v>
      </c>
      <c r="P53" s="927">
        <f t="shared" si="425"/>
        <v>470.48</v>
      </c>
      <c r="Q53" s="927">
        <f t="shared" si="425"/>
        <v>478.6</v>
      </c>
      <c r="R53" s="927">
        <f t="shared" si="425"/>
        <v>472.54</v>
      </c>
      <c r="S53" s="927">
        <f t="shared" si="425"/>
        <v>503.86</v>
      </c>
      <c r="T53" s="927">
        <f t="shared" si="425"/>
        <v>502.97</v>
      </c>
      <c r="U53" s="927">
        <f t="shared" si="425"/>
        <v>523.76</v>
      </c>
      <c r="V53" s="927">
        <f t="shared" si="425"/>
        <v>550.53</v>
      </c>
      <c r="W53" s="927">
        <f t="shared" si="425"/>
        <v>550.6</v>
      </c>
      <c r="X53" s="927">
        <f t="shared" si="425"/>
        <v>601.66</v>
      </c>
      <c r="Y53" s="927">
        <f t="shared" si="425"/>
        <v>607.38</v>
      </c>
      <c r="Z53" s="927">
        <f t="shared" si="425"/>
        <v>626.87</v>
      </c>
      <c r="AA53" s="927">
        <f t="shared" si="425"/>
        <v>634.58000000000004</v>
      </c>
      <c r="AB53" s="927">
        <f t="shared" si="425"/>
        <v>704.68</v>
      </c>
      <c r="AC53" s="927">
        <f t="shared" si="425"/>
        <v>707.34</v>
      </c>
      <c r="AD53" s="927">
        <f t="shared" si="425"/>
        <v>675.1</v>
      </c>
      <c r="AE53" s="927">
        <f t="shared" si="425"/>
        <v>661.49</v>
      </c>
      <c r="AF53" s="927">
        <f t="shared" si="425"/>
        <v>659.08</v>
      </c>
      <c r="AG53" s="927">
        <f t="shared" si="425"/>
        <v>667.29</v>
      </c>
      <c r="AH53" s="927">
        <f t="shared" si="425"/>
        <v>662.66</v>
      </c>
      <c r="AI53" s="927">
        <f t="shared" si="425"/>
        <v>663.21</v>
      </c>
      <c r="AJ53" s="927">
        <f t="shared" si="425"/>
        <v>636.85</v>
      </c>
      <c r="AK53" s="927">
        <f t="shared" si="425"/>
        <v>615.22</v>
      </c>
      <c r="AL53" s="927">
        <f t="shared" si="425"/>
        <v>605.26</v>
      </c>
      <c r="AM53" s="927">
        <f t="shared" si="425"/>
        <v>647.95000000000005</v>
      </c>
      <c r="AN53" s="927">
        <f t="shared" ref="AN53:AS53" si="426">AN52</f>
        <v>661.5</v>
      </c>
      <c r="AO53" s="927">
        <f t="shared" si="426"/>
        <v>695.69</v>
      </c>
      <c r="AP53" s="927">
        <f t="shared" si="426"/>
        <v>681.09</v>
      </c>
      <c r="AQ53" s="927">
        <f t="shared" si="426"/>
        <v>679.86</v>
      </c>
      <c r="AR53" s="927">
        <f t="shared" si="426"/>
        <v>725.68</v>
      </c>
      <c r="AS53" s="927">
        <f t="shared" si="426"/>
        <v>744.62</v>
      </c>
      <c r="AT53" s="927">
        <f t="shared" ref="AT53:BB53" si="427">AT52</f>
        <v>846.3</v>
      </c>
      <c r="AU53" s="927">
        <f t="shared" si="427"/>
        <v>816.36</v>
      </c>
      <c r="AV53" s="927">
        <f t="shared" si="427"/>
        <v>784.46</v>
      </c>
      <c r="AW53" s="927">
        <f t="shared" si="427"/>
        <v>745</v>
      </c>
      <c r="AX53" s="927">
        <f t="shared" si="427"/>
        <v>735</v>
      </c>
      <c r="AY53" s="927">
        <f t="shared" si="427"/>
        <v>725</v>
      </c>
      <c r="AZ53" s="927">
        <f t="shared" si="427"/>
        <v>750</v>
      </c>
      <c r="BA53" s="927">
        <f t="shared" si="427"/>
        <v>759</v>
      </c>
      <c r="BB53" s="927">
        <f t="shared" si="427"/>
        <v>807.18562499999996</v>
      </c>
      <c r="BC53" s="927">
        <f t="shared" ref="BC53:BG53" si="428">BC52</f>
        <v>843.97261538461498</v>
      </c>
      <c r="BD53" s="927">
        <f t="shared" si="428"/>
        <v>759</v>
      </c>
      <c r="BE53" s="927">
        <f t="shared" si="428"/>
        <v>912.46446153846205</v>
      </c>
      <c r="BF53" s="927">
        <f t="shared" si="428"/>
        <v>810.20230769230795</v>
      </c>
      <c r="BG53" s="927">
        <f t="shared" si="428"/>
        <v>800.72523076923096</v>
      </c>
      <c r="BH53" s="927">
        <f t="shared" ref="BH53" si="429">BH52</f>
        <v>852.77753846153803</v>
      </c>
      <c r="BI53" s="927">
        <f t="shared" ref="BI53" si="430">BI52</f>
        <v>895.30538461538401</v>
      </c>
      <c r="BJ53" s="927">
        <f t="shared" ref="BJ53:BK53" si="431">BJ52</f>
        <v>945.95953846153895</v>
      </c>
      <c r="BK53" s="1827">
        <f t="shared" si="431"/>
        <v>933.71784615384604</v>
      </c>
      <c r="BL53" s="928">
        <f t="shared" ref="BL53:BQ53" si="432">BL54+$CY53</f>
        <v>938</v>
      </c>
      <c r="BM53" s="928">
        <f t="shared" si="432"/>
        <v>938</v>
      </c>
      <c r="BN53" s="928">
        <f t="shared" si="432"/>
        <v>938</v>
      </c>
      <c r="BO53" s="928">
        <f t="shared" si="432"/>
        <v>939</v>
      </c>
      <c r="BP53" s="928">
        <f t="shared" si="432"/>
        <v>939</v>
      </c>
      <c r="BQ53" s="928">
        <f t="shared" si="432"/>
        <v>945</v>
      </c>
      <c r="BR53" s="928">
        <f t="shared" ref="BR53:CU53" si="433">BR54+$CZ53</f>
        <v>946.66390475907826</v>
      </c>
      <c r="BS53" s="928">
        <f t="shared" si="433"/>
        <v>947.67314133131606</v>
      </c>
      <c r="BT53" s="928">
        <f t="shared" si="433"/>
        <v>947.67314133131606</v>
      </c>
      <c r="BU53" s="928">
        <f t="shared" si="433"/>
        <v>953.72856076474295</v>
      </c>
      <c r="BV53" s="928">
        <f t="shared" si="433"/>
        <v>955.40783430032525</v>
      </c>
      <c r="BW53" s="928">
        <f t="shared" si="433"/>
        <v>956.42639275906765</v>
      </c>
      <c r="BX53" s="928">
        <f t="shared" si="433"/>
        <v>956.42639275906765</v>
      </c>
      <c r="BY53" s="928">
        <f t="shared" si="433"/>
        <v>962.53774351152163</v>
      </c>
      <c r="BZ53" s="928">
        <f t="shared" si="433"/>
        <v>964.23252777842242</v>
      </c>
      <c r="CA53" s="928">
        <f t="shared" si="433"/>
        <v>965.26049422594747</v>
      </c>
      <c r="CB53" s="928">
        <f t="shared" si="433"/>
        <v>965.26049422594747</v>
      </c>
      <c r="CC53" s="928">
        <f t="shared" si="433"/>
        <v>971.42829291109717</v>
      </c>
      <c r="CD53" s="928">
        <f t="shared" si="433"/>
        <v>973.1387311753067</v>
      </c>
      <c r="CE53" s="928">
        <f t="shared" si="433"/>
        <v>974.17619250918233</v>
      </c>
      <c r="CF53" s="928">
        <f t="shared" si="433"/>
        <v>974.17619250918233</v>
      </c>
      <c r="CG53" s="928">
        <f t="shared" si="433"/>
        <v>980.40096051243586</v>
      </c>
      <c r="CH53" s="928">
        <f t="shared" si="433"/>
        <v>982.12719736323106</v>
      </c>
      <c r="CI53" s="928">
        <f t="shared" si="433"/>
        <v>983.17424128366099</v>
      </c>
      <c r="CJ53" s="928">
        <f t="shared" si="433"/>
        <v>983.17424128366099</v>
      </c>
      <c r="CK53" s="928">
        <f t="shared" si="433"/>
        <v>989.45650480624022</v>
      </c>
      <c r="CL53" s="928">
        <f t="shared" si="433"/>
        <v>991.19868616840733</v>
      </c>
      <c r="CM53" s="928">
        <f t="shared" si="433"/>
        <v>992.25540118564447</v>
      </c>
      <c r="CN53" s="928">
        <f t="shared" si="433"/>
        <v>992.25540118564447</v>
      </c>
      <c r="CO53" s="928">
        <f t="shared" si="433"/>
        <v>998.59569128906719</v>
      </c>
      <c r="CP53" s="928">
        <f t="shared" si="433"/>
        <v>1000.3539644352373</v>
      </c>
      <c r="CQ53" s="928">
        <f t="shared" si="433"/>
        <v>1001.420439877066</v>
      </c>
      <c r="CR53" s="928">
        <f t="shared" si="433"/>
        <v>1001.420439877066</v>
      </c>
      <c r="CS53" s="928">
        <f t="shared" si="433"/>
        <v>1007.8192925280376</v>
      </c>
      <c r="CT53" s="928">
        <f t="shared" si="433"/>
        <v>1009.5938060911361</v>
      </c>
      <c r="CU53" s="928">
        <f t="shared" si="433"/>
        <v>1010.6701321104231</v>
      </c>
      <c r="CV53" s="928">
        <f t="shared" ref="CV53:CW53" si="434">CV54+$CZ53</f>
        <v>1010.6701321104231</v>
      </c>
      <c r="CW53" s="928">
        <f t="shared" si="434"/>
        <v>1017.1280882261448</v>
      </c>
      <c r="CX53" s="718"/>
      <c r="CY53" s="402">
        <v>0</v>
      </c>
      <c r="CZ53" s="402">
        <v>0</v>
      </c>
    </row>
    <row r="54" spans="1:106" hidden="1" outlineLevel="1">
      <c r="A54" s="86" t="s">
        <v>200</v>
      </c>
      <c r="B54" s="434">
        <f t="shared" ref="B54:AM54" si="435">B52</f>
        <v>637.25</v>
      </c>
      <c r="C54" s="434">
        <f t="shared" si="435"/>
        <v>580.75</v>
      </c>
      <c r="D54" s="434">
        <f t="shared" si="435"/>
        <v>534.35</v>
      </c>
      <c r="E54" s="434">
        <f t="shared" si="435"/>
        <v>554</v>
      </c>
      <c r="F54" s="434">
        <f t="shared" si="435"/>
        <v>507.25</v>
      </c>
      <c r="G54" s="434">
        <f t="shared" si="435"/>
        <v>521.75</v>
      </c>
      <c r="H54" s="434">
        <f t="shared" si="435"/>
        <v>547.35</v>
      </c>
      <c r="I54" s="434">
        <f t="shared" si="435"/>
        <v>480.65</v>
      </c>
      <c r="J54" s="434">
        <f t="shared" si="435"/>
        <v>482.08</v>
      </c>
      <c r="K54" s="434">
        <f t="shared" si="435"/>
        <v>471.13</v>
      </c>
      <c r="L54" s="434">
        <f t="shared" si="435"/>
        <v>515.14</v>
      </c>
      <c r="M54" s="434">
        <f t="shared" si="435"/>
        <v>521.46</v>
      </c>
      <c r="N54" s="434">
        <f t="shared" si="435"/>
        <v>489.76</v>
      </c>
      <c r="O54" s="434">
        <f t="shared" si="435"/>
        <v>509.73</v>
      </c>
      <c r="P54" s="434">
        <f t="shared" si="435"/>
        <v>470.48</v>
      </c>
      <c r="Q54" s="434">
        <f t="shared" si="435"/>
        <v>478.6</v>
      </c>
      <c r="R54" s="434">
        <f t="shared" si="435"/>
        <v>472.54</v>
      </c>
      <c r="S54" s="434">
        <f t="shared" si="435"/>
        <v>503.86</v>
      </c>
      <c r="T54" s="434">
        <f t="shared" si="435"/>
        <v>502.97</v>
      </c>
      <c r="U54" s="434">
        <f t="shared" si="435"/>
        <v>523.76</v>
      </c>
      <c r="V54" s="434">
        <f t="shared" si="435"/>
        <v>550.53</v>
      </c>
      <c r="W54" s="434">
        <f t="shared" si="435"/>
        <v>550.6</v>
      </c>
      <c r="X54" s="434">
        <f t="shared" si="435"/>
        <v>601.66</v>
      </c>
      <c r="Y54" s="434">
        <f t="shared" si="435"/>
        <v>607.38</v>
      </c>
      <c r="Z54" s="434">
        <f t="shared" si="435"/>
        <v>626.87</v>
      </c>
      <c r="AA54" s="434">
        <f t="shared" si="435"/>
        <v>634.58000000000004</v>
      </c>
      <c r="AB54" s="434">
        <f t="shared" si="435"/>
        <v>704.68</v>
      </c>
      <c r="AC54" s="434">
        <f t="shared" si="435"/>
        <v>707.34</v>
      </c>
      <c r="AD54" s="434">
        <f t="shared" si="435"/>
        <v>675.1</v>
      </c>
      <c r="AE54" s="434">
        <f t="shared" si="435"/>
        <v>661.49</v>
      </c>
      <c r="AF54" s="434">
        <f t="shared" si="435"/>
        <v>659.08</v>
      </c>
      <c r="AG54" s="434">
        <f t="shared" si="435"/>
        <v>667.29</v>
      </c>
      <c r="AH54" s="434">
        <f t="shared" si="435"/>
        <v>662.66</v>
      </c>
      <c r="AI54" s="434">
        <f t="shared" si="435"/>
        <v>663.21</v>
      </c>
      <c r="AJ54" s="434">
        <f t="shared" si="435"/>
        <v>636.85</v>
      </c>
      <c r="AK54" s="434">
        <f t="shared" si="435"/>
        <v>615.22</v>
      </c>
      <c r="AL54" s="434">
        <f t="shared" si="435"/>
        <v>605.26</v>
      </c>
      <c r="AM54" s="434">
        <f t="shared" si="435"/>
        <v>647.95000000000005</v>
      </c>
      <c r="AN54" s="434">
        <f t="shared" ref="AN54:AS54" si="436">AN52</f>
        <v>661.5</v>
      </c>
      <c r="AO54" s="434">
        <f t="shared" si="436"/>
        <v>695.69</v>
      </c>
      <c r="AP54" s="434">
        <f t="shared" si="436"/>
        <v>681.09</v>
      </c>
      <c r="AQ54" s="434">
        <f t="shared" si="436"/>
        <v>679.86</v>
      </c>
      <c r="AR54" s="434">
        <f t="shared" si="436"/>
        <v>725.68</v>
      </c>
      <c r="AS54" s="434">
        <f t="shared" si="436"/>
        <v>744.62</v>
      </c>
      <c r="AT54" s="434">
        <f t="shared" ref="AT54:BB54" si="437">AT52</f>
        <v>846.3</v>
      </c>
      <c r="AU54" s="434">
        <f t="shared" si="437"/>
        <v>816.36</v>
      </c>
      <c r="AV54" s="434">
        <f t="shared" si="437"/>
        <v>784.46</v>
      </c>
      <c r="AW54" s="434">
        <f t="shared" si="437"/>
        <v>745</v>
      </c>
      <c r="AX54" s="434">
        <f t="shared" si="437"/>
        <v>735</v>
      </c>
      <c r="AY54" s="434">
        <f t="shared" si="437"/>
        <v>725</v>
      </c>
      <c r="AZ54" s="434">
        <f t="shared" si="437"/>
        <v>750</v>
      </c>
      <c r="BA54" s="434">
        <f t="shared" si="437"/>
        <v>759</v>
      </c>
      <c r="BB54" s="434">
        <f t="shared" si="437"/>
        <v>807.18562499999996</v>
      </c>
      <c r="BC54" s="434">
        <f t="shared" ref="BC54:BG54" si="438">BC52</f>
        <v>843.97261538461498</v>
      </c>
      <c r="BD54" s="434">
        <f t="shared" si="438"/>
        <v>759</v>
      </c>
      <c r="BE54" s="434">
        <f t="shared" si="438"/>
        <v>912.46446153846205</v>
      </c>
      <c r="BF54" s="434">
        <f t="shared" si="438"/>
        <v>810.20230769230795</v>
      </c>
      <c r="BG54" s="434">
        <f t="shared" si="438"/>
        <v>800.72523076923096</v>
      </c>
      <c r="BH54" s="434">
        <f t="shared" ref="BH54" si="439">BH52</f>
        <v>852.77753846153803</v>
      </c>
      <c r="BI54" s="434">
        <v>895.30538461538401</v>
      </c>
      <c r="BJ54" s="434">
        <v>945.95953846153895</v>
      </c>
      <c r="BK54" s="800">
        <v>933.71784615384604</v>
      </c>
      <c r="BL54" s="1426">
        <f t="shared" ref="BL54:BQ54" si="440">BL365</f>
        <v>938</v>
      </c>
      <c r="BM54" s="1426">
        <f t="shared" si="440"/>
        <v>938</v>
      </c>
      <c r="BN54" s="1426">
        <f t="shared" si="440"/>
        <v>938</v>
      </c>
      <c r="BO54" s="1426">
        <f t="shared" si="440"/>
        <v>939</v>
      </c>
      <c r="BP54" s="1426">
        <f t="shared" si="440"/>
        <v>939</v>
      </c>
      <c r="BQ54" s="1426">
        <f t="shared" si="440"/>
        <v>945</v>
      </c>
      <c r="BR54" s="1886">
        <f t="shared" ref="BR54" si="441">+BN54*(1+BR59)/(1+BR$75)</f>
        <v>946.66390475907826</v>
      </c>
      <c r="BS54" s="1886">
        <f t="shared" ref="BS54" si="442">+BO54*(1+BS59)/(1+BS$75)</f>
        <v>947.67314133131606</v>
      </c>
      <c r="BT54" s="1886">
        <f t="shared" ref="BT54" si="443">+BP54*(1+BT59)/(1+BT$75)</f>
        <v>947.67314133131606</v>
      </c>
      <c r="BU54" s="1886">
        <f t="shared" ref="BU54" si="444">+BQ54*(1+BU59)/(1+BU$75)</f>
        <v>953.72856076474295</v>
      </c>
      <c r="BV54" s="1886">
        <f t="shared" ref="BV54" si="445">+BR54*(1+BV59)/(1+BV$75)</f>
        <v>955.40783430032525</v>
      </c>
      <c r="BW54" s="1886">
        <f t="shared" ref="BW54" si="446">+BS54*(1+BW59)/(1+BW$75)</f>
        <v>956.42639275906765</v>
      </c>
      <c r="BX54" s="1886">
        <f t="shared" ref="BX54" si="447">+BT54*(1+BX59)/(1+BX$75)</f>
        <v>956.42639275906765</v>
      </c>
      <c r="BY54" s="1886">
        <f t="shared" ref="BY54" si="448">+BU54*(1+BY59)/(1+BY$75)</f>
        <v>962.53774351152163</v>
      </c>
      <c r="BZ54" s="1886">
        <f t="shared" ref="BZ54" si="449">+BV54*(1+BZ59)/(1+BZ$75)</f>
        <v>964.23252777842242</v>
      </c>
      <c r="CA54" s="1886">
        <f t="shared" ref="CA54" si="450">+BW54*(1+CA59)/(1+CA$75)</f>
        <v>965.26049422594747</v>
      </c>
      <c r="CB54" s="1886">
        <f t="shared" ref="CB54" si="451">+BX54*(1+CB59)/(1+CB$75)</f>
        <v>965.26049422594747</v>
      </c>
      <c r="CC54" s="1886">
        <f t="shared" ref="CC54" si="452">+BY54*(1+CC59)/(1+CC$75)</f>
        <v>971.42829291109717</v>
      </c>
      <c r="CD54" s="1886">
        <f t="shared" ref="CD54" si="453">+BZ54*(1+CD59)/(1+CD$75)</f>
        <v>973.1387311753067</v>
      </c>
      <c r="CE54" s="1886">
        <f t="shared" ref="CE54" si="454">+CA54*(1+CE59)/(1+CE$75)</f>
        <v>974.17619250918233</v>
      </c>
      <c r="CF54" s="1886">
        <f t="shared" ref="CF54" si="455">+CB54*(1+CF59)/(1+CF$75)</f>
        <v>974.17619250918233</v>
      </c>
      <c r="CG54" s="1886">
        <f t="shared" ref="CG54" si="456">+CC54*(1+CG59)/(1+CG$75)</f>
        <v>980.40096051243586</v>
      </c>
      <c r="CH54" s="1886">
        <f t="shared" ref="CH54" si="457">+CD54*(1+CH59)/(1+CH$75)</f>
        <v>982.12719736323106</v>
      </c>
      <c r="CI54" s="1886">
        <f t="shared" ref="CI54" si="458">+CE54*(1+CI59)/(1+CI$75)</f>
        <v>983.17424128366099</v>
      </c>
      <c r="CJ54" s="1886">
        <f t="shared" ref="CJ54" si="459">+CF54*(1+CJ59)/(1+CJ$75)</f>
        <v>983.17424128366099</v>
      </c>
      <c r="CK54" s="1886">
        <f t="shared" ref="CK54:CL54" si="460">+CG54*(1+CK59)/(1+CK$75)</f>
        <v>989.45650480624022</v>
      </c>
      <c r="CL54" s="1886">
        <f t="shared" si="460"/>
        <v>991.19868616840733</v>
      </c>
      <c r="CM54" s="1886">
        <f t="shared" ref="CM54" si="461">+CI54*(1+CM59)/(1+CM$75)</f>
        <v>992.25540118564447</v>
      </c>
      <c r="CN54" s="1886">
        <f t="shared" ref="CN54" si="462">+CJ54*(1+CN59)/(1+CN$75)</f>
        <v>992.25540118564447</v>
      </c>
      <c r="CO54" s="1886">
        <f t="shared" ref="CO54" si="463">+CK54*(1+CO59)/(1+CO$75)</f>
        <v>998.59569128906719</v>
      </c>
      <c r="CP54" s="1886">
        <f t="shared" ref="CP54" si="464">+CL54*(1+CP59)/(1+CP$75)</f>
        <v>1000.3539644352373</v>
      </c>
      <c r="CQ54" s="1886">
        <f t="shared" ref="CQ54" si="465">+CM54*(1+CQ59)/(1+CQ$75)</f>
        <v>1001.420439877066</v>
      </c>
      <c r="CR54" s="1886">
        <f t="shared" ref="CR54" si="466">+CN54*(1+CR59)/(1+CR$75)</f>
        <v>1001.420439877066</v>
      </c>
      <c r="CS54" s="1886">
        <f t="shared" ref="CS54" si="467">+CO54*(1+CS59)/(1+CS$75)</f>
        <v>1007.8192925280376</v>
      </c>
      <c r="CT54" s="1886">
        <f t="shared" ref="CT54" si="468">+CP54*(1+CT59)/(1+CT$75)</f>
        <v>1009.5938060911361</v>
      </c>
      <c r="CU54" s="1886">
        <f t="shared" ref="CU54" si="469">+CQ54*(1+CU59)/(1+CU$75)</f>
        <v>1010.6701321104231</v>
      </c>
      <c r="CV54" s="1886">
        <f t="shared" ref="CV54" si="470">+CR54*(1+CV59)/(1+CV$75)</f>
        <v>1010.6701321104231</v>
      </c>
      <c r="CW54" s="1886">
        <f t="shared" ref="CW54" si="471">+CS54*(1+CW59)/(1+CW$75)</f>
        <v>1017.1280882261448</v>
      </c>
      <c r="CX54" s="718"/>
      <c r="CY54" s="269"/>
      <c r="CZ54" s="269"/>
    </row>
    <row r="55" spans="1:106" hidden="1" outlineLevel="1">
      <c r="A55" s="86" t="s">
        <v>202</v>
      </c>
      <c r="B55" s="434">
        <f t="shared" ref="B55:AM55" si="472">B52</f>
        <v>637.25</v>
      </c>
      <c r="C55" s="434">
        <f t="shared" si="472"/>
        <v>580.75</v>
      </c>
      <c r="D55" s="434">
        <f t="shared" si="472"/>
        <v>534.35</v>
      </c>
      <c r="E55" s="434">
        <f t="shared" si="472"/>
        <v>554</v>
      </c>
      <c r="F55" s="434">
        <f t="shared" si="472"/>
        <v>507.25</v>
      </c>
      <c r="G55" s="434">
        <f t="shared" si="472"/>
        <v>521.75</v>
      </c>
      <c r="H55" s="434">
        <f t="shared" si="472"/>
        <v>547.35</v>
      </c>
      <c r="I55" s="434">
        <f t="shared" si="472"/>
        <v>480.65</v>
      </c>
      <c r="J55" s="434">
        <f t="shared" si="472"/>
        <v>482.08</v>
      </c>
      <c r="K55" s="434">
        <f t="shared" si="472"/>
        <v>471.13</v>
      </c>
      <c r="L55" s="434">
        <f t="shared" si="472"/>
        <v>515.14</v>
      </c>
      <c r="M55" s="434">
        <f t="shared" si="472"/>
        <v>521.46</v>
      </c>
      <c r="N55" s="434">
        <f t="shared" si="472"/>
        <v>489.76</v>
      </c>
      <c r="O55" s="434">
        <f t="shared" si="472"/>
        <v>509.73</v>
      </c>
      <c r="P55" s="434">
        <f t="shared" si="472"/>
        <v>470.48</v>
      </c>
      <c r="Q55" s="434">
        <f t="shared" si="472"/>
        <v>478.6</v>
      </c>
      <c r="R55" s="434">
        <f t="shared" si="472"/>
        <v>472.54</v>
      </c>
      <c r="S55" s="434">
        <f t="shared" si="472"/>
        <v>503.86</v>
      </c>
      <c r="T55" s="434">
        <f t="shared" si="472"/>
        <v>502.97</v>
      </c>
      <c r="U55" s="434">
        <f t="shared" si="472"/>
        <v>523.76</v>
      </c>
      <c r="V55" s="434">
        <f t="shared" si="472"/>
        <v>550.53</v>
      </c>
      <c r="W55" s="434">
        <f t="shared" si="472"/>
        <v>550.6</v>
      </c>
      <c r="X55" s="434">
        <f t="shared" si="472"/>
        <v>601.66</v>
      </c>
      <c r="Y55" s="434">
        <f t="shared" si="472"/>
        <v>607.38</v>
      </c>
      <c r="Z55" s="434">
        <f t="shared" si="472"/>
        <v>626.87</v>
      </c>
      <c r="AA55" s="434">
        <f t="shared" si="472"/>
        <v>634.58000000000004</v>
      </c>
      <c r="AB55" s="434">
        <f t="shared" si="472"/>
        <v>704.68</v>
      </c>
      <c r="AC55" s="434">
        <f t="shared" si="472"/>
        <v>707.34</v>
      </c>
      <c r="AD55" s="434">
        <f t="shared" si="472"/>
        <v>675.1</v>
      </c>
      <c r="AE55" s="434">
        <f t="shared" si="472"/>
        <v>661.49</v>
      </c>
      <c r="AF55" s="434">
        <f t="shared" si="472"/>
        <v>659.08</v>
      </c>
      <c r="AG55" s="434">
        <f t="shared" si="472"/>
        <v>667.29</v>
      </c>
      <c r="AH55" s="434">
        <f t="shared" si="472"/>
        <v>662.66</v>
      </c>
      <c r="AI55" s="434">
        <f t="shared" si="472"/>
        <v>663.21</v>
      </c>
      <c r="AJ55" s="434">
        <f t="shared" si="472"/>
        <v>636.85</v>
      </c>
      <c r="AK55" s="434">
        <f t="shared" si="472"/>
        <v>615.22</v>
      </c>
      <c r="AL55" s="434">
        <f t="shared" si="472"/>
        <v>605.26</v>
      </c>
      <c r="AM55" s="434">
        <f t="shared" si="472"/>
        <v>647.95000000000005</v>
      </c>
      <c r="AN55" s="434">
        <f t="shared" ref="AN55:AS55" si="473">AN52</f>
        <v>661.5</v>
      </c>
      <c r="AO55" s="434">
        <f t="shared" si="473"/>
        <v>695.69</v>
      </c>
      <c r="AP55" s="434">
        <f t="shared" si="473"/>
        <v>681.09</v>
      </c>
      <c r="AQ55" s="434">
        <f t="shared" si="473"/>
        <v>679.86</v>
      </c>
      <c r="AR55" s="434">
        <f t="shared" si="473"/>
        <v>725.68</v>
      </c>
      <c r="AS55" s="434">
        <f t="shared" si="473"/>
        <v>744.62</v>
      </c>
      <c r="AT55" s="434">
        <f t="shared" ref="AT55:BB55" si="474">AT52</f>
        <v>846.3</v>
      </c>
      <c r="AU55" s="434">
        <f t="shared" si="474"/>
        <v>816.36</v>
      </c>
      <c r="AV55" s="434">
        <f t="shared" si="474"/>
        <v>784.46</v>
      </c>
      <c r="AW55" s="434">
        <f t="shared" si="474"/>
        <v>745</v>
      </c>
      <c r="AX55" s="434">
        <f t="shared" si="474"/>
        <v>735</v>
      </c>
      <c r="AY55" s="434">
        <f t="shared" si="474"/>
        <v>725</v>
      </c>
      <c r="AZ55" s="434">
        <f t="shared" si="474"/>
        <v>750</v>
      </c>
      <c r="BA55" s="434">
        <f t="shared" si="474"/>
        <v>759</v>
      </c>
      <c r="BB55" s="434">
        <f t="shared" si="474"/>
        <v>807.18562499999996</v>
      </c>
      <c r="BC55" s="434">
        <f t="shared" ref="BC55:BG55" si="475">BC52</f>
        <v>843.97261538461498</v>
      </c>
      <c r="BD55" s="434">
        <f t="shared" si="475"/>
        <v>759</v>
      </c>
      <c r="BE55" s="434">
        <f t="shared" si="475"/>
        <v>912.46446153846205</v>
      </c>
      <c r="BF55" s="434">
        <f t="shared" si="475"/>
        <v>810.20230769230795</v>
      </c>
      <c r="BG55" s="434">
        <f t="shared" si="475"/>
        <v>800.72523076923096</v>
      </c>
      <c r="BH55" s="434">
        <f t="shared" ref="BH55" si="476">BH52</f>
        <v>852.77753846153803</v>
      </c>
      <c r="BI55" s="434">
        <f t="shared" ref="BI55" si="477">BI52</f>
        <v>895.30538461538401</v>
      </c>
      <c r="BJ55" s="434">
        <f t="shared" ref="BJ55:BK55" si="478">BJ52</f>
        <v>945.95953846153895</v>
      </c>
      <c r="BK55" s="800">
        <f t="shared" si="478"/>
        <v>933.71784615384604</v>
      </c>
      <c r="BL55" s="929">
        <f t="shared" ref="BL55:BQ55" si="479">BL54+$CY55</f>
        <v>938</v>
      </c>
      <c r="BM55" s="929">
        <f t="shared" si="479"/>
        <v>938</v>
      </c>
      <c r="BN55" s="929">
        <f t="shared" si="479"/>
        <v>938</v>
      </c>
      <c r="BO55" s="929">
        <f t="shared" si="479"/>
        <v>939</v>
      </c>
      <c r="BP55" s="929">
        <f t="shared" si="479"/>
        <v>939</v>
      </c>
      <c r="BQ55" s="929">
        <f t="shared" si="479"/>
        <v>945</v>
      </c>
      <c r="BR55" s="929">
        <f t="shared" ref="BR55:CU55" si="480">BR54+$CZ55</f>
        <v>946.66390475907826</v>
      </c>
      <c r="BS55" s="929">
        <f t="shared" si="480"/>
        <v>947.67314133131606</v>
      </c>
      <c r="BT55" s="929">
        <f t="shared" si="480"/>
        <v>947.67314133131606</v>
      </c>
      <c r="BU55" s="929">
        <f t="shared" si="480"/>
        <v>953.72856076474295</v>
      </c>
      <c r="BV55" s="929">
        <f t="shared" si="480"/>
        <v>955.40783430032525</v>
      </c>
      <c r="BW55" s="929">
        <f t="shared" si="480"/>
        <v>956.42639275906765</v>
      </c>
      <c r="BX55" s="929">
        <f t="shared" si="480"/>
        <v>956.42639275906765</v>
      </c>
      <c r="BY55" s="929">
        <f t="shared" si="480"/>
        <v>962.53774351152163</v>
      </c>
      <c r="BZ55" s="929">
        <f t="shared" si="480"/>
        <v>964.23252777842242</v>
      </c>
      <c r="CA55" s="929">
        <f t="shared" si="480"/>
        <v>965.26049422594747</v>
      </c>
      <c r="CB55" s="929">
        <f t="shared" si="480"/>
        <v>965.26049422594747</v>
      </c>
      <c r="CC55" s="929">
        <f t="shared" si="480"/>
        <v>971.42829291109717</v>
      </c>
      <c r="CD55" s="929">
        <f t="shared" si="480"/>
        <v>973.1387311753067</v>
      </c>
      <c r="CE55" s="929">
        <f t="shared" si="480"/>
        <v>974.17619250918233</v>
      </c>
      <c r="CF55" s="929">
        <f t="shared" si="480"/>
        <v>974.17619250918233</v>
      </c>
      <c r="CG55" s="929">
        <f t="shared" si="480"/>
        <v>980.40096051243586</v>
      </c>
      <c r="CH55" s="929">
        <f t="shared" si="480"/>
        <v>982.12719736323106</v>
      </c>
      <c r="CI55" s="929">
        <f t="shared" si="480"/>
        <v>983.17424128366099</v>
      </c>
      <c r="CJ55" s="929">
        <f t="shared" si="480"/>
        <v>983.17424128366099</v>
      </c>
      <c r="CK55" s="929">
        <f t="shared" si="480"/>
        <v>989.45650480624022</v>
      </c>
      <c r="CL55" s="929">
        <f t="shared" si="480"/>
        <v>991.19868616840733</v>
      </c>
      <c r="CM55" s="929">
        <f t="shared" si="480"/>
        <v>992.25540118564447</v>
      </c>
      <c r="CN55" s="929">
        <f t="shared" si="480"/>
        <v>992.25540118564447</v>
      </c>
      <c r="CO55" s="929">
        <f t="shared" si="480"/>
        <v>998.59569128906719</v>
      </c>
      <c r="CP55" s="929">
        <f t="shared" si="480"/>
        <v>1000.3539644352373</v>
      </c>
      <c r="CQ55" s="929">
        <f t="shared" si="480"/>
        <v>1001.420439877066</v>
      </c>
      <c r="CR55" s="929">
        <f t="shared" si="480"/>
        <v>1001.420439877066</v>
      </c>
      <c r="CS55" s="929">
        <f t="shared" si="480"/>
        <v>1007.8192925280376</v>
      </c>
      <c r="CT55" s="929">
        <f t="shared" si="480"/>
        <v>1009.5938060911361</v>
      </c>
      <c r="CU55" s="929">
        <f t="shared" si="480"/>
        <v>1010.6701321104231</v>
      </c>
      <c r="CV55" s="929">
        <f t="shared" ref="CV55:CW55" si="481">CV54+$CZ55</f>
        <v>1010.6701321104231</v>
      </c>
      <c r="CW55" s="929">
        <f t="shared" si="481"/>
        <v>1017.1280882261448</v>
      </c>
      <c r="CX55" s="718"/>
      <c r="CY55" s="402">
        <v>0</v>
      </c>
      <c r="CZ55" s="402">
        <v>0</v>
      </c>
    </row>
    <row r="56" spans="1:106" hidden="1" outlineLevel="1">
      <c r="A56" s="86"/>
      <c r="B56" s="887"/>
      <c r="C56" s="887"/>
      <c r="D56" s="887"/>
      <c r="E56" s="887"/>
      <c r="F56" s="887"/>
      <c r="G56" s="887"/>
      <c r="H56" s="887"/>
      <c r="I56" s="887"/>
      <c r="J56" s="887"/>
      <c r="K56" s="887"/>
      <c r="L56" s="887"/>
      <c r="M56" s="887"/>
      <c r="N56" s="887"/>
      <c r="O56" s="887"/>
      <c r="P56" s="887"/>
      <c r="Q56" s="887"/>
      <c r="R56" s="887"/>
      <c r="S56" s="887"/>
      <c r="T56" s="887"/>
      <c r="U56" s="887"/>
      <c r="V56" s="887"/>
      <c r="W56" s="887"/>
      <c r="X56" s="887"/>
      <c r="Y56" s="887"/>
      <c r="Z56" s="887"/>
      <c r="AA56" s="887"/>
      <c r="AB56" s="887"/>
      <c r="AC56" s="887"/>
      <c r="AD56" s="887"/>
      <c r="AE56" s="887"/>
      <c r="AF56" s="887"/>
      <c r="AG56" s="887"/>
      <c r="AH56" s="887"/>
      <c r="AI56" s="887"/>
      <c r="AJ56" s="887"/>
      <c r="AK56" s="887"/>
      <c r="AL56" s="887"/>
      <c r="AM56" s="887"/>
      <c r="AN56" s="887"/>
      <c r="AO56" s="887"/>
      <c r="AP56" s="887"/>
      <c r="AQ56" s="887"/>
      <c r="AR56" s="887"/>
      <c r="AS56" s="887"/>
      <c r="AT56" s="888"/>
      <c r="AU56" s="888"/>
      <c r="AV56" s="888"/>
      <c r="AW56" s="888"/>
      <c r="AX56" s="888"/>
      <c r="AY56" s="888"/>
      <c r="AZ56" s="888"/>
      <c r="BA56" s="888"/>
      <c r="BB56" s="888"/>
      <c r="BC56" s="888"/>
      <c r="BD56" s="888"/>
      <c r="BE56" s="888"/>
      <c r="BF56" s="888"/>
      <c r="BG56" s="888"/>
      <c r="BH56" s="888"/>
      <c r="BI56" s="888"/>
      <c r="BJ56" s="888"/>
      <c r="BK56" s="1823"/>
      <c r="BL56" s="888"/>
      <c r="BM56" s="888"/>
      <c r="BN56" s="888"/>
      <c r="BO56" s="888"/>
      <c r="BP56" s="888"/>
      <c r="BQ56" s="888"/>
      <c r="BR56" s="888"/>
      <c r="BS56" s="888"/>
      <c r="BT56" s="888"/>
      <c r="BU56" s="888"/>
      <c r="BV56" s="888"/>
      <c r="BW56" s="888"/>
      <c r="BX56" s="888"/>
      <c r="BY56" s="888"/>
      <c r="BZ56" s="888"/>
      <c r="CA56" s="888"/>
      <c r="CB56" s="888"/>
      <c r="CC56" s="888"/>
      <c r="CD56" s="888"/>
      <c r="CE56" s="888"/>
      <c r="CF56" s="888"/>
      <c r="CG56" s="888"/>
      <c r="CH56" s="888"/>
      <c r="CI56" s="888"/>
      <c r="CJ56" s="888"/>
      <c r="CK56" s="888"/>
      <c r="CL56" s="888"/>
      <c r="CM56" s="888"/>
      <c r="CN56" s="888"/>
      <c r="CO56" s="888"/>
      <c r="CP56" s="888"/>
      <c r="CQ56" s="888"/>
      <c r="CR56" s="888"/>
      <c r="CS56" s="888"/>
      <c r="CT56" s="888"/>
      <c r="CU56" s="888"/>
      <c r="CV56" s="888"/>
      <c r="CW56" s="888"/>
      <c r="CX56" s="718"/>
      <c r="CY56" s="269"/>
      <c r="CZ56" s="269"/>
    </row>
    <row r="57" spans="1:106" hidden="1" outlineLevel="1">
      <c r="A57" s="691" t="s">
        <v>989</v>
      </c>
      <c r="B57" s="397">
        <v>0.1125</v>
      </c>
      <c r="C57" s="397">
        <v>9.2499999999999999E-2</v>
      </c>
      <c r="D57" s="397">
        <v>8.7499999999999994E-2</v>
      </c>
      <c r="E57" s="397">
        <v>8.7499999999999994E-2</v>
      </c>
      <c r="F57" s="397">
        <v>8.7499999999999994E-2</v>
      </c>
      <c r="G57" s="397">
        <v>0.10249999999999999</v>
      </c>
      <c r="H57" s="397">
        <v>0.1075</v>
      </c>
      <c r="I57" s="397">
        <v>0.1075</v>
      </c>
      <c r="J57" s="397">
        <v>0.11749999999999999</v>
      </c>
      <c r="K57" s="397">
        <v>0.1225</v>
      </c>
      <c r="L57" s="397">
        <v>0.12</v>
      </c>
      <c r="M57" s="397">
        <v>0.11</v>
      </c>
      <c r="N57" s="397">
        <v>9.7500000000000003E-2</v>
      </c>
      <c r="O57" s="397">
        <v>8.5000000000000006E-2</v>
      </c>
      <c r="P57" s="397">
        <v>7.4999999999999997E-2</v>
      </c>
      <c r="Q57" s="397">
        <v>7.2499999999999995E-2</v>
      </c>
      <c r="R57" s="397">
        <v>7.2499999999999995E-2</v>
      </c>
      <c r="S57" s="397">
        <v>0.08</v>
      </c>
      <c r="T57" s="397">
        <v>0.09</v>
      </c>
      <c r="U57" s="397">
        <v>0.1</v>
      </c>
      <c r="V57" s="397">
        <v>0.1075</v>
      </c>
      <c r="W57" s="397">
        <v>0.11</v>
      </c>
      <c r="X57" s="397">
        <v>0.11</v>
      </c>
      <c r="Y57" s="397">
        <v>0.11749999999999999</v>
      </c>
      <c r="Z57" s="397">
        <v>0.1275</v>
      </c>
      <c r="AA57" s="397">
        <v>0.13750000000000001</v>
      </c>
      <c r="AB57" s="397">
        <v>0.14249999999999999</v>
      </c>
      <c r="AC57" s="397">
        <v>0.14249999999999999</v>
      </c>
      <c r="AD57" s="397">
        <v>0.14249999999999999</v>
      </c>
      <c r="AE57" s="397">
        <v>0.14249999999999999</v>
      </c>
      <c r="AF57" s="397">
        <v>0.14249999999999999</v>
      </c>
      <c r="AG57" s="397">
        <v>0.13750000000000001</v>
      </c>
      <c r="AH57" s="397">
        <v>0.1225</v>
      </c>
      <c r="AI57" s="397">
        <v>0.10249999999999999</v>
      </c>
      <c r="AJ57" s="397">
        <v>8.2500000000000004E-2</v>
      </c>
      <c r="AK57" s="397">
        <v>7.0000000000000007E-2</v>
      </c>
      <c r="AL57" s="397">
        <v>1.9E-2</v>
      </c>
      <c r="AM57" s="397">
        <v>2.5000000000000001E-2</v>
      </c>
      <c r="AN57" s="397">
        <v>2.8999999999999998E-2</v>
      </c>
      <c r="AO57" s="397">
        <v>2.1000000000000001E-2</v>
      </c>
      <c r="AP57" s="397">
        <v>0.02</v>
      </c>
      <c r="AQ57" s="397">
        <v>2.3E-2</v>
      </c>
      <c r="AR57" s="397">
        <v>2.1000000000000001E-2</v>
      </c>
      <c r="AS57" s="397">
        <v>0.03</v>
      </c>
      <c r="AT57" s="397">
        <v>3.7424373154131718E-2</v>
      </c>
      <c r="AU57" s="397">
        <v>2.6320547591372812E-2</v>
      </c>
      <c r="AV57" s="397">
        <v>3.088776771349222E-2</v>
      </c>
      <c r="AW57" s="397">
        <v>2.9712450707381821E-2</v>
      </c>
      <c r="AX57" s="397">
        <v>2.8840355391171357E-2</v>
      </c>
      <c r="AY57" s="397">
        <v>3.8039210751497299E-2</v>
      </c>
      <c r="AZ57" s="397">
        <v>5.3403678263017618E-2</v>
      </c>
      <c r="BA57" s="397">
        <v>7.166970035711806E-2</v>
      </c>
      <c r="BB57" s="397">
        <v>9.4088096087060702E-2</v>
      </c>
      <c r="BC57" s="397">
        <v>0.12490832322110702</v>
      </c>
      <c r="BD57" s="397">
        <v>0.13728044567558961</v>
      </c>
      <c r="BE57" s="397">
        <v>0.12789518320438931</v>
      </c>
      <c r="BF57" s="397">
        <v>0.11063366723401892</v>
      </c>
      <c r="BG57" s="397">
        <v>7.3983751227171046E-2</v>
      </c>
      <c r="BH57" s="397">
        <v>4.6862536420986034E-2</v>
      </c>
      <c r="BI57" s="397">
        <v>3.3661518819514624E-2</v>
      </c>
      <c r="BJ57" s="397">
        <v>3.2057079690483103E-2</v>
      </c>
      <c r="BK57" s="1824">
        <v>3.6453635202572832E-2</v>
      </c>
      <c r="BL57" s="398">
        <f t="shared" ref="BL57:BQ57" si="482">CHOOSE(MASTERSWITCH,BL58,BL59,BL60)</f>
        <v>3.7094794563419464E-2</v>
      </c>
      <c r="BM57" s="398">
        <f t="shared" si="482"/>
        <v>3.5180260770342864E-2</v>
      </c>
      <c r="BN57" s="398">
        <f t="shared" si="482"/>
        <v>3.1091515081447252E-2</v>
      </c>
      <c r="BO57" s="398">
        <f t="shared" si="482"/>
        <v>3.2719747605920668E-2</v>
      </c>
      <c r="BP57" s="398">
        <f t="shared" si="482"/>
        <v>3.1474681078619726E-2</v>
      </c>
      <c r="BQ57" s="398">
        <f t="shared" si="482"/>
        <v>3.1439776827055343E-2</v>
      </c>
      <c r="BR57" s="398">
        <f t="shared" ref="BR57:CK57" si="483">CHOOSE(MASTERSWITCH,BR58,BR59,BR60)</f>
        <v>3.1439776827055343E-2</v>
      </c>
      <c r="BS57" s="398">
        <f t="shared" si="483"/>
        <v>3.1439776827055343E-2</v>
      </c>
      <c r="BT57" s="398">
        <f t="shared" si="483"/>
        <v>3.1439776827055343E-2</v>
      </c>
      <c r="BU57" s="398">
        <f t="shared" si="483"/>
        <v>3.1439776827055343E-2</v>
      </c>
      <c r="BV57" s="398">
        <f t="shared" si="483"/>
        <v>3.1439776827055343E-2</v>
      </c>
      <c r="BW57" s="398">
        <f t="shared" si="483"/>
        <v>3.1439776827055343E-2</v>
      </c>
      <c r="BX57" s="398">
        <f t="shared" si="483"/>
        <v>3.1439776827055343E-2</v>
      </c>
      <c r="BY57" s="398">
        <f t="shared" si="483"/>
        <v>3.1439776827055343E-2</v>
      </c>
      <c r="BZ57" s="398">
        <f t="shared" si="483"/>
        <v>3.1439776827055343E-2</v>
      </c>
      <c r="CA57" s="398">
        <f t="shared" si="483"/>
        <v>3.1439776827055343E-2</v>
      </c>
      <c r="CB57" s="398">
        <f t="shared" si="483"/>
        <v>3.1439776827055343E-2</v>
      </c>
      <c r="CC57" s="398">
        <f t="shared" si="483"/>
        <v>3.1439776827055343E-2</v>
      </c>
      <c r="CD57" s="398">
        <f t="shared" si="483"/>
        <v>3.1439776827055343E-2</v>
      </c>
      <c r="CE57" s="398">
        <f t="shared" si="483"/>
        <v>3.1439776827055343E-2</v>
      </c>
      <c r="CF57" s="398">
        <f t="shared" si="483"/>
        <v>3.1439776827055343E-2</v>
      </c>
      <c r="CG57" s="398">
        <f t="shared" si="483"/>
        <v>3.1439776827055343E-2</v>
      </c>
      <c r="CH57" s="398">
        <f t="shared" si="483"/>
        <v>3.1439776827055343E-2</v>
      </c>
      <c r="CI57" s="398">
        <f t="shared" si="483"/>
        <v>3.1439776827055343E-2</v>
      </c>
      <c r="CJ57" s="398">
        <f t="shared" si="483"/>
        <v>3.1439776827055343E-2</v>
      </c>
      <c r="CK57" s="398">
        <f t="shared" si="483"/>
        <v>3.1439776827055343E-2</v>
      </c>
      <c r="CL57" s="398">
        <f t="shared" ref="CL57:CP57" si="484">CHOOSE(MASTERSWITCH,CL58,CL59,CL60)</f>
        <v>3.1439776827055343E-2</v>
      </c>
      <c r="CM57" s="398">
        <f t="shared" si="484"/>
        <v>3.1439776827055343E-2</v>
      </c>
      <c r="CN57" s="398">
        <f t="shared" si="484"/>
        <v>3.1439776827055343E-2</v>
      </c>
      <c r="CO57" s="398">
        <f t="shared" si="484"/>
        <v>3.1439776827055343E-2</v>
      </c>
      <c r="CP57" s="398">
        <f t="shared" si="484"/>
        <v>3.1439776827055343E-2</v>
      </c>
      <c r="CQ57" s="398">
        <f t="shared" ref="CQ57:CU57" si="485">CHOOSE(MASTERSWITCH,CQ58,CQ59,CQ60)</f>
        <v>3.1439776827055343E-2</v>
      </c>
      <c r="CR57" s="398">
        <f t="shared" si="485"/>
        <v>3.1439776827055343E-2</v>
      </c>
      <c r="CS57" s="398">
        <f t="shared" si="485"/>
        <v>3.1439776827055343E-2</v>
      </c>
      <c r="CT57" s="398">
        <f t="shared" si="485"/>
        <v>3.1439776827055343E-2</v>
      </c>
      <c r="CU57" s="398">
        <f t="shared" si="485"/>
        <v>3.1439776827055343E-2</v>
      </c>
      <c r="CV57" s="398">
        <f t="shared" ref="CV57:CW57" si="486">CHOOSE(MASTERSWITCH,CV58,CV59,CV60)</f>
        <v>3.1439776827055343E-2</v>
      </c>
      <c r="CW57" s="398">
        <f t="shared" si="486"/>
        <v>3.1439776827055343E-2</v>
      </c>
      <c r="CX57" s="718"/>
      <c r="CY57" s="269"/>
      <c r="CZ57" s="269"/>
      <c r="DB57" s="173"/>
    </row>
    <row r="58" spans="1:106" hidden="1" outlineLevel="1">
      <c r="A58" s="945" t="s">
        <v>571</v>
      </c>
      <c r="B58" s="944">
        <f t="shared" ref="B58:AM58" si="487">B57</f>
        <v>0.1125</v>
      </c>
      <c r="C58" s="944">
        <f t="shared" si="487"/>
        <v>9.2499999999999999E-2</v>
      </c>
      <c r="D58" s="944">
        <f t="shared" si="487"/>
        <v>8.7499999999999994E-2</v>
      </c>
      <c r="E58" s="944">
        <f t="shared" si="487"/>
        <v>8.7499999999999994E-2</v>
      </c>
      <c r="F58" s="944">
        <f t="shared" si="487"/>
        <v>8.7499999999999994E-2</v>
      </c>
      <c r="G58" s="944">
        <f t="shared" si="487"/>
        <v>0.10249999999999999</v>
      </c>
      <c r="H58" s="944">
        <f t="shared" si="487"/>
        <v>0.1075</v>
      </c>
      <c r="I58" s="944">
        <f t="shared" si="487"/>
        <v>0.1075</v>
      </c>
      <c r="J58" s="944">
        <f t="shared" si="487"/>
        <v>0.11749999999999999</v>
      </c>
      <c r="K58" s="944">
        <f t="shared" si="487"/>
        <v>0.1225</v>
      </c>
      <c r="L58" s="944">
        <f t="shared" si="487"/>
        <v>0.12</v>
      </c>
      <c r="M58" s="944">
        <f t="shared" si="487"/>
        <v>0.11</v>
      </c>
      <c r="N58" s="944">
        <f t="shared" si="487"/>
        <v>9.7500000000000003E-2</v>
      </c>
      <c r="O58" s="944">
        <f t="shared" si="487"/>
        <v>8.5000000000000006E-2</v>
      </c>
      <c r="P58" s="944">
        <f t="shared" si="487"/>
        <v>7.4999999999999997E-2</v>
      </c>
      <c r="Q58" s="944">
        <f t="shared" si="487"/>
        <v>7.2499999999999995E-2</v>
      </c>
      <c r="R58" s="84">
        <f t="shared" si="487"/>
        <v>7.2499999999999995E-2</v>
      </c>
      <c r="S58" s="84">
        <f t="shared" si="487"/>
        <v>0.08</v>
      </c>
      <c r="T58" s="84">
        <f t="shared" si="487"/>
        <v>0.09</v>
      </c>
      <c r="U58" s="84">
        <f t="shared" si="487"/>
        <v>0.1</v>
      </c>
      <c r="V58" s="84">
        <f t="shared" si="487"/>
        <v>0.1075</v>
      </c>
      <c r="W58" s="84">
        <f t="shared" si="487"/>
        <v>0.11</v>
      </c>
      <c r="X58" s="84">
        <f t="shared" si="487"/>
        <v>0.11</v>
      </c>
      <c r="Y58" s="84">
        <f t="shared" si="487"/>
        <v>0.11749999999999999</v>
      </c>
      <c r="Z58" s="84">
        <f t="shared" si="487"/>
        <v>0.1275</v>
      </c>
      <c r="AA58" s="84">
        <f t="shared" si="487"/>
        <v>0.13750000000000001</v>
      </c>
      <c r="AB58" s="84">
        <f t="shared" si="487"/>
        <v>0.14249999999999999</v>
      </c>
      <c r="AC58" s="84">
        <f t="shared" si="487"/>
        <v>0.14249999999999999</v>
      </c>
      <c r="AD58" s="84">
        <f t="shared" si="487"/>
        <v>0.14249999999999999</v>
      </c>
      <c r="AE58" s="84">
        <f t="shared" si="487"/>
        <v>0.14249999999999999</v>
      </c>
      <c r="AF58" s="84">
        <f t="shared" si="487"/>
        <v>0.14249999999999999</v>
      </c>
      <c r="AG58" s="84">
        <f t="shared" si="487"/>
        <v>0.13750000000000001</v>
      </c>
      <c r="AH58" s="84">
        <f t="shared" si="487"/>
        <v>0.1225</v>
      </c>
      <c r="AI58" s="84">
        <f t="shared" si="487"/>
        <v>0.10249999999999999</v>
      </c>
      <c r="AJ58" s="84">
        <f t="shared" si="487"/>
        <v>8.2500000000000004E-2</v>
      </c>
      <c r="AK58" s="84">
        <f t="shared" si="487"/>
        <v>7.0000000000000007E-2</v>
      </c>
      <c r="AL58" s="84">
        <f t="shared" si="487"/>
        <v>1.9E-2</v>
      </c>
      <c r="AM58" s="84">
        <f t="shared" si="487"/>
        <v>2.5000000000000001E-2</v>
      </c>
      <c r="AN58" s="84">
        <f t="shared" ref="AN58:AS58" si="488">AN57</f>
        <v>2.8999999999999998E-2</v>
      </c>
      <c r="AO58" s="84">
        <f t="shared" si="488"/>
        <v>2.1000000000000001E-2</v>
      </c>
      <c r="AP58" s="84">
        <f t="shared" si="488"/>
        <v>0.02</v>
      </c>
      <c r="AQ58" s="84">
        <f t="shared" si="488"/>
        <v>2.3E-2</v>
      </c>
      <c r="AR58" s="84">
        <f t="shared" si="488"/>
        <v>2.1000000000000001E-2</v>
      </c>
      <c r="AS58" s="84">
        <f t="shared" si="488"/>
        <v>0.03</v>
      </c>
      <c r="AT58" s="84">
        <f t="shared" ref="AT58:BB58" si="489">AT57</f>
        <v>3.7424373154131718E-2</v>
      </c>
      <c r="AU58" s="84">
        <f t="shared" si="489"/>
        <v>2.6320547591372812E-2</v>
      </c>
      <c r="AV58" s="84">
        <f t="shared" si="489"/>
        <v>3.088776771349222E-2</v>
      </c>
      <c r="AW58" s="84">
        <f t="shared" si="489"/>
        <v>2.9712450707381821E-2</v>
      </c>
      <c r="AX58" s="84">
        <f t="shared" si="489"/>
        <v>2.8840355391171357E-2</v>
      </c>
      <c r="AY58" s="84">
        <f t="shared" si="489"/>
        <v>3.8039210751497299E-2</v>
      </c>
      <c r="AZ58" s="84">
        <f t="shared" si="489"/>
        <v>5.3403678263017618E-2</v>
      </c>
      <c r="BA58" s="84">
        <f t="shared" si="489"/>
        <v>7.166970035711806E-2</v>
      </c>
      <c r="BB58" s="84">
        <f t="shared" si="489"/>
        <v>9.4088096087060702E-2</v>
      </c>
      <c r="BC58" s="84">
        <f t="shared" ref="BC58:BG58" si="490">BC57</f>
        <v>0.12490832322110702</v>
      </c>
      <c r="BD58" s="84">
        <f t="shared" si="490"/>
        <v>0.13728044567558961</v>
      </c>
      <c r="BE58" s="84">
        <f t="shared" si="490"/>
        <v>0.12789518320438931</v>
      </c>
      <c r="BF58" s="84">
        <f t="shared" si="490"/>
        <v>0.11063366723401892</v>
      </c>
      <c r="BG58" s="84">
        <f t="shared" si="490"/>
        <v>7.3983751227171046E-2</v>
      </c>
      <c r="BH58" s="84">
        <f t="shared" ref="BH58" si="491">BH57</f>
        <v>4.6862536420986034E-2</v>
      </c>
      <c r="BI58" s="84">
        <f t="shared" ref="BI58" si="492">BI57</f>
        <v>3.3661518819514624E-2</v>
      </c>
      <c r="BJ58" s="84">
        <f t="shared" ref="BJ58:BK58" si="493">BJ57</f>
        <v>3.2057079690483103E-2</v>
      </c>
      <c r="BK58" s="801">
        <f t="shared" si="493"/>
        <v>3.6453635202572832E-2</v>
      </c>
      <c r="BL58" s="305">
        <f t="shared" ref="BL58:BQ58" si="494">BL59+$CY58</f>
        <v>3.7094794563419464E-2</v>
      </c>
      <c r="BM58" s="305">
        <f t="shared" si="494"/>
        <v>3.5180260770342864E-2</v>
      </c>
      <c r="BN58" s="305">
        <f t="shared" si="494"/>
        <v>3.1091515081447252E-2</v>
      </c>
      <c r="BO58" s="305">
        <f t="shared" si="494"/>
        <v>3.2719747605920668E-2</v>
      </c>
      <c r="BP58" s="305">
        <f t="shared" si="494"/>
        <v>3.1474681078619726E-2</v>
      </c>
      <c r="BQ58" s="305">
        <f t="shared" si="494"/>
        <v>3.1439776827055343E-2</v>
      </c>
      <c r="BR58" s="305">
        <f t="shared" ref="BR58:CU58" si="495">BR59+$CZ58</f>
        <v>3.1439776827055343E-2</v>
      </c>
      <c r="BS58" s="305">
        <f t="shared" si="495"/>
        <v>3.1439776827055343E-2</v>
      </c>
      <c r="BT58" s="305">
        <f t="shared" si="495"/>
        <v>3.1439776827055343E-2</v>
      </c>
      <c r="BU58" s="305">
        <f t="shared" si="495"/>
        <v>3.1439776827055343E-2</v>
      </c>
      <c r="BV58" s="305">
        <f t="shared" si="495"/>
        <v>3.1439776827055343E-2</v>
      </c>
      <c r="BW58" s="305">
        <f t="shared" si="495"/>
        <v>3.1439776827055343E-2</v>
      </c>
      <c r="BX58" s="305">
        <f t="shared" si="495"/>
        <v>3.1439776827055343E-2</v>
      </c>
      <c r="BY58" s="305">
        <f t="shared" si="495"/>
        <v>3.1439776827055343E-2</v>
      </c>
      <c r="BZ58" s="305">
        <f t="shared" si="495"/>
        <v>3.1439776827055343E-2</v>
      </c>
      <c r="CA58" s="305">
        <f t="shared" si="495"/>
        <v>3.1439776827055343E-2</v>
      </c>
      <c r="CB58" s="305">
        <f t="shared" si="495"/>
        <v>3.1439776827055343E-2</v>
      </c>
      <c r="CC58" s="305">
        <f t="shared" si="495"/>
        <v>3.1439776827055343E-2</v>
      </c>
      <c r="CD58" s="305">
        <f t="shared" si="495"/>
        <v>3.1439776827055343E-2</v>
      </c>
      <c r="CE58" s="305">
        <f t="shared" si="495"/>
        <v>3.1439776827055343E-2</v>
      </c>
      <c r="CF58" s="305">
        <f t="shared" si="495"/>
        <v>3.1439776827055343E-2</v>
      </c>
      <c r="CG58" s="305">
        <f t="shared" si="495"/>
        <v>3.1439776827055343E-2</v>
      </c>
      <c r="CH58" s="305">
        <f t="shared" si="495"/>
        <v>3.1439776827055343E-2</v>
      </c>
      <c r="CI58" s="305">
        <f t="shared" si="495"/>
        <v>3.1439776827055343E-2</v>
      </c>
      <c r="CJ58" s="305">
        <f t="shared" si="495"/>
        <v>3.1439776827055343E-2</v>
      </c>
      <c r="CK58" s="305">
        <f t="shared" si="495"/>
        <v>3.1439776827055343E-2</v>
      </c>
      <c r="CL58" s="305">
        <f t="shared" si="495"/>
        <v>3.1439776827055343E-2</v>
      </c>
      <c r="CM58" s="305">
        <f t="shared" si="495"/>
        <v>3.1439776827055343E-2</v>
      </c>
      <c r="CN58" s="305">
        <f t="shared" si="495"/>
        <v>3.1439776827055343E-2</v>
      </c>
      <c r="CO58" s="305">
        <f t="shared" si="495"/>
        <v>3.1439776827055343E-2</v>
      </c>
      <c r="CP58" s="305">
        <f t="shared" si="495"/>
        <v>3.1439776827055343E-2</v>
      </c>
      <c r="CQ58" s="305">
        <f t="shared" si="495"/>
        <v>3.1439776827055343E-2</v>
      </c>
      <c r="CR58" s="305">
        <f t="shared" si="495"/>
        <v>3.1439776827055343E-2</v>
      </c>
      <c r="CS58" s="305">
        <f t="shared" si="495"/>
        <v>3.1439776827055343E-2</v>
      </c>
      <c r="CT58" s="305">
        <f t="shared" si="495"/>
        <v>3.1439776827055343E-2</v>
      </c>
      <c r="CU58" s="305">
        <f t="shared" si="495"/>
        <v>3.1439776827055343E-2</v>
      </c>
      <c r="CV58" s="305">
        <f t="shared" ref="CV58:CW58" si="496">CV59+$CZ58</f>
        <v>3.1439776827055343E-2</v>
      </c>
      <c r="CW58" s="305">
        <f t="shared" si="496"/>
        <v>3.1439776827055343E-2</v>
      </c>
      <c r="CX58" s="718"/>
      <c r="CY58" s="402">
        <v>0</v>
      </c>
      <c r="CZ58" s="402">
        <v>0</v>
      </c>
    </row>
    <row r="59" spans="1:106" hidden="1" outlineLevel="1">
      <c r="A59" s="945" t="s">
        <v>200</v>
      </c>
      <c r="B59" s="944">
        <f t="shared" ref="B59:AM59" si="497">B57</f>
        <v>0.1125</v>
      </c>
      <c r="C59" s="944">
        <f t="shared" si="497"/>
        <v>9.2499999999999999E-2</v>
      </c>
      <c r="D59" s="944">
        <f t="shared" si="497"/>
        <v>8.7499999999999994E-2</v>
      </c>
      <c r="E59" s="944">
        <f t="shared" si="497"/>
        <v>8.7499999999999994E-2</v>
      </c>
      <c r="F59" s="944">
        <f t="shared" si="497"/>
        <v>8.7499999999999994E-2</v>
      </c>
      <c r="G59" s="944">
        <f t="shared" si="497"/>
        <v>0.10249999999999999</v>
      </c>
      <c r="H59" s="944">
        <f t="shared" si="497"/>
        <v>0.1075</v>
      </c>
      <c r="I59" s="944">
        <f t="shared" si="497"/>
        <v>0.1075</v>
      </c>
      <c r="J59" s="944">
        <f t="shared" si="497"/>
        <v>0.11749999999999999</v>
      </c>
      <c r="K59" s="944">
        <f t="shared" si="497"/>
        <v>0.1225</v>
      </c>
      <c r="L59" s="944">
        <f t="shared" si="497"/>
        <v>0.12</v>
      </c>
      <c r="M59" s="944">
        <f t="shared" si="497"/>
        <v>0.11</v>
      </c>
      <c r="N59" s="944">
        <f t="shared" si="497"/>
        <v>9.7500000000000003E-2</v>
      </c>
      <c r="O59" s="944">
        <f t="shared" si="497"/>
        <v>8.5000000000000006E-2</v>
      </c>
      <c r="P59" s="944">
        <f t="shared" si="497"/>
        <v>7.4999999999999997E-2</v>
      </c>
      <c r="Q59" s="944">
        <f t="shared" si="497"/>
        <v>7.2499999999999995E-2</v>
      </c>
      <c r="R59" s="84">
        <f t="shared" si="497"/>
        <v>7.2499999999999995E-2</v>
      </c>
      <c r="S59" s="84">
        <f t="shared" si="497"/>
        <v>0.08</v>
      </c>
      <c r="T59" s="84">
        <f t="shared" si="497"/>
        <v>0.09</v>
      </c>
      <c r="U59" s="84">
        <f t="shared" si="497"/>
        <v>0.1</v>
      </c>
      <c r="V59" s="84">
        <f t="shared" si="497"/>
        <v>0.1075</v>
      </c>
      <c r="W59" s="84">
        <f t="shared" si="497"/>
        <v>0.11</v>
      </c>
      <c r="X59" s="84">
        <f t="shared" si="497"/>
        <v>0.11</v>
      </c>
      <c r="Y59" s="84">
        <f t="shared" si="497"/>
        <v>0.11749999999999999</v>
      </c>
      <c r="Z59" s="84">
        <f t="shared" si="497"/>
        <v>0.1275</v>
      </c>
      <c r="AA59" s="84">
        <f t="shared" si="497"/>
        <v>0.13750000000000001</v>
      </c>
      <c r="AB59" s="84">
        <f t="shared" si="497"/>
        <v>0.14249999999999999</v>
      </c>
      <c r="AC59" s="84">
        <f t="shared" si="497"/>
        <v>0.14249999999999999</v>
      </c>
      <c r="AD59" s="84">
        <f t="shared" si="497"/>
        <v>0.14249999999999999</v>
      </c>
      <c r="AE59" s="84">
        <f t="shared" si="497"/>
        <v>0.14249999999999999</v>
      </c>
      <c r="AF59" s="84">
        <f t="shared" si="497"/>
        <v>0.14249999999999999</v>
      </c>
      <c r="AG59" s="84">
        <f t="shared" si="497"/>
        <v>0.13750000000000001</v>
      </c>
      <c r="AH59" s="84">
        <f t="shared" si="497"/>
        <v>0.1225</v>
      </c>
      <c r="AI59" s="84">
        <f t="shared" si="497"/>
        <v>0.10249999999999999</v>
      </c>
      <c r="AJ59" s="84">
        <f t="shared" si="497"/>
        <v>8.2500000000000004E-2</v>
      </c>
      <c r="AK59" s="84">
        <f t="shared" si="497"/>
        <v>7.0000000000000007E-2</v>
      </c>
      <c r="AL59" s="84">
        <f t="shared" si="497"/>
        <v>1.9E-2</v>
      </c>
      <c r="AM59" s="84">
        <f t="shared" si="497"/>
        <v>2.5000000000000001E-2</v>
      </c>
      <c r="AN59" s="84">
        <f t="shared" ref="AN59:AS59" si="498">AN57</f>
        <v>2.8999999999999998E-2</v>
      </c>
      <c r="AO59" s="84">
        <f t="shared" si="498"/>
        <v>2.1000000000000001E-2</v>
      </c>
      <c r="AP59" s="84">
        <f t="shared" si="498"/>
        <v>0.02</v>
      </c>
      <c r="AQ59" s="84">
        <f t="shared" si="498"/>
        <v>2.3E-2</v>
      </c>
      <c r="AR59" s="84">
        <f t="shared" si="498"/>
        <v>2.1000000000000001E-2</v>
      </c>
      <c r="AS59" s="84">
        <f t="shared" si="498"/>
        <v>0.03</v>
      </c>
      <c r="AT59" s="84">
        <f t="shared" ref="AT59:BB59" si="499">AT57</f>
        <v>3.7424373154131718E-2</v>
      </c>
      <c r="AU59" s="84">
        <f t="shared" si="499"/>
        <v>2.6320547591372812E-2</v>
      </c>
      <c r="AV59" s="84">
        <f t="shared" si="499"/>
        <v>3.088776771349222E-2</v>
      </c>
      <c r="AW59" s="84">
        <f t="shared" si="499"/>
        <v>2.9712450707381821E-2</v>
      </c>
      <c r="AX59" s="84">
        <f t="shared" si="499"/>
        <v>2.8840355391171357E-2</v>
      </c>
      <c r="AY59" s="84">
        <f t="shared" si="499"/>
        <v>3.8039210751497299E-2</v>
      </c>
      <c r="AZ59" s="84">
        <f t="shared" si="499"/>
        <v>5.3403678263017618E-2</v>
      </c>
      <c r="BA59" s="84">
        <f t="shared" si="499"/>
        <v>7.166970035711806E-2</v>
      </c>
      <c r="BB59" s="84">
        <f t="shared" si="499"/>
        <v>9.4088096087060702E-2</v>
      </c>
      <c r="BC59" s="84">
        <f t="shared" ref="BC59:BG59" si="500">BC57</f>
        <v>0.12490832322110702</v>
      </c>
      <c r="BD59" s="84">
        <f t="shared" si="500"/>
        <v>0.13728044567558961</v>
      </c>
      <c r="BE59" s="84">
        <f t="shared" si="500"/>
        <v>0.12789518320438931</v>
      </c>
      <c r="BF59" s="84">
        <f t="shared" si="500"/>
        <v>0.11063366723401892</v>
      </c>
      <c r="BG59" s="84">
        <f t="shared" si="500"/>
        <v>7.3983751227171046E-2</v>
      </c>
      <c r="BH59" s="84">
        <f t="shared" ref="BH59" si="501">BH57</f>
        <v>4.6862536420986034E-2</v>
      </c>
      <c r="BI59" s="84">
        <f t="shared" ref="BI59" si="502">BI57</f>
        <v>3.3661518819514624E-2</v>
      </c>
      <c r="BJ59" s="84">
        <f t="shared" ref="BJ59:BK59" si="503">BJ57</f>
        <v>3.2057079690483103E-2</v>
      </c>
      <c r="BK59" s="801">
        <f t="shared" si="503"/>
        <v>3.6453635202572832E-2</v>
      </c>
      <c r="BL59" s="560">
        <v>3.7094794563419464E-2</v>
      </c>
      <c r="BM59" s="560">
        <v>3.5180260770342864E-2</v>
      </c>
      <c r="BN59" s="560">
        <v>3.1091515081447252E-2</v>
      </c>
      <c r="BO59" s="560">
        <v>3.2719747605920668E-2</v>
      </c>
      <c r="BP59" s="560">
        <v>3.1474681078619726E-2</v>
      </c>
      <c r="BQ59" s="560">
        <v>3.1439776827055343E-2</v>
      </c>
      <c r="BR59" s="1784">
        <f t="shared" ref="BR59:BU59" si="504">+BQ59</f>
        <v>3.1439776827055343E-2</v>
      </c>
      <c r="BS59" s="1784">
        <f t="shared" si="504"/>
        <v>3.1439776827055343E-2</v>
      </c>
      <c r="BT59" s="1784">
        <f t="shared" si="504"/>
        <v>3.1439776827055343E-2</v>
      </c>
      <c r="BU59" s="1784">
        <f t="shared" si="504"/>
        <v>3.1439776827055343E-2</v>
      </c>
      <c r="BV59" s="1784">
        <f>+BU59</f>
        <v>3.1439776827055343E-2</v>
      </c>
      <c r="BW59" s="1784">
        <f t="shared" ref="BW59:CL59" si="505">+BV59</f>
        <v>3.1439776827055343E-2</v>
      </c>
      <c r="BX59" s="1784">
        <f t="shared" si="505"/>
        <v>3.1439776827055343E-2</v>
      </c>
      <c r="BY59" s="1784">
        <f t="shared" si="505"/>
        <v>3.1439776827055343E-2</v>
      </c>
      <c r="BZ59" s="1784">
        <f t="shared" si="505"/>
        <v>3.1439776827055343E-2</v>
      </c>
      <c r="CA59" s="1784">
        <f t="shared" si="505"/>
        <v>3.1439776827055343E-2</v>
      </c>
      <c r="CB59" s="1784">
        <f t="shared" si="505"/>
        <v>3.1439776827055343E-2</v>
      </c>
      <c r="CC59" s="1784">
        <f t="shared" si="505"/>
        <v>3.1439776827055343E-2</v>
      </c>
      <c r="CD59" s="1784">
        <f t="shared" si="505"/>
        <v>3.1439776827055343E-2</v>
      </c>
      <c r="CE59" s="1784">
        <f t="shared" si="505"/>
        <v>3.1439776827055343E-2</v>
      </c>
      <c r="CF59" s="1784">
        <f t="shared" si="505"/>
        <v>3.1439776827055343E-2</v>
      </c>
      <c r="CG59" s="1784">
        <f t="shared" si="505"/>
        <v>3.1439776827055343E-2</v>
      </c>
      <c r="CH59" s="1784">
        <f t="shared" si="505"/>
        <v>3.1439776827055343E-2</v>
      </c>
      <c r="CI59" s="1784">
        <f t="shared" si="505"/>
        <v>3.1439776827055343E-2</v>
      </c>
      <c r="CJ59" s="1784">
        <f t="shared" si="505"/>
        <v>3.1439776827055343E-2</v>
      </c>
      <c r="CK59" s="1784">
        <f t="shared" si="505"/>
        <v>3.1439776827055343E-2</v>
      </c>
      <c r="CL59" s="1784">
        <f t="shared" si="505"/>
        <v>3.1439776827055343E-2</v>
      </c>
      <c r="CM59" s="1784">
        <f t="shared" ref="CM59" si="506">+CL59</f>
        <v>3.1439776827055343E-2</v>
      </c>
      <c r="CN59" s="1784">
        <f t="shared" ref="CN59" si="507">+CM59</f>
        <v>3.1439776827055343E-2</v>
      </c>
      <c r="CO59" s="1784">
        <f t="shared" ref="CO59" si="508">+CN59</f>
        <v>3.1439776827055343E-2</v>
      </c>
      <c r="CP59" s="1784">
        <f t="shared" ref="CP59" si="509">+CO59</f>
        <v>3.1439776827055343E-2</v>
      </c>
      <c r="CQ59" s="1784">
        <f t="shared" ref="CQ59" si="510">+CP59</f>
        <v>3.1439776827055343E-2</v>
      </c>
      <c r="CR59" s="1784">
        <f t="shared" ref="CR59" si="511">+CQ59</f>
        <v>3.1439776827055343E-2</v>
      </c>
      <c r="CS59" s="1784">
        <f t="shared" ref="CS59" si="512">+CR59</f>
        <v>3.1439776827055343E-2</v>
      </c>
      <c r="CT59" s="1784">
        <f t="shared" ref="CT59" si="513">+CS59</f>
        <v>3.1439776827055343E-2</v>
      </c>
      <c r="CU59" s="1784">
        <f t="shared" ref="CU59" si="514">+CT59</f>
        <v>3.1439776827055343E-2</v>
      </c>
      <c r="CV59" s="1784">
        <f t="shared" ref="CV59" si="515">+CU59</f>
        <v>3.1439776827055343E-2</v>
      </c>
      <c r="CW59" s="1784">
        <f t="shared" ref="CW59" si="516">+CV59</f>
        <v>3.1439776827055343E-2</v>
      </c>
      <c r="CX59" s="718"/>
      <c r="CY59" s="269"/>
      <c r="CZ59" s="269"/>
    </row>
    <row r="60" spans="1:106" hidden="1" outlineLevel="1">
      <c r="A60" s="945" t="s">
        <v>202</v>
      </c>
      <c r="B60" s="944">
        <f t="shared" ref="B60:AM60" si="517">B57</f>
        <v>0.1125</v>
      </c>
      <c r="C60" s="944">
        <f t="shared" si="517"/>
        <v>9.2499999999999999E-2</v>
      </c>
      <c r="D60" s="944">
        <f t="shared" si="517"/>
        <v>8.7499999999999994E-2</v>
      </c>
      <c r="E60" s="944">
        <f t="shared" si="517"/>
        <v>8.7499999999999994E-2</v>
      </c>
      <c r="F60" s="944">
        <f t="shared" si="517"/>
        <v>8.7499999999999994E-2</v>
      </c>
      <c r="G60" s="944">
        <f t="shared" si="517"/>
        <v>0.10249999999999999</v>
      </c>
      <c r="H60" s="944">
        <f t="shared" si="517"/>
        <v>0.1075</v>
      </c>
      <c r="I60" s="944">
        <f t="shared" si="517"/>
        <v>0.1075</v>
      </c>
      <c r="J60" s="944">
        <f t="shared" si="517"/>
        <v>0.11749999999999999</v>
      </c>
      <c r="K60" s="944">
        <f t="shared" si="517"/>
        <v>0.1225</v>
      </c>
      <c r="L60" s="944">
        <f t="shared" si="517"/>
        <v>0.12</v>
      </c>
      <c r="M60" s="944">
        <f t="shared" si="517"/>
        <v>0.11</v>
      </c>
      <c r="N60" s="944">
        <f t="shared" si="517"/>
        <v>9.7500000000000003E-2</v>
      </c>
      <c r="O60" s="944">
        <f t="shared" si="517"/>
        <v>8.5000000000000006E-2</v>
      </c>
      <c r="P60" s="944">
        <f t="shared" si="517"/>
        <v>7.4999999999999997E-2</v>
      </c>
      <c r="Q60" s="944">
        <f t="shared" si="517"/>
        <v>7.2499999999999995E-2</v>
      </c>
      <c r="R60" s="84">
        <f t="shared" si="517"/>
        <v>7.2499999999999995E-2</v>
      </c>
      <c r="S60" s="84">
        <f t="shared" si="517"/>
        <v>0.08</v>
      </c>
      <c r="T60" s="84">
        <f t="shared" si="517"/>
        <v>0.09</v>
      </c>
      <c r="U60" s="84">
        <f t="shared" si="517"/>
        <v>0.1</v>
      </c>
      <c r="V60" s="84">
        <f t="shared" si="517"/>
        <v>0.1075</v>
      </c>
      <c r="W60" s="84">
        <f t="shared" si="517"/>
        <v>0.11</v>
      </c>
      <c r="X60" s="84">
        <f t="shared" si="517"/>
        <v>0.11</v>
      </c>
      <c r="Y60" s="84">
        <f t="shared" si="517"/>
        <v>0.11749999999999999</v>
      </c>
      <c r="Z60" s="84">
        <f t="shared" si="517"/>
        <v>0.1275</v>
      </c>
      <c r="AA60" s="84">
        <f t="shared" si="517"/>
        <v>0.13750000000000001</v>
      </c>
      <c r="AB60" s="84">
        <f t="shared" si="517"/>
        <v>0.14249999999999999</v>
      </c>
      <c r="AC60" s="84">
        <f t="shared" si="517"/>
        <v>0.14249999999999999</v>
      </c>
      <c r="AD60" s="84">
        <f t="shared" si="517"/>
        <v>0.14249999999999999</v>
      </c>
      <c r="AE60" s="84">
        <f t="shared" si="517"/>
        <v>0.14249999999999999</v>
      </c>
      <c r="AF60" s="84">
        <f t="shared" si="517"/>
        <v>0.14249999999999999</v>
      </c>
      <c r="AG60" s="84">
        <f t="shared" si="517"/>
        <v>0.13750000000000001</v>
      </c>
      <c r="AH60" s="84">
        <f t="shared" si="517"/>
        <v>0.1225</v>
      </c>
      <c r="AI60" s="84">
        <f t="shared" si="517"/>
        <v>0.10249999999999999</v>
      </c>
      <c r="AJ60" s="84">
        <f t="shared" si="517"/>
        <v>8.2500000000000004E-2</v>
      </c>
      <c r="AK60" s="84">
        <f t="shared" si="517"/>
        <v>7.0000000000000007E-2</v>
      </c>
      <c r="AL60" s="84">
        <f t="shared" si="517"/>
        <v>1.9E-2</v>
      </c>
      <c r="AM60" s="84">
        <f t="shared" si="517"/>
        <v>2.5000000000000001E-2</v>
      </c>
      <c r="AN60" s="84">
        <f t="shared" ref="AN60:AS60" si="518">AN57</f>
        <v>2.8999999999999998E-2</v>
      </c>
      <c r="AO60" s="84">
        <f t="shared" si="518"/>
        <v>2.1000000000000001E-2</v>
      </c>
      <c r="AP60" s="84">
        <f t="shared" si="518"/>
        <v>0.02</v>
      </c>
      <c r="AQ60" s="84">
        <f t="shared" si="518"/>
        <v>2.3E-2</v>
      </c>
      <c r="AR60" s="84">
        <f t="shared" si="518"/>
        <v>2.1000000000000001E-2</v>
      </c>
      <c r="AS60" s="84">
        <f t="shared" si="518"/>
        <v>0.03</v>
      </c>
      <c r="AT60" s="84">
        <f t="shared" ref="AT60:BB60" si="519">AT57</f>
        <v>3.7424373154131718E-2</v>
      </c>
      <c r="AU60" s="84">
        <f t="shared" si="519"/>
        <v>2.6320547591372812E-2</v>
      </c>
      <c r="AV60" s="84">
        <f t="shared" si="519"/>
        <v>3.088776771349222E-2</v>
      </c>
      <c r="AW60" s="84">
        <f t="shared" si="519"/>
        <v>2.9712450707381821E-2</v>
      </c>
      <c r="AX60" s="84">
        <f t="shared" si="519"/>
        <v>2.8840355391171357E-2</v>
      </c>
      <c r="AY60" s="84">
        <f t="shared" si="519"/>
        <v>3.8039210751497299E-2</v>
      </c>
      <c r="AZ60" s="84">
        <f t="shared" si="519"/>
        <v>5.3403678263017618E-2</v>
      </c>
      <c r="BA60" s="84">
        <f t="shared" si="519"/>
        <v>7.166970035711806E-2</v>
      </c>
      <c r="BB60" s="84">
        <f t="shared" si="519"/>
        <v>9.4088096087060702E-2</v>
      </c>
      <c r="BC60" s="84">
        <f t="shared" ref="BC60:BG60" si="520">BC57</f>
        <v>0.12490832322110702</v>
      </c>
      <c r="BD60" s="84">
        <f t="shared" si="520"/>
        <v>0.13728044567558961</v>
      </c>
      <c r="BE60" s="84">
        <f t="shared" si="520"/>
        <v>0.12789518320438931</v>
      </c>
      <c r="BF60" s="84">
        <f t="shared" si="520"/>
        <v>0.11063366723401892</v>
      </c>
      <c r="BG60" s="84">
        <f t="shared" si="520"/>
        <v>7.3983751227171046E-2</v>
      </c>
      <c r="BH60" s="84">
        <f t="shared" ref="BH60" si="521">BH57</f>
        <v>4.6862536420986034E-2</v>
      </c>
      <c r="BI60" s="84">
        <f t="shared" ref="BI60" si="522">BI57</f>
        <v>3.3661518819514624E-2</v>
      </c>
      <c r="BJ60" s="84">
        <f t="shared" ref="BJ60:BK60" si="523">BJ57</f>
        <v>3.2057079690483103E-2</v>
      </c>
      <c r="BK60" s="801">
        <f t="shared" si="523"/>
        <v>3.6453635202572832E-2</v>
      </c>
      <c r="BL60" s="305">
        <f t="shared" ref="BL60:BQ60" si="524">BL59+$CY60</f>
        <v>3.7094794563419464E-2</v>
      </c>
      <c r="BM60" s="305">
        <f t="shared" si="524"/>
        <v>3.5180260770342864E-2</v>
      </c>
      <c r="BN60" s="305">
        <f t="shared" si="524"/>
        <v>3.1091515081447252E-2</v>
      </c>
      <c r="BO60" s="305">
        <f t="shared" si="524"/>
        <v>3.2719747605920668E-2</v>
      </c>
      <c r="BP60" s="305">
        <f t="shared" si="524"/>
        <v>3.1474681078619726E-2</v>
      </c>
      <c r="BQ60" s="305">
        <f t="shared" si="524"/>
        <v>3.1439776827055343E-2</v>
      </c>
      <c r="BR60" s="305">
        <f t="shared" ref="BR60:CU60" si="525">BR59+$CZ60</f>
        <v>3.1439776827055343E-2</v>
      </c>
      <c r="BS60" s="305">
        <f t="shared" si="525"/>
        <v>3.1439776827055343E-2</v>
      </c>
      <c r="BT60" s="305">
        <f t="shared" si="525"/>
        <v>3.1439776827055343E-2</v>
      </c>
      <c r="BU60" s="305">
        <f t="shared" si="525"/>
        <v>3.1439776827055343E-2</v>
      </c>
      <c r="BV60" s="305">
        <f t="shared" si="525"/>
        <v>3.1439776827055343E-2</v>
      </c>
      <c r="BW60" s="305">
        <f t="shared" si="525"/>
        <v>3.1439776827055343E-2</v>
      </c>
      <c r="BX60" s="305">
        <f t="shared" si="525"/>
        <v>3.1439776827055343E-2</v>
      </c>
      <c r="BY60" s="305">
        <f t="shared" si="525"/>
        <v>3.1439776827055343E-2</v>
      </c>
      <c r="BZ60" s="305">
        <f t="shared" si="525"/>
        <v>3.1439776827055343E-2</v>
      </c>
      <c r="CA60" s="305">
        <f t="shared" si="525"/>
        <v>3.1439776827055343E-2</v>
      </c>
      <c r="CB60" s="305">
        <f t="shared" si="525"/>
        <v>3.1439776827055343E-2</v>
      </c>
      <c r="CC60" s="305">
        <f t="shared" si="525"/>
        <v>3.1439776827055343E-2</v>
      </c>
      <c r="CD60" s="305">
        <f t="shared" si="525"/>
        <v>3.1439776827055343E-2</v>
      </c>
      <c r="CE60" s="305">
        <f t="shared" si="525"/>
        <v>3.1439776827055343E-2</v>
      </c>
      <c r="CF60" s="305">
        <f t="shared" si="525"/>
        <v>3.1439776827055343E-2</v>
      </c>
      <c r="CG60" s="305">
        <f t="shared" si="525"/>
        <v>3.1439776827055343E-2</v>
      </c>
      <c r="CH60" s="305">
        <f t="shared" si="525"/>
        <v>3.1439776827055343E-2</v>
      </c>
      <c r="CI60" s="305">
        <f t="shared" si="525"/>
        <v>3.1439776827055343E-2</v>
      </c>
      <c r="CJ60" s="305">
        <f t="shared" si="525"/>
        <v>3.1439776827055343E-2</v>
      </c>
      <c r="CK60" s="305">
        <f t="shared" si="525"/>
        <v>3.1439776827055343E-2</v>
      </c>
      <c r="CL60" s="305">
        <f t="shared" si="525"/>
        <v>3.1439776827055343E-2</v>
      </c>
      <c r="CM60" s="305">
        <f t="shared" si="525"/>
        <v>3.1439776827055343E-2</v>
      </c>
      <c r="CN60" s="305">
        <f t="shared" si="525"/>
        <v>3.1439776827055343E-2</v>
      </c>
      <c r="CO60" s="305">
        <f t="shared" si="525"/>
        <v>3.1439776827055343E-2</v>
      </c>
      <c r="CP60" s="305">
        <f t="shared" si="525"/>
        <v>3.1439776827055343E-2</v>
      </c>
      <c r="CQ60" s="305">
        <f t="shared" si="525"/>
        <v>3.1439776827055343E-2</v>
      </c>
      <c r="CR60" s="305">
        <f t="shared" si="525"/>
        <v>3.1439776827055343E-2</v>
      </c>
      <c r="CS60" s="305">
        <f t="shared" si="525"/>
        <v>3.1439776827055343E-2</v>
      </c>
      <c r="CT60" s="305">
        <f t="shared" si="525"/>
        <v>3.1439776827055343E-2</v>
      </c>
      <c r="CU60" s="305">
        <f t="shared" si="525"/>
        <v>3.1439776827055343E-2</v>
      </c>
      <c r="CV60" s="305">
        <f t="shared" ref="CV60:CW60" si="526">CV59+$CZ60</f>
        <v>3.1439776827055343E-2</v>
      </c>
      <c r="CW60" s="305">
        <f t="shared" si="526"/>
        <v>3.1439776827055343E-2</v>
      </c>
      <c r="CX60" s="718"/>
      <c r="CY60" s="402">
        <v>0</v>
      </c>
      <c r="CZ60" s="402">
        <v>0</v>
      </c>
    </row>
    <row r="61" spans="1:106" hidden="1" outlineLevel="1">
      <c r="A61" s="86"/>
      <c r="B61" s="887"/>
      <c r="C61" s="887"/>
      <c r="D61" s="887"/>
      <c r="E61" s="887"/>
      <c r="F61" s="887"/>
      <c r="G61" s="887"/>
      <c r="H61" s="887"/>
      <c r="I61" s="887"/>
      <c r="J61" s="887"/>
      <c r="K61" s="887"/>
      <c r="L61" s="887"/>
      <c r="M61" s="887"/>
      <c r="N61" s="887"/>
      <c r="O61" s="887"/>
      <c r="P61" s="887"/>
      <c r="Q61" s="887"/>
      <c r="R61" s="887"/>
      <c r="S61" s="887"/>
      <c r="T61" s="887"/>
      <c r="U61" s="887"/>
      <c r="V61" s="887"/>
      <c r="W61" s="887"/>
      <c r="X61" s="887"/>
      <c r="Y61" s="887"/>
      <c r="Z61" s="887"/>
      <c r="AA61" s="887"/>
      <c r="AB61" s="887"/>
      <c r="AC61" s="887"/>
      <c r="AD61" s="887"/>
      <c r="AE61" s="887"/>
      <c r="AF61" s="887"/>
      <c r="AG61" s="887"/>
      <c r="AH61" s="887"/>
      <c r="AI61" s="887"/>
      <c r="AJ61" s="887"/>
      <c r="AK61" s="887"/>
      <c r="AL61" s="887"/>
      <c r="AM61" s="887"/>
      <c r="AN61" s="887"/>
      <c r="AO61" s="887"/>
      <c r="AP61" s="887"/>
      <c r="AQ61" s="887"/>
      <c r="AR61" s="887"/>
      <c r="AS61" s="887"/>
      <c r="AT61" s="887"/>
      <c r="AU61" s="888"/>
      <c r="AV61" s="888"/>
      <c r="AW61" s="888"/>
      <c r="AX61" s="888"/>
      <c r="AY61" s="888"/>
      <c r="AZ61" s="888"/>
      <c r="BA61" s="888"/>
      <c r="BB61" s="888"/>
      <c r="BC61" s="888"/>
      <c r="BD61" s="888"/>
      <c r="BE61" s="888"/>
      <c r="BF61" s="888"/>
      <c r="BG61" s="888"/>
      <c r="BH61" s="888"/>
      <c r="BI61" s="888"/>
      <c r="BJ61" s="888"/>
      <c r="BK61" s="1823"/>
      <c r="BL61" s="888"/>
      <c r="BM61" s="888"/>
      <c r="BN61" s="888"/>
      <c r="BO61" s="888"/>
      <c r="BP61" s="888"/>
      <c r="BQ61" s="888"/>
      <c r="BR61" s="888"/>
      <c r="BS61" s="888"/>
      <c r="BT61" s="888"/>
      <c r="BU61" s="888"/>
      <c r="BV61" s="888"/>
      <c r="BW61" s="888"/>
      <c r="BX61" s="888"/>
      <c r="BY61" s="888"/>
      <c r="BZ61" s="888"/>
      <c r="CA61" s="888"/>
      <c r="CB61" s="888"/>
      <c r="CC61" s="888"/>
      <c r="CD61" s="888"/>
      <c r="CE61" s="888"/>
      <c r="CF61" s="888"/>
      <c r="CG61" s="888"/>
      <c r="CH61" s="888"/>
      <c r="CI61" s="888"/>
      <c r="CJ61" s="888"/>
      <c r="CK61" s="888"/>
      <c r="CL61" s="888"/>
      <c r="CM61" s="888"/>
      <c r="CN61" s="888"/>
      <c r="CO61" s="888"/>
      <c r="CP61" s="888"/>
      <c r="CQ61" s="888"/>
      <c r="CR61" s="888"/>
      <c r="CS61" s="888"/>
      <c r="CT61" s="888"/>
      <c r="CU61" s="888"/>
      <c r="CV61" s="888"/>
      <c r="CW61" s="888"/>
      <c r="CX61" s="718"/>
      <c r="CY61" s="269"/>
      <c r="CZ61" s="269"/>
    </row>
    <row r="62" spans="1:106" hidden="1" outlineLevel="1">
      <c r="A62" s="691" t="s">
        <v>972</v>
      </c>
      <c r="B62" s="237">
        <v>2232.3000000000002</v>
      </c>
      <c r="C62" s="237">
        <v>2351.1999999999998</v>
      </c>
      <c r="D62" s="237">
        <v>2006.3</v>
      </c>
      <c r="E62" s="237">
        <v>1848.0250000000001</v>
      </c>
      <c r="F62" s="237">
        <v>1952.65</v>
      </c>
      <c r="G62" s="237">
        <v>1951.05</v>
      </c>
      <c r="H62" s="237">
        <v>1872</v>
      </c>
      <c r="I62" s="237">
        <v>1818.65</v>
      </c>
      <c r="J62" s="237">
        <v>1879.47</v>
      </c>
      <c r="K62" s="237">
        <v>1780.16</v>
      </c>
      <c r="L62" s="237">
        <v>1915.1</v>
      </c>
      <c r="M62" s="237">
        <v>1942.7</v>
      </c>
      <c r="N62" s="237">
        <v>1792.07</v>
      </c>
      <c r="O62" s="237">
        <v>1784.6</v>
      </c>
      <c r="P62" s="237">
        <v>1800.52</v>
      </c>
      <c r="Q62" s="237">
        <v>1768.23</v>
      </c>
      <c r="R62" s="237">
        <v>1832.2</v>
      </c>
      <c r="S62" s="237">
        <v>1929</v>
      </c>
      <c r="T62" s="237">
        <v>1914.65</v>
      </c>
      <c r="U62" s="237">
        <v>1926.83</v>
      </c>
      <c r="V62" s="237">
        <v>1965.32</v>
      </c>
      <c r="W62" s="237">
        <v>1881.19</v>
      </c>
      <c r="X62" s="237">
        <v>2028.48</v>
      </c>
      <c r="Y62" s="237">
        <v>2392.46</v>
      </c>
      <c r="Z62" s="237">
        <v>2576.0500000000002</v>
      </c>
      <c r="AA62" s="237">
        <v>2585.11</v>
      </c>
      <c r="AB62" s="237">
        <v>3121.94</v>
      </c>
      <c r="AC62" s="237">
        <v>3149.47</v>
      </c>
      <c r="AD62" s="237">
        <v>3022.35</v>
      </c>
      <c r="AE62" s="237">
        <v>2916.15</v>
      </c>
      <c r="AF62" s="237">
        <v>2879.95</v>
      </c>
      <c r="AG62" s="237">
        <v>3000.71</v>
      </c>
      <c r="AH62" s="237">
        <v>2880.24</v>
      </c>
      <c r="AI62" s="237">
        <v>3038.26</v>
      </c>
      <c r="AJ62" s="237">
        <v>2936.67</v>
      </c>
      <c r="AK62" s="237">
        <v>2984</v>
      </c>
      <c r="AL62" s="237">
        <v>2780.47</v>
      </c>
      <c r="AM62" s="237">
        <v>2930.8</v>
      </c>
      <c r="AN62" s="237">
        <v>2972.18</v>
      </c>
      <c r="AO62" s="237">
        <v>3249.75</v>
      </c>
      <c r="AP62" s="237">
        <v>3174.79</v>
      </c>
      <c r="AQ62" s="237">
        <v>3205.67</v>
      </c>
      <c r="AR62" s="237">
        <v>3462.01</v>
      </c>
      <c r="AS62" s="237">
        <v>3277.14</v>
      </c>
      <c r="AT62" s="237">
        <v>4064.81</v>
      </c>
      <c r="AU62" s="237">
        <v>3758.91</v>
      </c>
      <c r="AV62" s="237">
        <v>3878.94</v>
      </c>
      <c r="AW62" s="237">
        <v>3660</v>
      </c>
      <c r="AX62" s="237">
        <v>3550</v>
      </c>
      <c r="AY62" s="237">
        <v>3600</v>
      </c>
      <c r="AZ62" s="237">
        <v>3550</v>
      </c>
      <c r="BA62" s="237">
        <v>3827.5</v>
      </c>
      <c r="BB62" s="237">
        <v>3903.2903124999998</v>
      </c>
      <c r="BC62" s="237">
        <v>3914.2293846153898</v>
      </c>
      <c r="BD62" s="237">
        <v>3827.5</v>
      </c>
      <c r="BE62" s="237">
        <v>4813.8253846153902</v>
      </c>
      <c r="BF62" s="237">
        <v>4751.6826153846096</v>
      </c>
      <c r="BG62" s="237">
        <v>4417.6161538461502</v>
      </c>
      <c r="BH62" s="237">
        <v>4043.78061538462</v>
      </c>
      <c r="BI62" s="237">
        <v>4063.4396923076902</v>
      </c>
      <c r="BJ62" s="237" t="s">
        <v>1630</v>
      </c>
      <c r="BK62" s="1176">
        <v>3923.29292307692</v>
      </c>
      <c r="BL62" s="926">
        <f t="shared" ref="BL62:BQ62" si="527">CHOOSE(MASTERSWITCH,BL63,BL64,BL65)</f>
        <v>4100</v>
      </c>
      <c r="BM62" s="926">
        <f t="shared" si="527"/>
        <v>4154</v>
      </c>
      <c r="BN62" s="926">
        <f t="shared" si="527"/>
        <v>4203</v>
      </c>
      <c r="BO62" s="926">
        <f t="shared" si="527"/>
        <v>4253</v>
      </c>
      <c r="BP62" s="926">
        <f t="shared" si="527"/>
        <v>4253</v>
      </c>
      <c r="BQ62" s="926">
        <f t="shared" si="527"/>
        <v>4358</v>
      </c>
      <c r="BR62" s="926">
        <f t="shared" ref="BR62:CK62" si="528">CHOOSE(MASTERSWITCH,BR63,BR64,BR65)</f>
        <v>4261.5397773480672</v>
      </c>
      <c r="BS62" s="926">
        <f t="shared" si="528"/>
        <v>4312.2361820274391</v>
      </c>
      <c r="BT62" s="926">
        <f t="shared" si="528"/>
        <v>4312.2361820274391</v>
      </c>
      <c r="BU62" s="926">
        <f t="shared" si="528"/>
        <v>4418.6986318541221</v>
      </c>
      <c r="BV62" s="926">
        <f t="shared" si="528"/>
        <v>4320.894902193626</v>
      </c>
      <c r="BW62" s="926">
        <f t="shared" si="528"/>
        <v>4372.2974111419198</v>
      </c>
      <c r="BX62" s="926">
        <f t="shared" si="528"/>
        <v>4372.2974111419198</v>
      </c>
      <c r="BY62" s="926">
        <f t="shared" si="528"/>
        <v>4480.2426799333389</v>
      </c>
      <c r="BZ62" s="926">
        <f t="shared" si="528"/>
        <v>4381.0767307729293</v>
      </c>
      <c r="CA62" s="926">
        <f t="shared" si="528"/>
        <v>4433.1951786764839</v>
      </c>
      <c r="CB62" s="926">
        <f t="shared" si="528"/>
        <v>4433.1951786764839</v>
      </c>
      <c r="CC62" s="926">
        <f t="shared" si="528"/>
        <v>4542.6439192739535</v>
      </c>
      <c r="CD62" s="926">
        <f t="shared" si="528"/>
        <v>4442.0967774929486</v>
      </c>
      <c r="CE62" s="926">
        <f t="shared" si="528"/>
        <v>4494.9411360165368</v>
      </c>
      <c r="CF62" s="926">
        <f t="shared" si="528"/>
        <v>4494.9411360165368</v>
      </c>
      <c r="CG62" s="926">
        <f t="shared" si="528"/>
        <v>4605.9142889160767</v>
      </c>
      <c r="CH62" s="926">
        <f t="shared" si="528"/>
        <v>4503.9667171343954</v>
      </c>
      <c r="CI62" s="926">
        <f t="shared" si="528"/>
        <v>4557.5470968290692</v>
      </c>
      <c r="CJ62" s="926">
        <f t="shared" si="528"/>
        <v>4557.5470968290692</v>
      </c>
      <c r="CK62" s="926">
        <f t="shared" si="528"/>
        <v>4670.0658941878883</v>
      </c>
      <c r="CL62" s="926">
        <f t="shared" ref="CL62:CP62" si="529">CHOOSE(MASTERSWITCH,CL63,CL64,CL65)</f>
        <v>4566.6983870854183</v>
      </c>
      <c r="CM62" s="926">
        <f t="shared" si="529"/>
        <v>4621.0250393229308</v>
      </c>
      <c r="CN62" s="926">
        <f t="shared" si="529"/>
        <v>4621.0250393229308</v>
      </c>
      <c r="CO62" s="926">
        <f t="shared" si="529"/>
        <v>4735.1110090217107</v>
      </c>
      <c r="CP62" s="926">
        <f t="shared" si="529"/>
        <v>4630.3037896064161</v>
      </c>
      <c r="CQ62" s="926">
        <f t="shared" ref="CQ62:CU62" si="530">CHOOSE(MASTERSWITCH,CQ63,CQ64,CQ65)</f>
        <v>4685.3871085405863</v>
      </c>
      <c r="CR62" s="926">
        <f t="shared" si="530"/>
        <v>4685.3871085405863</v>
      </c>
      <c r="CS62" s="926">
        <f t="shared" si="530"/>
        <v>4801.0620783023451</v>
      </c>
      <c r="CT62" s="926">
        <f t="shared" si="530"/>
        <v>4694.7950941263944</v>
      </c>
      <c r="CU62" s="926">
        <f t="shared" si="530"/>
        <v>4750.6456186817877</v>
      </c>
      <c r="CV62" s="926">
        <f t="shared" ref="CV62:CW62" si="531">CHOOSE(MASTERSWITCH,CV63,CV64,CV65)</f>
        <v>4750.6456186817877</v>
      </c>
      <c r="CW62" s="926">
        <f t="shared" si="531"/>
        <v>4867.9317202481134</v>
      </c>
      <c r="CX62" s="718"/>
      <c r="CY62" s="269"/>
      <c r="CZ62" s="269"/>
      <c r="DB62" s="1067"/>
    </row>
    <row r="63" spans="1:106" hidden="1" outlineLevel="1">
      <c r="A63" s="86" t="s">
        <v>571</v>
      </c>
      <c r="B63" s="434">
        <f t="shared" ref="B63:AM63" si="532">B62</f>
        <v>2232.3000000000002</v>
      </c>
      <c r="C63" s="434">
        <f t="shared" si="532"/>
        <v>2351.1999999999998</v>
      </c>
      <c r="D63" s="434">
        <f t="shared" si="532"/>
        <v>2006.3</v>
      </c>
      <c r="E63" s="434">
        <f t="shared" si="532"/>
        <v>1848.0250000000001</v>
      </c>
      <c r="F63" s="434">
        <f t="shared" si="532"/>
        <v>1952.65</v>
      </c>
      <c r="G63" s="434">
        <f t="shared" si="532"/>
        <v>1951.05</v>
      </c>
      <c r="H63" s="434">
        <f t="shared" si="532"/>
        <v>1872</v>
      </c>
      <c r="I63" s="434">
        <f t="shared" si="532"/>
        <v>1818.65</v>
      </c>
      <c r="J63" s="434">
        <f t="shared" si="532"/>
        <v>1879.47</v>
      </c>
      <c r="K63" s="434">
        <f t="shared" si="532"/>
        <v>1780.16</v>
      </c>
      <c r="L63" s="434">
        <f t="shared" si="532"/>
        <v>1915.1</v>
      </c>
      <c r="M63" s="434">
        <f t="shared" si="532"/>
        <v>1942.7</v>
      </c>
      <c r="N63" s="434">
        <f t="shared" si="532"/>
        <v>1792.07</v>
      </c>
      <c r="O63" s="434">
        <f t="shared" si="532"/>
        <v>1784.6</v>
      </c>
      <c r="P63" s="434">
        <f t="shared" si="532"/>
        <v>1800.52</v>
      </c>
      <c r="Q63" s="434">
        <f t="shared" si="532"/>
        <v>1768.23</v>
      </c>
      <c r="R63" s="434">
        <f t="shared" si="532"/>
        <v>1832.2</v>
      </c>
      <c r="S63" s="434">
        <f t="shared" si="532"/>
        <v>1929</v>
      </c>
      <c r="T63" s="434">
        <f t="shared" si="532"/>
        <v>1914.65</v>
      </c>
      <c r="U63" s="434">
        <f t="shared" si="532"/>
        <v>1926.83</v>
      </c>
      <c r="V63" s="434">
        <f t="shared" si="532"/>
        <v>1965.32</v>
      </c>
      <c r="W63" s="434">
        <f t="shared" si="532"/>
        <v>1881.19</v>
      </c>
      <c r="X63" s="434">
        <f t="shared" si="532"/>
        <v>2028.48</v>
      </c>
      <c r="Y63" s="434">
        <f t="shared" si="532"/>
        <v>2392.46</v>
      </c>
      <c r="Z63" s="434">
        <f t="shared" si="532"/>
        <v>2576.0500000000002</v>
      </c>
      <c r="AA63" s="434">
        <f t="shared" si="532"/>
        <v>2585.11</v>
      </c>
      <c r="AB63" s="434">
        <f t="shared" si="532"/>
        <v>3121.94</v>
      </c>
      <c r="AC63" s="434">
        <f t="shared" si="532"/>
        <v>3149.47</v>
      </c>
      <c r="AD63" s="434">
        <f t="shared" si="532"/>
        <v>3022.35</v>
      </c>
      <c r="AE63" s="434">
        <f t="shared" si="532"/>
        <v>2916.15</v>
      </c>
      <c r="AF63" s="434">
        <f t="shared" si="532"/>
        <v>2879.95</v>
      </c>
      <c r="AG63" s="434">
        <f t="shared" si="532"/>
        <v>3000.71</v>
      </c>
      <c r="AH63" s="434">
        <f t="shared" si="532"/>
        <v>2880.24</v>
      </c>
      <c r="AI63" s="434">
        <f t="shared" si="532"/>
        <v>3038.26</v>
      </c>
      <c r="AJ63" s="434">
        <f t="shared" si="532"/>
        <v>2936.67</v>
      </c>
      <c r="AK63" s="434">
        <f t="shared" si="532"/>
        <v>2984</v>
      </c>
      <c r="AL63" s="434">
        <f t="shared" si="532"/>
        <v>2780.47</v>
      </c>
      <c r="AM63" s="434">
        <f t="shared" si="532"/>
        <v>2930.8</v>
      </c>
      <c r="AN63" s="434">
        <f t="shared" ref="AN63:AS63" si="533">AN62</f>
        <v>2972.18</v>
      </c>
      <c r="AO63" s="434">
        <f t="shared" si="533"/>
        <v>3249.75</v>
      </c>
      <c r="AP63" s="434">
        <f t="shared" si="533"/>
        <v>3174.79</v>
      </c>
      <c r="AQ63" s="434">
        <f t="shared" si="533"/>
        <v>3205.67</v>
      </c>
      <c r="AR63" s="434">
        <f t="shared" si="533"/>
        <v>3462.01</v>
      </c>
      <c r="AS63" s="434">
        <f t="shared" si="533"/>
        <v>3277.14</v>
      </c>
      <c r="AT63" s="434">
        <f t="shared" ref="AT63:BB63" si="534">AT62</f>
        <v>4064.81</v>
      </c>
      <c r="AU63" s="434">
        <f t="shared" si="534"/>
        <v>3758.91</v>
      </c>
      <c r="AV63" s="434">
        <f t="shared" si="534"/>
        <v>3878.94</v>
      </c>
      <c r="AW63" s="434">
        <f t="shared" si="534"/>
        <v>3660</v>
      </c>
      <c r="AX63" s="434">
        <f t="shared" si="534"/>
        <v>3550</v>
      </c>
      <c r="AY63" s="434">
        <f t="shared" si="534"/>
        <v>3600</v>
      </c>
      <c r="AZ63" s="434">
        <f t="shared" si="534"/>
        <v>3550</v>
      </c>
      <c r="BA63" s="434">
        <f t="shared" si="534"/>
        <v>3827.5</v>
      </c>
      <c r="BB63" s="434">
        <f t="shared" si="534"/>
        <v>3903.2903124999998</v>
      </c>
      <c r="BC63" s="434">
        <f t="shared" ref="BC63:BG63" si="535">BC62</f>
        <v>3914.2293846153898</v>
      </c>
      <c r="BD63" s="434">
        <f t="shared" si="535"/>
        <v>3827.5</v>
      </c>
      <c r="BE63" s="434">
        <f t="shared" si="535"/>
        <v>4813.8253846153902</v>
      </c>
      <c r="BF63" s="434">
        <f t="shared" si="535"/>
        <v>4751.6826153846096</v>
      </c>
      <c r="BG63" s="434">
        <f t="shared" si="535"/>
        <v>4417.6161538461502</v>
      </c>
      <c r="BH63" s="434">
        <f t="shared" ref="BH63" si="536">BH62</f>
        <v>4043.78061538462</v>
      </c>
      <c r="BI63" s="434">
        <f t="shared" ref="BI63" si="537">BI62</f>
        <v>4063.4396923076902</v>
      </c>
      <c r="BJ63" s="434" t="str">
        <f t="shared" ref="BJ63:BK63" si="538">BJ62</f>
        <v>NULL</v>
      </c>
      <c r="BK63" s="800">
        <f t="shared" si="538"/>
        <v>3923.29292307692</v>
      </c>
      <c r="BL63" s="928">
        <f t="shared" ref="BL63:BQ63" si="539">BL64+$CY63</f>
        <v>4100</v>
      </c>
      <c r="BM63" s="928">
        <f t="shared" si="539"/>
        <v>4154</v>
      </c>
      <c r="BN63" s="928">
        <f t="shared" si="539"/>
        <v>4203</v>
      </c>
      <c r="BO63" s="928">
        <f t="shared" si="539"/>
        <v>4253</v>
      </c>
      <c r="BP63" s="928">
        <f t="shared" si="539"/>
        <v>4253</v>
      </c>
      <c r="BQ63" s="928">
        <f t="shared" si="539"/>
        <v>4358</v>
      </c>
      <c r="BR63" s="928">
        <f t="shared" ref="BR63:CU63" si="540">BR64+$CZ63</f>
        <v>4261.5397773480672</v>
      </c>
      <c r="BS63" s="928">
        <f t="shared" si="540"/>
        <v>4312.2361820274391</v>
      </c>
      <c r="BT63" s="928">
        <f t="shared" si="540"/>
        <v>4312.2361820274391</v>
      </c>
      <c r="BU63" s="928">
        <f t="shared" si="540"/>
        <v>4418.6986318541221</v>
      </c>
      <c r="BV63" s="928">
        <f t="shared" si="540"/>
        <v>4320.894902193626</v>
      </c>
      <c r="BW63" s="928">
        <f t="shared" si="540"/>
        <v>4372.2974111419198</v>
      </c>
      <c r="BX63" s="928">
        <f t="shared" si="540"/>
        <v>4372.2974111419198</v>
      </c>
      <c r="BY63" s="928">
        <f t="shared" si="540"/>
        <v>4480.2426799333389</v>
      </c>
      <c r="BZ63" s="928">
        <f t="shared" si="540"/>
        <v>4381.0767307729293</v>
      </c>
      <c r="CA63" s="928">
        <f t="shared" si="540"/>
        <v>4433.1951786764839</v>
      </c>
      <c r="CB63" s="928">
        <f t="shared" si="540"/>
        <v>4433.1951786764839</v>
      </c>
      <c r="CC63" s="928">
        <f t="shared" si="540"/>
        <v>4542.6439192739535</v>
      </c>
      <c r="CD63" s="928">
        <f t="shared" si="540"/>
        <v>4442.0967774929486</v>
      </c>
      <c r="CE63" s="928">
        <f t="shared" si="540"/>
        <v>4494.9411360165368</v>
      </c>
      <c r="CF63" s="928">
        <f t="shared" si="540"/>
        <v>4494.9411360165368</v>
      </c>
      <c r="CG63" s="928">
        <f t="shared" si="540"/>
        <v>4605.9142889160767</v>
      </c>
      <c r="CH63" s="928">
        <f t="shared" si="540"/>
        <v>4503.9667171343954</v>
      </c>
      <c r="CI63" s="928">
        <f t="shared" si="540"/>
        <v>4557.5470968290692</v>
      </c>
      <c r="CJ63" s="928">
        <f t="shared" si="540"/>
        <v>4557.5470968290692</v>
      </c>
      <c r="CK63" s="928">
        <f t="shared" si="540"/>
        <v>4670.0658941878883</v>
      </c>
      <c r="CL63" s="928">
        <f t="shared" si="540"/>
        <v>4566.6983870854183</v>
      </c>
      <c r="CM63" s="928">
        <f t="shared" si="540"/>
        <v>4621.0250393229308</v>
      </c>
      <c r="CN63" s="928">
        <f t="shared" si="540"/>
        <v>4621.0250393229308</v>
      </c>
      <c r="CO63" s="928">
        <f t="shared" si="540"/>
        <v>4735.1110090217107</v>
      </c>
      <c r="CP63" s="928">
        <f t="shared" si="540"/>
        <v>4630.3037896064161</v>
      </c>
      <c r="CQ63" s="928">
        <f t="shared" si="540"/>
        <v>4685.3871085405863</v>
      </c>
      <c r="CR63" s="928">
        <f t="shared" si="540"/>
        <v>4685.3871085405863</v>
      </c>
      <c r="CS63" s="928">
        <f t="shared" si="540"/>
        <v>4801.0620783023451</v>
      </c>
      <c r="CT63" s="928">
        <f t="shared" si="540"/>
        <v>4694.7950941263944</v>
      </c>
      <c r="CU63" s="928">
        <f t="shared" si="540"/>
        <v>4750.6456186817877</v>
      </c>
      <c r="CV63" s="928">
        <f t="shared" ref="CV63:CW63" si="541">CV64+$CZ63</f>
        <v>4750.6456186817877</v>
      </c>
      <c r="CW63" s="928">
        <f t="shared" si="541"/>
        <v>4867.9317202481134</v>
      </c>
      <c r="CX63" s="718"/>
      <c r="CY63" s="402">
        <v>0</v>
      </c>
      <c r="CZ63" s="402">
        <v>0</v>
      </c>
    </row>
    <row r="64" spans="1:106" hidden="1" outlineLevel="1">
      <c r="A64" s="86" t="s">
        <v>200</v>
      </c>
      <c r="B64" s="434">
        <f t="shared" ref="B64:AM64" si="542">B62</f>
        <v>2232.3000000000002</v>
      </c>
      <c r="C64" s="434">
        <f t="shared" si="542"/>
        <v>2351.1999999999998</v>
      </c>
      <c r="D64" s="434">
        <f t="shared" si="542"/>
        <v>2006.3</v>
      </c>
      <c r="E64" s="434">
        <f t="shared" si="542"/>
        <v>1848.0250000000001</v>
      </c>
      <c r="F64" s="434">
        <f t="shared" si="542"/>
        <v>1952.65</v>
      </c>
      <c r="G64" s="434">
        <f t="shared" si="542"/>
        <v>1951.05</v>
      </c>
      <c r="H64" s="434">
        <f t="shared" si="542"/>
        <v>1872</v>
      </c>
      <c r="I64" s="434">
        <f t="shared" si="542"/>
        <v>1818.65</v>
      </c>
      <c r="J64" s="434">
        <f t="shared" si="542"/>
        <v>1879.47</v>
      </c>
      <c r="K64" s="434">
        <f t="shared" si="542"/>
        <v>1780.16</v>
      </c>
      <c r="L64" s="434">
        <f t="shared" si="542"/>
        <v>1915.1</v>
      </c>
      <c r="M64" s="434">
        <f t="shared" si="542"/>
        <v>1942.7</v>
      </c>
      <c r="N64" s="434">
        <f t="shared" si="542"/>
        <v>1792.07</v>
      </c>
      <c r="O64" s="434">
        <f t="shared" si="542"/>
        <v>1784.6</v>
      </c>
      <c r="P64" s="434">
        <f t="shared" si="542"/>
        <v>1800.52</v>
      </c>
      <c r="Q64" s="434">
        <f t="shared" si="542"/>
        <v>1768.23</v>
      </c>
      <c r="R64" s="434">
        <f t="shared" si="542"/>
        <v>1832.2</v>
      </c>
      <c r="S64" s="434">
        <f t="shared" si="542"/>
        <v>1929</v>
      </c>
      <c r="T64" s="434">
        <f t="shared" si="542"/>
        <v>1914.65</v>
      </c>
      <c r="U64" s="434">
        <f t="shared" si="542"/>
        <v>1926.83</v>
      </c>
      <c r="V64" s="434">
        <f t="shared" si="542"/>
        <v>1965.32</v>
      </c>
      <c r="W64" s="434">
        <f t="shared" si="542"/>
        <v>1881.19</v>
      </c>
      <c r="X64" s="434">
        <f t="shared" si="542"/>
        <v>2028.48</v>
      </c>
      <c r="Y64" s="434">
        <f t="shared" si="542"/>
        <v>2392.46</v>
      </c>
      <c r="Z64" s="434">
        <f t="shared" si="542"/>
        <v>2576.0500000000002</v>
      </c>
      <c r="AA64" s="434">
        <f t="shared" si="542"/>
        <v>2585.11</v>
      </c>
      <c r="AB64" s="434">
        <f t="shared" si="542"/>
        <v>3121.94</v>
      </c>
      <c r="AC64" s="434">
        <f t="shared" si="542"/>
        <v>3149.47</v>
      </c>
      <c r="AD64" s="434">
        <f t="shared" si="542"/>
        <v>3022.35</v>
      </c>
      <c r="AE64" s="434">
        <f t="shared" si="542"/>
        <v>2916.15</v>
      </c>
      <c r="AF64" s="434">
        <f t="shared" si="542"/>
        <v>2879.95</v>
      </c>
      <c r="AG64" s="434">
        <f t="shared" si="542"/>
        <v>3000.71</v>
      </c>
      <c r="AH64" s="434">
        <f t="shared" si="542"/>
        <v>2880.24</v>
      </c>
      <c r="AI64" s="434">
        <f t="shared" si="542"/>
        <v>3038.26</v>
      </c>
      <c r="AJ64" s="434">
        <f t="shared" si="542"/>
        <v>2936.67</v>
      </c>
      <c r="AK64" s="434">
        <f t="shared" si="542"/>
        <v>2984</v>
      </c>
      <c r="AL64" s="434">
        <f t="shared" si="542"/>
        <v>2780.47</v>
      </c>
      <c r="AM64" s="434">
        <f t="shared" si="542"/>
        <v>2930.8</v>
      </c>
      <c r="AN64" s="434">
        <f t="shared" ref="AN64:AS64" si="543">AN62</f>
        <v>2972.18</v>
      </c>
      <c r="AO64" s="434">
        <f t="shared" si="543"/>
        <v>3249.75</v>
      </c>
      <c r="AP64" s="434">
        <f t="shared" si="543"/>
        <v>3174.79</v>
      </c>
      <c r="AQ64" s="434">
        <f t="shared" si="543"/>
        <v>3205.67</v>
      </c>
      <c r="AR64" s="434">
        <f t="shared" si="543"/>
        <v>3462.01</v>
      </c>
      <c r="AS64" s="434">
        <f t="shared" si="543"/>
        <v>3277.14</v>
      </c>
      <c r="AT64" s="434">
        <f t="shared" ref="AT64:BB64" si="544">AT62</f>
        <v>4064.81</v>
      </c>
      <c r="AU64" s="434">
        <f t="shared" si="544"/>
        <v>3758.91</v>
      </c>
      <c r="AV64" s="434">
        <f t="shared" si="544"/>
        <v>3878.94</v>
      </c>
      <c r="AW64" s="434">
        <f t="shared" si="544"/>
        <v>3660</v>
      </c>
      <c r="AX64" s="434">
        <f t="shared" si="544"/>
        <v>3550</v>
      </c>
      <c r="AY64" s="434">
        <f t="shared" si="544"/>
        <v>3600</v>
      </c>
      <c r="AZ64" s="434">
        <f t="shared" si="544"/>
        <v>3550</v>
      </c>
      <c r="BA64" s="434">
        <f t="shared" si="544"/>
        <v>3827.5</v>
      </c>
      <c r="BB64" s="434">
        <f t="shared" si="544"/>
        <v>3903.2903124999998</v>
      </c>
      <c r="BC64" s="434">
        <f t="shared" ref="BC64:BG64" si="545">BC62</f>
        <v>3914.2293846153898</v>
      </c>
      <c r="BD64" s="434">
        <f t="shared" si="545"/>
        <v>3827.5</v>
      </c>
      <c r="BE64" s="434">
        <f t="shared" si="545"/>
        <v>4813.8253846153902</v>
      </c>
      <c r="BF64" s="434">
        <f t="shared" si="545"/>
        <v>4751.6826153846096</v>
      </c>
      <c r="BG64" s="434">
        <f t="shared" si="545"/>
        <v>4417.6161538461502</v>
      </c>
      <c r="BH64" s="434">
        <f t="shared" ref="BH64" si="546">BH62</f>
        <v>4043.78061538462</v>
      </c>
      <c r="BI64" s="434">
        <v>4063.4396923076902</v>
      </c>
      <c r="BJ64" s="434" t="s">
        <v>1630</v>
      </c>
      <c r="BK64" s="800">
        <v>3923.29292307692</v>
      </c>
      <c r="BL64" s="1426">
        <f t="shared" ref="BL64:BQ64" si="547">BL367</f>
        <v>4100</v>
      </c>
      <c r="BM64" s="1426">
        <f t="shared" si="547"/>
        <v>4154</v>
      </c>
      <c r="BN64" s="1426">
        <f t="shared" si="547"/>
        <v>4203</v>
      </c>
      <c r="BO64" s="1426">
        <f t="shared" si="547"/>
        <v>4253</v>
      </c>
      <c r="BP64" s="1426">
        <f t="shared" si="547"/>
        <v>4253</v>
      </c>
      <c r="BQ64" s="1426">
        <f t="shared" si="547"/>
        <v>4358</v>
      </c>
      <c r="BR64" s="1886">
        <f t="shared" ref="BR64:BU64" si="548">+BN64*(1+BR69)/(1+BR$75)</f>
        <v>4261.5397773480672</v>
      </c>
      <c r="BS64" s="1886">
        <f t="shared" si="548"/>
        <v>4312.2361820274391</v>
      </c>
      <c r="BT64" s="1886">
        <f t="shared" si="548"/>
        <v>4312.2361820274391</v>
      </c>
      <c r="BU64" s="1886">
        <f t="shared" si="548"/>
        <v>4418.6986318541221</v>
      </c>
      <c r="BV64" s="1886">
        <f>+BR64*(1+BV69)/(1+BV$75)</f>
        <v>4320.894902193626</v>
      </c>
      <c r="BW64" s="1886">
        <f t="shared" ref="BW64:CL64" si="549">+BS64*(1+BW69)/(1+BW$75)</f>
        <v>4372.2974111419198</v>
      </c>
      <c r="BX64" s="1886">
        <f t="shared" si="549"/>
        <v>4372.2974111419198</v>
      </c>
      <c r="BY64" s="1886">
        <f t="shared" si="549"/>
        <v>4480.2426799333389</v>
      </c>
      <c r="BZ64" s="1886">
        <f t="shared" si="549"/>
        <v>4381.0767307729293</v>
      </c>
      <c r="CA64" s="1886">
        <f t="shared" si="549"/>
        <v>4433.1951786764839</v>
      </c>
      <c r="CB64" s="1886">
        <f t="shared" si="549"/>
        <v>4433.1951786764839</v>
      </c>
      <c r="CC64" s="1886">
        <f t="shared" si="549"/>
        <v>4542.6439192739535</v>
      </c>
      <c r="CD64" s="1886">
        <f t="shared" si="549"/>
        <v>4442.0967774929486</v>
      </c>
      <c r="CE64" s="1886">
        <f t="shared" si="549"/>
        <v>4494.9411360165368</v>
      </c>
      <c r="CF64" s="1886">
        <f t="shared" si="549"/>
        <v>4494.9411360165368</v>
      </c>
      <c r="CG64" s="1886">
        <f t="shared" si="549"/>
        <v>4605.9142889160767</v>
      </c>
      <c r="CH64" s="1886">
        <f t="shared" si="549"/>
        <v>4503.9667171343954</v>
      </c>
      <c r="CI64" s="1886">
        <f t="shared" si="549"/>
        <v>4557.5470968290692</v>
      </c>
      <c r="CJ64" s="1886">
        <f t="shared" si="549"/>
        <v>4557.5470968290692</v>
      </c>
      <c r="CK64" s="1886">
        <f t="shared" si="549"/>
        <v>4670.0658941878883</v>
      </c>
      <c r="CL64" s="1886">
        <f t="shared" si="549"/>
        <v>4566.6983870854183</v>
      </c>
      <c r="CM64" s="1886">
        <f t="shared" ref="CM64" si="550">+CI64*(1+CM69)/(1+CM$75)</f>
        <v>4621.0250393229308</v>
      </c>
      <c r="CN64" s="1886">
        <f t="shared" ref="CN64" si="551">+CJ64*(1+CN69)/(1+CN$75)</f>
        <v>4621.0250393229308</v>
      </c>
      <c r="CO64" s="1886">
        <f t="shared" ref="CO64" si="552">+CK64*(1+CO69)/(1+CO$75)</f>
        <v>4735.1110090217107</v>
      </c>
      <c r="CP64" s="1886">
        <f t="shared" ref="CP64" si="553">+CL64*(1+CP69)/(1+CP$75)</f>
        <v>4630.3037896064161</v>
      </c>
      <c r="CQ64" s="1886">
        <f t="shared" ref="CQ64" si="554">+CM64*(1+CQ69)/(1+CQ$75)</f>
        <v>4685.3871085405863</v>
      </c>
      <c r="CR64" s="1886">
        <f t="shared" ref="CR64" si="555">+CN64*(1+CR69)/(1+CR$75)</f>
        <v>4685.3871085405863</v>
      </c>
      <c r="CS64" s="1886">
        <f t="shared" ref="CS64" si="556">+CO64*(1+CS69)/(1+CS$75)</f>
        <v>4801.0620783023451</v>
      </c>
      <c r="CT64" s="1886">
        <f t="shared" ref="CT64" si="557">+CP64*(1+CT69)/(1+CT$75)</f>
        <v>4694.7950941263944</v>
      </c>
      <c r="CU64" s="1886">
        <f t="shared" ref="CU64" si="558">+CQ64*(1+CU69)/(1+CU$75)</f>
        <v>4750.6456186817877</v>
      </c>
      <c r="CV64" s="1886">
        <f t="shared" ref="CV64" si="559">+CR64*(1+CV69)/(1+CV$75)</f>
        <v>4750.6456186817877</v>
      </c>
      <c r="CW64" s="1886">
        <f t="shared" ref="CW64" si="560">+CS64*(1+CW69)/(1+CW$75)</f>
        <v>4867.9317202481134</v>
      </c>
      <c r="CX64" s="718"/>
      <c r="CY64" s="269"/>
      <c r="CZ64" s="269"/>
    </row>
    <row r="65" spans="1:106" hidden="1" outlineLevel="1">
      <c r="A65" s="86" t="s">
        <v>202</v>
      </c>
      <c r="B65" s="434">
        <f t="shared" ref="B65:AM65" si="561">B62</f>
        <v>2232.3000000000002</v>
      </c>
      <c r="C65" s="434">
        <f t="shared" si="561"/>
        <v>2351.1999999999998</v>
      </c>
      <c r="D65" s="434">
        <f t="shared" si="561"/>
        <v>2006.3</v>
      </c>
      <c r="E65" s="434">
        <f t="shared" si="561"/>
        <v>1848.0250000000001</v>
      </c>
      <c r="F65" s="434">
        <f t="shared" si="561"/>
        <v>1952.65</v>
      </c>
      <c r="G65" s="434">
        <f t="shared" si="561"/>
        <v>1951.05</v>
      </c>
      <c r="H65" s="434">
        <f t="shared" si="561"/>
        <v>1872</v>
      </c>
      <c r="I65" s="434">
        <f t="shared" si="561"/>
        <v>1818.65</v>
      </c>
      <c r="J65" s="434">
        <f t="shared" si="561"/>
        <v>1879.47</v>
      </c>
      <c r="K65" s="434">
        <f t="shared" si="561"/>
        <v>1780.16</v>
      </c>
      <c r="L65" s="434">
        <f t="shared" si="561"/>
        <v>1915.1</v>
      </c>
      <c r="M65" s="434">
        <f t="shared" si="561"/>
        <v>1942.7</v>
      </c>
      <c r="N65" s="434">
        <f t="shared" si="561"/>
        <v>1792.07</v>
      </c>
      <c r="O65" s="434">
        <f t="shared" si="561"/>
        <v>1784.6</v>
      </c>
      <c r="P65" s="434">
        <f t="shared" si="561"/>
        <v>1800.52</v>
      </c>
      <c r="Q65" s="434">
        <f t="shared" si="561"/>
        <v>1768.23</v>
      </c>
      <c r="R65" s="434">
        <f t="shared" si="561"/>
        <v>1832.2</v>
      </c>
      <c r="S65" s="434">
        <f t="shared" si="561"/>
        <v>1929</v>
      </c>
      <c r="T65" s="434">
        <f t="shared" si="561"/>
        <v>1914.65</v>
      </c>
      <c r="U65" s="434">
        <f t="shared" si="561"/>
        <v>1926.83</v>
      </c>
      <c r="V65" s="434">
        <f t="shared" si="561"/>
        <v>1965.32</v>
      </c>
      <c r="W65" s="434">
        <f t="shared" si="561"/>
        <v>1881.19</v>
      </c>
      <c r="X65" s="434">
        <f t="shared" si="561"/>
        <v>2028.48</v>
      </c>
      <c r="Y65" s="434">
        <f t="shared" si="561"/>
        <v>2392.46</v>
      </c>
      <c r="Z65" s="434">
        <f t="shared" si="561"/>
        <v>2576.0500000000002</v>
      </c>
      <c r="AA65" s="434">
        <f t="shared" si="561"/>
        <v>2585.11</v>
      </c>
      <c r="AB65" s="434">
        <f t="shared" si="561"/>
        <v>3121.94</v>
      </c>
      <c r="AC65" s="434">
        <f t="shared" si="561"/>
        <v>3149.47</v>
      </c>
      <c r="AD65" s="434">
        <f t="shared" si="561"/>
        <v>3022.35</v>
      </c>
      <c r="AE65" s="434">
        <f t="shared" si="561"/>
        <v>2916.15</v>
      </c>
      <c r="AF65" s="434">
        <f t="shared" si="561"/>
        <v>2879.95</v>
      </c>
      <c r="AG65" s="434">
        <f t="shared" si="561"/>
        <v>3000.71</v>
      </c>
      <c r="AH65" s="434">
        <f t="shared" si="561"/>
        <v>2880.24</v>
      </c>
      <c r="AI65" s="434">
        <f t="shared" si="561"/>
        <v>3038.26</v>
      </c>
      <c r="AJ65" s="434">
        <f t="shared" si="561"/>
        <v>2936.67</v>
      </c>
      <c r="AK65" s="434">
        <f t="shared" si="561"/>
        <v>2984</v>
      </c>
      <c r="AL65" s="434">
        <f t="shared" si="561"/>
        <v>2780.47</v>
      </c>
      <c r="AM65" s="434">
        <f t="shared" si="561"/>
        <v>2930.8</v>
      </c>
      <c r="AN65" s="434">
        <f t="shared" ref="AN65:AS65" si="562">AN62</f>
        <v>2972.18</v>
      </c>
      <c r="AO65" s="434">
        <f t="shared" si="562"/>
        <v>3249.75</v>
      </c>
      <c r="AP65" s="434">
        <f t="shared" si="562"/>
        <v>3174.79</v>
      </c>
      <c r="AQ65" s="434">
        <f t="shared" si="562"/>
        <v>3205.67</v>
      </c>
      <c r="AR65" s="434">
        <f t="shared" si="562"/>
        <v>3462.01</v>
      </c>
      <c r="AS65" s="434">
        <f t="shared" si="562"/>
        <v>3277.14</v>
      </c>
      <c r="AT65" s="434">
        <f t="shared" ref="AT65:BB65" si="563">AT62</f>
        <v>4064.81</v>
      </c>
      <c r="AU65" s="434">
        <f t="shared" si="563"/>
        <v>3758.91</v>
      </c>
      <c r="AV65" s="434">
        <f t="shared" si="563"/>
        <v>3878.94</v>
      </c>
      <c r="AW65" s="434">
        <f t="shared" si="563"/>
        <v>3660</v>
      </c>
      <c r="AX65" s="434">
        <f t="shared" si="563"/>
        <v>3550</v>
      </c>
      <c r="AY65" s="434">
        <f t="shared" si="563"/>
        <v>3600</v>
      </c>
      <c r="AZ65" s="434">
        <f t="shared" si="563"/>
        <v>3550</v>
      </c>
      <c r="BA65" s="434">
        <f t="shared" si="563"/>
        <v>3827.5</v>
      </c>
      <c r="BB65" s="434">
        <f t="shared" si="563"/>
        <v>3903.2903124999998</v>
      </c>
      <c r="BC65" s="434">
        <f t="shared" ref="BC65:BG65" si="564">BC62</f>
        <v>3914.2293846153898</v>
      </c>
      <c r="BD65" s="434">
        <f t="shared" si="564"/>
        <v>3827.5</v>
      </c>
      <c r="BE65" s="434">
        <f t="shared" si="564"/>
        <v>4813.8253846153902</v>
      </c>
      <c r="BF65" s="434">
        <f t="shared" si="564"/>
        <v>4751.6826153846096</v>
      </c>
      <c r="BG65" s="434">
        <f t="shared" si="564"/>
        <v>4417.6161538461502</v>
      </c>
      <c r="BH65" s="434">
        <f t="shared" ref="BH65" si="565">BH62</f>
        <v>4043.78061538462</v>
      </c>
      <c r="BI65" s="434">
        <f t="shared" ref="BI65" si="566">BI62</f>
        <v>4063.4396923076902</v>
      </c>
      <c r="BJ65" s="434" t="str">
        <f t="shared" ref="BJ65:BK65" si="567">BJ62</f>
        <v>NULL</v>
      </c>
      <c r="BK65" s="800">
        <f t="shared" si="567"/>
        <v>3923.29292307692</v>
      </c>
      <c r="BL65" s="929">
        <f t="shared" ref="BL65:BQ65" si="568">BL64+$CY65</f>
        <v>4100</v>
      </c>
      <c r="BM65" s="929">
        <f t="shared" si="568"/>
        <v>4154</v>
      </c>
      <c r="BN65" s="929">
        <f t="shared" si="568"/>
        <v>4203</v>
      </c>
      <c r="BO65" s="929">
        <f t="shared" si="568"/>
        <v>4253</v>
      </c>
      <c r="BP65" s="929">
        <f t="shared" si="568"/>
        <v>4253</v>
      </c>
      <c r="BQ65" s="929">
        <f t="shared" si="568"/>
        <v>4358</v>
      </c>
      <c r="BR65" s="929">
        <f t="shared" ref="BR65:CU65" si="569">BR64+$CZ65</f>
        <v>4261.5397773480672</v>
      </c>
      <c r="BS65" s="929">
        <f t="shared" si="569"/>
        <v>4312.2361820274391</v>
      </c>
      <c r="BT65" s="929">
        <f t="shared" si="569"/>
        <v>4312.2361820274391</v>
      </c>
      <c r="BU65" s="929">
        <f t="shared" si="569"/>
        <v>4418.6986318541221</v>
      </c>
      <c r="BV65" s="929">
        <f t="shared" si="569"/>
        <v>4320.894902193626</v>
      </c>
      <c r="BW65" s="929">
        <f t="shared" si="569"/>
        <v>4372.2974111419198</v>
      </c>
      <c r="BX65" s="929">
        <f t="shared" si="569"/>
        <v>4372.2974111419198</v>
      </c>
      <c r="BY65" s="929">
        <f t="shared" si="569"/>
        <v>4480.2426799333389</v>
      </c>
      <c r="BZ65" s="929">
        <f t="shared" si="569"/>
        <v>4381.0767307729293</v>
      </c>
      <c r="CA65" s="929">
        <f t="shared" si="569"/>
        <v>4433.1951786764839</v>
      </c>
      <c r="CB65" s="929">
        <f t="shared" si="569"/>
        <v>4433.1951786764839</v>
      </c>
      <c r="CC65" s="929">
        <f t="shared" si="569"/>
        <v>4542.6439192739535</v>
      </c>
      <c r="CD65" s="929">
        <f t="shared" si="569"/>
        <v>4442.0967774929486</v>
      </c>
      <c r="CE65" s="929">
        <f t="shared" si="569"/>
        <v>4494.9411360165368</v>
      </c>
      <c r="CF65" s="929">
        <f t="shared" si="569"/>
        <v>4494.9411360165368</v>
      </c>
      <c r="CG65" s="929">
        <f t="shared" si="569"/>
        <v>4605.9142889160767</v>
      </c>
      <c r="CH65" s="929">
        <f t="shared" si="569"/>
        <v>4503.9667171343954</v>
      </c>
      <c r="CI65" s="929">
        <f t="shared" si="569"/>
        <v>4557.5470968290692</v>
      </c>
      <c r="CJ65" s="929">
        <f t="shared" si="569"/>
        <v>4557.5470968290692</v>
      </c>
      <c r="CK65" s="929">
        <f t="shared" si="569"/>
        <v>4670.0658941878883</v>
      </c>
      <c r="CL65" s="929">
        <f t="shared" si="569"/>
        <v>4566.6983870854183</v>
      </c>
      <c r="CM65" s="929">
        <f t="shared" si="569"/>
        <v>4621.0250393229308</v>
      </c>
      <c r="CN65" s="929">
        <f t="shared" si="569"/>
        <v>4621.0250393229308</v>
      </c>
      <c r="CO65" s="929">
        <f t="shared" si="569"/>
        <v>4735.1110090217107</v>
      </c>
      <c r="CP65" s="929">
        <f t="shared" si="569"/>
        <v>4630.3037896064161</v>
      </c>
      <c r="CQ65" s="929">
        <f t="shared" si="569"/>
        <v>4685.3871085405863</v>
      </c>
      <c r="CR65" s="929">
        <f t="shared" si="569"/>
        <v>4685.3871085405863</v>
      </c>
      <c r="CS65" s="929">
        <f t="shared" si="569"/>
        <v>4801.0620783023451</v>
      </c>
      <c r="CT65" s="929">
        <f t="shared" si="569"/>
        <v>4694.7950941263944</v>
      </c>
      <c r="CU65" s="929">
        <f t="shared" si="569"/>
        <v>4750.6456186817877</v>
      </c>
      <c r="CV65" s="929">
        <f t="shared" ref="CV65:CW65" si="570">CV64+$CZ65</f>
        <v>4750.6456186817877</v>
      </c>
      <c r="CW65" s="929">
        <f t="shared" si="570"/>
        <v>4867.9317202481134</v>
      </c>
      <c r="CX65" s="718"/>
      <c r="CY65" s="402">
        <v>0</v>
      </c>
      <c r="CZ65" s="402">
        <v>0</v>
      </c>
    </row>
    <row r="66" spans="1:106" hidden="1" outlineLevel="1">
      <c r="A66" s="86"/>
      <c r="B66" s="887"/>
      <c r="C66" s="887"/>
      <c r="D66" s="887"/>
      <c r="E66" s="887"/>
      <c r="F66" s="887"/>
      <c r="G66" s="887"/>
      <c r="H66" s="887"/>
      <c r="I66" s="887"/>
      <c r="J66" s="887"/>
      <c r="K66" s="887"/>
      <c r="L66" s="887"/>
      <c r="M66" s="887"/>
      <c r="N66" s="887"/>
      <c r="O66" s="887"/>
      <c r="P66" s="887"/>
      <c r="Q66" s="887"/>
      <c r="R66" s="887"/>
      <c r="S66" s="887"/>
      <c r="T66" s="887"/>
      <c r="U66" s="887"/>
      <c r="V66" s="887"/>
      <c r="W66" s="887"/>
      <c r="X66" s="887"/>
      <c r="Y66" s="887"/>
      <c r="Z66" s="887"/>
      <c r="AA66" s="887"/>
      <c r="AB66" s="887"/>
      <c r="AC66" s="887"/>
      <c r="AD66" s="887"/>
      <c r="AE66" s="887"/>
      <c r="AF66" s="887"/>
      <c r="AG66" s="887"/>
      <c r="AH66" s="887"/>
      <c r="AI66" s="887"/>
      <c r="AJ66" s="887"/>
      <c r="AK66" s="887"/>
      <c r="AL66" s="887"/>
      <c r="AM66" s="887"/>
      <c r="AN66" s="887"/>
      <c r="AO66" s="887"/>
      <c r="AP66" s="887"/>
      <c r="AQ66" s="887"/>
      <c r="AR66" s="887"/>
      <c r="AS66" s="887"/>
      <c r="AT66" s="887"/>
      <c r="AU66" s="888"/>
      <c r="AV66" s="888"/>
      <c r="AW66" s="888"/>
      <c r="AX66" s="888"/>
      <c r="AY66" s="888"/>
      <c r="AZ66" s="888"/>
      <c r="BA66" s="888"/>
      <c r="BB66" s="888"/>
      <c r="BC66" s="888"/>
      <c r="BD66" s="888"/>
      <c r="BE66" s="888"/>
      <c r="BF66" s="888"/>
      <c r="BG66" s="888"/>
      <c r="BH66" s="888"/>
      <c r="BI66" s="888"/>
      <c r="BJ66" s="888"/>
      <c r="BK66" s="1823"/>
      <c r="BL66" s="888"/>
      <c r="BM66" s="888"/>
      <c r="BN66" s="888"/>
      <c r="BO66" s="888"/>
      <c r="BP66" s="888"/>
      <c r="BQ66" s="888"/>
      <c r="BR66" s="888"/>
      <c r="BS66" s="888"/>
      <c r="BT66" s="888"/>
      <c r="BU66" s="888"/>
      <c r="BV66" s="888"/>
      <c r="BW66" s="888"/>
      <c r="BX66" s="888"/>
      <c r="BY66" s="888"/>
      <c r="BZ66" s="888"/>
      <c r="CA66" s="888"/>
      <c r="CB66" s="888"/>
      <c r="CC66" s="888"/>
      <c r="CD66" s="888"/>
      <c r="CE66" s="888"/>
      <c r="CF66" s="888"/>
      <c r="CG66" s="888"/>
      <c r="CH66" s="888"/>
      <c r="CI66" s="888"/>
      <c r="CJ66" s="888"/>
      <c r="CK66" s="888"/>
      <c r="CL66" s="888"/>
      <c r="CM66" s="888"/>
      <c r="CN66" s="888"/>
      <c r="CO66" s="888"/>
      <c r="CP66" s="888"/>
      <c r="CQ66" s="888"/>
      <c r="CR66" s="888"/>
      <c r="CS66" s="888"/>
      <c r="CT66" s="888"/>
      <c r="CU66" s="888"/>
      <c r="CV66" s="888"/>
      <c r="CW66" s="888"/>
      <c r="CX66" s="718"/>
      <c r="CY66" s="269"/>
      <c r="CZ66" s="269"/>
    </row>
    <row r="67" spans="1:106" hidden="1" outlineLevel="1">
      <c r="A67" s="946" t="s">
        <v>990</v>
      </c>
      <c r="B67" s="931">
        <v>6.6000000000000003E-2</v>
      </c>
      <c r="C67" s="931">
        <v>4.8000000000000001E-2</v>
      </c>
      <c r="D67" s="931">
        <v>2.1999999999999999E-2</v>
      </c>
      <c r="E67" s="931">
        <v>2.4E-2</v>
      </c>
      <c r="F67" s="931">
        <v>0.02</v>
      </c>
      <c r="G67" s="931">
        <v>2.1000000000000001E-2</v>
      </c>
      <c r="H67" s="931">
        <v>2.3E-2</v>
      </c>
      <c r="I67" s="931">
        <v>2.7E-2</v>
      </c>
      <c r="J67" s="931">
        <v>3.3000000000000002E-2</v>
      </c>
      <c r="K67" s="931">
        <v>0.03</v>
      </c>
      <c r="L67" s="931">
        <v>3.5000000000000003E-2</v>
      </c>
      <c r="M67" s="931">
        <v>3.9E-2</v>
      </c>
      <c r="N67" s="931">
        <v>0</v>
      </c>
      <c r="O67" s="931">
        <v>0</v>
      </c>
      <c r="P67" s="931">
        <v>0</v>
      </c>
      <c r="Q67" s="931">
        <v>0</v>
      </c>
      <c r="R67" s="931">
        <v>0</v>
      </c>
      <c r="S67" s="931">
        <v>0</v>
      </c>
      <c r="T67" s="931">
        <v>0</v>
      </c>
      <c r="U67" s="931">
        <v>0</v>
      </c>
      <c r="V67" s="931">
        <v>0</v>
      </c>
      <c r="W67" s="931">
        <v>0</v>
      </c>
      <c r="X67" s="931">
        <v>0</v>
      </c>
      <c r="Y67" s="931">
        <v>0</v>
      </c>
      <c r="Z67" s="931">
        <v>0</v>
      </c>
      <c r="AA67" s="931">
        <v>0</v>
      </c>
      <c r="AB67" s="931">
        <v>0</v>
      </c>
      <c r="AC67" s="931">
        <v>0</v>
      </c>
      <c r="AD67" s="931">
        <v>0</v>
      </c>
      <c r="AE67" s="931">
        <v>0</v>
      </c>
      <c r="AF67" s="931">
        <v>0</v>
      </c>
      <c r="AG67" s="931">
        <v>0</v>
      </c>
      <c r="AH67" s="931">
        <v>0</v>
      </c>
      <c r="AI67" s="931">
        <v>0</v>
      </c>
      <c r="AJ67" s="931">
        <v>0</v>
      </c>
      <c r="AK67" s="931">
        <v>0</v>
      </c>
      <c r="AL67" s="931">
        <v>0</v>
      </c>
      <c r="AM67" s="931">
        <v>0</v>
      </c>
      <c r="AN67" s="931">
        <v>0</v>
      </c>
      <c r="AO67" s="931">
        <v>0</v>
      </c>
      <c r="AP67" s="931">
        <v>0</v>
      </c>
      <c r="AQ67" s="931">
        <v>4.25</v>
      </c>
      <c r="AR67" s="931">
        <v>4.25</v>
      </c>
      <c r="AS67" s="931">
        <v>4.25</v>
      </c>
      <c r="AT67" s="931">
        <v>3.8476677819326843E-2</v>
      </c>
      <c r="AU67" s="931">
        <v>2.2003699737124016E-2</v>
      </c>
      <c r="AV67" s="931">
        <v>1.96591129188457E-2</v>
      </c>
      <c r="AW67" s="931">
        <v>1.6184971098265999E-2</v>
      </c>
      <c r="AX67" s="931">
        <v>1.5066805647683257E-2</v>
      </c>
      <c r="AY67" s="931">
        <v>3.6296084595598854E-2</v>
      </c>
      <c r="AZ67" s="931">
        <v>4.511349605850512E-2</v>
      </c>
      <c r="BA67" s="931">
        <v>5.6219188471748227E-2</v>
      </c>
      <c r="BB67" s="931">
        <v>8.5324869305451786E-2</v>
      </c>
      <c r="BC67" s="931">
        <v>9.6800882515168288E-2</v>
      </c>
      <c r="BD67" s="931">
        <v>0.11441294074881858</v>
      </c>
      <c r="BE67" s="931">
        <v>0.13122699937169013</v>
      </c>
      <c r="BF67" s="931">
        <v>0.13122699937169013</v>
      </c>
      <c r="BG67" s="931">
        <v>0.1212806973430558</v>
      </c>
      <c r="BH67" s="931">
        <v>0.1212806973430558</v>
      </c>
      <c r="BI67" s="931">
        <v>9.2755693088947044E-2</v>
      </c>
      <c r="BJ67" s="931">
        <v>7.3689003566820732E-2</v>
      </c>
      <c r="BK67" s="1818">
        <v>7.0142109508800399E-2</v>
      </c>
      <c r="BL67" s="932">
        <f t="shared" ref="BL67:BQ67" si="571">CHOOSE(MASTERSWITCH,BL68,BL69,BL70)</f>
        <v>5.6609881250254901E-2</v>
      </c>
      <c r="BM67" s="932">
        <f t="shared" si="571"/>
        <v>5.1900965486310291E-2</v>
      </c>
      <c r="BN67" s="932">
        <f t="shared" si="571"/>
        <v>4.2542385335914146E-2</v>
      </c>
      <c r="BO67" s="932">
        <f t="shared" si="571"/>
        <v>3.7559835352186655E-2</v>
      </c>
      <c r="BP67" s="932">
        <f t="shared" si="571"/>
        <v>3.7305463947799877E-2</v>
      </c>
      <c r="BQ67" s="932">
        <f t="shared" si="571"/>
        <v>3.6234511646377365E-2</v>
      </c>
      <c r="BR67" s="932">
        <f t="shared" ref="BR67:CK67" si="572">CHOOSE(MASTERSWITCH,BR68,BR69,BR70)</f>
        <v>3.6234511646377365E-2</v>
      </c>
      <c r="BS67" s="932">
        <f t="shared" si="572"/>
        <v>3.6234511646377365E-2</v>
      </c>
      <c r="BT67" s="932">
        <f t="shared" si="572"/>
        <v>3.6234511646377365E-2</v>
      </c>
      <c r="BU67" s="932">
        <f t="shared" si="572"/>
        <v>3.6234511646377365E-2</v>
      </c>
      <c r="BV67" s="932">
        <f t="shared" si="572"/>
        <v>3.6234511646377365E-2</v>
      </c>
      <c r="BW67" s="932">
        <f t="shared" si="572"/>
        <v>3.6234511646377365E-2</v>
      </c>
      <c r="BX67" s="932">
        <f t="shared" si="572"/>
        <v>3.6234511646377365E-2</v>
      </c>
      <c r="BY67" s="932">
        <f t="shared" si="572"/>
        <v>3.6234511646377365E-2</v>
      </c>
      <c r="BZ67" s="932">
        <f t="shared" si="572"/>
        <v>3.6234511646377365E-2</v>
      </c>
      <c r="CA67" s="932">
        <f t="shared" si="572"/>
        <v>3.6234511646377365E-2</v>
      </c>
      <c r="CB67" s="932">
        <f t="shared" si="572"/>
        <v>3.6234511646377365E-2</v>
      </c>
      <c r="CC67" s="932">
        <f t="shared" si="572"/>
        <v>3.6234511646377365E-2</v>
      </c>
      <c r="CD67" s="932">
        <f t="shared" si="572"/>
        <v>3.6234511646377365E-2</v>
      </c>
      <c r="CE67" s="932">
        <f t="shared" si="572"/>
        <v>3.6234511646377365E-2</v>
      </c>
      <c r="CF67" s="932">
        <f t="shared" si="572"/>
        <v>3.6234511646377365E-2</v>
      </c>
      <c r="CG67" s="932">
        <f t="shared" si="572"/>
        <v>3.6234511646377365E-2</v>
      </c>
      <c r="CH67" s="932">
        <f t="shared" si="572"/>
        <v>3.6234511646377365E-2</v>
      </c>
      <c r="CI67" s="932">
        <f t="shared" si="572"/>
        <v>3.6234511646377365E-2</v>
      </c>
      <c r="CJ67" s="932">
        <f t="shared" si="572"/>
        <v>3.6234511646377365E-2</v>
      </c>
      <c r="CK67" s="932">
        <f t="shared" si="572"/>
        <v>3.6234511646377365E-2</v>
      </c>
      <c r="CL67" s="932">
        <f t="shared" ref="CL67:CP67" si="573">CHOOSE(MASTERSWITCH,CL68,CL69,CL70)</f>
        <v>3.6234511646377365E-2</v>
      </c>
      <c r="CM67" s="932">
        <f t="shared" si="573"/>
        <v>3.6234511646377365E-2</v>
      </c>
      <c r="CN67" s="932">
        <f t="shared" si="573"/>
        <v>3.6234511646377365E-2</v>
      </c>
      <c r="CO67" s="932">
        <f t="shared" si="573"/>
        <v>3.6234511646377365E-2</v>
      </c>
      <c r="CP67" s="932">
        <f t="shared" si="573"/>
        <v>3.6234511646377365E-2</v>
      </c>
      <c r="CQ67" s="932">
        <f t="shared" ref="CQ67:CU67" si="574">CHOOSE(MASTERSWITCH,CQ68,CQ69,CQ70)</f>
        <v>3.6234511646377365E-2</v>
      </c>
      <c r="CR67" s="932">
        <f t="shared" si="574"/>
        <v>3.6234511646377365E-2</v>
      </c>
      <c r="CS67" s="932">
        <f t="shared" si="574"/>
        <v>3.6234511646377365E-2</v>
      </c>
      <c r="CT67" s="932">
        <f t="shared" si="574"/>
        <v>3.6234511646377365E-2</v>
      </c>
      <c r="CU67" s="932">
        <f t="shared" si="574"/>
        <v>3.6234511646377365E-2</v>
      </c>
      <c r="CV67" s="932">
        <f t="shared" ref="CV67:CW67" si="575">CHOOSE(MASTERSWITCH,CV68,CV69,CV70)</f>
        <v>3.6234511646377365E-2</v>
      </c>
      <c r="CW67" s="932">
        <f t="shared" si="575"/>
        <v>3.6234511646377365E-2</v>
      </c>
      <c r="CX67" s="718"/>
      <c r="CY67" s="269"/>
      <c r="CZ67" s="269"/>
      <c r="DB67" s="173"/>
    </row>
    <row r="68" spans="1:106" hidden="1" outlineLevel="1">
      <c r="A68" s="947" t="s">
        <v>571</v>
      </c>
      <c r="B68" s="84">
        <f t="shared" ref="B68:AM68" si="576">B67</f>
        <v>6.6000000000000003E-2</v>
      </c>
      <c r="C68" s="84">
        <f t="shared" si="576"/>
        <v>4.8000000000000001E-2</v>
      </c>
      <c r="D68" s="84">
        <f t="shared" si="576"/>
        <v>2.1999999999999999E-2</v>
      </c>
      <c r="E68" s="84">
        <f t="shared" si="576"/>
        <v>2.4E-2</v>
      </c>
      <c r="F68" s="84">
        <f t="shared" si="576"/>
        <v>0.02</v>
      </c>
      <c r="G68" s="84">
        <f t="shared" si="576"/>
        <v>2.1000000000000001E-2</v>
      </c>
      <c r="H68" s="84">
        <f t="shared" si="576"/>
        <v>2.3E-2</v>
      </c>
      <c r="I68" s="84">
        <f t="shared" si="576"/>
        <v>2.7E-2</v>
      </c>
      <c r="J68" s="84">
        <f t="shared" si="576"/>
        <v>3.3000000000000002E-2</v>
      </c>
      <c r="K68" s="84">
        <f t="shared" si="576"/>
        <v>0.03</v>
      </c>
      <c r="L68" s="84">
        <f t="shared" si="576"/>
        <v>3.5000000000000003E-2</v>
      </c>
      <c r="M68" s="84">
        <f t="shared" si="576"/>
        <v>3.9E-2</v>
      </c>
      <c r="N68" s="84">
        <f t="shared" si="576"/>
        <v>0</v>
      </c>
      <c r="O68" s="84">
        <f t="shared" si="576"/>
        <v>0</v>
      </c>
      <c r="P68" s="84">
        <f t="shared" si="576"/>
        <v>0</v>
      </c>
      <c r="Q68" s="84">
        <f t="shared" si="576"/>
        <v>0</v>
      </c>
      <c r="R68" s="84">
        <f t="shared" si="576"/>
        <v>0</v>
      </c>
      <c r="S68" s="84">
        <f t="shared" si="576"/>
        <v>0</v>
      </c>
      <c r="T68" s="84">
        <f t="shared" si="576"/>
        <v>0</v>
      </c>
      <c r="U68" s="84">
        <f t="shared" si="576"/>
        <v>0</v>
      </c>
      <c r="V68" s="84">
        <f t="shared" si="576"/>
        <v>0</v>
      </c>
      <c r="W68" s="84">
        <f t="shared" si="576"/>
        <v>0</v>
      </c>
      <c r="X68" s="84">
        <f t="shared" si="576"/>
        <v>0</v>
      </c>
      <c r="Y68" s="84">
        <f t="shared" si="576"/>
        <v>0</v>
      </c>
      <c r="Z68" s="84">
        <f t="shared" si="576"/>
        <v>0</v>
      </c>
      <c r="AA68" s="84">
        <f t="shared" si="576"/>
        <v>0</v>
      </c>
      <c r="AB68" s="84">
        <f t="shared" si="576"/>
        <v>0</v>
      </c>
      <c r="AC68" s="84">
        <f t="shared" si="576"/>
        <v>0</v>
      </c>
      <c r="AD68" s="84">
        <f t="shared" si="576"/>
        <v>0</v>
      </c>
      <c r="AE68" s="84">
        <f t="shared" si="576"/>
        <v>0</v>
      </c>
      <c r="AF68" s="84">
        <f t="shared" si="576"/>
        <v>0</v>
      </c>
      <c r="AG68" s="84">
        <f t="shared" si="576"/>
        <v>0</v>
      </c>
      <c r="AH68" s="84">
        <f t="shared" si="576"/>
        <v>0</v>
      </c>
      <c r="AI68" s="84">
        <f t="shared" si="576"/>
        <v>0</v>
      </c>
      <c r="AJ68" s="84">
        <f t="shared" si="576"/>
        <v>0</v>
      </c>
      <c r="AK68" s="84">
        <f t="shared" si="576"/>
        <v>0</v>
      </c>
      <c r="AL68" s="84">
        <f t="shared" si="576"/>
        <v>0</v>
      </c>
      <c r="AM68" s="84">
        <f t="shared" si="576"/>
        <v>0</v>
      </c>
      <c r="AN68" s="84">
        <f t="shared" ref="AN68:AS68" si="577">AN67</f>
        <v>0</v>
      </c>
      <c r="AO68" s="84">
        <f t="shared" si="577"/>
        <v>0</v>
      </c>
      <c r="AP68" s="84">
        <f t="shared" si="577"/>
        <v>0</v>
      </c>
      <c r="AQ68" s="84">
        <f t="shared" si="577"/>
        <v>4.25</v>
      </c>
      <c r="AR68" s="84">
        <f t="shared" si="577"/>
        <v>4.25</v>
      </c>
      <c r="AS68" s="84">
        <f t="shared" si="577"/>
        <v>4.25</v>
      </c>
      <c r="AT68" s="84">
        <f t="shared" ref="AT68:BB68" si="578">AT67</f>
        <v>3.8476677819326843E-2</v>
      </c>
      <c r="AU68" s="84">
        <f t="shared" si="578"/>
        <v>2.2003699737124016E-2</v>
      </c>
      <c r="AV68" s="84">
        <f t="shared" si="578"/>
        <v>1.96591129188457E-2</v>
      </c>
      <c r="AW68" s="84">
        <f t="shared" si="578"/>
        <v>1.6184971098265999E-2</v>
      </c>
      <c r="AX68" s="84">
        <f t="shared" si="578"/>
        <v>1.5066805647683257E-2</v>
      </c>
      <c r="AY68" s="84">
        <f t="shared" si="578"/>
        <v>3.6296084595598854E-2</v>
      </c>
      <c r="AZ68" s="84">
        <f t="shared" si="578"/>
        <v>4.511349605850512E-2</v>
      </c>
      <c r="BA68" s="84">
        <f t="shared" si="578"/>
        <v>5.6219188471748227E-2</v>
      </c>
      <c r="BB68" s="84">
        <f t="shared" si="578"/>
        <v>8.5324869305451786E-2</v>
      </c>
      <c r="BC68" s="84">
        <f t="shared" ref="BC68:BG68" si="579">BC67</f>
        <v>9.6800882515168288E-2</v>
      </c>
      <c r="BD68" s="84">
        <f t="shared" si="579"/>
        <v>0.11441294074881858</v>
      </c>
      <c r="BE68" s="84">
        <f t="shared" si="579"/>
        <v>0.13122699937169013</v>
      </c>
      <c r="BF68" s="84">
        <f t="shared" si="579"/>
        <v>0.13122699937169013</v>
      </c>
      <c r="BG68" s="84">
        <f t="shared" si="579"/>
        <v>0.1212806973430558</v>
      </c>
      <c r="BH68" s="84">
        <f t="shared" ref="BH68" si="580">BH67</f>
        <v>0.1212806973430558</v>
      </c>
      <c r="BI68" s="84">
        <f t="shared" ref="BI68" si="581">BI67</f>
        <v>9.2755693088947044E-2</v>
      </c>
      <c r="BJ68" s="84">
        <f t="shared" ref="BJ68:BK68" si="582">BJ67</f>
        <v>7.3689003566820732E-2</v>
      </c>
      <c r="BK68" s="801">
        <f t="shared" si="582"/>
        <v>7.0142109508800399E-2</v>
      </c>
      <c r="BL68" s="305">
        <f t="shared" ref="BL68:BQ68" si="583">BL69+$CY68</f>
        <v>5.6609881250254901E-2</v>
      </c>
      <c r="BM68" s="305">
        <f t="shared" si="583"/>
        <v>5.1900965486310291E-2</v>
      </c>
      <c r="BN68" s="305">
        <f t="shared" si="583"/>
        <v>4.2542385335914146E-2</v>
      </c>
      <c r="BO68" s="305">
        <f t="shared" si="583"/>
        <v>3.7559835352186655E-2</v>
      </c>
      <c r="BP68" s="305">
        <f t="shared" si="583"/>
        <v>3.7305463947799877E-2</v>
      </c>
      <c r="BQ68" s="305">
        <f t="shared" si="583"/>
        <v>3.6234511646377365E-2</v>
      </c>
      <c r="BR68" s="305">
        <f t="shared" ref="BR68:CU68" si="584">BR69+$CZ68</f>
        <v>3.6234511646377365E-2</v>
      </c>
      <c r="BS68" s="305">
        <f t="shared" si="584"/>
        <v>3.6234511646377365E-2</v>
      </c>
      <c r="BT68" s="305">
        <f t="shared" si="584"/>
        <v>3.6234511646377365E-2</v>
      </c>
      <c r="BU68" s="305">
        <f t="shared" si="584"/>
        <v>3.6234511646377365E-2</v>
      </c>
      <c r="BV68" s="305">
        <f t="shared" si="584"/>
        <v>3.6234511646377365E-2</v>
      </c>
      <c r="BW68" s="305">
        <f t="shared" si="584"/>
        <v>3.6234511646377365E-2</v>
      </c>
      <c r="BX68" s="305">
        <f t="shared" si="584"/>
        <v>3.6234511646377365E-2</v>
      </c>
      <c r="BY68" s="305">
        <f t="shared" si="584"/>
        <v>3.6234511646377365E-2</v>
      </c>
      <c r="BZ68" s="305">
        <f t="shared" si="584"/>
        <v>3.6234511646377365E-2</v>
      </c>
      <c r="CA68" s="305">
        <f t="shared" si="584"/>
        <v>3.6234511646377365E-2</v>
      </c>
      <c r="CB68" s="305">
        <f t="shared" si="584"/>
        <v>3.6234511646377365E-2</v>
      </c>
      <c r="CC68" s="305">
        <f t="shared" si="584"/>
        <v>3.6234511646377365E-2</v>
      </c>
      <c r="CD68" s="305">
        <f t="shared" si="584"/>
        <v>3.6234511646377365E-2</v>
      </c>
      <c r="CE68" s="305">
        <f t="shared" si="584"/>
        <v>3.6234511646377365E-2</v>
      </c>
      <c r="CF68" s="305">
        <f t="shared" si="584"/>
        <v>3.6234511646377365E-2</v>
      </c>
      <c r="CG68" s="305">
        <f t="shared" si="584"/>
        <v>3.6234511646377365E-2</v>
      </c>
      <c r="CH68" s="305">
        <f t="shared" si="584"/>
        <v>3.6234511646377365E-2</v>
      </c>
      <c r="CI68" s="305">
        <f t="shared" si="584"/>
        <v>3.6234511646377365E-2</v>
      </c>
      <c r="CJ68" s="305">
        <f t="shared" si="584"/>
        <v>3.6234511646377365E-2</v>
      </c>
      <c r="CK68" s="305">
        <f t="shared" si="584"/>
        <v>3.6234511646377365E-2</v>
      </c>
      <c r="CL68" s="305">
        <f t="shared" si="584"/>
        <v>3.6234511646377365E-2</v>
      </c>
      <c r="CM68" s="305">
        <f t="shared" si="584"/>
        <v>3.6234511646377365E-2</v>
      </c>
      <c r="CN68" s="305">
        <f t="shared" si="584"/>
        <v>3.6234511646377365E-2</v>
      </c>
      <c r="CO68" s="305">
        <f t="shared" si="584"/>
        <v>3.6234511646377365E-2</v>
      </c>
      <c r="CP68" s="305">
        <f t="shared" si="584"/>
        <v>3.6234511646377365E-2</v>
      </c>
      <c r="CQ68" s="305">
        <f t="shared" si="584"/>
        <v>3.6234511646377365E-2</v>
      </c>
      <c r="CR68" s="305">
        <f t="shared" si="584"/>
        <v>3.6234511646377365E-2</v>
      </c>
      <c r="CS68" s="305">
        <f t="shared" si="584"/>
        <v>3.6234511646377365E-2</v>
      </c>
      <c r="CT68" s="305">
        <f t="shared" si="584"/>
        <v>3.6234511646377365E-2</v>
      </c>
      <c r="CU68" s="305">
        <f t="shared" si="584"/>
        <v>3.6234511646377365E-2</v>
      </c>
      <c r="CV68" s="305">
        <f t="shared" ref="CV68:CW68" si="585">CV69+$CZ68</f>
        <v>3.6234511646377365E-2</v>
      </c>
      <c r="CW68" s="305">
        <f t="shared" si="585"/>
        <v>3.6234511646377365E-2</v>
      </c>
      <c r="CX68" s="718"/>
      <c r="CY68" s="402">
        <v>0</v>
      </c>
      <c r="CZ68" s="402">
        <v>0</v>
      </c>
    </row>
    <row r="69" spans="1:106" hidden="1" outlineLevel="1">
      <c r="A69" s="947" t="s">
        <v>200</v>
      </c>
      <c r="B69" s="84">
        <f t="shared" ref="B69:AM69" si="586">B67</f>
        <v>6.6000000000000003E-2</v>
      </c>
      <c r="C69" s="84">
        <f t="shared" si="586"/>
        <v>4.8000000000000001E-2</v>
      </c>
      <c r="D69" s="84">
        <f t="shared" si="586"/>
        <v>2.1999999999999999E-2</v>
      </c>
      <c r="E69" s="84">
        <f t="shared" si="586"/>
        <v>2.4E-2</v>
      </c>
      <c r="F69" s="84">
        <f t="shared" si="586"/>
        <v>0.02</v>
      </c>
      <c r="G69" s="84">
        <f t="shared" si="586"/>
        <v>2.1000000000000001E-2</v>
      </c>
      <c r="H69" s="84">
        <f t="shared" si="586"/>
        <v>2.3E-2</v>
      </c>
      <c r="I69" s="84">
        <f t="shared" si="586"/>
        <v>2.7E-2</v>
      </c>
      <c r="J69" s="84">
        <f t="shared" si="586"/>
        <v>3.3000000000000002E-2</v>
      </c>
      <c r="K69" s="84">
        <f t="shared" si="586"/>
        <v>0.03</v>
      </c>
      <c r="L69" s="84">
        <f t="shared" si="586"/>
        <v>3.5000000000000003E-2</v>
      </c>
      <c r="M69" s="84">
        <f t="shared" si="586"/>
        <v>3.9E-2</v>
      </c>
      <c r="N69" s="84">
        <f t="shared" si="586"/>
        <v>0</v>
      </c>
      <c r="O69" s="84">
        <f t="shared" si="586"/>
        <v>0</v>
      </c>
      <c r="P69" s="84">
        <f t="shared" si="586"/>
        <v>0</v>
      </c>
      <c r="Q69" s="84">
        <f t="shared" si="586"/>
        <v>0</v>
      </c>
      <c r="R69" s="84">
        <f t="shared" si="586"/>
        <v>0</v>
      </c>
      <c r="S69" s="84">
        <f t="shared" si="586"/>
        <v>0</v>
      </c>
      <c r="T69" s="84">
        <f t="shared" si="586"/>
        <v>0</v>
      </c>
      <c r="U69" s="84">
        <f t="shared" si="586"/>
        <v>0</v>
      </c>
      <c r="V69" s="84">
        <f t="shared" si="586"/>
        <v>0</v>
      </c>
      <c r="W69" s="84">
        <f t="shared" si="586"/>
        <v>0</v>
      </c>
      <c r="X69" s="84">
        <f t="shared" si="586"/>
        <v>0</v>
      </c>
      <c r="Y69" s="84">
        <f t="shared" si="586"/>
        <v>0</v>
      </c>
      <c r="Z69" s="84">
        <f t="shared" si="586"/>
        <v>0</v>
      </c>
      <c r="AA69" s="84">
        <f t="shared" si="586"/>
        <v>0</v>
      </c>
      <c r="AB69" s="84">
        <f t="shared" si="586"/>
        <v>0</v>
      </c>
      <c r="AC69" s="84">
        <f t="shared" si="586"/>
        <v>0</v>
      </c>
      <c r="AD69" s="84">
        <f t="shared" si="586"/>
        <v>0</v>
      </c>
      <c r="AE69" s="84">
        <f t="shared" si="586"/>
        <v>0</v>
      </c>
      <c r="AF69" s="84">
        <f t="shared" si="586"/>
        <v>0</v>
      </c>
      <c r="AG69" s="84">
        <f t="shared" si="586"/>
        <v>0</v>
      </c>
      <c r="AH69" s="84">
        <f t="shared" si="586"/>
        <v>0</v>
      </c>
      <c r="AI69" s="84">
        <f t="shared" si="586"/>
        <v>0</v>
      </c>
      <c r="AJ69" s="84">
        <f t="shared" si="586"/>
        <v>0</v>
      </c>
      <c r="AK69" s="84">
        <f t="shared" si="586"/>
        <v>0</v>
      </c>
      <c r="AL69" s="84">
        <f t="shared" si="586"/>
        <v>0</v>
      </c>
      <c r="AM69" s="84">
        <f t="shared" si="586"/>
        <v>0</v>
      </c>
      <c r="AN69" s="84">
        <f t="shared" ref="AN69:AS69" si="587">AN67</f>
        <v>0</v>
      </c>
      <c r="AO69" s="84">
        <f t="shared" si="587"/>
        <v>0</v>
      </c>
      <c r="AP69" s="84">
        <f t="shared" si="587"/>
        <v>0</v>
      </c>
      <c r="AQ69" s="84">
        <f t="shared" si="587"/>
        <v>4.25</v>
      </c>
      <c r="AR69" s="84">
        <f t="shared" si="587"/>
        <v>4.25</v>
      </c>
      <c r="AS69" s="84">
        <f t="shared" si="587"/>
        <v>4.25</v>
      </c>
      <c r="AT69" s="84">
        <f t="shared" ref="AT69:BB69" si="588">AT67</f>
        <v>3.8476677819326843E-2</v>
      </c>
      <c r="AU69" s="84">
        <f t="shared" si="588"/>
        <v>2.2003699737124016E-2</v>
      </c>
      <c r="AV69" s="84">
        <f t="shared" si="588"/>
        <v>1.96591129188457E-2</v>
      </c>
      <c r="AW69" s="84">
        <f t="shared" si="588"/>
        <v>1.6184971098265999E-2</v>
      </c>
      <c r="AX69" s="84">
        <f t="shared" si="588"/>
        <v>1.5066805647683257E-2</v>
      </c>
      <c r="AY69" s="84">
        <f t="shared" si="588"/>
        <v>3.6296084595598854E-2</v>
      </c>
      <c r="AZ69" s="84">
        <f t="shared" si="588"/>
        <v>4.511349605850512E-2</v>
      </c>
      <c r="BA69" s="84">
        <f t="shared" si="588"/>
        <v>5.6219188471748227E-2</v>
      </c>
      <c r="BB69" s="84">
        <f t="shared" si="588"/>
        <v>8.5324869305451786E-2</v>
      </c>
      <c r="BC69" s="84">
        <f t="shared" ref="BC69:BG69" si="589">BC67</f>
        <v>9.6800882515168288E-2</v>
      </c>
      <c r="BD69" s="84">
        <f t="shared" si="589"/>
        <v>0.11441294074881858</v>
      </c>
      <c r="BE69" s="84">
        <f t="shared" si="589"/>
        <v>0.13122699937169013</v>
      </c>
      <c r="BF69" s="84">
        <f t="shared" si="589"/>
        <v>0.13122699937169013</v>
      </c>
      <c r="BG69" s="84">
        <f t="shared" si="589"/>
        <v>0.1212806973430558</v>
      </c>
      <c r="BH69" s="84">
        <f t="shared" ref="BH69" si="590">BH67</f>
        <v>0.1212806973430558</v>
      </c>
      <c r="BI69" s="84">
        <f t="shared" ref="BI69" si="591">BI67</f>
        <v>9.2755693088947044E-2</v>
      </c>
      <c r="BJ69" s="84">
        <f t="shared" ref="BJ69:BK69" si="592">BJ67</f>
        <v>7.3689003566820732E-2</v>
      </c>
      <c r="BK69" s="801">
        <f t="shared" si="592"/>
        <v>7.0142109508800399E-2</v>
      </c>
      <c r="BL69" s="560">
        <v>5.6609881250254901E-2</v>
      </c>
      <c r="BM69" s="560">
        <v>5.1900965486310291E-2</v>
      </c>
      <c r="BN69" s="560">
        <v>4.2542385335914146E-2</v>
      </c>
      <c r="BO69" s="560">
        <v>3.7559835352186655E-2</v>
      </c>
      <c r="BP69" s="560">
        <v>3.7305463947799877E-2</v>
      </c>
      <c r="BQ69" s="560">
        <v>3.6234511646377365E-2</v>
      </c>
      <c r="BR69" s="1784">
        <f>+BQ69</f>
        <v>3.6234511646377365E-2</v>
      </c>
      <c r="BS69" s="1784">
        <f>+BR69</f>
        <v>3.6234511646377365E-2</v>
      </c>
      <c r="BT69" s="1784">
        <f t="shared" ref="BT69:CL69" si="593">+BS69</f>
        <v>3.6234511646377365E-2</v>
      </c>
      <c r="BU69" s="1784">
        <f t="shared" si="593"/>
        <v>3.6234511646377365E-2</v>
      </c>
      <c r="BV69" s="1784">
        <f t="shared" si="593"/>
        <v>3.6234511646377365E-2</v>
      </c>
      <c r="BW69" s="1784">
        <f t="shared" si="593"/>
        <v>3.6234511646377365E-2</v>
      </c>
      <c r="BX69" s="1784">
        <f t="shared" si="593"/>
        <v>3.6234511646377365E-2</v>
      </c>
      <c r="BY69" s="1784">
        <f t="shared" si="593"/>
        <v>3.6234511646377365E-2</v>
      </c>
      <c r="BZ69" s="1784">
        <f t="shared" si="593"/>
        <v>3.6234511646377365E-2</v>
      </c>
      <c r="CA69" s="1784">
        <f t="shared" si="593"/>
        <v>3.6234511646377365E-2</v>
      </c>
      <c r="CB69" s="1784">
        <f t="shared" si="593"/>
        <v>3.6234511646377365E-2</v>
      </c>
      <c r="CC69" s="1784">
        <f t="shared" si="593"/>
        <v>3.6234511646377365E-2</v>
      </c>
      <c r="CD69" s="1784">
        <f t="shared" si="593"/>
        <v>3.6234511646377365E-2</v>
      </c>
      <c r="CE69" s="1784">
        <f t="shared" si="593"/>
        <v>3.6234511646377365E-2</v>
      </c>
      <c r="CF69" s="1784">
        <f t="shared" si="593"/>
        <v>3.6234511646377365E-2</v>
      </c>
      <c r="CG69" s="1784">
        <f t="shared" si="593"/>
        <v>3.6234511646377365E-2</v>
      </c>
      <c r="CH69" s="1784">
        <f t="shared" si="593"/>
        <v>3.6234511646377365E-2</v>
      </c>
      <c r="CI69" s="1784">
        <f t="shared" si="593"/>
        <v>3.6234511646377365E-2</v>
      </c>
      <c r="CJ69" s="1784">
        <f t="shared" si="593"/>
        <v>3.6234511646377365E-2</v>
      </c>
      <c r="CK69" s="1784">
        <f t="shared" si="593"/>
        <v>3.6234511646377365E-2</v>
      </c>
      <c r="CL69" s="1784">
        <f t="shared" si="593"/>
        <v>3.6234511646377365E-2</v>
      </c>
      <c r="CM69" s="1784">
        <f t="shared" ref="CM69" si="594">+CL69</f>
        <v>3.6234511646377365E-2</v>
      </c>
      <c r="CN69" s="1784">
        <f t="shared" ref="CN69" si="595">+CM69</f>
        <v>3.6234511646377365E-2</v>
      </c>
      <c r="CO69" s="1784">
        <f t="shared" ref="CO69" si="596">+CN69</f>
        <v>3.6234511646377365E-2</v>
      </c>
      <c r="CP69" s="1784">
        <f t="shared" ref="CP69" si="597">+CO69</f>
        <v>3.6234511646377365E-2</v>
      </c>
      <c r="CQ69" s="1784">
        <f t="shared" ref="CQ69" si="598">+CP69</f>
        <v>3.6234511646377365E-2</v>
      </c>
      <c r="CR69" s="1784">
        <f t="shared" ref="CR69" si="599">+CQ69</f>
        <v>3.6234511646377365E-2</v>
      </c>
      <c r="CS69" s="1784">
        <f t="shared" ref="CS69" si="600">+CR69</f>
        <v>3.6234511646377365E-2</v>
      </c>
      <c r="CT69" s="1784">
        <f t="shared" ref="CT69" si="601">+CS69</f>
        <v>3.6234511646377365E-2</v>
      </c>
      <c r="CU69" s="1784">
        <f t="shared" ref="CU69" si="602">+CT69</f>
        <v>3.6234511646377365E-2</v>
      </c>
      <c r="CV69" s="1784">
        <f t="shared" ref="CV69" si="603">+CU69</f>
        <v>3.6234511646377365E-2</v>
      </c>
      <c r="CW69" s="1784">
        <f t="shared" ref="CW69" si="604">+CV69</f>
        <v>3.6234511646377365E-2</v>
      </c>
      <c r="CX69" s="718"/>
      <c r="CY69" s="269"/>
      <c r="CZ69" s="269"/>
    </row>
    <row r="70" spans="1:106" hidden="1" outlineLevel="1">
      <c r="A70" s="947" t="s">
        <v>202</v>
      </c>
      <c r="B70" s="84">
        <f t="shared" ref="B70:AM70" si="605">B67</f>
        <v>6.6000000000000003E-2</v>
      </c>
      <c r="C70" s="84">
        <f t="shared" si="605"/>
        <v>4.8000000000000001E-2</v>
      </c>
      <c r="D70" s="84">
        <f t="shared" si="605"/>
        <v>2.1999999999999999E-2</v>
      </c>
      <c r="E70" s="84">
        <f t="shared" si="605"/>
        <v>2.4E-2</v>
      </c>
      <c r="F70" s="84">
        <f t="shared" si="605"/>
        <v>0.02</v>
      </c>
      <c r="G70" s="84">
        <f t="shared" si="605"/>
        <v>2.1000000000000001E-2</v>
      </c>
      <c r="H70" s="84">
        <f t="shared" si="605"/>
        <v>2.3E-2</v>
      </c>
      <c r="I70" s="84">
        <f t="shared" si="605"/>
        <v>2.7E-2</v>
      </c>
      <c r="J70" s="84">
        <f t="shared" si="605"/>
        <v>3.3000000000000002E-2</v>
      </c>
      <c r="K70" s="84">
        <f t="shared" si="605"/>
        <v>0.03</v>
      </c>
      <c r="L70" s="84">
        <f t="shared" si="605"/>
        <v>3.5000000000000003E-2</v>
      </c>
      <c r="M70" s="84">
        <f t="shared" si="605"/>
        <v>3.9E-2</v>
      </c>
      <c r="N70" s="84">
        <f t="shared" si="605"/>
        <v>0</v>
      </c>
      <c r="O70" s="84">
        <f t="shared" si="605"/>
        <v>0</v>
      </c>
      <c r="P70" s="84">
        <f t="shared" si="605"/>
        <v>0</v>
      </c>
      <c r="Q70" s="84">
        <f t="shared" si="605"/>
        <v>0</v>
      </c>
      <c r="R70" s="84">
        <f t="shared" si="605"/>
        <v>0</v>
      </c>
      <c r="S70" s="84">
        <f t="shared" si="605"/>
        <v>0</v>
      </c>
      <c r="T70" s="84">
        <f t="shared" si="605"/>
        <v>0</v>
      </c>
      <c r="U70" s="84">
        <f t="shared" si="605"/>
        <v>0</v>
      </c>
      <c r="V70" s="84">
        <f t="shared" si="605"/>
        <v>0</v>
      </c>
      <c r="W70" s="84">
        <f t="shared" si="605"/>
        <v>0</v>
      </c>
      <c r="X70" s="84">
        <f t="shared" si="605"/>
        <v>0</v>
      </c>
      <c r="Y70" s="84">
        <f t="shared" si="605"/>
        <v>0</v>
      </c>
      <c r="Z70" s="84">
        <f t="shared" si="605"/>
        <v>0</v>
      </c>
      <c r="AA70" s="84">
        <f t="shared" si="605"/>
        <v>0</v>
      </c>
      <c r="AB70" s="84">
        <f t="shared" si="605"/>
        <v>0</v>
      </c>
      <c r="AC70" s="84">
        <f t="shared" si="605"/>
        <v>0</v>
      </c>
      <c r="AD70" s="84">
        <f t="shared" si="605"/>
        <v>0</v>
      </c>
      <c r="AE70" s="84">
        <f t="shared" si="605"/>
        <v>0</v>
      </c>
      <c r="AF70" s="84">
        <f t="shared" si="605"/>
        <v>0</v>
      </c>
      <c r="AG70" s="84">
        <f t="shared" si="605"/>
        <v>0</v>
      </c>
      <c r="AH70" s="84">
        <f t="shared" si="605"/>
        <v>0</v>
      </c>
      <c r="AI70" s="84">
        <f t="shared" si="605"/>
        <v>0</v>
      </c>
      <c r="AJ70" s="84">
        <f t="shared" si="605"/>
        <v>0</v>
      </c>
      <c r="AK70" s="84">
        <f t="shared" si="605"/>
        <v>0</v>
      </c>
      <c r="AL70" s="84">
        <f t="shared" si="605"/>
        <v>0</v>
      </c>
      <c r="AM70" s="84">
        <f t="shared" si="605"/>
        <v>0</v>
      </c>
      <c r="AN70" s="84">
        <f t="shared" ref="AN70:AS70" si="606">AN67</f>
        <v>0</v>
      </c>
      <c r="AO70" s="84">
        <f t="shared" si="606"/>
        <v>0</v>
      </c>
      <c r="AP70" s="84">
        <f t="shared" si="606"/>
        <v>0</v>
      </c>
      <c r="AQ70" s="84">
        <f t="shared" si="606"/>
        <v>4.25</v>
      </c>
      <c r="AR70" s="84">
        <f t="shared" si="606"/>
        <v>4.25</v>
      </c>
      <c r="AS70" s="84">
        <f t="shared" si="606"/>
        <v>4.25</v>
      </c>
      <c r="AT70" s="84">
        <f t="shared" ref="AT70:BB70" si="607">AT67</f>
        <v>3.8476677819326843E-2</v>
      </c>
      <c r="AU70" s="84">
        <f t="shared" si="607"/>
        <v>2.2003699737124016E-2</v>
      </c>
      <c r="AV70" s="84">
        <f t="shared" si="607"/>
        <v>1.96591129188457E-2</v>
      </c>
      <c r="AW70" s="84">
        <f t="shared" si="607"/>
        <v>1.6184971098265999E-2</v>
      </c>
      <c r="AX70" s="84">
        <f t="shared" si="607"/>
        <v>1.5066805647683257E-2</v>
      </c>
      <c r="AY70" s="84">
        <f t="shared" si="607"/>
        <v>3.6296084595598854E-2</v>
      </c>
      <c r="AZ70" s="84">
        <f t="shared" si="607"/>
        <v>4.511349605850512E-2</v>
      </c>
      <c r="BA70" s="84">
        <f t="shared" si="607"/>
        <v>5.6219188471748227E-2</v>
      </c>
      <c r="BB70" s="84">
        <f t="shared" si="607"/>
        <v>8.5324869305451786E-2</v>
      </c>
      <c r="BC70" s="84">
        <f t="shared" ref="BC70:BG70" si="608">BC67</f>
        <v>9.6800882515168288E-2</v>
      </c>
      <c r="BD70" s="84">
        <f t="shared" si="608"/>
        <v>0.11441294074881858</v>
      </c>
      <c r="BE70" s="84">
        <f t="shared" si="608"/>
        <v>0.13122699937169013</v>
      </c>
      <c r="BF70" s="84">
        <f t="shared" si="608"/>
        <v>0.13122699937169013</v>
      </c>
      <c r="BG70" s="84">
        <f t="shared" si="608"/>
        <v>0.1212806973430558</v>
      </c>
      <c r="BH70" s="84">
        <f t="shared" ref="BH70" si="609">BH67</f>
        <v>0.1212806973430558</v>
      </c>
      <c r="BI70" s="84">
        <f t="shared" ref="BI70" si="610">BI67</f>
        <v>9.2755693088947044E-2</v>
      </c>
      <c r="BJ70" s="84">
        <f t="shared" ref="BJ70:BK70" si="611">BJ67</f>
        <v>7.3689003566820732E-2</v>
      </c>
      <c r="BK70" s="801">
        <f t="shared" si="611"/>
        <v>7.0142109508800399E-2</v>
      </c>
      <c r="BL70" s="305">
        <f t="shared" ref="BL70:BQ70" si="612">BL69+$CY70</f>
        <v>5.6609881250254901E-2</v>
      </c>
      <c r="BM70" s="305">
        <f t="shared" si="612"/>
        <v>5.1900965486310291E-2</v>
      </c>
      <c r="BN70" s="305">
        <f t="shared" si="612"/>
        <v>4.2542385335914146E-2</v>
      </c>
      <c r="BO70" s="305">
        <f t="shared" si="612"/>
        <v>3.7559835352186655E-2</v>
      </c>
      <c r="BP70" s="305">
        <f t="shared" si="612"/>
        <v>3.7305463947799877E-2</v>
      </c>
      <c r="BQ70" s="305">
        <f t="shared" si="612"/>
        <v>3.6234511646377365E-2</v>
      </c>
      <c r="BR70" s="305">
        <f t="shared" ref="BR70:CU70" si="613">BR69+$CZ70</f>
        <v>3.6234511646377365E-2</v>
      </c>
      <c r="BS70" s="305">
        <f t="shared" si="613"/>
        <v>3.6234511646377365E-2</v>
      </c>
      <c r="BT70" s="305">
        <f t="shared" si="613"/>
        <v>3.6234511646377365E-2</v>
      </c>
      <c r="BU70" s="305">
        <f t="shared" si="613"/>
        <v>3.6234511646377365E-2</v>
      </c>
      <c r="BV70" s="305">
        <f t="shared" si="613"/>
        <v>3.6234511646377365E-2</v>
      </c>
      <c r="BW70" s="305">
        <f t="shared" si="613"/>
        <v>3.6234511646377365E-2</v>
      </c>
      <c r="BX70" s="305">
        <f t="shared" si="613"/>
        <v>3.6234511646377365E-2</v>
      </c>
      <c r="BY70" s="305">
        <f t="shared" si="613"/>
        <v>3.6234511646377365E-2</v>
      </c>
      <c r="BZ70" s="305">
        <f t="shared" si="613"/>
        <v>3.6234511646377365E-2</v>
      </c>
      <c r="CA70" s="305">
        <f t="shared" si="613"/>
        <v>3.6234511646377365E-2</v>
      </c>
      <c r="CB70" s="305">
        <f t="shared" si="613"/>
        <v>3.6234511646377365E-2</v>
      </c>
      <c r="CC70" s="305">
        <f t="shared" si="613"/>
        <v>3.6234511646377365E-2</v>
      </c>
      <c r="CD70" s="305">
        <f t="shared" si="613"/>
        <v>3.6234511646377365E-2</v>
      </c>
      <c r="CE70" s="305">
        <f t="shared" si="613"/>
        <v>3.6234511646377365E-2</v>
      </c>
      <c r="CF70" s="305">
        <f t="shared" si="613"/>
        <v>3.6234511646377365E-2</v>
      </c>
      <c r="CG70" s="305">
        <f t="shared" si="613"/>
        <v>3.6234511646377365E-2</v>
      </c>
      <c r="CH70" s="305">
        <f t="shared" si="613"/>
        <v>3.6234511646377365E-2</v>
      </c>
      <c r="CI70" s="305">
        <f t="shared" si="613"/>
        <v>3.6234511646377365E-2</v>
      </c>
      <c r="CJ70" s="305">
        <f t="shared" si="613"/>
        <v>3.6234511646377365E-2</v>
      </c>
      <c r="CK70" s="305">
        <f t="shared" si="613"/>
        <v>3.6234511646377365E-2</v>
      </c>
      <c r="CL70" s="305">
        <f t="shared" si="613"/>
        <v>3.6234511646377365E-2</v>
      </c>
      <c r="CM70" s="305">
        <f t="shared" si="613"/>
        <v>3.6234511646377365E-2</v>
      </c>
      <c r="CN70" s="305">
        <f t="shared" si="613"/>
        <v>3.6234511646377365E-2</v>
      </c>
      <c r="CO70" s="305">
        <f t="shared" si="613"/>
        <v>3.6234511646377365E-2</v>
      </c>
      <c r="CP70" s="305">
        <f t="shared" si="613"/>
        <v>3.6234511646377365E-2</v>
      </c>
      <c r="CQ70" s="305">
        <f t="shared" si="613"/>
        <v>3.6234511646377365E-2</v>
      </c>
      <c r="CR70" s="305">
        <f t="shared" si="613"/>
        <v>3.6234511646377365E-2</v>
      </c>
      <c r="CS70" s="305">
        <f t="shared" si="613"/>
        <v>3.6234511646377365E-2</v>
      </c>
      <c r="CT70" s="305">
        <f t="shared" si="613"/>
        <v>3.6234511646377365E-2</v>
      </c>
      <c r="CU70" s="305">
        <f t="shared" si="613"/>
        <v>3.6234511646377365E-2</v>
      </c>
      <c r="CV70" s="305">
        <f t="shared" ref="CV70:CW70" si="614">CV69+$CZ70</f>
        <v>3.6234511646377365E-2</v>
      </c>
      <c r="CW70" s="305">
        <f t="shared" si="614"/>
        <v>3.6234511646377365E-2</v>
      </c>
      <c r="CX70" s="718"/>
      <c r="CY70" s="402">
        <v>0</v>
      </c>
      <c r="CZ70" s="402">
        <v>0</v>
      </c>
    </row>
    <row r="71" spans="1:106" hidden="1" outlineLevel="1">
      <c r="A71" s="86"/>
      <c r="B71" s="887"/>
      <c r="C71" s="887"/>
      <c r="D71" s="887"/>
      <c r="E71" s="887"/>
      <c r="F71" s="887"/>
      <c r="G71" s="887"/>
      <c r="H71" s="887"/>
      <c r="I71" s="887"/>
      <c r="J71" s="887"/>
      <c r="K71" s="887"/>
      <c r="L71" s="887"/>
      <c r="M71" s="887"/>
      <c r="N71" s="887"/>
      <c r="O71" s="887"/>
      <c r="P71" s="887"/>
      <c r="Q71" s="887"/>
      <c r="R71" s="887"/>
      <c r="S71" s="887"/>
      <c r="T71" s="887"/>
      <c r="U71" s="887"/>
      <c r="V71" s="887"/>
      <c r="W71" s="887"/>
      <c r="X71" s="887"/>
      <c r="Y71" s="887"/>
      <c r="Z71" s="887"/>
      <c r="AA71" s="887"/>
      <c r="AB71" s="887"/>
      <c r="AC71" s="887"/>
      <c r="AD71" s="887"/>
      <c r="AE71" s="887"/>
      <c r="AF71" s="887"/>
      <c r="AG71" s="887"/>
      <c r="AH71" s="887"/>
      <c r="AI71" s="887"/>
      <c r="AJ71" s="887"/>
      <c r="AK71" s="887"/>
      <c r="AL71" s="887"/>
      <c r="AM71" s="887"/>
      <c r="AN71" s="887"/>
      <c r="AO71" s="887"/>
      <c r="AP71" s="887"/>
      <c r="AQ71" s="887"/>
      <c r="AR71" s="887"/>
      <c r="AS71" s="887"/>
      <c r="AT71" s="887"/>
      <c r="AU71" s="888"/>
      <c r="AV71" s="888"/>
      <c r="AW71" s="888"/>
      <c r="AX71" s="888"/>
      <c r="AY71" s="888"/>
      <c r="AZ71" s="888"/>
      <c r="BA71" s="888"/>
      <c r="BB71" s="888"/>
      <c r="BC71" s="888"/>
      <c r="BD71" s="888"/>
      <c r="BE71" s="888"/>
      <c r="BF71" s="888"/>
      <c r="BG71" s="888"/>
      <c r="BH71" s="888"/>
      <c r="BI71" s="888"/>
      <c r="BJ71" s="888"/>
      <c r="BK71" s="1823"/>
      <c r="BL71" s="888"/>
      <c r="BM71" s="888"/>
      <c r="BN71" s="888"/>
      <c r="BO71" s="888"/>
      <c r="BP71" s="888"/>
      <c r="BQ71" s="888"/>
      <c r="BR71" s="888"/>
      <c r="BS71" s="888"/>
      <c r="BT71" s="888"/>
      <c r="BU71" s="888"/>
      <c r="BV71" s="888"/>
      <c r="BW71" s="888"/>
      <c r="BX71" s="888"/>
      <c r="BY71" s="888"/>
      <c r="BZ71" s="888"/>
      <c r="CA71" s="888"/>
      <c r="CB71" s="888"/>
      <c r="CC71" s="888"/>
      <c r="CD71" s="888"/>
      <c r="CE71" s="888"/>
      <c r="CF71" s="888"/>
      <c r="CG71" s="888"/>
      <c r="CH71" s="888"/>
      <c r="CI71" s="888"/>
      <c r="CJ71" s="888"/>
      <c r="CK71" s="888"/>
      <c r="CL71" s="888"/>
      <c r="CM71" s="888"/>
      <c r="CN71" s="888"/>
      <c r="CO71" s="888"/>
      <c r="CP71" s="888"/>
      <c r="CQ71" s="888"/>
      <c r="CR71" s="888"/>
      <c r="CS71" s="888"/>
      <c r="CT71" s="888"/>
      <c r="CU71" s="888"/>
      <c r="CV71" s="888"/>
      <c r="CW71" s="888"/>
      <c r="CX71" s="718"/>
      <c r="CY71" s="269"/>
      <c r="CZ71" s="269"/>
    </row>
    <row r="72" spans="1:106" hidden="1" outlineLevel="1">
      <c r="A72" s="1884" t="s">
        <v>1367</v>
      </c>
      <c r="B72" s="887"/>
      <c r="C72" s="887"/>
      <c r="D72" s="887"/>
      <c r="E72" s="887"/>
      <c r="F72" s="887"/>
      <c r="G72" s="887"/>
      <c r="H72" s="887"/>
      <c r="I72" s="887"/>
      <c r="J72" s="887"/>
      <c r="K72" s="887"/>
      <c r="L72" s="887"/>
      <c r="M72" s="887"/>
      <c r="N72" s="887"/>
      <c r="O72" s="887"/>
      <c r="P72" s="887"/>
      <c r="Q72" s="887"/>
      <c r="R72" s="887"/>
      <c r="S72" s="887"/>
      <c r="T72" s="887"/>
      <c r="U72" s="887"/>
      <c r="V72" s="887"/>
      <c r="W72" s="887"/>
      <c r="X72" s="887"/>
      <c r="Y72" s="887"/>
      <c r="Z72" s="887"/>
      <c r="AA72" s="887"/>
      <c r="AB72" s="887"/>
      <c r="AC72" s="887"/>
      <c r="AD72" s="887"/>
      <c r="AE72" s="887"/>
      <c r="AF72" s="887"/>
      <c r="AG72" s="887"/>
      <c r="AH72" s="887"/>
      <c r="AI72" s="887"/>
      <c r="AJ72" s="887"/>
      <c r="AK72" s="887"/>
      <c r="AL72" s="887"/>
      <c r="AM72" s="887"/>
      <c r="AN72" s="887"/>
      <c r="AO72" s="887"/>
      <c r="AP72" s="887"/>
      <c r="AQ72" s="887"/>
      <c r="AR72" s="887"/>
      <c r="AS72" s="887"/>
      <c r="AT72" s="887"/>
      <c r="AU72" s="888"/>
      <c r="AV72" s="888"/>
      <c r="AW72" s="888"/>
      <c r="AX72" s="888"/>
      <c r="AY72" s="888"/>
      <c r="AZ72" s="888"/>
      <c r="BA72" s="888"/>
      <c r="BB72" s="888"/>
      <c r="BC72" s="888"/>
      <c r="BD72" s="888"/>
      <c r="BE72" s="888"/>
      <c r="BF72" s="888"/>
      <c r="BG72" s="888"/>
      <c r="BH72" s="888"/>
      <c r="BI72" s="888"/>
      <c r="BJ72" s="888"/>
      <c r="BK72" s="1823"/>
      <c r="BL72" s="888"/>
      <c r="BM72" s="888"/>
      <c r="BN72" s="888"/>
      <c r="BO72" s="888"/>
      <c r="BP72" s="888"/>
      <c r="BQ72" s="888"/>
      <c r="BR72" s="888"/>
      <c r="BS72" s="888"/>
      <c r="BT72" s="888"/>
      <c r="BU72" s="888"/>
      <c r="BV72" s="888"/>
      <c r="BW72" s="888"/>
      <c r="BX72" s="888"/>
      <c r="BY72" s="888"/>
      <c r="BZ72" s="888"/>
      <c r="CA72" s="888"/>
      <c r="CB72" s="888"/>
      <c r="CC72" s="888"/>
      <c r="CD72" s="888"/>
      <c r="CE72" s="888"/>
      <c r="CF72" s="888"/>
      <c r="CG72" s="888"/>
      <c r="CH72" s="888"/>
      <c r="CI72" s="888"/>
      <c r="CJ72" s="888"/>
      <c r="CK72" s="888"/>
      <c r="CL72" s="888"/>
      <c r="CM72" s="888"/>
      <c r="CN72" s="888"/>
      <c r="CO72" s="888"/>
      <c r="CP72" s="888"/>
      <c r="CQ72" s="888"/>
      <c r="CR72" s="888"/>
      <c r="CS72" s="888"/>
      <c r="CT72" s="888"/>
      <c r="CU72" s="888"/>
      <c r="CV72" s="888"/>
      <c r="CW72" s="888"/>
      <c r="CX72" s="718"/>
      <c r="CY72" s="269"/>
      <c r="CZ72" s="269"/>
    </row>
    <row r="73" spans="1:106" hidden="1" outlineLevel="1">
      <c r="A73" s="1884" t="s">
        <v>999</v>
      </c>
      <c r="B73" s="887"/>
      <c r="C73" s="887"/>
      <c r="D73" s="887"/>
      <c r="E73" s="887"/>
      <c r="F73" s="887"/>
      <c r="G73" s="887"/>
      <c r="H73" s="887"/>
      <c r="I73" s="887"/>
      <c r="J73" s="887"/>
      <c r="K73" s="887"/>
      <c r="L73" s="887"/>
      <c r="M73" s="887"/>
      <c r="N73" s="887"/>
      <c r="O73" s="887"/>
      <c r="P73" s="887"/>
      <c r="Q73" s="887"/>
      <c r="R73" s="887"/>
      <c r="S73" s="887"/>
      <c r="T73" s="887"/>
      <c r="U73" s="887"/>
      <c r="V73" s="887"/>
      <c r="W73" s="887"/>
      <c r="X73" s="887"/>
      <c r="Y73" s="887"/>
      <c r="Z73" s="887"/>
      <c r="AA73" s="887"/>
      <c r="AB73" s="887"/>
      <c r="AC73" s="887"/>
      <c r="AD73" s="887"/>
      <c r="AE73" s="887"/>
      <c r="AF73" s="887"/>
      <c r="AG73" s="887"/>
      <c r="AH73" s="887"/>
      <c r="AI73" s="887"/>
      <c r="AJ73" s="887"/>
      <c r="AK73" s="887"/>
      <c r="AL73" s="887"/>
      <c r="AM73" s="887"/>
      <c r="AN73" s="887"/>
      <c r="AO73" s="887"/>
      <c r="AP73" s="887"/>
      <c r="AQ73" s="887"/>
      <c r="AR73" s="887"/>
      <c r="AS73" s="887"/>
      <c r="AT73" s="887"/>
      <c r="AU73" s="888"/>
      <c r="AV73" s="888"/>
      <c r="AW73" s="888"/>
      <c r="AX73" s="888"/>
      <c r="AY73" s="888"/>
      <c r="AZ73" s="888"/>
      <c r="BA73" s="888"/>
      <c r="BB73" s="888"/>
      <c r="BC73" s="888"/>
      <c r="BD73" s="888"/>
      <c r="BE73" s="888"/>
      <c r="BF73" s="888"/>
      <c r="BG73" s="888"/>
      <c r="BH73" s="888"/>
      <c r="BI73" s="888"/>
      <c r="BJ73" s="888"/>
      <c r="BK73" s="1823"/>
      <c r="BL73" s="932">
        <f t="shared" ref="BL73:CJ73" si="615">CHOOSE(MASTERSWITCH,BL74,BL75,BL76)</f>
        <v>3.1E-2</v>
      </c>
      <c r="BM73" s="932">
        <f t="shared" si="615"/>
        <v>3.1E-2</v>
      </c>
      <c r="BN73" s="932">
        <f t="shared" si="615"/>
        <v>2.2000000000000002E-2</v>
      </c>
      <c r="BO73" s="932">
        <f t="shared" si="615"/>
        <v>2.2000000000000002E-2</v>
      </c>
      <c r="BP73" s="932">
        <f t="shared" si="615"/>
        <v>2.2000000000000002E-2</v>
      </c>
      <c r="BQ73" s="932">
        <f t="shared" si="615"/>
        <v>2.2000000000000002E-2</v>
      </c>
      <c r="BR73" s="932">
        <f t="shared" si="615"/>
        <v>2.2000000000000002E-2</v>
      </c>
      <c r="BS73" s="932">
        <f t="shared" si="615"/>
        <v>2.2000000000000002E-2</v>
      </c>
      <c r="BT73" s="932">
        <f t="shared" si="615"/>
        <v>2.2000000000000002E-2</v>
      </c>
      <c r="BU73" s="932">
        <f t="shared" si="615"/>
        <v>2.2000000000000002E-2</v>
      </c>
      <c r="BV73" s="932">
        <f t="shared" si="615"/>
        <v>2.2000000000000002E-2</v>
      </c>
      <c r="BW73" s="932">
        <f t="shared" si="615"/>
        <v>2.2000000000000002E-2</v>
      </c>
      <c r="BX73" s="932">
        <f t="shared" si="615"/>
        <v>2.2000000000000002E-2</v>
      </c>
      <c r="BY73" s="932">
        <f t="shared" si="615"/>
        <v>2.2000000000000002E-2</v>
      </c>
      <c r="BZ73" s="932">
        <f t="shared" si="615"/>
        <v>2.2000000000000002E-2</v>
      </c>
      <c r="CA73" s="932">
        <f t="shared" si="615"/>
        <v>2.2000000000000002E-2</v>
      </c>
      <c r="CB73" s="932">
        <f t="shared" si="615"/>
        <v>2.2000000000000002E-2</v>
      </c>
      <c r="CC73" s="932">
        <f t="shared" si="615"/>
        <v>2.2000000000000002E-2</v>
      </c>
      <c r="CD73" s="932">
        <f t="shared" si="615"/>
        <v>2.2000000000000002E-2</v>
      </c>
      <c r="CE73" s="932">
        <f t="shared" si="615"/>
        <v>2.2000000000000002E-2</v>
      </c>
      <c r="CF73" s="932">
        <f t="shared" si="615"/>
        <v>2.2000000000000002E-2</v>
      </c>
      <c r="CG73" s="932">
        <f t="shared" si="615"/>
        <v>2.2000000000000002E-2</v>
      </c>
      <c r="CH73" s="932">
        <f t="shared" si="615"/>
        <v>2.2000000000000002E-2</v>
      </c>
      <c r="CI73" s="932">
        <f t="shared" si="615"/>
        <v>2.2000000000000002E-2</v>
      </c>
      <c r="CJ73" s="932">
        <f t="shared" si="615"/>
        <v>2.2000000000000002E-2</v>
      </c>
      <c r="CK73" s="932">
        <f t="shared" ref="CK73:CW73" si="616">CHOOSE(MASTERSWITCH,CK74,CK75,CK76)</f>
        <v>2.2000000000000002E-2</v>
      </c>
      <c r="CL73" s="932">
        <f t="shared" si="616"/>
        <v>2.2000000000000002E-2</v>
      </c>
      <c r="CM73" s="932">
        <f t="shared" si="616"/>
        <v>2.2000000000000002E-2</v>
      </c>
      <c r="CN73" s="932">
        <f t="shared" si="616"/>
        <v>2.2000000000000002E-2</v>
      </c>
      <c r="CO73" s="932">
        <f t="shared" si="616"/>
        <v>2.2000000000000002E-2</v>
      </c>
      <c r="CP73" s="932">
        <f t="shared" si="616"/>
        <v>2.2000000000000002E-2</v>
      </c>
      <c r="CQ73" s="932">
        <f t="shared" si="616"/>
        <v>2.2000000000000002E-2</v>
      </c>
      <c r="CR73" s="932">
        <f t="shared" si="616"/>
        <v>2.2000000000000002E-2</v>
      </c>
      <c r="CS73" s="932">
        <f t="shared" si="616"/>
        <v>2.2000000000000002E-2</v>
      </c>
      <c r="CT73" s="932">
        <f t="shared" si="616"/>
        <v>2.2000000000000002E-2</v>
      </c>
      <c r="CU73" s="932">
        <f t="shared" si="616"/>
        <v>2.2000000000000002E-2</v>
      </c>
      <c r="CV73" s="932">
        <f t="shared" si="616"/>
        <v>2.2000000000000002E-2</v>
      </c>
      <c r="CW73" s="932">
        <f t="shared" si="616"/>
        <v>2.2000000000000002E-2</v>
      </c>
      <c r="CX73" s="718"/>
      <c r="CY73" s="269"/>
      <c r="CZ73" s="269"/>
      <c r="DB73" s="173"/>
    </row>
    <row r="74" spans="1:106" hidden="1" outlineLevel="1">
      <c r="A74" s="1885" t="s">
        <v>571</v>
      </c>
      <c r="B74" s="887"/>
      <c r="C74" s="887"/>
      <c r="D74" s="887"/>
      <c r="E74" s="887"/>
      <c r="F74" s="887"/>
      <c r="G74" s="887"/>
      <c r="H74" s="887"/>
      <c r="I74" s="887"/>
      <c r="J74" s="887"/>
      <c r="K74" s="887"/>
      <c r="L74" s="887"/>
      <c r="M74" s="887"/>
      <c r="N74" s="887"/>
      <c r="O74" s="887"/>
      <c r="P74" s="887"/>
      <c r="Q74" s="887"/>
      <c r="R74" s="887"/>
      <c r="S74" s="887"/>
      <c r="T74" s="887"/>
      <c r="U74" s="887"/>
      <c r="V74" s="887"/>
      <c r="W74" s="887"/>
      <c r="X74" s="887"/>
      <c r="Y74" s="887"/>
      <c r="Z74" s="887"/>
      <c r="AA74" s="887"/>
      <c r="AB74" s="887"/>
      <c r="AC74" s="887"/>
      <c r="AD74" s="887"/>
      <c r="AE74" s="887"/>
      <c r="AF74" s="887"/>
      <c r="AG74" s="887"/>
      <c r="AH74" s="887"/>
      <c r="AI74" s="887"/>
      <c r="AJ74" s="887"/>
      <c r="AK74" s="887"/>
      <c r="AL74" s="887"/>
      <c r="AM74" s="887"/>
      <c r="AN74" s="887"/>
      <c r="AO74" s="887"/>
      <c r="AP74" s="887"/>
      <c r="AQ74" s="887"/>
      <c r="AR74" s="887"/>
      <c r="AS74" s="887"/>
      <c r="AT74" s="887"/>
      <c r="AU74" s="888"/>
      <c r="AV74" s="888"/>
      <c r="AW74" s="888"/>
      <c r="AX74" s="888"/>
      <c r="AY74" s="888"/>
      <c r="AZ74" s="888"/>
      <c r="BA74" s="888"/>
      <c r="BB74" s="888"/>
      <c r="BC74" s="888"/>
      <c r="BD74" s="888"/>
      <c r="BE74" s="888"/>
      <c r="BF74" s="888"/>
      <c r="BG74" s="888"/>
      <c r="BH74" s="888"/>
      <c r="BI74" s="888"/>
      <c r="BJ74" s="888"/>
      <c r="BK74" s="1823"/>
      <c r="BL74" s="305">
        <f t="shared" ref="BL74:BQ74" si="617">BL75+$CY74</f>
        <v>3.1E-2</v>
      </c>
      <c r="BM74" s="305">
        <f t="shared" si="617"/>
        <v>3.1E-2</v>
      </c>
      <c r="BN74" s="305">
        <f t="shared" si="617"/>
        <v>2.2000000000000002E-2</v>
      </c>
      <c r="BO74" s="305">
        <f t="shared" si="617"/>
        <v>2.2000000000000002E-2</v>
      </c>
      <c r="BP74" s="305">
        <f t="shared" si="617"/>
        <v>2.2000000000000002E-2</v>
      </c>
      <c r="BQ74" s="305">
        <f t="shared" si="617"/>
        <v>2.2000000000000002E-2</v>
      </c>
      <c r="BR74" s="305">
        <f t="shared" ref="BR74:CJ74" si="618">BR75+$CZ74</f>
        <v>2.2000000000000002E-2</v>
      </c>
      <c r="BS74" s="305">
        <f t="shared" si="618"/>
        <v>2.2000000000000002E-2</v>
      </c>
      <c r="BT74" s="305">
        <f t="shared" si="618"/>
        <v>2.2000000000000002E-2</v>
      </c>
      <c r="BU74" s="305">
        <f t="shared" si="618"/>
        <v>2.2000000000000002E-2</v>
      </c>
      <c r="BV74" s="305">
        <f t="shared" si="618"/>
        <v>2.2000000000000002E-2</v>
      </c>
      <c r="BW74" s="305">
        <f t="shared" si="618"/>
        <v>2.2000000000000002E-2</v>
      </c>
      <c r="BX74" s="305">
        <f t="shared" si="618"/>
        <v>2.2000000000000002E-2</v>
      </c>
      <c r="BY74" s="305">
        <f t="shared" si="618"/>
        <v>2.2000000000000002E-2</v>
      </c>
      <c r="BZ74" s="305">
        <f t="shared" si="618"/>
        <v>2.2000000000000002E-2</v>
      </c>
      <c r="CA74" s="305">
        <f t="shared" si="618"/>
        <v>2.2000000000000002E-2</v>
      </c>
      <c r="CB74" s="305">
        <f t="shared" si="618"/>
        <v>2.2000000000000002E-2</v>
      </c>
      <c r="CC74" s="305">
        <f t="shared" si="618"/>
        <v>2.2000000000000002E-2</v>
      </c>
      <c r="CD74" s="305">
        <f t="shared" si="618"/>
        <v>2.2000000000000002E-2</v>
      </c>
      <c r="CE74" s="305">
        <f t="shared" si="618"/>
        <v>2.2000000000000002E-2</v>
      </c>
      <c r="CF74" s="305">
        <f t="shared" si="618"/>
        <v>2.2000000000000002E-2</v>
      </c>
      <c r="CG74" s="305">
        <f t="shared" si="618"/>
        <v>2.2000000000000002E-2</v>
      </c>
      <c r="CH74" s="305">
        <f t="shared" si="618"/>
        <v>2.2000000000000002E-2</v>
      </c>
      <c r="CI74" s="305">
        <f t="shared" si="618"/>
        <v>2.2000000000000002E-2</v>
      </c>
      <c r="CJ74" s="305">
        <f t="shared" si="618"/>
        <v>2.2000000000000002E-2</v>
      </c>
      <c r="CK74" s="305">
        <f t="shared" ref="CK74:CW74" si="619">CK75+$CZ74</f>
        <v>2.2000000000000002E-2</v>
      </c>
      <c r="CL74" s="305">
        <f t="shared" si="619"/>
        <v>2.2000000000000002E-2</v>
      </c>
      <c r="CM74" s="305">
        <f t="shared" si="619"/>
        <v>2.2000000000000002E-2</v>
      </c>
      <c r="CN74" s="305">
        <f t="shared" si="619"/>
        <v>2.2000000000000002E-2</v>
      </c>
      <c r="CO74" s="305">
        <f t="shared" si="619"/>
        <v>2.2000000000000002E-2</v>
      </c>
      <c r="CP74" s="305">
        <f t="shared" si="619"/>
        <v>2.2000000000000002E-2</v>
      </c>
      <c r="CQ74" s="305">
        <f t="shared" si="619"/>
        <v>2.2000000000000002E-2</v>
      </c>
      <c r="CR74" s="305">
        <f t="shared" si="619"/>
        <v>2.2000000000000002E-2</v>
      </c>
      <c r="CS74" s="305">
        <f t="shared" si="619"/>
        <v>2.2000000000000002E-2</v>
      </c>
      <c r="CT74" s="305">
        <f t="shared" si="619"/>
        <v>2.2000000000000002E-2</v>
      </c>
      <c r="CU74" s="305">
        <f t="shared" si="619"/>
        <v>2.2000000000000002E-2</v>
      </c>
      <c r="CV74" s="305">
        <f t="shared" si="619"/>
        <v>2.2000000000000002E-2</v>
      </c>
      <c r="CW74" s="305">
        <f t="shared" si="619"/>
        <v>2.2000000000000002E-2</v>
      </c>
      <c r="CX74" s="718"/>
      <c r="CY74" s="269"/>
      <c r="CZ74" s="269"/>
    </row>
    <row r="75" spans="1:106" hidden="1" outlineLevel="1">
      <c r="A75" s="1885" t="s">
        <v>200</v>
      </c>
      <c r="B75" s="887"/>
      <c r="C75" s="887"/>
      <c r="D75" s="887"/>
      <c r="E75" s="887"/>
      <c r="F75" s="887"/>
      <c r="G75" s="887"/>
      <c r="H75" s="887"/>
      <c r="I75" s="887"/>
      <c r="J75" s="887"/>
      <c r="K75" s="887"/>
      <c r="L75" s="887"/>
      <c r="M75" s="887"/>
      <c r="N75" s="887"/>
      <c r="O75" s="887"/>
      <c r="P75" s="887"/>
      <c r="Q75" s="887"/>
      <c r="R75" s="887"/>
      <c r="S75" s="887"/>
      <c r="T75" s="887"/>
      <c r="U75" s="887"/>
      <c r="V75" s="887"/>
      <c r="W75" s="887"/>
      <c r="X75" s="887"/>
      <c r="Y75" s="887"/>
      <c r="Z75" s="887"/>
      <c r="AA75" s="887"/>
      <c r="AB75" s="887"/>
      <c r="AC75" s="887"/>
      <c r="AD75" s="887"/>
      <c r="AE75" s="887"/>
      <c r="AF75" s="887"/>
      <c r="AG75" s="887"/>
      <c r="AH75" s="887"/>
      <c r="AI75" s="887"/>
      <c r="AJ75" s="887"/>
      <c r="AK75" s="887"/>
      <c r="AL75" s="887"/>
      <c r="AM75" s="887"/>
      <c r="AN75" s="887"/>
      <c r="AO75" s="887"/>
      <c r="AP75" s="887"/>
      <c r="AQ75" s="887"/>
      <c r="AR75" s="887"/>
      <c r="AS75" s="887"/>
      <c r="AT75" s="887"/>
      <c r="AU75" s="888"/>
      <c r="AV75" s="888"/>
      <c r="AW75" s="888"/>
      <c r="AX75" s="888"/>
      <c r="AY75" s="888"/>
      <c r="AZ75" s="888"/>
      <c r="BA75" s="888"/>
      <c r="BB75" s="888"/>
      <c r="BC75" s="888"/>
      <c r="BD75" s="888"/>
      <c r="BE75" s="888"/>
      <c r="BF75" s="888"/>
      <c r="BG75" s="888"/>
      <c r="BH75" s="888"/>
      <c r="BI75" s="888"/>
      <c r="BJ75" s="888"/>
      <c r="BK75" s="1823"/>
      <c r="BL75" s="560">
        <v>3.1E-2</v>
      </c>
      <c r="BM75" s="560">
        <v>3.1E-2</v>
      </c>
      <c r="BN75" s="560">
        <v>2.2000000000000002E-2</v>
      </c>
      <c r="BO75" s="560">
        <v>2.2000000000000002E-2</v>
      </c>
      <c r="BP75" s="560">
        <v>2.2000000000000002E-2</v>
      </c>
      <c r="BQ75" s="560">
        <v>2.2000000000000002E-2</v>
      </c>
      <c r="BR75" s="1784">
        <f>+BQ75</f>
        <v>2.2000000000000002E-2</v>
      </c>
      <c r="BS75" s="1784">
        <f t="shared" ref="BS75" si="620">+BR75</f>
        <v>2.2000000000000002E-2</v>
      </c>
      <c r="BT75" s="1784">
        <f t="shared" ref="BT75" si="621">+BS75</f>
        <v>2.2000000000000002E-2</v>
      </c>
      <c r="BU75" s="1784">
        <f t="shared" ref="BU75" si="622">+BT75</f>
        <v>2.2000000000000002E-2</v>
      </c>
      <c r="BV75" s="1784">
        <f t="shared" ref="BV75" si="623">+BU75</f>
        <v>2.2000000000000002E-2</v>
      </c>
      <c r="BW75" s="1784">
        <f t="shared" ref="BW75" si="624">+BV75</f>
        <v>2.2000000000000002E-2</v>
      </c>
      <c r="BX75" s="1784">
        <f t="shared" ref="BX75" si="625">+BW75</f>
        <v>2.2000000000000002E-2</v>
      </c>
      <c r="BY75" s="1784">
        <f t="shared" ref="BY75" si="626">+BX75</f>
        <v>2.2000000000000002E-2</v>
      </c>
      <c r="BZ75" s="1784">
        <f t="shared" ref="BZ75" si="627">+BY75</f>
        <v>2.2000000000000002E-2</v>
      </c>
      <c r="CA75" s="1784">
        <f t="shared" ref="CA75" si="628">+BZ75</f>
        <v>2.2000000000000002E-2</v>
      </c>
      <c r="CB75" s="1784">
        <f t="shared" ref="CB75" si="629">+CA75</f>
        <v>2.2000000000000002E-2</v>
      </c>
      <c r="CC75" s="1784">
        <f t="shared" ref="CC75" si="630">+CB75</f>
        <v>2.2000000000000002E-2</v>
      </c>
      <c r="CD75" s="1784">
        <f t="shared" ref="CD75" si="631">+CC75</f>
        <v>2.2000000000000002E-2</v>
      </c>
      <c r="CE75" s="1784">
        <f t="shared" ref="CE75" si="632">+CD75</f>
        <v>2.2000000000000002E-2</v>
      </c>
      <c r="CF75" s="1784">
        <f t="shared" ref="CF75" si="633">+CE75</f>
        <v>2.2000000000000002E-2</v>
      </c>
      <c r="CG75" s="1784">
        <f t="shared" ref="CG75" si="634">+CF75</f>
        <v>2.2000000000000002E-2</v>
      </c>
      <c r="CH75" s="1784">
        <f t="shared" ref="CH75" si="635">+CG75</f>
        <v>2.2000000000000002E-2</v>
      </c>
      <c r="CI75" s="1784">
        <f t="shared" ref="CI75" si="636">+CH75</f>
        <v>2.2000000000000002E-2</v>
      </c>
      <c r="CJ75" s="1784">
        <f t="shared" ref="CJ75" si="637">+CI75</f>
        <v>2.2000000000000002E-2</v>
      </c>
      <c r="CK75" s="1784">
        <f t="shared" ref="CK75" si="638">+CJ75</f>
        <v>2.2000000000000002E-2</v>
      </c>
      <c r="CL75" s="1784">
        <f t="shared" ref="CL75" si="639">+CK75</f>
        <v>2.2000000000000002E-2</v>
      </c>
      <c r="CM75" s="1784">
        <f t="shared" ref="CM75" si="640">+CL75</f>
        <v>2.2000000000000002E-2</v>
      </c>
      <c r="CN75" s="1784">
        <f t="shared" ref="CN75" si="641">+CM75</f>
        <v>2.2000000000000002E-2</v>
      </c>
      <c r="CO75" s="1784">
        <f t="shared" ref="CO75" si="642">+CN75</f>
        <v>2.2000000000000002E-2</v>
      </c>
      <c r="CP75" s="1784">
        <f t="shared" ref="CP75" si="643">+CO75</f>
        <v>2.2000000000000002E-2</v>
      </c>
      <c r="CQ75" s="1784">
        <f t="shared" ref="CQ75" si="644">+CP75</f>
        <v>2.2000000000000002E-2</v>
      </c>
      <c r="CR75" s="1784">
        <f t="shared" ref="CR75" si="645">+CQ75</f>
        <v>2.2000000000000002E-2</v>
      </c>
      <c r="CS75" s="1784">
        <f t="shared" ref="CS75" si="646">+CR75</f>
        <v>2.2000000000000002E-2</v>
      </c>
      <c r="CT75" s="1784">
        <f t="shared" ref="CT75" si="647">+CS75</f>
        <v>2.2000000000000002E-2</v>
      </c>
      <c r="CU75" s="1784">
        <f t="shared" ref="CU75" si="648">+CT75</f>
        <v>2.2000000000000002E-2</v>
      </c>
      <c r="CV75" s="1784">
        <f t="shared" ref="CV75" si="649">+CU75</f>
        <v>2.2000000000000002E-2</v>
      </c>
      <c r="CW75" s="1784">
        <f t="shared" ref="CW75" si="650">+CV75</f>
        <v>2.2000000000000002E-2</v>
      </c>
      <c r="CX75" s="718"/>
      <c r="CY75" s="269"/>
      <c r="CZ75" s="269"/>
    </row>
    <row r="76" spans="1:106" hidden="1" outlineLevel="1">
      <c r="A76" s="1885" t="s">
        <v>202</v>
      </c>
      <c r="B76" s="887"/>
      <c r="C76" s="887"/>
      <c r="D76" s="887"/>
      <c r="E76" s="887"/>
      <c r="F76" s="887"/>
      <c r="G76" s="887"/>
      <c r="H76" s="887"/>
      <c r="I76" s="887"/>
      <c r="J76" s="887"/>
      <c r="K76" s="887"/>
      <c r="L76" s="887"/>
      <c r="M76" s="887"/>
      <c r="N76" s="887"/>
      <c r="O76" s="887"/>
      <c r="P76" s="887"/>
      <c r="Q76" s="887"/>
      <c r="R76" s="887"/>
      <c r="S76" s="887"/>
      <c r="T76" s="887"/>
      <c r="U76" s="887"/>
      <c r="V76" s="887"/>
      <c r="W76" s="887"/>
      <c r="X76" s="887"/>
      <c r="Y76" s="887"/>
      <c r="Z76" s="887"/>
      <c r="AA76" s="887"/>
      <c r="AB76" s="887"/>
      <c r="AC76" s="887"/>
      <c r="AD76" s="887"/>
      <c r="AE76" s="887"/>
      <c r="AF76" s="887"/>
      <c r="AG76" s="887"/>
      <c r="AH76" s="887"/>
      <c r="AI76" s="887"/>
      <c r="AJ76" s="887"/>
      <c r="AK76" s="887"/>
      <c r="AL76" s="887"/>
      <c r="AM76" s="887"/>
      <c r="AN76" s="887"/>
      <c r="AO76" s="887"/>
      <c r="AP76" s="887"/>
      <c r="AQ76" s="887"/>
      <c r="AR76" s="887"/>
      <c r="AS76" s="887"/>
      <c r="AT76" s="887"/>
      <c r="AU76" s="888"/>
      <c r="AV76" s="888"/>
      <c r="AW76" s="888"/>
      <c r="AX76" s="888"/>
      <c r="AY76" s="888"/>
      <c r="AZ76" s="888"/>
      <c r="BA76" s="888"/>
      <c r="BB76" s="888"/>
      <c r="BC76" s="888"/>
      <c r="BD76" s="888"/>
      <c r="BE76" s="888"/>
      <c r="BF76" s="888"/>
      <c r="BG76" s="888"/>
      <c r="BH76" s="888"/>
      <c r="BI76" s="888"/>
      <c r="BJ76" s="888"/>
      <c r="BK76" s="1823"/>
      <c r="BL76" s="305">
        <f t="shared" ref="BL76:BQ76" si="651">BL75+$CY76</f>
        <v>3.1E-2</v>
      </c>
      <c r="BM76" s="305">
        <f t="shared" si="651"/>
        <v>3.1E-2</v>
      </c>
      <c r="BN76" s="305">
        <f t="shared" si="651"/>
        <v>2.2000000000000002E-2</v>
      </c>
      <c r="BO76" s="305">
        <f t="shared" si="651"/>
        <v>2.2000000000000002E-2</v>
      </c>
      <c r="BP76" s="305">
        <f t="shared" si="651"/>
        <v>2.2000000000000002E-2</v>
      </c>
      <c r="BQ76" s="305">
        <f t="shared" si="651"/>
        <v>2.2000000000000002E-2</v>
      </c>
      <c r="BR76" s="305">
        <f t="shared" ref="BR76:CJ76" si="652">BR75+$CZ76</f>
        <v>2.2000000000000002E-2</v>
      </c>
      <c r="BS76" s="305">
        <f t="shared" si="652"/>
        <v>2.2000000000000002E-2</v>
      </c>
      <c r="BT76" s="305">
        <f t="shared" si="652"/>
        <v>2.2000000000000002E-2</v>
      </c>
      <c r="BU76" s="305">
        <f t="shared" si="652"/>
        <v>2.2000000000000002E-2</v>
      </c>
      <c r="BV76" s="305">
        <f t="shared" si="652"/>
        <v>2.2000000000000002E-2</v>
      </c>
      <c r="BW76" s="305">
        <f t="shared" si="652"/>
        <v>2.2000000000000002E-2</v>
      </c>
      <c r="BX76" s="305">
        <f t="shared" si="652"/>
        <v>2.2000000000000002E-2</v>
      </c>
      <c r="BY76" s="305">
        <f t="shared" si="652"/>
        <v>2.2000000000000002E-2</v>
      </c>
      <c r="BZ76" s="305">
        <f t="shared" si="652"/>
        <v>2.2000000000000002E-2</v>
      </c>
      <c r="CA76" s="305">
        <f t="shared" si="652"/>
        <v>2.2000000000000002E-2</v>
      </c>
      <c r="CB76" s="305">
        <f t="shared" si="652"/>
        <v>2.2000000000000002E-2</v>
      </c>
      <c r="CC76" s="305">
        <f t="shared" si="652"/>
        <v>2.2000000000000002E-2</v>
      </c>
      <c r="CD76" s="305">
        <f t="shared" si="652"/>
        <v>2.2000000000000002E-2</v>
      </c>
      <c r="CE76" s="305">
        <f t="shared" si="652"/>
        <v>2.2000000000000002E-2</v>
      </c>
      <c r="CF76" s="305">
        <f t="shared" si="652"/>
        <v>2.2000000000000002E-2</v>
      </c>
      <c r="CG76" s="305">
        <f t="shared" si="652"/>
        <v>2.2000000000000002E-2</v>
      </c>
      <c r="CH76" s="305">
        <f t="shared" si="652"/>
        <v>2.2000000000000002E-2</v>
      </c>
      <c r="CI76" s="305">
        <f t="shared" si="652"/>
        <v>2.2000000000000002E-2</v>
      </c>
      <c r="CJ76" s="305">
        <f t="shared" si="652"/>
        <v>2.2000000000000002E-2</v>
      </c>
      <c r="CK76" s="305">
        <f t="shared" ref="CK76:CW76" si="653">CK75+$CZ76</f>
        <v>2.2000000000000002E-2</v>
      </c>
      <c r="CL76" s="305">
        <f t="shared" si="653"/>
        <v>2.2000000000000002E-2</v>
      </c>
      <c r="CM76" s="305">
        <f t="shared" si="653"/>
        <v>2.2000000000000002E-2</v>
      </c>
      <c r="CN76" s="305">
        <f t="shared" si="653"/>
        <v>2.2000000000000002E-2</v>
      </c>
      <c r="CO76" s="305">
        <f t="shared" si="653"/>
        <v>2.2000000000000002E-2</v>
      </c>
      <c r="CP76" s="305">
        <f t="shared" si="653"/>
        <v>2.2000000000000002E-2</v>
      </c>
      <c r="CQ76" s="305">
        <f t="shared" si="653"/>
        <v>2.2000000000000002E-2</v>
      </c>
      <c r="CR76" s="305">
        <f t="shared" si="653"/>
        <v>2.2000000000000002E-2</v>
      </c>
      <c r="CS76" s="305">
        <f t="shared" si="653"/>
        <v>2.2000000000000002E-2</v>
      </c>
      <c r="CT76" s="305">
        <f t="shared" si="653"/>
        <v>2.2000000000000002E-2</v>
      </c>
      <c r="CU76" s="305">
        <f t="shared" si="653"/>
        <v>2.2000000000000002E-2</v>
      </c>
      <c r="CV76" s="305">
        <f t="shared" si="653"/>
        <v>2.2000000000000002E-2</v>
      </c>
      <c r="CW76" s="305">
        <f t="shared" si="653"/>
        <v>2.2000000000000002E-2</v>
      </c>
      <c r="CX76" s="718"/>
      <c r="CY76" s="269"/>
      <c r="CZ76" s="269"/>
    </row>
    <row r="77" spans="1:106" hidden="1" outlineLevel="1">
      <c r="A77" s="1885"/>
      <c r="B77" s="887"/>
      <c r="C77" s="887"/>
      <c r="D77" s="887"/>
      <c r="E77" s="887"/>
      <c r="F77" s="887"/>
      <c r="G77" s="887"/>
      <c r="H77" s="887"/>
      <c r="I77" s="887"/>
      <c r="J77" s="887"/>
      <c r="K77" s="887"/>
      <c r="L77" s="887"/>
      <c r="M77" s="887"/>
      <c r="N77" s="887"/>
      <c r="O77" s="887"/>
      <c r="P77" s="887"/>
      <c r="Q77" s="887"/>
      <c r="R77" s="887"/>
      <c r="S77" s="887"/>
      <c r="T77" s="887"/>
      <c r="U77" s="887"/>
      <c r="V77" s="887"/>
      <c r="W77" s="887"/>
      <c r="X77" s="887"/>
      <c r="Y77" s="887"/>
      <c r="Z77" s="887"/>
      <c r="AA77" s="887"/>
      <c r="AB77" s="887"/>
      <c r="AC77" s="887"/>
      <c r="AD77" s="887"/>
      <c r="AE77" s="887"/>
      <c r="AF77" s="887"/>
      <c r="AG77" s="887"/>
      <c r="AH77" s="887"/>
      <c r="AI77" s="887"/>
      <c r="AJ77" s="887"/>
      <c r="AK77" s="887"/>
      <c r="AL77" s="887"/>
      <c r="AM77" s="887"/>
      <c r="AN77" s="887"/>
      <c r="AO77" s="887"/>
      <c r="AP77" s="887"/>
      <c r="AQ77" s="887"/>
      <c r="AR77" s="887"/>
      <c r="AS77" s="887"/>
      <c r="AT77" s="887"/>
      <c r="AU77" s="888"/>
      <c r="AV77" s="888"/>
      <c r="AW77" s="888"/>
      <c r="AX77" s="888"/>
      <c r="AY77" s="888"/>
      <c r="AZ77" s="888"/>
      <c r="BA77" s="888"/>
      <c r="BB77" s="888"/>
      <c r="BC77" s="888"/>
      <c r="BD77" s="888"/>
      <c r="BE77" s="888"/>
      <c r="BF77" s="888"/>
      <c r="BG77" s="888"/>
      <c r="BH77" s="888"/>
      <c r="BI77" s="888"/>
      <c r="BJ77" s="888"/>
      <c r="BK77" s="1823"/>
      <c r="BL77" s="888"/>
      <c r="BM77" s="888"/>
      <c r="BN77" s="888"/>
      <c r="BO77" s="888"/>
      <c r="BP77" s="888"/>
      <c r="BQ77" s="888"/>
      <c r="BR77" s="888"/>
      <c r="BS77" s="888"/>
      <c r="BT77" s="888"/>
      <c r="BU77" s="888"/>
      <c r="BV77" s="888"/>
      <c r="BW77" s="888"/>
      <c r="BX77" s="888"/>
      <c r="BY77" s="888"/>
      <c r="BZ77" s="888"/>
      <c r="CA77" s="888"/>
      <c r="CB77" s="888"/>
      <c r="CC77" s="888"/>
      <c r="CD77" s="888"/>
      <c r="CE77" s="888"/>
      <c r="CF77" s="888"/>
      <c r="CG77" s="888"/>
      <c r="CH77" s="888"/>
      <c r="CI77" s="888"/>
      <c r="CJ77" s="888"/>
      <c r="CK77" s="888"/>
      <c r="CL77" s="888"/>
      <c r="CM77" s="888"/>
      <c r="CN77" s="888"/>
      <c r="CO77" s="888"/>
      <c r="CP77" s="888"/>
      <c r="CQ77" s="888"/>
      <c r="CR77" s="888"/>
      <c r="CS77" s="888"/>
      <c r="CT77" s="888"/>
      <c r="CU77" s="888"/>
      <c r="CV77" s="888"/>
      <c r="CW77" s="888"/>
      <c r="CX77" s="718"/>
      <c r="CY77" s="269"/>
      <c r="CZ77" s="269"/>
    </row>
    <row r="78" spans="1:106" collapsed="1">
      <c r="A78" s="472" t="s">
        <v>765</v>
      </c>
      <c r="B78" s="601">
        <f t="shared" ref="B78:AG78" si="654">B$8</f>
        <v>39903</v>
      </c>
      <c r="C78" s="601">
        <f t="shared" si="654"/>
        <v>39994</v>
      </c>
      <c r="D78" s="601">
        <f t="shared" si="654"/>
        <v>40086</v>
      </c>
      <c r="E78" s="601">
        <f t="shared" si="654"/>
        <v>40178</v>
      </c>
      <c r="F78" s="601">
        <f t="shared" si="654"/>
        <v>40268</v>
      </c>
      <c r="G78" s="601">
        <f t="shared" si="654"/>
        <v>40359</v>
      </c>
      <c r="H78" s="601">
        <f t="shared" si="654"/>
        <v>40451</v>
      </c>
      <c r="I78" s="601">
        <f t="shared" si="654"/>
        <v>40543</v>
      </c>
      <c r="J78" s="601">
        <f t="shared" si="654"/>
        <v>40633</v>
      </c>
      <c r="K78" s="601">
        <f t="shared" si="654"/>
        <v>40724</v>
      </c>
      <c r="L78" s="601">
        <f t="shared" si="654"/>
        <v>40816</v>
      </c>
      <c r="M78" s="601">
        <f t="shared" si="654"/>
        <v>40908</v>
      </c>
      <c r="N78" s="601">
        <f t="shared" si="654"/>
        <v>40999</v>
      </c>
      <c r="O78" s="601">
        <f t="shared" si="654"/>
        <v>41090</v>
      </c>
      <c r="P78" s="601">
        <f t="shared" si="654"/>
        <v>41182</v>
      </c>
      <c r="Q78" s="601">
        <f t="shared" si="654"/>
        <v>41274</v>
      </c>
      <c r="R78" s="601">
        <f t="shared" si="654"/>
        <v>41364</v>
      </c>
      <c r="S78" s="601">
        <f t="shared" si="654"/>
        <v>41455</v>
      </c>
      <c r="T78" s="601">
        <f t="shared" si="654"/>
        <v>41547</v>
      </c>
      <c r="U78" s="601">
        <f t="shared" si="654"/>
        <v>41639</v>
      </c>
      <c r="V78" s="601">
        <f t="shared" si="654"/>
        <v>41729</v>
      </c>
      <c r="W78" s="601">
        <f t="shared" si="654"/>
        <v>41820</v>
      </c>
      <c r="X78" s="601">
        <f t="shared" si="654"/>
        <v>41912</v>
      </c>
      <c r="Y78" s="601">
        <f t="shared" si="654"/>
        <v>42004</v>
      </c>
      <c r="Z78" s="601">
        <f t="shared" si="654"/>
        <v>42094</v>
      </c>
      <c r="AA78" s="601">
        <f t="shared" si="654"/>
        <v>42185</v>
      </c>
      <c r="AB78" s="601">
        <f t="shared" si="654"/>
        <v>42277</v>
      </c>
      <c r="AC78" s="601">
        <f t="shared" si="654"/>
        <v>42369</v>
      </c>
      <c r="AD78" s="601">
        <f t="shared" si="654"/>
        <v>42460</v>
      </c>
      <c r="AE78" s="601">
        <f t="shared" si="654"/>
        <v>42551</v>
      </c>
      <c r="AF78" s="601">
        <f t="shared" si="654"/>
        <v>42643</v>
      </c>
      <c r="AG78" s="601">
        <f t="shared" si="654"/>
        <v>42735</v>
      </c>
      <c r="AH78" s="601">
        <f t="shared" ref="AH78:CW78" si="655">AH$8</f>
        <v>42825</v>
      </c>
      <c r="AI78" s="601">
        <f t="shared" si="655"/>
        <v>42916</v>
      </c>
      <c r="AJ78" s="601">
        <f t="shared" si="655"/>
        <v>43008</v>
      </c>
      <c r="AK78" s="601">
        <f t="shared" si="655"/>
        <v>43100</v>
      </c>
      <c r="AL78" s="601">
        <f t="shared" si="655"/>
        <v>43190</v>
      </c>
      <c r="AM78" s="601">
        <f t="shared" si="655"/>
        <v>43281</v>
      </c>
      <c r="AN78" s="601">
        <f t="shared" si="655"/>
        <v>43373</v>
      </c>
      <c r="AO78" s="601">
        <f t="shared" si="655"/>
        <v>43465</v>
      </c>
      <c r="AP78" s="601">
        <f t="shared" si="655"/>
        <v>43555</v>
      </c>
      <c r="AQ78" s="601">
        <f t="shared" si="655"/>
        <v>43646</v>
      </c>
      <c r="AR78" s="601">
        <f t="shared" si="655"/>
        <v>43738</v>
      </c>
      <c r="AS78" s="601">
        <f t="shared" si="655"/>
        <v>43830</v>
      </c>
      <c r="AT78" s="601">
        <f t="shared" si="655"/>
        <v>43921</v>
      </c>
      <c r="AU78" s="601">
        <f t="shared" si="655"/>
        <v>44012</v>
      </c>
      <c r="AV78" s="601">
        <f t="shared" si="655"/>
        <v>44104</v>
      </c>
      <c r="AW78" s="601">
        <f t="shared" si="655"/>
        <v>44196</v>
      </c>
      <c r="AX78" s="601">
        <f t="shared" si="655"/>
        <v>44286</v>
      </c>
      <c r="AY78" s="601">
        <f t="shared" si="655"/>
        <v>44377</v>
      </c>
      <c r="AZ78" s="601">
        <f t="shared" si="655"/>
        <v>44469</v>
      </c>
      <c r="BA78" s="601">
        <f t="shared" si="655"/>
        <v>44561</v>
      </c>
      <c r="BB78" s="601">
        <f t="shared" si="655"/>
        <v>44651</v>
      </c>
      <c r="BC78" s="601">
        <f t="shared" si="655"/>
        <v>44742</v>
      </c>
      <c r="BD78" s="601">
        <f t="shared" si="655"/>
        <v>44834</v>
      </c>
      <c r="BE78" s="601">
        <f t="shared" si="655"/>
        <v>44926</v>
      </c>
      <c r="BF78" s="601">
        <f t="shared" si="655"/>
        <v>45016</v>
      </c>
      <c r="BG78" s="601">
        <f t="shared" si="655"/>
        <v>45107</v>
      </c>
      <c r="BH78" s="601">
        <f t="shared" si="655"/>
        <v>45199</v>
      </c>
      <c r="BI78" s="601">
        <f t="shared" si="655"/>
        <v>45291</v>
      </c>
      <c r="BJ78" s="601">
        <f t="shared" si="655"/>
        <v>45382</v>
      </c>
      <c r="BK78" s="1172">
        <f t="shared" si="655"/>
        <v>45473</v>
      </c>
      <c r="BL78" s="600">
        <f t="shared" si="655"/>
        <v>45565</v>
      </c>
      <c r="BM78" s="600">
        <f t="shared" si="655"/>
        <v>45657</v>
      </c>
      <c r="BN78" s="600">
        <f t="shared" si="655"/>
        <v>45747</v>
      </c>
      <c r="BO78" s="600">
        <f t="shared" si="655"/>
        <v>45838</v>
      </c>
      <c r="BP78" s="600">
        <f t="shared" si="655"/>
        <v>45930</v>
      </c>
      <c r="BQ78" s="600">
        <f t="shared" si="655"/>
        <v>46022</v>
      </c>
      <c r="BR78" s="600">
        <f t="shared" si="655"/>
        <v>46112</v>
      </c>
      <c r="BS78" s="600">
        <f t="shared" si="655"/>
        <v>46203</v>
      </c>
      <c r="BT78" s="600">
        <f t="shared" si="655"/>
        <v>46295</v>
      </c>
      <c r="BU78" s="600">
        <f t="shared" si="655"/>
        <v>46387</v>
      </c>
      <c r="BV78" s="600">
        <f t="shared" si="655"/>
        <v>46477</v>
      </c>
      <c r="BW78" s="600">
        <f t="shared" si="655"/>
        <v>46568</v>
      </c>
      <c r="BX78" s="600">
        <f t="shared" si="655"/>
        <v>46660</v>
      </c>
      <c r="BY78" s="600">
        <f t="shared" si="655"/>
        <v>46752</v>
      </c>
      <c r="BZ78" s="600">
        <f t="shared" si="655"/>
        <v>46843</v>
      </c>
      <c r="CA78" s="600">
        <f t="shared" si="655"/>
        <v>46934</v>
      </c>
      <c r="CB78" s="600">
        <f t="shared" si="655"/>
        <v>47026</v>
      </c>
      <c r="CC78" s="600">
        <f t="shared" si="655"/>
        <v>47118</v>
      </c>
      <c r="CD78" s="600">
        <f t="shared" si="655"/>
        <v>47208</v>
      </c>
      <c r="CE78" s="600">
        <f t="shared" si="655"/>
        <v>47299</v>
      </c>
      <c r="CF78" s="600">
        <f t="shared" si="655"/>
        <v>47391</v>
      </c>
      <c r="CG78" s="600">
        <f t="shared" si="655"/>
        <v>47483</v>
      </c>
      <c r="CH78" s="600">
        <f t="shared" si="655"/>
        <v>47573</v>
      </c>
      <c r="CI78" s="600">
        <f t="shared" si="655"/>
        <v>47664</v>
      </c>
      <c r="CJ78" s="600">
        <f t="shared" si="655"/>
        <v>47756</v>
      </c>
      <c r="CK78" s="600">
        <f t="shared" si="655"/>
        <v>47848</v>
      </c>
      <c r="CL78" s="600">
        <f t="shared" si="655"/>
        <v>47938</v>
      </c>
      <c r="CM78" s="600">
        <f t="shared" si="655"/>
        <v>48029</v>
      </c>
      <c r="CN78" s="600">
        <f t="shared" si="655"/>
        <v>48121</v>
      </c>
      <c r="CO78" s="600">
        <f t="shared" si="655"/>
        <v>48213</v>
      </c>
      <c r="CP78" s="600">
        <f t="shared" si="655"/>
        <v>48304</v>
      </c>
      <c r="CQ78" s="600">
        <f t="shared" si="655"/>
        <v>48395</v>
      </c>
      <c r="CR78" s="600">
        <f t="shared" si="655"/>
        <v>48487</v>
      </c>
      <c r="CS78" s="600">
        <f t="shared" si="655"/>
        <v>48579</v>
      </c>
      <c r="CT78" s="600">
        <f t="shared" si="655"/>
        <v>48669</v>
      </c>
      <c r="CU78" s="600">
        <f t="shared" si="655"/>
        <v>48760</v>
      </c>
      <c r="CV78" s="600">
        <f t="shared" si="655"/>
        <v>48852</v>
      </c>
      <c r="CW78" s="600">
        <f t="shared" si="655"/>
        <v>48944</v>
      </c>
      <c r="CX78" s="269"/>
      <c r="CY78" s="572" t="s">
        <v>1488</v>
      </c>
      <c r="CZ78" s="572" t="s">
        <v>1489</v>
      </c>
    </row>
    <row r="79" spans="1:106">
      <c r="BK79" s="1318"/>
    </row>
    <row r="80" spans="1:106">
      <c r="A80" s="1433" t="s">
        <v>1298</v>
      </c>
      <c r="B80" s="1429"/>
      <c r="C80" s="1429"/>
      <c r="D80" s="1429"/>
      <c r="E80" s="1429"/>
      <c r="F80" s="1429"/>
      <c r="G80" s="1429"/>
      <c r="H80" s="1429"/>
      <c r="I80" s="1429"/>
      <c r="J80" s="1429"/>
      <c r="K80" s="1429"/>
      <c r="L80" s="1429"/>
      <c r="M80" s="1429"/>
      <c r="N80" s="1429"/>
      <c r="O80" s="1429"/>
      <c r="P80" s="1429"/>
      <c r="Q80" s="1429"/>
      <c r="R80" s="1429"/>
      <c r="S80" s="1429"/>
      <c r="T80" s="1429"/>
      <c r="U80" s="1429"/>
      <c r="V80" s="1429"/>
      <c r="W80" s="1429"/>
      <c r="X80" s="1429"/>
      <c r="Y80" s="1429"/>
      <c r="Z80" s="1429"/>
      <c r="AA80" s="1429"/>
      <c r="AB80" s="1429"/>
      <c r="AC80" s="1429"/>
      <c r="AD80" s="1429"/>
      <c r="AE80" s="1429"/>
      <c r="AF80" s="1429"/>
      <c r="AG80" s="1429"/>
      <c r="AH80" s="1429"/>
      <c r="AI80" s="1429"/>
      <c r="AJ80" s="1429"/>
      <c r="AK80" s="1429"/>
      <c r="AL80" s="1429"/>
      <c r="AM80" s="1429"/>
      <c r="AN80" s="1429"/>
      <c r="AO80" s="1439">
        <v>2020</v>
      </c>
      <c r="AP80" s="1439">
        <v>2021</v>
      </c>
      <c r="AQ80" s="1439">
        <v>2022</v>
      </c>
      <c r="AR80" s="1440">
        <v>2023</v>
      </c>
      <c r="AS80" s="1440">
        <v>2024</v>
      </c>
      <c r="AT80" s="1440">
        <v>2025</v>
      </c>
      <c r="AU80" s="1440">
        <v>2026</v>
      </c>
      <c r="AV80" s="1440">
        <v>2027</v>
      </c>
      <c r="AW80" s="1440">
        <v>2028</v>
      </c>
      <c r="AX80" s="1440">
        <v>2029</v>
      </c>
      <c r="AY80" s="1440">
        <v>2030</v>
      </c>
      <c r="AZ80" s="1440">
        <v>2031</v>
      </c>
      <c r="BA80" s="1440">
        <v>2032</v>
      </c>
      <c r="BB80" s="1441">
        <v>2033</v>
      </c>
      <c r="BK80" s="1318"/>
    </row>
    <row r="81" spans="1:63">
      <c r="A81" s="1434"/>
      <c r="AR81" s="1436" t="s">
        <v>1297</v>
      </c>
      <c r="AS81" s="1437"/>
      <c r="AT81" s="1801">
        <v>0.85</v>
      </c>
      <c r="BB81" s="1430"/>
      <c r="BK81" s="1318"/>
    </row>
    <row r="82" spans="1:63">
      <c r="A82" s="1434" t="s">
        <v>1390</v>
      </c>
      <c r="AQ82" s="253">
        <v>191</v>
      </c>
      <c r="AR82" s="253">
        <v>263</v>
      </c>
      <c r="AS82" s="253">
        <v>250</v>
      </c>
      <c r="AT82" s="253">
        <v>250</v>
      </c>
      <c r="AU82" s="253">
        <v>203</v>
      </c>
      <c r="AV82" s="253">
        <v>175</v>
      </c>
      <c r="AW82" s="253">
        <v>172</v>
      </c>
      <c r="AX82" s="253">
        <v>172</v>
      </c>
      <c r="AY82" s="253">
        <v>148</v>
      </c>
      <c r="AZ82" s="253">
        <v>149</v>
      </c>
      <c r="BA82" s="253">
        <v>149</v>
      </c>
      <c r="BB82" s="1931">
        <v>129</v>
      </c>
      <c r="BK82" s="1318"/>
    </row>
    <row r="83" spans="1:63">
      <c r="A83" s="1434" t="s">
        <v>1483</v>
      </c>
      <c r="AQ83" s="9">
        <v>155</v>
      </c>
      <c r="AR83" s="253">
        <v>191</v>
      </c>
      <c r="AS83" s="253">
        <v>180</v>
      </c>
      <c r="AT83" s="253">
        <v>180</v>
      </c>
      <c r="AU83" s="253">
        <v>145</v>
      </c>
      <c r="AV83" s="253">
        <v>125</v>
      </c>
      <c r="AW83" s="253">
        <v>125</v>
      </c>
      <c r="AX83" s="253">
        <v>125</v>
      </c>
      <c r="AY83" s="253">
        <v>108</v>
      </c>
      <c r="AZ83" s="253">
        <v>108</v>
      </c>
      <c r="BA83" s="253">
        <v>108</v>
      </c>
      <c r="BB83" s="1931">
        <v>93</v>
      </c>
      <c r="BK83" s="1318"/>
    </row>
    <row r="84" spans="1:63">
      <c r="A84" s="1434" t="s">
        <v>731</v>
      </c>
      <c r="BB84" s="1932"/>
      <c r="BK84" s="1318"/>
    </row>
    <row r="85" spans="1:63">
      <c r="A85" s="1431" t="s">
        <v>1296</v>
      </c>
      <c r="AO85" s="1971">
        <v>-95</v>
      </c>
      <c r="AP85" s="1971">
        <v>25</v>
      </c>
      <c r="AQ85" s="1972">
        <v>79</v>
      </c>
      <c r="AR85" s="1971">
        <v>45.599999999999994</v>
      </c>
      <c r="AS85" s="1971">
        <v>52</v>
      </c>
      <c r="AT85" s="1971">
        <v>65</v>
      </c>
      <c r="AU85" s="1971">
        <v>52</v>
      </c>
      <c r="AV85" s="1973">
        <v>45</v>
      </c>
      <c r="AW85" s="1971">
        <v>45</v>
      </c>
      <c r="AX85" s="1971">
        <v>45</v>
      </c>
      <c r="AY85" s="1973">
        <v>38</v>
      </c>
      <c r="AZ85" s="1971">
        <v>38</v>
      </c>
      <c r="BA85" s="1971">
        <v>38</v>
      </c>
      <c r="BB85" s="1973">
        <v>33</v>
      </c>
      <c r="BK85" s="1318"/>
    </row>
    <row r="86" spans="1:63" hidden="1" outlineLevel="1">
      <c r="A86" s="1435"/>
      <c r="AO86" s="262"/>
      <c r="AP86" s="262"/>
      <c r="AQ86" s="1974"/>
      <c r="AR86" s="2073"/>
      <c r="AS86" s="2073"/>
      <c r="AT86" s="2073"/>
      <c r="AU86" s="262"/>
      <c r="AV86" s="1975"/>
      <c r="AW86" s="262"/>
      <c r="AX86" s="262"/>
      <c r="AY86" s="1975"/>
      <c r="AZ86" s="262"/>
      <c r="BA86" s="262"/>
      <c r="BB86" s="1975"/>
      <c r="BK86" s="1318"/>
    </row>
    <row r="87" spans="1:63" hidden="1" outlineLevel="1">
      <c r="A87" s="1435"/>
      <c r="AO87" s="262"/>
      <c r="AP87" s="262"/>
      <c r="AQ87" s="1974"/>
      <c r="AR87" s="262"/>
      <c r="AS87" s="1976"/>
      <c r="AT87" s="1976"/>
      <c r="AU87" s="262"/>
      <c r="AV87" s="1975"/>
      <c r="AW87" s="262"/>
      <c r="AX87" s="262"/>
      <c r="AY87" s="1975"/>
      <c r="AZ87" s="262"/>
      <c r="BA87" s="262"/>
      <c r="BB87" s="1975"/>
      <c r="BK87" s="1318"/>
    </row>
    <row r="88" spans="1:63" collapsed="1">
      <c r="A88" s="1435"/>
      <c r="AO88" s="262"/>
      <c r="AP88" s="262"/>
      <c r="AQ88" s="1974"/>
      <c r="AR88" s="262"/>
      <c r="AS88" s="262"/>
      <c r="AT88" s="262"/>
      <c r="AU88" s="262"/>
      <c r="AV88" s="1975"/>
      <c r="AW88" s="262"/>
      <c r="AX88" s="262"/>
      <c r="AY88" s="1975"/>
      <c r="AZ88" s="262"/>
      <c r="BA88" s="262"/>
      <c r="BB88" s="1975"/>
      <c r="BK88" s="1318"/>
    </row>
    <row r="89" spans="1:63">
      <c r="A89" s="1432" t="s">
        <v>1487</v>
      </c>
      <c r="AO89" s="262"/>
      <c r="AP89" s="262"/>
      <c r="AQ89" s="1974"/>
      <c r="AR89" s="262">
        <v>-30.400000000000002</v>
      </c>
      <c r="AS89" s="262">
        <v>-28</v>
      </c>
      <c r="AT89" s="262">
        <v>-43</v>
      </c>
      <c r="AU89" s="262">
        <v>-35</v>
      </c>
      <c r="AV89" s="1975">
        <v>-30</v>
      </c>
      <c r="AW89" s="262">
        <v>-30</v>
      </c>
      <c r="AX89" s="262">
        <v>-30</v>
      </c>
      <c r="AY89" s="1975">
        <v>-26</v>
      </c>
      <c r="AZ89" s="262">
        <v>-26</v>
      </c>
      <c r="BA89" s="262">
        <v>-26</v>
      </c>
      <c r="BB89" s="1975">
        <v>-22</v>
      </c>
      <c r="BK89" s="1318"/>
    </row>
    <row r="90" spans="1:63">
      <c r="A90" s="1431" t="s">
        <v>1295</v>
      </c>
      <c r="AO90" s="262"/>
      <c r="AP90" s="262">
        <v>0</v>
      </c>
      <c r="AQ90" s="1974">
        <v>30</v>
      </c>
      <c r="AR90" s="1976">
        <v>29</v>
      </c>
      <c r="AS90" s="1976">
        <v>30</v>
      </c>
      <c r="AT90" s="1976">
        <v>42</v>
      </c>
      <c r="AU90" s="262">
        <v>34</v>
      </c>
      <c r="AV90" s="1975">
        <v>29</v>
      </c>
      <c r="AW90" s="262">
        <v>29</v>
      </c>
      <c r="AX90" s="262">
        <v>29</v>
      </c>
      <c r="AY90" s="1975">
        <v>25</v>
      </c>
      <c r="AZ90" s="262">
        <v>25</v>
      </c>
      <c r="BA90" s="262">
        <v>25</v>
      </c>
      <c r="BB90" s="1975">
        <v>22</v>
      </c>
      <c r="BK90" s="1318"/>
    </row>
    <row r="91" spans="1:63">
      <c r="A91" s="1432"/>
      <c r="AO91" s="262"/>
      <c r="AP91" s="262"/>
      <c r="AQ91" s="1974"/>
      <c r="AR91" s="262"/>
      <c r="AS91" s="262"/>
      <c r="AT91" s="262"/>
      <c r="AU91" s="262"/>
      <c r="AV91" s="1975"/>
      <c r="AW91" s="262"/>
      <c r="AX91" s="262"/>
      <c r="AY91" s="1975"/>
      <c r="AZ91" s="262"/>
      <c r="BA91" s="262"/>
      <c r="BB91" s="1975"/>
      <c r="BK91" s="1318"/>
    </row>
    <row r="92" spans="1:63">
      <c r="A92" s="1434" t="s">
        <v>949</v>
      </c>
      <c r="AO92" s="262"/>
      <c r="AP92" s="262"/>
      <c r="AQ92" s="1974"/>
      <c r="AR92" s="262"/>
      <c r="AS92" s="262"/>
      <c r="AT92" s="262"/>
      <c r="AU92" s="262"/>
      <c r="AV92" s="1975"/>
      <c r="AW92" s="262"/>
      <c r="AX92" s="262"/>
      <c r="AY92" s="1975"/>
      <c r="AZ92" s="262"/>
      <c r="BA92" s="262"/>
      <c r="BB92" s="1975"/>
      <c r="BK92" s="1318"/>
    </row>
    <row r="93" spans="1:63">
      <c r="A93" s="1431" t="s">
        <v>1296</v>
      </c>
      <c r="AO93" s="1971">
        <v>-26</v>
      </c>
      <c r="AP93" s="1971">
        <v>25</v>
      </c>
      <c r="AQ93" s="1977">
        <v>38</v>
      </c>
      <c r="AR93" s="1971">
        <v>37</v>
      </c>
      <c r="AS93" s="1971">
        <v>35</v>
      </c>
      <c r="AT93" s="1971">
        <v>27</v>
      </c>
      <c r="AU93" s="1971">
        <v>22</v>
      </c>
      <c r="AV93" s="1978">
        <v>19</v>
      </c>
      <c r="AW93" s="1971">
        <v>19</v>
      </c>
      <c r="AX93" s="1971">
        <v>19</v>
      </c>
      <c r="AY93" s="1978">
        <v>17</v>
      </c>
      <c r="AZ93" s="1971">
        <v>17</v>
      </c>
      <c r="BA93" s="1971">
        <v>17</v>
      </c>
      <c r="BB93" s="1978">
        <v>14</v>
      </c>
      <c r="BK93" s="1318"/>
    </row>
    <row r="94" spans="1:63" hidden="1" outlineLevel="1">
      <c r="A94" s="1432"/>
      <c r="AO94" s="262"/>
      <c r="AP94" s="262"/>
      <c r="AQ94" s="1974"/>
      <c r="AR94" s="262"/>
      <c r="AS94" s="1976"/>
      <c r="AT94" s="1976"/>
      <c r="AU94" s="262"/>
      <c r="AV94" s="1975"/>
      <c r="AW94" s="262"/>
      <c r="AX94" s="262"/>
      <c r="AY94" s="1975"/>
      <c r="AZ94" s="262"/>
      <c r="BA94" s="262"/>
      <c r="BB94" s="1975"/>
      <c r="BK94" s="1318"/>
    </row>
    <row r="95" spans="1:63" hidden="1" outlineLevel="1">
      <c r="A95" s="1432"/>
      <c r="AO95" s="262"/>
      <c r="AP95" s="262"/>
      <c r="AQ95" s="1974"/>
      <c r="AR95" s="262"/>
      <c r="AS95" s="1976"/>
      <c r="AT95" s="1976"/>
      <c r="AU95" s="262"/>
      <c r="AV95" s="1975"/>
      <c r="AW95" s="262"/>
      <c r="AX95" s="262"/>
      <c r="AY95" s="1975"/>
      <c r="AZ95" s="262"/>
      <c r="BA95" s="262"/>
      <c r="BB95" s="1975"/>
      <c r="BK95" s="1318"/>
    </row>
    <row r="96" spans="1:63" hidden="1" outlineLevel="1">
      <c r="A96" s="1432"/>
      <c r="AO96" s="262"/>
      <c r="AP96" s="262"/>
      <c r="AQ96" s="1974"/>
      <c r="AR96" s="262"/>
      <c r="AS96" s="262"/>
      <c r="AT96" s="262"/>
      <c r="AU96" s="262"/>
      <c r="AV96" s="1975"/>
      <c r="AW96" s="262"/>
      <c r="AX96" s="262"/>
      <c r="AY96" s="1975"/>
      <c r="AZ96" s="262"/>
      <c r="BA96" s="262"/>
      <c r="BB96" s="1975"/>
      <c r="BK96" s="1318"/>
    </row>
    <row r="97" spans="1:106" collapsed="1">
      <c r="A97" s="1432" t="s">
        <v>1487</v>
      </c>
      <c r="AO97" s="262"/>
      <c r="AP97" s="262"/>
      <c r="AQ97" s="1974"/>
      <c r="AR97" s="262">
        <v>-26</v>
      </c>
      <c r="AS97" s="262">
        <v>-23</v>
      </c>
      <c r="AT97" s="262">
        <v>-18</v>
      </c>
      <c r="AU97" s="262">
        <v>-14</v>
      </c>
      <c r="AV97" s="1975">
        <v>-12</v>
      </c>
      <c r="AW97" s="262">
        <v>-12</v>
      </c>
      <c r="AX97" s="262">
        <v>-12</v>
      </c>
      <c r="AY97" s="1975">
        <v>-10</v>
      </c>
      <c r="AZ97" s="262">
        <v>-10</v>
      </c>
      <c r="BA97" s="262">
        <v>-10</v>
      </c>
      <c r="BB97" s="1975">
        <v>-9</v>
      </c>
      <c r="BK97" s="1318"/>
    </row>
    <row r="98" spans="1:106">
      <c r="A98" s="1431" t="s">
        <v>1295</v>
      </c>
      <c r="AO98" s="262"/>
      <c r="AP98" s="262">
        <v>0</v>
      </c>
      <c r="AQ98" s="1974">
        <v>1</v>
      </c>
      <c r="AR98" s="1971">
        <v>41</v>
      </c>
      <c r="AS98" s="1976">
        <v>41</v>
      </c>
      <c r="AT98" s="1976">
        <v>18</v>
      </c>
      <c r="AU98" s="262">
        <v>15</v>
      </c>
      <c r="AV98" s="1975">
        <v>13</v>
      </c>
      <c r="AW98" s="262">
        <v>13</v>
      </c>
      <c r="AX98" s="262">
        <v>13</v>
      </c>
      <c r="AY98" s="1975">
        <v>11</v>
      </c>
      <c r="AZ98" s="262">
        <v>11</v>
      </c>
      <c r="BA98" s="262">
        <v>11</v>
      </c>
      <c r="BB98" s="1975">
        <v>10</v>
      </c>
      <c r="BK98" s="1318"/>
    </row>
    <row r="99" spans="1:106">
      <c r="A99" s="1432"/>
      <c r="AO99" s="262"/>
      <c r="AP99" s="262"/>
      <c r="AQ99" s="1974"/>
      <c r="AR99" s="262"/>
      <c r="AS99" s="262"/>
      <c r="AT99" s="262"/>
      <c r="AU99" s="262"/>
      <c r="AV99" s="1975"/>
      <c r="AW99" s="262"/>
      <c r="AX99" s="262"/>
      <c r="AY99" s="1975"/>
      <c r="AZ99" s="262"/>
      <c r="BA99" s="262"/>
      <c r="BB99" s="1975"/>
      <c r="BK99" s="1318"/>
    </row>
    <row r="100" spans="1:106">
      <c r="A100" s="1434" t="s">
        <v>733</v>
      </c>
      <c r="AO100" s="262"/>
      <c r="AP100" s="262"/>
      <c r="AQ100" s="1974"/>
      <c r="AR100" s="262"/>
      <c r="AS100" s="262"/>
      <c r="AT100" s="262"/>
      <c r="AU100" s="262"/>
      <c r="AV100" s="1975"/>
      <c r="AW100" s="262"/>
      <c r="AX100" s="262"/>
      <c r="AY100" s="1975"/>
      <c r="AZ100" s="262"/>
      <c r="BA100" s="262"/>
      <c r="BB100" s="1975"/>
      <c r="BK100" s="1318"/>
    </row>
    <row r="101" spans="1:106">
      <c r="A101" s="1431" t="s">
        <v>1296</v>
      </c>
      <c r="AO101" s="1971">
        <v>-14</v>
      </c>
      <c r="AP101" s="1971">
        <v>0</v>
      </c>
      <c r="AQ101" s="1977">
        <v>38</v>
      </c>
      <c r="AR101" s="1971">
        <v>31</v>
      </c>
      <c r="AS101" s="1971">
        <v>30</v>
      </c>
      <c r="AT101" s="1971">
        <v>19</v>
      </c>
      <c r="AU101" s="1971">
        <v>14</v>
      </c>
      <c r="AV101" s="1978">
        <v>12</v>
      </c>
      <c r="AW101" s="1971">
        <v>12</v>
      </c>
      <c r="AX101" s="1971">
        <v>12</v>
      </c>
      <c r="AY101" s="1978">
        <v>11</v>
      </c>
      <c r="AZ101" s="1971">
        <v>11</v>
      </c>
      <c r="BA101" s="1971">
        <v>11</v>
      </c>
      <c r="BB101" s="1978">
        <v>9</v>
      </c>
      <c r="BK101" s="1318"/>
    </row>
    <row r="102" spans="1:106" hidden="1" outlineLevel="1">
      <c r="A102" s="1432"/>
      <c r="AO102" s="262"/>
      <c r="AP102" s="262"/>
      <c r="AQ102" s="1974"/>
      <c r="AR102" s="262"/>
      <c r="AS102" s="1976"/>
      <c r="AT102" s="1976"/>
      <c r="AU102" s="262"/>
      <c r="AV102" s="1975"/>
      <c r="AW102" s="262"/>
      <c r="AX102" s="262"/>
      <c r="AY102" s="1975"/>
      <c r="AZ102" s="262"/>
      <c r="BA102" s="262"/>
      <c r="BB102" s="1975"/>
      <c r="BK102" s="1318"/>
    </row>
    <row r="103" spans="1:106" hidden="1" outlineLevel="1">
      <c r="A103" s="1432"/>
      <c r="AO103" s="262"/>
      <c r="AP103" s="262"/>
      <c r="AQ103" s="1974"/>
      <c r="AR103" s="262"/>
      <c r="AS103" s="262"/>
      <c r="AT103" s="262"/>
      <c r="AU103" s="262"/>
      <c r="AV103" s="1975"/>
      <c r="AW103" s="262"/>
      <c r="AX103" s="262"/>
      <c r="AY103" s="1975"/>
      <c r="AZ103" s="262"/>
      <c r="BA103" s="262"/>
      <c r="BB103" s="1975"/>
      <c r="BK103" s="1318"/>
    </row>
    <row r="104" spans="1:106" hidden="1" outlineLevel="1">
      <c r="A104" s="1432"/>
      <c r="AO104" s="262"/>
      <c r="AP104" s="262"/>
      <c r="AQ104" s="1974"/>
      <c r="AR104" s="262"/>
      <c r="AS104" s="262"/>
      <c r="AT104" s="262"/>
      <c r="AU104" s="262"/>
      <c r="AV104" s="1975"/>
      <c r="AW104" s="262"/>
      <c r="AX104" s="262"/>
      <c r="AY104" s="1975"/>
      <c r="AZ104" s="262"/>
      <c r="BA104" s="262"/>
      <c r="BB104" s="1975"/>
      <c r="BK104" s="1318"/>
    </row>
    <row r="105" spans="1:106" collapsed="1">
      <c r="A105" s="1432" t="s">
        <v>1487</v>
      </c>
      <c r="AO105" s="262"/>
      <c r="AP105" s="262"/>
      <c r="AQ105" s="1974"/>
      <c r="AR105" s="262">
        <v>-21</v>
      </c>
      <c r="AS105" s="262">
        <v>-12</v>
      </c>
      <c r="AT105" s="262">
        <v>-8</v>
      </c>
      <c r="AU105" s="262">
        <v>-8</v>
      </c>
      <c r="AV105" s="1975">
        <v>-7</v>
      </c>
      <c r="AW105" s="262">
        <v>-7</v>
      </c>
      <c r="AX105" s="262">
        <v>-7</v>
      </c>
      <c r="AY105" s="1975">
        <v>-6</v>
      </c>
      <c r="AZ105" s="262">
        <v>-6</v>
      </c>
      <c r="BA105" s="262">
        <v>-6</v>
      </c>
      <c r="BB105" s="1975">
        <v>-6</v>
      </c>
      <c r="BK105" s="1318"/>
    </row>
    <row r="106" spans="1:106">
      <c r="A106" s="1438" t="s">
        <v>1295</v>
      </c>
      <c r="B106" s="1004"/>
      <c r="C106" s="1004"/>
      <c r="D106" s="1004"/>
      <c r="E106" s="1004"/>
      <c r="F106" s="1004"/>
      <c r="G106" s="1004"/>
      <c r="H106" s="1004"/>
      <c r="I106" s="1004"/>
      <c r="J106" s="1004"/>
      <c r="K106" s="1004"/>
      <c r="L106" s="1004"/>
      <c r="M106" s="1004"/>
      <c r="N106" s="1004"/>
      <c r="O106" s="1004"/>
      <c r="P106" s="1004"/>
      <c r="Q106" s="1004"/>
      <c r="R106" s="1004"/>
      <c r="S106" s="1004"/>
      <c r="T106" s="1004"/>
      <c r="U106" s="1004"/>
      <c r="V106" s="1004"/>
      <c r="W106" s="1004"/>
      <c r="X106" s="1004"/>
      <c r="Y106" s="1004"/>
      <c r="Z106" s="1004"/>
      <c r="AA106" s="1004"/>
      <c r="AB106" s="1004"/>
      <c r="AC106" s="1004"/>
      <c r="AD106" s="1004"/>
      <c r="AE106" s="1004"/>
      <c r="AF106" s="1004"/>
      <c r="AG106" s="1004"/>
      <c r="AH106" s="1004"/>
      <c r="AI106" s="1004"/>
      <c r="AJ106" s="1004"/>
      <c r="AK106" s="1004"/>
      <c r="AL106" s="1004"/>
      <c r="AM106" s="1004"/>
      <c r="AN106" s="1004"/>
      <c r="AO106" s="1979">
        <v>18</v>
      </c>
      <c r="AP106" s="1979">
        <v>0</v>
      </c>
      <c r="AQ106" s="1980">
        <v>5</v>
      </c>
      <c r="AR106" s="1981">
        <v>2</v>
      </c>
      <c r="AS106" s="1979">
        <v>-1</v>
      </c>
      <c r="AT106" s="1979">
        <v>10</v>
      </c>
      <c r="AU106" s="1979">
        <v>9</v>
      </c>
      <c r="AV106" s="1982">
        <v>8</v>
      </c>
      <c r="AW106" s="1979">
        <v>5</v>
      </c>
      <c r="AX106" s="1979">
        <v>5</v>
      </c>
      <c r="AY106" s="1982">
        <v>4</v>
      </c>
      <c r="AZ106" s="1979">
        <v>5</v>
      </c>
      <c r="BA106" s="1979">
        <v>5</v>
      </c>
      <c r="BB106" s="1982">
        <v>4</v>
      </c>
      <c r="BK106" s="1318"/>
    </row>
    <row r="107" spans="1:106">
      <c r="A107" s="1432"/>
      <c r="BK107" s="1318"/>
    </row>
    <row r="108" spans="1:106">
      <c r="A108" s="93" t="s">
        <v>731</v>
      </c>
      <c r="B108" s="388"/>
      <c r="C108" s="388"/>
      <c r="D108" s="388"/>
      <c r="E108" s="38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99">
        <f>Q_IS!AL9</f>
        <v>2358</v>
      </c>
      <c r="AM108" s="99">
        <f>Q_IS!AM9</f>
        <v>2387</v>
      </c>
      <c r="AN108" s="99">
        <f>Q_IS!AN9</f>
        <v>2410</v>
      </c>
      <c r="AO108" s="99">
        <f>Q_IS!AO9</f>
        <v>2467</v>
      </c>
      <c r="AP108" s="99">
        <f>Q_IS!AP9</f>
        <v>2477</v>
      </c>
      <c r="AQ108" s="99">
        <f>Q_IS!AQ9</f>
        <v>2463</v>
      </c>
      <c r="AR108" s="99">
        <f>Q_IS!AR9</f>
        <v>2469</v>
      </c>
      <c r="AS108" s="99">
        <f>Q_IS!AS9</f>
        <v>2272</v>
      </c>
      <c r="AT108" s="99">
        <f>Q_IS!AT9</f>
        <v>2263</v>
      </c>
      <c r="AU108" s="99">
        <f>Q_IS!AU9</f>
        <v>2236</v>
      </c>
      <c r="AV108" s="99">
        <f>Q_IS!AV9</f>
        <v>2219</v>
      </c>
      <c r="AW108" s="99">
        <f>Q_IS!AW9</f>
        <v>2184</v>
      </c>
      <c r="AX108" s="99">
        <f>Q_IS!AX9</f>
        <v>2171</v>
      </c>
      <c r="AY108" s="99">
        <f>Q_IS!AY9</f>
        <v>2169</v>
      </c>
      <c r="AZ108" s="99">
        <f>Q_IS!AZ9</f>
        <v>2159</v>
      </c>
      <c r="BA108" s="99">
        <f>Q_IS!BA9</f>
        <v>2174</v>
      </c>
      <c r="BB108" s="99">
        <f>Q_IS!BB9</f>
        <v>2181</v>
      </c>
      <c r="BC108" s="99">
        <f>Q_IS!BC9</f>
        <v>2192</v>
      </c>
      <c r="BD108" s="99">
        <f>Q_IS!BD9</f>
        <v>2204</v>
      </c>
      <c r="BE108" s="99">
        <f>Q_IS!BE9</f>
        <v>2248</v>
      </c>
      <c r="BF108" s="99">
        <f>Q_IS!BF9</f>
        <v>2244</v>
      </c>
      <c r="BG108" s="99">
        <f>Q_IS!BG9</f>
        <v>2237</v>
      </c>
      <c r="BH108" s="111">
        <f>Q_IS!BH9</f>
        <v>2248</v>
      </c>
      <c r="BI108" s="111">
        <f>Q_IS!BI9</f>
        <v>2313</v>
      </c>
      <c r="BJ108" s="111">
        <f>Q_IS!BJ9</f>
        <v>2331</v>
      </c>
      <c r="BK108" s="1175">
        <f>Q_IS!BK9</f>
        <v>2358</v>
      </c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  <c r="CO108" s="45"/>
      <c r="CP108" s="45"/>
      <c r="CQ108" s="45"/>
      <c r="CR108" s="45"/>
      <c r="CS108" s="45"/>
      <c r="CT108" s="45"/>
      <c r="CU108" s="45"/>
      <c r="CV108" s="45"/>
      <c r="CW108" s="45"/>
      <c r="CX108" s="269"/>
      <c r="CY108" s="269"/>
    </row>
    <row r="109" spans="1:106" s="92" customFormat="1">
      <c r="A109" s="692" t="s">
        <v>942</v>
      </c>
      <c r="B109" s="687"/>
      <c r="C109" s="687">
        <f t="shared" ref="C109:AA109" si="656">CHOOSE(MASTERSWITCH,C110,C111,C112)</f>
        <v>-2</v>
      </c>
      <c r="D109" s="687">
        <f t="shared" si="656"/>
        <v>-5</v>
      </c>
      <c r="E109" s="687">
        <f t="shared" si="656"/>
        <v>8</v>
      </c>
      <c r="F109" s="687">
        <f t="shared" si="656"/>
        <v>1</v>
      </c>
      <c r="G109" s="687">
        <f t="shared" si="656"/>
        <v>7</v>
      </c>
      <c r="H109" s="687">
        <f t="shared" si="656"/>
        <v>4</v>
      </c>
      <c r="I109" s="687">
        <f t="shared" si="656"/>
        <v>25</v>
      </c>
      <c r="J109" s="687">
        <f t="shared" si="656"/>
        <v>2</v>
      </c>
      <c r="K109" s="687">
        <f t="shared" si="656"/>
        <v>11</v>
      </c>
      <c r="L109" s="687">
        <f t="shared" si="656"/>
        <v>0</v>
      </c>
      <c r="M109" s="687">
        <f t="shared" si="656"/>
        <v>19</v>
      </c>
      <c r="N109" s="687">
        <f t="shared" si="656"/>
        <v>42</v>
      </c>
      <c r="O109" s="687">
        <f t="shared" si="656"/>
        <v>-10</v>
      </c>
      <c r="P109" s="687">
        <f t="shared" si="656"/>
        <v>11</v>
      </c>
      <c r="Q109" s="687">
        <f t="shared" si="656"/>
        <v>5</v>
      </c>
      <c r="R109" s="687">
        <f t="shared" si="656"/>
        <v>6</v>
      </c>
      <c r="S109" s="687">
        <f t="shared" si="656"/>
        <v>108</v>
      </c>
      <c r="T109" s="687">
        <f t="shared" si="656"/>
        <v>31</v>
      </c>
      <c r="U109" s="687">
        <f t="shared" si="656"/>
        <v>30</v>
      </c>
      <c r="V109" s="687">
        <f t="shared" si="656"/>
        <v>10</v>
      </c>
      <c r="W109" s="687">
        <f t="shared" si="656"/>
        <v>350</v>
      </c>
      <c r="X109" s="687">
        <f t="shared" si="656"/>
        <v>20</v>
      </c>
      <c r="Y109" s="687">
        <f t="shared" si="656"/>
        <v>24</v>
      </c>
      <c r="Z109" s="687">
        <f t="shared" si="656"/>
        <v>-6</v>
      </c>
      <c r="AA109" s="687">
        <f t="shared" si="656"/>
        <v>21</v>
      </c>
      <c r="AB109" s="687">
        <f t="shared" ref="AB109:AM109" si="657">CHOOSE(MASTERSWITCH,AB110,AB111,AB112)</f>
        <v>38</v>
      </c>
      <c r="AC109" s="687">
        <f t="shared" si="657"/>
        <v>9</v>
      </c>
      <c r="AD109" s="687">
        <f t="shared" si="657"/>
        <v>-7</v>
      </c>
      <c r="AE109" s="687">
        <f t="shared" si="657"/>
        <v>13</v>
      </c>
      <c r="AF109" s="687">
        <f t="shared" si="657"/>
        <v>44</v>
      </c>
      <c r="AG109" s="687">
        <f t="shared" si="657"/>
        <v>54</v>
      </c>
      <c r="AH109" s="687">
        <f t="shared" si="657"/>
        <v>31</v>
      </c>
      <c r="AI109" s="687">
        <f t="shared" si="657"/>
        <v>16</v>
      </c>
      <c r="AJ109" s="687">
        <f t="shared" si="657"/>
        <v>32</v>
      </c>
      <c r="AK109" s="687">
        <f t="shared" si="657"/>
        <v>36</v>
      </c>
      <c r="AL109" s="687">
        <f t="shared" si="657"/>
        <v>1</v>
      </c>
      <c r="AM109" s="687">
        <f t="shared" si="657"/>
        <v>29</v>
      </c>
      <c r="AN109" s="687">
        <f t="shared" ref="AN109:AS109" si="658">CHOOSE(MASTERSWITCH,AN110,AN111,AN112)</f>
        <v>20</v>
      </c>
      <c r="AO109" s="687">
        <f t="shared" si="658"/>
        <v>54</v>
      </c>
      <c r="AP109" s="687">
        <f t="shared" si="658"/>
        <v>10</v>
      </c>
      <c r="AQ109" s="687">
        <f t="shared" si="658"/>
        <v>-11</v>
      </c>
      <c r="AR109" s="687">
        <f t="shared" si="658"/>
        <v>1</v>
      </c>
      <c r="AS109" s="687">
        <f t="shared" si="658"/>
        <v>-1</v>
      </c>
      <c r="AT109" s="687">
        <f t="shared" ref="AT109:BC109" si="659">CHOOSE(MASTERSWITCH,AT110,AT111,AT112)</f>
        <v>-17</v>
      </c>
      <c r="AU109" s="687">
        <f t="shared" si="659"/>
        <v>-23</v>
      </c>
      <c r="AV109" s="687">
        <f t="shared" si="659"/>
        <v>-16</v>
      </c>
      <c r="AW109" s="687">
        <f t="shared" si="659"/>
        <v>-39</v>
      </c>
      <c r="AX109" s="687">
        <f t="shared" si="659"/>
        <v>-15</v>
      </c>
      <c r="AY109" s="687">
        <f t="shared" si="659"/>
        <v>-6</v>
      </c>
      <c r="AZ109" s="687">
        <f t="shared" si="659"/>
        <v>-23</v>
      </c>
      <c r="BA109" s="687">
        <f t="shared" si="659"/>
        <v>12</v>
      </c>
      <c r="BB109" s="687">
        <f t="shared" si="659"/>
        <v>-1</v>
      </c>
      <c r="BC109" s="687">
        <f t="shared" si="659"/>
        <v>6</v>
      </c>
      <c r="BD109" s="687">
        <f t="shared" ref="BD109:BI109" si="660">CHOOSE(MASTERSWITCH,BD110,BD111,BD112)</f>
        <v>5</v>
      </c>
      <c r="BE109" s="687">
        <f t="shared" si="660"/>
        <v>34</v>
      </c>
      <c r="BF109" s="687">
        <f t="shared" si="660"/>
        <v>-4</v>
      </c>
      <c r="BG109" s="687">
        <f t="shared" si="660"/>
        <v>-12</v>
      </c>
      <c r="BH109" s="687">
        <f t="shared" si="660"/>
        <v>1</v>
      </c>
      <c r="BI109" s="687">
        <f t="shared" si="660"/>
        <v>33</v>
      </c>
      <c r="BJ109" s="687">
        <f t="shared" ref="BJ109:BK109" si="661">CHOOSE(MASTERSWITCH,BJ110,BJ111,BJ112)</f>
        <v>15</v>
      </c>
      <c r="BK109" s="1829">
        <f t="shared" si="661"/>
        <v>23</v>
      </c>
      <c r="BL109" s="688">
        <f>CHOOSE(MASTERSWITCH,BL110,BL111,BL112)</f>
        <v>8</v>
      </c>
      <c r="BM109" s="688">
        <f>CHOOSE(MASTERSWITCH,BM110,BM111,BM112)</f>
        <v>3</v>
      </c>
      <c r="BN109" s="688">
        <f t="shared" ref="BL109:BQ109" si="662">CHOOSE(MASTERSWITCH,BN110,BN111,BN112)</f>
        <v>10</v>
      </c>
      <c r="BO109" s="688">
        <f t="shared" si="662"/>
        <v>10</v>
      </c>
      <c r="BP109" s="688">
        <f t="shared" si="662"/>
        <v>10</v>
      </c>
      <c r="BQ109" s="688">
        <f t="shared" si="662"/>
        <v>21</v>
      </c>
      <c r="BR109" s="688">
        <f t="shared" ref="BR109:CK109" si="663">CHOOSE(MASTERSWITCH,BR110,BR111,BR112)</f>
        <v>8</v>
      </c>
      <c r="BS109" s="688">
        <f t="shared" si="663"/>
        <v>8</v>
      </c>
      <c r="BT109" s="688">
        <f t="shared" si="663"/>
        <v>8</v>
      </c>
      <c r="BU109" s="688">
        <f t="shared" si="663"/>
        <v>18</v>
      </c>
      <c r="BV109" s="688">
        <f t="shared" si="663"/>
        <v>7</v>
      </c>
      <c r="BW109" s="688">
        <f t="shared" si="663"/>
        <v>7</v>
      </c>
      <c r="BX109" s="688">
        <f t="shared" si="663"/>
        <v>7</v>
      </c>
      <c r="BY109" s="688">
        <f t="shared" si="663"/>
        <v>14</v>
      </c>
      <c r="BZ109" s="688">
        <f t="shared" si="663"/>
        <v>7</v>
      </c>
      <c r="CA109" s="688">
        <f t="shared" si="663"/>
        <v>7</v>
      </c>
      <c r="CB109" s="688">
        <f t="shared" si="663"/>
        <v>7</v>
      </c>
      <c r="CC109" s="688">
        <f t="shared" si="663"/>
        <v>14</v>
      </c>
      <c r="CD109" s="688">
        <f t="shared" si="663"/>
        <v>7</v>
      </c>
      <c r="CE109" s="688">
        <f t="shared" si="663"/>
        <v>7</v>
      </c>
      <c r="CF109" s="688">
        <f t="shared" si="663"/>
        <v>7</v>
      </c>
      <c r="CG109" s="688">
        <f t="shared" si="663"/>
        <v>14</v>
      </c>
      <c r="CH109" s="688">
        <f t="shared" si="663"/>
        <v>6</v>
      </c>
      <c r="CI109" s="688">
        <f t="shared" si="663"/>
        <v>6</v>
      </c>
      <c r="CJ109" s="688">
        <f t="shared" si="663"/>
        <v>6</v>
      </c>
      <c r="CK109" s="688">
        <f t="shared" si="663"/>
        <v>11</v>
      </c>
      <c r="CL109" s="688">
        <f t="shared" ref="CL109:CP109" si="664">CHOOSE(MASTERSWITCH,CL110,CL111,CL112)</f>
        <v>6</v>
      </c>
      <c r="CM109" s="688">
        <f t="shared" si="664"/>
        <v>6</v>
      </c>
      <c r="CN109" s="688">
        <f t="shared" si="664"/>
        <v>6</v>
      </c>
      <c r="CO109" s="688">
        <f t="shared" si="664"/>
        <v>11</v>
      </c>
      <c r="CP109" s="688">
        <f t="shared" si="664"/>
        <v>6</v>
      </c>
      <c r="CQ109" s="688">
        <f t="shared" ref="CQ109:CU109" si="665">CHOOSE(MASTERSWITCH,CQ110,CQ111,CQ112)</f>
        <v>6</v>
      </c>
      <c r="CR109" s="688">
        <f t="shared" si="665"/>
        <v>6</v>
      </c>
      <c r="CS109" s="688">
        <f t="shared" si="665"/>
        <v>11</v>
      </c>
      <c r="CT109" s="688">
        <f t="shared" si="665"/>
        <v>6</v>
      </c>
      <c r="CU109" s="688">
        <f t="shared" si="665"/>
        <v>6</v>
      </c>
      <c r="CV109" s="688">
        <f t="shared" ref="CV109:CW109" si="666">CHOOSE(MASTERSWITCH,CV110,CV111,CV112)</f>
        <v>6</v>
      </c>
      <c r="CW109" s="688">
        <f t="shared" si="666"/>
        <v>10</v>
      </c>
      <c r="CX109" s="337"/>
      <c r="CY109" s="337"/>
      <c r="DA109" s="9"/>
      <c r="DB109" s="9"/>
    </row>
    <row r="110" spans="1:106" s="92" customFormat="1">
      <c r="A110" s="693" t="s">
        <v>571</v>
      </c>
      <c r="B110" s="689"/>
      <c r="C110" s="689">
        <f>Q_IS!C15</f>
        <v>-2</v>
      </c>
      <c r="D110" s="689">
        <f>Q_IS!D15</f>
        <v>-5</v>
      </c>
      <c r="E110" s="689">
        <f>Q_IS!E15</f>
        <v>8</v>
      </c>
      <c r="F110" s="689">
        <f>Q_IS!F15</f>
        <v>1</v>
      </c>
      <c r="G110" s="689">
        <f>Q_IS!G15</f>
        <v>7</v>
      </c>
      <c r="H110" s="689">
        <f>Q_IS!H15</f>
        <v>4</v>
      </c>
      <c r="I110" s="689">
        <f>Q_IS!I15</f>
        <v>25</v>
      </c>
      <c r="J110" s="689">
        <f>Q_IS!J15</f>
        <v>2</v>
      </c>
      <c r="K110" s="689">
        <f>Q_IS!K15</f>
        <v>11</v>
      </c>
      <c r="L110" s="689">
        <f>Q_IS!L15</f>
        <v>0</v>
      </c>
      <c r="M110" s="689">
        <f>Q_IS!M15</f>
        <v>19</v>
      </c>
      <c r="N110" s="689">
        <f>Q_IS!N15</f>
        <v>42</v>
      </c>
      <c r="O110" s="689">
        <f>Q_IS!O15</f>
        <v>-10</v>
      </c>
      <c r="P110" s="689">
        <f>Q_IS!P15</f>
        <v>11</v>
      </c>
      <c r="Q110" s="689">
        <f>Q_IS!Q15</f>
        <v>5</v>
      </c>
      <c r="R110" s="689">
        <f>Q_IS!R15</f>
        <v>6</v>
      </c>
      <c r="S110" s="689">
        <f>Q_IS!S15</f>
        <v>108</v>
      </c>
      <c r="T110" s="689">
        <f>Q_IS!T15</f>
        <v>31</v>
      </c>
      <c r="U110" s="689">
        <f>Q_IS!U15</f>
        <v>30</v>
      </c>
      <c r="V110" s="689">
        <f>Q_IS!V15</f>
        <v>10</v>
      </c>
      <c r="W110" s="689">
        <f>Q_IS!W15</f>
        <v>350</v>
      </c>
      <c r="X110" s="689">
        <f>Q_IS!X15</f>
        <v>20</v>
      </c>
      <c r="Y110" s="689">
        <f>Q_IS!Y15</f>
        <v>24</v>
      </c>
      <c r="Z110" s="689">
        <f>Q_IS!Z15</f>
        <v>-6</v>
      </c>
      <c r="AA110" s="689">
        <f>Q_IS!AA15</f>
        <v>21</v>
      </c>
      <c r="AB110" s="689">
        <f>Q_IS!AB15</f>
        <v>38</v>
      </c>
      <c r="AC110" s="689">
        <f>Q_IS!AC15</f>
        <v>9</v>
      </c>
      <c r="AD110" s="689">
        <f>Q_IS!AD15</f>
        <v>-7</v>
      </c>
      <c r="AE110" s="689">
        <f>Q_IS!AE15</f>
        <v>13</v>
      </c>
      <c r="AF110" s="689">
        <f>Q_IS!AF15</f>
        <v>44</v>
      </c>
      <c r="AG110" s="689">
        <f>Q_IS!AG15</f>
        <v>54</v>
      </c>
      <c r="AH110" s="689">
        <f>Q_IS!AH15</f>
        <v>31</v>
      </c>
      <c r="AI110" s="689">
        <f>Q_IS!AI15</f>
        <v>16</v>
      </c>
      <c r="AJ110" s="689">
        <f>Q_IS!AJ15</f>
        <v>32</v>
      </c>
      <c r="AK110" s="689">
        <f>Q_IS!AK15</f>
        <v>36</v>
      </c>
      <c r="AL110" s="689">
        <f>Q_IS!AL15</f>
        <v>1</v>
      </c>
      <c r="AM110" s="689">
        <f>Q_IS!AM15</f>
        <v>29</v>
      </c>
      <c r="AN110" s="689">
        <f>Q_IS!AN15</f>
        <v>20</v>
      </c>
      <c r="AO110" s="689">
        <f>Q_IS!AO15</f>
        <v>54</v>
      </c>
      <c r="AP110" s="689">
        <f>Q_IS!AP15</f>
        <v>10</v>
      </c>
      <c r="AQ110" s="689">
        <f>Q_IS!AQ15</f>
        <v>-11</v>
      </c>
      <c r="AR110" s="689">
        <f>Q_IS!AR15</f>
        <v>1</v>
      </c>
      <c r="AS110" s="689">
        <f>Q_IS!AS15</f>
        <v>-1</v>
      </c>
      <c r="AT110" s="689">
        <f>Q_IS!AT15</f>
        <v>-17</v>
      </c>
      <c r="AU110" s="689">
        <f>Q_IS!AU15</f>
        <v>-23</v>
      </c>
      <c r="AV110" s="689">
        <f>Q_IS!AV15</f>
        <v>-16</v>
      </c>
      <c r="AW110" s="689">
        <f>Q_IS!AW15</f>
        <v>-39</v>
      </c>
      <c r="AX110" s="689">
        <f>Q_IS!AX15</f>
        <v>-15</v>
      </c>
      <c r="AY110" s="689">
        <f>Q_IS!AY15</f>
        <v>-6</v>
      </c>
      <c r="AZ110" s="689">
        <f>Q_IS!AZ15</f>
        <v>-23</v>
      </c>
      <c r="BA110" s="689">
        <f>Q_IS!BA15</f>
        <v>12</v>
      </c>
      <c r="BB110" s="689">
        <f>Q_IS!BB15</f>
        <v>-1</v>
      </c>
      <c r="BC110" s="689">
        <f>Q_IS!BC15</f>
        <v>6</v>
      </c>
      <c r="BD110" s="689">
        <f>Q_IS!BD15</f>
        <v>5</v>
      </c>
      <c r="BE110" s="689">
        <f>Q_IS!BE15</f>
        <v>34</v>
      </c>
      <c r="BF110" s="689">
        <f>Q_IS!BF15</f>
        <v>-4</v>
      </c>
      <c r="BG110" s="689">
        <f>Q_IS!BG15</f>
        <v>-12</v>
      </c>
      <c r="BH110" s="689">
        <f>Q_IS!BH15</f>
        <v>1</v>
      </c>
      <c r="BI110" s="689">
        <f>Q_IS!BI15</f>
        <v>33</v>
      </c>
      <c r="BJ110" s="689">
        <f>Q_IS!BJ15</f>
        <v>15</v>
      </c>
      <c r="BK110" s="1830">
        <f>Q_IS!BK15</f>
        <v>23</v>
      </c>
      <c r="BL110" s="1639">
        <f>+BL111</f>
        <v>10.4</v>
      </c>
      <c r="BM110" s="1640">
        <f t="shared" ref="BL110:BM110" si="667">+BM111</f>
        <v>3.6000000000000014</v>
      </c>
      <c r="BN110" s="1639">
        <f t="shared" ref="BN110:CW110" si="668">+BN111</f>
        <v>13</v>
      </c>
      <c r="BO110" s="1639">
        <f t="shared" si="668"/>
        <v>13</v>
      </c>
      <c r="BP110" s="1639">
        <f t="shared" si="668"/>
        <v>13</v>
      </c>
      <c r="BQ110" s="1640">
        <f t="shared" si="668"/>
        <v>26</v>
      </c>
      <c r="BR110" s="1639">
        <f t="shared" si="668"/>
        <v>10</v>
      </c>
      <c r="BS110" s="1639">
        <f t="shared" si="668"/>
        <v>10</v>
      </c>
      <c r="BT110" s="1639">
        <f t="shared" si="668"/>
        <v>10</v>
      </c>
      <c r="BU110" s="1640">
        <f t="shared" si="668"/>
        <v>22</v>
      </c>
      <c r="BV110" s="1639">
        <f t="shared" si="668"/>
        <v>9</v>
      </c>
      <c r="BW110" s="1639">
        <f t="shared" si="668"/>
        <v>9</v>
      </c>
      <c r="BX110" s="1639">
        <f t="shared" si="668"/>
        <v>9</v>
      </c>
      <c r="BY110" s="1640">
        <f t="shared" si="668"/>
        <v>18</v>
      </c>
      <c r="BZ110" s="1639">
        <f t="shared" si="668"/>
        <v>9</v>
      </c>
      <c r="CA110" s="1639">
        <f t="shared" si="668"/>
        <v>9</v>
      </c>
      <c r="CB110" s="1639">
        <f t="shared" si="668"/>
        <v>9</v>
      </c>
      <c r="CC110" s="1640">
        <f t="shared" si="668"/>
        <v>18</v>
      </c>
      <c r="CD110" s="1639">
        <f t="shared" si="668"/>
        <v>9</v>
      </c>
      <c r="CE110" s="1639">
        <f t="shared" si="668"/>
        <v>9</v>
      </c>
      <c r="CF110" s="1639">
        <f t="shared" si="668"/>
        <v>9</v>
      </c>
      <c r="CG110" s="1640">
        <f t="shared" si="668"/>
        <v>18</v>
      </c>
      <c r="CH110" s="1639">
        <f t="shared" si="668"/>
        <v>8</v>
      </c>
      <c r="CI110" s="1639">
        <f t="shared" si="668"/>
        <v>8</v>
      </c>
      <c r="CJ110" s="1639">
        <f t="shared" si="668"/>
        <v>8</v>
      </c>
      <c r="CK110" s="1640">
        <f t="shared" si="668"/>
        <v>14</v>
      </c>
      <c r="CL110" s="1640">
        <f t="shared" si="668"/>
        <v>8</v>
      </c>
      <c r="CM110" s="1640">
        <f t="shared" si="668"/>
        <v>8</v>
      </c>
      <c r="CN110" s="1640">
        <f t="shared" si="668"/>
        <v>8</v>
      </c>
      <c r="CO110" s="1640">
        <f t="shared" si="668"/>
        <v>14</v>
      </c>
      <c r="CP110" s="1640">
        <f t="shared" si="668"/>
        <v>8</v>
      </c>
      <c r="CQ110" s="1640">
        <f t="shared" si="668"/>
        <v>8</v>
      </c>
      <c r="CR110" s="1640">
        <f t="shared" si="668"/>
        <v>8</v>
      </c>
      <c r="CS110" s="1640">
        <f t="shared" si="668"/>
        <v>14</v>
      </c>
      <c r="CT110" s="1640">
        <f t="shared" si="668"/>
        <v>7</v>
      </c>
      <c r="CU110" s="1640">
        <f t="shared" si="668"/>
        <v>7</v>
      </c>
      <c r="CV110" s="1640">
        <f t="shared" si="668"/>
        <v>7</v>
      </c>
      <c r="CW110" s="1640">
        <f t="shared" si="668"/>
        <v>12</v>
      </c>
      <c r="CX110" s="337"/>
      <c r="CY110" s="337"/>
      <c r="DA110" s="9"/>
      <c r="DB110" s="9"/>
    </row>
    <row r="111" spans="1:106" s="92" customFormat="1">
      <c r="A111" s="693" t="s">
        <v>200</v>
      </c>
      <c r="B111" s="689"/>
      <c r="C111" s="689">
        <f t="shared" ref="C111:AA111" si="669">C110</f>
        <v>-2</v>
      </c>
      <c r="D111" s="689">
        <f t="shared" si="669"/>
        <v>-5</v>
      </c>
      <c r="E111" s="689">
        <f t="shared" si="669"/>
        <v>8</v>
      </c>
      <c r="F111" s="689">
        <f t="shared" si="669"/>
        <v>1</v>
      </c>
      <c r="G111" s="689">
        <f t="shared" si="669"/>
        <v>7</v>
      </c>
      <c r="H111" s="689">
        <f t="shared" si="669"/>
        <v>4</v>
      </c>
      <c r="I111" s="689">
        <f t="shared" si="669"/>
        <v>25</v>
      </c>
      <c r="J111" s="689">
        <f t="shared" si="669"/>
        <v>2</v>
      </c>
      <c r="K111" s="689">
        <f t="shared" si="669"/>
        <v>11</v>
      </c>
      <c r="L111" s="689">
        <f t="shared" si="669"/>
        <v>0</v>
      </c>
      <c r="M111" s="689">
        <f t="shared" si="669"/>
        <v>19</v>
      </c>
      <c r="N111" s="689">
        <f t="shared" si="669"/>
        <v>42</v>
      </c>
      <c r="O111" s="689">
        <f t="shared" si="669"/>
        <v>-10</v>
      </c>
      <c r="P111" s="689">
        <f t="shared" si="669"/>
        <v>11</v>
      </c>
      <c r="Q111" s="689">
        <f t="shared" si="669"/>
        <v>5</v>
      </c>
      <c r="R111" s="689">
        <f t="shared" si="669"/>
        <v>6</v>
      </c>
      <c r="S111" s="689">
        <f t="shared" si="669"/>
        <v>108</v>
      </c>
      <c r="T111" s="689">
        <f t="shared" si="669"/>
        <v>31</v>
      </c>
      <c r="U111" s="689">
        <f t="shared" si="669"/>
        <v>30</v>
      </c>
      <c r="V111" s="689">
        <f t="shared" si="669"/>
        <v>10</v>
      </c>
      <c r="W111" s="689">
        <f t="shared" si="669"/>
        <v>350</v>
      </c>
      <c r="X111" s="689">
        <f t="shared" si="669"/>
        <v>20</v>
      </c>
      <c r="Y111" s="689">
        <f t="shared" si="669"/>
        <v>24</v>
      </c>
      <c r="Z111" s="689">
        <f t="shared" si="669"/>
        <v>-6</v>
      </c>
      <c r="AA111" s="689">
        <f t="shared" si="669"/>
        <v>21</v>
      </c>
      <c r="AB111" s="689">
        <f t="shared" ref="AB111:AM111" si="670">AB110</f>
        <v>38</v>
      </c>
      <c r="AC111" s="689">
        <f t="shared" si="670"/>
        <v>9</v>
      </c>
      <c r="AD111" s="689">
        <f t="shared" si="670"/>
        <v>-7</v>
      </c>
      <c r="AE111" s="689">
        <f t="shared" si="670"/>
        <v>13</v>
      </c>
      <c r="AF111" s="689">
        <f t="shared" si="670"/>
        <v>44</v>
      </c>
      <c r="AG111" s="689">
        <f t="shared" si="670"/>
        <v>54</v>
      </c>
      <c r="AH111" s="689">
        <f t="shared" si="670"/>
        <v>31</v>
      </c>
      <c r="AI111" s="689">
        <f t="shared" si="670"/>
        <v>16</v>
      </c>
      <c r="AJ111" s="689">
        <f t="shared" si="670"/>
        <v>32</v>
      </c>
      <c r="AK111" s="689">
        <f t="shared" si="670"/>
        <v>36</v>
      </c>
      <c r="AL111" s="689">
        <f t="shared" si="670"/>
        <v>1</v>
      </c>
      <c r="AM111" s="689">
        <f t="shared" si="670"/>
        <v>29</v>
      </c>
      <c r="AN111" s="689">
        <f t="shared" ref="AN111:AS111" si="671">AN110</f>
        <v>20</v>
      </c>
      <c r="AO111" s="689">
        <f t="shared" si="671"/>
        <v>54</v>
      </c>
      <c r="AP111" s="689">
        <f t="shared" si="671"/>
        <v>10</v>
      </c>
      <c r="AQ111" s="689">
        <f t="shared" si="671"/>
        <v>-11</v>
      </c>
      <c r="AR111" s="689">
        <f t="shared" si="671"/>
        <v>1</v>
      </c>
      <c r="AS111" s="689">
        <f t="shared" si="671"/>
        <v>-1</v>
      </c>
      <c r="AT111" s="689">
        <f t="shared" ref="AT111:BC111" si="672">AT110</f>
        <v>-17</v>
      </c>
      <c r="AU111" s="689">
        <f t="shared" si="672"/>
        <v>-23</v>
      </c>
      <c r="AV111" s="689">
        <f t="shared" si="672"/>
        <v>-16</v>
      </c>
      <c r="AW111" s="689">
        <f t="shared" si="672"/>
        <v>-39</v>
      </c>
      <c r="AX111" s="689">
        <f t="shared" si="672"/>
        <v>-15</v>
      </c>
      <c r="AY111" s="689">
        <f t="shared" si="672"/>
        <v>-6</v>
      </c>
      <c r="AZ111" s="689">
        <f t="shared" si="672"/>
        <v>-23</v>
      </c>
      <c r="BA111" s="689">
        <f t="shared" si="672"/>
        <v>12</v>
      </c>
      <c r="BB111" s="689">
        <f t="shared" si="672"/>
        <v>-1</v>
      </c>
      <c r="BC111" s="689">
        <f t="shared" si="672"/>
        <v>6</v>
      </c>
      <c r="BD111" s="689">
        <f t="shared" ref="BD111:BI111" si="673">BD110</f>
        <v>5</v>
      </c>
      <c r="BE111" s="689">
        <f t="shared" si="673"/>
        <v>34</v>
      </c>
      <c r="BF111" s="689">
        <f t="shared" si="673"/>
        <v>-4</v>
      </c>
      <c r="BG111" s="689">
        <f t="shared" si="673"/>
        <v>-12</v>
      </c>
      <c r="BH111" s="689">
        <f t="shared" si="673"/>
        <v>1</v>
      </c>
      <c r="BI111" s="689">
        <f t="shared" si="673"/>
        <v>33</v>
      </c>
      <c r="BJ111" s="689">
        <f t="shared" ref="BJ111:BK111" si="674">BJ110</f>
        <v>15</v>
      </c>
      <c r="BK111" s="1830">
        <f t="shared" si="674"/>
        <v>23</v>
      </c>
      <c r="BL111" s="1390">
        <f>INDEX($A$85:$AY$85,MATCH(YEAR(BL$78),$A$80:$AY$80))*20%</f>
        <v>10.4</v>
      </c>
      <c r="BM111" s="1391">
        <f>INDEX($A$85:$AY$85,MATCH(YEAR(BM$78),$A$80:$AY$80))-SUM(BJ111:BL111)</f>
        <v>3.6000000000000014</v>
      </c>
      <c r="BN111" s="1390">
        <f>ROUND(INDEX($A$85:$AY$85,MATCH(YEAR(BN$78),$A$80:$AY$80))*20%,0)</f>
        <v>13</v>
      </c>
      <c r="BO111" s="1390">
        <f>ROUND(INDEX($A$85:$AY$85,MATCH(YEAR(BO$78),$A$80:$AY$80))*20%,0)</f>
        <v>13</v>
      </c>
      <c r="BP111" s="1390">
        <f>ROUND(INDEX($A$85:$AY$85,MATCH(YEAR(BP$78),$A$80:$AY$80))*20%,0)</f>
        <v>13</v>
      </c>
      <c r="BQ111" s="1391">
        <f>INDEX($A$85:$AY$85,MATCH(YEAR(BQ$78),$A$80:$AY$80))-SUM(BN111:BP111)</f>
        <v>26</v>
      </c>
      <c r="BR111" s="1390">
        <f>ROUND(INDEX($A$85:$AY$85,MATCH(YEAR(BR$78),$A$80:$AY$80))*20%,0)</f>
        <v>10</v>
      </c>
      <c r="BS111" s="1390">
        <f>ROUND(INDEX($A$85:$AY$85,MATCH(YEAR(BS$78),$A$80:$AY$80))*20%,0)</f>
        <v>10</v>
      </c>
      <c r="BT111" s="1390">
        <f>ROUND(INDEX($A$85:$AY$85,MATCH(YEAR(BT$78),$A$80:$AY$80))*20%,0)</f>
        <v>10</v>
      </c>
      <c r="BU111" s="1391">
        <f>INDEX($A$85:$AY$85,MATCH(YEAR(BU$78),$A$80:$AY$80))-SUM(BR111:BT111)</f>
        <v>22</v>
      </c>
      <c r="BV111" s="1390">
        <f>ROUND(INDEX($A$85:$AY$85,MATCH(YEAR(BV$78),$A$80:$AY$80))*20%,0)</f>
        <v>9</v>
      </c>
      <c r="BW111" s="1390">
        <f>ROUND(INDEX($A$85:$AY$85,MATCH(YEAR(BW$78),$A$80:$AY$80))*20%,0)</f>
        <v>9</v>
      </c>
      <c r="BX111" s="1390">
        <f>ROUND(INDEX($A$85:$AY$85,MATCH(YEAR(BX$78),$A$80:$AY$80))*20%,0)</f>
        <v>9</v>
      </c>
      <c r="BY111" s="1391">
        <f>INDEX($A$85:$AY$85,MATCH(YEAR(BY$78),$A$80:$AY$80))-SUM(BV111:BX111)</f>
        <v>18</v>
      </c>
      <c r="BZ111" s="1390">
        <f>ROUND(INDEX($A$85:$AY$85,MATCH(YEAR(BZ$78),$A$80:$AY$80))*20%,0)</f>
        <v>9</v>
      </c>
      <c r="CA111" s="1390">
        <f>ROUND(INDEX($A$85:$AY$85,MATCH(YEAR(CA$78),$A$80:$AY$80))*20%,0)</f>
        <v>9</v>
      </c>
      <c r="CB111" s="1390">
        <f>ROUND(INDEX($A$85:$AY$85,MATCH(YEAR(CB$78),$A$80:$AY$80))*20%,0)</f>
        <v>9</v>
      </c>
      <c r="CC111" s="1391">
        <f>INDEX($A$85:$AY$85,MATCH(YEAR(CC$78),$A$80:$AY$80))-SUM(BZ111:CB111)</f>
        <v>18</v>
      </c>
      <c r="CD111" s="1390">
        <f>ROUND(INDEX($A$85:$AY$85,MATCH(YEAR(CD$78),$A$80:$AY$80))*20%,0)</f>
        <v>9</v>
      </c>
      <c r="CE111" s="1390">
        <f>ROUND(INDEX($A$85:$AY$85,MATCH(YEAR(CE$78),$A$80:$AY$80))*20%,0)</f>
        <v>9</v>
      </c>
      <c r="CF111" s="1390">
        <f>ROUND(INDEX($A$85:$AY$85,MATCH(YEAR(CF$78),$A$80:$AY$80))*20%,0)</f>
        <v>9</v>
      </c>
      <c r="CG111" s="1391">
        <f>INDEX($A$85:$AY$85,MATCH(YEAR(CG$78),$A$80:$AY$80))-SUM(CD111:CF111)</f>
        <v>18</v>
      </c>
      <c r="CH111" s="1390">
        <f>ROUND(INDEX($A$85:$BB$85,MATCH(YEAR(CH$78),$A$80:$BB$80))*20%,0)</f>
        <v>8</v>
      </c>
      <c r="CI111" s="1390">
        <f t="shared" ref="CI111:CJ111" si="675">ROUND(INDEX($A$85:$BB$85,MATCH(YEAR(CI$78),$A$80:$BB$80))*20%,0)</f>
        <v>8</v>
      </c>
      <c r="CJ111" s="1390">
        <f t="shared" si="675"/>
        <v>8</v>
      </c>
      <c r="CK111" s="1391">
        <f>INDEX($A$85:$BB$85,MATCH(YEAR(CK$78),$A$80:$BB$80))-SUM(CH111:CJ111)</f>
        <v>14</v>
      </c>
      <c r="CL111" s="1390">
        <f>ROUND(INDEX($A$85:$BB$85,MATCH(YEAR(CL$78),$A$80:$BB$80))*20%,0)</f>
        <v>8</v>
      </c>
      <c r="CM111" s="1390">
        <f t="shared" ref="CM111:CN111" si="676">ROUND(INDEX($A$85:$BB$85,MATCH(YEAR(CM$78),$A$80:$BB$80))*20%,0)</f>
        <v>8</v>
      </c>
      <c r="CN111" s="1390">
        <f t="shared" si="676"/>
        <v>8</v>
      </c>
      <c r="CO111" s="1391">
        <f>INDEX($A$85:$BB$85,MATCH(YEAR(CO$78),$A$80:$BB$80))-SUM(CL111:CN111)</f>
        <v>14</v>
      </c>
      <c r="CP111" s="1390">
        <f>ROUND(INDEX($A$85:$BB$85,MATCH(YEAR(CP$78),$A$80:$BB$80))*20%,0)</f>
        <v>8</v>
      </c>
      <c r="CQ111" s="1390">
        <f t="shared" ref="CQ111:CR111" si="677">ROUND(INDEX($A$85:$BB$85,MATCH(YEAR(CQ$78),$A$80:$BB$80))*20%,0)</f>
        <v>8</v>
      </c>
      <c r="CR111" s="1390">
        <f t="shared" si="677"/>
        <v>8</v>
      </c>
      <c r="CS111" s="1391">
        <f>INDEX($A$85:$BB$85,MATCH(YEAR(CS$78),$A$80:$BB$80))-SUM(CP111:CR111)</f>
        <v>14</v>
      </c>
      <c r="CT111" s="1390">
        <f>ROUND(INDEX($A$85:$BB$85,MATCH(YEAR(CT$78),$A$80:$BB$80))*20%,0)</f>
        <v>7</v>
      </c>
      <c r="CU111" s="1390">
        <f t="shared" ref="CU111:CV111" si="678">ROUND(INDEX($A$85:$BB$85,MATCH(YEAR(CU$78),$A$80:$BB$80))*20%,0)</f>
        <v>7</v>
      </c>
      <c r="CV111" s="1390">
        <f t="shared" si="678"/>
        <v>7</v>
      </c>
      <c r="CW111" s="1391">
        <f>INDEX($A$85:$BB$85,MATCH(YEAR(CW$78),$A$80:$BB$80))-SUM(CT111:CV111)</f>
        <v>12</v>
      </c>
      <c r="CX111" s="337"/>
      <c r="CY111" s="337"/>
      <c r="DA111" s="9"/>
      <c r="DB111" s="9"/>
    </row>
    <row r="112" spans="1:106" s="92" customFormat="1">
      <c r="A112" s="693" t="s">
        <v>202</v>
      </c>
      <c r="B112" s="689"/>
      <c r="C112" s="689">
        <f t="shared" ref="C112:AA112" si="679">C110</f>
        <v>-2</v>
      </c>
      <c r="D112" s="689">
        <f t="shared" si="679"/>
        <v>-5</v>
      </c>
      <c r="E112" s="689">
        <f t="shared" si="679"/>
        <v>8</v>
      </c>
      <c r="F112" s="689">
        <f t="shared" si="679"/>
        <v>1</v>
      </c>
      <c r="G112" s="689">
        <f t="shared" si="679"/>
        <v>7</v>
      </c>
      <c r="H112" s="689">
        <f t="shared" si="679"/>
        <v>4</v>
      </c>
      <c r="I112" s="689">
        <f t="shared" si="679"/>
        <v>25</v>
      </c>
      <c r="J112" s="689">
        <f t="shared" si="679"/>
        <v>2</v>
      </c>
      <c r="K112" s="689">
        <f t="shared" si="679"/>
        <v>11</v>
      </c>
      <c r="L112" s="689">
        <f t="shared" si="679"/>
        <v>0</v>
      </c>
      <c r="M112" s="689">
        <f t="shared" si="679"/>
        <v>19</v>
      </c>
      <c r="N112" s="689">
        <f t="shared" si="679"/>
        <v>42</v>
      </c>
      <c r="O112" s="689">
        <f t="shared" si="679"/>
        <v>-10</v>
      </c>
      <c r="P112" s="689">
        <f t="shared" si="679"/>
        <v>11</v>
      </c>
      <c r="Q112" s="689">
        <f t="shared" si="679"/>
        <v>5</v>
      </c>
      <c r="R112" s="689">
        <f t="shared" si="679"/>
        <v>6</v>
      </c>
      <c r="S112" s="689">
        <f t="shared" si="679"/>
        <v>108</v>
      </c>
      <c r="T112" s="689">
        <f t="shared" si="679"/>
        <v>31</v>
      </c>
      <c r="U112" s="689">
        <f t="shared" si="679"/>
        <v>30</v>
      </c>
      <c r="V112" s="689">
        <f t="shared" si="679"/>
        <v>10</v>
      </c>
      <c r="W112" s="689">
        <f t="shared" si="679"/>
        <v>350</v>
      </c>
      <c r="X112" s="689">
        <f t="shared" si="679"/>
        <v>20</v>
      </c>
      <c r="Y112" s="689">
        <f t="shared" si="679"/>
        <v>24</v>
      </c>
      <c r="Z112" s="689">
        <f t="shared" si="679"/>
        <v>-6</v>
      </c>
      <c r="AA112" s="689">
        <f t="shared" si="679"/>
        <v>21</v>
      </c>
      <c r="AB112" s="689">
        <f t="shared" ref="AB112:AM112" si="680">AB110</f>
        <v>38</v>
      </c>
      <c r="AC112" s="689">
        <f t="shared" si="680"/>
        <v>9</v>
      </c>
      <c r="AD112" s="689">
        <f t="shared" si="680"/>
        <v>-7</v>
      </c>
      <c r="AE112" s="689">
        <f t="shared" si="680"/>
        <v>13</v>
      </c>
      <c r="AF112" s="689">
        <f t="shared" si="680"/>
        <v>44</v>
      </c>
      <c r="AG112" s="689">
        <f t="shared" si="680"/>
        <v>54</v>
      </c>
      <c r="AH112" s="689">
        <f t="shared" si="680"/>
        <v>31</v>
      </c>
      <c r="AI112" s="689">
        <f t="shared" si="680"/>
        <v>16</v>
      </c>
      <c r="AJ112" s="689">
        <f t="shared" si="680"/>
        <v>32</v>
      </c>
      <c r="AK112" s="689">
        <f t="shared" si="680"/>
        <v>36</v>
      </c>
      <c r="AL112" s="689">
        <f t="shared" si="680"/>
        <v>1</v>
      </c>
      <c r="AM112" s="689">
        <f t="shared" si="680"/>
        <v>29</v>
      </c>
      <c r="AN112" s="689">
        <f t="shared" ref="AN112:AS112" si="681">AN110</f>
        <v>20</v>
      </c>
      <c r="AO112" s="689">
        <f t="shared" si="681"/>
        <v>54</v>
      </c>
      <c r="AP112" s="689">
        <f t="shared" si="681"/>
        <v>10</v>
      </c>
      <c r="AQ112" s="689">
        <f t="shared" si="681"/>
        <v>-11</v>
      </c>
      <c r="AR112" s="689">
        <f t="shared" si="681"/>
        <v>1</v>
      </c>
      <c r="AS112" s="689">
        <f t="shared" si="681"/>
        <v>-1</v>
      </c>
      <c r="AT112" s="689">
        <f t="shared" ref="AT112:BC112" si="682">AT110</f>
        <v>-17</v>
      </c>
      <c r="AU112" s="689">
        <f t="shared" si="682"/>
        <v>-23</v>
      </c>
      <c r="AV112" s="689">
        <f t="shared" si="682"/>
        <v>-16</v>
      </c>
      <c r="AW112" s="689">
        <f t="shared" si="682"/>
        <v>-39</v>
      </c>
      <c r="AX112" s="689">
        <f t="shared" si="682"/>
        <v>-15</v>
      </c>
      <c r="AY112" s="689">
        <f t="shared" si="682"/>
        <v>-6</v>
      </c>
      <c r="AZ112" s="689">
        <f t="shared" si="682"/>
        <v>-23</v>
      </c>
      <c r="BA112" s="689">
        <f t="shared" si="682"/>
        <v>12</v>
      </c>
      <c r="BB112" s="689">
        <f t="shared" si="682"/>
        <v>-1</v>
      </c>
      <c r="BC112" s="689">
        <f t="shared" si="682"/>
        <v>6</v>
      </c>
      <c r="BD112" s="689">
        <f t="shared" ref="BD112:BI112" si="683">BD110</f>
        <v>5</v>
      </c>
      <c r="BE112" s="689">
        <f t="shared" si="683"/>
        <v>34</v>
      </c>
      <c r="BF112" s="689">
        <f t="shared" si="683"/>
        <v>-4</v>
      </c>
      <c r="BG112" s="689">
        <f t="shared" si="683"/>
        <v>-12</v>
      </c>
      <c r="BH112" s="689">
        <f t="shared" si="683"/>
        <v>1</v>
      </c>
      <c r="BI112" s="689">
        <f t="shared" si="683"/>
        <v>33</v>
      </c>
      <c r="BJ112" s="689">
        <f t="shared" ref="BJ112:BK112" si="684">BJ110</f>
        <v>15</v>
      </c>
      <c r="BK112" s="1830">
        <f t="shared" si="684"/>
        <v>23</v>
      </c>
      <c r="BL112" s="1639">
        <f>+ROUND(BL111*80%,0)</f>
        <v>8</v>
      </c>
      <c r="BM112" s="1640">
        <f t="shared" ref="BL112:BT112" si="685">+ROUND(BM111*80%,0)</f>
        <v>3</v>
      </c>
      <c r="BN112" s="1639">
        <f t="shared" si="685"/>
        <v>10</v>
      </c>
      <c r="BO112" s="1639">
        <f t="shared" si="685"/>
        <v>10</v>
      </c>
      <c r="BP112" s="1639">
        <f t="shared" si="685"/>
        <v>10</v>
      </c>
      <c r="BQ112" s="1640">
        <f t="shared" si="685"/>
        <v>21</v>
      </c>
      <c r="BR112" s="1639">
        <f t="shared" si="685"/>
        <v>8</v>
      </c>
      <c r="BS112" s="1639">
        <f t="shared" si="685"/>
        <v>8</v>
      </c>
      <c r="BT112" s="1639">
        <f t="shared" si="685"/>
        <v>8</v>
      </c>
      <c r="BU112" s="1640">
        <f t="shared" ref="BU112:CK112" si="686">+ROUND(BU111*80%,0)</f>
        <v>18</v>
      </c>
      <c r="BV112" s="1639">
        <f t="shared" si="686"/>
        <v>7</v>
      </c>
      <c r="BW112" s="1639">
        <f t="shared" si="686"/>
        <v>7</v>
      </c>
      <c r="BX112" s="1639">
        <f t="shared" si="686"/>
        <v>7</v>
      </c>
      <c r="BY112" s="1640">
        <f t="shared" si="686"/>
        <v>14</v>
      </c>
      <c r="BZ112" s="1639">
        <f t="shared" si="686"/>
        <v>7</v>
      </c>
      <c r="CA112" s="1639">
        <f t="shared" si="686"/>
        <v>7</v>
      </c>
      <c r="CB112" s="1639">
        <f t="shared" si="686"/>
        <v>7</v>
      </c>
      <c r="CC112" s="1640">
        <f t="shared" si="686"/>
        <v>14</v>
      </c>
      <c r="CD112" s="1639">
        <f t="shared" si="686"/>
        <v>7</v>
      </c>
      <c r="CE112" s="1639">
        <f t="shared" si="686"/>
        <v>7</v>
      </c>
      <c r="CF112" s="1639">
        <f t="shared" si="686"/>
        <v>7</v>
      </c>
      <c r="CG112" s="1640">
        <f t="shared" si="686"/>
        <v>14</v>
      </c>
      <c r="CH112" s="1639">
        <f t="shared" si="686"/>
        <v>6</v>
      </c>
      <c r="CI112" s="1639">
        <f t="shared" si="686"/>
        <v>6</v>
      </c>
      <c r="CJ112" s="1639">
        <f t="shared" si="686"/>
        <v>6</v>
      </c>
      <c r="CK112" s="1640">
        <f t="shared" si="686"/>
        <v>11</v>
      </c>
      <c r="CL112" s="1640">
        <f t="shared" ref="CL112:CP112" si="687">+ROUND(CL111*80%,0)</f>
        <v>6</v>
      </c>
      <c r="CM112" s="1640">
        <f t="shared" si="687"/>
        <v>6</v>
      </c>
      <c r="CN112" s="1640">
        <f t="shared" si="687"/>
        <v>6</v>
      </c>
      <c r="CO112" s="1640">
        <f t="shared" si="687"/>
        <v>11</v>
      </c>
      <c r="CP112" s="1640">
        <f t="shared" si="687"/>
        <v>6</v>
      </c>
      <c r="CQ112" s="1640">
        <f t="shared" ref="CQ112:CU112" si="688">+ROUND(CQ111*80%,0)</f>
        <v>6</v>
      </c>
      <c r="CR112" s="1640">
        <f t="shared" si="688"/>
        <v>6</v>
      </c>
      <c r="CS112" s="1640">
        <f t="shared" si="688"/>
        <v>11</v>
      </c>
      <c r="CT112" s="1640">
        <f t="shared" si="688"/>
        <v>6</v>
      </c>
      <c r="CU112" s="1640">
        <f t="shared" si="688"/>
        <v>6</v>
      </c>
      <c r="CV112" s="1640">
        <f t="shared" ref="CV112:CW112" si="689">+ROUND(CV111*80%,0)</f>
        <v>6</v>
      </c>
      <c r="CW112" s="1640">
        <f t="shared" si="689"/>
        <v>10</v>
      </c>
      <c r="CX112" s="337"/>
      <c r="CY112" s="337"/>
      <c r="DA112" s="9"/>
      <c r="DB112" s="9"/>
    </row>
    <row r="113" spans="1:106">
      <c r="A113" s="42"/>
      <c r="B113" s="388"/>
      <c r="C113" s="388"/>
      <c r="D113" s="388"/>
      <c r="E113" s="388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574"/>
      <c r="AN113" s="574"/>
      <c r="AO113" s="574"/>
      <c r="AP113" s="574"/>
      <c r="AQ113" s="574"/>
      <c r="AR113" s="574"/>
      <c r="AS113" s="574"/>
      <c r="AT113" s="574"/>
      <c r="AU113" s="574"/>
      <c r="AV113" s="574"/>
      <c r="AW113" s="574"/>
      <c r="AX113" s="574"/>
      <c r="AY113" s="574"/>
      <c r="AZ113" s="574"/>
      <c r="BA113" s="574"/>
      <c r="BB113" s="574"/>
      <c r="BC113" s="574"/>
      <c r="BD113" s="574"/>
      <c r="BE113" s="574"/>
      <c r="BF113" s="574"/>
      <c r="BG113" s="574"/>
      <c r="BH113" s="574"/>
      <c r="BI113" s="574"/>
      <c r="BJ113" s="574"/>
      <c r="BK113" s="1831"/>
      <c r="BL113" s="305"/>
      <c r="BM113" s="305"/>
      <c r="BN113" s="305"/>
      <c r="BO113" s="305"/>
      <c r="BP113" s="305"/>
      <c r="BQ113" s="305"/>
      <c r="BR113" s="305"/>
      <c r="BS113" s="305"/>
      <c r="BT113" s="305"/>
      <c r="BU113" s="305"/>
      <c r="BV113" s="305"/>
      <c r="BW113" s="305"/>
      <c r="BX113" s="305"/>
      <c r="BY113" s="305"/>
      <c r="BZ113" s="305"/>
      <c r="CA113" s="305"/>
      <c r="CB113" s="305"/>
      <c r="CC113" s="305"/>
      <c r="CD113" s="305"/>
      <c r="CE113" s="305"/>
      <c r="CF113" s="305"/>
      <c r="CG113" s="305"/>
      <c r="CH113" s="305"/>
      <c r="CI113" s="305"/>
      <c r="CJ113" s="305"/>
      <c r="CK113" s="305"/>
      <c r="CL113" s="305"/>
      <c r="CM113" s="305"/>
      <c r="CN113" s="305"/>
      <c r="CO113" s="305"/>
      <c r="CP113" s="305"/>
      <c r="CQ113" s="305"/>
      <c r="CR113" s="305"/>
      <c r="CS113" s="305"/>
      <c r="CT113" s="305"/>
      <c r="CU113" s="305"/>
      <c r="CV113" s="305"/>
      <c r="CW113" s="305"/>
      <c r="CX113" s="269"/>
      <c r="CY113" s="337"/>
    </row>
    <row r="114" spans="1:106" s="92" customFormat="1">
      <c r="A114" s="692" t="s">
        <v>943</v>
      </c>
      <c r="B114" s="687"/>
      <c r="C114" s="687">
        <f t="shared" ref="C114:AA114" si="690">CHOOSE(MASTERSWITCH,C115,C116,C117)</f>
        <v>1</v>
      </c>
      <c r="D114" s="687">
        <f t="shared" si="690"/>
        <v>2</v>
      </c>
      <c r="E114" s="687">
        <f t="shared" si="690"/>
        <v>3</v>
      </c>
      <c r="F114" s="687">
        <f t="shared" si="690"/>
        <v>-2</v>
      </c>
      <c r="G114" s="687">
        <f t="shared" si="690"/>
        <v>3</v>
      </c>
      <c r="H114" s="687">
        <f t="shared" si="690"/>
        <v>3</v>
      </c>
      <c r="I114" s="687">
        <f t="shared" si="690"/>
        <v>-5</v>
      </c>
      <c r="J114" s="687">
        <f t="shared" si="690"/>
        <v>0</v>
      </c>
      <c r="K114" s="687">
        <f t="shared" si="690"/>
        <v>1</v>
      </c>
      <c r="L114" s="687">
        <f t="shared" si="690"/>
        <v>2</v>
      </c>
      <c r="M114" s="687">
        <f t="shared" si="690"/>
        <v>3</v>
      </c>
      <c r="N114" s="687">
        <f t="shared" si="690"/>
        <v>12</v>
      </c>
      <c r="O114" s="687">
        <f t="shared" si="690"/>
        <v>20</v>
      </c>
      <c r="P114" s="687">
        <f t="shared" si="690"/>
        <v>2</v>
      </c>
      <c r="Q114" s="687">
        <f t="shared" si="690"/>
        <v>29</v>
      </c>
      <c r="R114" s="687">
        <f t="shared" si="690"/>
        <v>-14</v>
      </c>
      <c r="S114" s="687">
        <f t="shared" si="690"/>
        <v>219</v>
      </c>
      <c r="T114" s="687">
        <f t="shared" si="690"/>
        <v>0</v>
      </c>
      <c r="U114" s="687">
        <f t="shared" si="690"/>
        <v>9</v>
      </c>
      <c r="V114" s="687">
        <f t="shared" si="690"/>
        <v>2</v>
      </c>
      <c r="W114" s="687">
        <f t="shared" si="690"/>
        <v>6</v>
      </c>
      <c r="X114" s="687">
        <f t="shared" si="690"/>
        <v>-3</v>
      </c>
      <c r="Y114" s="687">
        <f t="shared" si="690"/>
        <v>15</v>
      </c>
      <c r="Z114" s="687">
        <f t="shared" si="690"/>
        <v>3</v>
      </c>
      <c r="AA114" s="687">
        <f t="shared" si="690"/>
        <v>3</v>
      </c>
      <c r="AB114" s="687">
        <f t="shared" ref="AB114:AM114" si="691">CHOOSE(MASTERSWITCH,AB115,AB116,AB117)</f>
        <v>10</v>
      </c>
      <c r="AC114" s="687">
        <f t="shared" si="691"/>
        <v>15</v>
      </c>
      <c r="AD114" s="687">
        <f t="shared" si="691"/>
        <v>5</v>
      </c>
      <c r="AE114" s="687">
        <f t="shared" si="691"/>
        <v>3</v>
      </c>
      <c r="AF114" s="687">
        <f t="shared" si="691"/>
        <v>-10</v>
      </c>
      <c r="AG114" s="687">
        <f t="shared" si="691"/>
        <v>21</v>
      </c>
      <c r="AH114" s="687">
        <f t="shared" si="691"/>
        <v>-10</v>
      </c>
      <c r="AI114" s="687">
        <f t="shared" si="691"/>
        <v>5</v>
      </c>
      <c r="AJ114" s="687">
        <f t="shared" si="691"/>
        <v>6</v>
      </c>
      <c r="AK114" s="687">
        <f t="shared" si="691"/>
        <v>15</v>
      </c>
      <c r="AL114" s="687">
        <f t="shared" si="691"/>
        <v>11</v>
      </c>
      <c r="AM114" s="687">
        <f t="shared" si="691"/>
        <v>0</v>
      </c>
      <c r="AN114" s="687">
        <f t="shared" ref="AN114:AS114" si="692">CHOOSE(MASTERSWITCH,AN115,AN116,AN117)</f>
        <v>3</v>
      </c>
      <c r="AO114" s="687">
        <f t="shared" si="692"/>
        <v>3</v>
      </c>
      <c r="AP114" s="687">
        <f t="shared" si="692"/>
        <v>0</v>
      </c>
      <c r="AQ114" s="687">
        <f t="shared" si="692"/>
        <v>-3</v>
      </c>
      <c r="AR114" s="687">
        <f t="shared" si="692"/>
        <v>5</v>
      </c>
      <c r="AS114" s="687">
        <f t="shared" si="692"/>
        <v>-196</v>
      </c>
      <c r="AT114" s="687">
        <f t="shared" ref="AT114:BC114" si="693">CHOOSE(MASTERSWITCH,AT115,AT116,AT117)</f>
        <v>8</v>
      </c>
      <c r="AU114" s="687">
        <f t="shared" si="693"/>
        <v>-4</v>
      </c>
      <c r="AV114" s="687">
        <f t="shared" si="693"/>
        <v>-1</v>
      </c>
      <c r="AW114" s="687">
        <f t="shared" si="693"/>
        <v>4</v>
      </c>
      <c r="AX114" s="687">
        <f t="shared" si="693"/>
        <v>2</v>
      </c>
      <c r="AY114" s="687">
        <f t="shared" si="693"/>
        <v>4</v>
      </c>
      <c r="AZ114" s="687">
        <f t="shared" si="693"/>
        <v>13</v>
      </c>
      <c r="BA114" s="687">
        <f t="shared" si="693"/>
        <v>3</v>
      </c>
      <c r="BB114" s="687">
        <f t="shared" si="693"/>
        <v>8</v>
      </c>
      <c r="BC114" s="687">
        <f t="shared" si="693"/>
        <v>5</v>
      </c>
      <c r="BD114" s="687">
        <f t="shared" ref="BD114:BN114" si="694">CHOOSE(MASTERSWITCH,BD115,BD116,BD117)</f>
        <v>7</v>
      </c>
      <c r="BE114" s="687">
        <f t="shared" si="694"/>
        <v>10</v>
      </c>
      <c r="BF114" s="687">
        <f t="shared" ref="BF114:BG114" si="695">CHOOSE(MASTERSWITCH,BF115,BF116,BF117)</f>
        <v>0</v>
      </c>
      <c r="BG114" s="687">
        <f t="shared" si="695"/>
        <v>5</v>
      </c>
      <c r="BH114" s="687">
        <f t="shared" ref="BH114:BI114" si="696">CHOOSE(MASTERSWITCH,BH115,BH116,BH117)</f>
        <v>10</v>
      </c>
      <c r="BI114" s="687">
        <f t="shared" si="696"/>
        <v>32</v>
      </c>
      <c r="BJ114" s="687">
        <f t="shared" ref="BJ114:BK114" si="697">CHOOSE(MASTERSWITCH,BJ115,BJ116,BJ117)</f>
        <v>3</v>
      </c>
      <c r="BK114" s="1829">
        <f t="shared" si="697"/>
        <v>4</v>
      </c>
      <c r="BL114" s="688">
        <f t="shared" si="694"/>
        <v>5</v>
      </c>
      <c r="BM114" s="688">
        <f t="shared" si="694"/>
        <v>14</v>
      </c>
      <c r="BN114" s="688">
        <f t="shared" si="694"/>
        <v>6</v>
      </c>
      <c r="BO114" s="688">
        <f t="shared" ref="BO114:CK114" si="698">CHOOSE(MASTERSWITCH,BO115,BO116,BO117)</f>
        <v>6</v>
      </c>
      <c r="BP114" s="688">
        <f t="shared" si="698"/>
        <v>6</v>
      </c>
      <c r="BQ114" s="688">
        <f t="shared" si="698"/>
        <v>14</v>
      </c>
      <c r="BR114" s="688">
        <f t="shared" si="698"/>
        <v>6</v>
      </c>
      <c r="BS114" s="688">
        <f t="shared" si="698"/>
        <v>6</v>
      </c>
      <c r="BT114" s="688">
        <f t="shared" si="698"/>
        <v>6</v>
      </c>
      <c r="BU114" s="688">
        <f t="shared" si="698"/>
        <v>10</v>
      </c>
      <c r="BV114" s="688">
        <f t="shared" si="698"/>
        <v>5</v>
      </c>
      <c r="BW114" s="688">
        <f t="shared" si="698"/>
        <v>5</v>
      </c>
      <c r="BX114" s="688">
        <f t="shared" si="698"/>
        <v>5</v>
      </c>
      <c r="BY114" s="688">
        <f t="shared" si="698"/>
        <v>9</v>
      </c>
      <c r="BZ114" s="688">
        <f t="shared" si="698"/>
        <v>5</v>
      </c>
      <c r="CA114" s="688">
        <f t="shared" si="698"/>
        <v>5</v>
      </c>
      <c r="CB114" s="688">
        <f t="shared" si="698"/>
        <v>5</v>
      </c>
      <c r="CC114" s="688">
        <f t="shared" si="698"/>
        <v>9</v>
      </c>
      <c r="CD114" s="688">
        <f t="shared" si="698"/>
        <v>5</v>
      </c>
      <c r="CE114" s="688">
        <f t="shared" si="698"/>
        <v>5</v>
      </c>
      <c r="CF114" s="688">
        <f t="shared" si="698"/>
        <v>5</v>
      </c>
      <c r="CG114" s="688">
        <f t="shared" si="698"/>
        <v>9</v>
      </c>
      <c r="CH114" s="688">
        <f t="shared" si="698"/>
        <v>4</v>
      </c>
      <c r="CI114" s="688">
        <f t="shared" si="698"/>
        <v>4</v>
      </c>
      <c r="CJ114" s="688">
        <f t="shared" si="698"/>
        <v>4</v>
      </c>
      <c r="CK114" s="688">
        <f t="shared" si="698"/>
        <v>8</v>
      </c>
      <c r="CL114" s="688">
        <f t="shared" ref="CL114:CP114" si="699">CHOOSE(MASTERSWITCH,CL115,CL116,CL117)</f>
        <v>4</v>
      </c>
      <c r="CM114" s="688">
        <f t="shared" si="699"/>
        <v>4</v>
      </c>
      <c r="CN114" s="688">
        <f t="shared" si="699"/>
        <v>4</v>
      </c>
      <c r="CO114" s="688">
        <f t="shared" si="699"/>
        <v>8</v>
      </c>
      <c r="CP114" s="688">
        <f t="shared" si="699"/>
        <v>4</v>
      </c>
      <c r="CQ114" s="688">
        <f t="shared" ref="CQ114:CU114" si="700">CHOOSE(MASTERSWITCH,CQ115,CQ116,CQ117)</f>
        <v>4</v>
      </c>
      <c r="CR114" s="688">
        <f t="shared" si="700"/>
        <v>4</v>
      </c>
      <c r="CS114" s="688">
        <f t="shared" si="700"/>
        <v>8</v>
      </c>
      <c r="CT114" s="688">
        <f t="shared" si="700"/>
        <v>3</v>
      </c>
      <c r="CU114" s="688">
        <f t="shared" si="700"/>
        <v>3</v>
      </c>
      <c r="CV114" s="688">
        <f t="shared" ref="CV114:CW114" si="701">CHOOSE(MASTERSWITCH,CV115,CV116,CV117)</f>
        <v>3</v>
      </c>
      <c r="CW114" s="688">
        <f t="shared" si="701"/>
        <v>8</v>
      </c>
      <c r="CX114" s="337"/>
      <c r="CY114" s="337"/>
      <c r="DA114" s="9"/>
      <c r="DB114" s="9"/>
    </row>
    <row r="115" spans="1:106" s="92" customFormat="1">
      <c r="A115" s="693" t="s">
        <v>571</v>
      </c>
      <c r="B115" s="689"/>
      <c r="C115" s="689">
        <f>Q_IS!C19</f>
        <v>1</v>
      </c>
      <c r="D115" s="689">
        <f>Q_IS!D19</f>
        <v>2</v>
      </c>
      <c r="E115" s="689">
        <f>Q_IS!E19</f>
        <v>3</v>
      </c>
      <c r="F115" s="689">
        <f>Q_IS!F19</f>
        <v>-2</v>
      </c>
      <c r="G115" s="689">
        <f>Q_IS!G19</f>
        <v>3</v>
      </c>
      <c r="H115" s="689">
        <f>Q_IS!H19</f>
        <v>3</v>
      </c>
      <c r="I115" s="689">
        <f>Q_IS!I19</f>
        <v>-5</v>
      </c>
      <c r="J115" s="689">
        <f>Q_IS!J19</f>
        <v>0</v>
      </c>
      <c r="K115" s="689">
        <f>Q_IS!K19</f>
        <v>1</v>
      </c>
      <c r="L115" s="689">
        <f>Q_IS!L19</f>
        <v>2</v>
      </c>
      <c r="M115" s="689">
        <f>Q_IS!M19</f>
        <v>3</v>
      </c>
      <c r="N115" s="689">
        <f>Q_IS!N19</f>
        <v>12</v>
      </c>
      <c r="O115" s="689">
        <f>Q_IS!O19</f>
        <v>20</v>
      </c>
      <c r="P115" s="689">
        <f>Q_IS!P19</f>
        <v>2</v>
      </c>
      <c r="Q115" s="689">
        <f>Q_IS!Q19</f>
        <v>29</v>
      </c>
      <c r="R115" s="689">
        <f>Q_IS!R19</f>
        <v>-14</v>
      </c>
      <c r="S115" s="689">
        <f>Q_IS!S19</f>
        <v>219</v>
      </c>
      <c r="T115" s="689">
        <f>Q_IS!T19</f>
        <v>0</v>
      </c>
      <c r="U115" s="689">
        <f>Q_IS!U19</f>
        <v>9</v>
      </c>
      <c r="V115" s="689">
        <f>Q_IS!V19</f>
        <v>2</v>
      </c>
      <c r="W115" s="689">
        <f>Q_IS!W19</f>
        <v>6</v>
      </c>
      <c r="X115" s="689">
        <f>Q_IS!X19</f>
        <v>-3</v>
      </c>
      <c r="Y115" s="689">
        <f>Q_IS!Y19</f>
        <v>15</v>
      </c>
      <c r="Z115" s="689">
        <f>Q_IS!Z19</f>
        <v>3</v>
      </c>
      <c r="AA115" s="689">
        <f>Q_IS!AA19</f>
        <v>3</v>
      </c>
      <c r="AB115" s="689">
        <f>Q_IS!AB19</f>
        <v>10</v>
      </c>
      <c r="AC115" s="689">
        <f>Q_IS!AC19</f>
        <v>15</v>
      </c>
      <c r="AD115" s="689">
        <f>Q_IS!AD19</f>
        <v>5</v>
      </c>
      <c r="AE115" s="689">
        <f>Q_IS!AE19</f>
        <v>3</v>
      </c>
      <c r="AF115" s="689">
        <f>Q_IS!AF19</f>
        <v>-10</v>
      </c>
      <c r="AG115" s="689">
        <f>Q_IS!AG19</f>
        <v>21</v>
      </c>
      <c r="AH115" s="689">
        <f>Q_IS!AH19</f>
        <v>-10</v>
      </c>
      <c r="AI115" s="689">
        <f>Q_IS!AI19</f>
        <v>5</v>
      </c>
      <c r="AJ115" s="689">
        <f>Q_IS!AJ19</f>
        <v>6</v>
      </c>
      <c r="AK115" s="689">
        <f>Q_IS!AK19</f>
        <v>15</v>
      </c>
      <c r="AL115" s="689">
        <f>Q_IS!AL19</f>
        <v>11</v>
      </c>
      <c r="AM115" s="689">
        <f>Q_IS!AM19</f>
        <v>0</v>
      </c>
      <c r="AN115" s="689">
        <f>Q_IS!AN19</f>
        <v>3</v>
      </c>
      <c r="AO115" s="689">
        <f>Q_IS!AO19</f>
        <v>3</v>
      </c>
      <c r="AP115" s="689">
        <f>Q_IS!AP19</f>
        <v>0</v>
      </c>
      <c r="AQ115" s="689">
        <f>Q_IS!AQ19</f>
        <v>-3</v>
      </c>
      <c r="AR115" s="689">
        <f>Q_IS!AR19</f>
        <v>5</v>
      </c>
      <c r="AS115" s="689">
        <f>Q_IS!AS19</f>
        <v>-196</v>
      </c>
      <c r="AT115" s="689">
        <f>Q_IS!AT19</f>
        <v>8</v>
      </c>
      <c r="AU115" s="689">
        <f>Q_IS!AU19</f>
        <v>-4</v>
      </c>
      <c r="AV115" s="689">
        <f>Q_IS!AV19</f>
        <v>-1</v>
      </c>
      <c r="AW115" s="689">
        <f>Q_IS!AW19</f>
        <v>4</v>
      </c>
      <c r="AX115" s="689">
        <f>Q_IS!AX19</f>
        <v>2</v>
      </c>
      <c r="AY115" s="689">
        <f>Q_IS!AY19</f>
        <v>4</v>
      </c>
      <c r="AZ115" s="689">
        <f>Q_IS!AZ19</f>
        <v>13</v>
      </c>
      <c r="BA115" s="689">
        <f>Q_IS!BA19</f>
        <v>3</v>
      </c>
      <c r="BB115" s="689">
        <f>Q_IS!BB19</f>
        <v>8</v>
      </c>
      <c r="BC115" s="689">
        <f>Q_IS!BC19</f>
        <v>5</v>
      </c>
      <c r="BD115" s="689">
        <f>Q_IS!BD19</f>
        <v>7</v>
      </c>
      <c r="BE115" s="689">
        <f>Q_IS!BE19</f>
        <v>10</v>
      </c>
      <c r="BF115" s="689">
        <f>Q_IS!BF19</f>
        <v>0</v>
      </c>
      <c r="BG115" s="689">
        <f>Q_IS!BG19</f>
        <v>5</v>
      </c>
      <c r="BH115" s="689">
        <f>Q_IS!BH19</f>
        <v>10</v>
      </c>
      <c r="BI115" s="689">
        <f>Q_IS!BI19</f>
        <v>32</v>
      </c>
      <c r="BJ115" s="689">
        <f>Q_IS!BJ19</f>
        <v>3</v>
      </c>
      <c r="BK115" s="1830">
        <f>Q_IS!BK19</f>
        <v>4</v>
      </c>
      <c r="BL115" s="1639">
        <f t="shared" ref="BL115:BP115" si="702">+BL116</f>
        <v>6</v>
      </c>
      <c r="BM115" s="1640">
        <f t="shared" si="702"/>
        <v>17</v>
      </c>
      <c r="BN115" s="1639">
        <f t="shared" si="702"/>
        <v>8</v>
      </c>
      <c r="BO115" s="1639">
        <f t="shared" si="702"/>
        <v>8</v>
      </c>
      <c r="BP115" s="1639">
        <f t="shared" si="702"/>
        <v>8</v>
      </c>
      <c r="BQ115" s="1640">
        <f t="shared" ref="BQ115:CW115" si="703">+BQ116</f>
        <v>18</v>
      </c>
      <c r="BR115" s="1639">
        <f t="shared" si="703"/>
        <v>7</v>
      </c>
      <c r="BS115" s="1639">
        <f t="shared" si="703"/>
        <v>7</v>
      </c>
      <c r="BT115" s="1639">
        <f t="shared" si="703"/>
        <v>7</v>
      </c>
      <c r="BU115" s="1640">
        <f t="shared" si="703"/>
        <v>13</v>
      </c>
      <c r="BV115" s="1639">
        <f t="shared" si="703"/>
        <v>6</v>
      </c>
      <c r="BW115" s="1639">
        <f t="shared" si="703"/>
        <v>6</v>
      </c>
      <c r="BX115" s="1639">
        <f t="shared" si="703"/>
        <v>6</v>
      </c>
      <c r="BY115" s="1640">
        <f t="shared" si="703"/>
        <v>11</v>
      </c>
      <c r="BZ115" s="1639">
        <f t="shared" si="703"/>
        <v>6</v>
      </c>
      <c r="CA115" s="1639">
        <f t="shared" si="703"/>
        <v>6</v>
      </c>
      <c r="CB115" s="1639">
        <f t="shared" si="703"/>
        <v>6</v>
      </c>
      <c r="CC115" s="1640">
        <f t="shared" si="703"/>
        <v>11</v>
      </c>
      <c r="CD115" s="1639">
        <f t="shared" si="703"/>
        <v>6</v>
      </c>
      <c r="CE115" s="1639">
        <f t="shared" si="703"/>
        <v>6</v>
      </c>
      <c r="CF115" s="1639">
        <f t="shared" si="703"/>
        <v>6</v>
      </c>
      <c r="CG115" s="1640">
        <f t="shared" si="703"/>
        <v>11</v>
      </c>
      <c r="CH115" s="1639">
        <f t="shared" si="703"/>
        <v>5</v>
      </c>
      <c r="CI115" s="1639">
        <f t="shared" si="703"/>
        <v>5</v>
      </c>
      <c r="CJ115" s="1639">
        <f t="shared" si="703"/>
        <v>5</v>
      </c>
      <c r="CK115" s="1640">
        <f t="shared" si="703"/>
        <v>10</v>
      </c>
      <c r="CL115" s="1640">
        <f t="shared" si="703"/>
        <v>5</v>
      </c>
      <c r="CM115" s="1640">
        <f t="shared" si="703"/>
        <v>5</v>
      </c>
      <c r="CN115" s="1640">
        <f t="shared" si="703"/>
        <v>5</v>
      </c>
      <c r="CO115" s="1640">
        <f t="shared" si="703"/>
        <v>10</v>
      </c>
      <c r="CP115" s="1640">
        <f t="shared" si="703"/>
        <v>5</v>
      </c>
      <c r="CQ115" s="1640">
        <f t="shared" si="703"/>
        <v>5</v>
      </c>
      <c r="CR115" s="1640">
        <f t="shared" si="703"/>
        <v>5</v>
      </c>
      <c r="CS115" s="1640">
        <f t="shared" si="703"/>
        <v>10</v>
      </c>
      <c r="CT115" s="1640">
        <f t="shared" si="703"/>
        <v>4</v>
      </c>
      <c r="CU115" s="1640">
        <f t="shared" si="703"/>
        <v>4</v>
      </c>
      <c r="CV115" s="1640">
        <f t="shared" si="703"/>
        <v>4</v>
      </c>
      <c r="CW115" s="1640">
        <f t="shared" si="703"/>
        <v>10</v>
      </c>
      <c r="CX115" s="337"/>
      <c r="CY115" s="337"/>
      <c r="DA115" s="9"/>
      <c r="DB115" s="9"/>
    </row>
    <row r="116" spans="1:106" s="92" customFormat="1">
      <c r="A116" s="693" t="s">
        <v>200</v>
      </c>
      <c r="B116" s="689"/>
      <c r="C116" s="689">
        <f t="shared" ref="C116:AA116" si="704">C115</f>
        <v>1</v>
      </c>
      <c r="D116" s="689">
        <f t="shared" si="704"/>
        <v>2</v>
      </c>
      <c r="E116" s="689">
        <f t="shared" si="704"/>
        <v>3</v>
      </c>
      <c r="F116" s="689">
        <f t="shared" si="704"/>
        <v>-2</v>
      </c>
      <c r="G116" s="689">
        <f t="shared" si="704"/>
        <v>3</v>
      </c>
      <c r="H116" s="689">
        <f t="shared" si="704"/>
        <v>3</v>
      </c>
      <c r="I116" s="689">
        <f t="shared" si="704"/>
        <v>-5</v>
      </c>
      <c r="J116" s="689">
        <f t="shared" si="704"/>
        <v>0</v>
      </c>
      <c r="K116" s="689">
        <f t="shared" si="704"/>
        <v>1</v>
      </c>
      <c r="L116" s="689">
        <f t="shared" si="704"/>
        <v>2</v>
      </c>
      <c r="M116" s="689">
        <f t="shared" si="704"/>
        <v>3</v>
      </c>
      <c r="N116" s="689">
        <f t="shared" si="704"/>
        <v>12</v>
      </c>
      <c r="O116" s="689">
        <f t="shared" si="704"/>
        <v>20</v>
      </c>
      <c r="P116" s="689">
        <f t="shared" si="704"/>
        <v>2</v>
      </c>
      <c r="Q116" s="689">
        <f t="shared" si="704"/>
        <v>29</v>
      </c>
      <c r="R116" s="689">
        <f t="shared" si="704"/>
        <v>-14</v>
      </c>
      <c r="S116" s="689">
        <f t="shared" si="704"/>
        <v>219</v>
      </c>
      <c r="T116" s="689">
        <f t="shared" si="704"/>
        <v>0</v>
      </c>
      <c r="U116" s="689">
        <f t="shared" si="704"/>
        <v>9</v>
      </c>
      <c r="V116" s="689">
        <f t="shared" si="704"/>
        <v>2</v>
      </c>
      <c r="W116" s="689">
        <f t="shared" si="704"/>
        <v>6</v>
      </c>
      <c r="X116" s="689">
        <f t="shared" si="704"/>
        <v>-3</v>
      </c>
      <c r="Y116" s="689">
        <f t="shared" si="704"/>
        <v>15</v>
      </c>
      <c r="Z116" s="689">
        <f t="shared" si="704"/>
        <v>3</v>
      </c>
      <c r="AA116" s="689">
        <f t="shared" si="704"/>
        <v>3</v>
      </c>
      <c r="AB116" s="689">
        <f t="shared" ref="AB116:AM116" si="705">AB115</f>
        <v>10</v>
      </c>
      <c r="AC116" s="689">
        <f t="shared" si="705"/>
        <v>15</v>
      </c>
      <c r="AD116" s="689">
        <f t="shared" si="705"/>
        <v>5</v>
      </c>
      <c r="AE116" s="689">
        <f t="shared" si="705"/>
        <v>3</v>
      </c>
      <c r="AF116" s="689">
        <f t="shared" si="705"/>
        <v>-10</v>
      </c>
      <c r="AG116" s="689">
        <f t="shared" si="705"/>
        <v>21</v>
      </c>
      <c r="AH116" s="689">
        <f t="shared" si="705"/>
        <v>-10</v>
      </c>
      <c r="AI116" s="689">
        <f t="shared" si="705"/>
        <v>5</v>
      </c>
      <c r="AJ116" s="689">
        <f t="shared" si="705"/>
        <v>6</v>
      </c>
      <c r="AK116" s="689">
        <f t="shared" si="705"/>
        <v>15</v>
      </c>
      <c r="AL116" s="689">
        <f t="shared" si="705"/>
        <v>11</v>
      </c>
      <c r="AM116" s="689">
        <f t="shared" si="705"/>
        <v>0</v>
      </c>
      <c r="AN116" s="689">
        <f t="shared" ref="AN116:AS116" si="706">AN115</f>
        <v>3</v>
      </c>
      <c r="AO116" s="689">
        <f t="shared" si="706"/>
        <v>3</v>
      </c>
      <c r="AP116" s="689">
        <f t="shared" si="706"/>
        <v>0</v>
      </c>
      <c r="AQ116" s="689">
        <f t="shared" si="706"/>
        <v>-3</v>
      </c>
      <c r="AR116" s="689">
        <f t="shared" si="706"/>
        <v>5</v>
      </c>
      <c r="AS116" s="689">
        <f t="shared" si="706"/>
        <v>-196</v>
      </c>
      <c r="AT116" s="689">
        <f t="shared" ref="AT116:BC116" si="707">AT115</f>
        <v>8</v>
      </c>
      <c r="AU116" s="689">
        <f t="shared" si="707"/>
        <v>-4</v>
      </c>
      <c r="AV116" s="689">
        <f t="shared" si="707"/>
        <v>-1</v>
      </c>
      <c r="AW116" s="689">
        <f t="shared" si="707"/>
        <v>4</v>
      </c>
      <c r="AX116" s="689">
        <f t="shared" si="707"/>
        <v>2</v>
      </c>
      <c r="AY116" s="689">
        <f t="shared" si="707"/>
        <v>4</v>
      </c>
      <c r="AZ116" s="689">
        <f t="shared" si="707"/>
        <v>13</v>
      </c>
      <c r="BA116" s="689">
        <f t="shared" si="707"/>
        <v>3</v>
      </c>
      <c r="BB116" s="689">
        <f t="shared" si="707"/>
        <v>8</v>
      </c>
      <c r="BC116" s="689">
        <f t="shared" si="707"/>
        <v>5</v>
      </c>
      <c r="BD116" s="689">
        <f t="shared" ref="BD116:BI116" si="708">BD115</f>
        <v>7</v>
      </c>
      <c r="BE116" s="689">
        <f t="shared" si="708"/>
        <v>10</v>
      </c>
      <c r="BF116" s="689">
        <f t="shared" si="708"/>
        <v>0</v>
      </c>
      <c r="BG116" s="689">
        <f t="shared" si="708"/>
        <v>5</v>
      </c>
      <c r="BH116" s="689">
        <f t="shared" si="708"/>
        <v>10</v>
      </c>
      <c r="BI116" s="689">
        <f t="shared" si="708"/>
        <v>32</v>
      </c>
      <c r="BJ116" s="689">
        <f t="shared" ref="BJ116:BK116" si="709">BJ115</f>
        <v>3</v>
      </c>
      <c r="BK116" s="1830">
        <f t="shared" si="709"/>
        <v>4</v>
      </c>
      <c r="BL116" s="1390">
        <f>ROUND(INDEX($A$90:$AY$90,MATCH(YEAR(BL$78),$A$80:$AY$80))*20%,0)</f>
        <v>6</v>
      </c>
      <c r="BM116" s="1391">
        <f>INDEX($A$90:$AY$90,MATCH(YEAR(BM$78),$A$80:$AY$80))-SUM(BJ116:BL116)</f>
        <v>17</v>
      </c>
      <c r="BN116" s="1390">
        <f>ROUND(INDEX($A$90:$AY$90,MATCH(YEAR(BN$78),$A$80:$AY$80))*20%,0)</f>
        <v>8</v>
      </c>
      <c r="BO116" s="1390">
        <f>ROUND(INDEX($A$90:$AY$90,MATCH(YEAR(BO$78),$A$80:$AY$80))*20%,0)</f>
        <v>8</v>
      </c>
      <c r="BP116" s="1390">
        <f>ROUND(INDEX($A$90:$AY$90,MATCH(YEAR(BP$78),$A$80:$AY$80))*20%,0)</f>
        <v>8</v>
      </c>
      <c r="BQ116" s="1391">
        <f>INDEX($A$90:$AY$90,MATCH(YEAR(BQ$78),$A$80:$AY$80))-SUM(BN116:BP116)</f>
        <v>18</v>
      </c>
      <c r="BR116" s="1390">
        <f>ROUND(INDEX($A$90:$AY$90,MATCH(YEAR(BR$78),$A$80:$AY$80))*20%,0)</f>
        <v>7</v>
      </c>
      <c r="BS116" s="1390">
        <f>ROUND(INDEX($A$90:$AY$90,MATCH(YEAR(BS$78),$A$80:$AY$80))*20%,0)</f>
        <v>7</v>
      </c>
      <c r="BT116" s="1390">
        <f>ROUND(INDEX($A$90:$AY$90,MATCH(YEAR(BT$78),$A$80:$AY$80))*20%,0)</f>
        <v>7</v>
      </c>
      <c r="BU116" s="1391">
        <f>INDEX($A$90:$AY$90,MATCH(YEAR(BU$78),$A$80:$AY$80))-SUM(BR116:BT116)</f>
        <v>13</v>
      </c>
      <c r="BV116" s="1390">
        <f>ROUND(INDEX($A$90:$AY$90,MATCH(YEAR(BV$78),$A$80:$AY$80))*20%,0)</f>
        <v>6</v>
      </c>
      <c r="BW116" s="1390">
        <f>ROUND(INDEX($A$90:$AY$90,MATCH(YEAR(BW$78),$A$80:$AY$80))*20%,0)</f>
        <v>6</v>
      </c>
      <c r="BX116" s="1390">
        <f>ROUND(INDEX($A$90:$AY$90,MATCH(YEAR(BX$78),$A$80:$AY$80))*20%,0)</f>
        <v>6</v>
      </c>
      <c r="BY116" s="1391">
        <f>INDEX($A$90:$AY$90,MATCH(YEAR(BY$78),$A$80:$AY$80))-SUM(BV116:BX116)</f>
        <v>11</v>
      </c>
      <c r="BZ116" s="1390">
        <f>ROUND(INDEX($A$90:$AY$90,MATCH(YEAR(BZ$78),$A$80:$AY$80))*20%,0)</f>
        <v>6</v>
      </c>
      <c r="CA116" s="1390">
        <f>ROUND(INDEX($A$90:$AY$90,MATCH(YEAR(CA$78),$A$80:$AY$80))*20%,0)</f>
        <v>6</v>
      </c>
      <c r="CB116" s="1390">
        <f>ROUND(INDEX($A$90:$AY$90,MATCH(YEAR(CB$78),$A$80:$AY$80))*20%,0)</f>
        <v>6</v>
      </c>
      <c r="CC116" s="1391">
        <f>INDEX($A$90:$AY$90,MATCH(YEAR(CC$78),$A$80:$AY$80))-SUM(BZ116:CB116)</f>
        <v>11</v>
      </c>
      <c r="CD116" s="1390">
        <f>ROUND(INDEX($A$90:$AY$90,MATCH(YEAR(CD$78),$A$80:$AY$80))*20%,0)</f>
        <v>6</v>
      </c>
      <c r="CE116" s="1390">
        <f>ROUND(INDEX($A$90:$AY$90,MATCH(YEAR(CE$78),$A$80:$AY$80))*20%,0)</f>
        <v>6</v>
      </c>
      <c r="CF116" s="1390">
        <f>ROUND(INDEX($A$90:$AY$90,MATCH(YEAR(CF$78),$A$80:$AY$80))*20%,0)</f>
        <v>6</v>
      </c>
      <c r="CG116" s="1391">
        <f>INDEX($A$90:$AY$90,MATCH(YEAR(CG$78),$A$80:$AY$80))-SUM(CD116:CF116)</f>
        <v>11</v>
      </c>
      <c r="CH116" s="1390">
        <f>ROUND(INDEX($A$90:$BB$90,MATCH(YEAR(CH$78),$A$80:$BB$80))*20%,0)</f>
        <v>5</v>
      </c>
      <c r="CI116" s="1390">
        <f t="shared" ref="CI116:CJ116" si="710">ROUND(INDEX($A$90:$BB$90,MATCH(YEAR(CI$78),$A$80:$BB$80))*20%,0)</f>
        <v>5</v>
      </c>
      <c r="CJ116" s="1390">
        <f t="shared" si="710"/>
        <v>5</v>
      </c>
      <c r="CK116" s="1391">
        <f>INDEX($A$90:$BB$90,MATCH(YEAR(CK$78),$A$80:$BB$80))-SUM(CH116:CJ116)</f>
        <v>10</v>
      </c>
      <c r="CL116" s="1390">
        <f>ROUND(INDEX($A$90:$BB$90,MATCH(YEAR(CL$78),$A$80:$BB$80))*20%,0)</f>
        <v>5</v>
      </c>
      <c r="CM116" s="1390">
        <f t="shared" ref="CM116:CN116" si="711">ROUND(INDEX($A$90:$BB$90,MATCH(YEAR(CM$78),$A$80:$BB$80))*20%,0)</f>
        <v>5</v>
      </c>
      <c r="CN116" s="1390">
        <f t="shared" si="711"/>
        <v>5</v>
      </c>
      <c r="CO116" s="1391">
        <f>INDEX($A$90:$BB$90,MATCH(YEAR(CO$78),$A$80:$BB$80))-SUM(CL116:CN116)</f>
        <v>10</v>
      </c>
      <c r="CP116" s="1390">
        <f>ROUND(INDEX($A$90:$BB$90,MATCH(YEAR(CP$78),$A$80:$BB$80))*20%,0)</f>
        <v>5</v>
      </c>
      <c r="CQ116" s="1390">
        <f t="shared" ref="CQ116:CR116" si="712">ROUND(INDEX($A$90:$BB$90,MATCH(YEAR(CQ$78),$A$80:$BB$80))*20%,0)</f>
        <v>5</v>
      </c>
      <c r="CR116" s="1390">
        <f t="shared" si="712"/>
        <v>5</v>
      </c>
      <c r="CS116" s="1391">
        <f>INDEX($A$90:$BB$90,MATCH(YEAR(CS$78),$A$80:$BB$80))-SUM(CP116:CR116)</f>
        <v>10</v>
      </c>
      <c r="CT116" s="1390">
        <f>ROUND(INDEX($A$90:$BB$90,MATCH(YEAR(CT$78),$A$80:$BB$80))*20%,0)</f>
        <v>4</v>
      </c>
      <c r="CU116" s="1390">
        <f t="shared" ref="CU116:CV116" si="713">ROUND(INDEX($A$90:$BB$90,MATCH(YEAR(CU$78),$A$80:$BB$80))*20%,0)</f>
        <v>4</v>
      </c>
      <c r="CV116" s="1390">
        <f t="shared" si="713"/>
        <v>4</v>
      </c>
      <c r="CW116" s="1391">
        <f>INDEX($A$90:$BB$90,MATCH(YEAR(CW$78),$A$80:$BB$80))-SUM(CT116:CV116)</f>
        <v>10</v>
      </c>
      <c r="CX116" s="337"/>
      <c r="CY116" s="337"/>
      <c r="DA116" s="9"/>
      <c r="DB116" s="9"/>
    </row>
    <row r="117" spans="1:106" s="92" customFormat="1">
      <c r="A117" s="693" t="s">
        <v>202</v>
      </c>
      <c r="B117" s="689"/>
      <c r="C117" s="689">
        <f t="shared" ref="C117:AA117" si="714">C115</f>
        <v>1</v>
      </c>
      <c r="D117" s="689">
        <f t="shared" si="714"/>
        <v>2</v>
      </c>
      <c r="E117" s="689">
        <f t="shared" si="714"/>
        <v>3</v>
      </c>
      <c r="F117" s="689">
        <f t="shared" si="714"/>
        <v>-2</v>
      </c>
      <c r="G117" s="689">
        <f t="shared" si="714"/>
        <v>3</v>
      </c>
      <c r="H117" s="689">
        <f t="shared" si="714"/>
        <v>3</v>
      </c>
      <c r="I117" s="689">
        <f t="shared" si="714"/>
        <v>-5</v>
      </c>
      <c r="J117" s="689">
        <f t="shared" si="714"/>
        <v>0</v>
      </c>
      <c r="K117" s="689">
        <f t="shared" si="714"/>
        <v>1</v>
      </c>
      <c r="L117" s="689">
        <f t="shared" si="714"/>
        <v>2</v>
      </c>
      <c r="M117" s="689">
        <f t="shared" si="714"/>
        <v>3</v>
      </c>
      <c r="N117" s="689">
        <f t="shared" si="714"/>
        <v>12</v>
      </c>
      <c r="O117" s="689">
        <f t="shared" si="714"/>
        <v>20</v>
      </c>
      <c r="P117" s="689">
        <f t="shared" si="714"/>
        <v>2</v>
      </c>
      <c r="Q117" s="689">
        <f t="shared" si="714"/>
        <v>29</v>
      </c>
      <c r="R117" s="689">
        <f t="shared" si="714"/>
        <v>-14</v>
      </c>
      <c r="S117" s="689">
        <f t="shared" si="714"/>
        <v>219</v>
      </c>
      <c r="T117" s="689">
        <f t="shared" si="714"/>
        <v>0</v>
      </c>
      <c r="U117" s="689">
        <f t="shared" si="714"/>
        <v>9</v>
      </c>
      <c r="V117" s="689">
        <f t="shared" si="714"/>
        <v>2</v>
      </c>
      <c r="W117" s="689">
        <f t="shared" si="714"/>
        <v>6</v>
      </c>
      <c r="X117" s="689">
        <f t="shared" si="714"/>
        <v>-3</v>
      </c>
      <c r="Y117" s="689">
        <f t="shared" si="714"/>
        <v>15</v>
      </c>
      <c r="Z117" s="689">
        <f t="shared" si="714"/>
        <v>3</v>
      </c>
      <c r="AA117" s="689">
        <f t="shared" si="714"/>
        <v>3</v>
      </c>
      <c r="AB117" s="689">
        <f t="shared" ref="AB117:AM117" si="715">AB115</f>
        <v>10</v>
      </c>
      <c r="AC117" s="689">
        <f t="shared" si="715"/>
        <v>15</v>
      </c>
      <c r="AD117" s="689">
        <f t="shared" si="715"/>
        <v>5</v>
      </c>
      <c r="AE117" s="689">
        <f t="shared" si="715"/>
        <v>3</v>
      </c>
      <c r="AF117" s="689">
        <f t="shared" si="715"/>
        <v>-10</v>
      </c>
      <c r="AG117" s="689">
        <f t="shared" si="715"/>
        <v>21</v>
      </c>
      <c r="AH117" s="689">
        <f t="shared" si="715"/>
        <v>-10</v>
      </c>
      <c r="AI117" s="689">
        <f t="shared" si="715"/>
        <v>5</v>
      </c>
      <c r="AJ117" s="689">
        <f t="shared" si="715"/>
        <v>6</v>
      </c>
      <c r="AK117" s="689">
        <f t="shared" si="715"/>
        <v>15</v>
      </c>
      <c r="AL117" s="689">
        <f t="shared" si="715"/>
        <v>11</v>
      </c>
      <c r="AM117" s="689">
        <f t="shared" si="715"/>
        <v>0</v>
      </c>
      <c r="AN117" s="689">
        <f t="shared" ref="AN117:AS117" si="716">AN115</f>
        <v>3</v>
      </c>
      <c r="AO117" s="689">
        <f t="shared" si="716"/>
        <v>3</v>
      </c>
      <c r="AP117" s="689">
        <f t="shared" si="716"/>
        <v>0</v>
      </c>
      <c r="AQ117" s="689">
        <f t="shared" si="716"/>
        <v>-3</v>
      </c>
      <c r="AR117" s="689">
        <f t="shared" si="716"/>
        <v>5</v>
      </c>
      <c r="AS117" s="689">
        <f t="shared" si="716"/>
        <v>-196</v>
      </c>
      <c r="AT117" s="689">
        <f t="shared" ref="AT117:BC117" si="717">AT115</f>
        <v>8</v>
      </c>
      <c r="AU117" s="689">
        <f t="shared" si="717"/>
        <v>-4</v>
      </c>
      <c r="AV117" s="689">
        <f t="shared" si="717"/>
        <v>-1</v>
      </c>
      <c r="AW117" s="689">
        <f t="shared" si="717"/>
        <v>4</v>
      </c>
      <c r="AX117" s="689">
        <f t="shared" si="717"/>
        <v>2</v>
      </c>
      <c r="AY117" s="689">
        <f t="shared" si="717"/>
        <v>4</v>
      </c>
      <c r="AZ117" s="689">
        <f t="shared" si="717"/>
        <v>13</v>
      </c>
      <c r="BA117" s="689">
        <f t="shared" si="717"/>
        <v>3</v>
      </c>
      <c r="BB117" s="689">
        <f t="shared" si="717"/>
        <v>8</v>
      </c>
      <c r="BC117" s="689">
        <f t="shared" si="717"/>
        <v>5</v>
      </c>
      <c r="BD117" s="689">
        <f t="shared" ref="BD117:BI117" si="718">BD115</f>
        <v>7</v>
      </c>
      <c r="BE117" s="689">
        <f t="shared" si="718"/>
        <v>10</v>
      </c>
      <c r="BF117" s="689">
        <f t="shared" si="718"/>
        <v>0</v>
      </c>
      <c r="BG117" s="689">
        <f t="shared" si="718"/>
        <v>5</v>
      </c>
      <c r="BH117" s="689">
        <f t="shared" si="718"/>
        <v>10</v>
      </c>
      <c r="BI117" s="689">
        <f t="shared" si="718"/>
        <v>32</v>
      </c>
      <c r="BJ117" s="689">
        <f t="shared" ref="BJ117:BK117" si="719">BJ115</f>
        <v>3</v>
      </c>
      <c r="BK117" s="1830">
        <f t="shared" si="719"/>
        <v>4</v>
      </c>
      <c r="BL117" s="1639">
        <f t="shared" ref="BL117:BQ117" si="720">+ROUND(BL116*80%,0)</f>
        <v>5</v>
      </c>
      <c r="BM117" s="1640">
        <f t="shared" si="720"/>
        <v>14</v>
      </c>
      <c r="BN117" s="1639">
        <f t="shared" si="720"/>
        <v>6</v>
      </c>
      <c r="BO117" s="1639">
        <f t="shared" si="720"/>
        <v>6</v>
      </c>
      <c r="BP117" s="1639">
        <f t="shared" si="720"/>
        <v>6</v>
      </c>
      <c r="BQ117" s="1640">
        <f t="shared" si="720"/>
        <v>14</v>
      </c>
      <c r="BR117" s="1639">
        <f t="shared" ref="BR117:CK117" si="721">+ROUND(BR116*80%,0)</f>
        <v>6</v>
      </c>
      <c r="BS117" s="1639">
        <f t="shared" si="721"/>
        <v>6</v>
      </c>
      <c r="BT117" s="1639">
        <f t="shared" si="721"/>
        <v>6</v>
      </c>
      <c r="BU117" s="1640">
        <f t="shared" si="721"/>
        <v>10</v>
      </c>
      <c r="BV117" s="1639">
        <f t="shared" si="721"/>
        <v>5</v>
      </c>
      <c r="BW117" s="1639">
        <f t="shared" si="721"/>
        <v>5</v>
      </c>
      <c r="BX117" s="1639">
        <f t="shared" si="721"/>
        <v>5</v>
      </c>
      <c r="BY117" s="1640">
        <f t="shared" si="721"/>
        <v>9</v>
      </c>
      <c r="BZ117" s="1639">
        <f t="shared" si="721"/>
        <v>5</v>
      </c>
      <c r="CA117" s="1639">
        <f t="shared" si="721"/>
        <v>5</v>
      </c>
      <c r="CB117" s="1639">
        <f t="shared" si="721"/>
        <v>5</v>
      </c>
      <c r="CC117" s="1640">
        <f t="shared" si="721"/>
        <v>9</v>
      </c>
      <c r="CD117" s="1639">
        <f t="shared" si="721"/>
        <v>5</v>
      </c>
      <c r="CE117" s="1639">
        <f t="shared" si="721"/>
        <v>5</v>
      </c>
      <c r="CF117" s="1639">
        <f t="shared" si="721"/>
        <v>5</v>
      </c>
      <c r="CG117" s="1640">
        <f t="shared" si="721"/>
        <v>9</v>
      </c>
      <c r="CH117" s="1639">
        <f t="shared" si="721"/>
        <v>4</v>
      </c>
      <c r="CI117" s="1639">
        <f t="shared" si="721"/>
        <v>4</v>
      </c>
      <c r="CJ117" s="1639">
        <f t="shared" si="721"/>
        <v>4</v>
      </c>
      <c r="CK117" s="1640">
        <f t="shared" si="721"/>
        <v>8</v>
      </c>
      <c r="CL117" s="1640">
        <f t="shared" ref="CL117:CP117" si="722">+ROUND(CL116*80%,0)</f>
        <v>4</v>
      </c>
      <c r="CM117" s="1640">
        <f t="shared" si="722"/>
        <v>4</v>
      </c>
      <c r="CN117" s="1640">
        <f t="shared" si="722"/>
        <v>4</v>
      </c>
      <c r="CO117" s="1640">
        <f t="shared" si="722"/>
        <v>8</v>
      </c>
      <c r="CP117" s="1640">
        <f t="shared" si="722"/>
        <v>4</v>
      </c>
      <c r="CQ117" s="1640">
        <f t="shared" ref="CQ117:CU117" si="723">+ROUND(CQ116*80%,0)</f>
        <v>4</v>
      </c>
      <c r="CR117" s="1640">
        <f t="shared" si="723"/>
        <v>4</v>
      </c>
      <c r="CS117" s="1640">
        <f t="shared" si="723"/>
        <v>8</v>
      </c>
      <c r="CT117" s="1640">
        <f t="shared" si="723"/>
        <v>3</v>
      </c>
      <c r="CU117" s="1640">
        <f t="shared" si="723"/>
        <v>3</v>
      </c>
      <c r="CV117" s="1640">
        <f t="shared" ref="CV117:CW117" si="724">+ROUND(CV116*80%,0)</f>
        <v>3</v>
      </c>
      <c r="CW117" s="1640">
        <f t="shared" si="724"/>
        <v>8</v>
      </c>
      <c r="CX117" s="337"/>
      <c r="CY117" s="337"/>
      <c r="DA117" s="9"/>
      <c r="DB117" s="9"/>
    </row>
    <row r="118" spans="1:106">
      <c r="A118" s="91"/>
      <c r="B118" s="388"/>
      <c r="C118" s="388"/>
      <c r="D118" s="388"/>
      <c r="E118" s="388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574"/>
      <c r="AN118" s="574"/>
      <c r="AO118" s="574"/>
      <c r="AP118" s="574"/>
      <c r="AQ118" s="574"/>
      <c r="AR118" s="574"/>
      <c r="AS118" s="574"/>
      <c r="AT118" s="574"/>
      <c r="AU118" s="574"/>
      <c r="AV118" s="574"/>
      <c r="AW118" s="574"/>
      <c r="AX118" s="574"/>
      <c r="AY118" s="574"/>
      <c r="AZ118" s="574"/>
      <c r="BA118" s="574"/>
      <c r="BB118" s="574"/>
      <c r="BC118" s="574"/>
      <c r="BD118" s="574"/>
      <c r="BE118" s="574"/>
      <c r="BF118" s="574"/>
      <c r="BG118" s="574"/>
      <c r="BH118" s="574"/>
      <c r="BI118" s="574"/>
      <c r="BJ118" s="574"/>
      <c r="BK118" s="1831"/>
      <c r="BL118" s="305"/>
      <c r="BM118" s="305"/>
      <c r="BN118" s="305"/>
      <c r="BO118" s="305"/>
      <c r="BP118" s="305"/>
      <c r="BQ118" s="305"/>
      <c r="BR118" s="305"/>
      <c r="BS118" s="305"/>
      <c r="BT118" s="305"/>
      <c r="BU118" s="305"/>
      <c r="BV118" s="305"/>
      <c r="BW118" s="305"/>
      <c r="BX118" s="305"/>
      <c r="BY118" s="305"/>
      <c r="BZ118" s="305"/>
      <c r="CA118" s="305"/>
      <c r="CB118" s="305"/>
      <c r="CC118" s="305"/>
      <c r="CD118" s="305"/>
      <c r="CE118" s="305"/>
      <c r="CF118" s="305"/>
      <c r="CG118" s="305"/>
      <c r="CH118" s="305"/>
      <c r="CI118" s="305"/>
      <c r="CJ118" s="305"/>
      <c r="CK118" s="305"/>
      <c r="CL118" s="305"/>
      <c r="CM118" s="305"/>
      <c r="CN118" s="305"/>
      <c r="CO118" s="305"/>
      <c r="CP118" s="305"/>
      <c r="CQ118" s="305"/>
      <c r="CR118" s="305"/>
      <c r="CS118" s="305"/>
      <c r="CT118" s="305"/>
      <c r="CU118" s="305"/>
      <c r="CV118" s="305"/>
      <c r="CW118" s="305"/>
      <c r="CX118" s="269"/>
      <c r="CY118" s="337"/>
    </row>
    <row r="119" spans="1:106">
      <c r="A119" s="93" t="s">
        <v>949</v>
      </c>
      <c r="B119" s="388"/>
      <c r="C119" s="388"/>
      <c r="D119" s="388"/>
      <c r="E119" s="388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>
        <f>Q_IS!AL76</f>
        <v>555</v>
      </c>
      <c r="AM119" s="574">
        <f>Q_IS!AM76</f>
        <v>561</v>
      </c>
      <c r="AN119" s="574">
        <f>Q_IS!AN76</f>
        <v>571</v>
      </c>
      <c r="AO119" s="574">
        <f>Q_IS!AO76</f>
        <v>593</v>
      </c>
      <c r="AP119" s="574">
        <f>Q_IS!AP76</f>
        <v>1353</v>
      </c>
      <c r="AQ119" s="574">
        <f>Q_IS!AQ76</f>
        <v>1372</v>
      </c>
      <c r="AR119" s="574">
        <f>Q_IS!AR76</f>
        <v>1394</v>
      </c>
      <c r="AS119" s="574">
        <f>Q_IS!AS76</f>
        <v>1398</v>
      </c>
      <c r="AT119" s="574">
        <f>Q_IS!AT76</f>
        <v>1405</v>
      </c>
      <c r="AU119" s="574">
        <f>Q_IS!AU76</f>
        <v>1390</v>
      </c>
      <c r="AV119" s="574">
        <f>Q_IS!AV76</f>
        <v>1392</v>
      </c>
      <c r="AW119" s="574">
        <f>Q_IS!AW76</f>
        <v>1376</v>
      </c>
      <c r="AX119" s="574">
        <f>Q_IS!AX76</f>
        <v>1375</v>
      </c>
      <c r="AY119" s="574">
        <f>Q_IS!AY76</f>
        <v>1388</v>
      </c>
      <c r="AZ119" s="574">
        <f>Q_IS!AZ76</f>
        <v>1404</v>
      </c>
      <c r="BA119" s="574">
        <f>Q_IS!BA76</f>
        <v>1424</v>
      </c>
      <c r="BB119" s="574">
        <f>Q_IS!BB76</f>
        <v>1441</v>
      </c>
      <c r="BC119" s="574">
        <f>Q_IS!BC76</f>
        <v>1452</v>
      </c>
      <c r="BD119" s="574">
        <f>Q_IS!BD76</f>
        <v>1460</v>
      </c>
      <c r="BE119" s="574">
        <f>Q_IS!BE76</f>
        <v>1476</v>
      </c>
      <c r="BF119" s="574">
        <f>Q_IS!BF76</f>
        <v>1477</v>
      </c>
      <c r="BG119" s="574">
        <f>Q_IS!BG76</f>
        <v>1494</v>
      </c>
      <c r="BH119" s="574">
        <f>Q_IS!BH76</f>
        <v>1514</v>
      </c>
      <c r="BI119" s="574">
        <f>Q_IS!BI76</f>
        <v>1534</v>
      </c>
      <c r="BJ119" s="574">
        <f>Q_IS!BJ76</f>
        <v>1534</v>
      </c>
      <c r="BK119" s="1831">
        <f>Q_IS!BK76</f>
        <v>1548</v>
      </c>
      <c r="BL119" s="305"/>
      <c r="BM119" s="305"/>
      <c r="BN119" s="305"/>
      <c r="BO119" s="305"/>
      <c r="BP119" s="305"/>
      <c r="BQ119" s="305"/>
      <c r="BR119" s="305"/>
      <c r="BS119" s="305"/>
      <c r="BT119" s="305"/>
      <c r="BU119" s="305"/>
      <c r="BV119" s="305"/>
      <c r="BW119" s="305"/>
      <c r="BX119" s="305"/>
      <c r="BY119" s="305"/>
      <c r="BZ119" s="305"/>
      <c r="CA119" s="305"/>
      <c r="CB119" s="305"/>
      <c r="CC119" s="305"/>
      <c r="CD119" s="305"/>
      <c r="CE119" s="305"/>
      <c r="CF119" s="305"/>
      <c r="CG119" s="305"/>
      <c r="CH119" s="305"/>
      <c r="CI119" s="305"/>
      <c r="CJ119" s="305"/>
      <c r="CK119" s="305"/>
      <c r="CL119" s="305"/>
      <c r="CM119" s="305"/>
      <c r="CN119" s="305"/>
      <c r="CO119" s="305"/>
      <c r="CP119" s="305"/>
      <c r="CQ119" s="305"/>
      <c r="CR119" s="305"/>
      <c r="CS119" s="305"/>
      <c r="CT119" s="305"/>
      <c r="CU119" s="305"/>
      <c r="CV119" s="305"/>
      <c r="CW119" s="305"/>
      <c r="CX119" s="269"/>
      <c r="CY119" s="337"/>
    </row>
    <row r="120" spans="1:106" s="92" customFormat="1">
      <c r="A120" s="692" t="s">
        <v>942</v>
      </c>
      <c r="B120" s="687"/>
      <c r="C120" s="687">
        <f t="shared" ref="C120:AA120" si="725">CHOOSE(MASTERSWITCH,C121,C122,C123)</f>
        <v>0</v>
      </c>
      <c r="D120" s="687">
        <f t="shared" si="725"/>
        <v>0</v>
      </c>
      <c r="E120" s="687">
        <f t="shared" si="725"/>
        <v>0</v>
      </c>
      <c r="F120" s="687">
        <f t="shared" si="725"/>
        <v>0</v>
      </c>
      <c r="G120" s="687">
        <f t="shared" si="725"/>
        <v>0</v>
      </c>
      <c r="H120" s="687">
        <f t="shared" si="725"/>
        <v>0</v>
      </c>
      <c r="I120" s="687">
        <f t="shared" si="725"/>
        <v>0</v>
      </c>
      <c r="J120" s="687">
        <f t="shared" si="725"/>
        <v>0</v>
      </c>
      <c r="K120" s="687">
        <f t="shared" si="725"/>
        <v>0</v>
      </c>
      <c r="L120" s="687">
        <f t="shared" si="725"/>
        <v>0</v>
      </c>
      <c r="M120" s="687">
        <f t="shared" si="725"/>
        <v>0</v>
      </c>
      <c r="N120" s="687">
        <f t="shared" si="725"/>
        <v>0</v>
      </c>
      <c r="O120" s="687">
        <f t="shared" si="725"/>
        <v>0</v>
      </c>
      <c r="P120" s="687">
        <f t="shared" si="725"/>
        <v>0</v>
      </c>
      <c r="Q120" s="687">
        <f t="shared" si="725"/>
        <v>0</v>
      </c>
      <c r="R120" s="687">
        <f t="shared" si="725"/>
        <v>0</v>
      </c>
      <c r="S120" s="687">
        <f t="shared" si="725"/>
        <v>0</v>
      </c>
      <c r="T120" s="687">
        <f t="shared" si="725"/>
        <v>0</v>
      </c>
      <c r="U120" s="687">
        <f t="shared" si="725"/>
        <v>0</v>
      </c>
      <c r="V120" s="687">
        <f t="shared" si="725"/>
        <v>0</v>
      </c>
      <c r="W120" s="687">
        <f t="shared" si="725"/>
        <v>0</v>
      </c>
      <c r="X120" s="687">
        <f t="shared" si="725"/>
        <v>0</v>
      </c>
      <c r="Y120" s="687">
        <f t="shared" si="725"/>
        <v>302</v>
      </c>
      <c r="Z120" s="687">
        <f t="shared" si="725"/>
        <v>-2</v>
      </c>
      <c r="AA120" s="687">
        <f t="shared" si="725"/>
        <v>2</v>
      </c>
      <c r="AB120" s="687">
        <f t="shared" ref="AB120:AM120" si="726">CHOOSE(MASTERSWITCH,AB121,AB122,AB123)</f>
        <v>3</v>
      </c>
      <c r="AC120" s="687">
        <f t="shared" si="726"/>
        <v>8</v>
      </c>
      <c r="AD120" s="687">
        <f t="shared" si="726"/>
        <v>9</v>
      </c>
      <c r="AE120" s="687">
        <f t="shared" si="726"/>
        <v>4</v>
      </c>
      <c r="AF120" s="687">
        <f t="shared" si="726"/>
        <v>5</v>
      </c>
      <c r="AG120" s="687">
        <f t="shared" si="726"/>
        <v>13</v>
      </c>
      <c r="AH120" s="687">
        <f t="shared" si="726"/>
        <v>8</v>
      </c>
      <c r="AI120" s="687">
        <f t="shared" si="726"/>
        <v>5</v>
      </c>
      <c r="AJ120" s="687">
        <f t="shared" si="726"/>
        <v>9</v>
      </c>
      <c r="AK120" s="687">
        <f t="shared" si="726"/>
        <v>15</v>
      </c>
      <c r="AL120" s="687">
        <f t="shared" si="726"/>
        <v>8</v>
      </c>
      <c r="AM120" s="687">
        <f t="shared" si="726"/>
        <v>7</v>
      </c>
      <c r="AN120" s="687">
        <f t="shared" ref="AN120:AS120" si="727">CHOOSE(MASTERSWITCH,AN121,AN122,AN123)</f>
        <v>8</v>
      </c>
      <c r="AO120" s="687">
        <f t="shared" si="727"/>
        <v>16</v>
      </c>
      <c r="AP120" s="687">
        <f t="shared" si="727"/>
        <v>0</v>
      </c>
      <c r="AQ120" s="687">
        <f t="shared" si="727"/>
        <v>10</v>
      </c>
      <c r="AR120" s="687">
        <f t="shared" si="727"/>
        <v>13</v>
      </c>
      <c r="AS120" s="687">
        <f t="shared" si="727"/>
        <v>-7</v>
      </c>
      <c r="AT120" s="687">
        <f t="shared" ref="AT120:BC120" si="728">CHOOSE(MASTERSWITCH,AT121,AT122,AT123)</f>
        <v>7</v>
      </c>
      <c r="AU120" s="687">
        <f t="shared" si="728"/>
        <v>-18</v>
      </c>
      <c r="AV120" s="687">
        <f t="shared" si="728"/>
        <v>-2</v>
      </c>
      <c r="AW120" s="687">
        <f t="shared" si="728"/>
        <v>-13</v>
      </c>
      <c r="AX120" s="687">
        <f t="shared" si="728"/>
        <v>1</v>
      </c>
      <c r="AY120" s="687">
        <f t="shared" si="728"/>
        <v>3</v>
      </c>
      <c r="AZ120" s="687">
        <f t="shared" si="728"/>
        <v>3</v>
      </c>
      <c r="BA120" s="687">
        <f t="shared" si="728"/>
        <v>9</v>
      </c>
      <c r="BB120" s="687">
        <f t="shared" si="728"/>
        <v>10</v>
      </c>
      <c r="BC120" s="687">
        <f t="shared" si="728"/>
        <v>11</v>
      </c>
      <c r="BD120" s="687">
        <f t="shared" ref="BD120:BN120" si="729">CHOOSE(MASTERSWITCH,BD121,BD122,BD123)</f>
        <v>14</v>
      </c>
      <c r="BE120" s="687">
        <f t="shared" si="729"/>
        <v>15</v>
      </c>
      <c r="BF120" s="687">
        <f t="shared" ref="BF120:BG120" si="730">CHOOSE(MASTERSWITCH,BF121,BF122,BF123)</f>
        <v>4</v>
      </c>
      <c r="BG120" s="687">
        <f t="shared" si="730"/>
        <v>14</v>
      </c>
      <c r="BH120" s="687">
        <f t="shared" ref="BH120:BI120" si="731">CHOOSE(MASTERSWITCH,BH121,BH122,BH123)</f>
        <v>12</v>
      </c>
      <c r="BI120" s="687">
        <f t="shared" si="731"/>
        <v>18</v>
      </c>
      <c r="BJ120" s="687">
        <f t="shared" ref="BJ120:BK120" si="732">CHOOSE(MASTERSWITCH,BJ121,BJ122,BJ123)</f>
        <v>3</v>
      </c>
      <c r="BK120" s="1829">
        <f t="shared" si="732"/>
        <v>10</v>
      </c>
      <c r="BL120" s="688">
        <f t="shared" si="729"/>
        <v>6</v>
      </c>
      <c r="BM120" s="688">
        <f t="shared" si="729"/>
        <v>12</v>
      </c>
      <c r="BN120" s="688">
        <f t="shared" si="729"/>
        <v>4</v>
      </c>
      <c r="BO120" s="688">
        <f t="shared" ref="BO120:CK120" si="733">CHOOSE(MASTERSWITCH,BO121,BO122,BO123)</f>
        <v>4</v>
      </c>
      <c r="BP120" s="688">
        <f t="shared" si="733"/>
        <v>4</v>
      </c>
      <c r="BQ120" s="688">
        <f t="shared" si="733"/>
        <v>10</v>
      </c>
      <c r="BR120" s="688">
        <f t="shared" si="733"/>
        <v>3</v>
      </c>
      <c r="BS120" s="688">
        <f t="shared" si="733"/>
        <v>3</v>
      </c>
      <c r="BT120" s="688">
        <f t="shared" si="733"/>
        <v>3</v>
      </c>
      <c r="BU120" s="688">
        <f t="shared" si="733"/>
        <v>8</v>
      </c>
      <c r="BV120" s="688">
        <f t="shared" si="733"/>
        <v>3</v>
      </c>
      <c r="BW120" s="688">
        <f t="shared" si="733"/>
        <v>3</v>
      </c>
      <c r="BX120" s="688">
        <f t="shared" si="733"/>
        <v>3</v>
      </c>
      <c r="BY120" s="688">
        <f t="shared" si="733"/>
        <v>6</v>
      </c>
      <c r="BZ120" s="688">
        <f t="shared" si="733"/>
        <v>3</v>
      </c>
      <c r="CA120" s="688">
        <f t="shared" si="733"/>
        <v>3</v>
      </c>
      <c r="CB120" s="688">
        <f t="shared" si="733"/>
        <v>3</v>
      </c>
      <c r="CC120" s="688">
        <f t="shared" si="733"/>
        <v>6</v>
      </c>
      <c r="CD120" s="688">
        <f t="shared" si="733"/>
        <v>3</v>
      </c>
      <c r="CE120" s="688">
        <f t="shared" si="733"/>
        <v>3</v>
      </c>
      <c r="CF120" s="688">
        <f t="shared" si="733"/>
        <v>3</v>
      </c>
      <c r="CG120" s="688">
        <f t="shared" si="733"/>
        <v>6</v>
      </c>
      <c r="CH120" s="688">
        <f t="shared" si="733"/>
        <v>2</v>
      </c>
      <c r="CI120" s="688">
        <f t="shared" si="733"/>
        <v>2</v>
      </c>
      <c r="CJ120" s="688">
        <f t="shared" si="733"/>
        <v>2</v>
      </c>
      <c r="CK120" s="688">
        <f t="shared" si="733"/>
        <v>6</v>
      </c>
      <c r="CL120" s="688">
        <f t="shared" ref="CL120:CP120" si="734">CHOOSE(MASTERSWITCH,CL121,CL122,CL123)</f>
        <v>2</v>
      </c>
      <c r="CM120" s="688">
        <f t="shared" si="734"/>
        <v>2</v>
      </c>
      <c r="CN120" s="688">
        <f t="shared" si="734"/>
        <v>2</v>
      </c>
      <c r="CO120" s="688">
        <f t="shared" si="734"/>
        <v>6</v>
      </c>
      <c r="CP120" s="688">
        <f t="shared" si="734"/>
        <v>2</v>
      </c>
      <c r="CQ120" s="688">
        <f t="shared" ref="CQ120:CU120" si="735">CHOOSE(MASTERSWITCH,CQ121,CQ122,CQ123)</f>
        <v>2</v>
      </c>
      <c r="CR120" s="688">
        <f t="shared" si="735"/>
        <v>2</v>
      </c>
      <c r="CS120" s="688">
        <f t="shared" si="735"/>
        <v>6</v>
      </c>
      <c r="CT120" s="688">
        <f t="shared" si="735"/>
        <v>2</v>
      </c>
      <c r="CU120" s="688">
        <f t="shared" si="735"/>
        <v>2</v>
      </c>
      <c r="CV120" s="688">
        <f t="shared" ref="CV120:CW120" si="736">CHOOSE(MASTERSWITCH,CV121,CV122,CV123)</f>
        <v>2</v>
      </c>
      <c r="CW120" s="688">
        <f t="shared" si="736"/>
        <v>4</v>
      </c>
      <c r="CX120" s="337"/>
      <c r="CY120" s="337"/>
      <c r="DA120" s="9"/>
      <c r="DB120" s="9"/>
    </row>
    <row r="121" spans="1:106" s="92" customFormat="1">
      <c r="A121" s="693" t="s">
        <v>571</v>
      </c>
      <c r="B121" s="689"/>
      <c r="C121" s="689">
        <f>Q_IS!C82</f>
        <v>0</v>
      </c>
      <c r="D121" s="689">
        <f>Q_IS!D82</f>
        <v>0</v>
      </c>
      <c r="E121" s="689">
        <f>Q_IS!E82</f>
        <v>0</v>
      </c>
      <c r="F121" s="689">
        <f>Q_IS!F82</f>
        <v>0</v>
      </c>
      <c r="G121" s="689">
        <f>Q_IS!G82</f>
        <v>0</v>
      </c>
      <c r="H121" s="689">
        <f>Q_IS!H82</f>
        <v>0</v>
      </c>
      <c r="I121" s="689">
        <f>Q_IS!I82</f>
        <v>0</v>
      </c>
      <c r="J121" s="689">
        <f>Q_IS!J82</f>
        <v>0</v>
      </c>
      <c r="K121" s="689">
        <f>Q_IS!K82</f>
        <v>0</v>
      </c>
      <c r="L121" s="689">
        <f>Q_IS!L82</f>
        <v>0</v>
      </c>
      <c r="M121" s="689">
        <f>Q_IS!M82</f>
        <v>0</v>
      </c>
      <c r="N121" s="689">
        <f>Q_IS!N82</f>
        <v>0</v>
      </c>
      <c r="O121" s="689">
        <f>Q_IS!O82</f>
        <v>0</v>
      </c>
      <c r="P121" s="689">
        <f>Q_IS!P82</f>
        <v>0</v>
      </c>
      <c r="Q121" s="689">
        <f>Q_IS!Q82</f>
        <v>0</v>
      </c>
      <c r="R121" s="689">
        <f>Q_IS!R82</f>
        <v>0</v>
      </c>
      <c r="S121" s="689">
        <f>Q_IS!S82</f>
        <v>0</v>
      </c>
      <c r="T121" s="689">
        <f>Q_IS!T82</f>
        <v>0</v>
      </c>
      <c r="U121" s="689">
        <f>Q_IS!U82</f>
        <v>0</v>
      </c>
      <c r="V121" s="689">
        <f>Q_IS!V82</f>
        <v>0</v>
      </c>
      <c r="W121" s="689">
        <f>Q_IS!W82</f>
        <v>0</v>
      </c>
      <c r="X121" s="689">
        <f>Q_IS!X82</f>
        <v>0</v>
      </c>
      <c r="Y121" s="689">
        <f>Q_IS!Y82</f>
        <v>302</v>
      </c>
      <c r="Z121" s="689">
        <f>Q_IS!Z82</f>
        <v>-2</v>
      </c>
      <c r="AA121" s="689">
        <f>Q_IS!AA82</f>
        <v>2</v>
      </c>
      <c r="AB121" s="689">
        <f>Q_IS!AB82</f>
        <v>3</v>
      </c>
      <c r="AC121" s="689">
        <f>Q_IS!AC82</f>
        <v>8</v>
      </c>
      <c r="AD121" s="689">
        <f>Q_IS!AD82</f>
        <v>9</v>
      </c>
      <c r="AE121" s="689">
        <f>Q_IS!AE82</f>
        <v>4</v>
      </c>
      <c r="AF121" s="689">
        <f>Q_IS!AF82</f>
        <v>5</v>
      </c>
      <c r="AG121" s="689">
        <f>Q_IS!AG82</f>
        <v>13</v>
      </c>
      <c r="AH121" s="689">
        <f>Q_IS!AH82</f>
        <v>8</v>
      </c>
      <c r="AI121" s="689">
        <f>Q_IS!AI82</f>
        <v>5</v>
      </c>
      <c r="AJ121" s="689">
        <f>Q_IS!AJ82</f>
        <v>9</v>
      </c>
      <c r="AK121" s="689">
        <f>Q_IS!AK82</f>
        <v>15</v>
      </c>
      <c r="AL121" s="689">
        <f>Q_IS!AL82</f>
        <v>8</v>
      </c>
      <c r="AM121" s="689">
        <f>Q_IS!AM82</f>
        <v>7</v>
      </c>
      <c r="AN121" s="689">
        <f>Q_IS!AN82</f>
        <v>8</v>
      </c>
      <c r="AO121" s="689">
        <f>Q_IS!AO82</f>
        <v>16</v>
      </c>
      <c r="AP121" s="689">
        <f>Q_IS!AP82</f>
        <v>452</v>
      </c>
      <c r="AQ121" s="689">
        <f>Q_IS!AQ82</f>
        <v>10</v>
      </c>
      <c r="AR121" s="689">
        <f>Q_IS!AR82</f>
        <v>13</v>
      </c>
      <c r="AS121" s="689">
        <f>Q_IS!AS82</f>
        <v>-7</v>
      </c>
      <c r="AT121" s="689">
        <f>Q_IS!AT82</f>
        <v>7</v>
      </c>
      <c r="AU121" s="689">
        <f>Q_IS!AU82</f>
        <v>-18</v>
      </c>
      <c r="AV121" s="689">
        <f>Q_IS!AV82</f>
        <v>-2</v>
      </c>
      <c r="AW121" s="689">
        <f>Q_IS!AW82</f>
        <v>-13</v>
      </c>
      <c r="AX121" s="689">
        <f>Q_IS!AX82</f>
        <v>1</v>
      </c>
      <c r="AY121" s="689">
        <f>Q_IS!AY82</f>
        <v>3</v>
      </c>
      <c r="AZ121" s="689">
        <f>Q_IS!AZ82</f>
        <v>3</v>
      </c>
      <c r="BA121" s="689">
        <f>Q_IS!BA82</f>
        <v>9</v>
      </c>
      <c r="BB121" s="689">
        <f>Q_IS!BB82</f>
        <v>10</v>
      </c>
      <c r="BC121" s="689">
        <f>Q_IS!BC82</f>
        <v>11</v>
      </c>
      <c r="BD121" s="689">
        <f>Q_IS!BD82</f>
        <v>14</v>
      </c>
      <c r="BE121" s="689">
        <f>Q_IS!BE82</f>
        <v>15</v>
      </c>
      <c r="BF121" s="689">
        <f>Q_IS!BF82</f>
        <v>4</v>
      </c>
      <c r="BG121" s="689">
        <f>Q_IS!BG82</f>
        <v>14</v>
      </c>
      <c r="BH121" s="689">
        <f>Q_IS!BH82</f>
        <v>12</v>
      </c>
      <c r="BI121" s="689">
        <f>Q_IS!BI82</f>
        <v>18</v>
      </c>
      <c r="BJ121" s="689">
        <f>Q_IS!BJ82</f>
        <v>3</v>
      </c>
      <c r="BK121" s="1830">
        <f>Q_IS!BK82</f>
        <v>10</v>
      </c>
      <c r="BL121" s="1639">
        <f t="shared" ref="BL121:BP121" si="737">+BL122</f>
        <v>7</v>
      </c>
      <c r="BM121" s="1640">
        <f t="shared" si="737"/>
        <v>15</v>
      </c>
      <c r="BN121" s="1639">
        <f t="shared" si="737"/>
        <v>5</v>
      </c>
      <c r="BO121" s="1639">
        <f t="shared" si="737"/>
        <v>5</v>
      </c>
      <c r="BP121" s="1639">
        <f t="shared" si="737"/>
        <v>5</v>
      </c>
      <c r="BQ121" s="1640">
        <f t="shared" ref="BQ121:CW121" si="738">+BQ122</f>
        <v>12</v>
      </c>
      <c r="BR121" s="1639">
        <f t="shared" si="738"/>
        <v>4</v>
      </c>
      <c r="BS121" s="1639">
        <f t="shared" si="738"/>
        <v>4</v>
      </c>
      <c r="BT121" s="1639">
        <f t="shared" si="738"/>
        <v>4</v>
      </c>
      <c r="BU121" s="1640">
        <f t="shared" si="738"/>
        <v>10</v>
      </c>
      <c r="BV121" s="1639">
        <f t="shared" si="738"/>
        <v>4</v>
      </c>
      <c r="BW121" s="1639">
        <f t="shared" si="738"/>
        <v>4</v>
      </c>
      <c r="BX121" s="1639">
        <f t="shared" si="738"/>
        <v>4</v>
      </c>
      <c r="BY121" s="1640">
        <f t="shared" si="738"/>
        <v>7</v>
      </c>
      <c r="BZ121" s="1639">
        <f t="shared" si="738"/>
        <v>4</v>
      </c>
      <c r="CA121" s="1639">
        <f t="shared" si="738"/>
        <v>4</v>
      </c>
      <c r="CB121" s="1639">
        <f t="shared" si="738"/>
        <v>4</v>
      </c>
      <c r="CC121" s="1640">
        <f t="shared" si="738"/>
        <v>7</v>
      </c>
      <c r="CD121" s="1639">
        <f t="shared" si="738"/>
        <v>4</v>
      </c>
      <c r="CE121" s="1639">
        <f t="shared" si="738"/>
        <v>4</v>
      </c>
      <c r="CF121" s="1639">
        <f t="shared" si="738"/>
        <v>4</v>
      </c>
      <c r="CG121" s="1640">
        <f t="shared" si="738"/>
        <v>7</v>
      </c>
      <c r="CH121" s="1639">
        <f t="shared" si="738"/>
        <v>3</v>
      </c>
      <c r="CI121" s="1639">
        <f t="shared" si="738"/>
        <v>3</v>
      </c>
      <c r="CJ121" s="1639">
        <f t="shared" si="738"/>
        <v>3</v>
      </c>
      <c r="CK121" s="1640">
        <f t="shared" si="738"/>
        <v>8</v>
      </c>
      <c r="CL121" s="1640">
        <f t="shared" si="738"/>
        <v>3</v>
      </c>
      <c r="CM121" s="1640">
        <f t="shared" si="738"/>
        <v>3</v>
      </c>
      <c r="CN121" s="1640">
        <f t="shared" si="738"/>
        <v>3</v>
      </c>
      <c r="CO121" s="1640">
        <f t="shared" si="738"/>
        <v>8</v>
      </c>
      <c r="CP121" s="1640">
        <f t="shared" si="738"/>
        <v>3</v>
      </c>
      <c r="CQ121" s="1640">
        <f t="shared" si="738"/>
        <v>3</v>
      </c>
      <c r="CR121" s="1640">
        <f t="shared" si="738"/>
        <v>3</v>
      </c>
      <c r="CS121" s="1640">
        <f t="shared" si="738"/>
        <v>8</v>
      </c>
      <c r="CT121" s="1640">
        <f t="shared" si="738"/>
        <v>3</v>
      </c>
      <c r="CU121" s="1640">
        <f t="shared" si="738"/>
        <v>3</v>
      </c>
      <c r="CV121" s="1640">
        <f t="shared" si="738"/>
        <v>3</v>
      </c>
      <c r="CW121" s="1640">
        <f t="shared" si="738"/>
        <v>5</v>
      </c>
      <c r="CX121" s="337"/>
      <c r="CY121" s="337"/>
      <c r="DA121" s="9"/>
      <c r="DB121" s="9"/>
    </row>
    <row r="122" spans="1:106" s="92" customFormat="1">
      <c r="A122" s="693" t="s">
        <v>200</v>
      </c>
      <c r="B122" s="689"/>
      <c r="C122" s="689">
        <f t="shared" ref="C122:AA122" si="739">C121</f>
        <v>0</v>
      </c>
      <c r="D122" s="689">
        <f t="shared" si="739"/>
        <v>0</v>
      </c>
      <c r="E122" s="689">
        <f t="shared" si="739"/>
        <v>0</v>
      </c>
      <c r="F122" s="689">
        <f t="shared" si="739"/>
        <v>0</v>
      </c>
      <c r="G122" s="689">
        <f t="shared" si="739"/>
        <v>0</v>
      </c>
      <c r="H122" s="689">
        <f t="shared" si="739"/>
        <v>0</v>
      </c>
      <c r="I122" s="689">
        <f t="shared" si="739"/>
        <v>0</v>
      </c>
      <c r="J122" s="689">
        <f t="shared" si="739"/>
        <v>0</v>
      </c>
      <c r="K122" s="689">
        <f t="shared" si="739"/>
        <v>0</v>
      </c>
      <c r="L122" s="689">
        <f t="shared" si="739"/>
        <v>0</v>
      </c>
      <c r="M122" s="689">
        <f t="shared" si="739"/>
        <v>0</v>
      </c>
      <c r="N122" s="689">
        <f t="shared" si="739"/>
        <v>0</v>
      </c>
      <c r="O122" s="689">
        <f t="shared" si="739"/>
        <v>0</v>
      </c>
      <c r="P122" s="689">
        <f t="shared" si="739"/>
        <v>0</v>
      </c>
      <c r="Q122" s="689">
        <f t="shared" si="739"/>
        <v>0</v>
      </c>
      <c r="R122" s="689">
        <f t="shared" si="739"/>
        <v>0</v>
      </c>
      <c r="S122" s="689">
        <f t="shared" si="739"/>
        <v>0</v>
      </c>
      <c r="T122" s="689">
        <f t="shared" si="739"/>
        <v>0</v>
      </c>
      <c r="U122" s="689">
        <f t="shared" si="739"/>
        <v>0</v>
      </c>
      <c r="V122" s="689">
        <f t="shared" si="739"/>
        <v>0</v>
      </c>
      <c r="W122" s="689">
        <f t="shared" si="739"/>
        <v>0</v>
      </c>
      <c r="X122" s="689">
        <f t="shared" si="739"/>
        <v>0</v>
      </c>
      <c r="Y122" s="689">
        <f t="shared" si="739"/>
        <v>302</v>
      </c>
      <c r="Z122" s="689">
        <f t="shared" si="739"/>
        <v>-2</v>
      </c>
      <c r="AA122" s="689">
        <f t="shared" si="739"/>
        <v>2</v>
      </c>
      <c r="AB122" s="689">
        <f t="shared" ref="AB122:AM122" si="740">AB121</f>
        <v>3</v>
      </c>
      <c r="AC122" s="689">
        <f t="shared" si="740"/>
        <v>8</v>
      </c>
      <c r="AD122" s="689">
        <f t="shared" si="740"/>
        <v>9</v>
      </c>
      <c r="AE122" s="689">
        <f t="shared" si="740"/>
        <v>4</v>
      </c>
      <c r="AF122" s="689">
        <f t="shared" si="740"/>
        <v>5</v>
      </c>
      <c r="AG122" s="689">
        <f t="shared" si="740"/>
        <v>13</v>
      </c>
      <c r="AH122" s="689">
        <f t="shared" si="740"/>
        <v>8</v>
      </c>
      <c r="AI122" s="689">
        <f t="shared" si="740"/>
        <v>5</v>
      </c>
      <c r="AJ122" s="689">
        <f t="shared" si="740"/>
        <v>9</v>
      </c>
      <c r="AK122" s="689">
        <f t="shared" si="740"/>
        <v>15</v>
      </c>
      <c r="AL122" s="689">
        <f t="shared" si="740"/>
        <v>8</v>
      </c>
      <c r="AM122" s="689">
        <f t="shared" si="740"/>
        <v>7</v>
      </c>
      <c r="AN122" s="689">
        <f t="shared" ref="AN122:AS122" si="741">AN121</f>
        <v>8</v>
      </c>
      <c r="AO122" s="689">
        <f t="shared" si="741"/>
        <v>16</v>
      </c>
      <c r="AP122" s="689">
        <f t="shared" si="741"/>
        <v>452</v>
      </c>
      <c r="AQ122" s="689">
        <f t="shared" si="741"/>
        <v>10</v>
      </c>
      <c r="AR122" s="689">
        <f t="shared" si="741"/>
        <v>13</v>
      </c>
      <c r="AS122" s="689">
        <f t="shared" si="741"/>
        <v>-7</v>
      </c>
      <c r="AT122" s="689">
        <f t="shared" ref="AT122:BC122" si="742">AT121</f>
        <v>7</v>
      </c>
      <c r="AU122" s="689">
        <f t="shared" si="742"/>
        <v>-18</v>
      </c>
      <c r="AV122" s="689">
        <f t="shared" si="742"/>
        <v>-2</v>
      </c>
      <c r="AW122" s="689">
        <f t="shared" si="742"/>
        <v>-13</v>
      </c>
      <c r="AX122" s="689">
        <f t="shared" si="742"/>
        <v>1</v>
      </c>
      <c r="AY122" s="689">
        <f t="shared" si="742"/>
        <v>3</v>
      </c>
      <c r="AZ122" s="689">
        <f t="shared" si="742"/>
        <v>3</v>
      </c>
      <c r="BA122" s="689">
        <f t="shared" si="742"/>
        <v>9</v>
      </c>
      <c r="BB122" s="689">
        <f t="shared" si="742"/>
        <v>10</v>
      </c>
      <c r="BC122" s="689">
        <f t="shared" si="742"/>
        <v>11</v>
      </c>
      <c r="BD122" s="689">
        <f t="shared" ref="BD122:BI122" si="743">BD121</f>
        <v>14</v>
      </c>
      <c r="BE122" s="689">
        <f t="shared" si="743"/>
        <v>15</v>
      </c>
      <c r="BF122" s="689">
        <f t="shared" si="743"/>
        <v>4</v>
      </c>
      <c r="BG122" s="689">
        <f t="shared" si="743"/>
        <v>14</v>
      </c>
      <c r="BH122" s="689">
        <f t="shared" si="743"/>
        <v>12</v>
      </c>
      <c r="BI122" s="689">
        <f t="shared" si="743"/>
        <v>18</v>
      </c>
      <c r="BJ122" s="689">
        <f t="shared" ref="BJ122:BK122" si="744">BJ121</f>
        <v>3</v>
      </c>
      <c r="BK122" s="1830">
        <f t="shared" si="744"/>
        <v>10</v>
      </c>
      <c r="BL122" s="1390">
        <f>ROUND(INDEX($A$93:$AY$93,MATCH(YEAR(BL$78),$A$80:$AY$80))*20%,0)</f>
        <v>7</v>
      </c>
      <c r="BM122" s="1391">
        <f>INDEX($A$93:$AY$93,MATCH(YEAR(BM$78),$A$80:$AY$80))-SUM(BJ122:BL122)</f>
        <v>15</v>
      </c>
      <c r="BN122" s="1390">
        <f>ROUND(INDEX($A$93:$AY$93,MATCH(YEAR(BN$78),$A$80:$AY$80))*20%,0)</f>
        <v>5</v>
      </c>
      <c r="BO122" s="1390">
        <f>ROUND(INDEX($A$93:$AY$93,MATCH(YEAR(BO$78),$A$80:$AY$80))*20%,0)</f>
        <v>5</v>
      </c>
      <c r="BP122" s="1390">
        <f>ROUND(INDEX($A$93:$AY$93,MATCH(YEAR(BP$78),$A$80:$AY$80))*20%,0)</f>
        <v>5</v>
      </c>
      <c r="BQ122" s="1391">
        <f>INDEX($A$93:$AY$93,MATCH(YEAR(BQ$78),$A$80:$AY$80))-SUM(BN122:BP122)</f>
        <v>12</v>
      </c>
      <c r="BR122" s="1390">
        <f>ROUND(INDEX($A$93:$AY$93,MATCH(YEAR(BR$78),$A$80:$AY$80))*20%,0)</f>
        <v>4</v>
      </c>
      <c r="BS122" s="1390">
        <f>ROUND(INDEX($A$93:$AY$93,MATCH(YEAR(BS$78),$A$80:$AY$80))*20%,0)</f>
        <v>4</v>
      </c>
      <c r="BT122" s="1390">
        <f>ROUND(INDEX($A$93:$AY$93,MATCH(YEAR(BT$78),$A$80:$AY$80))*20%,0)</f>
        <v>4</v>
      </c>
      <c r="BU122" s="1391">
        <f>INDEX($A$93:$AY$93,MATCH(YEAR(BU$78),$A$80:$AY$80))-SUM(BR122:BT122)</f>
        <v>10</v>
      </c>
      <c r="BV122" s="1390">
        <f>ROUND(INDEX($A$93:$AY$93,MATCH(YEAR(BV$78),$A$80:$AY$80))*20%,0)</f>
        <v>4</v>
      </c>
      <c r="BW122" s="1390">
        <f>ROUND(INDEX($A$93:$AY$93,MATCH(YEAR(BW$78),$A$80:$AY$80))*20%,0)</f>
        <v>4</v>
      </c>
      <c r="BX122" s="1390">
        <f>ROUND(INDEX($A$93:$AY$93,MATCH(YEAR(BX$78),$A$80:$AY$80))*20%,0)</f>
        <v>4</v>
      </c>
      <c r="BY122" s="1391">
        <f>INDEX($A$93:$AY$93,MATCH(YEAR(BY$78),$A$80:$AY$80))-SUM(BV122:BX122)</f>
        <v>7</v>
      </c>
      <c r="BZ122" s="1390">
        <f>ROUND(INDEX($A$93:$AY$93,MATCH(YEAR(BZ$78),$A$80:$AY$80))*20%,0)</f>
        <v>4</v>
      </c>
      <c r="CA122" s="1390">
        <f>ROUND(INDEX($A$93:$AY$93,MATCH(YEAR(CA$78),$A$80:$AY$80))*20%,0)</f>
        <v>4</v>
      </c>
      <c r="CB122" s="1390">
        <f>ROUND(INDEX($A$93:$AY$93,MATCH(YEAR(CB$78),$A$80:$AY$80))*20%,0)</f>
        <v>4</v>
      </c>
      <c r="CC122" s="1391">
        <f>INDEX($A$93:$AY$93,MATCH(YEAR(CC$78),$A$80:$AY$80))-SUM(BZ122:CB122)</f>
        <v>7</v>
      </c>
      <c r="CD122" s="1390">
        <f>ROUND(INDEX($A$93:$AY$93,MATCH(YEAR(CD$78),$A$80:$AY$80))*20%,0)</f>
        <v>4</v>
      </c>
      <c r="CE122" s="1390">
        <f>ROUND(INDEX($A$93:$AY$93,MATCH(YEAR(CE$78),$A$80:$AY$80))*20%,0)</f>
        <v>4</v>
      </c>
      <c r="CF122" s="1390">
        <f>ROUND(INDEX($A$93:$AY$93,MATCH(YEAR(CF$78),$A$80:$AY$80))*20%,0)</f>
        <v>4</v>
      </c>
      <c r="CG122" s="1391">
        <f>INDEX($A$93:$AY$93,MATCH(YEAR(CG$78),$A$80:$AY$80))-SUM(CD122:CF122)</f>
        <v>7</v>
      </c>
      <c r="CH122" s="1390">
        <f>ROUND(INDEX($A$93:$BB$93,MATCH(YEAR(CH$78),$A$80:$BB$80))*20%,0)</f>
        <v>3</v>
      </c>
      <c r="CI122" s="1390">
        <f t="shared" ref="CI122:CJ122" si="745">ROUND(INDEX($A$93:$BB$93,MATCH(YEAR(CI$78),$A$80:$BB$80))*20%,0)</f>
        <v>3</v>
      </c>
      <c r="CJ122" s="1390">
        <f t="shared" si="745"/>
        <v>3</v>
      </c>
      <c r="CK122" s="1391">
        <f>INDEX($A$93:$BB$93,MATCH(YEAR(CK$78),$A$80:$BB$80))-SUM(CH122:CJ122)</f>
        <v>8</v>
      </c>
      <c r="CL122" s="1390">
        <f t="shared" ref="CL122:CV122" si="746">ROUND(INDEX($A$93:$BB$93,MATCH(YEAR(CL$78),$A$80:$BB$80))*20%,0)</f>
        <v>3</v>
      </c>
      <c r="CM122" s="1390">
        <f t="shared" si="746"/>
        <v>3</v>
      </c>
      <c r="CN122" s="1390">
        <f t="shared" si="746"/>
        <v>3</v>
      </c>
      <c r="CO122" s="1391">
        <f t="shared" ref="CO122" si="747">INDEX($A$93:$BB$93,MATCH(YEAR(CO$78),$A$80:$BB$80))-SUM(CL122:CN122)</f>
        <v>8</v>
      </c>
      <c r="CP122" s="1390">
        <f t="shared" ref="CP122" si="748">ROUND(INDEX($A$93:$BB$93,MATCH(YEAR(CP$78),$A$80:$BB$80))*20%,0)</f>
        <v>3</v>
      </c>
      <c r="CQ122" s="1390">
        <f t="shared" si="746"/>
        <v>3</v>
      </c>
      <c r="CR122" s="1390">
        <f t="shared" si="746"/>
        <v>3</v>
      </c>
      <c r="CS122" s="1391">
        <f t="shared" ref="CS122" si="749">INDEX($A$93:$BB$93,MATCH(YEAR(CS$78),$A$80:$BB$80))-SUM(CP122:CR122)</f>
        <v>8</v>
      </c>
      <c r="CT122" s="1390">
        <f t="shared" ref="CT122" si="750">ROUND(INDEX($A$93:$BB$93,MATCH(YEAR(CT$78),$A$80:$BB$80))*20%,0)</f>
        <v>3</v>
      </c>
      <c r="CU122" s="1390">
        <f t="shared" si="746"/>
        <v>3</v>
      </c>
      <c r="CV122" s="1390">
        <f t="shared" si="746"/>
        <v>3</v>
      </c>
      <c r="CW122" s="1391">
        <f t="shared" ref="CW122" si="751">INDEX($A$93:$BB$93,MATCH(YEAR(CW$78),$A$80:$BB$80))-SUM(CT122:CV122)</f>
        <v>5</v>
      </c>
      <c r="CX122" s="337"/>
      <c r="CY122" s="337"/>
      <c r="DA122" s="9"/>
      <c r="DB122" s="9"/>
    </row>
    <row r="123" spans="1:106" s="92" customFormat="1">
      <c r="A123" s="693" t="s">
        <v>202</v>
      </c>
      <c r="B123" s="689"/>
      <c r="C123" s="689">
        <f t="shared" ref="C123:AA123" si="752">C121</f>
        <v>0</v>
      </c>
      <c r="D123" s="689">
        <f t="shared" si="752"/>
        <v>0</v>
      </c>
      <c r="E123" s="689">
        <f t="shared" si="752"/>
        <v>0</v>
      </c>
      <c r="F123" s="689">
        <f t="shared" si="752"/>
        <v>0</v>
      </c>
      <c r="G123" s="689">
        <f t="shared" si="752"/>
        <v>0</v>
      </c>
      <c r="H123" s="689">
        <f t="shared" si="752"/>
        <v>0</v>
      </c>
      <c r="I123" s="689">
        <f t="shared" si="752"/>
        <v>0</v>
      </c>
      <c r="J123" s="689">
        <f t="shared" si="752"/>
        <v>0</v>
      </c>
      <c r="K123" s="689">
        <f t="shared" si="752"/>
        <v>0</v>
      </c>
      <c r="L123" s="689">
        <f t="shared" si="752"/>
        <v>0</v>
      </c>
      <c r="M123" s="689">
        <f t="shared" si="752"/>
        <v>0</v>
      </c>
      <c r="N123" s="689">
        <f t="shared" si="752"/>
        <v>0</v>
      </c>
      <c r="O123" s="689">
        <f t="shared" si="752"/>
        <v>0</v>
      </c>
      <c r="P123" s="689">
        <f t="shared" si="752"/>
        <v>0</v>
      </c>
      <c r="Q123" s="689">
        <f t="shared" si="752"/>
        <v>0</v>
      </c>
      <c r="R123" s="689">
        <f t="shared" si="752"/>
        <v>0</v>
      </c>
      <c r="S123" s="689">
        <f t="shared" si="752"/>
        <v>0</v>
      </c>
      <c r="T123" s="689">
        <f t="shared" si="752"/>
        <v>0</v>
      </c>
      <c r="U123" s="689">
        <f t="shared" si="752"/>
        <v>0</v>
      </c>
      <c r="V123" s="689">
        <f t="shared" si="752"/>
        <v>0</v>
      </c>
      <c r="W123" s="689">
        <f t="shared" si="752"/>
        <v>0</v>
      </c>
      <c r="X123" s="689">
        <f t="shared" si="752"/>
        <v>0</v>
      </c>
      <c r="Y123" s="689">
        <f t="shared" si="752"/>
        <v>302</v>
      </c>
      <c r="Z123" s="689">
        <f t="shared" si="752"/>
        <v>-2</v>
      </c>
      <c r="AA123" s="689">
        <f t="shared" si="752"/>
        <v>2</v>
      </c>
      <c r="AB123" s="689">
        <f t="shared" ref="AB123:AM123" si="753">AB121</f>
        <v>3</v>
      </c>
      <c r="AC123" s="689">
        <f t="shared" si="753"/>
        <v>8</v>
      </c>
      <c r="AD123" s="689">
        <f t="shared" si="753"/>
        <v>9</v>
      </c>
      <c r="AE123" s="689">
        <f t="shared" si="753"/>
        <v>4</v>
      </c>
      <c r="AF123" s="689">
        <f t="shared" si="753"/>
        <v>5</v>
      </c>
      <c r="AG123" s="689">
        <f t="shared" si="753"/>
        <v>13</v>
      </c>
      <c r="AH123" s="689">
        <f t="shared" si="753"/>
        <v>8</v>
      </c>
      <c r="AI123" s="689">
        <f t="shared" si="753"/>
        <v>5</v>
      </c>
      <c r="AJ123" s="689">
        <f t="shared" si="753"/>
        <v>9</v>
      </c>
      <c r="AK123" s="689">
        <f t="shared" si="753"/>
        <v>15</v>
      </c>
      <c r="AL123" s="689">
        <f t="shared" si="753"/>
        <v>8</v>
      </c>
      <c r="AM123" s="689">
        <f t="shared" si="753"/>
        <v>7</v>
      </c>
      <c r="AN123" s="689">
        <f>AN121</f>
        <v>8</v>
      </c>
      <c r="AO123" s="689">
        <f>AO121</f>
        <v>16</v>
      </c>
      <c r="AP123" s="689"/>
      <c r="AQ123" s="689">
        <f t="shared" ref="AQ123:AV123" si="754">AQ121</f>
        <v>10</v>
      </c>
      <c r="AR123" s="689">
        <f t="shared" si="754"/>
        <v>13</v>
      </c>
      <c r="AS123" s="689">
        <f t="shared" si="754"/>
        <v>-7</v>
      </c>
      <c r="AT123" s="689">
        <f t="shared" si="754"/>
        <v>7</v>
      </c>
      <c r="AU123" s="689">
        <f t="shared" si="754"/>
        <v>-18</v>
      </c>
      <c r="AV123" s="689">
        <f t="shared" si="754"/>
        <v>-2</v>
      </c>
      <c r="AW123" s="689">
        <f t="shared" ref="AW123:BC123" si="755">AW121</f>
        <v>-13</v>
      </c>
      <c r="AX123" s="689">
        <f t="shared" si="755"/>
        <v>1</v>
      </c>
      <c r="AY123" s="689">
        <f t="shared" si="755"/>
        <v>3</v>
      </c>
      <c r="AZ123" s="689">
        <f t="shared" si="755"/>
        <v>3</v>
      </c>
      <c r="BA123" s="689">
        <f t="shared" si="755"/>
        <v>9</v>
      </c>
      <c r="BB123" s="689">
        <f t="shared" si="755"/>
        <v>10</v>
      </c>
      <c r="BC123" s="689">
        <f t="shared" si="755"/>
        <v>11</v>
      </c>
      <c r="BD123" s="689">
        <f t="shared" ref="BD123:BI123" si="756">BD121</f>
        <v>14</v>
      </c>
      <c r="BE123" s="689">
        <f t="shared" si="756"/>
        <v>15</v>
      </c>
      <c r="BF123" s="689">
        <f t="shared" si="756"/>
        <v>4</v>
      </c>
      <c r="BG123" s="689">
        <f t="shared" si="756"/>
        <v>14</v>
      </c>
      <c r="BH123" s="689">
        <f t="shared" si="756"/>
        <v>12</v>
      </c>
      <c r="BI123" s="689">
        <f t="shared" si="756"/>
        <v>18</v>
      </c>
      <c r="BJ123" s="689">
        <f t="shared" ref="BJ123:BK123" si="757">BJ121</f>
        <v>3</v>
      </c>
      <c r="BK123" s="1830">
        <f t="shared" si="757"/>
        <v>10</v>
      </c>
      <c r="BL123" s="1639">
        <f t="shared" ref="BL123:BQ123" si="758">+ROUND(BL122*80%,0)</f>
        <v>6</v>
      </c>
      <c r="BM123" s="1640">
        <f t="shared" si="758"/>
        <v>12</v>
      </c>
      <c r="BN123" s="1639">
        <f t="shared" si="758"/>
        <v>4</v>
      </c>
      <c r="BO123" s="1639">
        <f t="shared" si="758"/>
        <v>4</v>
      </c>
      <c r="BP123" s="1639">
        <f t="shared" si="758"/>
        <v>4</v>
      </c>
      <c r="BQ123" s="1640">
        <f t="shared" si="758"/>
        <v>10</v>
      </c>
      <c r="BR123" s="1639">
        <f t="shared" ref="BR123:CK123" si="759">+ROUND(BR122*80%,0)</f>
        <v>3</v>
      </c>
      <c r="BS123" s="1639">
        <f t="shared" si="759"/>
        <v>3</v>
      </c>
      <c r="BT123" s="1639">
        <f t="shared" si="759"/>
        <v>3</v>
      </c>
      <c r="BU123" s="1640">
        <f t="shared" si="759"/>
        <v>8</v>
      </c>
      <c r="BV123" s="1639">
        <f t="shared" si="759"/>
        <v>3</v>
      </c>
      <c r="BW123" s="1639">
        <f t="shared" si="759"/>
        <v>3</v>
      </c>
      <c r="BX123" s="1639">
        <f t="shared" si="759"/>
        <v>3</v>
      </c>
      <c r="BY123" s="1640">
        <f t="shared" si="759"/>
        <v>6</v>
      </c>
      <c r="BZ123" s="1639">
        <f t="shared" si="759"/>
        <v>3</v>
      </c>
      <c r="CA123" s="1639">
        <f t="shared" si="759"/>
        <v>3</v>
      </c>
      <c r="CB123" s="1639">
        <f t="shared" si="759"/>
        <v>3</v>
      </c>
      <c r="CC123" s="1640">
        <f t="shared" si="759"/>
        <v>6</v>
      </c>
      <c r="CD123" s="1639">
        <f t="shared" si="759"/>
        <v>3</v>
      </c>
      <c r="CE123" s="1639">
        <f t="shared" si="759"/>
        <v>3</v>
      </c>
      <c r="CF123" s="1639">
        <f t="shared" si="759"/>
        <v>3</v>
      </c>
      <c r="CG123" s="1640">
        <f t="shared" si="759"/>
        <v>6</v>
      </c>
      <c r="CH123" s="1639">
        <f t="shared" si="759"/>
        <v>2</v>
      </c>
      <c r="CI123" s="1639">
        <f t="shared" si="759"/>
        <v>2</v>
      </c>
      <c r="CJ123" s="1639">
        <f t="shared" si="759"/>
        <v>2</v>
      </c>
      <c r="CK123" s="1640">
        <f t="shared" si="759"/>
        <v>6</v>
      </c>
      <c r="CL123" s="1640">
        <f t="shared" ref="CL123:CP123" si="760">+ROUND(CL122*80%,0)</f>
        <v>2</v>
      </c>
      <c r="CM123" s="1640">
        <f t="shared" si="760"/>
        <v>2</v>
      </c>
      <c r="CN123" s="1640">
        <f t="shared" si="760"/>
        <v>2</v>
      </c>
      <c r="CO123" s="1640">
        <f t="shared" si="760"/>
        <v>6</v>
      </c>
      <c r="CP123" s="1640">
        <f t="shared" si="760"/>
        <v>2</v>
      </c>
      <c r="CQ123" s="1640">
        <f t="shared" ref="CQ123:CU123" si="761">+ROUND(CQ122*80%,0)</f>
        <v>2</v>
      </c>
      <c r="CR123" s="1640">
        <f t="shared" si="761"/>
        <v>2</v>
      </c>
      <c r="CS123" s="1640">
        <f t="shared" si="761"/>
        <v>6</v>
      </c>
      <c r="CT123" s="1640">
        <f t="shared" si="761"/>
        <v>2</v>
      </c>
      <c r="CU123" s="1640">
        <f t="shared" si="761"/>
        <v>2</v>
      </c>
      <c r="CV123" s="1640">
        <f t="shared" ref="CV123:CW123" si="762">+ROUND(CV122*80%,0)</f>
        <v>2</v>
      </c>
      <c r="CW123" s="1640">
        <f t="shared" si="762"/>
        <v>4</v>
      </c>
      <c r="CX123" s="337"/>
      <c r="CY123" s="337"/>
      <c r="DA123" s="9"/>
      <c r="DB123" s="9"/>
    </row>
    <row r="124" spans="1:106">
      <c r="A124" s="42"/>
      <c r="B124" s="388"/>
      <c r="C124" s="388"/>
      <c r="D124" s="388"/>
      <c r="E124" s="388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574"/>
      <c r="AN124" s="574"/>
      <c r="AO124" s="574"/>
      <c r="AP124" s="574"/>
      <c r="AQ124" s="574"/>
      <c r="AR124" s="574"/>
      <c r="AS124" s="574"/>
      <c r="AT124" s="574"/>
      <c r="AU124" s="574"/>
      <c r="AV124" s="574"/>
      <c r="AW124" s="574"/>
      <c r="AX124" s="574"/>
      <c r="AY124" s="574"/>
      <c r="AZ124" s="574"/>
      <c r="BA124" s="574"/>
      <c r="BB124" s="574"/>
      <c r="BC124" s="574"/>
      <c r="BD124" s="574"/>
      <c r="BE124" s="574"/>
      <c r="BF124" s="574"/>
      <c r="BG124" s="574"/>
      <c r="BH124" s="574"/>
      <c r="BI124" s="574"/>
      <c r="BJ124" s="574"/>
      <c r="BK124" s="1831"/>
      <c r="BL124" s="305"/>
      <c r="BM124" s="305"/>
      <c r="BN124" s="305"/>
      <c r="BO124" s="305"/>
      <c r="BP124" s="305"/>
      <c r="BQ124" s="305"/>
      <c r="BR124" s="305"/>
      <c r="BS124" s="305"/>
      <c r="BT124" s="305"/>
      <c r="BU124" s="305"/>
      <c r="BV124" s="305"/>
      <c r="BW124" s="305"/>
      <c r="BX124" s="305"/>
      <c r="BY124" s="305"/>
      <c r="BZ124" s="305"/>
      <c r="CA124" s="305"/>
      <c r="CB124" s="305"/>
      <c r="CC124" s="305"/>
      <c r="CD124" s="305"/>
      <c r="CE124" s="305"/>
      <c r="CF124" s="305"/>
      <c r="CG124" s="305"/>
      <c r="CH124" s="305"/>
      <c r="CI124" s="305"/>
      <c r="CJ124" s="305"/>
      <c r="CK124" s="305"/>
      <c r="CL124" s="305"/>
      <c r="CM124" s="305"/>
      <c r="CN124" s="305"/>
      <c r="CO124" s="305"/>
      <c r="CP124" s="305"/>
      <c r="CQ124" s="305"/>
      <c r="CR124" s="305"/>
      <c r="CS124" s="305"/>
      <c r="CT124" s="305"/>
      <c r="CU124" s="305"/>
      <c r="CV124" s="305"/>
      <c r="CW124" s="305"/>
      <c r="CX124" s="269"/>
      <c r="CY124" s="337"/>
    </row>
    <row r="125" spans="1:106" s="92" customFormat="1">
      <c r="A125" s="692" t="s">
        <v>943</v>
      </c>
      <c r="B125" s="687"/>
      <c r="C125" s="687">
        <f t="shared" ref="C125:AA125" si="763">CHOOSE(MASTERSWITCH,C126,C127,C128)</f>
        <v>0</v>
      </c>
      <c r="D125" s="687">
        <f t="shared" si="763"/>
        <v>0</v>
      </c>
      <c r="E125" s="687">
        <f t="shared" si="763"/>
        <v>0</v>
      </c>
      <c r="F125" s="687">
        <f t="shared" si="763"/>
        <v>0</v>
      </c>
      <c r="G125" s="687">
        <f t="shared" si="763"/>
        <v>0</v>
      </c>
      <c r="H125" s="687">
        <f t="shared" si="763"/>
        <v>0</v>
      </c>
      <c r="I125" s="687">
        <f t="shared" si="763"/>
        <v>0</v>
      </c>
      <c r="J125" s="687">
        <f t="shared" si="763"/>
        <v>0</v>
      </c>
      <c r="K125" s="687">
        <f t="shared" si="763"/>
        <v>0</v>
      </c>
      <c r="L125" s="687">
        <f t="shared" si="763"/>
        <v>0</v>
      </c>
      <c r="M125" s="687">
        <f t="shared" si="763"/>
        <v>0</v>
      </c>
      <c r="N125" s="687">
        <f t="shared" si="763"/>
        <v>0</v>
      </c>
      <c r="O125" s="687">
        <f t="shared" si="763"/>
        <v>0</v>
      </c>
      <c r="P125" s="687">
        <f t="shared" si="763"/>
        <v>0</v>
      </c>
      <c r="Q125" s="687">
        <f t="shared" si="763"/>
        <v>0</v>
      </c>
      <c r="R125" s="687">
        <f t="shared" si="763"/>
        <v>0</v>
      </c>
      <c r="S125" s="687">
        <f t="shared" si="763"/>
        <v>0</v>
      </c>
      <c r="T125" s="687">
        <f t="shared" si="763"/>
        <v>0</v>
      </c>
      <c r="U125" s="687">
        <f t="shared" si="763"/>
        <v>0</v>
      </c>
      <c r="V125" s="687">
        <f t="shared" si="763"/>
        <v>0</v>
      </c>
      <c r="W125" s="687">
        <f t="shared" si="763"/>
        <v>0</v>
      </c>
      <c r="X125" s="687">
        <f t="shared" si="763"/>
        <v>0</v>
      </c>
      <c r="Y125" s="687">
        <f t="shared" si="763"/>
        <v>140</v>
      </c>
      <c r="Z125" s="687">
        <f t="shared" si="763"/>
        <v>2</v>
      </c>
      <c r="AA125" s="687">
        <f t="shared" si="763"/>
        <v>1</v>
      </c>
      <c r="AB125" s="687">
        <f t="shared" ref="AB125:AM125" si="764">CHOOSE(MASTERSWITCH,AB126,AB127,AB128)</f>
        <v>7</v>
      </c>
      <c r="AC125" s="687">
        <f t="shared" si="764"/>
        <v>4</v>
      </c>
      <c r="AD125" s="687">
        <f t="shared" si="764"/>
        <v>-8</v>
      </c>
      <c r="AE125" s="687">
        <f t="shared" si="764"/>
        <v>3</v>
      </c>
      <c r="AF125" s="687">
        <f t="shared" si="764"/>
        <v>3</v>
      </c>
      <c r="AG125" s="687">
        <f t="shared" si="764"/>
        <v>3</v>
      </c>
      <c r="AH125" s="687">
        <f t="shared" si="764"/>
        <v>-1</v>
      </c>
      <c r="AI125" s="687">
        <f t="shared" si="764"/>
        <v>8</v>
      </c>
      <c r="AJ125" s="687">
        <f t="shared" si="764"/>
        <v>2</v>
      </c>
      <c r="AK125" s="687">
        <f t="shared" si="764"/>
        <v>4</v>
      </c>
      <c r="AL125" s="687">
        <f t="shared" si="764"/>
        <v>-2</v>
      </c>
      <c r="AM125" s="687">
        <f t="shared" si="764"/>
        <v>-1</v>
      </c>
      <c r="AN125" s="687">
        <f t="shared" ref="AN125:AS125" si="765">CHOOSE(MASTERSWITCH,AN126,AN127,AN128)</f>
        <v>2</v>
      </c>
      <c r="AO125" s="687">
        <f t="shared" si="765"/>
        <v>6</v>
      </c>
      <c r="AP125" s="687">
        <f t="shared" si="765"/>
        <v>308</v>
      </c>
      <c r="AQ125" s="687">
        <f t="shared" si="765"/>
        <v>9</v>
      </c>
      <c r="AR125" s="687">
        <f t="shared" si="765"/>
        <v>9</v>
      </c>
      <c r="AS125" s="687">
        <f t="shared" si="765"/>
        <v>11</v>
      </c>
      <c r="AT125" s="687">
        <f t="shared" ref="AT125:BC125" si="766">CHOOSE(MASTERSWITCH,AT126,AT127,AT128)</f>
        <v>0</v>
      </c>
      <c r="AU125" s="687">
        <f t="shared" si="766"/>
        <v>3</v>
      </c>
      <c r="AV125" s="687">
        <f t="shared" si="766"/>
        <v>4</v>
      </c>
      <c r="AW125" s="687">
        <f t="shared" si="766"/>
        <v>-3</v>
      </c>
      <c r="AX125" s="687">
        <f t="shared" si="766"/>
        <v>-2</v>
      </c>
      <c r="AY125" s="687">
        <f t="shared" si="766"/>
        <v>10</v>
      </c>
      <c r="AZ125" s="687">
        <f t="shared" si="766"/>
        <v>13</v>
      </c>
      <c r="BA125" s="687">
        <f t="shared" si="766"/>
        <v>11</v>
      </c>
      <c r="BB125" s="687">
        <f t="shared" si="766"/>
        <v>7</v>
      </c>
      <c r="BC125" s="687">
        <f t="shared" si="766"/>
        <v>0</v>
      </c>
      <c r="BD125" s="687">
        <f t="shared" ref="BD125:BN125" si="767">CHOOSE(MASTERSWITCH,BD126,BD127,BD128)</f>
        <v>-6</v>
      </c>
      <c r="BE125" s="687">
        <f t="shared" si="767"/>
        <v>1</v>
      </c>
      <c r="BF125" s="687">
        <f t="shared" ref="BF125:BG125" si="768">CHOOSE(MASTERSWITCH,BF126,BF127,BF128)</f>
        <v>-3</v>
      </c>
      <c r="BG125" s="687">
        <f t="shared" si="768"/>
        <v>3</v>
      </c>
      <c r="BH125" s="687">
        <f t="shared" ref="BH125:BI125" si="769">CHOOSE(MASTERSWITCH,BH126,BH127,BH128)</f>
        <v>8</v>
      </c>
      <c r="BI125" s="687">
        <f t="shared" si="769"/>
        <v>2</v>
      </c>
      <c r="BJ125" s="687">
        <f t="shared" ref="BJ125:BK125" si="770">CHOOSE(MASTERSWITCH,BJ126,BJ127,BJ128)</f>
        <v>-3</v>
      </c>
      <c r="BK125" s="1829">
        <f t="shared" si="770"/>
        <v>4</v>
      </c>
      <c r="BL125" s="688">
        <f t="shared" si="767"/>
        <v>6</v>
      </c>
      <c r="BM125" s="688">
        <f t="shared" si="767"/>
        <v>26</v>
      </c>
      <c r="BN125" s="688">
        <f t="shared" si="767"/>
        <v>3</v>
      </c>
      <c r="BO125" s="688">
        <f t="shared" ref="BO125:CK125" si="771">CHOOSE(MASTERSWITCH,BO126,BO127,BO128)</f>
        <v>3</v>
      </c>
      <c r="BP125" s="688">
        <f t="shared" si="771"/>
        <v>3</v>
      </c>
      <c r="BQ125" s="688">
        <f t="shared" si="771"/>
        <v>5</v>
      </c>
      <c r="BR125" s="688">
        <f t="shared" si="771"/>
        <v>2</v>
      </c>
      <c r="BS125" s="688">
        <f t="shared" si="771"/>
        <v>2</v>
      </c>
      <c r="BT125" s="688">
        <f t="shared" si="771"/>
        <v>2</v>
      </c>
      <c r="BU125" s="688">
        <f t="shared" si="771"/>
        <v>5</v>
      </c>
      <c r="BV125" s="688">
        <f t="shared" si="771"/>
        <v>2</v>
      </c>
      <c r="BW125" s="688">
        <f t="shared" si="771"/>
        <v>2</v>
      </c>
      <c r="BX125" s="688">
        <f t="shared" si="771"/>
        <v>2</v>
      </c>
      <c r="BY125" s="688">
        <f t="shared" si="771"/>
        <v>3</v>
      </c>
      <c r="BZ125" s="688">
        <f t="shared" si="771"/>
        <v>2</v>
      </c>
      <c r="CA125" s="688">
        <f t="shared" si="771"/>
        <v>2</v>
      </c>
      <c r="CB125" s="688">
        <f t="shared" si="771"/>
        <v>2</v>
      </c>
      <c r="CC125" s="688">
        <f t="shared" si="771"/>
        <v>3</v>
      </c>
      <c r="CD125" s="688">
        <f t="shared" si="771"/>
        <v>2</v>
      </c>
      <c r="CE125" s="688">
        <f t="shared" si="771"/>
        <v>2</v>
      </c>
      <c r="CF125" s="688">
        <f t="shared" si="771"/>
        <v>2</v>
      </c>
      <c r="CG125" s="688">
        <f t="shared" si="771"/>
        <v>3</v>
      </c>
      <c r="CH125" s="688">
        <f t="shared" si="771"/>
        <v>2</v>
      </c>
      <c r="CI125" s="688">
        <f t="shared" si="771"/>
        <v>2</v>
      </c>
      <c r="CJ125" s="688">
        <f t="shared" si="771"/>
        <v>2</v>
      </c>
      <c r="CK125" s="688">
        <f t="shared" si="771"/>
        <v>4</v>
      </c>
      <c r="CL125" s="688">
        <f t="shared" ref="CL125:CP125" si="772">CHOOSE(MASTERSWITCH,CL126,CL127,CL128)</f>
        <v>2</v>
      </c>
      <c r="CM125" s="688">
        <f t="shared" si="772"/>
        <v>2</v>
      </c>
      <c r="CN125" s="688">
        <f t="shared" si="772"/>
        <v>2</v>
      </c>
      <c r="CO125" s="688">
        <f t="shared" si="772"/>
        <v>4</v>
      </c>
      <c r="CP125" s="688">
        <f t="shared" si="772"/>
        <v>2</v>
      </c>
      <c r="CQ125" s="688">
        <f t="shared" ref="CQ125:CU125" si="773">CHOOSE(MASTERSWITCH,CQ126,CQ127,CQ128)</f>
        <v>2</v>
      </c>
      <c r="CR125" s="688">
        <f t="shared" si="773"/>
        <v>2</v>
      </c>
      <c r="CS125" s="688">
        <f t="shared" si="773"/>
        <v>4</v>
      </c>
      <c r="CT125" s="688">
        <f t="shared" si="773"/>
        <v>2</v>
      </c>
      <c r="CU125" s="688">
        <f t="shared" si="773"/>
        <v>2</v>
      </c>
      <c r="CV125" s="688">
        <f t="shared" ref="CV125:CW125" si="774">CHOOSE(MASTERSWITCH,CV126,CV127,CV128)</f>
        <v>2</v>
      </c>
      <c r="CW125" s="688">
        <f t="shared" si="774"/>
        <v>3</v>
      </c>
      <c r="CX125" s="337"/>
      <c r="CY125" s="337"/>
      <c r="DA125" s="9"/>
      <c r="DB125" s="9"/>
    </row>
    <row r="126" spans="1:106" s="92" customFormat="1">
      <c r="A126" s="693" t="s">
        <v>571</v>
      </c>
      <c r="B126" s="689"/>
      <c r="C126" s="689">
        <f>Q_IS!C86</f>
        <v>0</v>
      </c>
      <c r="D126" s="689">
        <f>Q_IS!D86</f>
        <v>0</v>
      </c>
      <c r="E126" s="689">
        <f>Q_IS!E86</f>
        <v>0</v>
      </c>
      <c r="F126" s="689">
        <f>Q_IS!F86</f>
        <v>0</v>
      </c>
      <c r="G126" s="689">
        <f>Q_IS!G86</f>
        <v>0</v>
      </c>
      <c r="H126" s="689">
        <f>Q_IS!H86</f>
        <v>0</v>
      </c>
      <c r="I126" s="689">
        <f>Q_IS!I86</f>
        <v>0</v>
      </c>
      <c r="J126" s="689">
        <f>Q_IS!J86</f>
        <v>0</v>
      </c>
      <c r="K126" s="689">
        <f>Q_IS!K86</f>
        <v>0</v>
      </c>
      <c r="L126" s="689">
        <f>Q_IS!L86</f>
        <v>0</v>
      </c>
      <c r="M126" s="689">
        <f>Q_IS!M86</f>
        <v>0</v>
      </c>
      <c r="N126" s="689">
        <f>Q_IS!N86</f>
        <v>0</v>
      </c>
      <c r="O126" s="689">
        <f>Q_IS!O86</f>
        <v>0</v>
      </c>
      <c r="P126" s="689">
        <f>Q_IS!P86</f>
        <v>0</v>
      </c>
      <c r="Q126" s="689">
        <f>Q_IS!Q86</f>
        <v>0</v>
      </c>
      <c r="R126" s="689">
        <f>Q_IS!R86</f>
        <v>0</v>
      </c>
      <c r="S126" s="689">
        <f>Q_IS!S86</f>
        <v>0</v>
      </c>
      <c r="T126" s="689">
        <f>Q_IS!T86</f>
        <v>0</v>
      </c>
      <c r="U126" s="689">
        <f>Q_IS!U86</f>
        <v>0</v>
      </c>
      <c r="V126" s="689">
        <f>Q_IS!V86</f>
        <v>0</v>
      </c>
      <c r="W126" s="689">
        <f>Q_IS!W86</f>
        <v>0</v>
      </c>
      <c r="X126" s="689">
        <f>Q_IS!X86</f>
        <v>0</v>
      </c>
      <c r="Y126" s="689">
        <f>Q_IS!Y86</f>
        <v>140</v>
      </c>
      <c r="Z126" s="689">
        <f>Q_IS!Z86</f>
        <v>2</v>
      </c>
      <c r="AA126" s="689">
        <f>Q_IS!AA86</f>
        <v>1</v>
      </c>
      <c r="AB126" s="689">
        <f>Q_IS!AB86</f>
        <v>7</v>
      </c>
      <c r="AC126" s="689">
        <f>Q_IS!AC86</f>
        <v>4</v>
      </c>
      <c r="AD126" s="689">
        <f>Q_IS!AD86</f>
        <v>-8</v>
      </c>
      <c r="AE126" s="689">
        <f>Q_IS!AE86</f>
        <v>3</v>
      </c>
      <c r="AF126" s="689">
        <f>Q_IS!AF86</f>
        <v>3</v>
      </c>
      <c r="AG126" s="689">
        <f>Q_IS!AG86</f>
        <v>3</v>
      </c>
      <c r="AH126" s="689">
        <f>Q_IS!AH86</f>
        <v>-1</v>
      </c>
      <c r="AI126" s="689">
        <f>Q_IS!AI86</f>
        <v>8</v>
      </c>
      <c r="AJ126" s="689">
        <f>Q_IS!AJ86</f>
        <v>2</v>
      </c>
      <c r="AK126" s="689">
        <f>Q_IS!AK86</f>
        <v>4</v>
      </c>
      <c r="AL126" s="689">
        <f>Q_IS!AL86</f>
        <v>-2</v>
      </c>
      <c r="AM126" s="689">
        <f>Q_IS!AM86</f>
        <v>-1</v>
      </c>
      <c r="AN126" s="689">
        <f>Q_IS!AN86</f>
        <v>2</v>
      </c>
      <c r="AO126" s="689">
        <f>Q_IS!AO86</f>
        <v>6</v>
      </c>
      <c r="AP126" s="689">
        <f>Q_IS!AP86</f>
        <v>308</v>
      </c>
      <c r="AQ126" s="689">
        <f>Q_IS!AQ86</f>
        <v>9</v>
      </c>
      <c r="AR126" s="689">
        <f>Q_IS!AR86</f>
        <v>9</v>
      </c>
      <c r="AS126" s="689">
        <f>Q_IS!AS86</f>
        <v>11</v>
      </c>
      <c r="AT126" s="689">
        <f>Q_IS!AT86</f>
        <v>0</v>
      </c>
      <c r="AU126" s="689">
        <f>Q_IS!AU86</f>
        <v>3</v>
      </c>
      <c r="AV126" s="689">
        <f>Q_IS!AV86</f>
        <v>4</v>
      </c>
      <c r="AW126" s="689">
        <f>Q_IS!AW86</f>
        <v>-3</v>
      </c>
      <c r="AX126" s="689">
        <f>Q_IS!AX86</f>
        <v>-2</v>
      </c>
      <c r="AY126" s="689">
        <f>Q_IS!AY86</f>
        <v>10</v>
      </c>
      <c r="AZ126" s="689">
        <f>Q_IS!AZ86</f>
        <v>13</v>
      </c>
      <c r="BA126" s="689">
        <f>Q_IS!BA86</f>
        <v>11</v>
      </c>
      <c r="BB126" s="689">
        <f>Q_IS!BB86</f>
        <v>7</v>
      </c>
      <c r="BC126" s="689">
        <f>Q_IS!BC86</f>
        <v>0</v>
      </c>
      <c r="BD126" s="689">
        <f>Q_IS!BD86</f>
        <v>-6</v>
      </c>
      <c r="BE126" s="689">
        <f>Q_IS!BE86</f>
        <v>1</v>
      </c>
      <c r="BF126" s="689">
        <f>Q_IS!BF86</f>
        <v>-3</v>
      </c>
      <c r="BG126" s="689">
        <f>Q_IS!BG86</f>
        <v>3</v>
      </c>
      <c r="BH126" s="689">
        <f>Q_IS!BH86</f>
        <v>8</v>
      </c>
      <c r="BI126" s="689">
        <f>Q_IS!BI86</f>
        <v>2</v>
      </c>
      <c r="BJ126" s="689">
        <f>Q_IS!BJ86</f>
        <v>-3</v>
      </c>
      <c r="BK126" s="1830">
        <f>Q_IS!BK86</f>
        <v>4</v>
      </c>
      <c r="BL126" s="1639">
        <f t="shared" ref="BL126:BP126" si="775">+BL127</f>
        <v>8</v>
      </c>
      <c r="BM126" s="1640">
        <f t="shared" si="775"/>
        <v>32</v>
      </c>
      <c r="BN126" s="1639">
        <f t="shared" si="775"/>
        <v>4</v>
      </c>
      <c r="BO126" s="1639">
        <f t="shared" si="775"/>
        <v>4</v>
      </c>
      <c r="BP126" s="1639">
        <f t="shared" si="775"/>
        <v>4</v>
      </c>
      <c r="BQ126" s="1640">
        <f t="shared" ref="BQ126:CW126" si="776">+BQ127</f>
        <v>6</v>
      </c>
      <c r="BR126" s="1639">
        <f t="shared" si="776"/>
        <v>3</v>
      </c>
      <c r="BS126" s="1639">
        <f t="shared" si="776"/>
        <v>3</v>
      </c>
      <c r="BT126" s="1639">
        <f t="shared" si="776"/>
        <v>3</v>
      </c>
      <c r="BU126" s="1640">
        <f t="shared" si="776"/>
        <v>6</v>
      </c>
      <c r="BV126" s="1639">
        <f t="shared" si="776"/>
        <v>3</v>
      </c>
      <c r="BW126" s="1639">
        <f t="shared" si="776"/>
        <v>3</v>
      </c>
      <c r="BX126" s="1639">
        <f t="shared" si="776"/>
        <v>3</v>
      </c>
      <c r="BY126" s="1640">
        <f t="shared" si="776"/>
        <v>4</v>
      </c>
      <c r="BZ126" s="1639">
        <f t="shared" si="776"/>
        <v>3</v>
      </c>
      <c r="CA126" s="1639">
        <f t="shared" si="776"/>
        <v>3</v>
      </c>
      <c r="CB126" s="1639">
        <f t="shared" si="776"/>
        <v>3</v>
      </c>
      <c r="CC126" s="1640">
        <f t="shared" si="776"/>
        <v>4</v>
      </c>
      <c r="CD126" s="1639">
        <f t="shared" si="776"/>
        <v>3</v>
      </c>
      <c r="CE126" s="1639">
        <f t="shared" si="776"/>
        <v>3</v>
      </c>
      <c r="CF126" s="1639">
        <f t="shared" si="776"/>
        <v>3</v>
      </c>
      <c r="CG126" s="1640">
        <f t="shared" si="776"/>
        <v>4</v>
      </c>
      <c r="CH126" s="1639">
        <f t="shared" si="776"/>
        <v>2</v>
      </c>
      <c r="CI126" s="1639">
        <f t="shared" si="776"/>
        <v>2</v>
      </c>
      <c r="CJ126" s="1639">
        <f t="shared" si="776"/>
        <v>2</v>
      </c>
      <c r="CK126" s="1640">
        <f t="shared" si="776"/>
        <v>5</v>
      </c>
      <c r="CL126" s="1640">
        <f t="shared" si="776"/>
        <v>2</v>
      </c>
      <c r="CM126" s="1640">
        <f t="shared" si="776"/>
        <v>2</v>
      </c>
      <c r="CN126" s="1640">
        <f t="shared" si="776"/>
        <v>2</v>
      </c>
      <c r="CO126" s="1640">
        <f t="shared" si="776"/>
        <v>5</v>
      </c>
      <c r="CP126" s="1640">
        <f t="shared" si="776"/>
        <v>2</v>
      </c>
      <c r="CQ126" s="1640">
        <f t="shared" si="776"/>
        <v>2</v>
      </c>
      <c r="CR126" s="1640">
        <f t="shared" si="776"/>
        <v>2</v>
      </c>
      <c r="CS126" s="1640">
        <f t="shared" si="776"/>
        <v>5</v>
      </c>
      <c r="CT126" s="1640">
        <f t="shared" si="776"/>
        <v>2</v>
      </c>
      <c r="CU126" s="1640">
        <f t="shared" si="776"/>
        <v>2</v>
      </c>
      <c r="CV126" s="1640">
        <f t="shared" si="776"/>
        <v>2</v>
      </c>
      <c r="CW126" s="1640">
        <f t="shared" si="776"/>
        <v>4</v>
      </c>
      <c r="CX126" s="337"/>
      <c r="CY126" s="337"/>
      <c r="DA126" s="9"/>
      <c r="DB126" s="9"/>
    </row>
    <row r="127" spans="1:106" s="92" customFormat="1">
      <c r="A127" s="693" t="s">
        <v>200</v>
      </c>
      <c r="B127" s="689"/>
      <c r="C127" s="689">
        <f t="shared" ref="C127:AA127" si="777">C126</f>
        <v>0</v>
      </c>
      <c r="D127" s="689">
        <f t="shared" si="777"/>
        <v>0</v>
      </c>
      <c r="E127" s="689">
        <f t="shared" si="777"/>
        <v>0</v>
      </c>
      <c r="F127" s="689">
        <f t="shared" si="777"/>
        <v>0</v>
      </c>
      <c r="G127" s="689">
        <f t="shared" si="777"/>
        <v>0</v>
      </c>
      <c r="H127" s="689">
        <f t="shared" si="777"/>
        <v>0</v>
      </c>
      <c r="I127" s="689">
        <f t="shared" si="777"/>
        <v>0</v>
      </c>
      <c r="J127" s="689">
        <f t="shared" si="777"/>
        <v>0</v>
      </c>
      <c r="K127" s="689">
        <f t="shared" si="777"/>
        <v>0</v>
      </c>
      <c r="L127" s="689">
        <f t="shared" si="777"/>
        <v>0</v>
      </c>
      <c r="M127" s="689">
        <f t="shared" si="777"/>
        <v>0</v>
      </c>
      <c r="N127" s="689">
        <f t="shared" si="777"/>
        <v>0</v>
      </c>
      <c r="O127" s="689">
        <f t="shared" si="777"/>
        <v>0</v>
      </c>
      <c r="P127" s="689">
        <f t="shared" si="777"/>
        <v>0</v>
      </c>
      <c r="Q127" s="689">
        <f t="shared" si="777"/>
        <v>0</v>
      </c>
      <c r="R127" s="689">
        <f t="shared" si="777"/>
        <v>0</v>
      </c>
      <c r="S127" s="689">
        <f t="shared" si="777"/>
        <v>0</v>
      </c>
      <c r="T127" s="689">
        <f t="shared" si="777"/>
        <v>0</v>
      </c>
      <c r="U127" s="689">
        <f t="shared" si="777"/>
        <v>0</v>
      </c>
      <c r="V127" s="689">
        <f t="shared" si="777"/>
        <v>0</v>
      </c>
      <c r="W127" s="689">
        <f t="shared" si="777"/>
        <v>0</v>
      </c>
      <c r="X127" s="689">
        <f t="shared" si="777"/>
        <v>0</v>
      </c>
      <c r="Y127" s="689">
        <f t="shared" si="777"/>
        <v>140</v>
      </c>
      <c r="Z127" s="689">
        <f t="shared" si="777"/>
        <v>2</v>
      </c>
      <c r="AA127" s="689">
        <f t="shared" si="777"/>
        <v>1</v>
      </c>
      <c r="AB127" s="689">
        <f t="shared" ref="AB127:AM127" si="778">AB126</f>
        <v>7</v>
      </c>
      <c r="AC127" s="689">
        <f t="shared" si="778"/>
        <v>4</v>
      </c>
      <c r="AD127" s="689">
        <f t="shared" si="778"/>
        <v>-8</v>
      </c>
      <c r="AE127" s="689">
        <f t="shared" si="778"/>
        <v>3</v>
      </c>
      <c r="AF127" s="689">
        <f t="shared" si="778"/>
        <v>3</v>
      </c>
      <c r="AG127" s="689">
        <f t="shared" si="778"/>
        <v>3</v>
      </c>
      <c r="AH127" s="689">
        <f t="shared" si="778"/>
        <v>-1</v>
      </c>
      <c r="AI127" s="689">
        <f t="shared" si="778"/>
        <v>8</v>
      </c>
      <c r="AJ127" s="689">
        <f t="shared" si="778"/>
        <v>2</v>
      </c>
      <c r="AK127" s="689">
        <f t="shared" si="778"/>
        <v>4</v>
      </c>
      <c r="AL127" s="689">
        <f t="shared" si="778"/>
        <v>-2</v>
      </c>
      <c r="AM127" s="689">
        <f t="shared" si="778"/>
        <v>-1</v>
      </c>
      <c r="AN127" s="689">
        <f t="shared" ref="AN127:AS127" si="779">AN126</f>
        <v>2</v>
      </c>
      <c r="AO127" s="689">
        <f t="shared" si="779"/>
        <v>6</v>
      </c>
      <c r="AP127" s="689">
        <f t="shared" si="779"/>
        <v>308</v>
      </c>
      <c r="AQ127" s="689">
        <f t="shared" si="779"/>
        <v>9</v>
      </c>
      <c r="AR127" s="689">
        <f t="shared" si="779"/>
        <v>9</v>
      </c>
      <c r="AS127" s="689">
        <f t="shared" si="779"/>
        <v>11</v>
      </c>
      <c r="AT127" s="689">
        <f t="shared" ref="AT127:BC127" si="780">AT126</f>
        <v>0</v>
      </c>
      <c r="AU127" s="689">
        <f t="shared" si="780"/>
        <v>3</v>
      </c>
      <c r="AV127" s="689">
        <f t="shared" si="780"/>
        <v>4</v>
      </c>
      <c r="AW127" s="689">
        <f t="shared" si="780"/>
        <v>-3</v>
      </c>
      <c r="AX127" s="689">
        <f t="shared" si="780"/>
        <v>-2</v>
      </c>
      <c r="AY127" s="689">
        <f t="shared" si="780"/>
        <v>10</v>
      </c>
      <c r="AZ127" s="689">
        <f t="shared" si="780"/>
        <v>13</v>
      </c>
      <c r="BA127" s="689">
        <f t="shared" si="780"/>
        <v>11</v>
      </c>
      <c r="BB127" s="689">
        <f t="shared" si="780"/>
        <v>7</v>
      </c>
      <c r="BC127" s="689">
        <f t="shared" si="780"/>
        <v>0</v>
      </c>
      <c r="BD127" s="689">
        <f t="shared" ref="BD127:BI127" si="781">BD126</f>
        <v>-6</v>
      </c>
      <c r="BE127" s="689">
        <f t="shared" si="781"/>
        <v>1</v>
      </c>
      <c r="BF127" s="689">
        <f t="shared" si="781"/>
        <v>-3</v>
      </c>
      <c r="BG127" s="689">
        <f t="shared" si="781"/>
        <v>3</v>
      </c>
      <c r="BH127" s="689">
        <f t="shared" si="781"/>
        <v>8</v>
      </c>
      <c r="BI127" s="689">
        <f t="shared" si="781"/>
        <v>2</v>
      </c>
      <c r="BJ127" s="689">
        <f t="shared" ref="BJ127:BK127" si="782">BJ126</f>
        <v>-3</v>
      </c>
      <c r="BK127" s="1830">
        <f t="shared" si="782"/>
        <v>4</v>
      </c>
      <c r="BL127" s="1390">
        <f>ROUND(INDEX($A$98:$AY$98,MATCH(YEAR(BL$78),$A$80:$AY$80))*20%,0)</f>
        <v>8</v>
      </c>
      <c r="BM127" s="1391">
        <f>INDEX($A$98:$AY$98,MATCH(YEAR(BM$78),$A$80:$AY$80))-SUM(BJ127:BL127)</f>
        <v>32</v>
      </c>
      <c r="BN127" s="1390">
        <f>ROUND(INDEX($A$98:$AY$98,MATCH(YEAR(BN$78),$A$80:$AY$80))*20%,0)</f>
        <v>4</v>
      </c>
      <c r="BO127" s="1390">
        <f>ROUND(INDEX($A$98:$AY$98,MATCH(YEAR(BO$78),$A$80:$AY$80))*20%,0)</f>
        <v>4</v>
      </c>
      <c r="BP127" s="1390">
        <f>ROUND(INDEX($A$98:$AY$98,MATCH(YEAR(BP$78),$A$80:$AY$80))*20%,0)</f>
        <v>4</v>
      </c>
      <c r="BQ127" s="1391">
        <f>INDEX($A$98:$AY$98,MATCH(YEAR(BQ$78),$A$80:$AY$80))-SUM(BN127:BP127)</f>
        <v>6</v>
      </c>
      <c r="BR127" s="1390">
        <f>ROUND(INDEX($A$98:$AY$98,MATCH(YEAR(BR$78),$A$80:$AY$80))*20%,0)</f>
        <v>3</v>
      </c>
      <c r="BS127" s="1390">
        <f>ROUND(INDEX($A$98:$AY$98,MATCH(YEAR(BS$78),$A$80:$AY$80))*20%,0)</f>
        <v>3</v>
      </c>
      <c r="BT127" s="1390">
        <f>ROUND(INDEX($A$98:$AY$98,MATCH(YEAR(BT$78),$A$80:$AY$80))*20%,0)</f>
        <v>3</v>
      </c>
      <c r="BU127" s="1391">
        <f>INDEX($A$98:$AY$98,MATCH(YEAR(BU$78),$A$80:$AY$80))-SUM(BR127:BT127)</f>
        <v>6</v>
      </c>
      <c r="BV127" s="1390">
        <f>ROUND(INDEX($A$98:$AY$98,MATCH(YEAR(BV$78),$A$80:$AY$80))*20%,0)</f>
        <v>3</v>
      </c>
      <c r="BW127" s="1390">
        <f>ROUND(INDEX($A$98:$AY$98,MATCH(YEAR(BW$78),$A$80:$AY$80))*20%,0)</f>
        <v>3</v>
      </c>
      <c r="BX127" s="1390">
        <f>ROUND(INDEX($A$98:$AY$98,MATCH(YEAR(BX$78),$A$80:$AY$80))*20%,0)</f>
        <v>3</v>
      </c>
      <c r="BY127" s="1391">
        <f>INDEX($A$98:$AY$98,MATCH(YEAR(BY$78),$A$80:$AY$80))-SUM(BV127:BX127)</f>
        <v>4</v>
      </c>
      <c r="BZ127" s="1390">
        <f>ROUND(INDEX($A$98:$AY$98,MATCH(YEAR(BZ$78),$A$80:$AY$80))*20%,0)</f>
        <v>3</v>
      </c>
      <c r="CA127" s="1390">
        <f>ROUND(INDEX($A$98:$AY$98,MATCH(YEAR(CA$78),$A$80:$AY$80))*20%,0)</f>
        <v>3</v>
      </c>
      <c r="CB127" s="1390">
        <f>ROUND(INDEX($A$98:$AY$98,MATCH(YEAR(CB$78),$A$80:$AY$80))*20%,0)</f>
        <v>3</v>
      </c>
      <c r="CC127" s="1391">
        <f>INDEX($A$98:$AY$98,MATCH(YEAR(CC$78),$A$80:$AY$80))-SUM(BZ127:CB127)</f>
        <v>4</v>
      </c>
      <c r="CD127" s="1390">
        <f>ROUND(INDEX($A$98:$AY$98,MATCH(YEAR(CD$78),$A$80:$AY$80))*20%,0)</f>
        <v>3</v>
      </c>
      <c r="CE127" s="1390">
        <f>ROUND(INDEX($A$98:$AY$98,MATCH(YEAR(CE$78),$A$80:$AY$80))*20%,0)</f>
        <v>3</v>
      </c>
      <c r="CF127" s="1390">
        <f>ROUND(INDEX($A$98:$AY$98,MATCH(YEAR(CF$78),$A$80:$AY$80))*20%,0)</f>
        <v>3</v>
      </c>
      <c r="CG127" s="1391">
        <f>INDEX($A$98:$AY$98,MATCH(YEAR(CG$78),$A$80:$AY$80))-SUM(CD127:CF127)</f>
        <v>4</v>
      </c>
      <c r="CH127" s="1390">
        <f>ROUND(INDEX($A$98:$BB$98,MATCH(YEAR(CH$78),$A$80:$BB$80))*20%,0)</f>
        <v>2</v>
      </c>
      <c r="CI127" s="1390">
        <f t="shared" ref="CI127:CJ127" si="783">ROUND(INDEX($A$98:$BB$98,MATCH(YEAR(CI$78),$A$80:$BB$80))*20%,0)</f>
        <v>2</v>
      </c>
      <c r="CJ127" s="1390">
        <f t="shared" si="783"/>
        <v>2</v>
      </c>
      <c r="CK127" s="1391">
        <f>INDEX($A$98:$BB$98,MATCH(YEAR(CK$78),$A$80:$BB$80))-SUM(CH127:CJ127)</f>
        <v>5</v>
      </c>
      <c r="CL127" s="1390">
        <f>ROUND(INDEX($A$98:$BB$98,MATCH(YEAR(CL$78),$A$80:$BB$80))*20%,0)</f>
        <v>2</v>
      </c>
      <c r="CM127" s="1390">
        <f t="shared" ref="CM127:CN127" si="784">ROUND(INDEX($A$98:$BB$98,MATCH(YEAR(CM$78),$A$80:$BB$80))*20%,0)</f>
        <v>2</v>
      </c>
      <c r="CN127" s="1390">
        <f t="shared" si="784"/>
        <v>2</v>
      </c>
      <c r="CO127" s="1391">
        <f>INDEX($A$98:$BB$98,MATCH(YEAR(CO$78),$A$80:$BB$80))-SUM(CL127:CN127)</f>
        <v>5</v>
      </c>
      <c r="CP127" s="1390">
        <f>ROUND(INDEX($A$98:$BB$98,MATCH(YEAR(CP$78),$A$80:$BB$80))*20%,0)</f>
        <v>2</v>
      </c>
      <c r="CQ127" s="1390">
        <f t="shared" ref="CQ127:CR127" si="785">ROUND(INDEX($A$98:$BB$98,MATCH(YEAR(CQ$78),$A$80:$BB$80))*20%,0)</f>
        <v>2</v>
      </c>
      <c r="CR127" s="1390">
        <f t="shared" si="785"/>
        <v>2</v>
      </c>
      <c r="CS127" s="1391">
        <f>INDEX($A$98:$BB$98,MATCH(YEAR(CS$78),$A$80:$BB$80))-SUM(CP127:CR127)</f>
        <v>5</v>
      </c>
      <c r="CT127" s="1390">
        <f>ROUND(INDEX($A$98:$BB$98,MATCH(YEAR(CT$78),$A$80:$BB$80))*20%,0)</f>
        <v>2</v>
      </c>
      <c r="CU127" s="1390">
        <f t="shared" ref="CU127:CV127" si="786">ROUND(INDEX($A$98:$BB$98,MATCH(YEAR(CU$78),$A$80:$BB$80))*20%,0)</f>
        <v>2</v>
      </c>
      <c r="CV127" s="1390">
        <f t="shared" si="786"/>
        <v>2</v>
      </c>
      <c r="CW127" s="1391">
        <f>INDEX($A$98:$BB$98,MATCH(YEAR(CW$78),$A$80:$BB$80))-SUM(CT127:CV127)</f>
        <v>4</v>
      </c>
      <c r="CX127" s="337"/>
      <c r="CY127" s="337"/>
      <c r="DA127" s="9"/>
      <c r="DB127" s="9"/>
    </row>
    <row r="128" spans="1:106" s="92" customFormat="1">
      <c r="A128" s="693" t="s">
        <v>202</v>
      </c>
      <c r="B128" s="689"/>
      <c r="C128" s="689">
        <f t="shared" ref="C128:AA128" si="787">C126</f>
        <v>0</v>
      </c>
      <c r="D128" s="689">
        <f t="shared" si="787"/>
        <v>0</v>
      </c>
      <c r="E128" s="689">
        <f t="shared" si="787"/>
        <v>0</v>
      </c>
      <c r="F128" s="689">
        <f t="shared" si="787"/>
        <v>0</v>
      </c>
      <c r="G128" s="689">
        <f t="shared" si="787"/>
        <v>0</v>
      </c>
      <c r="H128" s="689">
        <f t="shared" si="787"/>
        <v>0</v>
      </c>
      <c r="I128" s="689">
        <f t="shared" si="787"/>
        <v>0</v>
      </c>
      <c r="J128" s="689">
        <f t="shared" si="787"/>
        <v>0</v>
      </c>
      <c r="K128" s="689">
        <f t="shared" si="787"/>
        <v>0</v>
      </c>
      <c r="L128" s="689">
        <f t="shared" si="787"/>
        <v>0</v>
      </c>
      <c r="M128" s="689">
        <f t="shared" si="787"/>
        <v>0</v>
      </c>
      <c r="N128" s="689">
        <f t="shared" si="787"/>
        <v>0</v>
      </c>
      <c r="O128" s="689">
        <f t="shared" si="787"/>
        <v>0</v>
      </c>
      <c r="P128" s="689">
        <f t="shared" si="787"/>
        <v>0</v>
      </c>
      <c r="Q128" s="689">
        <f t="shared" si="787"/>
        <v>0</v>
      </c>
      <c r="R128" s="689">
        <f t="shared" si="787"/>
        <v>0</v>
      </c>
      <c r="S128" s="689">
        <f t="shared" si="787"/>
        <v>0</v>
      </c>
      <c r="T128" s="689">
        <f t="shared" si="787"/>
        <v>0</v>
      </c>
      <c r="U128" s="689">
        <f t="shared" si="787"/>
        <v>0</v>
      </c>
      <c r="V128" s="689">
        <f t="shared" si="787"/>
        <v>0</v>
      </c>
      <c r="W128" s="689">
        <f t="shared" si="787"/>
        <v>0</v>
      </c>
      <c r="X128" s="689">
        <f t="shared" si="787"/>
        <v>0</v>
      </c>
      <c r="Y128" s="689">
        <f t="shared" si="787"/>
        <v>140</v>
      </c>
      <c r="Z128" s="689">
        <f t="shared" si="787"/>
        <v>2</v>
      </c>
      <c r="AA128" s="689">
        <f t="shared" si="787"/>
        <v>1</v>
      </c>
      <c r="AB128" s="689">
        <f t="shared" ref="AB128:AM128" si="788">AB126</f>
        <v>7</v>
      </c>
      <c r="AC128" s="689">
        <f t="shared" si="788"/>
        <v>4</v>
      </c>
      <c r="AD128" s="689">
        <f t="shared" si="788"/>
        <v>-8</v>
      </c>
      <c r="AE128" s="689">
        <f t="shared" si="788"/>
        <v>3</v>
      </c>
      <c r="AF128" s="689">
        <f t="shared" si="788"/>
        <v>3</v>
      </c>
      <c r="AG128" s="689">
        <f t="shared" si="788"/>
        <v>3</v>
      </c>
      <c r="AH128" s="689">
        <f t="shared" si="788"/>
        <v>-1</v>
      </c>
      <c r="AI128" s="689">
        <f t="shared" si="788"/>
        <v>8</v>
      </c>
      <c r="AJ128" s="689">
        <f t="shared" si="788"/>
        <v>2</v>
      </c>
      <c r="AK128" s="689">
        <f t="shared" si="788"/>
        <v>4</v>
      </c>
      <c r="AL128" s="689">
        <f t="shared" si="788"/>
        <v>-2</v>
      </c>
      <c r="AM128" s="689">
        <f t="shared" si="788"/>
        <v>-1</v>
      </c>
      <c r="AN128" s="689">
        <f t="shared" ref="AN128:AS128" si="789">AN126</f>
        <v>2</v>
      </c>
      <c r="AO128" s="689">
        <f t="shared" si="789"/>
        <v>6</v>
      </c>
      <c r="AP128" s="689">
        <f t="shared" si="789"/>
        <v>308</v>
      </c>
      <c r="AQ128" s="689">
        <f t="shared" si="789"/>
        <v>9</v>
      </c>
      <c r="AR128" s="689">
        <f t="shared" si="789"/>
        <v>9</v>
      </c>
      <c r="AS128" s="689">
        <f t="shared" si="789"/>
        <v>11</v>
      </c>
      <c r="AT128" s="689">
        <f t="shared" ref="AT128:BC128" si="790">AT126</f>
        <v>0</v>
      </c>
      <c r="AU128" s="689">
        <f t="shared" si="790"/>
        <v>3</v>
      </c>
      <c r="AV128" s="689">
        <f t="shared" si="790"/>
        <v>4</v>
      </c>
      <c r="AW128" s="689">
        <f t="shared" si="790"/>
        <v>-3</v>
      </c>
      <c r="AX128" s="689">
        <f t="shared" si="790"/>
        <v>-2</v>
      </c>
      <c r="AY128" s="689">
        <f t="shared" si="790"/>
        <v>10</v>
      </c>
      <c r="AZ128" s="689">
        <f t="shared" si="790"/>
        <v>13</v>
      </c>
      <c r="BA128" s="689">
        <f t="shared" si="790"/>
        <v>11</v>
      </c>
      <c r="BB128" s="689">
        <f t="shared" si="790"/>
        <v>7</v>
      </c>
      <c r="BC128" s="689">
        <f t="shared" si="790"/>
        <v>0</v>
      </c>
      <c r="BD128" s="689">
        <f t="shared" ref="BD128:BI128" si="791">BD126</f>
        <v>-6</v>
      </c>
      <c r="BE128" s="689">
        <f t="shared" si="791"/>
        <v>1</v>
      </c>
      <c r="BF128" s="689">
        <f t="shared" si="791"/>
        <v>-3</v>
      </c>
      <c r="BG128" s="689">
        <f t="shared" si="791"/>
        <v>3</v>
      </c>
      <c r="BH128" s="689">
        <f t="shared" si="791"/>
        <v>8</v>
      </c>
      <c r="BI128" s="689">
        <f t="shared" si="791"/>
        <v>2</v>
      </c>
      <c r="BJ128" s="689">
        <f t="shared" ref="BJ128:BK128" si="792">BJ126</f>
        <v>-3</v>
      </c>
      <c r="BK128" s="1830">
        <f t="shared" si="792"/>
        <v>4</v>
      </c>
      <c r="BL128" s="1639">
        <f t="shared" ref="BL128:BQ128" si="793">+ROUND(BL127*80%,0)</f>
        <v>6</v>
      </c>
      <c r="BM128" s="1640">
        <f t="shared" si="793"/>
        <v>26</v>
      </c>
      <c r="BN128" s="1639">
        <f t="shared" si="793"/>
        <v>3</v>
      </c>
      <c r="BO128" s="1639">
        <f t="shared" si="793"/>
        <v>3</v>
      </c>
      <c r="BP128" s="1639">
        <f t="shared" si="793"/>
        <v>3</v>
      </c>
      <c r="BQ128" s="1640">
        <f t="shared" si="793"/>
        <v>5</v>
      </c>
      <c r="BR128" s="1639">
        <f t="shared" ref="BR128:CK128" si="794">+ROUND(BR127*80%,0)</f>
        <v>2</v>
      </c>
      <c r="BS128" s="1639">
        <f t="shared" si="794"/>
        <v>2</v>
      </c>
      <c r="BT128" s="1639">
        <f t="shared" si="794"/>
        <v>2</v>
      </c>
      <c r="BU128" s="1640">
        <f t="shared" si="794"/>
        <v>5</v>
      </c>
      <c r="BV128" s="1639">
        <f t="shared" si="794"/>
        <v>2</v>
      </c>
      <c r="BW128" s="1639">
        <f t="shared" si="794"/>
        <v>2</v>
      </c>
      <c r="BX128" s="1639">
        <f t="shared" si="794"/>
        <v>2</v>
      </c>
      <c r="BY128" s="1640">
        <f t="shared" si="794"/>
        <v>3</v>
      </c>
      <c r="BZ128" s="1639">
        <f t="shared" si="794"/>
        <v>2</v>
      </c>
      <c r="CA128" s="1639">
        <f t="shared" si="794"/>
        <v>2</v>
      </c>
      <c r="CB128" s="1639">
        <f t="shared" si="794"/>
        <v>2</v>
      </c>
      <c r="CC128" s="1640">
        <f t="shared" si="794"/>
        <v>3</v>
      </c>
      <c r="CD128" s="1639">
        <f t="shared" si="794"/>
        <v>2</v>
      </c>
      <c r="CE128" s="1639">
        <f t="shared" si="794"/>
        <v>2</v>
      </c>
      <c r="CF128" s="1639">
        <f t="shared" si="794"/>
        <v>2</v>
      </c>
      <c r="CG128" s="1640">
        <f t="shared" si="794"/>
        <v>3</v>
      </c>
      <c r="CH128" s="1639">
        <f t="shared" si="794"/>
        <v>2</v>
      </c>
      <c r="CI128" s="1639">
        <f t="shared" si="794"/>
        <v>2</v>
      </c>
      <c r="CJ128" s="1639">
        <f t="shared" si="794"/>
        <v>2</v>
      </c>
      <c r="CK128" s="1640">
        <f t="shared" si="794"/>
        <v>4</v>
      </c>
      <c r="CL128" s="1640">
        <f t="shared" ref="CL128:CP128" si="795">+ROUND(CL127*80%,0)</f>
        <v>2</v>
      </c>
      <c r="CM128" s="1640">
        <f t="shared" si="795"/>
        <v>2</v>
      </c>
      <c r="CN128" s="1640">
        <f t="shared" si="795"/>
        <v>2</v>
      </c>
      <c r="CO128" s="1640">
        <f t="shared" si="795"/>
        <v>4</v>
      </c>
      <c r="CP128" s="1640">
        <f t="shared" si="795"/>
        <v>2</v>
      </c>
      <c r="CQ128" s="1640">
        <f t="shared" ref="CQ128:CU128" si="796">+ROUND(CQ127*80%,0)</f>
        <v>2</v>
      </c>
      <c r="CR128" s="1640">
        <f t="shared" si="796"/>
        <v>2</v>
      </c>
      <c r="CS128" s="1640">
        <f t="shared" si="796"/>
        <v>4</v>
      </c>
      <c r="CT128" s="1640">
        <f t="shared" si="796"/>
        <v>2</v>
      </c>
      <c r="CU128" s="1640">
        <f t="shared" si="796"/>
        <v>2</v>
      </c>
      <c r="CV128" s="1640">
        <f t="shared" ref="CV128:CW128" si="797">+ROUND(CV127*80%,0)</f>
        <v>2</v>
      </c>
      <c r="CW128" s="1640">
        <f t="shared" si="797"/>
        <v>3</v>
      </c>
      <c r="CX128" s="337"/>
      <c r="CY128" s="337"/>
      <c r="DA128" s="9"/>
      <c r="DB128" s="9"/>
    </row>
    <row r="129" spans="1:106">
      <c r="A129" s="91"/>
      <c r="B129" s="388"/>
      <c r="C129" s="388"/>
      <c r="D129" s="388"/>
      <c r="E129" s="388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574"/>
      <c r="AN129" s="574"/>
      <c r="AO129" s="574"/>
      <c r="AP129" s="574"/>
      <c r="AQ129" s="574"/>
      <c r="AR129" s="574"/>
      <c r="AS129" s="574"/>
      <c r="AT129" s="574"/>
      <c r="AU129" s="574"/>
      <c r="AV129" s="574"/>
      <c r="AW129" s="574"/>
      <c r="AX129" s="574"/>
      <c r="AY129" s="574"/>
      <c r="AZ129" s="574"/>
      <c r="BA129" s="574"/>
      <c r="BB129" s="574"/>
      <c r="BC129" s="574"/>
      <c r="BD129" s="574"/>
      <c r="BE129" s="574"/>
      <c r="BF129" s="574"/>
      <c r="BG129" s="574"/>
      <c r="BH129" s="574"/>
      <c r="BI129" s="574"/>
      <c r="BJ129" s="574"/>
      <c r="BK129" s="1831"/>
      <c r="BL129" s="305"/>
      <c r="BM129" s="305"/>
      <c r="BN129" s="305"/>
      <c r="BO129" s="305"/>
      <c r="BP129" s="305"/>
      <c r="BQ129" s="305"/>
      <c r="BR129" s="305"/>
      <c r="BS129" s="305"/>
      <c r="BT129" s="305"/>
      <c r="BU129" s="305"/>
      <c r="BV129" s="305"/>
      <c r="BW129" s="305"/>
      <c r="BX129" s="305"/>
      <c r="BY129" s="305"/>
      <c r="BZ129" s="305"/>
      <c r="CA129" s="305"/>
      <c r="CB129" s="305"/>
      <c r="CC129" s="305"/>
      <c r="CD129" s="305"/>
      <c r="CE129" s="305"/>
      <c r="CF129" s="305"/>
      <c r="CG129" s="305"/>
      <c r="CH129" s="305"/>
      <c r="CI129" s="305"/>
      <c r="CJ129" s="305"/>
      <c r="CK129" s="305"/>
      <c r="CL129" s="305"/>
      <c r="CM129" s="305"/>
      <c r="CN129" s="305"/>
      <c r="CO129" s="305"/>
      <c r="CP129" s="305"/>
      <c r="CQ129" s="305"/>
      <c r="CR129" s="305"/>
      <c r="CS129" s="305"/>
      <c r="CT129" s="305"/>
      <c r="CU129" s="305"/>
      <c r="CV129" s="305"/>
      <c r="CW129" s="305"/>
      <c r="CX129" s="269"/>
      <c r="CY129" s="337"/>
    </row>
    <row r="130" spans="1:106">
      <c r="A130" s="93" t="s">
        <v>733</v>
      </c>
      <c r="B130" s="388"/>
      <c r="C130" s="388"/>
      <c r="D130" s="388"/>
      <c r="E130" s="388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>
        <f>Q_IS!AL141</f>
        <v>555</v>
      </c>
      <c r="AM130" s="574">
        <f>Q_IS!AM141</f>
        <v>573</v>
      </c>
      <c r="AN130" s="574">
        <f>Q_IS!AN141</f>
        <v>607</v>
      </c>
      <c r="AO130" s="574">
        <f>Q_IS!AO141</f>
        <v>628</v>
      </c>
      <c r="AP130" s="574">
        <f>Q_IS!AP141</f>
        <v>631</v>
      </c>
      <c r="AQ130" s="574">
        <f>Q_IS!AQ141</f>
        <v>639</v>
      </c>
      <c r="AR130" s="574">
        <f>Q_IS!AR141</f>
        <v>632</v>
      </c>
      <c r="AS130" s="574">
        <f>Q_IS!AS141</f>
        <v>640</v>
      </c>
      <c r="AT130" s="574">
        <f>Q_IS!AT141</f>
        <v>643</v>
      </c>
      <c r="AU130" s="574">
        <f>Q_IS!AU141</f>
        <v>630</v>
      </c>
      <c r="AV130" s="574">
        <f>Q_IS!AV141</f>
        <v>625</v>
      </c>
      <c r="AW130" s="574">
        <f>Q_IS!AW141</f>
        <v>633</v>
      </c>
      <c r="AX130" s="574">
        <f>Q_IS!AX141</f>
        <v>639</v>
      </c>
      <c r="AY130" s="574">
        <f>Q_IS!AY141</f>
        <v>647</v>
      </c>
      <c r="AZ130" s="574">
        <f>Q_IS!AZ141</f>
        <v>656</v>
      </c>
      <c r="BA130" s="574">
        <f>Q_IS!BA141</f>
        <v>664</v>
      </c>
      <c r="BB130" s="574">
        <f>Q_IS!BB141</f>
        <v>677</v>
      </c>
      <c r="BC130" s="574">
        <f>Q_IS!BC141</f>
        <v>692</v>
      </c>
      <c r="BD130" s="574">
        <f>Q_IS!BD141</f>
        <v>697</v>
      </c>
      <c r="BE130" s="574">
        <f>Q_IS!BE141</f>
        <v>723</v>
      </c>
      <c r="BF130" s="574">
        <f>Q_IS!BF141</f>
        <v>728</v>
      </c>
      <c r="BG130" s="574">
        <f>Q_IS!BG141</f>
        <v>745</v>
      </c>
      <c r="BH130" s="574">
        <f>Q_IS!BH141</f>
        <v>754</v>
      </c>
      <c r="BI130" s="574">
        <f>Q_IS!BI141</f>
        <v>775</v>
      </c>
      <c r="BJ130" s="574">
        <f>Q_IS!BJ141</f>
        <v>776</v>
      </c>
      <c r="BK130" s="1831">
        <f>Q_IS!BK141</f>
        <v>780</v>
      </c>
      <c r="BL130" s="305"/>
      <c r="BM130" s="305"/>
      <c r="BN130" s="305"/>
      <c r="BO130" s="305"/>
      <c r="BP130" s="305"/>
      <c r="BQ130" s="305"/>
      <c r="BR130" s="305"/>
      <c r="BS130" s="305"/>
      <c r="BT130" s="305"/>
      <c r="BU130" s="305"/>
      <c r="BV130" s="305"/>
      <c r="BW130" s="305"/>
      <c r="BX130" s="305"/>
      <c r="BY130" s="305"/>
      <c r="BZ130" s="305"/>
      <c r="CA130" s="305"/>
      <c r="CB130" s="305"/>
      <c r="CC130" s="305"/>
      <c r="CD130" s="305"/>
      <c r="CE130" s="305"/>
      <c r="CF130" s="305"/>
      <c r="CG130" s="305"/>
      <c r="CH130" s="305"/>
      <c r="CI130" s="305"/>
      <c r="CJ130" s="305"/>
      <c r="CK130" s="305"/>
      <c r="CL130" s="305"/>
      <c r="CM130" s="305"/>
      <c r="CN130" s="305"/>
      <c r="CO130" s="305"/>
      <c r="CP130" s="305"/>
      <c r="CQ130" s="305"/>
      <c r="CR130" s="305"/>
      <c r="CS130" s="305"/>
      <c r="CT130" s="305"/>
      <c r="CU130" s="305"/>
      <c r="CV130" s="305"/>
      <c r="CW130" s="305"/>
      <c r="CX130" s="269"/>
      <c r="CY130" s="337"/>
    </row>
    <row r="131" spans="1:106" s="92" customFormat="1">
      <c r="A131" s="692" t="s">
        <v>942</v>
      </c>
      <c r="B131" s="687"/>
      <c r="C131" s="687">
        <f t="shared" ref="C131:AA131" si="798">CHOOSE(MASTERSWITCH,C132,C133,C134)</f>
        <v>5</v>
      </c>
      <c r="D131" s="687">
        <f t="shared" si="798"/>
        <v>2</v>
      </c>
      <c r="E131" s="687">
        <f t="shared" si="798"/>
        <v>4</v>
      </c>
      <c r="F131" s="687">
        <f t="shared" si="798"/>
        <v>1</v>
      </c>
      <c r="G131" s="687">
        <f t="shared" si="798"/>
        <v>8</v>
      </c>
      <c r="H131" s="687">
        <f t="shared" si="798"/>
        <v>2</v>
      </c>
      <c r="I131" s="687">
        <f t="shared" si="798"/>
        <v>11</v>
      </c>
      <c r="J131" s="687">
        <f t="shared" si="798"/>
        <v>3</v>
      </c>
      <c r="K131" s="687">
        <f t="shared" si="798"/>
        <v>4</v>
      </c>
      <c r="L131" s="687">
        <f t="shared" si="798"/>
        <v>9</v>
      </c>
      <c r="M131" s="687">
        <f t="shared" si="798"/>
        <v>18</v>
      </c>
      <c r="N131" s="687">
        <f t="shared" si="798"/>
        <v>3</v>
      </c>
      <c r="O131" s="687">
        <f t="shared" si="798"/>
        <v>9</v>
      </c>
      <c r="P131" s="687">
        <f t="shared" si="798"/>
        <v>10</v>
      </c>
      <c r="Q131" s="687">
        <f t="shared" si="798"/>
        <v>14</v>
      </c>
      <c r="R131" s="687">
        <f t="shared" si="798"/>
        <v>2</v>
      </c>
      <c r="S131" s="687">
        <f t="shared" si="798"/>
        <v>8</v>
      </c>
      <c r="T131" s="687">
        <f t="shared" si="798"/>
        <v>55</v>
      </c>
      <c r="U131" s="687">
        <f t="shared" si="798"/>
        <v>10</v>
      </c>
      <c r="V131" s="687">
        <f t="shared" si="798"/>
        <v>6</v>
      </c>
      <c r="W131" s="687">
        <f t="shared" si="798"/>
        <v>2</v>
      </c>
      <c r="X131" s="687">
        <f t="shared" si="798"/>
        <v>17</v>
      </c>
      <c r="Y131" s="687">
        <f t="shared" si="798"/>
        <v>19</v>
      </c>
      <c r="Z131" s="687">
        <f t="shared" si="798"/>
        <v>7</v>
      </c>
      <c r="AA131" s="687">
        <f t="shared" si="798"/>
        <v>15</v>
      </c>
      <c r="AB131" s="687">
        <f t="shared" ref="AB131:AM131" si="799">CHOOSE(MASTERSWITCH,AB132,AB133,AB134)</f>
        <v>13</v>
      </c>
      <c r="AC131" s="687">
        <f t="shared" si="799"/>
        <v>14</v>
      </c>
      <c r="AD131" s="687">
        <f t="shared" si="799"/>
        <v>48</v>
      </c>
      <c r="AE131" s="687">
        <f t="shared" si="799"/>
        <v>13</v>
      </c>
      <c r="AF131" s="687">
        <f t="shared" si="799"/>
        <v>13</v>
      </c>
      <c r="AG131" s="687">
        <f t="shared" si="799"/>
        <v>10</v>
      </c>
      <c r="AH131" s="687">
        <f t="shared" si="799"/>
        <v>12</v>
      </c>
      <c r="AI131" s="687">
        <f t="shared" si="799"/>
        <v>23</v>
      </c>
      <c r="AJ131" s="687">
        <f t="shared" si="799"/>
        <v>13</v>
      </c>
      <c r="AK131" s="687">
        <f t="shared" si="799"/>
        <v>14</v>
      </c>
      <c r="AL131" s="687">
        <f t="shared" si="799"/>
        <v>12</v>
      </c>
      <c r="AM131" s="687">
        <f t="shared" si="799"/>
        <v>20</v>
      </c>
      <c r="AN131" s="687">
        <f t="shared" ref="AN131:AS131" si="800">CHOOSE(MASTERSWITCH,AN132,AN133,AN134)</f>
        <v>35</v>
      </c>
      <c r="AO131" s="687">
        <f t="shared" si="800"/>
        <v>21</v>
      </c>
      <c r="AP131" s="687">
        <f t="shared" si="800"/>
        <v>0</v>
      </c>
      <c r="AQ131" s="687">
        <f t="shared" si="800"/>
        <v>7</v>
      </c>
      <c r="AR131" s="687">
        <f t="shared" si="800"/>
        <v>-7</v>
      </c>
      <c r="AS131" s="687">
        <f t="shared" si="800"/>
        <v>5</v>
      </c>
      <c r="AT131" s="687">
        <f t="shared" ref="AT131:BC131" si="801">CHOOSE(MASTERSWITCH,AT132,AT133,AT134)</f>
        <v>3</v>
      </c>
      <c r="AU131" s="687">
        <f t="shared" si="801"/>
        <v>-13</v>
      </c>
      <c r="AV131" s="687">
        <f t="shared" si="801"/>
        <v>-5</v>
      </c>
      <c r="AW131" s="687">
        <f t="shared" si="801"/>
        <v>1</v>
      </c>
      <c r="AX131" s="687">
        <f t="shared" si="801"/>
        <v>4</v>
      </c>
      <c r="AY131" s="687">
        <f t="shared" si="801"/>
        <v>5</v>
      </c>
      <c r="AZ131" s="687">
        <f t="shared" si="801"/>
        <v>8</v>
      </c>
      <c r="BA131" s="687">
        <f t="shared" si="801"/>
        <v>4</v>
      </c>
      <c r="BB131" s="687">
        <f t="shared" si="801"/>
        <v>11</v>
      </c>
      <c r="BC131" s="687">
        <f t="shared" si="801"/>
        <v>12</v>
      </c>
      <c r="BD131" s="687">
        <f t="shared" ref="BD131:BN131" si="802">CHOOSE(MASTERSWITCH,BD132,BD133,BD134)</f>
        <v>5</v>
      </c>
      <c r="BE131" s="687">
        <f t="shared" si="802"/>
        <v>25</v>
      </c>
      <c r="BF131" s="687">
        <f t="shared" ref="BF131:BG131" si="803">CHOOSE(MASTERSWITCH,BF132,BF133,BF134)</f>
        <v>5</v>
      </c>
      <c r="BG131" s="687">
        <f t="shared" si="803"/>
        <v>17</v>
      </c>
      <c r="BH131" s="687">
        <f t="shared" ref="BH131:BI131" si="804">CHOOSE(MASTERSWITCH,BH132,BH133,BH134)</f>
        <v>7</v>
      </c>
      <c r="BI131" s="687">
        <f t="shared" si="804"/>
        <v>21</v>
      </c>
      <c r="BJ131" s="687">
        <f t="shared" ref="BJ131:BK131" si="805">CHOOSE(MASTERSWITCH,BJ132,BJ133,BJ134)</f>
        <v>1</v>
      </c>
      <c r="BK131" s="1829">
        <f t="shared" si="805"/>
        <v>5</v>
      </c>
      <c r="BL131" s="688">
        <f t="shared" si="802"/>
        <v>5</v>
      </c>
      <c r="BM131" s="688">
        <f t="shared" si="802"/>
        <v>14</v>
      </c>
      <c r="BN131" s="688">
        <f t="shared" si="802"/>
        <v>3</v>
      </c>
      <c r="BO131" s="688">
        <f t="shared" ref="BO131:CK131" si="806">CHOOSE(MASTERSWITCH,BO132,BO133,BO134)</f>
        <v>3</v>
      </c>
      <c r="BP131" s="688">
        <f t="shared" si="806"/>
        <v>3</v>
      </c>
      <c r="BQ131" s="688">
        <f t="shared" si="806"/>
        <v>6</v>
      </c>
      <c r="BR131" s="688">
        <f t="shared" si="806"/>
        <v>2</v>
      </c>
      <c r="BS131" s="688">
        <f t="shared" si="806"/>
        <v>2</v>
      </c>
      <c r="BT131" s="688">
        <f t="shared" si="806"/>
        <v>2</v>
      </c>
      <c r="BU131" s="688">
        <f t="shared" si="806"/>
        <v>4</v>
      </c>
      <c r="BV131" s="688">
        <f t="shared" si="806"/>
        <v>2</v>
      </c>
      <c r="BW131" s="688">
        <f t="shared" si="806"/>
        <v>2</v>
      </c>
      <c r="BX131" s="688">
        <f t="shared" si="806"/>
        <v>2</v>
      </c>
      <c r="BY131" s="688">
        <f t="shared" si="806"/>
        <v>5</v>
      </c>
      <c r="BZ131" s="688">
        <f t="shared" si="806"/>
        <v>2</v>
      </c>
      <c r="CA131" s="688">
        <f t="shared" si="806"/>
        <v>2</v>
      </c>
      <c r="CB131" s="688">
        <f t="shared" si="806"/>
        <v>2</v>
      </c>
      <c r="CC131" s="688">
        <f t="shared" si="806"/>
        <v>5</v>
      </c>
      <c r="CD131" s="688">
        <f t="shared" si="806"/>
        <v>2</v>
      </c>
      <c r="CE131" s="688">
        <f t="shared" si="806"/>
        <v>2</v>
      </c>
      <c r="CF131" s="688">
        <f t="shared" si="806"/>
        <v>2</v>
      </c>
      <c r="CG131" s="688">
        <f t="shared" si="806"/>
        <v>5</v>
      </c>
      <c r="CH131" s="688">
        <f t="shared" si="806"/>
        <v>2</v>
      </c>
      <c r="CI131" s="688">
        <f t="shared" si="806"/>
        <v>2</v>
      </c>
      <c r="CJ131" s="688">
        <f t="shared" si="806"/>
        <v>2</v>
      </c>
      <c r="CK131" s="688">
        <f t="shared" si="806"/>
        <v>4</v>
      </c>
      <c r="CL131" s="688">
        <f t="shared" ref="CL131:CP131" si="807">CHOOSE(MASTERSWITCH,CL132,CL133,CL134)</f>
        <v>2</v>
      </c>
      <c r="CM131" s="688">
        <f t="shared" si="807"/>
        <v>2</v>
      </c>
      <c r="CN131" s="688">
        <f t="shared" si="807"/>
        <v>2</v>
      </c>
      <c r="CO131" s="688">
        <f t="shared" si="807"/>
        <v>4</v>
      </c>
      <c r="CP131" s="688">
        <f t="shared" si="807"/>
        <v>2</v>
      </c>
      <c r="CQ131" s="688">
        <f t="shared" ref="CQ131:CU131" si="808">CHOOSE(MASTERSWITCH,CQ132,CQ133,CQ134)</f>
        <v>2</v>
      </c>
      <c r="CR131" s="688">
        <f t="shared" si="808"/>
        <v>2</v>
      </c>
      <c r="CS131" s="688">
        <f t="shared" si="808"/>
        <v>4</v>
      </c>
      <c r="CT131" s="688">
        <f t="shared" si="808"/>
        <v>2</v>
      </c>
      <c r="CU131" s="688">
        <f t="shared" si="808"/>
        <v>2</v>
      </c>
      <c r="CV131" s="688">
        <f t="shared" ref="CV131:CW131" si="809">CHOOSE(MASTERSWITCH,CV132,CV133,CV134)</f>
        <v>2</v>
      </c>
      <c r="CW131" s="688">
        <f t="shared" si="809"/>
        <v>2</v>
      </c>
      <c r="CX131" s="337"/>
      <c r="CY131" s="337"/>
      <c r="DA131" s="9"/>
      <c r="DB131" s="9"/>
    </row>
    <row r="132" spans="1:106" s="92" customFormat="1">
      <c r="A132" s="693" t="s">
        <v>571</v>
      </c>
      <c r="B132" s="689"/>
      <c r="C132" s="689">
        <f>Q_IS!C147</f>
        <v>5</v>
      </c>
      <c r="D132" s="689">
        <f>Q_IS!D147</f>
        <v>2</v>
      </c>
      <c r="E132" s="689">
        <f>Q_IS!E147</f>
        <v>4</v>
      </c>
      <c r="F132" s="689">
        <f>Q_IS!F147</f>
        <v>1</v>
      </c>
      <c r="G132" s="689">
        <f>Q_IS!G147</f>
        <v>8</v>
      </c>
      <c r="H132" s="689">
        <f>Q_IS!H147</f>
        <v>2</v>
      </c>
      <c r="I132" s="689">
        <f>Q_IS!I147</f>
        <v>11</v>
      </c>
      <c r="J132" s="689">
        <f>Q_IS!J147</f>
        <v>3</v>
      </c>
      <c r="K132" s="689">
        <f>Q_IS!K147</f>
        <v>4</v>
      </c>
      <c r="L132" s="689">
        <f>Q_IS!L147</f>
        <v>9</v>
      </c>
      <c r="M132" s="689">
        <f>Q_IS!M147</f>
        <v>18</v>
      </c>
      <c r="N132" s="689">
        <f>Q_IS!N147</f>
        <v>3</v>
      </c>
      <c r="O132" s="689">
        <f>Q_IS!O147</f>
        <v>9</v>
      </c>
      <c r="P132" s="689">
        <f>Q_IS!P147</f>
        <v>10</v>
      </c>
      <c r="Q132" s="689">
        <f>Q_IS!Q147</f>
        <v>14</v>
      </c>
      <c r="R132" s="689">
        <f>Q_IS!R147</f>
        <v>2</v>
      </c>
      <c r="S132" s="689">
        <f>Q_IS!S147</f>
        <v>8</v>
      </c>
      <c r="T132" s="689">
        <f>Q_IS!T147</f>
        <v>55</v>
      </c>
      <c r="U132" s="689">
        <f>Q_IS!U147</f>
        <v>10</v>
      </c>
      <c r="V132" s="689">
        <f>Q_IS!V147</f>
        <v>6</v>
      </c>
      <c r="W132" s="689">
        <f>Q_IS!W147</f>
        <v>2</v>
      </c>
      <c r="X132" s="689">
        <f>Q_IS!X147</f>
        <v>17</v>
      </c>
      <c r="Y132" s="689">
        <f>Q_IS!Y147</f>
        <v>19</v>
      </c>
      <c r="Z132" s="689">
        <f>Q_IS!Z147</f>
        <v>7</v>
      </c>
      <c r="AA132" s="689">
        <f>Q_IS!AA147</f>
        <v>15</v>
      </c>
      <c r="AB132" s="689">
        <f>Q_IS!AB147</f>
        <v>13</v>
      </c>
      <c r="AC132" s="689">
        <f>Q_IS!AC147</f>
        <v>14</v>
      </c>
      <c r="AD132" s="689">
        <f>Q_IS!AD147</f>
        <v>48</v>
      </c>
      <c r="AE132" s="689">
        <f>Q_IS!AE147</f>
        <v>13</v>
      </c>
      <c r="AF132" s="689">
        <f>Q_IS!AF147</f>
        <v>13</v>
      </c>
      <c r="AG132" s="689">
        <f>Q_IS!AG147</f>
        <v>10</v>
      </c>
      <c r="AH132" s="689">
        <f>Q_IS!AH147</f>
        <v>12</v>
      </c>
      <c r="AI132" s="689">
        <f>Q_IS!AI147</f>
        <v>23</v>
      </c>
      <c r="AJ132" s="689">
        <f>Q_IS!AJ147</f>
        <v>13</v>
      </c>
      <c r="AK132" s="689">
        <f>Q_IS!AK147</f>
        <v>14</v>
      </c>
      <c r="AL132" s="689">
        <f>Q_IS!AL147</f>
        <v>12</v>
      </c>
      <c r="AM132" s="689">
        <f>Q_IS!AM147</f>
        <v>20</v>
      </c>
      <c r="AN132" s="689">
        <f>Q_IS!AN147</f>
        <v>35</v>
      </c>
      <c r="AO132" s="689">
        <f>Q_IS!AO147</f>
        <v>21</v>
      </c>
      <c r="AP132" s="689">
        <f>Q_IS!AP147</f>
        <v>0</v>
      </c>
      <c r="AQ132" s="689">
        <f>Q_IS!AQ147</f>
        <v>7</v>
      </c>
      <c r="AR132" s="689">
        <f>Q_IS!AR147</f>
        <v>-7</v>
      </c>
      <c r="AS132" s="689">
        <f>Q_IS!AS147</f>
        <v>5</v>
      </c>
      <c r="AT132" s="689">
        <f>Q_IS!AT147</f>
        <v>3</v>
      </c>
      <c r="AU132" s="689">
        <f>Q_IS!AU147</f>
        <v>-13</v>
      </c>
      <c r="AV132" s="689">
        <f>Q_IS!AV147</f>
        <v>-5</v>
      </c>
      <c r="AW132" s="689">
        <f>Q_IS!AW147</f>
        <v>1</v>
      </c>
      <c r="AX132" s="689">
        <f>Q_IS!AX147</f>
        <v>4</v>
      </c>
      <c r="AY132" s="689">
        <f>Q_IS!AY147</f>
        <v>5</v>
      </c>
      <c r="AZ132" s="689">
        <f>Q_IS!AZ147</f>
        <v>8</v>
      </c>
      <c r="BA132" s="689">
        <f>Q_IS!BA147</f>
        <v>4</v>
      </c>
      <c r="BB132" s="689">
        <f>Q_IS!BB147</f>
        <v>11</v>
      </c>
      <c r="BC132" s="689">
        <f>Q_IS!BC147</f>
        <v>12</v>
      </c>
      <c r="BD132" s="689">
        <f>Q_IS!BD147</f>
        <v>5</v>
      </c>
      <c r="BE132" s="689">
        <f>Q_IS!BE147</f>
        <v>25</v>
      </c>
      <c r="BF132" s="689">
        <f>Q_IS!BF147</f>
        <v>5</v>
      </c>
      <c r="BG132" s="689">
        <f>Q_IS!BG147</f>
        <v>17</v>
      </c>
      <c r="BH132" s="689">
        <f>Q_IS!BH147</f>
        <v>7</v>
      </c>
      <c r="BI132" s="689">
        <f>Q_IS!BI147</f>
        <v>21</v>
      </c>
      <c r="BJ132" s="689">
        <f>Q_IS!BJ147</f>
        <v>1</v>
      </c>
      <c r="BK132" s="1830">
        <f>Q_IS!BK147</f>
        <v>5</v>
      </c>
      <c r="BL132" s="1639">
        <f t="shared" ref="BL132:BP132" si="810">+BL133</f>
        <v>6</v>
      </c>
      <c r="BM132" s="1640">
        <f t="shared" si="810"/>
        <v>18</v>
      </c>
      <c r="BN132" s="1639">
        <f t="shared" si="810"/>
        <v>4</v>
      </c>
      <c r="BO132" s="1639">
        <f t="shared" si="810"/>
        <v>4</v>
      </c>
      <c r="BP132" s="1639">
        <f t="shared" si="810"/>
        <v>4</v>
      </c>
      <c r="BQ132" s="1640">
        <f t="shared" ref="BQ132:CW132" si="811">+BQ133</f>
        <v>7</v>
      </c>
      <c r="BR132" s="1639">
        <f t="shared" si="811"/>
        <v>3</v>
      </c>
      <c r="BS132" s="1639">
        <f t="shared" si="811"/>
        <v>3</v>
      </c>
      <c r="BT132" s="1639">
        <f t="shared" si="811"/>
        <v>3</v>
      </c>
      <c r="BU132" s="1640">
        <f t="shared" si="811"/>
        <v>5</v>
      </c>
      <c r="BV132" s="1639">
        <f t="shared" si="811"/>
        <v>2</v>
      </c>
      <c r="BW132" s="1639">
        <f t="shared" si="811"/>
        <v>2</v>
      </c>
      <c r="BX132" s="1639">
        <f t="shared" si="811"/>
        <v>2</v>
      </c>
      <c r="BY132" s="1640">
        <f t="shared" si="811"/>
        <v>6</v>
      </c>
      <c r="BZ132" s="1639">
        <f t="shared" si="811"/>
        <v>2</v>
      </c>
      <c r="CA132" s="1639">
        <f t="shared" si="811"/>
        <v>2</v>
      </c>
      <c r="CB132" s="1639">
        <f t="shared" si="811"/>
        <v>2</v>
      </c>
      <c r="CC132" s="1640">
        <f t="shared" si="811"/>
        <v>6</v>
      </c>
      <c r="CD132" s="1639">
        <f t="shared" si="811"/>
        <v>2</v>
      </c>
      <c r="CE132" s="1639">
        <f t="shared" si="811"/>
        <v>2</v>
      </c>
      <c r="CF132" s="1639">
        <f t="shared" si="811"/>
        <v>2</v>
      </c>
      <c r="CG132" s="1640">
        <f t="shared" si="811"/>
        <v>6</v>
      </c>
      <c r="CH132" s="1639">
        <f t="shared" si="811"/>
        <v>2</v>
      </c>
      <c r="CI132" s="1639">
        <f t="shared" si="811"/>
        <v>2</v>
      </c>
      <c r="CJ132" s="1639">
        <f t="shared" si="811"/>
        <v>2</v>
      </c>
      <c r="CK132" s="1640">
        <f t="shared" si="811"/>
        <v>5</v>
      </c>
      <c r="CL132" s="1640">
        <f t="shared" si="811"/>
        <v>2</v>
      </c>
      <c r="CM132" s="1640">
        <f t="shared" si="811"/>
        <v>2</v>
      </c>
      <c r="CN132" s="1640">
        <f t="shared" si="811"/>
        <v>2</v>
      </c>
      <c r="CO132" s="1640">
        <f t="shared" si="811"/>
        <v>5</v>
      </c>
      <c r="CP132" s="1640">
        <f t="shared" si="811"/>
        <v>2</v>
      </c>
      <c r="CQ132" s="1640">
        <f t="shared" si="811"/>
        <v>2</v>
      </c>
      <c r="CR132" s="1640">
        <f t="shared" si="811"/>
        <v>2</v>
      </c>
      <c r="CS132" s="1640">
        <f t="shared" si="811"/>
        <v>5</v>
      </c>
      <c r="CT132" s="1640">
        <f t="shared" si="811"/>
        <v>2</v>
      </c>
      <c r="CU132" s="1640">
        <f t="shared" si="811"/>
        <v>2</v>
      </c>
      <c r="CV132" s="1640">
        <f t="shared" si="811"/>
        <v>2</v>
      </c>
      <c r="CW132" s="1640">
        <f t="shared" si="811"/>
        <v>3</v>
      </c>
      <c r="CX132" s="337"/>
      <c r="CY132" s="337"/>
      <c r="DA132" s="9"/>
      <c r="DB132" s="9"/>
    </row>
    <row r="133" spans="1:106" s="92" customFormat="1">
      <c r="A133" s="693" t="s">
        <v>200</v>
      </c>
      <c r="B133" s="689"/>
      <c r="C133" s="689">
        <f t="shared" ref="C133:AA133" si="812">C132</f>
        <v>5</v>
      </c>
      <c r="D133" s="689">
        <f t="shared" si="812"/>
        <v>2</v>
      </c>
      <c r="E133" s="689">
        <f t="shared" si="812"/>
        <v>4</v>
      </c>
      <c r="F133" s="689">
        <f t="shared" si="812"/>
        <v>1</v>
      </c>
      <c r="G133" s="689">
        <f t="shared" si="812"/>
        <v>8</v>
      </c>
      <c r="H133" s="689">
        <f t="shared" si="812"/>
        <v>2</v>
      </c>
      <c r="I133" s="689">
        <f t="shared" si="812"/>
        <v>11</v>
      </c>
      <c r="J133" s="689">
        <f t="shared" si="812"/>
        <v>3</v>
      </c>
      <c r="K133" s="689">
        <f t="shared" si="812"/>
        <v>4</v>
      </c>
      <c r="L133" s="689">
        <f t="shared" si="812"/>
        <v>9</v>
      </c>
      <c r="M133" s="689">
        <f t="shared" si="812"/>
        <v>18</v>
      </c>
      <c r="N133" s="689">
        <f t="shared" si="812"/>
        <v>3</v>
      </c>
      <c r="O133" s="689">
        <f t="shared" si="812"/>
        <v>9</v>
      </c>
      <c r="P133" s="689">
        <f t="shared" si="812"/>
        <v>10</v>
      </c>
      <c r="Q133" s="689">
        <f t="shared" si="812"/>
        <v>14</v>
      </c>
      <c r="R133" s="689">
        <f t="shared" si="812"/>
        <v>2</v>
      </c>
      <c r="S133" s="689">
        <f t="shared" si="812"/>
        <v>8</v>
      </c>
      <c r="T133" s="689">
        <f t="shared" si="812"/>
        <v>55</v>
      </c>
      <c r="U133" s="689">
        <f t="shared" si="812"/>
        <v>10</v>
      </c>
      <c r="V133" s="689">
        <f t="shared" si="812"/>
        <v>6</v>
      </c>
      <c r="W133" s="689">
        <f t="shared" si="812"/>
        <v>2</v>
      </c>
      <c r="X133" s="689">
        <f t="shared" si="812"/>
        <v>17</v>
      </c>
      <c r="Y133" s="689">
        <f t="shared" si="812"/>
        <v>19</v>
      </c>
      <c r="Z133" s="689">
        <f t="shared" si="812"/>
        <v>7</v>
      </c>
      <c r="AA133" s="689">
        <f t="shared" si="812"/>
        <v>15</v>
      </c>
      <c r="AB133" s="689">
        <f t="shared" ref="AB133:AM133" si="813">AB132</f>
        <v>13</v>
      </c>
      <c r="AC133" s="689">
        <f t="shared" si="813"/>
        <v>14</v>
      </c>
      <c r="AD133" s="689">
        <f t="shared" si="813"/>
        <v>48</v>
      </c>
      <c r="AE133" s="689">
        <f t="shared" si="813"/>
        <v>13</v>
      </c>
      <c r="AF133" s="689">
        <f t="shared" si="813"/>
        <v>13</v>
      </c>
      <c r="AG133" s="689">
        <f t="shared" si="813"/>
        <v>10</v>
      </c>
      <c r="AH133" s="689">
        <f t="shared" si="813"/>
        <v>12</v>
      </c>
      <c r="AI133" s="689">
        <f t="shared" si="813"/>
        <v>23</v>
      </c>
      <c r="AJ133" s="689">
        <f t="shared" si="813"/>
        <v>13</v>
      </c>
      <c r="AK133" s="689">
        <f t="shared" si="813"/>
        <v>14</v>
      </c>
      <c r="AL133" s="689">
        <f t="shared" si="813"/>
        <v>12</v>
      </c>
      <c r="AM133" s="689">
        <f t="shared" si="813"/>
        <v>20</v>
      </c>
      <c r="AN133" s="689">
        <f t="shared" ref="AN133:AS133" si="814">AN132</f>
        <v>35</v>
      </c>
      <c r="AO133" s="689">
        <f t="shared" si="814"/>
        <v>21</v>
      </c>
      <c r="AP133" s="689">
        <f t="shared" si="814"/>
        <v>0</v>
      </c>
      <c r="AQ133" s="689">
        <f t="shared" si="814"/>
        <v>7</v>
      </c>
      <c r="AR133" s="689">
        <f t="shared" si="814"/>
        <v>-7</v>
      </c>
      <c r="AS133" s="689">
        <f t="shared" si="814"/>
        <v>5</v>
      </c>
      <c r="AT133" s="689">
        <f t="shared" ref="AT133:BC133" si="815">AT132</f>
        <v>3</v>
      </c>
      <c r="AU133" s="689">
        <f t="shared" si="815"/>
        <v>-13</v>
      </c>
      <c r="AV133" s="689">
        <f t="shared" si="815"/>
        <v>-5</v>
      </c>
      <c r="AW133" s="689">
        <f t="shared" si="815"/>
        <v>1</v>
      </c>
      <c r="AX133" s="689">
        <f t="shared" si="815"/>
        <v>4</v>
      </c>
      <c r="AY133" s="689">
        <f t="shared" si="815"/>
        <v>5</v>
      </c>
      <c r="AZ133" s="689">
        <f t="shared" si="815"/>
        <v>8</v>
      </c>
      <c r="BA133" s="689">
        <f t="shared" si="815"/>
        <v>4</v>
      </c>
      <c r="BB133" s="689">
        <f t="shared" si="815"/>
        <v>11</v>
      </c>
      <c r="BC133" s="689">
        <f t="shared" si="815"/>
        <v>12</v>
      </c>
      <c r="BD133" s="689">
        <f t="shared" ref="BD133:BI133" si="816">BD132</f>
        <v>5</v>
      </c>
      <c r="BE133" s="689">
        <f t="shared" si="816"/>
        <v>25</v>
      </c>
      <c r="BF133" s="689">
        <f t="shared" si="816"/>
        <v>5</v>
      </c>
      <c r="BG133" s="689">
        <f t="shared" si="816"/>
        <v>17</v>
      </c>
      <c r="BH133" s="689">
        <f t="shared" si="816"/>
        <v>7</v>
      </c>
      <c r="BI133" s="689">
        <f t="shared" si="816"/>
        <v>21</v>
      </c>
      <c r="BJ133" s="689">
        <f t="shared" ref="BJ133:BK133" si="817">BJ132</f>
        <v>1</v>
      </c>
      <c r="BK133" s="1830">
        <f t="shared" si="817"/>
        <v>5</v>
      </c>
      <c r="BL133" s="1390">
        <f>ROUND(INDEX($A$101:$AY$101,MATCH(YEAR(BL$78),$A$80:$AY$80))*20%,0)</f>
        <v>6</v>
      </c>
      <c r="BM133" s="1391">
        <f>INDEX($A$101:$AY$101,MATCH(YEAR(BM$78),$A$80:$AY$80))-SUM(BJ133:BL133)</f>
        <v>18</v>
      </c>
      <c r="BN133" s="1390">
        <f>ROUND(INDEX($A$101:$AY$101,MATCH(YEAR(BN$78),$A$80:$AY$80))*20%,0)</f>
        <v>4</v>
      </c>
      <c r="BO133" s="1390">
        <f>ROUND(INDEX($A$101:$AY$101,MATCH(YEAR(BO$78),$A$80:$AY$80))*20%,0)</f>
        <v>4</v>
      </c>
      <c r="BP133" s="1390">
        <f>ROUND(INDEX($A$101:$AY$101,MATCH(YEAR(BP$78),$A$80:$AY$80))*20%,0)</f>
        <v>4</v>
      </c>
      <c r="BQ133" s="1391">
        <f>INDEX($A$101:$AY$101,MATCH(YEAR(BQ$78),$A$80:$AY$80))-SUM(BN133:BP133)</f>
        <v>7</v>
      </c>
      <c r="BR133" s="1390">
        <f>ROUND(INDEX($A$101:$AY$101,MATCH(YEAR(BR$78),$A$80:$AY$80))*20%,0)</f>
        <v>3</v>
      </c>
      <c r="BS133" s="1390">
        <f>ROUND(INDEX($A$101:$AY$101,MATCH(YEAR(BS$78),$A$80:$AY$80))*20%,0)</f>
        <v>3</v>
      </c>
      <c r="BT133" s="1390">
        <f>ROUND(INDEX($A$101:$AY$101,MATCH(YEAR(BT$78),$A$80:$AY$80))*20%,0)</f>
        <v>3</v>
      </c>
      <c r="BU133" s="1391">
        <f>INDEX($A$101:$AY$101,MATCH(YEAR(BU$78),$A$80:$AY$80))-SUM(BR133:BT133)</f>
        <v>5</v>
      </c>
      <c r="BV133" s="1390">
        <f>ROUND(INDEX($A$101:$AY$101,MATCH(YEAR(BV$78),$A$80:$AY$80))*20%,0)</f>
        <v>2</v>
      </c>
      <c r="BW133" s="1390">
        <f>ROUND(INDEX($A$101:$AY$101,MATCH(YEAR(BW$78),$A$80:$AY$80))*20%,0)</f>
        <v>2</v>
      </c>
      <c r="BX133" s="1390">
        <f>ROUND(INDEX($A$101:$AY$101,MATCH(YEAR(BX$78),$A$80:$AY$80))*20%,0)</f>
        <v>2</v>
      </c>
      <c r="BY133" s="1391">
        <f>INDEX($A$101:$AY$101,MATCH(YEAR(BY$78),$A$80:$AY$80))-SUM(BV133:BX133)</f>
        <v>6</v>
      </c>
      <c r="BZ133" s="1390">
        <f>ROUND(INDEX($A$101:$AY$101,MATCH(YEAR(BZ$78),$A$80:$AY$80))*20%,0)</f>
        <v>2</v>
      </c>
      <c r="CA133" s="1390">
        <f>ROUND(INDEX($A$101:$AY$101,MATCH(YEAR(CA$78),$A$80:$AY$80))*20%,0)</f>
        <v>2</v>
      </c>
      <c r="CB133" s="1390">
        <f>ROUND(INDEX($A$101:$AY$101,MATCH(YEAR(CB$78),$A$80:$AY$80))*20%,0)</f>
        <v>2</v>
      </c>
      <c r="CC133" s="1391">
        <f>INDEX($A$101:$AY$101,MATCH(YEAR(CC$78),$A$80:$AY$80))-SUM(BZ133:CB133)</f>
        <v>6</v>
      </c>
      <c r="CD133" s="1390">
        <f>ROUND(INDEX($A$101:$AY$101,MATCH(YEAR(CD$78),$A$80:$AY$80))*20%,0)</f>
        <v>2</v>
      </c>
      <c r="CE133" s="1390">
        <f>ROUND(INDEX($A$101:$AY$101,MATCH(YEAR(CE$78),$A$80:$AY$80))*20%,0)</f>
        <v>2</v>
      </c>
      <c r="CF133" s="1390">
        <f>ROUND(INDEX($A$101:$AY$101,MATCH(YEAR(CF$78),$A$80:$AY$80))*20%,0)</f>
        <v>2</v>
      </c>
      <c r="CG133" s="1391">
        <f>INDEX($A$101:$AY$101,MATCH(YEAR(CG$78),$A$80:$AY$80))-SUM(CD133:CF133)</f>
        <v>6</v>
      </c>
      <c r="CH133" s="1390">
        <f>ROUND(INDEX($A$101:$BB$101,MATCH(YEAR(CH$78),$A$80:$BB$80))*20%,0)</f>
        <v>2</v>
      </c>
      <c r="CI133" s="1390">
        <f>ROUND(INDEX($A$101:$BB$101,MATCH(YEAR(CI$78),$A$80:$BB$80))*20%,0)</f>
        <v>2</v>
      </c>
      <c r="CJ133" s="1390">
        <f>ROUND(INDEX($A$101:$BB$101,MATCH(YEAR(CJ$78),$A$80:$BB$80))*20%,0)</f>
        <v>2</v>
      </c>
      <c r="CK133" s="1391">
        <f>INDEX($A$101:$BB$101,MATCH(YEAR(CK$78),$A$80:$BB$80))-SUM(CH133:CJ133)</f>
        <v>5</v>
      </c>
      <c r="CL133" s="1390">
        <f>ROUND(INDEX($A$101:$BB$101,MATCH(YEAR(CL$78),$A$80:$BB$80))*20%,0)</f>
        <v>2</v>
      </c>
      <c r="CM133" s="1390">
        <f>ROUND(INDEX($A$101:$BB$101,MATCH(YEAR(CM$78),$A$80:$BB$80))*20%,0)</f>
        <v>2</v>
      </c>
      <c r="CN133" s="1390">
        <f>ROUND(INDEX($A$101:$BB$101,MATCH(YEAR(CN$78),$A$80:$BB$80))*20%,0)</f>
        <v>2</v>
      </c>
      <c r="CO133" s="1391">
        <f>INDEX($A$101:$BB$101,MATCH(YEAR(CO$78),$A$80:$BB$80))-SUM(CL133:CN133)</f>
        <v>5</v>
      </c>
      <c r="CP133" s="1390">
        <f>ROUND(INDEX($A$101:$BB$101,MATCH(YEAR(CP$78),$A$80:$BB$80))*20%,0)</f>
        <v>2</v>
      </c>
      <c r="CQ133" s="1390">
        <f>ROUND(INDEX($A$101:$BB$101,MATCH(YEAR(CQ$78),$A$80:$BB$80))*20%,0)</f>
        <v>2</v>
      </c>
      <c r="CR133" s="1390">
        <f>ROUND(INDEX($A$101:$BB$101,MATCH(YEAR(CR$78),$A$80:$BB$80))*20%,0)</f>
        <v>2</v>
      </c>
      <c r="CS133" s="1391">
        <f>INDEX($A$101:$BB$101,MATCH(YEAR(CS$78),$A$80:$BB$80))-SUM(CP133:CR133)</f>
        <v>5</v>
      </c>
      <c r="CT133" s="1390">
        <f>ROUND(INDEX($A$101:$BB$101,MATCH(YEAR(CT$78),$A$80:$BB$80))*20%,0)</f>
        <v>2</v>
      </c>
      <c r="CU133" s="1390">
        <f>ROUND(INDEX($A$101:$BB$101,MATCH(YEAR(CU$78),$A$80:$BB$80))*20%,0)</f>
        <v>2</v>
      </c>
      <c r="CV133" s="1390">
        <f>ROUND(INDEX($A$101:$BB$101,MATCH(YEAR(CV$78),$A$80:$BB$80))*20%,0)</f>
        <v>2</v>
      </c>
      <c r="CW133" s="1391">
        <f>INDEX($A$101:$BB$101,MATCH(YEAR(CW$78),$A$80:$BB$80))-SUM(CT133:CV133)</f>
        <v>3</v>
      </c>
      <c r="CX133" s="337"/>
      <c r="CY133" s="337"/>
      <c r="DA133" s="9"/>
      <c r="DB133" s="9"/>
    </row>
    <row r="134" spans="1:106" s="92" customFormat="1">
      <c r="A134" s="693" t="s">
        <v>202</v>
      </c>
      <c r="B134" s="689"/>
      <c r="C134" s="689">
        <f t="shared" ref="C134:AA134" si="818">C132</f>
        <v>5</v>
      </c>
      <c r="D134" s="689">
        <f t="shared" si="818"/>
        <v>2</v>
      </c>
      <c r="E134" s="689">
        <f t="shared" si="818"/>
        <v>4</v>
      </c>
      <c r="F134" s="689">
        <f t="shared" si="818"/>
        <v>1</v>
      </c>
      <c r="G134" s="689">
        <f t="shared" si="818"/>
        <v>8</v>
      </c>
      <c r="H134" s="689">
        <f t="shared" si="818"/>
        <v>2</v>
      </c>
      <c r="I134" s="689">
        <f t="shared" si="818"/>
        <v>11</v>
      </c>
      <c r="J134" s="689">
        <f t="shared" si="818"/>
        <v>3</v>
      </c>
      <c r="K134" s="689">
        <f t="shared" si="818"/>
        <v>4</v>
      </c>
      <c r="L134" s="689">
        <f t="shared" si="818"/>
        <v>9</v>
      </c>
      <c r="M134" s="689">
        <f t="shared" si="818"/>
        <v>18</v>
      </c>
      <c r="N134" s="689">
        <f t="shared" si="818"/>
        <v>3</v>
      </c>
      <c r="O134" s="689">
        <f t="shared" si="818"/>
        <v>9</v>
      </c>
      <c r="P134" s="689">
        <f t="shared" si="818"/>
        <v>10</v>
      </c>
      <c r="Q134" s="689">
        <f t="shared" si="818"/>
        <v>14</v>
      </c>
      <c r="R134" s="689">
        <f t="shared" si="818"/>
        <v>2</v>
      </c>
      <c r="S134" s="689">
        <f t="shared" si="818"/>
        <v>8</v>
      </c>
      <c r="T134" s="689">
        <f t="shared" si="818"/>
        <v>55</v>
      </c>
      <c r="U134" s="689">
        <f t="shared" si="818"/>
        <v>10</v>
      </c>
      <c r="V134" s="689">
        <f t="shared" si="818"/>
        <v>6</v>
      </c>
      <c r="W134" s="689">
        <f t="shared" si="818"/>
        <v>2</v>
      </c>
      <c r="X134" s="689">
        <f t="shared" si="818"/>
        <v>17</v>
      </c>
      <c r="Y134" s="689">
        <f t="shared" si="818"/>
        <v>19</v>
      </c>
      <c r="Z134" s="689">
        <f t="shared" si="818"/>
        <v>7</v>
      </c>
      <c r="AA134" s="689">
        <f t="shared" si="818"/>
        <v>15</v>
      </c>
      <c r="AB134" s="689">
        <f t="shared" ref="AB134:AM134" si="819">AB132</f>
        <v>13</v>
      </c>
      <c r="AC134" s="689">
        <f t="shared" si="819"/>
        <v>14</v>
      </c>
      <c r="AD134" s="689">
        <f t="shared" si="819"/>
        <v>48</v>
      </c>
      <c r="AE134" s="689">
        <f t="shared" si="819"/>
        <v>13</v>
      </c>
      <c r="AF134" s="689">
        <f t="shared" si="819"/>
        <v>13</v>
      </c>
      <c r="AG134" s="689">
        <f t="shared" si="819"/>
        <v>10</v>
      </c>
      <c r="AH134" s="689">
        <f t="shared" si="819"/>
        <v>12</v>
      </c>
      <c r="AI134" s="689">
        <f t="shared" si="819"/>
        <v>23</v>
      </c>
      <c r="AJ134" s="689">
        <f t="shared" si="819"/>
        <v>13</v>
      </c>
      <c r="AK134" s="689">
        <f t="shared" si="819"/>
        <v>14</v>
      </c>
      <c r="AL134" s="689">
        <f t="shared" si="819"/>
        <v>12</v>
      </c>
      <c r="AM134" s="689">
        <f t="shared" si="819"/>
        <v>20</v>
      </c>
      <c r="AN134" s="689">
        <f t="shared" ref="AN134:AS134" si="820">AN132</f>
        <v>35</v>
      </c>
      <c r="AO134" s="689">
        <f t="shared" si="820"/>
        <v>21</v>
      </c>
      <c r="AP134" s="689">
        <f t="shared" si="820"/>
        <v>0</v>
      </c>
      <c r="AQ134" s="689">
        <f t="shared" si="820"/>
        <v>7</v>
      </c>
      <c r="AR134" s="689">
        <f t="shared" si="820"/>
        <v>-7</v>
      </c>
      <c r="AS134" s="689">
        <f t="shared" si="820"/>
        <v>5</v>
      </c>
      <c r="AT134" s="689">
        <f t="shared" ref="AT134:BC134" si="821">AT132</f>
        <v>3</v>
      </c>
      <c r="AU134" s="689">
        <f t="shared" si="821"/>
        <v>-13</v>
      </c>
      <c r="AV134" s="689">
        <f t="shared" si="821"/>
        <v>-5</v>
      </c>
      <c r="AW134" s="689">
        <f t="shared" si="821"/>
        <v>1</v>
      </c>
      <c r="AX134" s="689">
        <f t="shared" si="821"/>
        <v>4</v>
      </c>
      <c r="AY134" s="689">
        <f t="shared" si="821"/>
        <v>5</v>
      </c>
      <c r="AZ134" s="689">
        <f t="shared" si="821"/>
        <v>8</v>
      </c>
      <c r="BA134" s="689">
        <f t="shared" si="821"/>
        <v>4</v>
      </c>
      <c r="BB134" s="689">
        <f t="shared" si="821"/>
        <v>11</v>
      </c>
      <c r="BC134" s="689">
        <f t="shared" si="821"/>
        <v>12</v>
      </c>
      <c r="BD134" s="689">
        <f t="shared" ref="BD134:BI134" si="822">BD132</f>
        <v>5</v>
      </c>
      <c r="BE134" s="689">
        <f t="shared" si="822"/>
        <v>25</v>
      </c>
      <c r="BF134" s="689">
        <f t="shared" si="822"/>
        <v>5</v>
      </c>
      <c r="BG134" s="689">
        <f t="shared" si="822"/>
        <v>17</v>
      </c>
      <c r="BH134" s="689">
        <f t="shared" si="822"/>
        <v>7</v>
      </c>
      <c r="BI134" s="689">
        <f t="shared" si="822"/>
        <v>21</v>
      </c>
      <c r="BJ134" s="689">
        <f t="shared" ref="BJ134:BK134" si="823">BJ132</f>
        <v>1</v>
      </c>
      <c r="BK134" s="1830">
        <f t="shared" si="823"/>
        <v>5</v>
      </c>
      <c r="BL134" s="1639">
        <f t="shared" ref="BL134:BQ134" si="824">+ROUND(BL133*80%,0)</f>
        <v>5</v>
      </c>
      <c r="BM134" s="1640">
        <f t="shared" si="824"/>
        <v>14</v>
      </c>
      <c r="BN134" s="1639">
        <f t="shared" si="824"/>
        <v>3</v>
      </c>
      <c r="BO134" s="1639">
        <f t="shared" si="824"/>
        <v>3</v>
      </c>
      <c r="BP134" s="1639">
        <f t="shared" si="824"/>
        <v>3</v>
      </c>
      <c r="BQ134" s="1640">
        <f t="shared" si="824"/>
        <v>6</v>
      </c>
      <c r="BR134" s="1639">
        <f t="shared" ref="BR134:CK134" si="825">+ROUND(BR133*80%,0)</f>
        <v>2</v>
      </c>
      <c r="BS134" s="1639">
        <f t="shared" si="825"/>
        <v>2</v>
      </c>
      <c r="BT134" s="1639">
        <f t="shared" si="825"/>
        <v>2</v>
      </c>
      <c r="BU134" s="1640">
        <f t="shared" si="825"/>
        <v>4</v>
      </c>
      <c r="BV134" s="1639">
        <f t="shared" si="825"/>
        <v>2</v>
      </c>
      <c r="BW134" s="1639">
        <f t="shared" si="825"/>
        <v>2</v>
      </c>
      <c r="BX134" s="1639">
        <f t="shared" si="825"/>
        <v>2</v>
      </c>
      <c r="BY134" s="1640">
        <f t="shared" si="825"/>
        <v>5</v>
      </c>
      <c r="BZ134" s="1639">
        <f t="shared" si="825"/>
        <v>2</v>
      </c>
      <c r="CA134" s="1639">
        <f t="shared" si="825"/>
        <v>2</v>
      </c>
      <c r="CB134" s="1639">
        <f t="shared" si="825"/>
        <v>2</v>
      </c>
      <c r="CC134" s="1640">
        <f t="shared" si="825"/>
        <v>5</v>
      </c>
      <c r="CD134" s="1639">
        <f t="shared" si="825"/>
        <v>2</v>
      </c>
      <c r="CE134" s="1639">
        <f t="shared" si="825"/>
        <v>2</v>
      </c>
      <c r="CF134" s="1639">
        <f t="shared" si="825"/>
        <v>2</v>
      </c>
      <c r="CG134" s="1640">
        <f t="shared" si="825"/>
        <v>5</v>
      </c>
      <c r="CH134" s="1639">
        <f t="shared" si="825"/>
        <v>2</v>
      </c>
      <c r="CI134" s="1639">
        <f t="shared" si="825"/>
        <v>2</v>
      </c>
      <c r="CJ134" s="1639">
        <f t="shared" si="825"/>
        <v>2</v>
      </c>
      <c r="CK134" s="1640">
        <f t="shared" si="825"/>
        <v>4</v>
      </c>
      <c r="CL134" s="1640">
        <f t="shared" ref="CL134:CP134" si="826">+ROUND(CL133*80%,0)</f>
        <v>2</v>
      </c>
      <c r="CM134" s="1640">
        <f t="shared" si="826"/>
        <v>2</v>
      </c>
      <c r="CN134" s="1640">
        <f t="shared" si="826"/>
        <v>2</v>
      </c>
      <c r="CO134" s="1640">
        <f t="shared" si="826"/>
        <v>4</v>
      </c>
      <c r="CP134" s="1640">
        <f t="shared" si="826"/>
        <v>2</v>
      </c>
      <c r="CQ134" s="1640">
        <f t="shared" ref="CQ134:CU134" si="827">+ROUND(CQ133*80%,0)</f>
        <v>2</v>
      </c>
      <c r="CR134" s="1640">
        <f t="shared" si="827"/>
        <v>2</v>
      </c>
      <c r="CS134" s="1640">
        <f t="shared" si="827"/>
        <v>4</v>
      </c>
      <c r="CT134" s="1640">
        <f t="shared" si="827"/>
        <v>2</v>
      </c>
      <c r="CU134" s="1640">
        <f t="shared" si="827"/>
        <v>2</v>
      </c>
      <c r="CV134" s="1640">
        <f t="shared" ref="CV134:CW134" si="828">+ROUND(CV133*80%,0)</f>
        <v>2</v>
      </c>
      <c r="CW134" s="1640">
        <f t="shared" si="828"/>
        <v>2</v>
      </c>
      <c r="CX134" s="337"/>
      <c r="CY134" s="337"/>
      <c r="DA134" s="9"/>
      <c r="DB134" s="9"/>
    </row>
    <row r="135" spans="1:106">
      <c r="A135" s="42"/>
      <c r="B135" s="388"/>
      <c r="C135" s="388"/>
      <c r="D135" s="388"/>
      <c r="E135" s="388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574"/>
      <c r="AN135" s="574"/>
      <c r="AO135" s="574"/>
      <c r="AP135" s="574"/>
      <c r="AQ135" s="574"/>
      <c r="AR135" s="574"/>
      <c r="AS135" s="574"/>
      <c r="AT135" s="574"/>
      <c r="AU135" s="574"/>
      <c r="AV135" s="574"/>
      <c r="AW135" s="574"/>
      <c r="AX135" s="574"/>
      <c r="AY135" s="574"/>
      <c r="AZ135" s="574"/>
      <c r="BA135" s="574"/>
      <c r="BB135" s="574"/>
      <c r="BC135" s="574"/>
      <c r="BD135" s="574"/>
      <c r="BE135" s="574"/>
      <c r="BF135" s="574"/>
      <c r="BG135" s="574"/>
      <c r="BH135" s="574"/>
      <c r="BI135" s="574"/>
      <c r="BJ135" s="574"/>
      <c r="BK135" s="1831"/>
      <c r="BL135" s="305"/>
      <c r="BM135" s="305"/>
      <c r="BN135" s="305"/>
      <c r="BO135" s="305"/>
      <c r="BP135" s="305"/>
      <c r="BQ135" s="305"/>
      <c r="BR135" s="305"/>
      <c r="BS135" s="305"/>
      <c r="BT135" s="305"/>
      <c r="BU135" s="305"/>
      <c r="BV135" s="305"/>
      <c r="BW135" s="305"/>
      <c r="BX135" s="305"/>
      <c r="BY135" s="305"/>
      <c r="BZ135" s="305"/>
      <c r="CA135" s="305"/>
      <c r="CB135" s="305"/>
      <c r="CC135" s="305"/>
      <c r="CD135" s="305"/>
      <c r="CE135" s="305"/>
      <c r="CF135" s="305"/>
      <c r="CG135" s="305"/>
      <c r="CH135" s="305"/>
      <c r="CI135" s="305"/>
      <c r="CJ135" s="305"/>
      <c r="CK135" s="305"/>
      <c r="CL135" s="305"/>
      <c r="CM135" s="305"/>
      <c r="CN135" s="305"/>
      <c r="CO135" s="305"/>
      <c r="CP135" s="305"/>
      <c r="CQ135" s="305"/>
      <c r="CR135" s="305"/>
      <c r="CS135" s="305"/>
      <c r="CT135" s="305"/>
      <c r="CU135" s="305"/>
      <c r="CV135" s="305"/>
      <c r="CW135" s="305"/>
      <c r="CX135" s="269"/>
      <c r="CY135" s="337"/>
    </row>
    <row r="136" spans="1:106" s="92" customFormat="1">
      <c r="A136" s="692" t="s">
        <v>943</v>
      </c>
      <c r="B136" s="687"/>
      <c r="C136" s="687">
        <f t="shared" ref="C136:AA136" si="829">CHOOSE(MASTERSWITCH,C137,C138,C139)</f>
        <v>2</v>
      </c>
      <c r="D136" s="687">
        <f t="shared" si="829"/>
        <v>1</v>
      </c>
      <c r="E136" s="687">
        <f t="shared" si="829"/>
        <v>1</v>
      </c>
      <c r="F136" s="687">
        <f t="shared" si="829"/>
        <v>0</v>
      </c>
      <c r="G136" s="687">
        <f t="shared" si="829"/>
        <v>-1</v>
      </c>
      <c r="H136" s="687">
        <f t="shared" si="829"/>
        <v>-23</v>
      </c>
      <c r="I136" s="687">
        <f t="shared" si="829"/>
        <v>1</v>
      </c>
      <c r="J136" s="687">
        <f t="shared" si="829"/>
        <v>0</v>
      </c>
      <c r="K136" s="687">
        <f t="shared" si="829"/>
        <v>0</v>
      </c>
      <c r="L136" s="687">
        <f t="shared" si="829"/>
        <v>4</v>
      </c>
      <c r="M136" s="687">
        <f t="shared" si="829"/>
        <v>1</v>
      </c>
      <c r="N136" s="687">
        <f t="shared" si="829"/>
        <v>1</v>
      </c>
      <c r="O136" s="687">
        <f t="shared" si="829"/>
        <v>3</v>
      </c>
      <c r="P136" s="687">
        <f t="shared" si="829"/>
        <v>2</v>
      </c>
      <c r="Q136" s="687">
        <f t="shared" si="829"/>
        <v>-1</v>
      </c>
      <c r="R136" s="687">
        <f t="shared" si="829"/>
        <v>2</v>
      </c>
      <c r="S136" s="687">
        <f t="shared" si="829"/>
        <v>2</v>
      </c>
      <c r="T136" s="687">
        <f t="shared" si="829"/>
        <v>-43</v>
      </c>
      <c r="U136" s="687">
        <f t="shared" si="829"/>
        <v>2</v>
      </c>
      <c r="V136" s="687">
        <f t="shared" si="829"/>
        <v>1</v>
      </c>
      <c r="W136" s="687">
        <f t="shared" si="829"/>
        <v>2</v>
      </c>
      <c r="X136" s="687">
        <f t="shared" si="829"/>
        <v>2</v>
      </c>
      <c r="Y136" s="687">
        <f t="shared" si="829"/>
        <v>7</v>
      </c>
      <c r="Z136" s="687">
        <f t="shared" si="829"/>
        <v>0</v>
      </c>
      <c r="AA136" s="687">
        <f t="shared" si="829"/>
        <v>0</v>
      </c>
      <c r="AB136" s="687">
        <f t="shared" ref="AB136:AM136" si="830">CHOOSE(MASTERSWITCH,AB137,AB138,AB139)</f>
        <v>4</v>
      </c>
      <c r="AC136" s="687">
        <f t="shared" si="830"/>
        <v>-1</v>
      </c>
      <c r="AD136" s="687">
        <f t="shared" si="830"/>
        <v>1</v>
      </c>
      <c r="AE136" s="687">
        <f t="shared" si="830"/>
        <v>-1</v>
      </c>
      <c r="AF136" s="687">
        <f t="shared" si="830"/>
        <v>1</v>
      </c>
      <c r="AG136" s="687">
        <f t="shared" si="830"/>
        <v>1</v>
      </c>
      <c r="AH136" s="687">
        <f t="shared" si="830"/>
        <v>0</v>
      </c>
      <c r="AI136" s="687">
        <f t="shared" si="830"/>
        <v>-1</v>
      </c>
      <c r="AJ136" s="687">
        <f t="shared" si="830"/>
        <v>0</v>
      </c>
      <c r="AK136" s="687">
        <f t="shared" si="830"/>
        <v>1</v>
      </c>
      <c r="AL136" s="687">
        <f t="shared" si="830"/>
        <v>0</v>
      </c>
      <c r="AM136" s="687">
        <f t="shared" si="830"/>
        <v>-2</v>
      </c>
      <c r="AN136" s="687">
        <f t="shared" ref="AN136:AS136" si="831">CHOOSE(MASTERSWITCH,AN137,AN138,AN139)</f>
        <v>-1</v>
      </c>
      <c r="AO136" s="687">
        <f t="shared" si="831"/>
        <v>0</v>
      </c>
      <c r="AP136" s="687">
        <f t="shared" si="831"/>
        <v>3</v>
      </c>
      <c r="AQ136" s="687">
        <f t="shared" si="831"/>
        <v>1</v>
      </c>
      <c r="AR136" s="687">
        <f t="shared" si="831"/>
        <v>0</v>
      </c>
      <c r="AS136" s="687">
        <f t="shared" si="831"/>
        <v>3</v>
      </c>
      <c r="AT136" s="687">
        <f t="shared" ref="AT136:BC136" si="832">CHOOSE(MASTERSWITCH,AT137,AT138,AT139)</f>
        <v>0</v>
      </c>
      <c r="AU136" s="687">
        <f t="shared" si="832"/>
        <v>0</v>
      </c>
      <c r="AV136" s="687">
        <f t="shared" si="832"/>
        <v>0</v>
      </c>
      <c r="AW136" s="687">
        <f t="shared" si="832"/>
        <v>7</v>
      </c>
      <c r="AX136" s="687">
        <f t="shared" si="832"/>
        <v>2</v>
      </c>
      <c r="AY136" s="687">
        <f t="shared" si="832"/>
        <v>3</v>
      </c>
      <c r="AZ136" s="687">
        <f t="shared" si="832"/>
        <v>1</v>
      </c>
      <c r="BA136" s="687">
        <f t="shared" si="832"/>
        <v>4</v>
      </c>
      <c r="BB136" s="687">
        <f t="shared" si="832"/>
        <v>2</v>
      </c>
      <c r="BC136" s="687">
        <f t="shared" si="832"/>
        <v>3</v>
      </c>
      <c r="BD136" s="687">
        <f t="shared" ref="BD136:BN136" si="833">CHOOSE(MASTERSWITCH,BD137,BD138,BD139)</f>
        <v>0</v>
      </c>
      <c r="BE136" s="687">
        <f t="shared" si="833"/>
        <v>1</v>
      </c>
      <c r="BF136" s="687">
        <f t="shared" ref="BF136:BG136" si="834">CHOOSE(MASTERSWITCH,BF137,BF138,BF139)</f>
        <v>0</v>
      </c>
      <c r="BG136" s="687">
        <f t="shared" si="834"/>
        <v>1</v>
      </c>
      <c r="BH136" s="687">
        <f t="shared" ref="BH136:BI136" si="835">CHOOSE(MASTERSWITCH,BH137,BH138,BH139)</f>
        <v>1</v>
      </c>
      <c r="BI136" s="687">
        <f t="shared" si="835"/>
        <v>0</v>
      </c>
      <c r="BJ136" s="687">
        <f t="shared" ref="BJ136:BK136" si="836">CHOOSE(MASTERSWITCH,BJ137,BJ138,BJ139)</f>
        <v>0</v>
      </c>
      <c r="BK136" s="1829">
        <f t="shared" si="836"/>
        <v>-1</v>
      </c>
      <c r="BL136" s="688">
        <f t="shared" si="833"/>
        <v>0</v>
      </c>
      <c r="BM136" s="688">
        <f t="shared" si="833"/>
        <v>0</v>
      </c>
      <c r="BN136" s="688">
        <f t="shared" si="833"/>
        <v>2</v>
      </c>
      <c r="BO136" s="688">
        <f t="shared" ref="BO136:CK136" si="837">CHOOSE(MASTERSWITCH,BO137,BO138,BO139)</f>
        <v>2</v>
      </c>
      <c r="BP136" s="688">
        <f t="shared" si="837"/>
        <v>2</v>
      </c>
      <c r="BQ136" s="688">
        <f t="shared" si="837"/>
        <v>3</v>
      </c>
      <c r="BR136" s="688">
        <f t="shared" si="837"/>
        <v>2</v>
      </c>
      <c r="BS136" s="688">
        <f t="shared" si="837"/>
        <v>2</v>
      </c>
      <c r="BT136" s="688">
        <f t="shared" si="837"/>
        <v>2</v>
      </c>
      <c r="BU136" s="688">
        <f t="shared" si="837"/>
        <v>2</v>
      </c>
      <c r="BV136" s="688">
        <f t="shared" si="837"/>
        <v>2</v>
      </c>
      <c r="BW136" s="688">
        <f t="shared" si="837"/>
        <v>2</v>
      </c>
      <c r="BX136" s="688">
        <f t="shared" si="837"/>
        <v>2</v>
      </c>
      <c r="BY136" s="688">
        <f t="shared" si="837"/>
        <v>2</v>
      </c>
      <c r="BZ136" s="688">
        <f t="shared" si="837"/>
        <v>1</v>
      </c>
      <c r="CA136" s="688">
        <f t="shared" si="837"/>
        <v>1</v>
      </c>
      <c r="CB136" s="688">
        <f t="shared" si="837"/>
        <v>1</v>
      </c>
      <c r="CC136" s="688">
        <f t="shared" si="837"/>
        <v>2</v>
      </c>
      <c r="CD136" s="688">
        <f t="shared" si="837"/>
        <v>1</v>
      </c>
      <c r="CE136" s="688">
        <f t="shared" si="837"/>
        <v>1</v>
      </c>
      <c r="CF136" s="688">
        <f t="shared" si="837"/>
        <v>1</v>
      </c>
      <c r="CG136" s="688">
        <f t="shared" si="837"/>
        <v>2</v>
      </c>
      <c r="CH136" s="688">
        <f t="shared" si="837"/>
        <v>1</v>
      </c>
      <c r="CI136" s="688">
        <f t="shared" si="837"/>
        <v>1</v>
      </c>
      <c r="CJ136" s="688">
        <f t="shared" si="837"/>
        <v>1</v>
      </c>
      <c r="CK136" s="688">
        <f t="shared" si="837"/>
        <v>1</v>
      </c>
      <c r="CL136" s="688">
        <f t="shared" ref="CL136:CP136" si="838">CHOOSE(MASTERSWITCH,CL137,CL138,CL139)</f>
        <v>1</v>
      </c>
      <c r="CM136" s="688">
        <f t="shared" si="838"/>
        <v>1</v>
      </c>
      <c r="CN136" s="688">
        <f t="shared" si="838"/>
        <v>1</v>
      </c>
      <c r="CO136" s="688">
        <f t="shared" si="838"/>
        <v>2</v>
      </c>
      <c r="CP136" s="688">
        <f t="shared" si="838"/>
        <v>1</v>
      </c>
      <c r="CQ136" s="688">
        <f t="shared" ref="CQ136:CU136" si="839">CHOOSE(MASTERSWITCH,CQ137,CQ138,CQ139)</f>
        <v>1</v>
      </c>
      <c r="CR136" s="688">
        <f t="shared" si="839"/>
        <v>1</v>
      </c>
      <c r="CS136" s="688">
        <f t="shared" si="839"/>
        <v>2</v>
      </c>
      <c r="CT136" s="688">
        <f t="shared" si="839"/>
        <v>1</v>
      </c>
      <c r="CU136" s="688">
        <f t="shared" si="839"/>
        <v>1</v>
      </c>
      <c r="CV136" s="688">
        <f t="shared" ref="CV136:CW136" si="840">CHOOSE(MASTERSWITCH,CV137,CV138,CV139)</f>
        <v>1</v>
      </c>
      <c r="CW136" s="688">
        <f t="shared" si="840"/>
        <v>1</v>
      </c>
      <c r="CX136" s="337"/>
      <c r="CY136" s="337"/>
      <c r="DA136" s="9"/>
      <c r="DB136" s="9"/>
    </row>
    <row r="137" spans="1:106" s="92" customFormat="1">
      <c r="A137" s="693" t="s">
        <v>571</v>
      </c>
      <c r="B137" s="689"/>
      <c r="C137" s="689">
        <f>Q_IS!C151</f>
        <v>2</v>
      </c>
      <c r="D137" s="689">
        <f>Q_IS!D151</f>
        <v>1</v>
      </c>
      <c r="E137" s="689">
        <f>Q_IS!E151</f>
        <v>1</v>
      </c>
      <c r="F137" s="689">
        <f>Q_IS!F151</f>
        <v>0</v>
      </c>
      <c r="G137" s="689">
        <f>Q_IS!G151</f>
        <v>-1</v>
      </c>
      <c r="H137" s="689">
        <f>Q_IS!H151</f>
        <v>-23</v>
      </c>
      <c r="I137" s="689">
        <f>Q_IS!I151</f>
        <v>1</v>
      </c>
      <c r="J137" s="689">
        <f>Q_IS!J151</f>
        <v>0</v>
      </c>
      <c r="K137" s="689">
        <f>Q_IS!K151</f>
        <v>0</v>
      </c>
      <c r="L137" s="689">
        <f>Q_IS!L151</f>
        <v>4</v>
      </c>
      <c r="M137" s="689">
        <f>Q_IS!M151</f>
        <v>1</v>
      </c>
      <c r="N137" s="689">
        <f>Q_IS!N151</f>
        <v>1</v>
      </c>
      <c r="O137" s="689">
        <f>Q_IS!O151</f>
        <v>3</v>
      </c>
      <c r="P137" s="689">
        <f>Q_IS!P151</f>
        <v>2</v>
      </c>
      <c r="Q137" s="689">
        <f>Q_IS!Q151</f>
        <v>-1</v>
      </c>
      <c r="R137" s="689">
        <f>Q_IS!R151</f>
        <v>2</v>
      </c>
      <c r="S137" s="689">
        <f>Q_IS!S151</f>
        <v>2</v>
      </c>
      <c r="T137" s="689">
        <f>Q_IS!T151</f>
        <v>-43</v>
      </c>
      <c r="U137" s="689">
        <f>Q_IS!U151</f>
        <v>2</v>
      </c>
      <c r="V137" s="689">
        <f>Q_IS!V151</f>
        <v>1</v>
      </c>
      <c r="W137" s="689">
        <f>Q_IS!W151</f>
        <v>2</v>
      </c>
      <c r="X137" s="689">
        <f>Q_IS!X151</f>
        <v>2</v>
      </c>
      <c r="Y137" s="689">
        <f>Q_IS!Y151</f>
        <v>7</v>
      </c>
      <c r="Z137" s="689">
        <f>Q_IS!Z151</f>
        <v>0</v>
      </c>
      <c r="AA137" s="689">
        <f>Q_IS!AA151</f>
        <v>0</v>
      </c>
      <c r="AB137" s="689">
        <f>Q_IS!AB151</f>
        <v>4</v>
      </c>
      <c r="AC137" s="689">
        <f>Q_IS!AC151</f>
        <v>-1</v>
      </c>
      <c r="AD137" s="689">
        <f>Q_IS!AD151</f>
        <v>1</v>
      </c>
      <c r="AE137" s="689">
        <f>Q_IS!AE151</f>
        <v>-1</v>
      </c>
      <c r="AF137" s="689">
        <f>Q_IS!AF151</f>
        <v>1</v>
      </c>
      <c r="AG137" s="689">
        <f>Q_IS!AG151</f>
        <v>1</v>
      </c>
      <c r="AH137" s="689">
        <f>Q_IS!AH151</f>
        <v>0</v>
      </c>
      <c r="AI137" s="689">
        <f>Q_IS!AI151</f>
        <v>-1</v>
      </c>
      <c r="AJ137" s="689">
        <f>Q_IS!AJ151</f>
        <v>0</v>
      </c>
      <c r="AK137" s="689">
        <f>Q_IS!AK151</f>
        <v>1</v>
      </c>
      <c r="AL137" s="689">
        <f>Q_IS!AL151</f>
        <v>0</v>
      </c>
      <c r="AM137" s="689">
        <f>Q_IS!AM151</f>
        <v>-2</v>
      </c>
      <c r="AN137" s="689">
        <f>Q_IS!AN151</f>
        <v>-1</v>
      </c>
      <c r="AO137" s="689">
        <f>Q_IS!AO151</f>
        <v>0</v>
      </c>
      <c r="AP137" s="689">
        <f>Q_IS!AP151</f>
        <v>3</v>
      </c>
      <c r="AQ137" s="689">
        <f>Q_IS!AQ151</f>
        <v>1</v>
      </c>
      <c r="AR137" s="689">
        <f>Q_IS!AR151</f>
        <v>0</v>
      </c>
      <c r="AS137" s="689">
        <f>Q_IS!AS151</f>
        <v>3</v>
      </c>
      <c r="AT137" s="689">
        <f>Q_IS!AT151</f>
        <v>0</v>
      </c>
      <c r="AU137" s="689">
        <f>Q_IS!AU151</f>
        <v>0</v>
      </c>
      <c r="AV137" s="689">
        <f>Q_IS!AV151</f>
        <v>0</v>
      </c>
      <c r="AW137" s="689">
        <f>Q_IS!AW151</f>
        <v>7</v>
      </c>
      <c r="AX137" s="689">
        <f>Q_IS!AX151</f>
        <v>2</v>
      </c>
      <c r="AY137" s="689">
        <f>Q_IS!AY151</f>
        <v>3</v>
      </c>
      <c r="AZ137" s="689">
        <f>Q_IS!AZ151</f>
        <v>1</v>
      </c>
      <c r="BA137" s="689">
        <f>Q_IS!BA151</f>
        <v>4</v>
      </c>
      <c r="BB137" s="689">
        <f>Q_IS!BB151</f>
        <v>2</v>
      </c>
      <c r="BC137" s="689">
        <f>Q_IS!BC151</f>
        <v>3</v>
      </c>
      <c r="BD137" s="689">
        <f>Q_IS!BD151</f>
        <v>0</v>
      </c>
      <c r="BE137" s="689">
        <f>Q_IS!BE151</f>
        <v>1</v>
      </c>
      <c r="BF137" s="689">
        <f>Q_IS!BF151</f>
        <v>0</v>
      </c>
      <c r="BG137" s="689">
        <f>Q_IS!BG151</f>
        <v>1</v>
      </c>
      <c r="BH137" s="689">
        <f>Q_IS!BH151</f>
        <v>1</v>
      </c>
      <c r="BI137" s="689">
        <f>Q_IS!BI151</f>
        <v>0</v>
      </c>
      <c r="BJ137" s="689">
        <f>Q_IS!BJ151</f>
        <v>0</v>
      </c>
      <c r="BK137" s="1830">
        <f>Q_IS!BK151</f>
        <v>-1</v>
      </c>
      <c r="BL137" s="1639">
        <f t="shared" ref="BL137:BP137" si="841">+BL138</f>
        <v>0</v>
      </c>
      <c r="BM137" s="1640">
        <f t="shared" si="841"/>
        <v>0</v>
      </c>
      <c r="BN137" s="1639">
        <f t="shared" si="841"/>
        <v>2</v>
      </c>
      <c r="BO137" s="1639">
        <f t="shared" si="841"/>
        <v>2</v>
      </c>
      <c r="BP137" s="1639">
        <f t="shared" si="841"/>
        <v>2</v>
      </c>
      <c r="BQ137" s="1640">
        <f t="shared" ref="BQ137:CW137" si="842">+BQ138</f>
        <v>4</v>
      </c>
      <c r="BR137" s="1639">
        <f t="shared" si="842"/>
        <v>2</v>
      </c>
      <c r="BS137" s="1639">
        <f t="shared" si="842"/>
        <v>2</v>
      </c>
      <c r="BT137" s="1639">
        <f t="shared" si="842"/>
        <v>2</v>
      </c>
      <c r="BU137" s="1640">
        <f t="shared" si="842"/>
        <v>3</v>
      </c>
      <c r="BV137" s="1639">
        <f t="shared" si="842"/>
        <v>2</v>
      </c>
      <c r="BW137" s="1639">
        <f t="shared" si="842"/>
        <v>2</v>
      </c>
      <c r="BX137" s="1639">
        <f t="shared" si="842"/>
        <v>2</v>
      </c>
      <c r="BY137" s="1640">
        <f t="shared" si="842"/>
        <v>2</v>
      </c>
      <c r="BZ137" s="1639">
        <f t="shared" si="842"/>
        <v>1</v>
      </c>
      <c r="CA137" s="1639">
        <f t="shared" si="842"/>
        <v>1</v>
      </c>
      <c r="CB137" s="1639">
        <f t="shared" si="842"/>
        <v>1</v>
      </c>
      <c r="CC137" s="1640">
        <f t="shared" si="842"/>
        <v>2</v>
      </c>
      <c r="CD137" s="1639">
        <f t="shared" si="842"/>
        <v>1</v>
      </c>
      <c r="CE137" s="1639">
        <f t="shared" si="842"/>
        <v>1</v>
      </c>
      <c r="CF137" s="1639">
        <f t="shared" si="842"/>
        <v>1</v>
      </c>
      <c r="CG137" s="1640">
        <f t="shared" si="842"/>
        <v>2</v>
      </c>
      <c r="CH137" s="1639">
        <f t="shared" si="842"/>
        <v>1</v>
      </c>
      <c r="CI137" s="1639">
        <f t="shared" si="842"/>
        <v>1</v>
      </c>
      <c r="CJ137" s="1639">
        <f t="shared" si="842"/>
        <v>1</v>
      </c>
      <c r="CK137" s="1640">
        <f t="shared" si="842"/>
        <v>1</v>
      </c>
      <c r="CL137" s="1640">
        <f t="shared" si="842"/>
        <v>1</v>
      </c>
      <c r="CM137" s="1640">
        <f t="shared" si="842"/>
        <v>1</v>
      </c>
      <c r="CN137" s="1640">
        <f t="shared" si="842"/>
        <v>1</v>
      </c>
      <c r="CO137" s="1640">
        <f t="shared" si="842"/>
        <v>2</v>
      </c>
      <c r="CP137" s="1640">
        <f t="shared" si="842"/>
        <v>1</v>
      </c>
      <c r="CQ137" s="1640">
        <f t="shared" si="842"/>
        <v>1</v>
      </c>
      <c r="CR137" s="1640">
        <f t="shared" si="842"/>
        <v>1</v>
      </c>
      <c r="CS137" s="1640">
        <f t="shared" si="842"/>
        <v>2</v>
      </c>
      <c r="CT137" s="1640">
        <f t="shared" si="842"/>
        <v>1</v>
      </c>
      <c r="CU137" s="1640">
        <f t="shared" si="842"/>
        <v>1</v>
      </c>
      <c r="CV137" s="1640">
        <f t="shared" si="842"/>
        <v>1</v>
      </c>
      <c r="CW137" s="1640">
        <f t="shared" si="842"/>
        <v>1</v>
      </c>
      <c r="CX137" s="337"/>
      <c r="CY137" s="337"/>
      <c r="DA137" s="9"/>
      <c r="DB137" s="9"/>
    </row>
    <row r="138" spans="1:106" s="92" customFormat="1">
      <c r="A138" s="693" t="s">
        <v>200</v>
      </c>
      <c r="B138" s="689"/>
      <c r="C138" s="689">
        <f t="shared" ref="C138:AA138" si="843">C137</f>
        <v>2</v>
      </c>
      <c r="D138" s="689">
        <f t="shared" si="843"/>
        <v>1</v>
      </c>
      <c r="E138" s="689">
        <f t="shared" si="843"/>
        <v>1</v>
      </c>
      <c r="F138" s="689">
        <f t="shared" si="843"/>
        <v>0</v>
      </c>
      <c r="G138" s="689">
        <f t="shared" si="843"/>
        <v>-1</v>
      </c>
      <c r="H138" s="689">
        <f t="shared" si="843"/>
        <v>-23</v>
      </c>
      <c r="I138" s="689">
        <f t="shared" si="843"/>
        <v>1</v>
      </c>
      <c r="J138" s="689">
        <f t="shared" si="843"/>
        <v>0</v>
      </c>
      <c r="K138" s="689">
        <f t="shared" si="843"/>
        <v>0</v>
      </c>
      <c r="L138" s="689">
        <f t="shared" si="843"/>
        <v>4</v>
      </c>
      <c r="M138" s="689">
        <f t="shared" si="843"/>
        <v>1</v>
      </c>
      <c r="N138" s="689">
        <f t="shared" si="843"/>
        <v>1</v>
      </c>
      <c r="O138" s="689">
        <f t="shared" si="843"/>
        <v>3</v>
      </c>
      <c r="P138" s="689">
        <f t="shared" si="843"/>
        <v>2</v>
      </c>
      <c r="Q138" s="689">
        <f t="shared" si="843"/>
        <v>-1</v>
      </c>
      <c r="R138" s="689">
        <f t="shared" si="843"/>
        <v>2</v>
      </c>
      <c r="S138" s="689">
        <f t="shared" si="843"/>
        <v>2</v>
      </c>
      <c r="T138" s="689">
        <f t="shared" si="843"/>
        <v>-43</v>
      </c>
      <c r="U138" s="689">
        <f t="shared" si="843"/>
        <v>2</v>
      </c>
      <c r="V138" s="689">
        <f t="shared" si="843"/>
        <v>1</v>
      </c>
      <c r="W138" s="689">
        <f t="shared" si="843"/>
        <v>2</v>
      </c>
      <c r="X138" s="689">
        <f t="shared" si="843"/>
        <v>2</v>
      </c>
      <c r="Y138" s="689">
        <f t="shared" si="843"/>
        <v>7</v>
      </c>
      <c r="Z138" s="689">
        <f t="shared" si="843"/>
        <v>0</v>
      </c>
      <c r="AA138" s="689">
        <f t="shared" si="843"/>
        <v>0</v>
      </c>
      <c r="AB138" s="689">
        <f t="shared" ref="AB138:AM138" si="844">AB137</f>
        <v>4</v>
      </c>
      <c r="AC138" s="689">
        <f t="shared" si="844"/>
        <v>-1</v>
      </c>
      <c r="AD138" s="689">
        <f t="shared" si="844"/>
        <v>1</v>
      </c>
      <c r="AE138" s="689">
        <f t="shared" si="844"/>
        <v>-1</v>
      </c>
      <c r="AF138" s="689">
        <f t="shared" si="844"/>
        <v>1</v>
      </c>
      <c r="AG138" s="689">
        <f t="shared" si="844"/>
        <v>1</v>
      </c>
      <c r="AH138" s="689">
        <f t="shared" si="844"/>
        <v>0</v>
      </c>
      <c r="AI138" s="689">
        <f t="shared" si="844"/>
        <v>-1</v>
      </c>
      <c r="AJ138" s="689">
        <f t="shared" si="844"/>
        <v>0</v>
      </c>
      <c r="AK138" s="689">
        <f t="shared" si="844"/>
        <v>1</v>
      </c>
      <c r="AL138" s="689">
        <f t="shared" si="844"/>
        <v>0</v>
      </c>
      <c r="AM138" s="689">
        <f t="shared" si="844"/>
        <v>-2</v>
      </c>
      <c r="AN138" s="689">
        <f t="shared" ref="AN138:AS138" si="845">AN137</f>
        <v>-1</v>
      </c>
      <c r="AO138" s="689">
        <f t="shared" si="845"/>
        <v>0</v>
      </c>
      <c r="AP138" s="689">
        <f t="shared" si="845"/>
        <v>3</v>
      </c>
      <c r="AQ138" s="689">
        <f t="shared" si="845"/>
        <v>1</v>
      </c>
      <c r="AR138" s="689">
        <f t="shared" si="845"/>
        <v>0</v>
      </c>
      <c r="AS138" s="689">
        <f t="shared" si="845"/>
        <v>3</v>
      </c>
      <c r="AT138" s="689">
        <f t="shared" ref="AT138:BC138" si="846">AT137</f>
        <v>0</v>
      </c>
      <c r="AU138" s="689">
        <f t="shared" si="846"/>
        <v>0</v>
      </c>
      <c r="AV138" s="689">
        <f t="shared" si="846"/>
        <v>0</v>
      </c>
      <c r="AW138" s="689">
        <f t="shared" si="846"/>
        <v>7</v>
      </c>
      <c r="AX138" s="689">
        <f t="shared" si="846"/>
        <v>2</v>
      </c>
      <c r="AY138" s="689">
        <f t="shared" si="846"/>
        <v>3</v>
      </c>
      <c r="AZ138" s="689">
        <f t="shared" si="846"/>
        <v>1</v>
      </c>
      <c r="BA138" s="689">
        <f t="shared" si="846"/>
        <v>4</v>
      </c>
      <c r="BB138" s="689">
        <f t="shared" si="846"/>
        <v>2</v>
      </c>
      <c r="BC138" s="689">
        <f t="shared" si="846"/>
        <v>3</v>
      </c>
      <c r="BD138" s="689">
        <f t="shared" ref="BD138:BI138" si="847">BD137</f>
        <v>0</v>
      </c>
      <c r="BE138" s="689">
        <f t="shared" si="847"/>
        <v>1</v>
      </c>
      <c r="BF138" s="689">
        <f t="shared" si="847"/>
        <v>0</v>
      </c>
      <c r="BG138" s="689">
        <f t="shared" si="847"/>
        <v>1</v>
      </c>
      <c r="BH138" s="689">
        <f t="shared" si="847"/>
        <v>1</v>
      </c>
      <c r="BI138" s="689">
        <f t="shared" si="847"/>
        <v>0</v>
      </c>
      <c r="BJ138" s="689">
        <f t="shared" ref="BJ138:BK138" si="848">BJ137</f>
        <v>0</v>
      </c>
      <c r="BK138" s="1830">
        <f t="shared" si="848"/>
        <v>-1</v>
      </c>
      <c r="BL138" s="1390">
        <f>ROUND(INDEX($A$106:$AY$106,MATCH(YEAR(BL$78),$A$80:$AY$80))*20%,0)</f>
        <v>0</v>
      </c>
      <c r="BM138" s="1391">
        <f>INDEX($A$106:$AY$106,MATCH(YEAR(BM$78),$A$80:$AY$80))-SUM(BJ138:BL138)</f>
        <v>0</v>
      </c>
      <c r="BN138" s="1390">
        <f>ROUND(INDEX($A$106:$AY$106,MATCH(YEAR(BN$78),$A$80:$AY$80))*20%,0)</f>
        <v>2</v>
      </c>
      <c r="BO138" s="1390">
        <f>ROUND(INDEX($A$106:$AY$106,MATCH(YEAR(BO$78),$A$80:$AY$80))*20%,0)</f>
        <v>2</v>
      </c>
      <c r="BP138" s="1390">
        <f>ROUND(INDEX($A$106:$AY$106,MATCH(YEAR(BP$78),$A$80:$AY$80))*20%,0)</f>
        <v>2</v>
      </c>
      <c r="BQ138" s="1391">
        <f>INDEX($A$106:$AY$106,MATCH(YEAR(BQ$78),$A$80:$AY$80))-SUM(BN138:BP138)</f>
        <v>4</v>
      </c>
      <c r="BR138" s="1390">
        <f>ROUND(INDEX($A$106:$AY$106,MATCH(YEAR(BR$78),$A$80:$AY$80))*20%,0)</f>
        <v>2</v>
      </c>
      <c r="BS138" s="1390">
        <f>ROUND(INDEX($A$106:$AY$106,MATCH(YEAR(BS$78),$A$80:$AY$80))*20%,0)</f>
        <v>2</v>
      </c>
      <c r="BT138" s="1390">
        <f>ROUND(INDEX($A$106:$AY$106,MATCH(YEAR(BT$78),$A$80:$AY$80))*20%,0)</f>
        <v>2</v>
      </c>
      <c r="BU138" s="1391">
        <f>INDEX($A$106:$AY$106,MATCH(YEAR(BU$78),$A$80:$AY$80))-SUM(BR138:BT138)</f>
        <v>3</v>
      </c>
      <c r="BV138" s="1390">
        <f>ROUND(INDEX($A$106:$AY$106,MATCH(YEAR(BV$78),$A$80:$AY$80))*20%,0)</f>
        <v>2</v>
      </c>
      <c r="BW138" s="1390">
        <f>ROUND(INDEX($A$106:$AY$106,MATCH(YEAR(BW$78),$A$80:$AY$80))*20%,0)</f>
        <v>2</v>
      </c>
      <c r="BX138" s="1390">
        <f>ROUND(INDEX($A$106:$AY$106,MATCH(YEAR(BX$78),$A$80:$AY$80))*20%,0)</f>
        <v>2</v>
      </c>
      <c r="BY138" s="1391">
        <f>INDEX($A$106:$AY$106,MATCH(YEAR(BY$78),$A$80:$AY$80))-SUM(BV138:BX138)</f>
        <v>2</v>
      </c>
      <c r="BZ138" s="1390">
        <f>ROUND(INDEX($A$106:$AY$106,MATCH(YEAR(BZ$78),$A$80:$AY$80))*20%,0)</f>
        <v>1</v>
      </c>
      <c r="CA138" s="1390">
        <f>ROUND(INDEX($A$106:$AY$106,MATCH(YEAR(CA$78),$A$80:$AY$80))*20%,0)</f>
        <v>1</v>
      </c>
      <c r="CB138" s="1390">
        <f>ROUND(INDEX($A$106:$AY$106,MATCH(YEAR(CB$78),$A$80:$AY$80))*20%,0)</f>
        <v>1</v>
      </c>
      <c r="CC138" s="1391">
        <f>INDEX($A$106:$AY$106,MATCH(YEAR(CC$78),$A$80:$AY$80))-SUM(BZ138:CB138)</f>
        <v>2</v>
      </c>
      <c r="CD138" s="1390">
        <f>ROUND(INDEX($A$106:$AY$106,MATCH(YEAR(CD$78),$A$80:$AY$80))*20%,0)</f>
        <v>1</v>
      </c>
      <c r="CE138" s="1390">
        <f>ROUND(INDEX($A$106:$AY$106,MATCH(YEAR(CE$78),$A$80:$AY$80))*20%,0)</f>
        <v>1</v>
      </c>
      <c r="CF138" s="1390">
        <f>ROUND(INDEX($A$106:$AY$106,MATCH(YEAR(CF$78),$A$80:$AY$80))*20%,0)</f>
        <v>1</v>
      </c>
      <c r="CG138" s="1391">
        <f>INDEX($A$106:$AY$106,MATCH(YEAR(CG$78),$A$80:$AY$80))-SUM(CD138:CF138)</f>
        <v>2</v>
      </c>
      <c r="CH138" s="1390">
        <f>ROUND(INDEX($A$106:$BB$106,MATCH(YEAR(CH$78),$A$80:$BB$80))*20%,0)</f>
        <v>1</v>
      </c>
      <c r="CI138" s="1390">
        <f t="shared" ref="CI138:CJ138" si="849">ROUND(INDEX($A$106:$BB$106,MATCH(YEAR(CI$78),$A$80:$BB$80))*20%,0)</f>
        <v>1</v>
      </c>
      <c r="CJ138" s="1390">
        <f t="shared" si="849"/>
        <v>1</v>
      </c>
      <c r="CK138" s="1391">
        <f>INDEX($A$106:$BB$106,MATCH(YEAR(CK$78),$A$80:$BB$80))-SUM(CH138:CJ138)</f>
        <v>1</v>
      </c>
      <c r="CL138" s="1390">
        <f>ROUND(INDEX($A$106:$BB$106,MATCH(YEAR(CL$78),$A$80:$BB$80))*20%,0)</f>
        <v>1</v>
      </c>
      <c r="CM138" s="1390">
        <f t="shared" ref="CM138:CN138" si="850">ROUND(INDEX($A$106:$BB$106,MATCH(YEAR(CM$78),$A$80:$BB$80))*20%,0)</f>
        <v>1</v>
      </c>
      <c r="CN138" s="1390">
        <f t="shared" si="850"/>
        <v>1</v>
      </c>
      <c r="CO138" s="1391">
        <f>INDEX($A$106:$BB$106,MATCH(YEAR(CO$78),$A$80:$BB$80))-SUM(CL138:CN138)</f>
        <v>2</v>
      </c>
      <c r="CP138" s="1390">
        <f>ROUND(INDEX($A$106:$BB$106,MATCH(YEAR(CP$78),$A$80:$BB$80))*20%,0)</f>
        <v>1</v>
      </c>
      <c r="CQ138" s="1390">
        <f t="shared" ref="CQ138:CR138" si="851">ROUND(INDEX($A$106:$BB$106,MATCH(YEAR(CQ$78),$A$80:$BB$80))*20%,0)</f>
        <v>1</v>
      </c>
      <c r="CR138" s="1390">
        <f t="shared" si="851"/>
        <v>1</v>
      </c>
      <c r="CS138" s="1391">
        <f>INDEX($A$106:$BB$106,MATCH(YEAR(CS$78),$A$80:$BB$80))-SUM(CP138:CR138)</f>
        <v>2</v>
      </c>
      <c r="CT138" s="1390">
        <f>ROUND(INDEX($A$106:$BB$106,MATCH(YEAR(CT$78),$A$80:$BB$80))*20%,0)</f>
        <v>1</v>
      </c>
      <c r="CU138" s="1390">
        <f t="shared" ref="CU138:CV138" si="852">ROUND(INDEX($A$106:$BB$106,MATCH(YEAR(CU$78),$A$80:$BB$80))*20%,0)</f>
        <v>1</v>
      </c>
      <c r="CV138" s="1390">
        <f t="shared" si="852"/>
        <v>1</v>
      </c>
      <c r="CW138" s="1391">
        <f>INDEX($A$106:$BB$106,MATCH(YEAR(CW$78),$A$80:$BB$80))-SUM(CT138:CV138)</f>
        <v>1</v>
      </c>
      <c r="CX138" s="337"/>
      <c r="CY138" s="337"/>
    </row>
    <row r="139" spans="1:106" s="92" customFormat="1">
      <c r="A139" s="693" t="s">
        <v>202</v>
      </c>
      <c r="B139" s="689"/>
      <c r="C139" s="689">
        <f t="shared" ref="C139:AA139" si="853">C137</f>
        <v>2</v>
      </c>
      <c r="D139" s="689">
        <f t="shared" si="853"/>
        <v>1</v>
      </c>
      <c r="E139" s="689">
        <f t="shared" si="853"/>
        <v>1</v>
      </c>
      <c r="F139" s="689">
        <f t="shared" si="853"/>
        <v>0</v>
      </c>
      <c r="G139" s="689">
        <f t="shared" si="853"/>
        <v>-1</v>
      </c>
      <c r="H139" s="689">
        <f t="shared" si="853"/>
        <v>-23</v>
      </c>
      <c r="I139" s="689">
        <f t="shared" si="853"/>
        <v>1</v>
      </c>
      <c r="J139" s="689">
        <f t="shared" si="853"/>
        <v>0</v>
      </c>
      <c r="K139" s="689">
        <f t="shared" si="853"/>
        <v>0</v>
      </c>
      <c r="L139" s="689">
        <f t="shared" si="853"/>
        <v>4</v>
      </c>
      <c r="M139" s="689">
        <f t="shared" si="853"/>
        <v>1</v>
      </c>
      <c r="N139" s="689">
        <f t="shared" si="853"/>
        <v>1</v>
      </c>
      <c r="O139" s="689">
        <f t="shared" si="853"/>
        <v>3</v>
      </c>
      <c r="P139" s="689">
        <f t="shared" si="853"/>
        <v>2</v>
      </c>
      <c r="Q139" s="689">
        <f t="shared" si="853"/>
        <v>-1</v>
      </c>
      <c r="R139" s="689">
        <f t="shared" si="853"/>
        <v>2</v>
      </c>
      <c r="S139" s="689">
        <f t="shared" si="853"/>
        <v>2</v>
      </c>
      <c r="T139" s="689">
        <f t="shared" si="853"/>
        <v>-43</v>
      </c>
      <c r="U139" s="689">
        <f t="shared" si="853"/>
        <v>2</v>
      </c>
      <c r="V139" s="689">
        <f t="shared" si="853"/>
        <v>1</v>
      </c>
      <c r="W139" s="689">
        <f t="shared" si="853"/>
        <v>2</v>
      </c>
      <c r="X139" s="689">
        <f t="shared" si="853"/>
        <v>2</v>
      </c>
      <c r="Y139" s="689">
        <f t="shared" si="853"/>
        <v>7</v>
      </c>
      <c r="Z139" s="689">
        <f t="shared" si="853"/>
        <v>0</v>
      </c>
      <c r="AA139" s="689">
        <f t="shared" si="853"/>
        <v>0</v>
      </c>
      <c r="AB139" s="689">
        <f t="shared" ref="AB139:AM139" si="854">AB137</f>
        <v>4</v>
      </c>
      <c r="AC139" s="689">
        <f t="shared" si="854"/>
        <v>-1</v>
      </c>
      <c r="AD139" s="689">
        <f t="shared" si="854"/>
        <v>1</v>
      </c>
      <c r="AE139" s="689">
        <f t="shared" si="854"/>
        <v>-1</v>
      </c>
      <c r="AF139" s="689">
        <f t="shared" si="854"/>
        <v>1</v>
      </c>
      <c r="AG139" s="689">
        <f t="shared" si="854"/>
        <v>1</v>
      </c>
      <c r="AH139" s="689">
        <f t="shared" si="854"/>
        <v>0</v>
      </c>
      <c r="AI139" s="689">
        <f t="shared" si="854"/>
        <v>-1</v>
      </c>
      <c r="AJ139" s="689">
        <f t="shared" si="854"/>
        <v>0</v>
      </c>
      <c r="AK139" s="689">
        <f t="shared" si="854"/>
        <v>1</v>
      </c>
      <c r="AL139" s="689">
        <f t="shared" si="854"/>
        <v>0</v>
      </c>
      <c r="AM139" s="689">
        <f t="shared" si="854"/>
        <v>-2</v>
      </c>
      <c r="AN139" s="689">
        <f t="shared" ref="AN139:AS139" si="855">AN137</f>
        <v>-1</v>
      </c>
      <c r="AO139" s="689">
        <f t="shared" si="855"/>
        <v>0</v>
      </c>
      <c r="AP139" s="689">
        <f t="shared" si="855"/>
        <v>3</v>
      </c>
      <c r="AQ139" s="689">
        <f t="shared" si="855"/>
        <v>1</v>
      </c>
      <c r="AR139" s="689">
        <f t="shared" si="855"/>
        <v>0</v>
      </c>
      <c r="AS139" s="689">
        <f t="shared" si="855"/>
        <v>3</v>
      </c>
      <c r="AT139" s="689">
        <f t="shared" ref="AT139:BC139" si="856">AT137</f>
        <v>0</v>
      </c>
      <c r="AU139" s="689">
        <f t="shared" si="856"/>
        <v>0</v>
      </c>
      <c r="AV139" s="689">
        <f t="shared" si="856"/>
        <v>0</v>
      </c>
      <c r="AW139" s="689">
        <f t="shared" si="856"/>
        <v>7</v>
      </c>
      <c r="AX139" s="689">
        <f t="shared" si="856"/>
        <v>2</v>
      </c>
      <c r="AY139" s="689">
        <f t="shared" si="856"/>
        <v>3</v>
      </c>
      <c r="AZ139" s="689">
        <f t="shared" si="856"/>
        <v>1</v>
      </c>
      <c r="BA139" s="689">
        <f t="shared" si="856"/>
        <v>4</v>
      </c>
      <c r="BB139" s="689">
        <f t="shared" si="856"/>
        <v>2</v>
      </c>
      <c r="BC139" s="689">
        <f t="shared" si="856"/>
        <v>3</v>
      </c>
      <c r="BD139" s="689">
        <f t="shared" ref="BD139:BI139" si="857">BD137</f>
        <v>0</v>
      </c>
      <c r="BE139" s="689">
        <f t="shared" si="857"/>
        <v>1</v>
      </c>
      <c r="BF139" s="689">
        <f t="shared" si="857"/>
        <v>0</v>
      </c>
      <c r="BG139" s="689">
        <f t="shared" si="857"/>
        <v>1</v>
      </c>
      <c r="BH139" s="689">
        <f t="shared" si="857"/>
        <v>1</v>
      </c>
      <c r="BI139" s="689">
        <f t="shared" si="857"/>
        <v>0</v>
      </c>
      <c r="BJ139" s="689">
        <f t="shared" ref="BJ139:BK139" si="858">BJ137</f>
        <v>0</v>
      </c>
      <c r="BK139" s="1830">
        <f t="shared" si="858"/>
        <v>-1</v>
      </c>
      <c r="BL139" s="1639">
        <f t="shared" ref="BL139:BQ139" si="859">+ROUND(BL138*80%,0)</f>
        <v>0</v>
      </c>
      <c r="BM139" s="1640">
        <f t="shared" si="859"/>
        <v>0</v>
      </c>
      <c r="BN139" s="1639">
        <f t="shared" si="859"/>
        <v>2</v>
      </c>
      <c r="BO139" s="1639">
        <f t="shared" si="859"/>
        <v>2</v>
      </c>
      <c r="BP139" s="1639">
        <f t="shared" si="859"/>
        <v>2</v>
      </c>
      <c r="BQ139" s="1640">
        <f t="shared" si="859"/>
        <v>3</v>
      </c>
      <c r="BR139" s="1639">
        <f t="shared" ref="BR139:CK139" si="860">+ROUND(BR138*80%,0)</f>
        <v>2</v>
      </c>
      <c r="BS139" s="1639">
        <f t="shared" si="860"/>
        <v>2</v>
      </c>
      <c r="BT139" s="1639">
        <f t="shared" si="860"/>
        <v>2</v>
      </c>
      <c r="BU139" s="1640">
        <f t="shared" si="860"/>
        <v>2</v>
      </c>
      <c r="BV139" s="1639">
        <f t="shared" si="860"/>
        <v>2</v>
      </c>
      <c r="BW139" s="1639">
        <f t="shared" si="860"/>
        <v>2</v>
      </c>
      <c r="BX139" s="1639">
        <f t="shared" si="860"/>
        <v>2</v>
      </c>
      <c r="BY139" s="1640">
        <f t="shared" si="860"/>
        <v>2</v>
      </c>
      <c r="BZ139" s="1639">
        <f t="shared" si="860"/>
        <v>1</v>
      </c>
      <c r="CA139" s="1639">
        <f t="shared" si="860"/>
        <v>1</v>
      </c>
      <c r="CB139" s="1639">
        <f t="shared" si="860"/>
        <v>1</v>
      </c>
      <c r="CC139" s="1640">
        <f t="shared" si="860"/>
        <v>2</v>
      </c>
      <c r="CD139" s="1639">
        <f t="shared" si="860"/>
        <v>1</v>
      </c>
      <c r="CE139" s="1639">
        <f t="shared" si="860"/>
        <v>1</v>
      </c>
      <c r="CF139" s="1639">
        <f t="shared" si="860"/>
        <v>1</v>
      </c>
      <c r="CG139" s="1640">
        <f t="shared" si="860"/>
        <v>2</v>
      </c>
      <c r="CH139" s="1639">
        <f t="shared" si="860"/>
        <v>1</v>
      </c>
      <c r="CI139" s="1639">
        <f t="shared" si="860"/>
        <v>1</v>
      </c>
      <c r="CJ139" s="1639">
        <f t="shared" si="860"/>
        <v>1</v>
      </c>
      <c r="CK139" s="1640">
        <f t="shared" si="860"/>
        <v>1</v>
      </c>
      <c r="CL139" s="1640">
        <f t="shared" ref="CL139:CP139" si="861">+ROUND(CL138*80%,0)</f>
        <v>1</v>
      </c>
      <c r="CM139" s="1640">
        <f t="shared" si="861"/>
        <v>1</v>
      </c>
      <c r="CN139" s="1640">
        <f t="shared" si="861"/>
        <v>1</v>
      </c>
      <c r="CO139" s="1640">
        <f t="shared" si="861"/>
        <v>2</v>
      </c>
      <c r="CP139" s="1640">
        <f t="shared" si="861"/>
        <v>1</v>
      </c>
      <c r="CQ139" s="1640">
        <f t="shared" ref="CQ139:CU139" si="862">+ROUND(CQ138*80%,0)</f>
        <v>1</v>
      </c>
      <c r="CR139" s="1640">
        <f t="shared" si="862"/>
        <v>1</v>
      </c>
      <c r="CS139" s="1640">
        <f t="shared" si="862"/>
        <v>2</v>
      </c>
      <c r="CT139" s="1640">
        <f t="shared" si="862"/>
        <v>1</v>
      </c>
      <c r="CU139" s="1640">
        <f t="shared" si="862"/>
        <v>1</v>
      </c>
      <c r="CV139" s="1640">
        <f t="shared" ref="CV139:CW139" si="863">+ROUND(CV138*80%,0)</f>
        <v>1</v>
      </c>
      <c r="CW139" s="1640">
        <f t="shared" si="863"/>
        <v>1</v>
      </c>
      <c r="CX139" s="337"/>
      <c r="CY139" s="337"/>
    </row>
    <row r="140" spans="1:106">
      <c r="A140" s="91"/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  <c r="N140" s="269"/>
      <c r="O140" s="269"/>
      <c r="P140" s="269"/>
      <c r="Q140" s="269"/>
      <c r="R140" s="269"/>
      <c r="S140" s="390"/>
      <c r="T140" s="390"/>
      <c r="U140" s="390"/>
      <c r="V140" s="390"/>
      <c r="W140" s="390"/>
      <c r="X140" s="390"/>
      <c r="Y140" s="390"/>
      <c r="Z140" s="390"/>
      <c r="AA140" s="390"/>
      <c r="AB140" s="390"/>
      <c r="AC140" s="390"/>
      <c r="AD140" s="390"/>
      <c r="AE140" s="390"/>
      <c r="AF140" s="390"/>
      <c r="AG140" s="390"/>
      <c r="AH140" s="390"/>
      <c r="AI140" s="390"/>
      <c r="AJ140" s="390"/>
      <c r="AK140" s="390"/>
      <c r="AL140" s="390"/>
      <c r="AM140" s="269"/>
      <c r="AN140" s="269"/>
      <c r="AO140" s="269"/>
      <c r="AP140" s="339"/>
      <c r="AQ140" s="339"/>
      <c r="AR140" s="339"/>
      <c r="AS140" s="339"/>
      <c r="AT140" s="339"/>
      <c r="AU140" s="339"/>
      <c r="AV140" s="339"/>
      <c r="AW140" s="339"/>
      <c r="AX140" s="339"/>
      <c r="AY140" s="339"/>
      <c r="AZ140" s="339"/>
      <c r="BA140" s="339"/>
      <c r="BB140" s="339"/>
      <c r="BC140" s="339"/>
      <c r="BD140" s="339"/>
      <c r="BE140" s="339"/>
      <c r="BF140" s="339"/>
      <c r="BG140" s="339"/>
      <c r="BH140" s="339"/>
      <c r="BI140" s="339"/>
      <c r="BJ140" s="339"/>
      <c r="BK140" s="339"/>
      <c r="BL140" s="339"/>
      <c r="BM140" s="339"/>
      <c r="BN140" s="339"/>
      <c r="BO140" s="339"/>
      <c r="BP140" s="339"/>
      <c r="BQ140" s="339"/>
      <c r="BR140" s="339"/>
      <c r="BS140" s="339"/>
      <c r="BT140" s="339"/>
      <c r="BU140" s="339"/>
      <c r="BV140" s="339"/>
      <c r="BW140" s="339"/>
      <c r="BX140" s="339"/>
      <c r="BY140" s="339"/>
      <c r="BZ140" s="339"/>
      <c r="CA140" s="339"/>
      <c r="CB140" s="339"/>
      <c r="CC140" s="339"/>
      <c r="CD140" s="339"/>
      <c r="CE140" s="339"/>
      <c r="CF140" s="339"/>
      <c r="CG140" s="339"/>
      <c r="CH140" s="339"/>
      <c r="CI140" s="339"/>
      <c r="CJ140" s="339"/>
      <c r="CK140" s="339"/>
      <c r="CL140" s="339"/>
      <c r="CM140" s="339"/>
      <c r="CN140" s="339"/>
      <c r="CO140" s="339"/>
      <c r="CP140" s="339"/>
      <c r="CQ140" s="339"/>
      <c r="CR140" s="339"/>
      <c r="CS140" s="339"/>
      <c r="CT140" s="339"/>
      <c r="CU140" s="339"/>
      <c r="CV140" s="339"/>
      <c r="CW140" s="339"/>
      <c r="CX140" s="269"/>
      <c r="CY140" s="269"/>
    </row>
    <row r="141" spans="1:106">
      <c r="A141" s="472" t="s">
        <v>766</v>
      </c>
      <c r="B141" s="601">
        <f t="shared" ref="B141:AG141" si="864">B$8</f>
        <v>39903</v>
      </c>
      <c r="C141" s="601">
        <f t="shared" si="864"/>
        <v>39994</v>
      </c>
      <c r="D141" s="601">
        <f t="shared" si="864"/>
        <v>40086</v>
      </c>
      <c r="E141" s="601">
        <f t="shared" si="864"/>
        <v>40178</v>
      </c>
      <c r="F141" s="601">
        <f t="shared" si="864"/>
        <v>40268</v>
      </c>
      <c r="G141" s="601">
        <f t="shared" si="864"/>
        <v>40359</v>
      </c>
      <c r="H141" s="601">
        <f t="shared" si="864"/>
        <v>40451</v>
      </c>
      <c r="I141" s="601">
        <f t="shared" si="864"/>
        <v>40543</v>
      </c>
      <c r="J141" s="601">
        <f t="shared" si="864"/>
        <v>40633</v>
      </c>
      <c r="K141" s="601">
        <f t="shared" si="864"/>
        <v>40724</v>
      </c>
      <c r="L141" s="601">
        <f t="shared" si="864"/>
        <v>40816</v>
      </c>
      <c r="M141" s="601">
        <f t="shared" si="864"/>
        <v>40908</v>
      </c>
      <c r="N141" s="601">
        <f t="shared" si="864"/>
        <v>40999</v>
      </c>
      <c r="O141" s="601">
        <f t="shared" si="864"/>
        <v>41090</v>
      </c>
      <c r="P141" s="601">
        <f t="shared" si="864"/>
        <v>41182</v>
      </c>
      <c r="Q141" s="601">
        <f t="shared" si="864"/>
        <v>41274</v>
      </c>
      <c r="R141" s="601">
        <f t="shared" si="864"/>
        <v>41364</v>
      </c>
      <c r="S141" s="601">
        <f t="shared" si="864"/>
        <v>41455</v>
      </c>
      <c r="T141" s="601">
        <f t="shared" si="864"/>
        <v>41547</v>
      </c>
      <c r="U141" s="601">
        <f t="shared" si="864"/>
        <v>41639</v>
      </c>
      <c r="V141" s="601">
        <f t="shared" si="864"/>
        <v>41729</v>
      </c>
      <c r="W141" s="601">
        <f t="shared" si="864"/>
        <v>41820</v>
      </c>
      <c r="X141" s="601">
        <f t="shared" si="864"/>
        <v>41912</v>
      </c>
      <c r="Y141" s="601">
        <f t="shared" si="864"/>
        <v>42004</v>
      </c>
      <c r="Z141" s="601">
        <f t="shared" si="864"/>
        <v>42094</v>
      </c>
      <c r="AA141" s="601">
        <f t="shared" si="864"/>
        <v>42185</v>
      </c>
      <c r="AB141" s="601">
        <f t="shared" si="864"/>
        <v>42277</v>
      </c>
      <c r="AC141" s="601">
        <f t="shared" si="864"/>
        <v>42369</v>
      </c>
      <c r="AD141" s="601">
        <f t="shared" si="864"/>
        <v>42460</v>
      </c>
      <c r="AE141" s="601">
        <f t="shared" si="864"/>
        <v>42551</v>
      </c>
      <c r="AF141" s="601">
        <f t="shared" si="864"/>
        <v>42643</v>
      </c>
      <c r="AG141" s="601">
        <f t="shared" si="864"/>
        <v>42735</v>
      </c>
      <c r="AH141" s="601">
        <f t="shared" ref="AH141:CW141" si="865">AH$8</f>
        <v>42825</v>
      </c>
      <c r="AI141" s="601">
        <f t="shared" si="865"/>
        <v>42916</v>
      </c>
      <c r="AJ141" s="601">
        <f t="shared" si="865"/>
        <v>43008</v>
      </c>
      <c r="AK141" s="601">
        <f t="shared" si="865"/>
        <v>43100</v>
      </c>
      <c r="AL141" s="601">
        <f t="shared" si="865"/>
        <v>43190</v>
      </c>
      <c r="AM141" s="601">
        <f t="shared" si="865"/>
        <v>43281</v>
      </c>
      <c r="AN141" s="601">
        <f t="shared" si="865"/>
        <v>43373</v>
      </c>
      <c r="AO141" s="601">
        <f t="shared" si="865"/>
        <v>43465</v>
      </c>
      <c r="AP141" s="601">
        <f t="shared" si="865"/>
        <v>43555</v>
      </c>
      <c r="AQ141" s="601">
        <f t="shared" si="865"/>
        <v>43646</v>
      </c>
      <c r="AR141" s="601">
        <f t="shared" si="865"/>
        <v>43738</v>
      </c>
      <c r="AS141" s="601">
        <f t="shared" si="865"/>
        <v>43830</v>
      </c>
      <c r="AT141" s="601">
        <f t="shared" si="865"/>
        <v>43921</v>
      </c>
      <c r="AU141" s="601">
        <f t="shared" si="865"/>
        <v>44012</v>
      </c>
      <c r="AV141" s="601">
        <f t="shared" si="865"/>
        <v>44104</v>
      </c>
      <c r="AW141" s="601">
        <f t="shared" si="865"/>
        <v>44196</v>
      </c>
      <c r="AX141" s="601">
        <f t="shared" si="865"/>
        <v>44286</v>
      </c>
      <c r="AY141" s="601">
        <f t="shared" si="865"/>
        <v>44377</v>
      </c>
      <c r="AZ141" s="601">
        <f t="shared" si="865"/>
        <v>44469</v>
      </c>
      <c r="BA141" s="601">
        <f t="shared" si="865"/>
        <v>44561</v>
      </c>
      <c r="BB141" s="601">
        <f t="shared" si="865"/>
        <v>44651</v>
      </c>
      <c r="BC141" s="601">
        <f t="shared" si="865"/>
        <v>44742</v>
      </c>
      <c r="BD141" s="601">
        <f t="shared" si="865"/>
        <v>44834</v>
      </c>
      <c r="BE141" s="601">
        <f t="shared" si="865"/>
        <v>44926</v>
      </c>
      <c r="BF141" s="601">
        <f t="shared" si="865"/>
        <v>45016</v>
      </c>
      <c r="BG141" s="601">
        <f t="shared" si="865"/>
        <v>45107</v>
      </c>
      <c r="BH141" s="601">
        <f t="shared" si="865"/>
        <v>45199</v>
      </c>
      <c r="BI141" s="601">
        <f t="shared" si="865"/>
        <v>45291</v>
      </c>
      <c r="BJ141" s="601">
        <f t="shared" si="865"/>
        <v>45382</v>
      </c>
      <c r="BK141" s="1172">
        <f t="shared" si="865"/>
        <v>45473</v>
      </c>
      <c r="BL141" s="600">
        <f t="shared" si="865"/>
        <v>45565</v>
      </c>
      <c r="BM141" s="600">
        <f t="shared" si="865"/>
        <v>45657</v>
      </c>
      <c r="BN141" s="600">
        <f t="shared" si="865"/>
        <v>45747</v>
      </c>
      <c r="BO141" s="600">
        <f t="shared" si="865"/>
        <v>45838</v>
      </c>
      <c r="BP141" s="600">
        <f t="shared" si="865"/>
        <v>45930</v>
      </c>
      <c r="BQ141" s="600">
        <f t="shared" si="865"/>
        <v>46022</v>
      </c>
      <c r="BR141" s="600">
        <f t="shared" si="865"/>
        <v>46112</v>
      </c>
      <c r="BS141" s="600">
        <f t="shared" si="865"/>
        <v>46203</v>
      </c>
      <c r="BT141" s="600">
        <f t="shared" si="865"/>
        <v>46295</v>
      </c>
      <c r="BU141" s="600">
        <f t="shared" si="865"/>
        <v>46387</v>
      </c>
      <c r="BV141" s="600">
        <f t="shared" si="865"/>
        <v>46477</v>
      </c>
      <c r="BW141" s="600">
        <f t="shared" si="865"/>
        <v>46568</v>
      </c>
      <c r="BX141" s="600">
        <f t="shared" si="865"/>
        <v>46660</v>
      </c>
      <c r="BY141" s="600">
        <f t="shared" si="865"/>
        <v>46752</v>
      </c>
      <c r="BZ141" s="600">
        <f t="shared" si="865"/>
        <v>46843</v>
      </c>
      <c r="CA141" s="600">
        <f t="shared" si="865"/>
        <v>46934</v>
      </c>
      <c r="CB141" s="600">
        <f t="shared" si="865"/>
        <v>47026</v>
      </c>
      <c r="CC141" s="600">
        <f t="shared" si="865"/>
        <v>47118</v>
      </c>
      <c r="CD141" s="600">
        <f t="shared" si="865"/>
        <v>47208</v>
      </c>
      <c r="CE141" s="600">
        <f t="shared" si="865"/>
        <v>47299</v>
      </c>
      <c r="CF141" s="600">
        <f t="shared" si="865"/>
        <v>47391</v>
      </c>
      <c r="CG141" s="600">
        <f t="shared" si="865"/>
        <v>47483</v>
      </c>
      <c r="CH141" s="600">
        <f t="shared" si="865"/>
        <v>47573</v>
      </c>
      <c r="CI141" s="600">
        <f t="shared" si="865"/>
        <v>47664</v>
      </c>
      <c r="CJ141" s="600">
        <f t="shared" si="865"/>
        <v>47756</v>
      </c>
      <c r="CK141" s="600">
        <f t="shared" si="865"/>
        <v>47848</v>
      </c>
      <c r="CL141" s="600">
        <f t="shared" si="865"/>
        <v>47938</v>
      </c>
      <c r="CM141" s="600">
        <f t="shared" si="865"/>
        <v>48029</v>
      </c>
      <c r="CN141" s="600">
        <f t="shared" si="865"/>
        <v>48121</v>
      </c>
      <c r="CO141" s="600">
        <f t="shared" si="865"/>
        <v>48213</v>
      </c>
      <c r="CP141" s="600">
        <f t="shared" si="865"/>
        <v>48304</v>
      </c>
      <c r="CQ141" s="600">
        <f t="shared" si="865"/>
        <v>48395</v>
      </c>
      <c r="CR141" s="600">
        <f t="shared" si="865"/>
        <v>48487</v>
      </c>
      <c r="CS141" s="600">
        <f t="shared" si="865"/>
        <v>48579</v>
      </c>
      <c r="CT141" s="600">
        <f t="shared" si="865"/>
        <v>48669</v>
      </c>
      <c r="CU141" s="600">
        <f t="shared" si="865"/>
        <v>48760</v>
      </c>
      <c r="CV141" s="600">
        <f t="shared" si="865"/>
        <v>48852</v>
      </c>
      <c r="CW141" s="600">
        <f t="shared" si="865"/>
        <v>48944</v>
      </c>
      <c r="CX141" s="269"/>
      <c r="CY141" s="572" t="s">
        <v>1488</v>
      </c>
      <c r="CZ141" s="572" t="s">
        <v>1489</v>
      </c>
    </row>
    <row r="142" spans="1:106">
      <c r="A142" s="43" t="s">
        <v>731</v>
      </c>
      <c r="B142" s="388"/>
      <c r="C142" s="388"/>
      <c r="D142" s="388"/>
      <c r="E142" s="38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152"/>
      <c r="AK142" s="152"/>
      <c r="AL142" s="152"/>
      <c r="AM142" s="152"/>
      <c r="AN142" s="152"/>
      <c r="AO142" s="152"/>
      <c r="AP142" s="45"/>
      <c r="AQ142" s="45"/>
      <c r="AR142" s="45"/>
      <c r="AS142" s="45"/>
      <c r="AT142" s="45"/>
      <c r="AU142" s="45"/>
      <c r="AV142" s="45"/>
      <c r="AW142" s="45"/>
      <c r="AX142" s="45"/>
      <c r="AY142" s="295"/>
      <c r="AZ142" s="295"/>
      <c r="BA142" s="45"/>
      <c r="BB142" s="45"/>
      <c r="BC142" s="45"/>
      <c r="BD142" s="45"/>
      <c r="BE142" s="45"/>
      <c r="BF142" s="45"/>
      <c r="BG142" s="45"/>
      <c r="BH142" s="45"/>
      <c r="BI142" s="45"/>
      <c r="BJ142" s="45"/>
      <c r="BK142" s="1828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45"/>
      <c r="BZ142" s="45"/>
      <c r="CA142" s="45"/>
      <c r="CB142" s="45"/>
      <c r="CC142" s="45"/>
      <c r="CD142" s="45"/>
      <c r="CE142" s="45"/>
      <c r="CF142" s="45"/>
      <c r="CG142" s="45"/>
      <c r="CH142" s="45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269"/>
      <c r="CY142" s="269"/>
    </row>
    <row r="143" spans="1:106" s="1043" customFormat="1">
      <c r="A143" s="1888" t="s">
        <v>1479</v>
      </c>
      <c r="B143" s="1889"/>
      <c r="C143" s="1889"/>
      <c r="D143" s="1889"/>
      <c r="E143" s="1889"/>
      <c r="F143" s="1889"/>
      <c r="G143" s="1889"/>
      <c r="H143" s="1889"/>
      <c r="I143" s="1889"/>
      <c r="J143" s="1889"/>
      <c r="K143" s="1889"/>
      <c r="L143" s="1889"/>
      <c r="M143" s="1889"/>
      <c r="N143" s="1889"/>
      <c r="O143" s="1889"/>
      <c r="P143" s="1889"/>
      <c r="Q143" s="1889"/>
      <c r="R143" s="1889"/>
      <c r="S143" s="1889"/>
      <c r="T143" s="1889"/>
      <c r="U143" s="1889"/>
      <c r="V143" s="1889"/>
      <c r="W143" s="1889"/>
      <c r="X143" s="1889"/>
      <c r="Y143" s="1889"/>
      <c r="Z143" s="1889"/>
      <c r="AA143" s="1889"/>
      <c r="AB143" s="1889"/>
      <c r="AC143" s="1889"/>
      <c r="AD143" s="1889"/>
      <c r="AE143" s="1889"/>
      <c r="AF143" s="1889"/>
      <c r="AG143" s="1889"/>
      <c r="AH143" s="1889"/>
      <c r="AI143" s="1889"/>
      <c r="AJ143" s="1889"/>
      <c r="AK143" s="1889"/>
      <c r="AL143" s="1890">
        <f>Q_IS!AL38</f>
        <v>5997</v>
      </c>
      <c r="AM143" s="1890">
        <f>Q_IS!AM38</f>
        <v>6243</v>
      </c>
      <c r="AN143" s="1890">
        <f>Q_IS!AN38</f>
        <v>6290</v>
      </c>
      <c r="AO143" s="1890">
        <f>Q_IS!AO38</f>
        <v>6932</v>
      </c>
      <c r="AP143" s="1890">
        <f>Q_IS!AP38</f>
        <v>6387</v>
      </c>
      <c r="AQ143" s="1890">
        <f>Q_IS!AQ38</f>
        <v>6899</v>
      </c>
      <c r="AR143" s="1890">
        <f>Q_IS!AR38</f>
        <v>6680</v>
      </c>
      <c r="AS143" s="1890">
        <f>Q_IS!AS38</f>
        <v>7251</v>
      </c>
      <c r="AT143" s="1890">
        <f>Q_IS!AT38</f>
        <v>6210</v>
      </c>
      <c r="AU143" s="1890">
        <f>Q_IS!AU38</f>
        <v>2768</v>
      </c>
      <c r="AV143" s="1890">
        <f>Q_IS!AV38</f>
        <v>4569</v>
      </c>
      <c r="AW143" s="1890">
        <f>Q_IS!AW38</f>
        <v>5520</v>
      </c>
      <c r="AX143" s="1890">
        <f>Q_IS!AX38</f>
        <v>4975</v>
      </c>
      <c r="AY143" s="1890">
        <f>Q_IS!AY38</f>
        <v>6465</v>
      </c>
      <c r="AZ143" s="1890">
        <f>Q_IS!AZ38</f>
        <v>6705</v>
      </c>
      <c r="BA143" s="1890">
        <f>Q_IS!BA38</f>
        <v>7870</v>
      </c>
      <c r="BB143" s="1890">
        <f>Q_IS!BB38</f>
        <v>7335</v>
      </c>
      <c r="BC143" s="1890">
        <f>Q_IS!BC38</f>
        <v>8357</v>
      </c>
      <c r="BD143" s="1890">
        <f>Q_IS!BD38</f>
        <v>8403</v>
      </c>
      <c r="BE143" s="1890">
        <f>Q_IS!BE38</f>
        <v>9373</v>
      </c>
      <c r="BF143" s="1890">
        <f>Q_IS!BF38</f>
        <v>8953</v>
      </c>
      <c r="BG143" s="1890">
        <f>Q_IS!BG38</f>
        <v>9831</v>
      </c>
      <c r="BH143" s="1890">
        <f>Q_IS!BH38</f>
        <v>9900</v>
      </c>
      <c r="BI143" s="1890">
        <f>Q_IS!BI38</f>
        <v>10674</v>
      </c>
      <c r="BJ143" s="1890">
        <f>Q_IS!BJ38</f>
        <v>10122</v>
      </c>
      <c r="BK143" s="1891">
        <f>Q_IS!BK38</f>
        <v>10694</v>
      </c>
      <c r="BL143" s="1892">
        <f>Q_IS!BL38</f>
        <v>10752.462458866608</v>
      </c>
      <c r="BM143" s="1892">
        <f>Q_IS!BM38</f>
        <v>11493.143931378603</v>
      </c>
      <c r="BN143" s="1892">
        <f>Q_IS!BN38</f>
        <v>10752.801241084824</v>
      </c>
      <c r="BO143" s="1892">
        <f>Q_IS!BO38</f>
        <v>11328.891114812559</v>
      </c>
      <c r="BP143" s="1892">
        <f>Q_IS!BP38</f>
        <v>11340.4411031537</v>
      </c>
      <c r="BQ143" s="1892">
        <f>Q_IS!BQ38</f>
        <v>12177.233378713507</v>
      </c>
      <c r="BR143" s="1892">
        <f>Q_IS!BR38</f>
        <v>11420.854333278157</v>
      </c>
      <c r="BS143" s="1892">
        <f>Q_IS!BS38</f>
        <v>12018.226620607606</v>
      </c>
      <c r="BT143" s="1892">
        <f>Q_IS!BT38</f>
        <v>12025.193325339651</v>
      </c>
      <c r="BU143" s="1892">
        <f>Q_IS!BU38</f>
        <v>12900.699192856386</v>
      </c>
      <c r="BV143" s="1893"/>
      <c r="BW143" s="1893"/>
      <c r="BX143" s="1893"/>
      <c r="BY143" s="1893"/>
      <c r="BZ143" s="1893"/>
      <c r="CA143" s="1893"/>
      <c r="CB143" s="1893"/>
      <c r="CC143" s="1893"/>
      <c r="CD143" s="1893"/>
      <c r="CE143" s="1893"/>
      <c r="CF143" s="1893"/>
      <c r="CG143" s="1893"/>
      <c r="CH143" s="1893"/>
      <c r="CI143" s="1893"/>
      <c r="CJ143" s="1893"/>
      <c r="CK143" s="1893"/>
      <c r="CL143" s="1893"/>
      <c r="CM143" s="1893"/>
      <c r="CN143" s="1893"/>
      <c r="CO143" s="1893"/>
      <c r="CP143" s="1893"/>
      <c r="CQ143" s="1893"/>
      <c r="CR143" s="1893"/>
      <c r="CS143" s="1893"/>
      <c r="CT143" s="1893"/>
      <c r="CU143" s="1893"/>
      <c r="CV143" s="1893"/>
      <c r="CW143" s="1893"/>
      <c r="CX143" s="1894"/>
      <c r="CY143" s="1894"/>
      <c r="CZ143" s="1894"/>
    </row>
    <row r="144" spans="1:106" s="1043" customFormat="1">
      <c r="A144" s="1895" t="s">
        <v>1480</v>
      </c>
      <c r="B144" s="1896"/>
      <c r="C144" s="1896"/>
      <c r="D144" s="1896"/>
      <c r="E144" s="1896"/>
      <c r="F144" s="1896"/>
      <c r="G144" s="1896"/>
      <c r="H144" s="1896"/>
      <c r="I144" s="1896"/>
      <c r="J144" s="1896"/>
      <c r="K144" s="1896"/>
      <c r="L144" s="1896"/>
      <c r="M144" s="1896"/>
      <c r="N144" s="1896"/>
      <c r="O144" s="1896"/>
      <c r="P144" s="1896"/>
      <c r="Q144" s="1896"/>
      <c r="R144" s="1896"/>
      <c r="S144" s="1896"/>
      <c r="T144" s="1896"/>
      <c r="U144" s="1896">
        <f>Q_IS!U197</f>
        <v>-0.17322969435790969</v>
      </c>
      <c r="V144" s="1896">
        <f>Q_IS!V197</f>
        <v>-0.23778762072034931</v>
      </c>
      <c r="W144" s="1896">
        <f>Q_IS!W197</f>
        <v>-0.27777888300691123</v>
      </c>
      <c r="X144" s="1896">
        <f>Q_IS!X197</f>
        <v>-0.26791300195381629</v>
      </c>
      <c r="Y144" s="1896">
        <f>Q_IS!Y197</f>
        <v>-0.16450700748174185</v>
      </c>
      <c r="Z144" s="1896">
        <f>Q_IS!Z197</f>
        <v>-2.9136695164037274E-2</v>
      </c>
      <c r="AA144" s="1896">
        <f>Q_IS!AA197</f>
        <v>3.4528665204883957E-2</v>
      </c>
      <c r="AB144" s="1896">
        <f>Q_IS!AB197</f>
        <v>6.9393366014604552E-2</v>
      </c>
      <c r="AC144" s="1896">
        <f>Q_IS!AC197</f>
        <v>-1.8821863472783917E-2</v>
      </c>
      <c r="AD144" s="1896">
        <f>Q_IS!AD197</f>
        <v>-0.14108860084790131</v>
      </c>
      <c r="AE144" s="1896">
        <f>Q_IS!AE197</f>
        <v>-9.2601442645061427E-2</v>
      </c>
      <c r="AF144" s="1896">
        <f>Q_IS!AF197</f>
        <v>-4.1568058102419814E-2</v>
      </c>
      <c r="AG144" s="1896">
        <f>Q_IS!AG197</f>
        <v>6.8800569070032624E-2</v>
      </c>
      <c r="AH144" s="1896">
        <f>Q_IS!AH197</f>
        <v>0.11724361748816592</v>
      </c>
      <c r="AI144" s="1896">
        <f>Q_IS!AI197</f>
        <v>-1.8735816235915692E-2</v>
      </c>
      <c r="AJ144" s="1896">
        <f>Q_IS!AJ197</f>
        <v>-0.12168771350749452</v>
      </c>
      <c r="AK144" s="1896">
        <f>Q_IS!AK197</f>
        <v>-0.11302639691804961</v>
      </c>
      <c r="AL144" s="1896"/>
      <c r="AM144" s="1896"/>
      <c r="AN144" s="1896"/>
      <c r="AO144" s="1896"/>
      <c r="AP144" s="1896">
        <f>AP143/AL143-1</f>
        <v>6.5032516258129114E-2</v>
      </c>
      <c r="AQ144" s="1896">
        <f t="shared" ref="AQ144:BQ144" si="866">AQ143/AM143-1</f>
        <v>0.10507768700945053</v>
      </c>
      <c r="AR144" s="1896">
        <f t="shared" si="866"/>
        <v>6.2003179650238494E-2</v>
      </c>
      <c r="AS144" s="1896">
        <f t="shared" si="866"/>
        <v>4.6018465089440186E-2</v>
      </c>
      <c r="AT144" s="1896">
        <f t="shared" si="866"/>
        <v>-2.771254109910759E-2</v>
      </c>
      <c r="AU144" s="1896">
        <f t="shared" si="866"/>
        <v>-0.59878243223655603</v>
      </c>
      <c r="AV144" s="1896">
        <f t="shared" si="866"/>
        <v>-0.31601796407185634</v>
      </c>
      <c r="AW144" s="1896">
        <f t="shared" si="866"/>
        <v>-0.23872569300786095</v>
      </c>
      <c r="AX144" s="1896">
        <f t="shared" si="866"/>
        <v>-0.19887278582930756</v>
      </c>
      <c r="AY144" s="1896">
        <f t="shared" si="866"/>
        <v>1.3356213872832372</v>
      </c>
      <c r="AZ144" s="1896">
        <f t="shared" si="866"/>
        <v>0.46749835850295463</v>
      </c>
      <c r="BA144" s="1896">
        <f t="shared" si="866"/>
        <v>0.42572463768115942</v>
      </c>
      <c r="BB144" s="1896">
        <f t="shared" si="866"/>
        <v>0.47437185929648251</v>
      </c>
      <c r="BC144" s="1896">
        <f t="shared" si="866"/>
        <v>0.29265274555297749</v>
      </c>
      <c r="BD144" s="1896">
        <f t="shared" si="866"/>
        <v>0.25324384787472032</v>
      </c>
      <c r="BE144" s="1896">
        <f t="shared" si="866"/>
        <v>0.19097839898348168</v>
      </c>
      <c r="BF144" s="1896">
        <f t="shared" si="866"/>
        <v>0.22058623040218128</v>
      </c>
      <c r="BG144" s="1896">
        <f t="shared" si="866"/>
        <v>0.17637908340313513</v>
      </c>
      <c r="BH144" s="1896">
        <f t="shared" si="866"/>
        <v>0.17815066047840067</v>
      </c>
      <c r="BI144" s="1896">
        <f t="shared" si="866"/>
        <v>0.13880294462818732</v>
      </c>
      <c r="BJ144" s="1896">
        <f t="shared" si="866"/>
        <v>0.13057075840500398</v>
      </c>
      <c r="BK144" s="1897">
        <f t="shared" ref="BK144" si="867">BK143/BG143-1</f>
        <v>8.7783541857389791E-2</v>
      </c>
      <c r="BL144" s="1898">
        <f t="shared" si="866"/>
        <v>8.6107319077435296E-2</v>
      </c>
      <c r="BM144" s="1898">
        <f t="shared" si="866"/>
        <v>7.674198345312E-2</v>
      </c>
      <c r="BN144" s="1898">
        <f t="shared" si="866"/>
        <v>6.2319822276706516E-2</v>
      </c>
      <c r="BO144" s="1898">
        <f t="shared" si="866"/>
        <v>5.9368909183893592E-2</v>
      </c>
      <c r="BP144" s="1898">
        <f t="shared" si="866"/>
        <v>5.468316179074284E-2</v>
      </c>
      <c r="BQ144" s="1898">
        <f t="shared" si="866"/>
        <v>5.9521524433989059E-2</v>
      </c>
      <c r="BR144" s="1898">
        <f t="shared" ref="BR144" si="868">BR143/BN143-1</f>
        <v>6.2128284268921918E-2</v>
      </c>
      <c r="BS144" s="1898">
        <f t="shared" ref="BS144" si="869">BS143/BO143-1</f>
        <v>6.0847570941319873E-2</v>
      </c>
      <c r="BT144" s="1898">
        <f t="shared" ref="BT144" si="870">BT143/BP143-1</f>
        <v>6.0381445126991284E-2</v>
      </c>
      <c r="BU144" s="1898">
        <f t="shared" ref="BU144" si="871">BU143/BQ143-1</f>
        <v>5.9411345060326859E-2</v>
      </c>
      <c r="BV144" s="1893">
        <f t="shared" ref="BV144:CK144" si="872">CHOOSE(MASTERSWITCH,BV145,BV146,BV147)</f>
        <v>5.156226263975891E-2</v>
      </c>
      <c r="BW144" s="1893">
        <f t="shared" si="872"/>
        <v>5.156226263975891E-2</v>
      </c>
      <c r="BX144" s="1893">
        <f t="shared" si="872"/>
        <v>5.156226263975891E-2</v>
      </c>
      <c r="BY144" s="1893">
        <f t="shared" si="872"/>
        <v>5.156226263975891E-2</v>
      </c>
      <c r="BZ144" s="1893">
        <f t="shared" si="872"/>
        <v>3.8362262639758907E-2</v>
      </c>
      <c r="CA144" s="1893">
        <f t="shared" si="872"/>
        <v>3.8362262639758907E-2</v>
      </c>
      <c r="CB144" s="1893">
        <f t="shared" si="872"/>
        <v>3.8362262639758907E-2</v>
      </c>
      <c r="CC144" s="1893">
        <f t="shared" si="872"/>
        <v>3.8362262639758907E-2</v>
      </c>
      <c r="CD144" s="1893">
        <f t="shared" si="872"/>
        <v>3.8362262639758907E-2</v>
      </c>
      <c r="CE144" s="1893">
        <f t="shared" si="872"/>
        <v>3.8362262639758907E-2</v>
      </c>
      <c r="CF144" s="1893">
        <f t="shared" si="872"/>
        <v>3.8362262639758907E-2</v>
      </c>
      <c r="CG144" s="1893">
        <f t="shared" si="872"/>
        <v>3.8362262639758907E-2</v>
      </c>
      <c r="CH144" s="1893">
        <f t="shared" si="872"/>
        <v>3.8362262639758907E-2</v>
      </c>
      <c r="CI144" s="1893">
        <f t="shared" si="872"/>
        <v>3.8362262639758907E-2</v>
      </c>
      <c r="CJ144" s="1893">
        <f t="shared" si="872"/>
        <v>3.8362262639758907E-2</v>
      </c>
      <c r="CK144" s="1893">
        <f t="shared" si="872"/>
        <v>3.8362262639758907E-2</v>
      </c>
      <c r="CL144" s="1893">
        <f t="shared" ref="CL144:CP144" si="873">CHOOSE(MASTERSWITCH,CL145,CL146,CL147)</f>
        <v>3.8362262639758907E-2</v>
      </c>
      <c r="CM144" s="1893">
        <f t="shared" si="873"/>
        <v>3.8362262639758907E-2</v>
      </c>
      <c r="CN144" s="1893">
        <f t="shared" si="873"/>
        <v>3.8362262639758907E-2</v>
      </c>
      <c r="CO144" s="1893">
        <f t="shared" si="873"/>
        <v>3.8362262639758907E-2</v>
      </c>
      <c r="CP144" s="1893">
        <f t="shared" si="873"/>
        <v>3.8362262639758907E-2</v>
      </c>
      <c r="CQ144" s="1893">
        <f t="shared" ref="CQ144:CU144" si="874">CHOOSE(MASTERSWITCH,CQ145,CQ146,CQ147)</f>
        <v>3.8362262639758907E-2</v>
      </c>
      <c r="CR144" s="1893">
        <f t="shared" si="874"/>
        <v>3.8362262639758907E-2</v>
      </c>
      <c r="CS144" s="1893">
        <f t="shared" si="874"/>
        <v>3.8362262639758907E-2</v>
      </c>
      <c r="CT144" s="1893">
        <f t="shared" si="874"/>
        <v>3.8362262639758907E-2</v>
      </c>
      <c r="CU144" s="1893">
        <f t="shared" si="874"/>
        <v>3.8362262639758907E-2</v>
      </c>
      <c r="CV144" s="1893">
        <f t="shared" ref="CV144:CW144" si="875">CHOOSE(MASTERSWITCH,CV145,CV146,CV147)</f>
        <v>3.8362262639758907E-2</v>
      </c>
      <c r="CW144" s="1893">
        <f t="shared" si="875"/>
        <v>3.8362262639758907E-2</v>
      </c>
      <c r="CX144" s="1894"/>
      <c r="CY144" s="1894"/>
      <c r="CZ144" s="1894"/>
    </row>
    <row r="145" spans="1:105">
      <c r="A145" s="691" t="s">
        <v>769</v>
      </c>
      <c r="B145" s="388"/>
      <c r="C145" s="388"/>
      <c r="D145" s="388"/>
      <c r="E145" s="38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45"/>
      <c r="AU145" s="45"/>
      <c r="AV145" s="45"/>
      <c r="AW145" s="45"/>
      <c r="AX145" s="45"/>
      <c r="AY145" s="395"/>
      <c r="AZ145" s="395"/>
      <c r="BA145" s="395"/>
      <c r="BB145" s="395"/>
      <c r="BC145" s="395"/>
      <c r="BD145" s="395"/>
      <c r="BE145" s="395"/>
      <c r="BF145" s="395"/>
      <c r="BG145" s="395"/>
      <c r="BH145" s="45"/>
      <c r="BI145" s="45"/>
      <c r="BJ145" s="45"/>
      <c r="BK145" s="1828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45"/>
      <c r="BZ145" s="45"/>
      <c r="CA145" s="45"/>
      <c r="CB145" s="45"/>
      <c r="CC145" s="45"/>
      <c r="CD145" s="45"/>
      <c r="CE145" s="45"/>
      <c r="CF145" s="45"/>
      <c r="CG145" s="45"/>
      <c r="CH145" s="45"/>
      <c r="CI145" s="45"/>
      <c r="CJ145" s="45"/>
      <c r="CK145" s="45"/>
      <c r="CL145" s="45"/>
      <c r="CM145" s="45"/>
      <c r="CN145" s="45"/>
      <c r="CO145" s="45"/>
      <c r="CP145" s="45"/>
      <c r="CQ145" s="45"/>
      <c r="CR145" s="45"/>
      <c r="CS145" s="45"/>
      <c r="CT145" s="45"/>
      <c r="CU145" s="45"/>
      <c r="CV145" s="45"/>
      <c r="CW145" s="45"/>
      <c r="CX145" s="269"/>
      <c r="CY145" s="269"/>
    </row>
    <row r="146" spans="1:105">
      <c r="A146" s="694" t="s">
        <v>767</v>
      </c>
      <c r="B146" s="397"/>
      <c r="C146" s="397"/>
      <c r="D146" s="397"/>
      <c r="E146" s="397"/>
      <c r="F146" s="690" t="str">
        <f>CHOOSE(MASTERSWITCH,F147,F148,F149)</f>
        <v>ND</v>
      </c>
      <c r="G146" s="690" t="str">
        <f>CHOOSE(MASTERSWITCH,G147,G148,G149)</f>
        <v>ND</v>
      </c>
      <c r="H146" s="690" t="str">
        <f>CHOOSE(MASTERSWITCH,H147,H148,H149)</f>
        <v>ND</v>
      </c>
      <c r="I146" s="690" t="str">
        <f>CHOOSE(MASTERSWITCH,I147,I148,I149)</f>
        <v>ND</v>
      </c>
      <c r="J146" s="690" t="str">
        <f t="shared" ref="J146:AA146" si="876">CHOOSE(MASTERSWITCH,J147,J148,J149)</f>
        <v>ND</v>
      </c>
      <c r="K146" s="690" t="str">
        <f t="shared" si="876"/>
        <v>ND</v>
      </c>
      <c r="L146" s="690" t="str">
        <f t="shared" si="876"/>
        <v>ND</v>
      </c>
      <c r="M146" s="690" t="str">
        <f t="shared" si="876"/>
        <v>ND</v>
      </c>
      <c r="N146" s="690" t="str">
        <f t="shared" si="876"/>
        <v>ND</v>
      </c>
      <c r="O146" s="690" t="str">
        <f t="shared" si="876"/>
        <v>ND</v>
      </c>
      <c r="P146" s="690" t="str">
        <f t="shared" si="876"/>
        <v>ND</v>
      </c>
      <c r="Q146" s="690" t="str">
        <f t="shared" si="876"/>
        <v>ND</v>
      </c>
      <c r="R146" s="690" t="str">
        <f t="shared" si="876"/>
        <v>ND</v>
      </c>
      <c r="S146" s="690" t="str">
        <f t="shared" si="876"/>
        <v>ND</v>
      </c>
      <c r="T146" s="690" t="str">
        <f t="shared" si="876"/>
        <v>ND</v>
      </c>
      <c r="U146" s="397">
        <f t="shared" si="876"/>
        <v>4.7E-2</v>
      </c>
      <c r="V146" s="397">
        <f t="shared" si="876"/>
        <v>2.5999999999999999E-2</v>
      </c>
      <c r="W146" s="397">
        <f t="shared" si="876"/>
        <v>1.7999999999999999E-2</v>
      </c>
      <c r="X146" s="397">
        <f t="shared" si="876"/>
        <v>-2.5000000000000001E-2</v>
      </c>
      <c r="Y146" s="397">
        <f t="shared" si="876"/>
        <v>-2.8000000000000001E-2</v>
      </c>
      <c r="Z146" s="397">
        <f t="shared" si="876"/>
        <v>2.5999999999999999E-2</v>
      </c>
      <c r="AA146" s="397">
        <f t="shared" si="876"/>
        <v>0.02</v>
      </c>
      <c r="AB146" s="397">
        <f t="shared" ref="AB146:AM146" si="877">CHOOSE(MASTERSWITCH,AB147,AB148,AB149)</f>
        <v>5.8000000000000003E-2</v>
      </c>
      <c r="AC146" s="397">
        <f t="shared" si="877"/>
        <v>6.0999999999999999E-2</v>
      </c>
      <c r="AD146" s="397">
        <f t="shared" si="877"/>
        <v>6.2E-2</v>
      </c>
      <c r="AE146" s="397">
        <f t="shared" si="877"/>
        <v>6.2E-2</v>
      </c>
      <c r="AF146" s="397">
        <f t="shared" si="877"/>
        <v>6.4000000000000001E-2</v>
      </c>
      <c r="AG146" s="397">
        <f t="shared" si="877"/>
        <v>4.9000000000000002E-2</v>
      </c>
      <c r="AH146" s="397">
        <f t="shared" si="877"/>
        <v>1.9E-2</v>
      </c>
      <c r="AI146" s="397">
        <f t="shared" si="877"/>
        <v>0.05</v>
      </c>
      <c r="AJ146" s="397">
        <f t="shared" si="877"/>
        <v>1.7000000000000001E-2</v>
      </c>
      <c r="AK146" s="397">
        <f t="shared" si="877"/>
        <v>3.9E-2</v>
      </c>
      <c r="AL146" s="397">
        <f t="shared" si="877"/>
        <v>7.0999999999999994E-2</v>
      </c>
      <c r="AM146" s="397">
        <f t="shared" si="877"/>
        <v>2.8000000000000001E-2</v>
      </c>
      <c r="AN146" s="397">
        <f t="shared" ref="AN146:AS146" si="878">CHOOSE(MASTERSWITCH,AN147,AN148,AN149)</f>
        <v>2.8000000000000001E-2</v>
      </c>
      <c r="AO146" s="397">
        <f t="shared" si="878"/>
        <v>3.5000000000000003E-2</v>
      </c>
      <c r="AP146" s="397">
        <f t="shared" si="878"/>
        <v>2.1000000000000001E-2</v>
      </c>
      <c r="AQ146" s="397">
        <f t="shared" si="878"/>
        <v>6.3E-2</v>
      </c>
      <c r="AR146" s="397">
        <f t="shared" si="878"/>
        <v>3.5999999999999997E-2</v>
      </c>
      <c r="AS146" s="397">
        <f t="shared" si="878"/>
        <v>2.3E-2</v>
      </c>
      <c r="AT146" s="397">
        <f t="shared" ref="AT146:BC146" si="879">CHOOSE(MASTERSWITCH,AT147,AT148,AT149)</f>
        <v>-2.5999999999999999E-2</v>
      </c>
      <c r="AU146" s="397">
        <f t="shared" si="879"/>
        <v>-0.443</v>
      </c>
      <c r="AV146" s="397">
        <f t="shared" si="879"/>
        <v>-0.29599999999999999</v>
      </c>
      <c r="AW146" s="397">
        <f t="shared" si="879"/>
        <v>-0.218</v>
      </c>
      <c r="AX146" s="397">
        <f t="shared" si="879"/>
        <v>-8.4000000000000005E-2</v>
      </c>
      <c r="AY146" s="397">
        <f t="shared" si="879"/>
        <v>0.86</v>
      </c>
      <c r="AZ146" s="397">
        <f t="shared" si="879"/>
        <v>0.435</v>
      </c>
      <c r="BA146" s="397">
        <f t="shared" si="879"/>
        <v>0.44500000000000001</v>
      </c>
      <c r="BB146" s="397">
        <f t="shared" si="879"/>
        <v>0.44400000000000001</v>
      </c>
      <c r="BC146" s="397">
        <f t="shared" si="879"/>
        <v>0.28100000000000003</v>
      </c>
      <c r="BD146" s="397">
        <f t="shared" ref="BD146:BI146" si="880">CHOOSE(MASTERSWITCH,BD147,BD148,BD149)</f>
        <v>0.23499999999999999</v>
      </c>
      <c r="BE146" s="397">
        <f t="shared" si="880"/>
        <v>0.16</v>
      </c>
      <c r="BF146" s="397">
        <f t="shared" si="880"/>
        <v>0.184</v>
      </c>
      <c r="BG146" s="397">
        <f t="shared" si="880"/>
        <v>0.14099999999999999</v>
      </c>
      <c r="BH146" s="397">
        <f t="shared" si="880"/>
        <v>0.16200000000000001</v>
      </c>
      <c r="BI146" s="397">
        <f t="shared" si="880"/>
        <v>0.13500000000000001</v>
      </c>
      <c r="BJ146" s="397">
        <f t="shared" ref="BJ146:BK146" si="881">CHOOSE(MASTERSWITCH,BJ147,BJ148,BJ149)</f>
        <v>0.10100000000000001</v>
      </c>
      <c r="BK146" s="1824">
        <f t="shared" si="881"/>
        <v>7.2999999999999995E-2</v>
      </c>
      <c r="BL146" s="398">
        <f t="shared" ref="BL146:BQ146" si="882">CHOOSE(MASTERSWITCH,BL147,BL148,BL149)</f>
        <v>4.691657931847279E-2</v>
      </c>
      <c r="BM146" s="398">
        <f t="shared" si="882"/>
        <v>4.3916423901643048E-2</v>
      </c>
      <c r="BN146" s="398">
        <f t="shared" si="882"/>
        <v>3.9029082428482548E-2</v>
      </c>
      <c r="BO146" s="398">
        <f t="shared" si="882"/>
        <v>4.0127041016709164E-2</v>
      </c>
      <c r="BP146" s="398">
        <f t="shared" si="882"/>
        <v>3.7310424452889276E-2</v>
      </c>
      <c r="BQ146" s="398">
        <f t="shared" si="882"/>
        <v>3.7499827374370118E-2</v>
      </c>
      <c r="BR146" s="398">
        <f t="shared" ref="BR146:CK146" si="883">CHOOSE(MASTERSWITCH,BR147,BR148,BR149)</f>
        <v>3.7499827374370118E-2</v>
      </c>
      <c r="BS146" s="398">
        <f t="shared" si="883"/>
        <v>3.7499827374370118E-2</v>
      </c>
      <c r="BT146" s="398">
        <f t="shared" si="883"/>
        <v>3.7499827374370118E-2</v>
      </c>
      <c r="BU146" s="398">
        <f t="shared" si="883"/>
        <v>3.7499827374370118E-2</v>
      </c>
      <c r="BV146" s="398">
        <f t="shared" si="883"/>
        <v>3.7499827374370118E-2</v>
      </c>
      <c r="BW146" s="398">
        <f t="shared" si="883"/>
        <v>3.7499827374370118E-2</v>
      </c>
      <c r="BX146" s="398">
        <f t="shared" si="883"/>
        <v>3.7499827374370118E-2</v>
      </c>
      <c r="BY146" s="398">
        <f t="shared" si="883"/>
        <v>3.7499827374370118E-2</v>
      </c>
      <c r="BZ146" s="398">
        <f t="shared" si="883"/>
        <v>2.7899827374370113E-2</v>
      </c>
      <c r="CA146" s="398">
        <f t="shared" si="883"/>
        <v>2.7899827374370113E-2</v>
      </c>
      <c r="CB146" s="398">
        <f t="shared" si="883"/>
        <v>2.7899827374370113E-2</v>
      </c>
      <c r="CC146" s="398">
        <f t="shared" si="883"/>
        <v>2.7899827374370113E-2</v>
      </c>
      <c r="CD146" s="398">
        <f t="shared" si="883"/>
        <v>2.7899827374370113E-2</v>
      </c>
      <c r="CE146" s="398">
        <f t="shared" si="883"/>
        <v>2.7899827374370113E-2</v>
      </c>
      <c r="CF146" s="398">
        <f t="shared" si="883"/>
        <v>2.7899827374370113E-2</v>
      </c>
      <c r="CG146" s="398">
        <f t="shared" si="883"/>
        <v>2.7899827374370113E-2</v>
      </c>
      <c r="CH146" s="398">
        <f t="shared" si="883"/>
        <v>2.7899827374370113E-2</v>
      </c>
      <c r="CI146" s="398">
        <f t="shared" si="883"/>
        <v>2.7899827374370113E-2</v>
      </c>
      <c r="CJ146" s="398">
        <f t="shared" si="883"/>
        <v>2.7899827374370113E-2</v>
      </c>
      <c r="CK146" s="398">
        <f t="shared" si="883"/>
        <v>2.7899827374370113E-2</v>
      </c>
      <c r="CL146" s="398">
        <f t="shared" ref="CL146:CP146" si="884">CHOOSE(MASTERSWITCH,CL147,CL148,CL149)</f>
        <v>2.7899827374370113E-2</v>
      </c>
      <c r="CM146" s="398">
        <f t="shared" si="884"/>
        <v>2.7899827374370113E-2</v>
      </c>
      <c r="CN146" s="398">
        <f t="shared" si="884"/>
        <v>2.7899827374370113E-2</v>
      </c>
      <c r="CO146" s="398">
        <f t="shared" si="884"/>
        <v>2.7899827374370113E-2</v>
      </c>
      <c r="CP146" s="398">
        <f t="shared" si="884"/>
        <v>2.7899827374370113E-2</v>
      </c>
      <c r="CQ146" s="398">
        <f t="shared" ref="CQ146:CU146" si="885">CHOOSE(MASTERSWITCH,CQ147,CQ148,CQ149)</f>
        <v>2.7899827374370113E-2</v>
      </c>
      <c r="CR146" s="398">
        <f t="shared" si="885"/>
        <v>2.7899827374370113E-2</v>
      </c>
      <c r="CS146" s="398">
        <f t="shared" si="885"/>
        <v>2.7899827374370113E-2</v>
      </c>
      <c r="CT146" s="398">
        <f t="shared" si="885"/>
        <v>2.7899827374370113E-2</v>
      </c>
      <c r="CU146" s="398">
        <f t="shared" si="885"/>
        <v>2.7899827374370113E-2</v>
      </c>
      <c r="CV146" s="398">
        <f t="shared" ref="CV146:CW146" si="886">CHOOSE(MASTERSWITCH,CV147,CV148,CV149)</f>
        <v>2.7899827374370113E-2</v>
      </c>
      <c r="CW146" s="398">
        <f t="shared" si="886"/>
        <v>2.7899827374370113E-2</v>
      </c>
      <c r="CX146" s="269"/>
      <c r="CY146" s="269"/>
    </row>
    <row r="147" spans="1:105">
      <c r="A147" s="695" t="s">
        <v>571</v>
      </c>
      <c r="B147" s="392"/>
      <c r="C147" s="392"/>
      <c r="D147" s="392"/>
      <c r="E147" s="393"/>
      <c r="F147" s="51" t="str">
        <f>Q_IS!F45</f>
        <v>ND</v>
      </c>
      <c r="G147" s="51" t="str">
        <f>Q_IS!G45</f>
        <v>ND</v>
      </c>
      <c r="H147" s="51" t="str">
        <f>Q_IS!H45</f>
        <v>ND</v>
      </c>
      <c r="I147" s="51" t="str">
        <f>Q_IS!I45</f>
        <v>ND</v>
      </c>
      <c r="J147" s="51" t="str">
        <f>Q_IS!J45</f>
        <v>ND</v>
      </c>
      <c r="K147" s="51" t="str">
        <f>Q_IS!K45</f>
        <v>ND</v>
      </c>
      <c r="L147" s="51" t="str">
        <f>Q_IS!L45</f>
        <v>ND</v>
      </c>
      <c r="M147" s="51" t="str">
        <f>Q_IS!M45</f>
        <v>ND</v>
      </c>
      <c r="N147" s="51" t="str">
        <f>Q_IS!N45</f>
        <v>ND</v>
      </c>
      <c r="O147" s="51" t="str">
        <f>Q_IS!O45</f>
        <v>ND</v>
      </c>
      <c r="P147" s="51" t="str">
        <f>Q_IS!P45</f>
        <v>ND</v>
      </c>
      <c r="Q147" s="51" t="str">
        <f>Q_IS!Q45</f>
        <v>ND</v>
      </c>
      <c r="R147" s="51" t="str">
        <f>Q_IS!R45</f>
        <v>ND</v>
      </c>
      <c r="S147" s="51" t="str">
        <f>Q_IS!S45</f>
        <v>ND</v>
      </c>
      <c r="T147" s="51" t="str">
        <f>Q_IS!T45</f>
        <v>ND</v>
      </c>
      <c r="U147" s="38">
        <f>Q_IS!U45</f>
        <v>4.7E-2</v>
      </c>
      <c r="V147" s="38">
        <f>Q_IS!V45</f>
        <v>2.5999999999999999E-2</v>
      </c>
      <c r="W147" s="38">
        <f>Q_IS!W45</f>
        <v>1.7999999999999999E-2</v>
      </c>
      <c r="X147" s="38">
        <f>Q_IS!X45</f>
        <v>-2.5000000000000001E-2</v>
      </c>
      <c r="Y147" s="38">
        <f>Q_IS!Y45</f>
        <v>-2.8000000000000001E-2</v>
      </c>
      <c r="Z147" s="38">
        <f>Q_IS!Z45</f>
        <v>2.5999999999999999E-2</v>
      </c>
      <c r="AA147" s="38">
        <f>Q_IS!AA45</f>
        <v>0.02</v>
      </c>
      <c r="AB147" s="38">
        <f>Q_IS!AB45</f>
        <v>5.8000000000000003E-2</v>
      </c>
      <c r="AC147" s="38">
        <f>Q_IS!AC45</f>
        <v>6.0999999999999999E-2</v>
      </c>
      <c r="AD147" s="38">
        <f>Q_IS!AD45</f>
        <v>6.2E-2</v>
      </c>
      <c r="AE147" s="38">
        <f>Q_IS!AE45</f>
        <v>6.2E-2</v>
      </c>
      <c r="AF147" s="38">
        <f>Q_IS!AF45</f>
        <v>6.4000000000000001E-2</v>
      </c>
      <c r="AG147" s="38">
        <f>Q_IS!AG45</f>
        <v>4.9000000000000002E-2</v>
      </c>
      <c r="AH147" s="38">
        <f>Q_IS!AH45</f>
        <v>1.9E-2</v>
      </c>
      <c r="AI147" s="38">
        <f>Q_IS!AI45</f>
        <v>0.05</v>
      </c>
      <c r="AJ147" s="38">
        <f>Q_IS!AJ45</f>
        <v>1.7000000000000001E-2</v>
      </c>
      <c r="AK147" s="38">
        <f>Q_IS!AK45</f>
        <v>3.9E-2</v>
      </c>
      <c r="AL147" s="38">
        <f>Q_IS!AL45</f>
        <v>7.0999999999999994E-2</v>
      </c>
      <c r="AM147" s="38">
        <f>Q_IS!AM45</f>
        <v>2.8000000000000001E-2</v>
      </c>
      <c r="AN147" s="38">
        <f>Q_IS!AN45</f>
        <v>2.8000000000000001E-2</v>
      </c>
      <c r="AO147" s="38">
        <f>Q_IS!AO45</f>
        <v>3.5000000000000003E-2</v>
      </c>
      <c r="AP147" s="38">
        <f>Q_IS!AP45</f>
        <v>2.1000000000000001E-2</v>
      </c>
      <c r="AQ147" s="38">
        <f>Q_IS!AQ45</f>
        <v>6.3E-2</v>
      </c>
      <c r="AR147" s="38">
        <f>Q_IS!AR45</f>
        <v>3.5999999999999997E-2</v>
      </c>
      <c r="AS147" s="38">
        <f>Q_IS!AS45</f>
        <v>2.3E-2</v>
      </c>
      <c r="AT147" s="38">
        <f>Q_IS!AT45</f>
        <v>-2.5999999999999999E-2</v>
      </c>
      <c r="AU147" s="38">
        <f>Q_IS!AU45</f>
        <v>-0.443</v>
      </c>
      <c r="AV147" s="38">
        <f>Q_IS!AV45</f>
        <v>-0.29599999999999999</v>
      </c>
      <c r="AW147" s="38">
        <f>Q_IS!AW45</f>
        <v>-0.218</v>
      </c>
      <c r="AX147" s="38">
        <f>Q_IS!AX45</f>
        <v>-8.4000000000000005E-2</v>
      </c>
      <c r="AY147" s="38">
        <f>Q_IS!AY45</f>
        <v>0.86</v>
      </c>
      <c r="AZ147" s="38">
        <f>Q_IS!AZ45</f>
        <v>0.435</v>
      </c>
      <c r="BA147" s="38">
        <f>Q_IS!BA45</f>
        <v>0.44500000000000001</v>
      </c>
      <c r="BB147" s="38">
        <f>Q_IS!BB45</f>
        <v>0.44400000000000001</v>
      </c>
      <c r="BC147" s="38">
        <f>Q_IS!BC45</f>
        <v>0.28100000000000003</v>
      </c>
      <c r="BD147" s="38">
        <f>Q_IS!BD45</f>
        <v>0.23499999999999999</v>
      </c>
      <c r="BE147" s="38">
        <f>Q_IS!BE45</f>
        <v>0.16</v>
      </c>
      <c r="BF147" s="38">
        <f>Q_IS!BF45</f>
        <v>0.184</v>
      </c>
      <c r="BG147" s="38">
        <f>Q_IS!BG45</f>
        <v>0.14099999999999999</v>
      </c>
      <c r="BH147" s="38">
        <f>Q_IS!BH45</f>
        <v>0.16200000000000001</v>
      </c>
      <c r="BI147" s="38">
        <f>Q_IS!BI45</f>
        <v>0.13500000000000001</v>
      </c>
      <c r="BJ147" s="38">
        <f>Q_IS!BJ45</f>
        <v>0.10100000000000001</v>
      </c>
      <c r="BK147" s="1833">
        <f>Q_IS!BK45</f>
        <v>7.2999999999999995E-2</v>
      </c>
      <c r="BL147" s="45">
        <f t="shared" ref="BL147:BP147" si="887">+BL148*$CY147</f>
        <v>6.4510296562900082E-2</v>
      </c>
      <c r="BM147" s="45">
        <f t="shared" si="887"/>
        <v>6.0385082864759188E-2</v>
      </c>
      <c r="BN147" s="45">
        <f t="shared" si="887"/>
        <v>5.3664988339163507E-2</v>
      </c>
      <c r="BO147" s="45">
        <f t="shared" si="887"/>
        <v>5.5174681397975101E-2</v>
      </c>
      <c r="BP147" s="45">
        <f t="shared" si="887"/>
        <v>5.1301833622722753E-2</v>
      </c>
      <c r="BQ147" s="45">
        <f t="shared" ref="BQ147:BY147" si="888">+BQ148*$CY147</f>
        <v>5.156226263975891E-2</v>
      </c>
      <c r="BR147" s="45">
        <f t="shared" si="888"/>
        <v>5.156226263975891E-2</v>
      </c>
      <c r="BS147" s="45">
        <f t="shared" si="888"/>
        <v>5.156226263975891E-2</v>
      </c>
      <c r="BT147" s="45">
        <f t="shared" si="888"/>
        <v>5.156226263975891E-2</v>
      </c>
      <c r="BU147" s="45">
        <f t="shared" si="888"/>
        <v>5.156226263975891E-2</v>
      </c>
      <c r="BV147" s="45">
        <f t="shared" si="888"/>
        <v>5.156226263975891E-2</v>
      </c>
      <c r="BW147" s="45">
        <f t="shared" si="888"/>
        <v>5.156226263975891E-2</v>
      </c>
      <c r="BX147" s="45">
        <f t="shared" si="888"/>
        <v>5.156226263975891E-2</v>
      </c>
      <c r="BY147" s="45">
        <f t="shared" si="888"/>
        <v>5.156226263975891E-2</v>
      </c>
      <c r="BZ147" s="45">
        <f t="shared" ref="BZ147:CU147" si="889">+BZ148*$CZ147</f>
        <v>3.8362262639758907E-2</v>
      </c>
      <c r="CA147" s="45">
        <f t="shared" si="889"/>
        <v>3.8362262639758907E-2</v>
      </c>
      <c r="CB147" s="45">
        <f t="shared" si="889"/>
        <v>3.8362262639758907E-2</v>
      </c>
      <c r="CC147" s="45">
        <f t="shared" si="889"/>
        <v>3.8362262639758907E-2</v>
      </c>
      <c r="CD147" s="45">
        <f t="shared" si="889"/>
        <v>3.8362262639758907E-2</v>
      </c>
      <c r="CE147" s="45">
        <f t="shared" si="889"/>
        <v>3.8362262639758907E-2</v>
      </c>
      <c r="CF147" s="45">
        <f t="shared" si="889"/>
        <v>3.8362262639758907E-2</v>
      </c>
      <c r="CG147" s="45">
        <f t="shared" si="889"/>
        <v>3.8362262639758907E-2</v>
      </c>
      <c r="CH147" s="45">
        <f t="shared" si="889"/>
        <v>3.8362262639758907E-2</v>
      </c>
      <c r="CI147" s="45">
        <f t="shared" si="889"/>
        <v>3.8362262639758907E-2</v>
      </c>
      <c r="CJ147" s="45">
        <f t="shared" si="889"/>
        <v>3.8362262639758907E-2</v>
      </c>
      <c r="CK147" s="45">
        <f t="shared" si="889"/>
        <v>3.8362262639758907E-2</v>
      </c>
      <c r="CL147" s="45">
        <f t="shared" si="889"/>
        <v>3.8362262639758907E-2</v>
      </c>
      <c r="CM147" s="45">
        <f t="shared" si="889"/>
        <v>3.8362262639758907E-2</v>
      </c>
      <c r="CN147" s="45">
        <f t="shared" si="889"/>
        <v>3.8362262639758907E-2</v>
      </c>
      <c r="CO147" s="45">
        <f t="shared" si="889"/>
        <v>3.8362262639758907E-2</v>
      </c>
      <c r="CP147" s="45">
        <f t="shared" si="889"/>
        <v>3.8362262639758907E-2</v>
      </c>
      <c r="CQ147" s="45">
        <f t="shared" si="889"/>
        <v>3.8362262639758907E-2</v>
      </c>
      <c r="CR147" s="45">
        <f t="shared" si="889"/>
        <v>3.8362262639758907E-2</v>
      </c>
      <c r="CS147" s="45">
        <f t="shared" si="889"/>
        <v>3.8362262639758907E-2</v>
      </c>
      <c r="CT147" s="45">
        <f t="shared" si="889"/>
        <v>3.8362262639758907E-2</v>
      </c>
      <c r="CU147" s="45">
        <f t="shared" si="889"/>
        <v>3.8362262639758907E-2</v>
      </c>
      <c r="CV147" s="45">
        <f t="shared" ref="CV147:CW147" si="890">+CV148*$CZ147</f>
        <v>3.8362262639758907E-2</v>
      </c>
      <c r="CW147" s="45">
        <f t="shared" si="890"/>
        <v>3.8362262639758907E-2</v>
      </c>
      <c r="CX147" s="269"/>
      <c r="CY147" s="559">
        <v>1.1000000000000001</v>
      </c>
      <c r="CZ147" s="559">
        <v>1.1000000000000001</v>
      </c>
      <c r="DA147" s="269" t="s">
        <v>1420</v>
      </c>
    </row>
    <row r="148" spans="1:105">
      <c r="A148" s="695" t="s">
        <v>200</v>
      </c>
      <c r="B148" s="392"/>
      <c r="C148" s="392"/>
      <c r="D148" s="392"/>
      <c r="E148" s="394"/>
      <c r="F148" s="51" t="str">
        <f>F147</f>
        <v>ND</v>
      </c>
      <c r="G148" s="51" t="str">
        <f>G147</f>
        <v>ND</v>
      </c>
      <c r="H148" s="51" t="str">
        <f>H147</f>
        <v>ND</v>
      </c>
      <c r="I148" s="51" t="str">
        <f>I147</f>
        <v>ND</v>
      </c>
      <c r="J148" s="51" t="str">
        <f t="shared" ref="J148:AA148" si="891">J147</f>
        <v>ND</v>
      </c>
      <c r="K148" s="51" t="str">
        <f t="shared" si="891"/>
        <v>ND</v>
      </c>
      <c r="L148" s="51" t="str">
        <f t="shared" si="891"/>
        <v>ND</v>
      </c>
      <c r="M148" s="51" t="str">
        <f t="shared" si="891"/>
        <v>ND</v>
      </c>
      <c r="N148" s="51" t="str">
        <f t="shared" si="891"/>
        <v>ND</v>
      </c>
      <c r="O148" s="51" t="str">
        <f t="shared" si="891"/>
        <v>ND</v>
      </c>
      <c r="P148" s="51" t="str">
        <f t="shared" si="891"/>
        <v>ND</v>
      </c>
      <c r="Q148" s="51" t="str">
        <f t="shared" si="891"/>
        <v>ND</v>
      </c>
      <c r="R148" s="51" t="str">
        <f t="shared" si="891"/>
        <v>ND</v>
      </c>
      <c r="S148" s="51" t="str">
        <f t="shared" si="891"/>
        <v>ND</v>
      </c>
      <c r="T148" s="51" t="str">
        <f t="shared" si="891"/>
        <v>ND</v>
      </c>
      <c r="U148" s="38">
        <f t="shared" si="891"/>
        <v>4.7E-2</v>
      </c>
      <c r="V148" s="38">
        <f t="shared" si="891"/>
        <v>2.5999999999999999E-2</v>
      </c>
      <c r="W148" s="38">
        <f t="shared" si="891"/>
        <v>1.7999999999999999E-2</v>
      </c>
      <c r="X148" s="38">
        <f t="shared" si="891"/>
        <v>-2.5000000000000001E-2</v>
      </c>
      <c r="Y148" s="38">
        <f t="shared" si="891"/>
        <v>-2.8000000000000001E-2</v>
      </c>
      <c r="Z148" s="38">
        <f t="shared" si="891"/>
        <v>2.5999999999999999E-2</v>
      </c>
      <c r="AA148" s="38">
        <f t="shared" si="891"/>
        <v>0.02</v>
      </c>
      <c r="AB148" s="38">
        <f t="shared" ref="AB148:AM148" si="892">AB147</f>
        <v>5.8000000000000003E-2</v>
      </c>
      <c r="AC148" s="38">
        <f t="shared" si="892"/>
        <v>6.0999999999999999E-2</v>
      </c>
      <c r="AD148" s="38">
        <f t="shared" si="892"/>
        <v>6.2E-2</v>
      </c>
      <c r="AE148" s="38">
        <f t="shared" si="892"/>
        <v>6.2E-2</v>
      </c>
      <c r="AF148" s="38">
        <f t="shared" si="892"/>
        <v>6.4000000000000001E-2</v>
      </c>
      <c r="AG148" s="38">
        <f t="shared" si="892"/>
        <v>4.9000000000000002E-2</v>
      </c>
      <c r="AH148" s="38">
        <f t="shared" si="892"/>
        <v>1.9E-2</v>
      </c>
      <c r="AI148" s="38">
        <f t="shared" si="892"/>
        <v>0.05</v>
      </c>
      <c r="AJ148" s="38">
        <f t="shared" si="892"/>
        <v>1.7000000000000001E-2</v>
      </c>
      <c r="AK148" s="38">
        <f t="shared" si="892"/>
        <v>3.9E-2</v>
      </c>
      <c r="AL148" s="38">
        <f t="shared" si="892"/>
        <v>7.0999999999999994E-2</v>
      </c>
      <c r="AM148" s="38">
        <f t="shared" si="892"/>
        <v>2.8000000000000001E-2</v>
      </c>
      <c r="AN148" s="38">
        <f t="shared" ref="AN148:AS148" si="893">AN147</f>
        <v>2.8000000000000001E-2</v>
      </c>
      <c r="AO148" s="38">
        <f t="shared" si="893"/>
        <v>3.5000000000000003E-2</v>
      </c>
      <c r="AP148" s="38">
        <f t="shared" si="893"/>
        <v>2.1000000000000001E-2</v>
      </c>
      <c r="AQ148" s="38">
        <f t="shared" si="893"/>
        <v>6.3E-2</v>
      </c>
      <c r="AR148" s="38">
        <f t="shared" si="893"/>
        <v>3.5999999999999997E-2</v>
      </c>
      <c r="AS148" s="38">
        <f t="shared" si="893"/>
        <v>2.3E-2</v>
      </c>
      <c r="AT148" s="38">
        <f t="shared" ref="AT148:BC148" si="894">AT147</f>
        <v>-2.5999999999999999E-2</v>
      </c>
      <c r="AU148" s="38">
        <f t="shared" si="894"/>
        <v>-0.443</v>
      </c>
      <c r="AV148" s="38">
        <f t="shared" si="894"/>
        <v>-0.29599999999999999</v>
      </c>
      <c r="AW148" s="38">
        <f t="shared" si="894"/>
        <v>-0.218</v>
      </c>
      <c r="AX148" s="38">
        <f t="shared" si="894"/>
        <v>-8.4000000000000005E-2</v>
      </c>
      <c r="AY148" s="38">
        <f t="shared" si="894"/>
        <v>0.86</v>
      </c>
      <c r="AZ148" s="38">
        <f t="shared" si="894"/>
        <v>0.435</v>
      </c>
      <c r="BA148" s="38">
        <f t="shared" si="894"/>
        <v>0.44500000000000001</v>
      </c>
      <c r="BB148" s="38">
        <f t="shared" si="894"/>
        <v>0.44400000000000001</v>
      </c>
      <c r="BC148" s="38">
        <f t="shared" si="894"/>
        <v>0.28100000000000003</v>
      </c>
      <c r="BD148" s="38">
        <f t="shared" ref="BD148:BI148" si="895">BD147</f>
        <v>0.23499999999999999</v>
      </c>
      <c r="BE148" s="38">
        <f t="shared" si="895"/>
        <v>0.16</v>
      </c>
      <c r="BF148" s="38">
        <f t="shared" si="895"/>
        <v>0.184</v>
      </c>
      <c r="BG148" s="38">
        <f t="shared" si="895"/>
        <v>0.14099999999999999</v>
      </c>
      <c r="BH148" s="38">
        <f t="shared" si="895"/>
        <v>0.16200000000000001</v>
      </c>
      <c r="BI148" s="38">
        <f t="shared" si="895"/>
        <v>0.13500000000000001</v>
      </c>
      <c r="BJ148" s="38">
        <f t="shared" ref="BJ148:BK148" si="896">BJ147</f>
        <v>0.10100000000000001</v>
      </c>
      <c r="BK148" s="1833">
        <f t="shared" si="896"/>
        <v>7.2999999999999995E-2</v>
      </c>
      <c r="BL148" s="1909">
        <f>+BL$10+1.5%</f>
        <v>5.864572414809098E-2</v>
      </c>
      <c r="BM148" s="1909">
        <f>+BM$10+1.5%</f>
        <v>5.4895529877053803E-2</v>
      </c>
      <c r="BN148" s="1752">
        <f>+BN$10+$CY148</f>
        <v>4.8786353035603185E-2</v>
      </c>
      <c r="BO148" s="1752">
        <f t="shared" ref="BO148:BY148" si="897">+BO$10+$CY148</f>
        <v>5.0158801270886448E-2</v>
      </c>
      <c r="BP148" s="1752">
        <f t="shared" si="897"/>
        <v>4.6638030566111592E-2</v>
      </c>
      <c r="BQ148" s="1752">
        <f t="shared" si="897"/>
        <v>4.6874784217962644E-2</v>
      </c>
      <c r="BR148" s="1752">
        <f t="shared" si="897"/>
        <v>4.6874784217962644E-2</v>
      </c>
      <c r="BS148" s="1752">
        <f t="shared" si="897"/>
        <v>4.6874784217962644E-2</v>
      </c>
      <c r="BT148" s="1752">
        <f t="shared" si="897"/>
        <v>4.6874784217962644E-2</v>
      </c>
      <c r="BU148" s="1752">
        <f t="shared" si="897"/>
        <v>4.6874784217962644E-2</v>
      </c>
      <c r="BV148" s="1752">
        <f t="shared" si="897"/>
        <v>4.6874784217962644E-2</v>
      </c>
      <c r="BW148" s="1752">
        <f t="shared" si="897"/>
        <v>4.6874784217962644E-2</v>
      </c>
      <c r="BX148" s="1752">
        <f t="shared" si="897"/>
        <v>4.6874784217962644E-2</v>
      </c>
      <c r="BY148" s="1752">
        <f t="shared" si="897"/>
        <v>4.6874784217962644E-2</v>
      </c>
      <c r="BZ148" s="1853">
        <f>+BZ$10+$CZ148</f>
        <v>3.487478421796264E-2</v>
      </c>
      <c r="CA148" s="1752">
        <f t="shared" ref="CA148:CV148" si="898">+CA$10+$CZ148</f>
        <v>3.487478421796264E-2</v>
      </c>
      <c r="CB148" s="1752">
        <f t="shared" si="898"/>
        <v>3.487478421796264E-2</v>
      </c>
      <c r="CC148" s="1752">
        <f t="shared" si="898"/>
        <v>3.487478421796264E-2</v>
      </c>
      <c r="CD148" s="1752">
        <f t="shared" si="898"/>
        <v>3.487478421796264E-2</v>
      </c>
      <c r="CE148" s="1752">
        <f t="shared" si="898"/>
        <v>3.487478421796264E-2</v>
      </c>
      <c r="CF148" s="1752">
        <f t="shared" si="898"/>
        <v>3.487478421796264E-2</v>
      </c>
      <c r="CG148" s="1752">
        <f t="shared" si="898"/>
        <v>3.487478421796264E-2</v>
      </c>
      <c r="CH148" s="1752">
        <f t="shared" si="898"/>
        <v>3.487478421796264E-2</v>
      </c>
      <c r="CI148" s="1752">
        <f t="shared" si="898"/>
        <v>3.487478421796264E-2</v>
      </c>
      <c r="CJ148" s="1752">
        <f t="shared" si="898"/>
        <v>3.487478421796264E-2</v>
      </c>
      <c r="CK148" s="1752">
        <f t="shared" si="898"/>
        <v>3.487478421796264E-2</v>
      </c>
      <c r="CL148" s="1752">
        <f t="shared" si="898"/>
        <v>3.487478421796264E-2</v>
      </c>
      <c r="CM148" s="1752">
        <f t="shared" si="898"/>
        <v>3.487478421796264E-2</v>
      </c>
      <c r="CN148" s="1752">
        <f t="shared" si="898"/>
        <v>3.487478421796264E-2</v>
      </c>
      <c r="CO148" s="1752">
        <f t="shared" si="898"/>
        <v>3.487478421796264E-2</v>
      </c>
      <c r="CP148" s="1752">
        <f t="shared" si="898"/>
        <v>3.487478421796264E-2</v>
      </c>
      <c r="CQ148" s="1752">
        <f t="shared" si="898"/>
        <v>3.487478421796264E-2</v>
      </c>
      <c r="CR148" s="1752">
        <f t="shared" si="898"/>
        <v>3.487478421796264E-2</v>
      </c>
      <c r="CS148" s="1752">
        <f t="shared" si="898"/>
        <v>3.487478421796264E-2</v>
      </c>
      <c r="CT148" s="1752">
        <f t="shared" si="898"/>
        <v>3.487478421796264E-2</v>
      </c>
      <c r="CU148" s="1752">
        <f t="shared" si="898"/>
        <v>3.487478421796264E-2</v>
      </c>
      <c r="CV148" s="1752">
        <f t="shared" si="898"/>
        <v>3.487478421796264E-2</v>
      </c>
      <c r="CW148" s="1753">
        <f>+CW$10+$CZ148</f>
        <v>3.487478421796264E-2</v>
      </c>
      <c r="CX148" s="269"/>
      <c r="CY148" s="559">
        <v>0.01</v>
      </c>
      <c r="CZ148" s="559">
        <v>-2E-3</v>
      </c>
      <c r="DA148" s="269" t="s">
        <v>1490</v>
      </c>
    </row>
    <row r="149" spans="1:105">
      <c r="A149" s="695" t="s">
        <v>202</v>
      </c>
      <c r="B149" s="392"/>
      <c r="C149" s="392"/>
      <c r="D149" s="392"/>
      <c r="E149" s="394"/>
      <c r="F149" s="51" t="str">
        <f>F147</f>
        <v>ND</v>
      </c>
      <c r="G149" s="51" t="str">
        <f>G147</f>
        <v>ND</v>
      </c>
      <c r="H149" s="51" t="str">
        <f>H147</f>
        <v>ND</v>
      </c>
      <c r="I149" s="51" t="str">
        <f>I147</f>
        <v>ND</v>
      </c>
      <c r="J149" s="51" t="str">
        <f t="shared" ref="J149:AA149" si="899">J147</f>
        <v>ND</v>
      </c>
      <c r="K149" s="51" t="str">
        <f t="shared" si="899"/>
        <v>ND</v>
      </c>
      <c r="L149" s="51" t="str">
        <f t="shared" si="899"/>
        <v>ND</v>
      </c>
      <c r="M149" s="51" t="str">
        <f t="shared" si="899"/>
        <v>ND</v>
      </c>
      <c r="N149" s="51" t="str">
        <f t="shared" si="899"/>
        <v>ND</v>
      </c>
      <c r="O149" s="51" t="str">
        <f t="shared" si="899"/>
        <v>ND</v>
      </c>
      <c r="P149" s="51" t="str">
        <f t="shared" si="899"/>
        <v>ND</v>
      </c>
      <c r="Q149" s="51" t="str">
        <f t="shared" si="899"/>
        <v>ND</v>
      </c>
      <c r="R149" s="51" t="str">
        <f t="shared" si="899"/>
        <v>ND</v>
      </c>
      <c r="S149" s="51" t="str">
        <f t="shared" si="899"/>
        <v>ND</v>
      </c>
      <c r="T149" s="51" t="str">
        <f t="shared" si="899"/>
        <v>ND</v>
      </c>
      <c r="U149" s="38">
        <f t="shared" si="899"/>
        <v>4.7E-2</v>
      </c>
      <c r="V149" s="38">
        <f t="shared" si="899"/>
        <v>2.5999999999999999E-2</v>
      </c>
      <c r="W149" s="38">
        <f t="shared" si="899"/>
        <v>1.7999999999999999E-2</v>
      </c>
      <c r="X149" s="38">
        <f t="shared" si="899"/>
        <v>-2.5000000000000001E-2</v>
      </c>
      <c r="Y149" s="38">
        <f t="shared" si="899"/>
        <v>-2.8000000000000001E-2</v>
      </c>
      <c r="Z149" s="38">
        <f t="shared" si="899"/>
        <v>2.5999999999999999E-2</v>
      </c>
      <c r="AA149" s="38">
        <f t="shared" si="899"/>
        <v>0.02</v>
      </c>
      <c r="AB149" s="38">
        <f t="shared" ref="AB149:AM149" si="900">AB147</f>
        <v>5.8000000000000003E-2</v>
      </c>
      <c r="AC149" s="38">
        <f t="shared" si="900"/>
        <v>6.0999999999999999E-2</v>
      </c>
      <c r="AD149" s="38">
        <f t="shared" si="900"/>
        <v>6.2E-2</v>
      </c>
      <c r="AE149" s="38">
        <f t="shared" si="900"/>
        <v>6.2E-2</v>
      </c>
      <c r="AF149" s="38">
        <f t="shared" si="900"/>
        <v>6.4000000000000001E-2</v>
      </c>
      <c r="AG149" s="38">
        <f t="shared" si="900"/>
        <v>4.9000000000000002E-2</v>
      </c>
      <c r="AH149" s="38">
        <f t="shared" si="900"/>
        <v>1.9E-2</v>
      </c>
      <c r="AI149" s="38">
        <f t="shared" si="900"/>
        <v>0.05</v>
      </c>
      <c r="AJ149" s="38">
        <f t="shared" si="900"/>
        <v>1.7000000000000001E-2</v>
      </c>
      <c r="AK149" s="38">
        <f t="shared" si="900"/>
        <v>3.9E-2</v>
      </c>
      <c r="AL149" s="38">
        <f t="shared" si="900"/>
        <v>7.0999999999999994E-2</v>
      </c>
      <c r="AM149" s="38">
        <f t="shared" si="900"/>
        <v>2.8000000000000001E-2</v>
      </c>
      <c r="AN149" s="38">
        <f t="shared" ref="AN149:AS149" si="901">AN147</f>
        <v>2.8000000000000001E-2</v>
      </c>
      <c r="AO149" s="38">
        <f t="shared" si="901"/>
        <v>3.5000000000000003E-2</v>
      </c>
      <c r="AP149" s="38">
        <f t="shared" si="901"/>
        <v>2.1000000000000001E-2</v>
      </c>
      <c r="AQ149" s="38">
        <f t="shared" si="901"/>
        <v>6.3E-2</v>
      </c>
      <c r="AR149" s="38">
        <f t="shared" si="901"/>
        <v>3.5999999999999997E-2</v>
      </c>
      <c r="AS149" s="38">
        <f t="shared" si="901"/>
        <v>2.3E-2</v>
      </c>
      <c r="AT149" s="38">
        <f t="shared" ref="AT149:BC149" si="902">AT147</f>
        <v>-2.5999999999999999E-2</v>
      </c>
      <c r="AU149" s="38">
        <f t="shared" si="902"/>
        <v>-0.443</v>
      </c>
      <c r="AV149" s="38">
        <f t="shared" si="902"/>
        <v>-0.29599999999999999</v>
      </c>
      <c r="AW149" s="38">
        <f t="shared" si="902"/>
        <v>-0.218</v>
      </c>
      <c r="AX149" s="38">
        <f t="shared" si="902"/>
        <v>-8.4000000000000005E-2</v>
      </c>
      <c r="AY149" s="38">
        <f t="shared" si="902"/>
        <v>0.86</v>
      </c>
      <c r="AZ149" s="38">
        <f t="shared" si="902"/>
        <v>0.435</v>
      </c>
      <c r="BA149" s="38">
        <f t="shared" si="902"/>
        <v>0.44500000000000001</v>
      </c>
      <c r="BB149" s="38">
        <f t="shared" si="902"/>
        <v>0.44400000000000001</v>
      </c>
      <c r="BC149" s="38">
        <f t="shared" si="902"/>
        <v>0.28100000000000003</v>
      </c>
      <c r="BD149" s="38">
        <f t="shared" ref="BD149:BI149" si="903">BD147</f>
        <v>0.23499999999999999</v>
      </c>
      <c r="BE149" s="38">
        <f t="shared" si="903"/>
        <v>0.16</v>
      </c>
      <c r="BF149" s="38">
        <f t="shared" si="903"/>
        <v>0.184</v>
      </c>
      <c r="BG149" s="38">
        <f t="shared" si="903"/>
        <v>0.14099999999999999</v>
      </c>
      <c r="BH149" s="38">
        <f t="shared" si="903"/>
        <v>0.16200000000000001</v>
      </c>
      <c r="BI149" s="38">
        <f t="shared" si="903"/>
        <v>0.13500000000000001</v>
      </c>
      <c r="BJ149" s="38">
        <f t="shared" ref="BJ149:BK149" si="904">BJ147</f>
        <v>0.10100000000000001</v>
      </c>
      <c r="BK149" s="1833">
        <f t="shared" si="904"/>
        <v>7.2999999999999995E-2</v>
      </c>
      <c r="BL149" s="45">
        <f t="shared" ref="BL149:BP149" si="905">+BL148*$CY149</f>
        <v>4.691657931847279E-2</v>
      </c>
      <c r="BM149" s="45">
        <f t="shared" si="905"/>
        <v>4.3916423901643048E-2</v>
      </c>
      <c r="BN149" s="45">
        <f t="shared" si="905"/>
        <v>3.9029082428482548E-2</v>
      </c>
      <c r="BO149" s="45">
        <f t="shared" si="905"/>
        <v>4.0127041016709164E-2</v>
      </c>
      <c r="BP149" s="45">
        <f t="shared" si="905"/>
        <v>3.7310424452889276E-2</v>
      </c>
      <c r="BQ149" s="45">
        <f t="shared" ref="BQ149:BY149" si="906">+BQ148*$CY149</f>
        <v>3.7499827374370118E-2</v>
      </c>
      <c r="BR149" s="45">
        <f t="shared" si="906"/>
        <v>3.7499827374370118E-2</v>
      </c>
      <c r="BS149" s="45">
        <f t="shared" si="906"/>
        <v>3.7499827374370118E-2</v>
      </c>
      <c r="BT149" s="45">
        <f t="shared" si="906"/>
        <v>3.7499827374370118E-2</v>
      </c>
      <c r="BU149" s="45">
        <f t="shared" si="906"/>
        <v>3.7499827374370118E-2</v>
      </c>
      <c r="BV149" s="45">
        <f t="shared" si="906"/>
        <v>3.7499827374370118E-2</v>
      </c>
      <c r="BW149" s="45">
        <f t="shared" si="906"/>
        <v>3.7499827374370118E-2</v>
      </c>
      <c r="BX149" s="45">
        <f t="shared" si="906"/>
        <v>3.7499827374370118E-2</v>
      </c>
      <c r="BY149" s="45">
        <f t="shared" si="906"/>
        <v>3.7499827374370118E-2</v>
      </c>
      <c r="BZ149" s="45">
        <f t="shared" ref="BZ149:CU149" si="907">+BZ148*$CZ149</f>
        <v>2.7899827374370113E-2</v>
      </c>
      <c r="CA149" s="45">
        <f t="shared" si="907"/>
        <v>2.7899827374370113E-2</v>
      </c>
      <c r="CB149" s="45">
        <f t="shared" si="907"/>
        <v>2.7899827374370113E-2</v>
      </c>
      <c r="CC149" s="45">
        <f t="shared" si="907"/>
        <v>2.7899827374370113E-2</v>
      </c>
      <c r="CD149" s="45">
        <f t="shared" si="907"/>
        <v>2.7899827374370113E-2</v>
      </c>
      <c r="CE149" s="45">
        <f t="shared" si="907"/>
        <v>2.7899827374370113E-2</v>
      </c>
      <c r="CF149" s="45">
        <f t="shared" si="907"/>
        <v>2.7899827374370113E-2</v>
      </c>
      <c r="CG149" s="45">
        <f t="shared" si="907"/>
        <v>2.7899827374370113E-2</v>
      </c>
      <c r="CH149" s="45">
        <f t="shared" si="907"/>
        <v>2.7899827374370113E-2</v>
      </c>
      <c r="CI149" s="45">
        <f t="shared" si="907"/>
        <v>2.7899827374370113E-2</v>
      </c>
      <c r="CJ149" s="45">
        <f t="shared" si="907"/>
        <v>2.7899827374370113E-2</v>
      </c>
      <c r="CK149" s="45">
        <f t="shared" si="907"/>
        <v>2.7899827374370113E-2</v>
      </c>
      <c r="CL149" s="45">
        <f t="shared" si="907"/>
        <v>2.7899827374370113E-2</v>
      </c>
      <c r="CM149" s="45">
        <f t="shared" si="907"/>
        <v>2.7899827374370113E-2</v>
      </c>
      <c r="CN149" s="45">
        <f t="shared" si="907"/>
        <v>2.7899827374370113E-2</v>
      </c>
      <c r="CO149" s="45">
        <f t="shared" si="907"/>
        <v>2.7899827374370113E-2</v>
      </c>
      <c r="CP149" s="45">
        <f t="shared" si="907"/>
        <v>2.7899827374370113E-2</v>
      </c>
      <c r="CQ149" s="45">
        <f t="shared" si="907"/>
        <v>2.7899827374370113E-2</v>
      </c>
      <c r="CR149" s="45">
        <f t="shared" si="907"/>
        <v>2.7899827374370113E-2</v>
      </c>
      <c r="CS149" s="45">
        <f t="shared" si="907"/>
        <v>2.7899827374370113E-2</v>
      </c>
      <c r="CT149" s="45">
        <f t="shared" si="907"/>
        <v>2.7899827374370113E-2</v>
      </c>
      <c r="CU149" s="45">
        <f t="shared" si="907"/>
        <v>2.7899827374370113E-2</v>
      </c>
      <c r="CV149" s="45">
        <f t="shared" ref="CV149:CW149" si="908">+CV148*$CZ149</f>
        <v>2.7899827374370113E-2</v>
      </c>
      <c r="CW149" s="45">
        <f t="shared" si="908"/>
        <v>2.7899827374370113E-2</v>
      </c>
      <c r="CX149" s="269"/>
      <c r="CY149" s="559">
        <v>0.8</v>
      </c>
      <c r="CZ149" s="559">
        <v>0.8</v>
      </c>
      <c r="DA149" s="269" t="s">
        <v>1420</v>
      </c>
    </row>
    <row r="150" spans="1:105">
      <c r="A150" s="86" t="s">
        <v>1268</v>
      </c>
      <c r="B150" s="392"/>
      <c r="C150" s="392"/>
      <c r="D150" s="392"/>
      <c r="E150" s="394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152">
        <f t="shared" ref="U150:AT150" si="909">+U146/U10</f>
        <v>1.175</v>
      </c>
      <c r="V150" s="152">
        <f t="shared" si="909"/>
        <v>0.68421052631578949</v>
      </c>
      <c r="W150" s="152">
        <f t="shared" si="909"/>
        <v>0.47368421052631576</v>
      </c>
      <c r="X150" s="152">
        <f t="shared" si="909"/>
        <v>-0.59523809523809523</v>
      </c>
      <c r="Y150" s="152">
        <f t="shared" si="909"/>
        <v>-0.68292682926829273</v>
      </c>
      <c r="Z150" s="152">
        <f t="shared" si="909"/>
        <v>0.83870967741935476</v>
      </c>
      <c r="AA150" s="152">
        <f t="shared" si="909"/>
        <v>0.68965517241379315</v>
      </c>
      <c r="AB150" s="152">
        <f t="shared" si="909"/>
        <v>2.3199999999999998</v>
      </c>
      <c r="AC150" s="152">
        <f t="shared" si="909"/>
        <v>2.9047619047619047</v>
      </c>
      <c r="AD150" s="152">
        <f t="shared" si="909"/>
        <v>2.3846153846153846</v>
      </c>
      <c r="AE150" s="152">
        <f t="shared" si="909"/>
        <v>2.48</v>
      </c>
      <c r="AF150" s="152">
        <f t="shared" si="909"/>
        <v>2.1333333333333333</v>
      </c>
      <c r="AG150" s="152">
        <f t="shared" si="909"/>
        <v>1.4411764705882353</v>
      </c>
      <c r="AH150" s="152">
        <f t="shared" si="909"/>
        <v>0.3518518518518518</v>
      </c>
      <c r="AI150" s="152">
        <f t="shared" si="909"/>
        <v>0.79365079365079372</v>
      </c>
      <c r="AJ150" s="152">
        <f t="shared" si="909"/>
        <v>0.26984126984126988</v>
      </c>
      <c r="AK150" s="152">
        <f t="shared" si="909"/>
        <v>0.57352941176470584</v>
      </c>
      <c r="AL150" s="152">
        <f t="shared" si="909"/>
        <v>1.4199999999999997</v>
      </c>
      <c r="AM150" s="152">
        <f t="shared" si="909"/>
        <v>0.60869565217391308</v>
      </c>
      <c r="AN150" s="152">
        <f t="shared" si="909"/>
        <v>0.55999999999999994</v>
      </c>
      <c r="AO150" s="152">
        <f t="shared" si="909"/>
        <v>0.72916666666666674</v>
      </c>
      <c r="AP150" s="152">
        <f t="shared" si="909"/>
        <v>0.52500000000000002</v>
      </c>
      <c r="AQ150" s="152">
        <f t="shared" si="909"/>
        <v>1.6153846153846154</v>
      </c>
      <c r="AR150" s="152">
        <f t="shared" si="909"/>
        <v>1.2</v>
      </c>
      <c r="AS150" s="152">
        <f t="shared" si="909"/>
        <v>0.82142857142857151</v>
      </c>
      <c r="AT150" s="152">
        <f t="shared" si="909"/>
        <v>-0.80023081499107995</v>
      </c>
      <c r="AU150" s="152">
        <f t="shared" ref="AU150:BC150" si="910">+AU146/AU10</f>
        <v>-13.287298780487877</v>
      </c>
      <c r="AV150" s="152">
        <f t="shared" si="910"/>
        <v>-7.3746001917545376</v>
      </c>
      <c r="AW150" s="152">
        <f t="shared" si="910"/>
        <v>-6.9204710818099979</v>
      </c>
      <c r="AX150" s="152">
        <f t="shared" si="910"/>
        <v>-1.7999181708784591</v>
      </c>
      <c r="AY150" s="152">
        <f t="shared" si="910"/>
        <v>14.629319521912311</v>
      </c>
      <c r="AZ150" s="152">
        <f t="shared" si="910"/>
        <v>7.2498211808232043</v>
      </c>
      <c r="BA150" s="152">
        <f t="shared" si="910"/>
        <v>6.0502171208162254</v>
      </c>
      <c r="BB150" s="152">
        <f t="shared" si="910"/>
        <v>5.956791361727646</v>
      </c>
      <c r="BC150" s="152">
        <f t="shared" si="910"/>
        <v>3.5185085309107036</v>
      </c>
      <c r="BD150" s="152">
        <f t="shared" ref="BD150:BI150" si="911">+BD146/BD10</f>
        <v>2.701227181544636</v>
      </c>
      <c r="BE150" s="152">
        <f t="shared" si="911"/>
        <v>2.0468135223555088</v>
      </c>
      <c r="BF150" s="152">
        <f t="shared" si="911"/>
        <v>2.686422357229648</v>
      </c>
      <c r="BG150" s="152">
        <f t="shared" si="911"/>
        <v>2.7890119935170206</v>
      </c>
      <c r="BH150" s="152">
        <f t="shared" si="911"/>
        <v>3.6367817624797292</v>
      </c>
      <c r="BI150" s="152">
        <f t="shared" si="911"/>
        <v>2.8964427480916064</v>
      </c>
      <c r="BJ150" s="152">
        <f t="shared" ref="BJ150:BK150" si="912">+BJ146/BJ10</f>
        <v>2.2845822762508852</v>
      </c>
      <c r="BK150" s="1834">
        <f t="shared" si="912"/>
        <v>1.5321305822512568</v>
      </c>
      <c r="BL150" s="395">
        <f t="shared" ref="BL150:BQ150" si="913">+BL146/BL10</f>
        <v>1.0749410219265401</v>
      </c>
      <c r="BM150" s="395">
        <f t="shared" si="913"/>
        <v>1.1007855776569568</v>
      </c>
      <c r="BN150" s="395">
        <f t="shared" si="913"/>
        <v>1.0062581133280708</v>
      </c>
      <c r="BO150" s="395">
        <f t="shared" si="913"/>
        <v>0.99920913341105355</v>
      </c>
      <c r="BP150" s="395">
        <f t="shared" si="913"/>
        <v>1.0183523479943712</v>
      </c>
      <c r="BQ150" s="395">
        <f t="shared" si="913"/>
        <v>1.016950422074687</v>
      </c>
      <c r="BR150" s="395">
        <f t="shared" ref="BR150:CK150" si="914">+BR146/BR10</f>
        <v>1.016950422074687</v>
      </c>
      <c r="BS150" s="395">
        <f t="shared" si="914"/>
        <v>1.016950422074687</v>
      </c>
      <c r="BT150" s="395">
        <f t="shared" si="914"/>
        <v>1.016950422074687</v>
      </c>
      <c r="BU150" s="395">
        <f t="shared" si="914"/>
        <v>1.016950422074687</v>
      </c>
      <c r="BV150" s="395">
        <f t="shared" si="914"/>
        <v>1.016950422074687</v>
      </c>
      <c r="BW150" s="395">
        <f t="shared" si="914"/>
        <v>1.016950422074687</v>
      </c>
      <c r="BX150" s="395">
        <f t="shared" si="914"/>
        <v>1.016950422074687</v>
      </c>
      <c r="BY150" s="395">
        <f t="shared" si="914"/>
        <v>1.016950422074687</v>
      </c>
      <c r="BZ150" s="395">
        <f t="shared" si="914"/>
        <v>0.75660991558506263</v>
      </c>
      <c r="CA150" s="395">
        <f t="shared" si="914"/>
        <v>0.75660991558506263</v>
      </c>
      <c r="CB150" s="395">
        <f t="shared" si="914"/>
        <v>0.75660991558506263</v>
      </c>
      <c r="CC150" s="395">
        <f t="shared" si="914"/>
        <v>0.75660991558506263</v>
      </c>
      <c r="CD150" s="395">
        <f t="shared" si="914"/>
        <v>0.75660991558506263</v>
      </c>
      <c r="CE150" s="395">
        <f t="shared" si="914"/>
        <v>0.75660991558506263</v>
      </c>
      <c r="CF150" s="395">
        <f t="shared" si="914"/>
        <v>0.75660991558506263</v>
      </c>
      <c r="CG150" s="395">
        <f t="shared" si="914"/>
        <v>0.75660991558506263</v>
      </c>
      <c r="CH150" s="395">
        <f t="shared" si="914"/>
        <v>0.75660991558506263</v>
      </c>
      <c r="CI150" s="395">
        <f t="shared" si="914"/>
        <v>0.75660991558506263</v>
      </c>
      <c r="CJ150" s="395">
        <f t="shared" si="914"/>
        <v>0.75660991558506263</v>
      </c>
      <c r="CK150" s="395">
        <f t="shared" si="914"/>
        <v>0.75660991558506263</v>
      </c>
      <c r="CL150" s="395">
        <f t="shared" ref="CL150:CP150" si="915">+CL146/CL10</f>
        <v>0.75660991558506263</v>
      </c>
      <c r="CM150" s="395">
        <f t="shared" si="915"/>
        <v>0.75660991558506263</v>
      </c>
      <c r="CN150" s="395">
        <f t="shared" si="915"/>
        <v>0.75660991558506263</v>
      </c>
      <c r="CO150" s="395">
        <f t="shared" si="915"/>
        <v>0.75660991558506263</v>
      </c>
      <c r="CP150" s="395">
        <f t="shared" si="915"/>
        <v>0.75660991558506263</v>
      </c>
      <c r="CQ150" s="395">
        <f t="shared" ref="CQ150:CU150" si="916">+CQ146/CQ10</f>
        <v>0.75660991558506263</v>
      </c>
      <c r="CR150" s="395">
        <f t="shared" si="916"/>
        <v>0.75660991558506263</v>
      </c>
      <c r="CS150" s="395">
        <f t="shared" si="916"/>
        <v>0.75660991558506263</v>
      </c>
      <c r="CT150" s="395">
        <f t="shared" si="916"/>
        <v>0.75660991558506263</v>
      </c>
      <c r="CU150" s="395">
        <f t="shared" si="916"/>
        <v>0.75660991558506263</v>
      </c>
      <c r="CV150" s="395">
        <f t="shared" ref="CV150:CW150" si="917">+CV146/CV10</f>
        <v>0.75660991558506263</v>
      </c>
      <c r="CW150" s="395">
        <f t="shared" si="917"/>
        <v>0.75660991558506263</v>
      </c>
      <c r="CX150" s="269"/>
      <c r="CY150" s="269"/>
      <c r="CZ150" s="269"/>
    </row>
    <row r="151" spans="1:105">
      <c r="A151" s="86"/>
      <c r="B151" s="388"/>
      <c r="C151" s="388"/>
      <c r="D151" s="388"/>
      <c r="E151" s="38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269"/>
      <c r="AN151" s="269"/>
      <c r="AO151" s="269"/>
      <c r="AP151" s="1412"/>
      <c r="AQ151" s="1412"/>
      <c r="AR151" s="1412"/>
      <c r="AS151" s="1412"/>
      <c r="AT151" s="1412"/>
      <c r="AU151" s="45"/>
      <c r="AV151" s="45"/>
      <c r="AW151" s="45"/>
      <c r="AX151" s="45"/>
      <c r="AY151" s="45"/>
      <c r="AZ151" s="45"/>
      <c r="BA151" s="45"/>
      <c r="BB151" s="45"/>
      <c r="BC151" s="45"/>
      <c r="BD151" s="45"/>
      <c r="BE151" s="45"/>
      <c r="BF151" s="45"/>
      <c r="BG151" s="45"/>
      <c r="BH151" s="45"/>
      <c r="BI151" s="45"/>
      <c r="BJ151" s="45"/>
      <c r="BK151" s="1828"/>
      <c r="BL151" s="45"/>
      <c r="BM151" s="45"/>
      <c r="BN151" s="45"/>
      <c r="BO151" s="45"/>
      <c r="BP151" s="45"/>
      <c r="BQ151" s="45"/>
      <c r="BR151" s="45"/>
      <c r="BS151" s="45"/>
      <c r="BT151" s="45"/>
      <c r="BU151" s="45"/>
      <c r="BV151" s="45"/>
      <c r="BW151" s="45"/>
      <c r="BX151" s="45"/>
      <c r="BY151" s="45"/>
      <c r="BZ151" s="45"/>
      <c r="CA151" s="45"/>
      <c r="CB151" s="45"/>
      <c r="CC151" s="45"/>
      <c r="CD151" s="45"/>
      <c r="CE151" s="45"/>
      <c r="CF151" s="45"/>
      <c r="CG151" s="45"/>
      <c r="CH151" s="45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269"/>
      <c r="CY151" s="269"/>
      <c r="CZ151" s="269"/>
    </row>
    <row r="152" spans="1:105">
      <c r="A152" s="694" t="s">
        <v>768</v>
      </c>
      <c r="B152" s="397"/>
      <c r="C152" s="397"/>
      <c r="D152" s="397"/>
      <c r="E152" s="397"/>
      <c r="F152" s="690"/>
      <c r="G152" s="690" t="str">
        <f t="shared" ref="G152:BQ152" si="918">CHOOSE(MASTERSWITCH,G153,G154,G155)</f>
        <v>NM</v>
      </c>
      <c r="H152" s="690" t="str">
        <f t="shared" si="918"/>
        <v>NM</v>
      </c>
      <c r="I152" s="690" t="str">
        <f t="shared" si="918"/>
        <v>NM</v>
      </c>
      <c r="J152" s="690" t="str">
        <f t="shared" si="918"/>
        <v>NM</v>
      </c>
      <c r="K152" s="690" t="str">
        <f t="shared" si="918"/>
        <v>NM</v>
      </c>
      <c r="L152" s="690" t="str">
        <f t="shared" si="918"/>
        <v>NM</v>
      </c>
      <c r="M152" s="690" t="str">
        <f t="shared" si="918"/>
        <v>NM</v>
      </c>
      <c r="N152" s="690" t="str">
        <f t="shared" si="918"/>
        <v>NM</v>
      </c>
      <c r="O152" s="690" t="str">
        <f t="shared" si="918"/>
        <v>NM</v>
      </c>
      <c r="P152" s="690" t="str">
        <f t="shared" si="918"/>
        <v>NM</v>
      </c>
      <c r="Q152" s="690" t="str">
        <f t="shared" si="918"/>
        <v>NM</v>
      </c>
      <c r="R152" s="690" t="str">
        <f t="shared" si="918"/>
        <v>NM</v>
      </c>
      <c r="S152" s="690" t="str">
        <f t="shared" si="918"/>
        <v>NM</v>
      </c>
      <c r="T152" s="690" t="str">
        <f t="shared" si="918"/>
        <v>NM</v>
      </c>
      <c r="U152" s="397">
        <f t="shared" si="918"/>
        <v>0.95936295435950614</v>
      </c>
      <c r="V152" s="397">
        <f t="shared" si="918"/>
        <v>0.86870024076751684</v>
      </c>
      <c r="W152" s="397">
        <f t="shared" si="918"/>
        <v>1.5482637092973675</v>
      </c>
      <c r="X152" s="397">
        <f t="shared" si="918"/>
        <v>1.6984684132624632</v>
      </c>
      <c r="Y152" s="397">
        <f t="shared" si="918"/>
        <v>2.0194745576776119</v>
      </c>
      <c r="Z152" s="397">
        <f t="shared" si="918"/>
        <v>0.36567271223042735</v>
      </c>
      <c r="AA152" s="397">
        <f t="shared" si="918"/>
        <v>-1.1605905292648453</v>
      </c>
      <c r="AB152" s="397">
        <f t="shared" ref="AB152:AM152" si="919">CHOOSE(MASTERSWITCH,AB153,AB154,AB155)</f>
        <v>-5.2086880812116059</v>
      </c>
      <c r="AC152" s="397">
        <f t="shared" si="919"/>
        <v>-6.6729488141267987</v>
      </c>
      <c r="AD152" s="397">
        <f t="shared" si="919"/>
        <v>0.54440980927900107</v>
      </c>
      <c r="AE152" s="397">
        <f t="shared" si="919"/>
        <v>1.9017053088325608</v>
      </c>
      <c r="AF152" s="397">
        <f t="shared" si="919"/>
        <v>-0.50923445834224801</v>
      </c>
      <c r="AG152" s="397">
        <f t="shared" si="919"/>
        <v>0.3353836933916754</v>
      </c>
      <c r="AH152" s="397">
        <f t="shared" si="919"/>
        <v>1.1387384487479393</v>
      </c>
      <c r="AI152" s="397">
        <f t="shared" si="919"/>
        <v>1.0482422674627634</v>
      </c>
      <c r="AJ152" s="397">
        <f t="shared" si="919"/>
        <v>1.400379980592277</v>
      </c>
      <c r="AK152" s="397">
        <f t="shared" si="919"/>
        <v>1.3924262411981316</v>
      </c>
      <c r="AL152" s="397">
        <f t="shared" si="919"/>
        <v>7.1321527976136574</v>
      </c>
      <c r="AM152" s="397">
        <f t="shared" si="919"/>
        <v>8.1024444533760054</v>
      </c>
      <c r="AN152" s="397">
        <f t="shared" ref="AN152:AS152" si="920">CHOOSE(MASTERSWITCH,AN153,AN154,AN155)</f>
        <v>8.7460239226337091</v>
      </c>
      <c r="AO152" s="397">
        <f t="shared" si="920"/>
        <v>9.1144209901855664</v>
      </c>
      <c r="AP152" s="397">
        <f t="shared" si="920"/>
        <v>0.57782532362546113</v>
      </c>
      <c r="AQ152" s="397">
        <f t="shared" si="920"/>
        <v>0.62845763942015886</v>
      </c>
      <c r="AR152" s="397">
        <f t="shared" si="920"/>
        <v>3.9205982996946949</v>
      </c>
      <c r="AS152" s="397">
        <f t="shared" si="920"/>
        <v>2.1150954454866677</v>
      </c>
      <c r="AT152" s="397">
        <f t="shared" ref="AT152:BC152" si="921">CHOOSE(MASTERSWITCH,AT153,AT154,AT155)</f>
        <v>-4.4658101113247213</v>
      </c>
      <c r="AU152" s="397">
        <f t="shared" si="921"/>
        <v>14.783493071042484</v>
      </c>
      <c r="AV152" s="397">
        <f t="shared" si="921"/>
        <v>4.1778309295041209</v>
      </c>
      <c r="AW152" s="397">
        <f t="shared" si="921"/>
        <v>9.8602796568419179E-2</v>
      </c>
      <c r="AX152" s="397">
        <f t="shared" si="921"/>
        <v>2.3115285547200912</v>
      </c>
      <c r="AY152" s="397">
        <f t="shared" si="921"/>
        <v>-6.6342996840309496</v>
      </c>
      <c r="AZ152" s="397">
        <f t="shared" si="921"/>
        <v>-0.82315390694067048</v>
      </c>
      <c r="BA152" s="397">
        <f t="shared" si="921"/>
        <v>-7.3148076138696852E-2</v>
      </c>
      <c r="BB152" s="397">
        <f t="shared" si="921"/>
        <v>-2.0183017270538604</v>
      </c>
      <c r="BC152" s="397">
        <f t="shared" si="921"/>
        <v>-1.642159296060955</v>
      </c>
      <c r="BD152" s="397">
        <f t="shared" ref="BD152:BI152" si="922">CHOOSE(MASTERSWITCH,BD153,BD154,BD155)</f>
        <v>4.8389872483075864</v>
      </c>
      <c r="BE152" s="397">
        <f t="shared" si="922"/>
        <v>1.510877237801602</v>
      </c>
      <c r="BF152" s="397">
        <f t="shared" si="922"/>
        <v>0.36388854363100531</v>
      </c>
      <c r="BG152" s="397">
        <f t="shared" si="922"/>
        <v>0.44557223542116653</v>
      </c>
      <c r="BH152" s="397">
        <f t="shared" si="922"/>
        <v>-0.90456374551732477</v>
      </c>
      <c r="BI152" s="397">
        <f t="shared" si="922"/>
        <v>-3.3820471621122454</v>
      </c>
      <c r="BJ152" s="397">
        <f t="shared" ref="BJ152:BK152" si="923">CHOOSE(MASTERSWITCH,BJ153,BJ154,BJ155)</f>
        <v>1.2636753819680391</v>
      </c>
      <c r="BK152" s="1824">
        <f t="shared" si="923"/>
        <v>0.37505980112221349</v>
      </c>
      <c r="BL152" s="398">
        <f t="shared" si="918"/>
        <v>0.8</v>
      </c>
      <c r="BM152" s="398">
        <f t="shared" si="918"/>
        <v>0.8</v>
      </c>
      <c r="BN152" s="398">
        <f t="shared" si="918"/>
        <v>0.8</v>
      </c>
      <c r="BO152" s="398">
        <f t="shared" si="918"/>
        <v>0.8</v>
      </c>
      <c r="BP152" s="398">
        <f t="shared" si="918"/>
        <v>0.8</v>
      </c>
      <c r="BQ152" s="398">
        <f t="shared" si="918"/>
        <v>0.8</v>
      </c>
      <c r="BR152" s="398">
        <f t="shared" ref="BR152:CK152" si="924">CHOOSE(MASTERSWITCH,BR153,BR154,BR155)</f>
        <v>0.8</v>
      </c>
      <c r="BS152" s="398">
        <f t="shared" si="924"/>
        <v>0.8</v>
      </c>
      <c r="BT152" s="398">
        <f t="shared" si="924"/>
        <v>0.8</v>
      </c>
      <c r="BU152" s="398">
        <f t="shared" si="924"/>
        <v>0.8</v>
      </c>
      <c r="BV152" s="398">
        <f t="shared" si="924"/>
        <v>0.8</v>
      </c>
      <c r="BW152" s="398">
        <f t="shared" si="924"/>
        <v>0.8</v>
      </c>
      <c r="BX152" s="398">
        <f t="shared" si="924"/>
        <v>0.8</v>
      </c>
      <c r="BY152" s="398">
        <f t="shared" si="924"/>
        <v>0.8</v>
      </c>
      <c r="BZ152" s="398">
        <f t="shared" si="924"/>
        <v>0.8</v>
      </c>
      <c r="CA152" s="398">
        <f t="shared" si="924"/>
        <v>0.8</v>
      </c>
      <c r="CB152" s="398">
        <f t="shared" si="924"/>
        <v>0.8</v>
      </c>
      <c r="CC152" s="398">
        <f t="shared" si="924"/>
        <v>0.8</v>
      </c>
      <c r="CD152" s="398">
        <f t="shared" si="924"/>
        <v>0.8</v>
      </c>
      <c r="CE152" s="398">
        <f t="shared" si="924"/>
        <v>0.8</v>
      </c>
      <c r="CF152" s="398">
        <f t="shared" si="924"/>
        <v>0.8</v>
      </c>
      <c r="CG152" s="398">
        <f t="shared" si="924"/>
        <v>0.8</v>
      </c>
      <c r="CH152" s="398">
        <f t="shared" si="924"/>
        <v>0.8</v>
      </c>
      <c r="CI152" s="398">
        <f t="shared" si="924"/>
        <v>0.8</v>
      </c>
      <c r="CJ152" s="398">
        <f t="shared" si="924"/>
        <v>0.8</v>
      </c>
      <c r="CK152" s="398">
        <f t="shared" si="924"/>
        <v>0.8</v>
      </c>
      <c r="CL152" s="398">
        <f t="shared" ref="CL152:CP152" si="925">CHOOSE(MASTERSWITCH,CL153,CL154,CL155)</f>
        <v>0.8</v>
      </c>
      <c r="CM152" s="398">
        <f t="shared" si="925"/>
        <v>0.8</v>
      </c>
      <c r="CN152" s="398">
        <f t="shared" si="925"/>
        <v>0.8</v>
      </c>
      <c r="CO152" s="398">
        <f t="shared" si="925"/>
        <v>0.8</v>
      </c>
      <c r="CP152" s="398">
        <f t="shared" si="925"/>
        <v>0.8</v>
      </c>
      <c r="CQ152" s="398">
        <f t="shared" ref="CQ152:CU152" si="926">CHOOSE(MASTERSWITCH,CQ153,CQ154,CQ155)</f>
        <v>0.8</v>
      </c>
      <c r="CR152" s="398">
        <f t="shared" si="926"/>
        <v>0.8</v>
      </c>
      <c r="CS152" s="398">
        <f t="shared" si="926"/>
        <v>0.8</v>
      </c>
      <c r="CT152" s="398">
        <f t="shared" si="926"/>
        <v>0.8</v>
      </c>
      <c r="CU152" s="398">
        <f t="shared" si="926"/>
        <v>0.8</v>
      </c>
      <c r="CV152" s="398">
        <f t="shared" ref="CV152:CW152" si="927">CHOOSE(MASTERSWITCH,CV153,CV154,CV155)</f>
        <v>0.8</v>
      </c>
      <c r="CW152" s="398">
        <f t="shared" si="927"/>
        <v>0.8</v>
      </c>
      <c r="CX152" s="269"/>
      <c r="CY152" s="269"/>
      <c r="CZ152" s="269"/>
    </row>
    <row r="153" spans="1:105">
      <c r="A153" s="695" t="s">
        <v>571</v>
      </c>
      <c r="B153" s="392"/>
      <c r="C153" s="392"/>
      <c r="D153" s="392"/>
      <c r="E153" s="393"/>
      <c r="F153" s="51"/>
      <c r="G153" s="51" t="str">
        <f>Q_IS!G50</f>
        <v>NM</v>
      </c>
      <c r="H153" s="51" t="str">
        <f>Q_IS!H50</f>
        <v>NM</v>
      </c>
      <c r="I153" s="51" t="str">
        <f>Q_IS!I50</f>
        <v>NM</v>
      </c>
      <c r="J153" s="51" t="str">
        <f>Q_IS!J50</f>
        <v>NM</v>
      </c>
      <c r="K153" s="51" t="str">
        <f>Q_IS!K50</f>
        <v>NM</v>
      </c>
      <c r="L153" s="51" t="str">
        <f>Q_IS!L50</f>
        <v>NM</v>
      </c>
      <c r="M153" s="51" t="str">
        <f>Q_IS!M50</f>
        <v>NM</v>
      </c>
      <c r="N153" s="51" t="str">
        <f>Q_IS!N50</f>
        <v>NM</v>
      </c>
      <c r="O153" s="51" t="str">
        <f>Q_IS!O50</f>
        <v>NM</v>
      </c>
      <c r="P153" s="51" t="str">
        <f>Q_IS!P50</f>
        <v>NM</v>
      </c>
      <c r="Q153" s="51" t="str">
        <f>Q_IS!Q50</f>
        <v>NM</v>
      </c>
      <c r="R153" s="51" t="str">
        <f>Q_IS!R50</f>
        <v>NM</v>
      </c>
      <c r="S153" s="51" t="str">
        <f>Q_IS!S50</f>
        <v>NM</v>
      </c>
      <c r="T153" s="51" t="str">
        <f>Q_IS!T50</f>
        <v>NM</v>
      </c>
      <c r="U153" s="38">
        <f>Q_IS!U50</f>
        <v>0.95936295435950614</v>
      </c>
      <c r="V153" s="38">
        <f>Q_IS!V50</f>
        <v>0.86870024076751684</v>
      </c>
      <c r="W153" s="38">
        <f>Q_IS!W50</f>
        <v>1.5482637092973675</v>
      </c>
      <c r="X153" s="38">
        <f>Q_IS!X50</f>
        <v>1.6984684132624632</v>
      </c>
      <c r="Y153" s="38">
        <f>Q_IS!Y50</f>
        <v>2.0194745576776119</v>
      </c>
      <c r="Z153" s="38">
        <f>Q_IS!Z50</f>
        <v>0.36567271223042735</v>
      </c>
      <c r="AA153" s="38">
        <f>Q_IS!AA50</f>
        <v>-1.1605905292648453</v>
      </c>
      <c r="AB153" s="38">
        <f>Q_IS!AB50</f>
        <v>-5.2086880812116059</v>
      </c>
      <c r="AC153" s="38">
        <f>Q_IS!AC50</f>
        <v>-6.6729488141267987</v>
      </c>
      <c r="AD153" s="38">
        <f>Q_IS!AD50</f>
        <v>0.54440980927900107</v>
      </c>
      <c r="AE153" s="38">
        <f>Q_IS!AE50</f>
        <v>1.9017053088325608</v>
      </c>
      <c r="AF153" s="38">
        <f>Q_IS!AF50</f>
        <v>-0.50923445834224801</v>
      </c>
      <c r="AG153" s="38">
        <f>Q_IS!AG50</f>
        <v>0.3353836933916754</v>
      </c>
      <c r="AH153" s="38">
        <f>Q_IS!AH50</f>
        <v>1.1387384487479393</v>
      </c>
      <c r="AI153" s="38">
        <f>Q_IS!AI50</f>
        <v>1.0482422674627634</v>
      </c>
      <c r="AJ153" s="38">
        <f>Q_IS!AJ50</f>
        <v>1.400379980592277</v>
      </c>
      <c r="AK153" s="38">
        <f>Q_IS!AK50</f>
        <v>1.3924262411981316</v>
      </c>
      <c r="AL153" s="38">
        <f>Q_IS!AL50</f>
        <v>7.1321527976136574</v>
      </c>
      <c r="AM153" s="38">
        <f>Q_IS!AM50</f>
        <v>8.1024444533760054</v>
      </c>
      <c r="AN153" s="38">
        <f>Q_IS!AN50</f>
        <v>8.7460239226337091</v>
      </c>
      <c r="AO153" s="38">
        <f>Q_IS!AO50</f>
        <v>9.1144209901855664</v>
      </c>
      <c r="AP153" s="38">
        <f>Q_IS!AP50</f>
        <v>0.57782532362546113</v>
      </c>
      <c r="AQ153" s="38">
        <f>Q_IS!AQ50</f>
        <v>0.62845763942015886</v>
      </c>
      <c r="AR153" s="38">
        <f>Q_IS!AR50</f>
        <v>3.9205982996946949</v>
      </c>
      <c r="AS153" s="38">
        <f>Q_IS!AS50</f>
        <v>2.1150954454866677</v>
      </c>
      <c r="AT153" s="38">
        <f>Q_IS!AT50</f>
        <v>-4.4658101113247213</v>
      </c>
      <c r="AU153" s="38">
        <f>Q_IS!AU50</f>
        <v>14.783493071042484</v>
      </c>
      <c r="AV153" s="38">
        <f>Q_IS!AV50</f>
        <v>4.1778309295041209</v>
      </c>
      <c r="AW153" s="38">
        <f>Q_IS!AW50</f>
        <v>9.8602796568419179E-2</v>
      </c>
      <c r="AX153" s="38">
        <f>Q_IS!AX50</f>
        <v>2.3115285547200912</v>
      </c>
      <c r="AY153" s="38">
        <f>Q_IS!AY50</f>
        <v>-6.6342996840309496</v>
      </c>
      <c r="AZ153" s="38">
        <f>Q_IS!AZ50</f>
        <v>-0.82315390694067048</v>
      </c>
      <c r="BA153" s="38">
        <f>Q_IS!BA50</f>
        <v>-7.3148076138696852E-2</v>
      </c>
      <c r="BB153" s="38">
        <f>Q_IS!BB50</f>
        <v>-2.0183017270538604</v>
      </c>
      <c r="BC153" s="38">
        <f>Q_IS!BC50</f>
        <v>-1.642159296060955</v>
      </c>
      <c r="BD153" s="38">
        <f>Q_IS!BD50</f>
        <v>4.8389872483075864</v>
      </c>
      <c r="BE153" s="38">
        <f>Q_IS!BE50</f>
        <v>1.510877237801602</v>
      </c>
      <c r="BF153" s="38">
        <f>Q_IS!BF50</f>
        <v>0.36388854363100531</v>
      </c>
      <c r="BG153" s="38">
        <f>Q_IS!BG50</f>
        <v>0.44557223542116653</v>
      </c>
      <c r="BH153" s="38">
        <f>Q_IS!BH50</f>
        <v>-0.90456374551732477</v>
      </c>
      <c r="BI153" s="38">
        <f>Q_IS!BI50</f>
        <v>-3.3820471621122454</v>
      </c>
      <c r="BJ153" s="38">
        <f>Q_IS!BJ50</f>
        <v>1.2636753819680391</v>
      </c>
      <c r="BK153" s="1833">
        <f>Q_IS!BK50</f>
        <v>0.37505980112221349</v>
      </c>
      <c r="BL153" s="45">
        <f t="shared" ref="BL153:BP153" si="928">BL154+$CY153</f>
        <v>0.8</v>
      </c>
      <c r="BM153" s="45">
        <f t="shared" si="928"/>
        <v>0.8</v>
      </c>
      <c r="BN153" s="45">
        <f t="shared" si="928"/>
        <v>0.8</v>
      </c>
      <c r="BO153" s="45">
        <f t="shared" si="928"/>
        <v>0.8</v>
      </c>
      <c r="BP153" s="45">
        <f t="shared" si="928"/>
        <v>0.8</v>
      </c>
      <c r="BQ153" s="45">
        <f t="shared" ref="BQ153:BY153" si="929">BQ154+$CY153</f>
        <v>0.8</v>
      </c>
      <c r="BR153" s="45">
        <f t="shared" si="929"/>
        <v>0.8</v>
      </c>
      <c r="BS153" s="45">
        <f t="shared" si="929"/>
        <v>0.8</v>
      </c>
      <c r="BT153" s="45">
        <f t="shared" si="929"/>
        <v>0.8</v>
      </c>
      <c r="BU153" s="45">
        <f t="shared" si="929"/>
        <v>0.8</v>
      </c>
      <c r="BV153" s="45">
        <f t="shared" si="929"/>
        <v>0.8</v>
      </c>
      <c r="BW153" s="45">
        <f t="shared" si="929"/>
        <v>0.8</v>
      </c>
      <c r="BX153" s="45">
        <f t="shared" si="929"/>
        <v>0.8</v>
      </c>
      <c r="BY153" s="45">
        <f t="shared" si="929"/>
        <v>0.8</v>
      </c>
      <c r="BZ153" s="45">
        <f t="shared" ref="BZ153:CU153" si="930">BZ154+$CZ153</f>
        <v>0.8</v>
      </c>
      <c r="CA153" s="45">
        <f t="shared" si="930"/>
        <v>0.8</v>
      </c>
      <c r="CB153" s="45">
        <f t="shared" si="930"/>
        <v>0.8</v>
      </c>
      <c r="CC153" s="45">
        <f t="shared" si="930"/>
        <v>0.8</v>
      </c>
      <c r="CD153" s="45">
        <f t="shared" si="930"/>
        <v>0.8</v>
      </c>
      <c r="CE153" s="45">
        <f t="shared" si="930"/>
        <v>0.8</v>
      </c>
      <c r="CF153" s="45">
        <f t="shared" si="930"/>
        <v>0.8</v>
      </c>
      <c r="CG153" s="45">
        <f t="shared" si="930"/>
        <v>0.8</v>
      </c>
      <c r="CH153" s="45">
        <f t="shared" si="930"/>
        <v>0.8</v>
      </c>
      <c r="CI153" s="45">
        <f t="shared" si="930"/>
        <v>0.8</v>
      </c>
      <c r="CJ153" s="45">
        <f t="shared" si="930"/>
        <v>0.8</v>
      </c>
      <c r="CK153" s="45">
        <f t="shared" si="930"/>
        <v>0.8</v>
      </c>
      <c r="CL153" s="45">
        <f t="shared" si="930"/>
        <v>0.8</v>
      </c>
      <c r="CM153" s="45">
        <f t="shared" si="930"/>
        <v>0.8</v>
      </c>
      <c r="CN153" s="45">
        <f t="shared" si="930"/>
        <v>0.8</v>
      </c>
      <c r="CO153" s="45">
        <f t="shared" si="930"/>
        <v>0.8</v>
      </c>
      <c r="CP153" s="45">
        <f t="shared" si="930"/>
        <v>0.8</v>
      </c>
      <c r="CQ153" s="45">
        <f t="shared" si="930"/>
        <v>0.8</v>
      </c>
      <c r="CR153" s="45">
        <f t="shared" si="930"/>
        <v>0.8</v>
      </c>
      <c r="CS153" s="45">
        <f t="shared" si="930"/>
        <v>0.8</v>
      </c>
      <c r="CT153" s="45">
        <f t="shared" si="930"/>
        <v>0.8</v>
      </c>
      <c r="CU153" s="45">
        <f t="shared" si="930"/>
        <v>0.8</v>
      </c>
      <c r="CV153" s="45">
        <f t="shared" ref="CV153:CW153" si="931">CV154+$CZ153</f>
        <v>0.8</v>
      </c>
      <c r="CW153" s="45">
        <f t="shared" si="931"/>
        <v>0.8</v>
      </c>
      <c r="CX153" s="269"/>
      <c r="CY153" s="559">
        <v>0</v>
      </c>
      <c r="CZ153" s="559">
        <v>0</v>
      </c>
    </row>
    <row r="154" spans="1:105">
      <c r="A154" s="695" t="s">
        <v>200</v>
      </c>
      <c r="B154" s="392"/>
      <c r="C154" s="392"/>
      <c r="D154" s="392"/>
      <c r="E154" s="394"/>
      <c r="F154" s="51"/>
      <c r="G154" s="51" t="str">
        <f t="shared" ref="G154:AA154" si="932">G153</f>
        <v>NM</v>
      </c>
      <c r="H154" s="51" t="str">
        <f t="shared" si="932"/>
        <v>NM</v>
      </c>
      <c r="I154" s="51" t="str">
        <f t="shared" si="932"/>
        <v>NM</v>
      </c>
      <c r="J154" s="51" t="str">
        <f t="shared" si="932"/>
        <v>NM</v>
      </c>
      <c r="K154" s="51" t="str">
        <f t="shared" si="932"/>
        <v>NM</v>
      </c>
      <c r="L154" s="51" t="str">
        <f t="shared" si="932"/>
        <v>NM</v>
      </c>
      <c r="M154" s="51" t="str">
        <f t="shared" si="932"/>
        <v>NM</v>
      </c>
      <c r="N154" s="51" t="str">
        <f t="shared" si="932"/>
        <v>NM</v>
      </c>
      <c r="O154" s="51" t="str">
        <f t="shared" si="932"/>
        <v>NM</v>
      </c>
      <c r="P154" s="51" t="str">
        <f t="shared" si="932"/>
        <v>NM</v>
      </c>
      <c r="Q154" s="51" t="str">
        <f t="shared" si="932"/>
        <v>NM</v>
      </c>
      <c r="R154" s="51" t="str">
        <f t="shared" si="932"/>
        <v>NM</v>
      </c>
      <c r="S154" s="51" t="str">
        <f t="shared" si="932"/>
        <v>NM</v>
      </c>
      <c r="T154" s="51" t="str">
        <f t="shared" si="932"/>
        <v>NM</v>
      </c>
      <c r="U154" s="38">
        <f t="shared" si="932"/>
        <v>0.95936295435950614</v>
      </c>
      <c r="V154" s="38">
        <f t="shared" si="932"/>
        <v>0.86870024076751684</v>
      </c>
      <c r="W154" s="38">
        <f t="shared" si="932"/>
        <v>1.5482637092973675</v>
      </c>
      <c r="X154" s="38">
        <f t="shared" si="932"/>
        <v>1.6984684132624632</v>
      </c>
      <c r="Y154" s="38">
        <f t="shared" si="932"/>
        <v>2.0194745576776119</v>
      </c>
      <c r="Z154" s="38">
        <f t="shared" si="932"/>
        <v>0.36567271223042735</v>
      </c>
      <c r="AA154" s="38">
        <f t="shared" si="932"/>
        <v>-1.1605905292648453</v>
      </c>
      <c r="AB154" s="38">
        <f t="shared" ref="AB154:AM154" si="933">AB153</f>
        <v>-5.2086880812116059</v>
      </c>
      <c r="AC154" s="38">
        <f t="shared" si="933"/>
        <v>-6.6729488141267987</v>
      </c>
      <c r="AD154" s="38">
        <f t="shared" si="933"/>
        <v>0.54440980927900107</v>
      </c>
      <c r="AE154" s="38">
        <f t="shared" si="933"/>
        <v>1.9017053088325608</v>
      </c>
      <c r="AF154" s="38">
        <f t="shared" si="933"/>
        <v>-0.50923445834224801</v>
      </c>
      <c r="AG154" s="38">
        <f t="shared" si="933"/>
        <v>0.3353836933916754</v>
      </c>
      <c r="AH154" s="38">
        <f t="shared" si="933"/>
        <v>1.1387384487479393</v>
      </c>
      <c r="AI154" s="38">
        <f t="shared" si="933"/>
        <v>1.0482422674627634</v>
      </c>
      <c r="AJ154" s="38">
        <f t="shared" si="933"/>
        <v>1.400379980592277</v>
      </c>
      <c r="AK154" s="38">
        <f t="shared" si="933"/>
        <v>1.3924262411981316</v>
      </c>
      <c r="AL154" s="38">
        <f t="shared" si="933"/>
        <v>7.1321527976136574</v>
      </c>
      <c r="AM154" s="38">
        <f t="shared" si="933"/>
        <v>8.1024444533760054</v>
      </c>
      <c r="AN154" s="38">
        <f t="shared" ref="AN154:AS154" si="934">AN153</f>
        <v>8.7460239226337091</v>
      </c>
      <c r="AO154" s="38">
        <f t="shared" si="934"/>
        <v>9.1144209901855664</v>
      </c>
      <c r="AP154" s="38">
        <f t="shared" si="934"/>
        <v>0.57782532362546113</v>
      </c>
      <c r="AQ154" s="38">
        <f t="shared" si="934"/>
        <v>0.62845763942015886</v>
      </c>
      <c r="AR154" s="38">
        <f t="shared" si="934"/>
        <v>3.9205982996946949</v>
      </c>
      <c r="AS154" s="38">
        <f t="shared" si="934"/>
        <v>2.1150954454866677</v>
      </c>
      <c r="AT154" s="38">
        <f t="shared" ref="AT154:BC154" si="935">AT153</f>
        <v>-4.4658101113247213</v>
      </c>
      <c r="AU154" s="38">
        <f t="shared" si="935"/>
        <v>14.783493071042484</v>
      </c>
      <c r="AV154" s="38">
        <f t="shared" si="935"/>
        <v>4.1778309295041209</v>
      </c>
      <c r="AW154" s="38">
        <f t="shared" si="935"/>
        <v>9.8602796568419179E-2</v>
      </c>
      <c r="AX154" s="38">
        <f t="shared" si="935"/>
        <v>2.3115285547200912</v>
      </c>
      <c r="AY154" s="38">
        <f t="shared" si="935"/>
        <v>-6.6342996840309496</v>
      </c>
      <c r="AZ154" s="38">
        <f t="shared" si="935"/>
        <v>-0.82315390694067048</v>
      </c>
      <c r="BA154" s="38">
        <f t="shared" si="935"/>
        <v>-7.3148076138696852E-2</v>
      </c>
      <c r="BB154" s="38">
        <f t="shared" si="935"/>
        <v>-2.0183017270538604</v>
      </c>
      <c r="BC154" s="38">
        <f t="shared" si="935"/>
        <v>-1.642159296060955</v>
      </c>
      <c r="BD154" s="38">
        <f t="shared" ref="BD154:BI154" si="936">BD153</f>
        <v>4.8389872483075864</v>
      </c>
      <c r="BE154" s="38">
        <f t="shared" si="936"/>
        <v>1.510877237801602</v>
      </c>
      <c r="BF154" s="38">
        <f t="shared" si="936"/>
        <v>0.36388854363100531</v>
      </c>
      <c r="BG154" s="38">
        <f t="shared" si="936"/>
        <v>0.44557223542116653</v>
      </c>
      <c r="BH154" s="38">
        <f t="shared" si="936"/>
        <v>-0.90456374551732477</v>
      </c>
      <c r="BI154" s="38">
        <f t="shared" si="936"/>
        <v>-3.3820471621122454</v>
      </c>
      <c r="BJ154" s="38">
        <f t="shared" ref="BJ154:BK154" si="937">BJ153</f>
        <v>1.2636753819680391</v>
      </c>
      <c r="BK154" s="1833">
        <f t="shared" si="937"/>
        <v>0.37505980112221349</v>
      </c>
      <c r="BL154" s="559">
        <v>0.8</v>
      </c>
      <c r="BM154" s="559">
        <v>0.8</v>
      </c>
      <c r="BN154" s="559">
        <v>0.8</v>
      </c>
      <c r="BO154" s="559">
        <v>0.8</v>
      </c>
      <c r="BP154" s="559">
        <v>0.8</v>
      </c>
      <c r="BQ154" s="559">
        <v>0.8</v>
      </c>
      <c r="BR154" s="559">
        <v>0.8</v>
      </c>
      <c r="BS154" s="559">
        <v>0.8</v>
      </c>
      <c r="BT154" s="559">
        <v>0.8</v>
      </c>
      <c r="BU154" s="559">
        <v>0.8</v>
      </c>
      <c r="BV154" s="559">
        <v>0.8</v>
      </c>
      <c r="BW154" s="559">
        <v>0.8</v>
      </c>
      <c r="BX154" s="559">
        <v>0.8</v>
      </c>
      <c r="BY154" s="559">
        <v>0.8</v>
      </c>
      <c r="BZ154" s="559">
        <v>0.8</v>
      </c>
      <c r="CA154" s="559">
        <v>0.8</v>
      </c>
      <c r="CB154" s="559">
        <v>0.8</v>
      </c>
      <c r="CC154" s="559">
        <v>0.8</v>
      </c>
      <c r="CD154" s="559">
        <v>0.8</v>
      </c>
      <c r="CE154" s="559">
        <v>0.8</v>
      </c>
      <c r="CF154" s="559">
        <v>0.8</v>
      </c>
      <c r="CG154" s="559">
        <v>0.8</v>
      </c>
      <c r="CH154" s="559">
        <v>0.8</v>
      </c>
      <c r="CI154" s="559">
        <v>0.8</v>
      </c>
      <c r="CJ154" s="559">
        <v>0.8</v>
      </c>
      <c r="CK154" s="559">
        <v>0.8</v>
      </c>
      <c r="CL154" s="559">
        <v>0.8</v>
      </c>
      <c r="CM154" s="559">
        <v>0.8</v>
      </c>
      <c r="CN154" s="559">
        <v>0.8</v>
      </c>
      <c r="CO154" s="559">
        <v>0.8</v>
      </c>
      <c r="CP154" s="559">
        <v>0.8</v>
      </c>
      <c r="CQ154" s="559">
        <v>0.8</v>
      </c>
      <c r="CR154" s="559">
        <v>0.8</v>
      </c>
      <c r="CS154" s="559">
        <v>0.8</v>
      </c>
      <c r="CT154" s="559">
        <v>0.8</v>
      </c>
      <c r="CU154" s="559">
        <v>0.8</v>
      </c>
      <c r="CV154" s="559">
        <v>0.8</v>
      </c>
      <c r="CW154" s="559">
        <v>0.8</v>
      </c>
      <c r="CX154" s="269"/>
    </row>
    <row r="155" spans="1:105">
      <c r="A155" s="695" t="s">
        <v>202</v>
      </c>
      <c r="B155" s="392"/>
      <c r="C155" s="392"/>
      <c r="D155" s="392"/>
      <c r="E155" s="394"/>
      <c r="F155" s="51"/>
      <c r="G155" s="51" t="str">
        <f t="shared" ref="G155:AA155" si="938">G153</f>
        <v>NM</v>
      </c>
      <c r="H155" s="51" t="str">
        <f t="shared" si="938"/>
        <v>NM</v>
      </c>
      <c r="I155" s="51" t="str">
        <f t="shared" si="938"/>
        <v>NM</v>
      </c>
      <c r="J155" s="51" t="str">
        <f t="shared" si="938"/>
        <v>NM</v>
      </c>
      <c r="K155" s="51" t="str">
        <f t="shared" si="938"/>
        <v>NM</v>
      </c>
      <c r="L155" s="51" t="str">
        <f t="shared" si="938"/>
        <v>NM</v>
      </c>
      <c r="M155" s="51" t="str">
        <f t="shared" si="938"/>
        <v>NM</v>
      </c>
      <c r="N155" s="51" t="str">
        <f t="shared" si="938"/>
        <v>NM</v>
      </c>
      <c r="O155" s="51" t="str">
        <f t="shared" si="938"/>
        <v>NM</v>
      </c>
      <c r="P155" s="51" t="str">
        <f t="shared" si="938"/>
        <v>NM</v>
      </c>
      <c r="Q155" s="51" t="str">
        <f t="shared" si="938"/>
        <v>NM</v>
      </c>
      <c r="R155" s="51" t="str">
        <f t="shared" si="938"/>
        <v>NM</v>
      </c>
      <c r="S155" s="51" t="str">
        <f t="shared" si="938"/>
        <v>NM</v>
      </c>
      <c r="T155" s="51" t="str">
        <f t="shared" si="938"/>
        <v>NM</v>
      </c>
      <c r="U155" s="38">
        <f t="shared" si="938"/>
        <v>0.95936295435950614</v>
      </c>
      <c r="V155" s="38">
        <f t="shared" si="938"/>
        <v>0.86870024076751684</v>
      </c>
      <c r="W155" s="38">
        <f t="shared" si="938"/>
        <v>1.5482637092973675</v>
      </c>
      <c r="X155" s="38">
        <f t="shared" si="938"/>
        <v>1.6984684132624632</v>
      </c>
      <c r="Y155" s="38">
        <f t="shared" si="938"/>
        <v>2.0194745576776119</v>
      </c>
      <c r="Z155" s="38">
        <f t="shared" si="938"/>
        <v>0.36567271223042735</v>
      </c>
      <c r="AA155" s="38">
        <f t="shared" si="938"/>
        <v>-1.1605905292648453</v>
      </c>
      <c r="AB155" s="38">
        <f t="shared" ref="AB155:AM155" si="939">AB153</f>
        <v>-5.2086880812116059</v>
      </c>
      <c r="AC155" s="38">
        <f t="shared" si="939"/>
        <v>-6.6729488141267987</v>
      </c>
      <c r="AD155" s="38">
        <f t="shared" si="939"/>
        <v>0.54440980927900107</v>
      </c>
      <c r="AE155" s="38">
        <f t="shared" si="939"/>
        <v>1.9017053088325608</v>
      </c>
      <c r="AF155" s="38">
        <f t="shared" si="939"/>
        <v>-0.50923445834224801</v>
      </c>
      <c r="AG155" s="38">
        <f t="shared" si="939"/>
        <v>0.3353836933916754</v>
      </c>
      <c r="AH155" s="38">
        <f t="shared" si="939"/>
        <v>1.1387384487479393</v>
      </c>
      <c r="AI155" s="38">
        <f t="shared" si="939"/>
        <v>1.0482422674627634</v>
      </c>
      <c r="AJ155" s="38">
        <f t="shared" si="939"/>
        <v>1.400379980592277</v>
      </c>
      <c r="AK155" s="38">
        <f t="shared" si="939"/>
        <v>1.3924262411981316</v>
      </c>
      <c r="AL155" s="38">
        <f t="shared" si="939"/>
        <v>7.1321527976136574</v>
      </c>
      <c r="AM155" s="38">
        <f t="shared" si="939"/>
        <v>8.1024444533760054</v>
      </c>
      <c r="AN155" s="38">
        <f t="shared" ref="AN155:AS155" si="940">AN153</f>
        <v>8.7460239226337091</v>
      </c>
      <c r="AO155" s="38">
        <f t="shared" si="940"/>
        <v>9.1144209901855664</v>
      </c>
      <c r="AP155" s="38">
        <f t="shared" si="940"/>
        <v>0.57782532362546113</v>
      </c>
      <c r="AQ155" s="38">
        <f t="shared" si="940"/>
        <v>0.62845763942015886</v>
      </c>
      <c r="AR155" s="38">
        <f t="shared" si="940"/>
        <v>3.9205982996946949</v>
      </c>
      <c r="AS155" s="38">
        <f t="shared" si="940"/>
        <v>2.1150954454866677</v>
      </c>
      <c r="AT155" s="38">
        <f t="shared" ref="AT155:BC155" si="941">AT153</f>
        <v>-4.4658101113247213</v>
      </c>
      <c r="AU155" s="38">
        <f t="shared" si="941"/>
        <v>14.783493071042484</v>
      </c>
      <c r="AV155" s="38">
        <f t="shared" si="941"/>
        <v>4.1778309295041209</v>
      </c>
      <c r="AW155" s="38">
        <f t="shared" si="941"/>
        <v>9.8602796568419179E-2</v>
      </c>
      <c r="AX155" s="38">
        <f t="shared" si="941"/>
        <v>2.3115285547200912</v>
      </c>
      <c r="AY155" s="38">
        <f t="shared" si="941"/>
        <v>-6.6342996840309496</v>
      </c>
      <c r="AZ155" s="38">
        <f t="shared" si="941"/>
        <v>-0.82315390694067048</v>
      </c>
      <c r="BA155" s="38">
        <f t="shared" si="941"/>
        <v>-7.3148076138696852E-2</v>
      </c>
      <c r="BB155" s="38">
        <f t="shared" si="941"/>
        <v>-2.0183017270538604</v>
      </c>
      <c r="BC155" s="38">
        <f t="shared" si="941"/>
        <v>-1.642159296060955</v>
      </c>
      <c r="BD155" s="38">
        <f t="shared" ref="BD155:BI155" si="942">BD153</f>
        <v>4.8389872483075864</v>
      </c>
      <c r="BE155" s="38">
        <f t="shared" si="942"/>
        <v>1.510877237801602</v>
      </c>
      <c r="BF155" s="38">
        <f t="shared" si="942"/>
        <v>0.36388854363100531</v>
      </c>
      <c r="BG155" s="38">
        <f t="shared" si="942"/>
        <v>0.44557223542116653</v>
      </c>
      <c r="BH155" s="38">
        <f t="shared" si="942"/>
        <v>-0.90456374551732477</v>
      </c>
      <c r="BI155" s="38">
        <f t="shared" si="942"/>
        <v>-3.3820471621122454</v>
      </c>
      <c r="BJ155" s="38">
        <f t="shared" ref="BJ155:BK155" si="943">BJ153</f>
        <v>1.2636753819680391</v>
      </c>
      <c r="BK155" s="1833">
        <f t="shared" si="943"/>
        <v>0.37505980112221349</v>
      </c>
      <c r="BL155" s="45">
        <f t="shared" ref="BL155:BP155" si="944">BL154+$CY155</f>
        <v>0.8</v>
      </c>
      <c r="BM155" s="45">
        <f t="shared" si="944"/>
        <v>0.8</v>
      </c>
      <c r="BN155" s="45">
        <f t="shared" si="944"/>
        <v>0.8</v>
      </c>
      <c r="BO155" s="45">
        <f t="shared" si="944"/>
        <v>0.8</v>
      </c>
      <c r="BP155" s="45">
        <f t="shared" si="944"/>
        <v>0.8</v>
      </c>
      <c r="BQ155" s="45">
        <f t="shared" ref="BQ155:BY155" si="945">BQ154+$CY155</f>
        <v>0.8</v>
      </c>
      <c r="BR155" s="45">
        <f t="shared" si="945"/>
        <v>0.8</v>
      </c>
      <c r="BS155" s="45">
        <f t="shared" si="945"/>
        <v>0.8</v>
      </c>
      <c r="BT155" s="45">
        <f t="shared" si="945"/>
        <v>0.8</v>
      </c>
      <c r="BU155" s="45">
        <f t="shared" si="945"/>
        <v>0.8</v>
      </c>
      <c r="BV155" s="45">
        <f t="shared" si="945"/>
        <v>0.8</v>
      </c>
      <c r="BW155" s="45">
        <f t="shared" si="945"/>
        <v>0.8</v>
      </c>
      <c r="BX155" s="45">
        <f t="shared" si="945"/>
        <v>0.8</v>
      </c>
      <c r="BY155" s="45">
        <f t="shared" si="945"/>
        <v>0.8</v>
      </c>
      <c r="BZ155" s="45">
        <f t="shared" ref="BZ155:CU155" si="946">BZ154+$CZ155</f>
        <v>0.8</v>
      </c>
      <c r="CA155" s="45">
        <f t="shared" si="946"/>
        <v>0.8</v>
      </c>
      <c r="CB155" s="45">
        <f t="shared" si="946"/>
        <v>0.8</v>
      </c>
      <c r="CC155" s="45">
        <f t="shared" si="946"/>
        <v>0.8</v>
      </c>
      <c r="CD155" s="45">
        <f t="shared" si="946"/>
        <v>0.8</v>
      </c>
      <c r="CE155" s="45">
        <f t="shared" si="946"/>
        <v>0.8</v>
      </c>
      <c r="CF155" s="45">
        <f t="shared" si="946"/>
        <v>0.8</v>
      </c>
      <c r="CG155" s="45">
        <f t="shared" si="946"/>
        <v>0.8</v>
      </c>
      <c r="CH155" s="45">
        <f t="shared" si="946"/>
        <v>0.8</v>
      </c>
      <c r="CI155" s="45">
        <f t="shared" si="946"/>
        <v>0.8</v>
      </c>
      <c r="CJ155" s="45">
        <f t="shared" si="946"/>
        <v>0.8</v>
      </c>
      <c r="CK155" s="45">
        <f t="shared" si="946"/>
        <v>0.8</v>
      </c>
      <c r="CL155" s="45">
        <f t="shared" si="946"/>
        <v>0.8</v>
      </c>
      <c r="CM155" s="45">
        <f t="shared" si="946"/>
        <v>0.8</v>
      </c>
      <c r="CN155" s="45">
        <f t="shared" si="946"/>
        <v>0.8</v>
      </c>
      <c r="CO155" s="45">
        <f t="shared" si="946"/>
        <v>0.8</v>
      </c>
      <c r="CP155" s="45">
        <f t="shared" si="946"/>
        <v>0.8</v>
      </c>
      <c r="CQ155" s="45">
        <f t="shared" si="946"/>
        <v>0.8</v>
      </c>
      <c r="CR155" s="45">
        <f t="shared" si="946"/>
        <v>0.8</v>
      </c>
      <c r="CS155" s="45">
        <f t="shared" si="946"/>
        <v>0.8</v>
      </c>
      <c r="CT155" s="45">
        <f t="shared" si="946"/>
        <v>0.8</v>
      </c>
      <c r="CU155" s="45">
        <f t="shared" si="946"/>
        <v>0.8</v>
      </c>
      <c r="CV155" s="45">
        <f t="shared" ref="CV155:CW155" si="947">CV154+$CZ155</f>
        <v>0.8</v>
      </c>
      <c r="CW155" s="45">
        <f t="shared" si="947"/>
        <v>0.8</v>
      </c>
      <c r="CX155" s="269"/>
      <c r="CY155" s="559">
        <v>0</v>
      </c>
      <c r="CZ155" s="559">
        <v>0</v>
      </c>
    </row>
    <row r="156" spans="1:105">
      <c r="A156" s="42"/>
      <c r="B156" s="388"/>
      <c r="C156" s="388"/>
      <c r="D156" s="388"/>
      <c r="E156" s="38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1835"/>
      <c r="BL156" s="45"/>
      <c r="BM156" s="45"/>
      <c r="BN156" s="45"/>
      <c r="BO156" s="45"/>
      <c r="BP156" s="45"/>
      <c r="BQ156" s="45"/>
      <c r="BR156" s="45"/>
      <c r="BS156" s="45"/>
      <c r="BT156" s="45"/>
      <c r="BU156" s="45"/>
      <c r="BV156" s="45"/>
      <c r="BW156" s="45"/>
      <c r="BX156" s="45"/>
      <c r="BY156" s="45"/>
      <c r="BZ156" s="45"/>
      <c r="CA156" s="45"/>
      <c r="CB156" s="45"/>
      <c r="CC156" s="45"/>
      <c r="CD156" s="45"/>
      <c r="CE156" s="45"/>
      <c r="CF156" s="45"/>
      <c r="CG156" s="45"/>
      <c r="CH156" s="45"/>
      <c r="CI156" s="45"/>
      <c r="CJ156" s="45"/>
      <c r="CK156" s="45"/>
      <c r="CL156" s="45"/>
      <c r="CM156" s="45"/>
      <c r="CN156" s="45"/>
      <c r="CO156" s="45"/>
      <c r="CP156" s="45"/>
      <c r="CQ156" s="45"/>
      <c r="CR156" s="45"/>
      <c r="CS156" s="45"/>
      <c r="CT156" s="45"/>
      <c r="CU156" s="45"/>
      <c r="CV156" s="45"/>
      <c r="CW156" s="45"/>
      <c r="CX156" s="269"/>
      <c r="CY156" s="269"/>
      <c r="CZ156" s="269"/>
    </row>
    <row r="157" spans="1:105">
      <c r="A157" s="691" t="s">
        <v>939</v>
      </c>
      <c r="B157" s="388"/>
      <c r="C157" s="388"/>
      <c r="D157" s="388"/>
      <c r="E157" s="38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  <c r="AY157" s="269"/>
      <c r="AZ157" s="269"/>
      <c r="BA157" s="269"/>
      <c r="BB157" s="269"/>
      <c r="BC157" s="269"/>
      <c r="BD157" s="269"/>
      <c r="BE157" s="269"/>
      <c r="BF157" s="269"/>
      <c r="BG157" s="269"/>
      <c r="BH157" s="269"/>
      <c r="BI157" s="269"/>
      <c r="BJ157" s="269"/>
      <c r="BK157" s="183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  <c r="CJ157" s="45"/>
      <c r="CK157" s="45"/>
      <c r="CL157" s="45"/>
      <c r="CM157" s="45"/>
      <c r="CN157" s="45"/>
      <c r="CO157" s="45"/>
      <c r="CP157" s="45"/>
      <c r="CQ157" s="45"/>
      <c r="CR157" s="45"/>
      <c r="CS157" s="45"/>
      <c r="CT157" s="45"/>
      <c r="CU157" s="45"/>
      <c r="CV157" s="45"/>
      <c r="CW157" s="45"/>
      <c r="CX157" s="269"/>
      <c r="CY157" s="269"/>
      <c r="CZ157" s="269"/>
    </row>
    <row r="158" spans="1:105">
      <c r="A158" s="694" t="s">
        <v>959</v>
      </c>
      <c r="B158" s="397"/>
      <c r="C158" s="397"/>
      <c r="D158" s="397"/>
      <c r="E158" s="397"/>
      <c r="F158" s="690">
        <f t="shared" ref="F158:AM158" si="948">CHOOSE(MASTERSWITCH,F159,F160,F161)</f>
        <v>0</v>
      </c>
      <c r="G158" s="690" t="str">
        <f t="shared" si="948"/>
        <v>NM</v>
      </c>
      <c r="H158" s="690" t="str">
        <f t="shared" si="948"/>
        <v>NM</v>
      </c>
      <c r="I158" s="690" t="str">
        <f t="shared" si="948"/>
        <v>NM</v>
      </c>
      <c r="J158" s="690" t="str">
        <f t="shared" si="948"/>
        <v>NM</v>
      </c>
      <c r="K158" s="690">
        <f t="shared" si="948"/>
        <v>-6.8181818181818121E-2</v>
      </c>
      <c r="L158" s="690">
        <f t="shared" si="948"/>
        <v>-0.14322916666666663</v>
      </c>
      <c r="M158" s="690">
        <f t="shared" si="948"/>
        <v>-0.18226600985221675</v>
      </c>
      <c r="N158" s="690">
        <f t="shared" si="948"/>
        <v>-0.22883295194508002</v>
      </c>
      <c r="O158" s="690">
        <f t="shared" si="948"/>
        <v>-3.0228577434179282E-3</v>
      </c>
      <c r="P158" s="690">
        <f t="shared" si="948"/>
        <v>-7.8795857639275546E-2</v>
      </c>
      <c r="Q158" s="690">
        <f t="shared" si="948"/>
        <v>-4.6945975749108526E-2</v>
      </c>
      <c r="R158" s="690">
        <f t="shared" si="948"/>
        <v>-0.42323843193331501</v>
      </c>
      <c r="S158" s="690">
        <f t="shared" si="948"/>
        <v>-0.22849526203605031</v>
      </c>
      <c r="T158" s="690">
        <f t="shared" si="948"/>
        <v>-7.2889215781015038E-2</v>
      </c>
      <c r="U158" s="397">
        <f t="shared" si="948"/>
        <v>-5.5033947733181043E-2</v>
      </c>
      <c r="V158" s="397">
        <f t="shared" si="948"/>
        <v>0.8143295593108999</v>
      </c>
      <c r="W158" s="397">
        <f t="shared" si="948"/>
        <v>0.92454702081242002</v>
      </c>
      <c r="X158" s="397">
        <f t="shared" si="948"/>
        <v>0.31634963044203346</v>
      </c>
      <c r="Y158" s="397">
        <f t="shared" si="948"/>
        <v>0.80441194088664214</v>
      </c>
      <c r="Z158" s="397">
        <f t="shared" si="948"/>
        <v>-2.8927422010922688E-2</v>
      </c>
      <c r="AA158" s="397">
        <f t="shared" si="948"/>
        <v>4.7562749035258589E-2</v>
      </c>
      <c r="AB158" s="397">
        <f t="shared" si="948"/>
        <v>0.2747612951029883</v>
      </c>
      <c r="AC158" s="397">
        <f t="shared" si="948"/>
        <v>0.12909484829980311</v>
      </c>
      <c r="AD158" s="397">
        <f t="shared" si="948"/>
        <v>0.21360517467297524</v>
      </c>
      <c r="AE158" s="397">
        <f t="shared" si="948"/>
        <v>0.1020318963947846</v>
      </c>
      <c r="AF158" s="397">
        <f t="shared" si="948"/>
        <v>-4.6725527651680476E-2</v>
      </c>
      <c r="AG158" s="397">
        <f t="shared" si="948"/>
        <v>3.1774923282099632E-3</v>
      </c>
      <c r="AH158" s="397">
        <f t="shared" si="948"/>
        <v>-1.2882216392944734E-2</v>
      </c>
      <c r="AI158" s="397">
        <f t="shared" si="948"/>
        <v>-0.12880675512282669</v>
      </c>
      <c r="AJ158" s="397">
        <f t="shared" si="948"/>
        <v>-0.18503372993171263</v>
      </c>
      <c r="AK158" s="397">
        <f t="shared" si="948"/>
        <v>-0.26667402744211133</v>
      </c>
      <c r="AL158" s="397">
        <f t="shared" si="948"/>
        <v>0.22632058287795992</v>
      </c>
      <c r="AM158" s="397">
        <f t="shared" si="948"/>
        <v>0.19270386266094422</v>
      </c>
      <c r="AN158" s="397">
        <f t="shared" ref="AN158:AS158" si="949">CHOOSE(MASTERSWITCH,AN159,AN160,AN161)</f>
        <v>0.18828828828828828</v>
      </c>
      <c r="AO158" s="397">
        <f t="shared" si="949"/>
        <v>0.2226704316256555</v>
      </c>
      <c r="AP158" s="397">
        <f t="shared" si="949"/>
        <v>0.33539094650205764</v>
      </c>
      <c r="AQ158" s="397">
        <f t="shared" si="949"/>
        <v>0.30329593267882188</v>
      </c>
      <c r="AR158" s="397">
        <f t="shared" si="949"/>
        <v>0.29502762430939228</v>
      </c>
      <c r="AS158" s="397">
        <f t="shared" si="949"/>
        <v>0.39477774323904258</v>
      </c>
      <c r="AT158" s="397">
        <f t="shared" ref="AT158:BC158" si="950">CHOOSE(MASTERSWITCH,AT159,AT160,AT161)</f>
        <v>0.22323983972524328</v>
      </c>
      <c r="AU158" s="397">
        <f t="shared" si="950"/>
        <v>0.54527938342967242</v>
      </c>
      <c r="AV158" s="397">
        <f t="shared" si="950"/>
        <v>0.44806338028169013</v>
      </c>
      <c r="AW158" s="397">
        <f t="shared" si="950"/>
        <v>0.34078212290502791</v>
      </c>
      <c r="AX158" s="397">
        <f t="shared" si="950"/>
        <v>0.25403225806451613</v>
      </c>
      <c r="AY158" s="397">
        <f t="shared" si="950"/>
        <v>0.28565590519002859</v>
      </c>
      <c r="AZ158" s="397">
        <f t="shared" si="950"/>
        <v>0.33988868274582562</v>
      </c>
      <c r="BA158" s="397">
        <f t="shared" si="950"/>
        <v>0.35716070982254439</v>
      </c>
      <c r="BB158" s="397">
        <f t="shared" si="950"/>
        <v>0.2815948736205055</v>
      </c>
      <c r="BC158" s="397">
        <f t="shared" si="950"/>
        <v>0.27612626417407293</v>
      </c>
      <c r="BD158" s="397">
        <f t="shared" ref="BD158:BI158" si="951">CHOOSE(MASTERSWITCH,BD159,BD160,BD161)</f>
        <v>0.19539110678351185</v>
      </c>
      <c r="BE158" s="397">
        <f t="shared" si="951"/>
        <v>0.25790349417637271</v>
      </c>
      <c r="BF158" s="397">
        <f t="shared" si="951"/>
        <v>0.22673329169269207</v>
      </c>
      <c r="BG158" s="397">
        <f t="shared" si="951"/>
        <v>0.23099493198186183</v>
      </c>
      <c r="BH158" s="397">
        <f t="shared" si="951"/>
        <v>0.23554489741540102</v>
      </c>
      <c r="BI158" s="397">
        <f t="shared" si="951"/>
        <v>0.26276831976313841</v>
      </c>
      <c r="BJ158" s="397">
        <f t="shared" ref="BJ158:BK158" si="952">CHOOSE(MASTERSWITCH,BJ159,BJ160,BJ161)</f>
        <v>0.20630932439977667</v>
      </c>
      <c r="BK158" s="1824">
        <f t="shared" si="952"/>
        <v>0.19425408539799685</v>
      </c>
      <c r="BL158" s="398">
        <f t="shared" ref="BL158:BQ158" si="953">CHOOSE(MASTERSWITCH,BL159,BL160,BL161)</f>
        <v>5.864572414809098E-2</v>
      </c>
      <c r="BM158" s="398">
        <f t="shared" si="953"/>
        <v>5.4895529877053803E-2</v>
      </c>
      <c r="BN158" s="398">
        <f t="shared" si="953"/>
        <v>4.8786353035603185E-2</v>
      </c>
      <c r="BO158" s="398">
        <f t="shared" si="953"/>
        <v>5.0158801270886448E-2</v>
      </c>
      <c r="BP158" s="398">
        <f t="shared" si="953"/>
        <v>4.6638030566111592E-2</v>
      </c>
      <c r="BQ158" s="398">
        <f t="shared" si="953"/>
        <v>4.6874784217962644E-2</v>
      </c>
      <c r="BR158" s="398">
        <f t="shared" ref="BR158:CK158" si="954">CHOOSE(MASTERSWITCH,BR159,BR160,BR161)</f>
        <v>4.6874784217962644E-2</v>
      </c>
      <c r="BS158" s="398">
        <f t="shared" si="954"/>
        <v>4.6874784217962644E-2</v>
      </c>
      <c r="BT158" s="398">
        <f t="shared" si="954"/>
        <v>4.6874784217962644E-2</v>
      </c>
      <c r="BU158" s="398">
        <f t="shared" si="954"/>
        <v>4.6874784217962644E-2</v>
      </c>
      <c r="BV158" s="398">
        <f t="shared" si="954"/>
        <v>4.6874784217962644E-2</v>
      </c>
      <c r="BW158" s="398">
        <f t="shared" si="954"/>
        <v>4.6874784217962644E-2</v>
      </c>
      <c r="BX158" s="398">
        <f t="shared" si="954"/>
        <v>4.6874784217962644E-2</v>
      </c>
      <c r="BY158" s="398">
        <f t="shared" si="954"/>
        <v>4.6874784217962644E-2</v>
      </c>
      <c r="BZ158" s="398">
        <f t="shared" si="954"/>
        <v>3.487478421796264E-2</v>
      </c>
      <c r="CA158" s="398">
        <f t="shared" si="954"/>
        <v>3.487478421796264E-2</v>
      </c>
      <c r="CB158" s="398">
        <f t="shared" si="954"/>
        <v>3.487478421796264E-2</v>
      </c>
      <c r="CC158" s="398">
        <f t="shared" si="954"/>
        <v>3.487478421796264E-2</v>
      </c>
      <c r="CD158" s="398">
        <f t="shared" si="954"/>
        <v>3.487478421796264E-2</v>
      </c>
      <c r="CE158" s="398">
        <f t="shared" si="954"/>
        <v>3.487478421796264E-2</v>
      </c>
      <c r="CF158" s="398">
        <f t="shared" si="954"/>
        <v>3.487478421796264E-2</v>
      </c>
      <c r="CG158" s="398">
        <f t="shared" si="954"/>
        <v>3.487478421796264E-2</v>
      </c>
      <c r="CH158" s="398">
        <f t="shared" si="954"/>
        <v>3.487478421796264E-2</v>
      </c>
      <c r="CI158" s="398">
        <f t="shared" si="954"/>
        <v>3.487478421796264E-2</v>
      </c>
      <c r="CJ158" s="398">
        <f t="shared" si="954"/>
        <v>3.487478421796264E-2</v>
      </c>
      <c r="CK158" s="398">
        <f t="shared" si="954"/>
        <v>3.487478421796264E-2</v>
      </c>
      <c r="CL158" s="398">
        <f t="shared" ref="CL158:CP158" si="955">CHOOSE(MASTERSWITCH,CL159,CL160,CL161)</f>
        <v>3.487478421796264E-2</v>
      </c>
      <c r="CM158" s="398">
        <f t="shared" si="955"/>
        <v>3.487478421796264E-2</v>
      </c>
      <c r="CN158" s="398">
        <f t="shared" si="955"/>
        <v>3.487478421796264E-2</v>
      </c>
      <c r="CO158" s="398">
        <f t="shared" si="955"/>
        <v>3.487478421796264E-2</v>
      </c>
      <c r="CP158" s="398">
        <f t="shared" si="955"/>
        <v>3.487478421796264E-2</v>
      </c>
      <c r="CQ158" s="398">
        <f t="shared" ref="CQ158:CU158" si="956">CHOOSE(MASTERSWITCH,CQ159,CQ160,CQ161)</f>
        <v>3.487478421796264E-2</v>
      </c>
      <c r="CR158" s="398">
        <f t="shared" si="956"/>
        <v>3.487478421796264E-2</v>
      </c>
      <c r="CS158" s="398">
        <f t="shared" si="956"/>
        <v>3.487478421796264E-2</v>
      </c>
      <c r="CT158" s="398">
        <f t="shared" si="956"/>
        <v>3.487478421796264E-2</v>
      </c>
      <c r="CU158" s="398">
        <f t="shared" si="956"/>
        <v>3.487478421796264E-2</v>
      </c>
      <c r="CV158" s="398">
        <f t="shared" ref="CV158:CW158" si="957">CHOOSE(MASTERSWITCH,CV159,CV160,CV161)</f>
        <v>3.487478421796264E-2</v>
      </c>
      <c r="CW158" s="398">
        <f t="shared" si="957"/>
        <v>3.487478421796264E-2</v>
      </c>
      <c r="CX158" s="269"/>
      <c r="CY158" s="269"/>
      <c r="CZ158" s="269"/>
    </row>
    <row r="159" spans="1:105">
      <c r="A159" s="695" t="s">
        <v>571</v>
      </c>
      <c r="B159" s="392"/>
      <c r="C159" s="392"/>
      <c r="D159" s="392"/>
      <c r="E159" s="393"/>
      <c r="F159" s="51" t="str">
        <f>Q_IS!I34</f>
        <v>NM</v>
      </c>
      <c r="G159" s="51" t="str">
        <f>Q_IS!J34</f>
        <v>NM</v>
      </c>
      <c r="H159" s="51" t="str">
        <f>Q_IS!K34</f>
        <v>NM</v>
      </c>
      <c r="I159" s="51" t="str">
        <f>Q_IS!L34</f>
        <v>NM</v>
      </c>
      <c r="J159" s="51" t="str">
        <f>Q_IS!M34</f>
        <v>NM</v>
      </c>
      <c r="K159" s="51">
        <f>Q_IS!N34</f>
        <v>-6.8181818181818121E-2</v>
      </c>
      <c r="L159" s="51">
        <f>Q_IS!O34</f>
        <v>-0.14322916666666663</v>
      </c>
      <c r="M159" s="51">
        <f>Q_IS!P34</f>
        <v>-0.18226600985221675</v>
      </c>
      <c r="N159" s="51">
        <f>Q_IS!Q34</f>
        <v>-0.22883295194508002</v>
      </c>
      <c r="O159" s="51">
        <f>Q_IS!R34</f>
        <v>-3.0228577434179282E-3</v>
      </c>
      <c r="P159" s="51">
        <f>Q_IS!S34</f>
        <v>-7.8795857639275546E-2</v>
      </c>
      <c r="Q159" s="51">
        <f>Q_IS!T34</f>
        <v>-4.6945975749108526E-2</v>
      </c>
      <c r="R159" s="51">
        <f>Q_IS!U34</f>
        <v>-0.42323843193331501</v>
      </c>
      <c r="S159" s="51">
        <f>Q_IS!V34</f>
        <v>-0.22849526203605031</v>
      </c>
      <c r="T159" s="51">
        <f>Q_IS!W34</f>
        <v>-7.2889215781015038E-2</v>
      </c>
      <c r="U159" s="38">
        <f>Q_IS!X34</f>
        <v>-5.5033947733181043E-2</v>
      </c>
      <c r="V159" s="38">
        <f>Q_IS!Y34</f>
        <v>0.8143295593108999</v>
      </c>
      <c r="W159" s="38">
        <f>Q_IS!Z34</f>
        <v>0.92454702081242002</v>
      </c>
      <c r="X159" s="38">
        <f>Q_IS!AA34</f>
        <v>0.31634963044203346</v>
      </c>
      <c r="Y159" s="38">
        <f>Q_IS!AB34</f>
        <v>0.80441194088664214</v>
      </c>
      <c r="Z159" s="38">
        <f>Q_IS!AC34</f>
        <v>-2.8927422010922688E-2</v>
      </c>
      <c r="AA159" s="38">
        <f>Q_IS!AD34</f>
        <v>4.7562749035258589E-2</v>
      </c>
      <c r="AB159" s="38">
        <f>Q_IS!AE34</f>
        <v>0.2747612951029883</v>
      </c>
      <c r="AC159" s="38">
        <f>Q_IS!AF34</f>
        <v>0.12909484829980311</v>
      </c>
      <c r="AD159" s="38">
        <f>Q_IS!AG34</f>
        <v>0.21360517467297524</v>
      </c>
      <c r="AE159" s="38">
        <f>Q_IS!AH34</f>
        <v>0.1020318963947846</v>
      </c>
      <c r="AF159" s="38">
        <f>Q_IS!AI34</f>
        <v>-4.6725527651680476E-2</v>
      </c>
      <c r="AG159" s="38">
        <f>Q_IS!AJ34</f>
        <v>3.1774923282099632E-3</v>
      </c>
      <c r="AH159" s="38">
        <f>Q_IS!AK34</f>
        <v>-1.2882216392944734E-2</v>
      </c>
      <c r="AI159" s="38">
        <f>Q_IS!AL34</f>
        <v>-0.12880675512282669</v>
      </c>
      <c r="AJ159" s="38">
        <f>Q_IS!AM34</f>
        <v>-0.18503372993171263</v>
      </c>
      <c r="AK159" s="38">
        <f>Q_IS!AN34</f>
        <v>-0.26667402744211133</v>
      </c>
      <c r="AL159" s="38">
        <f>Q_IS!AL124</f>
        <v>0.22632058287795992</v>
      </c>
      <c r="AM159" s="38">
        <f>Q_IS!AM124</f>
        <v>0.19270386266094422</v>
      </c>
      <c r="AN159" s="38">
        <f>Q_IS!AN124</f>
        <v>0.18828828828828828</v>
      </c>
      <c r="AO159" s="38">
        <f>Q_IS!AO124</f>
        <v>0.2226704316256555</v>
      </c>
      <c r="AP159" s="38">
        <f>Q_IS!AP124</f>
        <v>0.33539094650205764</v>
      </c>
      <c r="AQ159" s="38">
        <f>Q_IS!AQ124</f>
        <v>0.30329593267882188</v>
      </c>
      <c r="AR159" s="38">
        <f>Q_IS!AR124</f>
        <v>0.29502762430939228</v>
      </c>
      <c r="AS159" s="38">
        <f>Q_IS!AS124</f>
        <v>0.39477774323904258</v>
      </c>
      <c r="AT159" s="38">
        <f>Q_IS!AT124</f>
        <v>0.22323983972524328</v>
      </c>
      <c r="AU159" s="38">
        <f>Q_IS!AU124</f>
        <v>0.54527938342967242</v>
      </c>
      <c r="AV159" s="38">
        <f>Q_IS!AV124</f>
        <v>0.44806338028169013</v>
      </c>
      <c r="AW159" s="38">
        <f>Q_IS!AW124</f>
        <v>0.34078212290502791</v>
      </c>
      <c r="AX159" s="38">
        <f>Q_IS!AX124</f>
        <v>0.25403225806451613</v>
      </c>
      <c r="AY159" s="38">
        <f>Q_IS!AY124</f>
        <v>0.28565590519002859</v>
      </c>
      <c r="AZ159" s="38">
        <f>Q_IS!AZ124</f>
        <v>0.33988868274582562</v>
      </c>
      <c r="BA159" s="38">
        <f>Q_IS!BA124</f>
        <v>0.35716070982254439</v>
      </c>
      <c r="BB159" s="38">
        <f>Q_IS!BB124</f>
        <v>0.2815948736205055</v>
      </c>
      <c r="BC159" s="38">
        <f>Q_IS!BC124</f>
        <v>0.27612626417407293</v>
      </c>
      <c r="BD159" s="38">
        <f>Q_IS!BD124</f>
        <v>0.19539110678351185</v>
      </c>
      <c r="BE159" s="38">
        <f>Q_IS!BE124</f>
        <v>0.25790349417637271</v>
      </c>
      <c r="BF159" s="38">
        <f>Q_IS!BF124</f>
        <v>0.22673329169269207</v>
      </c>
      <c r="BG159" s="38">
        <f>Q_IS!BG124</f>
        <v>0.23099493198186183</v>
      </c>
      <c r="BH159" s="38">
        <f>Q_IS!BH124</f>
        <v>0.23554489741540102</v>
      </c>
      <c r="BI159" s="38">
        <f>Q_IS!BI124</f>
        <v>0.26276831976313841</v>
      </c>
      <c r="BJ159" s="38">
        <f>Q_IS!BJ124</f>
        <v>0.20630932439977667</v>
      </c>
      <c r="BK159" s="1833">
        <f>Q_IS!BK124</f>
        <v>0.19425408539799685</v>
      </c>
      <c r="BL159" s="45">
        <f t="shared" ref="BL159:BP159" si="958">BL160+$CY159</f>
        <v>5.864572414809098E-2</v>
      </c>
      <c r="BM159" s="45">
        <f t="shared" si="958"/>
        <v>5.4895529877053803E-2</v>
      </c>
      <c r="BN159" s="45">
        <f t="shared" si="958"/>
        <v>4.8786353035603185E-2</v>
      </c>
      <c r="BO159" s="45">
        <f t="shared" si="958"/>
        <v>5.0158801270886448E-2</v>
      </c>
      <c r="BP159" s="45">
        <f t="shared" si="958"/>
        <v>4.6638030566111592E-2</v>
      </c>
      <c r="BQ159" s="45">
        <f t="shared" ref="BQ159:BY159" si="959">BQ160+$CY159</f>
        <v>4.6874784217962644E-2</v>
      </c>
      <c r="BR159" s="45">
        <f t="shared" si="959"/>
        <v>4.6874784217962644E-2</v>
      </c>
      <c r="BS159" s="45">
        <f t="shared" si="959"/>
        <v>4.6874784217962644E-2</v>
      </c>
      <c r="BT159" s="45">
        <f t="shared" si="959"/>
        <v>4.6874784217962644E-2</v>
      </c>
      <c r="BU159" s="45">
        <f t="shared" si="959"/>
        <v>4.6874784217962644E-2</v>
      </c>
      <c r="BV159" s="45">
        <f t="shared" si="959"/>
        <v>4.6874784217962644E-2</v>
      </c>
      <c r="BW159" s="45">
        <f t="shared" si="959"/>
        <v>4.6874784217962644E-2</v>
      </c>
      <c r="BX159" s="45">
        <f t="shared" si="959"/>
        <v>4.6874784217962644E-2</v>
      </c>
      <c r="BY159" s="45">
        <f t="shared" si="959"/>
        <v>4.6874784217962644E-2</v>
      </c>
      <c r="BZ159" s="45">
        <f t="shared" ref="BZ159:CU159" si="960">BZ160+$CZ159</f>
        <v>3.487478421796264E-2</v>
      </c>
      <c r="CA159" s="45">
        <f t="shared" si="960"/>
        <v>3.487478421796264E-2</v>
      </c>
      <c r="CB159" s="45">
        <f t="shared" si="960"/>
        <v>3.487478421796264E-2</v>
      </c>
      <c r="CC159" s="45">
        <f t="shared" si="960"/>
        <v>3.487478421796264E-2</v>
      </c>
      <c r="CD159" s="45">
        <f t="shared" si="960"/>
        <v>3.487478421796264E-2</v>
      </c>
      <c r="CE159" s="45">
        <f t="shared" si="960"/>
        <v>3.487478421796264E-2</v>
      </c>
      <c r="CF159" s="45">
        <f t="shared" si="960"/>
        <v>3.487478421796264E-2</v>
      </c>
      <c r="CG159" s="45">
        <f t="shared" si="960"/>
        <v>3.487478421796264E-2</v>
      </c>
      <c r="CH159" s="45">
        <f t="shared" si="960"/>
        <v>3.487478421796264E-2</v>
      </c>
      <c r="CI159" s="45">
        <f t="shared" si="960"/>
        <v>3.487478421796264E-2</v>
      </c>
      <c r="CJ159" s="45">
        <f t="shared" si="960"/>
        <v>3.487478421796264E-2</v>
      </c>
      <c r="CK159" s="45">
        <f t="shared" si="960"/>
        <v>3.487478421796264E-2</v>
      </c>
      <c r="CL159" s="45">
        <f t="shared" si="960"/>
        <v>3.487478421796264E-2</v>
      </c>
      <c r="CM159" s="45">
        <f t="shared" si="960"/>
        <v>3.487478421796264E-2</v>
      </c>
      <c r="CN159" s="45">
        <f t="shared" si="960"/>
        <v>3.487478421796264E-2</v>
      </c>
      <c r="CO159" s="45">
        <f t="shared" si="960"/>
        <v>3.487478421796264E-2</v>
      </c>
      <c r="CP159" s="45">
        <f t="shared" si="960"/>
        <v>3.487478421796264E-2</v>
      </c>
      <c r="CQ159" s="45">
        <f t="shared" si="960"/>
        <v>3.487478421796264E-2</v>
      </c>
      <c r="CR159" s="45">
        <f t="shared" si="960"/>
        <v>3.487478421796264E-2</v>
      </c>
      <c r="CS159" s="45">
        <f t="shared" si="960"/>
        <v>3.487478421796264E-2</v>
      </c>
      <c r="CT159" s="45">
        <f t="shared" si="960"/>
        <v>3.487478421796264E-2</v>
      </c>
      <c r="CU159" s="45">
        <f t="shared" si="960"/>
        <v>3.487478421796264E-2</v>
      </c>
      <c r="CV159" s="45">
        <f t="shared" ref="CV159:CW159" si="961">CV160+$CZ159</f>
        <v>3.487478421796264E-2</v>
      </c>
      <c r="CW159" s="45">
        <f t="shared" si="961"/>
        <v>3.487478421796264E-2</v>
      </c>
      <c r="CX159" s="269"/>
      <c r="CY159" s="559">
        <v>0</v>
      </c>
      <c r="CZ159" s="559">
        <v>0</v>
      </c>
    </row>
    <row r="160" spans="1:105">
      <c r="A160" s="695" t="s">
        <v>200</v>
      </c>
      <c r="B160" s="392"/>
      <c r="C160" s="392"/>
      <c r="D160" s="392"/>
      <c r="E160" s="394"/>
      <c r="F160" s="51" t="str">
        <f t="shared" ref="F160:AN160" si="962">+F159</f>
        <v>NM</v>
      </c>
      <c r="G160" s="51" t="str">
        <f t="shared" si="962"/>
        <v>NM</v>
      </c>
      <c r="H160" s="51" t="str">
        <f t="shared" si="962"/>
        <v>NM</v>
      </c>
      <c r="I160" s="51" t="str">
        <f t="shared" si="962"/>
        <v>NM</v>
      </c>
      <c r="J160" s="51" t="str">
        <f t="shared" si="962"/>
        <v>NM</v>
      </c>
      <c r="K160" s="51">
        <f t="shared" si="962"/>
        <v>-6.8181818181818121E-2</v>
      </c>
      <c r="L160" s="51">
        <f t="shared" si="962"/>
        <v>-0.14322916666666663</v>
      </c>
      <c r="M160" s="51">
        <f t="shared" si="962"/>
        <v>-0.18226600985221675</v>
      </c>
      <c r="N160" s="51">
        <f t="shared" si="962"/>
        <v>-0.22883295194508002</v>
      </c>
      <c r="O160" s="51">
        <f t="shared" si="962"/>
        <v>-3.0228577434179282E-3</v>
      </c>
      <c r="P160" s="51">
        <f t="shared" si="962"/>
        <v>-7.8795857639275546E-2</v>
      </c>
      <c r="Q160" s="51">
        <f t="shared" si="962"/>
        <v>-4.6945975749108526E-2</v>
      </c>
      <c r="R160" s="51">
        <f t="shared" si="962"/>
        <v>-0.42323843193331501</v>
      </c>
      <c r="S160" s="51">
        <f t="shared" si="962"/>
        <v>-0.22849526203605031</v>
      </c>
      <c r="T160" s="51">
        <f t="shared" si="962"/>
        <v>-7.2889215781015038E-2</v>
      </c>
      <c r="U160" s="38">
        <f t="shared" si="962"/>
        <v>-5.5033947733181043E-2</v>
      </c>
      <c r="V160" s="38">
        <f t="shared" si="962"/>
        <v>0.8143295593108999</v>
      </c>
      <c r="W160" s="38">
        <f t="shared" si="962"/>
        <v>0.92454702081242002</v>
      </c>
      <c r="X160" s="38">
        <f t="shared" si="962"/>
        <v>0.31634963044203346</v>
      </c>
      <c r="Y160" s="38">
        <f t="shared" si="962"/>
        <v>0.80441194088664214</v>
      </c>
      <c r="Z160" s="38">
        <f t="shared" si="962"/>
        <v>-2.8927422010922688E-2</v>
      </c>
      <c r="AA160" s="38">
        <f t="shared" si="962"/>
        <v>4.7562749035258589E-2</v>
      </c>
      <c r="AB160" s="38">
        <f t="shared" si="962"/>
        <v>0.2747612951029883</v>
      </c>
      <c r="AC160" s="38">
        <f t="shared" si="962"/>
        <v>0.12909484829980311</v>
      </c>
      <c r="AD160" s="38">
        <f t="shared" si="962"/>
        <v>0.21360517467297524</v>
      </c>
      <c r="AE160" s="38">
        <f t="shared" si="962"/>
        <v>0.1020318963947846</v>
      </c>
      <c r="AF160" s="38">
        <f t="shared" si="962"/>
        <v>-4.6725527651680476E-2</v>
      </c>
      <c r="AG160" s="38">
        <f t="shared" si="962"/>
        <v>3.1774923282099632E-3</v>
      </c>
      <c r="AH160" s="38">
        <f t="shared" si="962"/>
        <v>-1.2882216392944734E-2</v>
      </c>
      <c r="AI160" s="38">
        <f t="shared" si="962"/>
        <v>-0.12880675512282669</v>
      </c>
      <c r="AJ160" s="38">
        <f t="shared" si="962"/>
        <v>-0.18503372993171263</v>
      </c>
      <c r="AK160" s="38">
        <f t="shared" si="962"/>
        <v>-0.26667402744211133</v>
      </c>
      <c r="AL160" s="38">
        <f t="shared" si="962"/>
        <v>0.22632058287795992</v>
      </c>
      <c r="AM160" s="38">
        <f t="shared" si="962"/>
        <v>0.19270386266094422</v>
      </c>
      <c r="AN160" s="38">
        <f t="shared" si="962"/>
        <v>0.18828828828828828</v>
      </c>
      <c r="AO160" s="38">
        <f t="shared" ref="AO160:BC160" si="963">+AO159</f>
        <v>0.2226704316256555</v>
      </c>
      <c r="AP160" s="38">
        <f t="shared" si="963"/>
        <v>0.33539094650205764</v>
      </c>
      <c r="AQ160" s="38">
        <f t="shared" si="963"/>
        <v>0.30329593267882188</v>
      </c>
      <c r="AR160" s="38">
        <f t="shared" si="963"/>
        <v>0.29502762430939228</v>
      </c>
      <c r="AS160" s="38">
        <f t="shared" si="963"/>
        <v>0.39477774323904258</v>
      </c>
      <c r="AT160" s="38">
        <f t="shared" si="963"/>
        <v>0.22323983972524328</v>
      </c>
      <c r="AU160" s="38">
        <f t="shared" si="963"/>
        <v>0.54527938342967242</v>
      </c>
      <c r="AV160" s="38">
        <f t="shared" si="963"/>
        <v>0.44806338028169013</v>
      </c>
      <c r="AW160" s="38">
        <f t="shared" si="963"/>
        <v>0.34078212290502791</v>
      </c>
      <c r="AX160" s="38">
        <f t="shared" si="963"/>
        <v>0.25403225806451613</v>
      </c>
      <c r="AY160" s="38">
        <f t="shared" si="963"/>
        <v>0.28565590519002859</v>
      </c>
      <c r="AZ160" s="38">
        <f t="shared" si="963"/>
        <v>0.33988868274582562</v>
      </c>
      <c r="BA160" s="38">
        <f t="shared" si="963"/>
        <v>0.35716070982254439</v>
      </c>
      <c r="BB160" s="38">
        <f t="shared" si="963"/>
        <v>0.2815948736205055</v>
      </c>
      <c r="BC160" s="38">
        <f t="shared" si="963"/>
        <v>0.27612626417407293</v>
      </c>
      <c r="BD160" s="38">
        <f t="shared" ref="BD160:BI160" si="964">+BD159</f>
        <v>0.19539110678351185</v>
      </c>
      <c r="BE160" s="38">
        <f t="shared" si="964"/>
        <v>0.25790349417637271</v>
      </c>
      <c r="BF160" s="38">
        <f t="shared" si="964"/>
        <v>0.22673329169269207</v>
      </c>
      <c r="BG160" s="38">
        <f t="shared" si="964"/>
        <v>0.23099493198186183</v>
      </c>
      <c r="BH160" s="38">
        <f t="shared" si="964"/>
        <v>0.23554489741540102</v>
      </c>
      <c r="BI160" s="38">
        <f t="shared" si="964"/>
        <v>0.26276831976313841</v>
      </c>
      <c r="BJ160" s="38">
        <f t="shared" ref="BJ160:BK160" si="965">+BJ159</f>
        <v>0.20630932439977667</v>
      </c>
      <c r="BK160" s="1833">
        <f t="shared" si="965"/>
        <v>0.19425408539799685</v>
      </c>
      <c r="BL160" s="559">
        <f t="shared" ref="BL160:BQ160" si="966">+BL148</f>
        <v>5.864572414809098E-2</v>
      </c>
      <c r="BM160" s="559">
        <f t="shared" si="966"/>
        <v>5.4895529877053803E-2</v>
      </c>
      <c r="BN160" s="559">
        <f t="shared" si="966"/>
        <v>4.8786353035603185E-2</v>
      </c>
      <c r="BO160" s="559">
        <f t="shared" si="966"/>
        <v>5.0158801270886448E-2</v>
      </c>
      <c r="BP160" s="559">
        <f t="shared" si="966"/>
        <v>4.6638030566111592E-2</v>
      </c>
      <c r="BQ160" s="559">
        <f t="shared" si="966"/>
        <v>4.6874784217962644E-2</v>
      </c>
      <c r="BR160" s="559">
        <f t="shared" ref="BR160:CK160" si="967">+BR148</f>
        <v>4.6874784217962644E-2</v>
      </c>
      <c r="BS160" s="559">
        <f t="shared" si="967"/>
        <v>4.6874784217962644E-2</v>
      </c>
      <c r="BT160" s="559">
        <f t="shared" si="967"/>
        <v>4.6874784217962644E-2</v>
      </c>
      <c r="BU160" s="559">
        <f t="shared" si="967"/>
        <v>4.6874784217962644E-2</v>
      </c>
      <c r="BV160" s="559">
        <f t="shared" si="967"/>
        <v>4.6874784217962644E-2</v>
      </c>
      <c r="BW160" s="559">
        <f t="shared" si="967"/>
        <v>4.6874784217962644E-2</v>
      </c>
      <c r="BX160" s="559">
        <f t="shared" si="967"/>
        <v>4.6874784217962644E-2</v>
      </c>
      <c r="BY160" s="559">
        <f t="shared" si="967"/>
        <v>4.6874784217962644E-2</v>
      </c>
      <c r="BZ160" s="559">
        <f t="shared" si="967"/>
        <v>3.487478421796264E-2</v>
      </c>
      <c r="CA160" s="559">
        <f t="shared" si="967"/>
        <v>3.487478421796264E-2</v>
      </c>
      <c r="CB160" s="559">
        <f t="shared" si="967"/>
        <v>3.487478421796264E-2</v>
      </c>
      <c r="CC160" s="559">
        <f t="shared" si="967"/>
        <v>3.487478421796264E-2</v>
      </c>
      <c r="CD160" s="559">
        <f t="shared" si="967"/>
        <v>3.487478421796264E-2</v>
      </c>
      <c r="CE160" s="559">
        <f t="shared" si="967"/>
        <v>3.487478421796264E-2</v>
      </c>
      <c r="CF160" s="559">
        <f t="shared" si="967"/>
        <v>3.487478421796264E-2</v>
      </c>
      <c r="CG160" s="559">
        <f t="shared" si="967"/>
        <v>3.487478421796264E-2</v>
      </c>
      <c r="CH160" s="559">
        <f t="shared" si="967"/>
        <v>3.487478421796264E-2</v>
      </c>
      <c r="CI160" s="559">
        <f t="shared" si="967"/>
        <v>3.487478421796264E-2</v>
      </c>
      <c r="CJ160" s="559">
        <f t="shared" si="967"/>
        <v>3.487478421796264E-2</v>
      </c>
      <c r="CK160" s="559">
        <f t="shared" si="967"/>
        <v>3.487478421796264E-2</v>
      </c>
      <c r="CL160" s="559">
        <f t="shared" ref="CL160:CP160" si="968">+CL148</f>
        <v>3.487478421796264E-2</v>
      </c>
      <c r="CM160" s="559">
        <f t="shared" si="968"/>
        <v>3.487478421796264E-2</v>
      </c>
      <c r="CN160" s="559">
        <f t="shared" si="968"/>
        <v>3.487478421796264E-2</v>
      </c>
      <c r="CO160" s="559">
        <f t="shared" si="968"/>
        <v>3.487478421796264E-2</v>
      </c>
      <c r="CP160" s="559">
        <f t="shared" si="968"/>
        <v>3.487478421796264E-2</v>
      </c>
      <c r="CQ160" s="559">
        <f t="shared" ref="CQ160:CU160" si="969">+CQ148</f>
        <v>3.487478421796264E-2</v>
      </c>
      <c r="CR160" s="559">
        <f t="shared" si="969"/>
        <v>3.487478421796264E-2</v>
      </c>
      <c r="CS160" s="559">
        <f t="shared" si="969"/>
        <v>3.487478421796264E-2</v>
      </c>
      <c r="CT160" s="559">
        <f t="shared" si="969"/>
        <v>3.487478421796264E-2</v>
      </c>
      <c r="CU160" s="559">
        <f t="shared" si="969"/>
        <v>3.487478421796264E-2</v>
      </c>
      <c r="CV160" s="559">
        <f t="shared" ref="CV160:CW160" si="970">+CV148</f>
        <v>3.487478421796264E-2</v>
      </c>
      <c r="CW160" s="559">
        <f t="shared" si="970"/>
        <v>3.487478421796264E-2</v>
      </c>
      <c r="CX160" s="269"/>
    </row>
    <row r="161" spans="1:106">
      <c r="A161" s="695" t="s">
        <v>202</v>
      </c>
      <c r="B161" s="392"/>
      <c r="C161" s="392"/>
      <c r="D161" s="392"/>
      <c r="E161" s="394"/>
      <c r="F161" s="51"/>
      <c r="G161" s="51" t="str">
        <f t="shared" ref="G161:AM161" si="971">G159</f>
        <v>NM</v>
      </c>
      <c r="H161" s="51" t="str">
        <f t="shared" si="971"/>
        <v>NM</v>
      </c>
      <c r="I161" s="51" t="str">
        <f t="shared" si="971"/>
        <v>NM</v>
      </c>
      <c r="J161" s="51" t="str">
        <f t="shared" si="971"/>
        <v>NM</v>
      </c>
      <c r="K161" s="51">
        <f t="shared" si="971"/>
        <v>-6.8181818181818121E-2</v>
      </c>
      <c r="L161" s="51">
        <f t="shared" si="971"/>
        <v>-0.14322916666666663</v>
      </c>
      <c r="M161" s="51">
        <f t="shared" si="971"/>
        <v>-0.18226600985221675</v>
      </c>
      <c r="N161" s="51">
        <f t="shared" si="971"/>
        <v>-0.22883295194508002</v>
      </c>
      <c r="O161" s="51">
        <f t="shared" si="971"/>
        <v>-3.0228577434179282E-3</v>
      </c>
      <c r="P161" s="51">
        <f t="shared" si="971"/>
        <v>-7.8795857639275546E-2</v>
      </c>
      <c r="Q161" s="51">
        <f t="shared" si="971"/>
        <v>-4.6945975749108526E-2</v>
      </c>
      <c r="R161" s="51">
        <f t="shared" si="971"/>
        <v>-0.42323843193331501</v>
      </c>
      <c r="S161" s="51">
        <f t="shared" si="971"/>
        <v>-0.22849526203605031</v>
      </c>
      <c r="T161" s="51">
        <f t="shared" si="971"/>
        <v>-7.2889215781015038E-2</v>
      </c>
      <c r="U161" s="38">
        <f t="shared" si="971"/>
        <v>-5.5033947733181043E-2</v>
      </c>
      <c r="V161" s="38">
        <f t="shared" si="971"/>
        <v>0.8143295593108999</v>
      </c>
      <c r="W161" s="38">
        <f t="shared" si="971"/>
        <v>0.92454702081242002</v>
      </c>
      <c r="X161" s="38">
        <f t="shared" si="971"/>
        <v>0.31634963044203346</v>
      </c>
      <c r="Y161" s="38">
        <f t="shared" si="971"/>
        <v>0.80441194088664214</v>
      </c>
      <c r="Z161" s="38">
        <f t="shared" si="971"/>
        <v>-2.8927422010922688E-2</v>
      </c>
      <c r="AA161" s="38">
        <f t="shared" si="971"/>
        <v>4.7562749035258589E-2</v>
      </c>
      <c r="AB161" s="38">
        <f t="shared" si="971"/>
        <v>0.2747612951029883</v>
      </c>
      <c r="AC161" s="38">
        <f t="shared" si="971"/>
        <v>0.12909484829980311</v>
      </c>
      <c r="AD161" s="38">
        <f t="shared" si="971"/>
        <v>0.21360517467297524</v>
      </c>
      <c r="AE161" s="38">
        <f t="shared" si="971"/>
        <v>0.1020318963947846</v>
      </c>
      <c r="AF161" s="38">
        <f t="shared" si="971"/>
        <v>-4.6725527651680476E-2</v>
      </c>
      <c r="AG161" s="38">
        <f t="shared" si="971"/>
        <v>3.1774923282099632E-3</v>
      </c>
      <c r="AH161" s="38">
        <f t="shared" si="971"/>
        <v>-1.2882216392944734E-2</v>
      </c>
      <c r="AI161" s="38">
        <f t="shared" si="971"/>
        <v>-0.12880675512282669</v>
      </c>
      <c r="AJ161" s="38">
        <f t="shared" si="971"/>
        <v>-0.18503372993171263</v>
      </c>
      <c r="AK161" s="38">
        <f t="shared" si="971"/>
        <v>-0.26667402744211133</v>
      </c>
      <c r="AL161" s="38">
        <f t="shared" si="971"/>
        <v>0.22632058287795992</v>
      </c>
      <c r="AM161" s="38">
        <f t="shared" si="971"/>
        <v>0.19270386266094422</v>
      </c>
      <c r="AN161" s="38">
        <f t="shared" ref="AN161:AS161" si="972">AN159</f>
        <v>0.18828828828828828</v>
      </c>
      <c r="AO161" s="38">
        <f t="shared" si="972"/>
        <v>0.2226704316256555</v>
      </c>
      <c r="AP161" s="38">
        <f t="shared" si="972"/>
        <v>0.33539094650205764</v>
      </c>
      <c r="AQ161" s="38">
        <f t="shared" si="972"/>
        <v>0.30329593267882188</v>
      </c>
      <c r="AR161" s="38">
        <f t="shared" si="972"/>
        <v>0.29502762430939228</v>
      </c>
      <c r="AS161" s="38">
        <f t="shared" si="972"/>
        <v>0.39477774323904258</v>
      </c>
      <c r="AT161" s="38">
        <f t="shared" ref="AT161:BC161" si="973">AT159</f>
        <v>0.22323983972524328</v>
      </c>
      <c r="AU161" s="38">
        <f t="shared" si="973"/>
        <v>0.54527938342967242</v>
      </c>
      <c r="AV161" s="38">
        <f t="shared" si="973"/>
        <v>0.44806338028169013</v>
      </c>
      <c r="AW161" s="38">
        <f t="shared" si="973"/>
        <v>0.34078212290502791</v>
      </c>
      <c r="AX161" s="38">
        <f t="shared" si="973"/>
        <v>0.25403225806451613</v>
      </c>
      <c r="AY161" s="38">
        <f t="shared" si="973"/>
        <v>0.28565590519002859</v>
      </c>
      <c r="AZ161" s="38">
        <f t="shared" si="973"/>
        <v>0.33988868274582562</v>
      </c>
      <c r="BA161" s="38">
        <f t="shared" si="973"/>
        <v>0.35716070982254439</v>
      </c>
      <c r="BB161" s="38">
        <f t="shared" si="973"/>
        <v>0.2815948736205055</v>
      </c>
      <c r="BC161" s="38">
        <f t="shared" si="973"/>
        <v>0.27612626417407293</v>
      </c>
      <c r="BD161" s="38">
        <f t="shared" ref="BD161:BI161" si="974">BD159</f>
        <v>0.19539110678351185</v>
      </c>
      <c r="BE161" s="38">
        <f t="shared" si="974"/>
        <v>0.25790349417637271</v>
      </c>
      <c r="BF161" s="38">
        <f t="shared" si="974"/>
        <v>0.22673329169269207</v>
      </c>
      <c r="BG161" s="38">
        <f t="shared" si="974"/>
        <v>0.23099493198186183</v>
      </c>
      <c r="BH161" s="38">
        <f t="shared" si="974"/>
        <v>0.23554489741540102</v>
      </c>
      <c r="BI161" s="38">
        <f t="shared" si="974"/>
        <v>0.26276831976313841</v>
      </c>
      <c r="BJ161" s="38">
        <f t="shared" ref="BJ161:BK161" si="975">BJ159</f>
        <v>0.20630932439977667</v>
      </c>
      <c r="BK161" s="1833">
        <f t="shared" si="975"/>
        <v>0.19425408539799685</v>
      </c>
      <c r="BL161" s="45">
        <f t="shared" ref="BL161:BP161" si="976">BL160+$CY161</f>
        <v>5.864572414809098E-2</v>
      </c>
      <c r="BM161" s="45">
        <f t="shared" si="976"/>
        <v>5.4895529877053803E-2</v>
      </c>
      <c r="BN161" s="45">
        <f t="shared" si="976"/>
        <v>4.8786353035603185E-2</v>
      </c>
      <c r="BO161" s="45">
        <f t="shared" si="976"/>
        <v>5.0158801270886448E-2</v>
      </c>
      <c r="BP161" s="45">
        <f t="shared" si="976"/>
        <v>4.6638030566111592E-2</v>
      </c>
      <c r="BQ161" s="45">
        <f t="shared" ref="BQ161:BY161" si="977">BQ160+$CY161</f>
        <v>4.6874784217962644E-2</v>
      </c>
      <c r="BR161" s="45">
        <f t="shared" si="977"/>
        <v>4.6874784217962644E-2</v>
      </c>
      <c r="BS161" s="45">
        <f t="shared" si="977"/>
        <v>4.6874784217962644E-2</v>
      </c>
      <c r="BT161" s="45">
        <f t="shared" si="977"/>
        <v>4.6874784217962644E-2</v>
      </c>
      <c r="BU161" s="45">
        <f t="shared" si="977"/>
        <v>4.6874784217962644E-2</v>
      </c>
      <c r="BV161" s="45">
        <f t="shared" si="977"/>
        <v>4.6874784217962644E-2</v>
      </c>
      <c r="BW161" s="45">
        <f t="shared" si="977"/>
        <v>4.6874784217962644E-2</v>
      </c>
      <c r="BX161" s="45">
        <f t="shared" si="977"/>
        <v>4.6874784217962644E-2</v>
      </c>
      <c r="BY161" s="45">
        <f t="shared" si="977"/>
        <v>4.6874784217962644E-2</v>
      </c>
      <c r="BZ161" s="45">
        <f t="shared" ref="BZ161:CU161" si="978">BZ160+$CZ161</f>
        <v>3.487478421796264E-2</v>
      </c>
      <c r="CA161" s="45">
        <f t="shared" si="978"/>
        <v>3.487478421796264E-2</v>
      </c>
      <c r="CB161" s="45">
        <f t="shared" si="978"/>
        <v>3.487478421796264E-2</v>
      </c>
      <c r="CC161" s="45">
        <f t="shared" si="978"/>
        <v>3.487478421796264E-2</v>
      </c>
      <c r="CD161" s="45">
        <f t="shared" si="978"/>
        <v>3.487478421796264E-2</v>
      </c>
      <c r="CE161" s="45">
        <f t="shared" si="978"/>
        <v>3.487478421796264E-2</v>
      </c>
      <c r="CF161" s="45">
        <f t="shared" si="978"/>
        <v>3.487478421796264E-2</v>
      </c>
      <c r="CG161" s="45">
        <f t="shared" si="978"/>
        <v>3.487478421796264E-2</v>
      </c>
      <c r="CH161" s="45">
        <f t="shared" si="978"/>
        <v>3.487478421796264E-2</v>
      </c>
      <c r="CI161" s="45">
        <f t="shared" si="978"/>
        <v>3.487478421796264E-2</v>
      </c>
      <c r="CJ161" s="45">
        <f t="shared" si="978"/>
        <v>3.487478421796264E-2</v>
      </c>
      <c r="CK161" s="45">
        <f t="shared" si="978"/>
        <v>3.487478421796264E-2</v>
      </c>
      <c r="CL161" s="45">
        <f t="shared" si="978"/>
        <v>3.487478421796264E-2</v>
      </c>
      <c r="CM161" s="45">
        <f t="shared" si="978"/>
        <v>3.487478421796264E-2</v>
      </c>
      <c r="CN161" s="45">
        <f t="shared" si="978"/>
        <v>3.487478421796264E-2</v>
      </c>
      <c r="CO161" s="45">
        <f t="shared" si="978"/>
        <v>3.487478421796264E-2</v>
      </c>
      <c r="CP161" s="45">
        <f t="shared" si="978"/>
        <v>3.487478421796264E-2</v>
      </c>
      <c r="CQ161" s="45">
        <f t="shared" si="978"/>
        <v>3.487478421796264E-2</v>
      </c>
      <c r="CR161" s="45">
        <f t="shared" si="978"/>
        <v>3.487478421796264E-2</v>
      </c>
      <c r="CS161" s="45">
        <f t="shared" si="978"/>
        <v>3.487478421796264E-2</v>
      </c>
      <c r="CT161" s="45">
        <f t="shared" si="978"/>
        <v>3.487478421796264E-2</v>
      </c>
      <c r="CU161" s="45">
        <f t="shared" si="978"/>
        <v>3.487478421796264E-2</v>
      </c>
      <c r="CV161" s="45">
        <f t="shared" ref="CV161:CW161" si="979">CV160+$CZ161</f>
        <v>3.487478421796264E-2</v>
      </c>
      <c r="CW161" s="45">
        <f t="shared" si="979"/>
        <v>3.487478421796264E-2</v>
      </c>
      <c r="CX161" s="269"/>
      <c r="CY161" s="559">
        <v>0</v>
      </c>
      <c r="CZ161" s="559">
        <v>0</v>
      </c>
    </row>
    <row r="162" spans="1:106">
      <c r="A162" s="42"/>
      <c r="B162" s="388"/>
      <c r="C162" s="388"/>
      <c r="D162" s="388"/>
      <c r="E162" s="38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269"/>
      <c r="AN162" s="269"/>
      <c r="AO162" s="269"/>
      <c r="AP162" s="269"/>
      <c r="AQ162" s="269"/>
      <c r="AR162" s="269"/>
      <c r="AS162" s="269"/>
      <c r="AT162" s="269"/>
      <c r="AU162" s="45"/>
      <c r="AV162" s="45"/>
      <c r="AW162" s="45"/>
      <c r="AX162" s="45"/>
      <c r="AY162" s="45"/>
      <c r="AZ162" s="45"/>
      <c r="BA162" s="45"/>
      <c r="BB162" s="45"/>
      <c r="BC162" s="45"/>
      <c r="BD162" s="45"/>
      <c r="BE162" s="45"/>
      <c r="BF162" s="45"/>
      <c r="BG162" s="45"/>
      <c r="BH162" s="45"/>
      <c r="BI162" s="45"/>
      <c r="BJ162" s="45"/>
      <c r="BK162" s="1828"/>
      <c r="BL162" s="45"/>
      <c r="BM162" s="45"/>
      <c r="BN162" s="45"/>
      <c r="BO162" s="45"/>
      <c r="BP162" s="45"/>
      <c r="BQ162" s="45"/>
      <c r="BR162" s="45"/>
      <c r="BS162" s="45"/>
      <c r="BT162" s="45"/>
      <c r="BU162" s="45"/>
      <c r="BV162" s="45"/>
      <c r="BW162" s="45"/>
      <c r="BX162" s="45"/>
      <c r="BY162" s="45"/>
      <c r="BZ162" s="45"/>
      <c r="CA162" s="45"/>
      <c r="CB162" s="45"/>
      <c r="CC162" s="45"/>
      <c r="CD162" s="45"/>
      <c r="CE162" s="45"/>
      <c r="CF162" s="45"/>
      <c r="CG162" s="45"/>
      <c r="CH162" s="45"/>
      <c r="CI162" s="45"/>
      <c r="CJ162" s="45"/>
      <c r="CK162" s="45"/>
      <c r="CL162" s="45"/>
      <c r="CM162" s="45"/>
      <c r="CN162" s="45"/>
      <c r="CO162" s="45"/>
      <c r="CP162" s="45"/>
      <c r="CQ162" s="45"/>
      <c r="CR162" s="45"/>
      <c r="CS162" s="45"/>
      <c r="CT162" s="45"/>
      <c r="CU162" s="45"/>
      <c r="CV162" s="45"/>
      <c r="CW162" s="45"/>
      <c r="CX162" s="269"/>
      <c r="CY162" s="269"/>
      <c r="CZ162" s="269"/>
    </row>
    <row r="163" spans="1:106">
      <c r="A163" s="694" t="s">
        <v>744</v>
      </c>
      <c r="B163" s="397"/>
      <c r="C163" s="397"/>
      <c r="D163" s="397"/>
      <c r="E163" s="397"/>
      <c r="F163" s="690">
        <f t="shared" ref="F163:BQ163" si="980">CHOOSE(MASTERSWITCH,F164,F165,F166)</f>
        <v>0</v>
      </c>
      <c r="G163" s="690">
        <f t="shared" si="980"/>
        <v>-0.10736390011819219</v>
      </c>
      <c r="H163" s="690">
        <f t="shared" si="980"/>
        <v>-6.614151464897744E-2</v>
      </c>
      <c r="I163" s="690">
        <f t="shared" si="980"/>
        <v>3.299886917634387E-2</v>
      </c>
      <c r="J163" s="690">
        <f t="shared" si="980"/>
        <v>9.1898081878041937E-2</v>
      </c>
      <c r="K163" s="690">
        <f t="shared" si="980"/>
        <v>0.15876375952582533</v>
      </c>
      <c r="L163" s="690">
        <f t="shared" si="980"/>
        <v>0.17622429814561191</v>
      </c>
      <c r="M163" s="690">
        <f t="shared" si="980"/>
        <v>0.13572084147199814</v>
      </c>
      <c r="N163" s="690">
        <f t="shared" si="980"/>
        <v>9.8318992229584623E-2</v>
      </c>
      <c r="O163" s="690">
        <f t="shared" si="980"/>
        <v>7.9963235294117752E-2</v>
      </c>
      <c r="P163" s="690">
        <f t="shared" si="980"/>
        <v>-3.1268878524998267E-2</v>
      </c>
      <c r="Q163" s="690">
        <f t="shared" si="980"/>
        <v>-0.12482819585612581</v>
      </c>
      <c r="R163" s="690">
        <f t="shared" si="980"/>
        <v>-0.15411183061133893</v>
      </c>
      <c r="S163" s="690">
        <f t="shared" si="980"/>
        <v>-0.40423091346259898</v>
      </c>
      <c r="T163" s="690">
        <f t="shared" si="980"/>
        <v>-0.50253363207502577</v>
      </c>
      <c r="U163" s="397">
        <f t="shared" si="980"/>
        <v>-0.45003552217598708</v>
      </c>
      <c r="V163" s="397">
        <f t="shared" si="980"/>
        <v>-0.43230979930370672</v>
      </c>
      <c r="W163" s="397">
        <f t="shared" si="980"/>
        <v>-0.19607536803254633</v>
      </c>
      <c r="X163" s="397">
        <f t="shared" si="980"/>
        <v>6.1010729748689263E-2</v>
      </c>
      <c r="Y163" s="397">
        <f t="shared" si="980"/>
        <v>0.27603906501024689</v>
      </c>
      <c r="Z163" s="397">
        <f t="shared" si="980"/>
        <v>0.25555880333630165</v>
      </c>
      <c r="AA163" s="397">
        <f t="shared" si="980"/>
        <v>0.36608628408850308</v>
      </c>
      <c r="AB163" s="397">
        <f t="shared" ref="AB163:AM163" si="981">CHOOSE(MASTERSWITCH,AB164,AB165,AB166)</f>
        <v>0.19386361092064219</v>
      </c>
      <c r="AC163" s="397">
        <f t="shared" si="981"/>
        <v>3.0946917779890448E-2</v>
      </c>
      <c r="AD163" s="397">
        <f t="shared" si="981"/>
        <v>7.6830307599538461E-2</v>
      </c>
      <c r="AE163" s="397">
        <f t="shared" si="981"/>
        <v>-5.0799568763867264E-2</v>
      </c>
      <c r="AF163" s="397">
        <f t="shared" si="981"/>
        <v>0.18041127048229111</v>
      </c>
      <c r="AG163" s="397">
        <f t="shared" si="981"/>
        <v>0.12441101752095118</v>
      </c>
      <c r="AH163" s="397">
        <f t="shared" si="981"/>
        <v>-1.2612951807229322E-3</v>
      </c>
      <c r="AI163" s="397">
        <f t="shared" si="981"/>
        <v>2.9465612219226056E-2</v>
      </c>
      <c r="AJ163" s="397">
        <f t="shared" si="981"/>
        <v>-0.13428821707528182</v>
      </c>
      <c r="AK163" s="397">
        <f t="shared" si="981"/>
        <v>-9.7367431487540346E-2</v>
      </c>
      <c r="AL163" s="397">
        <f t="shared" si="981"/>
        <v>-0.87512706504791438</v>
      </c>
      <c r="AM163" s="397">
        <f t="shared" si="981"/>
        <v>-0.86587372391297068</v>
      </c>
      <c r="AN163" s="397">
        <f t="shared" ref="AN163:BC163" si="982">CHOOSE(MASTERSWITCH,AN164,AN165,AN166)</f>
        <v>-0.87184959843167364</v>
      </c>
      <c r="AO163" s="397">
        <f t="shared" si="982"/>
        <v>-0.8624216131727398</v>
      </c>
      <c r="AP163" s="397">
        <f t="shared" si="982"/>
        <v>9.5361965483718558E-2</v>
      </c>
      <c r="AQ163" s="397">
        <f t="shared" si="982"/>
        <v>0.10028937207555177</v>
      </c>
      <c r="AR163" s="397">
        <f t="shared" si="982"/>
        <v>-2.5698881377333178</v>
      </c>
      <c r="AS163" s="397">
        <f t="shared" si="982"/>
        <v>-0.72262424857118757</v>
      </c>
      <c r="AT163" s="397">
        <f t="shared" si="982"/>
        <v>-0.50831768312747294</v>
      </c>
      <c r="AU163" s="397">
        <f t="shared" si="982"/>
        <v>-0.59279005059477774</v>
      </c>
      <c r="AV163" s="397">
        <f t="shared" si="982"/>
        <v>-1.2448051195210657</v>
      </c>
      <c r="AW163" s="397">
        <f t="shared" si="982"/>
        <v>0.25341910286580327</v>
      </c>
      <c r="AX163" s="397">
        <f t="shared" si="982"/>
        <v>-0.25999597978051558</v>
      </c>
      <c r="AY163" s="397">
        <f t="shared" si="982"/>
        <v>-8.0086648915658865E-2</v>
      </c>
      <c r="AZ163" s="397">
        <f t="shared" si="982"/>
        <v>0.97876091835072532</v>
      </c>
      <c r="BA163" s="397">
        <f t="shared" si="982"/>
        <v>8.4569206883482684E-2</v>
      </c>
      <c r="BB163" s="397">
        <f t="shared" si="982"/>
        <v>0.14896124158265489</v>
      </c>
      <c r="BC163" s="397">
        <f t="shared" si="982"/>
        <v>0.18533382570362833</v>
      </c>
      <c r="BD163" s="397">
        <f t="shared" ref="BD163:BI163" si="983">CHOOSE(MASTERSWITCH,BD164,BD165,BD166)</f>
        <v>-2.1887594362377749E-2</v>
      </c>
      <c r="BE163" s="397">
        <f t="shared" si="983"/>
        <v>0.4018695042134719</v>
      </c>
      <c r="BF163" s="397">
        <f t="shared" si="983"/>
        <v>2.7862142616420544</v>
      </c>
      <c r="BG163" s="397">
        <f t="shared" si="983"/>
        <v>2.3559922172649581</v>
      </c>
      <c r="BH163" s="397">
        <f t="shared" si="983"/>
        <v>1.9705859040980336</v>
      </c>
      <c r="BI163" s="397">
        <f t="shared" si="983"/>
        <v>3.407774172199435</v>
      </c>
      <c r="BJ163" s="397">
        <f t="shared" ref="BJ163:BK163" si="984">CHOOSE(MASTERSWITCH,BJ164,BJ165,BJ166)</f>
        <v>0.21175742007867537</v>
      </c>
      <c r="BK163" s="1824">
        <f t="shared" si="984"/>
        <v>2.3668594607029414E-2</v>
      </c>
      <c r="BL163" s="398">
        <f t="shared" si="980"/>
        <v>5.864572414809098E-2</v>
      </c>
      <c r="BM163" s="398">
        <f t="shared" si="980"/>
        <v>5.4895529877053803E-2</v>
      </c>
      <c r="BN163" s="398">
        <f t="shared" si="980"/>
        <v>4.8786353035603185E-2</v>
      </c>
      <c r="BO163" s="398">
        <f t="shared" si="980"/>
        <v>5.0158801270886448E-2</v>
      </c>
      <c r="BP163" s="398">
        <f t="shared" si="980"/>
        <v>4.6638030566111592E-2</v>
      </c>
      <c r="BQ163" s="398">
        <f t="shared" si="980"/>
        <v>4.6874784217962644E-2</v>
      </c>
      <c r="BR163" s="398">
        <f t="shared" ref="BR163:CK163" si="985">CHOOSE(MASTERSWITCH,BR164,BR165,BR166)</f>
        <v>4.6874784217962644E-2</v>
      </c>
      <c r="BS163" s="398">
        <f t="shared" si="985"/>
        <v>4.6874784217962644E-2</v>
      </c>
      <c r="BT163" s="398">
        <f t="shared" si="985"/>
        <v>4.6874784217962644E-2</v>
      </c>
      <c r="BU163" s="398">
        <f t="shared" si="985"/>
        <v>4.6874784217962644E-2</v>
      </c>
      <c r="BV163" s="398">
        <f t="shared" si="985"/>
        <v>4.6874784217962644E-2</v>
      </c>
      <c r="BW163" s="398">
        <f t="shared" si="985"/>
        <v>4.6874784217962644E-2</v>
      </c>
      <c r="BX163" s="398">
        <f t="shared" si="985"/>
        <v>4.6874784217962644E-2</v>
      </c>
      <c r="BY163" s="398">
        <f t="shared" si="985"/>
        <v>4.6874784217962644E-2</v>
      </c>
      <c r="BZ163" s="398">
        <f t="shared" si="985"/>
        <v>3.487478421796264E-2</v>
      </c>
      <c r="CA163" s="398">
        <f t="shared" si="985"/>
        <v>3.487478421796264E-2</v>
      </c>
      <c r="CB163" s="398">
        <f t="shared" si="985"/>
        <v>3.487478421796264E-2</v>
      </c>
      <c r="CC163" s="398">
        <f t="shared" si="985"/>
        <v>3.487478421796264E-2</v>
      </c>
      <c r="CD163" s="398">
        <f t="shared" si="985"/>
        <v>3.487478421796264E-2</v>
      </c>
      <c r="CE163" s="398">
        <f t="shared" si="985"/>
        <v>3.487478421796264E-2</v>
      </c>
      <c r="CF163" s="398">
        <f t="shared" si="985"/>
        <v>3.487478421796264E-2</v>
      </c>
      <c r="CG163" s="398">
        <f t="shared" si="985"/>
        <v>3.487478421796264E-2</v>
      </c>
      <c r="CH163" s="398">
        <f t="shared" si="985"/>
        <v>3.487478421796264E-2</v>
      </c>
      <c r="CI163" s="398">
        <f t="shared" si="985"/>
        <v>3.487478421796264E-2</v>
      </c>
      <c r="CJ163" s="398">
        <f t="shared" si="985"/>
        <v>3.487478421796264E-2</v>
      </c>
      <c r="CK163" s="398">
        <f t="shared" si="985"/>
        <v>3.487478421796264E-2</v>
      </c>
      <c r="CL163" s="398">
        <f t="shared" ref="CL163:CP163" si="986">CHOOSE(MASTERSWITCH,CL164,CL165,CL166)</f>
        <v>3.487478421796264E-2</v>
      </c>
      <c r="CM163" s="398">
        <f t="shared" si="986"/>
        <v>3.487478421796264E-2</v>
      </c>
      <c r="CN163" s="398">
        <f t="shared" si="986"/>
        <v>3.487478421796264E-2</v>
      </c>
      <c r="CO163" s="398">
        <f t="shared" si="986"/>
        <v>3.487478421796264E-2</v>
      </c>
      <c r="CP163" s="398">
        <f t="shared" si="986"/>
        <v>3.487478421796264E-2</v>
      </c>
      <c r="CQ163" s="398">
        <f t="shared" ref="CQ163:CU163" si="987">CHOOSE(MASTERSWITCH,CQ164,CQ165,CQ166)</f>
        <v>3.487478421796264E-2</v>
      </c>
      <c r="CR163" s="398">
        <f t="shared" si="987"/>
        <v>3.487478421796264E-2</v>
      </c>
      <c r="CS163" s="398">
        <f t="shared" si="987"/>
        <v>3.487478421796264E-2</v>
      </c>
      <c r="CT163" s="398">
        <f t="shared" si="987"/>
        <v>3.487478421796264E-2</v>
      </c>
      <c r="CU163" s="398">
        <f t="shared" si="987"/>
        <v>3.487478421796264E-2</v>
      </c>
      <c r="CV163" s="398">
        <f t="shared" ref="CV163:CW163" si="988">CHOOSE(MASTERSWITCH,CV164,CV165,CV166)</f>
        <v>3.487478421796264E-2</v>
      </c>
      <c r="CW163" s="398">
        <f t="shared" si="988"/>
        <v>3.487478421796264E-2</v>
      </c>
      <c r="CX163" s="269"/>
      <c r="CY163" s="269"/>
      <c r="CZ163" s="269"/>
    </row>
    <row r="164" spans="1:106">
      <c r="A164" s="695" t="s">
        <v>571</v>
      </c>
      <c r="B164" s="392"/>
      <c r="C164" s="392"/>
      <c r="D164" s="392"/>
      <c r="E164" s="393"/>
      <c r="F164" s="51"/>
      <c r="G164" s="51">
        <f>Q_IS!G30</f>
        <v>-0.10736390011819219</v>
      </c>
      <c r="H164" s="51">
        <f>Q_IS!H30</f>
        <v>-6.614151464897744E-2</v>
      </c>
      <c r="I164" s="51">
        <f>Q_IS!I30</f>
        <v>3.299886917634387E-2</v>
      </c>
      <c r="J164" s="51">
        <f>Q_IS!J30</f>
        <v>9.1898081878041937E-2</v>
      </c>
      <c r="K164" s="51">
        <f>Q_IS!K30</f>
        <v>0.15876375952582533</v>
      </c>
      <c r="L164" s="51">
        <f>Q_IS!L30</f>
        <v>0.17622429814561191</v>
      </c>
      <c r="M164" s="51">
        <f>Q_IS!M30</f>
        <v>0.13572084147199814</v>
      </c>
      <c r="N164" s="51">
        <f>Q_IS!N30</f>
        <v>9.8318992229584623E-2</v>
      </c>
      <c r="O164" s="51">
        <f>Q_IS!O30</f>
        <v>7.9963235294117752E-2</v>
      </c>
      <c r="P164" s="51">
        <f>Q_IS!P30</f>
        <v>-3.1268878524998267E-2</v>
      </c>
      <c r="Q164" s="51">
        <f>Q_IS!Q30</f>
        <v>-0.12482819585612581</v>
      </c>
      <c r="R164" s="51">
        <f>Q_IS!R30</f>
        <v>-0.15411183061133893</v>
      </c>
      <c r="S164" s="51">
        <f>Q_IS!S30</f>
        <v>-0.40423091346259898</v>
      </c>
      <c r="T164" s="51">
        <f>Q_IS!T30</f>
        <v>-0.50253363207502577</v>
      </c>
      <c r="U164" s="38">
        <f>Q_IS!U30</f>
        <v>-0.45003552217598708</v>
      </c>
      <c r="V164" s="38">
        <f>Q_IS!V30</f>
        <v>-0.43230979930370672</v>
      </c>
      <c r="W164" s="38">
        <f>Q_IS!W30</f>
        <v>-0.19607536803254633</v>
      </c>
      <c r="X164" s="38">
        <f>Q_IS!X30</f>
        <v>6.1010729748689263E-2</v>
      </c>
      <c r="Y164" s="38">
        <f>Q_IS!Y30</f>
        <v>0.27603906501024689</v>
      </c>
      <c r="Z164" s="38">
        <f>Q_IS!Z30</f>
        <v>0.25555880333630165</v>
      </c>
      <c r="AA164" s="38">
        <f>Q_IS!AA30</f>
        <v>0.36608628408850308</v>
      </c>
      <c r="AB164" s="38">
        <f>Q_IS!AB30</f>
        <v>0.19386361092064219</v>
      </c>
      <c r="AC164" s="38">
        <f>Q_IS!AC30</f>
        <v>3.0946917779890448E-2</v>
      </c>
      <c r="AD164" s="38">
        <f>Q_IS!AD30</f>
        <v>7.6830307599538461E-2</v>
      </c>
      <c r="AE164" s="38">
        <f>Q_IS!AE30</f>
        <v>-5.0799568763867264E-2</v>
      </c>
      <c r="AF164" s="38">
        <f>Q_IS!AF30</f>
        <v>0.18041127048229111</v>
      </c>
      <c r="AG164" s="38">
        <f>Q_IS!AG30</f>
        <v>0.12441101752095118</v>
      </c>
      <c r="AH164" s="38">
        <f>Q_IS!AH30</f>
        <v>-1.2612951807229322E-3</v>
      </c>
      <c r="AI164" s="38">
        <f>Q_IS!AI30</f>
        <v>2.9465612219226056E-2</v>
      </c>
      <c r="AJ164" s="38">
        <f>Q_IS!AJ30</f>
        <v>-0.13428821707528182</v>
      </c>
      <c r="AK164" s="38">
        <f>Q_IS!AK30</f>
        <v>-9.7367431487540346E-2</v>
      </c>
      <c r="AL164" s="38">
        <f>Q_IS!AL30</f>
        <v>-0.87512706504791438</v>
      </c>
      <c r="AM164" s="38">
        <f>Q_IS!AM30</f>
        <v>-0.86587372391297068</v>
      </c>
      <c r="AN164" s="38">
        <f>Q_IS!AN30</f>
        <v>-0.87184959843167364</v>
      </c>
      <c r="AO164" s="38">
        <f>Q_IS!AO30</f>
        <v>-0.8624216131727398</v>
      </c>
      <c r="AP164" s="38">
        <f>Q_IS!AP30</f>
        <v>9.5361965483718558E-2</v>
      </c>
      <c r="AQ164" s="38">
        <f>Q_IS!AQ30</f>
        <v>0.10028937207555177</v>
      </c>
      <c r="AR164" s="38">
        <f>Q_IS!AR30</f>
        <v>-2.5698881377333178</v>
      </c>
      <c r="AS164" s="38">
        <f>Q_IS!AS30</f>
        <v>-0.72262424857118757</v>
      </c>
      <c r="AT164" s="38">
        <f>Q_IS!AT30</f>
        <v>-0.50831768312747294</v>
      </c>
      <c r="AU164" s="38">
        <f>Q_IS!AU30</f>
        <v>-0.59279005059477774</v>
      </c>
      <c r="AV164" s="38">
        <f>Q_IS!AV30</f>
        <v>-1.2448051195210657</v>
      </c>
      <c r="AW164" s="38">
        <f>Q_IS!AW30</f>
        <v>0.25341910286580327</v>
      </c>
      <c r="AX164" s="38">
        <f>Q_IS!AX30</f>
        <v>-0.25999597978051558</v>
      </c>
      <c r="AY164" s="38">
        <f>Q_IS!AY30</f>
        <v>-8.0086648915658865E-2</v>
      </c>
      <c r="AZ164" s="38">
        <f>Q_IS!AZ30</f>
        <v>0.97876091835072532</v>
      </c>
      <c r="BA164" s="38">
        <f>Q_IS!BA30</f>
        <v>8.4569206883482684E-2</v>
      </c>
      <c r="BB164" s="38">
        <f>Q_IS!BB30</f>
        <v>0.14896124158265489</v>
      </c>
      <c r="BC164" s="38">
        <f>Q_IS!BC30</f>
        <v>0.18533382570362833</v>
      </c>
      <c r="BD164" s="38">
        <f>Q_IS!BD30</f>
        <v>-2.1887594362377749E-2</v>
      </c>
      <c r="BE164" s="38">
        <f>Q_IS!BE30</f>
        <v>0.4018695042134719</v>
      </c>
      <c r="BF164" s="38">
        <f>Q_IS!BF30</f>
        <v>2.7862142616420544</v>
      </c>
      <c r="BG164" s="38">
        <f>Q_IS!BG30</f>
        <v>2.3559922172649581</v>
      </c>
      <c r="BH164" s="38">
        <f>Q_IS!BH30</f>
        <v>1.9705859040980336</v>
      </c>
      <c r="BI164" s="38">
        <f>Q_IS!BI30</f>
        <v>3.407774172199435</v>
      </c>
      <c r="BJ164" s="38">
        <f>Q_IS!BJ30</f>
        <v>0.21175742007867537</v>
      </c>
      <c r="BK164" s="1833">
        <f>Q_IS!BK30</f>
        <v>2.3668594607029414E-2</v>
      </c>
      <c r="BL164" s="45">
        <f t="shared" ref="BL164:BP164" si="989">BL165+$CY164</f>
        <v>5.864572414809098E-2</v>
      </c>
      <c r="BM164" s="45">
        <f t="shared" si="989"/>
        <v>5.4895529877053803E-2</v>
      </c>
      <c r="BN164" s="45">
        <f t="shared" si="989"/>
        <v>4.8786353035603185E-2</v>
      </c>
      <c r="BO164" s="45">
        <f t="shared" si="989"/>
        <v>5.0158801270886448E-2</v>
      </c>
      <c r="BP164" s="45">
        <f t="shared" si="989"/>
        <v>4.6638030566111592E-2</v>
      </c>
      <c r="BQ164" s="45">
        <f t="shared" ref="BQ164:BY164" si="990">BQ165+$CY164</f>
        <v>4.6874784217962644E-2</v>
      </c>
      <c r="BR164" s="45">
        <f t="shared" si="990"/>
        <v>4.6874784217962644E-2</v>
      </c>
      <c r="BS164" s="45">
        <f t="shared" si="990"/>
        <v>4.6874784217962644E-2</v>
      </c>
      <c r="BT164" s="45">
        <f t="shared" si="990"/>
        <v>4.6874784217962644E-2</v>
      </c>
      <c r="BU164" s="45">
        <f t="shared" si="990"/>
        <v>4.6874784217962644E-2</v>
      </c>
      <c r="BV164" s="45">
        <f t="shared" si="990"/>
        <v>4.6874784217962644E-2</v>
      </c>
      <c r="BW164" s="45">
        <f t="shared" si="990"/>
        <v>4.6874784217962644E-2</v>
      </c>
      <c r="BX164" s="45">
        <f t="shared" si="990"/>
        <v>4.6874784217962644E-2</v>
      </c>
      <c r="BY164" s="45">
        <f t="shared" si="990"/>
        <v>4.6874784217962644E-2</v>
      </c>
      <c r="BZ164" s="45">
        <f t="shared" ref="BZ164:CU164" si="991">BZ165+$CZ164</f>
        <v>3.487478421796264E-2</v>
      </c>
      <c r="CA164" s="45">
        <f t="shared" si="991"/>
        <v>3.487478421796264E-2</v>
      </c>
      <c r="CB164" s="45">
        <f t="shared" si="991"/>
        <v>3.487478421796264E-2</v>
      </c>
      <c r="CC164" s="45">
        <f t="shared" si="991"/>
        <v>3.487478421796264E-2</v>
      </c>
      <c r="CD164" s="45">
        <f t="shared" si="991"/>
        <v>3.487478421796264E-2</v>
      </c>
      <c r="CE164" s="45">
        <f t="shared" si="991"/>
        <v>3.487478421796264E-2</v>
      </c>
      <c r="CF164" s="45">
        <f t="shared" si="991"/>
        <v>3.487478421796264E-2</v>
      </c>
      <c r="CG164" s="45">
        <f t="shared" si="991"/>
        <v>3.487478421796264E-2</v>
      </c>
      <c r="CH164" s="45">
        <f t="shared" si="991"/>
        <v>3.487478421796264E-2</v>
      </c>
      <c r="CI164" s="45">
        <f t="shared" si="991"/>
        <v>3.487478421796264E-2</v>
      </c>
      <c r="CJ164" s="45">
        <f t="shared" si="991"/>
        <v>3.487478421796264E-2</v>
      </c>
      <c r="CK164" s="45">
        <f t="shared" si="991"/>
        <v>3.487478421796264E-2</v>
      </c>
      <c r="CL164" s="45">
        <f t="shared" si="991"/>
        <v>3.487478421796264E-2</v>
      </c>
      <c r="CM164" s="45">
        <f t="shared" si="991"/>
        <v>3.487478421796264E-2</v>
      </c>
      <c r="CN164" s="45">
        <f t="shared" si="991"/>
        <v>3.487478421796264E-2</v>
      </c>
      <c r="CO164" s="45">
        <f t="shared" si="991"/>
        <v>3.487478421796264E-2</v>
      </c>
      <c r="CP164" s="45">
        <f t="shared" si="991"/>
        <v>3.487478421796264E-2</v>
      </c>
      <c r="CQ164" s="45">
        <f t="shared" si="991"/>
        <v>3.487478421796264E-2</v>
      </c>
      <c r="CR164" s="45">
        <f t="shared" si="991"/>
        <v>3.487478421796264E-2</v>
      </c>
      <c r="CS164" s="45">
        <f t="shared" si="991"/>
        <v>3.487478421796264E-2</v>
      </c>
      <c r="CT164" s="45">
        <f t="shared" si="991"/>
        <v>3.487478421796264E-2</v>
      </c>
      <c r="CU164" s="45">
        <f t="shared" si="991"/>
        <v>3.487478421796264E-2</v>
      </c>
      <c r="CV164" s="45">
        <f t="shared" ref="CV164:CW164" si="992">CV165+$CZ164</f>
        <v>3.487478421796264E-2</v>
      </c>
      <c r="CW164" s="45">
        <f t="shared" si="992"/>
        <v>3.487478421796264E-2</v>
      </c>
      <c r="CX164" s="269"/>
      <c r="CY164" s="559">
        <v>0</v>
      </c>
      <c r="CZ164" s="559">
        <v>0</v>
      </c>
    </row>
    <row r="165" spans="1:106">
      <c r="A165" s="695" t="s">
        <v>200</v>
      </c>
      <c r="B165" s="392"/>
      <c r="C165" s="392"/>
      <c r="D165" s="392"/>
      <c r="E165" s="394"/>
      <c r="F165" s="51"/>
      <c r="G165" s="51">
        <f t="shared" ref="G165:AA165" si="993">G164</f>
        <v>-0.10736390011819219</v>
      </c>
      <c r="H165" s="51">
        <f t="shared" si="993"/>
        <v>-6.614151464897744E-2</v>
      </c>
      <c r="I165" s="51">
        <f t="shared" si="993"/>
        <v>3.299886917634387E-2</v>
      </c>
      <c r="J165" s="51">
        <f t="shared" si="993"/>
        <v>9.1898081878041937E-2</v>
      </c>
      <c r="K165" s="51">
        <f t="shared" si="993"/>
        <v>0.15876375952582533</v>
      </c>
      <c r="L165" s="51">
        <f t="shared" si="993"/>
        <v>0.17622429814561191</v>
      </c>
      <c r="M165" s="51">
        <f t="shared" si="993"/>
        <v>0.13572084147199814</v>
      </c>
      <c r="N165" s="51">
        <f t="shared" si="993"/>
        <v>9.8318992229584623E-2</v>
      </c>
      <c r="O165" s="51">
        <f t="shared" si="993"/>
        <v>7.9963235294117752E-2</v>
      </c>
      <c r="P165" s="51">
        <f t="shared" si="993"/>
        <v>-3.1268878524998267E-2</v>
      </c>
      <c r="Q165" s="51">
        <f t="shared" si="993"/>
        <v>-0.12482819585612581</v>
      </c>
      <c r="R165" s="51">
        <f t="shared" si="993"/>
        <v>-0.15411183061133893</v>
      </c>
      <c r="S165" s="51">
        <f t="shared" si="993"/>
        <v>-0.40423091346259898</v>
      </c>
      <c r="T165" s="51">
        <f t="shared" si="993"/>
        <v>-0.50253363207502577</v>
      </c>
      <c r="U165" s="38">
        <f t="shared" si="993"/>
        <v>-0.45003552217598708</v>
      </c>
      <c r="V165" s="38">
        <f t="shared" si="993"/>
        <v>-0.43230979930370672</v>
      </c>
      <c r="W165" s="38">
        <f t="shared" si="993"/>
        <v>-0.19607536803254633</v>
      </c>
      <c r="X165" s="38">
        <f t="shared" si="993"/>
        <v>6.1010729748689263E-2</v>
      </c>
      <c r="Y165" s="38">
        <f t="shared" si="993"/>
        <v>0.27603906501024689</v>
      </c>
      <c r="Z165" s="38">
        <f t="shared" si="993"/>
        <v>0.25555880333630165</v>
      </c>
      <c r="AA165" s="38">
        <f t="shared" si="993"/>
        <v>0.36608628408850308</v>
      </c>
      <c r="AB165" s="38">
        <f t="shared" ref="AB165:AM165" si="994">AB164</f>
        <v>0.19386361092064219</v>
      </c>
      <c r="AC165" s="38">
        <f t="shared" si="994"/>
        <v>3.0946917779890448E-2</v>
      </c>
      <c r="AD165" s="38">
        <f t="shared" si="994"/>
        <v>7.6830307599538461E-2</v>
      </c>
      <c r="AE165" s="38">
        <f t="shared" si="994"/>
        <v>-5.0799568763867264E-2</v>
      </c>
      <c r="AF165" s="38">
        <f t="shared" si="994"/>
        <v>0.18041127048229111</v>
      </c>
      <c r="AG165" s="38">
        <f t="shared" si="994"/>
        <v>0.12441101752095118</v>
      </c>
      <c r="AH165" s="38">
        <f t="shared" si="994"/>
        <v>-1.2612951807229322E-3</v>
      </c>
      <c r="AI165" s="38">
        <f t="shared" si="994"/>
        <v>2.9465612219226056E-2</v>
      </c>
      <c r="AJ165" s="38">
        <f t="shared" si="994"/>
        <v>-0.13428821707528182</v>
      </c>
      <c r="AK165" s="38">
        <f t="shared" si="994"/>
        <v>-9.7367431487540346E-2</v>
      </c>
      <c r="AL165" s="38">
        <f t="shared" si="994"/>
        <v>-0.87512706504791438</v>
      </c>
      <c r="AM165" s="38">
        <f t="shared" si="994"/>
        <v>-0.86587372391297068</v>
      </c>
      <c r="AN165" s="38">
        <f t="shared" ref="AN165:BC165" si="995">AN164</f>
        <v>-0.87184959843167364</v>
      </c>
      <c r="AO165" s="38">
        <f t="shared" si="995"/>
        <v>-0.8624216131727398</v>
      </c>
      <c r="AP165" s="38">
        <f t="shared" si="995"/>
        <v>9.5361965483718558E-2</v>
      </c>
      <c r="AQ165" s="38">
        <f t="shared" si="995"/>
        <v>0.10028937207555177</v>
      </c>
      <c r="AR165" s="38">
        <f t="shared" si="995"/>
        <v>-2.5698881377333178</v>
      </c>
      <c r="AS165" s="38">
        <f t="shared" si="995"/>
        <v>-0.72262424857118757</v>
      </c>
      <c r="AT165" s="38">
        <f t="shared" si="995"/>
        <v>-0.50831768312747294</v>
      </c>
      <c r="AU165" s="38">
        <f t="shared" si="995"/>
        <v>-0.59279005059477774</v>
      </c>
      <c r="AV165" s="38">
        <f t="shared" si="995"/>
        <v>-1.2448051195210657</v>
      </c>
      <c r="AW165" s="38">
        <f t="shared" si="995"/>
        <v>0.25341910286580327</v>
      </c>
      <c r="AX165" s="38">
        <f t="shared" si="995"/>
        <v>-0.25999597978051558</v>
      </c>
      <c r="AY165" s="38">
        <f t="shared" si="995"/>
        <v>-8.0086648915658865E-2</v>
      </c>
      <c r="AZ165" s="38">
        <f t="shared" si="995"/>
        <v>0.97876091835072532</v>
      </c>
      <c r="BA165" s="38">
        <f t="shared" si="995"/>
        <v>8.4569206883482684E-2</v>
      </c>
      <c r="BB165" s="38">
        <f t="shared" si="995"/>
        <v>0.14896124158265489</v>
      </c>
      <c r="BC165" s="38">
        <f t="shared" si="995"/>
        <v>0.18533382570362833</v>
      </c>
      <c r="BD165" s="38">
        <f t="shared" ref="BD165:BI165" si="996">BD164</f>
        <v>-2.1887594362377749E-2</v>
      </c>
      <c r="BE165" s="38">
        <f t="shared" si="996"/>
        <v>0.4018695042134719</v>
      </c>
      <c r="BF165" s="38">
        <f t="shared" si="996"/>
        <v>2.7862142616420544</v>
      </c>
      <c r="BG165" s="38">
        <f t="shared" si="996"/>
        <v>2.3559922172649581</v>
      </c>
      <c r="BH165" s="38">
        <f t="shared" si="996"/>
        <v>1.9705859040980336</v>
      </c>
      <c r="BI165" s="38">
        <f t="shared" si="996"/>
        <v>3.407774172199435</v>
      </c>
      <c r="BJ165" s="38">
        <f t="shared" ref="BJ165:BK165" si="997">BJ164</f>
        <v>0.21175742007867537</v>
      </c>
      <c r="BK165" s="1833">
        <f t="shared" si="997"/>
        <v>2.3668594607029414E-2</v>
      </c>
      <c r="BL165" s="559">
        <f t="shared" ref="BL165:BQ165" si="998">+BL148</f>
        <v>5.864572414809098E-2</v>
      </c>
      <c r="BM165" s="559">
        <f t="shared" si="998"/>
        <v>5.4895529877053803E-2</v>
      </c>
      <c r="BN165" s="559">
        <f t="shared" si="998"/>
        <v>4.8786353035603185E-2</v>
      </c>
      <c r="BO165" s="559">
        <f t="shared" si="998"/>
        <v>5.0158801270886448E-2</v>
      </c>
      <c r="BP165" s="559">
        <f t="shared" si="998"/>
        <v>4.6638030566111592E-2</v>
      </c>
      <c r="BQ165" s="559">
        <f t="shared" si="998"/>
        <v>4.6874784217962644E-2</v>
      </c>
      <c r="BR165" s="559">
        <f t="shared" ref="BR165:CK165" si="999">+BR148</f>
        <v>4.6874784217962644E-2</v>
      </c>
      <c r="BS165" s="559">
        <f t="shared" si="999"/>
        <v>4.6874784217962644E-2</v>
      </c>
      <c r="BT165" s="559">
        <f t="shared" si="999"/>
        <v>4.6874784217962644E-2</v>
      </c>
      <c r="BU165" s="559">
        <f t="shared" si="999"/>
        <v>4.6874784217962644E-2</v>
      </c>
      <c r="BV165" s="559">
        <f t="shared" si="999"/>
        <v>4.6874784217962644E-2</v>
      </c>
      <c r="BW165" s="559">
        <f t="shared" si="999"/>
        <v>4.6874784217962644E-2</v>
      </c>
      <c r="BX165" s="559">
        <f t="shared" si="999"/>
        <v>4.6874784217962644E-2</v>
      </c>
      <c r="BY165" s="559">
        <f t="shared" si="999"/>
        <v>4.6874784217962644E-2</v>
      </c>
      <c r="BZ165" s="559">
        <f t="shared" si="999"/>
        <v>3.487478421796264E-2</v>
      </c>
      <c r="CA165" s="559">
        <f t="shared" si="999"/>
        <v>3.487478421796264E-2</v>
      </c>
      <c r="CB165" s="559">
        <f t="shared" si="999"/>
        <v>3.487478421796264E-2</v>
      </c>
      <c r="CC165" s="559">
        <f t="shared" si="999"/>
        <v>3.487478421796264E-2</v>
      </c>
      <c r="CD165" s="559">
        <f t="shared" si="999"/>
        <v>3.487478421796264E-2</v>
      </c>
      <c r="CE165" s="559">
        <f t="shared" si="999"/>
        <v>3.487478421796264E-2</v>
      </c>
      <c r="CF165" s="559">
        <f t="shared" si="999"/>
        <v>3.487478421796264E-2</v>
      </c>
      <c r="CG165" s="559">
        <f t="shared" si="999"/>
        <v>3.487478421796264E-2</v>
      </c>
      <c r="CH165" s="559">
        <f t="shared" si="999"/>
        <v>3.487478421796264E-2</v>
      </c>
      <c r="CI165" s="559">
        <f t="shared" si="999"/>
        <v>3.487478421796264E-2</v>
      </c>
      <c r="CJ165" s="559">
        <f t="shared" si="999"/>
        <v>3.487478421796264E-2</v>
      </c>
      <c r="CK165" s="559">
        <f t="shared" si="999"/>
        <v>3.487478421796264E-2</v>
      </c>
      <c r="CL165" s="559">
        <f t="shared" ref="CL165:CP165" si="1000">+CL148</f>
        <v>3.487478421796264E-2</v>
      </c>
      <c r="CM165" s="559">
        <f t="shared" si="1000"/>
        <v>3.487478421796264E-2</v>
      </c>
      <c r="CN165" s="559">
        <f t="shared" si="1000"/>
        <v>3.487478421796264E-2</v>
      </c>
      <c r="CO165" s="559">
        <f t="shared" si="1000"/>
        <v>3.487478421796264E-2</v>
      </c>
      <c r="CP165" s="559">
        <f t="shared" si="1000"/>
        <v>3.487478421796264E-2</v>
      </c>
      <c r="CQ165" s="559">
        <f t="shared" ref="CQ165:CU165" si="1001">+CQ148</f>
        <v>3.487478421796264E-2</v>
      </c>
      <c r="CR165" s="559">
        <f t="shared" si="1001"/>
        <v>3.487478421796264E-2</v>
      </c>
      <c r="CS165" s="559">
        <f t="shared" si="1001"/>
        <v>3.487478421796264E-2</v>
      </c>
      <c r="CT165" s="559">
        <f t="shared" si="1001"/>
        <v>3.487478421796264E-2</v>
      </c>
      <c r="CU165" s="559">
        <f t="shared" si="1001"/>
        <v>3.487478421796264E-2</v>
      </c>
      <c r="CV165" s="559">
        <f t="shared" ref="CV165:CW165" si="1002">+CV148</f>
        <v>3.487478421796264E-2</v>
      </c>
      <c r="CW165" s="559">
        <f t="shared" si="1002"/>
        <v>3.487478421796264E-2</v>
      </c>
      <c r="CX165" s="269"/>
    </row>
    <row r="166" spans="1:106">
      <c r="A166" s="695" t="s">
        <v>202</v>
      </c>
      <c r="B166" s="392"/>
      <c r="C166" s="392"/>
      <c r="D166" s="392"/>
      <c r="E166" s="394"/>
      <c r="F166" s="51"/>
      <c r="G166" s="51">
        <f t="shared" ref="G166:AA166" si="1003">G164</f>
        <v>-0.10736390011819219</v>
      </c>
      <c r="H166" s="51">
        <f t="shared" si="1003"/>
        <v>-6.614151464897744E-2</v>
      </c>
      <c r="I166" s="51">
        <f t="shared" si="1003"/>
        <v>3.299886917634387E-2</v>
      </c>
      <c r="J166" s="51">
        <f t="shared" si="1003"/>
        <v>9.1898081878041937E-2</v>
      </c>
      <c r="K166" s="51">
        <f t="shared" si="1003"/>
        <v>0.15876375952582533</v>
      </c>
      <c r="L166" s="51">
        <f t="shared" si="1003"/>
        <v>0.17622429814561191</v>
      </c>
      <c r="M166" s="51">
        <f t="shared" si="1003"/>
        <v>0.13572084147199814</v>
      </c>
      <c r="N166" s="51">
        <f t="shared" si="1003"/>
        <v>9.8318992229584623E-2</v>
      </c>
      <c r="O166" s="51">
        <f t="shared" si="1003"/>
        <v>7.9963235294117752E-2</v>
      </c>
      <c r="P166" s="51">
        <f t="shared" si="1003"/>
        <v>-3.1268878524998267E-2</v>
      </c>
      <c r="Q166" s="51">
        <f t="shared" si="1003"/>
        <v>-0.12482819585612581</v>
      </c>
      <c r="R166" s="51">
        <f t="shared" si="1003"/>
        <v>-0.15411183061133893</v>
      </c>
      <c r="S166" s="51">
        <f t="shared" si="1003"/>
        <v>-0.40423091346259898</v>
      </c>
      <c r="T166" s="51">
        <f t="shared" si="1003"/>
        <v>-0.50253363207502577</v>
      </c>
      <c r="U166" s="38">
        <f t="shared" si="1003"/>
        <v>-0.45003552217598708</v>
      </c>
      <c r="V166" s="38">
        <f t="shared" si="1003"/>
        <v>-0.43230979930370672</v>
      </c>
      <c r="W166" s="38">
        <f t="shared" si="1003"/>
        <v>-0.19607536803254633</v>
      </c>
      <c r="X166" s="38">
        <f t="shared" si="1003"/>
        <v>6.1010729748689263E-2</v>
      </c>
      <c r="Y166" s="38">
        <f t="shared" si="1003"/>
        <v>0.27603906501024689</v>
      </c>
      <c r="Z166" s="38">
        <f t="shared" si="1003"/>
        <v>0.25555880333630165</v>
      </c>
      <c r="AA166" s="38">
        <f t="shared" si="1003"/>
        <v>0.36608628408850308</v>
      </c>
      <c r="AB166" s="38">
        <f t="shared" ref="AB166:AM166" si="1004">AB164</f>
        <v>0.19386361092064219</v>
      </c>
      <c r="AC166" s="38">
        <f t="shared" si="1004"/>
        <v>3.0946917779890448E-2</v>
      </c>
      <c r="AD166" s="38">
        <f t="shared" si="1004"/>
        <v>7.6830307599538461E-2</v>
      </c>
      <c r="AE166" s="38">
        <f t="shared" si="1004"/>
        <v>-5.0799568763867264E-2</v>
      </c>
      <c r="AF166" s="38">
        <f t="shared" si="1004"/>
        <v>0.18041127048229111</v>
      </c>
      <c r="AG166" s="38">
        <f t="shared" si="1004"/>
        <v>0.12441101752095118</v>
      </c>
      <c r="AH166" s="38">
        <f t="shared" si="1004"/>
        <v>-1.2612951807229322E-3</v>
      </c>
      <c r="AI166" s="38">
        <f t="shared" si="1004"/>
        <v>2.9465612219226056E-2</v>
      </c>
      <c r="AJ166" s="38">
        <f t="shared" si="1004"/>
        <v>-0.13428821707528182</v>
      </c>
      <c r="AK166" s="38">
        <f t="shared" si="1004"/>
        <v>-9.7367431487540346E-2</v>
      </c>
      <c r="AL166" s="38">
        <f t="shared" si="1004"/>
        <v>-0.87512706504791438</v>
      </c>
      <c r="AM166" s="38">
        <f t="shared" si="1004"/>
        <v>-0.86587372391297068</v>
      </c>
      <c r="AN166" s="38">
        <f t="shared" ref="AN166:BC166" si="1005">AN164</f>
        <v>-0.87184959843167364</v>
      </c>
      <c r="AO166" s="38">
        <f t="shared" si="1005"/>
        <v>-0.8624216131727398</v>
      </c>
      <c r="AP166" s="38">
        <f t="shared" si="1005"/>
        <v>9.5361965483718558E-2</v>
      </c>
      <c r="AQ166" s="38">
        <f t="shared" si="1005"/>
        <v>0.10028937207555177</v>
      </c>
      <c r="AR166" s="38">
        <f t="shared" si="1005"/>
        <v>-2.5698881377333178</v>
      </c>
      <c r="AS166" s="38">
        <f t="shared" si="1005"/>
        <v>-0.72262424857118757</v>
      </c>
      <c r="AT166" s="38">
        <f t="shared" si="1005"/>
        <v>-0.50831768312747294</v>
      </c>
      <c r="AU166" s="38">
        <f t="shared" si="1005"/>
        <v>-0.59279005059477774</v>
      </c>
      <c r="AV166" s="38">
        <f t="shared" si="1005"/>
        <v>-1.2448051195210657</v>
      </c>
      <c r="AW166" s="38">
        <f t="shared" si="1005"/>
        <v>0.25341910286580327</v>
      </c>
      <c r="AX166" s="38">
        <f t="shared" si="1005"/>
        <v>-0.25999597978051558</v>
      </c>
      <c r="AY166" s="38">
        <f t="shared" si="1005"/>
        <v>-8.0086648915658865E-2</v>
      </c>
      <c r="AZ166" s="38">
        <f t="shared" si="1005"/>
        <v>0.97876091835072532</v>
      </c>
      <c r="BA166" s="38">
        <f t="shared" si="1005"/>
        <v>8.4569206883482684E-2</v>
      </c>
      <c r="BB166" s="38">
        <f t="shared" si="1005"/>
        <v>0.14896124158265489</v>
      </c>
      <c r="BC166" s="38">
        <f t="shared" si="1005"/>
        <v>0.18533382570362833</v>
      </c>
      <c r="BD166" s="38">
        <f t="shared" ref="BD166:BI166" si="1006">BD164</f>
        <v>-2.1887594362377749E-2</v>
      </c>
      <c r="BE166" s="38">
        <f t="shared" si="1006"/>
        <v>0.4018695042134719</v>
      </c>
      <c r="BF166" s="38">
        <f t="shared" si="1006"/>
        <v>2.7862142616420544</v>
      </c>
      <c r="BG166" s="38">
        <f t="shared" si="1006"/>
        <v>2.3559922172649581</v>
      </c>
      <c r="BH166" s="38">
        <f t="shared" si="1006"/>
        <v>1.9705859040980336</v>
      </c>
      <c r="BI166" s="38">
        <f t="shared" si="1006"/>
        <v>3.407774172199435</v>
      </c>
      <c r="BJ166" s="38">
        <f t="shared" ref="BJ166:BK166" si="1007">BJ164</f>
        <v>0.21175742007867537</v>
      </c>
      <c r="BK166" s="1833">
        <f t="shared" si="1007"/>
        <v>2.3668594607029414E-2</v>
      </c>
      <c r="BL166" s="45">
        <f t="shared" ref="BL166:BP166" si="1008">BL165+$CY166</f>
        <v>5.864572414809098E-2</v>
      </c>
      <c r="BM166" s="45">
        <f t="shared" si="1008"/>
        <v>5.4895529877053803E-2</v>
      </c>
      <c r="BN166" s="45">
        <f t="shared" si="1008"/>
        <v>4.8786353035603185E-2</v>
      </c>
      <c r="BO166" s="45">
        <f t="shared" si="1008"/>
        <v>5.0158801270886448E-2</v>
      </c>
      <c r="BP166" s="45">
        <f t="shared" si="1008"/>
        <v>4.6638030566111592E-2</v>
      </c>
      <c r="BQ166" s="45">
        <f t="shared" ref="BQ166:BY166" si="1009">BQ165+$CY166</f>
        <v>4.6874784217962644E-2</v>
      </c>
      <c r="BR166" s="45">
        <f t="shared" si="1009"/>
        <v>4.6874784217962644E-2</v>
      </c>
      <c r="BS166" s="45">
        <f t="shared" si="1009"/>
        <v>4.6874784217962644E-2</v>
      </c>
      <c r="BT166" s="45">
        <f t="shared" si="1009"/>
        <v>4.6874784217962644E-2</v>
      </c>
      <c r="BU166" s="45">
        <f t="shared" si="1009"/>
        <v>4.6874784217962644E-2</v>
      </c>
      <c r="BV166" s="45">
        <f t="shared" si="1009"/>
        <v>4.6874784217962644E-2</v>
      </c>
      <c r="BW166" s="45">
        <f t="shared" si="1009"/>
        <v>4.6874784217962644E-2</v>
      </c>
      <c r="BX166" s="45">
        <f t="shared" si="1009"/>
        <v>4.6874784217962644E-2</v>
      </c>
      <c r="BY166" s="45">
        <f t="shared" si="1009"/>
        <v>4.6874784217962644E-2</v>
      </c>
      <c r="BZ166" s="45">
        <f t="shared" ref="BZ166:CU166" si="1010">BZ165+$CZ166</f>
        <v>3.487478421796264E-2</v>
      </c>
      <c r="CA166" s="45">
        <f t="shared" si="1010"/>
        <v>3.487478421796264E-2</v>
      </c>
      <c r="CB166" s="45">
        <f t="shared" si="1010"/>
        <v>3.487478421796264E-2</v>
      </c>
      <c r="CC166" s="45">
        <f t="shared" si="1010"/>
        <v>3.487478421796264E-2</v>
      </c>
      <c r="CD166" s="45">
        <f t="shared" si="1010"/>
        <v>3.487478421796264E-2</v>
      </c>
      <c r="CE166" s="45">
        <f t="shared" si="1010"/>
        <v>3.487478421796264E-2</v>
      </c>
      <c r="CF166" s="45">
        <f t="shared" si="1010"/>
        <v>3.487478421796264E-2</v>
      </c>
      <c r="CG166" s="45">
        <f t="shared" si="1010"/>
        <v>3.487478421796264E-2</v>
      </c>
      <c r="CH166" s="45">
        <f t="shared" si="1010"/>
        <v>3.487478421796264E-2</v>
      </c>
      <c r="CI166" s="45">
        <f t="shared" si="1010"/>
        <v>3.487478421796264E-2</v>
      </c>
      <c r="CJ166" s="45">
        <f t="shared" si="1010"/>
        <v>3.487478421796264E-2</v>
      </c>
      <c r="CK166" s="45">
        <f t="shared" si="1010"/>
        <v>3.487478421796264E-2</v>
      </c>
      <c r="CL166" s="45">
        <f t="shared" si="1010"/>
        <v>3.487478421796264E-2</v>
      </c>
      <c r="CM166" s="45">
        <f t="shared" si="1010"/>
        <v>3.487478421796264E-2</v>
      </c>
      <c r="CN166" s="45">
        <f t="shared" si="1010"/>
        <v>3.487478421796264E-2</v>
      </c>
      <c r="CO166" s="45">
        <f t="shared" si="1010"/>
        <v>3.487478421796264E-2</v>
      </c>
      <c r="CP166" s="45">
        <f t="shared" si="1010"/>
        <v>3.487478421796264E-2</v>
      </c>
      <c r="CQ166" s="45">
        <f t="shared" si="1010"/>
        <v>3.487478421796264E-2</v>
      </c>
      <c r="CR166" s="45">
        <f t="shared" si="1010"/>
        <v>3.487478421796264E-2</v>
      </c>
      <c r="CS166" s="45">
        <f t="shared" si="1010"/>
        <v>3.487478421796264E-2</v>
      </c>
      <c r="CT166" s="45">
        <f t="shared" si="1010"/>
        <v>3.487478421796264E-2</v>
      </c>
      <c r="CU166" s="45">
        <f t="shared" si="1010"/>
        <v>3.487478421796264E-2</v>
      </c>
      <c r="CV166" s="45">
        <f t="shared" ref="CV166:CW166" si="1011">CV165+$CZ166</f>
        <v>3.487478421796264E-2</v>
      </c>
      <c r="CW166" s="45">
        <f t="shared" si="1011"/>
        <v>3.487478421796264E-2</v>
      </c>
      <c r="CX166" s="269"/>
      <c r="CY166" s="559">
        <v>0</v>
      </c>
      <c r="CZ166" s="559">
        <v>0</v>
      </c>
    </row>
    <row r="167" spans="1:106">
      <c r="A167" s="42"/>
      <c r="B167" s="388"/>
      <c r="C167" s="388"/>
      <c r="D167" s="388"/>
      <c r="E167" s="38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269"/>
      <c r="AN167" s="269"/>
      <c r="AO167" s="269"/>
      <c r="AP167" s="857">
        <f>Q_IS!AP92</f>
        <v>7.7910216718266252</v>
      </c>
      <c r="AQ167" s="857">
        <f>Q_IS!AQ92</f>
        <v>5.9771949828962372</v>
      </c>
      <c r="AR167" s="857">
        <f>Q_IS!AR92</f>
        <v>5.898705683736635</v>
      </c>
      <c r="AS167" s="857">
        <f>Q_IS!AS92</f>
        <v>6.3836231071228271</v>
      </c>
      <c r="AT167" s="861">
        <f>Q_IS!AT92</f>
        <v>4.655075715086932</v>
      </c>
      <c r="AU167" s="861">
        <f>Q_IS!AU92</f>
        <v>1.8600451467268624</v>
      </c>
      <c r="AV167" s="861">
        <f>Q_IS!AV92</f>
        <v>4.634703196347032</v>
      </c>
      <c r="AW167" s="861">
        <f>Q_IS!AW92</f>
        <v>4.6079447322970637</v>
      </c>
      <c r="AX167" s="861">
        <f>Q_IS!AX92</f>
        <v>4.0486956521739135</v>
      </c>
      <c r="AY167" s="861">
        <f>Q_IS!AY92</f>
        <v>4.9508386350491618</v>
      </c>
      <c r="AZ167" s="861">
        <f>Q_IS!AZ92</f>
        <v>5.5677233429394812</v>
      </c>
      <c r="BA167" s="861">
        <f>Q_IS!BA92</f>
        <v>6.6536920435031481</v>
      </c>
      <c r="BB167" s="861">
        <f>Q_IS!BB92</f>
        <v>5.87202718006795</v>
      </c>
      <c r="BC167" s="861">
        <f>Q_IS!BC92</f>
        <v>6.0671516508114154</v>
      </c>
      <c r="BD167" s="861">
        <f>Q_IS!BD92</f>
        <v>5.9988962472406184</v>
      </c>
      <c r="BE167" s="861">
        <f>Q_IS!BE92</f>
        <v>6.4475828354155347</v>
      </c>
      <c r="BF167" s="861">
        <f>Q_IS!BF92</f>
        <v>5.9967741935483874</v>
      </c>
      <c r="BG167" s="861">
        <f>Q_IS!BG92</f>
        <v>6.0255591054313102</v>
      </c>
      <c r="BH167" s="861">
        <f>Q_IS!BH92</f>
        <v>5.9212184873949578</v>
      </c>
      <c r="BI167" s="861">
        <f>Q_IS!BI92</f>
        <v>6.3019648397104451</v>
      </c>
      <c r="BJ167" s="861">
        <f>Q_IS!BJ92</f>
        <v>5.5662404092071611</v>
      </c>
      <c r="BK167" s="1836">
        <f>Q_IS!BK92</f>
        <v>5.5924796747967482</v>
      </c>
      <c r="BL167" s="45"/>
      <c r="BM167" s="45"/>
      <c r="BN167" s="45"/>
      <c r="BO167" s="45"/>
      <c r="BP167" s="45"/>
      <c r="BQ167" s="45"/>
      <c r="BR167" s="45"/>
      <c r="BS167" s="45"/>
      <c r="BT167" s="45"/>
      <c r="BU167" s="45"/>
      <c r="BV167" s="45"/>
      <c r="BW167" s="45"/>
      <c r="BX167" s="45"/>
      <c r="BY167" s="45"/>
      <c r="BZ167" s="45"/>
      <c r="CA167" s="45"/>
      <c r="CB167" s="45"/>
      <c r="CC167" s="45"/>
      <c r="CD167" s="45"/>
      <c r="CE167" s="45"/>
      <c r="CF167" s="45"/>
      <c r="CG167" s="45"/>
      <c r="CH167" s="45"/>
      <c r="CI167" s="45"/>
      <c r="CJ167" s="45"/>
      <c r="CK167" s="45"/>
      <c r="CL167" s="45"/>
      <c r="CM167" s="45"/>
      <c r="CN167" s="45"/>
      <c r="CO167" s="45"/>
      <c r="CP167" s="45"/>
      <c r="CQ167" s="45"/>
      <c r="CR167" s="45"/>
      <c r="CS167" s="45"/>
      <c r="CT167" s="45"/>
      <c r="CU167" s="45"/>
      <c r="CV167" s="45"/>
      <c r="CW167" s="45"/>
      <c r="CX167" s="269"/>
      <c r="CY167" s="269"/>
      <c r="CZ167" s="269"/>
    </row>
    <row r="168" spans="1:106">
      <c r="A168" s="43" t="s">
        <v>949</v>
      </c>
      <c r="B168" s="388"/>
      <c r="C168" s="388"/>
      <c r="D168" s="388"/>
      <c r="E168" s="38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269"/>
      <c r="AN168" s="269"/>
      <c r="AO168" s="269"/>
      <c r="AP168" s="269"/>
      <c r="AQ168" s="269"/>
      <c r="AR168" s="269"/>
      <c r="AS168" s="269"/>
      <c r="AT168" s="45"/>
      <c r="AU168" s="45"/>
      <c r="AV168" s="45"/>
      <c r="AW168" s="45"/>
      <c r="AX168" s="45"/>
      <c r="AY168" s="45"/>
      <c r="AZ168" s="45"/>
      <c r="BA168" s="45"/>
      <c r="BB168" s="45"/>
      <c r="BC168" s="45"/>
      <c r="BD168" s="45"/>
      <c r="BE168" s="45"/>
      <c r="BF168" s="45"/>
      <c r="BG168" s="45"/>
      <c r="BH168" s="45"/>
      <c r="BI168" s="45"/>
      <c r="BJ168" s="45"/>
      <c r="BK168" s="1828"/>
      <c r="BL168" s="45"/>
      <c r="BM168" s="45"/>
      <c r="BN168" s="45"/>
      <c r="BO168" s="45"/>
      <c r="BP168" s="45"/>
      <c r="BQ168" s="45"/>
      <c r="BR168" s="45"/>
      <c r="BS168" s="45"/>
      <c r="BT168" s="45"/>
      <c r="BU168" s="45"/>
      <c r="BV168" s="45"/>
      <c r="BW168" s="45"/>
      <c r="BX168" s="45"/>
      <c r="BY168" s="45"/>
      <c r="BZ168" s="45"/>
      <c r="CA168" s="45"/>
      <c r="CB168" s="45"/>
      <c r="CC168" s="45"/>
      <c r="CD168" s="45"/>
      <c r="CE168" s="45"/>
      <c r="CF168" s="45"/>
      <c r="CG168" s="45"/>
      <c r="CH168" s="45"/>
      <c r="CI168" s="45"/>
      <c r="CJ168" s="45"/>
      <c r="CK168" s="45"/>
      <c r="CL168" s="45"/>
      <c r="CM168" s="45"/>
      <c r="CN168" s="45"/>
      <c r="CO168" s="45"/>
      <c r="CP168" s="45"/>
      <c r="CQ168" s="45"/>
      <c r="CR168" s="45"/>
      <c r="CS168" s="45"/>
      <c r="CT168" s="45"/>
      <c r="CU168" s="45"/>
      <c r="CV168" s="45"/>
      <c r="CW168" s="45"/>
      <c r="CX168" s="269"/>
      <c r="CY168" s="269"/>
      <c r="CZ168" s="269"/>
      <c r="DB168" s="13"/>
    </row>
    <row r="169" spans="1:106" s="1043" customFormat="1">
      <c r="A169" s="1888" t="s">
        <v>1478</v>
      </c>
      <c r="B169" s="1889"/>
      <c r="C169" s="1889"/>
      <c r="D169" s="1889"/>
      <c r="E169" s="1889"/>
      <c r="F169" s="1889"/>
      <c r="G169" s="1889"/>
      <c r="H169" s="1889"/>
      <c r="I169" s="1889"/>
      <c r="J169" s="1889"/>
      <c r="K169" s="1889"/>
      <c r="L169" s="1889"/>
      <c r="M169" s="1889"/>
      <c r="N169" s="1889"/>
      <c r="O169" s="1889"/>
      <c r="P169" s="1889"/>
      <c r="Q169" s="1889"/>
      <c r="R169" s="1889"/>
      <c r="S169" s="1889"/>
      <c r="T169" s="1889"/>
      <c r="U169" s="1889"/>
      <c r="V169" s="1889"/>
      <c r="W169" s="1889"/>
      <c r="X169" s="1889"/>
      <c r="Y169" s="1889"/>
      <c r="Z169" s="1889"/>
      <c r="AA169" s="1889"/>
      <c r="AB169" s="1889"/>
      <c r="AC169" s="1889"/>
      <c r="AD169" s="1889"/>
      <c r="AE169" s="1889"/>
      <c r="AF169" s="1889"/>
      <c r="AG169" s="1889"/>
      <c r="AH169" s="1889"/>
      <c r="AI169" s="1889"/>
      <c r="AJ169" s="1889"/>
      <c r="AK169" s="1889"/>
      <c r="AL169" s="1890">
        <f>Q_IS!AL105</f>
        <v>2481</v>
      </c>
      <c r="AM169" s="1890">
        <f>Q_IS!AM105</f>
        <v>2358</v>
      </c>
      <c r="AN169" s="1890">
        <f>Q_IS!AN105</f>
        <v>2358</v>
      </c>
      <c r="AO169" s="1890">
        <f>Q_IS!AO105</f>
        <v>2690</v>
      </c>
      <c r="AP169" s="1890">
        <f>Q_IS!AP105</f>
        <v>5033</v>
      </c>
      <c r="AQ169" s="1890">
        <f>Q_IS!AQ105</f>
        <v>5242</v>
      </c>
      <c r="AR169" s="1890">
        <f>Q_IS!AR105</f>
        <v>5241</v>
      </c>
      <c r="AS169" s="1890">
        <f>Q_IS!AS105</f>
        <v>5691</v>
      </c>
      <c r="AT169" s="1890">
        <f>Q_IS!AT105</f>
        <v>4150</v>
      </c>
      <c r="AU169" s="1890">
        <f>Q_IS!AU105</f>
        <v>1648</v>
      </c>
      <c r="AV169" s="1890">
        <f>Q_IS!AV105</f>
        <v>4060</v>
      </c>
      <c r="AW169" s="1890">
        <f>Q_IS!AW105</f>
        <v>4002</v>
      </c>
      <c r="AX169" s="1890">
        <f>Q_IS!AX105</f>
        <v>3492</v>
      </c>
      <c r="AY169" s="1890">
        <f>Q_IS!AY105</f>
        <v>4280</v>
      </c>
      <c r="AZ169" s="1890">
        <f>Q_IS!AZ105</f>
        <v>4830</v>
      </c>
      <c r="BA169" s="1890">
        <f>Q_IS!BA105</f>
        <v>5812</v>
      </c>
      <c r="BB169" s="1890">
        <f>Q_IS!BB105</f>
        <v>5185</v>
      </c>
      <c r="BC169" s="1890">
        <f>Q_IS!BC105</f>
        <v>5421</v>
      </c>
      <c r="BD169" s="1890">
        <f>Q_IS!BD105</f>
        <v>5435</v>
      </c>
      <c r="BE169" s="1890">
        <f>Q_IS!BE105</f>
        <v>5935</v>
      </c>
      <c r="BF169" s="1890">
        <f>Q_IS!BF105</f>
        <v>5577</v>
      </c>
      <c r="BG169" s="1890">
        <f>Q_IS!BG105</f>
        <v>5658</v>
      </c>
      <c r="BH169" s="1890">
        <f>Q_IS!BH105</f>
        <v>5637</v>
      </c>
      <c r="BI169" s="1890">
        <f>Q_IS!BI105</f>
        <v>6094</v>
      </c>
      <c r="BJ169" s="1890">
        <f>Q_IS!BJ105</f>
        <v>5441</v>
      </c>
      <c r="BK169" s="1891">
        <f>Q_IS!BK105</f>
        <v>5503</v>
      </c>
      <c r="BL169" s="1892">
        <f>Q_IS!BL105</f>
        <v>6119.6343958553243</v>
      </c>
      <c r="BM169" s="1892">
        <f>Q_IS!BM105</f>
        <v>6971.3152094981424</v>
      </c>
      <c r="BN169" s="1892">
        <f>Q_IS!BN105</f>
        <v>6366.2554566755043</v>
      </c>
      <c r="BO169" s="1892">
        <f>Q_IS!BO105</f>
        <v>6604.9012455139209</v>
      </c>
      <c r="BP169" s="1892">
        <f>Q_IS!BP105</f>
        <v>7087.2832231708207</v>
      </c>
      <c r="BQ169" s="1892">
        <f>Q_IS!BQ105</f>
        <v>7873.55572854608</v>
      </c>
      <c r="BR169" s="1892">
        <f>Q_IS!BR105</f>
        <v>7083.2530196240396</v>
      </c>
      <c r="BS169" s="1892">
        <f>Q_IS!BS105</f>
        <v>7159.6937681955897</v>
      </c>
      <c r="BT169" s="1892">
        <f>Q_IS!BT105</f>
        <v>7676.0149644626154</v>
      </c>
      <c r="BU169" s="1892">
        <f>Q_IS!BU105</f>
        <v>8511.8833255033423</v>
      </c>
      <c r="BV169" s="1893"/>
      <c r="BW169" s="1893"/>
      <c r="BX169" s="1893"/>
      <c r="BY169" s="1893"/>
      <c r="BZ169" s="1893"/>
      <c r="CA169" s="1893"/>
      <c r="CB169" s="1893"/>
      <c r="CC169" s="1893"/>
      <c r="CD169" s="1893"/>
      <c r="CE169" s="1893"/>
      <c r="CF169" s="1893"/>
      <c r="CG169" s="1893"/>
      <c r="CH169" s="1893"/>
      <c r="CI169" s="1893"/>
      <c r="CJ169" s="1893"/>
      <c r="CK169" s="1893"/>
      <c r="CL169" s="1893"/>
      <c r="CM169" s="1893"/>
      <c r="CN169" s="1893"/>
      <c r="CO169" s="1893"/>
      <c r="CP169" s="1893"/>
      <c r="CQ169" s="1893"/>
      <c r="CR169" s="1893"/>
      <c r="CS169" s="1893"/>
      <c r="CT169" s="1893"/>
      <c r="CU169" s="1893"/>
      <c r="CV169" s="1893"/>
      <c r="CW169" s="1893"/>
      <c r="CX169" s="1894"/>
      <c r="CY169" s="1894"/>
      <c r="CZ169" s="1894"/>
    </row>
    <row r="170" spans="1:106" s="1043" customFormat="1">
      <c r="A170" s="1895" t="s">
        <v>1480</v>
      </c>
      <c r="B170" s="1896"/>
      <c r="C170" s="1896"/>
      <c r="D170" s="1896"/>
      <c r="E170" s="1896"/>
      <c r="F170" s="1896"/>
      <c r="G170" s="1896"/>
      <c r="H170" s="1896"/>
      <c r="I170" s="1896"/>
      <c r="J170" s="1896"/>
      <c r="K170" s="1896"/>
      <c r="L170" s="1896"/>
      <c r="M170" s="1896"/>
      <c r="N170" s="1896"/>
      <c r="O170" s="1896"/>
      <c r="P170" s="1896"/>
      <c r="Q170" s="1896"/>
      <c r="R170" s="1896"/>
      <c r="S170" s="1896"/>
      <c r="T170" s="1896"/>
      <c r="U170" s="1896">
        <f>Q_IS!U232</f>
        <v>451</v>
      </c>
      <c r="V170" s="1896">
        <f>Q_IS!V232</f>
        <v>454</v>
      </c>
      <c r="W170" s="1896">
        <f>Q_IS!W232</f>
        <v>462</v>
      </c>
      <c r="X170" s="1896">
        <f>Q_IS!X232</f>
        <v>461</v>
      </c>
      <c r="Y170" s="1896">
        <f>Q_IS!Y232</f>
        <v>623</v>
      </c>
      <c r="Z170" s="1896">
        <f>Q_IS!Z232</f>
        <v>628</v>
      </c>
      <c r="AA170" s="1896">
        <f>Q_IS!AA232</f>
        <v>632</v>
      </c>
      <c r="AB170" s="1896">
        <f>Q_IS!AB232</f>
        <v>653</v>
      </c>
      <c r="AC170" s="1896">
        <f>Q_IS!AC232</f>
        <v>671</v>
      </c>
      <c r="AD170" s="1896">
        <f>Q_IS!AD232</f>
        <v>669</v>
      </c>
      <c r="AE170" s="1896">
        <f>Q_IS!AE232</f>
        <v>674</v>
      </c>
      <c r="AF170" s="1896">
        <f>Q_IS!AF232</f>
        <v>668</v>
      </c>
      <c r="AG170" s="1896">
        <f>Q_IS!AG232</f>
        <v>693</v>
      </c>
      <c r="AH170" s="1896">
        <f>Q_IS!AH232</f>
        <v>682</v>
      </c>
      <c r="AI170" s="1896">
        <f>Q_IS!AI232</f>
        <v>694</v>
      </c>
      <c r="AJ170" s="1896">
        <f>Q_IS!AJ232</f>
        <v>702</v>
      </c>
      <c r="AK170" s="1896">
        <f>Q_IS!AK232</f>
        <v>722</v>
      </c>
      <c r="AL170" s="1896"/>
      <c r="AM170" s="1896"/>
      <c r="AN170" s="1896"/>
      <c r="AO170" s="1896"/>
      <c r="AP170" s="1896">
        <f>AP169/AL169-1</f>
        <v>1.0286174929463927</v>
      </c>
      <c r="AQ170" s="1896">
        <f t="shared" ref="AQ170" si="1012">AQ169/AM169-1</f>
        <v>1.2230703986429177</v>
      </c>
      <c r="AR170" s="1896">
        <f t="shared" ref="AR170" si="1013">AR169/AN169-1</f>
        <v>1.22264631043257</v>
      </c>
      <c r="AS170" s="1896">
        <f t="shared" ref="AS170" si="1014">AS169/AO169-1</f>
        <v>1.1156133828996282</v>
      </c>
      <c r="AT170" s="1896">
        <f t="shared" ref="AT170" si="1015">AT169/AP169-1</f>
        <v>-0.17544208225710312</v>
      </c>
      <c r="AU170" s="1896">
        <f t="shared" ref="AU170" si="1016">AU169/AQ169-1</f>
        <v>-0.68561617703166733</v>
      </c>
      <c r="AV170" s="1896">
        <f t="shared" ref="AV170" si="1017">AV169/AR169-1</f>
        <v>-0.22533867582522416</v>
      </c>
      <c r="AW170" s="1896">
        <f t="shared" ref="AW170" si="1018">AW169/AS169-1</f>
        <v>-0.29678439641539267</v>
      </c>
      <c r="AX170" s="1896">
        <f t="shared" ref="AX170" si="1019">AX169/AT169-1</f>
        <v>-0.15855421686746984</v>
      </c>
      <c r="AY170" s="1896">
        <f t="shared" ref="AY170" si="1020">AY169/AU169-1</f>
        <v>1.5970873786407767</v>
      </c>
      <c r="AZ170" s="1896">
        <f t="shared" ref="AZ170" si="1021">AZ169/AV169-1</f>
        <v>0.18965517241379315</v>
      </c>
      <c r="BA170" s="1896">
        <f t="shared" ref="BA170" si="1022">BA169/AW169-1</f>
        <v>0.45227386306846573</v>
      </c>
      <c r="BB170" s="1896">
        <f t="shared" ref="BB170" si="1023">BB169/AX169-1</f>
        <v>0.48482245131729673</v>
      </c>
      <c r="BC170" s="1896">
        <f t="shared" ref="BC170" si="1024">BC169/AY169-1</f>
        <v>0.266588785046729</v>
      </c>
      <c r="BD170" s="1896">
        <f t="shared" ref="BD170" si="1025">BD169/AZ169-1</f>
        <v>0.12525879917184257</v>
      </c>
      <c r="BE170" s="1896">
        <f t="shared" ref="BE170" si="1026">BE169/BA169-1</f>
        <v>2.1163110805230589E-2</v>
      </c>
      <c r="BF170" s="1896">
        <f t="shared" ref="BF170:BJ170" si="1027">BF169/BB169-1</f>
        <v>7.5602700096432107E-2</v>
      </c>
      <c r="BG170" s="1896">
        <f t="shared" si="1027"/>
        <v>4.3718871057000452E-2</v>
      </c>
      <c r="BH170" s="1896">
        <f t="shared" si="1027"/>
        <v>3.7166513339466523E-2</v>
      </c>
      <c r="BI170" s="1896">
        <f t="shared" si="1027"/>
        <v>2.6790227464195349E-2</v>
      </c>
      <c r="BJ170" s="1896">
        <f t="shared" si="1027"/>
        <v>-2.4385870539716747E-2</v>
      </c>
      <c r="BK170" s="1897">
        <f t="shared" ref="BK170" si="1028">BK169/BG169-1</f>
        <v>-2.7394839165783003E-2</v>
      </c>
      <c r="BL170" s="1898">
        <f t="shared" ref="BL170" si="1029">BL169/BH169-1</f>
        <v>8.5619016472471943E-2</v>
      </c>
      <c r="BM170" s="1898">
        <f t="shared" ref="BM170" si="1030">BM169/BI169-1</f>
        <v>0.14396376919890752</v>
      </c>
      <c r="BN170" s="1898">
        <f t="shared" ref="BN170" si="1031">BN169/BJ169-1</f>
        <v>0.17005246400946605</v>
      </c>
      <c r="BO170" s="1898">
        <f t="shared" ref="BO170" si="1032">BO169/BK169-1</f>
        <v>0.20023646111465032</v>
      </c>
      <c r="BP170" s="1898">
        <f t="shared" ref="BP170" si="1033">BP169/BL169-1</f>
        <v>0.15812199957089934</v>
      </c>
      <c r="BQ170" s="1898">
        <f t="shared" ref="BQ170" si="1034">BQ169/BM169-1</f>
        <v>0.12942185110474846</v>
      </c>
      <c r="BR170" s="1898">
        <f t="shared" ref="BR170" si="1035">BR169/BN169-1</f>
        <v>0.11262469246293105</v>
      </c>
      <c r="BS170" s="1898">
        <f t="shared" ref="BS170" si="1036">BS169/BO169-1</f>
        <v>8.3997095801922272E-2</v>
      </c>
      <c r="BT170" s="1898">
        <f t="shared" ref="BT170" si="1037">BT169/BP169-1</f>
        <v>8.306874760797256E-2</v>
      </c>
      <c r="BU170" s="1898">
        <f t="shared" ref="BU170" si="1038">BU169/BQ169-1</f>
        <v>8.1072341260374214E-2</v>
      </c>
      <c r="BV170" s="1893">
        <f t="shared" ref="BV170:CK170" si="1039">CHOOSE(MASTERSWITCH,BV171,BV172,BV173)</f>
        <v>2.1000000000000001E-2</v>
      </c>
      <c r="BW170" s="1893">
        <f t="shared" si="1039"/>
        <v>2.1000000000000001E-2</v>
      </c>
      <c r="BX170" s="1893">
        <f t="shared" si="1039"/>
        <v>2.1000000000000001E-2</v>
      </c>
      <c r="BY170" s="1893">
        <f t="shared" si="1039"/>
        <v>2.1000000000000001E-2</v>
      </c>
      <c r="BZ170" s="1893">
        <f t="shared" si="1039"/>
        <v>1.9949999999999999E-2</v>
      </c>
      <c r="CA170" s="1893">
        <f t="shared" si="1039"/>
        <v>1.9949999999999999E-2</v>
      </c>
      <c r="CB170" s="1893">
        <f t="shared" si="1039"/>
        <v>1.9949999999999999E-2</v>
      </c>
      <c r="CC170" s="1893">
        <f t="shared" si="1039"/>
        <v>1.9949999999999999E-2</v>
      </c>
      <c r="CD170" s="1893">
        <f t="shared" si="1039"/>
        <v>1.9949999999999999E-2</v>
      </c>
      <c r="CE170" s="1893">
        <f t="shared" si="1039"/>
        <v>1.9949999999999999E-2</v>
      </c>
      <c r="CF170" s="1893">
        <f t="shared" si="1039"/>
        <v>1.9949999999999999E-2</v>
      </c>
      <c r="CG170" s="1893">
        <f t="shared" si="1039"/>
        <v>1.9949999999999999E-2</v>
      </c>
      <c r="CH170" s="1893">
        <f t="shared" si="1039"/>
        <v>1.9949999999999999E-2</v>
      </c>
      <c r="CI170" s="1893">
        <f t="shared" si="1039"/>
        <v>1.9949999999999999E-2</v>
      </c>
      <c r="CJ170" s="1893">
        <f t="shared" si="1039"/>
        <v>1.9949999999999999E-2</v>
      </c>
      <c r="CK170" s="1893">
        <f t="shared" si="1039"/>
        <v>1.9949999999999999E-2</v>
      </c>
      <c r="CL170" s="1893">
        <f t="shared" ref="CL170:CP170" si="1040">CHOOSE(MASTERSWITCH,CL171,CL172,CL173)</f>
        <v>1.9949999999999999E-2</v>
      </c>
      <c r="CM170" s="1893">
        <f t="shared" si="1040"/>
        <v>1.9949999999999999E-2</v>
      </c>
      <c r="CN170" s="1893">
        <f t="shared" si="1040"/>
        <v>1.9949999999999999E-2</v>
      </c>
      <c r="CO170" s="1893">
        <f t="shared" si="1040"/>
        <v>1.9949999999999999E-2</v>
      </c>
      <c r="CP170" s="1893">
        <f t="shared" si="1040"/>
        <v>1.9949999999999999E-2</v>
      </c>
      <c r="CQ170" s="1893">
        <f t="shared" ref="CQ170:CU170" si="1041">CHOOSE(MASTERSWITCH,CQ171,CQ172,CQ173)</f>
        <v>1.9949999999999999E-2</v>
      </c>
      <c r="CR170" s="1893">
        <f t="shared" si="1041"/>
        <v>1.9949999999999999E-2</v>
      </c>
      <c r="CS170" s="1893">
        <f t="shared" si="1041"/>
        <v>1.9949999999999999E-2</v>
      </c>
      <c r="CT170" s="1893">
        <f t="shared" si="1041"/>
        <v>1.9949999999999999E-2</v>
      </c>
      <c r="CU170" s="1893">
        <f t="shared" si="1041"/>
        <v>1.9949999999999999E-2</v>
      </c>
      <c r="CV170" s="1893">
        <f t="shared" ref="CV170:CW170" si="1042">CHOOSE(MASTERSWITCH,CV171,CV172,CV173)</f>
        <v>1.9949999999999999E-2</v>
      </c>
      <c r="CW170" s="1893">
        <f t="shared" si="1042"/>
        <v>1.9949999999999999E-2</v>
      </c>
      <c r="CX170" s="1894"/>
      <c r="CY170" s="1894"/>
      <c r="CZ170" s="1894"/>
    </row>
    <row r="171" spans="1:106">
      <c r="A171" s="691" t="s">
        <v>1111</v>
      </c>
      <c r="B171" s="397"/>
      <c r="C171" s="397"/>
      <c r="D171" s="397"/>
      <c r="E171" s="397"/>
      <c r="F171" s="690" t="str">
        <f t="shared" ref="F171:BQ171" si="1043">CHOOSE(MASTERSWITCH,F172,F173,F174)</f>
        <v>ND</v>
      </c>
      <c r="G171" s="690" t="str">
        <f t="shared" si="1043"/>
        <v>ND</v>
      </c>
      <c r="H171" s="690" t="str">
        <f t="shared" si="1043"/>
        <v>ND</v>
      </c>
      <c r="I171" s="690" t="str">
        <f t="shared" si="1043"/>
        <v>ND</v>
      </c>
      <c r="J171" s="690" t="str">
        <f t="shared" si="1043"/>
        <v>ND</v>
      </c>
      <c r="K171" s="690" t="str">
        <f t="shared" si="1043"/>
        <v>ND</v>
      </c>
      <c r="L171" s="690" t="str">
        <f t="shared" si="1043"/>
        <v>ND</v>
      </c>
      <c r="M171" s="690" t="str">
        <f t="shared" si="1043"/>
        <v>ND</v>
      </c>
      <c r="N171" s="690" t="str">
        <f t="shared" si="1043"/>
        <v>ND</v>
      </c>
      <c r="O171" s="690" t="str">
        <f t="shared" si="1043"/>
        <v>ND</v>
      </c>
      <c r="P171" s="690" t="str">
        <f t="shared" si="1043"/>
        <v>ND</v>
      </c>
      <c r="Q171" s="690" t="str">
        <f t="shared" si="1043"/>
        <v>ND</v>
      </c>
      <c r="R171" s="690" t="str">
        <f t="shared" si="1043"/>
        <v>ND</v>
      </c>
      <c r="S171" s="690" t="str">
        <f t="shared" si="1043"/>
        <v>ND</v>
      </c>
      <c r="T171" s="690" t="str">
        <f t="shared" si="1043"/>
        <v>ND</v>
      </c>
      <c r="U171" s="690" t="str">
        <f t="shared" si="1043"/>
        <v>ND</v>
      </c>
      <c r="V171" s="690" t="str">
        <f t="shared" si="1043"/>
        <v>ND</v>
      </c>
      <c r="W171" s="690" t="str">
        <f t="shared" si="1043"/>
        <v>ND</v>
      </c>
      <c r="X171" s="690" t="str">
        <f t="shared" si="1043"/>
        <v>ND</v>
      </c>
      <c r="Y171" s="397">
        <f t="shared" si="1043"/>
        <v>8.8999999999999996E-2</v>
      </c>
      <c r="Z171" s="397">
        <f t="shared" si="1043"/>
        <v>9.7000000000000003E-2</v>
      </c>
      <c r="AA171" s="397">
        <f t="shared" si="1043"/>
        <v>3.6999999999999998E-2</v>
      </c>
      <c r="AB171" s="397">
        <f t="shared" ref="AB171:AM171" si="1044">CHOOSE(MASTERSWITCH,AB172,AB173,AB174)</f>
        <v>7.0999999999999994E-2</v>
      </c>
      <c r="AC171" s="397">
        <f t="shared" si="1044"/>
        <v>7.1999999999999995E-2</v>
      </c>
      <c r="AD171" s="397">
        <f t="shared" si="1044"/>
        <v>8.5000000000000006E-2</v>
      </c>
      <c r="AE171" s="397">
        <f t="shared" si="1044"/>
        <v>7.2999999999999995E-2</v>
      </c>
      <c r="AF171" s="397">
        <f t="shared" si="1044"/>
        <v>1.9E-2</v>
      </c>
      <c r="AG171" s="397">
        <f t="shared" si="1044"/>
        <v>3.0000000000000001E-3</v>
      </c>
      <c r="AH171" s="397">
        <f t="shared" si="1044"/>
        <v>0.02</v>
      </c>
      <c r="AI171" s="397">
        <f t="shared" si="1044"/>
        <v>1.7000000000000001E-2</v>
      </c>
      <c r="AJ171" s="397">
        <f t="shared" si="1044"/>
        <v>3.5000000000000003E-2</v>
      </c>
      <c r="AK171" s="397">
        <f t="shared" si="1044"/>
        <v>2.1000000000000001E-2</v>
      </c>
      <c r="AL171" s="397">
        <f t="shared" si="1044"/>
        <v>3.6999999999999998E-2</v>
      </c>
      <c r="AM171" s="397">
        <f t="shared" si="1044"/>
        <v>3.0000000000000001E-3</v>
      </c>
      <c r="AN171" s="397">
        <f t="shared" ref="AN171:AS171" si="1045">CHOOSE(MASTERSWITCH,AN172,AN173,AN174)</f>
        <v>-8.0000000000000002E-3</v>
      </c>
      <c r="AO171" s="397">
        <f t="shared" si="1045"/>
        <v>0.01</v>
      </c>
      <c r="AP171" s="397">
        <f t="shared" si="1045"/>
        <v>-1.4999999999999999E-2</v>
      </c>
      <c r="AQ171" s="397">
        <f t="shared" si="1045"/>
        <v>5.2999999999999999E-2</v>
      </c>
      <c r="AR171" s="397">
        <f t="shared" si="1045"/>
        <v>2.5999999999999999E-2</v>
      </c>
      <c r="AS171" s="397">
        <f t="shared" si="1045"/>
        <v>1.7000000000000001E-2</v>
      </c>
      <c r="AT171" s="397">
        <f t="shared" ref="AT171:BC171" si="1046">CHOOSE(MASTERSWITCH,AT172,AT173,AT174)</f>
        <v>-4.8000000000000001E-2</v>
      </c>
      <c r="AU171" s="397">
        <f t="shared" si="1046"/>
        <v>-0.35699999999999998</v>
      </c>
      <c r="AV171" s="397">
        <f t="shared" si="1046"/>
        <v>-0.29799999999999999</v>
      </c>
      <c r="AW171" s="397">
        <f t="shared" si="1046"/>
        <v>-0.34599999999999997</v>
      </c>
      <c r="AX171" s="397">
        <f t="shared" si="1046"/>
        <v>-0.29199999999999998</v>
      </c>
      <c r="AY171" s="397">
        <f t="shared" si="1046"/>
        <v>0.24399999999999999</v>
      </c>
      <c r="AZ171" s="397">
        <f t="shared" si="1046"/>
        <v>0.21099999999999999</v>
      </c>
      <c r="BA171" s="397">
        <f t="shared" si="1046"/>
        <v>0.38400000000000001</v>
      </c>
      <c r="BB171" s="397">
        <f t="shared" si="1046"/>
        <v>0.41599999999999998</v>
      </c>
      <c r="BC171" s="397">
        <f t="shared" si="1046"/>
        <v>0.31</v>
      </c>
      <c r="BD171" s="397">
        <f t="shared" ref="BD171:BI171" si="1047">CHOOSE(MASTERSWITCH,BD172,BD173,BD174)</f>
        <v>0.23599999999999999</v>
      </c>
      <c r="BE171" s="397">
        <f t="shared" si="1047"/>
        <v>0.16200000000000001</v>
      </c>
      <c r="BF171" s="397">
        <f t="shared" si="1047"/>
        <v>0.16200000000000001</v>
      </c>
      <c r="BG171" s="397">
        <f t="shared" si="1047"/>
        <v>0.115</v>
      </c>
      <c r="BH171" s="397">
        <f t="shared" si="1047"/>
        <v>8.3000000000000004E-2</v>
      </c>
      <c r="BI171" s="397">
        <f t="shared" si="1047"/>
        <v>3.7999999999999999E-2</v>
      </c>
      <c r="BJ171" s="397">
        <f t="shared" ref="BJ171:BK171" si="1048">CHOOSE(MASTERSWITCH,BJ172,BJ173,BJ174)</f>
        <v>1.6E-2</v>
      </c>
      <c r="BK171" s="1824">
        <f t="shared" si="1048"/>
        <v>-2.5999999999999999E-2</v>
      </c>
      <c r="BL171" s="398">
        <f t="shared" si="1043"/>
        <v>8.0000000000000002E-3</v>
      </c>
      <c r="BM171" s="398">
        <f t="shared" si="1043"/>
        <v>1.5360000000000002E-2</v>
      </c>
      <c r="BN171" s="398">
        <f t="shared" si="1043"/>
        <v>1.7600000000000001E-2</v>
      </c>
      <c r="BO171" s="398">
        <f t="shared" si="1043"/>
        <v>1.7600000000000001E-2</v>
      </c>
      <c r="BP171" s="398">
        <f t="shared" si="1043"/>
        <v>1.6800000000000002E-2</v>
      </c>
      <c r="BQ171" s="398">
        <f t="shared" si="1043"/>
        <v>1.6800000000000002E-2</v>
      </c>
      <c r="BR171" s="398">
        <f t="shared" ref="BR171:CK171" si="1049">CHOOSE(MASTERSWITCH,BR172,BR173,BR174)</f>
        <v>1.6800000000000002E-2</v>
      </c>
      <c r="BS171" s="398">
        <f t="shared" si="1049"/>
        <v>1.6800000000000002E-2</v>
      </c>
      <c r="BT171" s="398">
        <f t="shared" si="1049"/>
        <v>1.6800000000000002E-2</v>
      </c>
      <c r="BU171" s="398">
        <f t="shared" si="1049"/>
        <v>1.6800000000000002E-2</v>
      </c>
      <c r="BV171" s="398">
        <f t="shared" si="1049"/>
        <v>1.6800000000000002E-2</v>
      </c>
      <c r="BW171" s="398">
        <f t="shared" si="1049"/>
        <v>1.6800000000000002E-2</v>
      </c>
      <c r="BX171" s="398">
        <f t="shared" si="1049"/>
        <v>1.6800000000000002E-2</v>
      </c>
      <c r="BY171" s="398">
        <f t="shared" si="1049"/>
        <v>1.6800000000000002E-2</v>
      </c>
      <c r="BZ171" s="398">
        <f t="shared" si="1049"/>
        <v>1.5959999999999998E-2</v>
      </c>
      <c r="CA171" s="398">
        <f t="shared" si="1049"/>
        <v>1.5959999999999998E-2</v>
      </c>
      <c r="CB171" s="398">
        <f t="shared" si="1049"/>
        <v>1.5959999999999998E-2</v>
      </c>
      <c r="CC171" s="398">
        <f t="shared" si="1049"/>
        <v>1.5959999999999998E-2</v>
      </c>
      <c r="CD171" s="398">
        <f t="shared" si="1049"/>
        <v>1.5959999999999998E-2</v>
      </c>
      <c r="CE171" s="398">
        <f t="shared" si="1049"/>
        <v>1.5959999999999998E-2</v>
      </c>
      <c r="CF171" s="398">
        <f t="shared" si="1049"/>
        <v>1.5959999999999998E-2</v>
      </c>
      <c r="CG171" s="398">
        <f t="shared" si="1049"/>
        <v>1.5959999999999998E-2</v>
      </c>
      <c r="CH171" s="398">
        <f t="shared" si="1049"/>
        <v>1.5959999999999998E-2</v>
      </c>
      <c r="CI171" s="398">
        <f t="shared" si="1049"/>
        <v>1.5959999999999998E-2</v>
      </c>
      <c r="CJ171" s="398">
        <f t="shared" si="1049"/>
        <v>1.5959999999999998E-2</v>
      </c>
      <c r="CK171" s="398">
        <f t="shared" si="1049"/>
        <v>1.5959999999999998E-2</v>
      </c>
      <c r="CL171" s="398">
        <f t="shared" ref="CL171:CP171" si="1050">CHOOSE(MASTERSWITCH,CL172,CL173,CL174)</f>
        <v>1.5959999999999998E-2</v>
      </c>
      <c r="CM171" s="398">
        <f t="shared" si="1050"/>
        <v>1.5959999999999998E-2</v>
      </c>
      <c r="CN171" s="398">
        <f t="shared" si="1050"/>
        <v>1.5959999999999998E-2</v>
      </c>
      <c r="CO171" s="398">
        <f t="shared" si="1050"/>
        <v>1.5959999999999998E-2</v>
      </c>
      <c r="CP171" s="398">
        <f t="shared" si="1050"/>
        <v>1.5959999999999998E-2</v>
      </c>
      <c r="CQ171" s="398">
        <f t="shared" ref="CQ171:CU171" si="1051">CHOOSE(MASTERSWITCH,CQ172,CQ173,CQ174)</f>
        <v>1.5959999999999998E-2</v>
      </c>
      <c r="CR171" s="398">
        <f t="shared" si="1051"/>
        <v>1.5959999999999998E-2</v>
      </c>
      <c r="CS171" s="398">
        <f t="shared" si="1051"/>
        <v>1.5959999999999998E-2</v>
      </c>
      <c r="CT171" s="398">
        <f t="shared" si="1051"/>
        <v>1.5959999999999998E-2</v>
      </c>
      <c r="CU171" s="398">
        <f t="shared" si="1051"/>
        <v>1.5959999999999998E-2</v>
      </c>
      <c r="CV171" s="398">
        <f t="shared" ref="CV171:CW171" si="1052">CHOOSE(MASTERSWITCH,CV172,CV173,CV174)</f>
        <v>1.5959999999999998E-2</v>
      </c>
      <c r="CW171" s="398">
        <f t="shared" si="1052"/>
        <v>1.5959999999999998E-2</v>
      </c>
      <c r="CX171" s="269"/>
      <c r="CY171" s="269"/>
      <c r="CZ171" s="269"/>
    </row>
    <row r="172" spans="1:106">
      <c r="A172" s="86" t="s">
        <v>571</v>
      </c>
      <c r="B172" s="392"/>
      <c r="C172" s="392"/>
      <c r="D172" s="392"/>
      <c r="E172" s="393"/>
      <c r="F172" s="51" t="str">
        <f>Q_IS!F112</f>
        <v>ND</v>
      </c>
      <c r="G172" s="51" t="str">
        <f>Q_IS!G112</f>
        <v>ND</v>
      </c>
      <c r="H172" s="51" t="str">
        <f>Q_IS!H112</f>
        <v>ND</v>
      </c>
      <c r="I172" s="51" t="str">
        <f>Q_IS!I112</f>
        <v>ND</v>
      </c>
      <c r="J172" s="51" t="str">
        <f>Q_IS!J112</f>
        <v>ND</v>
      </c>
      <c r="K172" s="51" t="str">
        <f>Q_IS!K112</f>
        <v>ND</v>
      </c>
      <c r="L172" s="51" t="str">
        <f>Q_IS!L112</f>
        <v>ND</v>
      </c>
      <c r="M172" s="51" t="str">
        <f>Q_IS!M112</f>
        <v>ND</v>
      </c>
      <c r="N172" s="51" t="str">
        <f>Q_IS!N112</f>
        <v>ND</v>
      </c>
      <c r="O172" s="51" t="str">
        <f>Q_IS!O112</f>
        <v>ND</v>
      </c>
      <c r="P172" s="51" t="str">
        <f>Q_IS!P112</f>
        <v>ND</v>
      </c>
      <c r="Q172" s="51" t="str">
        <f>Q_IS!Q112</f>
        <v>ND</v>
      </c>
      <c r="R172" s="51" t="str">
        <f>Q_IS!R112</f>
        <v>ND</v>
      </c>
      <c r="S172" s="51" t="str">
        <f>Q_IS!S112</f>
        <v>ND</v>
      </c>
      <c r="T172" s="51" t="str">
        <f>Q_IS!T112</f>
        <v>ND</v>
      </c>
      <c r="U172" s="51" t="str">
        <f>Q_IS!U112</f>
        <v>ND</v>
      </c>
      <c r="V172" s="51" t="str">
        <f>Q_IS!V112</f>
        <v>ND</v>
      </c>
      <c r="W172" s="51" t="str">
        <f>Q_IS!W112</f>
        <v>ND</v>
      </c>
      <c r="X172" s="51" t="str">
        <f>Q_IS!X112</f>
        <v>ND</v>
      </c>
      <c r="Y172" s="38">
        <f>Q_IS!Y112</f>
        <v>8.8999999999999996E-2</v>
      </c>
      <c r="Z172" s="38">
        <f>Q_IS!Z112</f>
        <v>9.7000000000000003E-2</v>
      </c>
      <c r="AA172" s="38">
        <f>Q_IS!AA112</f>
        <v>3.6999999999999998E-2</v>
      </c>
      <c r="AB172" s="38">
        <f>Q_IS!AB112</f>
        <v>7.0999999999999994E-2</v>
      </c>
      <c r="AC172" s="38">
        <f>Q_IS!AC112</f>
        <v>7.1999999999999995E-2</v>
      </c>
      <c r="AD172" s="38">
        <f>Q_IS!AD112</f>
        <v>8.5000000000000006E-2</v>
      </c>
      <c r="AE172" s="38">
        <f>Q_IS!AE112</f>
        <v>7.2999999999999995E-2</v>
      </c>
      <c r="AF172" s="38">
        <f>Q_IS!AF112</f>
        <v>1.9E-2</v>
      </c>
      <c r="AG172" s="38">
        <f>Q_IS!AG112</f>
        <v>3.0000000000000001E-3</v>
      </c>
      <c r="AH172" s="38">
        <f>Q_IS!AH112</f>
        <v>0.02</v>
      </c>
      <c r="AI172" s="38">
        <f>Q_IS!AI112</f>
        <v>1.7000000000000001E-2</v>
      </c>
      <c r="AJ172" s="38">
        <f>Q_IS!AJ112</f>
        <v>3.5000000000000003E-2</v>
      </c>
      <c r="AK172" s="38">
        <f>Q_IS!AK112</f>
        <v>2.1000000000000001E-2</v>
      </c>
      <c r="AL172" s="38">
        <f>Q_IS!AL112</f>
        <v>3.6999999999999998E-2</v>
      </c>
      <c r="AM172" s="38">
        <f>Q_IS!AM112</f>
        <v>3.0000000000000001E-3</v>
      </c>
      <c r="AN172" s="38">
        <f>Q_IS!AN112</f>
        <v>-8.0000000000000002E-3</v>
      </c>
      <c r="AO172" s="38">
        <f>Q_IS!AO112</f>
        <v>0.01</v>
      </c>
      <c r="AP172" s="38">
        <f>Q_IS!AP112</f>
        <v>-1.4999999999999999E-2</v>
      </c>
      <c r="AQ172" s="38">
        <f>Q_IS!AQ112</f>
        <v>5.2999999999999999E-2</v>
      </c>
      <c r="AR172" s="38">
        <f>Q_IS!AR112</f>
        <v>2.5999999999999999E-2</v>
      </c>
      <c r="AS172" s="38">
        <f>Q_IS!AS112</f>
        <v>1.7000000000000001E-2</v>
      </c>
      <c r="AT172" s="38">
        <f>Q_IS!AT112</f>
        <v>-4.8000000000000001E-2</v>
      </c>
      <c r="AU172" s="38">
        <f>Q_IS!AU112</f>
        <v>-0.35699999999999998</v>
      </c>
      <c r="AV172" s="38">
        <f>Q_IS!AV112</f>
        <v>-0.29799999999999999</v>
      </c>
      <c r="AW172" s="38">
        <f>Q_IS!AW112</f>
        <v>-0.34599999999999997</v>
      </c>
      <c r="AX172" s="38">
        <f>Q_IS!AX112</f>
        <v>-0.29199999999999998</v>
      </c>
      <c r="AY172" s="38">
        <f>Q_IS!AY112</f>
        <v>0.24399999999999999</v>
      </c>
      <c r="AZ172" s="38">
        <f>Q_IS!AZ112</f>
        <v>0.21099999999999999</v>
      </c>
      <c r="BA172" s="38">
        <f>Q_IS!BA112</f>
        <v>0.38400000000000001</v>
      </c>
      <c r="BB172" s="38">
        <f>Q_IS!BB112</f>
        <v>0.41599999999999998</v>
      </c>
      <c r="BC172" s="38">
        <f>Q_IS!BC112</f>
        <v>0.31</v>
      </c>
      <c r="BD172" s="38">
        <f>Q_IS!BD112</f>
        <v>0.23599999999999999</v>
      </c>
      <c r="BE172" s="38">
        <f>Q_IS!BE112</f>
        <v>0.16200000000000001</v>
      </c>
      <c r="BF172" s="38">
        <f>Q_IS!BF112</f>
        <v>0.16200000000000001</v>
      </c>
      <c r="BG172" s="38">
        <f>Q_IS!BG112</f>
        <v>0.115</v>
      </c>
      <c r="BH172" s="38">
        <f>Q_IS!BH112</f>
        <v>8.3000000000000004E-2</v>
      </c>
      <c r="BI172" s="38">
        <f>Q_IS!BI112</f>
        <v>3.7999999999999999E-2</v>
      </c>
      <c r="BJ172" s="38">
        <f>Q_IS!BJ112</f>
        <v>1.6E-2</v>
      </c>
      <c r="BK172" s="38">
        <f>Q_IS!BK112</f>
        <v>-2.5999999999999999E-2</v>
      </c>
      <c r="BL172" s="45">
        <f t="shared" ref="BL172:BP172" si="1053">+BL173*$CY172</f>
        <v>1.2E-2</v>
      </c>
      <c r="BM172" s="45">
        <f t="shared" si="1053"/>
        <v>2.3040000000000001E-2</v>
      </c>
      <c r="BN172" s="45">
        <f t="shared" si="1053"/>
        <v>2.6400000000000003E-2</v>
      </c>
      <c r="BO172" s="45">
        <f t="shared" si="1053"/>
        <v>2.6400000000000003E-2</v>
      </c>
      <c r="BP172" s="45">
        <f t="shared" si="1053"/>
        <v>2.52E-2</v>
      </c>
      <c r="BQ172" s="45">
        <f t="shared" ref="BQ172:BY172" si="1054">+BQ173*$CY172</f>
        <v>2.52E-2</v>
      </c>
      <c r="BR172" s="45">
        <f t="shared" si="1054"/>
        <v>2.52E-2</v>
      </c>
      <c r="BS172" s="45">
        <f t="shared" si="1054"/>
        <v>2.52E-2</v>
      </c>
      <c r="BT172" s="45">
        <f t="shared" si="1054"/>
        <v>2.52E-2</v>
      </c>
      <c r="BU172" s="45">
        <f t="shared" si="1054"/>
        <v>2.52E-2</v>
      </c>
      <c r="BV172" s="45">
        <f t="shared" si="1054"/>
        <v>2.52E-2</v>
      </c>
      <c r="BW172" s="45">
        <f t="shared" si="1054"/>
        <v>2.52E-2</v>
      </c>
      <c r="BX172" s="45">
        <f t="shared" si="1054"/>
        <v>2.52E-2</v>
      </c>
      <c r="BY172" s="45">
        <f t="shared" si="1054"/>
        <v>2.52E-2</v>
      </c>
      <c r="BZ172" s="45">
        <f t="shared" ref="BZ172:CU172" si="1055">+BZ173*$CZ172</f>
        <v>2.1944999999999999E-2</v>
      </c>
      <c r="CA172" s="45">
        <f t="shared" si="1055"/>
        <v>2.1944999999999999E-2</v>
      </c>
      <c r="CB172" s="45">
        <f t="shared" si="1055"/>
        <v>2.1944999999999999E-2</v>
      </c>
      <c r="CC172" s="45">
        <f t="shared" si="1055"/>
        <v>2.1944999999999999E-2</v>
      </c>
      <c r="CD172" s="45">
        <f t="shared" si="1055"/>
        <v>2.1944999999999999E-2</v>
      </c>
      <c r="CE172" s="45">
        <f t="shared" si="1055"/>
        <v>2.1944999999999999E-2</v>
      </c>
      <c r="CF172" s="45">
        <f t="shared" si="1055"/>
        <v>2.1944999999999999E-2</v>
      </c>
      <c r="CG172" s="45">
        <f t="shared" si="1055"/>
        <v>2.1944999999999999E-2</v>
      </c>
      <c r="CH172" s="45">
        <f t="shared" si="1055"/>
        <v>2.1944999999999999E-2</v>
      </c>
      <c r="CI172" s="45">
        <f t="shared" si="1055"/>
        <v>2.1944999999999999E-2</v>
      </c>
      <c r="CJ172" s="45">
        <f t="shared" si="1055"/>
        <v>2.1944999999999999E-2</v>
      </c>
      <c r="CK172" s="45">
        <f t="shared" si="1055"/>
        <v>2.1944999999999999E-2</v>
      </c>
      <c r="CL172" s="45">
        <f t="shared" si="1055"/>
        <v>2.1944999999999999E-2</v>
      </c>
      <c r="CM172" s="45">
        <f t="shared" si="1055"/>
        <v>2.1944999999999999E-2</v>
      </c>
      <c r="CN172" s="45">
        <f t="shared" si="1055"/>
        <v>2.1944999999999999E-2</v>
      </c>
      <c r="CO172" s="45">
        <f t="shared" si="1055"/>
        <v>2.1944999999999999E-2</v>
      </c>
      <c r="CP172" s="45">
        <f t="shared" si="1055"/>
        <v>2.1944999999999999E-2</v>
      </c>
      <c r="CQ172" s="45">
        <f t="shared" si="1055"/>
        <v>2.1944999999999999E-2</v>
      </c>
      <c r="CR172" s="45">
        <f t="shared" si="1055"/>
        <v>2.1944999999999999E-2</v>
      </c>
      <c r="CS172" s="45">
        <f t="shared" si="1055"/>
        <v>2.1944999999999999E-2</v>
      </c>
      <c r="CT172" s="45">
        <f t="shared" si="1055"/>
        <v>2.1944999999999999E-2</v>
      </c>
      <c r="CU172" s="45">
        <f t="shared" si="1055"/>
        <v>2.1944999999999999E-2</v>
      </c>
      <c r="CV172" s="45">
        <f t="shared" ref="CV172:CW172" si="1056">+CV173*$CZ172</f>
        <v>2.1944999999999999E-2</v>
      </c>
      <c r="CW172" s="45">
        <f t="shared" si="1056"/>
        <v>2.1944999999999999E-2</v>
      </c>
      <c r="CX172" s="269"/>
      <c r="CY172" s="559">
        <v>1.2</v>
      </c>
      <c r="CZ172" s="559">
        <v>1.1000000000000001</v>
      </c>
      <c r="DA172" s="269" t="s">
        <v>1420</v>
      </c>
    </row>
    <row r="173" spans="1:106">
      <c r="A173" s="86" t="s">
        <v>200</v>
      </c>
      <c r="B173" s="392"/>
      <c r="C173" s="392"/>
      <c r="D173" s="392"/>
      <c r="E173" s="394"/>
      <c r="F173" s="51" t="str">
        <f t="shared" ref="F173:AA173" si="1057">F172</f>
        <v>ND</v>
      </c>
      <c r="G173" s="51" t="str">
        <f t="shared" si="1057"/>
        <v>ND</v>
      </c>
      <c r="H173" s="51" t="str">
        <f t="shared" si="1057"/>
        <v>ND</v>
      </c>
      <c r="I173" s="51" t="str">
        <f t="shared" si="1057"/>
        <v>ND</v>
      </c>
      <c r="J173" s="51" t="str">
        <f t="shared" si="1057"/>
        <v>ND</v>
      </c>
      <c r="K173" s="51" t="str">
        <f t="shared" si="1057"/>
        <v>ND</v>
      </c>
      <c r="L173" s="51" t="str">
        <f t="shared" si="1057"/>
        <v>ND</v>
      </c>
      <c r="M173" s="51" t="str">
        <f t="shared" si="1057"/>
        <v>ND</v>
      </c>
      <c r="N173" s="51" t="str">
        <f t="shared" si="1057"/>
        <v>ND</v>
      </c>
      <c r="O173" s="51" t="str">
        <f t="shared" si="1057"/>
        <v>ND</v>
      </c>
      <c r="P173" s="51" t="str">
        <f t="shared" si="1057"/>
        <v>ND</v>
      </c>
      <c r="Q173" s="51" t="str">
        <f t="shared" si="1057"/>
        <v>ND</v>
      </c>
      <c r="R173" s="51" t="str">
        <f t="shared" si="1057"/>
        <v>ND</v>
      </c>
      <c r="S173" s="51" t="str">
        <f t="shared" si="1057"/>
        <v>ND</v>
      </c>
      <c r="T173" s="51" t="str">
        <f t="shared" si="1057"/>
        <v>ND</v>
      </c>
      <c r="U173" s="51" t="str">
        <f t="shared" si="1057"/>
        <v>ND</v>
      </c>
      <c r="V173" s="51" t="str">
        <f t="shared" si="1057"/>
        <v>ND</v>
      </c>
      <c r="W173" s="51" t="str">
        <f t="shared" si="1057"/>
        <v>ND</v>
      </c>
      <c r="X173" s="51" t="str">
        <f t="shared" si="1057"/>
        <v>ND</v>
      </c>
      <c r="Y173" s="38">
        <f t="shared" si="1057"/>
        <v>8.8999999999999996E-2</v>
      </c>
      <c r="Z173" s="38">
        <f t="shared" si="1057"/>
        <v>9.7000000000000003E-2</v>
      </c>
      <c r="AA173" s="38">
        <f t="shared" si="1057"/>
        <v>3.6999999999999998E-2</v>
      </c>
      <c r="AB173" s="38">
        <f t="shared" ref="AB173:AM173" si="1058">AB172</f>
        <v>7.0999999999999994E-2</v>
      </c>
      <c r="AC173" s="38">
        <f t="shared" si="1058"/>
        <v>7.1999999999999995E-2</v>
      </c>
      <c r="AD173" s="38">
        <f t="shared" si="1058"/>
        <v>8.5000000000000006E-2</v>
      </c>
      <c r="AE173" s="38">
        <f t="shared" si="1058"/>
        <v>7.2999999999999995E-2</v>
      </c>
      <c r="AF173" s="38">
        <f t="shared" si="1058"/>
        <v>1.9E-2</v>
      </c>
      <c r="AG173" s="38">
        <f t="shared" si="1058"/>
        <v>3.0000000000000001E-3</v>
      </c>
      <c r="AH173" s="38">
        <f t="shared" si="1058"/>
        <v>0.02</v>
      </c>
      <c r="AI173" s="38">
        <f t="shared" si="1058"/>
        <v>1.7000000000000001E-2</v>
      </c>
      <c r="AJ173" s="38">
        <f t="shared" si="1058"/>
        <v>3.5000000000000003E-2</v>
      </c>
      <c r="AK173" s="38">
        <f t="shared" si="1058"/>
        <v>2.1000000000000001E-2</v>
      </c>
      <c r="AL173" s="38">
        <f t="shared" si="1058"/>
        <v>3.6999999999999998E-2</v>
      </c>
      <c r="AM173" s="38">
        <f t="shared" si="1058"/>
        <v>3.0000000000000001E-3</v>
      </c>
      <c r="AN173" s="38">
        <f t="shared" ref="AN173:AS173" si="1059">AN172</f>
        <v>-8.0000000000000002E-3</v>
      </c>
      <c r="AO173" s="38">
        <f t="shared" si="1059"/>
        <v>0.01</v>
      </c>
      <c r="AP173" s="38">
        <f t="shared" si="1059"/>
        <v>-1.4999999999999999E-2</v>
      </c>
      <c r="AQ173" s="38">
        <f t="shared" si="1059"/>
        <v>5.2999999999999999E-2</v>
      </c>
      <c r="AR173" s="38">
        <f t="shared" si="1059"/>
        <v>2.5999999999999999E-2</v>
      </c>
      <c r="AS173" s="38">
        <f t="shared" si="1059"/>
        <v>1.7000000000000001E-2</v>
      </c>
      <c r="AT173" s="38">
        <f t="shared" ref="AT173:BC173" si="1060">AT172</f>
        <v>-4.8000000000000001E-2</v>
      </c>
      <c r="AU173" s="38">
        <f t="shared" si="1060"/>
        <v>-0.35699999999999998</v>
      </c>
      <c r="AV173" s="38">
        <f t="shared" si="1060"/>
        <v>-0.29799999999999999</v>
      </c>
      <c r="AW173" s="38">
        <f t="shared" si="1060"/>
        <v>-0.34599999999999997</v>
      </c>
      <c r="AX173" s="38">
        <f t="shared" si="1060"/>
        <v>-0.29199999999999998</v>
      </c>
      <c r="AY173" s="38">
        <f t="shared" si="1060"/>
        <v>0.24399999999999999</v>
      </c>
      <c r="AZ173" s="38">
        <f t="shared" si="1060"/>
        <v>0.21099999999999999</v>
      </c>
      <c r="BA173" s="38">
        <f t="shared" si="1060"/>
        <v>0.38400000000000001</v>
      </c>
      <c r="BB173" s="38">
        <f t="shared" si="1060"/>
        <v>0.41599999999999998</v>
      </c>
      <c r="BC173" s="38">
        <f t="shared" si="1060"/>
        <v>0.31</v>
      </c>
      <c r="BD173" s="38">
        <f t="shared" ref="BD173:BI173" si="1061">BD172</f>
        <v>0.23599999999999999</v>
      </c>
      <c r="BE173" s="38">
        <f t="shared" si="1061"/>
        <v>0.16200000000000001</v>
      </c>
      <c r="BF173" s="38">
        <f t="shared" si="1061"/>
        <v>0.16200000000000001</v>
      </c>
      <c r="BG173" s="38">
        <f t="shared" si="1061"/>
        <v>0.115</v>
      </c>
      <c r="BH173" s="38">
        <f t="shared" si="1061"/>
        <v>8.3000000000000004E-2</v>
      </c>
      <c r="BI173" s="38">
        <f t="shared" si="1061"/>
        <v>3.7999999999999999E-2</v>
      </c>
      <c r="BJ173" s="38">
        <f t="shared" ref="BJ173:BK173" si="1062">BJ172</f>
        <v>1.6E-2</v>
      </c>
      <c r="BK173" s="38">
        <f t="shared" si="1062"/>
        <v>-2.5999999999999999E-2</v>
      </c>
      <c r="BL173" s="1909">
        <v>0.01</v>
      </c>
      <c r="BM173" s="1909">
        <f>+BM$26*0.8</f>
        <v>1.9200000000000002E-2</v>
      </c>
      <c r="BN173" s="1752">
        <f t="shared" ref="BN173:BP173" si="1063">+BN$26*$CY173</f>
        <v>2.2000000000000002E-2</v>
      </c>
      <c r="BO173" s="1752">
        <f t="shared" si="1063"/>
        <v>2.2000000000000002E-2</v>
      </c>
      <c r="BP173" s="1752">
        <f t="shared" si="1063"/>
        <v>2.1000000000000001E-2</v>
      </c>
      <c r="BQ173" s="1752">
        <f t="shared" ref="BQ173:BY173" si="1064">+BQ$26*$CY173</f>
        <v>2.1000000000000001E-2</v>
      </c>
      <c r="BR173" s="1752">
        <f t="shared" si="1064"/>
        <v>2.1000000000000001E-2</v>
      </c>
      <c r="BS173" s="1752">
        <f t="shared" si="1064"/>
        <v>2.1000000000000001E-2</v>
      </c>
      <c r="BT173" s="1752">
        <f t="shared" si="1064"/>
        <v>2.1000000000000001E-2</v>
      </c>
      <c r="BU173" s="1752">
        <f t="shared" si="1064"/>
        <v>2.1000000000000001E-2</v>
      </c>
      <c r="BV173" s="1752">
        <f t="shared" si="1064"/>
        <v>2.1000000000000001E-2</v>
      </c>
      <c r="BW173" s="1752">
        <f t="shared" si="1064"/>
        <v>2.1000000000000001E-2</v>
      </c>
      <c r="BX173" s="1752">
        <f t="shared" si="1064"/>
        <v>2.1000000000000001E-2</v>
      </c>
      <c r="BY173" s="1752">
        <f t="shared" si="1064"/>
        <v>2.1000000000000001E-2</v>
      </c>
      <c r="BZ173" s="1752">
        <f t="shared" ref="BZ173:CJ173" si="1065">+BZ$26*$CZ173</f>
        <v>1.9949999999999999E-2</v>
      </c>
      <c r="CA173" s="1752">
        <f t="shared" si="1065"/>
        <v>1.9949999999999999E-2</v>
      </c>
      <c r="CB173" s="1752">
        <f t="shared" si="1065"/>
        <v>1.9949999999999999E-2</v>
      </c>
      <c r="CC173" s="1752">
        <f t="shared" si="1065"/>
        <v>1.9949999999999999E-2</v>
      </c>
      <c r="CD173" s="1752">
        <f t="shared" si="1065"/>
        <v>1.9949999999999999E-2</v>
      </c>
      <c r="CE173" s="1752">
        <f t="shared" si="1065"/>
        <v>1.9949999999999999E-2</v>
      </c>
      <c r="CF173" s="1752">
        <f t="shared" si="1065"/>
        <v>1.9949999999999999E-2</v>
      </c>
      <c r="CG173" s="1752">
        <f t="shared" si="1065"/>
        <v>1.9949999999999999E-2</v>
      </c>
      <c r="CH173" s="1752">
        <f t="shared" si="1065"/>
        <v>1.9949999999999999E-2</v>
      </c>
      <c r="CI173" s="1752">
        <f t="shared" si="1065"/>
        <v>1.9949999999999999E-2</v>
      </c>
      <c r="CJ173" s="1752">
        <f t="shared" si="1065"/>
        <v>1.9949999999999999E-2</v>
      </c>
      <c r="CK173" s="1752">
        <f t="shared" ref="CK173:CV173" si="1066">+CK$26*$CZ173</f>
        <v>1.9949999999999999E-2</v>
      </c>
      <c r="CL173" s="1752">
        <f t="shared" si="1066"/>
        <v>1.9949999999999999E-2</v>
      </c>
      <c r="CM173" s="1752">
        <f t="shared" si="1066"/>
        <v>1.9949999999999999E-2</v>
      </c>
      <c r="CN173" s="1752">
        <f t="shared" si="1066"/>
        <v>1.9949999999999999E-2</v>
      </c>
      <c r="CO173" s="1752">
        <f t="shared" si="1066"/>
        <v>1.9949999999999999E-2</v>
      </c>
      <c r="CP173" s="1752">
        <f t="shared" si="1066"/>
        <v>1.9949999999999999E-2</v>
      </c>
      <c r="CQ173" s="1752">
        <f t="shared" si="1066"/>
        <v>1.9949999999999999E-2</v>
      </c>
      <c r="CR173" s="1752">
        <f t="shared" si="1066"/>
        <v>1.9949999999999999E-2</v>
      </c>
      <c r="CS173" s="1752">
        <f t="shared" si="1066"/>
        <v>1.9949999999999999E-2</v>
      </c>
      <c r="CT173" s="1752">
        <f t="shared" si="1066"/>
        <v>1.9949999999999999E-2</v>
      </c>
      <c r="CU173" s="1752">
        <f t="shared" si="1066"/>
        <v>1.9949999999999999E-2</v>
      </c>
      <c r="CV173" s="1752">
        <f t="shared" si="1066"/>
        <v>1.9949999999999999E-2</v>
      </c>
      <c r="CW173" s="1753">
        <f t="shared" ref="CW173" si="1067">+CW$26*$CZ173</f>
        <v>1.9949999999999999E-2</v>
      </c>
      <c r="CX173" s="269"/>
      <c r="CY173" s="559">
        <v>1</v>
      </c>
      <c r="CZ173" s="559">
        <v>0.95</v>
      </c>
      <c r="DA173" s="269" t="s">
        <v>1268</v>
      </c>
    </row>
    <row r="174" spans="1:106">
      <c r="A174" s="86" t="s">
        <v>202</v>
      </c>
      <c r="B174" s="392"/>
      <c r="C174" s="392"/>
      <c r="D174" s="392"/>
      <c r="E174" s="394"/>
      <c r="F174" s="51" t="str">
        <f t="shared" ref="F174:AA174" si="1068">F172</f>
        <v>ND</v>
      </c>
      <c r="G174" s="51" t="str">
        <f t="shared" si="1068"/>
        <v>ND</v>
      </c>
      <c r="H174" s="51" t="str">
        <f t="shared" si="1068"/>
        <v>ND</v>
      </c>
      <c r="I174" s="51" t="str">
        <f t="shared" si="1068"/>
        <v>ND</v>
      </c>
      <c r="J174" s="51" t="str">
        <f t="shared" si="1068"/>
        <v>ND</v>
      </c>
      <c r="K174" s="51" t="str">
        <f t="shared" si="1068"/>
        <v>ND</v>
      </c>
      <c r="L174" s="51" t="str">
        <f t="shared" si="1068"/>
        <v>ND</v>
      </c>
      <c r="M174" s="51" t="str">
        <f t="shared" si="1068"/>
        <v>ND</v>
      </c>
      <c r="N174" s="51" t="str">
        <f t="shared" si="1068"/>
        <v>ND</v>
      </c>
      <c r="O174" s="51" t="str">
        <f t="shared" si="1068"/>
        <v>ND</v>
      </c>
      <c r="P174" s="51" t="str">
        <f t="shared" si="1068"/>
        <v>ND</v>
      </c>
      <c r="Q174" s="51" t="str">
        <f t="shared" si="1068"/>
        <v>ND</v>
      </c>
      <c r="R174" s="51" t="str">
        <f t="shared" si="1068"/>
        <v>ND</v>
      </c>
      <c r="S174" s="51" t="str">
        <f t="shared" si="1068"/>
        <v>ND</v>
      </c>
      <c r="T174" s="51" t="str">
        <f t="shared" si="1068"/>
        <v>ND</v>
      </c>
      <c r="U174" s="51" t="str">
        <f t="shared" si="1068"/>
        <v>ND</v>
      </c>
      <c r="V174" s="51" t="str">
        <f t="shared" si="1068"/>
        <v>ND</v>
      </c>
      <c r="W174" s="51" t="str">
        <f t="shared" si="1068"/>
        <v>ND</v>
      </c>
      <c r="X174" s="51" t="str">
        <f t="shared" si="1068"/>
        <v>ND</v>
      </c>
      <c r="Y174" s="38">
        <f t="shared" si="1068"/>
        <v>8.8999999999999996E-2</v>
      </c>
      <c r="Z174" s="38">
        <f t="shared" si="1068"/>
        <v>9.7000000000000003E-2</v>
      </c>
      <c r="AA174" s="38">
        <f t="shared" si="1068"/>
        <v>3.6999999999999998E-2</v>
      </c>
      <c r="AB174" s="38">
        <f t="shared" ref="AB174:AM174" si="1069">AB172</f>
        <v>7.0999999999999994E-2</v>
      </c>
      <c r="AC174" s="38">
        <f t="shared" si="1069"/>
        <v>7.1999999999999995E-2</v>
      </c>
      <c r="AD174" s="38">
        <f t="shared" si="1069"/>
        <v>8.5000000000000006E-2</v>
      </c>
      <c r="AE174" s="38">
        <f t="shared" si="1069"/>
        <v>7.2999999999999995E-2</v>
      </c>
      <c r="AF174" s="38">
        <f t="shared" si="1069"/>
        <v>1.9E-2</v>
      </c>
      <c r="AG174" s="38">
        <f t="shared" si="1069"/>
        <v>3.0000000000000001E-3</v>
      </c>
      <c r="AH174" s="38">
        <f t="shared" si="1069"/>
        <v>0.02</v>
      </c>
      <c r="AI174" s="38">
        <f t="shared" si="1069"/>
        <v>1.7000000000000001E-2</v>
      </c>
      <c r="AJ174" s="38">
        <f t="shared" si="1069"/>
        <v>3.5000000000000003E-2</v>
      </c>
      <c r="AK174" s="38">
        <f t="shared" si="1069"/>
        <v>2.1000000000000001E-2</v>
      </c>
      <c r="AL174" s="38">
        <f t="shared" si="1069"/>
        <v>3.6999999999999998E-2</v>
      </c>
      <c r="AM174" s="38">
        <f t="shared" si="1069"/>
        <v>3.0000000000000001E-3</v>
      </c>
      <c r="AN174" s="38">
        <f t="shared" ref="AN174:AS174" si="1070">AN172</f>
        <v>-8.0000000000000002E-3</v>
      </c>
      <c r="AO174" s="38">
        <f t="shared" si="1070"/>
        <v>0.01</v>
      </c>
      <c r="AP174" s="38">
        <f t="shared" si="1070"/>
        <v>-1.4999999999999999E-2</v>
      </c>
      <c r="AQ174" s="38">
        <f t="shared" si="1070"/>
        <v>5.2999999999999999E-2</v>
      </c>
      <c r="AR174" s="38">
        <f t="shared" si="1070"/>
        <v>2.5999999999999999E-2</v>
      </c>
      <c r="AS174" s="38">
        <f t="shared" si="1070"/>
        <v>1.7000000000000001E-2</v>
      </c>
      <c r="AT174" s="38">
        <f t="shared" ref="AT174:BC174" si="1071">AT172</f>
        <v>-4.8000000000000001E-2</v>
      </c>
      <c r="AU174" s="38">
        <f t="shared" si="1071"/>
        <v>-0.35699999999999998</v>
      </c>
      <c r="AV174" s="38">
        <f t="shared" si="1071"/>
        <v>-0.29799999999999999</v>
      </c>
      <c r="AW174" s="38">
        <f t="shared" si="1071"/>
        <v>-0.34599999999999997</v>
      </c>
      <c r="AX174" s="38">
        <f t="shared" si="1071"/>
        <v>-0.29199999999999998</v>
      </c>
      <c r="AY174" s="38">
        <f t="shared" si="1071"/>
        <v>0.24399999999999999</v>
      </c>
      <c r="AZ174" s="38">
        <f t="shared" si="1071"/>
        <v>0.21099999999999999</v>
      </c>
      <c r="BA174" s="38">
        <f t="shared" si="1071"/>
        <v>0.38400000000000001</v>
      </c>
      <c r="BB174" s="38">
        <f t="shared" si="1071"/>
        <v>0.41599999999999998</v>
      </c>
      <c r="BC174" s="38">
        <f t="shared" si="1071"/>
        <v>0.31</v>
      </c>
      <c r="BD174" s="38">
        <f t="shared" ref="BD174:BI174" si="1072">BD172</f>
        <v>0.23599999999999999</v>
      </c>
      <c r="BE174" s="38">
        <f t="shared" si="1072"/>
        <v>0.16200000000000001</v>
      </c>
      <c r="BF174" s="38">
        <f t="shared" si="1072"/>
        <v>0.16200000000000001</v>
      </c>
      <c r="BG174" s="38">
        <f t="shared" si="1072"/>
        <v>0.115</v>
      </c>
      <c r="BH174" s="38">
        <f t="shared" si="1072"/>
        <v>8.3000000000000004E-2</v>
      </c>
      <c r="BI174" s="38">
        <f t="shared" si="1072"/>
        <v>3.7999999999999999E-2</v>
      </c>
      <c r="BJ174" s="38">
        <f t="shared" ref="BJ174:BK174" si="1073">BJ172</f>
        <v>1.6E-2</v>
      </c>
      <c r="BK174" s="1833">
        <f t="shared" si="1073"/>
        <v>-2.5999999999999999E-2</v>
      </c>
      <c r="BL174" s="45">
        <f t="shared" ref="BL174:BP174" si="1074">+BL173*$CY174</f>
        <v>8.0000000000000002E-3</v>
      </c>
      <c r="BM174" s="45">
        <f t="shared" si="1074"/>
        <v>1.5360000000000002E-2</v>
      </c>
      <c r="BN174" s="45">
        <f t="shared" si="1074"/>
        <v>1.7600000000000001E-2</v>
      </c>
      <c r="BO174" s="45">
        <f t="shared" si="1074"/>
        <v>1.7600000000000001E-2</v>
      </c>
      <c r="BP174" s="45">
        <f t="shared" si="1074"/>
        <v>1.6800000000000002E-2</v>
      </c>
      <c r="BQ174" s="45">
        <f t="shared" ref="BQ174:BY174" si="1075">+BQ173*$CY174</f>
        <v>1.6800000000000002E-2</v>
      </c>
      <c r="BR174" s="45">
        <f t="shared" si="1075"/>
        <v>1.6800000000000002E-2</v>
      </c>
      <c r="BS174" s="45">
        <f t="shared" si="1075"/>
        <v>1.6800000000000002E-2</v>
      </c>
      <c r="BT174" s="45">
        <f t="shared" si="1075"/>
        <v>1.6800000000000002E-2</v>
      </c>
      <c r="BU174" s="45">
        <f t="shared" si="1075"/>
        <v>1.6800000000000002E-2</v>
      </c>
      <c r="BV174" s="45">
        <f t="shared" si="1075"/>
        <v>1.6800000000000002E-2</v>
      </c>
      <c r="BW174" s="45">
        <f t="shared" si="1075"/>
        <v>1.6800000000000002E-2</v>
      </c>
      <c r="BX174" s="45">
        <f t="shared" si="1075"/>
        <v>1.6800000000000002E-2</v>
      </c>
      <c r="BY174" s="45">
        <f t="shared" si="1075"/>
        <v>1.6800000000000002E-2</v>
      </c>
      <c r="BZ174" s="45">
        <f t="shared" ref="BZ174:CU174" si="1076">+BZ173*$CZ174</f>
        <v>1.5959999999999998E-2</v>
      </c>
      <c r="CA174" s="45">
        <f t="shared" si="1076"/>
        <v>1.5959999999999998E-2</v>
      </c>
      <c r="CB174" s="45">
        <f t="shared" si="1076"/>
        <v>1.5959999999999998E-2</v>
      </c>
      <c r="CC174" s="45">
        <f t="shared" si="1076"/>
        <v>1.5959999999999998E-2</v>
      </c>
      <c r="CD174" s="45">
        <f t="shared" si="1076"/>
        <v>1.5959999999999998E-2</v>
      </c>
      <c r="CE174" s="45">
        <f t="shared" si="1076"/>
        <v>1.5959999999999998E-2</v>
      </c>
      <c r="CF174" s="45">
        <f t="shared" si="1076"/>
        <v>1.5959999999999998E-2</v>
      </c>
      <c r="CG174" s="45">
        <f t="shared" si="1076"/>
        <v>1.5959999999999998E-2</v>
      </c>
      <c r="CH174" s="45">
        <f t="shared" si="1076"/>
        <v>1.5959999999999998E-2</v>
      </c>
      <c r="CI174" s="45">
        <f t="shared" si="1076"/>
        <v>1.5959999999999998E-2</v>
      </c>
      <c r="CJ174" s="45">
        <f t="shared" si="1076"/>
        <v>1.5959999999999998E-2</v>
      </c>
      <c r="CK174" s="45">
        <f t="shared" si="1076"/>
        <v>1.5959999999999998E-2</v>
      </c>
      <c r="CL174" s="45">
        <f t="shared" si="1076"/>
        <v>1.5959999999999998E-2</v>
      </c>
      <c r="CM174" s="45">
        <f t="shared" si="1076"/>
        <v>1.5959999999999998E-2</v>
      </c>
      <c r="CN174" s="45">
        <f t="shared" si="1076"/>
        <v>1.5959999999999998E-2</v>
      </c>
      <c r="CO174" s="45">
        <f t="shared" si="1076"/>
        <v>1.5959999999999998E-2</v>
      </c>
      <c r="CP174" s="45">
        <f t="shared" si="1076"/>
        <v>1.5959999999999998E-2</v>
      </c>
      <c r="CQ174" s="45">
        <f t="shared" si="1076"/>
        <v>1.5959999999999998E-2</v>
      </c>
      <c r="CR174" s="45">
        <f t="shared" si="1076"/>
        <v>1.5959999999999998E-2</v>
      </c>
      <c r="CS174" s="45">
        <f t="shared" si="1076"/>
        <v>1.5959999999999998E-2</v>
      </c>
      <c r="CT174" s="45">
        <f t="shared" si="1076"/>
        <v>1.5959999999999998E-2</v>
      </c>
      <c r="CU174" s="45">
        <f t="shared" si="1076"/>
        <v>1.5959999999999998E-2</v>
      </c>
      <c r="CV174" s="45">
        <f t="shared" ref="CV174:CW174" si="1077">+CV173*$CZ174</f>
        <v>1.5959999999999998E-2</v>
      </c>
      <c r="CW174" s="45">
        <f t="shared" si="1077"/>
        <v>1.5959999999999998E-2</v>
      </c>
      <c r="CX174" s="269"/>
      <c r="CY174" s="559">
        <v>0.8</v>
      </c>
      <c r="CZ174" s="559">
        <v>0.8</v>
      </c>
      <c r="DA174" s="269" t="s">
        <v>1420</v>
      </c>
    </row>
    <row r="175" spans="1:106">
      <c r="A175" s="86" t="s">
        <v>1268</v>
      </c>
      <c r="B175" s="392"/>
      <c r="C175" s="392"/>
      <c r="D175" s="392"/>
      <c r="E175" s="394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152"/>
      <c r="V175" s="152"/>
      <c r="W175" s="152"/>
      <c r="X175" s="152"/>
      <c r="Y175" s="152">
        <f t="shared" ref="Y175:BQ175" si="1078">+Y171/Y26</f>
        <v>44.5</v>
      </c>
      <c r="Z175" s="152">
        <f t="shared" si="1078"/>
        <v>-32.333333333333336</v>
      </c>
      <c r="AA175" s="152">
        <f t="shared" si="1078"/>
        <v>18.5</v>
      </c>
      <c r="AB175" s="152">
        <f t="shared" si="1078"/>
        <v>70.999999999999986</v>
      </c>
      <c r="AC175" s="152">
        <f t="shared" si="1078"/>
        <v>36</v>
      </c>
      <c r="AD175" s="152" t="e">
        <f t="shared" si="1078"/>
        <v>#DIV/0!</v>
      </c>
      <c r="AE175" s="152">
        <f t="shared" si="1078"/>
        <v>-73</v>
      </c>
      <c r="AF175" s="152">
        <f t="shared" si="1078"/>
        <v>6.333333333333333</v>
      </c>
      <c r="AG175" s="152">
        <f t="shared" si="1078"/>
        <v>0.42857142857142855</v>
      </c>
      <c r="AH175" s="152">
        <f t="shared" si="1078"/>
        <v>1.1111111111111112</v>
      </c>
      <c r="AI175" s="152">
        <f t="shared" si="1078"/>
        <v>1.1333333333333335</v>
      </c>
      <c r="AJ175" s="152">
        <f t="shared" si="1078"/>
        <v>2.5</v>
      </c>
      <c r="AK175" s="152">
        <f t="shared" si="1078"/>
        <v>1.5</v>
      </c>
      <c r="AL175" s="152">
        <f t="shared" si="1078"/>
        <v>2.8461538461538463</v>
      </c>
      <c r="AM175" s="152">
        <f t="shared" si="1078"/>
        <v>0.1875</v>
      </c>
      <c r="AN175" s="152">
        <f t="shared" si="1078"/>
        <v>-0.4210526315789474</v>
      </c>
      <c r="AO175" s="152">
        <f t="shared" si="1078"/>
        <v>0.52631578947368418</v>
      </c>
      <c r="AP175" s="152">
        <f t="shared" si="1078"/>
        <v>-1.0714285714285714</v>
      </c>
      <c r="AQ175" s="152">
        <f t="shared" si="1078"/>
        <v>3.7857142857142856</v>
      </c>
      <c r="AR175" s="152">
        <f t="shared" si="1078"/>
        <v>2.5742574257425743</v>
      </c>
      <c r="AS175" s="152">
        <f t="shared" si="1078"/>
        <v>1.7000000000000002</v>
      </c>
      <c r="AT175" s="152">
        <f t="shared" si="1078"/>
        <v>-4.3636363636363642</v>
      </c>
      <c r="AU175" s="152">
        <f t="shared" ref="AU175:BC175" si="1079">+AU171/AU26</f>
        <v>-178.5</v>
      </c>
      <c r="AV175" s="152" t="e">
        <f t="shared" si="1079"/>
        <v>#DIV/0!</v>
      </c>
      <c r="AW175" s="152">
        <f t="shared" si="1079"/>
        <v>115.33333333333333</v>
      </c>
      <c r="AX175" s="152">
        <f t="shared" si="1079"/>
        <v>-26.545454545454547</v>
      </c>
      <c r="AY175" s="152">
        <f t="shared" si="1079"/>
        <v>13.555555555555557</v>
      </c>
      <c r="AZ175" s="152">
        <f t="shared" si="1079"/>
        <v>7.5357142857142856</v>
      </c>
      <c r="BA175" s="152">
        <f t="shared" si="1079"/>
        <v>8.3478260869565215</v>
      </c>
      <c r="BB175" s="152">
        <f t="shared" si="1079"/>
        <v>6.8196721311475406</v>
      </c>
      <c r="BC175" s="152">
        <f t="shared" si="1079"/>
        <v>3.875</v>
      </c>
      <c r="BD175" s="152">
        <f t="shared" ref="BD175:BI175" si="1080">+BD171/BD26</f>
        <v>2.5376344086021501</v>
      </c>
      <c r="BE175" s="152">
        <f t="shared" si="1080"/>
        <v>1.6199999999999999</v>
      </c>
      <c r="BF175" s="152">
        <f t="shared" si="1080"/>
        <v>2.0249999999999999</v>
      </c>
      <c r="BG175" s="152">
        <f t="shared" si="1080"/>
        <v>1.8548387096774195</v>
      </c>
      <c r="BH175" s="152">
        <f t="shared" si="1080"/>
        <v>1.338709677419355</v>
      </c>
      <c r="BI175" s="152">
        <f t="shared" si="1080"/>
        <v>0.7599999999999999</v>
      </c>
      <c r="BJ175" s="152">
        <f t="shared" ref="BJ175:BK175" si="1081">+BJ171/BJ26</f>
        <v>0.32</v>
      </c>
      <c r="BK175" s="1834">
        <f t="shared" si="1081"/>
        <v>-0.51999999999999991</v>
      </c>
      <c r="BL175" s="395">
        <f t="shared" si="1078"/>
        <v>0.36363636363636359</v>
      </c>
      <c r="BM175" s="395">
        <f t="shared" si="1078"/>
        <v>0.64000000000000012</v>
      </c>
      <c r="BN175" s="395">
        <f t="shared" si="1078"/>
        <v>0.79999999999999993</v>
      </c>
      <c r="BO175" s="395">
        <f t="shared" si="1078"/>
        <v>0.79999999999999993</v>
      </c>
      <c r="BP175" s="395">
        <f t="shared" si="1078"/>
        <v>0.8</v>
      </c>
      <c r="BQ175" s="395">
        <f t="shared" si="1078"/>
        <v>0.8</v>
      </c>
      <c r="BR175" s="395">
        <f t="shared" ref="BR175:CK175" si="1082">+BR171/BR26</f>
        <v>0.8</v>
      </c>
      <c r="BS175" s="395">
        <f t="shared" si="1082"/>
        <v>0.8</v>
      </c>
      <c r="BT175" s="395">
        <f t="shared" si="1082"/>
        <v>0.8</v>
      </c>
      <c r="BU175" s="395">
        <f t="shared" si="1082"/>
        <v>0.8</v>
      </c>
      <c r="BV175" s="395">
        <f t="shared" si="1082"/>
        <v>0.8</v>
      </c>
      <c r="BW175" s="395">
        <f t="shared" si="1082"/>
        <v>0.8</v>
      </c>
      <c r="BX175" s="395">
        <f t="shared" si="1082"/>
        <v>0.8</v>
      </c>
      <c r="BY175" s="395">
        <f t="shared" si="1082"/>
        <v>0.8</v>
      </c>
      <c r="BZ175" s="395">
        <f t="shared" si="1082"/>
        <v>0.7599999999999999</v>
      </c>
      <c r="CA175" s="395">
        <f t="shared" si="1082"/>
        <v>0.7599999999999999</v>
      </c>
      <c r="CB175" s="395">
        <f t="shared" si="1082"/>
        <v>0.7599999999999999</v>
      </c>
      <c r="CC175" s="395">
        <f t="shared" si="1082"/>
        <v>0.7599999999999999</v>
      </c>
      <c r="CD175" s="395">
        <f t="shared" si="1082"/>
        <v>0.7599999999999999</v>
      </c>
      <c r="CE175" s="395">
        <f t="shared" si="1082"/>
        <v>0.7599999999999999</v>
      </c>
      <c r="CF175" s="395">
        <f t="shared" si="1082"/>
        <v>0.7599999999999999</v>
      </c>
      <c r="CG175" s="395">
        <f t="shared" si="1082"/>
        <v>0.7599999999999999</v>
      </c>
      <c r="CH175" s="395">
        <f t="shared" si="1082"/>
        <v>0.7599999999999999</v>
      </c>
      <c r="CI175" s="395">
        <f t="shared" si="1082"/>
        <v>0.7599999999999999</v>
      </c>
      <c r="CJ175" s="395">
        <f t="shared" si="1082"/>
        <v>0.7599999999999999</v>
      </c>
      <c r="CK175" s="395">
        <f t="shared" si="1082"/>
        <v>0.7599999999999999</v>
      </c>
      <c r="CL175" s="395">
        <f t="shared" ref="CL175:CP175" si="1083">+CL171/CL26</f>
        <v>0.7599999999999999</v>
      </c>
      <c r="CM175" s="395">
        <f t="shared" si="1083"/>
        <v>0.7599999999999999</v>
      </c>
      <c r="CN175" s="395">
        <f t="shared" si="1083"/>
        <v>0.7599999999999999</v>
      </c>
      <c r="CO175" s="395">
        <f t="shared" si="1083"/>
        <v>0.7599999999999999</v>
      </c>
      <c r="CP175" s="395">
        <f t="shared" si="1083"/>
        <v>0.7599999999999999</v>
      </c>
      <c r="CQ175" s="395">
        <f t="shared" ref="CQ175:CU175" si="1084">+CQ171/CQ26</f>
        <v>0.7599999999999999</v>
      </c>
      <c r="CR175" s="395">
        <f t="shared" si="1084"/>
        <v>0.7599999999999999</v>
      </c>
      <c r="CS175" s="395">
        <f t="shared" si="1084"/>
        <v>0.7599999999999999</v>
      </c>
      <c r="CT175" s="395">
        <f t="shared" si="1084"/>
        <v>0.7599999999999999</v>
      </c>
      <c r="CU175" s="395">
        <f t="shared" si="1084"/>
        <v>0.7599999999999999</v>
      </c>
      <c r="CV175" s="395">
        <f t="shared" ref="CV175:CW175" si="1085">+CV171/CV26</f>
        <v>0.7599999999999999</v>
      </c>
      <c r="CW175" s="395">
        <f t="shared" si="1085"/>
        <v>0.7599999999999999</v>
      </c>
      <c r="CX175" s="269"/>
      <c r="CY175" s="269"/>
      <c r="CZ175" s="269"/>
    </row>
    <row r="176" spans="1:106">
      <c r="A176" s="42"/>
      <c r="B176" s="388"/>
      <c r="C176" s="388"/>
      <c r="D176" s="388"/>
      <c r="E176" s="38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269"/>
      <c r="AN176" s="269"/>
      <c r="AO176" s="269"/>
      <c r="AP176" s="269"/>
      <c r="AQ176" s="269"/>
      <c r="AR176" s="269"/>
      <c r="AS176" s="269"/>
      <c r="AT176" s="269"/>
      <c r="AU176" s="45"/>
      <c r="AV176" s="45"/>
      <c r="AW176" s="45"/>
      <c r="AX176" s="45"/>
      <c r="AY176" s="45"/>
      <c r="AZ176" s="45"/>
      <c r="BA176" s="45"/>
      <c r="BB176" s="45"/>
      <c r="BC176" s="45"/>
      <c r="BD176" s="45"/>
      <c r="BE176" s="45"/>
      <c r="BF176" s="45"/>
      <c r="BG176" s="45"/>
      <c r="BH176" s="45"/>
      <c r="BI176" s="45"/>
      <c r="BJ176" s="45"/>
      <c r="BK176" s="1828"/>
      <c r="BL176" s="45"/>
      <c r="BM176" s="45"/>
      <c r="BN176" s="45"/>
      <c r="BO176" s="45"/>
      <c r="BP176" s="45"/>
      <c r="BQ176" s="45"/>
      <c r="BR176" s="45"/>
      <c r="BS176" s="45"/>
      <c r="BT176" s="45"/>
      <c r="BU176" s="45"/>
      <c r="BV176" s="45"/>
      <c r="BW176" s="45"/>
      <c r="BX176" s="45"/>
      <c r="BY176" s="45"/>
      <c r="BZ176" s="45"/>
      <c r="CA176" s="45"/>
      <c r="CB176" s="45"/>
      <c r="CC176" s="45"/>
      <c r="CD176" s="45"/>
      <c r="CE176" s="45"/>
      <c r="CF176" s="45"/>
      <c r="CG176" s="45"/>
      <c r="CH176" s="45"/>
      <c r="CI176" s="45"/>
      <c r="CJ176" s="45"/>
      <c r="CK176" s="45"/>
      <c r="CL176" s="45"/>
      <c r="CM176" s="45"/>
      <c r="CN176" s="45"/>
      <c r="CO176" s="45"/>
      <c r="CP176" s="45"/>
      <c r="CQ176" s="45"/>
      <c r="CR176" s="45"/>
      <c r="CS176" s="45"/>
      <c r="CT176" s="45"/>
      <c r="CU176" s="45"/>
      <c r="CV176" s="45"/>
      <c r="CW176" s="45"/>
      <c r="CX176" s="269"/>
      <c r="CY176" s="269"/>
      <c r="CZ176" s="269"/>
    </row>
    <row r="177" spans="1:106">
      <c r="A177" s="691" t="s">
        <v>1112</v>
      </c>
      <c r="B177" s="397"/>
      <c r="C177" s="397"/>
      <c r="D177" s="397"/>
      <c r="E177" s="397"/>
      <c r="F177" s="690"/>
      <c r="G177" s="690" t="str">
        <f t="shared" ref="G177:BQ177" si="1086">CHOOSE(MASTERSWITCH,G178,G179,G180)</f>
        <v>NM</v>
      </c>
      <c r="H177" s="690" t="str">
        <f t="shared" si="1086"/>
        <v>NM</v>
      </c>
      <c r="I177" s="690" t="str">
        <f t="shared" si="1086"/>
        <v>NM</v>
      </c>
      <c r="J177" s="690" t="str">
        <f t="shared" si="1086"/>
        <v>NM</v>
      </c>
      <c r="K177" s="690" t="str">
        <f t="shared" si="1086"/>
        <v>NM</v>
      </c>
      <c r="L177" s="690" t="str">
        <f t="shared" si="1086"/>
        <v>NM</v>
      </c>
      <c r="M177" s="690" t="str">
        <f t="shared" si="1086"/>
        <v>NM</v>
      </c>
      <c r="N177" s="690" t="str">
        <f t="shared" si="1086"/>
        <v>NM</v>
      </c>
      <c r="O177" s="690" t="str">
        <f t="shared" si="1086"/>
        <v>NM</v>
      </c>
      <c r="P177" s="690" t="str">
        <f t="shared" si="1086"/>
        <v>NM</v>
      </c>
      <c r="Q177" s="690" t="str">
        <f t="shared" si="1086"/>
        <v>NM</v>
      </c>
      <c r="R177" s="690" t="str">
        <f t="shared" si="1086"/>
        <v>NM</v>
      </c>
      <c r="S177" s="690" t="str">
        <f t="shared" si="1086"/>
        <v>NM</v>
      </c>
      <c r="T177" s="690" t="str">
        <f t="shared" si="1086"/>
        <v>NM</v>
      </c>
      <c r="U177" s="690" t="str">
        <f t="shared" si="1086"/>
        <v>NM</v>
      </c>
      <c r="V177" s="690" t="str">
        <f t="shared" si="1086"/>
        <v>NM</v>
      </c>
      <c r="W177" s="690" t="str">
        <f t="shared" si="1086"/>
        <v>NM</v>
      </c>
      <c r="X177" s="690" t="str">
        <f t="shared" si="1086"/>
        <v>NM</v>
      </c>
      <c r="Y177" s="690" t="str">
        <f t="shared" si="1086"/>
        <v>NM</v>
      </c>
      <c r="Z177" s="690" t="str">
        <f t="shared" si="1086"/>
        <v>NM</v>
      </c>
      <c r="AA177" s="690" t="str">
        <f t="shared" si="1086"/>
        <v>NM</v>
      </c>
      <c r="AB177" s="690" t="str">
        <f t="shared" ref="AB177:AM177" si="1087">CHOOSE(MASTERSWITCH,AB178,AB179,AB180)</f>
        <v>NM</v>
      </c>
      <c r="AC177" s="690" t="str">
        <f t="shared" si="1087"/>
        <v>NM</v>
      </c>
      <c r="AD177" s="690">
        <f t="shared" si="1087"/>
        <v>1.5003686441886863</v>
      </c>
      <c r="AE177" s="690">
        <f t="shared" si="1087"/>
        <v>0.26771411081688218</v>
      </c>
      <c r="AF177" s="690">
        <f t="shared" si="1087"/>
        <v>0.54957309575067326</v>
      </c>
      <c r="AG177" s="690">
        <f t="shared" si="1087"/>
        <v>0.99778276104172148</v>
      </c>
      <c r="AH177" s="690">
        <f t="shared" si="1087"/>
        <v>0.22522779860850625</v>
      </c>
      <c r="AI177" s="690">
        <f t="shared" si="1087"/>
        <v>0.80426357085749955</v>
      </c>
      <c r="AJ177" s="690">
        <f t="shared" si="1087"/>
        <v>0.92105358345393273</v>
      </c>
      <c r="AK177" s="690">
        <f t="shared" si="1087"/>
        <v>0.67855882816067536</v>
      </c>
      <c r="AL177" s="690">
        <f t="shared" si="1087"/>
        <v>4.4980499489907441E-2</v>
      </c>
      <c r="AM177" s="690">
        <f t="shared" si="1087"/>
        <v>8.1215665524182787E-2</v>
      </c>
      <c r="AN177" s="690">
        <f t="shared" ref="AN177:AS177" si="1088">CHOOSE(MASTERSWITCH,AN178,AN179,AN180)</f>
        <v>0.40462548792111985</v>
      </c>
      <c r="AO177" s="690">
        <f t="shared" si="1088"/>
        <v>0.59784462697947993</v>
      </c>
      <c r="AP177" s="690">
        <f t="shared" si="1088"/>
        <v>1.6151448346739445</v>
      </c>
      <c r="AQ177" s="690">
        <f t="shared" si="1088"/>
        <v>0.94794929632370462</v>
      </c>
      <c r="AR177" s="690">
        <f t="shared" si="1088"/>
        <v>1.0113100103384005</v>
      </c>
      <c r="AS177" s="690">
        <f t="shared" si="1088"/>
        <v>0.9745253684607621</v>
      </c>
      <c r="AT177" s="690">
        <f t="shared" ref="AT177:BC177" si="1089">CHOOSE(MASTERSWITCH,AT178,AT179,AT180)</f>
        <v>-0.55861016996561907</v>
      </c>
      <c r="AU177" s="690">
        <f t="shared" si="1089"/>
        <v>-59.182680612925516</v>
      </c>
      <c r="AV177" s="690">
        <f t="shared" si="1089"/>
        <v>8.0681547937622522</v>
      </c>
      <c r="AW177" s="690">
        <f t="shared" si="1089"/>
        <v>3.7538325090114708</v>
      </c>
      <c r="AX177" s="690">
        <f t="shared" si="1089"/>
        <v>-6.0620301027401489</v>
      </c>
      <c r="AY177" s="690">
        <f t="shared" si="1089"/>
        <v>-56.343550332272102</v>
      </c>
      <c r="AZ177" s="690">
        <f t="shared" si="1089"/>
        <v>-8.6094719135163214</v>
      </c>
      <c r="BA177" s="690">
        <f t="shared" si="1089"/>
        <v>9.4038007984787093</v>
      </c>
      <c r="BB177" s="690">
        <f t="shared" si="1089"/>
        <v>0.40769630529677037</v>
      </c>
      <c r="BC177" s="690">
        <f t="shared" si="1089"/>
        <v>-0.22875813569030365</v>
      </c>
      <c r="BD177" s="690">
        <f t="shared" ref="BD177:BI177" si="1090">CHOOSE(MASTERSWITCH,BD178,BD179,BD180)</f>
        <v>3.9702219509694568E-2</v>
      </c>
      <c r="BE177" s="690">
        <f t="shared" si="1090"/>
        <v>0.36657334886983933</v>
      </c>
      <c r="BF177" s="690">
        <f t="shared" si="1090"/>
        <v>1.2238936818794763</v>
      </c>
      <c r="BG177" s="690">
        <f t="shared" si="1090"/>
        <v>0.57841074005264737</v>
      </c>
      <c r="BH177" s="690">
        <f t="shared" si="1090"/>
        <v>0.57809356907873155</v>
      </c>
      <c r="BI177" s="690">
        <f t="shared" si="1090"/>
        <v>0.82330092463675564</v>
      </c>
      <c r="BJ177" s="690">
        <f t="shared" ref="BJ177:BK177" si="1091">CHOOSE(MASTERSWITCH,BJ178,BJ179,BJ180)</f>
        <v>0.12846567585279101</v>
      </c>
      <c r="BK177" s="1174">
        <f t="shared" si="1091"/>
        <v>0.69204576342978052</v>
      </c>
      <c r="BL177" s="398">
        <f t="shared" si="1086"/>
        <v>0.8</v>
      </c>
      <c r="BM177" s="398">
        <f t="shared" si="1086"/>
        <v>0.8</v>
      </c>
      <c r="BN177" s="398">
        <f t="shared" si="1086"/>
        <v>0.8</v>
      </c>
      <c r="BO177" s="398">
        <f t="shared" si="1086"/>
        <v>0.8</v>
      </c>
      <c r="BP177" s="398">
        <f t="shared" si="1086"/>
        <v>0.8</v>
      </c>
      <c r="BQ177" s="398">
        <f t="shared" si="1086"/>
        <v>0.8</v>
      </c>
      <c r="BR177" s="398">
        <f t="shared" ref="BR177:CK177" si="1092">CHOOSE(MASTERSWITCH,BR178,BR179,BR180)</f>
        <v>0.8</v>
      </c>
      <c r="BS177" s="398">
        <f t="shared" si="1092"/>
        <v>0.8</v>
      </c>
      <c r="BT177" s="398">
        <f t="shared" si="1092"/>
        <v>0.8</v>
      </c>
      <c r="BU177" s="398">
        <f t="shared" si="1092"/>
        <v>0.8</v>
      </c>
      <c r="BV177" s="398">
        <f t="shared" si="1092"/>
        <v>0.8</v>
      </c>
      <c r="BW177" s="398">
        <f t="shared" si="1092"/>
        <v>0.8</v>
      </c>
      <c r="BX177" s="398">
        <f t="shared" si="1092"/>
        <v>0.8</v>
      </c>
      <c r="BY177" s="398">
        <f t="shared" si="1092"/>
        <v>0.8</v>
      </c>
      <c r="BZ177" s="398">
        <f t="shared" si="1092"/>
        <v>0.8</v>
      </c>
      <c r="CA177" s="398">
        <f t="shared" si="1092"/>
        <v>0.8</v>
      </c>
      <c r="CB177" s="398">
        <f t="shared" si="1092"/>
        <v>0.8</v>
      </c>
      <c r="CC177" s="398">
        <f t="shared" si="1092"/>
        <v>0.8</v>
      </c>
      <c r="CD177" s="398">
        <f t="shared" si="1092"/>
        <v>0.8</v>
      </c>
      <c r="CE177" s="398">
        <f t="shared" si="1092"/>
        <v>0.8</v>
      </c>
      <c r="CF177" s="398">
        <f t="shared" si="1092"/>
        <v>0.8</v>
      </c>
      <c r="CG177" s="398">
        <f t="shared" si="1092"/>
        <v>0.8</v>
      </c>
      <c r="CH177" s="398">
        <f t="shared" si="1092"/>
        <v>0.8</v>
      </c>
      <c r="CI177" s="398">
        <f t="shared" si="1092"/>
        <v>0.8</v>
      </c>
      <c r="CJ177" s="398">
        <f t="shared" si="1092"/>
        <v>0.8</v>
      </c>
      <c r="CK177" s="398">
        <f t="shared" si="1092"/>
        <v>0.8</v>
      </c>
      <c r="CL177" s="398">
        <f t="shared" ref="CL177:CP177" si="1093">CHOOSE(MASTERSWITCH,CL178,CL179,CL180)</f>
        <v>0.8</v>
      </c>
      <c r="CM177" s="398">
        <f t="shared" si="1093"/>
        <v>0.8</v>
      </c>
      <c r="CN177" s="398">
        <f t="shared" si="1093"/>
        <v>0.8</v>
      </c>
      <c r="CO177" s="398">
        <f t="shared" si="1093"/>
        <v>0.8</v>
      </c>
      <c r="CP177" s="398">
        <f t="shared" si="1093"/>
        <v>0.8</v>
      </c>
      <c r="CQ177" s="398">
        <f t="shared" ref="CQ177:CU177" si="1094">CHOOSE(MASTERSWITCH,CQ178,CQ179,CQ180)</f>
        <v>0.8</v>
      </c>
      <c r="CR177" s="398">
        <f t="shared" si="1094"/>
        <v>0.8</v>
      </c>
      <c r="CS177" s="398">
        <f t="shared" si="1094"/>
        <v>0.8</v>
      </c>
      <c r="CT177" s="398">
        <f t="shared" si="1094"/>
        <v>0.8</v>
      </c>
      <c r="CU177" s="398">
        <f t="shared" si="1094"/>
        <v>0.8</v>
      </c>
      <c r="CV177" s="398">
        <f t="shared" ref="CV177:CW177" si="1095">CHOOSE(MASTERSWITCH,CV178,CV179,CV180)</f>
        <v>0.8</v>
      </c>
      <c r="CW177" s="398">
        <f t="shared" si="1095"/>
        <v>0.8</v>
      </c>
      <c r="CX177" s="269"/>
      <c r="CY177" s="269"/>
      <c r="CZ177" s="269"/>
    </row>
    <row r="178" spans="1:106">
      <c r="A178" s="86" t="s">
        <v>571</v>
      </c>
      <c r="B178" s="392"/>
      <c r="C178" s="392"/>
      <c r="D178" s="392"/>
      <c r="E178" s="393"/>
      <c r="F178" s="51"/>
      <c r="G178" s="51" t="str">
        <f>Q_IS!G117</f>
        <v>NM</v>
      </c>
      <c r="H178" s="51" t="str">
        <f>Q_IS!H117</f>
        <v>NM</v>
      </c>
      <c r="I178" s="51" t="str">
        <f>Q_IS!I117</f>
        <v>NM</v>
      </c>
      <c r="J178" s="51" t="str">
        <f>Q_IS!J117</f>
        <v>NM</v>
      </c>
      <c r="K178" s="51" t="str">
        <f>Q_IS!K117</f>
        <v>NM</v>
      </c>
      <c r="L178" s="51" t="str">
        <f>Q_IS!L117</f>
        <v>NM</v>
      </c>
      <c r="M178" s="51" t="str">
        <f>Q_IS!M117</f>
        <v>NM</v>
      </c>
      <c r="N178" s="51" t="str">
        <f>Q_IS!N117</f>
        <v>NM</v>
      </c>
      <c r="O178" s="51" t="str">
        <f>Q_IS!O117</f>
        <v>NM</v>
      </c>
      <c r="P178" s="51" t="str">
        <f>Q_IS!P117</f>
        <v>NM</v>
      </c>
      <c r="Q178" s="51" t="str">
        <f>Q_IS!Q117</f>
        <v>NM</v>
      </c>
      <c r="R178" s="51" t="str">
        <f>Q_IS!R117</f>
        <v>NM</v>
      </c>
      <c r="S178" s="51" t="str">
        <f>Q_IS!S117</f>
        <v>NM</v>
      </c>
      <c r="T178" s="51" t="str">
        <f>Q_IS!T117</f>
        <v>NM</v>
      </c>
      <c r="U178" s="51" t="str">
        <f>Q_IS!U117</f>
        <v>NM</v>
      </c>
      <c r="V178" s="51" t="str">
        <f>Q_IS!V117</f>
        <v>NM</v>
      </c>
      <c r="W178" s="51" t="str">
        <f>Q_IS!W117</f>
        <v>NM</v>
      </c>
      <c r="X178" s="51" t="str">
        <f>Q_IS!X117</f>
        <v>NM</v>
      </c>
      <c r="Y178" s="51" t="str">
        <f>Q_IS!Y117</f>
        <v>NM</v>
      </c>
      <c r="Z178" s="51" t="str">
        <f>Q_IS!Z117</f>
        <v>NM</v>
      </c>
      <c r="AA178" s="51" t="str">
        <f>Q_IS!AA117</f>
        <v>NM</v>
      </c>
      <c r="AB178" s="51" t="str">
        <f>Q_IS!AB117</f>
        <v>NM</v>
      </c>
      <c r="AC178" s="51" t="str">
        <f>Q_IS!AC117</f>
        <v>NM</v>
      </c>
      <c r="AD178" s="51">
        <f>Q_IS!AD117</f>
        <v>1.5003686441886863</v>
      </c>
      <c r="AE178" s="51">
        <f>Q_IS!AE117</f>
        <v>0.26771411081688218</v>
      </c>
      <c r="AF178" s="51">
        <f>Q_IS!AF117</f>
        <v>0.54957309575067326</v>
      </c>
      <c r="AG178" s="51">
        <f>Q_IS!AG117</f>
        <v>0.99778276104172148</v>
      </c>
      <c r="AH178" s="51">
        <f>Q_IS!AH117</f>
        <v>0.22522779860850625</v>
      </c>
      <c r="AI178" s="51">
        <f>Q_IS!AI117</f>
        <v>0.80426357085749955</v>
      </c>
      <c r="AJ178" s="51">
        <f>Q_IS!AJ117</f>
        <v>0.92105358345393273</v>
      </c>
      <c r="AK178" s="51">
        <f>Q_IS!AK117</f>
        <v>0.67855882816067536</v>
      </c>
      <c r="AL178" s="51">
        <f>Q_IS!AL117</f>
        <v>4.4980499489907441E-2</v>
      </c>
      <c r="AM178" s="51">
        <f>Q_IS!AM117</f>
        <v>8.1215665524182787E-2</v>
      </c>
      <c r="AN178" s="51">
        <f>Q_IS!AN117</f>
        <v>0.40462548792111985</v>
      </c>
      <c r="AO178" s="51">
        <f>Q_IS!AO117</f>
        <v>0.59784462697947993</v>
      </c>
      <c r="AP178" s="51">
        <f>Q_IS!AP117</f>
        <v>1.6151448346739445</v>
      </c>
      <c r="AQ178" s="51">
        <f>Q_IS!AQ117</f>
        <v>0.94794929632370462</v>
      </c>
      <c r="AR178" s="51">
        <f>Q_IS!AR117</f>
        <v>1.0113100103384005</v>
      </c>
      <c r="AS178" s="51">
        <f>Q_IS!AS117</f>
        <v>0.9745253684607621</v>
      </c>
      <c r="AT178" s="51">
        <f>Q_IS!AT117</f>
        <v>-0.55861016996561907</v>
      </c>
      <c r="AU178" s="51">
        <f>Q_IS!AU117</f>
        <v>-59.182680612925516</v>
      </c>
      <c r="AV178" s="51">
        <f>Q_IS!AV117</f>
        <v>8.0681547937622522</v>
      </c>
      <c r="AW178" s="51">
        <f>Q_IS!AW117</f>
        <v>3.7538325090114708</v>
      </c>
      <c r="AX178" s="51">
        <f>Q_IS!AX117</f>
        <v>-6.0620301027401489</v>
      </c>
      <c r="AY178" s="51">
        <f>Q_IS!AY117</f>
        <v>-56.343550332272102</v>
      </c>
      <c r="AZ178" s="51">
        <f>Q_IS!AZ117</f>
        <v>-8.6094719135163214</v>
      </c>
      <c r="BA178" s="51">
        <f>Q_IS!BA117</f>
        <v>9.4038007984787093</v>
      </c>
      <c r="BB178" s="51">
        <f>Q_IS!BB117</f>
        <v>0.40769630529677037</v>
      </c>
      <c r="BC178" s="51">
        <f>Q_IS!BC117</f>
        <v>-0.22875813569030365</v>
      </c>
      <c r="BD178" s="51">
        <f>Q_IS!BD117</f>
        <v>3.9702219509694568E-2</v>
      </c>
      <c r="BE178" s="51">
        <f>Q_IS!BE117</f>
        <v>0.36657334886983933</v>
      </c>
      <c r="BF178" s="51">
        <f>Q_IS!BF117</f>
        <v>1.2238936818794763</v>
      </c>
      <c r="BG178" s="51">
        <f>Q_IS!BG117</f>
        <v>0.57841074005264737</v>
      </c>
      <c r="BH178" s="51">
        <f>Q_IS!BH117</f>
        <v>0.57809356907873155</v>
      </c>
      <c r="BI178" s="51">
        <f>Q_IS!BI117</f>
        <v>0.82330092463675564</v>
      </c>
      <c r="BJ178" s="51">
        <f>Q_IS!BJ117</f>
        <v>0.12846567585279101</v>
      </c>
      <c r="BK178" s="1812">
        <f>Q_IS!BK117</f>
        <v>0.69204576342978052</v>
      </c>
      <c r="BL178" s="45">
        <f t="shared" ref="BL178:BP178" si="1096">BL179+$CY178</f>
        <v>0.8</v>
      </c>
      <c r="BM178" s="45">
        <f t="shared" si="1096"/>
        <v>0.8</v>
      </c>
      <c r="BN178" s="45">
        <f t="shared" si="1096"/>
        <v>0.8</v>
      </c>
      <c r="BO178" s="45">
        <f t="shared" si="1096"/>
        <v>0.8</v>
      </c>
      <c r="BP178" s="45">
        <f t="shared" si="1096"/>
        <v>0.8</v>
      </c>
      <c r="BQ178" s="45">
        <f t="shared" ref="BQ178:BY178" si="1097">BQ179+$CY178</f>
        <v>0.8</v>
      </c>
      <c r="BR178" s="45">
        <f t="shared" si="1097"/>
        <v>0.8</v>
      </c>
      <c r="BS178" s="45">
        <f t="shared" si="1097"/>
        <v>0.8</v>
      </c>
      <c r="BT178" s="45">
        <f t="shared" si="1097"/>
        <v>0.8</v>
      </c>
      <c r="BU178" s="45">
        <f t="shared" si="1097"/>
        <v>0.8</v>
      </c>
      <c r="BV178" s="45">
        <f t="shared" si="1097"/>
        <v>0.8</v>
      </c>
      <c r="BW178" s="45">
        <f t="shared" si="1097"/>
        <v>0.8</v>
      </c>
      <c r="BX178" s="45">
        <f t="shared" si="1097"/>
        <v>0.8</v>
      </c>
      <c r="BY178" s="45">
        <f t="shared" si="1097"/>
        <v>0.8</v>
      </c>
      <c r="BZ178" s="45">
        <f t="shared" ref="BZ178:CU178" si="1098">BZ179+$CZ178</f>
        <v>0.8</v>
      </c>
      <c r="CA178" s="45">
        <f t="shared" si="1098"/>
        <v>0.8</v>
      </c>
      <c r="CB178" s="45">
        <f t="shared" si="1098"/>
        <v>0.8</v>
      </c>
      <c r="CC178" s="45">
        <f t="shared" si="1098"/>
        <v>0.8</v>
      </c>
      <c r="CD178" s="45">
        <f t="shared" si="1098"/>
        <v>0.8</v>
      </c>
      <c r="CE178" s="45">
        <f t="shared" si="1098"/>
        <v>0.8</v>
      </c>
      <c r="CF178" s="45">
        <f t="shared" si="1098"/>
        <v>0.8</v>
      </c>
      <c r="CG178" s="45">
        <f t="shared" si="1098"/>
        <v>0.8</v>
      </c>
      <c r="CH178" s="45">
        <f t="shared" si="1098"/>
        <v>0.8</v>
      </c>
      <c r="CI178" s="45">
        <f t="shared" si="1098"/>
        <v>0.8</v>
      </c>
      <c r="CJ178" s="45">
        <f t="shared" si="1098"/>
        <v>0.8</v>
      </c>
      <c r="CK178" s="45">
        <f t="shared" si="1098"/>
        <v>0.8</v>
      </c>
      <c r="CL178" s="45">
        <f t="shared" si="1098"/>
        <v>0.8</v>
      </c>
      <c r="CM178" s="45">
        <f t="shared" si="1098"/>
        <v>0.8</v>
      </c>
      <c r="CN178" s="45">
        <f t="shared" si="1098"/>
        <v>0.8</v>
      </c>
      <c r="CO178" s="45">
        <f t="shared" si="1098"/>
        <v>0.8</v>
      </c>
      <c r="CP178" s="45">
        <f t="shared" si="1098"/>
        <v>0.8</v>
      </c>
      <c r="CQ178" s="45">
        <f t="shared" si="1098"/>
        <v>0.8</v>
      </c>
      <c r="CR178" s="45">
        <f t="shared" si="1098"/>
        <v>0.8</v>
      </c>
      <c r="CS178" s="45">
        <f t="shared" si="1098"/>
        <v>0.8</v>
      </c>
      <c r="CT178" s="45">
        <f t="shared" si="1098"/>
        <v>0.8</v>
      </c>
      <c r="CU178" s="45">
        <f t="shared" si="1098"/>
        <v>0.8</v>
      </c>
      <c r="CV178" s="45">
        <f t="shared" ref="CV178:CW178" si="1099">CV179+$CZ178</f>
        <v>0.8</v>
      </c>
      <c r="CW178" s="45">
        <f t="shared" si="1099"/>
        <v>0.8</v>
      </c>
      <c r="CX178" s="269"/>
      <c r="CY178" s="559">
        <v>0</v>
      </c>
      <c r="CZ178" s="559">
        <v>0</v>
      </c>
    </row>
    <row r="179" spans="1:106">
      <c r="A179" s="86" t="s">
        <v>200</v>
      </c>
      <c r="B179" s="392"/>
      <c r="C179" s="392"/>
      <c r="D179" s="392"/>
      <c r="E179" s="394"/>
      <c r="F179" s="51"/>
      <c r="G179" s="51" t="str">
        <f t="shared" ref="G179:AA179" si="1100">G178</f>
        <v>NM</v>
      </c>
      <c r="H179" s="51" t="str">
        <f t="shared" si="1100"/>
        <v>NM</v>
      </c>
      <c r="I179" s="51" t="str">
        <f t="shared" si="1100"/>
        <v>NM</v>
      </c>
      <c r="J179" s="51" t="str">
        <f t="shared" si="1100"/>
        <v>NM</v>
      </c>
      <c r="K179" s="51" t="str">
        <f t="shared" si="1100"/>
        <v>NM</v>
      </c>
      <c r="L179" s="51" t="str">
        <f t="shared" si="1100"/>
        <v>NM</v>
      </c>
      <c r="M179" s="51" t="str">
        <f t="shared" si="1100"/>
        <v>NM</v>
      </c>
      <c r="N179" s="51" t="str">
        <f t="shared" si="1100"/>
        <v>NM</v>
      </c>
      <c r="O179" s="51" t="str">
        <f t="shared" si="1100"/>
        <v>NM</v>
      </c>
      <c r="P179" s="51" t="str">
        <f t="shared" si="1100"/>
        <v>NM</v>
      </c>
      <c r="Q179" s="51" t="str">
        <f t="shared" si="1100"/>
        <v>NM</v>
      </c>
      <c r="R179" s="51" t="str">
        <f t="shared" si="1100"/>
        <v>NM</v>
      </c>
      <c r="S179" s="51" t="str">
        <f t="shared" si="1100"/>
        <v>NM</v>
      </c>
      <c r="T179" s="51" t="str">
        <f t="shared" si="1100"/>
        <v>NM</v>
      </c>
      <c r="U179" s="51" t="str">
        <f t="shared" si="1100"/>
        <v>NM</v>
      </c>
      <c r="V179" s="51" t="str">
        <f t="shared" si="1100"/>
        <v>NM</v>
      </c>
      <c r="W179" s="51" t="str">
        <f t="shared" si="1100"/>
        <v>NM</v>
      </c>
      <c r="X179" s="51" t="str">
        <f t="shared" si="1100"/>
        <v>NM</v>
      </c>
      <c r="Y179" s="51" t="str">
        <f t="shared" si="1100"/>
        <v>NM</v>
      </c>
      <c r="Z179" s="51" t="str">
        <f t="shared" si="1100"/>
        <v>NM</v>
      </c>
      <c r="AA179" s="51" t="str">
        <f t="shared" si="1100"/>
        <v>NM</v>
      </c>
      <c r="AB179" s="51" t="str">
        <f t="shared" ref="AB179:AM179" si="1101">AB178</f>
        <v>NM</v>
      </c>
      <c r="AC179" s="51" t="str">
        <f t="shared" si="1101"/>
        <v>NM</v>
      </c>
      <c r="AD179" s="51">
        <f t="shared" si="1101"/>
        <v>1.5003686441886863</v>
      </c>
      <c r="AE179" s="51">
        <f t="shared" si="1101"/>
        <v>0.26771411081688218</v>
      </c>
      <c r="AF179" s="51">
        <f t="shared" si="1101"/>
        <v>0.54957309575067326</v>
      </c>
      <c r="AG179" s="51">
        <f t="shared" si="1101"/>
        <v>0.99778276104172148</v>
      </c>
      <c r="AH179" s="51">
        <f t="shared" si="1101"/>
        <v>0.22522779860850625</v>
      </c>
      <c r="AI179" s="51">
        <f t="shared" si="1101"/>
        <v>0.80426357085749955</v>
      </c>
      <c r="AJ179" s="51">
        <f t="shared" si="1101"/>
        <v>0.92105358345393273</v>
      </c>
      <c r="AK179" s="51">
        <f t="shared" si="1101"/>
        <v>0.67855882816067536</v>
      </c>
      <c r="AL179" s="51">
        <f t="shared" si="1101"/>
        <v>4.4980499489907441E-2</v>
      </c>
      <c r="AM179" s="51">
        <f t="shared" si="1101"/>
        <v>8.1215665524182787E-2</v>
      </c>
      <c r="AN179" s="51">
        <f t="shared" ref="AN179:AS179" si="1102">AN178</f>
        <v>0.40462548792111985</v>
      </c>
      <c r="AO179" s="51">
        <f t="shared" si="1102"/>
        <v>0.59784462697947993</v>
      </c>
      <c r="AP179" s="51">
        <f t="shared" si="1102"/>
        <v>1.6151448346739445</v>
      </c>
      <c r="AQ179" s="51">
        <f t="shared" si="1102"/>
        <v>0.94794929632370462</v>
      </c>
      <c r="AR179" s="51">
        <f t="shared" si="1102"/>
        <v>1.0113100103384005</v>
      </c>
      <c r="AS179" s="51">
        <f t="shared" si="1102"/>
        <v>0.9745253684607621</v>
      </c>
      <c r="AT179" s="51">
        <f t="shared" ref="AT179:BC179" si="1103">AT178</f>
        <v>-0.55861016996561907</v>
      </c>
      <c r="AU179" s="51">
        <f t="shared" si="1103"/>
        <v>-59.182680612925516</v>
      </c>
      <c r="AV179" s="51">
        <f t="shared" si="1103"/>
        <v>8.0681547937622522</v>
      </c>
      <c r="AW179" s="51">
        <f t="shared" si="1103"/>
        <v>3.7538325090114708</v>
      </c>
      <c r="AX179" s="51">
        <f t="shared" si="1103"/>
        <v>-6.0620301027401489</v>
      </c>
      <c r="AY179" s="51">
        <f t="shared" si="1103"/>
        <v>-56.343550332272102</v>
      </c>
      <c r="AZ179" s="51">
        <f t="shared" si="1103"/>
        <v>-8.6094719135163214</v>
      </c>
      <c r="BA179" s="51">
        <f t="shared" si="1103"/>
        <v>9.4038007984787093</v>
      </c>
      <c r="BB179" s="51">
        <f t="shared" si="1103"/>
        <v>0.40769630529677037</v>
      </c>
      <c r="BC179" s="51">
        <f t="shared" si="1103"/>
        <v>-0.22875813569030365</v>
      </c>
      <c r="BD179" s="51">
        <f t="shared" ref="BD179:BI179" si="1104">BD178</f>
        <v>3.9702219509694568E-2</v>
      </c>
      <c r="BE179" s="51">
        <f t="shared" si="1104"/>
        <v>0.36657334886983933</v>
      </c>
      <c r="BF179" s="51">
        <f t="shared" si="1104"/>
        <v>1.2238936818794763</v>
      </c>
      <c r="BG179" s="51">
        <f t="shared" si="1104"/>
        <v>0.57841074005264737</v>
      </c>
      <c r="BH179" s="51">
        <f t="shared" si="1104"/>
        <v>0.57809356907873155</v>
      </c>
      <c r="BI179" s="51">
        <f t="shared" si="1104"/>
        <v>0.82330092463675564</v>
      </c>
      <c r="BJ179" s="51">
        <f t="shared" ref="BJ179:BK179" si="1105">BJ178</f>
        <v>0.12846567585279101</v>
      </c>
      <c r="BK179" s="1812">
        <f t="shared" si="1105"/>
        <v>0.69204576342978052</v>
      </c>
      <c r="BL179" s="559">
        <v>0.8</v>
      </c>
      <c r="BM179" s="559">
        <v>0.8</v>
      </c>
      <c r="BN179" s="559">
        <v>0.8</v>
      </c>
      <c r="BO179" s="559">
        <v>0.8</v>
      </c>
      <c r="BP179" s="559">
        <v>0.8</v>
      </c>
      <c r="BQ179" s="559">
        <v>0.8</v>
      </c>
      <c r="BR179" s="559">
        <v>0.8</v>
      </c>
      <c r="BS179" s="559">
        <v>0.8</v>
      </c>
      <c r="BT179" s="559">
        <v>0.8</v>
      </c>
      <c r="BU179" s="559">
        <v>0.8</v>
      </c>
      <c r="BV179" s="559">
        <v>0.8</v>
      </c>
      <c r="BW179" s="559">
        <v>0.8</v>
      </c>
      <c r="BX179" s="559">
        <v>0.8</v>
      </c>
      <c r="BY179" s="559">
        <v>0.8</v>
      </c>
      <c r="BZ179" s="559">
        <v>0.8</v>
      </c>
      <c r="CA179" s="559">
        <v>0.8</v>
      </c>
      <c r="CB179" s="559">
        <v>0.8</v>
      </c>
      <c r="CC179" s="559">
        <v>0.8</v>
      </c>
      <c r="CD179" s="559">
        <v>0.8</v>
      </c>
      <c r="CE179" s="559">
        <v>0.8</v>
      </c>
      <c r="CF179" s="559">
        <v>0.8</v>
      </c>
      <c r="CG179" s="559">
        <v>0.8</v>
      </c>
      <c r="CH179" s="559">
        <v>0.8</v>
      </c>
      <c r="CI179" s="559">
        <v>0.8</v>
      </c>
      <c r="CJ179" s="559">
        <v>0.8</v>
      </c>
      <c r="CK179" s="559">
        <v>0.8</v>
      </c>
      <c r="CL179" s="559">
        <v>0.8</v>
      </c>
      <c r="CM179" s="559">
        <v>0.8</v>
      </c>
      <c r="CN179" s="559">
        <v>0.8</v>
      </c>
      <c r="CO179" s="559">
        <v>0.8</v>
      </c>
      <c r="CP179" s="559">
        <v>0.8</v>
      </c>
      <c r="CQ179" s="559">
        <v>0.8</v>
      </c>
      <c r="CR179" s="559">
        <v>0.8</v>
      </c>
      <c r="CS179" s="559">
        <v>0.8</v>
      </c>
      <c r="CT179" s="559">
        <v>0.8</v>
      </c>
      <c r="CU179" s="559">
        <v>0.8</v>
      </c>
      <c r="CV179" s="559">
        <v>0.8</v>
      </c>
      <c r="CW179" s="559">
        <v>0.8</v>
      </c>
      <c r="CX179" s="269"/>
    </row>
    <row r="180" spans="1:106">
      <c r="A180" s="86" t="s">
        <v>202</v>
      </c>
      <c r="B180" s="392"/>
      <c r="C180" s="392"/>
      <c r="D180" s="392"/>
      <c r="E180" s="394"/>
      <c r="F180" s="51"/>
      <c r="G180" s="51" t="str">
        <f t="shared" ref="G180:AA180" si="1106">G178</f>
        <v>NM</v>
      </c>
      <c r="H180" s="51" t="str">
        <f t="shared" si="1106"/>
        <v>NM</v>
      </c>
      <c r="I180" s="51" t="str">
        <f t="shared" si="1106"/>
        <v>NM</v>
      </c>
      <c r="J180" s="51" t="str">
        <f t="shared" si="1106"/>
        <v>NM</v>
      </c>
      <c r="K180" s="51" t="str">
        <f t="shared" si="1106"/>
        <v>NM</v>
      </c>
      <c r="L180" s="51" t="str">
        <f t="shared" si="1106"/>
        <v>NM</v>
      </c>
      <c r="M180" s="51" t="str">
        <f t="shared" si="1106"/>
        <v>NM</v>
      </c>
      <c r="N180" s="51" t="str">
        <f t="shared" si="1106"/>
        <v>NM</v>
      </c>
      <c r="O180" s="51" t="str">
        <f t="shared" si="1106"/>
        <v>NM</v>
      </c>
      <c r="P180" s="51" t="str">
        <f t="shared" si="1106"/>
        <v>NM</v>
      </c>
      <c r="Q180" s="51" t="str">
        <f t="shared" si="1106"/>
        <v>NM</v>
      </c>
      <c r="R180" s="51" t="str">
        <f t="shared" si="1106"/>
        <v>NM</v>
      </c>
      <c r="S180" s="51" t="str">
        <f t="shared" si="1106"/>
        <v>NM</v>
      </c>
      <c r="T180" s="51" t="str">
        <f t="shared" si="1106"/>
        <v>NM</v>
      </c>
      <c r="U180" s="51" t="str">
        <f t="shared" si="1106"/>
        <v>NM</v>
      </c>
      <c r="V180" s="51" t="str">
        <f t="shared" si="1106"/>
        <v>NM</v>
      </c>
      <c r="W180" s="51" t="str">
        <f t="shared" si="1106"/>
        <v>NM</v>
      </c>
      <c r="X180" s="51" t="str">
        <f t="shared" si="1106"/>
        <v>NM</v>
      </c>
      <c r="Y180" s="51" t="str">
        <f t="shared" si="1106"/>
        <v>NM</v>
      </c>
      <c r="Z180" s="51" t="str">
        <f t="shared" si="1106"/>
        <v>NM</v>
      </c>
      <c r="AA180" s="51" t="str">
        <f t="shared" si="1106"/>
        <v>NM</v>
      </c>
      <c r="AB180" s="51" t="str">
        <f t="shared" ref="AB180:AM180" si="1107">AB178</f>
        <v>NM</v>
      </c>
      <c r="AC180" s="51" t="str">
        <f t="shared" si="1107"/>
        <v>NM</v>
      </c>
      <c r="AD180" s="51">
        <f t="shared" si="1107"/>
        <v>1.5003686441886863</v>
      </c>
      <c r="AE180" s="51">
        <f t="shared" si="1107"/>
        <v>0.26771411081688218</v>
      </c>
      <c r="AF180" s="51">
        <f t="shared" si="1107"/>
        <v>0.54957309575067326</v>
      </c>
      <c r="AG180" s="51">
        <f t="shared" si="1107"/>
        <v>0.99778276104172148</v>
      </c>
      <c r="AH180" s="51">
        <f t="shared" si="1107"/>
        <v>0.22522779860850625</v>
      </c>
      <c r="AI180" s="51">
        <f t="shared" si="1107"/>
        <v>0.80426357085749955</v>
      </c>
      <c r="AJ180" s="51">
        <f t="shared" si="1107"/>
        <v>0.92105358345393273</v>
      </c>
      <c r="AK180" s="51">
        <f t="shared" si="1107"/>
        <v>0.67855882816067536</v>
      </c>
      <c r="AL180" s="51">
        <f t="shared" si="1107"/>
        <v>4.4980499489907441E-2</v>
      </c>
      <c r="AM180" s="51">
        <f t="shared" si="1107"/>
        <v>8.1215665524182787E-2</v>
      </c>
      <c r="AN180" s="51">
        <f t="shared" ref="AN180:AS180" si="1108">AN178</f>
        <v>0.40462548792111985</v>
      </c>
      <c r="AO180" s="51">
        <f t="shared" si="1108"/>
        <v>0.59784462697947993</v>
      </c>
      <c r="AP180" s="51">
        <f t="shared" si="1108"/>
        <v>1.6151448346739445</v>
      </c>
      <c r="AQ180" s="51">
        <f t="shared" si="1108"/>
        <v>0.94794929632370462</v>
      </c>
      <c r="AR180" s="51">
        <f t="shared" si="1108"/>
        <v>1.0113100103384005</v>
      </c>
      <c r="AS180" s="51">
        <f t="shared" si="1108"/>
        <v>0.9745253684607621</v>
      </c>
      <c r="AT180" s="51">
        <f t="shared" ref="AT180:BC180" si="1109">AT178</f>
        <v>-0.55861016996561907</v>
      </c>
      <c r="AU180" s="51">
        <f t="shared" si="1109"/>
        <v>-59.182680612925516</v>
      </c>
      <c r="AV180" s="51">
        <f t="shared" si="1109"/>
        <v>8.0681547937622522</v>
      </c>
      <c r="AW180" s="51">
        <f t="shared" si="1109"/>
        <v>3.7538325090114708</v>
      </c>
      <c r="AX180" s="51">
        <f t="shared" si="1109"/>
        <v>-6.0620301027401489</v>
      </c>
      <c r="AY180" s="51">
        <f t="shared" si="1109"/>
        <v>-56.343550332272102</v>
      </c>
      <c r="AZ180" s="51">
        <f t="shared" si="1109"/>
        <v>-8.6094719135163214</v>
      </c>
      <c r="BA180" s="51">
        <f t="shared" si="1109"/>
        <v>9.4038007984787093</v>
      </c>
      <c r="BB180" s="51">
        <f t="shared" si="1109"/>
        <v>0.40769630529677037</v>
      </c>
      <c r="BC180" s="51">
        <f t="shared" si="1109"/>
        <v>-0.22875813569030365</v>
      </c>
      <c r="BD180" s="51">
        <f t="shared" ref="BD180:BI180" si="1110">BD178</f>
        <v>3.9702219509694568E-2</v>
      </c>
      <c r="BE180" s="51">
        <f t="shared" si="1110"/>
        <v>0.36657334886983933</v>
      </c>
      <c r="BF180" s="51">
        <f t="shared" si="1110"/>
        <v>1.2238936818794763</v>
      </c>
      <c r="BG180" s="51">
        <f t="shared" si="1110"/>
        <v>0.57841074005264737</v>
      </c>
      <c r="BH180" s="51">
        <f t="shared" si="1110"/>
        <v>0.57809356907873155</v>
      </c>
      <c r="BI180" s="51">
        <f t="shared" si="1110"/>
        <v>0.82330092463675564</v>
      </c>
      <c r="BJ180" s="51">
        <f t="shared" ref="BJ180:BK180" si="1111">BJ178</f>
        <v>0.12846567585279101</v>
      </c>
      <c r="BK180" s="1812">
        <f t="shared" si="1111"/>
        <v>0.69204576342978052</v>
      </c>
      <c r="BL180" s="45">
        <f t="shared" ref="BL180:BP180" si="1112">BL179+$CY180</f>
        <v>0.8</v>
      </c>
      <c r="BM180" s="45">
        <f t="shared" si="1112"/>
        <v>0.8</v>
      </c>
      <c r="BN180" s="45">
        <f t="shared" si="1112"/>
        <v>0.8</v>
      </c>
      <c r="BO180" s="45">
        <f t="shared" si="1112"/>
        <v>0.8</v>
      </c>
      <c r="BP180" s="45">
        <f t="shared" si="1112"/>
        <v>0.8</v>
      </c>
      <c r="BQ180" s="45">
        <f t="shared" ref="BQ180:BY180" si="1113">BQ179+$CY180</f>
        <v>0.8</v>
      </c>
      <c r="BR180" s="45">
        <f t="shared" si="1113"/>
        <v>0.8</v>
      </c>
      <c r="BS180" s="45">
        <f t="shared" si="1113"/>
        <v>0.8</v>
      </c>
      <c r="BT180" s="45">
        <f t="shared" si="1113"/>
        <v>0.8</v>
      </c>
      <c r="BU180" s="45">
        <f t="shared" si="1113"/>
        <v>0.8</v>
      </c>
      <c r="BV180" s="45">
        <f t="shared" si="1113"/>
        <v>0.8</v>
      </c>
      <c r="BW180" s="45">
        <f t="shared" si="1113"/>
        <v>0.8</v>
      </c>
      <c r="BX180" s="45">
        <f t="shared" si="1113"/>
        <v>0.8</v>
      </c>
      <c r="BY180" s="45">
        <f t="shared" si="1113"/>
        <v>0.8</v>
      </c>
      <c r="BZ180" s="45">
        <f t="shared" ref="BZ180:CU180" si="1114">BZ179+$CZ180</f>
        <v>0.8</v>
      </c>
      <c r="CA180" s="45">
        <f t="shared" si="1114"/>
        <v>0.8</v>
      </c>
      <c r="CB180" s="45">
        <f t="shared" si="1114"/>
        <v>0.8</v>
      </c>
      <c r="CC180" s="45">
        <f t="shared" si="1114"/>
        <v>0.8</v>
      </c>
      <c r="CD180" s="45">
        <f t="shared" si="1114"/>
        <v>0.8</v>
      </c>
      <c r="CE180" s="45">
        <f t="shared" si="1114"/>
        <v>0.8</v>
      </c>
      <c r="CF180" s="45">
        <f t="shared" si="1114"/>
        <v>0.8</v>
      </c>
      <c r="CG180" s="45">
        <f t="shared" si="1114"/>
        <v>0.8</v>
      </c>
      <c r="CH180" s="45">
        <f t="shared" si="1114"/>
        <v>0.8</v>
      </c>
      <c r="CI180" s="45">
        <f t="shared" si="1114"/>
        <v>0.8</v>
      </c>
      <c r="CJ180" s="45">
        <f t="shared" si="1114"/>
        <v>0.8</v>
      </c>
      <c r="CK180" s="45">
        <f t="shared" si="1114"/>
        <v>0.8</v>
      </c>
      <c r="CL180" s="45">
        <f t="shared" si="1114"/>
        <v>0.8</v>
      </c>
      <c r="CM180" s="45">
        <f t="shared" si="1114"/>
        <v>0.8</v>
      </c>
      <c r="CN180" s="45">
        <f t="shared" si="1114"/>
        <v>0.8</v>
      </c>
      <c r="CO180" s="45">
        <f t="shared" si="1114"/>
        <v>0.8</v>
      </c>
      <c r="CP180" s="45">
        <f t="shared" si="1114"/>
        <v>0.8</v>
      </c>
      <c r="CQ180" s="45">
        <f t="shared" si="1114"/>
        <v>0.8</v>
      </c>
      <c r="CR180" s="45">
        <f t="shared" si="1114"/>
        <v>0.8</v>
      </c>
      <c r="CS180" s="45">
        <f t="shared" si="1114"/>
        <v>0.8</v>
      </c>
      <c r="CT180" s="45">
        <f t="shared" si="1114"/>
        <v>0.8</v>
      </c>
      <c r="CU180" s="45">
        <f t="shared" si="1114"/>
        <v>0.8</v>
      </c>
      <c r="CV180" s="45">
        <f t="shared" ref="CV180:CW180" si="1115">CV179+$CZ180</f>
        <v>0.8</v>
      </c>
      <c r="CW180" s="45">
        <f t="shared" si="1115"/>
        <v>0.8</v>
      </c>
      <c r="CX180" s="269"/>
      <c r="CY180" s="559">
        <v>0</v>
      </c>
      <c r="CZ180" s="559">
        <v>0</v>
      </c>
    </row>
    <row r="181" spans="1:106">
      <c r="A181" s="91"/>
      <c r="B181" s="388"/>
      <c r="C181" s="388"/>
      <c r="D181" s="388"/>
      <c r="E181" s="388"/>
      <c r="F181" s="388"/>
      <c r="G181" s="388"/>
      <c r="H181" s="388"/>
      <c r="I181" s="269"/>
      <c r="J181" s="388"/>
      <c r="K181" s="388"/>
      <c r="L181" s="388"/>
      <c r="M181" s="269"/>
      <c r="N181" s="269"/>
      <c r="O181" s="269"/>
      <c r="P181" s="269"/>
      <c r="Q181" s="269"/>
      <c r="R181" s="269"/>
      <c r="S181" s="390"/>
      <c r="T181" s="390"/>
      <c r="U181" s="390"/>
      <c r="V181" s="390"/>
      <c r="W181" s="390"/>
      <c r="X181" s="390"/>
      <c r="Y181" s="390"/>
      <c r="Z181" s="390"/>
      <c r="AA181" s="390"/>
      <c r="AB181" s="390"/>
      <c r="AC181" s="390"/>
      <c r="AD181" s="390"/>
      <c r="AE181" s="390"/>
      <c r="AF181" s="390"/>
      <c r="AG181" s="390"/>
      <c r="AH181" s="390"/>
      <c r="AI181" s="390"/>
      <c r="AJ181" s="390"/>
      <c r="AK181" s="390"/>
      <c r="AL181" s="390"/>
      <c r="AM181" s="269"/>
      <c r="AN181" s="269"/>
      <c r="AO181" s="269"/>
      <c r="AP181" s="269"/>
      <c r="AQ181" s="269"/>
      <c r="AR181" s="269"/>
      <c r="AS181" s="269"/>
      <c r="AT181" s="269"/>
      <c r="AU181" s="269"/>
      <c r="AV181" s="269"/>
      <c r="AW181" s="269"/>
      <c r="AX181" s="269"/>
      <c r="AY181" s="269"/>
      <c r="AZ181" s="269"/>
      <c r="BA181" s="269"/>
      <c r="BB181" s="269"/>
      <c r="BC181" s="269"/>
      <c r="BD181" s="269"/>
      <c r="BE181" s="269"/>
      <c r="BF181" s="269"/>
      <c r="BG181" s="269"/>
      <c r="BH181" s="269"/>
      <c r="BI181" s="269"/>
      <c r="BJ181" s="269"/>
      <c r="BK181" s="1835"/>
      <c r="BL181" s="339"/>
      <c r="BM181" s="339"/>
      <c r="BN181" s="339"/>
      <c r="BO181" s="339"/>
      <c r="BP181" s="339"/>
      <c r="BQ181" s="339"/>
      <c r="BR181" s="339"/>
      <c r="BS181" s="339"/>
      <c r="BT181" s="339"/>
      <c r="BU181" s="339"/>
      <c r="BV181" s="339"/>
      <c r="BW181" s="339"/>
      <c r="BX181" s="339"/>
      <c r="BY181" s="339"/>
      <c r="BZ181" s="339"/>
      <c r="CA181" s="339"/>
      <c r="CB181" s="339"/>
      <c r="CC181" s="339"/>
      <c r="CD181" s="339"/>
      <c r="CE181" s="339"/>
      <c r="CF181" s="339"/>
      <c r="CG181" s="339"/>
      <c r="CH181" s="339"/>
      <c r="CI181" s="339"/>
      <c r="CJ181" s="339"/>
      <c r="CK181" s="339"/>
      <c r="CL181" s="339"/>
      <c r="CM181" s="339"/>
      <c r="CN181" s="339"/>
      <c r="CO181" s="339"/>
      <c r="CP181" s="339"/>
      <c r="CQ181" s="339"/>
      <c r="CR181" s="339"/>
      <c r="CS181" s="339"/>
      <c r="CT181" s="339"/>
      <c r="CU181" s="339"/>
      <c r="CV181" s="339"/>
      <c r="CW181" s="339"/>
      <c r="CX181" s="269"/>
      <c r="CY181" s="269"/>
      <c r="CZ181" s="269"/>
    </row>
    <row r="182" spans="1:106">
      <c r="A182" s="691" t="s">
        <v>939</v>
      </c>
      <c r="B182" s="388"/>
      <c r="C182" s="388"/>
      <c r="D182" s="388"/>
      <c r="E182" s="38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269"/>
      <c r="AN182" s="269"/>
      <c r="AO182" s="269"/>
      <c r="AP182" s="269"/>
      <c r="AQ182" s="269"/>
      <c r="AR182" s="269"/>
      <c r="AS182" s="269"/>
      <c r="AT182" s="269"/>
      <c r="AU182" s="269"/>
      <c r="AV182" s="269"/>
      <c r="AW182" s="269"/>
      <c r="AX182" s="269"/>
      <c r="AY182" s="269"/>
      <c r="AZ182" s="269"/>
      <c r="BA182" s="269"/>
      <c r="BB182" s="269"/>
      <c r="BC182" s="269"/>
      <c r="BD182" s="269"/>
      <c r="BE182" s="269"/>
      <c r="BF182" s="269"/>
      <c r="BG182" s="269"/>
      <c r="BH182" s="269"/>
      <c r="BI182" s="269"/>
      <c r="BJ182" s="269"/>
      <c r="BK182" s="1835"/>
      <c r="BL182" s="45"/>
      <c r="BM182" s="45"/>
      <c r="BN182" s="45"/>
      <c r="BO182" s="45"/>
      <c r="BP182" s="45"/>
      <c r="BQ182" s="45"/>
      <c r="BR182" s="45"/>
      <c r="BS182" s="45"/>
      <c r="BT182" s="45"/>
      <c r="BU182" s="45"/>
      <c r="BV182" s="45"/>
      <c r="BW182" s="45"/>
      <c r="BX182" s="45"/>
      <c r="BY182" s="45"/>
      <c r="BZ182" s="45"/>
      <c r="CA182" s="45"/>
      <c r="CB182" s="45"/>
      <c r="CC182" s="45"/>
      <c r="CD182" s="45"/>
      <c r="CE182" s="45"/>
      <c r="CF182" s="45"/>
      <c r="CG182" s="45"/>
      <c r="CH182" s="45"/>
      <c r="CI182" s="45"/>
      <c r="CJ182" s="45"/>
      <c r="CK182" s="45"/>
      <c r="CL182" s="45"/>
      <c r="CM182" s="45"/>
      <c r="CN182" s="45"/>
      <c r="CO182" s="45"/>
      <c r="CP182" s="45"/>
      <c r="CQ182" s="45"/>
      <c r="CR182" s="45"/>
      <c r="CS182" s="45"/>
      <c r="CT182" s="45"/>
      <c r="CU182" s="45"/>
      <c r="CV182" s="45"/>
      <c r="CW182" s="45"/>
      <c r="CX182" s="269"/>
      <c r="CY182" s="269"/>
      <c r="CZ182" s="269"/>
    </row>
    <row r="183" spans="1:106">
      <c r="A183" s="694" t="s">
        <v>959</v>
      </c>
      <c r="B183" s="397"/>
      <c r="C183" s="397"/>
      <c r="D183" s="397"/>
      <c r="E183" s="397"/>
      <c r="F183" s="690">
        <f t="shared" ref="F183:BQ183" si="1116">CHOOSE(MASTERSWITCH,F184,F185,F186)</f>
        <v>0</v>
      </c>
      <c r="G183" s="690" t="str">
        <f t="shared" si="1116"/>
        <v>NM</v>
      </c>
      <c r="H183" s="690" t="str">
        <f t="shared" si="1116"/>
        <v>NM</v>
      </c>
      <c r="I183" s="690" t="str">
        <f t="shared" si="1116"/>
        <v>NM</v>
      </c>
      <c r="J183" s="690" t="str">
        <f t="shared" si="1116"/>
        <v>NM</v>
      </c>
      <c r="K183" s="690" t="str">
        <f t="shared" si="1116"/>
        <v>NM</v>
      </c>
      <c r="L183" s="690" t="str">
        <f t="shared" si="1116"/>
        <v>NM</v>
      </c>
      <c r="M183" s="690" t="str">
        <f t="shared" si="1116"/>
        <v>NM</v>
      </c>
      <c r="N183" s="690" t="str">
        <f t="shared" si="1116"/>
        <v>NM</v>
      </c>
      <c r="O183" s="690" t="str">
        <f t="shared" si="1116"/>
        <v>NM</v>
      </c>
      <c r="P183" s="690" t="str">
        <f t="shared" si="1116"/>
        <v>NM</v>
      </c>
      <c r="Q183" s="690" t="str">
        <f t="shared" si="1116"/>
        <v>NM</v>
      </c>
      <c r="R183" s="690" t="str">
        <f t="shared" si="1116"/>
        <v>NM</v>
      </c>
      <c r="S183" s="690" t="str">
        <f t="shared" si="1116"/>
        <v>NM</v>
      </c>
      <c r="T183" s="690" t="str">
        <f t="shared" si="1116"/>
        <v>NM</v>
      </c>
      <c r="U183" s="397" t="str">
        <f t="shared" si="1116"/>
        <v>NM</v>
      </c>
      <c r="V183" s="397" t="str">
        <f t="shared" si="1116"/>
        <v>NM</v>
      </c>
      <c r="W183" s="397" t="str">
        <f t="shared" si="1116"/>
        <v>NM</v>
      </c>
      <c r="X183" s="397" t="str">
        <f t="shared" si="1116"/>
        <v>NM</v>
      </c>
      <c r="Y183" s="397" t="str">
        <f t="shared" si="1116"/>
        <v>NM</v>
      </c>
      <c r="Z183" s="397" t="str">
        <f t="shared" si="1116"/>
        <v>NM</v>
      </c>
      <c r="AA183" s="397" t="str">
        <f t="shared" si="1116"/>
        <v>NM</v>
      </c>
      <c r="AB183" s="397" t="str">
        <f t="shared" si="1116"/>
        <v>NM</v>
      </c>
      <c r="AC183" s="397">
        <f t="shared" si="1116"/>
        <v>-0.45242458413738251</v>
      </c>
      <c r="AD183" s="397">
        <f t="shared" si="1116"/>
        <v>0.28332832486460902</v>
      </c>
      <c r="AE183" s="397">
        <f t="shared" si="1116"/>
        <v>0.27361034471958123</v>
      </c>
      <c r="AF183" s="397">
        <f t="shared" si="1116"/>
        <v>0.21724938446449849</v>
      </c>
      <c r="AG183" s="397">
        <f t="shared" si="1116"/>
        <v>0.20937434762139384</v>
      </c>
      <c r="AH183" s="397">
        <f t="shared" si="1116"/>
        <v>4.6615780007036811E-2</v>
      </c>
      <c r="AI183" s="397">
        <f t="shared" si="1116"/>
        <v>8.9008415549927111E-3</v>
      </c>
      <c r="AJ183" s="397">
        <f t="shared" si="1116"/>
        <v>1.3698267198330116E-2</v>
      </c>
      <c r="AK183" s="397">
        <f t="shared" si="1116"/>
        <v>3.7634205982199687E-2</v>
      </c>
      <c r="AL183" s="397">
        <f t="shared" si="1116"/>
        <v>8.9114462758148383E-2</v>
      </c>
      <c r="AM183" s="397">
        <f t="shared" si="1116"/>
        <v>8.0025719941091644E-2</v>
      </c>
      <c r="AN183" s="397">
        <f t="shared" ref="AN183:AS183" si="1117">CHOOSE(MASTERSWITCH,AN184,AN185,AN186)</f>
        <v>4.4748895867472216E-2</v>
      </c>
      <c r="AO183" s="397">
        <f t="shared" si="1117"/>
        <v>-2.0434339945484714E-2</v>
      </c>
      <c r="AP183" s="397">
        <f t="shared" si="1117"/>
        <v>0.20515319804129351</v>
      </c>
      <c r="AQ183" s="397">
        <f t="shared" si="1117"/>
        <v>-1.0831705866413799E-2</v>
      </c>
      <c r="AR183" s="397">
        <f t="shared" si="1117"/>
        <v>-5.5896721535659832E-3</v>
      </c>
      <c r="AS183" s="397">
        <f t="shared" si="1117"/>
        <v>-2.8861596709887749E-2</v>
      </c>
      <c r="AT183" s="397">
        <f t="shared" ref="AT183:BC183" si="1118">CHOOSE(MASTERSWITCH,AT184,AT185,AT186)</f>
        <v>-0.40423447468806595</v>
      </c>
      <c r="AU183" s="397">
        <f t="shared" si="1118"/>
        <v>-0.68913347288085391</v>
      </c>
      <c r="AV183" s="397">
        <f t="shared" si="1118"/>
        <v>-0.21536437551590348</v>
      </c>
      <c r="AW183" s="397">
        <f t="shared" si="1118"/>
        <v>-0.27903637406625359</v>
      </c>
      <c r="AX183" s="397">
        <f t="shared" si="1118"/>
        <v>-0.13112790258920137</v>
      </c>
      <c r="AY183" s="397">
        <f t="shared" si="1118"/>
        <v>1.659259912492149</v>
      </c>
      <c r="AZ183" s="397">
        <f t="shared" si="1118"/>
        <v>0.20018982719303069</v>
      </c>
      <c r="BA183" s="397">
        <f t="shared" si="1118"/>
        <v>0.44236636196296431</v>
      </c>
      <c r="BB183" s="397">
        <f t="shared" si="1118"/>
        <v>0.44860268147635529</v>
      </c>
      <c r="BC183" s="397">
        <f t="shared" si="1118"/>
        <v>0.22435927498490216</v>
      </c>
      <c r="BD183" s="397">
        <f t="shared" ref="BD183:BI183" si="1119">CHOOSE(MASTERSWITCH,BD184,BD185,BD186)</f>
        <v>7.7543352858316261E-2</v>
      </c>
      <c r="BE183" s="397">
        <f t="shared" si="1119"/>
        <v>-2.9957845233176128E-2</v>
      </c>
      <c r="BF183" s="397">
        <f t="shared" si="1119"/>
        <v>2.2796795440760409E-2</v>
      </c>
      <c r="BG183" s="397">
        <f t="shared" si="1119"/>
        <v>-5.2478040295212969E-3</v>
      </c>
      <c r="BH183" s="397">
        <f t="shared" si="1119"/>
        <v>-1.1769857611575563E-2</v>
      </c>
      <c r="BI183" s="397">
        <f t="shared" si="1119"/>
        <v>-2.1779874695769808E-2</v>
      </c>
      <c r="BJ183" s="397">
        <f t="shared" ref="BJ183:BK183" si="1120">CHOOSE(MASTERSWITCH,BJ184,BJ185,BJ186)</f>
        <v>-7.1047929761765327E-2</v>
      </c>
      <c r="BK183" s="1824">
        <f t="shared" si="1120"/>
        <v>-7.1224313160058839E-2</v>
      </c>
      <c r="BL183" s="398">
        <f t="shared" si="1116"/>
        <v>0.01</v>
      </c>
      <c r="BM183" s="398">
        <f t="shared" si="1116"/>
        <v>1.9200000000000002E-2</v>
      </c>
      <c r="BN183" s="398">
        <f t="shared" si="1116"/>
        <v>2.2000000000000002E-2</v>
      </c>
      <c r="BO183" s="398">
        <f t="shared" si="1116"/>
        <v>2.2000000000000002E-2</v>
      </c>
      <c r="BP183" s="398">
        <f t="shared" si="1116"/>
        <v>2.1000000000000001E-2</v>
      </c>
      <c r="BQ183" s="398">
        <f t="shared" si="1116"/>
        <v>2.1000000000000001E-2</v>
      </c>
      <c r="BR183" s="398">
        <f t="shared" ref="BR183:CK183" si="1121">CHOOSE(MASTERSWITCH,BR184,BR185,BR186)</f>
        <v>2.1000000000000001E-2</v>
      </c>
      <c r="BS183" s="398">
        <f t="shared" si="1121"/>
        <v>2.1000000000000001E-2</v>
      </c>
      <c r="BT183" s="398">
        <f t="shared" si="1121"/>
        <v>2.1000000000000001E-2</v>
      </c>
      <c r="BU183" s="398">
        <f t="shared" si="1121"/>
        <v>2.1000000000000001E-2</v>
      </c>
      <c r="BV183" s="398">
        <f t="shared" si="1121"/>
        <v>2.1000000000000001E-2</v>
      </c>
      <c r="BW183" s="398">
        <f t="shared" si="1121"/>
        <v>2.1000000000000001E-2</v>
      </c>
      <c r="BX183" s="398">
        <f t="shared" si="1121"/>
        <v>2.1000000000000001E-2</v>
      </c>
      <c r="BY183" s="398">
        <f t="shared" si="1121"/>
        <v>2.1000000000000001E-2</v>
      </c>
      <c r="BZ183" s="398">
        <f t="shared" si="1121"/>
        <v>1.9949999999999999E-2</v>
      </c>
      <c r="CA183" s="398">
        <f t="shared" si="1121"/>
        <v>1.9949999999999999E-2</v>
      </c>
      <c r="CB183" s="398">
        <f t="shared" si="1121"/>
        <v>1.9949999999999999E-2</v>
      </c>
      <c r="CC183" s="398">
        <f t="shared" si="1121"/>
        <v>1.9949999999999999E-2</v>
      </c>
      <c r="CD183" s="398">
        <f t="shared" si="1121"/>
        <v>1.9949999999999999E-2</v>
      </c>
      <c r="CE183" s="398">
        <f t="shared" si="1121"/>
        <v>1.9949999999999999E-2</v>
      </c>
      <c r="CF183" s="398">
        <f t="shared" si="1121"/>
        <v>1.9949999999999999E-2</v>
      </c>
      <c r="CG183" s="398">
        <f t="shared" si="1121"/>
        <v>1.9949999999999999E-2</v>
      </c>
      <c r="CH183" s="398">
        <f t="shared" si="1121"/>
        <v>1.9949999999999999E-2</v>
      </c>
      <c r="CI183" s="398">
        <f t="shared" si="1121"/>
        <v>1.9949999999999999E-2</v>
      </c>
      <c r="CJ183" s="398">
        <f t="shared" si="1121"/>
        <v>1.9949999999999999E-2</v>
      </c>
      <c r="CK183" s="398">
        <f t="shared" si="1121"/>
        <v>1.9949999999999999E-2</v>
      </c>
      <c r="CL183" s="398">
        <f t="shared" ref="CL183:CP183" si="1122">CHOOSE(MASTERSWITCH,CL184,CL185,CL186)</f>
        <v>1.9949999999999999E-2</v>
      </c>
      <c r="CM183" s="398">
        <f t="shared" si="1122"/>
        <v>1.9949999999999999E-2</v>
      </c>
      <c r="CN183" s="398">
        <f t="shared" si="1122"/>
        <v>1.9949999999999999E-2</v>
      </c>
      <c r="CO183" s="398">
        <f t="shared" si="1122"/>
        <v>1.9949999999999999E-2</v>
      </c>
      <c r="CP183" s="398">
        <f t="shared" si="1122"/>
        <v>1.9949999999999999E-2</v>
      </c>
      <c r="CQ183" s="398">
        <f t="shared" ref="CQ183:CU183" si="1123">CHOOSE(MASTERSWITCH,CQ184,CQ185,CQ186)</f>
        <v>1.9949999999999999E-2</v>
      </c>
      <c r="CR183" s="398">
        <f t="shared" si="1123"/>
        <v>1.9949999999999999E-2</v>
      </c>
      <c r="CS183" s="398">
        <f t="shared" si="1123"/>
        <v>1.9949999999999999E-2</v>
      </c>
      <c r="CT183" s="398">
        <f t="shared" si="1123"/>
        <v>1.9949999999999999E-2</v>
      </c>
      <c r="CU183" s="398">
        <f t="shared" si="1123"/>
        <v>1.9949999999999999E-2</v>
      </c>
      <c r="CV183" s="398">
        <f t="shared" ref="CV183:CW183" si="1124">CHOOSE(MASTERSWITCH,CV184,CV185,CV186)</f>
        <v>1.9949999999999999E-2</v>
      </c>
      <c r="CW183" s="398">
        <f t="shared" si="1124"/>
        <v>1.9949999999999999E-2</v>
      </c>
      <c r="CX183" s="269"/>
      <c r="CY183" s="269"/>
      <c r="CZ183" s="269"/>
    </row>
    <row r="184" spans="1:106">
      <c r="A184" s="695" t="s">
        <v>571</v>
      </c>
      <c r="B184" s="392"/>
      <c r="C184" s="392"/>
      <c r="D184" s="392"/>
      <c r="E184" s="393"/>
      <c r="F184" s="51" t="str">
        <f>Q_IS!F99</f>
        <v>NM</v>
      </c>
      <c r="G184" s="51" t="str">
        <f>Q_IS!G99</f>
        <v>NM</v>
      </c>
      <c r="H184" s="51" t="str">
        <f>Q_IS!H99</f>
        <v>NM</v>
      </c>
      <c r="I184" s="51" t="str">
        <f>Q_IS!I99</f>
        <v>NM</v>
      </c>
      <c r="J184" s="51" t="str">
        <f>Q_IS!J99</f>
        <v>NM</v>
      </c>
      <c r="K184" s="51" t="str">
        <f>Q_IS!K99</f>
        <v>NM</v>
      </c>
      <c r="L184" s="51" t="str">
        <f>Q_IS!L99</f>
        <v>NM</v>
      </c>
      <c r="M184" s="51" t="str">
        <f>Q_IS!M99</f>
        <v>NM</v>
      </c>
      <c r="N184" s="51" t="str">
        <f>Q_IS!N99</f>
        <v>NM</v>
      </c>
      <c r="O184" s="51" t="str">
        <f>Q_IS!O99</f>
        <v>NM</v>
      </c>
      <c r="P184" s="51" t="str">
        <f>Q_IS!P99</f>
        <v>NM</v>
      </c>
      <c r="Q184" s="51" t="str">
        <f>Q_IS!Q99</f>
        <v>NM</v>
      </c>
      <c r="R184" s="51" t="str">
        <f>Q_IS!R99</f>
        <v>NM</v>
      </c>
      <c r="S184" s="51" t="str">
        <f>Q_IS!S99</f>
        <v>NM</v>
      </c>
      <c r="T184" s="51" t="str">
        <f>Q_IS!T99</f>
        <v>NM</v>
      </c>
      <c r="U184" s="38" t="str">
        <f>Q_IS!U99</f>
        <v>NM</v>
      </c>
      <c r="V184" s="38" t="str">
        <f>Q_IS!V99</f>
        <v>NM</v>
      </c>
      <c r="W184" s="38" t="str">
        <f>Q_IS!W99</f>
        <v>NM</v>
      </c>
      <c r="X184" s="38" t="str">
        <f>Q_IS!X99</f>
        <v>NM</v>
      </c>
      <c r="Y184" s="38" t="str">
        <f>Q_IS!Y99</f>
        <v>NM</v>
      </c>
      <c r="Z184" s="38" t="str">
        <f>Q_IS!Z99</f>
        <v>NM</v>
      </c>
      <c r="AA184" s="38" t="str">
        <f>Q_IS!AA99</f>
        <v>NM</v>
      </c>
      <c r="AB184" s="38" t="str">
        <f>Q_IS!AB99</f>
        <v>NM</v>
      </c>
      <c r="AC184" s="38">
        <f>Q_IS!AC99</f>
        <v>-0.45242458413738251</v>
      </c>
      <c r="AD184" s="38">
        <f>Q_IS!AD99</f>
        <v>0.28332832486460902</v>
      </c>
      <c r="AE184" s="38">
        <f>Q_IS!AE99</f>
        <v>0.27361034471958123</v>
      </c>
      <c r="AF184" s="38">
        <f>Q_IS!AF99</f>
        <v>0.21724938446449849</v>
      </c>
      <c r="AG184" s="38">
        <f>Q_IS!AG99</f>
        <v>0.20937434762139384</v>
      </c>
      <c r="AH184" s="38">
        <f>Q_IS!AH99</f>
        <v>4.6615780007036811E-2</v>
      </c>
      <c r="AI184" s="38">
        <f>Q_IS!AI99</f>
        <v>8.9008415549927111E-3</v>
      </c>
      <c r="AJ184" s="38">
        <f>Q_IS!AJ99</f>
        <v>1.3698267198330116E-2</v>
      </c>
      <c r="AK184" s="38">
        <f>Q_IS!AK99</f>
        <v>3.7634205982199687E-2</v>
      </c>
      <c r="AL184" s="38">
        <f>Q_IS!AL99</f>
        <v>8.9114462758148383E-2</v>
      </c>
      <c r="AM184" s="38">
        <f>Q_IS!AM99</f>
        <v>8.0025719941091644E-2</v>
      </c>
      <c r="AN184" s="38">
        <f>Q_IS!AN99</f>
        <v>4.4748895867472216E-2</v>
      </c>
      <c r="AO184" s="38">
        <f>Q_IS!AO99</f>
        <v>-2.0434339945484714E-2</v>
      </c>
      <c r="AP184" s="38">
        <f>Q_IS!AP99</f>
        <v>0.20515319804129351</v>
      </c>
      <c r="AQ184" s="38">
        <f>Q_IS!AQ99</f>
        <v>-1.0831705866413799E-2</v>
      </c>
      <c r="AR184" s="38">
        <f>Q_IS!AR99</f>
        <v>-5.5896721535659832E-3</v>
      </c>
      <c r="AS184" s="38">
        <f>Q_IS!AS99</f>
        <v>-2.8861596709887749E-2</v>
      </c>
      <c r="AT184" s="38">
        <f>Q_IS!AT99</f>
        <v>-0.40423447468806595</v>
      </c>
      <c r="AU184" s="38">
        <f>Q_IS!AU99</f>
        <v>-0.68913347288085391</v>
      </c>
      <c r="AV184" s="38">
        <f>Q_IS!AV99</f>
        <v>-0.21536437551590348</v>
      </c>
      <c r="AW184" s="38">
        <f>Q_IS!AW99</f>
        <v>-0.27903637406625359</v>
      </c>
      <c r="AX184" s="38">
        <f>Q_IS!AX99</f>
        <v>-0.13112790258920137</v>
      </c>
      <c r="AY184" s="38">
        <f>Q_IS!AY99</f>
        <v>1.659259912492149</v>
      </c>
      <c r="AZ184" s="38">
        <f>Q_IS!AZ99</f>
        <v>0.20018982719303069</v>
      </c>
      <c r="BA184" s="38">
        <f>Q_IS!BA99</f>
        <v>0.44236636196296431</v>
      </c>
      <c r="BB184" s="38">
        <f>Q_IS!BB99</f>
        <v>0.44860268147635529</v>
      </c>
      <c r="BC184" s="38">
        <f>Q_IS!BC99</f>
        <v>0.22435927498490216</v>
      </c>
      <c r="BD184" s="38">
        <f>Q_IS!BD99</f>
        <v>7.7543352858316261E-2</v>
      </c>
      <c r="BE184" s="38">
        <f>Q_IS!BE99</f>
        <v>-2.9957845233176128E-2</v>
      </c>
      <c r="BF184" s="38">
        <f>Q_IS!BF99</f>
        <v>2.2796795440760409E-2</v>
      </c>
      <c r="BG184" s="38">
        <f>Q_IS!BG99</f>
        <v>-5.2478040295212969E-3</v>
      </c>
      <c r="BH184" s="38">
        <f>Q_IS!BH99</f>
        <v>-1.1769857611575563E-2</v>
      </c>
      <c r="BI184" s="38">
        <f>Q_IS!BI99</f>
        <v>-2.1779874695769808E-2</v>
      </c>
      <c r="BJ184" s="38">
        <f>Q_IS!BJ99</f>
        <v>-7.1047929761765327E-2</v>
      </c>
      <c r="BK184" s="1833">
        <f>Q_IS!BK99</f>
        <v>-7.1224313160058839E-2</v>
      </c>
      <c r="BL184" s="45">
        <f t="shared" ref="BL184:BP184" si="1125">BL185+$CY184</f>
        <v>0.01</v>
      </c>
      <c r="BM184" s="45">
        <f t="shared" si="1125"/>
        <v>1.9200000000000002E-2</v>
      </c>
      <c r="BN184" s="45">
        <f t="shared" si="1125"/>
        <v>2.2000000000000002E-2</v>
      </c>
      <c r="BO184" s="45">
        <f t="shared" si="1125"/>
        <v>2.2000000000000002E-2</v>
      </c>
      <c r="BP184" s="45">
        <f t="shared" si="1125"/>
        <v>2.1000000000000001E-2</v>
      </c>
      <c r="BQ184" s="45">
        <f t="shared" ref="BQ184:BY184" si="1126">BQ185+$CY184</f>
        <v>2.1000000000000001E-2</v>
      </c>
      <c r="BR184" s="45">
        <f t="shared" si="1126"/>
        <v>2.1000000000000001E-2</v>
      </c>
      <c r="BS184" s="45">
        <f t="shared" si="1126"/>
        <v>2.1000000000000001E-2</v>
      </c>
      <c r="BT184" s="45">
        <f t="shared" si="1126"/>
        <v>2.1000000000000001E-2</v>
      </c>
      <c r="BU184" s="45">
        <f t="shared" si="1126"/>
        <v>2.1000000000000001E-2</v>
      </c>
      <c r="BV184" s="45">
        <f t="shared" si="1126"/>
        <v>2.1000000000000001E-2</v>
      </c>
      <c r="BW184" s="45">
        <f t="shared" si="1126"/>
        <v>2.1000000000000001E-2</v>
      </c>
      <c r="BX184" s="45">
        <f t="shared" si="1126"/>
        <v>2.1000000000000001E-2</v>
      </c>
      <c r="BY184" s="45">
        <f t="shared" si="1126"/>
        <v>2.1000000000000001E-2</v>
      </c>
      <c r="BZ184" s="45">
        <f t="shared" ref="BZ184:CU184" si="1127">BZ185+$CZ184</f>
        <v>1.9949999999999999E-2</v>
      </c>
      <c r="CA184" s="45">
        <f t="shared" si="1127"/>
        <v>1.9949999999999999E-2</v>
      </c>
      <c r="CB184" s="45">
        <f t="shared" si="1127"/>
        <v>1.9949999999999999E-2</v>
      </c>
      <c r="CC184" s="45">
        <f t="shared" si="1127"/>
        <v>1.9949999999999999E-2</v>
      </c>
      <c r="CD184" s="45">
        <f t="shared" si="1127"/>
        <v>1.9949999999999999E-2</v>
      </c>
      <c r="CE184" s="45">
        <f t="shared" si="1127"/>
        <v>1.9949999999999999E-2</v>
      </c>
      <c r="CF184" s="45">
        <f t="shared" si="1127"/>
        <v>1.9949999999999999E-2</v>
      </c>
      <c r="CG184" s="45">
        <f t="shared" si="1127"/>
        <v>1.9949999999999999E-2</v>
      </c>
      <c r="CH184" s="45">
        <f t="shared" si="1127"/>
        <v>1.9949999999999999E-2</v>
      </c>
      <c r="CI184" s="45">
        <f t="shared" si="1127"/>
        <v>1.9949999999999999E-2</v>
      </c>
      <c r="CJ184" s="45">
        <f t="shared" si="1127"/>
        <v>1.9949999999999999E-2</v>
      </c>
      <c r="CK184" s="45">
        <f t="shared" si="1127"/>
        <v>1.9949999999999999E-2</v>
      </c>
      <c r="CL184" s="45">
        <f t="shared" si="1127"/>
        <v>1.9949999999999999E-2</v>
      </c>
      <c r="CM184" s="45">
        <f t="shared" si="1127"/>
        <v>1.9949999999999999E-2</v>
      </c>
      <c r="CN184" s="45">
        <f t="shared" si="1127"/>
        <v>1.9949999999999999E-2</v>
      </c>
      <c r="CO184" s="45">
        <f t="shared" si="1127"/>
        <v>1.9949999999999999E-2</v>
      </c>
      <c r="CP184" s="45">
        <f t="shared" si="1127"/>
        <v>1.9949999999999999E-2</v>
      </c>
      <c r="CQ184" s="45">
        <f t="shared" si="1127"/>
        <v>1.9949999999999999E-2</v>
      </c>
      <c r="CR184" s="45">
        <f t="shared" si="1127"/>
        <v>1.9949999999999999E-2</v>
      </c>
      <c r="CS184" s="45">
        <f t="shared" si="1127"/>
        <v>1.9949999999999999E-2</v>
      </c>
      <c r="CT184" s="45">
        <f t="shared" si="1127"/>
        <v>1.9949999999999999E-2</v>
      </c>
      <c r="CU184" s="45">
        <f t="shared" si="1127"/>
        <v>1.9949999999999999E-2</v>
      </c>
      <c r="CV184" s="45">
        <f t="shared" ref="CV184:CW184" si="1128">CV185+$CZ184</f>
        <v>1.9949999999999999E-2</v>
      </c>
      <c r="CW184" s="45">
        <f t="shared" si="1128"/>
        <v>1.9949999999999999E-2</v>
      </c>
      <c r="CX184" s="269"/>
      <c r="CY184" s="559">
        <v>0</v>
      </c>
      <c r="CZ184" s="559">
        <v>0</v>
      </c>
    </row>
    <row r="185" spans="1:106">
      <c r="A185" s="695" t="s">
        <v>200</v>
      </c>
      <c r="B185" s="392"/>
      <c r="C185" s="392"/>
      <c r="D185" s="392"/>
      <c r="E185" s="394"/>
      <c r="F185" s="51" t="str">
        <f t="shared" ref="F185:AM185" si="1129">+F184</f>
        <v>NM</v>
      </c>
      <c r="G185" s="51" t="str">
        <f t="shared" si="1129"/>
        <v>NM</v>
      </c>
      <c r="H185" s="51" t="str">
        <f t="shared" si="1129"/>
        <v>NM</v>
      </c>
      <c r="I185" s="51" t="str">
        <f t="shared" si="1129"/>
        <v>NM</v>
      </c>
      <c r="J185" s="51" t="str">
        <f t="shared" si="1129"/>
        <v>NM</v>
      </c>
      <c r="K185" s="51" t="str">
        <f t="shared" si="1129"/>
        <v>NM</v>
      </c>
      <c r="L185" s="51" t="str">
        <f t="shared" si="1129"/>
        <v>NM</v>
      </c>
      <c r="M185" s="51" t="str">
        <f t="shared" si="1129"/>
        <v>NM</v>
      </c>
      <c r="N185" s="51" t="str">
        <f t="shared" si="1129"/>
        <v>NM</v>
      </c>
      <c r="O185" s="51" t="str">
        <f t="shared" si="1129"/>
        <v>NM</v>
      </c>
      <c r="P185" s="51" t="str">
        <f t="shared" si="1129"/>
        <v>NM</v>
      </c>
      <c r="Q185" s="51" t="str">
        <f t="shared" si="1129"/>
        <v>NM</v>
      </c>
      <c r="R185" s="51" t="str">
        <f t="shared" si="1129"/>
        <v>NM</v>
      </c>
      <c r="S185" s="51" t="str">
        <f t="shared" si="1129"/>
        <v>NM</v>
      </c>
      <c r="T185" s="51" t="str">
        <f t="shared" si="1129"/>
        <v>NM</v>
      </c>
      <c r="U185" s="38" t="str">
        <f t="shared" si="1129"/>
        <v>NM</v>
      </c>
      <c r="V185" s="38" t="str">
        <f t="shared" si="1129"/>
        <v>NM</v>
      </c>
      <c r="W185" s="38" t="str">
        <f t="shared" si="1129"/>
        <v>NM</v>
      </c>
      <c r="X185" s="38" t="str">
        <f t="shared" si="1129"/>
        <v>NM</v>
      </c>
      <c r="Y185" s="38" t="str">
        <f t="shared" si="1129"/>
        <v>NM</v>
      </c>
      <c r="Z185" s="38" t="str">
        <f t="shared" si="1129"/>
        <v>NM</v>
      </c>
      <c r="AA185" s="38" t="str">
        <f t="shared" si="1129"/>
        <v>NM</v>
      </c>
      <c r="AB185" s="38" t="str">
        <f t="shared" si="1129"/>
        <v>NM</v>
      </c>
      <c r="AC185" s="38">
        <f t="shared" si="1129"/>
        <v>-0.45242458413738251</v>
      </c>
      <c r="AD185" s="38">
        <f t="shared" si="1129"/>
        <v>0.28332832486460902</v>
      </c>
      <c r="AE185" s="38">
        <f t="shared" si="1129"/>
        <v>0.27361034471958123</v>
      </c>
      <c r="AF185" s="38">
        <f t="shared" si="1129"/>
        <v>0.21724938446449849</v>
      </c>
      <c r="AG185" s="38">
        <f t="shared" si="1129"/>
        <v>0.20937434762139384</v>
      </c>
      <c r="AH185" s="38">
        <f t="shared" si="1129"/>
        <v>4.6615780007036811E-2</v>
      </c>
      <c r="AI185" s="38">
        <f t="shared" si="1129"/>
        <v>8.9008415549927111E-3</v>
      </c>
      <c r="AJ185" s="38">
        <f t="shared" si="1129"/>
        <v>1.3698267198330116E-2</v>
      </c>
      <c r="AK185" s="38">
        <f t="shared" si="1129"/>
        <v>3.7634205982199687E-2</v>
      </c>
      <c r="AL185" s="38">
        <f t="shared" si="1129"/>
        <v>8.9114462758148383E-2</v>
      </c>
      <c r="AM185" s="38">
        <f t="shared" si="1129"/>
        <v>8.0025719941091644E-2</v>
      </c>
      <c r="AN185" s="38">
        <f t="shared" ref="AN185:AS185" si="1130">+AN184</f>
        <v>4.4748895867472216E-2</v>
      </c>
      <c r="AO185" s="38">
        <f t="shared" si="1130"/>
        <v>-2.0434339945484714E-2</v>
      </c>
      <c r="AP185" s="38">
        <f t="shared" si="1130"/>
        <v>0.20515319804129351</v>
      </c>
      <c r="AQ185" s="38">
        <f t="shared" si="1130"/>
        <v>-1.0831705866413799E-2</v>
      </c>
      <c r="AR185" s="38">
        <f t="shared" si="1130"/>
        <v>-5.5896721535659832E-3</v>
      </c>
      <c r="AS185" s="38">
        <f t="shared" si="1130"/>
        <v>-2.8861596709887749E-2</v>
      </c>
      <c r="AT185" s="38">
        <f t="shared" ref="AT185:BC185" si="1131">+AT184</f>
        <v>-0.40423447468806595</v>
      </c>
      <c r="AU185" s="38">
        <f t="shared" si="1131"/>
        <v>-0.68913347288085391</v>
      </c>
      <c r="AV185" s="38">
        <f t="shared" si="1131"/>
        <v>-0.21536437551590348</v>
      </c>
      <c r="AW185" s="38">
        <f t="shared" si="1131"/>
        <v>-0.27903637406625359</v>
      </c>
      <c r="AX185" s="38">
        <f t="shared" si="1131"/>
        <v>-0.13112790258920137</v>
      </c>
      <c r="AY185" s="38">
        <f t="shared" si="1131"/>
        <v>1.659259912492149</v>
      </c>
      <c r="AZ185" s="38">
        <f t="shared" si="1131"/>
        <v>0.20018982719303069</v>
      </c>
      <c r="BA185" s="38">
        <f t="shared" si="1131"/>
        <v>0.44236636196296431</v>
      </c>
      <c r="BB185" s="38">
        <f t="shared" si="1131"/>
        <v>0.44860268147635529</v>
      </c>
      <c r="BC185" s="38">
        <f t="shared" si="1131"/>
        <v>0.22435927498490216</v>
      </c>
      <c r="BD185" s="38">
        <f t="shared" ref="BD185:BI185" si="1132">+BD184</f>
        <v>7.7543352858316261E-2</v>
      </c>
      <c r="BE185" s="38">
        <f t="shared" si="1132"/>
        <v>-2.9957845233176128E-2</v>
      </c>
      <c r="BF185" s="38">
        <f t="shared" si="1132"/>
        <v>2.2796795440760409E-2</v>
      </c>
      <c r="BG185" s="38">
        <f t="shared" si="1132"/>
        <v>-5.2478040295212969E-3</v>
      </c>
      <c r="BH185" s="38">
        <f t="shared" si="1132"/>
        <v>-1.1769857611575563E-2</v>
      </c>
      <c r="BI185" s="38">
        <f t="shared" si="1132"/>
        <v>-2.1779874695769808E-2</v>
      </c>
      <c r="BJ185" s="38">
        <f t="shared" ref="BJ185:BK185" si="1133">+BJ184</f>
        <v>-7.1047929761765327E-2</v>
      </c>
      <c r="BK185" s="1833">
        <f t="shared" si="1133"/>
        <v>-7.1224313160058839E-2</v>
      </c>
      <c r="BL185" s="559">
        <f t="shared" ref="BL185:BQ185" si="1134">+BL173</f>
        <v>0.01</v>
      </c>
      <c r="BM185" s="559">
        <f t="shared" si="1134"/>
        <v>1.9200000000000002E-2</v>
      </c>
      <c r="BN185" s="559">
        <f t="shared" si="1134"/>
        <v>2.2000000000000002E-2</v>
      </c>
      <c r="BO185" s="559">
        <f t="shared" si="1134"/>
        <v>2.2000000000000002E-2</v>
      </c>
      <c r="BP185" s="559">
        <f t="shared" si="1134"/>
        <v>2.1000000000000001E-2</v>
      </c>
      <c r="BQ185" s="559">
        <f t="shared" si="1134"/>
        <v>2.1000000000000001E-2</v>
      </c>
      <c r="BR185" s="559">
        <f t="shared" ref="BR185:CK185" si="1135">+BR173</f>
        <v>2.1000000000000001E-2</v>
      </c>
      <c r="BS185" s="559">
        <f t="shared" si="1135"/>
        <v>2.1000000000000001E-2</v>
      </c>
      <c r="BT185" s="559">
        <f t="shared" si="1135"/>
        <v>2.1000000000000001E-2</v>
      </c>
      <c r="BU185" s="559">
        <f t="shared" si="1135"/>
        <v>2.1000000000000001E-2</v>
      </c>
      <c r="BV185" s="559">
        <f t="shared" si="1135"/>
        <v>2.1000000000000001E-2</v>
      </c>
      <c r="BW185" s="559">
        <f t="shared" si="1135"/>
        <v>2.1000000000000001E-2</v>
      </c>
      <c r="BX185" s="559">
        <f t="shared" si="1135"/>
        <v>2.1000000000000001E-2</v>
      </c>
      <c r="BY185" s="559">
        <f t="shared" si="1135"/>
        <v>2.1000000000000001E-2</v>
      </c>
      <c r="BZ185" s="559">
        <f t="shared" si="1135"/>
        <v>1.9949999999999999E-2</v>
      </c>
      <c r="CA185" s="559">
        <f t="shared" si="1135"/>
        <v>1.9949999999999999E-2</v>
      </c>
      <c r="CB185" s="559">
        <f t="shared" si="1135"/>
        <v>1.9949999999999999E-2</v>
      </c>
      <c r="CC185" s="559">
        <f t="shared" si="1135"/>
        <v>1.9949999999999999E-2</v>
      </c>
      <c r="CD185" s="559">
        <f t="shared" si="1135"/>
        <v>1.9949999999999999E-2</v>
      </c>
      <c r="CE185" s="559">
        <f t="shared" si="1135"/>
        <v>1.9949999999999999E-2</v>
      </c>
      <c r="CF185" s="559">
        <f t="shared" si="1135"/>
        <v>1.9949999999999999E-2</v>
      </c>
      <c r="CG185" s="559">
        <f t="shared" si="1135"/>
        <v>1.9949999999999999E-2</v>
      </c>
      <c r="CH185" s="559">
        <f t="shared" si="1135"/>
        <v>1.9949999999999999E-2</v>
      </c>
      <c r="CI185" s="559">
        <f t="shared" si="1135"/>
        <v>1.9949999999999999E-2</v>
      </c>
      <c r="CJ185" s="559">
        <f t="shared" si="1135"/>
        <v>1.9949999999999999E-2</v>
      </c>
      <c r="CK185" s="559">
        <f t="shared" si="1135"/>
        <v>1.9949999999999999E-2</v>
      </c>
      <c r="CL185" s="559">
        <f t="shared" ref="CL185:CP185" si="1136">+CL173</f>
        <v>1.9949999999999999E-2</v>
      </c>
      <c r="CM185" s="559">
        <f t="shared" si="1136"/>
        <v>1.9949999999999999E-2</v>
      </c>
      <c r="CN185" s="559">
        <f t="shared" si="1136"/>
        <v>1.9949999999999999E-2</v>
      </c>
      <c r="CO185" s="559">
        <f t="shared" si="1136"/>
        <v>1.9949999999999999E-2</v>
      </c>
      <c r="CP185" s="559">
        <f t="shared" si="1136"/>
        <v>1.9949999999999999E-2</v>
      </c>
      <c r="CQ185" s="559">
        <f t="shared" ref="CQ185:CU185" si="1137">+CQ173</f>
        <v>1.9949999999999999E-2</v>
      </c>
      <c r="CR185" s="559">
        <f t="shared" si="1137"/>
        <v>1.9949999999999999E-2</v>
      </c>
      <c r="CS185" s="559">
        <f t="shared" si="1137"/>
        <v>1.9949999999999999E-2</v>
      </c>
      <c r="CT185" s="559">
        <f t="shared" si="1137"/>
        <v>1.9949999999999999E-2</v>
      </c>
      <c r="CU185" s="559">
        <f t="shared" si="1137"/>
        <v>1.9949999999999999E-2</v>
      </c>
      <c r="CV185" s="559">
        <f t="shared" ref="CV185:CW185" si="1138">+CV173</f>
        <v>1.9949999999999999E-2</v>
      </c>
      <c r="CW185" s="559">
        <f t="shared" si="1138"/>
        <v>1.9949999999999999E-2</v>
      </c>
      <c r="CX185" s="269"/>
    </row>
    <row r="186" spans="1:106">
      <c r="A186" s="695" t="s">
        <v>202</v>
      </c>
      <c r="B186" s="392"/>
      <c r="C186" s="392"/>
      <c r="D186" s="392"/>
      <c r="E186" s="394"/>
      <c r="F186" s="51"/>
      <c r="G186" s="51" t="str">
        <f t="shared" ref="G186:AM186" si="1139">G184</f>
        <v>NM</v>
      </c>
      <c r="H186" s="51" t="str">
        <f t="shared" si="1139"/>
        <v>NM</v>
      </c>
      <c r="I186" s="51" t="str">
        <f t="shared" si="1139"/>
        <v>NM</v>
      </c>
      <c r="J186" s="51" t="str">
        <f t="shared" si="1139"/>
        <v>NM</v>
      </c>
      <c r="K186" s="51" t="str">
        <f t="shared" si="1139"/>
        <v>NM</v>
      </c>
      <c r="L186" s="51" t="str">
        <f t="shared" si="1139"/>
        <v>NM</v>
      </c>
      <c r="M186" s="51" t="str">
        <f t="shared" si="1139"/>
        <v>NM</v>
      </c>
      <c r="N186" s="51" t="str">
        <f t="shared" si="1139"/>
        <v>NM</v>
      </c>
      <c r="O186" s="51" t="str">
        <f t="shared" si="1139"/>
        <v>NM</v>
      </c>
      <c r="P186" s="51" t="str">
        <f t="shared" si="1139"/>
        <v>NM</v>
      </c>
      <c r="Q186" s="51" t="str">
        <f t="shared" si="1139"/>
        <v>NM</v>
      </c>
      <c r="R186" s="51" t="str">
        <f t="shared" si="1139"/>
        <v>NM</v>
      </c>
      <c r="S186" s="51" t="str">
        <f t="shared" si="1139"/>
        <v>NM</v>
      </c>
      <c r="T186" s="51" t="str">
        <f t="shared" si="1139"/>
        <v>NM</v>
      </c>
      <c r="U186" s="38" t="str">
        <f t="shared" si="1139"/>
        <v>NM</v>
      </c>
      <c r="V186" s="38" t="str">
        <f t="shared" si="1139"/>
        <v>NM</v>
      </c>
      <c r="W186" s="38" t="str">
        <f t="shared" si="1139"/>
        <v>NM</v>
      </c>
      <c r="X186" s="38" t="str">
        <f t="shared" si="1139"/>
        <v>NM</v>
      </c>
      <c r="Y186" s="38" t="str">
        <f t="shared" si="1139"/>
        <v>NM</v>
      </c>
      <c r="Z186" s="38" t="str">
        <f t="shared" si="1139"/>
        <v>NM</v>
      </c>
      <c r="AA186" s="38" t="str">
        <f t="shared" si="1139"/>
        <v>NM</v>
      </c>
      <c r="AB186" s="38" t="str">
        <f t="shared" si="1139"/>
        <v>NM</v>
      </c>
      <c r="AC186" s="38">
        <f t="shared" si="1139"/>
        <v>-0.45242458413738251</v>
      </c>
      <c r="AD186" s="38">
        <f t="shared" si="1139"/>
        <v>0.28332832486460902</v>
      </c>
      <c r="AE186" s="38">
        <f t="shared" si="1139"/>
        <v>0.27361034471958123</v>
      </c>
      <c r="AF186" s="38">
        <f t="shared" si="1139"/>
        <v>0.21724938446449849</v>
      </c>
      <c r="AG186" s="38">
        <f t="shared" si="1139"/>
        <v>0.20937434762139384</v>
      </c>
      <c r="AH186" s="38">
        <f t="shared" si="1139"/>
        <v>4.6615780007036811E-2</v>
      </c>
      <c r="AI186" s="38">
        <f t="shared" si="1139"/>
        <v>8.9008415549927111E-3</v>
      </c>
      <c r="AJ186" s="38">
        <f t="shared" si="1139"/>
        <v>1.3698267198330116E-2</v>
      </c>
      <c r="AK186" s="38">
        <f t="shared" si="1139"/>
        <v>3.7634205982199687E-2</v>
      </c>
      <c r="AL186" s="38">
        <f t="shared" si="1139"/>
        <v>8.9114462758148383E-2</v>
      </c>
      <c r="AM186" s="38">
        <f t="shared" si="1139"/>
        <v>8.0025719941091644E-2</v>
      </c>
      <c r="AN186" s="38">
        <f t="shared" ref="AN186:AS186" si="1140">AN184</f>
        <v>4.4748895867472216E-2</v>
      </c>
      <c r="AO186" s="38">
        <f t="shared" si="1140"/>
        <v>-2.0434339945484714E-2</v>
      </c>
      <c r="AP186" s="38">
        <f t="shared" si="1140"/>
        <v>0.20515319804129351</v>
      </c>
      <c r="AQ186" s="38">
        <f t="shared" si="1140"/>
        <v>-1.0831705866413799E-2</v>
      </c>
      <c r="AR186" s="38">
        <f t="shared" si="1140"/>
        <v>-5.5896721535659832E-3</v>
      </c>
      <c r="AS186" s="38">
        <f t="shared" si="1140"/>
        <v>-2.8861596709887749E-2</v>
      </c>
      <c r="AT186" s="38">
        <f t="shared" ref="AT186:BC186" si="1141">AT184</f>
        <v>-0.40423447468806595</v>
      </c>
      <c r="AU186" s="38">
        <f t="shared" si="1141"/>
        <v>-0.68913347288085391</v>
      </c>
      <c r="AV186" s="38">
        <f t="shared" si="1141"/>
        <v>-0.21536437551590348</v>
      </c>
      <c r="AW186" s="38">
        <f t="shared" si="1141"/>
        <v>-0.27903637406625359</v>
      </c>
      <c r="AX186" s="38">
        <f t="shared" si="1141"/>
        <v>-0.13112790258920137</v>
      </c>
      <c r="AY186" s="38">
        <f t="shared" si="1141"/>
        <v>1.659259912492149</v>
      </c>
      <c r="AZ186" s="38">
        <f t="shared" si="1141"/>
        <v>0.20018982719303069</v>
      </c>
      <c r="BA186" s="38">
        <f t="shared" si="1141"/>
        <v>0.44236636196296431</v>
      </c>
      <c r="BB186" s="38">
        <f t="shared" si="1141"/>
        <v>0.44860268147635529</v>
      </c>
      <c r="BC186" s="38">
        <f t="shared" si="1141"/>
        <v>0.22435927498490216</v>
      </c>
      <c r="BD186" s="38">
        <f t="shared" ref="BD186:BI186" si="1142">BD184</f>
        <v>7.7543352858316261E-2</v>
      </c>
      <c r="BE186" s="38">
        <f t="shared" si="1142"/>
        <v>-2.9957845233176128E-2</v>
      </c>
      <c r="BF186" s="38">
        <f t="shared" si="1142"/>
        <v>2.2796795440760409E-2</v>
      </c>
      <c r="BG186" s="38">
        <f t="shared" si="1142"/>
        <v>-5.2478040295212969E-3</v>
      </c>
      <c r="BH186" s="38">
        <f t="shared" si="1142"/>
        <v>-1.1769857611575563E-2</v>
      </c>
      <c r="BI186" s="38">
        <f t="shared" si="1142"/>
        <v>-2.1779874695769808E-2</v>
      </c>
      <c r="BJ186" s="38">
        <f t="shared" ref="BJ186:BK186" si="1143">BJ184</f>
        <v>-7.1047929761765327E-2</v>
      </c>
      <c r="BK186" s="1833">
        <f t="shared" si="1143"/>
        <v>-7.1224313160058839E-2</v>
      </c>
      <c r="BL186" s="45">
        <f t="shared" ref="BL186:BP186" si="1144">BL185+$CY186</f>
        <v>0.01</v>
      </c>
      <c r="BM186" s="45">
        <f t="shared" si="1144"/>
        <v>1.9200000000000002E-2</v>
      </c>
      <c r="BN186" s="45">
        <f t="shared" si="1144"/>
        <v>2.2000000000000002E-2</v>
      </c>
      <c r="BO186" s="45">
        <f t="shared" si="1144"/>
        <v>2.2000000000000002E-2</v>
      </c>
      <c r="BP186" s="45">
        <f t="shared" si="1144"/>
        <v>2.1000000000000001E-2</v>
      </c>
      <c r="BQ186" s="45">
        <f t="shared" ref="BQ186:BY186" si="1145">BQ185+$CY186</f>
        <v>2.1000000000000001E-2</v>
      </c>
      <c r="BR186" s="45">
        <f t="shared" si="1145"/>
        <v>2.1000000000000001E-2</v>
      </c>
      <c r="BS186" s="45">
        <f t="shared" si="1145"/>
        <v>2.1000000000000001E-2</v>
      </c>
      <c r="BT186" s="45">
        <f t="shared" si="1145"/>
        <v>2.1000000000000001E-2</v>
      </c>
      <c r="BU186" s="45">
        <f t="shared" si="1145"/>
        <v>2.1000000000000001E-2</v>
      </c>
      <c r="BV186" s="45">
        <f t="shared" si="1145"/>
        <v>2.1000000000000001E-2</v>
      </c>
      <c r="BW186" s="45">
        <f t="shared" si="1145"/>
        <v>2.1000000000000001E-2</v>
      </c>
      <c r="BX186" s="45">
        <f t="shared" si="1145"/>
        <v>2.1000000000000001E-2</v>
      </c>
      <c r="BY186" s="45">
        <f t="shared" si="1145"/>
        <v>2.1000000000000001E-2</v>
      </c>
      <c r="BZ186" s="45">
        <f t="shared" ref="BZ186:CU186" si="1146">BZ185+$CZ186</f>
        <v>1.9949999999999999E-2</v>
      </c>
      <c r="CA186" s="45">
        <f t="shared" si="1146"/>
        <v>1.9949999999999999E-2</v>
      </c>
      <c r="CB186" s="45">
        <f t="shared" si="1146"/>
        <v>1.9949999999999999E-2</v>
      </c>
      <c r="CC186" s="45">
        <f t="shared" si="1146"/>
        <v>1.9949999999999999E-2</v>
      </c>
      <c r="CD186" s="45">
        <f t="shared" si="1146"/>
        <v>1.9949999999999999E-2</v>
      </c>
      <c r="CE186" s="45">
        <f t="shared" si="1146"/>
        <v>1.9949999999999999E-2</v>
      </c>
      <c r="CF186" s="45">
        <f t="shared" si="1146"/>
        <v>1.9949999999999999E-2</v>
      </c>
      <c r="CG186" s="45">
        <f t="shared" si="1146"/>
        <v>1.9949999999999999E-2</v>
      </c>
      <c r="CH186" s="45">
        <f t="shared" si="1146"/>
        <v>1.9949999999999999E-2</v>
      </c>
      <c r="CI186" s="45">
        <f t="shared" si="1146"/>
        <v>1.9949999999999999E-2</v>
      </c>
      <c r="CJ186" s="45">
        <f t="shared" si="1146"/>
        <v>1.9949999999999999E-2</v>
      </c>
      <c r="CK186" s="45">
        <f t="shared" si="1146"/>
        <v>1.9949999999999999E-2</v>
      </c>
      <c r="CL186" s="45">
        <f t="shared" si="1146"/>
        <v>1.9949999999999999E-2</v>
      </c>
      <c r="CM186" s="45">
        <f t="shared" si="1146"/>
        <v>1.9949999999999999E-2</v>
      </c>
      <c r="CN186" s="45">
        <f t="shared" si="1146"/>
        <v>1.9949999999999999E-2</v>
      </c>
      <c r="CO186" s="45">
        <f t="shared" si="1146"/>
        <v>1.9949999999999999E-2</v>
      </c>
      <c r="CP186" s="45">
        <f t="shared" si="1146"/>
        <v>1.9949999999999999E-2</v>
      </c>
      <c r="CQ186" s="45">
        <f t="shared" si="1146"/>
        <v>1.9949999999999999E-2</v>
      </c>
      <c r="CR186" s="45">
        <f t="shared" si="1146"/>
        <v>1.9949999999999999E-2</v>
      </c>
      <c r="CS186" s="45">
        <f t="shared" si="1146"/>
        <v>1.9949999999999999E-2</v>
      </c>
      <c r="CT186" s="45">
        <f t="shared" si="1146"/>
        <v>1.9949999999999999E-2</v>
      </c>
      <c r="CU186" s="45">
        <f t="shared" si="1146"/>
        <v>1.9949999999999999E-2</v>
      </c>
      <c r="CV186" s="45">
        <f t="shared" ref="CV186:CW186" si="1147">CV185+$CZ186</f>
        <v>1.9949999999999999E-2</v>
      </c>
      <c r="CW186" s="45">
        <f t="shared" si="1147"/>
        <v>1.9949999999999999E-2</v>
      </c>
      <c r="CX186" s="269"/>
      <c r="CY186" s="559">
        <v>0</v>
      </c>
      <c r="CZ186" s="559">
        <v>0</v>
      </c>
    </row>
    <row r="187" spans="1:106">
      <c r="A187" s="42"/>
      <c r="B187" s="388"/>
      <c r="C187" s="388"/>
      <c r="D187" s="388"/>
      <c r="E187" s="38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269"/>
      <c r="AN187" s="269"/>
      <c r="AO187" s="269"/>
      <c r="AP187" s="269"/>
      <c r="AQ187" s="269"/>
      <c r="AR187" s="269"/>
      <c r="AS187" s="269"/>
      <c r="AT187" s="45"/>
      <c r="AU187" s="45"/>
      <c r="AV187" s="45"/>
      <c r="AW187" s="45"/>
      <c r="AX187" s="45"/>
      <c r="AY187" s="45"/>
      <c r="AZ187" s="45"/>
      <c r="BA187" s="45"/>
      <c r="BB187" s="45"/>
      <c r="BC187" s="45"/>
      <c r="BD187" s="45"/>
      <c r="BE187" s="45"/>
      <c r="BF187" s="45"/>
      <c r="BG187" s="45"/>
      <c r="BH187" s="45"/>
      <c r="BI187" s="45"/>
      <c r="BJ187" s="45"/>
      <c r="BK187" s="1828"/>
      <c r="BL187" s="45"/>
      <c r="BM187" s="45"/>
      <c r="BN187" s="45"/>
      <c r="BO187" s="45"/>
      <c r="BP187" s="45"/>
      <c r="BQ187" s="45"/>
      <c r="BR187" s="45"/>
      <c r="BS187" s="45"/>
      <c r="BT187" s="45"/>
      <c r="BU187" s="45"/>
      <c r="BV187" s="45"/>
      <c r="BW187" s="45"/>
      <c r="BX187" s="45"/>
      <c r="BY187" s="45"/>
      <c r="BZ187" s="45"/>
      <c r="CA187" s="45"/>
      <c r="CB187" s="45"/>
      <c r="CC187" s="45"/>
      <c r="CD187" s="45"/>
      <c r="CE187" s="45"/>
      <c r="CF187" s="45"/>
      <c r="CG187" s="45"/>
      <c r="CH187" s="45"/>
      <c r="CI187" s="45"/>
      <c r="CJ187" s="45"/>
      <c r="CK187" s="45"/>
      <c r="CL187" s="45"/>
      <c r="CM187" s="45"/>
      <c r="CN187" s="45"/>
      <c r="CO187" s="45"/>
      <c r="CP187" s="45"/>
      <c r="CQ187" s="45"/>
      <c r="CR187" s="45"/>
      <c r="CS187" s="45"/>
      <c r="CT187" s="45"/>
      <c r="CU187" s="45"/>
      <c r="CV187" s="45"/>
      <c r="CW187" s="45"/>
      <c r="CX187" s="269"/>
      <c r="CY187" s="269"/>
      <c r="CZ187" s="269"/>
    </row>
    <row r="188" spans="1:106">
      <c r="A188" s="43" t="s">
        <v>733</v>
      </c>
      <c r="B188" s="388"/>
      <c r="C188" s="388"/>
      <c r="D188" s="388"/>
      <c r="E188" s="38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269"/>
      <c r="AN188" s="269"/>
      <c r="AO188" s="269"/>
      <c r="AP188" s="269"/>
      <c r="AQ188" s="269"/>
      <c r="AR188" s="269"/>
      <c r="AS188" s="269"/>
      <c r="AT188" s="45"/>
      <c r="AU188" s="45"/>
      <c r="AV188" s="45"/>
      <c r="AW188" s="45"/>
      <c r="AX188" s="45"/>
      <c r="AY188" s="45"/>
      <c r="AZ188" s="45"/>
      <c r="BA188" s="45"/>
      <c r="BB188" s="45"/>
      <c r="BC188" s="45"/>
      <c r="BD188" s="45"/>
      <c r="BE188" s="45"/>
      <c r="BF188" s="45"/>
      <c r="BG188" s="45"/>
      <c r="BH188" s="45"/>
      <c r="BI188" s="45"/>
      <c r="BJ188" s="45"/>
      <c r="BK188" s="1828"/>
      <c r="BL188" s="45"/>
      <c r="BM188" s="45"/>
      <c r="BN188" s="45"/>
      <c r="BO188" s="45"/>
      <c r="BP188" s="45"/>
      <c r="BQ188" s="45"/>
      <c r="BR188" s="45"/>
      <c r="BS188" s="45"/>
      <c r="BT188" s="45"/>
      <c r="BU188" s="45"/>
      <c r="BV188" s="45"/>
      <c r="BW188" s="45"/>
      <c r="BX188" s="45"/>
      <c r="BY188" s="45"/>
      <c r="BZ188" s="45"/>
      <c r="CA188" s="45"/>
      <c r="CB188" s="45"/>
      <c r="CC188" s="45"/>
      <c r="CD188" s="45"/>
      <c r="CE188" s="45"/>
      <c r="CF188" s="45"/>
      <c r="CG188" s="45"/>
      <c r="CH188" s="45"/>
      <c r="CI188" s="45"/>
      <c r="CJ188" s="45"/>
      <c r="CK188" s="45"/>
      <c r="CL188" s="45"/>
      <c r="CM188" s="45"/>
      <c r="CN188" s="45"/>
      <c r="CO188" s="45"/>
      <c r="CP188" s="45"/>
      <c r="CQ188" s="45"/>
      <c r="CR188" s="45"/>
      <c r="CS188" s="45"/>
      <c r="CT188" s="45"/>
      <c r="CU188" s="45"/>
      <c r="CV188" s="45"/>
      <c r="CW188" s="45"/>
      <c r="CX188" s="269"/>
      <c r="CY188" s="269"/>
      <c r="CZ188" s="269"/>
      <c r="DB188" s="13"/>
    </row>
    <row r="189" spans="1:106" s="1043" customFormat="1">
      <c r="A189" s="1888" t="s">
        <v>1477</v>
      </c>
      <c r="B189" s="1889"/>
      <c r="C189" s="1889"/>
      <c r="D189" s="1889"/>
      <c r="E189" s="1889"/>
      <c r="F189" s="1889"/>
      <c r="G189" s="1889"/>
      <c r="H189" s="1889"/>
      <c r="I189" s="1889"/>
      <c r="J189" s="1889"/>
      <c r="K189" s="1889"/>
      <c r="L189" s="1889"/>
      <c r="M189" s="1889"/>
      <c r="N189" s="1889"/>
      <c r="O189" s="1889"/>
      <c r="P189" s="1889"/>
      <c r="Q189" s="1889"/>
      <c r="R189" s="1889"/>
      <c r="S189" s="1889"/>
      <c r="T189" s="1889"/>
      <c r="U189" s="1889"/>
      <c r="V189" s="1889"/>
      <c r="W189" s="1889"/>
      <c r="X189" s="1889"/>
      <c r="Y189" s="1889"/>
      <c r="Z189" s="1889"/>
      <c r="AA189" s="1889"/>
      <c r="AB189" s="1889"/>
      <c r="AC189" s="1889"/>
      <c r="AD189" s="1889"/>
      <c r="AE189" s="1889"/>
      <c r="AF189" s="1889"/>
      <c r="AG189" s="1889"/>
      <c r="AH189" s="1889"/>
      <c r="AI189" s="1889"/>
      <c r="AJ189" s="1889"/>
      <c r="AK189" s="1889"/>
      <c r="AL189" s="1890">
        <f>Q_IS!AL189</f>
        <v>2600.777</v>
      </c>
      <c r="AM189" s="1890">
        <f>Q_IS!AM189</f>
        <v>2725.201</v>
      </c>
      <c r="AN189" s="1890">
        <f>Q_IS!AN189</f>
        <v>2463</v>
      </c>
      <c r="AO189" s="1890">
        <f>Q_IS!AO189</f>
        <v>2406</v>
      </c>
      <c r="AP189" s="1890">
        <f>Q_IS!AP189</f>
        <v>2271.386</v>
      </c>
      <c r="AQ189" s="1890">
        <f>Q_IS!AQ189</f>
        <v>2440.2809999999999</v>
      </c>
      <c r="AR189" s="1890">
        <f>Q_IS!AR189</f>
        <v>2569.8229999999999</v>
      </c>
      <c r="AS189" s="1890">
        <f>Q_IS!AS189</f>
        <v>2450.9229999999998</v>
      </c>
      <c r="AT189" s="1890">
        <f>Q_IS!AT189</f>
        <v>1764.7919999999999</v>
      </c>
      <c r="AU189" s="1890">
        <f>Q_IS!AU189</f>
        <v>781.64</v>
      </c>
      <c r="AV189" s="1890">
        <f>Q_IS!AV189</f>
        <v>1265.3510000000001</v>
      </c>
      <c r="AW189" s="1890">
        <f>Q_IS!AW189</f>
        <v>1775.183</v>
      </c>
      <c r="AX189" s="1890">
        <f>Q_IS!AX189</f>
        <v>1756.93</v>
      </c>
      <c r="AY189" s="1890">
        <f>Q_IS!AY189</f>
        <v>1731.269</v>
      </c>
      <c r="AZ189" s="1890">
        <f>Q_IS!AZ189</f>
        <v>2423.442</v>
      </c>
      <c r="BA189" s="1890">
        <f>Q_IS!BA189</f>
        <v>3050.4380000000001</v>
      </c>
      <c r="BB189" s="1890">
        <f>Q_IS!BB189</f>
        <v>2708.33</v>
      </c>
      <c r="BC189" s="1890">
        <f>Q_IS!BC189</f>
        <v>3161.74</v>
      </c>
      <c r="BD189" s="1890">
        <f>Q_IS!BD189</f>
        <v>3679.9369999999999</v>
      </c>
      <c r="BE189" s="1890">
        <f>Q_IS!BE189</f>
        <v>3837.7049999999999</v>
      </c>
      <c r="BF189" s="1890">
        <f>Q_IS!BF189</f>
        <v>3135.5329999999999</v>
      </c>
      <c r="BG189" s="1890">
        <f>Q_IS!BG189</f>
        <v>3460.4700000000003</v>
      </c>
      <c r="BH189" s="1890">
        <f>Q_IS!BH189</f>
        <v>3931.7930000000001</v>
      </c>
      <c r="BI189" s="1890">
        <f>Q_IS!BI189</f>
        <v>3377.9769999999999</v>
      </c>
      <c r="BJ189" s="1890">
        <f>Q_IS!BJ189</f>
        <v>2639.1559999999999</v>
      </c>
      <c r="BK189" s="1891">
        <f>Q_IS!BK189</f>
        <v>3056.471</v>
      </c>
      <c r="BL189" s="1892">
        <f>Q_IS!BL189</f>
        <v>3235.8739780058768</v>
      </c>
      <c r="BM189" s="1892">
        <f>Q_IS!BM189</f>
        <v>2519.7343425433478</v>
      </c>
      <c r="BN189" s="1892">
        <f>Q_IS!BN189</f>
        <v>2792.5346205556261</v>
      </c>
      <c r="BO189" s="1892">
        <f>Q_IS!BO189</f>
        <v>3479.9238169842088</v>
      </c>
      <c r="BP189" s="1892">
        <f>Q_IS!BP189</f>
        <v>3532.340512027733</v>
      </c>
      <c r="BQ189" s="1892">
        <f>Q_IS!BQ189</f>
        <v>2664.8228207156913</v>
      </c>
      <c r="BR189" s="1892">
        <f>Q_IS!BR189</f>
        <v>2952.6420667606362</v>
      </c>
      <c r="BS189" s="1892">
        <f>Q_IS!BS189</f>
        <v>3639.5253454033141</v>
      </c>
      <c r="BT189" s="1892">
        <f>Q_IS!BT189</f>
        <v>3694.082468330922</v>
      </c>
      <c r="BU189" s="1892">
        <f>Q_IS!BU189</f>
        <v>2779.9566067173037</v>
      </c>
      <c r="BV189" s="1893"/>
      <c r="BW189" s="1893"/>
      <c r="BX189" s="1893"/>
      <c r="BY189" s="1893"/>
      <c r="BZ189" s="1893"/>
      <c r="CA189" s="1893"/>
      <c r="CB189" s="1893"/>
      <c r="CC189" s="1893"/>
      <c r="CD189" s="1893"/>
      <c r="CE189" s="1893"/>
      <c r="CF189" s="1893"/>
      <c r="CG189" s="1893"/>
      <c r="CH189" s="1893"/>
      <c r="CI189" s="1893"/>
      <c r="CJ189" s="1893"/>
      <c r="CK189" s="1893"/>
      <c r="CL189" s="1893"/>
      <c r="CM189" s="1893"/>
      <c r="CN189" s="1893"/>
      <c r="CO189" s="1893"/>
      <c r="CP189" s="1893"/>
      <c r="CQ189" s="1893"/>
      <c r="CR189" s="1893"/>
      <c r="CS189" s="1893"/>
      <c r="CT189" s="1893"/>
      <c r="CU189" s="1893"/>
      <c r="CV189" s="1893"/>
      <c r="CW189" s="1893"/>
      <c r="CX189" s="1894"/>
      <c r="CY189" s="1894"/>
      <c r="CZ189" s="1894"/>
    </row>
    <row r="190" spans="1:106" s="1043" customFormat="1">
      <c r="A190" s="1895" t="s">
        <v>1480</v>
      </c>
      <c r="B190" s="1896"/>
      <c r="C190" s="1896"/>
      <c r="D190" s="1896"/>
      <c r="E190" s="1896"/>
      <c r="F190" s="1896"/>
      <c r="G190" s="1896"/>
      <c r="H190" s="1896"/>
      <c r="I190" s="1896"/>
      <c r="J190" s="1896"/>
      <c r="K190" s="1896"/>
      <c r="L190" s="1896"/>
      <c r="M190" s="1896"/>
      <c r="N190" s="1896"/>
      <c r="O190" s="1896"/>
      <c r="P190" s="1896"/>
      <c r="Q190" s="1896"/>
      <c r="R190" s="1896"/>
      <c r="S190" s="1896"/>
      <c r="T190" s="1896"/>
      <c r="U190" s="1896">
        <f>Q_IS!U252</f>
        <v>0</v>
      </c>
      <c r="V190" s="1896">
        <f>Q_IS!V252</f>
        <v>0</v>
      </c>
      <c r="W190" s="1896">
        <f>Q_IS!W252</f>
        <v>0</v>
      </c>
      <c r="X190" s="1896">
        <f>Q_IS!X252</f>
        <v>0</v>
      </c>
      <c r="Y190" s="1896">
        <f>Q_IS!Y252</f>
        <v>0</v>
      </c>
      <c r="Z190" s="1896">
        <f>Q_IS!Z252</f>
        <v>0</v>
      </c>
      <c r="AA190" s="1896">
        <f>Q_IS!AA252</f>
        <v>0</v>
      </c>
      <c r="AB190" s="1896">
        <f>Q_IS!AB252</f>
        <v>0</v>
      </c>
      <c r="AC190" s="1896">
        <f>Q_IS!AC252</f>
        <v>0</v>
      </c>
      <c r="AD190" s="1896">
        <f>Q_IS!AD252</f>
        <v>0</v>
      </c>
      <c r="AE190" s="1896">
        <f>Q_IS!AE252</f>
        <v>0</v>
      </c>
      <c r="AF190" s="1896">
        <f>Q_IS!AF252</f>
        <v>0</v>
      </c>
      <c r="AG190" s="1896">
        <f>Q_IS!AG252</f>
        <v>0</v>
      </c>
      <c r="AH190" s="1896">
        <f>Q_IS!AH252</f>
        <v>0</v>
      </c>
      <c r="AI190" s="1896">
        <f>Q_IS!AI252</f>
        <v>0</v>
      </c>
      <c r="AJ190" s="1896">
        <f>Q_IS!AJ252</f>
        <v>0</v>
      </c>
      <c r="AK190" s="1896">
        <f>Q_IS!AK252</f>
        <v>0</v>
      </c>
      <c r="AL190" s="1896"/>
      <c r="AM190" s="1896"/>
      <c r="AN190" s="1896"/>
      <c r="AO190" s="1896"/>
      <c r="AP190" s="1896">
        <f>AP189/AL189-1</f>
        <v>-0.12665099699051474</v>
      </c>
      <c r="AQ190" s="1896">
        <f t="shared" ref="AQ190" si="1148">AQ189/AM189-1</f>
        <v>-0.1045500863972969</v>
      </c>
      <c r="AR190" s="1896">
        <f t="shared" ref="AR190" si="1149">AR189/AN189-1</f>
        <v>4.3371092164027569E-2</v>
      </c>
      <c r="AS190" s="1896">
        <f t="shared" ref="AS190" si="1150">AS189/AO189-1</f>
        <v>1.8671238570241E-2</v>
      </c>
      <c r="AT190" s="1896">
        <f t="shared" ref="AT190" si="1151">AT189/AP189-1</f>
        <v>-0.22303298514651404</v>
      </c>
      <c r="AU190" s="1896">
        <f t="shared" ref="AU190" si="1152">AU189/AQ189-1</f>
        <v>-0.67969262556238408</v>
      </c>
      <c r="AV190" s="1896">
        <f t="shared" ref="AV190" si="1153">AV189/AR189-1</f>
        <v>-0.50761161371814323</v>
      </c>
      <c r="AW190" s="1896">
        <f t="shared" ref="AW190" si="1154">AW189/AS189-1</f>
        <v>-0.27570837598733211</v>
      </c>
      <c r="AX190" s="1896">
        <f t="shared" ref="AX190" si="1155">AX189/AT189-1</f>
        <v>-4.4549159334357213E-3</v>
      </c>
      <c r="AY190" s="1896">
        <f t="shared" ref="AY190" si="1156">AY189/AU189-1</f>
        <v>1.214918632618597</v>
      </c>
      <c r="AZ190" s="1896">
        <f t="shared" ref="AZ190" si="1157">AZ189/AV189-1</f>
        <v>0.91523300649385009</v>
      </c>
      <c r="BA190" s="1896">
        <f t="shared" ref="BA190" si="1158">BA189/AW189-1</f>
        <v>0.71837945721652363</v>
      </c>
      <c r="BB190" s="1896">
        <f t="shared" ref="BB190" si="1159">BB189/AX189-1</f>
        <v>0.54151275235780583</v>
      </c>
      <c r="BC190" s="1896">
        <f t="shared" ref="BC190" si="1160">BC189/AY189-1</f>
        <v>0.82625576961177027</v>
      </c>
      <c r="BD190" s="1896">
        <f t="shared" ref="BD190" si="1161">BD189/AZ189-1</f>
        <v>0.51847537510697594</v>
      </c>
      <c r="BE190" s="1896">
        <f t="shared" ref="BE190" si="1162">BE189/BA189-1</f>
        <v>0.25808326541958881</v>
      </c>
      <c r="BF190" s="1896">
        <f t="shared" ref="BF190:BJ190" si="1163">BF189/BB189-1</f>
        <v>0.1577366864451526</v>
      </c>
      <c r="BG190" s="1896">
        <f t="shared" si="1163"/>
        <v>9.4482784795713926E-2</v>
      </c>
      <c r="BH190" s="1896">
        <f t="shared" si="1163"/>
        <v>6.8440302102998007E-2</v>
      </c>
      <c r="BI190" s="1896">
        <f t="shared" si="1163"/>
        <v>-0.11979242802664614</v>
      </c>
      <c r="BJ190" s="1896">
        <f t="shared" si="1163"/>
        <v>-0.15830705656741617</v>
      </c>
      <c r="BK190" s="1897">
        <f t="shared" ref="BK190" si="1164">BK189/BG189-1</f>
        <v>-0.11674685808575147</v>
      </c>
      <c r="BL190" s="1898">
        <f t="shared" ref="BL190" si="1165">BL189/BH189-1</f>
        <v>-0.17699787908318754</v>
      </c>
      <c r="BM190" s="1898">
        <f t="shared" ref="BM190" si="1166">BM189/BI189-1</f>
        <v>-0.2540700121571734</v>
      </c>
      <c r="BN190" s="1898">
        <f t="shared" ref="BN190" si="1167">BN189/BJ189-1</f>
        <v>5.8116542014047701E-2</v>
      </c>
      <c r="BO190" s="1898">
        <f t="shared" ref="BO190" si="1168">BO189/BK189-1</f>
        <v>0.138543050787725</v>
      </c>
      <c r="BP190" s="1898">
        <f t="shared" ref="BP190" si="1169">BP189/BL189-1</f>
        <v>9.1618689737897441E-2</v>
      </c>
      <c r="BQ190" s="1898">
        <f t="shared" ref="BQ190" si="1170">BQ189/BM189-1</f>
        <v>5.7580863078563693E-2</v>
      </c>
      <c r="BR190" s="1898">
        <f t="shared" ref="BR190" si="1171">BR189/BN189-1</f>
        <v>5.733409535067957E-2</v>
      </c>
      <c r="BS190" s="1898">
        <f t="shared" ref="BS190" si="1172">BS189/BO189-1</f>
        <v>4.5863512195338796E-2</v>
      </c>
      <c r="BT190" s="1898">
        <f t="shared" ref="BT190" si="1173">BT189/BP189-1</f>
        <v>4.5788891459487724E-2</v>
      </c>
      <c r="BU190" s="1898">
        <f t="shared" ref="BU190" si="1174">BU189/BQ189-1</f>
        <v>4.3205043542328569E-2</v>
      </c>
      <c r="BV190" s="1893">
        <f t="shared" ref="BV190:CK190" si="1175">CHOOSE(MASTERSWITCH,BV191,BV192,BV193)</f>
        <v>0.1407749203523444</v>
      </c>
      <c r="BW190" s="1893">
        <f t="shared" si="1175"/>
        <v>0.1407749203523444</v>
      </c>
      <c r="BX190" s="1893">
        <f t="shared" si="1175"/>
        <v>0.1407749203523444</v>
      </c>
      <c r="BY190" s="1893">
        <f t="shared" si="1175"/>
        <v>0.1407749203523444</v>
      </c>
      <c r="BZ190" s="1893">
        <f t="shared" si="1175"/>
        <v>0.13373617433472718</v>
      </c>
      <c r="CA190" s="1893">
        <f t="shared" si="1175"/>
        <v>0.13373617433472718</v>
      </c>
      <c r="CB190" s="1893">
        <f t="shared" si="1175"/>
        <v>0.13373617433472718</v>
      </c>
      <c r="CC190" s="1893">
        <f t="shared" si="1175"/>
        <v>0.13373617433472718</v>
      </c>
      <c r="CD190" s="1893">
        <f t="shared" si="1175"/>
        <v>0.13373617433472718</v>
      </c>
      <c r="CE190" s="1893">
        <f t="shared" si="1175"/>
        <v>0.13373617433472718</v>
      </c>
      <c r="CF190" s="1893">
        <f t="shared" si="1175"/>
        <v>0.13373617433472718</v>
      </c>
      <c r="CG190" s="1893">
        <f t="shared" si="1175"/>
        <v>0.13373617433472718</v>
      </c>
      <c r="CH190" s="1893">
        <f t="shared" si="1175"/>
        <v>0.13373617433472718</v>
      </c>
      <c r="CI190" s="1893">
        <f t="shared" si="1175"/>
        <v>0.13373617433472718</v>
      </c>
      <c r="CJ190" s="1893">
        <f t="shared" si="1175"/>
        <v>0.13373617433472718</v>
      </c>
      <c r="CK190" s="1893">
        <f t="shared" si="1175"/>
        <v>0.13373617433472718</v>
      </c>
      <c r="CL190" s="1893">
        <f t="shared" ref="CL190:CP190" si="1176">CHOOSE(MASTERSWITCH,CL191,CL192,CL193)</f>
        <v>0.13373617433472718</v>
      </c>
      <c r="CM190" s="1893">
        <f t="shared" si="1176"/>
        <v>0.13373617433472718</v>
      </c>
      <c r="CN190" s="1893">
        <f t="shared" si="1176"/>
        <v>0.13373617433472718</v>
      </c>
      <c r="CO190" s="1893">
        <f t="shared" si="1176"/>
        <v>0.13373617433472718</v>
      </c>
      <c r="CP190" s="1893">
        <f t="shared" si="1176"/>
        <v>0.13373617433472718</v>
      </c>
      <c r="CQ190" s="1893">
        <f t="shared" ref="CQ190:CU190" si="1177">CHOOSE(MASTERSWITCH,CQ191,CQ192,CQ193)</f>
        <v>0.13373617433472718</v>
      </c>
      <c r="CR190" s="1893">
        <f t="shared" si="1177"/>
        <v>0.13373617433472718</v>
      </c>
      <c r="CS190" s="1893">
        <f t="shared" si="1177"/>
        <v>0.13373617433472718</v>
      </c>
      <c r="CT190" s="1893">
        <f t="shared" si="1177"/>
        <v>0.13373617433472718</v>
      </c>
      <c r="CU190" s="1893">
        <f t="shared" si="1177"/>
        <v>0.13373617433472718</v>
      </c>
      <c r="CV190" s="1893">
        <f t="shared" ref="CV190:CW190" si="1178">CHOOSE(MASTERSWITCH,CV191,CV192,CV193)</f>
        <v>0.13373617433472718</v>
      </c>
      <c r="CW190" s="1893">
        <f t="shared" si="1178"/>
        <v>0.13373617433472718</v>
      </c>
      <c r="CX190" s="1894"/>
      <c r="CY190" s="1894"/>
      <c r="CZ190" s="1894"/>
    </row>
    <row r="191" spans="1:106">
      <c r="A191" s="691" t="s">
        <v>1111</v>
      </c>
      <c r="B191" s="397"/>
      <c r="C191" s="397"/>
      <c r="D191" s="397"/>
      <c r="E191" s="397"/>
      <c r="F191" s="690" t="str">
        <f t="shared" ref="F191:BQ191" si="1179">CHOOSE(MASTERSWITCH,F192,F193,F194)</f>
        <v>ND</v>
      </c>
      <c r="G191" s="690" t="str">
        <f t="shared" si="1179"/>
        <v>ND</v>
      </c>
      <c r="H191" s="690" t="str">
        <f t="shared" si="1179"/>
        <v>ND</v>
      </c>
      <c r="I191" s="690" t="str">
        <f t="shared" si="1179"/>
        <v>ND</v>
      </c>
      <c r="J191" s="690" t="str">
        <f t="shared" si="1179"/>
        <v>ND</v>
      </c>
      <c r="K191" s="690" t="str">
        <f t="shared" si="1179"/>
        <v>ND</v>
      </c>
      <c r="L191" s="690" t="str">
        <f t="shared" si="1179"/>
        <v>ND</v>
      </c>
      <c r="M191" s="690" t="str">
        <f t="shared" si="1179"/>
        <v>ND</v>
      </c>
      <c r="N191" s="690" t="str">
        <f t="shared" si="1179"/>
        <v>ND</v>
      </c>
      <c r="O191" s="690" t="str">
        <f t="shared" si="1179"/>
        <v>ND</v>
      </c>
      <c r="P191" s="690" t="str">
        <f t="shared" si="1179"/>
        <v>ND</v>
      </c>
      <c r="Q191" s="690" t="str">
        <f t="shared" si="1179"/>
        <v>ND</v>
      </c>
      <c r="R191" s="690" t="str">
        <f t="shared" si="1179"/>
        <v>ND</v>
      </c>
      <c r="S191" s="690" t="str">
        <f t="shared" si="1179"/>
        <v>ND</v>
      </c>
      <c r="T191" s="690" t="str">
        <f t="shared" si="1179"/>
        <v>ND</v>
      </c>
      <c r="U191" s="397">
        <f t="shared" si="1179"/>
        <v>0.26</v>
      </c>
      <c r="V191" s="397">
        <f t="shared" si="1179"/>
        <v>0.26500000000000001</v>
      </c>
      <c r="W191" s="397">
        <f t="shared" si="1179"/>
        <v>0.19800000000000001</v>
      </c>
      <c r="X191" s="397">
        <f t="shared" si="1179"/>
        <v>0.16400000000000001</v>
      </c>
      <c r="Y191" s="397">
        <f t="shared" si="1179"/>
        <v>0.16700000000000001</v>
      </c>
      <c r="Z191" s="397">
        <f t="shared" si="1179"/>
        <v>0.154</v>
      </c>
      <c r="AA191" s="397">
        <f t="shared" si="1179"/>
        <v>0.27400000000000002</v>
      </c>
      <c r="AB191" s="397">
        <f t="shared" ref="AB191:AM191" si="1180">CHOOSE(MASTERSWITCH,AB192,AB193,AB194)</f>
        <v>0.29299999999999998</v>
      </c>
      <c r="AC191" s="397">
        <f t="shared" si="1180"/>
        <v>0.28399999999999997</v>
      </c>
      <c r="AD191" s="397">
        <f t="shared" si="1180"/>
        <v>0.26800000000000002</v>
      </c>
      <c r="AE191" s="397">
        <f t="shared" si="1180"/>
        <v>0.23</v>
      </c>
      <c r="AF191" s="397">
        <f t="shared" si="1180"/>
        <v>0.23599999999999999</v>
      </c>
      <c r="AG191" s="397">
        <f t="shared" si="1180"/>
        <v>0.22</v>
      </c>
      <c r="AH191" s="397">
        <f t="shared" si="1180"/>
        <v>0.247</v>
      </c>
      <c r="AI191" s="397">
        <f t="shared" si="1180"/>
        <v>0.16600000000000001</v>
      </c>
      <c r="AJ191" s="397">
        <f t="shared" si="1180"/>
        <v>0.216</v>
      </c>
      <c r="AK191" s="397">
        <f t="shared" si="1180"/>
        <v>0.184</v>
      </c>
      <c r="AL191" s="397">
        <f t="shared" si="1180"/>
        <v>9.6000000000000002E-2</v>
      </c>
      <c r="AM191" s="397">
        <f t="shared" si="1180"/>
        <v>0.126</v>
      </c>
      <c r="AN191" s="397">
        <f t="shared" ref="AN191:AS191" si="1181">CHOOSE(MASTERSWITCH,AN192,AN193,AN194)</f>
        <v>0.10100000000000001</v>
      </c>
      <c r="AO191" s="397">
        <f t="shared" si="1181"/>
        <v>0.15</v>
      </c>
      <c r="AP191" s="397">
        <f t="shared" si="1181"/>
        <v>0.13100000000000001</v>
      </c>
      <c r="AQ191" s="397">
        <f t="shared" si="1181"/>
        <v>0.16400000000000001</v>
      </c>
      <c r="AR191" s="397">
        <f t="shared" si="1181"/>
        <v>0.186</v>
      </c>
      <c r="AS191" s="397">
        <f t="shared" si="1181"/>
        <v>0.11600000000000001</v>
      </c>
      <c r="AT191" s="397">
        <f t="shared" ref="AT191:BC191" si="1182">CHOOSE(MASTERSWITCH,AT192,AT193,AT194)</f>
        <v>6.8000000000000005E-2</v>
      </c>
      <c r="AU191" s="397">
        <f t="shared" si="1182"/>
        <v>-0.442</v>
      </c>
      <c r="AV191" s="397">
        <f t="shared" si="1182"/>
        <v>-0.36499999999999999</v>
      </c>
      <c r="AW191" s="397">
        <f t="shared" si="1182"/>
        <v>-0.14199999999999999</v>
      </c>
      <c r="AX191" s="397">
        <f t="shared" si="1182"/>
        <v>4.9000000000000002E-2</v>
      </c>
      <c r="AY191" s="397">
        <f t="shared" si="1182"/>
        <v>0.98299999999999998</v>
      </c>
      <c r="AZ191" s="397">
        <f t="shared" si="1182"/>
        <v>1.01</v>
      </c>
      <c r="BA191" s="397">
        <f t="shared" si="1182"/>
        <v>0.78400000000000003</v>
      </c>
      <c r="BB191" s="397">
        <f t="shared" si="1182"/>
        <v>0.66400000000000003</v>
      </c>
      <c r="BC191" s="397">
        <f t="shared" si="1182"/>
        <v>1.002</v>
      </c>
      <c r="BD191" s="397">
        <f t="shared" ref="BD191:BI191" si="1183">CHOOSE(MASTERSWITCH,BD192,BD193,BD194)</f>
        <v>0.68200000000000005</v>
      </c>
      <c r="BE191" s="397">
        <f t="shared" si="1183"/>
        <v>0.53500000000000003</v>
      </c>
      <c r="BF191" s="397">
        <f t="shared" si="1183"/>
        <v>0.58299999999999996</v>
      </c>
      <c r="BG191" s="397">
        <f t="shared" si="1183"/>
        <v>0.49</v>
      </c>
      <c r="BH191" s="397">
        <f t="shared" ref="BH191" si="1184">CHOOSE(MASTERSWITCH,BH192,BH193,BH194)</f>
        <v>0.41399999999999998</v>
      </c>
      <c r="BI191" s="397">
        <f t="shared" si="1183"/>
        <v>0.28100000000000003</v>
      </c>
      <c r="BJ191" s="397">
        <f t="shared" ref="BJ191:BK191" si="1185">CHOOSE(MASTERSWITCH,BJ192,BJ193,BJ194)</f>
        <v>0.33400000000000002</v>
      </c>
      <c r="BK191" s="1824">
        <f t="shared" si="1185"/>
        <v>0.48099999999999998</v>
      </c>
      <c r="BL191" s="398">
        <f t="shared" si="1179"/>
        <v>0.43545757945564589</v>
      </c>
      <c r="BM191" s="398">
        <f t="shared" si="1179"/>
        <v>0.29217100852820443</v>
      </c>
      <c r="BN191" s="398">
        <f t="shared" si="1179"/>
        <v>0.24953821261486897</v>
      </c>
      <c r="BO191" s="398">
        <f t="shared" si="1179"/>
        <v>0.19681947970806429</v>
      </c>
      <c r="BP191" s="398">
        <f t="shared" si="1179"/>
        <v>0.15190532177457583</v>
      </c>
      <c r="BQ191" s="398">
        <f t="shared" si="1179"/>
        <v>0.11261993628187553</v>
      </c>
      <c r="BR191" s="398">
        <f t="shared" ref="BR191:CK191" si="1186">CHOOSE(MASTERSWITCH,BR192,BR193,BR194)</f>
        <v>0.13514392353825064</v>
      </c>
      <c r="BS191" s="398">
        <f t="shared" si="1186"/>
        <v>0.13514392353825064</v>
      </c>
      <c r="BT191" s="398">
        <f t="shared" si="1186"/>
        <v>0.13514392353825064</v>
      </c>
      <c r="BU191" s="398">
        <f t="shared" si="1186"/>
        <v>0.13514392353825064</v>
      </c>
      <c r="BV191" s="398">
        <f t="shared" si="1186"/>
        <v>0.11261993628187553</v>
      </c>
      <c r="BW191" s="398">
        <f t="shared" si="1186"/>
        <v>0.11261993628187553</v>
      </c>
      <c r="BX191" s="398">
        <f t="shared" si="1186"/>
        <v>0.11261993628187553</v>
      </c>
      <c r="BY191" s="398">
        <f t="shared" si="1186"/>
        <v>0.11261993628187553</v>
      </c>
      <c r="BZ191" s="398">
        <f t="shared" si="1186"/>
        <v>0.12036255690125446</v>
      </c>
      <c r="CA191" s="398">
        <f t="shared" si="1186"/>
        <v>0.12036255690125446</v>
      </c>
      <c r="CB191" s="398">
        <f t="shared" si="1186"/>
        <v>0.12036255690125446</v>
      </c>
      <c r="CC191" s="398">
        <f t="shared" si="1186"/>
        <v>0.12036255690125446</v>
      </c>
      <c r="CD191" s="398">
        <f t="shared" si="1186"/>
        <v>0.12036255690125446</v>
      </c>
      <c r="CE191" s="398">
        <f t="shared" si="1186"/>
        <v>0.12036255690125446</v>
      </c>
      <c r="CF191" s="398">
        <f t="shared" si="1186"/>
        <v>0.12036255690125446</v>
      </c>
      <c r="CG191" s="398">
        <f t="shared" si="1186"/>
        <v>0.12036255690125446</v>
      </c>
      <c r="CH191" s="398">
        <f t="shared" si="1186"/>
        <v>0.12036255690125446</v>
      </c>
      <c r="CI191" s="398">
        <f t="shared" si="1186"/>
        <v>0.12036255690125446</v>
      </c>
      <c r="CJ191" s="398">
        <f t="shared" si="1186"/>
        <v>0.12036255690125446</v>
      </c>
      <c r="CK191" s="398">
        <f t="shared" si="1186"/>
        <v>0.12036255690125446</v>
      </c>
      <c r="CL191" s="398">
        <f t="shared" ref="CL191:CP191" si="1187">CHOOSE(MASTERSWITCH,CL192,CL193,CL194)</f>
        <v>0.12036255690125446</v>
      </c>
      <c r="CM191" s="398">
        <f t="shared" si="1187"/>
        <v>0.12036255690125446</v>
      </c>
      <c r="CN191" s="398">
        <f t="shared" si="1187"/>
        <v>0.12036255690125446</v>
      </c>
      <c r="CO191" s="398">
        <f t="shared" si="1187"/>
        <v>0.12036255690125446</v>
      </c>
      <c r="CP191" s="398">
        <f t="shared" si="1187"/>
        <v>0.12036255690125446</v>
      </c>
      <c r="CQ191" s="398">
        <f t="shared" ref="CQ191:CU191" si="1188">CHOOSE(MASTERSWITCH,CQ192,CQ193,CQ194)</f>
        <v>0.12036255690125446</v>
      </c>
      <c r="CR191" s="398">
        <f t="shared" si="1188"/>
        <v>0.12036255690125446</v>
      </c>
      <c r="CS191" s="398">
        <f t="shared" si="1188"/>
        <v>0.12036255690125446</v>
      </c>
      <c r="CT191" s="398">
        <f t="shared" si="1188"/>
        <v>0.12036255690125446</v>
      </c>
      <c r="CU191" s="398">
        <f t="shared" si="1188"/>
        <v>0.12036255690125446</v>
      </c>
      <c r="CV191" s="398">
        <f t="shared" ref="CV191:CW191" si="1189">CHOOSE(MASTERSWITCH,CV192,CV193,CV194)</f>
        <v>0.12036255690125446</v>
      </c>
      <c r="CW191" s="398">
        <f t="shared" si="1189"/>
        <v>0.12036255690125446</v>
      </c>
      <c r="CX191" s="269"/>
      <c r="CY191" s="269"/>
      <c r="CZ191" s="269"/>
    </row>
    <row r="192" spans="1:106">
      <c r="A192" s="86" t="s">
        <v>571</v>
      </c>
      <c r="B192" s="392"/>
      <c r="C192" s="392"/>
      <c r="D192" s="392"/>
      <c r="E192" s="393"/>
      <c r="F192" s="51" t="str">
        <f>Q_IS!F196</f>
        <v>ND</v>
      </c>
      <c r="G192" s="51" t="str">
        <f>Q_IS!G196</f>
        <v>ND</v>
      </c>
      <c r="H192" s="51" t="str">
        <f>Q_IS!H196</f>
        <v>ND</v>
      </c>
      <c r="I192" s="51" t="str">
        <f>Q_IS!I196</f>
        <v>ND</v>
      </c>
      <c r="J192" s="51" t="str">
        <f>Q_IS!J196</f>
        <v>ND</v>
      </c>
      <c r="K192" s="51" t="str">
        <f>Q_IS!K196</f>
        <v>ND</v>
      </c>
      <c r="L192" s="51" t="str">
        <f>Q_IS!L196</f>
        <v>ND</v>
      </c>
      <c r="M192" s="51" t="str">
        <f>Q_IS!M196</f>
        <v>ND</v>
      </c>
      <c r="N192" s="51" t="str">
        <f>Q_IS!N196</f>
        <v>ND</v>
      </c>
      <c r="O192" s="51" t="str">
        <f>Q_IS!O196</f>
        <v>ND</v>
      </c>
      <c r="P192" s="51" t="str">
        <f>Q_IS!P196</f>
        <v>ND</v>
      </c>
      <c r="Q192" s="51" t="str">
        <f>Q_IS!Q196</f>
        <v>ND</v>
      </c>
      <c r="R192" s="51" t="str">
        <f>Q_IS!R196</f>
        <v>ND</v>
      </c>
      <c r="S192" s="51" t="str">
        <f>Q_IS!S196</f>
        <v>ND</v>
      </c>
      <c r="T192" s="51" t="str">
        <f>Q_IS!T196</f>
        <v>ND</v>
      </c>
      <c r="U192" s="38">
        <f>Q_IS!U196</f>
        <v>0.26</v>
      </c>
      <c r="V192" s="38">
        <f>Q_IS!V196</f>
        <v>0.26500000000000001</v>
      </c>
      <c r="W192" s="38">
        <f>Q_IS!W196</f>
        <v>0.19800000000000001</v>
      </c>
      <c r="X192" s="38">
        <f>Q_IS!X196</f>
        <v>0.16400000000000001</v>
      </c>
      <c r="Y192" s="38">
        <f>Q_IS!Y196</f>
        <v>0.16700000000000001</v>
      </c>
      <c r="Z192" s="38">
        <f>Q_IS!Z196</f>
        <v>0.154</v>
      </c>
      <c r="AA192" s="38">
        <f>Q_IS!AA196</f>
        <v>0.27400000000000002</v>
      </c>
      <c r="AB192" s="38">
        <f>Q_IS!AB196</f>
        <v>0.29299999999999998</v>
      </c>
      <c r="AC192" s="38">
        <f>Q_IS!AC196</f>
        <v>0.28399999999999997</v>
      </c>
      <c r="AD192" s="38">
        <f>Q_IS!AD196</f>
        <v>0.26800000000000002</v>
      </c>
      <c r="AE192" s="38">
        <f>Q_IS!AE196</f>
        <v>0.23</v>
      </c>
      <c r="AF192" s="38">
        <f>Q_IS!AF196</f>
        <v>0.23599999999999999</v>
      </c>
      <c r="AG192" s="38">
        <f>Q_IS!AG196</f>
        <v>0.22</v>
      </c>
      <c r="AH192" s="38">
        <f>Q_IS!AH196</f>
        <v>0.247</v>
      </c>
      <c r="AI192" s="38">
        <f>Q_IS!AI196</f>
        <v>0.16600000000000001</v>
      </c>
      <c r="AJ192" s="38">
        <f>Q_IS!AJ196</f>
        <v>0.216</v>
      </c>
      <c r="AK192" s="38">
        <f>Q_IS!AK196</f>
        <v>0.184</v>
      </c>
      <c r="AL192" s="38">
        <f>Q_IS!AL196</f>
        <v>9.6000000000000002E-2</v>
      </c>
      <c r="AM192" s="38">
        <f>Q_IS!AM196</f>
        <v>0.126</v>
      </c>
      <c r="AN192" s="38">
        <f>Q_IS!AN196</f>
        <v>0.10100000000000001</v>
      </c>
      <c r="AO192" s="38">
        <f>Q_IS!AO196</f>
        <v>0.15</v>
      </c>
      <c r="AP192" s="38">
        <f>Q_IS!AP196</f>
        <v>0.13100000000000001</v>
      </c>
      <c r="AQ192" s="38">
        <f>Q_IS!AQ196</f>
        <v>0.16400000000000001</v>
      </c>
      <c r="AR192" s="38">
        <f>Q_IS!AR196</f>
        <v>0.186</v>
      </c>
      <c r="AS192" s="38">
        <f>Q_IS!AS196</f>
        <v>0.11600000000000001</v>
      </c>
      <c r="AT192" s="1392">
        <f>Q_IS!AT196</f>
        <v>6.8000000000000005E-2</v>
      </c>
      <c r="AU192" s="1393">
        <f>Q_IS!AU196</f>
        <v>-0.442</v>
      </c>
      <c r="AV192" s="1756">
        <f>Q_IS!AV196</f>
        <v>-0.36499999999999999</v>
      </c>
      <c r="AW192" s="1756">
        <f>Q_IS!AW196</f>
        <v>-0.14199999999999999</v>
      </c>
      <c r="AX192" s="1756">
        <f>Q_IS!AX196</f>
        <v>4.9000000000000002E-2</v>
      </c>
      <c r="AY192" s="1393">
        <f>Q_IS!AY196</f>
        <v>0.98299999999999998</v>
      </c>
      <c r="AZ192" s="1393">
        <f>Q_IS!AZ196</f>
        <v>1.01</v>
      </c>
      <c r="BA192" s="1393">
        <f>Q_IS!BA196</f>
        <v>0.78400000000000003</v>
      </c>
      <c r="BB192" s="1393">
        <f>Q_IS!BB196</f>
        <v>0.66400000000000003</v>
      </c>
      <c r="BC192" s="1393">
        <f>Q_IS!BC196</f>
        <v>1.002</v>
      </c>
      <c r="BD192" s="1393">
        <f>Q_IS!BD196</f>
        <v>0.68200000000000005</v>
      </c>
      <c r="BE192" s="1393">
        <f>Q_IS!BE196</f>
        <v>0.53500000000000003</v>
      </c>
      <c r="BF192" s="1393">
        <f>Q_IS!BF196</f>
        <v>0.58299999999999996</v>
      </c>
      <c r="BG192" s="1393">
        <f>Q_IS!BG196</f>
        <v>0.49</v>
      </c>
      <c r="BH192" s="1393">
        <f>Q_IS!BH196</f>
        <v>0.41399999999999998</v>
      </c>
      <c r="BI192" s="1393">
        <f>Q_IS!BI196</f>
        <v>0.28100000000000003</v>
      </c>
      <c r="BJ192" s="1393">
        <f>Q_IS!BJ196</f>
        <v>0.33400000000000002</v>
      </c>
      <c r="BK192" s="1832">
        <f>Q_IS!BK196</f>
        <v>0.48099999999999998</v>
      </c>
      <c r="BL192" s="45">
        <f t="shared" ref="BL192:BP192" si="1190">+BL193*$CY192</f>
        <v>0.59875417175151313</v>
      </c>
      <c r="BM192" s="45">
        <f t="shared" si="1190"/>
        <v>0.40173513672628108</v>
      </c>
      <c r="BN192" s="45">
        <f t="shared" si="1190"/>
        <v>0.34311504234544482</v>
      </c>
      <c r="BO192" s="45">
        <f t="shared" si="1190"/>
        <v>0.27062678459858841</v>
      </c>
      <c r="BP192" s="45">
        <f t="shared" si="1190"/>
        <v>0.20886981744004179</v>
      </c>
      <c r="BQ192" s="45">
        <f t="shared" ref="BQ192:BY192" si="1191">+BQ193*$CY192</f>
        <v>0.15485241238757885</v>
      </c>
      <c r="BR192" s="45">
        <f t="shared" si="1191"/>
        <v>0.18582289486509462</v>
      </c>
      <c r="BS192" s="45">
        <f t="shared" si="1191"/>
        <v>0.18582289486509462</v>
      </c>
      <c r="BT192" s="45">
        <f t="shared" si="1191"/>
        <v>0.18582289486509462</v>
      </c>
      <c r="BU192" s="45">
        <f t="shared" si="1191"/>
        <v>0.18582289486509462</v>
      </c>
      <c r="BV192" s="45">
        <f t="shared" si="1191"/>
        <v>0.15485241238757885</v>
      </c>
      <c r="BW192" s="45">
        <f t="shared" si="1191"/>
        <v>0.15485241238757885</v>
      </c>
      <c r="BX192" s="45">
        <f t="shared" si="1191"/>
        <v>0.15485241238757885</v>
      </c>
      <c r="BY192" s="45">
        <f t="shared" si="1191"/>
        <v>0.15485241238757885</v>
      </c>
      <c r="BZ192" s="45">
        <f t="shared" ref="BZ192:CU192" si="1192">+BZ193*$CZ192</f>
        <v>0.14710979176819991</v>
      </c>
      <c r="CA192" s="45">
        <f t="shared" si="1192"/>
        <v>0.14710979176819991</v>
      </c>
      <c r="CB192" s="45">
        <f t="shared" si="1192"/>
        <v>0.14710979176819991</v>
      </c>
      <c r="CC192" s="45">
        <f t="shared" si="1192"/>
        <v>0.14710979176819991</v>
      </c>
      <c r="CD192" s="45">
        <f t="shared" si="1192"/>
        <v>0.14710979176819991</v>
      </c>
      <c r="CE192" s="45">
        <f t="shared" si="1192"/>
        <v>0.14710979176819991</v>
      </c>
      <c r="CF192" s="45">
        <f t="shared" si="1192"/>
        <v>0.14710979176819991</v>
      </c>
      <c r="CG192" s="45">
        <f t="shared" si="1192"/>
        <v>0.14710979176819991</v>
      </c>
      <c r="CH192" s="45">
        <f t="shared" si="1192"/>
        <v>0.14710979176819991</v>
      </c>
      <c r="CI192" s="45">
        <f t="shared" si="1192"/>
        <v>0.14710979176819991</v>
      </c>
      <c r="CJ192" s="45">
        <f t="shared" si="1192"/>
        <v>0.14710979176819991</v>
      </c>
      <c r="CK192" s="45">
        <f t="shared" si="1192"/>
        <v>0.14710979176819991</v>
      </c>
      <c r="CL192" s="45">
        <f t="shared" si="1192"/>
        <v>0.14710979176819991</v>
      </c>
      <c r="CM192" s="45">
        <f t="shared" si="1192"/>
        <v>0.14710979176819991</v>
      </c>
      <c r="CN192" s="45">
        <f t="shared" si="1192"/>
        <v>0.14710979176819991</v>
      </c>
      <c r="CO192" s="45">
        <f t="shared" si="1192"/>
        <v>0.14710979176819991</v>
      </c>
      <c r="CP192" s="45">
        <f t="shared" si="1192"/>
        <v>0.14710979176819991</v>
      </c>
      <c r="CQ192" s="45">
        <f t="shared" si="1192"/>
        <v>0.14710979176819991</v>
      </c>
      <c r="CR192" s="45">
        <f t="shared" si="1192"/>
        <v>0.14710979176819991</v>
      </c>
      <c r="CS192" s="45">
        <f t="shared" si="1192"/>
        <v>0.14710979176819991</v>
      </c>
      <c r="CT192" s="45">
        <f t="shared" si="1192"/>
        <v>0.14710979176819991</v>
      </c>
      <c r="CU192" s="45">
        <f t="shared" si="1192"/>
        <v>0.14710979176819991</v>
      </c>
      <c r="CV192" s="45">
        <f t="shared" ref="CV192:CW192" si="1193">+CV193*$CZ192</f>
        <v>0.14710979176819991</v>
      </c>
      <c r="CW192" s="45">
        <f t="shared" si="1193"/>
        <v>0.14710979176819991</v>
      </c>
      <c r="CX192" s="269"/>
      <c r="CY192" s="559">
        <v>1.1000000000000001</v>
      </c>
      <c r="CZ192" s="559">
        <v>1.1000000000000001</v>
      </c>
      <c r="DA192" s="269" t="s">
        <v>1420</v>
      </c>
    </row>
    <row r="193" spans="1:106">
      <c r="A193" s="86" t="s">
        <v>200</v>
      </c>
      <c r="B193" s="392"/>
      <c r="C193" s="392"/>
      <c r="D193" s="392"/>
      <c r="E193" s="394"/>
      <c r="F193" s="51" t="str">
        <f t="shared" ref="F193:AA193" si="1194">F192</f>
        <v>ND</v>
      </c>
      <c r="G193" s="51" t="str">
        <f t="shared" si="1194"/>
        <v>ND</v>
      </c>
      <c r="H193" s="51" t="str">
        <f t="shared" si="1194"/>
        <v>ND</v>
      </c>
      <c r="I193" s="51" t="str">
        <f t="shared" si="1194"/>
        <v>ND</v>
      </c>
      <c r="J193" s="51" t="str">
        <f t="shared" si="1194"/>
        <v>ND</v>
      </c>
      <c r="K193" s="51" t="str">
        <f t="shared" si="1194"/>
        <v>ND</v>
      </c>
      <c r="L193" s="51" t="str">
        <f t="shared" si="1194"/>
        <v>ND</v>
      </c>
      <c r="M193" s="51" t="str">
        <f t="shared" si="1194"/>
        <v>ND</v>
      </c>
      <c r="N193" s="51" t="str">
        <f t="shared" si="1194"/>
        <v>ND</v>
      </c>
      <c r="O193" s="51" t="str">
        <f t="shared" si="1194"/>
        <v>ND</v>
      </c>
      <c r="P193" s="51" t="str">
        <f t="shared" si="1194"/>
        <v>ND</v>
      </c>
      <c r="Q193" s="51" t="str">
        <f t="shared" si="1194"/>
        <v>ND</v>
      </c>
      <c r="R193" s="51" t="str">
        <f t="shared" si="1194"/>
        <v>ND</v>
      </c>
      <c r="S193" s="51" t="str">
        <f t="shared" si="1194"/>
        <v>ND</v>
      </c>
      <c r="T193" s="51" t="str">
        <f t="shared" si="1194"/>
        <v>ND</v>
      </c>
      <c r="U193" s="38">
        <f t="shared" si="1194"/>
        <v>0.26</v>
      </c>
      <c r="V193" s="38">
        <f t="shared" si="1194"/>
        <v>0.26500000000000001</v>
      </c>
      <c r="W193" s="38">
        <f t="shared" si="1194"/>
        <v>0.19800000000000001</v>
      </c>
      <c r="X193" s="38">
        <f t="shared" si="1194"/>
        <v>0.16400000000000001</v>
      </c>
      <c r="Y193" s="38">
        <f t="shared" si="1194"/>
        <v>0.16700000000000001</v>
      </c>
      <c r="Z193" s="38">
        <f t="shared" si="1194"/>
        <v>0.154</v>
      </c>
      <c r="AA193" s="38">
        <f t="shared" si="1194"/>
        <v>0.27400000000000002</v>
      </c>
      <c r="AB193" s="38">
        <f t="shared" ref="AB193:AM193" si="1195">AB192</f>
        <v>0.29299999999999998</v>
      </c>
      <c r="AC193" s="38">
        <f t="shared" si="1195"/>
        <v>0.28399999999999997</v>
      </c>
      <c r="AD193" s="38">
        <f t="shared" si="1195"/>
        <v>0.26800000000000002</v>
      </c>
      <c r="AE193" s="38">
        <f t="shared" si="1195"/>
        <v>0.23</v>
      </c>
      <c r="AF193" s="38">
        <f t="shared" si="1195"/>
        <v>0.23599999999999999</v>
      </c>
      <c r="AG193" s="38">
        <f t="shared" si="1195"/>
        <v>0.22</v>
      </c>
      <c r="AH193" s="38">
        <f t="shared" si="1195"/>
        <v>0.247</v>
      </c>
      <c r="AI193" s="38">
        <f t="shared" si="1195"/>
        <v>0.16600000000000001</v>
      </c>
      <c r="AJ193" s="38">
        <f t="shared" si="1195"/>
        <v>0.216</v>
      </c>
      <c r="AK193" s="38">
        <f t="shared" si="1195"/>
        <v>0.184</v>
      </c>
      <c r="AL193" s="38">
        <f t="shared" si="1195"/>
        <v>9.6000000000000002E-2</v>
      </c>
      <c r="AM193" s="38">
        <f t="shared" si="1195"/>
        <v>0.126</v>
      </c>
      <c r="AN193" s="38">
        <f t="shared" ref="AN193:AS193" si="1196">AN192</f>
        <v>0.10100000000000001</v>
      </c>
      <c r="AO193" s="38">
        <f t="shared" si="1196"/>
        <v>0.15</v>
      </c>
      <c r="AP193" s="1392">
        <f t="shared" si="1196"/>
        <v>0.13100000000000001</v>
      </c>
      <c r="AQ193" s="1393">
        <f t="shared" si="1196"/>
        <v>0.16400000000000001</v>
      </c>
      <c r="AR193" s="1393">
        <f t="shared" si="1196"/>
        <v>0.186</v>
      </c>
      <c r="AS193" s="1393">
        <f t="shared" si="1196"/>
        <v>0.11600000000000001</v>
      </c>
      <c r="AT193" s="1393">
        <f t="shared" ref="AT193:BC193" si="1197">AT192</f>
        <v>6.8000000000000005E-2</v>
      </c>
      <c r="AU193" s="1393">
        <f t="shared" si="1197"/>
        <v>-0.442</v>
      </c>
      <c r="AV193" s="1393">
        <f t="shared" si="1197"/>
        <v>-0.36499999999999999</v>
      </c>
      <c r="AW193" s="1393">
        <f t="shared" si="1197"/>
        <v>-0.14199999999999999</v>
      </c>
      <c r="AX193" s="1393">
        <f t="shared" si="1197"/>
        <v>4.9000000000000002E-2</v>
      </c>
      <c r="AY193" s="1393">
        <f t="shared" si="1197"/>
        <v>0.98299999999999998</v>
      </c>
      <c r="AZ193" s="1393">
        <f t="shared" si="1197"/>
        <v>1.01</v>
      </c>
      <c r="BA193" s="1393">
        <f t="shared" si="1197"/>
        <v>0.78400000000000003</v>
      </c>
      <c r="BB193" s="1393">
        <f t="shared" si="1197"/>
        <v>0.66400000000000003</v>
      </c>
      <c r="BC193" s="1393">
        <f t="shared" si="1197"/>
        <v>1.002</v>
      </c>
      <c r="BD193" s="1393">
        <f t="shared" ref="BD193:BI193" si="1198">BD192</f>
        <v>0.68200000000000005</v>
      </c>
      <c r="BE193" s="1393">
        <f t="shared" si="1198"/>
        <v>0.53500000000000003</v>
      </c>
      <c r="BF193" s="1393">
        <f t="shared" si="1198"/>
        <v>0.58299999999999996</v>
      </c>
      <c r="BG193" s="1393">
        <f t="shared" si="1198"/>
        <v>0.49</v>
      </c>
      <c r="BH193" s="1393">
        <f t="shared" ref="BH193" si="1199">BH192</f>
        <v>0.41399999999999998</v>
      </c>
      <c r="BI193" s="1393">
        <f t="shared" si="1198"/>
        <v>0.28100000000000003</v>
      </c>
      <c r="BJ193" s="1393">
        <f t="shared" ref="BJ193:BK193" si="1200">BJ192</f>
        <v>0.33400000000000002</v>
      </c>
      <c r="BK193" s="1832">
        <f t="shared" si="1200"/>
        <v>0.48099999999999998</v>
      </c>
      <c r="BL193" s="1853">
        <f>+Q_IS!BL$183*70%</f>
        <v>0.54432197431955731</v>
      </c>
      <c r="BM193" s="1853">
        <f>+Q_IS!BM$183*70%</f>
        <v>0.36521376066025552</v>
      </c>
      <c r="BN193" s="1853">
        <f>+Q_IS!BN$183*$CY193</f>
        <v>0.31192276576858619</v>
      </c>
      <c r="BO193" s="1853">
        <f>+Q_IS!BO$183*$CY193</f>
        <v>0.24602434963508035</v>
      </c>
      <c r="BP193" s="1853">
        <f>+Q_IS!BP$183*$CY193</f>
        <v>0.18988165221821979</v>
      </c>
      <c r="BQ193" s="1752">
        <f>+Q_IS!BQ$183*$CY193</f>
        <v>0.1407749203523444</v>
      </c>
      <c r="BR193" s="1752">
        <f>+Q_IS!BR$183*($CY193+20%)</f>
        <v>0.16892990442281328</v>
      </c>
      <c r="BS193" s="1752">
        <f>+Q_IS!BS$183*($CY193+20%)</f>
        <v>0.16892990442281328</v>
      </c>
      <c r="BT193" s="1752">
        <f>+Q_IS!BT$183*($CY193+20%)</f>
        <v>0.16892990442281328</v>
      </c>
      <c r="BU193" s="1752">
        <f>+Q_IS!BU$183*($CY193+20%)</f>
        <v>0.16892990442281328</v>
      </c>
      <c r="BV193" s="1752">
        <f>+Q_IS!BV$183*$CY193</f>
        <v>0.1407749203523444</v>
      </c>
      <c r="BW193" s="1752">
        <f>+Q_IS!BW$183*$CY193</f>
        <v>0.1407749203523444</v>
      </c>
      <c r="BX193" s="1752">
        <f>+Q_IS!BX$183*$CY193</f>
        <v>0.1407749203523444</v>
      </c>
      <c r="BY193" s="1752">
        <f>+Q_IS!BY$183*$CY193</f>
        <v>0.1407749203523444</v>
      </c>
      <c r="BZ193" s="1752">
        <f>+Q_IS!BZ$183*$CZ193</f>
        <v>0.13373617433472718</v>
      </c>
      <c r="CA193" s="1752">
        <f>+Q_IS!CA$183*$CZ193</f>
        <v>0.13373617433472718</v>
      </c>
      <c r="CB193" s="1752">
        <f>+Q_IS!CB$183*$CZ193</f>
        <v>0.13373617433472718</v>
      </c>
      <c r="CC193" s="1752">
        <f>+Q_IS!CC$183*$CZ193</f>
        <v>0.13373617433472718</v>
      </c>
      <c r="CD193" s="1752">
        <f>+Q_IS!CD$183*$CZ193</f>
        <v>0.13373617433472718</v>
      </c>
      <c r="CE193" s="1752">
        <f>+Q_IS!CE$183*$CZ193</f>
        <v>0.13373617433472718</v>
      </c>
      <c r="CF193" s="1752">
        <f>+Q_IS!CF$183*$CZ193</f>
        <v>0.13373617433472718</v>
      </c>
      <c r="CG193" s="1752">
        <f>+Q_IS!CG$183*$CZ193</f>
        <v>0.13373617433472718</v>
      </c>
      <c r="CH193" s="1752">
        <f>+Q_IS!CH$183*$CZ193</f>
        <v>0.13373617433472718</v>
      </c>
      <c r="CI193" s="1752">
        <f>+Q_IS!CI$183*$CZ193</f>
        <v>0.13373617433472718</v>
      </c>
      <c r="CJ193" s="1752">
        <f>+Q_IS!CJ$183*$CZ193</f>
        <v>0.13373617433472718</v>
      </c>
      <c r="CK193" s="1752">
        <f>+Q_IS!CK$183*$CZ193</f>
        <v>0.13373617433472718</v>
      </c>
      <c r="CL193" s="1752">
        <f>+Q_IS!CL$183*$CZ193</f>
        <v>0.13373617433472718</v>
      </c>
      <c r="CM193" s="1752">
        <f>+Q_IS!CM$183*$CZ193</f>
        <v>0.13373617433472718</v>
      </c>
      <c r="CN193" s="1752">
        <f>+Q_IS!CN$183*$CZ193</f>
        <v>0.13373617433472718</v>
      </c>
      <c r="CO193" s="1752">
        <f>+Q_IS!CO$183*$CZ193</f>
        <v>0.13373617433472718</v>
      </c>
      <c r="CP193" s="1752">
        <f>+Q_IS!CP$183*$CZ193</f>
        <v>0.13373617433472718</v>
      </c>
      <c r="CQ193" s="1752">
        <f>+Q_IS!CQ$183*$CZ193</f>
        <v>0.13373617433472718</v>
      </c>
      <c r="CR193" s="1752">
        <f>+Q_IS!CR$183*$CZ193</f>
        <v>0.13373617433472718</v>
      </c>
      <c r="CS193" s="1752">
        <f>+Q_IS!CS$183*$CZ193</f>
        <v>0.13373617433472718</v>
      </c>
      <c r="CT193" s="1752">
        <f>+Q_IS!CT$183*$CZ193</f>
        <v>0.13373617433472718</v>
      </c>
      <c r="CU193" s="1752">
        <f>+Q_IS!CU$183*$CZ193</f>
        <v>0.13373617433472718</v>
      </c>
      <c r="CV193" s="1752">
        <f>+Q_IS!CV$183*$CZ193</f>
        <v>0.13373617433472718</v>
      </c>
      <c r="CW193" s="1753">
        <f>+Q_IS!CW$183*$CZ193</f>
        <v>0.13373617433472718</v>
      </c>
      <c r="CX193" s="269"/>
      <c r="CY193" s="559">
        <v>1</v>
      </c>
      <c r="CZ193" s="559">
        <v>0.95</v>
      </c>
      <c r="DA193" s="269" t="s">
        <v>1268</v>
      </c>
    </row>
    <row r="194" spans="1:106">
      <c r="A194" s="86" t="s">
        <v>202</v>
      </c>
      <c r="B194" s="392"/>
      <c r="C194" s="392"/>
      <c r="D194" s="392"/>
      <c r="E194" s="394"/>
      <c r="F194" s="51" t="str">
        <f t="shared" ref="F194:AA194" si="1201">F192</f>
        <v>ND</v>
      </c>
      <c r="G194" s="51" t="str">
        <f t="shared" si="1201"/>
        <v>ND</v>
      </c>
      <c r="H194" s="51" t="str">
        <f t="shared" si="1201"/>
        <v>ND</v>
      </c>
      <c r="I194" s="51" t="str">
        <f t="shared" si="1201"/>
        <v>ND</v>
      </c>
      <c r="J194" s="51" t="str">
        <f t="shared" si="1201"/>
        <v>ND</v>
      </c>
      <c r="K194" s="51" t="str">
        <f t="shared" si="1201"/>
        <v>ND</v>
      </c>
      <c r="L194" s="51" t="str">
        <f t="shared" si="1201"/>
        <v>ND</v>
      </c>
      <c r="M194" s="51" t="str">
        <f t="shared" si="1201"/>
        <v>ND</v>
      </c>
      <c r="N194" s="51" t="str">
        <f t="shared" si="1201"/>
        <v>ND</v>
      </c>
      <c r="O194" s="51" t="str">
        <f t="shared" si="1201"/>
        <v>ND</v>
      </c>
      <c r="P194" s="51" t="str">
        <f t="shared" si="1201"/>
        <v>ND</v>
      </c>
      <c r="Q194" s="51" t="str">
        <f t="shared" si="1201"/>
        <v>ND</v>
      </c>
      <c r="R194" s="51" t="str">
        <f t="shared" si="1201"/>
        <v>ND</v>
      </c>
      <c r="S194" s="51" t="str">
        <f t="shared" si="1201"/>
        <v>ND</v>
      </c>
      <c r="T194" s="51" t="str">
        <f t="shared" si="1201"/>
        <v>ND</v>
      </c>
      <c r="U194" s="38">
        <f t="shared" si="1201"/>
        <v>0.26</v>
      </c>
      <c r="V194" s="38">
        <f t="shared" si="1201"/>
        <v>0.26500000000000001</v>
      </c>
      <c r="W194" s="38">
        <f t="shared" si="1201"/>
        <v>0.19800000000000001</v>
      </c>
      <c r="X194" s="38">
        <f t="shared" si="1201"/>
        <v>0.16400000000000001</v>
      </c>
      <c r="Y194" s="38">
        <f t="shared" si="1201"/>
        <v>0.16700000000000001</v>
      </c>
      <c r="Z194" s="38">
        <f t="shared" si="1201"/>
        <v>0.154</v>
      </c>
      <c r="AA194" s="38">
        <f t="shared" si="1201"/>
        <v>0.27400000000000002</v>
      </c>
      <c r="AB194" s="38">
        <f t="shared" ref="AB194:AM194" si="1202">AB192</f>
        <v>0.29299999999999998</v>
      </c>
      <c r="AC194" s="38">
        <f t="shared" si="1202"/>
        <v>0.28399999999999997</v>
      </c>
      <c r="AD194" s="38">
        <f t="shared" si="1202"/>
        <v>0.26800000000000002</v>
      </c>
      <c r="AE194" s="38">
        <f t="shared" si="1202"/>
        <v>0.23</v>
      </c>
      <c r="AF194" s="38">
        <f t="shared" si="1202"/>
        <v>0.23599999999999999</v>
      </c>
      <c r="AG194" s="38">
        <f t="shared" si="1202"/>
        <v>0.22</v>
      </c>
      <c r="AH194" s="38">
        <f t="shared" si="1202"/>
        <v>0.247</v>
      </c>
      <c r="AI194" s="38">
        <f t="shared" si="1202"/>
        <v>0.16600000000000001</v>
      </c>
      <c r="AJ194" s="38">
        <f t="shared" si="1202"/>
        <v>0.216</v>
      </c>
      <c r="AK194" s="38">
        <f t="shared" si="1202"/>
        <v>0.184</v>
      </c>
      <c r="AL194" s="38">
        <f t="shared" si="1202"/>
        <v>9.6000000000000002E-2</v>
      </c>
      <c r="AM194" s="38">
        <f t="shared" si="1202"/>
        <v>0.126</v>
      </c>
      <c r="AN194" s="38">
        <f t="shared" ref="AN194:AS194" si="1203">AN192</f>
        <v>0.10100000000000001</v>
      </c>
      <c r="AO194" s="38">
        <f t="shared" si="1203"/>
        <v>0.15</v>
      </c>
      <c r="AP194" s="38">
        <f t="shared" si="1203"/>
        <v>0.13100000000000001</v>
      </c>
      <c r="AQ194" s="38">
        <f t="shared" si="1203"/>
        <v>0.16400000000000001</v>
      </c>
      <c r="AR194" s="38">
        <f t="shared" si="1203"/>
        <v>0.186</v>
      </c>
      <c r="AS194" s="38">
        <f t="shared" si="1203"/>
        <v>0.11600000000000001</v>
      </c>
      <c r="AT194" s="38">
        <f t="shared" ref="AT194:BC194" si="1204">AT192</f>
        <v>6.8000000000000005E-2</v>
      </c>
      <c r="AU194" s="38">
        <f t="shared" si="1204"/>
        <v>-0.442</v>
      </c>
      <c r="AV194" s="38">
        <f t="shared" si="1204"/>
        <v>-0.36499999999999999</v>
      </c>
      <c r="AW194" s="38">
        <f t="shared" si="1204"/>
        <v>-0.14199999999999999</v>
      </c>
      <c r="AX194" s="38">
        <f t="shared" si="1204"/>
        <v>4.9000000000000002E-2</v>
      </c>
      <c r="AY194" s="38">
        <f t="shared" si="1204"/>
        <v>0.98299999999999998</v>
      </c>
      <c r="AZ194" s="38">
        <f t="shared" si="1204"/>
        <v>1.01</v>
      </c>
      <c r="BA194" s="38">
        <f t="shared" si="1204"/>
        <v>0.78400000000000003</v>
      </c>
      <c r="BB194" s="38">
        <f t="shared" si="1204"/>
        <v>0.66400000000000003</v>
      </c>
      <c r="BC194" s="38">
        <f t="shared" si="1204"/>
        <v>1.002</v>
      </c>
      <c r="BD194" s="38">
        <f t="shared" ref="BD194:BI194" si="1205">BD192</f>
        <v>0.68200000000000005</v>
      </c>
      <c r="BE194" s="38">
        <f t="shared" si="1205"/>
        <v>0.53500000000000003</v>
      </c>
      <c r="BF194" s="38">
        <f t="shared" si="1205"/>
        <v>0.58299999999999996</v>
      </c>
      <c r="BG194" s="38">
        <f t="shared" si="1205"/>
        <v>0.49</v>
      </c>
      <c r="BH194" s="38">
        <f t="shared" ref="BH194" si="1206">BH192</f>
        <v>0.41399999999999998</v>
      </c>
      <c r="BI194" s="38">
        <f t="shared" si="1205"/>
        <v>0.28100000000000003</v>
      </c>
      <c r="BJ194" s="38">
        <f t="shared" ref="BJ194:BK194" si="1207">BJ192</f>
        <v>0.33400000000000002</v>
      </c>
      <c r="BK194" s="1833">
        <f t="shared" si="1207"/>
        <v>0.48099999999999998</v>
      </c>
      <c r="BL194" s="45">
        <f t="shared" ref="BL194:BP194" si="1208">+BL193*$CY194</f>
        <v>0.43545757945564589</v>
      </c>
      <c r="BM194" s="45">
        <f t="shared" si="1208"/>
        <v>0.29217100852820443</v>
      </c>
      <c r="BN194" s="45">
        <f t="shared" si="1208"/>
        <v>0.24953821261486897</v>
      </c>
      <c r="BO194" s="45">
        <f t="shared" si="1208"/>
        <v>0.19681947970806429</v>
      </c>
      <c r="BP194" s="45">
        <f t="shared" si="1208"/>
        <v>0.15190532177457583</v>
      </c>
      <c r="BQ194" s="45">
        <f t="shared" ref="BQ194:BY194" si="1209">+BQ193*$CY194</f>
        <v>0.11261993628187553</v>
      </c>
      <c r="BR194" s="45">
        <f t="shared" si="1209"/>
        <v>0.13514392353825064</v>
      </c>
      <c r="BS194" s="45">
        <f t="shared" si="1209"/>
        <v>0.13514392353825064</v>
      </c>
      <c r="BT194" s="45">
        <f t="shared" si="1209"/>
        <v>0.13514392353825064</v>
      </c>
      <c r="BU194" s="45">
        <f t="shared" si="1209"/>
        <v>0.13514392353825064</v>
      </c>
      <c r="BV194" s="45">
        <f t="shared" si="1209"/>
        <v>0.11261993628187553</v>
      </c>
      <c r="BW194" s="45">
        <f t="shared" si="1209"/>
        <v>0.11261993628187553</v>
      </c>
      <c r="BX194" s="45">
        <f t="shared" si="1209"/>
        <v>0.11261993628187553</v>
      </c>
      <c r="BY194" s="45">
        <f t="shared" si="1209"/>
        <v>0.11261993628187553</v>
      </c>
      <c r="BZ194" s="45">
        <f t="shared" ref="BZ194:CU194" si="1210">+BZ193*$CZ194</f>
        <v>0.12036255690125446</v>
      </c>
      <c r="CA194" s="45">
        <f t="shared" si="1210"/>
        <v>0.12036255690125446</v>
      </c>
      <c r="CB194" s="45">
        <f t="shared" si="1210"/>
        <v>0.12036255690125446</v>
      </c>
      <c r="CC194" s="45">
        <f t="shared" si="1210"/>
        <v>0.12036255690125446</v>
      </c>
      <c r="CD194" s="45">
        <f t="shared" si="1210"/>
        <v>0.12036255690125446</v>
      </c>
      <c r="CE194" s="45">
        <f t="shared" si="1210"/>
        <v>0.12036255690125446</v>
      </c>
      <c r="CF194" s="45">
        <f t="shared" si="1210"/>
        <v>0.12036255690125446</v>
      </c>
      <c r="CG194" s="45">
        <f t="shared" si="1210"/>
        <v>0.12036255690125446</v>
      </c>
      <c r="CH194" s="45">
        <f t="shared" si="1210"/>
        <v>0.12036255690125446</v>
      </c>
      <c r="CI194" s="45">
        <f t="shared" si="1210"/>
        <v>0.12036255690125446</v>
      </c>
      <c r="CJ194" s="45">
        <f t="shared" si="1210"/>
        <v>0.12036255690125446</v>
      </c>
      <c r="CK194" s="45">
        <f t="shared" si="1210"/>
        <v>0.12036255690125446</v>
      </c>
      <c r="CL194" s="45">
        <f t="shared" si="1210"/>
        <v>0.12036255690125446</v>
      </c>
      <c r="CM194" s="45">
        <f t="shared" si="1210"/>
        <v>0.12036255690125446</v>
      </c>
      <c r="CN194" s="45">
        <f t="shared" si="1210"/>
        <v>0.12036255690125446</v>
      </c>
      <c r="CO194" s="45">
        <f t="shared" si="1210"/>
        <v>0.12036255690125446</v>
      </c>
      <c r="CP194" s="45">
        <f t="shared" si="1210"/>
        <v>0.12036255690125446</v>
      </c>
      <c r="CQ194" s="45">
        <f t="shared" si="1210"/>
        <v>0.12036255690125446</v>
      </c>
      <c r="CR194" s="45">
        <f t="shared" si="1210"/>
        <v>0.12036255690125446</v>
      </c>
      <c r="CS194" s="45">
        <f t="shared" si="1210"/>
        <v>0.12036255690125446</v>
      </c>
      <c r="CT194" s="45">
        <f t="shared" si="1210"/>
        <v>0.12036255690125446</v>
      </c>
      <c r="CU194" s="45">
        <f t="shared" si="1210"/>
        <v>0.12036255690125446</v>
      </c>
      <c r="CV194" s="45">
        <f t="shared" ref="CV194:CW194" si="1211">+CV193*$CZ194</f>
        <v>0.12036255690125446</v>
      </c>
      <c r="CW194" s="45">
        <f t="shared" si="1211"/>
        <v>0.12036255690125446</v>
      </c>
      <c r="CX194" s="269"/>
      <c r="CY194" s="559">
        <v>0.8</v>
      </c>
      <c r="CZ194" s="559">
        <v>0.9</v>
      </c>
      <c r="DA194" s="269" t="s">
        <v>1420</v>
      </c>
    </row>
    <row r="195" spans="1:106">
      <c r="A195" s="86" t="s">
        <v>1268</v>
      </c>
      <c r="B195" s="392"/>
      <c r="C195" s="392"/>
      <c r="D195" s="392"/>
      <c r="E195" s="394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152">
        <f>+U191/Q_IS!U183</f>
        <v>1.5841542119565217</v>
      </c>
      <c r="V195" s="152">
        <f>+V191/Q_IS!V183</f>
        <v>1.2274703806402822</v>
      </c>
      <c r="W195" s="152">
        <f>+W191/Q_IS!W183</f>
        <v>0.85473403638892098</v>
      </c>
      <c r="X195" s="152">
        <f>+X191/Q_IS!X183</f>
        <v>0.71370912385711538</v>
      </c>
      <c r="Y195" s="152">
        <f>+Y191/Q_IS!Y183</f>
        <v>0.78010282251200169</v>
      </c>
      <c r="Z195" s="152">
        <f>+Z191/Q_IS!Z183</f>
        <v>0.90417278255399436</v>
      </c>
      <c r="AA195" s="152">
        <f>+AA191/Q_IS!AA183</f>
        <v>1.7028775753447982</v>
      </c>
      <c r="AB195" s="152">
        <f>+AB191/Q_IS!AB183</f>
        <v>1.9105705628814065</v>
      </c>
      <c r="AC195" s="152">
        <f>+AC191/Q_IS!AC183</f>
        <v>1.7096830731012198</v>
      </c>
      <c r="AD195" s="152">
        <f>+AD191/Q_IS!AD183</f>
        <v>1.4526277238600991</v>
      </c>
      <c r="AE195" s="152">
        <f>+AE191/Q_IS!AE183</f>
        <v>1.0066659947881422</v>
      </c>
      <c r="AF195" s="152">
        <f>+AF191/Q_IS!AF183</f>
        <v>1.0842142818742089</v>
      </c>
      <c r="AG195" s="152">
        <f>+AG191/Q_IS!AG183</f>
        <v>1.0777668572941757</v>
      </c>
      <c r="AH195" s="152">
        <f>+AH191/Q_IS!AH183</f>
        <v>1.458099588689254</v>
      </c>
      <c r="AI195" s="152">
        <f>+AI191/Q_IS!AI183</f>
        <v>1.3695601675704687</v>
      </c>
      <c r="AJ195" s="152">
        <f>+AJ191/Q_IS!AJ183</f>
        <v>1.7037219620409167</v>
      </c>
      <c r="AK195" s="152">
        <f>+AK191/Q_IS!AK183</f>
        <v>1.4526315789473683</v>
      </c>
      <c r="AL195" s="152">
        <f>+AL191/Q_IS!AL183</f>
        <v>0.83043688336788291</v>
      </c>
      <c r="AM195" s="152">
        <f>+AM191/Q_IS!AM183</f>
        <v>0.93182756840474956</v>
      </c>
      <c r="AN195" s="152">
        <f>+AN191/Q_IS!AN183</f>
        <v>0.55428276947001076</v>
      </c>
      <c r="AO195" s="152">
        <f>+AO191/Q_IS!AO183</f>
        <v>0.72588288781179444</v>
      </c>
      <c r="AP195" s="152">
        <f>+AP191/Q_IS!AP183</f>
        <v>0.55886767450036501</v>
      </c>
      <c r="AQ195" s="152">
        <f>+AQ191/Q_IS!AQ183</f>
        <v>0.11199659722541352</v>
      </c>
      <c r="AR195" s="152">
        <f>+AR191/Q_IS!AR183</f>
        <v>0.13647429787461296</v>
      </c>
      <c r="AS195" s="152">
        <f>+AS191/Q_IS!AS183</f>
        <v>8.5187633105676744E-2</v>
      </c>
      <c r="AT195" s="152">
        <f>+AT191/Q_IS!AT183</f>
        <v>0.30666222461125781</v>
      </c>
      <c r="AU195" s="152">
        <f>+AU191/Q_IS!AU183</f>
        <v>-2.3772357117758061</v>
      </c>
      <c r="AV195" s="152">
        <f>+AV191/Q_IS!AV183</f>
        <v>-2.2671087060099295</v>
      </c>
      <c r="AW195" s="152">
        <f>+AW191/Q_IS!AW183</f>
        <v>-0.91663394988138858</v>
      </c>
      <c r="AX195" s="152">
        <f>+AX191/Q_IS!AX183</f>
        <v>0.27490988973591346</v>
      </c>
      <c r="AY195" s="152">
        <f>+AY191/Q_IS!AY183</f>
        <v>4.5908029524079899</v>
      </c>
      <c r="AZ195" s="152">
        <f>+AZ191/Q_IS!AZ183</f>
        <v>4.4365727442579104</v>
      </c>
      <c r="BA195" s="152">
        <f>+BA191/Q_IS!BA183</f>
        <v>3.4393370940957899</v>
      </c>
      <c r="BB195" s="152">
        <f>+BB191/Q_IS!BB183</f>
        <v>2.6017053662988343</v>
      </c>
      <c r="BC195" s="152">
        <f>+BC191/Q_IS!BC183</f>
        <v>3.3818047593162133</v>
      </c>
      <c r="BD195" s="152">
        <f>+BD191/Q_IS!BD183</f>
        <v>1.8415585308519631</v>
      </c>
      <c r="BE195" s="152">
        <f>+BE191/Q_IS!BE183</f>
        <v>1.3223611551050529</v>
      </c>
      <c r="BF195" s="152">
        <f>+BF191/Q_IS!BF183</f>
        <v>1.3583015633676763</v>
      </c>
      <c r="BG195" s="152">
        <f>+BG191/Q_IS!BG183</f>
        <v>1.0969759417038418</v>
      </c>
      <c r="BH195" s="152">
        <f>+BH191/Q_IS!BH183</f>
        <v>0.81512091866516301</v>
      </c>
      <c r="BI195" s="152">
        <f>+BI191/Q_IS!BI183</f>
        <v>0.38852324872139604</v>
      </c>
      <c r="BJ195" s="152">
        <f>+BJ191/Q_IS!BJ183</f>
        <v>0.34718550629819822</v>
      </c>
      <c r="BK195" s="1834">
        <f>+BK191/Q_IS!BK183</f>
        <v>0.51230464823384958</v>
      </c>
      <c r="BL195" s="395">
        <f>+BL191/Q_IS!BL183</f>
        <v>0.56000000000000005</v>
      </c>
      <c r="BM195" s="395">
        <f>+BM191/Q_IS!BM183</f>
        <v>0.55999999999999994</v>
      </c>
      <c r="BN195" s="395">
        <f>+BN191/Q_IS!BN183</f>
        <v>0.8</v>
      </c>
      <c r="BO195" s="395">
        <f>+BO191/Q_IS!BO183</f>
        <v>0.8</v>
      </c>
      <c r="BP195" s="395">
        <f>+BP191/Q_IS!BP183</f>
        <v>0.8</v>
      </c>
      <c r="BQ195" s="395">
        <f>+BQ191/Q_IS!BQ183</f>
        <v>0.8</v>
      </c>
      <c r="BR195" s="395">
        <f>+BR191/Q_IS!BR183</f>
        <v>0.96000000000000008</v>
      </c>
      <c r="BS195" s="395">
        <f>+BS191/Q_IS!BS183</f>
        <v>0.96000000000000008</v>
      </c>
      <c r="BT195" s="395">
        <f>+BT191/Q_IS!BT183</f>
        <v>0.96000000000000008</v>
      </c>
      <c r="BU195" s="395">
        <f>+BU191/Q_IS!BU183</f>
        <v>0.96000000000000008</v>
      </c>
      <c r="BV195" s="395">
        <f>+BV191/Q_IS!BV183</f>
        <v>0.8</v>
      </c>
      <c r="BW195" s="395">
        <f>+BW191/Q_IS!BW183</f>
        <v>0.8</v>
      </c>
      <c r="BX195" s="395">
        <f>+BX191/Q_IS!BX183</f>
        <v>0.8</v>
      </c>
      <c r="BY195" s="395">
        <f>+BY191/Q_IS!BY183</f>
        <v>0.8</v>
      </c>
      <c r="BZ195" s="395">
        <f>+BZ191/Q_IS!BZ183</f>
        <v>0.85499999999999998</v>
      </c>
      <c r="CA195" s="395">
        <f>+CA191/Q_IS!CA183</f>
        <v>0.85499999999999998</v>
      </c>
      <c r="CB195" s="395">
        <f>+CB191/Q_IS!CB183</f>
        <v>0.85499999999999998</v>
      </c>
      <c r="CC195" s="395">
        <f>+CC191/Q_IS!CC183</f>
        <v>0.85499999999999998</v>
      </c>
      <c r="CD195" s="395">
        <f>+CD191/Q_IS!CD183</f>
        <v>0.85499999999999998</v>
      </c>
      <c r="CE195" s="395">
        <f>+CE191/Q_IS!CE183</f>
        <v>0.85499999999999998</v>
      </c>
      <c r="CF195" s="395">
        <f>+CF191/Q_IS!CF183</f>
        <v>0.85499999999999998</v>
      </c>
      <c r="CG195" s="395">
        <f>+CG191/Q_IS!CG183</f>
        <v>0.85499999999999998</v>
      </c>
      <c r="CH195" s="395">
        <f>+CH191/Q_IS!CH183</f>
        <v>0.85499999999999998</v>
      </c>
      <c r="CI195" s="395">
        <f>+CI191/Q_IS!CI183</f>
        <v>0.85499999999999998</v>
      </c>
      <c r="CJ195" s="395">
        <f>+CJ191/Q_IS!CJ183</f>
        <v>0.85499999999999998</v>
      </c>
      <c r="CK195" s="395">
        <f>+CK191/Q_IS!CK183</f>
        <v>0.85499999999999998</v>
      </c>
      <c r="CL195" s="395">
        <f>+CL191/Q_IS!CL183</f>
        <v>0.85499999999999998</v>
      </c>
      <c r="CM195" s="395">
        <f>+CM191/Q_IS!CM183</f>
        <v>0.85499999999999998</v>
      </c>
      <c r="CN195" s="395">
        <f>+CN191/Q_IS!CN183</f>
        <v>0.85499999999999998</v>
      </c>
      <c r="CO195" s="395">
        <f>+CO191/Q_IS!CO183</f>
        <v>0.85499999999999998</v>
      </c>
      <c r="CP195" s="395">
        <f>+CP191/Q_IS!CP183</f>
        <v>0.85499999999999998</v>
      </c>
      <c r="CQ195" s="395">
        <f>+CQ191/Q_IS!CQ183</f>
        <v>0.85499999999999998</v>
      </c>
      <c r="CR195" s="395">
        <f>+CR191/Q_IS!CR183</f>
        <v>0.85499999999999998</v>
      </c>
      <c r="CS195" s="395">
        <f>+CS191/Q_IS!CS183</f>
        <v>0.85499999999999998</v>
      </c>
      <c r="CT195" s="395">
        <f>+CT191/Q_IS!CT183</f>
        <v>0.85499999999999998</v>
      </c>
      <c r="CU195" s="395">
        <f>+CU191/Q_IS!CU183</f>
        <v>0.85499999999999998</v>
      </c>
      <c r="CV195" s="395">
        <f>+CV191/Q_IS!CV183</f>
        <v>0.85499999999999998</v>
      </c>
      <c r="CW195" s="395">
        <f>+CW191/Q_IS!CW183</f>
        <v>0.85499999999999998</v>
      </c>
      <c r="CX195" s="269"/>
      <c r="CY195" s="269"/>
      <c r="CZ195" s="269"/>
    </row>
    <row r="196" spans="1:106">
      <c r="A196" s="42"/>
      <c r="B196" s="388"/>
      <c r="C196" s="388"/>
      <c r="D196" s="388"/>
      <c r="E196" s="38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269"/>
      <c r="AN196" s="269"/>
      <c r="AO196" s="269"/>
      <c r="AP196" s="269"/>
      <c r="AQ196" s="269"/>
      <c r="AR196" s="269"/>
      <c r="AS196" s="269"/>
      <c r="AT196" s="269"/>
      <c r="AU196" s="45"/>
      <c r="AV196" s="45"/>
      <c r="AW196" s="45"/>
      <c r="AX196" s="45"/>
      <c r="AY196" s="45"/>
      <c r="AZ196" s="45"/>
      <c r="BA196" s="45"/>
      <c r="BB196" s="45"/>
      <c r="BC196" s="45"/>
      <c r="BD196" s="45"/>
      <c r="BE196" s="45"/>
      <c r="BF196" s="45"/>
      <c r="BG196" s="45"/>
      <c r="BH196" s="45"/>
      <c r="BI196" s="45"/>
      <c r="BJ196" s="45"/>
      <c r="BK196" s="1828"/>
      <c r="BL196" s="45"/>
      <c r="BM196" s="45"/>
      <c r="BN196" s="45"/>
      <c r="BO196" s="45"/>
      <c r="BP196" s="45"/>
      <c r="BQ196" s="45"/>
      <c r="BR196" s="45"/>
      <c r="BS196" s="45"/>
      <c r="BT196" s="45"/>
      <c r="BU196" s="45"/>
      <c r="BV196" s="45"/>
      <c r="BW196" s="45"/>
      <c r="BX196" s="45"/>
      <c r="BY196" s="45"/>
      <c r="BZ196" s="45"/>
      <c r="CA196" s="45"/>
      <c r="CB196" s="45"/>
      <c r="CC196" s="45"/>
      <c r="CD196" s="45"/>
      <c r="CE196" s="45"/>
      <c r="CF196" s="45"/>
      <c r="CG196" s="45"/>
      <c r="CH196" s="45"/>
      <c r="CI196" s="45"/>
      <c r="CJ196" s="45"/>
      <c r="CK196" s="45"/>
      <c r="CL196" s="45"/>
      <c r="CM196" s="45"/>
      <c r="CN196" s="45"/>
      <c r="CO196" s="45"/>
      <c r="CP196" s="45"/>
      <c r="CQ196" s="45"/>
      <c r="CR196" s="45"/>
      <c r="CS196" s="45"/>
      <c r="CT196" s="45"/>
      <c r="CU196" s="45"/>
      <c r="CV196" s="45"/>
      <c r="CW196" s="45"/>
      <c r="CX196" s="269"/>
      <c r="CY196" s="269"/>
      <c r="CZ196" s="269"/>
    </row>
    <row r="197" spans="1:106">
      <c r="A197" s="691" t="s">
        <v>1112</v>
      </c>
      <c r="B197" s="397"/>
      <c r="C197" s="397"/>
      <c r="D197" s="397"/>
      <c r="E197" s="397"/>
      <c r="F197" s="690"/>
      <c r="G197" s="690" t="str">
        <f t="shared" ref="G197:BQ197" si="1212">CHOOSE(MASTERSWITCH,G198,G199,G200)</f>
        <v>NM</v>
      </c>
      <c r="H197" s="690" t="str">
        <f t="shared" si="1212"/>
        <v>NM</v>
      </c>
      <c r="I197" s="690" t="str">
        <f t="shared" si="1212"/>
        <v>NM</v>
      </c>
      <c r="J197" s="690" t="str">
        <f t="shared" si="1212"/>
        <v>NM</v>
      </c>
      <c r="K197" s="690" t="str">
        <f t="shared" si="1212"/>
        <v>NM</v>
      </c>
      <c r="L197" s="690" t="str">
        <f t="shared" si="1212"/>
        <v>NM</v>
      </c>
      <c r="M197" s="690" t="str">
        <f t="shared" si="1212"/>
        <v>NM</v>
      </c>
      <c r="N197" s="690" t="str">
        <f t="shared" si="1212"/>
        <v>NM</v>
      </c>
      <c r="O197" s="690" t="str">
        <f t="shared" si="1212"/>
        <v>NM</v>
      </c>
      <c r="P197" s="690" t="str">
        <f t="shared" si="1212"/>
        <v>NM</v>
      </c>
      <c r="Q197" s="690" t="str">
        <f t="shared" si="1212"/>
        <v>NM</v>
      </c>
      <c r="R197" s="690" t="str">
        <f t="shared" si="1212"/>
        <v>NM</v>
      </c>
      <c r="S197" s="690" t="str">
        <f t="shared" si="1212"/>
        <v>NM</v>
      </c>
      <c r="T197" s="690" t="str">
        <f t="shared" si="1212"/>
        <v>NM</v>
      </c>
      <c r="U197" s="397">
        <f t="shared" si="1212"/>
        <v>1.0053830100536054</v>
      </c>
      <c r="V197" s="397">
        <f t="shared" si="1212"/>
        <v>0.87213582363561681</v>
      </c>
      <c r="W197" s="397">
        <f t="shared" si="1212"/>
        <v>1.0851338065423222</v>
      </c>
      <c r="X197" s="397">
        <f t="shared" si="1212"/>
        <v>1.2161233328437391</v>
      </c>
      <c r="Y197" s="397">
        <f t="shared" si="1212"/>
        <v>0.43823594716491909</v>
      </c>
      <c r="Z197" s="397">
        <f t="shared" si="1212"/>
        <v>1.4079429278597952</v>
      </c>
      <c r="AA197" s="397">
        <f t="shared" si="1212"/>
        <v>0.66496591651398351</v>
      </c>
      <c r="AB197" s="397">
        <f t="shared" ref="AB197:AM197" si="1213">CHOOSE(MASTERSWITCH,AB198,AB199,AB200)</f>
        <v>0.46711573108985344</v>
      </c>
      <c r="AC197" s="397">
        <f t="shared" si="1213"/>
        <v>1.0962543269189098</v>
      </c>
      <c r="AD197" s="397">
        <f t="shared" si="1213"/>
        <v>0.35458532343781235</v>
      </c>
      <c r="AE197" s="397">
        <f t="shared" si="1213"/>
        <v>0.31543382558498673</v>
      </c>
      <c r="AF197" s="397">
        <f t="shared" si="1213"/>
        <v>0.12541915655091063</v>
      </c>
      <c r="AG197" s="397">
        <f t="shared" si="1213"/>
        <v>-0.23238168439032741</v>
      </c>
      <c r="AH197" s="397">
        <f t="shared" si="1213"/>
        <v>0.78242809766554977</v>
      </c>
      <c r="AI197" s="397">
        <f t="shared" si="1213"/>
        <v>0.94431245781747331</v>
      </c>
      <c r="AJ197" s="397">
        <f t="shared" si="1213"/>
        <v>0.7685257346754133</v>
      </c>
      <c r="AK197" s="397">
        <f t="shared" si="1213"/>
        <v>0.84816958064222259</v>
      </c>
      <c r="AL197" s="397">
        <f t="shared" si="1213"/>
        <v>0.71425665230126278</v>
      </c>
      <c r="AM197" s="397">
        <f t="shared" si="1213"/>
        <v>1.3911778521798983</v>
      </c>
      <c r="AN197" s="397">
        <f t="shared" ref="AN197:AS197" si="1214">CHOOSE(MASTERSWITCH,AN198,AN199,AN200)</f>
        <v>2.1433334765215943</v>
      </c>
      <c r="AO197" s="397">
        <f t="shared" si="1214"/>
        <v>3.7004120721402964</v>
      </c>
      <c r="AP197" s="397">
        <f t="shared" si="1214"/>
        <v>3.4588275968112709</v>
      </c>
      <c r="AQ197" s="397">
        <f t="shared" si="1214"/>
        <v>1.8280326223938848</v>
      </c>
      <c r="AR197" s="397">
        <f t="shared" si="1214"/>
        <v>2.3431183625221292</v>
      </c>
      <c r="AS197" s="397">
        <f t="shared" si="1214"/>
        <v>10.755775867083498</v>
      </c>
      <c r="AT197" s="397">
        <f t="shared" ref="AT197:BC197" si="1215">CHOOSE(MASTERSWITCH,AT198,AT199,AT200)</f>
        <v>-9.4514285499272699</v>
      </c>
      <c r="AU197" s="397">
        <f t="shared" si="1215"/>
        <v>120.87031981242757</v>
      </c>
      <c r="AV197" s="397">
        <f t="shared" si="1215"/>
        <v>10.459596660344994</v>
      </c>
      <c r="AW197" s="397">
        <f t="shared" si="1215"/>
        <v>5.6970374780849866</v>
      </c>
      <c r="AX197" s="397">
        <f t="shared" si="1215"/>
        <v>0.3018021435381017</v>
      </c>
      <c r="AY197" s="397">
        <f t="shared" si="1215"/>
        <v>13.415357818170273</v>
      </c>
      <c r="AZ197" s="397">
        <f t="shared" si="1215"/>
        <v>5.4440601525405556</v>
      </c>
      <c r="BA197" s="397">
        <f t="shared" si="1215"/>
        <v>2.8898050531296033</v>
      </c>
      <c r="BB197" s="397">
        <f t="shared" si="1215"/>
        <v>3.2822676922429443</v>
      </c>
      <c r="BC197" s="397">
        <f t="shared" si="1215"/>
        <v>4.142196044877795</v>
      </c>
      <c r="BD197" s="397">
        <f t="shared" ref="BD197:BI197" si="1216">CHOOSE(MASTERSWITCH,BD198,BD199,BD200)</f>
        <v>3.3738218075161153</v>
      </c>
      <c r="BE197" s="397">
        <f t="shared" si="1216"/>
        <v>4.1638222485901339</v>
      </c>
      <c r="BF197" s="397">
        <f t="shared" si="1216"/>
        <v>6.5612084368750674</v>
      </c>
      <c r="BG197" s="397">
        <f t="shared" si="1216"/>
        <v>5.4494208915755671</v>
      </c>
      <c r="BH197" s="397">
        <f t="shared" si="1216"/>
        <v>4.1223676783355092</v>
      </c>
      <c r="BI197" s="397">
        <f t="shared" si="1216"/>
        <v>4.3817141810243694</v>
      </c>
      <c r="BJ197" s="397">
        <f t="shared" ref="BJ197:BK197" si="1217">CHOOSE(MASTERSWITCH,BJ198,BJ199,BJ200)</f>
        <v>6.6412758533548928</v>
      </c>
      <c r="BK197" s="1824">
        <f t="shared" si="1217"/>
        <v>13.481877117791619</v>
      </c>
      <c r="BL197" s="398">
        <f t="shared" si="1212"/>
        <v>0.8</v>
      </c>
      <c r="BM197" s="398">
        <f t="shared" si="1212"/>
        <v>0.8</v>
      </c>
      <c r="BN197" s="398">
        <f t="shared" si="1212"/>
        <v>0.8</v>
      </c>
      <c r="BO197" s="398">
        <f t="shared" si="1212"/>
        <v>0.8</v>
      </c>
      <c r="BP197" s="398">
        <f t="shared" si="1212"/>
        <v>0.8</v>
      </c>
      <c r="BQ197" s="398">
        <f t="shared" si="1212"/>
        <v>0.8</v>
      </c>
      <c r="BR197" s="398">
        <f t="shared" ref="BR197:CK197" si="1218">CHOOSE(MASTERSWITCH,BR198,BR199,BR200)</f>
        <v>0.8</v>
      </c>
      <c r="BS197" s="398">
        <f t="shared" si="1218"/>
        <v>0.8</v>
      </c>
      <c r="BT197" s="398">
        <f t="shared" si="1218"/>
        <v>0.8</v>
      </c>
      <c r="BU197" s="398">
        <f t="shared" si="1218"/>
        <v>0.8</v>
      </c>
      <c r="BV197" s="398">
        <f t="shared" si="1218"/>
        <v>0.8</v>
      </c>
      <c r="BW197" s="398">
        <f t="shared" si="1218"/>
        <v>0.8</v>
      </c>
      <c r="BX197" s="398">
        <f t="shared" si="1218"/>
        <v>0.8</v>
      </c>
      <c r="BY197" s="398">
        <f t="shared" si="1218"/>
        <v>0.8</v>
      </c>
      <c r="BZ197" s="398">
        <f t="shared" si="1218"/>
        <v>0.8</v>
      </c>
      <c r="CA197" s="398">
        <f t="shared" si="1218"/>
        <v>0.8</v>
      </c>
      <c r="CB197" s="398">
        <f t="shared" si="1218"/>
        <v>0.8</v>
      </c>
      <c r="CC197" s="398">
        <f t="shared" si="1218"/>
        <v>0.8</v>
      </c>
      <c r="CD197" s="398">
        <f t="shared" si="1218"/>
        <v>0.8</v>
      </c>
      <c r="CE197" s="398">
        <f t="shared" si="1218"/>
        <v>0.8</v>
      </c>
      <c r="CF197" s="398">
        <f t="shared" si="1218"/>
        <v>0.8</v>
      </c>
      <c r="CG197" s="398">
        <f t="shared" si="1218"/>
        <v>0.8</v>
      </c>
      <c r="CH197" s="398">
        <f t="shared" si="1218"/>
        <v>0.8</v>
      </c>
      <c r="CI197" s="398">
        <f t="shared" si="1218"/>
        <v>0.8</v>
      </c>
      <c r="CJ197" s="398">
        <f t="shared" si="1218"/>
        <v>0.8</v>
      </c>
      <c r="CK197" s="398">
        <f t="shared" si="1218"/>
        <v>0.8</v>
      </c>
      <c r="CL197" s="398">
        <f t="shared" ref="CL197:CP197" si="1219">CHOOSE(MASTERSWITCH,CL198,CL199,CL200)</f>
        <v>0.8</v>
      </c>
      <c r="CM197" s="398">
        <f t="shared" si="1219"/>
        <v>0.8</v>
      </c>
      <c r="CN197" s="398">
        <f t="shared" si="1219"/>
        <v>0.8</v>
      </c>
      <c r="CO197" s="398">
        <f t="shared" si="1219"/>
        <v>0.8</v>
      </c>
      <c r="CP197" s="398">
        <f t="shared" si="1219"/>
        <v>0.8</v>
      </c>
      <c r="CQ197" s="398">
        <f t="shared" ref="CQ197:CU197" si="1220">CHOOSE(MASTERSWITCH,CQ198,CQ199,CQ200)</f>
        <v>0.8</v>
      </c>
      <c r="CR197" s="398">
        <f t="shared" si="1220"/>
        <v>0.8</v>
      </c>
      <c r="CS197" s="398">
        <f t="shared" si="1220"/>
        <v>0.8</v>
      </c>
      <c r="CT197" s="398">
        <f t="shared" si="1220"/>
        <v>0.8</v>
      </c>
      <c r="CU197" s="398">
        <f t="shared" si="1220"/>
        <v>0.8</v>
      </c>
      <c r="CV197" s="398">
        <f t="shared" ref="CV197:CW197" si="1221">CHOOSE(MASTERSWITCH,CV198,CV199,CV200)</f>
        <v>0.8</v>
      </c>
      <c r="CW197" s="398">
        <f t="shared" si="1221"/>
        <v>0.8</v>
      </c>
      <c r="CX197" s="269"/>
      <c r="CY197" s="269"/>
      <c r="CZ197" s="269"/>
    </row>
    <row r="198" spans="1:106">
      <c r="A198" s="86" t="s">
        <v>571</v>
      </c>
      <c r="B198" s="392"/>
      <c r="C198" s="392"/>
      <c r="D198" s="392"/>
      <c r="E198" s="393"/>
      <c r="F198" s="51"/>
      <c r="G198" s="51" t="str">
        <f>Q_IS!G201</f>
        <v>NM</v>
      </c>
      <c r="H198" s="51" t="str">
        <f>Q_IS!H201</f>
        <v>NM</v>
      </c>
      <c r="I198" s="51" t="str">
        <f>Q_IS!I201</f>
        <v>NM</v>
      </c>
      <c r="J198" s="51" t="str">
        <f>Q_IS!J201</f>
        <v>NM</v>
      </c>
      <c r="K198" s="51" t="str">
        <f>Q_IS!K201</f>
        <v>NM</v>
      </c>
      <c r="L198" s="51" t="str">
        <f>Q_IS!L201</f>
        <v>NM</v>
      </c>
      <c r="M198" s="51" t="str">
        <f>Q_IS!M201</f>
        <v>NM</v>
      </c>
      <c r="N198" s="51" t="str">
        <f>Q_IS!N201</f>
        <v>NM</v>
      </c>
      <c r="O198" s="51" t="str">
        <f>Q_IS!O201</f>
        <v>NM</v>
      </c>
      <c r="P198" s="51" t="str">
        <f>Q_IS!P201</f>
        <v>NM</v>
      </c>
      <c r="Q198" s="51" t="str">
        <f>Q_IS!Q201</f>
        <v>NM</v>
      </c>
      <c r="R198" s="51" t="str">
        <f>Q_IS!R201</f>
        <v>NM</v>
      </c>
      <c r="S198" s="51" t="str">
        <f>Q_IS!S201</f>
        <v>NM</v>
      </c>
      <c r="T198" s="51" t="str">
        <f>Q_IS!T201</f>
        <v>NM</v>
      </c>
      <c r="U198" s="38">
        <f>Q_IS!U201</f>
        <v>1.0053830100536054</v>
      </c>
      <c r="V198" s="38">
        <f>Q_IS!V201</f>
        <v>0.87213582363561681</v>
      </c>
      <c r="W198" s="38">
        <f>Q_IS!W201</f>
        <v>1.0851338065423222</v>
      </c>
      <c r="X198" s="38">
        <f>Q_IS!X201</f>
        <v>1.2161233328437391</v>
      </c>
      <c r="Y198" s="38">
        <f>Q_IS!Y201</f>
        <v>0.43823594716491909</v>
      </c>
      <c r="Z198" s="38">
        <f>Q_IS!Z201</f>
        <v>1.4079429278597952</v>
      </c>
      <c r="AA198" s="38">
        <f>Q_IS!AA201</f>
        <v>0.66496591651398351</v>
      </c>
      <c r="AB198" s="38">
        <f>Q_IS!AB201</f>
        <v>0.46711573108985344</v>
      </c>
      <c r="AC198" s="38">
        <f>Q_IS!AC201</f>
        <v>1.0962543269189098</v>
      </c>
      <c r="AD198" s="38">
        <f>Q_IS!AD201</f>
        <v>0.35458532343781235</v>
      </c>
      <c r="AE198" s="38">
        <f>Q_IS!AE201</f>
        <v>0.31543382558498673</v>
      </c>
      <c r="AF198" s="38">
        <f>Q_IS!AF201</f>
        <v>0.12541915655091063</v>
      </c>
      <c r="AG198" s="38">
        <f>Q_IS!AG201</f>
        <v>-0.23238168439032741</v>
      </c>
      <c r="AH198" s="38">
        <f>Q_IS!AH201</f>
        <v>0.78242809766554977</v>
      </c>
      <c r="AI198" s="38">
        <f>Q_IS!AI201</f>
        <v>0.94431245781747331</v>
      </c>
      <c r="AJ198" s="38">
        <f>Q_IS!AJ201</f>
        <v>0.7685257346754133</v>
      </c>
      <c r="AK198" s="38">
        <f>Q_IS!AK201</f>
        <v>0.84816958064222259</v>
      </c>
      <c r="AL198" s="38">
        <f>Q_IS!AL201</f>
        <v>0.71425665230126278</v>
      </c>
      <c r="AM198" s="38">
        <f>Q_IS!AM201</f>
        <v>1.3911778521798983</v>
      </c>
      <c r="AN198" s="38">
        <f>Q_IS!AN201</f>
        <v>2.1433334765215943</v>
      </c>
      <c r="AO198" s="38">
        <f>Q_IS!AO201</f>
        <v>3.7004120721402964</v>
      </c>
      <c r="AP198" s="38">
        <f>Q_IS!AP201</f>
        <v>3.4588275968112709</v>
      </c>
      <c r="AQ198" s="38">
        <f>Q_IS!AQ201</f>
        <v>1.8280326223938848</v>
      </c>
      <c r="AR198" s="38">
        <f>Q_IS!AR201</f>
        <v>2.3431183625221292</v>
      </c>
      <c r="AS198" s="38">
        <f>Q_IS!AS201</f>
        <v>10.755775867083498</v>
      </c>
      <c r="AT198" s="38">
        <f>Q_IS!AT201</f>
        <v>-9.4514285499272699</v>
      </c>
      <c r="AU198" s="38">
        <f>Q_IS!AU201</f>
        <v>120.87031981242757</v>
      </c>
      <c r="AV198" s="38">
        <f>Q_IS!AV201</f>
        <v>10.459596660344994</v>
      </c>
      <c r="AW198" s="38">
        <f>Q_IS!AW201</f>
        <v>5.6970374780849866</v>
      </c>
      <c r="AX198" s="38">
        <f>Q_IS!AX201</f>
        <v>0.3018021435381017</v>
      </c>
      <c r="AY198" s="38">
        <f>Q_IS!AY201</f>
        <v>13.415357818170273</v>
      </c>
      <c r="AZ198" s="38">
        <f>Q_IS!AZ201</f>
        <v>5.4440601525405556</v>
      </c>
      <c r="BA198" s="38">
        <f>Q_IS!BA201</f>
        <v>2.8898050531296033</v>
      </c>
      <c r="BB198" s="38">
        <f>Q_IS!BB201</f>
        <v>3.2822676922429443</v>
      </c>
      <c r="BC198" s="38">
        <f>Q_IS!BC201</f>
        <v>4.142196044877795</v>
      </c>
      <c r="BD198" s="38">
        <f>Q_IS!BD201</f>
        <v>3.3738218075161153</v>
      </c>
      <c r="BE198" s="38">
        <f>Q_IS!BE201</f>
        <v>4.1638222485901339</v>
      </c>
      <c r="BF198" s="38">
        <f>Q_IS!BF201</f>
        <v>6.5612084368750674</v>
      </c>
      <c r="BG198" s="38">
        <f>Q_IS!BG201</f>
        <v>5.4494208915755671</v>
      </c>
      <c r="BH198" s="38">
        <f>Q_IS!BH201</f>
        <v>4.1223676783355092</v>
      </c>
      <c r="BI198" s="38">
        <f>Q_IS!BI201</f>
        <v>4.3817141810243694</v>
      </c>
      <c r="BJ198" s="38">
        <f>Q_IS!BJ201</f>
        <v>6.6412758533548928</v>
      </c>
      <c r="BK198" s="1833">
        <f>Q_IS!BK201</f>
        <v>13.481877117791619</v>
      </c>
      <c r="BL198" s="45">
        <f t="shared" ref="BL198:BP198" si="1222">BL199+$CY198</f>
        <v>0.8</v>
      </c>
      <c r="BM198" s="45">
        <f t="shared" si="1222"/>
        <v>0.8</v>
      </c>
      <c r="BN198" s="45">
        <f t="shared" si="1222"/>
        <v>0.8</v>
      </c>
      <c r="BO198" s="45">
        <f t="shared" si="1222"/>
        <v>0.8</v>
      </c>
      <c r="BP198" s="45">
        <f t="shared" si="1222"/>
        <v>0.8</v>
      </c>
      <c r="BQ198" s="45">
        <f t="shared" ref="BQ198:BY198" si="1223">BQ199+$CY198</f>
        <v>0.8</v>
      </c>
      <c r="BR198" s="45">
        <f t="shared" si="1223"/>
        <v>0.8</v>
      </c>
      <c r="BS198" s="45">
        <f t="shared" si="1223"/>
        <v>0.8</v>
      </c>
      <c r="BT198" s="45">
        <f t="shared" si="1223"/>
        <v>0.8</v>
      </c>
      <c r="BU198" s="45">
        <f t="shared" si="1223"/>
        <v>0.8</v>
      </c>
      <c r="BV198" s="45">
        <f t="shared" si="1223"/>
        <v>0.8</v>
      </c>
      <c r="BW198" s="45">
        <f t="shared" si="1223"/>
        <v>0.8</v>
      </c>
      <c r="BX198" s="45">
        <f t="shared" si="1223"/>
        <v>0.8</v>
      </c>
      <c r="BY198" s="45">
        <f t="shared" si="1223"/>
        <v>0.8</v>
      </c>
      <c r="BZ198" s="45">
        <f t="shared" ref="BZ198:CU198" si="1224">BZ199+$CZ198</f>
        <v>0.8</v>
      </c>
      <c r="CA198" s="45">
        <f t="shared" si="1224"/>
        <v>0.8</v>
      </c>
      <c r="CB198" s="45">
        <f t="shared" si="1224"/>
        <v>0.8</v>
      </c>
      <c r="CC198" s="45">
        <f t="shared" si="1224"/>
        <v>0.8</v>
      </c>
      <c r="CD198" s="45">
        <f t="shared" si="1224"/>
        <v>0.8</v>
      </c>
      <c r="CE198" s="45">
        <f t="shared" si="1224"/>
        <v>0.8</v>
      </c>
      <c r="CF198" s="45">
        <f t="shared" si="1224"/>
        <v>0.8</v>
      </c>
      <c r="CG198" s="45">
        <f t="shared" si="1224"/>
        <v>0.8</v>
      </c>
      <c r="CH198" s="45">
        <f t="shared" si="1224"/>
        <v>0.8</v>
      </c>
      <c r="CI198" s="45">
        <f t="shared" si="1224"/>
        <v>0.8</v>
      </c>
      <c r="CJ198" s="45">
        <f t="shared" si="1224"/>
        <v>0.8</v>
      </c>
      <c r="CK198" s="45">
        <f t="shared" si="1224"/>
        <v>0.8</v>
      </c>
      <c r="CL198" s="45">
        <f t="shared" si="1224"/>
        <v>0.8</v>
      </c>
      <c r="CM198" s="45">
        <f t="shared" si="1224"/>
        <v>0.8</v>
      </c>
      <c r="CN198" s="45">
        <f t="shared" si="1224"/>
        <v>0.8</v>
      </c>
      <c r="CO198" s="45">
        <f t="shared" si="1224"/>
        <v>0.8</v>
      </c>
      <c r="CP198" s="45">
        <f t="shared" si="1224"/>
        <v>0.8</v>
      </c>
      <c r="CQ198" s="45">
        <f t="shared" si="1224"/>
        <v>0.8</v>
      </c>
      <c r="CR198" s="45">
        <f t="shared" si="1224"/>
        <v>0.8</v>
      </c>
      <c r="CS198" s="45">
        <f t="shared" si="1224"/>
        <v>0.8</v>
      </c>
      <c r="CT198" s="45">
        <f t="shared" si="1224"/>
        <v>0.8</v>
      </c>
      <c r="CU198" s="45">
        <f t="shared" si="1224"/>
        <v>0.8</v>
      </c>
      <c r="CV198" s="45">
        <f t="shared" ref="CV198:CW198" si="1225">CV199+$CZ198</f>
        <v>0.8</v>
      </c>
      <c r="CW198" s="45">
        <f t="shared" si="1225"/>
        <v>0.8</v>
      </c>
      <c r="CX198" s="269"/>
      <c r="CY198" s="559">
        <v>0</v>
      </c>
      <c r="CZ198" s="559">
        <v>0</v>
      </c>
    </row>
    <row r="199" spans="1:106">
      <c r="A199" s="86" t="s">
        <v>200</v>
      </c>
      <c r="B199" s="392"/>
      <c r="C199" s="392"/>
      <c r="D199" s="392"/>
      <c r="E199" s="394"/>
      <c r="F199" s="51"/>
      <c r="G199" s="51" t="str">
        <f t="shared" ref="G199:AA199" si="1226">G198</f>
        <v>NM</v>
      </c>
      <c r="H199" s="51" t="str">
        <f t="shared" si="1226"/>
        <v>NM</v>
      </c>
      <c r="I199" s="51" t="str">
        <f t="shared" si="1226"/>
        <v>NM</v>
      </c>
      <c r="J199" s="51" t="str">
        <f t="shared" si="1226"/>
        <v>NM</v>
      </c>
      <c r="K199" s="51" t="str">
        <f t="shared" si="1226"/>
        <v>NM</v>
      </c>
      <c r="L199" s="51" t="str">
        <f t="shared" si="1226"/>
        <v>NM</v>
      </c>
      <c r="M199" s="51" t="str">
        <f t="shared" si="1226"/>
        <v>NM</v>
      </c>
      <c r="N199" s="51" t="str">
        <f t="shared" si="1226"/>
        <v>NM</v>
      </c>
      <c r="O199" s="51" t="str">
        <f t="shared" si="1226"/>
        <v>NM</v>
      </c>
      <c r="P199" s="51" t="str">
        <f t="shared" si="1226"/>
        <v>NM</v>
      </c>
      <c r="Q199" s="51" t="str">
        <f t="shared" si="1226"/>
        <v>NM</v>
      </c>
      <c r="R199" s="51" t="str">
        <f t="shared" si="1226"/>
        <v>NM</v>
      </c>
      <c r="S199" s="51" t="str">
        <f t="shared" si="1226"/>
        <v>NM</v>
      </c>
      <c r="T199" s="51" t="str">
        <f t="shared" si="1226"/>
        <v>NM</v>
      </c>
      <c r="U199" s="38">
        <f t="shared" si="1226"/>
        <v>1.0053830100536054</v>
      </c>
      <c r="V199" s="38">
        <f t="shared" si="1226"/>
        <v>0.87213582363561681</v>
      </c>
      <c r="W199" s="38">
        <f t="shared" si="1226"/>
        <v>1.0851338065423222</v>
      </c>
      <c r="X199" s="38">
        <f t="shared" si="1226"/>
        <v>1.2161233328437391</v>
      </c>
      <c r="Y199" s="38">
        <f t="shared" si="1226"/>
        <v>0.43823594716491909</v>
      </c>
      <c r="Z199" s="38">
        <f t="shared" si="1226"/>
        <v>1.4079429278597952</v>
      </c>
      <c r="AA199" s="38">
        <f t="shared" si="1226"/>
        <v>0.66496591651398351</v>
      </c>
      <c r="AB199" s="38">
        <f t="shared" ref="AB199:AM199" si="1227">AB198</f>
        <v>0.46711573108985344</v>
      </c>
      <c r="AC199" s="38">
        <f t="shared" si="1227"/>
        <v>1.0962543269189098</v>
      </c>
      <c r="AD199" s="38">
        <f t="shared" si="1227"/>
        <v>0.35458532343781235</v>
      </c>
      <c r="AE199" s="38">
        <f t="shared" si="1227"/>
        <v>0.31543382558498673</v>
      </c>
      <c r="AF199" s="38">
        <f t="shared" si="1227"/>
        <v>0.12541915655091063</v>
      </c>
      <c r="AG199" s="38">
        <f t="shared" si="1227"/>
        <v>-0.23238168439032741</v>
      </c>
      <c r="AH199" s="38">
        <f t="shared" si="1227"/>
        <v>0.78242809766554977</v>
      </c>
      <c r="AI199" s="38">
        <f t="shared" si="1227"/>
        <v>0.94431245781747331</v>
      </c>
      <c r="AJ199" s="38">
        <f t="shared" si="1227"/>
        <v>0.7685257346754133</v>
      </c>
      <c r="AK199" s="38">
        <f t="shared" si="1227"/>
        <v>0.84816958064222259</v>
      </c>
      <c r="AL199" s="38">
        <f t="shared" si="1227"/>
        <v>0.71425665230126278</v>
      </c>
      <c r="AM199" s="38">
        <f t="shared" si="1227"/>
        <v>1.3911778521798983</v>
      </c>
      <c r="AN199" s="38">
        <f t="shared" ref="AN199:AS199" si="1228">AN198</f>
        <v>2.1433334765215943</v>
      </c>
      <c r="AO199" s="38">
        <f t="shared" si="1228"/>
        <v>3.7004120721402964</v>
      </c>
      <c r="AP199" s="38">
        <f t="shared" si="1228"/>
        <v>3.4588275968112709</v>
      </c>
      <c r="AQ199" s="38">
        <f t="shared" si="1228"/>
        <v>1.8280326223938848</v>
      </c>
      <c r="AR199" s="38">
        <f t="shared" si="1228"/>
        <v>2.3431183625221292</v>
      </c>
      <c r="AS199" s="38">
        <f t="shared" si="1228"/>
        <v>10.755775867083498</v>
      </c>
      <c r="AT199" s="38">
        <f t="shared" ref="AT199:BC199" si="1229">AT198</f>
        <v>-9.4514285499272699</v>
      </c>
      <c r="AU199" s="38">
        <f t="shared" si="1229"/>
        <v>120.87031981242757</v>
      </c>
      <c r="AV199" s="38">
        <f t="shared" si="1229"/>
        <v>10.459596660344994</v>
      </c>
      <c r="AW199" s="38">
        <f t="shared" si="1229"/>
        <v>5.6970374780849866</v>
      </c>
      <c r="AX199" s="38">
        <f t="shared" si="1229"/>
        <v>0.3018021435381017</v>
      </c>
      <c r="AY199" s="38">
        <f t="shared" si="1229"/>
        <v>13.415357818170273</v>
      </c>
      <c r="AZ199" s="38">
        <f t="shared" si="1229"/>
        <v>5.4440601525405556</v>
      </c>
      <c r="BA199" s="38">
        <f t="shared" si="1229"/>
        <v>2.8898050531296033</v>
      </c>
      <c r="BB199" s="38">
        <f t="shared" si="1229"/>
        <v>3.2822676922429443</v>
      </c>
      <c r="BC199" s="38">
        <f t="shared" si="1229"/>
        <v>4.142196044877795</v>
      </c>
      <c r="BD199" s="38">
        <f t="shared" ref="BD199:BI199" si="1230">BD198</f>
        <v>3.3738218075161153</v>
      </c>
      <c r="BE199" s="38">
        <f t="shared" si="1230"/>
        <v>4.1638222485901339</v>
      </c>
      <c r="BF199" s="38">
        <f t="shared" si="1230"/>
        <v>6.5612084368750674</v>
      </c>
      <c r="BG199" s="38">
        <f t="shared" si="1230"/>
        <v>5.4494208915755671</v>
      </c>
      <c r="BH199" s="38">
        <f t="shared" si="1230"/>
        <v>4.1223676783355092</v>
      </c>
      <c r="BI199" s="38">
        <f t="shared" si="1230"/>
        <v>4.3817141810243694</v>
      </c>
      <c r="BJ199" s="38">
        <f t="shared" ref="BJ199:BK199" si="1231">BJ198</f>
        <v>6.6412758533548928</v>
      </c>
      <c r="BK199" s="1833">
        <f t="shared" si="1231"/>
        <v>13.481877117791619</v>
      </c>
      <c r="BL199" s="559">
        <v>0.8</v>
      </c>
      <c r="BM199" s="559">
        <v>0.8</v>
      </c>
      <c r="BN199" s="559">
        <v>0.8</v>
      </c>
      <c r="BO199" s="559">
        <v>0.8</v>
      </c>
      <c r="BP199" s="559">
        <v>0.8</v>
      </c>
      <c r="BQ199" s="559">
        <v>0.8</v>
      </c>
      <c r="BR199" s="559">
        <v>0.8</v>
      </c>
      <c r="BS199" s="559">
        <v>0.8</v>
      </c>
      <c r="BT199" s="559">
        <v>0.8</v>
      </c>
      <c r="BU199" s="559">
        <v>0.8</v>
      </c>
      <c r="BV199" s="559">
        <v>0.8</v>
      </c>
      <c r="BW199" s="559">
        <v>0.8</v>
      </c>
      <c r="BX199" s="559">
        <v>0.8</v>
      </c>
      <c r="BY199" s="559">
        <v>0.8</v>
      </c>
      <c r="BZ199" s="559">
        <v>0.8</v>
      </c>
      <c r="CA199" s="559">
        <v>0.8</v>
      </c>
      <c r="CB199" s="559">
        <v>0.8</v>
      </c>
      <c r="CC199" s="559">
        <v>0.8</v>
      </c>
      <c r="CD199" s="559">
        <v>0.8</v>
      </c>
      <c r="CE199" s="559">
        <v>0.8</v>
      </c>
      <c r="CF199" s="559">
        <v>0.8</v>
      </c>
      <c r="CG199" s="559">
        <v>0.8</v>
      </c>
      <c r="CH199" s="559">
        <v>0.8</v>
      </c>
      <c r="CI199" s="559">
        <v>0.8</v>
      </c>
      <c r="CJ199" s="559">
        <v>0.8</v>
      </c>
      <c r="CK199" s="559">
        <v>0.8</v>
      </c>
      <c r="CL199" s="559">
        <v>0.8</v>
      </c>
      <c r="CM199" s="559">
        <v>0.8</v>
      </c>
      <c r="CN199" s="559">
        <v>0.8</v>
      </c>
      <c r="CO199" s="559">
        <v>0.8</v>
      </c>
      <c r="CP199" s="559">
        <v>0.8</v>
      </c>
      <c r="CQ199" s="559">
        <v>0.8</v>
      </c>
      <c r="CR199" s="559">
        <v>0.8</v>
      </c>
      <c r="CS199" s="559">
        <v>0.8</v>
      </c>
      <c r="CT199" s="559">
        <v>0.8</v>
      </c>
      <c r="CU199" s="559">
        <v>0.8</v>
      </c>
      <c r="CV199" s="559">
        <v>0.8</v>
      </c>
      <c r="CW199" s="559">
        <v>0.8</v>
      </c>
      <c r="CX199" s="269"/>
    </row>
    <row r="200" spans="1:106">
      <c r="A200" s="86" t="s">
        <v>202</v>
      </c>
      <c r="B200" s="392"/>
      <c r="C200" s="392"/>
      <c r="D200" s="392"/>
      <c r="E200" s="394"/>
      <c r="F200" s="51"/>
      <c r="G200" s="51" t="str">
        <f t="shared" ref="G200:AA200" si="1232">G198</f>
        <v>NM</v>
      </c>
      <c r="H200" s="51" t="str">
        <f t="shared" si="1232"/>
        <v>NM</v>
      </c>
      <c r="I200" s="51" t="str">
        <f t="shared" si="1232"/>
        <v>NM</v>
      </c>
      <c r="J200" s="51" t="str">
        <f t="shared" si="1232"/>
        <v>NM</v>
      </c>
      <c r="K200" s="51" t="str">
        <f t="shared" si="1232"/>
        <v>NM</v>
      </c>
      <c r="L200" s="51" t="str">
        <f t="shared" si="1232"/>
        <v>NM</v>
      </c>
      <c r="M200" s="51" t="str">
        <f t="shared" si="1232"/>
        <v>NM</v>
      </c>
      <c r="N200" s="51" t="str">
        <f t="shared" si="1232"/>
        <v>NM</v>
      </c>
      <c r="O200" s="51" t="str">
        <f t="shared" si="1232"/>
        <v>NM</v>
      </c>
      <c r="P200" s="51" t="str">
        <f t="shared" si="1232"/>
        <v>NM</v>
      </c>
      <c r="Q200" s="51" t="str">
        <f t="shared" si="1232"/>
        <v>NM</v>
      </c>
      <c r="R200" s="51" t="str">
        <f t="shared" si="1232"/>
        <v>NM</v>
      </c>
      <c r="S200" s="51" t="str">
        <f t="shared" si="1232"/>
        <v>NM</v>
      </c>
      <c r="T200" s="51" t="str">
        <f t="shared" si="1232"/>
        <v>NM</v>
      </c>
      <c r="U200" s="38">
        <f t="shared" si="1232"/>
        <v>1.0053830100536054</v>
      </c>
      <c r="V200" s="38">
        <f t="shared" si="1232"/>
        <v>0.87213582363561681</v>
      </c>
      <c r="W200" s="38">
        <f t="shared" si="1232"/>
        <v>1.0851338065423222</v>
      </c>
      <c r="X200" s="38">
        <f t="shared" si="1232"/>
        <v>1.2161233328437391</v>
      </c>
      <c r="Y200" s="38">
        <f t="shared" si="1232"/>
        <v>0.43823594716491909</v>
      </c>
      <c r="Z200" s="38">
        <f t="shared" si="1232"/>
        <v>1.4079429278597952</v>
      </c>
      <c r="AA200" s="38">
        <f t="shared" si="1232"/>
        <v>0.66496591651398351</v>
      </c>
      <c r="AB200" s="38">
        <f t="shared" ref="AB200:AM200" si="1233">AB198</f>
        <v>0.46711573108985344</v>
      </c>
      <c r="AC200" s="38">
        <f t="shared" si="1233"/>
        <v>1.0962543269189098</v>
      </c>
      <c r="AD200" s="38">
        <f t="shared" si="1233"/>
        <v>0.35458532343781235</v>
      </c>
      <c r="AE200" s="38">
        <f t="shared" si="1233"/>
        <v>0.31543382558498673</v>
      </c>
      <c r="AF200" s="38">
        <f t="shared" si="1233"/>
        <v>0.12541915655091063</v>
      </c>
      <c r="AG200" s="38">
        <f t="shared" si="1233"/>
        <v>-0.23238168439032741</v>
      </c>
      <c r="AH200" s="38">
        <f t="shared" si="1233"/>
        <v>0.78242809766554977</v>
      </c>
      <c r="AI200" s="38">
        <f t="shared" si="1233"/>
        <v>0.94431245781747331</v>
      </c>
      <c r="AJ200" s="38">
        <f t="shared" si="1233"/>
        <v>0.7685257346754133</v>
      </c>
      <c r="AK200" s="38">
        <f t="shared" si="1233"/>
        <v>0.84816958064222259</v>
      </c>
      <c r="AL200" s="38">
        <f t="shared" si="1233"/>
        <v>0.71425665230126278</v>
      </c>
      <c r="AM200" s="38">
        <f t="shared" si="1233"/>
        <v>1.3911778521798983</v>
      </c>
      <c r="AN200" s="38">
        <f t="shared" ref="AN200:AS200" si="1234">AN198</f>
        <v>2.1433334765215943</v>
      </c>
      <c r="AO200" s="38">
        <f t="shared" si="1234"/>
        <v>3.7004120721402964</v>
      </c>
      <c r="AP200" s="38">
        <f t="shared" si="1234"/>
        <v>3.4588275968112709</v>
      </c>
      <c r="AQ200" s="38">
        <f t="shared" si="1234"/>
        <v>1.8280326223938848</v>
      </c>
      <c r="AR200" s="38">
        <f t="shared" si="1234"/>
        <v>2.3431183625221292</v>
      </c>
      <c r="AS200" s="38">
        <f t="shared" si="1234"/>
        <v>10.755775867083498</v>
      </c>
      <c r="AT200" s="38">
        <f t="shared" ref="AT200:BC200" si="1235">AT198</f>
        <v>-9.4514285499272699</v>
      </c>
      <c r="AU200" s="38">
        <f t="shared" si="1235"/>
        <v>120.87031981242757</v>
      </c>
      <c r="AV200" s="38">
        <f t="shared" si="1235"/>
        <v>10.459596660344994</v>
      </c>
      <c r="AW200" s="38">
        <f t="shared" si="1235"/>
        <v>5.6970374780849866</v>
      </c>
      <c r="AX200" s="38">
        <f t="shared" si="1235"/>
        <v>0.3018021435381017</v>
      </c>
      <c r="AY200" s="38">
        <f t="shared" si="1235"/>
        <v>13.415357818170273</v>
      </c>
      <c r="AZ200" s="38">
        <f t="shared" si="1235"/>
        <v>5.4440601525405556</v>
      </c>
      <c r="BA200" s="38">
        <f t="shared" si="1235"/>
        <v>2.8898050531296033</v>
      </c>
      <c r="BB200" s="38">
        <f t="shared" si="1235"/>
        <v>3.2822676922429443</v>
      </c>
      <c r="BC200" s="38">
        <f t="shared" si="1235"/>
        <v>4.142196044877795</v>
      </c>
      <c r="BD200" s="38">
        <f t="shared" ref="BD200:BI200" si="1236">BD198</f>
        <v>3.3738218075161153</v>
      </c>
      <c r="BE200" s="38">
        <f t="shared" si="1236"/>
        <v>4.1638222485901339</v>
      </c>
      <c r="BF200" s="38">
        <f t="shared" si="1236"/>
        <v>6.5612084368750674</v>
      </c>
      <c r="BG200" s="38">
        <f t="shared" si="1236"/>
        <v>5.4494208915755671</v>
      </c>
      <c r="BH200" s="38">
        <f t="shared" si="1236"/>
        <v>4.1223676783355092</v>
      </c>
      <c r="BI200" s="38">
        <f t="shared" si="1236"/>
        <v>4.3817141810243694</v>
      </c>
      <c r="BJ200" s="38">
        <f t="shared" ref="BJ200:BK200" si="1237">BJ198</f>
        <v>6.6412758533548928</v>
      </c>
      <c r="BK200" s="1833">
        <f t="shared" si="1237"/>
        <v>13.481877117791619</v>
      </c>
      <c r="BL200" s="45">
        <f t="shared" ref="BL200:BP200" si="1238">BL199+$CY200</f>
        <v>0.8</v>
      </c>
      <c r="BM200" s="45">
        <f t="shared" si="1238"/>
        <v>0.8</v>
      </c>
      <c r="BN200" s="45">
        <f t="shared" si="1238"/>
        <v>0.8</v>
      </c>
      <c r="BO200" s="45">
        <f t="shared" si="1238"/>
        <v>0.8</v>
      </c>
      <c r="BP200" s="45">
        <f t="shared" si="1238"/>
        <v>0.8</v>
      </c>
      <c r="BQ200" s="45">
        <f t="shared" ref="BQ200:BY200" si="1239">BQ199+$CY200</f>
        <v>0.8</v>
      </c>
      <c r="BR200" s="45">
        <f t="shared" si="1239"/>
        <v>0.8</v>
      </c>
      <c r="BS200" s="45">
        <f t="shared" si="1239"/>
        <v>0.8</v>
      </c>
      <c r="BT200" s="45">
        <f t="shared" si="1239"/>
        <v>0.8</v>
      </c>
      <c r="BU200" s="45">
        <f t="shared" si="1239"/>
        <v>0.8</v>
      </c>
      <c r="BV200" s="45">
        <f t="shared" si="1239"/>
        <v>0.8</v>
      </c>
      <c r="BW200" s="45">
        <f t="shared" si="1239"/>
        <v>0.8</v>
      </c>
      <c r="BX200" s="45">
        <f t="shared" si="1239"/>
        <v>0.8</v>
      </c>
      <c r="BY200" s="45">
        <f t="shared" si="1239"/>
        <v>0.8</v>
      </c>
      <c r="BZ200" s="45">
        <f t="shared" ref="BZ200:CU200" si="1240">BZ199+$CZ200</f>
        <v>0.8</v>
      </c>
      <c r="CA200" s="45">
        <f t="shared" si="1240"/>
        <v>0.8</v>
      </c>
      <c r="CB200" s="45">
        <f t="shared" si="1240"/>
        <v>0.8</v>
      </c>
      <c r="CC200" s="45">
        <f t="shared" si="1240"/>
        <v>0.8</v>
      </c>
      <c r="CD200" s="45">
        <f t="shared" si="1240"/>
        <v>0.8</v>
      </c>
      <c r="CE200" s="45">
        <f t="shared" si="1240"/>
        <v>0.8</v>
      </c>
      <c r="CF200" s="45">
        <f t="shared" si="1240"/>
        <v>0.8</v>
      </c>
      <c r="CG200" s="45">
        <f t="shared" si="1240"/>
        <v>0.8</v>
      </c>
      <c r="CH200" s="45">
        <f t="shared" si="1240"/>
        <v>0.8</v>
      </c>
      <c r="CI200" s="45">
        <f t="shared" si="1240"/>
        <v>0.8</v>
      </c>
      <c r="CJ200" s="45">
        <f t="shared" si="1240"/>
        <v>0.8</v>
      </c>
      <c r="CK200" s="45">
        <f t="shared" si="1240"/>
        <v>0.8</v>
      </c>
      <c r="CL200" s="45">
        <f t="shared" si="1240"/>
        <v>0.8</v>
      </c>
      <c r="CM200" s="45">
        <f t="shared" si="1240"/>
        <v>0.8</v>
      </c>
      <c r="CN200" s="45">
        <f t="shared" si="1240"/>
        <v>0.8</v>
      </c>
      <c r="CO200" s="45">
        <f t="shared" si="1240"/>
        <v>0.8</v>
      </c>
      <c r="CP200" s="45">
        <f t="shared" si="1240"/>
        <v>0.8</v>
      </c>
      <c r="CQ200" s="45">
        <f t="shared" si="1240"/>
        <v>0.8</v>
      </c>
      <c r="CR200" s="45">
        <f t="shared" si="1240"/>
        <v>0.8</v>
      </c>
      <c r="CS200" s="45">
        <f t="shared" si="1240"/>
        <v>0.8</v>
      </c>
      <c r="CT200" s="45">
        <f t="shared" si="1240"/>
        <v>0.8</v>
      </c>
      <c r="CU200" s="45">
        <f t="shared" si="1240"/>
        <v>0.8</v>
      </c>
      <c r="CV200" s="45">
        <f t="shared" ref="CV200:CW200" si="1241">CV199+$CZ200</f>
        <v>0.8</v>
      </c>
      <c r="CW200" s="45">
        <f t="shared" si="1241"/>
        <v>0.8</v>
      </c>
      <c r="CX200" s="269"/>
      <c r="CY200" s="559">
        <v>0</v>
      </c>
      <c r="CZ200" s="559">
        <v>0</v>
      </c>
      <c r="DB200" s="13"/>
    </row>
    <row r="201" spans="1:106">
      <c r="A201" s="91"/>
      <c r="B201" s="388"/>
      <c r="C201" s="388"/>
      <c r="D201" s="388"/>
      <c r="E201" s="38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269"/>
      <c r="AN201" s="269"/>
      <c r="AO201" s="269"/>
      <c r="AP201" s="269"/>
      <c r="AQ201" s="269"/>
      <c r="AR201" s="269"/>
      <c r="AS201" s="269"/>
      <c r="AT201" s="269"/>
      <c r="AU201" s="269"/>
      <c r="AV201" s="269"/>
      <c r="AW201" s="269"/>
      <c r="AX201" s="269"/>
      <c r="AY201" s="269"/>
      <c r="AZ201" s="269"/>
      <c r="BA201" s="269"/>
      <c r="BB201" s="269"/>
      <c r="BC201" s="269"/>
      <c r="BD201" s="269"/>
      <c r="BE201" s="269"/>
      <c r="BF201" s="269"/>
      <c r="BG201" s="269"/>
      <c r="BH201" s="269"/>
      <c r="BI201" s="269"/>
      <c r="BJ201" s="269"/>
      <c r="BK201" s="1835"/>
      <c r="BL201" s="45"/>
      <c r="BM201" s="45"/>
      <c r="BN201" s="45"/>
      <c r="BO201" s="45"/>
      <c r="BP201" s="45"/>
      <c r="BQ201" s="45"/>
      <c r="BR201" s="45"/>
      <c r="BS201" s="45"/>
      <c r="BT201" s="45"/>
      <c r="BU201" s="45"/>
      <c r="BV201" s="45"/>
      <c r="BW201" s="45"/>
      <c r="BX201" s="45"/>
      <c r="BY201" s="45"/>
      <c r="BZ201" s="45"/>
      <c r="CA201" s="45"/>
      <c r="CB201" s="45"/>
      <c r="CC201" s="45"/>
      <c r="CD201" s="45"/>
      <c r="CE201" s="45"/>
      <c r="CF201" s="45"/>
      <c r="CG201" s="45"/>
      <c r="CH201" s="45"/>
      <c r="CI201" s="45"/>
      <c r="CJ201" s="45"/>
      <c r="CK201" s="45"/>
      <c r="CL201" s="45"/>
      <c r="CM201" s="45"/>
      <c r="CN201" s="45"/>
      <c r="CO201" s="45"/>
      <c r="CP201" s="45"/>
      <c r="CQ201" s="45"/>
      <c r="CR201" s="45"/>
      <c r="CS201" s="45"/>
      <c r="CT201" s="45"/>
      <c r="CU201" s="45"/>
      <c r="CV201" s="45"/>
      <c r="CW201" s="45"/>
      <c r="CX201" s="269"/>
      <c r="CY201" s="269"/>
      <c r="CZ201" s="269"/>
    </row>
    <row r="202" spans="1:106">
      <c r="A202" s="691" t="s">
        <v>939</v>
      </c>
      <c r="B202" s="388"/>
      <c r="C202" s="388"/>
      <c r="D202" s="388"/>
      <c r="E202" s="38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269"/>
      <c r="AN202" s="269"/>
      <c r="AO202" s="269"/>
      <c r="AP202" s="269"/>
      <c r="AQ202" s="269"/>
      <c r="AR202" s="269"/>
      <c r="AS202" s="269"/>
      <c r="AT202" s="269"/>
      <c r="AU202" s="269"/>
      <c r="AV202" s="269"/>
      <c r="AW202" s="269"/>
      <c r="AX202" s="269"/>
      <c r="AY202" s="269"/>
      <c r="AZ202" s="269"/>
      <c r="BA202" s="269"/>
      <c r="BB202" s="269"/>
      <c r="BC202" s="269"/>
      <c r="BD202" s="269"/>
      <c r="BE202" s="269"/>
      <c r="BF202" s="269"/>
      <c r="BG202" s="269"/>
      <c r="BH202" s="269"/>
      <c r="BI202" s="269"/>
      <c r="BJ202" s="269"/>
      <c r="BK202" s="1835"/>
      <c r="BL202" s="45"/>
      <c r="BM202" s="45"/>
      <c r="BN202" s="45"/>
      <c r="BO202" s="45"/>
      <c r="BP202" s="45"/>
      <c r="BQ202" s="45"/>
      <c r="BR202" s="45"/>
      <c r="BS202" s="45"/>
      <c r="BT202" s="45"/>
      <c r="BU202" s="45"/>
      <c r="BV202" s="45"/>
      <c r="BW202" s="45"/>
      <c r="BX202" s="45"/>
      <c r="BY202" s="45"/>
      <c r="BZ202" s="45"/>
      <c r="CA202" s="45"/>
      <c r="CB202" s="45"/>
      <c r="CC202" s="45"/>
      <c r="CD202" s="45"/>
      <c r="CE202" s="45"/>
      <c r="CF202" s="45"/>
      <c r="CG202" s="45"/>
      <c r="CH202" s="45"/>
      <c r="CI202" s="45"/>
      <c r="CJ202" s="45"/>
      <c r="CK202" s="45"/>
      <c r="CL202" s="45"/>
      <c r="CM202" s="45"/>
      <c r="CN202" s="45"/>
      <c r="CO202" s="45"/>
      <c r="CP202" s="45"/>
      <c r="CQ202" s="45"/>
      <c r="CR202" s="45"/>
      <c r="CS202" s="45"/>
      <c r="CT202" s="45"/>
      <c r="CU202" s="45"/>
      <c r="CV202" s="45"/>
      <c r="CW202" s="45"/>
      <c r="CX202" s="269"/>
      <c r="CY202" s="269"/>
      <c r="CZ202" s="269"/>
    </row>
    <row r="203" spans="1:106">
      <c r="A203" s="694" t="s">
        <v>959</v>
      </c>
      <c r="B203" s="397"/>
      <c r="C203" s="397"/>
      <c r="D203" s="397"/>
      <c r="E203" s="397"/>
      <c r="F203" s="690">
        <f t="shared" ref="F203:BQ203" si="1242">CHOOSE(MASTERSWITCH,F204,F205,F206)</f>
        <v>0</v>
      </c>
      <c r="G203" s="690">
        <f t="shared" si="1242"/>
        <v>0.16898651587646785</v>
      </c>
      <c r="H203" s="690">
        <f t="shared" si="1242"/>
        <v>0.18295972644376879</v>
      </c>
      <c r="I203" s="690">
        <f t="shared" si="1242"/>
        <v>0.11302270691444716</v>
      </c>
      <c r="J203" s="690">
        <f t="shared" si="1242"/>
        <v>8.8811005412106958E-2</v>
      </c>
      <c r="K203" s="690">
        <f t="shared" si="1242"/>
        <v>5.5921288014311399E-2</v>
      </c>
      <c r="L203" s="690">
        <f t="shared" si="1242"/>
        <v>0.10588473759829276</v>
      </c>
      <c r="M203" s="690">
        <f t="shared" si="1242"/>
        <v>0.15634641729703969</v>
      </c>
      <c r="N203" s="690">
        <f t="shared" si="1242"/>
        <v>0.18656634123390003</v>
      </c>
      <c r="O203" s="690">
        <f t="shared" si="1242"/>
        <v>0.25748938171526703</v>
      </c>
      <c r="P203" s="690">
        <f t="shared" si="1242"/>
        <v>0.13212259159428963</v>
      </c>
      <c r="Q203" s="690">
        <f t="shared" si="1242"/>
        <v>2.6245376991645752E-2</v>
      </c>
      <c r="R203" s="690">
        <f t="shared" si="1242"/>
        <v>-1.4638032970380799E-2</v>
      </c>
      <c r="S203" s="690">
        <f t="shared" si="1242"/>
        <v>-4.1388518024032095E-2</v>
      </c>
      <c r="T203" s="690">
        <f t="shared" si="1242"/>
        <v>-4.7948927563899679E-2</v>
      </c>
      <c r="U203" s="397">
        <f t="shared" si="1242"/>
        <v>-2.1335579578619313E-2</v>
      </c>
      <c r="V203" s="397">
        <f t="shared" si="1242"/>
        <v>-0.11580470500373419</v>
      </c>
      <c r="W203" s="397">
        <f t="shared" si="1242"/>
        <v>-0.16830293530920493</v>
      </c>
      <c r="X203" s="397">
        <f t="shared" si="1242"/>
        <v>-0.13737917280406797</v>
      </c>
      <c r="Y203" s="397">
        <f t="shared" si="1242"/>
        <v>-0.10254313616119903</v>
      </c>
      <c r="Z203" s="397">
        <f t="shared" si="1242"/>
        <v>0.15563481550352498</v>
      </c>
      <c r="AA203" s="397">
        <f t="shared" si="1242"/>
        <v>0.22624782884878725</v>
      </c>
      <c r="AB203" s="397">
        <f t="shared" si="1242"/>
        <v>0.23936449031638785</v>
      </c>
      <c r="AC203" s="397">
        <f t="shared" si="1242"/>
        <v>0.25247707900533234</v>
      </c>
      <c r="AD203" s="397">
        <f t="shared" si="1242"/>
        <v>-3.4551359949706373E-2</v>
      </c>
      <c r="AE203" s="397">
        <f t="shared" si="1242"/>
        <v>-4.3446733034073093E-2</v>
      </c>
      <c r="AF203" s="397">
        <f t="shared" si="1242"/>
        <v>-2.0130169297367106E-2</v>
      </c>
      <c r="AG203" s="397">
        <f t="shared" si="1242"/>
        <v>6.9532209095055642E-3</v>
      </c>
      <c r="AH203" s="397">
        <f t="shared" si="1242"/>
        <v>0.33733023694236564</v>
      </c>
      <c r="AI203" s="397">
        <f t="shared" si="1242"/>
        <v>0.13119695026564648</v>
      </c>
      <c r="AJ203" s="397">
        <f t="shared" si="1242"/>
        <v>3.4553670987839347E-2</v>
      </c>
      <c r="AK203" s="397">
        <f t="shared" si="1242"/>
        <v>2.6436802956491423E-2</v>
      </c>
      <c r="AL203" s="397">
        <f t="shared" si="1242"/>
        <v>-6.6285949576765368E-2</v>
      </c>
      <c r="AM203" s="397">
        <f t="shared" si="1242"/>
        <v>-9.9845357545779168E-3</v>
      </c>
      <c r="AN203" s="397">
        <f t="shared" ref="AN203:AS203" si="1243">CHOOSE(MASTERSWITCH,AN204,AN205,AN206)</f>
        <v>-0.17819352866175098</v>
      </c>
      <c r="AO203" s="397">
        <f t="shared" si="1243"/>
        <v>-0.24436786445706915</v>
      </c>
      <c r="AP203" s="397">
        <f t="shared" si="1243"/>
        <v>-0.25135223046249178</v>
      </c>
      <c r="AQ203" s="397">
        <f t="shared" si="1243"/>
        <v>-0.22279757733928818</v>
      </c>
      <c r="AR203" s="397">
        <f t="shared" si="1243"/>
        <v>-4.9818032598838102E-2</v>
      </c>
      <c r="AS203" s="397">
        <f t="shared" si="1243"/>
        <v>-2.6316422718862365E-2</v>
      </c>
      <c r="AT203" s="397">
        <f t="shared" ref="AT203:BC203" si="1244">CHOOSE(MASTERSWITCH,AT204,AT205,AT206)</f>
        <v>-0.24093682276300676</v>
      </c>
      <c r="AU203" s="397">
        <f t="shared" si="1244"/>
        <v>-0.67927363771605487</v>
      </c>
      <c r="AV203" s="397">
        <f t="shared" si="1244"/>
        <v>-0.49968090853932767</v>
      </c>
      <c r="AW203" s="397">
        <f t="shared" si="1244"/>
        <v>-0.26234777227436901</v>
      </c>
      <c r="AX203" s="397">
        <f t="shared" si="1244"/>
        <v>1.6796926945006785E-2</v>
      </c>
      <c r="AY203" s="397">
        <f t="shared" si="1244"/>
        <v>1.228095461023631</v>
      </c>
      <c r="AZ203" s="397">
        <f t="shared" si="1244"/>
        <v>0.8788747125203964</v>
      </c>
      <c r="BA203" s="397">
        <f t="shared" si="1244"/>
        <v>0.6633734993226259</v>
      </c>
      <c r="BB203" s="397">
        <f t="shared" si="1244"/>
        <v>0.47972603356947863</v>
      </c>
      <c r="BC203" s="397">
        <f t="shared" si="1244"/>
        <v>0.73514723260680426</v>
      </c>
      <c r="BD203" s="397">
        <f t="shared" ref="BD203:BI203" si="1245">CHOOSE(MASTERSWITCH,BD204,BD205,BD206)</f>
        <v>0.44062033607164719</v>
      </c>
      <c r="BE203" s="397">
        <f t="shared" si="1245"/>
        <v>0.17969308149142371</v>
      </c>
      <c r="BF203" s="397">
        <f t="shared" si="1245"/>
        <v>7.5510284839114039E-2</v>
      </c>
      <c r="BG203" s="397">
        <f t="shared" si="1245"/>
        <v>1.8957152941732724E-2</v>
      </c>
      <c r="BH203" s="397">
        <f t="shared" si="1245"/>
        <v>-9.7623278893479437E-3</v>
      </c>
      <c r="BI203" s="397">
        <f t="shared" si="1245"/>
        <v>-0.18219002996783196</v>
      </c>
      <c r="BJ203" s="397">
        <f t="shared" ref="BJ203:BK203" si="1246">CHOOSE(MASTERSWITCH,BJ204,BJ205,BJ206)</f>
        <v>-0.21264111907461414</v>
      </c>
      <c r="BK203" s="1824">
        <f t="shared" si="1246"/>
        <v>-0.16418465414332373</v>
      </c>
      <c r="BL203" s="398">
        <f t="shared" si="1242"/>
        <v>0.54432197431955731</v>
      </c>
      <c r="BM203" s="398">
        <f t="shared" si="1242"/>
        <v>0.36521376066025552</v>
      </c>
      <c r="BN203" s="398">
        <f t="shared" si="1242"/>
        <v>0.31192276576858619</v>
      </c>
      <c r="BO203" s="398">
        <f t="shared" si="1242"/>
        <v>0.24602434963508035</v>
      </c>
      <c r="BP203" s="398">
        <f t="shared" si="1242"/>
        <v>0.18988165221821979</v>
      </c>
      <c r="BQ203" s="398">
        <f t="shared" si="1242"/>
        <v>0.1407749203523444</v>
      </c>
      <c r="BR203" s="398">
        <f t="shared" ref="BR203:CK203" si="1247">CHOOSE(MASTERSWITCH,BR204,BR205,BR206)</f>
        <v>0.16892990442281328</v>
      </c>
      <c r="BS203" s="398">
        <f t="shared" si="1247"/>
        <v>0.16892990442281328</v>
      </c>
      <c r="BT203" s="398">
        <f t="shared" si="1247"/>
        <v>0.16892990442281328</v>
      </c>
      <c r="BU203" s="398">
        <f t="shared" si="1247"/>
        <v>0.16892990442281328</v>
      </c>
      <c r="BV203" s="398">
        <f t="shared" si="1247"/>
        <v>0.1407749203523444</v>
      </c>
      <c r="BW203" s="398">
        <f t="shared" si="1247"/>
        <v>0.1407749203523444</v>
      </c>
      <c r="BX203" s="398">
        <f t="shared" si="1247"/>
        <v>0.1407749203523444</v>
      </c>
      <c r="BY203" s="398">
        <f t="shared" si="1247"/>
        <v>0.1407749203523444</v>
      </c>
      <c r="BZ203" s="398">
        <f t="shared" si="1247"/>
        <v>0.13373617433472718</v>
      </c>
      <c r="CA203" s="398">
        <f t="shared" si="1247"/>
        <v>0.13373617433472718</v>
      </c>
      <c r="CB203" s="398">
        <f t="shared" si="1247"/>
        <v>0.13373617433472718</v>
      </c>
      <c r="CC203" s="398">
        <f t="shared" si="1247"/>
        <v>0.13373617433472718</v>
      </c>
      <c r="CD203" s="398">
        <f t="shared" si="1247"/>
        <v>0.13373617433472718</v>
      </c>
      <c r="CE203" s="398">
        <f t="shared" si="1247"/>
        <v>0.13373617433472718</v>
      </c>
      <c r="CF203" s="398">
        <f t="shared" si="1247"/>
        <v>0.13373617433472718</v>
      </c>
      <c r="CG203" s="398">
        <f t="shared" si="1247"/>
        <v>0.13373617433472718</v>
      </c>
      <c r="CH203" s="398">
        <f t="shared" si="1247"/>
        <v>0.13373617433472718</v>
      </c>
      <c r="CI203" s="398">
        <f t="shared" si="1247"/>
        <v>0.13373617433472718</v>
      </c>
      <c r="CJ203" s="398">
        <f t="shared" si="1247"/>
        <v>0.13373617433472718</v>
      </c>
      <c r="CK203" s="398">
        <f t="shared" si="1247"/>
        <v>0.13373617433472718</v>
      </c>
      <c r="CL203" s="398">
        <f t="shared" ref="CL203:CP203" si="1248">CHOOSE(MASTERSWITCH,CL204,CL205,CL206)</f>
        <v>0.13373617433472718</v>
      </c>
      <c r="CM203" s="398">
        <f t="shared" si="1248"/>
        <v>0.13373617433472718</v>
      </c>
      <c r="CN203" s="398">
        <f t="shared" si="1248"/>
        <v>0.13373617433472718</v>
      </c>
      <c r="CO203" s="398">
        <f t="shared" si="1248"/>
        <v>0.13373617433472718</v>
      </c>
      <c r="CP203" s="398">
        <f t="shared" si="1248"/>
        <v>0.13373617433472718</v>
      </c>
      <c r="CQ203" s="398">
        <f t="shared" ref="CQ203:CU203" si="1249">CHOOSE(MASTERSWITCH,CQ204,CQ205,CQ206)</f>
        <v>0.13373617433472718</v>
      </c>
      <c r="CR203" s="398">
        <f t="shared" si="1249"/>
        <v>0.13373617433472718</v>
      </c>
      <c r="CS203" s="398">
        <f t="shared" si="1249"/>
        <v>0.13373617433472718</v>
      </c>
      <c r="CT203" s="398">
        <f t="shared" si="1249"/>
        <v>0.13373617433472718</v>
      </c>
      <c r="CU203" s="398">
        <f t="shared" si="1249"/>
        <v>0.13373617433472718</v>
      </c>
      <c r="CV203" s="398">
        <f t="shared" ref="CV203:CW203" si="1250">CHOOSE(MASTERSWITCH,CV204,CV205,CV206)</f>
        <v>0.13373617433472718</v>
      </c>
      <c r="CW203" s="398">
        <f t="shared" si="1250"/>
        <v>0.13373617433472718</v>
      </c>
      <c r="CX203" s="269"/>
      <c r="CY203" s="269"/>
      <c r="CZ203" s="269"/>
    </row>
    <row r="204" spans="1:106">
      <c r="A204" s="695" t="s">
        <v>571</v>
      </c>
      <c r="B204" s="392"/>
      <c r="C204" s="392"/>
      <c r="D204" s="392"/>
      <c r="E204" s="393"/>
      <c r="F204" s="51">
        <f>Q_IS!F175</f>
        <v>0</v>
      </c>
      <c r="G204" s="51">
        <f>Q_IS!G175</f>
        <v>0.16898651587646785</v>
      </c>
      <c r="H204" s="51">
        <f>Q_IS!H175</f>
        <v>0.18295972644376879</v>
      </c>
      <c r="I204" s="51">
        <f>Q_IS!I175</f>
        <v>0.11302270691444716</v>
      </c>
      <c r="J204" s="51">
        <f>Q_IS!J175</f>
        <v>8.8811005412106958E-2</v>
      </c>
      <c r="K204" s="51">
        <f>Q_IS!K175</f>
        <v>5.5921288014311399E-2</v>
      </c>
      <c r="L204" s="51">
        <f>Q_IS!L175</f>
        <v>0.10588473759829276</v>
      </c>
      <c r="M204" s="51">
        <f>Q_IS!M175</f>
        <v>0.15634641729703969</v>
      </c>
      <c r="N204" s="51">
        <f>Q_IS!N175</f>
        <v>0.18656634123390003</v>
      </c>
      <c r="O204" s="51">
        <f>Q_IS!O175</f>
        <v>0.25748938171526703</v>
      </c>
      <c r="P204" s="51">
        <f>Q_IS!P175</f>
        <v>0.13212259159428963</v>
      </c>
      <c r="Q204" s="51">
        <f>Q_IS!Q175</f>
        <v>2.6245376991645752E-2</v>
      </c>
      <c r="R204" s="51">
        <f>Q_IS!R175</f>
        <v>-1.4638032970380799E-2</v>
      </c>
      <c r="S204" s="51">
        <f>Q_IS!S175</f>
        <v>-4.1388518024032095E-2</v>
      </c>
      <c r="T204" s="51">
        <f>Q_IS!T175</f>
        <v>-4.7948927563899679E-2</v>
      </c>
      <c r="U204" s="38">
        <f>Q_IS!U175</f>
        <v>-2.1335579578619313E-2</v>
      </c>
      <c r="V204" s="38">
        <f>Q_IS!V175</f>
        <v>-0.11580470500373419</v>
      </c>
      <c r="W204" s="38">
        <f>Q_IS!W175</f>
        <v>-0.16830293530920493</v>
      </c>
      <c r="X204" s="38">
        <f>Q_IS!X175</f>
        <v>-0.13737917280406797</v>
      </c>
      <c r="Y204" s="38">
        <f>Q_IS!Y175</f>
        <v>-0.10254313616119903</v>
      </c>
      <c r="Z204" s="38">
        <f>Q_IS!Z175</f>
        <v>0.15563481550352498</v>
      </c>
      <c r="AA204" s="38">
        <f>Q_IS!AA175</f>
        <v>0.22624782884878725</v>
      </c>
      <c r="AB204" s="38">
        <f>Q_IS!AB175</f>
        <v>0.23936449031638785</v>
      </c>
      <c r="AC204" s="38">
        <f>Q_IS!AC175</f>
        <v>0.25247707900533234</v>
      </c>
      <c r="AD204" s="38">
        <f>Q_IS!AD175</f>
        <v>-3.4551359949706373E-2</v>
      </c>
      <c r="AE204" s="38">
        <f>Q_IS!AE175</f>
        <v>-4.3446733034073093E-2</v>
      </c>
      <c r="AF204" s="38">
        <f>Q_IS!AF175</f>
        <v>-2.0130169297367106E-2</v>
      </c>
      <c r="AG204" s="38">
        <f>Q_IS!AG175</f>
        <v>6.9532209095055642E-3</v>
      </c>
      <c r="AH204" s="38">
        <f>Q_IS!AH175</f>
        <v>0.33733023694236564</v>
      </c>
      <c r="AI204" s="38">
        <f>Q_IS!AI175</f>
        <v>0.13119695026564648</v>
      </c>
      <c r="AJ204" s="38">
        <f>Q_IS!AJ175</f>
        <v>3.4553670987839347E-2</v>
      </c>
      <c r="AK204" s="38">
        <f>Q_IS!AK175</f>
        <v>2.6436802956491423E-2</v>
      </c>
      <c r="AL204" s="38">
        <f>Q_IS!AL175</f>
        <v>-6.6285949576765368E-2</v>
      </c>
      <c r="AM204" s="38">
        <f>Q_IS!AM175</f>
        <v>-9.9845357545779168E-3</v>
      </c>
      <c r="AN204" s="38">
        <f>Q_IS!AN175</f>
        <v>-0.17819352866175098</v>
      </c>
      <c r="AO204" s="38">
        <f>Q_IS!AO175</f>
        <v>-0.24436786445706915</v>
      </c>
      <c r="AP204" s="38">
        <f>Q_IS!AP175</f>
        <v>-0.25135223046249178</v>
      </c>
      <c r="AQ204" s="38">
        <f>Q_IS!AQ175</f>
        <v>-0.22279757733928818</v>
      </c>
      <c r="AR204" s="38">
        <f>Q_IS!AR175</f>
        <v>-4.9818032598838102E-2</v>
      </c>
      <c r="AS204" s="38">
        <f>Q_IS!AS175</f>
        <v>-2.6316422718862365E-2</v>
      </c>
      <c r="AT204" s="38">
        <f>Q_IS!AT175</f>
        <v>-0.24093682276300676</v>
      </c>
      <c r="AU204" s="38">
        <f>Q_IS!AU175</f>
        <v>-0.67927363771605487</v>
      </c>
      <c r="AV204" s="38">
        <f>Q_IS!AV175</f>
        <v>-0.49968090853932767</v>
      </c>
      <c r="AW204" s="38">
        <f>Q_IS!AW175</f>
        <v>-0.26234777227436901</v>
      </c>
      <c r="AX204" s="38">
        <f>Q_IS!AX175</f>
        <v>1.6796926945006785E-2</v>
      </c>
      <c r="AY204" s="38">
        <f>Q_IS!AY175</f>
        <v>1.228095461023631</v>
      </c>
      <c r="AZ204" s="38">
        <f>Q_IS!AZ175</f>
        <v>0.8788747125203964</v>
      </c>
      <c r="BA204" s="38">
        <f>Q_IS!BA175</f>
        <v>0.6633734993226259</v>
      </c>
      <c r="BB204" s="38">
        <f>Q_IS!BB175</f>
        <v>0.47972603356947863</v>
      </c>
      <c r="BC204" s="38">
        <f>Q_IS!BC175</f>
        <v>0.73514723260680426</v>
      </c>
      <c r="BD204" s="38">
        <f>Q_IS!BD175</f>
        <v>0.44062033607164719</v>
      </c>
      <c r="BE204" s="38">
        <f>Q_IS!BE175</f>
        <v>0.17969308149142371</v>
      </c>
      <c r="BF204" s="38">
        <f>Q_IS!BF175</f>
        <v>7.5510284839114039E-2</v>
      </c>
      <c r="BG204" s="38">
        <f>Q_IS!BG175</f>
        <v>1.8957152941732724E-2</v>
      </c>
      <c r="BH204" s="38">
        <f>Q_IS!BH175</f>
        <v>-9.7623278893479437E-3</v>
      </c>
      <c r="BI204" s="38">
        <f>Q_IS!BI175</f>
        <v>-0.18219002996783196</v>
      </c>
      <c r="BJ204" s="38">
        <f>Q_IS!BJ175</f>
        <v>-0.21264111907461414</v>
      </c>
      <c r="BK204" s="1833">
        <f>Q_IS!BK175</f>
        <v>-0.16418465414332373</v>
      </c>
      <c r="BL204" s="45">
        <f t="shared" ref="BL204:BP204" si="1251">BL205+$CY204</f>
        <v>0.54432197431955731</v>
      </c>
      <c r="BM204" s="45">
        <f t="shared" si="1251"/>
        <v>0.36521376066025552</v>
      </c>
      <c r="BN204" s="45">
        <f t="shared" si="1251"/>
        <v>0.31192276576858619</v>
      </c>
      <c r="BO204" s="45">
        <f t="shared" si="1251"/>
        <v>0.24602434963508035</v>
      </c>
      <c r="BP204" s="45">
        <f t="shared" si="1251"/>
        <v>0.18988165221821979</v>
      </c>
      <c r="BQ204" s="45">
        <f t="shared" ref="BQ204:BY204" si="1252">BQ205+$CY204</f>
        <v>0.1407749203523444</v>
      </c>
      <c r="BR204" s="45">
        <f t="shared" si="1252"/>
        <v>0.16892990442281328</v>
      </c>
      <c r="BS204" s="45">
        <f t="shared" si="1252"/>
        <v>0.16892990442281328</v>
      </c>
      <c r="BT204" s="45">
        <f t="shared" si="1252"/>
        <v>0.16892990442281328</v>
      </c>
      <c r="BU204" s="45">
        <f t="shared" si="1252"/>
        <v>0.16892990442281328</v>
      </c>
      <c r="BV204" s="45">
        <f t="shared" si="1252"/>
        <v>0.1407749203523444</v>
      </c>
      <c r="BW204" s="45">
        <f t="shared" si="1252"/>
        <v>0.1407749203523444</v>
      </c>
      <c r="BX204" s="45">
        <f t="shared" si="1252"/>
        <v>0.1407749203523444</v>
      </c>
      <c r="BY204" s="45">
        <f t="shared" si="1252"/>
        <v>0.1407749203523444</v>
      </c>
      <c r="BZ204" s="45">
        <f t="shared" ref="BZ204:CU204" si="1253">BZ205+$CZ204</f>
        <v>0.13373617433472718</v>
      </c>
      <c r="CA204" s="45">
        <f t="shared" si="1253"/>
        <v>0.13373617433472718</v>
      </c>
      <c r="CB204" s="45">
        <f t="shared" si="1253"/>
        <v>0.13373617433472718</v>
      </c>
      <c r="CC204" s="45">
        <f t="shared" si="1253"/>
        <v>0.13373617433472718</v>
      </c>
      <c r="CD204" s="45">
        <f t="shared" si="1253"/>
        <v>0.13373617433472718</v>
      </c>
      <c r="CE204" s="45">
        <f t="shared" si="1253"/>
        <v>0.13373617433472718</v>
      </c>
      <c r="CF204" s="45">
        <f t="shared" si="1253"/>
        <v>0.13373617433472718</v>
      </c>
      <c r="CG204" s="45">
        <f t="shared" si="1253"/>
        <v>0.13373617433472718</v>
      </c>
      <c r="CH204" s="45">
        <f t="shared" si="1253"/>
        <v>0.13373617433472718</v>
      </c>
      <c r="CI204" s="45">
        <f t="shared" si="1253"/>
        <v>0.13373617433472718</v>
      </c>
      <c r="CJ204" s="45">
        <f t="shared" si="1253"/>
        <v>0.13373617433472718</v>
      </c>
      <c r="CK204" s="45">
        <f t="shared" si="1253"/>
        <v>0.13373617433472718</v>
      </c>
      <c r="CL204" s="45">
        <f t="shared" si="1253"/>
        <v>0.13373617433472718</v>
      </c>
      <c r="CM204" s="45">
        <f t="shared" si="1253"/>
        <v>0.13373617433472718</v>
      </c>
      <c r="CN204" s="45">
        <f t="shared" si="1253"/>
        <v>0.13373617433472718</v>
      </c>
      <c r="CO204" s="45">
        <f t="shared" si="1253"/>
        <v>0.13373617433472718</v>
      </c>
      <c r="CP204" s="45">
        <f t="shared" si="1253"/>
        <v>0.13373617433472718</v>
      </c>
      <c r="CQ204" s="45">
        <f t="shared" si="1253"/>
        <v>0.13373617433472718</v>
      </c>
      <c r="CR204" s="45">
        <f t="shared" si="1253"/>
        <v>0.13373617433472718</v>
      </c>
      <c r="CS204" s="45">
        <f t="shared" si="1253"/>
        <v>0.13373617433472718</v>
      </c>
      <c r="CT204" s="45">
        <f t="shared" si="1253"/>
        <v>0.13373617433472718</v>
      </c>
      <c r="CU204" s="45">
        <f t="shared" si="1253"/>
        <v>0.13373617433472718</v>
      </c>
      <c r="CV204" s="45">
        <f t="shared" ref="CV204:CW204" si="1254">CV205+$CZ204</f>
        <v>0.13373617433472718</v>
      </c>
      <c r="CW204" s="45">
        <f t="shared" si="1254"/>
        <v>0.13373617433472718</v>
      </c>
      <c r="CX204" s="269"/>
      <c r="CY204" s="559">
        <v>0</v>
      </c>
      <c r="CZ204" s="559">
        <v>0</v>
      </c>
    </row>
    <row r="205" spans="1:106">
      <c r="A205" s="695" t="s">
        <v>200</v>
      </c>
      <c r="B205" s="392"/>
      <c r="C205" s="392"/>
      <c r="D205" s="392"/>
      <c r="E205" s="394"/>
      <c r="F205" s="51">
        <f t="shared" ref="F205:AN205" si="1255">+F204</f>
        <v>0</v>
      </c>
      <c r="G205" s="51">
        <f t="shared" si="1255"/>
        <v>0.16898651587646785</v>
      </c>
      <c r="H205" s="51">
        <f t="shared" si="1255"/>
        <v>0.18295972644376879</v>
      </c>
      <c r="I205" s="51">
        <f t="shared" si="1255"/>
        <v>0.11302270691444716</v>
      </c>
      <c r="J205" s="51">
        <f t="shared" si="1255"/>
        <v>8.8811005412106958E-2</v>
      </c>
      <c r="K205" s="51">
        <f t="shared" si="1255"/>
        <v>5.5921288014311399E-2</v>
      </c>
      <c r="L205" s="51">
        <f t="shared" si="1255"/>
        <v>0.10588473759829276</v>
      </c>
      <c r="M205" s="51">
        <f t="shared" si="1255"/>
        <v>0.15634641729703969</v>
      </c>
      <c r="N205" s="51">
        <f t="shared" si="1255"/>
        <v>0.18656634123390003</v>
      </c>
      <c r="O205" s="51">
        <f t="shared" si="1255"/>
        <v>0.25748938171526703</v>
      </c>
      <c r="P205" s="51">
        <f t="shared" si="1255"/>
        <v>0.13212259159428963</v>
      </c>
      <c r="Q205" s="51">
        <f t="shared" si="1255"/>
        <v>2.6245376991645752E-2</v>
      </c>
      <c r="R205" s="51">
        <f t="shared" si="1255"/>
        <v>-1.4638032970380799E-2</v>
      </c>
      <c r="S205" s="51">
        <f t="shared" si="1255"/>
        <v>-4.1388518024032095E-2</v>
      </c>
      <c r="T205" s="51">
        <f t="shared" si="1255"/>
        <v>-4.7948927563899679E-2</v>
      </c>
      <c r="U205" s="38">
        <f t="shared" si="1255"/>
        <v>-2.1335579578619313E-2</v>
      </c>
      <c r="V205" s="38">
        <f t="shared" si="1255"/>
        <v>-0.11580470500373419</v>
      </c>
      <c r="W205" s="38">
        <f t="shared" si="1255"/>
        <v>-0.16830293530920493</v>
      </c>
      <c r="X205" s="38">
        <f t="shared" si="1255"/>
        <v>-0.13737917280406797</v>
      </c>
      <c r="Y205" s="38">
        <f t="shared" si="1255"/>
        <v>-0.10254313616119903</v>
      </c>
      <c r="Z205" s="38">
        <f t="shared" si="1255"/>
        <v>0.15563481550352498</v>
      </c>
      <c r="AA205" s="38">
        <f t="shared" si="1255"/>
        <v>0.22624782884878725</v>
      </c>
      <c r="AB205" s="38">
        <f t="shared" si="1255"/>
        <v>0.23936449031638785</v>
      </c>
      <c r="AC205" s="38">
        <f t="shared" si="1255"/>
        <v>0.25247707900533234</v>
      </c>
      <c r="AD205" s="38">
        <f t="shared" si="1255"/>
        <v>-3.4551359949706373E-2</v>
      </c>
      <c r="AE205" s="38">
        <f t="shared" si="1255"/>
        <v>-4.3446733034073093E-2</v>
      </c>
      <c r="AF205" s="38">
        <f t="shared" si="1255"/>
        <v>-2.0130169297367106E-2</v>
      </c>
      <c r="AG205" s="38">
        <f t="shared" si="1255"/>
        <v>6.9532209095055642E-3</v>
      </c>
      <c r="AH205" s="38">
        <f t="shared" si="1255"/>
        <v>0.33733023694236564</v>
      </c>
      <c r="AI205" s="38">
        <f t="shared" si="1255"/>
        <v>0.13119695026564648</v>
      </c>
      <c r="AJ205" s="38">
        <f t="shared" si="1255"/>
        <v>3.4553670987839347E-2</v>
      </c>
      <c r="AK205" s="38">
        <f t="shared" si="1255"/>
        <v>2.6436802956491423E-2</v>
      </c>
      <c r="AL205" s="38">
        <f t="shared" si="1255"/>
        <v>-6.6285949576765368E-2</v>
      </c>
      <c r="AM205" s="38">
        <f t="shared" si="1255"/>
        <v>-9.9845357545779168E-3</v>
      </c>
      <c r="AN205" s="38">
        <f t="shared" si="1255"/>
        <v>-0.17819352866175098</v>
      </c>
      <c r="AO205" s="38">
        <f t="shared" ref="AO205:BC205" si="1256">+AO204</f>
        <v>-0.24436786445706915</v>
      </c>
      <c r="AP205" s="38">
        <f t="shared" si="1256"/>
        <v>-0.25135223046249178</v>
      </c>
      <c r="AQ205" s="38">
        <f t="shared" si="1256"/>
        <v>-0.22279757733928818</v>
      </c>
      <c r="AR205" s="38">
        <f t="shared" si="1256"/>
        <v>-4.9818032598838102E-2</v>
      </c>
      <c r="AS205" s="38">
        <f t="shared" si="1256"/>
        <v>-2.6316422718862365E-2</v>
      </c>
      <c r="AT205" s="38">
        <f t="shared" si="1256"/>
        <v>-0.24093682276300676</v>
      </c>
      <c r="AU205" s="38">
        <f t="shared" si="1256"/>
        <v>-0.67927363771605487</v>
      </c>
      <c r="AV205" s="38">
        <f t="shared" si="1256"/>
        <v>-0.49968090853932767</v>
      </c>
      <c r="AW205" s="38">
        <f t="shared" si="1256"/>
        <v>-0.26234777227436901</v>
      </c>
      <c r="AX205" s="38">
        <f t="shared" si="1256"/>
        <v>1.6796926945006785E-2</v>
      </c>
      <c r="AY205" s="38">
        <f t="shared" si="1256"/>
        <v>1.228095461023631</v>
      </c>
      <c r="AZ205" s="38">
        <f t="shared" si="1256"/>
        <v>0.8788747125203964</v>
      </c>
      <c r="BA205" s="38">
        <f t="shared" si="1256"/>
        <v>0.6633734993226259</v>
      </c>
      <c r="BB205" s="38">
        <f t="shared" si="1256"/>
        <v>0.47972603356947863</v>
      </c>
      <c r="BC205" s="38">
        <f t="shared" si="1256"/>
        <v>0.73514723260680426</v>
      </c>
      <c r="BD205" s="38">
        <f t="shared" ref="BD205:BI205" si="1257">+BD204</f>
        <v>0.44062033607164719</v>
      </c>
      <c r="BE205" s="38">
        <f t="shared" si="1257"/>
        <v>0.17969308149142371</v>
      </c>
      <c r="BF205" s="38">
        <f t="shared" si="1257"/>
        <v>7.5510284839114039E-2</v>
      </c>
      <c r="BG205" s="38">
        <f t="shared" si="1257"/>
        <v>1.8957152941732724E-2</v>
      </c>
      <c r="BH205" s="38">
        <f t="shared" si="1257"/>
        <v>-9.7623278893479437E-3</v>
      </c>
      <c r="BI205" s="38">
        <f t="shared" si="1257"/>
        <v>-0.18219002996783196</v>
      </c>
      <c r="BJ205" s="38">
        <f t="shared" ref="BJ205:BK205" si="1258">+BJ204</f>
        <v>-0.21264111907461414</v>
      </c>
      <c r="BK205" s="1833">
        <f t="shared" si="1258"/>
        <v>-0.16418465414332373</v>
      </c>
      <c r="BL205" s="559">
        <f t="shared" ref="BL205:BQ205" si="1259">+BL193</f>
        <v>0.54432197431955731</v>
      </c>
      <c r="BM205" s="559">
        <f t="shared" si="1259"/>
        <v>0.36521376066025552</v>
      </c>
      <c r="BN205" s="559">
        <f t="shared" si="1259"/>
        <v>0.31192276576858619</v>
      </c>
      <c r="BO205" s="559">
        <f t="shared" si="1259"/>
        <v>0.24602434963508035</v>
      </c>
      <c r="BP205" s="559">
        <f t="shared" si="1259"/>
        <v>0.18988165221821979</v>
      </c>
      <c r="BQ205" s="559">
        <f t="shared" si="1259"/>
        <v>0.1407749203523444</v>
      </c>
      <c r="BR205" s="559">
        <f t="shared" ref="BR205:CK205" si="1260">+BR193</f>
        <v>0.16892990442281328</v>
      </c>
      <c r="BS205" s="559">
        <f t="shared" si="1260"/>
        <v>0.16892990442281328</v>
      </c>
      <c r="BT205" s="559">
        <f t="shared" si="1260"/>
        <v>0.16892990442281328</v>
      </c>
      <c r="BU205" s="559">
        <f t="shared" si="1260"/>
        <v>0.16892990442281328</v>
      </c>
      <c r="BV205" s="559">
        <f t="shared" si="1260"/>
        <v>0.1407749203523444</v>
      </c>
      <c r="BW205" s="559">
        <f t="shared" si="1260"/>
        <v>0.1407749203523444</v>
      </c>
      <c r="BX205" s="559">
        <f t="shared" si="1260"/>
        <v>0.1407749203523444</v>
      </c>
      <c r="BY205" s="559">
        <f t="shared" si="1260"/>
        <v>0.1407749203523444</v>
      </c>
      <c r="BZ205" s="559">
        <f t="shared" si="1260"/>
        <v>0.13373617433472718</v>
      </c>
      <c r="CA205" s="559">
        <f t="shared" si="1260"/>
        <v>0.13373617433472718</v>
      </c>
      <c r="CB205" s="559">
        <f t="shared" si="1260"/>
        <v>0.13373617433472718</v>
      </c>
      <c r="CC205" s="559">
        <f t="shared" si="1260"/>
        <v>0.13373617433472718</v>
      </c>
      <c r="CD205" s="559">
        <f t="shared" si="1260"/>
        <v>0.13373617433472718</v>
      </c>
      <c r="CE205" s="559">
        <f t="shared" si="1260"/>
        <v>0.13373617433472718</v>
      </c>
      <c r="CF205" s="559">
        <f t="shared" si="1260"/>
        <v>0.13373617433472718</v>
      </c>
      <c r="CG205" s="559">
        <f t="shared" si="1260"/>
        <v>0.13373617433472718</v>
      </c>
      <c r="CH205" s="559">
        <f t="shared" si="1260"/>
        <v>0.13373617433472718</v>
      </c>
      <c r="CI205" s="559">
        <f t="shared" si="1260"/>
        <v>0.13373617433472718</v>
      </c>
      <c r="CJ205" s="559">
        <f t="shared" si="1260"/>
        <v>0.13373617433472718</v>
      </c>
      <c r="CK205" s="559">
        <f t="shared" si="1260"/>
        <v>0.13373617433472718</v>
      </c>
      <c r="CL205" s="559">
        <f t="shared" ref="CL205:CP205" si="1261">+CL193</f>
        <v>0.13373617433472718</v>
      </c>
      <c r="CM205" s="559">
        <f t="shared" si="1261"/>
        <v>0.13373617433472718</v>
      </c>
      <c r="CN205" s="559">
        <f t="shared" si="1261"/>
        <v>0.13373617433472718</v>
      </c>
      <c r="CO205" s="559">
        <f t="shared" si="1261"/>
        <v>0.13373617433472718</v>
      </c>
      <c r="CP205" s="559">
        <f t="shared" si="1261"/>
        <v>0.13373617433472718</v>
      </c>
      <c r="CQ205" s="559">
        <f t="shared" ref="CQ205:CU205" si="1262">+CQ193</f>
        <v>0.13373617433472718</v>
      </c>
      <c r="CR205" s="559">
        <f t="shared" si="1262"/>
        <v>0.13373617433472718</v>
      </c>
      <c r="CS205" s="559">
        <f t="shared" si="1262"/>
        <v>0.13373617433472718</v>
      </c>
      <c r="CT205" s="559">
        <f t="shared" si="1262"/>
        <v>0.13373617433472718</v>
      </c>
      <c r="CU205" s="559">
        <f t="shared" si="1262"/>
        <v>0.13373617433472718</v>
      </c>
      <c r="CV205" s="559">
        <f t="shared" ref="CV205:CW205" si="1263">+CV193</f>
        <v>0.13373617433472718</v>
      </c>
      <c r="CW205" s="559">
        <f t="shared" si="1263"/>
        <v>0.13373617433472718</v>
      </c>
      <c r="CX205" s="269"/>
    </row>
    <row r="206" spans="1:106">
      <c r="A206" s="695" t="s">
        <v>202</v>
      </c>
      <c r="B206" s="392"/>
      <c r="C206" s="392"/>
      <c r="D206" s="392"/>
      <c r="E206" s="394"/>
      <c r="F206" s="51"/>
      <c r="G206" s="51">
        <f t="shared" ref="G206:AM206" si="1264">G204</f>
        <v>0.16898651587646785</v>
      </c>
      <c r="H206" s="51">
        <f t="shared" si="1264"/>
        <v>0.18295972644376879</v>
      </c>
      <c r="I206" s="51">
        <f t="shared" si="1264"/>
        <v>0.11302270691444716</v>
      </c>
      <c r="J206" s="51">
        <f t="shared" si="1264"/>
        <v>8.8811005412106958E-2</v>
      </c>
      <c r="K206" s="51">
        <f t="shared" si="1264"/>
        <v>5.5921288014311399E-2</v>
      </c>
      <c r="L206" s="51">
        <f t="shared" si="1264"/>
        <v>0.10588473759829276</v>
      </c>
      <c r="M206" s="51">
        <f t="shared" si="1264"/>
        <v>0.15634641729703969</v>
      </c>
      <c r="N206" s="51">
        <f t="shared" si="1264"/>
        <v>0.18656634123390003</v>
      </c>
      <c r="O206" s="51">
        <f t="shared" si="1264"/>
        <v>0.25748938171526703</v>
      </c>
      <c r="P206" s="51">
        <f t="shared" si="1264"/>
        <v>0.13212259159428963</v>
      </c>
      <c r="Q206" s="51">
        <f t="shared" si="1264"/>
        <v>2.6245376991645752E-2</v>
      </c>
      <c r="R206" s="51">
        <f t="shared" si="1264"/>
        <v>-1.4638032970380799E-2</v>
      </c>
      <c r="S206" s="51">
        <f t="shared" si="1264"/>
        <v>-4.1388518024032095E-2</v>
      </c>
      <c r="T206" s="51">
        <f t="shared" si="1264"/>
        <v>-4.7948927563899679E-2</v>
      </c>
      <c r="U206" s="38">
        <f t="shared" si="1264"/>
        <v>-2.1335579578619313E-2</v>
      </c>
      <c r="V206" s="38">
        <f t="shared" si="1264"/>
        <v>-0.11580470500373419</v>
      </c>
      <c r="W206" s="38">
        <f t="shared" si="1264"/>
        <v>-0.16830293530920493</v>
      </c>
      <c r="X206" s="38">
        <f t="shared" si="1264"/>
        <v>-0.13737917280406797</v>
      </c>
      <c r="Y206" s="38">
        <f t="shared" si="1264"/>
        <v>-0.10254313616119903</v>
      </c>
      <c r="Z206" s="38">
        <f t="shared" si="1264"/>
        <v>0.15563481550352498</v>
      </c>
      <c r="AA206" s="38">
        <f t="shared" si="1264"/>
        <v>0.22624782884878725</v>
      </c>
      <c r="AB206" s="38">
        <f t="shared" si="1264"/>
        <v>0.23936449031638785</v>
      </c>
      <c r="AC206" s="38">
        <f t="shared" si="1264"/>
        <v>0.25247707900533234</v>
      </c>
      <c r="AD206" s="38">
        <f t="shared" si="1264"/>
        <v>-3.4551359949706373E-2</v>
      </c>
      <c r="AE206" s="38">
        <f t="shared" si="1264"/>
        <v>-4.3446733034073093E-2</v>
      </c>
      <c r="AF206" s="38">
        <f t="shared" si="1264"/>
        <v>-2.0130169297367106E-2</v>
      </c>
      <c r="AG206" s="38">
        <f t="shared" si="1264"/>
        <v>6.9532209095055642E-3</v>
      </c>
      <c r="AH206" s="38">
        <f t="shared" si="1264"/>
        <v>0.33733023694236564</v>
      </c>
      <c r="AI206" s="38">
        <f t="shared" si="1264"/>
        <v>0.13119695026564648</v>
      </c>
      <c r="AJ206" s="38">
        <f t="shared" si="1264"/>
        <v>3.4553670987839347E-2</v>
      </c>
      <c r="AK206" s="38">
        <f t="shared" si="1264"/>
        <v>2.6436802956491423E-2</v>
      </c>
      <c r="AL206" s="38">
        <f t="shared" si="1264"/>
        <v>-6.6285949576765368E-2</v>
      </c>
      <c r="AM206" s="38">
        <f t="shared" si="1264"/>
        <v>-9.9845357545779168E-3</v>
      </c>
      <c r="AN206" s="38">
        <f t="shared" ref="AN206:AS206" si="1265">AN204</f>
        <v>-0.17819352866175098</v>
      </c>
      <c r="AO206" s="38">
        <f t="shared" si="1265"/>
        <v>-0.24436786445706915</v>
      </c>
      <c r="AP206" s="38">
        <f t="shared" si="1265"/>
        <v>-0.25135223046249178</v>
      </c>
      <c r="AQ206" s="38">
        <f t="shared" si="1265"/>
        <v>-0.22279757733928818</v>
      </c>
      <c r="AR206" s="38">
        <f t="shared" si="1265"/>
        <v>-4.9818032598838102E-2</v>
      </c>
      <c r="AS206" s="38">
        <f t="shared" si="1265"/>
        <v>-2.6316422718862365E-2</v>
      </c>
      <c r="AT206" s="38">
        <f t="shared" ref="AT206:BC206" si="1266">AT204</f>
        <v>-0.24093682276300676</v>
      </c>
      <c r="AU206" s="38">
        <f t="shared" si="1266"/>
        <v>-0.67927363771605487</v>
      </c>
      <c r="AV206" s="38">
        <f t="shared" si="1266"/>
        <v>-0.49968090853932767</v>
      </c>
      <c r="AW206" s="38">
        <f t="shared" si="1266"/>
        <v>-0.26234777227436901</v>
      </c>
      <c r="AX206" s="38">
        <f t="shared" si="1266"/>
        <v>1.6796926945006785E-2</v>
      </c>
      <c r="AY206" s="38">
        <f t="shared" si="1266"/>
        <v>1.228095461023631</v>
      </c>
      <c r="AZ206" s="38">
        <f t="shared" si="1266"/>
        <v>0.8788747125203964</v>
      </c>
      <c r="BA206" s="38">
        <f t="shared" si="1266"/>
        <v>0.6633734993226259</v>
      </c>
      <c r="BB206" s="38">
        <f t="shared" si="1266"/>
        <v>0.47972603356947863</v>
      </c>
      <c r="BC206" s="38">
        <f t="shared" si="1266"/>
        <v>0.73514723260680426</v>
      </c>
      <c r="BD206" s="38">
        <f t="shared" ref="BD206:BI206" si="1267">BD204</f>
        <v>0.44062033607164719</v>
      </c>
      <c r="BE206" s="38">
        <f t="shared" si="1267"/>
        <v>0.17969308149142371</v>
      </c>
      <c r="BF206" s="38">
        <f t="shared" si="1267"/>
        <v>7.5510284839114039E-2</v>
      </c>
      <c r="BG206" s="38">
        <f t="shared" si="1267"/>
        <v>1.8957152941732724E-2</v>
      </c>
      <c r="BH206" s="38">
        <f t="shared" si="1267"/>
        <v>-9.7623278893479437E-3</v>
      </c>
      <c r="BI206" s="38">
        <f t="shared" si="1267"/>
        <v>-0.18219002996783196</v>
      </c>
      <c r="BJ206" s="38">
        <f t="shared" ref="BJ206:BK206" si="1268">BJ204</f>
        <v>-0.21264111907461414</v>
      </c>
      <c r="BK206" s="1833">
        <f t="shared" si="1268"/>
        <v>-0.16418465414332373</v>
      </c>
      <c r="BL206" s="45">
        <f t="shared" ref="BL206:BP206" si="1269">BL205+$CY206</f>
        <v>0.54432197431955731</v>
      </c>
      <c r="BM206" s="45">
        <f t="shared" si="1269"/>
        <v>0.36521376066025552</v>
      </c>
      <c r="BN206" s="45">
        <f t="shared" si="1269"/>
        <v>0.31192276576858619</v>
      </c>
      <c r="BO206" s="45">
        <f t="shared" si="1269"/>
        <v>0.24602434963508035</v>
      </c>
      <c r="BP206" s="45">
        <f t="shared" si="1269"/>
        <v>0.18988165221821979</v>
      </c>
      <c r="BQ206" s="45">
        <f t="shared" ref="BQ206:BY206" si="1270">BQ205+$CY206</f>
        <v>0.1407749203523444</v>
      </c>
      <c r="BR206" s="45">
        <f t="shared" si="1270"/>
        <v>0.16892990442281328</v>
      </c>
      <c r="BS206" s="45">
        <f t="shared" si="1270"/>
        <v>0.16892990442281328</v>
      </c>
      <c r="BT206" s="45">
        <f t="shared" si="1270"/>
        <v>0.16892990442281328</v>
      </c>
      <c r="BU206" s="45">
        <f t="shared" si="1270"/>
        <v>0.16892990442281328</v>
      </c>
      <c r="BV206" s="45">
        <f t="shared" si="1270"/>
        <v>0.1407749203523444</v>
      </c>
      <c r="BW206" s="45">
        <f t="shared" si="1270"/>
        <v>0.1407749203523444</v>
      </c>
      <c r="BX206" s="45">
        <f t="shared" si="1270"/>
        <v>0.1407749203523444</v>
      </c>
      <c r="BY206" s="45">
        <f t="shared" si="1270"/>
        <v>0.1407749203523444</v>
      </c>
      <c r="BZ206" s="45">
        <f t="shared" ref="BZ206:CU206" si="1271">BZ205+$CZ206</f>
        <v>0.13373617433472718</v>
      </c>
      <c r="CA206" s="45">
        <f t="shared" si="1271"/>
        <v>0.13373617433472718</v>
      </c>
      <c r="CB206" s="45">
        <f t="shared" si="1271"/>
        <v>0.13373617433472718</v>
      </c>
      <c r="CC206" s="45">
        <f t="shared" si="1271"/>
        <v>0.13373617433472718</v>
      </c>
      <c r="CD206" s="45">
        <f t="shared" si="1271"/>
        <v>0.13373617433472718</v>
      </c>
      <c r="CE206" s="45">
        <f t="shared" si="1271"/>
        <v>0.13373617433472718</v>
      </c>
      <c r="CF206" s="45">
        <f t="shared" si="1271"/>
        <v>0.13373617433472718</v>
      </c>
      <c r="CG206" s="45">
        <f t="shared" si="1271"/>
        <v>0.13373617433472718</v>
      </c>
      <c r="CH206" s="45">
        <f t="shared" si="1271"/>
        <v>0.13373617433472718</v>
      </c>
      <c r="CI206" s="45">
        <f t="shared" si="1271"/>
        <v>0.13373617433472718</v>
      </c>
      <c r="CJ206" s="45">
        <f t="shared" si="1271"/>
        <v>0.13373617433472718</v>
      </c>
      <c r="CK206" s="45">
        <f t="shared" si="1271"/>
        <v>0.13373617433472718</v>
      </c>
      <c r="CL206" s="45">
        <f t="shared" si="1271"/>
        <v>0.13373617433472718</v>
      </c>
      <c r="CM206" s="45">
        <f t="shared" si="1271"/>
        <v>0.13373617433472718</v>
      </c>
      <c r="CN206" s="45">
        <f t="shared" si="1271"/>
        <v>0.13373617433472718</v>
      </c>
      <c r="CO206" s="45">
        <f t="shared" si="1271"/>
        <v>0.13373617433472718</v>
      </c>
      <c r="CP206" s="45">
        <f t="shared" si="1271"/>
        <v>0.13373617433472718</v>
      </c>
      <c r="CQ206" s="45">
        <f t="shared" si="1271"/>
        <v>0.13373617433472718</v>
      </c>
      <c r="CR206" s="45">
        <f t="shared" si="1271"/>
        <v>0.13373617433472718</v>
      </c>
      <c r="CS206" s="45">
        <f t="shared" si="1271"/>
        <v>0.13373617433472718</v>
      </c>
      <c r="CT206" s="45">
        <f t="shared" si="1271"/>
        <v>0.13373617433472718</v>
      </c>
      <c r="CU206" s="45">
        <f t="shared" si="1271"/>
        <v>0.13373617433472718</v>
      </c>
      <c r="CV206" s="45">
        <f t="shared" ref="CV206:CW206" si="1272">CV205+$CZ206</f>
        <v>0.13373617433472718</v>
      </c>
      <c r="CW206" s="45">
        <f t="shared" si="1272"/>
        <v>0.13373617433472718</v>
      </c>
      <c r="CX206" s="269"/>
      <c r="CY206" s="559">
        <v>0</v>
      </c>
      <c r="CZ206" s="559">
        <v>0</v>
      </c>
    </row>
    <row r="207" spans="1:106">
      <c r="A207" s="42"/>
      <c r="B207" s="388"/>
      <c r="C207" s="388"/>
      <c r="D207" s="388"/>
      <c r="E207" s="38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269"/>
      <c r="AN207" s="269"/>
      <c r="AO207" s="269"/>
      <c r="AP207" s="45"/>
      <c r="AQ207" s="45"/>
      <c r="AR207" s="45"/>
      <c r="AS207" s="45"/>
      <c r="AT207" s="45"/>
      <c r="AU207" s="45"/>
      <c r="AV207" s="45"/>
      <c r="AW207" s="45"/>
      <c r="AX207" s="45"/>
      <c r="AY207" s="45"/>
      <c r="AZ207" s="45"/>
      <c r="BA207" s="45"/>
      <c r="BB207" s="45"/>
      <c r="BC207" s="45"/>
      <c r="BD207" s="45"/>
      <c r="BE207" s="45"/>
      <c r="BF207" s="45"/>
      <c r="BG207" s="45"/>
      <c r="BH207" s="45"/>
      <c r="BI207" s="45"/>
      <c r="BJ207" s="45"/>
      <c r="BK207" s="45"/>
      <c r="BL207" s="45"/>
      <c r="BM207" s="45"/>
      <c r="BN207" s="45"/>
      <c r="BO207" s="45"/>
      <c r="BP207" s="45"/>
      <c r="BQ207" s="45"/>
      <c r="BR207" s="45"/>
      <c r="BS207" s="45"/>
      <c r="BT207" s="45"/>
      <c r="BU207" s="45"/>
      <c r="BV207" s="45"/>
      <c r="BW207" s="45"/>
      <c r="BX207" s="45"/>
      <c r="BY207" s="45"/>
      <c r="BZ207" s="45"/>
      <c r="CA207" s="45"/>
      <c r="CB207" s="45"/>
      <c r="CC207" s="45"/>
      <c r="CD207" s="45"/>
      <c r="CE207" s="45"/>
      <c r="CF207" s="45"/>
      <c r="CG207" s="45"/>
      <c r="CH207" s="45"/>
      <c r="CI207" s="45"/>
      <c r="CJ207" s="45"/>
      <c r="CK207" s="45"/>
      <c r="CL207" s="45"/>
      <c r="CM207" s="45"/>
      <c r="CN207" s="45"/>
      <c r="CO207" s="45"/>
      <c r="CP207" s="45"/>
      <c r="CQ207" s="45"/>
      <c r="CR207" s="45"/>
      <c r="CS207" s="45"/>
      <c r="CT207" s="45"/>
      <c r="CU207" s="45"/>
      <c r="CV207" s="45"/>
      <c r="CW207" s="45"/>
      <c r="CX207" s="269"/>
      <c r="CY207" s="269"/>
      <c r="CZ207" s="269"/>
    </row>
    <row r="208" spans="1:106">
      <c r="A208" s="472" t="s">
        <v>932</v>
      </c>
      <c r="B208" s="601">
        <f t="shared" ref="B208:AG208" si="1273">B$8</f>
        <v>39903</v>
      </c>
      <c r="C208" s="601">
        <f t="shared" si="1273"/>
        <v>39994</v>
      </c>
      <c r="D208" s="601">
        <f t="shared" si="1273"/>
        <v>40086</v>
      </c>
      <c r="E208" s="601">
        <f t="shared" si="1273"/>
        <v>40178</v>
      </c>
      <c r="F208" s="601">
        <f t="shared" si="1273"/>
        <v>40268</v>
      </c>
      <c r="G208" s="601">
        <f t="shared" si="1273"/>
        <v>40359</v>
      </c>
      <c r="H208" s="601">
        <f t="shared" si="1273"/>
        <v>40451</v>
      </c>
      <c r="I208" s="601">
        <f t="shared" si="1273"/>
        <v>40543</v>
      </c>
      <c r="J208" s="601">
        <f t="shared" si="1273"/>
        <v>40633</v>
      </c>
      <c r="K208" s="601">
        <f t="shared" si="1273"/>
        <v>40724</v>
      </c>
      <c r="L208" s="601">
        <f t="shared" si="1273"/>
        <v>40816</v>
      </c>
      <c r="M208" s="601">
        <f t="shared" si="1273"/>
        <v>40908</v>
      </c>
      <c r="N208" s="601">
        <f t="shared" si="1273"/>
        <v>40999</v>
      </c>
      <c r="O208" s="601">
        <f t="shared" si="1273"/>
        <v>41090</v>
      </c>
      <c r="P208" s="601">
        <f t="shared" si="1273"/>
        <v>41182</v>
      </c>
      <c r="Q208" s="601">
        <f t="shared" si="1273"/>
        <v>41274</v>
      </c>
      <c r="R208" s="601">
        <f t="shared" si="1273"/>
        <v>41364</v>
      </c>
      <c r="S208" s="601">
        <f t="shared" si="1273"/>
        <v>41455</v>
      </c>
      <c r="T208" s="601">
        <f t="shared" si="1273"/>
        <v>41547</v>
      </c>
      <c r="U208" s="601">
        <f t="shared" si="1273"/>
        <v>41639</v>
      </c>
      <c r="V208" s="601">
        <f t="shared" si="1273"/>
        <v>41729</v>
      </c>
      <c r="W208" s="601">
        <f t="shared" si="1273"/>
        <v>41820</v>
      </c>
      <c r="X208" s="601">
        <f t="shared" si="1273"/>
        <v>41912</v>
      </c>
      <c r="Y208" s="601">
        <f t="shared" si="1273"/>
        <v>42004</v>
      </c>
      <c r="Z208" s="601">
        <f t="shared" si="1273"/>
        <v>42094</v>
      </c>
      <c r="AA208" s="601">
        <f t="shared" si="1273"/>
        <v>42185</v>
      </c>
      <c r="AB208" s="601">
        <f t="shared" si="1273"/>
        <v>42277</v>
      </c>
      <c r="AC208" s="601">
        <f t="shared" si="1273"/>
        <v>42369</v>
      </c>
      <c r="AD208" s="601">
        <f t="shared" si="1273"/>
        <v>42460</v>
      </c>
      <c r="AE208" s="601">
        <f t="shared" si="1273"/>
        <v>42551</v>
      </c>
      <c r="AF208" s="601">
        <f t="shared" si="1273"/>
        <v>42643</v>
      </c>
      <c r="AG208" s="601">
        <f t="shared" si="1273"/>
        <v>42735</v>
      </c>
      <c r="AH208" s="601">
        <f t="shared" ref="AH208:CW208" si="1274">AH$8</f>
        <v>42825</v>
      </c>
      <c r="AI208" s="601">
        <f t="shared" si="1274"/>
        <v>42916</v>
      </c>
      <c r="AJ208" s="601">
        <f t="shared" si="1274"/>
        <v>43008</v>
      </c>
      <c r="AK208" s="601">
        <f t="shared" si="1274"/>
        <v>43100</v>
      </c>
      <c r="AL208" s="601">
        <f t="shared" si="1274"/>
        <v>43190</v>
      </c>
      <c r="AM208" s="601">
        <f t="shared" si="1274"/>
        <v>43281</v>
      </c>
      <c r="AN208" s="601">
        <f t="shared" si="1274"/>
        <v>43373</v>
      </c>
      <c r="AO208" s="601">
        <f t="shared" si="1274"/>
        <v>43465</v>
      </c>
      <c r="AP208" s="601">
        <f t="shared" si="1274"/>
        <v>43555</v>
      </c>
      <c r="AQ208" s="601">
        <f t="shared" si="1274"/>
        <v>43646</v>
      </c>
      <c r="AR208" s="601">
        <f t="shared" si="1274"/>
        <v>43738</v>
      </c>
      <c r="AS208" s="601">
        <f t="shared" si="1274"/>
        <v>43830</v>
      </c>
      <c r="AT208" s="601">
        <f t="shared" si="1274"/>
        <v>43921</v>
      </c>
      <c r="AU208" s="601">
        <f t="shared" si="1274"/>
        <v>44012</v>
      </c>
      <c r="AV208" s="601">
        <f t="shared" si="1274"/>
        <v>44104</v>
      </c>
      <c r="AW208" s="601">
        <f t="shared" si="1274"/>
        <v>44196</v>
      </c>
      <c r="AX208" s="601">
        <f t="shared" si="1274"/>
        <v>44286</v>
      </c>
      <c r="AY208" s="601">
        <f t="shared" si="1274"/>
        <v>44377</v>
      </c>
      <c r="AZ208" s="601">
        <f t="shared" si="1274"/>
        <v>44469</v>
      </c>
      <c r="BA208" s="601">
        <f t="shared" si="1274"/>
        <v>44561</v>
      </c>
      <c r="BB208" s="601">
        <f t="shared" si="1274"/>
        <v>44651</v>
      </c>
      <c r="BC208" s="601">
        <f t="shared" si="1274"/>
        <v>44742</v>
      </c>
      <c r="BD208" s="601">
        <f t="shared" si="1274"/>
        <v>44834</v>
      </c>
      <c r="BE208" s="601">
        <f t="shared" si="1274"/>
        <v>44926</v>
      </c>
      <c r="BF208" s="601">
        <f t="shared" si="1274"/>
        <v>45016</v>
      </c>
      <c r="BG208" s="601">
        <f t="shared" si="1274"/>
        <v>45107</v>
      </c>
      <c r="BH208" s="601">
        <f t="shared" si="1274"/>
        <v>45199</v>
      </c>
      <c r="BI208" s="601">
        <f t="shared" si="1274"/>
        <v>45291</v>
      </c>
      <c r="BJ208" s="601">
        <f t="shared" si="1274"/>
        <v>45382</v>
      </c>
      <c r="BK208" s="1172">
        <f t="shared" si="1274"/>
        <v>45473</v>
      </c>
      <c r="BL208" s="600">
        <f t="shared" si="1274"/>
        <v>45565</v>
      </c>
      <c r="BM208" s="600">
        <f t="shared" si="1274"/>
        <v>45657</v>
      </c>
      <c r="BN208" s="600">
        <f t="shared" si="1274"/>
        <v>45747</v>
      </c>
      <c r="BO208" s="600">
        <f t="shared" si="1274"/>
        <v>45838</v>
      </c>
      <c r="BP208" s="600">
        <f t="shared" si="1274"/>
        <v>45930</v>
      </c>
      <c r="BQ208" s="600">
        <f t="shared" si="1274"/>
        <v>46022</v>
      </c>
      <c r="BR208" s="600">
        <f t="shared" si="1274"/>
        <v>46112</v>
      </c>
      <c r="BS208" s="600">
        <f t="shared" si="1274"/>
        <v>46203</v>
      </c>
      <c r="BT208" s="600">
        <f t="shared" si="1274"/>
        <v>46295</v>
      </c>
      <c r="BU208" s="600">
        <f t="shared" si="1274"/>
        <v>46387</v>
      </c>
      <c r="BV208" s="600">
        <f t="shared" si="1274"/>
        <v>46477</v>
      </c>
      <c r="BW208" s="600">
        <f t="shared" si="1274"/>
        <v>46568</v>
      </c>
      <c r="BX208" s="600">
        <f t="shared" si="1274"/>
        <v>46660</v>
      </c>
      <c r="BY208" s="600">
        <f t="shared" si="1274"/>
        <v>46752</v>
      </c>
      <c r="BZ208" s="600">
        <f t="shared" si="1274"/>
        <v>46843</v>
      </c>
      <c r="CA208" s="600">
        <f t="shared" si="1274"/>
        <v>46934</v>
      </c>
      <c r="CB208" s="600">
        <f t="shared" si="1274"/>
        <v>47026</v>
      </c>
      <c r="CC208" s="600">
        <f t="shared" si="1274"/>
        <v>47118</v>
      </c>
      <c r="CD208" s="600">
        <f t="shared" si="1274"/>
        <v>47208</v>
      </c>
      <c r="CE208" s="600">
        <f t="shared" si="1274"/>
        <v>47299</v>
      </c>
      <c r="CF208" s="600">
        <f t="shared" si="1274"/>
        <v>47391</v>
      </c>
      <c r="CG208" s="600">
        <f t="shared" si="1274"/>
        <v>47483</v>
      </c>
      <c r="CH208" s="600">
        <f t="shared" si="1274"/>
        <v>47573</v>
      </c>
      <c r="CI208" s="600">
        <f t="shared" si="1274"/>
        <v>47664</v>
      </c>
      <c r="CJ208" s="600">
        <f t="shared" si="1274"/>
        <v>47756</v>
      </c>
      <c r="CK208" s="600">
        <f t="shared" si="1274"/>
        <v>47848</v>
      </c>
      <c r="CL208" s="600">
        <f t="shared" si="1274"/>
        <v>47938</v>
      </c>
      <c r="CM208" s="600">
        <f t="shared" si="1274"/>
        <v>48029</v>
      </c>
      <c r="CN208" s="600">
        <f t="shared" si="1274"/>
        <v>48121</v>
      </c>
      <c r="CO208" s="600">
        <f t="shared" si="1274"/>
        <v>48213</v>
      </c>
      <c r="CP208" s="600">
        <f t="shared" si="1274"/>
        <v>48304</v>
      </c>
      <c r="CQ208" s="600">
        <f t="shared" si="1274"/>
        <v>48395</v>
      </c>
      <c r="CR208" s="600">
        <f t="shared" si="1274"/>
        <v>48487</v>
      </c>
      <c r="CS208" s="600">
        <f t="shared" si="1274"/>
        <v>48579</v>
      </c>
      <c r="CT208" s="600">
        <f t="shared" si="1274"/>
        <v>48669</v>
      </c>
      <c r="CU208" s="600">
        <f t="shared" si="1274"/>
        <v>48760</v>
      </c>
      <c r="CV208" s="600">
        <f t="shared" si="1274"/>
        <v>48852</v>
      </c>
      <c r="CW208" s="600">
        <f t="shared" si="1274"/>
        <v>48944</v>
      </c>
      <c r="CX208" s="269"/>
      <c r="DB208" s="13"/>
    </row>
    <row r="209" spans="1:104">
      <c r="A209" s="43" t="s">
        <v>315</v>
      </c>
      <c r="B209" s="397"/>
      <c r="C209" s="397"/>
      <c r="D209" s="397"/>
      <c r="E209" s="397"/>
      <c r="F209" s="397"/>
      <c r="G209" s="397"/>
      <c r="H209" s="397"/>
      <c r="I209" s="397"/>
      <c r="J209" s="397"/>
      <c r="K209" s="397"/>
      <c r="L209" s="397"/>
      <c r="M209" s="397"/>
      <c r="N209" s="397"/>
      <c r="O209" s="397"/>
      <c r="P209" s="397"/>
      <c r="Q209" s="397"/>
      <c r="R209" s="397"/>
      <c r="S209" s="397"/>
      <c r="T209" s="397"/>
      <c r="U209" s="397">
        <f>Q_IS!U285</f>
        <v>0.67292767478033655</v>
      </c>
      <c r="V209" s="397">
        <f>Q_IS!V285</f>
        <v>0.66521444195393031</v>
      </c>
      <c r="W209" s="397">
        <f>Q_IS!W285</f>
        <v>0.68247021232188798</v>
      </c>
      <c r="X209" s="397">
        <f>Q_IS!X285</f>
        <v>0.67929361980822434</v>
      </c>
      <c r="Y209" s="397">
        <f>Q_IS!Y285</f>
        <v>0.68882832815253514</v>
      </c>
      <c r="Z209" s="397">
        <f>Q_IS!Z285</f>
        <v>0.68583748829353752</v>
      </c>
      <c r="AA209" s="397">
        <f>Q_IS!AA285</f>
        <v>0.68407261997062074</v>
      </c>
      <c r="AB209" s="397">
        <f>Q_IS!AB285</f>
        <v>0.68318524911440059</v>
      </c>
      <c r="AC209" s="397">
        <f>Q_IS!AC285</f>
        <v>0.68919021200009911</v>
      </c>
      <c r="AD209" s="397">
        <f>Q_IS!AD285</f>
        <v>0.68224917865294388</v>
      </c>
      <c r="AE209" s="397">
        <f>Q_IS!AE285</f>
        <v>0.68803256453429062</v>
      </c>
      <c r="AF209" s="397">
        <f>Q_IS!AF285</f>
        <v>0.6886734033299784</v>
      </c>
      <c r="AG209" s="397">
        <f>Q_IS!AG285</f>
        <v>0.69044507124349552</v>
      </c>
      <c r="AH209" s="397">
        <f>Q_IS!AH285</f>
        <v>0.69200524311321243</v>
      </c>
      <c r="AI209" s="397">
        <f>Q_IS!AI285</f>
        <v>0.69735208498740819</v>
      </c>
      <c r="AJ209" s="397">
        <f>Q_IS!AJ285</f>
        <v>0.69756897953042918</v>
      </c>
      <c r="AK209" s="397">
        <f>Q_IS!AK285</f>
        <v>0.69733974947237132</v>
      </c>
      <c r="AL209" s="397">
        <f>Q_IS!AL285</f>
        <v>0.69871194278991666</v>
      </c>
      <c r="AM209" s="397">
        <f>Q_IS!AM285</f>
        <v>0.69518541684840973</v>
      </c>
      <c r="AN209" s="397">
        <f>Q_IS!AN285</f>
        <v>0.68978293151288983</v>
      </c>
      <c r="AO209" s="397">
        <f>Q_IS!AO285</f>
        <v>0.68743449930032929</v>
      </c>
      <c r="AP209" s="397">
        <f>Q_IS!AP285</f>
        <v>0.70019498066847097</v>
      </c>
      <c r="AQ209" s="397">
        <f>Q_IS!AQ285</f>
        <v>0.70505489612625383</v>
      </c>
      <c r="AR209" s="397">
        <f>Q_IS!AR285</f>
        <v>0.70472751900780217</v>
      </c>
      <c r="AS209" s="397">
        <f>Q_IS!AS285</f>
        <v>0.70893179541319995</v>
      </c>
      <c r="AT209" s="397">
        <f>Q_IS!AT285</f>
        <v>0.70170151564341943</v>
      </c>
      <c r="AU209" s="397">
        <f>Q_IS!AU285</f>
        <v>0.66136080866878277</v>
      </c>
      <c r="AV209" s="397">
        <f>Q_IS!AV285</f>
        <v>0.71683584426808178</v>
      </c>
      <c r="AW209" s="397">
        <f>Q_IS!AW285</f>
        <v>0.70950543301896762</v>
      </c>
      <c r="AX209" s="397">
        <f>Q_IS!AX285</f>
        <v>0.6737836566907377</v>
      </c>
      <c r="AY209" s="397">
        <f>Q_IS!AY285</f>
        <v>0.68265735209540979</v>
      </c>
      <c r="AZ209" s="397">
        <f>Q_IS!AZ285</f>
        <v>0.6905347544736008</v>
      </c>
      <c r="BA209" s="397">
        <f>Q_IS!BA285</f>
        <v>0.69264902123533478</v>
      </c>
      <c r="BB209" s="397">
        <f>Q_IS!BB285</f>
        <v>0.68195377081676178</v>
      </c>
      <c r="BC209" s="397">
        <f>Q_IS!BC285</f>
        <v>0.67261856690615951</v>
      </c>
      <c r="BD209" s="397">
        <f>Q_IS!BD285</f>
        <v>0.67137497648156974</v>
      </c>
      <c r="BE209" s="397">
        <f>Q_IS!BE285</f>
        <v>0.66748134371623946</v>
      </c>
      <c r="BF209" s="397">
        <f>Q_IS!BF285</f>
        <v>0.66855654932989439</v>
      </c>
      <c r="BG209" s="397">
        <f>Q_IS!BG285</f>
        <v>0.6682880766598972</v>
      </c>
      <c r="BH209" s="397">
        <f>Q_IS!BH285</f>
        <v>0.67300249091241726</v>
      </c>
      <c r="BI209" s="397">
        <f>Q_IS!BI285</f>
        <v>0.67755333344286328</v>
      </c>
      <c r="BJ209" s="397">
        <f>Q_IS!BJ285</f>
        <v>0.68036461147685401</v>
      </c>
      <c r="BK209" s="1824">
        <f>Q_IS!BK285</f>
        <v>0.6821940391629997</v>
      </c>
      <c r="BL209" s="398">
        <f t="shared" ref="BL209:CK209" si="1275">CHOOSE(MASTERSWITCH,BL210,BL211,BL212)</f>
        <v>0.67</v>
      </c>
      <c r="BM209" s="398">
        <f t="shared" si="1275"/>
        <v>0.66800000000000004</v>
      </c>
      <c r="BN209" s="398">
        <f t="shared" si="1275"/>
        <v>0.669364611476854</v>
      </c>
      <c r="BO209" s="398">
        <f t="shared" si="1275"/>
        <v>0.67119403916299969</v>
      </c>
      <c r="BP209" s="398">
        <f t="shared" si="1275"/>
        <v>0.66900000000000004</v>
      </c>
      <c r="BQ209" s="398">
        <f t="shared" si="1275"/>
        <v>0.66700000000000004</v>
      </c>
      <c r="BR209" s="398">
        <f t="shared" si="1275"/>
        <v>0.668364611476854</v>
      </c>
      <c r="BS209" s="398">
        <f t="shared" si="1275"/>
        <v>0.67019403916299969</v>
      </c>
      <c r="BT209" s="398">
        <f t="shared" si="1275"/>
        <v>0.66800000000000004</v>
      </c>
      <c r="BU209" s="398">
        <f t="shared" si="1275"/>
        <v>0.66600000000000004</v>
      </c>
      <c r="BV209" s="398">
        <f t="shared" si="1275"/>
        <v>0.667364611476854</v>
      </c>
      <c r="BW209" s="398">
        <f t="shared" si="1275"/>
        <v>0.66919403916299969</v>
      </c>
      <c r="BX209" s="398">
        <f t="shared" si="1275"/>
        <v>0.66700000000000004</v>
      </c>
      <c r="BY209" s="398">
        <f t="shared" si="1275"/>
        <v>0.66500000000000004</v>
      </c>
      <c r="BZ209" s="398">
        <f t="shared" si="1275"/>
        <v>0.66236461147685399</v>
      </c>
      <c r="CA209" s="398">
        <f t="shared" si="1275"/>
        <v>0.66419403916299968</v>
      </c>
      <c r="CB209" s="398">
        <f t="shared" si="1275"/>
        <v>0.66200000000000003</v>
      </c>
      <c r="CC209" s="398">
        <f t="shared" si="1275"/>
        <v>0.66</v>
      </c>
      <c r="CD209" s="398">
        <f t="shared" si="1275"/>
        <v>0.66236461147685399</v>
      </c>
      <c r="CE209" s="398">
        <f t="shared" si="1275"/>
        <v>0.66419403916299968</v>
      </c>
      <c r="CF209" s="398">
        <f t="shared" si="1275"/>
        <v>0.66200000000000003</v>
      </c>
      <c r="CG209" s="398">
        <f t="shared" si="1275"/>
        <v>0.66</v>
      </c>
      <c r="CH209" s="398">
        <f t="shared" si="1275"/>
        <v>0.66236461147685399</v>
      </c>
      <c r="CI209" s="398">
        <f t="shared" si="1275"/>
        <v>0.66419403916299968</v>
      </c>
      <c r="CJ209" s="398">
        <f t="shared" si="1275"/>
        <v>0.66200000000000003</v>
      </c>
      <c r="CK209" s="398">
        <f t="shared" si="1275"/>
        <v>0.66</v>
      </c>
      <c r="CL209" s="398">
        <f t="shared" ref="CL209:CP209" si="1276">CHOOSE(MASTERSWITCH,CL210,CL211,CL212)</f>
        <v>0.66236461147685399</v>
      </c>
      <c r="CM209" s="398">
        <f t="shared" si="1276"/>
        <v>0.66419403916299968</v>
      </c>
      <c r="CN209" s="398">
        <f t="shared" si="1276"/>
        <v>0.66200000000000003</v>
      </c>
      <c r="CO209" s="398">
        <f t="shared" si="1276"/>
        <v>0.66</v>
      </c>
      <c r="CP209" s="398">
        <f t="shared" si="1276"/>
        <v>0.66236461147685399</v>
      </c>
      <c r="CQ209" s="398">
        <f t="shared" ref="CQ209:CU209" si="1277">CHOOSE(MASTERSWITCH,CQ210,CQ211,CQ212)</f>
        <v>0.66419403916299968</v>
      </c>
      <c r="CR209" s="398">
        <f t="shared" si="1277"/>
        <v>0.66200000000000003</v>
      </c>
      <c r="CS209" s="398">
        <f t="shared" si="1277"/>
        <v>0.66</v>
      </c>
      <c r="CT209" s="398">
        <f t="shared" si="1277"/>
        <v>0.66236461147685399</v>
      </c>
      <c r="CU209" s="398">
        <f t="shared" si="1277"/>
        <v>0.66419403916299968</v>
      </c>
      <c r="CV209" s="398">
        <f t="shared" ref="CV209:CW209" si="1278">CHOOSE(MASTERSWITCH,CV210,CV211,CV212)</f>
        <v>0.66200000000000003</v>
      </c>
      <c r="CW209" s="398">
        <f t="shared" si="1278"/>
        <v>0.66</v>
      </c>
      <c r="CX209" s="269"/>
      <c r="CY209" s="269"/>
      <c r="CZ209" s="269"/>
    </row>
    <row r="210" spans="1:104">
      <c r="A210" s="42" t="s">
        <v>571</v>
      </c>
      <c r="B210" s="297"/>
      <c r="C210" s="297"/>
      <c r="D210" s="297"/>
      <c r="E210" s="297"/>
      <c r="F210" s="297"/>
      <c r="G210" s="297"/>
      <c r="H210" s="297"/>
      <c r="I210" s="297"/>
      <c r="J210" s="297"/>
      <c r="K210" s="297"/>
      <c r="L210" s="297"/>
      <c r="M210" s="297"/>
      <c r="N210" s="297"/>
      <c r="O210" s="297"/>
      <c r="P210" s="297"/>
      <c r="Q210" s="297"/>
      <c r="R210" s="297"/>
      <c r="S210" s="297"/>
      <c r="T210" s="297"/>
      <c r="U210" s="297">
        <f t="shared" ref="U210:BB210" si="1279">U209</f>
        <v>0.67292767478033655</v>
      </c>
      <c r="V210" s="297">
        <f t="shared" si="1279"/>
        <v>0.66521444195393031</v>
      </c>
      <c r="W210" s="297">
        <f t="shared" si="1279"/>
        <v>0.68247021232188798</v>
      </c>
      <c r="X210" s="297">
        <f t="shared" si="1279"/>
        <v>0.67929361980822434</v>
      </c>
      <c r="Y210" s="297">
        <f t="shared" si="1279"/>
        <v>0.68882832815253514</v>
      </c>
      <c r="Z210" s="297">
        <f t="shared" si="1279"/>
        <v>0.68583748829353752</v>
      </c>
      <c r="AA210" s="297">
        <f t="shared" si="1279"/>
        <v>0.68407261997062074</v>
      </c>
      <c r="AB210" s="297">
        <f t="shared" si="1279"/>
        <v>0.68318524911440059</v>
      </c>
      <c r="AC210" s="297">
        <f t="shared" si="1279"/>
        <v>0.68919021200009911</v>
      </c>
      <c r="AD210" s="297">
        <f t="shared" si="1279"/>
        <v>0.68224917865294388</v>
      </c>
      <c r="AE210" s="297">
        <f t="shared" si="1279"/>
        <v>0.68803256453429062</v>
      </c>
      <c r="AF210" s="297">
        <f t="shared" si="1279"/>
        <v>0.6886734033299784</v>
      </c>
      <c r="AG210" s="297">
        <f t="shared" si="1279"/>
        <v>0.69044507124349552</v>
      </c>
      <c r="AH210" s="297">
        <f t="shared" si="1279"/>
        <v>0.69200524311321243</v>
      </c>
      <c r="AI210" s="297">
        <f t="shared" si="1279"/>
        <v>0.69735208498740819</v>
      </c>
      <c r="AJ210" s="297">
        <f t="shared" si="1279"/>
        <v>0.69756897953042918</v>
      </c>
      <c r="AK210" s="297">
        <f t="shared" si="1279"/>
        <v>0.69733974947237132</v>
      </c>
      <c r="AL210" s="297">
        <f t="shared" si="1279"/>
        <v>0.69871194278991666</v>
      </c>
      <c r="AM210" s="297">
        <f t="shared" si="1279"/>
        <v>0.69518541684840973</v>
      </c>
      <c r="AN210" s="297">
        <f t="shared" ref="AN210:BA210" si="1280">AN209</f>
        <v>0.68978293151288983</v>
      </c>
      <c r="AO210" s="297">
        <f t="shared" si="1280"/>
        <v>0.68743449930032929</v>
      </c>
      <c r="AP210" s="297">
        <f t="shared" si="1280"/>
        <v>0.70019498066847097</v>
      </c>
      <c r="AQ210" s="297">
        <f t="shared" si="1280"/>
        <v>0.70505489612625383</v>
      </c>
      <c r="AR210" s="297">
        <f t="shared" si="1280"/>
        <v>0.70472751900780217</v>
      </c>
      <c r="AS210" s="297">
        <f t="shared" si="1280"/>
        <v>0.70893179541319995</v>
      </c>
      <c r="AT210" s="297">
        <f t="shared" si="1280"/>
        <v>0.70170151564341943</v>
      </c>
      <c r="AU210" s="297">
        <f t="shared" si="1280"/>
        <v>0.66136080866878277</v>
      </c>
      <c r="AV210" s="297">
        <f t="shared" si="1280"/>
        <v>0.71683584426808178</v>
      </c>
      <c r="AW210" s="297">
        <f t="shared" si="1280"/>
        <v>0.70950543301896762</v>
      </c>
      <c r="AX210" s="297">
        <f t="shared" si="1280"/>
        <v>0.6737836566907377</v>
      </c>
      <c r="AY210" s="297">
        <f t="shared" si="1280"/>
        <v>0.68265735209540979</v>
      </c>
      <c r="AZ210" s="297">
        <f t="shared" si="1280"/>
        <v>0.6905347544736008</v>
      </c>
      <c r="BA210" s="297">
        <f t="shared" si="1280"/>
        <v>0.69264902123533478</v>
      </c>
      <c r="BB210" s="297">
        <f t="shared" si="1279"/>
        <v>0.68195377081676178</v>
      </c>
      <c r="BC210" s="297">
        <f t="shared" ref="BC210:BH210" si="1281">BC209</f>
        <v>0.67261856690615951</v>
      </c>
      <c r="BD210" s="297">
        <f t="shared" si="1281"/>
        <v>0.67137497648156974</v>
      </c>
      <c r="BE210" s="297">
        <f t="shared" si="1281"/>
        <v>0.66748134371623946</v>
      </c>
      <c r="BF210" s="297">
        <f t="shared" si="1281"/>
        <v>0.66855654932989439</v>
      </c>
      <c r="BG210" s="297">
        <f t="shared" si="1281"/>
        <v>0.6682880766598972</v>
      </c>
      <c r="BH210" s="297">
        <f t="shared" si="1281"/>
        <v>0.67300249091241726</v>
      </c>
      <c r="BI210" s="297">
        <f t="shared" ref="BI210" si="1282">BI209</f>
        <v>0.67755333344286328</v>
      </c>
      <c r="BJ210" s="297">
        <f t="shared" ref="BJ210:BK210" si="1283">BJ209</f>
        <v>0.68036461147685401</v>
      </c>
      <c r="BK210" s="1819">
        <f t="shared" si="1283"/>
        <v>0.6821940391629997</v>
      </c>
      <c r="BL210" s="45">
        <f t="shared" ref="BL210:BP210" si="1284">BL211+$CY210</f>
        <v>0.68200000000000005</v>
      </c>
      <c r="BM210" s="45">
        <f t="shared" si="1284"/>
        <v>0.68</v>
      </c>
      <c r="BN210" s="45">
        <f t="shared" si="1284"/>
        <v>0.68136461147685401</v>
      </c>
      <c r="BO210" s="45">
        <f t="shared" si="1284"/>
        <v>0.6831940391629997</v>
      </c>
      <c r="BP210" s="45">
        <f t="shared" si="1284"/>
        <v>0.68100000000000005</v>
      </c>
      <c r="BQ210" s="45">
        <f t="shared" ref="BQ210:BY210" si="1285">BQ211+$CY210</f>
        <v>0.67900000000000005</v>
      </c>
      <c r="BR210" s="45">
        <f t="shared" si="1285"/>
        <v>0.68036461147685401</v>
      </c>
      <c r="BS210" s="45">
        <f t="shared" si="1285"/>
        <v>0.6821940391629997</v>
      </c>
      <c r="BT210" s="45">
        <f t="shared" si="1285"/>
        <v>0.68</v>
      </c>
      <c r="BU210" s="45">
        <f t="shared" si="1285"/>
        <v>0.67800000000000005</v>
      </c>
      <c r="BV210" s="45">
        <f t="shared" si="1285"/>
        <v>0.67936461147685401</v>
      </c>
      <c r="BW210" s="45">
        <f t="shared" si="1285"/>
        <v>0.6811940391629997</v>
      </c>
      <c r="BX210" s="45">
        <f t="shared" si="1285"/>
        <v>0.67900000000000005</v>
      </c>
      <c r="BY210" s="45">
        <f t="shared" si="1285"/>
        <v>0.67700000000000005</v>
      </c>
      <c r="BZ210" s="45">
        <f t="shared" ref="BZ210:CU210" si="1286">BZ211+$CZ210</f>
        <v>0.67636461147685401</v>
      </c>
      <c r="CA210" s="45">
        <f t="shared" si="1286"/>
        <v>0.6781940391629997</v>
      </c>
      <c r="CB210" s="45">
        <f t="shared" si="1286"/>
        <v>0.67600000000000005</v>
      </c>
      <c r="CC210" s="45">
        <f t="shared" si="1286"/>
        <v>0.67400000000000004</v>
      </c>
      <c r="CD210" s="45">
        <f t="shared" si="1286"/>
        <v>0.67636461147685401</v>
      </c>
      <c r="CE210" s="45">
        <f t="shared" si="1286"/>
        <v>0.6781940391629997</v>
      </c>
      <c r="CF210" s="45">
        <f t="shared" si="1286"/>
        <v>0.67600000000000005</v>
      </c>
      <c r="CG210" s="45">
        <f t="shared" si="1286"/>
        <v>0.67400000000000004</v>
      </c>
      <c r="CH210" s="45">
        <f t="shared" si="1286"/>
        <v>0.67636461147685401</v>
      </c>
      <c r="CI210" s="45">
        <f t="shared" si="1286"/>
        <v>0.6781940391629997</v>
      </c>
      <c r="CJ210" s="45">
        <f t="shared" si="1286"/>
        <v>0.67600000000000005</v>
      </c>
      <c r="CK210" s="45">
        <f t="shared" si="1286"/>
        <v>0.67400000000000004</v>
      </c>
      <c r="CL210" s="45">
        <f t="shared" si="1286"/>
        <v>0.67636461147685401</v>
      </c>
      <c r="CM210" s="45">
        <f t="shared" si="1286"/>
        <v>0.6781940391629997</v>
      </c>
      <c r="CN210" s="45">
        <f t="shared" si="1286"/>
        <v>0.67600000000000005</v>
      </c>
      <c r="CO210" s="45">
        <f t="shared" si="1286"/>
        <v>0.67400000000000004</v>
      </c>
      <c r="CP210" s="45">
        <f t="shared" si="1286"/>
        <v>0.67636461147685401</v>
      </c>
      <c r="CQ210" s="45">
        <f t="shared" si="1286"/>
        <v>0.6781940391629997</v>
      </c>
      <c r="CR210" s="45">
        <f t="shared" si="1286"/>
        <v>0.67600000000000005</v>
      </c>
      <c r="CS210" s="45">
        <f t="shared" si="1286"/>
        <v>0.67400000000000004</v>
      </c>
      <c r="CT210" s="45">
        <f t="shared" si="1286"/>
        <v>0.67636461147685401</v>
      </c>
      <c r="CU210" s="45">
        <f t="shared" si="1286"/>
        <v>0.6781940391629997</v>
      </c>
      <c r="CV210" s="45">
        <f t="shared" ref="CV210:CW210" si="1287">CV211+$CZ210</f>
        <v>0.67600000000000005</v>
      </c>
      <c r="CW210" s="45">
        <f t="shared" si="1287"/>
        <v>0.67400000000000004</v>
      </c>
      <c r="CX210" s="269"/>
      <c r="CY210" s="559">
        <v>2E-3</v>
      </c>
      <c r="CZ210" s="559">
        <v>-1E-3</v>
      </c>
    </row>
    <row r="211" spans="1:104">
      <c r="A211" s="42" t="s">
        <v>200</v>
      </c>
      <c r="B211" s="297"/>
      <c r="C211" s="297"/>
      <c r="D211" s="297"/>
      <c r="E211" s="297"/>
      <c r="F211" s="297"/>
      <c r="G211" s="297"/>
      <c r="H211" s="297"/>
      <c r="I211" s="297"/>
      <c r="J211" s="297"/>
      <c r="K211" s="297"/>
      <c r="L211" s="297"/>
      <c r="M211" s="297"/>
      <c r="N211" s="297"/>
      <c r="O211" s="297"/>
      <c r="P211" s="297"/>
      <c r="Q211" s="297"/>
      <c r="R211" s="297"/>
      <c r="S211" s="297"/>
      <c r="T211" s="297"/>
      <c r="U211" s="297">
        <f t="shared" ref="U211:BB211" si="1288">U209</f>
        <v>0.67292767478033655</v>
      </c>
      <c r="V211" s="297">
        <f t="shared" si="1288"/>
        <v>0.66521444195393031</v>
      </c>
      <c r="W211" s="297">
        <f t="shared" si="1288"/>
        <v>0.68247021232188798</v>
      </c>
      <c r="X211" s="297">
        <f t="shared" si="1288"/>
        <v>0.67929361980822434</v>
      </c>
      <c r="Y211" s="297">
        <f t="shared" si="1288"/>
        <v>0.68882832815253514</v>
      </c>
      <c r="Z211" s="297">
        <f t="shared" si="1288"/>
        <v>0.68583748829353752</v>
      </c>
      <c r="AA211" s="297">
        <f t="shared" si="1288"/>
        <v>0.68407261997062074</v>
      </c>
      <c r="AB211" s="297">
        <f t="shared" si="1288"/>
        <v>0.68318524911440059</v>
      </c>
      <c r="AC211" s="297">
        <f t="shared" si="1288"/>
        <v>0.68919021200009911</v>
      </c>
      <c r="AD211" s="297">
        <f t="shared" si="1288"/>
        <v>0.68224917865294388</v>
      </c>
      <c r="AE211" s="297">
        <f t="shared" si="1288"/>
        <v>0.68803256453429062</v>
      </c>
      <c r="AF211" s="297">
        <f t="shared" si="1288"/>
        <v>0.6886734033299784</v>
      </c>
      <c r="AG211" s="297">
        <f t="shared" si="1288"/>
        <v>0.69044507124349552</v>
      </c>
      <c r="AH211" s="297">
        <f t="shared" si="1288"/>
        <v>0.69200524311321243</v>
      </c>
      <c r="AI211" s="297">
        <f t="shared" si="1288"/>
        <v>0.69735208498740819</v>
      </c>
      <c r="AJ211" s="297">
        <f t="shared" si="1288"/>
        <v>0.69756897953042918</v>
      </c>
      <c r="AK211" s="297">
        <f t="shared" si="1288"/>
        <v>0.69733974947237132</v>
      </c>
      <c r="AL211" s="297">
        <f t="shared" si="1288"/>
        <v>0.69871194278991666</v>
      </c>
      <c r="AM211" s="297">
        <f t="shared" si="1288"/>
        <v>0.69518541684840973</v>
      </c>
      <c r="AN211" s="297">
        <f t="shared" ref="AN211:BA211" si="1289">AN209</f>
        <v>0.68978293151288983</v>
      </c>
      <c r="AO211" s="297">
        <f t="shared" si="1289"/>
        <v>0.68743449930032929</v>
      </c>
      <c r="AP211" s="297">
        <f t="shared" si="1289"/>
        <v>0.70019498066847097</v>
      </c>
      <c r="AQ211" s="297">
        <f t="shared" si="1289"/>
        <v>0.70505489612625383</v>
      </c>
      <c r="AR211" s="297">
        <f t="shared" si="1289"/>
        <v>0.70472751900780217</v>
      </c>
      <c r="AS211" s="297">
        <f t="shared" si="1289"/>
        <v>0.70893179541319995</v>
      </c>
      <c r="AT211" s="297">
        <f t="shared" si="1289"/>
        <v>0.70170151564341943</v>
      </c>
      <c r="AU211" s="297">
        <f t="shared" si="1289"/>
        <v>0.66136080866878277</v>
      </c>
      <c r="AV211" s="297">
        <f t="shared" si="1289"/>
        <v>0.71683584426808178</v>
      </c>
      <c r="AW211" s="297">
        <f t="shared" si="1289"/>
        <v>0.70950543301896762</v>
      </c>
      <c r="AX211" s="297">
        <f t="shared" si="1289"/>
        <v>0.6737836566907377</v>
      </c>
      <c r="AY211" s="297">
        <f t="shared" si="1289"/>
        <v>0.68265735209540979</v>
      </c>
      <c r="AZ211" s="297">
        <f t="shared" si="1289"/>
        <v>0.6905347544736008</v>
      </c>
      <c r="BA211" s="297">
        <f t="shared" si="1289"/>
        <v>0.69264902123533478</v>
      </c>
      <c r="BB211" s="297">
        <f t="shared" si="1288"/>
        <v>0.68195377081676178</v>
      </c>
      <c r="BC211" s="297">
        <f t="shared" ref="BC211:BH211" si="1290">BC209</f>
        <v>0.67261856690615951</v>
      </c>
      <c r="BD211" s="297">
        <f t="shared" si="1290"/>
        <v>0.67137497648156974</v>
      </c>
      <c r="BE211" s="297">
        <f t="shared" si="1290"/>
        <v>0.66748134371623946</v>
      </c>
      <c r="BF211" s="297">
        <f t="shared" si="1290"/>
        <v>0.66855654932989439</v>
      </c>
      <c r="BG211" s="297">
        <f t="shared" si="1290"/>
        <v>0.6682880766598972</v>
      </c>
      <c r="BH211" s="297">
        <f t="shared" si="1290"/>
        <v>0.67300249091241726</v>
      </c>
      <c r="BI211" s="297">
        <f t="shared" ref="BI211" si="1291">BI209</f>
        <v>0.67755333344286328</v>
      </c>
      <c r="BJ211" s="297">
        <f t="shared" ref="BJ211:BK211" si="1292">BJ209</f>
        <v>0.68036461147685401</v>
      </c>
      <c r="BK211" s="1819">
        <f t="shared" si="1292"/>
        <v>0.6821940391629997</v>
      </c>
      <c r="BL211" s="1937">
        <v>0.68</v>
      </c>
      <c r="BM211" s="1937">
        <v>0.67800000000000005</v>
      </c>
      <c r="BN211" s="559">
        <f t="shared" ref="BN211:BQ211" si="1293">BJ211+$CY211</f>
        <v>0.67936461147685401</v>
      </c>
      <c r="BO211" s="559">
        <f t="shared" si="1293"/>
        <v>0.6811940391629997</v>
      </c>
      <c r="BP211" s="559">
        <f t="shared" si="1293"/>
        <v>0.67900000000000005</v>
      </c>
      <c r="BQ211" s="559">
        <f t="shared" si="1293"/>
        <v>0.67700000000000005</v>
      </c>
      <c r="BR211" s="1772">
        <f t="shared" ref="BR211:BY211" si="1294">BN211+$CY211</f>
        <v>0.67836461147685401</v>
      </c>
      <c r="BS211" s="559">
        <f t="shared" si="1294"/>
        <v>0.6801940391629997</v>
      </c>
      <c r="BT211" s="559">
        <f t="shared" si="1294"/>
        <v>0.67800000000000005</v>
      </c>
      <c r="BU211" s="559">
        <f t="shared" si="1294"/>
        <v>0.67600000000000005</v>
      </c>
      <c r="BV211" s="559">
        <f t="shared" si="1294"/>
        <v>0.67736461147685401</v>
      </c>
      <c r="BW211" s="559">
        <f t="shared" si="1294"/>
        <v>0.6791940391629997</v>
      </c>
      <c r="BX211" s="559">
        <f t="shared" si="1294"/>
        <v>0.67700000000000005</v>
      </c>
      <c r="BY211" s="559">
        <f t="shared" si="1294"/>
        <v>0.67500000000000004</v>
      </c>
      <c r="BZ211" s="559">
        <f t="shared" ref="BZ211:CU211" si="1295">BV211+$CZ211</f>
        <v>0.67736461147685401</v>
      </c>
      <c r="CA211" s="559">
        <f t="shared" si="1295"/>
        <v>0.6791940391629997</v>
      </c>
      <c r="CB211" s="559">
        <f t="shared" si="1295"/>
        <v>0.67700000000000005</v>
      </c>
      <c r="CC211" s="559">
        <f t="shared" si="1295"/>
        <v>0.67500000000000004</v>
      </c>
      <c r="CD211" s="559">
        <f t="shared" si="1295"/>
        <v>0.67736461147685401</v>
      </c>
      <c r="CE211" s="559">
        <f t="shared" si="1295"/>
        <v>0.6791940391629997</v>
      </c>
      <c r="CF211" s="559">
        <f t="shared" si="1295"/>
        <v>0.67700000000000005</v>
      </c>
      <c r="CG211" s="559">
        <f t="shared" si="1295"/>
        <v>0.67500000000000004</v>
      </c>
      <c r="CH211" s="559">
        <f t="shared" si="1295"/>
        <v>0.67736461147685401</v>
      </c>
      <c r="CI211" s="559">
        <f t="shared" si="1295"/>
        <v>0.6791940391629997</v>
      </c>
      <c r="CJ211" s="559">
        <f t="shared" si="1295"/>
        <v>0.67700000000000005</v>
      </c>
      <c r="CK211" s="559">
        <f t="shared" si="1295"/>
        <v>0.67500000000000004</v>
      </c>
      <c r="CL211" s="559">
        <f t="shared" si="1295"/>
        <v>0.67736461147685401</v>
      </c>
      <c r="CM211" s="559">
        <f t="shared" si="1295"/>
        <v>0.6791940391629997</v>
      </c>
      <c r="CN211" s="559">
        <f t="shared" si="1295"/>
        <v>0.67700000000000005</v>
      </c>
      <c r="CO211" s="559">
        <f t="shared" si="1295"/>
        <v>0.67500000000000004</v>
      </c>
      <c r="CP211" s="559">
        <f t="shared" si="1295"/>
        <v>0.67736461147685401</v>
      </c>
      <c r="CQ211" s="559">
        <f t="shared" si="1295"/>
        <v>0.6791940391629997</v>
      </c>
      <c r="CR211" s="559">
        <f t="shared" si="1295"/>
        <v>0.67700000000000005</v>
      </c>
      <c r="CS211" s="559">
        <f t="shared" si="1295"/>
        <v>0.67500000000000004</v>
      </c>
      <c r="CT211" s="559">
        <f t="shared" si="1295"/>
        <v>0.67736461147685401</v>
      </c>
      <c r="CU211" s="559">
        <f t="shared" si="1295"/>
        <v>0.6791940391629997</v>
      </c>
      <c r="CV211" s="559">
        <f t="shared" ref="CV211:CW211" si="1296">CR211+$CZ211</f>
        <v>0.67700000000000005</v>
      </c>
      <c r="CW211" s="559">
        <f t="shared" si="1296"/>
        <v>0.67500000000000004</v>
      </c>
      <c r="CX211" s="269"/>
      <c r="CY211" s="1449">
        <v>-1E-3</v>
      </c>
      <c r="CZ211" s="1449">
        <v>0</v>
      </c>
    </row>
    <row r="212" spans="1:104">
      <c r="A212" s="42" t="s">
        <v>202</v>
      </c>
      <c r="B212" s="297"/>
      <c r="C212" s="297"/>
      <c r="D212" s="297"/>
      <c r="E212" s="297"/>
      <c r="F212" s="297"/>
      <c r="G212" s="297"/>
      <c r="H212" s="297"/>
      <c r="I212" s="297"/>
      <c r="J212" s="297"/>
      <c r="K212" s="297"/>
      <c r="L212" s="297"/>
      <c r="M212" s="297"/>
      <c r="N212" s="297"/>
      <c r="O212" s="297"/>
      <c r="P212" s="297"/>
      <c r="Q212" s="297"/>
      <c r="R212" s="297"/>
      <c r="S212" s="297"/>
      <c r="T212" s="297"/>
      <c r="U212" s="297">
        <f t="shared" ref="U212:BB212" si="1297">U209</f>
        <v>0.67292767478033655</v>
      </c>
      <c r="V212" s="297">
        <f t="shared" si="1297"/>
        <v>0.66521444195393031</v>
      </c>
      <c r="W212" s="297">
        <f t="shared" si="1297"/>
        <v>0.68247021232188798</v>
      </c>
      <c r="X212" s="297">
        <f t="shared" si="1297"/>
        <v>0.67929361980822434</v>
      </c>
      <c r="Y212" s="297">
        <f t="shared" si="1297"/>
        <v>0.68882832815253514</v>
      </c>
      <c r="Z212" s="297">
        <f t="shared" si="1297"/>
        <v>0.68583748829353752</v>
      </c>
      <c r="AA212" s="297">
        <f t="shared" si="1297"/>
        <v>0.68407261997062074</v>
      </c>
      <c r="AB212" s="297">
        <f t="shared" si="1297"/>
        <v>0.68318524911440059</v>
      </c>
      <c r="AC212" s="297">
        <f t="shared" si="1297"/>
        <v>0.68919021200009911</v>
      </c>
      <c r="AD212" s="297">
        <f t="shared" si="1297"/>
        <v>0.68224917865294388</v>
      </c>
      <c r="AE212" s="297">
        <f t="shared" si="1297"/>
        <v>0.68803256453429062</v>
      </c>
      <c r="AF212" s="297">
        <f t="shared" si="1297"/>
        <v>0.6886734033299784</v>
      </c>
      <c r="AG212" s="297">
        <f t="shared" si="1297"/>
        <v>0.69044507124349552</v>
      </c>
      <c r="AH212" s="297">
        <f t="shared" si="1297"/>
        <v>0.69200524311321243</v>
      </c>
      <c r="AI212" s="297">
        <f t="shared" si="1297"/>
        <v>0.69735208498740819</v>
      </c>
      <c r="AJ212" s="297">
        <f t="shared" si="1297"/>
        <v>0.69756897953042918</v>
      </c>
      <c r="AK212" s="297">
        <f t="shared" si="1297"/>
        <v>0.69733974947237132</v>
      </c>
      <c r="AL212" s="297">
        <f t="shared" si="1297"/>
        <v>0.69871194278991666</v>
      </c>
      <c r="AM212" s="297">
        <f t="shared" si="1297"/>
        <v>0.69518541684840973</v>
      </c>
      <c r="AN212" s="297">
        <f t="shared" ref="AN212:BA212" si="1298">AN209</f>
        <v>0.68978293151288983</v>
      </c>
      <c r="AO212" s="297">
        <f t="shared" si="1298"/>
        <v>0.68743449930032929</v>
      </c>
      <c r="AP212" s="297">
        <f t="shared" si="1298"/>
        <v>0.70019498066847097</v>
      </c>
      <c r="AQ212" s="297">
        <f t="shared" si="1298"/>
        <v>0.70505489612625383</v>
      </c>
      <c r="AR212" s="297">
        <f t="shared" si="1298"/>
        <v>0.70472751900780217</v>
      </c>
      <c r="AS212" s="297">
        <f t="shared" si="1298"/>
        <v>0.70893179541319995</v>
      </c>
      <c r="AT212" s="297">
        <f t="shared" si="1298"/>
        <v>0.70170151564341943</v>
      </c>
      <c r="AU212" s="297">
        <f t="shared" si="1298"/>
        <v>0.66136080866878277</v>
      </c>
      <c r="AV212" s="297">
        <f t="shared" si="1298"/>
        <v>0.71683584426808178</v>
      </c>
      <c r="AW212" s="297">
        <f t="shared" si="1298"/>
        <v>0.70950543301896762</v>
      </c>
      <c r="AX212" s="297">
        <f t="shared" si="1298"/>
        <v>0.6737836566907377</v>
      </c>
      <c r="AY212" s="297">
        <f t="shared" si="1298"/>
        <v>0.68265735209540979</v>
      </c>
      <c r="AZ212" s="297">
        <f t="shared" si="1298"/>
        <v>0.6905347544736008</v>
      </c>
      <c r="BA212" s="297">
        <f t="shared" si="1298"/>
        <v>0.69264902123533478</v>
      </c>
      <c r="BB212" s="297">
        <f t="shared" si="1297"/>
        <v>0.68195377081676178</v>
      </c>
      <c r="BC212" s="297">
        <f t="shared" ref="BC212:BH212" si="1299">BC209</f>
        <v>0.67261856690615951</v>
      </c>
      <c r="BD212" s="297">
        <f t="shared" si="1299"/>
        <v>0.67137497648156974</v>
      </c>
      <c r="BE212" s="297">
        <f t="shared" si="1299"/>
        <v>0.66748134371623946</v>
      </c>
      <c r="BF212" s="297">
        <f t="shared" si="1299"/>
        <v>0.66855654932989439</v>
      </c>
      <c r="BG212" s="297">
        <f t="shared" si="1299"/>
        <v>0.6682880766598972</v>
      </c>
      <c r="BH212" s="297">
        <f t="shared" si="1299"/>
        <v>0.67300249091241726</v>
      </c>
      <c r="BI212" s="297">
        <f t="shared" ref="BI212" si="1300">BI209</f>
        <v>0.67755333344286328</v>
      </c>
      <c r="BJ212" s="297">
        <f t="shared" ref="BJ212:BK212" si="1301">BJ209</f>
        <v>0.68036461147685401</v>
      </c>
      <c r="BK212" s="1819">
        <f t="shared" si="1301"/>
        <v>0.6821940391629997</v>
      </c>
      <c r="BL212" s="45">
        <f t="shared" ref="BL212:BP212" si="1302">BL211+$CY212</f>
        <v>0.67</v>
      </c>
      <c r="BM212" s="45">
        <f t="shared" si="1302"/>
        <v>0.66800000000000004</v>
      </c>
      <c r="BN212" s="45">
        <f t="shared" si="1302"/>
        <v>0.669364611476854</v>
      </c>
      <c r="BO212" s="45">
        <f t="shared" si="1302"/>
        <v>0.67119403916299969</v>
      </c>
      <c r="BP212" s="45">
        <f t="shared" si="1302"/>
        <v>0.66900000000000004</v>
      </c>
      <c r="BQ212" s="45">
        <f t="shared" ref="BQ212:BY212" si="1303">BQ211+$CY212</f>
        <v>0.66700000000000004</v>
      </c>
      <c r="BR212" s="45">
        <f t="shared" si="1303"/>
        <v>0.668364611476854</v>
      </c>
      <c r="BS212" s="45">
        <f t="shared" si="1303"/>
        <v>0.67019403916299969</v>
      </c>
      <c r="BT212" s="45">
        <f t="shared" si="1303"/>
        <v>0.66800000000000004</v>
      </c>
      <c r="BU212" s="45">
        <f t="shared" si="1303"/>
        <v>0.66600000000000004</v>
      </c>
      <c r="BV212" s="45">
        <f t="shared" si="1303"/>
        <v>0.667364611476854</v>
      </c>
      <c r="BW212" s="45">
        <f t="shared" si="1303"/>
        <v>0.66919403916299969</v>
      </c>
      <c r="BX212" s="45">
        <f t="shared" si="1303"/>
        <v>0.66700000000000004</v>
      </c>
      <c r="BY212" s="45">
        <f t="shared" si="1303"/>
        <v>0.66500000000000004</v>
      </c>
      <c r="BZ212" s="45">
        <f t="shared" ref="BZ212:CU212" si="1304">BZ211+$CZ212</f>
        <v>0.66236461147685399</v>
      </c>
      <c r="CA212" s="45">
        <f t="shared" si="1304"/>
        <v>0.66419403916299968</v>
      </c>
      <c r="CB212" s="45">
        <f t="shared" si="1304"/>
        <v>0.66200000000000003</v>
      </c>
      <c r="CC212" s="45">
        <f t="shared" si="1304"/>
        <v>0.66</v>
      </c>
      <c r="CD212" s="45">
        <f t="shared" si="1304"/>
        <v>0.66236461147685399</v>
      </c>
      <c r="CE212" s="45">
        <f t="shared" si="1304"/>
        <v>0.66419403916299968</v>
      </c>
      <c r="CF212" s="45">
        <f t="shared" si="1304"/>
        <v>0.66200000000000003</v>
      </c>
      <c r="CG212" s="45">
        <f t="shared" si="1304"/>
        <v>0.66</v>
      </c>
      <c r="CH212" s="45">
        <f t="shared" si="1304"/>
        <v>0.66236461147685399</v>
      </c>
      <c r="CI212" s="45">
        <f t="shared" si="1304"/>
        <v>0.66419403916299968</v>
      </c>
      <c r="CJ212" s="45">
        <f t="shared" si="1304"/>
        <v>0.66200000000000003</v>
      </c>
      <c r="CK212" s="45">
        <f t="shared" si="1304"/>
        <v>0.66</v>
      </c>
      <c r="CL212" s="45">
        <f t="shared" si="1304"/>
        <v>0.66236461147685399</v>
      </c>
      <c r="CM212" s="45">
        <f t="shared" si="1304"/>
        <v>0.66419403916299968</v>
      </c>
      <c r="CN212" s="45">
        <f t="shared" si="1304"/>
        <v>0.66200000000000003</v>
      </c>
      <c r="CO212" s="45">
        <f t="shared" si="1304"/>
        <v>0.66</v>
      </c>
      <c r="CP212" s="45">
        <f t="shared" si="1304"/>
        <v>0.66236461147685399</v>
      </c>
      <c r="CQ212" s="45">
        <f t="shared" si="1304"/>
        <v>0.66419403916299968</v>
      </c>
      <c r="CR212" s="45">
        <f t="shared" si="1304"/>
        <v>0.66200000000000003</v>
      </c>
      <c r="CS212" s="45">
        <f t="shared" si="1304"/>
        <v>0.66</v>
      </c>
      <c r="CT212" s="45">
        <f t="shared" si="1304"/>
        <v>0.66236461147685399</v>
      </c>
      <c r="CU212" s="45">
        <f t="shared" si="1304"/>
        <v>0.66419403916299968</v>
      </c>
      <c r="CV212" s="45">
        <f t="shared" ref="CV212:CW212" si="1305">CV211+$CZ212</f>
        <v>0.66200000000000003</v>
      </c>
      <c r="CW212" s="45">
        <f t="shared" si="1305"/>
        <v>0.66</v>
      </c>
      <c r="CX212" s="269"/>
      <c r="CY212" s="559">
        <v>-0.01</v>
      </c>
      <c r="CZ212" s="559">
        <v>-1.4999999999999999E-2</v>
      </c>
    </row>
    <row r="213" spans="1:104">
      <c r="A213" s="93"/>
      <c r="B213" s="397"/>
      <c r="C213" s="397"/>
      <c r="D213" s="397"/>
      <c r="E213" s="397"/>
      <c r="F213" s="397"/>
      <c r="G213" s="397"/>
      <c r="H213" s="397"/>
      <c r="I213" s="397"/>
      <c r="J213" s="397"/>
      <c r="K213" s="397"/>
      <c r="L213" s="397"/>
      <c r="M213" s="397"/>
      <c r="N213" s="397"/>
      <c r="O213" s="397"/>
      <c r="P213" s="397"/>
      <c r="Q213" s="397"/>
      <c r="R213" s="397"/>
      <c r="S213" s="397"/>
      <c r="T213" s="397"/>
      <c r="U213" s="397"/>
      <c r="V213" s="397"/>
      <c r="W213" s="397"/>
      <c r="X213" s="397"/>
      <c r="Y213" s="397"/>
      <c r="Z213" s="397"/>
      <c r="AA213" s="397"/>
      <c r="AB213" s="397"/>
      <c r="AC213" s="397"/>
      <c r="AD213" s="397"/>
      <c r="AE213" s="397"/>
      <c r="AF213" s="397"/>
      <c r="AG213" s="397"/>
      <c r="AH213" s="397"/>
      <c r="AI213" s="397"/>
      <c r="AJ213" s="397"/>
      <c r="AK213" s="397"/>
      <c r="AL213" s="397"/>
      <c r="AM213" s="269"/>
      <c r="AN213" s="269"/>
      <c r="AO213" s="398"/>
      <c r="AP213" s="398"/>
      <c r="AQ213" s="398"/>
      <c r="AR213" s="398"/>
      <c r="AS213" s="398"/>
      <c r="AT213" s="398"/>
      <c r="AU213" s="398"/>
      <c r="AV213" s="398"/>
      <c r="AW213" s="398"/>
      <c r="AX213" s="398"/>
      <c r="AY213" s="398"/>
      <c r="AZ213" s="398"/>
      <c r="BA213" s="398"/>
      <c r="BB213" s="398"/>
      <c r="BC213" s="398"/>
      <c r="BD213" s="398"/>
      <c r="BE213" s="398"/>
      <c r="BF213" s="398"/>
      <c r="BG213" s="398"/>
      <c r="BH213" s="398"/>
      <c r="BI213" s="398"/>
      <c r="BJ213" s="398"/>
      <c r="BK213" s="1862"/>
      <c r="BL213" s="398"/>
      <c r="BM213" s="398"/>
      <c r="BN213" s="398"/>
      <c r="BO213" s="398"/>
      <c r="BP213" s="398"/>
      <c r="BQ213" s="398"/>
      <c r="BR213" s="398"/>
      <c r="BS213" s="398"/>
      <c r="BT213" s="398"/>
      <c r="BU213" s="398"/>
      <c r="BV213" s="398"/>
      <c r="BW213" s="398"/>
      <c r="BX213" s="398"/>
      <c r="BY213" s="398"/>
      <c r="BZ213" s="398"/>
      <c r="CA213" s="398"/>
      <c r="CB213" s="398"/>
      <c r="CC213" s="398"/>
      <c r="CD213" s="398"/>
      <c r="CE213" s="398"/>
      <c r="CF213" s="398"/>
      <c r="CG213" s="398"/>
      <c r="CH213" s="398"/>
      <c r="CI213" s="398"/>
      <c r="CJ213" s="398"/>
      <c r="CK213" s="398"/>
      <c r="CL213" s="398"/>
      <c r="CM213" s="398"/>
      <c r="CN213" s="398"/>
      <c r="CO213" s="398"/>
      <c r="CP213" s="398"/>
      <c r="CQ213" s="398"/>
      <c r="CR213" s="398"/>
      <c r="CS213" s="398"/>
      <c r="CT213" s="398"/>
      <c r="CU213" s="398"/>
      <c r="CV213" s="398"/>
      <c r="CW213" s="398"/>
      <c r="CX213" s="269"/>
      <c r="CY213" s="269"/>
      <c r="CZ213" s="269"/>
    </row>
    <row r="214" spans="1:104">
      <c r="A214" s="43" t="s">
        <v>1249</v>
      </c>
      <c r="B214" s="397"/>
      <c r="C214" s="397"/>
      <c r="D214" s="397"/>
      <c r="E214" s="397"/>
      <c r="F214" s="397"/>
      <c r="G214" s="397"/>
      <c r="H214" s="397"/>
      <c r="I214" s="397"/>
      <c r="J214" s="397"/>
      <c r="K214" s="397"/>
      <c r="L214" s="397"/>
      <c r="M214" s="397"/>
      <c r="N214" s="397"/>
      <c r="O214" s="397"/>
      <c r="P214" s="397"/>
      <c r="Q214" s="397"/>
      <c r="R214" s="397"/>
      <c r="S214" s="397"/>
      <c r="T214" s="397"/>
      <c r="U214" s="397">
        <f>Q_IS!U291</f>
        <v>0.46616954031001484</v>
      </c>
      <c r="V214" s="397">
        <f>Q_IS!V291</f>
        <v>0.47458489853297914</v>
      </c>
      <c r="W214" s="397">
        <f>Q_IS!W291</f>
        <v>0.47471847814263413</v>
      </c>
      <c r="X214" s="397">
        <f>Q_IS!X291</f>
        <v>0.46337980712985649</v>
      </c>
      <c r="Y214" s="397">
        <f>Q_IS!Y291</f>
        <v>0.44653196085199243</v>
      </c>
      <c r="Z214" s="397">
        <f>Q_IS!Z291</f>
        <v>0.49289701281304499</v>
      </c>
      <c r="AA214" s="397">
        <f>Q_IS!AA291</f>
        <v>0.4790981432224049</v>
      </c>
      <c r="AB214" s="397">
        <f>Q_IS!AB291</f>
        <v>0.47514509918931214</v>
      </c>
      <c r="AC214" s="397">
        <f>Q_IS!AC291</f>
        <v>0.4593353342652558</v>
      </c>
      <c r="AD214" s="397">
        <f>Q_IS!AD291</f>
        <v>0.48212638668222663</v>
      </c>
      <c r="AE214" s="397">
        <f>Q_IS!AE291</f>
        <v>0.48065449401515709</v>
      </c>
      <c r="AF214" s="397">
        <f>Q_IS!AF291</f>
        <v>0.4772587623557798</v>
      </c>
      <c r="AG214" s="397">
        <f>Q_IS!AG291</f>
        <v>0.46910235719513826</v>
      </c>
      <c r="AH214" s="397">
        <f>Q_IS!AH291</f>
        <v>0.49246574935303233</v>
      </c>
      <c r="AI214" s="397">
        <f>Q_IS!AI291</f>
        <v>0.48738346717543785</v>
      </c>
      <c r="AJ214" s="397">
        <f>Q_IS!AJ291</f>
        <v>0.49814851125794885</v>
      </c>
      <c r="AK214" s="397">
        <f>Q_IS!AK291</f>
        <v>0.41927797947060486</v>
      </c>
      <c r="AL214" s="397">
        <f>Q_IS!AL291</f>
        <v>0.50051458208200195</v>
      </c>
      <c r="AM214" s="397">
        <f>Q_IS!AM291</f>
        <v>0.48945513084269593</v>
      </c>
      <c r="AN214" s="397">
        <f>Q_IS!AN291</f>
        <v>0.49462489042139718</v>
      </c>
      <c r="AO214" s="397">
        <f>Q_IS!AO291</f>
        <v>0.4871245724122405</v>
      </c>
      <c r="AP214" s="397">
        <f>Q_IS!AP291</f>
        <v>0.43476080063179173</v>
      </c>
      <c r="AQ214" s="397">
        <f>Q_IS!AQ291</f>
        <v>0.42532987639618497</v>
      </c>
      <c r="AR214" s="397">
        <f>Q_IS!AR291</f>
        <v>0.41040793838886269</v>
      </c>
      <c r="AS214" s="397">
        <f>Q_IS!AS291</f>
        <v>0.43698592288428301</v>
      </c>
      <c r="AT214" s="397">
        <f>Q_IS!AT291</f>
        <v>0.45259803933717135</v>
      </c>
      <c r="AU214" s="397">
        <f>Q_IS!AU291</f>
        <v>0.69781850972059778</v>
      </c>
      <c r="AV214" s="397">
        <f>Q_IS!AV291</f>
        <v>0.431141654231744</v>
      </c>
      <c r="AW214" s="397">
        <f>Q_IS!AW291</f>
        <v>0.33896737851722852</v>
      </c>
      <c r="AX214" s="397">
        <f>Q_IS!AX291</f>
        <v>0.39547043718615693</v>
      </c>
      <c r="AY214" s="397">
        <f>Q_IS!AY291</f>
        <v>0.38093306216503348</v>
      </c>
      <c r="AZ214" s="397">
        <f>Q_IS!AZ291</f>
        <v>0.40518738884281896</v>
      </c>
      <c r="BA214" s="397">
        <f>Q_IS!BA291</f>
        <v>0.34503928732965689</v>
      </c>
      <c r="BB214" s="397">
        <f>Q_IS!BB291</f>
        <v>0.39271913971557842</v>
      </c>
      <c r="BC214" s="397">
        <f>Q_IS!BC291</f>
        <v>0.39700845285542441</v>
      </c>
      <c r="BD214" s="397">
        <f>Q_IS!BD291</f>
        <v>0.41883470059896644</v>
      </c>
      <c r="BE214" s="397">
        <f>Q_IS!BE291</f>
        <v>0.43311524578618382</v>
      </c>
      <c r="BF214" s="397">
        <f>Q_IS!BF291</f>
        <v>0.40918518297122092</v>
      </c>
      <c r="BG214" s="397">
        <f>Q_IS!BG291</f>
        <v>0.40367155927145315</v>
      </c>
      <c r="BH214" s="397">
        <f>Q_IS!BH291</f>
        <v>0.41731519518207877</v>
      </c>
      <c r="BI214" s="397">
        <f>Q_IS!BI291</f>
        <v>0.41207929261641107</v>
      </c>
      <c r="BJ214" s="397">
        <f>Q_IS!BJ291</f>
        <v>0.42061892800393441</v>
      </c>
      <c r="BK214" s="1824">
        <f>Q_IS!BK291</f>
        <v>0.42045848972690986</v>
      </c>
      <c r="BL214" s="398">
        <f t="shared" ref="BL214:BQ214" si="1306">CHOOSE(MASTERSWITCH,BL215,BL216,BL217)</f>
        <v>0.42549999999999999</v>
      </c>
      <c r="BM214" s="398">
        <f t="shared" si="1306"/>
        <v>0.41749999999999998</v>
      </c>
      <c r="BN214" s="398">
        <f t="shared" si="1306"/>
        <v>0.42249999999999999</v>
      </c>
      <c r="BO214" s="398">
        <f t="shared" si="1306"/>
        <v>0.42295848972690986</v>
      </c>
      <c r="BP214" s="398">
        <f t="shared" si="1306"/>
        <v>0.42549999999999999</v>
      </c>
      <c r="BQ214" s="398">
        <f t="shared" si="1306"/>
        <v>0.41749999999999998</v>
      </c>
      <c r="BR214" s="398">
        <f t="shared" ref="BR214:CK214" si="1307">CHOOSE(MASTERSWITCH,BR215,BR216,BR217)</f>
        <v>0.42249999999999999</v>
      </c>
      <c r="BS214" s="398">
        <f t="shared" si="1307"/>
        <v>0.42295848972690986</v>
      </c>
      <c r="BT214" s="398">
        <f t="shared" si="1307"/>
        <v>0.42549999999999999</v>
      </c>
      <c r="BU214" s="398">
        <f t="shared" si="1307"/>
        <v>0.41749999999999998</v>
      </c>
      <c r="BV214" s="398">
        <f t="shared" si="1307"/>
        <v>0.42249999999999999</v>
      </c>
      <c r="BW214" s="398">
        <f t="shared" si="1307"/>
        <v>0.42295848972690986</v>
      </c>
      <c r="BX214" s="398">
        <f t="shared" si="1307"/>
        <v>0.42549999999999999</v>
      </c>
      <c r="BY214" s="398">
        <f t="shared" si="1307"/>
        <v>0.41749999999999998</v>
      </c>
      <c r="BZ214" s="398">
        <f t="shared" si="1307"/>
        <v>0.42249999999999999</v>
      </c>
      <c r="CA214" s="398">
        <f t="shared" si="1307"/>
        <v>0.42295848972690986</v>
      </c>
      <c r="CB214" s="398">
        <f t="shared" si="1307"/>
        <v>0.42549999999999999</v>
      </c>
      <c r="CC214" s="398">
        <f t="shared" si="1307"/>
        <v>0.41749999999999998</v>
      </c>
      <c r="CD214" s="398">
        <f t="shared" si="1307"/>
        <v>0.42249999999999999</v>
      </c>
      <c r="CE214" s="398">
        <f t="shared" si="1307"/>
        <v>0.42295848972690986</v>
      </c>
      <c r="CF214" s="398">
        <f t="shared" si="1307"/>
        <v>0.42549999999999999</v>
      </c>
      <c r="CG214" s="398">
        <f t="shared" si="1307"/>
        <v>0.41749999999999998</v>
      </c>
      <c r="CH214" s="398">
        <f t="shared" si="1307"/>
        <v>0.42249999999999999</v>
      </c>
      <c r="CI214" s="398">
        <f t="shared" si="1307"/>
        <v>0.42295848972690986</v>
      </c>
      <c r="CJ214" s="398">
        <f t="shared" si="1307"/>
        <v>0.42549999999999999</v>
      </c>
      <c r="CK214" s="398">
        <f t="shared" si="1307"/>
        <v>0.41749999999999998</v>
      </c>
      <c r="CL214" s="398">
        <f t="shared" ref="CL214:CP214" si="1308">CHOOSE(MASTERSWITCH,CL215,CL216,CL217)</f>
        <v>0.42249999999999999</v>
      </c>
      <c r="CM214" s="398">
        <f t="shared" si="1308"/>
        <v>0.42295848972690986</v>
      </c>
      <c r="CN214" s="398">
        <f t="shared" si="1308"/>
        <v>0.42549999999999999</v>
      </c>
      <c r="CO214" s="398">
        <f t="shared" si="1308"/>
        <v>0.41749999999999998</v>
      </c>
      <c r="CP214" s="398">
        <f t="shared" si="1308"/>
        <v>0.42249999999999999</v>
      </c>
      <c r="CQ214" s="398">
        <f t="shared" ref="CQ214:CU214" si="1309">CHOOSE(MASTERSWITCH,CQ215,CQ216,CQ217)</f>
        <v>0.42295848972690986</v>
      </c>
      <c r="CR214" s="398">
        <f t="shared" si="1309"/>
        <v>0.42549999999999999</v>
      </c>
      <c r="CS214" s="398">
        <f t="shared" si="1309"/>
        <v>0.41749999999999998</v>
      </c>
      <c r="CT214" s="398">
        <f t="shared" si="1309"/>
        <v>0.42249999999999999</v>
      </c>
      <c r="CU214" s="398">
        <f t="shared" si="1309"/>
        <v>0.42295848972690986</v>
      </c>
      <c r="CV214" s="398">
        <f t="shared" ref="CV214:CW214" si="1310">CHOOSE(MASTERSWITCH,CV215,CV216,CV217)</f>
        <v>0.42549999999999999</v>
      </c>
      <c r="CW214" s="398">
        <f t="shared" si="1310"/>
        <v>0.41749999999999998</v>
      </c>
      <c r="CX214" s="269"/>
      <c r="CY214" s="269"/>
      <c r="CZ214" s="269"/>
    </row>
    <row r="215" spans="1:104">
      <c r="A215" s="42" t="s">
        <v>571</v>
      </c>
      <c r="B215" s="297"/>
      <c r="C215" s="297"/>
      <c r="D215" s="297"/>
      <c r="E215" s="297"/>
      <c r="F215" s="297"/>
      <c r="G215" s="297"/>
      <c r="H215" s="297"/>
      <c r="I215" s="297"/>
      <c r="J215" s="297"/>
      <c r="K215" s="297"/>
      <c r="L215" s="297"/>
      <c r="M215" s="297"/>
      <c r="N215" s="297"/>
      <c r="O215" s="297"/>
      <c r="P215" s="297"/>
      <c r="Q215" s="297"/>
      <c r="R215" s="297"/>
      <c r="S215" s="297"/>
      <c r="T215" s="297"/>
      <c r="U215" s="297">
        <f t="shared" ref="U215:AM215" si="1311">U214</f>
        <v>0.46616954031001484</v>
      </c>
      <c r="V215" s="297">
        <f t="shared" si="1311"/>
        <v>0.47458489853297914</v>
      </c>
      <c r="W215" s="297">
        <f t="shared" si="1311"/>
        <v>0.47471847814263413</v>
      </c>
      <c r="X215" s="297">
        <f t="shared" si="1311"/>
        <v>0.46337980712985649</v>
      </c>
      <c r="Y215" s="297">
        <f t="shared" si="1311"/>
        <v>0.44653196085199243</v>
      </c>
      <c r="Z215" s="297">
        <f t="shared" si="1311"/>
        <v>0.49289701281304499</v>
      </c>
      <c r="AA215" s="297">
        <f t="shared" si="1311"/>
        <v>0.4790981432224049</v>
      </c>
      <c r="AB215" s="297">
        <f t="shared" si="1311"/>
        <v>0.47514509918931214</v>
      </c>
      <c r="AC215" s="297">
        <f t="shared" si="1311"/>
        <v>0.4593353342652558</v>
      </c>
      <c r="AD215" s="297">
        <f t="shared" si="1311"/>
        <v>0.48212638668222663</v>
      </c>
      <c r="AE215" s="297">
        <f t="shared" si="1311"/>
        <v>0.48065449401515709</v>
      </c>
      <c r="AF215" s="297">
        <f t="shared" si="1311"/>
        <v>0.4772587623557798</v>
      </c>
      <c r="AG215" s="297">
        <f t="shared" si="1311"/>
        <v>0.46910235719513826</v>
      </c>
      <c r="AH215" s="297">
        <f t="shared" si="1311"/>
        <v>0.49246574935303233</v>
      </c>
      <c r="AI215" s="297">
        <f t="shared" si="1311"/>
        <v>0.48738346717543785</v>
      </c>
      <c r="AJ215" s="297">
        <f t="shared" si="1311"/>
        <v>0.49814851125794885</v>
      </c>
      <c r="AK215" s="297">
        <f t="shared" si="1311"/>
        <v>0.41927797947060486</v>
      </c>
      <c r="AL215" s="297">
        <f t="shared" si="1311"/>
        <v>0.50051458208200195</v>
      </c>
      <c r="AM215" s="297">
        <f t="shared" si="1311"/>
        <v>0.48945513084269593</v>
      </c>
      <c r="AN215" s="297">
        <f t="shared" ref="AN215:AS215" si="1312">AN214</f>
        <v>0.49462489042139718</v>
      </c>
      <c r="AO215" s="297">
        <f t="shared" si="1312"/>
        <v>0.4871245724122405</v>
      </c>
      <c r="AP215" s="297">
        <f t="shared" si="1312"/>
        <v>0.43476080063179173</v>
      </c>
      <c r="AQ215" s="297">
        <f t="shared" si="1312"/>
        <v>0.42532987639618497</v>
      </c>
      <c r="AR215" s="297">
        <f t="shared" si="1312"/>
        <v>0.41040793838886269</v>
      </c>
      <c r="AS215" s="297">
        <f t="shared" si="1312"/>
        <v>0.43698592288428301</v>
      </c>
      <c r="AT215" s="297">
        <f t="shared" ref="AT215:BC215" si="1313">AT214</f>
        <v>0.45259803933717135</v>
      </c>
      <c r="AU215" s="297">
        <f t="shared" si="1313"/>
        <v>0.69781850972059778</v>
      </c>
      <c r="AV215" s="297">
        <f t="shared" si="1313"/>
        <v>0.431141654231744</v>
      </c>
      <c r="AW215" s="297">
        <f t="shared" si="1313"/>
        <v>0.33896737851722852</v>
      </c>
      <c r="AX215" s="297">
        <f t="shared" si="1313"/>
        <v>0.39547043718615693</v>
      </c>
      <c r="AY215" s="297">
        <f t="shared" si="1313"/>
        <v>0.38093306216503348</v>
      </c>
      <c r="AZ215" s="297">
        <f t="shared" si="1313"/>
        <v>0.40518738884281896</v>
      </c>
      <c r="BA215" s="297">
        <f t="shared" si="1313"/>
        <v>0.34503928732965689</v>
      </c>
      <c r="BB215" s="297">
        <f t="shared" si="1313"/>
        <v>0.39271913971557842</v>
      </c>
      <c r="BC215" s="297">
        <f t="shared" si="1313"/>
        <v>0.39700845285542441</v>
      </c>
      <c r="BD215" s="297">
        <f t="shared" ref="BD215:BI215" si="1314">BD214</f>
        <v>0.41883470059896644</v>
      </c>
      <c r="BE215" s="297">
        <f t="shared" si="1314"/>
        <v>0.43311524578618382</v>
      </c>
      <c r="BF215" s="297">
        <f t="shared" si="1314"/>
        <v>0.40918518297122092</v>
      </c>
      <c r="BG215" s="297">
        <f t="shared" si="1314"/>
        <v>0.40367155927145315</v>
      </c>
      <c r="BH215" s="297">
        <f t="shared" ref="BH215" si="1315">BH214</f>
        <v>0.41731519518207877</v>
      </c>
      <c r="BI215" s="297">
        <f t="shared" si="1314"/>
        <v>0.41207929261641107</v>
      </c>
      <c r="BJ215" s="297">
        <f t="shared" ref="BJ215:BK215" si="1316">BJ214</f>
        <v>0.42061892800393441</v>
      </c>
      <c r="BK215" s="1819">
        <f t="shared" si="1316"/>
        <v>0.42045848972690986</v>
      </c>
      <c r="BL215" s="45">
        <f t="shared" ref="BL215:BP215" si="1317">BL216+$CY215</f>
        <v>0.42199999999999999</v>
      </c>
      <c r="BM215" s="45">
        <f t="shared" si="1317"/>
        <v>0.41399999999999998</v>
      </c>
      <c r="BN215" s="45">
        <f t="shared" si="1317"/>
        <v>0.41899999999999998</v>
      </c>
      <c r="BO215" s="45">
        <f t="shared" si="1317"/>
        <v>0.41945848972690986</v>
      </c>
      <c r="BP215" s="45">
        <f t="shared" si="1317"/>
        <v>0.42199999999999999</v>
      </c>
      <c r="BQ215" s="45">
        <f t="shared" ref="BQ215:BY215" si="1318">BQ216+$CY215</f>
        <v>0.41399999999999998</v>
      </c>
      <c r="BR215" s="45">
        <f t="shared" si="1318"/>
        <v>0.41899999999999998</v>
      </c>
      <c r="BS215" s="45">
        <f t="shared" si="1318"/>
        <v>0.41945848972690986</v>
      </c>
      <c r="BT215" s="45">
        <f t="shared" si="1318"/>
        <v>0.42199999999999999</v>
      </c>
      <c r="BU215" s="45">
        <f t="shared" si="1318"/>
        <v>0.41399999999999998</v>
      </c>
      <c r="BV215" s="45">
        <f t="shared" si="1318"/>
        <v>0.41899999999999998</v>
      </c>
      <c r="BW215" s="45">
        <f t="shared" si="1318"/>
        <v>0.41945848972690986</v>
      </c>
      <c r="BX215" s="45">
        <f t="shared" si="1318"/>
        <v>0.42199999999999999</v>
      </c>
      <c r="BY215" s="45">
        <f t="shared" si="1318"/>
        <v>0.41399999999999998</v>
      </c>
      <c r="BZ215" s="45">
        <f t="shared" ref="BZ215:CU215" si="1319">BZ216+$CZ215</f>
        <v>0.42</v>
      </c>
      <c r="CA215" s="45">
        <f t="shared" si="1319"/>
        <v>0.42045848972690986</v>
      </c>
      <c r="CB215" s="45">
        <f t="shared" si="1319"/>
        <v>0.42299999999999999</v>
      </c>
      <c r="CC215" s="45">
        <f t="shared" si="1319"/>
        <v>0.41499999999999998</v>
      </c>
      <c r="CD215" s="45">
        <f t="shared" si="1319"/>
        <v>0.42</v>
      </c>
      <c r="CE215" s="45">
        <f t="shared" si="1319"/>
        <v>0.42045848972690986</v>
      </c>
      <c r="CF215" s="45">
        <f t="shared" si="1319"/>
        <v>0.42299999999999999</v>
      </c>
      <c r="CG215" s="45">
        <f t="shared" si="1319"/>
        <v>0.41499999999999998</v>
      </c>
      <c r="CH215" s="45">
        <f t="shared" si="1319"/>
        <v>0.42</v>
      </c>
      <c r="CI215" s="45">
        <f t="shared" si="1319"/>
        <v>0.42045848972690986</v>
      </c>
      <c r="CJ215" s="45">
        <f t="shared" si="1319"/>
        <v>0.42299999999999999</v>
      </c>
      <c r="CK215" s="45">
        <f t="shared" si="1319"/>
        <v>0.41499999999999998</v>
      </c>
      <c r="CL215" s="45">
        <f t="shared" si="1319"/>
        <v>0.42</v>
      </c>
      <c r="CM215" s="45">
        <f t="shared" si="1319"/>
        <v>0.42045848972690986</v>
      </c>
      <c r="CN215" s="45">
        <f t="shared" si="1319"/>
        <v>0.42299999999999999</v>
      </c>
      <c r="CO215" s="45">
        <f t="shared" si="1319"/>
        <v>0.41499999999999998</v>
      </c>
      <c r="CP215" s="45">
        <f t="shared" si="1319"/>
        <v>0.42</v>
      </c>
      <c r="CQ215" s="45">
        <f t="shared" si="1319"/>
        <v>0.42045848972690986</v>
      </c>
      <c r="CR215" s="45">
        <f t="shared" si="1319"/>
        <v>0.42299999999999999</v>
      </c>
      <c r="CS215" s="45">
        <f t="shared" si="1319"/>
        <v>0.41499999999999998</v>
      </c>
      <c r="CT215" s="45">
        <f t="shared" si="1319"/>
        <v>0.42</v>
      </c>
      <c r="CU215" s="45">
        <f t="shared" si="1319"/>
        <v>0.42045848972690986</v>
      </c>
      <c r="CV215" s="45">
        <f t="shared" ref="CV215:CW215" si="1320">CV216+$CZ215</f>
        <v>0.42299999999999999</v>
      </c>
      <c r="CW215" s="45">
        <f t="shared" si="1320"/>
        <v>0.41499999999999998</v>
      </c>
      <c r="CX215" s="269"/>
      <c r="CY215" s="1565">
        <v>-1E-3</v>
      </c>
      <c r="CZ215" s="1565">
        <v>0</v>
      </c>
    </row>
    <row r="216" spans="1:104">
      <c r="A216" s="42" t="s">
        <v>200</v>
      </c>
      <c r="B216" s="297"/>
      <c r="C216" s="297"/>
      <c r="D216" s="297"/>
      <c r="E216" s="297"/>
      <c r="F216" s="297"/>
      <c r="G216" s="297"/>
      <c r="H216" s="297"/>
      <c r="I216" s="297"/>
      <c r="J216" s="297"/>
      <c r="K216" s="297"/>
      <c r="L216" s="297"/>
      <c r="M216" s="297"/>
      <c r="N216" s="297"/>
      <c r="O216" s="297"/>
      <c r="P216" s="297"/>
      <c r="Q216" s="297"/>
      <c r="R216" s="297"/>
      <c r="S216" s="297"/>
      <c r="T216" s="297"/>
      <c r="U216" s="297">
        <f t="shared" ref="U216:AM216" si="1321">U214</f>
        <v>0.46616954031001484</v>
      </c>
      <c r="V216" s="297">
        <f t="shared" si="1321"/>
        <v>0.47458489853297914</v>
      </c>
      <c r="W216" s="297">
        <f t="shared" si="1321"/>
        <v>0.47471847814263413</v>
      </c>
      <c r="X216" s="297">
        <f t="shared" si="1321"/>
        <v>0.46337980712985649</v>
      </c>
      <c r="Y216" s="297">
        <f t="shared" si="1321"/>
        <v>0.44653196085199243</v>
      </c>
      <c r="Z216" s="297">
        <f t="shared" si="1321"/>
        <v>0.49289701281304499</v>
      </c>
      <c r="AA216" s="297">
        <f t="shared" si="1321"/>
        <v>0.4790981432224049</v>
      </c>
      <c r="AB216" s="297">
        <f t="shared" si="1321"/>
        <v>0.47514509918931214</v>
      </c>
      <c r="AC216" s="297">
        <f t="shared" si="1321"/>
        <v>0.4593353342652558</v>
      </c>
      <c r="AD216" s="297">
        <f t="shared" si="1321"/>
        <v>0.48212638668222663</v>
      </c>
      <c r="AE216" s="297">
        <f t="shared" si="1321"/>
        <v>0.48065449401515709</v>
      </c>
      <c r="AF216" s="297">
        <f t="shared" si="1321"/>
        <v>0.4772587623557798</v>
      </c>
      <c r="AG216" s="297">
        <f t="shared" si="1321"/>
        <v>0.46910235719513826</v>
      </c>
      <c r="AH216" s="297">
        <f t="shared" si="1321"/>
        <v>0.49246574935303233</v>
      </c>
      <c r="AI216" s="297">
        <f t="shared" si="1321"/>
        <v>0.48738346717543785</v>
      </c>
      <c r="AJ216" s="297">
        <f t="shared" si="1321"/>
        <v>0.49814851125794885</v>
      </c>
      <c r="AK216" s="297">
        <f t="shared" si="1321"/>
        <v>0.41927797947060486</v>
      </c>
      <c r="AL216" s="297">
        <f t="shared" si="1321"/>
        <v>0.50051458208200195</v>
      </c>
      <c r="AM216" s="297">
        <f t="shared" si="1321"/>
        <v>0.48945513084269593</v>
      </c>
      <c r="AN216" s="297">
        <f t="shared" ref="AN216:AS216" si="1322">AN214</f>
        <v>0.49462489042139718</v>
      </c>
      <c r="AO216" s="297">
        <f t="shared" si="1322"/>
        <v>0.4871245724122405</v>
      </c>
      <c r="AP216" s="1394">
        <f t="shared" si="1322"/>
        <v>0.43476080063179173</v>
      </c>
      <c r="AQ216" s="1395">
        <f t="shared" si="1322"/>
        <v>0.42532987639618497</v>
      </c>
      <c r="AR216" s="1395">
        <f t="shared" si="1322"/>
        <v>0.41040793838886269</v>
      </c>
      <c r="AS216" s="1395">
        <f t="shared" si="1322"/>
        <v>0.43698592288428301</v>
      </c>
      <c r="AT216" s="1395">
        <f t="shared" ref="AT216:BC216" si="1323">AT214</f>
        <v>0.45259803933717135</v>
      </c>
      <c r="AU216" s="1395">
        <f t="shared" si="1323"/>
        <v>0.69781850972059778</v>
      </c>
      <c r="AV216" s="1395">
        <f t="shared" si="1323"/>
        <v>0.431141654231744</v>
      </c>
      <c r="AW216" s="1395">
        <f t="shared" si="1323"/>
        <v>0.33896737851722852</v>
      </c>
      <c r="AX216" s="1395">
        <f t="shared" si="1323"/>
        <v>0.39547043718615693</v>
      </c>
      <c r="AY216" s="1395">
        <f t="shared" si="1323"/>
        <v>0.38093306216503348</v>
      </c>
      <c r="AZ216" s="1395">
        <f t="shared" si="1323"/>
        <v>0.40518738884281896</v>
      </c>
      <c r="BA216" s="1395">
        <f t="shared" si="1323"/>
        <v>0.34503928732965689</v>
      </c>
      <c r="BB216" s="1395">
        <f t="shared" si="1323"/>
        <v>0.39271913971557842</v>
      </c>
      <c r="BC216" s="1395">
        <f t="shared" si="1323"/>
        <v>0.39700845285542441</v>
      </c>
      <c r="BD216" s="1395">
        <f t="shared" ref="BD216:BI216" si="1324">BD214</f>
        <v>0.41883470059896644</v>
      </c>
      <c r="BE216" s="1395">
        <f t="shared" si="1324"/>
        <v>0.43311524578618382</v>
      </c>
      <c r="BF216" s="1395">
        <f t="shared" si="1324"/>
        <v>0.40918518297122092</v>
      </c>
      <c r="BG216" s="1395">
        <f t="shared" si="1324"/>
        <v>0.40367155927145315</v>
      </c>
      <c r="BH216" s="1395">
        <f t="shared" ref="BH216" si="1325">BH214</f>
        <v>0.41731519518207877</v>
      </c>
      <c r="BI216" s="1395">
        <f t="shared" si="1324"/>
        <v>0.41207929261641107</v>
      </c>
      <c r="BJ216" s="1395">
        <f t="shared" ref="BJ216:BK216" si="1326">BJ214</f>
        <v>0.42061892800393441</v>
      </c>
      <c r="BK216" s="1863">
        <f t="shared" si="1326"/>
        <v>0.42045848972690986</v>
      </c>
      <c r="BL216" s="2010">
        <v>0.42299999999999999</v>
      </c>
      <c r="BM216" s="2010">
        <v>0.41499999999999998</v>
      </c>
      <c r="BN216" s="2010">
        <v>0.42</v>
      </c>
      <c r="BO216" s="1961">
        <f>BK216+$CY$216</f>
        <v>0.42045848972690986</v>
      </c>
      <c r="BP216" s="559">
        <f>BL216+$CY$216</f>
        <v>0.42299999999999999</v>
      </c>
      <c r="BQ216" s="559">
        <f>BM216+$CY$216</f>
        <v>0.41499999999999998</v>
      </c>
      <c r="BR216" s="559">
        <f t="shared" ref="BR216" si="1327">BN216+$CY$216</f>
        <v>0.42</v>
      </c>
      <c r="BS216" s="559">
        <f t="shared" ref="BS216" si="1328">BO216+$CY$216</f>
        <v>0.42045848972690986</v>
      </c>
      <c r="BT216" s="559">
        <f t="shared" ref="BT216" si="1329">BP216+$CY$216</f>
        <v>0.42299999999999999</v>
      </c>
      <c r="BU216" s="559">
        <f t="shared" ref="BU216" si="1330">BQ216+$CY$216</f>
        <v>0.41499999999999998</v>
      </c>
      <c r="BV216" s="559">
        <f t="shared" ref="BV216" si="1331">BR216+$CY$216</f>
        <v>0.42</v>
      </c>
      <c r="BW216" s="559">
        <f t="shared" ref="BW216" si="1332">BS216+$CY$216</f>
        <v>0.42045848972690986</v>
      </c>
      <c r="BX216" s="559">
        <f t="shared" ref="BX216" si="1333">BT216+$CY$216</f>
        <v>0.42299999999999999</v>
      </c>
      <c r="BY216" s="559">
        <f t="shared" ref="BY216" si="1334">BU216+$CY$216</f>
        <v>0.41499999999999998</v>
      </c>
      <c r="BZ216" s="1960">
        <f>BV216+$CZ$216</f>
        <v>0.42</v>
      </c>
      <c r="CA216" s="559">
        <f t="shared" ref="CA216:CW216" si="1335">BW216+$CZ$216</f>
        <v>0.42045848972690986</v>
      </c>
      <c r="CB216" s="559">
        <f t="shared" si="1335"/>
        <v>0.42299999999999999</v>
      </c>
      <c r="CC216" s="559">
        <f t="shared" si="1335"/>
        <v>0.41499999999999998</v>
      </c>
      <c r="CD216" s="559">
        <f t="shared" si="1335"/>
        <v>0.42</v>
      </c>
      <c r="CE216" s="559">
        <f t="shared" si="1335"/>
        <v>0.42045848972690986</v>
      </c>
      <c r="CF216" s="559">
        <f t="shared" si="1335"/>
        <v>0.42299999999999999</v>
      </c>
      <c r="CG216" s="559">
        <f t="shared" si="1335"/>
        <v>0.41499999999999998</v>
      </c>
      <c r="CH216" s="559">
        <f t="shared" si="1335"/>
        <v>0.42</v>
      </c>
      <c r="CI216" s="559">
        <f t="shared" si="1335"/>
        <v>0.42045848972690986</v>
      </c>
      <c r="CJ216" s="559">
        <f t="shared" si="1335"/>
        <v>0.42299999999999999</v>
      </c>
      <c r="CK216" s="559">
        <f t="shared" si="1335"/>
        <v>0.41499999999999998</v>
      </c>
      <c r="CL216" s="559">
        <f t="shared" si="1335"/>
        <v>0.42</v>
      </c>
      <c r="CM216" s="559">
        <f t="shared" si="1335"/>
        <v>0.42045848972690986</v>
      </c>
      <c r="CN216" s="559">
        <f t="shared" si="1335"/>
        <v>0.42299999999999999</v>
      </c>
      <c r="CO216" s="559">
        <f t="shared" si="1335"/>
        <v>0.41499999999999998</v>
      </c>
      <c r="CP216" s="559">
        <f t="shared" si="1335"/>
        <v>0.42</v>
      </c>
      <c r="CQ216" s="559">
        <f t="shared" si="1335"/>
        <v>0.42045848972690986</v>
      </c>
      <c r="CR216" s="559">
        <f t="shared" si="1335"/>
        <v>0.42299999999999999</v>
      </c>
      <c r="CS216" s="559">
        <f t="shared" si="1335"/>
        <v>0.41499999999999998</v>
      </c>
      <c r="CT216" s="559">
        <f t="shared" si="1335"/>
        <v>0.42</v>
      </c>
      <c r="CU216" s="559">
        <f t="shared" si="1335"/>
        <v>0.42045848972690986</v>
      </c>
      <c r="CV216" s="559">
        <f t="shared" si="1335"/>
        <v>0.42299999999999999</v>
      </c>
      <c r="CW216" s="559">
        <f t="shared" si="1335"/>
        <v>0.41499999999999998</v>
      </c>
      <c r="CX216" s="269"/>
      <c r="CY216" s="1565">
        <v>0</v>
      </c>
      <c r="CZ216" s="1565">
        <v>0</v>
      </c>
    </row>
    <row r="217" spans="1:104">
      <c r="A217" s="42" t="s">
        <v>202</v>
      </c>
      <c r="B217" s="297"/>
      <c r="C217" s="297"/>
      <c r="D217" s="297"/>
      <c r="E217" s="297"/>
      <c r="F217" s="297"/>
      <c r="G217" s="297"/>
      <c r="H217" s="297"/>
      <c r="I217" s="297"/>
      <c r="J217" s="297"/>
      <c r="K217" s="297"/>
      <c r="L217" s="297"/>
      <c r="M217" s="297"/>
      <c r="N217" s="297"/>
      <c r="O217" s="297"/>
      <c r="P217" s="297"/>
      <c r="Q217" s="297"/>
      <c r="R217" s="297"/>
      <c r="S217" s="297"/>
      <c r="T217" s="297"/>
      <c r="U217" s="297">
        <f t="shared" ref="U217:AM217" si="1336">U214</f>
        <v>0.46616954031001484</v>
      </c>
      <c r="V217" s="297">
        <f t="shared" si="1336"/>
        <v>0.47458489853297914</v>
      </c>
      <c r="W217" s="297">
        <f t="shared" si="1336"/>
        <v>0.47471847814263413</v>
      </c>
      <c r="X217" s="297">
        <f t="shared" si="1336"/>
        <v>0.46337980712985649</v>
      </c>
      <c r="Y217" s="297">
        <f t="shared" si="1336"/>
        <v>0.44653196085199243</v>
      </c>
      <c r="Z217" s="297">
        <f t="shared" si="1336"/>
        <v>0.49289701281304499</v>
      </c>
      <c r="AA217" s="297">
        <f t="shared" si="1336"/>
        <v>0.4790981432224049</v>
      </c>
      <c r="AB217" s="297">
        <f t="shared" si="1336"/>
        <v>0.47514509918931214</v>
      </c>
      <c r="AC217" s="297">
        <f t="shared" si="1336"/>
        <v>0.4593353342652558</v>
      </c>
      <c r="AD217" s="297">
        <f t="shared" si="1336"/>
        <v>0.48212638668222663</v>
      </c>
      <c r="AE217" s="297">
        <f t="shared" si="1336"/>
        <v>0.48065449401515709</v>
      </c>
      <c r="AF217" s="297">
        <f t="shared" si="1336"/>
        <v>0.4772587623557798</v>
      </c>
      <c r="AG217" s="297">
        <f t="shared" si="1336"/>
        <v>0.46910235719513826</v>
      </c>
      <c r="AH217" s="297">
        <f t="shared" si="1336"/>
        <v>0.49246574935303233</v>
      </c>
      <c r="AI217" s="297">
        <f t="shared" si="1336"/>
        <v>0.48738346717543785</v>
      </c>
      <c r="AJ217" s="297">
        <f t="shared" si="1336"/>
        <v>0.49814851125794885</v>
      </c>
      <c r="AK217" s="297">
        <f t="shared" si="1336"/>
        <v>0.41927797947060486</v>
      </c>
      <c r="AL217" s="297">
        <f t="shared" si="1336"/>
        <v>0.50051458208200195</v>
      </c>
      <c r="AM217" s="297">
        <f t="shared" si="1336"/>
        <v>0.48945513084269593</v>
      </c>
      <c r="AN217" s="297">
        <f t="shared" ref="AN217:AS217" si="1337">AN214</f>
        <v>0.49462489042139718</v>
      </c>
      <c r="AO217" s="297">
        <f t="shared" si="1337"/>
        <v>0.4871245724122405</v>
      </c>
      <c r="AP217" s="297">
        <f t="shared" si="1337"/>
        <v>0.43476080063179173</v>
      </c>
      <c r="AQ217" s="297">
        <f t="shared" si="1337"/>
        <v>0.42532987639618497</v>
      </c>
      <c r="AR217" s="297">
        <f t="shared" si="1337"/>
        <v>0.41040793838886269</v>
      </c>
      <c r="AS217" s="297">
        <f t="shared" si="1337"/>
        <v>0.43698592288428301</v>
      </c>
      <c r="AT217" s="297">
        <f t="shared" ref="AT217:BC217" si="1338">AT214</f>
        <v>0.45259803933717135</v>
      </c>
      <c r="AU217" s="297">
        <f t="shared" si="1338"/>
        <v>0.69781850972059778</v>
      </c>
      <c r="AV217" s="297">
        <f t="shared" si="1338"/>
        <v>0.431141654231744</v>
      </c>
      <c r="AW217" s="297">
        <f t="shared" si="1338"/>
        <v>0.33896737851722852</v>
      </c>
      <c r="AX217" s="297">
        <f t="shared" si="1338"/>
        <v>0.39547043718615693</v>
      </c>
      <c r="AY217" s="297">
        <f t="shared" si="1338"/>
        <v>0.38093306216503348</v>
      </c>
      <c r="AZ217" s="297">
        <f t="shared" si="1338"/>
        <v>0.40518738884281896</v>
      </c>
      <c r="BA217" s="297">
        <f t="shared" si="1338"/>
        <v>0.34503928732965689</v>
      </c>
      <c r="BB217" s="297">
        <f t="shared" si="1338"/>
        <v>0.39271913971557842</v>
      </c>
      <c r="BC217" s="297">
        <f t="shared" si="1338"/>
        <v>0.39700845285542441</v>
      </c>
      <c r="BD217" s="297">
        <f t="shared" ref="BD217:BI217" si="1339">BD214</f>
        <v>0.41883470059896644</v>
      </c>
      <c r="BE217" s="297">
        <f t="shared" si="1339"/>
        <v>0.43311524578618382</v>
      </c>
      <c r="BF217" s="297">
        <f t="shared" si="1339"/>
        <v>0.40918518297122092</v>
      </c>
      <c r="BG217" s="297">
        <f t="shared" si="1339"/>
        <v>0.40367155927145315</v>
      </c>
      <c r="BH217" s="297">
        <f t="shared" ref="BH217" si="1340">BH214</f>
        <v>0.41731519518207877</v>
      </c>
      <c r="BI217" s="297">
        <f t="shared" si="1339"/>
        <v>0.41207929261641107</v>
      </c>
      <c r="BJ217" s="297">
        <f t="shared" ref="BJ217:BK217" si="1341">BJ214</f>
        <v>0.42061892800393441</v>
      </c>
      <c r="BK217" s="1819">
        <f t="shared" si="1341"/>
        <v>0.42045848972690986</v>
      </c>
      <c r="BL217" s="45">
        <f t="shared" ref="BL217:BP217" si="1342">BL216+$CY217</f>
        <v>0.42549999999999999</v>
      </c>
      <c r="BM217" s="45">
        <f t="shared" si="1342"/>
        <v>0.41749999999999998</v>
      </c>
      <c r="BN217" s="45">
        <f t="shared" si="1342"/>
        <v>0.42249999999999999</v>
      </c>
      <c r="BO217" s="45">
        <f t="shared" si="1342"/>
        <v>0.42295848972690986</v>
      </c>
      <c r="BP217" s="45">
        <f t="shared" si="1342"/>
        <v>0.42549999999999999</v>
      </c>
      <c r="BQ217" s="45">
        <f t="shared" ref="BQ217:BY217" si="1343">BQ216+$CY217</f>
        <v>0.41749999999999998</v>
      </c>
      <c r="BR217" s="45">
        <f t="shared" si="1343"/>
        <v>0.42249999999999999</v>
      </c>
      <c r="BS217" s="45">
        <f t="shared" si="1343"/>
        <v>0.42295848972690986</v>
      </c>
      <c r="BT217" s="45">
        <f t="shared" si="1343"/>
        <v>0.42549999999999999</v>
      </c>
      <c r="BU217" s="45">
        <f t="shared" si="1343"/>
        <v>0.41749999999999998</v>
      </c>
      <c r="BV217" s="45">
        <f t="shared" si="1343"/>
        <v>0.42249999999999999</v>
      </c>
      <c r="BW217" s="45">
        <f t="shared" si="1343"/>
        <v>0.42295848972690986</v>
      </c>
      <c r="BX217" s="45">
        <f t="shared" si="1343"/>
        <v>0.42549999999999999</v>
      </c>
      <c r="BY217" s="45">
        <f t="shared" si="1343"/>
        <v>0.41749999999999998</v>
      </c>
      <c r="BZ217" s="45">
        <f t="shared" ref="BZ217:CU217" si="1344">BZ216+$CZ217</f>
        <v>0.42249999999999999</v>
      </c>
      <c r="CA217" s="45">
        <f t="shared" si="1344"/>
        <v>0.42295848972690986</v>
      </c>
      <c r="CB217" s="45">
        <f t="shared" si="1344"/>
        <v>0.42549999999999999</v>
      </c>
      <c r="CC217" s="45">
        <f t="shared" si="1344"/>
        <v>0.41749999999999998</v>
      </c>
      <c r="CD217" s="45">
        <f t="shared" si="1344"/>
        <v>0.42249999999999999</v>
      </c>
      <c r="CE217" s="45">
        <f t="shared" si="1344"/>
        <v>0.42295848972690986</v>
      </c>
      <c r="CF217" s="45">
        <f t="shared" si="1344"/>
        <v>0.42549999999999999</v>
      </c>
      <c r="CG217" s="45">
        <f t="shared" si="1344"/>
        <v>0.41749999999999998</v>
      </c>
      <c r="CH217" s="45">
        <f t="shared" si="1344"/>
        <v>0.42249999999999999</v>
      </c>
      <c r="CI217" s="45">
        <f t="shared" si="1344"/>
        <v>0.42295848972690986</v>
      </c>
      <c r="CJ217" s="45">
        <f t="shared" si="1344"/>
        <v>0.42549999999999999</v>
      </c>
      <c r="CK217" s="45">
        <f t="shared" si="1344"/>
        <v>0.41749999999999998</v>
      </c>
      <c r="CL217" s="45">
        <f t="shared" si="1344"/>
        <v>0.42249999999999999</v>
      </c>
      <c r="CM217" s="45">
        <f t="shared" si="1344"/>
        <v>0.42295848972690986</v>
      </c>
      <c r="CN217" s="45">
        <f t="shared" si="1344"/>
        <v>0.42549999999999999</v>
      </c>
      <c r="CO217" s="45">
        <f t="shared" si="1344"/>
        <v>0.41749999999999998</v>
      </c>
      <c r="CP217" s="45">
        <f t="shared" si="1344"/>
        <v>0.42249999999999999</v>
      </c>
      <c r="CQ217" s="45">
        <f t="shared" si="1344"/>
        <v>0.42295848972690986</v>
      </c>
      <c r="CR217" s="45">
        <f t="shared" si="1344"/>
        <v>0.42549999999999999</v>
      </c>
      <c r="CS217" s="45">
        <f t="shared" si="1344"/>
        <v>0.41749999999999998</v>
      </c>
      <c r="CT217" s="45">
        <f t="shared" si="1344"/>
        <v>0.42249999999999999</v>
      </c>
      <c r="CU217" s="45">
        <f t="shared" si="1344"/>
        <v>0.42295848972690986</v>
      </c>
      <c r="CV217" s="45">
        <f t="shared" ref="CV217:CW217" si="1345">CV216+$CZ217</f>
        <v>0.42549999999999999</v>
      </c>
      <c r="CW217" s="45">
        <f t="shared" si="1345"/>
        <v>0.41749999999999998</v>
      </c>
      <c r="CX217" s="269"/>
      <c r="CY217" s="559">
        <v>2.5000000000000001E-3</v>
      </c>
      <c r="CZ217" s="559">
        <v>2.5000000000000001E-3</v>
      </c>
    </row>
    <row r="218" spans="1:104">
      <c r="A218" s="93"/>
      <c r="B218" s="397"/>
      <c r="C218" s="397"/>
      <c r="D218" s="397"/>
      <c r="E218" s="397"/>
      <c r="F218" s="397"/>
      <c r="G218" s="397"/>
      <c r="H218" s="397"/>
      <c r="I218" s="397"/>
      <c r="J218" s="397"/>
      <c r="K218" s="397"/>
      <c r="L218" s="397"/>
      <c r="M218" s="397"/>
      <c r="N218" s="397"/>
      <c r="O218" s="397"/>
      <c r="P218" s="397"/>
      <c r="Q218" s="397"/>
      <c r="R218" s="397"/>
      <c r="S218" s="397"/>
      <c r="T218" s="397"/>
      <c r="U218" s="397"/>
      <c r="V218" s="397"/>
      <c r="W218" s="397"/>
      <c r="X218" s="397"/>
      <c r="Y218" s="397"/>
      <c r="Z218" s="397"/>
      <c r="AA218" s="397"/>
      <c r="AB218" s="397"/>
      <c r="AC218" s="397"/>
      <c r="AD218" s="397"/>
      <c r="AE218" s="397"/>
      <c r="AF218" s="397"/>
      <c r="AG218" s="397"/>
      <c r="AH218" s="397"/>
      <c r="AI218" s="397"/>
      <c r="AJ218" s="397"/>
      <c r="AK218" s="397"/>
      <c r="AL218" s="397"/>
      <c r="AM218" s="269"/>
      <c r="AN218" s="398"/>
      <c r="AO218" s="398"/>
      <c r="AP218" s="398"/>
      <c r="AQ218" s="398"/>
      <c r="AR218" s="398"/>
      <c r="AS218" s="398"/>
      <c r="AT218" s="398"/>
      <c r="AU218" s="398"/>
      <c r="AV218" s="398"/>
      <c r="AW218" s="398"/>
      <c r="AX218" s="398"/>
      <c r="AY218" s="398"/>
      <c r="AZ218" s="398"/>
      <c r="BA218" s="398"/>
      <c r="BB218" s="398"/>
      <c r="BC218" s="398"/>
      <c r="BD218" s="398"/>
      <c r="BE218" s="398"/>
      <c r="BF218" s="398"/>
      <c r="BG218" s="1175">
        <f>Q_IS!BG293</f>
        <v>-1174.6600000000008</v>
      </c>
      <c r="BH218" s="1175">
        <f>Q_IS!BH293</f>
        <v>-1047.4410000000021</v>
      </c>
      <c r="BI218" s="1175">
        <f>Q_IS!BI293</f>
        <v>-842.71300000000065</v>
      </c>
      <c r="BJ218" s="1175">
        <f>Q_IS!BJ293</f>
        <v>-992.87099999999919</v>
      </c>
      <c r="BK218" s="1175">
        <f>Q_IS!BK293</f>
        <v>-1047.3239999999983</v>
      </c>
      <c r="BL218" s="1175">
        <f>Q_IS!BL293</f>
        <v>-1045.6144833018461</v>
      </c>
      <c r="BM218" s="1175">
        <f>Q_IS!BM293</f>
        <v>-1070.1938676544248</v>
      </c>
      <c r="BN218" s="1175">
        <f>Q_IS!BN293</f>
        <v>-1105.9868749944385</v>
      </c>
      <c r="BO218" s="1175">
        <f>Q_IS!BO293</f>
        <v>-1186.2132967788948</v>
      </c>
      <c r="BP218" s="1175">
        <f>Q_IS!BP293</f>
        <v>-1119.963306755965</v>
      </c>
      <c r="BQ218" s="1175">
        <f>Q_IS!BQ293</f>
        <v>-1135.7805963987639</v>
      </c>
      <c r="BR218" s="398"/>
      <c r="BS218" s="398"/>
      <c r="BT218" s="398"/>
      <c r="BU218" s="398"/>
      <c r="BV218" s="398"/>
      <c r="BW218" s="398"/>
      <c r="BX218" s="398"/>
      <c r="BY218" s="398"/>
      <c r="BZ218" s="398"/>
      <c r="CA218" s="398"/>
      <c r="CB218" s="398"/>
      <c r="CC218" s="398"/>
      <c r="CD218" s="398"/>
      <c r="CE218" s="398"/>
      <c r="CF218" s="398"/>
      <c r="CG218" s="398"/>
      <c r="CH218" s="398"/>
      <c r="CI218" s="398"/>
      <c r="CJ218" s="398"/>
      <c r="CK218" s="398"/>
      <c r="CL218" s="398"/>
      <c r="CM218" s="398"/>
      <c r="CN218" s="398"/>
      <c r="CO218" s="398"/>
      <c r="CP218" s="398"/>
      <c r="CQ218" s="398"/>
      <c r="CR218" s="398"/>
      <c r="CS218" s="398"/>
      <c r="CT218" s="398"/>
      <c r="CU218" s="398"/>
      <c r="CV218" s="398"/>
      <c r="CW218" s="398"/>
      <c r="CX218" s="269"/>
      <c r="CY218" s="269"/>
      <c r="CZ218" s="269"/>
    </row>
    <row r="219" spans="1:104">
      <c r="A219" s="43" t="s">
        <v>1248</v>
      </c>
      <c r="B219" s="397"/>
      <c r="C219" s="397"/>
      <c r="D219" s="397"/>
      <c r="E219" s="397"/>
      <c r="F219" s="397"/>
      <c r="G219" s="397"/>
      <c r="H219" s="397"/>
      <c r="I219" s="397"/>
      <c r="J219" s="397"/>
      <c r="K219" s="397"/>
      <c r="L219" s="397"/>
      <c r="M219" s="397"/>
      <c r="N219" s="397"/>
      <c r="O219" s="397"/>
      <c r="P219" s="397"/>
      <c r="Q219" s="397"/>
      <c r="R219" s="397"/>
      <c r="S219" s="397"/>
      <c r="T219" s="397"/>
      <c r="U219" s="397">
        <f>Q_IS!U294</f>
        <v>6.7487487392174556E-2</v>
      </c>
      <c r="V219" s="397">
        <f>Q_IS!V294</f>
        <v>8.4479949579612967E-2</v>
      </c>
      <c r="W219" s="397">
        <f>Q_IS!W294</f>
        <v>8.8921585924080115E-2</v>
      </c>
      <c r="X219" s="397">
        <f>Q_IS!X294</f>
        <v>9.2133984430702198E-2</v>
      </c>
      <c r="Y219" s="397">
        <f>Q_IS!Y294</f>
        <v>0.11003734527194388</v>
      </c>
      <c r="Z219" s="397">
        <f>Q_IS!Z294</f>
        <v>7.7171560710075235E-2</v>
      </c>
      <c r="AA219" s="397">
        <f>Q_IS!AA294</f>
        <v>7.6437056602587372E-2</v>
      </c>
      <c r="AB219" s="397">
        <f>Q_IS!AB294</f>
        <v>7.587750751607357E-2</v>
      </c>
      <c r="AC219" s="397">
        <f>Q_IS!AC294</f>
        <v>7.7268748019887951E-2</v>
      </c>
      <c r="AD219" s="397">
        <f>Q_IS!AD294</f>
        <v>7.883502289460978E-2</v>
      </c>
      <c r="AE219" s="397">
        <f>Q_IS!AE294</f>
        <v>7.2471134737503606E-2</v>
      </c>
      <c r="AF219" s="397">
        <f>Q_IS!AF294</f>
        <v>7.3138738827309022E-2</v>
      </c>
      <c r="AG219" s="397">
        <f>Q_IS!AG294</f>
        <v>7.1874950890775821E-2</v>
      </c>
      <c r="AH219" s="397">
        <f>Q_IS!AH294</f>
        <v>7.2017905053283218E-2</v>
      </c>
      <c r="AI219" s="397">
        <f>Q_IS!AI294</f>
        <v>7.4004174044649998E-2</v>
      </c>
      <c r="AJ219" s="397">
        <f>Q_IS!AJ294</f>
        <v>6.4354770254065025E-2</v>
      </c>
      <c r="AK219" s="397">
        <f>Q_IS!AK294</f>
        <v>7.5084770100594611E-2</v>
      </c>
      <c r="AL219" s="397">
        <f>Q_IS!AL294</f>
        <v>6.9321783252774299E-2</v>
      </c>
      <c r="AM219" s="397">
        <f>Q_IS!AM294</f>
        <v>6.6320380507435078E-2</v>
      </c>
      <c r="AN219" s="397">
        <f>Q_IS!AN294</f>
        <v>6.0047579882054176E-2</v>
      </c>
      <c r="AO219" s="397">
        <f>Q_IS!AO294</f>
        <v>4.9647611285941348E-2</v>
      </c>
      <c r="AP219" s="397">
        <f>Q_IS!AP294</f>
        <v>6.4720156650685867E-2</v>
      </c>
      <c r="AQ219" s="397">
        <f>Q_IS!AQ294</f>
        <v>6.9752849294919553E-2</v>
      </c>
      <c r="AR219" s="397">
        <f>Q_IS!AR294</f>
        <v>5.4903568869998129E-2</v>
      </c>
      <c r="AS219" s="397">
        <f>Q_IS!AS294</f>
        <v>5.5035416429951932E-2</v>
      </c>
      <c r="AT219" s="397">
        <f>Q_IS!AT294</f>
        <v>4.2987619257684212E-2</v>
      </c>
      <c r="AU219" s="397">
        <f>Q_IS!AU294</f>
        <v>0.13727079865103878</v>
      </c>
      <c r="AV219" s="397">
        <f>Q_IS!AV294</f>
        <v>7.2721205701409566E-2</v>
      </c>
      <c r="AW219" s="397">
        <f>Q_IS!AW294</f>
        <v>8.504639359322104E-2</v>
      </c>
      <c r="AX219" s="397">
        <f>Q_IS!AX294</f>
        <v>7.8079644612060226E-2</v>
      </c>
      <c r="AY219" s="397">
        <f>Q_IS!AY294</f>
        <v>7.3465814264675078E-2</v>
      </c>
      <c r="AZ219" s="397">
        <f>Q_IS!AZ294</f>
        <v>6.0083713782684511E-2</v>
      </c>
      <c r="BA219" s="397">
        <f>Q_IS!BA294</f>
        <v>9.2161766548060381E-2</v>
      </c>
      <c r="BB219" s="397">
        <f>Q_IS!BB294</f>
        <v>6.2176138923559665E-2</v>
      </c>
      <c r="BC219" s="397">
        <f>Q_IS!BC294</f>
        <v>6.1462490867298485E-2</v>
      </c>
      <c r="BD219" s="397">
        <f>Q_IS!BD294</f>
        <v>5.4015212542675758E-2</v>
      </c>
      <c r="BE219" s="397">
        <f>Q_IS!BE294</f>
        <v>5.2246160364545227E-2</v>
      </c>
      <c r="BF219" s="397">
        <f>Q_IS!BF294</f>
        <v>5.0808045694561869E-2</v>
      </c>
      <c r="BG219" s="397">
        <f>Q_IS!BG294</f>
        <v>6.1991476580968458E-2</v>
      </c>
      <c r="BH219" s="397">
        <f>Q_IS!BH294</f>
        <v>5.3797760592798026E-2</v>
      </c>
      <c r="BI219" s="397">
        <f>Q_IS!BI294</f>
        <v>4.182885002516297E-2</v>
      </c>
      <c r="BJ219" s="397">
        <f>Q_IS!BJ294</f>
        <v>5.4544876213739928E-2</v>
      </c>
      <c r="BK219" s="1824">
        <f>Q_IS!BK294</f>
        <v>5.4395022842217811E-2</v>
      </c>
      <c r="BL219" s="398">
        <f t="shared" ref="BL219:BQ219" si="1346">CHOOSE(MASTERSWITCH,BL220,BL221,BL222)</f>
        <v>5.2000000000000005E-2</v>
      </c>
      <c r="BM219" s="398">
        <f t="shared" si="1346"/>
        <v>5.1000000000000004E-2</v>
      </c>
      <c r="BN219" s="398">
        <f t="shared" si="1346"/>
        <v>5.5544876213739929E-2</v>
      </c>
      <c r="BO219" s="398">
        <f t="shared" si="1346"/>
        <v>5.5395022842217811E-2</v>
      </c>
      <c r="BP219" s="398">
        <f t="shared" si="1346"/>
        <v>5.1000000000000004E-2</v>
      </c>
      <c r="BQ219" s="398">
        <f t="shared" si="1346"/>
        <v>0.05</v>
      </c>
      <c r="BR219" s="398">
        <f t="shared" ref="BR219:CK219" si="1347">CHOOSE(MASTERSWITCH,BR220,BR221,BR222)</f>
        <v>5.4544876213739928E-2</v>
      </c>
      <c r="BS219" s="398">
        <f t="shared" si="1347"/>
        <v>5.4395022842217811E-2</v>
      </c>
      <c r="BT219" s="398">
        <f t="shared" si="1347"/>
        <v>0.05</v>
      </c>
      <c r="BU219" s="398">
        <f t="shared" si="1347"/>
        <v>4.9000000000000002E-2</v>
      </c>
      <c r="BV219" s="398">
        <f t="shared" si="1347"/>
        <v>5.3544876213739927E-2</v>
      </c>
      <c r="BW219" s="398">
        <f t="shared" si="1347"/>
        <v>5.339502284221781E-2</v>
      </c>
      <c r="BX219" s="398">
        <f t="shared" si="1347"/>
        <v>4.9000000000000002E-2</v>
      </c>
      <c r="BY219" s="398">
        <f t="shared" si="1347"/>
        <v>4.8000000000000001E-2</v>
      </c>
      <c r="BZ219" s="398">
        <f t="shared" si="1347"/>
        <v>5.4544876213739928E-2</v>
      </c>
      <c r="CA219" s="398">
        <f t="shared" si="1347"/>
        <v>5.4395022842217811E-2</v>
      </c>
      <c r="CB219" s="398">
        <f t="shared" si="1347"/>
        <v>0.05</v>
      </c>
      <c r="CC219" s="398">
        <f t="shared" si="1347"/>
        <v>4.9000000000000002E-2</v>
      </c>
      <c r="CD219" s="398">
        <f t="shared" si="1347"/>
        <v>5.4544876213739928E-2</v>
      </c>
      <c r="CE219" s="398">
        <f t="shared" si="1347"/>
        <v>5.4395022842217811E-2</v>
      </c>
      <c r="CF219" s="398">
        <f t="shared" si="1347"/>
        <v>0.05</v>
      </c>
      <c r="CG219" s="398">
        <f t="shared" si="1347"/>
        <v>4.9000000000000002E-2</v>
      </c>
      <c r="CH219" s="398">
        <f t="shared" si="1347"/>
        <v>5.4544876213739928E-2</v>
      </c>
      <c r="CI219" s="398">
        <f t="shared" si="1347"/>
        <v>5.4395022842217811E-2</v>
      </c>
      <c r="CJ219" s="398">
        <f t="shared" si="1347"/>
        <v>0.05</v>
      </c>
      <c r="CK219" s="398">
        <f t="shared" si="1347"/>
        <v>4.9000000000000002E-2</v>
      </c>
      <c r="CL219" s="398">
        <f t="shared" ref="CL219:CP219" si="1348">CHOOSE(MASTERSWITCH,CL220,CL221,CL222)</f>
        <v>5.4544876213739928E-2</v>
      </c>
      <c r="CM219" s="398">
        <f t="shared" si="1348"/>
        <v>5.4395022842217811E-2</v>
      </c>
      <c r="CN219" s="398">
        <f t="shared" si="1348"/>
        <v>0.05</v>
      </c>
      <c r="CO219" s="398">
        <f t="shared" si="1348"/>
        <v>4.9000000000000002E-2</v>
      </c>
      <c r="CP219" s="398">
        <f t="shared" si="1348"/>
        <v>5.4544876213739928E-2</v>
      </c>
      <c r="CQ219" s="398">
        <f t="shared" ref="CQ219:CU219" si="1349">CHOOSE(MASTERSWITCH,CQ220,CQ221,CQ222)</f>
        <v>5.4395022842217811E-2</v>
      </c>
      <c r="CR219" s="398">
        <f t="shared" si="1349"/>
        <v>0.05</v>
      </c>
      <c r="CS219" s="398">
        <f t="shared" si="1349"/>
        <v>4.9000000000000002E-2</v>
      </c>
      <c r="CT219" s="398">
        <f t="shared" si="1349"/>
        <v>5.4544876213739928E-2</v>
      </c>
      <c r="CU219" s="398">
        <f t="shared" si="1349"/>
        <v>5.4395022842217811E-2</v>
      </c>
      <c r="CV219" s="398">
        <f t="shared" ref="CV219:CW219" si="1350">CHOOSE(MASTERSWITCH,CV220,CV221,CV222)</f>
        <v>0.05</v>
      </c>
      <c r="CW219" s="398">
        <f t="shared" si="1350"/>
        <v>4.9000000000000002E-2</v>
      </c>
      <c r="CX219" s="269"/>
      <c r="CY219" s="269"/>
      <c r="CZ219" s="269"/>
    </row>
    <row r="220" spans="1:104">
      <c r="A220" s="42" t="s">
        <v>571</v>
      </c>
      <c r="B220" s="297"/>
      <c r="C220" s="297"/>
      <c r="D220" s="297"/>
      <c r="E220" s="297"/>
      <c r="F220" s="297"/>
      <c r="G220" s="297"/>
      <c r="H220" s="297"/>
      <c r="I220" s="297"/>
      <c r="J220" s="297"/>
      <c r="K220" s="297"/>
      <c r="L220" s="297"/>
      <c r="M220" s="297"/>
      <c r="N220" s="297"/>
      <c r="O220" s="297"/>
      <c r="P220" s="297"/>
      <c r="Q220" s="297"/>
      <c r="R220" s="297"/>
      <c r="S220" s="297"/>
      <c r="T220" s="297"/>
      <c r="U220" s="297">
        <f t="shared" ref="U220:AA220" si="1351">U219</f>
        <v>6.7487487392174556E-2</v>
      </c>
      <c r="V220" s="297">
        <f t="shared" si="1351"/>
        <v>8.4479949579612967E-2</v>
      </c>
      <c r="W220" s="297">
        <f t="shared" si="1351"/>
        <v>8.8921585924080115E-2</v>
      </c>
      <c r="X220" s="297">
        <f t="shared" si="1351"/>
        <v>9.2133984430702198E-2</v>
      </c>
      <c r="Y220" s="297">
        <f t="shared" si="1351"/>
        <v>0.11003734527194388</v>
      </c>
      <c r="Z220" s="297">
        <f t="shared" si="1351"/>
        <v>7.7171560710075235E-2</v>
      </c>
      <c r="AA220" s="297">
        <f t="shared" si="1351"/>
        <v>7.6437056602587372E-2</v>
      </c>
      <c r="AB220" s="297">
        <f t="shared" ref="AB220:AM220" si="1352">AB219</f>
        <v>7.587750751607357E-2</v>
      </c>
      <c r="AC220" s="297">
        <f t="shared" si="1352"/>
        <v>7.7268748019887951E-2</v>
      </c>
      <c r="AD220" s="297">
        <f t="shared" si="1352"/>
        <v>7.883502289460978E-2</v>
      </c>
      <c r="AE220" s="297">
        <f t="shared" si="1352"/>
        <v>7.2471134737503606E-2</v>
      </c>
      <c r="AF220" s="297">
        <f t="shared" si="1352"/>
        <v>7.3138738827309022E-2</v>
      </c>
      <c r="AG220" s="297">
        <f t="shared" si="1352"/>
        <v>7.1874950890775821E-2</v>
      </c>
      <c r="AH220" s="297">
        <f t="shared" si="1352"/>
        <v>7.2017905053283218E-2</v>
      </c>
      <c r="AI220" s="297">
        <f t="shared" si="1352"/>
        <v>7.4004174044649998E-2</v>
      </c>
      <c r="AJ220" s="297">
        <f t="shared" si="1352"/>
        <v>6.4354770254065025E-2</v>
      </c>
      <c r="AK220" s="297">
        <f t="shared" si="1352"/>
        <v>7.5084770100594611E-2</v>
      </c>
      <c r="AL220" s="297">
        <f t="shared" si="1352"/>
        <v>6.9321783252774299E-2</v>
      </c>
      <c r="AM220" s="297">
        <f t="shared" si="1352"/>
        <v>6.6320380507435078E-2</v>
      </c>
      <c r="AN220" s="297">
        <f t="shared" ref="AN220:AS220" si="1353">AN219</f>
        <v>6.0047579882054176E-2</v>
      </c>
      <c r="AO220" s="297">
        <f t="shared" si="1353"/>
        <v>4.9647611285941348E-2</v>
      </c>
      <c r="AP220" s="297">
        <f t="shared" si="1353"/>
        <v>6.4720156650685867E-2</v>
      </c>
      <c r="AQ220" s="297">
        <f t="shared" si="1353"/>
        <v>6.9752849294919553E-2</v>
      </c>
      <c r="AR220" s="297">
        <f t="shared" si="1353"/>
        <v>5.4903568869998129E-2</v>
      </c>
      <c r="AS220" s="297">
        <f t="shared" si="1353"/>
        <v>5.5035416429951932E-2</v>
      </c>
      <c r="AT220" s="297">
        <f t="shared" ref="AT220:BC220" si="1354">AT219</f>
        <v>4.2987619257684212E-2</v>
      </c>
      <c r="AU220" s="297">
        <f t="shared" si="1354"/>
        <v>0.13727079865103878</v>
      </c>
      <c r="AV220" s="297">
        <f t="shared" si="1354"/>
        <v>7.2721205701409566E-2</v>
      </c>
      <c r="AW220" s="297">
        <f t="shared" si="1354"/>
        <v>8.504639359322104E-2</v>
      </c>
      <c r="AX220" s="297">
        <f t="shared" si="1354"/>
        <v>7.8079644612060226E-2</v>
      </c>
      <c r="AY220" s="297">
        <f t="shared" si="1354"/>
        <v>7.3465814264675078E-2</v>
      </c>
      <c r="AZ220" s="297">
        <f t="shared" si="1354"/>
        <v>6.0083713782684511E-2</v>
      </c>
      <c r="BA220" s="297">
        <f t="shared" si="1354"/>
        <v>9.2161766548060381E-2</v>
      </c>
      <c r="BB220" s="297">
        <f t="shared" si="1354"/>
        <v>6.2176138923559665E-2</v>
      </c>
      <c r="BC220" s="297">
        <f t="shared" si="1354"/>
        <v>6.1462490867298485E-2</v>
      </c>
      <c r="BD220" s="297">
        <f t="shared" ref="BD220:BI220" si="1355">BD219</f>
        <v>5.4015212542675758E-2</v>
      </c>
      <c r="BE220" s="297">
        <f t="shared" si="1355"/>
        <v>5.2246160364545227E-2</v>
      </c>
      <c r="BF220" s="297">
        <f t="shared" si="1355"/>
        <v>5.0808045694561869E-2</v>
      </c>
      <c r="BG220" s="297">
        <f t="shared" si="1355"/>
        <v>6.1991476580968458E-2</v>
      </c>
      <c r="BH220" s="297">
        <f t="shared" ref="BH220" si="1356">BH219</f>
        <v>5.3797760592798026E-2</v>
      </c>
      <c r="BI220" s="297">
        <f t="shared" si="1355"/>
        <v>4.182885002516297E-2</v>
      </c>
      <c r="BJ220" s="297">
        <f t="shared" ref="BJ220:BK220" si="1357">BJ219</f>
        <v>5.4544876213739928E-2</v>
      </c>
      <c r="BK220" s="1819">
        <f t="shared" si="1357"/>
        <v>5.4395022842217811E-2</v>
      </c>
      <c r="BL220" s="45">
        <f t="shared" ref="BL220:BP220" si="1358">BL221+$CY220</f>
        <v>4.9000000000000002E-2</v>
      </c>
      <c r="BM220" s="45">
        <f t="shared" si="1358"/>
        <v>4.8000000000000001E-2</v>
      </c>
      <c r="BN220" s="45">
        <f t="shared" si="1358"/>
        <v>5.2544876213739926E-2</v>
      </c>
      <c r="BO220" s="45">
        <f t="shared" si="1358"/>
        <v>5.2395022842217809E-2</v>
      </c>
      <c r="BP220" s="45">
        <f t="shared" si="1358"/>
        <v>4.8000000000000001E-2</v>
      </c>
      <c r="BQ220" s="45">
        <f t="shared" ref="BQ220:BY220" si="1359">BQ221+$CY220</f>
        <v>4.7E-2</v>
      </c>
      <c r="BR220" s="45">
        <f t="shared" si="1359"/>
        <v>5.1544876213739925E-2</v>
      </c>
      <c r="BS220" s="45">
        <f t="shared" si="1359"/>
        <v>5.1395022842217808E-2</v>
      </c>
      <c r="BT220" s="45">
        <f t="shared" si="1359"/>
        <v>4.7E-2</v>
      </c>
      <c r="BU220" s="45">
        <f t="shared" si="1359"/>
        <v>4.5999999999999999E-2</v>
      </c>
      <c r="BV220" s="45">
        <f t="shared" si="1359"/>
        <v>5.0544876213739924E-2</v>
      </c>
      <c r="BW220" s="45">
        <f t="shared" si="1359"/>
        <v>5.0395022842217807E-2</v>
      </c>
      <c r="BX220" s="45">
        <f t="shared" si="1359"/>
        <v>4.5999999999999999E-2</v>
      </c>
      <c r="BY220" s="45">
        <f t="shared" si="1359"/>
        <v>4.4999999999999998E-2</v>
      </c>
      <c r="BZ220" s="45">
        <f t="shared" ref="BZ220:CU220" si="1360">BZ221+$CZ220</f>
        <v>4.6544876213739927E-2</v>
      </c>
      <c r="CA220" s="45">
        <f t="shared" si="1360"/>
        <v>4.639502284221781E-2</v>
      </c>
      <c r="CB220" s="45">
        <f t="shared" si="1360"/>
        <v>4.2000000000000003E-2</v>
      </c>
      <c r="CC220" s="45">
        <f t="shared" si="1360"/>
        <v>4.1000000000000002E-2</v>
      </c>
      <c r="CD220" s="45">
        <f t="shared" si="1360"/>
        <v>4.6544876213739927E-2</v>
      </c>
      <c r="CE220" s="45">
        <f t="shared" si="1360"/>
        <v>4.639502284221781E-2</v>
      </c>
      <c r="CF220" s="45">
        <f t="shared" si="1360"/>
        <v>4.2000000000000003E-2</v>
      </c>
      <c r="CG220" s="45">
        <f t="shared" si="1360"/>
        <v>4.1000000000000002E-2</v>
      </c>
      <c r="CH220" s="45">
        <f t="shared" si="1360"/>
        <v>4.6544876213739927E-2</v>
      </c>
      <c r="CI220" s="45">
        <f t="shared" si="1360"/>
        <v>4.639502284221781E-2</v>
      </c>
      <c r="CJ220" s="45">
        <f t="shared" si="1360"/>
        <v>4.2000000000000003E-2</v>
      </c>
      <c r="CK220" s="45">
        <f t="shared" si="1360"/>
        <v>4.1000000000000002E-2</v>
      </c>
      <c r="CL220" s="45">
        <f t="shared" si="1360"/>
        <v>4.6544876213739927E-2</v>
      </c>
      <c r="CM220" s="45">
        <f t="shared" si="1360"/>
        <v>4.639502284221781E-2</v>
      </c>
      <c r="CN220" s="45">
        <f t="shared" si="1360"/>
        <v>4.2000000000000003E-2</v>
      </c>
      <c r="CO220" s="45">
        <f t="shared" si="1360"/>
        <v>4.1000000000000002E-2</v>
      </c>
      <c r="CP220" s="45">
        <f t="shared" si="1360"/>
        <v>4.6544876213739927E-2</v>
      </c>
      <c r="CQ220" s="45">
        <f t="shared" si="1360"/>
        <v>4.639502284221781E-2</v>
      </c>
      <c r="CR220" s="45">
        <f t="shared" si="1360"/>
        <v>4.2000000000000003E-2</v>
      </c>
      <c r="CS220" s="45">
        <f t="shared" si="1360"/>
        <v>4.1000000000000002E-2</v>
      </c>
      <c r="CT220" s="45">
        <f t="shared" si="1360"/>
        <v>4.6544876213739927E-2</v>
      </c>
      <c r="CU220" s="45">
        <f t="shared" si="1360"/>
        <v>4.639502284221781E-2</v>
      </c>
      <c r="CV220" s="45">
        <f t="shared" ref="CV220:CW220" si="1361">CV221+$CZ220</f>
        <v>4.2000000000000003E-2</v>
      </c>
      <c r="CW220" s="45">
        <f t="shared" si="1361"/>
        <v>4.1000000000000002E-2</v>
      </c>
      <c r="CX220" s="269"/>
      <c r="CY220" s="559">
        <v>-1E-3</v>
      </c>
      <c r="CZ220" s="559">
        <v>-5.0000000000000001E-3</v>
      </c>
    </row>
    <row r="221" spans="1:104">
      <c r="A221" s="42" t="s">
        <v>200</v>
      </c>
      <c r="B221" s="297"/>
      <c r="C221" s="297"/>
      <c r="D221" s="297"/>
      <c r="E221" s="297"/>
      <c r="F221" s="297"/>
      <c r="G221" s="297"/>
      <c r="H221" s="297"/>
      <c r="I221" s="297"/>
      <c r="J221" s="297"/>
      <c r="K221" s="297"/>
      <c r="L221" s="297"/>
      <c r="M221" s="297"/>
      <c r="N221" s="297"/>
      <c r="O221" s="297"/>
      <c r="P221" s="297"/>
      <c r="Q221" s="297"/>
      <c r="R221" s="297"/>
      <c r="S221" s="297"/>
      <c r="T221" s="297"/>
      <c r="U221" s="297">
        <f t="shared" ref="U221:AA221" si="1362">U219</f>
        <v>6.7487487392174556E-2</v>
      </c>
      <c r="V221" s="297">
        <f t="shared" si="1362"/>
        <v>8.4479949579612967E-2</v>
      </c>
      <c r="W221" s="297">
        <f t="shared" si="1362"/>
        <v>8.8921585924080115E-2</v>
      </c>
      <c r="X221" s="297">
        <f t="shared" si="1362"/>
        <v>9.2133984430702198E-2</v>
      </c>
      <c r="Y221" s="297">
        <f t="shared" si="1362"/>
        <v>0.11003734527194388</v>
      </c>
      <c r="Z221" s="297">
        <f t="shared" si="1362"/>
        <v>7.7171560710075235E-2</v>
      </c>
      <c r="AA221" s="297">
        <f t="shared" si="1362"/>
        <v>7.6437056602587372E-2</v>
      </c>
      <c r="AB221" s="297">
        <f t="shared" ref="AB221:AM221" si="1363">AB219</f>
        <v>7.587750751607357E-2</v>
      </c>
      <c r="AC221" s="297">
        <f t="shared" si="1363"/>
        <v>7.7268748019887951E-2</v>
      </c>
      <c r="AD221" s="297">
        <f t="shared" si="1363"/>
        <v>7.883502289460978E-2</v>
      </c>
      <c r="AE221" s="297">
        <f t="shared" si="1363"/>
        <v>7.2471134737503606E-2</v>
      </c>
      <c r="AF221" s="297">
        <f t="shared" si="1363"/>
        <v>7.3138738827309022E-2</v>
      </c>
      <c r="AG221" s="297">
        <f t="shared" si="1363"/>
        <v>7.1874950890775821E-2</v>
      </c>
      <c r="AH221" s="297">
        <f t="shared" si="1363"/>
        <v>7.2017905053283218E-2</v>
      </c>
      <c r="AI221" s="297">
        <f t="shared" si="1363"/>
        <v>7.4004174044649998E-2</v>
      </c>
      <c r="AJ221" s="297">
        <f t="shared" si="1363"/>
        <v>6.4354770254065025E-2</v>
      </c>
      <c r="AK221" s="297">
        <f t="shared" si="1363"/>
        <v>7.5084770100594611E-2</v>
      </c>
      <c r="AL221" s="297">
        <f t="shared" si="1363"/>
        <v>6.9321783252774299E-2</v>
      </c>
      <c r="AM221" s="297">
        <f t="shared" si="1363"/>
        <v>6.6320380507435078E-2</v>
      </c>
      <c r="AN221" s="297">
        <f t="shared" ref="AN221:AS221" si="1364">AN219</f>
        <v>6.0047579882054176E-2</v>
      </c>
      <c r="AO221" s="297">
        <f t="shared" si="1364"/>
        <v>4.9647611285941348E-2</v>
      </c>
      <c r="AP221" s="1394">
        <f t="shared" si="1364"/>
        <v>6.4720156650685867E-2</v>
      </c>
      <c r="AQ221" s="1395">
        <f t="shared" si="1364"/>
        <v>6.9752849294919553E-2</v>
      </c>
      <c r="AR221" s="1395">
        <f t="shared" si="1364"/>
        <v>5.4903568869998129E-2</v>
      </c>
      <c r="AS221" s="1395">
        <f t="shared" si="1364"/>
        <v>5.5035416429951932E-2</v>
      </c>
      <c r="AT221" s="1395">
        <f t="shared" ref="AT221:BC221" si="1365">AT219</f>
        <v>4.2987619257684212E-2</v>
      </c>
      <c r="AU221" s="1395">
        <f t="shared" si="1365"/>
        <v>0.13727079865103878</v>
      </c>
      <c r="AV221" s="1395">
        <f t="shared" si="1365"/>
        <v>7.2721205701409566E-2</v>
      </c>
      <c r="AW221" s="1395">
        <f t="shared" si="1365"/>
        <v>8.504639359322104E-2</v>
      </c>
      <c r="AX221" s="1395">
        <f t="shared" si="1365"/>
        <v>7.8079644612060226E-2</v>
      </c>
      <c r="AY221" s="1395">
        <f t="shared" si="1365"/>
        <v>7.3465814264675078E-2</v>
      </c>
      <c r="AZ221" s="1395">
        <f t="shared" si="1365"/>
        <v>6.0083713782684511E-2</v>
      </c>
      <c r="BA221" s="1395">
        <f t="shared" si="1365"/>
        <v>9.2161766548060381E-2</v>
      </c>
      <c r="BB221" s="1395">
        <f t="shared" si="1365"/>
        <v>6.2176138923559665E-2</v>
      </c>
      <c r="BC221" s="1395">
        <f t="shared" si="1365"/>
        <v>6.1462490867298485E-2</v>
      </c>
      <c r="BD221" s="1395">
        <f t="shared" ref="BD221:BI221" si="1366">BD219</f>
        <v>5.4015212542675758E-2</v>
      </c>
      <c r="BE221" s="1395">
        <f t="shared" si="1366"/>
        <v>5.2246160364545227E-2</v>
      </c>
      <c r="BF221" s="1395">
        <f t="shared" si="1366"/>
        <v>5.0808045694561869E-2</v>
      </c>
      <c r="BG221" s="1395">
        <f t="shared" si="1366"/>
        <v>6.1991476580968458E-2</v>
      </c>
      <c r="BH221" s="1395">
        <f t="shared" ref="BH221" si="1367">BH219</f>
        <v>5.3797760592798026E-2</v>
      </c>
      <c r="BI221" s="1395">
        <f t="shared" si="1366"/>
        <v>4.182885002516297E-2</v>
      </c>
      <c r="BJ221" s="1395">
        <f t="shared" ref="BJ221:BK221" si="1368">BJ219</f>
        <v>5.4544876213739928E-2</v>
      </c>
      <c r="BK221" s="1863">
        <f t="shared" si="1368"/>
        <v>5.4395022842217811E-2</v>
      </c>
      <c r="BL221" s="559">
        <v>0.05</v>
      </c>
      <c r="BM221" s="559">
        <v>4.9000000000000002E-2</v>
      </c>
      <c r="BN221" s="1961">
        <f>BJ221+$CY$221</f>
        <v>5.3544876213739927E-2</v>
      </c>
      <c r="BO221" s="559">
        <f t="shared" ref="BO221:BV221" si="1369">BK221+$CY221</f>
        <v>5.339502284221781E-2</v>
      </c>
      <c r="BP221" s="559">
        <f t="shared" si="1369"/>
        <v>4.9000000000000002E-2</v>
      </c>
      <c r="BQ221" s="559">
        <f t="shared" si="1369"/>
        <v>4.8000000000000001E-2</v>
      </c>
      <c r="BR221" s="559">
        <f t="shared" si="1369"/>
        <v>5.2544876213739926E-2</v>
      </c>
      <c r="BS221" s="559">
        <f t="shared" si="1369"/>
        <v>5.2395022842217809E-2</v>
      </c>
      <c r="BT221" s="559">
        <f t="shared" si="1369"/>
        <v>4.8000000000000001E-2</v>
      </c>
      <c r="BU221" s="559">
        <f t="shared" si="1369"/>
        <v>4.7E-2</v>
      </c>
      <c r="BV221" s="559">
        <f t="shared" si="1369"/>
        <v>5.1544876213739925E-2</v>
      </c>
      <c r="BW221" s="559">
        <f>BS221+$CY221</f>
        <v>5.1395022842217808E-2</v>
      </c>
      <c r="BX221" s="559">
        <f t="shared" ref="BX221:BY221" si="1370">BT221+$CY221</f>
        <v>4.7E-2</v>
      </c>
      <c r="BY221" s="559">
        <f t="shared" si="1370"/>
        <v>4.5999999999999999E-2</v>
      </c>
      <c r="BZ221" s="1960">
        <f>BV221+$CZ221</f>
        <v>5.1544876213739925E-2</v>
      </c>
      <c r="CA221" s="559">
        <f t="shared" ref="CA221:CW221" si="1371">BW221+$CZ221</f>
        <v>5.1395022842217808E-2</v>
      </c>
      <c r="CB221" s="559">
        <f t="shared" si="1371"/>
        <v>4.7E-2</v>
      </c>
      <c r="CC221" s="559">
        <f t="shared" si="1371"/>
        <v>4.5999999999999999E-2</v>
      </c>
      <c r="CD221" s="559">
        <f t="shared" si="1371"/>
        <v>5.1544876213739925E-2</v>
      </c>
      <c r="CE221" s="559">
        <f t="shared" si="1371"/>
        <v>5.1395022842217808E-2</v>
      </c>
      <c r="CF221" s="559">
        <f t="shared" si="1371"/>
        <v>4.7E-2</v>
      </c>
      <c r="CG221" s="559">
        <f t="shared" si="1371"/>
        <v>4.5999999999999999E-2</v>
      </c>
      <c r="CH221" s="559">
        <f t="shared" si="1371"/>
        <v>5.1544876213739925E-2</v>
      </c>
      <c r="CI221" s="559">
        <f t="shared" si="1371"/>
        <v>5.1395022842217808E-2</v>
      </c>
      <c r="CJ221" s="559">
        <f t="shared" si="1371"/>
        <v>4.7E-2</v>
      </c>
      <c r="CK221" s="559">
        <f t="shared" si="1371"/>
        <v>4.5999999999999999E-2</v>
      </c>
      <c r="CL221" s="559">
        <f t="shared" si="1371"/>
        <v>5.1544876213739925E-2</v>
      </c>
      <c r="CM221" s="559">
        <f t="shared" si="1371"/>
        <v>5.1395022842217808E-2</v>
      </c>
      <c r="CN221" s="559">
        <f t="shared" si="1371"/>
        <v>4.7E-2</v>
      </c>
      <c r="CO221" s="559">
        <f t="shared" si="1371"/>
        <v>4.5999999999999999E-2</v>
      </c>
      <c r="CP221" s="559">
        <f t="shared" si="1371"/>
        <v>5.1544876213739925E-2</v>
      </c>
      <c r="CQ221" s="559">
        <f t="shared" si="1371"/>
        <v>5.1395022842217808E-2</v>
      </c>
      <c r="CR221" s="559">
        <f t="shared" si="1371"/>
        <v>4.7E-2</v>
      </c>
      <c r="CS221" s="559">
        <f t="shared" si="1371"/>
        <v>4.5999999999999999E-2</v>
      </c>
      <c r="CT221" s="559">
        <f t="shared" si="1371"/>
        <v>5.1544876213739925E-2</v>
      </c>
      <c r="CU221" s="559">
        <f t="shared" si="1371"/>
        <v>5.1395022842217808E-2</v>
      </c>
      <c r="CV221" s="559">
        <f t="shared" si="1371"/>
        <v>4.7E-2</v>
      </c>
      <c r="CW221" s="559">
        <f t="shared" si="1371"/>
        <v>4.5999999999999999E-2</v>
      </c>
      <c r="CX221" s="269"/>
      <c r="CY221" s="1449">
        <v>-1E-3</v>
      </c>
      <c r="CZ221" s="1449">
        <v>0</v>
      </c>
    </row>
    <row r="222" spans="1:104">
      <c r="A222" s="42" t="s">
        <v>202</v>
      </c>
      <c r="B222" s="297"/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>
        <f t="shared" ref="U222:AA222" si="1372">U219</f>
        <v>6.7487487392174556E-2</v>
      </c>
      <c r="V222" s="297">
        <f t="shared" si="1372"/>
        <v>8.4479949579612967E-2</v>
      </c>
      <c r="W222" s="297">
        <f t="shared" si="1372"/>
        <v>8.8921585924080115E-2</v>
      </c>
      <c r="X222" s="297">
        <f t="shared" si="1372"/>
        <v>9.2133984430702198E-2</v>
      </c>
      <c r="Y222" s="297">
        <f t="shared" si="1372"/>
        <v>0.11003734527194388</v>
      </c>
      <c r="Z222" s="297">
        <f t="shared" si="1372"/>
        <v>7.7171560710075235E-2</v>
      </c>
      <c r="AA222" s="297">
        <f t="shared" si="1372"/>
        <v>7.6437056602587372E-2</v>
      </c>
      <c r="AB222" s="297">
        <f t="shared" ref="AB222:AM222" si="1373">AB219</f>
        <v>7.587750751607357E-2</v>
      </c>
      <c r="AC222" s="297">
        <f t="shared" si="1373"/>
        <v>7.7268748019887951E-2</v>
      </c>
      <c r="AD222" s="297">
        <f t="shared" si="1373"/>
        <v>7.883502289460978E-2</v>
      </c>
      <c r="AE222" s="297">
        <f t="shared" si="1373"/>
        <v>7.2471134737503606E-2</v>
      </c>
      <c r="AF222" s="297">
        <f t="shared" si="1373"/>
        <v>7.3138738827309022E-2</v>
      </c>
      <c r="AG222" s="297">
        <f t="shared" si="1373"/>
        <v>7.1874950890775821E-2</v>
      </c>
      <c r="AH222" s="297">
        <f t="shared" si="1373"/>
        <v>7.2017905053283218E-2</v>
      </c>
      <c r="AI222" s="297">
        <f t="shared" si="1373"/>
        <v>7.4004174044649998E-2</v>
      </c>
      <c r="AJ222" s="297">
        <f t="shared" si="1373"/>
        <v>6.4354770254065025E-2</v>
      </c>
      <c r="AK222" s="297">
        <f t="shared" si="1373"/>
        <v>7.5084770100594611E-2</v>
      </c>
      <c r="AL222" s="297">
        <f t="shared" si="1373"/>
        <v>6.9321783252774299E-2</v>
      </c>
      <c r="AM222" s="297">
        <f t="shared" si="1373"/>
        <v>6.6320380507435078E-2</v>
      </c>
      <c r="AN222" s="297">
        <f t="shared" ref="AN222:AS222" si="1374">AN219</f>
        <v>6.0047579882054176E-2</v>
      </c>
      <c r="AO222" s="297">
        <f t="shared" si="1374"/>
        <v>4.9647611285941348E-2</v>
      </c>
      <c r="AP222" s="297">
        <f t="shared" si="1374"/>
        <v>6.4720156650685867E-2</v>
      </c>
      <c r="AQ222" s="297">
        <f t="shared" si="1374"/>
        <v>6.9752849294919553E-2</v>
      </c>
      <c r="AR222" s="297">
        <f t="shared" si="1374"/>
        <v>5.4903568869998129E-2</v>
      </c>
      <c r="AS222" s="297">
        <f t="shared" si="1374"/>
        <v>5.5035416429951932E-2</v>
      </c>
      <c r="AT222" s="297">
        <f t="shared" ref="AT222:BC222" si="1375">AT219</f>
        <v>4.2987619257684212E-2</v>
      </c>
      <c r="AU222" s="297">
        <f t="shared" si="1375"/>
        <v>0.13727079865103878</v>
      </c>
      <c r="AV222" s="297">
        <f t="shared" si="1375"/>
        <v>7.2721205701409566E-2</v>
      </c>
      <c r="AW222" s="297">
        <f t="shared" si="1375"/>
        <v>8.504639359322104E-2</v>
      </c>
      <c r="AX222" s="297">
        <f t="shared" si="1375"/>
        <v>7.8079644612060226E-2</v>
      </c>
      <c r="AY222" s="297">
        <f t="shared" si="1375"/>
        <v>7.3465814264675078E-2</v>
      </c>
      <c r="AZ222" s="297">
        <f t="shared" si="1375"/>
        <v>6.0083713782684511E-2</v>
      </c>
      <c r="BA222" s="297">
        <f t="shared" si="1375"/>
        <v>9.2161766548060381E-2</v>
      </c>
      <c r="BB222" s="297">
        <f t="shared" si="1375"/>
        <v>6.2176138923559665E-2</v>
      </c>
      <c r="BC222" s="297">
        <f t="shared" si="1375"/>
        <v>6.1462490867298485E-2</v>
      </c>
      <c r="BD222" s="297">
        <f t="shared" ref="BD222:BI222" si="1376">BD219</f>
        <v>5.4015212542675758E-2</v>
      </c>
      <c r="BE222" s="297">
        <f t="shared" si="1376"/>
        <v>5.2246160364545227E-2</v>
      </c>
      <c r="BF222" s="297">
        <f t="shared" si="1376"/>
        <v>5.0808045694561869E-2</v>
      </c>
      <c r="BG222" s="297">
        <f t="shared" si="1376"/>
        <v>6.1991476580968458E-2</v>
      </c>
      <c r="BH222" s="297">
        <f t="shared" ref="BH222" si="1377">BH219</f>
        <v>5.3797760592798026E-2</v>
      </c>
      <c r="BI222" s="297">
        <f t="shared" si="1376"/>
        <v>4.182885002516297E-2</v>
      </c>
      <c r="BJ222" s="297">
        <f t="shared" ref="BJ222:BK222" si="1378">BJ219</f>
        <v>5.4544876213739928E-2</v>
      </c>
      <c r="BK222" s="1819">
        <f t="shared" si="1378"/>
        <v>5.4395022842217811E-2</v>
      </c>
      <c r="BL222" s="45">
        <f t="shared" ref="BL222:BP222" si="1379">BL221+$CY222</f>
        <v>5.2000000000000005E-2</v>
      </c>
      <c r="BM222" s="45">
        <f t="shared" si="1379"/>
        <v>5.1000000000000004E-2</v>
      </c>
      <c r="BN222" s="45">
        <f t="shared" si="1379"/>
        <v>5.5544876213739929E-2</v>
      </c>
      <c r="BO222" s="45">
        <f t="shared" si="1379"/>
        <v>5.5395022842217811E-2</v>
      </c>
      <c r="BP222" s="45">
        <f t="shared" si="1379"/>
        <v>5.1000000000000004E-2</v>
      </c>
      <c r="BQ222" s="45">
        <f t="shared" ref="BQ222:BY222" si="1380">BQ221+$CY222</f>
        <v>0.05</v>
      </c>
      <c r="BR222" s="45">
        <f t="shared" si="1380"/>
        <v>5.4544876213739928E-2</v>
      </c>
      <c r="BS222" s="45">
        <f t="shared" si="1380"/>
        <v>5.4395022842217811E-2</v>
      </c>
      <c r="BT222" s="45">
        <f t="shared" si="1380"/>
        <v>0.05</v>
      </c>
      <c r="BU222" s="45">
        <f t="shared" si="1380"/>
        <v>4.9000000000000002E-2</v>
      </c>
      <c r="BV222" s="45">
        <f t="shared" si="1380"/>
        <v>5.3544876213739927E-2</v>
      </c>
      <c r="BW222" s="45">
        <f t="shared" si="1380"/>
        <v>5.339502284221781E-2</v>
      </c>
      <c r="BX222" s="45">
        <f t="shared" si="1380"/>
        <v>4.9000000000000002E-2</v>
      </c>
      <c r="BY222" s="45">
        <f t="shared" si="1380"/>
        <v>4.8000000000000001E-2</v>
      </c>
      <c r="BZ222" s="45">
        <f t="shared" ref="BZ222:CU222" si="1381">BZ221+$CZ222</f>
        <v>5.4544876213739928E-2</v>
      </c>
      <c r="CA222" s="45">
        <f t="shared" si="1381"/>
        <v>5.4395022842217811E-2</v>
      </c>
      <c r="CB222" s="45">
        <f t="shared" si="1381"/>
        <v>0.05</v>
      </c>
      <c r="CC222" s="45">
        <f t="shared" si="1381"/>
        <v>4.9000000000000002E-2</v>
      </c>
      <c r="CD222" s="45">
        <f t="shared" si="1381"/>
        <v>5.4544876213739928E-2</v>
      </c>
      <c r="CE222" s="45">
        <f t="shared" si="1381"/>
        <v>5.4395022842217811E-2</v>
      </c>
      <c r="CF222" s="45">
        <f t="shared" si="1381"/>
        <v>0.05</v>
      </c>
      <c r="CG222" s="45">
        <f t="shared" si="1381"/>
        <v>4.9000000000000002E-2</v>
      </c>
      <c r="CH222" s="45">
        <f t="shared" si="1381"/>
        <v>5.4544876213739928E-2</v>
      </c>
      <c r="CI222" s="45">
        <f t="shared" si="1381"/>
        <v>5.4395022842217811E-2</v>
      </c>
      <c r="CJ222" s="45">
        <f t="shared" si="1381"/>
        <v>0.05</v>
      </c>
      <c r="CK222" s="45">
        <f t="shared" si="1381"/>
        <v>4.9000000000000002E-2</v>
      </c>
      <c r="CL222" s="45">
        <f t="shared" si="1381"/>
        <v>5.4544876213739928E-2</v>
      </c>
      <c r="CM222" s="45">
        <f t="shared" si="1381"/>
        <v>5.4395022842217811E-2</v>
      </c>
      <c r="CN222" s="45">
        <f t="shared" si="1381"/>
        <v>0.05</v>
      </c>
      <c r="CO222" s="45">
        <f t="shared" si="1381"/>
        <v>4.9000000000000002E-2</v>
      </c>
      <c r="CP222" s="45">
        <f t="shared" si="1381"/>
        <v>5.4544876213739928E-2</v>
      </c>
      <c r="CQ222" s="45">
        <f t="shared" si="1381"/>
        <v>5.4395022842217811E-2</v>
      </c>
      <c r="CR222" s="45">
        <f t="shared" si="1381"/>
        <v>0.05</v>
      </c>
      <c r="CS222" s="45">
        <f t="shared" si="1381"/>
        <v>4.9000000000000002E-2</v>
      </c>
      <c r="CT222" s="45">
        <f t="shared" si="1381"/>
        <v>5.4544876213739928E-2</v>
      </c>
      <c r="CU222" s="45">
        <f t="shared" si="1381"/>
        <v>5.4395022842217811E-2</v>
      </c>
      <c r="CV222" s="45">
        <f t="shared" ref="CV222:CW222" si="1382">CV221+$CZ222</f>
        <v>0.05</v>
      </c>
      <c r="CW222" s="45">
        <f t="shared" si="1382"/>
        <v>4.9000000000000002E-2</v>
      </c>
      <c r="CX222" s="269"/>
      <c r="CY222" s="559">
        <v>2E-3</v>
      </c>
      <c r="CZ222" s="559">
        <v>3.0000000000000001E-3</v>
      </c>
    </row>
    <row r="223" spans="1:104">
      <c r="A223" s="93"/>
      <c r="B223" s="397"/>
      <c r="C223" s="397"/>
      <c r="D223" s="397"/>
      <c r="E223" s="397"/>
      <c r="F223" s="397"/>
      <c r="G223" s="397"/>
      <c r="H223" s="397"/>
      <c r="I223" s="397"/>
      <c r="J223" s="397"/>
      <c r="K223" s="397"/>
      <c r="L223" s="397"/>
      <c r="M223" s="397"/>
      <c r="N223" s="397"/>
      <c r="O223" s="397"/>
      <c r="P223" s="397"/>
      <c r="Q223" s="397"/>
      <c r="R223" s="397"/>
      <c r="S223" s="397"/>
      <c r="T223" s="397"/>
      <c r="U223" s="397"/>
      <c r="V223" s="397"/>
      <c r="W223" s="397"/>
      <c r="X223" s="397"/>
      <c r="Y223" s="397"/>
      <c r="Z223" s="397"/>
      <c r="AA223" s="397"/>
      <c r="AB223" s="397"/>
      <c r="AC223" s="397"/>
      <c r="AD223" s="397"/>
      <c r="AE223" s="397"/>
      <c r="AF223" s="397"/>
      <c r="AG223" s="397"/>
      <c r="AH223" s="397"/>
      <c r="AI223" s="397"/>
      <c r="AJ223" s="397"/>
      <c r="AK223" s="397"/>
      <c r="AL223" s="397"/>
      <c r="AM223" s="269"/>
      <c r="AN223" s="269"/>
      <c r="AO223" s="398"/>
      <c r="AP223" s="398"/>
      <c r="AQ223" s="398"/>
      <c r="AR223" s="398"/>
      <c r="AS223" s="398"/>
      <c r="AT223" s="398"/>
      <c r="AU223" s="398"/>
      <c r="AV223" s="398"/>
      <c r="AW223" s="398"/>
      <c r="AX223" s="398"/>
      <c r="AY223" s="398"/>
      <c r="AZ223" s="398"/>
      <c r="BA223" s="398"/>
      <c r="BB223" s="398"/>
      <c r="BC223" s="398"/>
      <c r="BD223" s="398"/>
      <c r="BE223" s="398"/>
      <c r="BF223" s="398"/>
      <c r="BG223" s="398"/>
      <c r="BH223" s="398"/>
      <c r="BI223" s="398"/>
      <c r="BJ223" s="398"/>
      <c r="BK223" s="1862"/>
      <c r="BL223" s="398"/>
      <c r="BM223" s="398"/>
      <c r="BN223" s="398"/>
      <c r="BO223" s="398"/>
      <c r="BP223" s="398"/>
      <c r="BQ223" s="398"/>
      <c r="BR223" s="398"/>
      <c r="BS223" s="398"/>
      <c r="BT223" s="398"/>
      <c r="BU223" s="398"/>
      <c r="BV223" s="398"/>
      <c r="BW223" s="398"/>
      <c r="BX223" s="398"/>
      <c r="BY223" s="398"/>
      <c r="BZ223" s="398"/>
      <c r="CA223" s="398"/>
      <c r="CB223" s="398"/>
      <c r="CC223" s="398"/>
      <c r="CD223" s="398"/>
      <c r="CE223" s="398"/>
      <c r="CF223" s="398"/>
      <c r="CG223" s="398"/>
      <c r="CH223" s="398"/>
      <c r="CI223" s="398"/>
      <c r="CJ223" s="398"/>
      <c r="CK223" s="398"/>
      <c r="CL223" s="398"/>
      <c r="CM223" s="398"/>
      <c r="CN223" s="398"/>
      <c r="CO223" s="398"/>
      <c r="CP223" s="398"/>
      <c r="CQ223" s="398"/>
      <c r="CR223" s="398"/>
      <c r="CS223" s="398"/>
      <c r="CT223" s="398"/>
      <c r="CU223" s="398"/>
      <c r="CV223" s="398"/>
      <c r="CW223" s="398"/>
      <c r="CX223" s="269"/>
      <c r="CY223" s="269"/>
      <c r="CZ223" s="269"/>
    </row>
    <row r="224" spans="1:104">
      <c r="A224" s="1643" t="s">
        <v>1443</v>
      </c>
      <c r="B224" s="1644"/>
      <c r="C224" s="1644"/>
      <c r="D224" s="1644"/>
      <c r="E224" s="1644"/>
      <c r="F224" s="1644"/>
      <c r="G224" s="1644"/>
      <c r="H224" s="1644"/>
      <c r="I224" s="1644"/>
      <c r="J224" s="1644"/>
      <c r="K224" s="1644"/>
      <c r="L224" s="1644"/>
      <c r="M224" s="1644"/>
      <c r="N224" s="1644"/>
      <c r="O224" s="1644"/>
      <c r="P224" s="1644"/>
      <c r="Q224" s="1644"/>
      <c r="R224" s="1644"/>
      <c r="S224" s="1644"/>
      <c r="T224" s="1644"/>
      <c r="U224" s="1644"/>
      <c r="V224" s="1644"/>
      <c r="W224" s="1644"/>
      <c r="X224" s="1644"/>
      <c r="Y224" s="1644"/>
      <c r="Z224" s="1644"/>
      <c r="AA224" s="1644"/>
      <c r="AB224" s="1644"/>
      <c r="AC224" s="1644"/>
      <c r="AD224" s="1644"/>
      <c r="AE224" s="1644"/>
      <c r="AF224" s="1644"/>
      <c r="AG224" s="1644"/>
      <c r="AH224" s="1644"/>
      <c r="AI224" s="1644"/>
      <c r="AJ224" s="1644"/>
      <c r="AK224" s="1644"/>
      <c r="AL224" s="1644"/>
      <c r="AM224" s="1645"/>
      <c r="AN224" s="1644"/>
      <c r="AO224" s="1644"/>
      <c r="AP224" s="1644">
        <f>+Q_IS!AP300</f>
        <v>8.7939977450201559E-2</v>
      </c>
      <c r="AQ224" s="1644">
        <f>+Q_IS!AQ300</f>
        <v>8.4121798806175652E-2</v>
      </c>
      <c r="AR224" s="1644">
        <f>+Q_IS!AR300</f>
        <v>0.1069554067055119</v>
      </c>
      <c r="AS224" s="1644">
        <f>+Q_IS!AS300</f>
        <v>6.2954731947261477E-2</v>
      </c>
      <c r="AT224" s="1644">
        <f>+Q_IS!AT300</f>
        <v>0.10478402060620781</v>
      </c>
      <c r="AU224" s="1644">
        <f>+Q_IS!AU300</f>
        <v>0.16324305563705407</v>
      </c>
      <c r="AV224" s="1644">
        <f>+Q_IS!AV300</f>
        <v>0.17089474244804567</v>
      </c>
      <c r="AW224" s="1644">
        <f>+Q_IS!AW300</f>
        <v>0.14870991801918981</v>
      </c>
      <c r="AX224" s="1644">
        <f>+Q_IS!AX300</f>
        <v>0.13259821025148177</v>
      </c>
      <c r="AY224" s="1644">
        <f>+Q_IS!AY300</f>
        <v>0.10560921181454293</v>
      </c>
      <c r="AZ224" s="1644">
        <f>+Q_IS!AZ300</f>
        <v>9.2271931882700414E-2</v>
      </c>
      <c r="BA224" s="1644">
        <f>+Q_IS!BA300</f>
        <v>0.10848869527050738</v>
      </c>
      <c r="BB224" s="1644">
        <f>+Q_IS!BB300</f>
        <v>0.10477389506935599</v>
      </c>
      <c r="BC224" s="1644">
        <f>+Q_IS!BC300</f>
        <v>8.2979182871751128E-2</v>
      </c>
      <c r="BD224" s="1644">
        <f>+Q_IS!BD300</f>
        <v>7.6665801279767951E-2</v>
      </c>
      <c r="BE224" s="1644">
        <f>+Q_IS!BE300</f>
        <v>4.6022193451231257E-2</v>
      </c>
      <c r="BF224" s="1644">
        <f>+Q_IS!BF300</f>
        <v>7.8115621805417021E-2</v>
      </c>
      <c r="BG224" s="1644">
        <f>+Q_IS!BG300</f>
        <v>6.6766887962013716E-2</v>
      </c>
      <c r="BH224" s="1644">
        <f>+Q_IS!BH300</f>
        <v>6.2928948954939543E-2</v>
      </c>
      <c r="BI224" s="1644">
        <f>+Q_IS!BI300</f>
        <v>6.4299585048523844E-2</v>
      </c>
      <c r="BJ224" s="1644">
        <f>+Q_IS!BJ300</f>
        <v>6.2963073649874621E-2</v>
      </c>
      <c r="BK224" s="1864">
        <f>+Q_IS!BK300</f>
        <v>6.4686005394919435E-2</v>
      </c>
      <c r="BL224" s="1644">
        <f>+Q_IS!BL300</f>
        <v>5.7660647616990648E-2</v>
      </c>
      <c r="BM224" s="1644">
        <f>+Q_IS!BM300</f>
        <v>5.4249752984284486E-2</v>
      </c>
      <c r="BN224" s="1644">
        <f>+Q_IS!BN300</f>
        <v>5.6777022740324694E-2</v>
      </c>
      <c r="BO224" s="1644">
        <f>+Q_IS!BO300</f>
        <v>5.9080408435650766E-2</v>
      </c>
      <c r="BP224" s="1644">
        <f>+Q_IS!BP300</f>
        <v>5.7890883819936963E-2</v>
      </c>
      <c r="BQ224" s="1644">
        <f>+Q_IS!BQ300</f>
        <v>5.353254191330542E-2</v>
      </c>
      <c r="BR224" s="1644">
        <f>+Q_IS!BR300</f>
        <v>5.6242289017696553E-2</v>
      </c>
      <c r="BS224" s="1644">
        <f>+Q_IS!BS300</f>
        <v>5.795745242471545E-2</v>
      </c>
      <c r="BT224" s="1644">
        <f>+Q_IS!BT300</f>
        <v>5.6664353540489272E-2</v>
      </c>
      <c r="BU224" s="1644">
        <f>+Q_IS!BU300</f>
        <v>5.2270995351279506E-2</v>
      </c>
      <c r="BV224" s="1644">
        <f>+Q_IS!BV300</f>
        <v>5.5061062829613872E-2</v>
      </c>
      <c r="BW224" s="1644">
        <f>+Q_IS!BW300</f>
        <v>5.6644692066259807E-2</v>
      </c>
      <c r="BX224" s="1644">
        <f>+Q_IS!BX300</f>
        <v>5.5271321852903024E-2</v>
      </c>
      <c r="BY224" s="1644">
        <f>+Q_IS!BY300</f>
        <v>5.0932284040648375E-2</v>
      </c>
      <c r="BZ224" s="1644">
        <f>+Q_IS!BZ300</f>
        <v>5.5365472365536079E-2</v>
      </c>
      <c r="CA224" s="1644">
        <f>+Q_IS!CA300</f>
        <v>5.6736619445598671E-2</v>
      </c>
      <c r="CB224" s="1644">
        <f>+Q_IS!CB300</f>
        <v>5.5262493963022144E-2</v>
      </c>
      <c r="CC224" s="1644">
        <f>+Q_IS!CC300</f>
        <v>5.1126759715215346E-2</v>
      </c>
      <c r="CD224" s="1644">
        <f>+Q_IS!CD300</f>
        <v>5.5651850732407547E-2</v>
      </c>
      <c r="CE224" s="1644">
        <f>+Q_IS!CE300</f>
        <v>5.6951978476687717E-2</v>
      </c>
      <c r="CF224" s="1644">
        <f>+Q_IS!CF300</f>
        <v>5.5340609775993484E-2</v>
      </c>
      <c r="CG224" s="1644">
        <f>+Q_IS!CG300</f>
        <v>5.1151402204642912E-2</v>
      </c>
      <c r="CH224" s="1644">
        <f>+Q_IS!CH300</f>
        <v>5.5927387533146675E-2</v>
      </c>
      <c r="CI224" s="1644">
        <f>+Q_IS!CI300</f>
        <v>5.7158715871071013E-2</v>
      </c>
      <c r="CJ224" s="1644">
        <f>+Q_IS!CJ300</f>
        <v>5.5413936937270696E-2</v>
      </c>
      <c r="CK224" s="1644">
        <f>+Q_IS!CK300</f>
        <v>5.1174231981662655E-2</v>
      </c>
      <c r="CL224" s="1644">
        <f>+Q_IS!CL300</f>
        <v>5.6210994165318134E-2</v>
      </c>
      <c r="CM224" s="1644">
        <f>+Q_IS!CM300</f>
        <v>5.7383167879198914E-2</v>
      </c>
      <c r="CN224" s="1644">
        <f>+Q_IS!CN300</f>
        <v>5.5502586250844935E-2</v>
      </c>
      <c r="CO224" s="1644">
        <f>+Q_IS!CO300</f>
        <v>5.1198374820846555E-2</v>
      </c>
      <c r="CP224" s="1644">
        <f>+Q_IS!CP300</f>
        <v>5.6487012077733156E-2</v>
      </c>
      <c r="CQ224" s="1644">
        <f>+Q_IS!CQ300</f>
        <v>5.7602534537587499E-2</v>
      </c>
      <c r="CR224" s="1644">
        <f>+Q_IS!CR300</f>
        <v>5.5587868354077717E-2</v>
      </c>
      <c r="CS224" s="1644">
        <f>+Q_IS!CS300</f>
        <v>5.121751148087994E-2</v>
      </c>
      <c r="CT224" s="1644">
        <f>+Q_IS!CT300</f>
        <v>5.6758194107639076E-2</v>
      </c>
      <c r="CU224" s="1644">
        <f>+Q_IS!CU300</f>
        <v>5.7823660753787344E-2</v>
      </c>
      <c r="CV224" s="1644">
        <f>+Q_IS!CV300</f>
        <v>5.5677813723108607E-2</v>
      </c>
      <c r="CW224" s="1644">
        <f>+Q_IS!CW300</f>
        <v>5.1228196768233883E-2</v>
      </c>
      <c r="CX224" s="269"/>
      <c r="CY224" s="269"/>
      <c r="CZ224" s="269"/>
    </row>
    <row r="225" spans="1:118">
      <c r="B225" s="397"/>
      <c r="C225" s="397"/>
      <c r="D225" s="397"/>
      <c r="E225" s="397"/>
      <c r="F225" s="397"/>
      <c r="G225" s="397"/>
      <c r="H225" s="397"/>
      <c r="I225" s="397"/>
      <c r="J225" s="397"/>
      <c r="K225" s="397"/>
      <c r="L225" s="397"/>
      <c r="M225" s="397"/>
      <c r="N225" s="397"/>
      <c r="O225" s="397"/>
      <c r="P225" s="397"/>
      <c r="Q225" s="397"/>
      <c r="R225" s="397"/>
      <c r="S225" s="397"/>
      <c r="T225" s="397"/>
      <c r="U225" s="397"/>
      <c r="V225" s="397"/>
      <c r="W225" s="397"/>
      <c r="X225" s="397"/>
      <c r="Y225" s="397"/>
      <c r="Z225" s="397"/>
      <c r="AA225" s="397"/>
      <c r="AB225" s="397"/>
      <c r="AC225" s="397"/>
      <c r="AD225" s="397"/>
      <c r="AE225" s="397"/>
      <c r="AF225" s="397"/>
      <c r="AG225" s="397"/>
      <c r="AH225" s="397"/>
      <c r="AI225" s="397"/>
      <c r="AJ225" s="397"/>
      <c r="AK225" s="397"/>
      <c r="AL225" s="397"/>
      <c r="AM225" s="269"/>
      <c r="AN225" s="398"/>
      <c r="AO225" s="398"/>
      <c r="AP225" s="398"/>
      <c r="AQ225" s="398"/>
      <c r="AR225" s="398"/>
      <c r="AS225" s="398"/>
      <c r="AT225" s="398"/>
      <c r="AU225" s="398"/>
      <c r="AV225" s="398"/>
      <c r="AW225" s="398"/>
      <c r="AX225" s="398"/>
      <c r="AY225" s="398"/>
      <c r="AZ225" s="398"/>
      <c r="BA225" s="398"/>
      <c r="BB225" s="398"/>
      <c r="BC225" s="398"/>
      <c r="BD225" s="398"/>
      <c r="BE225" s="398"/>
      <c r="BF225" s="398"/>
      <c r="BG225" s="398"/>
      <c r="BH225" s="398"/>
      <c r="BI225" s="398"/>
      <c r="BJ225" s="398"/>
      <c r="BK225" s="1862"/>
      <c r="BL225" s="398"/>
      <c r="BM225" s="398"/>
      <c r="BN225" s="398"/>
      <c r="BO225" s="398"/>
      <c r="BP225" s="398"/>
      <c r="BQ225" s="398"/>
      <c r="BR225" s="398"/>
      <c r="BS225" s="398"/>
      <c r="BT225" s="398"/>
      <c r="BU225" s="398"/>
      <c r="BV225" s="398"/>
      <c r="BW225" s="398"/>
      <c r="BX225" s="398"/>
      <c r="BY225" s="398"/>
      <c r="BZ225" s="398"/>
      <c r="CA225" s="398"/>
      <c r="CB225" s="398"/>
      <c r="CC225" s="398"/>
      <c r="CD225" s="398"/>
      <c r="CE225" s="398"/>
      <c r="CF225" s="398"/>
      <c r="CG225" s="398"/>
      <c r="CH225" s="398"/>
      <c r="CI225" s="398"/>
      <c r="CJ225" s="398"/>
      <c r="CK225" s="398"/>
      <c r="CL225" s="398"/>
      <c r="CM225" s="398"/>
      <c r="CN225" s="398"/>
      <c r="CO225" s="398"/>
      <c r="CP225" s="398"/>
      <c r="CQ225" s="398"/>
      <c r="CR225" s="398"/>
      <c r="CS225" s="398"/>
      <c r="CT225" s="398"/>
      <c r="CU225" s="398"/>
      <c r="CV225" s="398"/>
      <c r="CW225" s="398"/>
      <c r="CX225" s="269"/>
      <c r="CY225" s="269"/>
      <c r="CZ225" s="269"/>
      <c r="DB225" s="13"/>
    </row>
    <row r="226" spans="1:118">
      <c r="A226" s="43" t="s">
        <v>258</v>
      </c>
      <c r="B226" s="388"/>
      <c r="C226" s="388"/>
      <c r="D226" s="388"/>
      <c r="E226" s="388"/>
      <c r="F226" s="269"/>
      <c r="G226" s="269"/>
      <c r="H226" s="269"/>
      <c r="I226" s="269"/>
      <c r="J226" s="269"/>
      <c r="K226" s="269"/>
      <c r="L226" s="269"/>
      <c r="M226" s="269"/>
      <c r="N226" s="269"/>
      <c r="O226" s="269"/>
      <c r="P226" s="269"/>
      <c r="Q226" s="269"/>
      <c r="R226" s="269"/>
      <c r="S226" s="269"/>
      <c r="T226" s="269"/>
      <c r="U226" s="269"/>
      <c r="V226" s="269"/>
      <c r="W226" s="269"/>
      <c r="X226" s="269"/>
      <c r="Y226" s="269"/>
      <c r="Z226" s="269"/>
      <c r="AA226" s="269"/>
      <c r="AB226" s="269"/>
      <c r="AC226" s="269"/>
      <c r="AD226" s="269"/>
      <c r="AE226" s="269"/>
      <c r="AF226" s="269"/>
      <c r="AG226" s="269"/>
      <c r="AH226" s="269"/>
      <c r="AI226" s="269"/>
      <c r="AJ226" s="269"/>
      <c r="AK226" s="269"/>
      <c r="AL226" s="269"/>
      <c r="AM226" s="269"/>
      <c r="AN226" s="269"/>
      <c r="AO226" s="269"/>
      <c r="AP226" s="339"/>
      <c r="AQ226" s="339"/>
      <c r="AR226" s="339"/>
      <c r="AS226" s="339"/>
      <c r="AT226" s="339"/>
      <c r="AU226" s="395"/>
      <c r="AV226" s="395"/>
      <c r="AW226" s="395"/>
      <c r="AX226" s="395"/>
      <c r="AY226" s="395"/>
      <c r="AZ226" s="395"/>
      <c r="BA226" s="395"/>
      <c r="BB226" s="395"/>
      <c r="BC226" s="395"/>
      <c r="BD226" s="395"/>
      <c r="BE226" s="395"/>
      <c r="BF226" s="395"/>
      <c r="BG226" s="395"/>
      <c r="BH226" s="395"/>
      <c r="BI226" s="395"/>
      <c r="BJ226" s="395"/>
      <c r="BK226" s="1865"/>
      <c r="BL226" s="339"/>
      <c r="BM226" s="339"/>
      <c r="BN226" s="339"/>
      <c r="BO226" s="339"/>
      <c r="BP226" s="339"/>
      <c r="BQ226" s="339"/>
      <c r="BR226" s="339"/>
      <c r="BS226" s="339"/>
      <c r="BT226" s="339"/>
      <c r="BU226" s="339"/>
      <c r="BV226" s="339"/>
      <c r="BW226" s="339"/>
      <c r="BX226" s="339"/>
      <c r="BY226" s="339"/>
      <c r="BZ226" s="339"/>
      <c r="CA226" s="339"/>
      <c r="CB226" s="339"/>
      <c r="CC226" s="339"/>
      <c r="CD226" s="339"/>
      <c r="CE226" s="339"/>
      <c r="CF226" s="339"/>
      <c r="CG226" s="339"/>
      <c r="CH226" s="339"/>
      <c r="CI226" s="339"/>
      <c r="CJ226" s="339"/>
      <c r="CK226" s="339"/>
      <c r="CL226" s="339"/>
      <c r="CM226" s="339"/>
      <c r="CN226" s="339"/>
      <c r="CO226" s="339"/>
      <c r="CP226" s="339"/>
      <c r="CQ226" s="339"/>
      <c r="CR226" s="339"/>
      <c r="CS226" s="339"/>
      <c r="CT226" s="339"/>
      <c r="CU226" s="339"/>
      <c r="CV226" s="339"/>
      <c r="CW226" s="339"/>
      <c r="CX226" s="269"/>
    </row>
    <row r="227" spans="1:118">
      <c r="A227" s="42" t="s">
        <v>1110</v>
      </c>
      <c r="B227" s="558"/>
      <c r="C227" s="558"/>
      <c r="D227" s="558"/>
      <c r="E227" s="558"/>
      <c r="F227" s="149">
        <f>Q_BS!F128</f>
        <v>1.3777127602835365E-2</v>
      </c>
      <c r="G227" s="149">
        <f>Q_BS!G128</f>
        <v>1.2448322193037133E-2</v>
      </c>
      <c r="H227" s="149">
        <f>Q_BS!H128</f>
        <v>1.4422040748244425E-2</v>
      </c>
      <c r="I227" s="149">
        <f>Q_BS!I128</f>
        <v>1.4679503218710997E-2</v>
      </c>
      <c r="J227" s="149">
        <f>Q_BS!J128</f>
        <v>1.0345181573109853E-2</v>
      </c>
      <c r="K227" s="149">
        <f>Q_BS!K128</f>
        <v>2.0188661903827454E-2</v>
      </c>
      <c r="L227" s="149">
        <f>Q_BS!L128</f>
        <v>1.0687286458680886E-2</v>
      </c>
      <c r="M227" s="149">
        <f>Q_BS!M128</f>
        <v>9.9699729906530705E-3</v>
      </c>
      <c r="N227" s="149">
        <f>Q_BS!N128</f>
        <v>2.7939564625624434E-3</v>
      </c>
      <c r="O227" s="149">
        <f>Q_BS!O128</f>
        <v>7.746259169145675E-3</v>
      </c>
      <c r="P227" s="149">
        <f>Q_BS!P128</f>
        <v>5.2516960156964061E-3</v>
      </c>
      <c r="Q227" s="149">
        <f>Q_BS!Q128</f>
        <v>1.1824883035506481E-2</v>
      </c>
      <c r="R227" s="149">
        <f>Q_BS!R128</f>
        <v>1.1520970254196669E-2</v>
      </c>
      <c r="S227" s="149">
        <f>Q_BS!S128</f>
        <v>6.6250451009842865E-3</v>
      </c>
      <c r="T227" s="149">
        <f>Q_BS!T128</f>
        <v>7.4399436803763534E-3</v>
      </c>
      <c r="U227" s="149">
        <f>Q_BS!U128</f>
        <v>7.6593221127157773E-3</v>
      </c>
      <c r="V227" s="149">
        <f>Q_BS!V128</f>
        <v>1.0412507173141964E-2</v>
      </c>
      <c r="W227" s="149">
        <f>Q_BS!W128</f>
        <v>2.5384284809606757E-2</v>
      </c>
      <c r="X227" s="149">
        <f>Q_BS!X128</f>
        <v>6.5514828821938743E-3</v>
      </c>
      <c r="Y227" s="149">
        <f>Q_BS!Y128</f>
        <v>1.0675778033399745E-2</v>
      </c>
      <c r="Z227" s="149">
        <f>Q_BS!Z128</f>
        <v>1.0988676157943812E-2</v>
      </c>
      <c r="AA227" s="149">
        <f>Q_BS!AA128</f>
        <v>6.3561685328993424E-3</v>
      </c>
      <c r="AB227" s="149">
        <f>Q_BS!AB128</f>
        <v>9.9708046705590733E-3</v>
      </c>
      <c r="AC227" s="149">
        <f>Q_BS!AC128</f>
        <v>7.2276432157740763E-3</v>
      </c>
      <c r="AD227" s="149">
        <f>Q_BS!AD128</f>
        <v>3.8540195500145584E-3</v>
      </c>
      <c r="AE227" s="149">
        <f>Q_BS!AE128</f>
        <v>2.5576957040034497E-3</v>
      </c>
      <c r="AF227" s="149">
        <f>Q_BS!AF128</f>
        <v>2.1437762398014495E-3</v>
      </c>
      <c r="AG227" s="149">
        <f>Q_BS!AG128</f>
        <v>1.5686325894615251E-3</v>
      </c>
      <c r="AH227" s="149">
        <f>Q_BS!AH128</f>
        <v>1.3708023789523373E-3</v>
      </c>
      <c r="AI227" s="149">
        <f>Q_BS!AI128</f>
        <v>1.6691827335510549E-3</v>
      </c>
      <c r="AJ227" s="149">
        <f>Q_BS!AJ128</f>
        <v>1.1355478232499706E-3</v>
      </c>
      <c r="AK227" s="149">
        <f>Q_BS!AK128</f>
        <v>3.0910271238640367E-4</v>
      </c>
      <c r="AL227" s="149">
        <f>Q_BS!AL128</f>
        <v>2.4797890634271208E-4</v>
      </c>
      <c r="AM227" s="149">
        <f>Q_BS!AM128</f>
        <v>1.8895861063576887E-3</v>
      </c>
      <c r="AN227" s="149">
        <f>Q_BS!AN128</f>
        <v>4.2967501546174909E-3</v>
      </c>
      <c r="AO227" s="149">
        <f>Q_BS!AO128</f>
        <v>3.3990568068427967E-3</v>
      </c>
      <c r="AP227" s="149">
        <f>Q_BS!AP128</f>
        <v>8.2539251139595628E-4</v>
      </c>
      <c r="AQ227" s="149">
        <f>Q_BS!AQ128</f>
        <v>-3.2738329328270421E-5</v>
      </c>
      <c r="AR227" s="149">
        <f>Q_BS!AR128</f>
        <v>4.3786441994662657E-3</v>
      </c>
      <c r="AS227" s="149">
        <f>Q_BS!AS128</f>
        <v>2.1021480607413805E-3</v>
      </c>
      <c r="AT227" s="149">
        <f>Q_BS!AT128</f>
        <v>3.0811614699819915E-3</v>
      </c>
      <c r="AU227" s="149">
        <f>Q_BS!AU128</f>
        <v>4.7529259214956921E-3</v>
      </c>
      <c r="AV227" s="149">
        <f>Q_BS!AV128</f>
        <v>5.7237067557906422E-3</v>
      </c>
      <c r="AW227" s="149">
        <f>Q_BS!AW128</f>
        <v>6.2925522216384314E-3</v>
      </c>
      <c r="AX227" s="149">
        <f>Q_BS!AX128</f>
        <v>4.9771068081290986E-3</v>
      </c>
      <c r="AY227" s="149">
        <f>Q_BS!AY128</f>
        <v>5.3026169125465535E-3</v>
      </c>
      <c r="AZ227" s="149">
        <f>Q_BS!AZ128</f>
        <v>5.0761983775902617E-3</v>
      </c>
      <c r="BA227" s="149">
        <f>Q_BS!BA128</f>
        <v>7.1154081378279783E-3</v>
      </c>
      <c r="BB227" s="149">
        <f>Q_BS!BB128</f>
        <v>6.1555405565603995E-3</v>
      </c>
      <c r="BC227" s="149">
        <f>Q_BS!BC128</f>
        <v>4.5248867588043792E-3</v>
      </c>
      <c r="BD227" s="149">
        <f>Q_BS!BD128</f>
        <v>2.3604096224212369E-3</v>
      </c>
      <c r="BE227" s="149">
        <f>Q_BS!BE128</f>
        <v>-1.1138980682276617E-3</v>
      </c>
      <c r="BF227" s="149">
        <f>Q_BS!BF128</f>
        <v>4.6198787627450728E-3</v>
      </c>
      <c r="BG227" s="149">
        <f>Q_BS!BG128</f>
        <v>4.1979260073472177E-3</v>
      </c>
      <c r="BH227" s="149">
        <f>Q_BS!BH128</f>
        <v>2.868927565871749E-3</v>
      </c>
      <c r="BI227" s="149">
        <f>Q_BS!BI128</f>
        <v>-3.5453699103892705E-4</v>
      </c>
      <c r="BJ227" s="149">
        <f>Q_BS!BJ128</f>
        <v>4.5022088333819231E-3</v>
      </c>
      <c r="BK227" s="1825">
        <f>Q_BS!BK128</f>
        <v>7.3148499550642516E-3</v>
      </c>
      <c r="BL227" s="1825">
        <f>Q_BS!BL128</f>
        <v>7.3148499550642516E-3</v>
      </c>
      <c r="BM227" s="1825">
        <f>Q_BS!BM128</f>
        <v>6.4999999999999997E-3</v>
      </c>
      <c r="BN227" s="1825">
        <f>Q_BS!BN128</f>
        <v>7.0000000000000001E-3</v>
      </c>
      <c r="BO227" s="1825">
        <f>Q_BS!BO128</f>
        <v>7.0000000000000001E-3</v>
      </c>
      <c r="BP227" s="1825">
        <f>Q_BS!BP128</f>
        <v>7.0000000000000001E-3</v>
      </c>
      <c r="BQ227" s="1825">
        <f>Q_BS!BQ128</f>
        <v>7.0000000000000001E-3</v>
      </c>
      <c r="BR227" s="1117">
        <f t="shared" ref="BR227:BY227" si="1383">BQ227</f>
        <v>7.0000000000000001E-3</v>
      </c>
      <c r="BS227" s="1117">
        <f t="shared" si="1383"/>
        <v>7.0000000000000001E-3</v>
      </c>
      <c r="BT227" s="1117">
        <f t="shared" si="1383"/>
        <v>7.0000000000000001E-3</v>
      </c>
      <c r="BU227" s="1117">
        <f t="shared" si="1383"/>
        <v>7.0000000000000001E-3</v>
      </c>
      <c r="BV227" s="1117">
        <f t="shared" si="1383"/>
        <v>7.0000000000000001E-3</v>
      </c>
      <c r="BW227" s="1117">
        <f t="shared" si="1383"/>
        <v>7.0000000000000001E-3</v>
      </c>
      <c r="BX227" s="1117">
        <f t="shared" si="1383"/>
        <v>7.0000000000000001E-3</v>
      </c>
      <c r="BY227" s="1117">
        <f t="shared" si="1383"/>
        <v>7.0000000000000001E-3</v>
      </c>
      <c r="BZ227" s="1117">
        <f t="shared" ref="BZ227:CW227" si="1384">BY227</f>
        <v>7.0000000000000001E-3</v>
      </c>
      <c r="CA227" s="1117">
        <f t="shared" si="1384"/>
        <v>7.0000000000000001E-3</v>
      </c>
      <c r="CB227" s="1117">
        <f t="shared" si="1384"/>
        <v>7.0000000000000001E-3</v>
      </c>
      <c r="CC227" s="1117">
        <f t="shared" si="1384"/>
        <v>7.0000000000000001E-3</v>
      </c>
      <c r="CD227" s="1117">
        <f t="shared" si="1384"/>
        <v>7.0000000000000001E-3</v>
      </c>
      <c r="CE227" s="1117">
        <f t="shared" si="1384"/>
        <v>7.0000000000000001E-3</v>
      </c>
      <c r="CF227" s="1117">
        <f t="shared" si="1384"/>
        <v>7.0000000000000001E-3</v>
      </c>
      <c r="CG227" s="1117">
        <f t="shared" si="1384"/>
        <v>7.0000000000000001E-3</v>
      </c>
      <c r="CH227" s="1117">
        <f t="shared" si="1384"/>
        <v>7.0000000000000001E-3</v>
      </c>
      <c r="CI227" s="1117">
        <f t="shared" si="1384"/>
        <v>7.0000000000000001E-3</v>
      </c>
      <c r="CJ227" s="1117">
        <f t="shared" si="1384"/>
        <v>7.0000000000000001E-3</v>
      </c>
      <c r="CK227" s="1117">
        <f t="shared" si="1384"/>
        <v>7.0000000000000001E-3</v>
      </c>
      <c r="CL227" s="1117">
        <f t="shared" si="1384"/>
        <v>7.0000000000000001E-3</v>
      </c>
      <c r="CM227" s="1117">
        <f t="shared" si="1384"/>
        <v>7.0000000000000001E-3</v>
      </c>
      <c r="CN227" s="1117">
        <f t="shared" si="1384"/>
        <v>7.0000000000000001E-3</v>
      </c>
      <c r="CO227" s="1117">
        <f t="shared" si="1384"/>
        <v>7.0000000000000001E-3</v>
      </c>
      <c r="CP227" s="1117">
        <f t="shared" si="1384"/>
        <v>7.0000000000000001E-3</v>
      </c>
      <c r="CQ227" s="1117">
        <f t="shared" si="1384"/>
        <v>7.0000000000000001E-3</v>
      </c>
      <c r="CR227" s="1117">
        <f t="shared" si="1384"/>
        <v>7.0000000000000001E-3</v>
      </c>
      <c r="CS227" s="1117">
        <f t="shared" si="1384"/>
        <v>7.0000000000000001E-3</v>
      </c>
      <c r="CT227" s="1117">
        <f t="shared" si="1384"/>
        <v>7.0000000000000001E-3</v>
      </c>
      <c r="CU227" s="1117">
        <f t="shared" si="1384"/>
        <v>7.0000000000000001E-3</v>
      </c>
      <c r="CV227" s="1117">
        <f t="shared" si="1384"/>
        <v>7.0000000000000001E-3</v>
      </c>
      <c r="CW227" s="1117">
        <f t="shared" si="1384"/>
        <v>7.0000000000000001E-3</v>
      </c>
      <c r="CX227" s="269"/>
    </row>
    <row r="228" spans="1:118">
      <c r="A228" s="269"/>
      <c r="B228" s="388"/>
      <c r="C228" s="388"/>
      <c r="D228" s="388"/>
      <c r="E228" s="388"/>
      <c r="F228" s="388"/>
      <c r="G228" s="388"/>
      <c r="H228" s="388"/>
      <c r="I228" s="269"/>
      <c r="J228" s="388"/>
      <c r="K228" s="388"/>
      <c r="L228" s="388"/>
      <c r="M228" s="269"/>
      <c r="N228" s="269"/>
      <c r="O228" s="269"/>
      <c r="P228" s="269"/>
      <c r="Q228" s="269"/>
      <c r="R228" s="269"/>
      <c r="S228" s="269"/>
      <c r="T228" s="269"/>
      <c r="U228" s="269"/>
      <c r="V228" s="269"/>
      <c r="W228" s="269"/>
      <c r="X228" s="269"/>
      <c r="Y228" s="269"/>
      <c r="Z228" s="269"/>
      <c r="AA228" s="269"/>
      <c r="AB228" s="269"/>
      <c r="AC228" s="269"/>
      <c r="AD228" s="269"/>
      <c r="AE228" s="269"/>
      <c r="AF228" s="269"/>
      <c r="AG228" s="269"/>
      <c r="AH228" s="269"/>
      <c r="AI228" s="269"/>
      <c r="AJ228" s="269"/>
      <c r="AK228" s="269"/>
      <c r="AL228" s="269"/>
      <c r="AM228" s="399"/>
      <c r="AN228" s="399"/>
      <c r="AO228" s="399"/>
      <c r="AP228" s="399"/>
      <c r="AQ228" s="399"/>
      <c r="AR228" s="399"/>
      <c r="AS228" s="399"/>
      <c r="AT228" s="399"/>
      <c r="AU228" s="399"/>
      <c r="AV228" s="399"/>
      <c r="AW228" s="399"/>
      <c r="AX228" s="399"/>
      <c r="AY228" s="399"/>
      <c r="AZ228" s="399"/>
      <c r="BA228" s="399"/>
      <c r="BB228" s="399"/>
      <c r="BC228" s="399"/>
      <c r="BD228" s="399"/>
      <c r="BE228" s="399"/>
      <c r="BF228" s="399"/>
      <c r="BG228" s="399"/>
      <c r="BH228" s="399"/>
      <c r="BI228" s="399"/>
      <c r="BJ228" s="399"/>
      <c r="BK228" s="1866"/>
      <c r="BL228" s="269"/>
      <c r="BM228" s="269"/>
      <c r="BN228" s="269"/>
      <c r="BO228" s="269"/>
      <c r="BP228" s="269"/>
      <c r="BQ228" s="269"/>
      <c r="BR228" s="269"/>
      <c r="BS228" s="269"/>
      <c r="BT228" s="269"/>
      <c r="BU228" s="269"/>
      <c r="BV228" s="269"/>
      <c r="BW228" s="269"/>
      <c r="BX228" s="269"/>
      <c r="BY228" s="269"/>
      <c r="BZ228" s="269"/>
      <c r="CA228" s="269"/>
      <c r="CB228" s="269"/>
      <c r="CC228" s="269"/>
      <c r="CD228" s="269"/>
      <c r="CE228" s="269"/>
      <c r="CF228" s="269"/>
      <c r="CG228" s="269"/>
      <c r="CH228" s="269"/>
      <c r="CI228" s="269"/>
      <c r="CJ228" s="269"/>
      <c r="CK228" s="269"/>
      <c r="CL228" s="269"/>
      <c r="CM228" s="269"/>
      <c r="CN228" s="269"/>
      <c r="CO228" s="269"/>
      <c r="CP228" s="269"/>
      <c r="CQ228" s="269"/>
      <c r="CR228" s="269"/>
      <c r="CS228" s="269"/>
      <c r="CT228" s="269"/>
      <c r="CU228" s="269"/>
      <c r="CV228" s="269"/>
      <c r="CW228" s="269"/>
      <c r="CX228" s="269"/>
      <c r="CY228" s="269"/>
      <c r="CZ228" s="269"/>
    </row>
    <row r="229" spans="1:118">
      <c r="A229" s="43" t="s">
        <v>983</v>
      </c>
      <c r="B229" s="149">
        <f>Q_IS!B313</f>
        <v>0.10540157098861541</v>
      </c>
      <c r="C229" s="149">
        <f>Q_IS!C313</f>
        <v>-0.30081245538294038</v>
      </c>
      <c r="D229" s="149">
        <f>Q_IS!D313</f>
        <v>0.12867300069212906</v>
      </c>
      <c r="E229" s="149">
        <f>Q_IS!E313</f>
        <v>0.17848937921545041</v>
      </c>
      <c r="F229" s="149">
        <f>Q_IS!F313</f>
        <v>0.24001784519294486</v>
      </c>
      <c r="G229" s="149">
        <f>Q_IS!G313</f>
        <v>0.31189446022350231</v>
      </c>
      <c r="H229" s="149">
        <f>Q_IS!H313</f>
        <v>0.63037100949094149</v>
      </c>
      <c r="I229" s="149">
        <f>Q_IS!I313</f>
        <v>0.5920966151823871</v>
      </c>
      <c r="J229" s="149">
        <f>Q_IS!J313</f>
        <v>0.27097462470471595</v>
      </c>
      <c r="K229" s="149">
        <f>Q_IS!K313</f>
        <v>0.43943274939888988</v>
      </c>
      <c r="L229" s="149">
        <f>Q_IS!L313</f>
        <v>0.30590015368284268</v>
      </c>
      <c r="M229" s="149">
        <f>Q_IS!M313</f>
        <v>0.184714159480107</v>
      </c>
      <c r="N229" s="149">
        <f>Q_IS!N313</f>
        <v>0.58543608866791164</v>
      </c>
      <c r="O229" s="149">
        <f>Q_IS!O313</f>
        <v>0.31753109715222133</v>
      </c>
      <c r="P229" s="149">
        <f>Q_IS!P313</f>
        <v>0.36990326191237627</v>
      </c>
      <c r="Q229" s="149">
        <f>Q_IS!Q313</f>
        <v>0.33046362008357116</v>
      </c>
      <c r="R229" s="149">
        <f>Q_IS!R313</f>
        <v>0.3740175047194092</v>
      </c>
      <c r="S229" s="149">
        <f>Q_IS!S313</f>
        <v>0.36203403389476785</v>
      </c>
      <c r="T229" s="149">
        <f>Q_IS!T313</f>
        <v>0.30974430113977225</v>
      </c>
      <c r="U229" s="149">
        <f>Q_IS!U313</f>
        <v>0.2240617904734731</v>
      </c>
      <c r="V229" s="149">
        <f>Q_IS!V313</f>
        <v>0.28874858278118087</v>
      </c>
      <c r="W229" s="149">
        <f>Q_IS!W313</f>
        <v>0.39140091681923356</v>
      </c>
      <c r="X229" s="149">
        <f>Q_IS!X313</f>
        <v>0.29266826923076872</v>
      </c>
      <c r="Y229" s="149">
        <f>Q_IS!Y313</f>
        <v>0.41250311562799036</v>
      </c>
      <c r="Z229" s="149">
        <f>Q_IS!Z313</f>
        <v>0.25326140696974214</v>
      </c>
      <c r="AA229" s="149">
        <f>Q_IS!AA313</f>
        <v>0.5705038167938935</v>
      </c>
      <c r="AB229" s="149">
        <f>Q_IS!AB313</f>
        <v>0.48931238434466173</v>
      </c>
      <c r="AC229" s="149">
        <f>Q_IS!AC313</f>
        <v>0.20606450767807846</v>
      </c>
      <c r="AD229" s="149">
        <f>Q_IS!AD313</f>
        <v>0.46062737568086409</v>
      </c>
      <c r="AE229" s="149">
        <f>Q_IS!AE313</f>
        <v>0.42031736638063022</v>
      </c>
      <c r="AF229" s="149">
        <f>Q_IS!AF313</f>
        <v>0.62472463522977617</v>
      </c>
      <c r="AG229" s="149">
        <f>Q_IS!AG313</f>
        <v>6.6099506266615992E-3</v>
      </c>
      <c r="AH229" s="149">
        <f>Q_IS!AH313</f>
        <v>0.37589907491052166</v>
      </c>
      <c r="AI229" s="149">
        <f>Q_IS!AI313</f>
        <v>0.45486865037317448</v>
      </c>
      <c r="AJ229" s="149">
        <f>Q_IS!AJ313</f>
        <v>0.39713602311390489</v>
      </c>
      <c r="AK229" s="149">
        <f>Q_IS!AK313</f>
        <v>0.40038109511681774</v>
      </c>
      <c r="AL229" s="149">
        <f>Q_IS!AL313</f>
        <v>0.38317895744446684</v>
      </c>
      <c r="AM229" s="149">
        <f>Q_IS!AM313</f>
        <v>0.44726206407228131</v>
      </c>
      <c r="AN229" s="149">
        <f>Q_IS!AN313</f>
        <v>0.35186462638489796</v>
      </c>
      <c r="AO229" s="149">
        <f>Q_IS!AO313</f>
        <v>0.34584080397760786</v>
      </c>
      <c r="AP229" s="149">
        <f>+AVERAGE(AL229:AO229)</f>
        <v>0.3820366129698135</v>
      </c>
      <c r="AQ229" s="149">
        <f>+AVERAGE(AM229:AP229)</f>
        <v>0.38175102685115014</v>
      </c>
      <c r="AR229" s="149">
        <f>Q_IS!AR313</f>
        <v>0.4662329881023724</v>
      </c>
      <c r="AS229" s="149">
        <f>Q_IS!AS313</f>
        <v>0.36892581281524861</v>
      </c>
      <c r="AT229" s="149">
        <f>Q_IS!AT313</f>
        <v>-6.062578647345866E-3</v>
      </c>
      <c r="AU229" s="149">
        <f>Q_IS!AU313</f>
        <v>0.13569801804693035</v>
      </c>
      <c r="AV229" s="149">
        <f>Q_IS!AV313</f>
        <v>0.2214132501046884</v>
      </c>
      <c r="AW229" s="149">
        <f>Q_IS!AW313</f>
        <v>0.65734827292926767</v>
      </c>
      <c r="AX229" s="149">
        <f>Q_IS!AX313</f>
        <v>0.228016211255191</v>
      </c>
      <c r="AY229" s="149">
        <f>Q_IS!AY313</f>
        <v>0.3805462173200363</v>
      </c>
      <c r="AZ229" s="149">
        <f>Q_IS!AZ313</f>
        <v>0.30450319187686659</v>
      </c>
      <c r="BA229" s="149">
        <f>Q_IS!BA313</f>
        <v>0.2635383311619578</v>
      </c>
      <c r="BB229" s="149">
        <f>Q_IS!BB313</f>
        <v>0.35898676214904229</v>
      </c>
      <c r="BC229" s="149">
        <f>Q_IS!BC313</f>
        <v>0.31719322344322326</v>
      </c>
      <c r="BD229" s="149">
        <f>Q_IS!BD313</f>
        <v>0.33293850274503006</v>
      </c>
      <c r="BE229" s="149">
        <f>Q_IS!BE313</f>
        <v>0.38608366127875254</v>
      </c>
      <c r="BF229" s="149">
        <f>Q_IS!BF313</f>
        <v>0.39822477752453816</v>
      </c>
      <c r="BG229" s="149">
        <f>Q_IS!BG313</f>
        <v>0.34481764006686416</v>
      </c>
      <c r="BH229" s="149">
        <f>Q_IS!BH313</f>
        <v>0.43082672402204697</v>
      </c>
      <c r="BI229" s="149">
        <f>Q_IS!BI313</f>
        <v>0.25731901619321323</v>
      </c>
      <c r="BJ229" s="149">
        <f>Q_IS!BJ313</f>
        <v>0.33262924622120943</v>
      </c>
      <c r="BK229" s="1825">
        <f>Q_IS!BK313</f>
        <v>0.26811452311830974</v>
      </c>
      <c r="BL229" s="1879">
        <v>0.33</v>
      </c>
      <c r="BM229" s="1879">
        <v>0.34</v>
      </c>
      <c r="BN229" s="1879">
        <v>0.34</v>
      </c>
      <c r="BO229" s="1879">
        <v>0.34</v>
      </c>
      <c r="BP229" s="1879">
        <v>0.34</v>
      </c>
      <c r="BQ229" s="1879">
        <v>0.34</v>
      </c>
      <c r="BR229" s="1879">
        <v>0.34</v>
      </c>
      <c r="BS229" s="560">
        <f>BR229</f>
        <v>0.34</v>
      </c>
      <c r="BT229" s="560">
        <f>BS229</f>
        <v>0.34</v>
      </c>
      <c r="BU229" s="560">
        <f t="shared" ref="BU229:CW229" si="1385">BT229</f>
        <v>0.34</v>
      </c>
      <c r="BV229" s="560">
        <f t="shared" si="1385"/>
        <v>0.34</v>
      </c>
      <c r="BW229" s="560">
        <f t="shared" si="1385"/>
        <v>0.34</v>
      </c>
      <c r="BX229" s="560">
        <f t="shared" si="1385"/>
        <v>0.34</v>
      </c>
      <c r="BY229" s="560">
        <f t="shared" si="1385"/>
        <v>0.34</v>
      </c>
      <c r="BZ229" s="560">
        <f t="shared" si="1385"/>
        <v>0.34</v>
      </c>
      <c r="CA229" s="560">
        <f t="shared" si="1385"/>
        <v>0.34</v>
      </c>
      <c r="CB229" s="560">
        <f t="shared" si="1385"/>
        <v>0.34</v>
      </c>
      <c r="CC229" s="560">
        <f t="shared" si="1385"/>
        <v>0.34</v>
      </c>
      <c r="CD229" s="560">
        <f t="shared" si="1385"/>
        <v>0.34</v>
      </c>
      <c r="CE229" s="560">
        <f t="shared" si="1385"/>
        <v>0.34</v>
      </c>
      <c r="CF229" s="560">
        <f t="shared" si="1385"/>
        <v>0.34</v>
      </c>
      <c r="CG229" s="560">
        <f t="shared" si="1385"/>
        <v>0.34</v>
      </c>
      <c r="CH229" s="560">
        <f t="shared" si="1385"/>
        <v>0.34</v>
      </c>
      <c r="CI229" s="560">
        <f t="shared" si="1385"/>
        <v>0.34</v>
      </c>
      <c r="CJ229" s="560">
        <f t="shared" si="1385"/>
        <v>0.34</v>
      </c>
      <c r="CK229" s="560">
        <f t="shared" si="1385"/>
        <v>0.34</v>
      </c>
      <c r="CL229" s="560">
        <f t="shared" si="1385"/>
        <v>0.34</v>
      </c>
      <c r="CM229" s="560">
        <f t="shared" si="1385"/>
        <v>0.34</v>
      </c>
      <c r="CN229" s="560">
        <f t="shared" si="1385"/>
        <v>0.34</v>
      </c>
      <c r="CO229" s="560">
        <f t="shared" si="1385"/>
        <v>0.34</v>
      </c>
      <c r="CP229" s="560">
        <f t="shared" si="1385"/>
        <v>0.34</v>
      </c>
      <c r="CQ229" s="560">
        <f t="shared" si="1385"/>
        <v>0.34</v>
      </c>
      <c r="CR229" s="560">
        <f t="shared" si="1385"/>
        <v>0.34</v>
      </c>
      <c r="CS229" s="560">
        <f t="shared" si="1385"/>
        <v>0.34</v>
      </c>
      <c r="CT229" s="560">
        <f t="shared" si="1385"/>
        <v>0.34</v>
      </c>
      <c r="CU229" s="560">
        <f t="shared" si="1385"/>
        <v>0.34</v>
      </c>
      <c r="CV229" s="560">
        <f t="shared" si="1385"/>
        <v>0.34</v>
      </c>
      <c r="CW229" s="560">
        <f t="shared" si="1385"/>
        <v>0.34</v>
      </c>
      <c r="CX229" s="269"/>
    </row>
    <row r="230" spans="1:118">
      <c r="A230" s="269"/>
      <c r="B230" s="388"/>
      <c r="C230" s="388"/>
      <c r="D230" s="388"/>
      <c r="E230" s="388"/>
      <c r="F230" s="388"/>
      <c r="G230" s="388"/>
      <c r="H230" s="388"/>
      <c r="I230" s="269"/>
      <c r="J230" s="388"/>
      <c r="K230" s="388"/>
      <c r="L230" s="388"/>
      <c r="M230" s="269"/>
      <c r="N230" s="269"/>
      <c r="O230" s="269"/>
      <c r="P230" s="269"/>
      <c r="Q230" s="269"/>
      <c r="R230" s="269"/>
      <c r="S230" s="269"/>
      <c r="T230" s="269"/>
      <c r="U230" s="269"/>
      <c r="V230" s="269"/>
      <c r="W230" s="269"/>
      <c r="X230" s="269"/>
      <c r="Y230" s="269"/>
      <c r="Z230" s="269"/>
      <c r="AA230" s="269"/>
      <c r="AB230" s="269"/>
      <c r="AC230" s="269"/>
      <c r="AD230" s="269"/>
      <c r="AE230" s="269"/>
      <c r="AF230" s="269"/>
      <c r="AG230" s="269"/>
      <c r="AH230" s="269"/>
      <c r="AI230" s="269"/>
      <c r="AJ230" s="269"/>
      <c r="AK230" s="269"/>
      <c r="AL230" s="269"/>
      <c r="AM230" s="399"/>
      <c r="AN230" s="399"/>
      <c r="AO230" s="269"/>
      <c r="AP230" s="269"/>
      <c r="AQ230" s="269"/>
      <c r="AR230" s="269"/>
      <c r="AS230" s="269"/>
      <c r="AT230" s="269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1833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269"/>
      <c r="CY230" s="269"/>
      <c r="CZ230" s="269"/>
    </row>
    <row r="231" spans="1:118">
      <c r="A231" s="472" t="s">
        <v>933</v>
      </c>
      <c r="B231" s="601">
        <f t="shared" ref="B231:AG231" si="1386">B$8</f>
        <v>39903</v>
      </c>
      <c r="C231" s="601">
        <f t="shared" si="1386"/>
        <v>39994</v>
      </c>
      <c r="D231" s="601">
        <f t="shared" si="1386"/>
        <v>40086</v>
      </c>
      <c r="E231" s="601">
        <f t="shared" si="1386"/>
        <v>40178</v>
      </c>
      <c r="F231" s="601">
        <f t="shared" si="1386"/>
        <v>40268</v>
      </c>
      <c r="G231" s="601">
        <f t="shared" si="1386"/>
        <v>40359</v>
      </c>
      <c r="H231" s="601">
        <f t="shared" si="1386"/>
        <v>40451</v>
      </c>
      <c r="I231" s="601">
        <f t="shared" si="1386"/>
        <v>40543</v>
      </c>
      <c r="J231" s="601">
        <f t="shared" si="1386"/>
        <v>40633</v>
      </c>
      <c r="K231" s="601">
        <f t="shared" si="1386"/>
        <v>40724</v>
      </c>
      <c r="L231" s="601">
        <f t="shared" si="1386"/>
        <v>40816</v>
      </c>
      <c r="M231" s="601">
        <f t="shared" si="1386"/>
        <v>40908</v>
      </c>
      <c r="N231" s="601">
        <f t="shared" si="1386"/>
        <v>40999</v>
      </c>
      <c r="O231" s="601">
        <f t="shared" si="1386"/>
        <v>41090</v>
      </c>
      <c r="P231" s="601">
        <f t="shared" si="1386"/>
        <v>41182</v>
      </c>
      <c r="Q231" s="601">
        <f t="shared" si="1386"/>
        <v>41274</v>
      </c>
      <c r="R231" s="601">
        <f t="shared" si="1386"/>
        <v>41364</v>
      </c>
      <c r="S231" s="601">
        <f t="shared" si="1386"/>
        <v>41455</v>
      </c>
      <c r="T231" s="601">
        <f t="shared" si="1386"/>
        <v>41547</v>
      </c>
      <c r="U231" s="601">
        <f t="shared" si="1386"/>
        <v>41639</v>
      </c>
      <c r="V231" s="601">
        <f t="shared" si="1386"/>
        <v>41729</v>
      </c>
      <c r="W231" s="601">
        <f t="shared" si="1386"/>
        <v>41820</v>
      </c>
      <c r="X231" s="601">
        <f t="shared" si="1386"/>
        <v>41912</v>
      </c>
      <c r="Y231" s="601">
        <f t="shared" si="1386"/>
        <v>42004</v>
      </c>
      <c r="Z231" s="601">
        <f t="shared" si="1386"/>
        <v>42094</v>
      </c>
      <c r="AA231" s="601">
        <f t="shared" si="1386"/>
        <v>42185</v>
      </c>
      <c r="AB231" s="601">
        <f t="shared" si="1386"/>
        <v>42277</v>
      </c>
      <c r="AC231" s="601">
        <f t="shared" si="1386"/>
        <v>42369</v>
      </c>
      <c r="AD231" s="601">
        <f t="shared" si="1386"/>
        <v>42460</v>
      </c>
      <c r="AE231" s="601">
        <f t="shared" si="1386"/>
        <v>42551</v>
      </c>
      <c r="AF231" s="601">
        <f t="shared" si="1386"/>
        <v>42643</v>
      </c>
      <c r="AG231" s="601">
        <f t="shared" si="1386"/>
        <v>42735</v>
      </c>
      <c r="AH231" s="601">
        <f t="shared" ref="AH231:CW231" si="1387">AH$8</f>
        <v>42825</v>
      </c>
      <c r="AI231" s="601">
        <f t="shared" si="1387"/>
        <v>42916</v>
      </c>
      <c r="AJ231" s="601">
        <f t="shared" si="1387"/>
        <v>43008</v>
      </c>
      <c r="AK231" s="601">
        <f t="shared" si="1387"/>
        <v>43100</v>
      </c>
      <c r="AL231" s="601">
        <f t="shared" si="1387"/>
        <v>43190</v>
      </c>
      <c r="AM231" s="601">
        <f t="shared" si="1387"/>
        <v>43281</v>
      </c>
      <c r="AN231" s="601">
        <f t="shared" si="1387"/>
        <v>43373</v>
      </c>
      <c r="AO231" s="601">
        <f t="shared" si="1387"/>
        <v>43465</v>
      </c>
      <c r="AP231" s="601">
        <f t="shared" si="1387"/>
        <v>43555</v>
      </c>
      <c r="AQ231" s="601">
        <f t="shared" si="1387"/>
        <v>43646</v>
      </c>
      <c r="AR231" s="601">
        <f t="shared" si="1387"/>
        <v>43738</v>
      </c>
      <c r="AS231" s="601">
        <f t="shared" si="1387"/>
        <v>43830</v>
      </c>
      <c r="AT231" s="601">
        <f t="shared" si="1387"/>
        <v>43921</v>
      </c>
      <c r="AU231" s="601">
        <f t="shared" si="1387"/>
        <v>44012</v>
      </c>
      <c r="AV231" s="601">
        <f t="shared" si="1387"/>
        <v>44104</v>
      </c>
      <c r="AW231" s="601">
        <f t="shared" si="1387"/>
        <v>44196</v>
      </c>
      <c r="AX231" s="601">
        <f t="shared" si="1387"/>
        <v>44286</v>
      </c>
      <c r="AY231" s="601">
        <f t="shared" si="1387"/>
        <v>44377</v>
      </c>
      <c r="AZ231" s="601">
        <f t="shared" si="1387"/>
        <v>44469</v>
      </c>
      <c r="BA231" s="601">
        <f t="shared" si="1387"/>
        <v>44561</v>
      </c>
      <c r="BB231" s="601">
        <f t="shared" si="1387"/>
        <v>44651</v>
      </c>
      <c r="BC231" s="601">
        <f t="shared" si="1387"/>
        <v>44742</v>
      </c>
      <c r="BD231" s="601">
        <f t="shared" si="1387"/>
        <v>44834</v>
      </c>
      <c r="BE231" s="601">
        <f t="shared" si="1387"/>
        <v>44926</v>
      </c>
      <c r="BF231" s="601">
        <f t="shared" si="1387"/>
        <v>45016</v>
      </c>
      <c r="BG231" s="601">
        <f t="shared" si="1387"/>
        <v>45107</v>
      </c>
      <c r="BH231" s="601">
        <f t="shared" si="1387"/>
        <v>45199</v>
      </c>
      <c r="BI231" s="601">
        <f t="shared" si="1387"/>
        <v>45291</v>
      </c>
      <c r="BJ231" s="601">
        <f t="shared" si="1387"/>
        <v>45382</v>
      </c>
      <c r="BK231" s="1172">
        <f t="shared" si="1387"/>
        <v>45473</v>
      </c>
      <c r="BL231" s="600">
        <f t="shared" si="1387"/>
        <v>45565</v>
      </c>
      <c r="BM231" s="600">
        <f t="shared" si="1387"/>
        <v>45657</v>
      </c>
      <c r="BN231" s="600">
        <f t="shared" si="1387"/>
        <v>45747</v>
      </c>
      <c r="BO231" s="600">
        <f t="shared" si="1387"/>
        <v>45838</v>
      </c>
      <c r="BP231" s="600">
        <f t="shared" si="1387"/>
        <v>45930</v>
      </c>
      <c r="BQ231" s="600">
        <f t="shared" si="1387"/>
        <v>46022</v>
      </c>
      <c r="BR231" s="600">
        <f t="shared" si="1387"/>
        <v>46112</v>
      </c>
      <c r="BS231" s="600">
        <f t="shared" si="1387"/>
        <v>46203</v>
      </c>
      <c r="BT231" s="600">
        <f t="shared" si="1387"/>
        <v>46295</v>
      </c>
      <c r="BU231" s="600">
        <f t="shared" si="1387"/>
        <v>46387</v>
      </c>
      <c r="BV231" s="600">
        <f t="shared" si="1387"/>
        <v>46477</v>
      </c>
      <c r="BW231" s="600">
        <f t="shared" si="1387"/>
        <v>46568</v>
      </c>
      <c r="BX231" s="600">
        <f t="shared" si="1387"/>
        <v>46660</v>
      </c>
      <c r="BY231" s="600">
        <f t="shared" si="1387"/>
        <v>46752</v>
      </c>
      <c r="BZ231" s="600">
        <f t="shared" si="1387"/>
        <v>46843</v>
      </c>
      <c r="CA231" s="600">
        <f t="shared" si="1387"/>
        <v>46934</v>
      </c>
      <c r="CB231" s="600">
        <f t="shared" si="1387"/>
        <v>47026</v>
      </c>
      <c r="CC231" s="600">
        <f t="shared" si="1387"/>
        <v>47118</v>
      </c>
      <c r="CD231" s="600">
        <f t="shared" si="1387"/>
        <v>47208</v>
      </c>
      <c r="CE231" s="600">
        <f t="shared" si="1387"/>
        <v>47299</v>
      </c>
      <c r="CF231" s="600">
        <f t="shared" si="1387"/>
        <v>47391</v>
      </c>
      <c r="CG231" s="600">
        <f t="shared" si="1387"/>
        <v>47483</v>
      </c>
      <c r="CH231" s="600">
        <f t="shared" si="1387"/>
        <v>47573</v>
      </c>
      <c r="CI231" s="600">
        <f t="shared" si="1387"/>
        <v>47664</v>
      </c>
      <c r="CJ231" s="600">
        <f t="shared" si="1387"/>
        <v>47756</v>
      </c>
      <c r="CK231" s="600">
        <f t="shared" si="1387"/>
        <v>47848</v>
      </c>
      <c r="CL231" s="600">
        <f t="shared" si="1387"/>
        <v>47938</v>
      </c>
      <c r="CM231" s="600">
        <f t="shared" si="1387"/>
        <v>48029</v>
      </c>
      <c r="CN231" s="600">
        <f t="shared" si="1387"/>
        <v>48121</v>
      </c>
      <c r="CO231" s="600">
        <f t="shared" si="1387"/>
        <v>48213</v>
      </c>
      <c r="CP231" s="600">
        <f t="shared" si="1387"/>
        <v>48304</v>
      </c>
      <c r="CQ231" s="600">
        <f t="shared" si="1387"/>
        <v>48395</v>
      </c>
      <c r="CR231" s="600">
        <f t="shared" si="1387"/>
        <v>48487</v>
      </c>
      <c r="CS231" s="600">
        <f t="shared" si="1387"/>
        <v>48579</v>
      </c>
      <c r="CT231" s="600">
        <f t="shared" si="1387"/>
        <v>48669</v>
      </c>
      <c r="CU231" s="600">
        <f t="shared" si="1387"/>
        <v>48760</v>
      </c>
      <c r="CV231" s="600">
        <f t="shared" si="1387"/>
        <v>48852</v>
      </c>
      <c r="CW231" s="600">
        <f t="shared" si="1387"/>
        <v>48944</v>
      </c>
      <c r="CX231" s="269"/>
    </row>
    <row r="232" spans="1:118">
      <c r="A232" s="43" t="s">
        <v>1474</v>
      </c>
      <c r="B232" s="397"/>
      <c r="C232" s="397"/>
      <c r="D232" s="397"/>
      <c r="E232" s="397"/>
      <c r="F232" s="397"/>
      <c r="G232" s="397"/>
      <c r="H232" s="397"/>
      <c r="I232" s="397"/>
      <c r="J232" s="397"/>
      <c r="K232" s="397"/>
      <c r="L232" s="397"/>
      <c r="M232" s="397"/>
      <c r="N232" s="397"/>
      <c r="O232" s="397"/>
      <c r="P232" s="397"/>
      <c r="Q232" s="397"/>
      <c r="R232" s="397"/>
      <c r="S232" s="397"/>
      <c r="T232" s="397"/>
      <c r="U232" s="397"/>
      <c r="V232" s="397"/>
      <c r="W232" s="397"/>
      <c r="X232" s="397"/>
      <c r="Y232" s="397"/>
      <c r="Z232" s="397"/>
      <c r="AA232" s="397"/>
      <c r="AB232" s="397"/>
      <c r="AC232" s="397"/>
      <c r="AD232" s="397"/>
      <c r="AE232" s="397"/>
      <c r="AF232" s="397"/>
      <c r="AG232" s="397"/>
      <c r="AH232" s="397"/>
      <c r="AI232" s="397"/>
      <c r="AJ232" s="397"/>
      <c r="AK232" s="397"/>
      <c r="AL232" s="925">
        <f>Q_IS!AL58</f>
        <v>1365</v>
      </c>
      <c r="AM232" s="925">
        <f>Q_IS!AM58</f>
        <v>1517</v>
      </c>
      <c r="AN232" s="925">
        <f>Q_IS!AN58</f>
        <v>1425</v>
      </c>
      <c r="AO232" s="925">
        <f>Q_IS!AO58</f>
        <v>1594</v>
      </c>
      <c r="AP232" s="925">
        <f>Q_IS!AP58</f>
        <v>1338</v>
      </c>
      <c r="AQ232" s="925">
        <f>Q_IS!AQ58</f>
        <v>1673</v>
      </c>
      <c r="AR232" s="925">
        <f>Q_IS!AR58</f>
        <v>1526</v>
      </c>
      <c r="AS232" s="925">
        <f>Q_IS!AS58</f>
        <v>1663</v>
      </c>
      <c r="AT232" s="925">
        <f>Q_IS!AT58</f>
        <v>1273</v>
      </c>
      <c r="AU232" s="925">
        <f>Q_IS!AU58</f>
        <v>-334</v>
      </c>
      <c r="AV232" s="925">
        <f>Q_IS!AV58</f>
        <v>518</v>
      </c>
      <c r="AW232" s="925">
        <f>Q_IS!AW58</f>
        <v>1410</v>
      </c>
      <c r="AX232" s="925">
        <f>Q_IS!AX58</f>
        <v>901</v>
      </c>
      <c r="AY232" s="925">
        <f>Q_IS!AY58</f>
        <v>1559</v>
      </c>
      <c r="AZ232" s="925">
        <f>Q_IS!AZ58</f>
        <v>1386</v>
      </c>
      <c r="BA232" s="925">
        <f>Q_IS!BA58</f>
        <v>2105</v>
      </c>
      <c r="BB232" s="925">
        <f>Q_IS!BB58</f>
        <v>1646</v>
      </c>
      <c r="BC232" s="925">
        <f>Q_IS!BC58</f>
        <v>1905</v>
      </c>
      <c r="BD232" s="925">
        <f>Q_IS!BD58</f>
        <v>1869</v>
      </c>
      <c r="BE232" s="925">
        <f>Q_IS!BE58</f>
        <v>2147</v>
      </c>
      <c r="BF232" s="925">
        <f>Q_IS!BF58</f>
        <v>1972</v>
      </c>
      <c r="BG232" s="925">
        <f>Q_IS!BG58</f>
        <v>2357</v>
      </c>
      <c r="BH232" s="925">
        <f>Q_IS!BH58</f>
        <v>2256</v>
      </c>
      <c r="BI232" s="925">
        <f>Q_IS!BI58</f>
        <v>2420</v>
      </c>
      <c r="BJ232" s="925">
        <f>Q_IS!BJ58</f>
        <v>2430</v>
      </c>
      <c r="BK232" s="1826">
        <f>Q_IS!BK58</f>
        <v>2643</v>
      </c>
      <c r="BL232" s="926">
        <f>Q_IS!BL58</f>
        <v>2473.0663655393196</v>
      </c>
      <c r="BM232" s="926">
        <f>Q_IS!BM58</f>
        <v>2585.9573845601858</v>
      </c>
      <c r="BN232" s="926">
        <f>Q_IS!BN58</f>
        <v>2527.6731619269731</v>
      </c>
      <c r="BO232" s="926">
        <f>Q_IS!BO58</f>
        <v>2743.2675713989684</v>
      </c>
      <c r="BP232" s="926">
        <f>Q_IS!BP58</f>
        <v>2608.3014537253507</v>
      </c>
      <c r="BQ232" s="926">
        <f>Q_IS!BQ58</f>
        <v>2739.8775102105392</v>
      </c>
      <c r="BR232" s="398"/>
      <c r="BS232" s="398"/>
      <c r="BT232" s="398"/>
      <c r="BU232" s="398"/>
      <c r="BV232" s="398"/>
      <c r="BW232" s="398"/>
      <c r="BX232" s="398"/>
      <c r="BY232" s="398"/>
      <c r="BZ232" s="398"/>
      <c r="CA232" s="398"/>
      <c r="CB232" s="398"/>
      <c r="CC232" s="398"/>
      <c r="CD232" s="398"/>
      <c r="CE232" s="398"/>
      <c r="CF232" s="398"/>
      <c r="CG232" s="398"/>
      <c r="CH232" s="398"/>
      <c r="CI232" s="398"/>
      <c r="CJ232" s="398"/>
      <c r="CK232" s="398"/>
      <c r="CL232" s="398"/>
      <c r="CM232" s="398"/>
      <c r="CN232" s="398"/>
      <c r="CO232" s="398"/>
      <c r="CP232" s="398"/>
      <c r="CQ232" s="398"/>
      <c r="CR232" s="398"/>
      <c r="CS232" s="398"/>
      <c r="CT232" s="398"/>
      <c r="CU232" s="398"/>
      <c r="CV232" s="398"/>
      <c r="CW232" s="398"/>
      <c r="CX232" s="269"/>
      <c r="CY232" s="269"/>
      <c r="CZ232" s="269"/>
    </row>
    <row r="233" spans="1:118">
      <c r="A233" s="43" t="s">
        <v>980</v>
      </c>
      <c r="B233" s="397"/>
      <c r="C233" s="397"/>
      <c r="D233" s="397"/>
      <c r="E233" s="397"/>
      <c r="F233" s="397"/>
      <c r="G233" s="397"/>
      <c r="H233" s="397"/>
      <c r="I233" s="397"/>
      <c r="J233" s="397"/>
      <c r="K233" s="397"/>
      <c r="L233" s="397"/>
      <c r="M233" s="397"/>
      <c r="N233" s="397"/>
      <c r="O233" s="397"/>
      <c r="P233" s="397"/>
      <c r="Q233" s="397"/>
      <c r="R233" s="397"/>
      <c r="S233" s="397"/>
      <c r="T233" s="397"/>
      <c r="U233" s="397">
        <f>Q_IS!U60</f>
        <v>0.17537404954623498</v>
      </c>
      <c r="V233" s="397">
        <f>Q_IS!V60</f>
        <v>0.16387872451646629</v>
      </c>
      <c r="W233" s="397">
        <f>Q_IS!W60</f>
        <v>0.18929215961499898</v>
      </c>
      <c r="X233" s="397">
        <f>Q_IS!X60</f>
        <v>0.19450631031922791</v>
      </c>
      <c r="Y233" s="397">
        <f>Q_IS!Y60</f>
        <v>0.21648368640791713</v>
      </c>
      <c r="Z233" s="397">
        <f>Q_IS!Z60</f>
        <v>0.21420905773771196</v>
      </c>
      <c r="AA233" s="397">
        <f>Q_IS!AA60</f>
        <v>0.23005565862708721</v>
      </c>
      <c r="AB233" s="397">
        <f>Q_IS!AB60</f>
        <v>0.23103171417101565</v>
      </c>
      <c r="AC233" s="397">
        <f>Q_IS!AC60</f>
        <v>0.26091783863804591</v>
      </c>
      <c r="AD233" s="397">
        <f>Q_IS!AD60</f>
        <v>0.22580019398642096</v>
      </c>
      <c r="AE233" s="397">
        <f>Q_IS!AE60</f>
        <v>0.23915482423335827</v>
      </c>
      <c r="AF233" s="397">
        <f>Q_IS!AF60</f>
        <v>0.24274836838288616</v>
      </c>
      <c r="AG233" s="397">
        <f>Q_IS!AG60</f>
        <v>0.24015418133065192</v>
      </c>
      <c r="AH233" s="397">
        <f>Q_IS!AH60</f>
        <v>0.22371725870111231</v>
      </c>
      <c r="AI233" s="397">
        <f>Q_IS!AI60</f>
        <v>0.23843296183721716</v>
      </c>
      <c r="AJ233" s="397">
        <f>Q_IS!AJ60</f>
        <v>0.22314192102086566</v>
      </c>
      <c r="AK233" s="397">
        <f>Q_IS!AK60</f>
        <v>0.25932309620808525</v>
      </c>
      <c r="AL233" s="397">
        <f>Q_IS!AL60</f>
        <v>0.22761380690345173</v>
      </c>
      <c r="AM233" s="397">
        <f>Q_IS!AM60</f>
        <v>0.24299215120935447</v>
      </c>
      <c r="AN233" s="397">
        <f>Q_IS!AN60</f>
        <v>0.22655007949125597</v>
      </c>
      <c r="AO233" s="397">
        <f>Q_IS!AO60</f>
        <v>0.22994806693594921</v>
      </c>
      <c r="AP233" s="397">
        <f>Q_IS!AP60</f>
        <v>0.20948802254579615</v>
      </c>
      <c r="AQ233" s="397">
        <f>Q_IS!AQ60</f>
        <v>0.24249891288592548</v>
      </c>
      <c r="AR233" s="397">
        <f>Q_IS!AR60</f>
        <v>0.2284431137724551</v>
      </c>
      <c r="AS233" s="397">
        <f>Q_IS!AS60</f>
        <v>0.22934767618259549</v>
      </c>
      <c r="AT233" s="397">
        <f>Q_IS!AT60</f>
        <v>0.20499194847020935</v>
      </c>
      <c r="AU233" s="397">
        <f>Q_IS!AU60</f>
        <v>-0.12066473988439307</v>
      </c>
      <c r="AV233" s="397">
        <f>Q_IS!AV60</f>
        <v>0.11337272926242066</v>
      </c>
      <c r="AW233" s="397">
        <f>Q_IS!AW60</f>
        <v>0.25543478260869568</v>
      </c>
      <c r="AX233" s="397">
        <f>Q_IS!AX60</f>
        <v>0.18110552763819096</v>
      </c>
      <c r="AY233" s="397">
        <f>Q_IS!AY60</f>
        <v>0.24114462490332561</v>
      </c>
      <c r="AZ233" s="397">
        <f>Q_IS!AZ60</f>
        <v>0.20671140939597316</v>
      </c>
      <c r="BA233" s="397">
        <f>Q_IS!BA60</f>
        <v>0.26747141041931383</v>
      </c>
      <c r="BB233" s="397">
        <f>Q_IS!BB60</f>
        <v>0.22440354464894341</v>
      </c>
      <c r="BC233" s="397">
        <f>Q_IS!BC60</f>
        <v>0.22795261457460811</v>
      </c>
      <c r="BD233" s="397">
        <f>Q_IS!BD60</f>
        <v>0.22242056408425562</v>
      </c>
      <c r="BE233" s="397">
        <f>Q_IS!BE60</f>
        <v>0.22906219993598634</v>
      </c>
      <c r="BF233" s="397">
        <f>Q_IS!BF60</f>
        <v>0.22026136490561823</v>
      </c>
      <c r="BG233" s="397">
        <f>Q_IS!BG60</f>
        <v>0.23975180551317263</v>
      </c>
      <c r="BH233" s="397">
        <f>Q_IS!BH60</f>
        <v>0.22787878787878788</v>
      </c>
      <c r="BI233" s="397">
        <f>Q_IS!BI60</f>
        <v>0.22671913059771406</v>
      </c>
      <c r="BJ233" s="397">
        <f>Q_IS!BJ60</f>
        <v>0.24007113218731477</v>
      </c>
      <c r="BK233" s="1824">
        <f>Q_IS!BK60</f>
        <v>0.2471479334206097</v>
      </c>
      <c r="BL233" s="398">
        <f t="shared" ref="BL233:BQ233" si="1388">CHOOSE(MASTERSWITCH,BL234,BL235,BL236)</f>
        <v>0.22999999999999998</v>
      </c>
      <c r="BM233" s="398">
        <f t="shared" si="1388"/>
        <v>0.22500000000000001</v>
      </c>
      <c r="BN233" s="398">
        <f t="shared" si="1388"/>
        <v>0.23507113218731476</v>
      </c>
      <c r="BO233" s="398">
        <f t="shared" si="1388"/>
        <v>0.2421479334206097</v>
      </c>
      <c r="BP233" s="398">
        <f t="shared" si="1388"/>
        <v>0.22999999999999998</v>
      </c>
      <c r="BQ233" s="398">
        <f t="shared" si="1388"/>
        <v>0.22500000000000001</v>
      </c>
      <c r="BR233" s="398">
        <f t="shared" ref="BR233:CK233" si="1389">CHOOSE(MASTERSWITCH,BR234,BR235,BR236)</f>
        <v>0.23507113218731476</v>
      </c>
      <c r="BS233" s="398">
        <f t="shared" si="1389"/>
        <v>0.2421479334206097</v>
      </c>
      <c r="BT233" s="398">
        <f t="shared" si="1389"/>
        <v>0.22999999999999998</v>
      </c>
      <c r="BU233" s="398">
        <f t="shared" si="1389"/>
        <v>0.22500000000000001</v>
      </c>
      <c r="BV233" s="398">
        <f t="shared" si="1389"/>
        <v>0.23507113218731476</v>
      </c>
      <c r="BW233" s="398">
        <f t="shared" si="1389"/>
        <v>0.2421479334206097</v>
      </c>
      <c r="BX233" s="398">
        <f t="shared" si="1389"/>
        <v>0.22999999999999998</v>
      </c>
      <c r="BY233" s="398">
        <f t="shared" si="1389"/>
        <v>0.22500000000000001</v>
      </c>
      <c r="BZ233" s="398">
        <f t="shared" si="1389"/>
        <v>0.23007113218731476</v>
      </c>
      <c r="CA233" s="398">
        <f t="shared" si="1389"/>
        <v>0.23714793342060969</v>
      </c>
      <c r="CB233" s="398">
        <f t="shared" si="1389"/>
        <v>0.22499999999999998</v>
      </c>
      <c r="CC233" s="398">
        <f t="shared" si="1389"/>
        <v>0.22</v>
      </c>
      <c r="CD233" s="398">
        <f t="shared" si="1389"/>
        <v>0.23007113218731476</v>
      </c>
      <c r="CE233" s="398">
        <f t="shared" si="1389"/>
        <v>0.23714793342060969</v>
      </c>
      <c r="CF233" s="398">
        <f t="shared" si="1389"/>
        <v>0.22499999999999998</v>
      </c>
      <c r="CG233" s="398">
        <f t="shared" si="1389"/>
        <v>0.22</v>
      </c>
      <c r="CH233" s="398">
        <f t="shared" si="1389"/>
        <v>0.23007113218731476</v>
      </c>
      <c r="CI233" s="398">
        <f t="shared" si="1389"/>
        <v>0.23714793342060969</v>
      </c>
      <c r="CJ233" s="398">
        <f t="shared" si="1389"/>
        <v>0.22499999999999998</v>
      </c>
      <c r="CK233" s="398">
        <f t="shared" si="1389"/>
        <v>0.22</v>
      </c>
      <c r="CL233" s="398">
        <f t="shared" ref="CL233:CP233" si="1390">CHOOSE(MASTERSWITCH,CL234,CL235,CL236)</f>
        <v>0.23007113218731476</v>
      </c>
      <c r="CM233" s="398">
        <f t="shared" si="1390"/>
        <v>0.23714793342060969</v>
      </c>
      <c r="CN233" s="398">
        <f t="shared" si="1390"/>
        <v>0.22499999999999998</v>
      </c>
      <c r="CO233" s="398">
        <f t="shared" si="1390"/>
        <v>0.22</v>
      </c>
      <c r="CP233" s="398">
        <f t="shared" si="1390"/>
        <v>0.23007113218731476</v>
      </c>
      <c r="CQ233" s="398">
        <f t="shared" ref="CQ233:CU233" si="1391">CHOOSE(MASTERSWITCH,CQ234,CQ235,CQ236)</f>
        <v>0.23714793342060969</v>
      </c>
      <c r="CR233" s="398">
        <f t="shared" si="1391"/>
        <v>0.22499999999999998</v>
      </c>
      <c r="CS233" s="398">
        <f t="shared" si="1391"/>
        <v>0.22</v>
      </c>
      <c r="CT233" s="398">
        <f t="shared" si="1391"/>
        <v>0.23007113218731476</v>
      </c>
      <c r="CU233" s="398">
        <f t="shared" si="1391"/>
        <v>0.23714793342060969</v>
      </c>
      <c r="CV233" s="398">
        <f t="shared" ref="CV233:CW233" si="1392">CHOOSE(MASTERSWITCH,CV234,CV235,CV236)</f>
        <v>0.22499999999999998</v>
      </c>
      <c r="CW233" s="398">
        <f t="shared" si="1392"/>
        <v>0.22</v>
      </c>
      <c r="CX233" s="269"/>
      <c r="CY233" s="269"/>
      <c r="CZ233" s="269"/>
    </row>
    <row r="234" spans="1:118">
      <c r="A234" s="42" t="s">
        <v>571</v>
      </c>
      <c r="B234" s="297"/>
      <c r="C234" s="297"/>
      <c r="D234" s="297"/>
      <c r="E234" s="297"/>
      <c r="F234" s="297"/>
      <c r="G234" s="297"/>
      <c r="H234" s="297"/>
      <c r="I234" s="297"/>
      <c r="J234" s="297"/>
      <c r="K234" s="297"/>
      <c r="L234" s="297"/>
      <c r="M234" s="297"/>
      <c r="N234" s="297"/>
      <c r="O234" s="297"/>
      <c r="P234" s="297"/>
      <c r="Q234" s="297"/>
      <c r="R234" s="297"/>
      <c r="S234" s="297"/>
      <c r="T234" s="297"/>
      <c r="U234" s="297">
        <f t="shared" ref="U234:AL234" si="1393">U233</f>
        <v>0.17537404954623498</v>
      </c>
      <c r="V234" s="297">
        <f t="shared" si="1393"/>
        <v>0.16387872451646629</v>
      </c>
      <c r="W234" s="297">
        <f t="shared" si="1393"/>
        <v>0.18929215961499898</v>
      </c>
      <c r="X234" s="297">
        <f t="shared" si="1393"/>
        <v>0.19450631031922791</v>
      </c>
      <c r="Y234" s="297">
        <f t="shared" si="1393"/>
        <v>0.21648368640791713</v>
      </c>
      <c r="Z234" s="297">
        <f t="shared" si="1393"/>
        <v>0.21420905773771196</v>
      </c>
      <c r="AA234" s="297">
        <f t="shared" si="1393"/>
        <v>0.23005565862708721</v>
      </c>
      <c r="AB234" s="297">
        <f t="shared" si="1393"/>
        <v>0.23103171417101565</v>
      </c>
      <c r="AC234" s="297">
        <f t="shared" si="1393"/>
        <v>0.26091783863804591</v>
      </c>
      <c r="AD234" s="297">
        <f t="shared" si="1393"/>
        <v>0.22580019398642096</v>
      </c>
      <c r="AE234" s="297">
        <f t="shared" si="1393"/>
        <v>0.23915482423335827</v>
      </c>
      <c r="AF234" s="297">
        <f t="shared" si="1393"/>
        <v>0.24274836838288616</v>
      </c>
      <c r="AG234" s="297">
        <f t="shared" si="1393"/>
        <v>0.24015418133065192</v>
      </c>
      <c r="AH234" s="297">
        <f t="shared" si="1393"/>
        <v>0.22371725870111231</v>
      </c>
      <c r="AI234" s="297">
        <f t="shared" si="1393"/>
        <v>0.23843296183721716</v>
      </c>
      <c r="AJ234" s="297">
        <f t="shared" si="1393"/>
        <v>0.22314192102086566</v>
      </c>
      <c r="AK234" s="297">
        <f t="shared" si="1393"/>
        <v>0.25932309620808525</v>
      </c>
      <c r="AL234" s="297">
        <f t="shared" si="1393"/>
        <v>0.22761380690345173</v>
      </c>
      <c r="AM234" s="297">
        <f t="shared" ref="AM234:AR234" si="1394">AM233</f>
        <v>0.24299215120935447</v>
      </c>
      <c r="AN234" s="297">
        <f t="shared" si="1394"/>
        <v>0.22655007949125597</v>
      </c>
      <c r="AO234" s="297">
        <f t="shared" si="1394"/>
        <v>0.22994806693594921</v>
      </c>
      <c r="AP234" s="297">
        <f t="shared" si="1394"/>
        <v>0.20948802254579615</v>
      </c>
      <c r="AQ234" s="297">
        <f t="shared" si="1394"/>
        <v>0.24249891288592548</v>
      </c>
      <c r="AR234" s="297">
        <f t="shared" si="1394"/>
        <v>0.2284431137724551</v>
      </c>
      <c r="AS234" s="297">
        <f t="shared" ref="AS234:BC234" si="1395">AS233</f>
        <v>0.22934767618259549</v>
      </c>
      <c r="AT234" s="297">
        <f t="shared" si="1395"/>
        <v>0.20499194847020935</v>
      </c>
      <c r="AU234" s="297">
        <f t="shared" si="1395"/>
        <v>-0.12066473988439307</v>
      </c>
      <c r="AV234" s="297">
        <f t="shared" si="1395"/>
        <v>0.11337272926242066</v>
      </c>
      <c r="AW234" s="297">
        <f t="shared" si="1395"/>
        <v>0.25543478260869568</v>
      </c>
      <c r="AX234" s="297">
        <f t="shared" si="1395"/>
        <v>0.18110552763819096</v>
      </c>
      <c r="AY234" s="297">
        <f t="shared" si="1395"/>
        <v>0.24114462490332561</v>
      </c>
      <c r="AZ234" s="297">
        <f t="shared" si="1395"/>
        <v>0.20671140939597316</v>
      </c>
      <c r="BA234" s="297">
        <f t="shared" si="1395"/>
        <v>0.26747141041931383</v>
      </c>
      <c r="BB234" s="297">
        <f t="shared" si="1395"/>
        <v>0.22440354464894341</v>
      </c>
      <c r="BC234" s="297">
        <f t="shared" si="1395"/>
        <v>0.22795261457460811</v>
      </c>
      <c r="BD234" s="297">
        <f t="shared" ref="BD234:BI234" si="1396">BD233</f>
        <v>0.22242056408425562</v>
      </c>
      <c r="BE234" s="297">
        <f t="shared" si="1396"/>
        <v>0.22906219993598634</v>
      </c>
      <c r="BF234" s="297">
        <f t="shared" si="1396"/>
        <v>0.22026136490561823</v>
      </c>
      <c r="BG234" s="297">
        <f t="shared" si="1396"/>
        <v>0.23975180551317263</v>
      </c>
      <c r="BH234" s="297">
        <f t="shared" si="1396"/>
        <v>0.22787878787878788</v>
      </c>
      <c r="BI234" s="297">
        <f t="shared" si="1396"/>
        <v>0.22671913059771406</v>
      </c>
      <c r="BJ234" s="297">
        <f t="shared" ref="BJ234:BK234" si="1397">BJ233</f>
        <v>0.24007113218731477</v>
      </c>
      <c r="BK234" s="1819">
        <f t="shared" si="1397"/>
        <v>0.2471479334206097</v>
      </c>
      <c r="BL234" s="45">
        <f t="shared" ref="BL234:BP234" si="1398">+BL235+$CY234</f>
        <v>0.23699999999999999</v>
      </c>
      <c r="BM234" s="45">
        <f t="shared" si="1398"/>
        <v>0.23200000000000001</v>
      </c>
      <c r="BN234" s="45">
        <f t="shared" si="1398"/>
        <v>0.24207113218731477</v>
      </c>
      <c r="BO234" s="45">
        <f t="shared" si="1398"/>
        <v>0.2491479334206097</v>
      </c>
      <c r="BP234" s="45">
        <f t="shared" si="1398"/>
        <v>0.23699999999999999</v>
      </c>
      <c r="BQ234" s="45">
        <f t="shared" ref="BQ234:BY234" si="1399">+BQ235+$CY234</f>
        <v>0.23200000000000001</v>
      </c>
      <c r="BR234" s="45">
        <f t="shared" si="1399"/>
        <v>0.24207113218731477</v>
      </c>
      <c r="BS234" s="45">
        <f t="shared" si="1399"/>
        <v>0.2491479334206097</v>
      </c>
      <c r="BT234" s="45">
        <f t="shared" si="1399"/>
        <v>0.23699999999999999</v>
      </c>
      <c r="BU234" s="45">
        <f t="shared" si="1399"/>
        <v>0.23200000000000001</v>
      </c>
      <c r="BV234" s="45">
        <f t="shared" si="1399"/>
        <v>0.24207113218731477</v>
      </c>
      <c r="BW234" s="45">
        <f t="shared" si="1399"/>
        <v>0.2491479334206097</v>
      </c>
      <c r="BX234" s="45">
        <f t="shared" si="1399"/>
        <v>0.23699999999999999</v>
      </c>
      <c r="BY234" s="45">
        <f t="shared" si="1399"/>
        <v>0.23200000000000001</v>
      </c>
      <c r="BZ234" s="45">
        <f t="shared" ref="BZ234:CU234" si="1400">+BZ235+$CZ234</f>
        <v>0.24207113218731477</v>
      </c>
      <c r="CA234" s="45">
        <f t="shared" si="1400"/>
        <v>0.2491479334206097</v>
      </c>
      <c r="CB234" s="45">
        <f t="shared" si="1400"/>
        <v>0.23699999999999999</v>
      </c>
      <c r="CC234" s="45">
        <f t="shared" si="1400"/>
        <v>0.23200000000000001</v>
      </c>
      <c r="CD234" s="45">
        <f t="shared" si="1400"/>
        <v>0.24207113218731477</v>
      </c>
      <c r="CE234" s="45">
        <f t="shared" si="1400"/>
        <v>0.2491479334206097</v>
      </c>
      <c r="CF234" s="45">
        <f t="shared" si="1400"/>
        <v>0.23699999999999999</v>
      </c>
      <c r="CG234" s="45">
        <f t="shared" si="1400"/>
        <v>0.23200000000000001</v>
      </c>
      <c r="CH234" s="45">
        <f t="shared" si="1400"/>
        <v>0.24207113218731477</v>
      </c>
      <c r="CI234" s="45">
        <f t="shared" si="1400"/>
        <v>0.2491479334206097</v>
      </c>
      <c r="CJ234" s="45">
        <f t="shared" si="1400"/>
        <v>0.23699999999999999</v>
      </c>
      <c r="CK234" s="45">
        <f t="shared" si="1400"/>
        <v>0.23200000000000001</v>
      </c>
      <c r="CL234" s="45">
        <f t="shared" si="1400"/>
        <v>0.24207113218731477</v>
      </c>
      <c r="CM234" s="45">
        <f t="shared" si="1400"/>
        <v>0.2491479334206097</v>
      </c>
      <c r="CN234" s="45">
        <f t="shared" si="1400"/>
        <v>0.23699999999999999</v>
      </c>
      <c r="CO234" s="45">
        <f t="shared" si="1400"/>
        <v>0.23200000000000001</v>
      </c>
      <c r="CP234" s="45">
        <f t="shared" si="1400"/>
        <v>0.24207113218731477</v>
      </c>
      <c r="CQ234" s="45">
        <f t="shared" si="1400"/>
        <v>0.2491479334206097</v>
      </c>
      <c r="CR234" s="45">
        <f t="shared" si="1400"/>
        <v>0.23699999999999999</v>
      </c>
      <c r="CS234" s="45">
        <f t="shared" si="1400"/>
        <v>0.23200000000000001</v>
      </c>
      <c r="CT234" s="45">
        <f t="shared" si="1400"/>
        <v>0.24207113218731477</v>
      </c>
      <c r="CU234" s="45">
        <f t="shared" si="1400"/>
        <v>0.2491479334206097</v>
      </c>
      <c r="CV234" s="45">
        <f t="shared" ref="CV234:CW234" si="1401">+CV235+$CZ234</f>
        <v>0.23699999999999999</v>
      </c>
      <c r="CW234" s="45">
        <f t="shared" si="1401"/>
        <v>0.23200000000000001</v>
      </c>
      <c r="CX234" s="269"/>
      <c r="CY234" s="1565">
        <v>2E-3</v>
      </c>
      <c r="CZ234" s="1565">
        <v>2E-3</v>
      </c>
    </row>
    <row r="235" spans="1:118">
      <c r="A235" s="42" t="s">
        <v>200</v>
      </c>
      <c r="B235" s="297"/>
      <c r="C235" s="297"/>
      <c r="D235" s="297"/>
      <c r="E235" s="297"/>
      <c r="F235" s="297"/>
      <c r="G235" s="297"/>
      <c r="H235" s="297"/>
      <c r="I235" s="297"/>
      <c r="J235" s="297"/>
      <c r="K235" s="297"/>
      <c r="L235" s="297"/>
      <c r="M235" s="297"/>
      <c r="N235" s="297"/>
      <c r="O235" s="297"/>
      <c r="P235" s="297"/>
      <c r="Q235" s="297"/>
      <c r="R235" s="297"/>
      <c r="S235" s="297"/>
      <c r="T235" s="297"/>
      <c r="U235" s="297">
        <f t="shared" ref="U235:AL235" si="1402">U233</f>
        <v>0.17537404954623498</v>
      </c>
      <c r="V235" s="297">
        <f t="shared" si="1402"/>
        <v>0.16387872451646629</v>
      </c>
      <c r="W235" s="297">
        <f t="shared" si="1402"/>
        <v>0.18929215961499898</v>
      </c>
      <c r="X235" s="297">
        <f t="shared" si="1402"/>
        <v>0.19450631031922791</v>
      </c>
      <c r="Y235" s="297">
        <f t="shared" si="1402"/>
        <v>0.21648368640791713</v>
      </c>
      <c r="Z235" s="297">
        <f t="shared" si="1402"/>
        <v>0.21420905773771196</v>
      </c>
      <c r="AA235" s="297">
        <f t="shared" si="1402"/>
        <v>0.23005565862708721</v>
      </c>
      <c r="AB235" s="297">
        <f t="shared" si="1402"/>
        <v>0.23103171417101565</v>
      </c>
      <c r="AC235" s="297">
        <f t="shared" si="1402"/>
        <v>0.26091783863804591</v>
      </c>
      <c r="AD235" s="297">
        <f t="shared" si="1402"/>
        <v>0.22580019398642096</v>
      </c>
      <c r="AE235" s="297">
        <f t="shared" si="1402"/>
        <v>0.23915482423335827</v>
      </c>
      <c r="AF235" s="297">
        <f t="shared" si="1402"/>
        <v>0.24274836838288616</v>
      </c>
      <c r="AG235" s="297">
        <f t="shared" si="1402"/>
        <v>0.24015418133065192</v>
      </c>
      <c r="AH235" s="297">
        <f t="shared" si="1402"/>
        <v>0.22371725870111231</v>
      </c>
      <c r="AI235" s="297">
        <f t="shared" si="1402"/>
        <v>0.23843296183721716</v>
      </c>
      <c r="AJ235" s="297">
        <f t="shared" si="1402"/>
        <v>0.22314192102086566</v>
      </c>
      <c r="AK235" s="297">
        <f t="shared" si="1402"/>
        <v>0.25932309620808525</v>
      </c>
      <c r="AL235" s="297">
        <f t="shared" si="1402"/>
        <v>0.22761380690345173</v>
      </c>
      <c r="AM235" s="297">
        <f t="shared" ref="AM235:AR235" si="1403">AM233</f>
        <v>0.24299215120935447</v>
      </c>
      <c r="AN235" s="297">
        <f t="shared" si="1403"/>
        <v>0.22655007949125597</v>
      </c>
      <c r="AO235" s="297">
        <f t="shared" si="1403"/>
        <v>0.22994806693594921</v>
      </c>
      <c r="AP235" s="297">
        <f t="shared" si="1403"/>
        <v>0.20948802254579615</v>
      </c>
      <c r="AQ235" s="297">
        <f t="shared" si="1403"/>
        <v>0.24249891288592548</v>
      </c>
      <c r="AR235" s="297">
        <f t="shared" si="1403"/>
        <v>0.2284431137724551</v>
      </c>
      <c r="AS235" s="297">
        <f t="shared" ref="AS235:BC235" si="1404">AS233</f>
        <v>0.22934767618259549</v>
      </c>
      <c r="AT235" s="297">
        <f t="shared" si="1404"/>
        <v>0.20499194847020935</v>
      </c>
      <c r="AU235" s="297">
        <f t="shared" si="1404"/>
        <v>-0.12066473988439307</v>
      </c>
      <c r="AV235" s="297">
        <f t="shared" si="1404"/>
        <v>0.11337272926242066</v>
      </c>
      <c r="AW235" s="297">
        <f t="shared" si="1404"/>
        <v>0.25543478260869568</v>
      </c>
      <c r="AX235" s="297">
        <f t="shared" si="1404"/>
        <v>0.18110552763819096</v>
      </c>
      <c r="AY235" s="297">
        <f t="shared" si="1404"/>
        <v>0.24114462490332561</v>
      </c>
      <c r="AZ235" s="297">
        <f t="shared" si="1404"/>
        <v>0.20671140939597316</v>
      </c>
      <c r="BA235" s="297">
        <f t="shared" si="1404"/>
        <v>0.26747141041931383</v>
      </c>
      <c r="BB235" s="297">
        <f t="shared" si="1404"/>
        <v>0.22440354464894341</v>
      </c>
      <c r="BC235" s="297">
        <f t="shared" si="1404"/>
        <v>0.22795261457460811</v>
      </c>
      <c r="BD235" s="297">
        <f t="shared" ref="BD235:BI235" si="1405">BD233</f>
        <v>0.22242056408425562</v>
      </c>
      <c r="BE235" s="297">
        <f t="shared" si="1405"/>
        <v>0.22906219993598634</v>
      </c>
      <c r="BF235" s="297">
        <f t="shared" si="1405"/>
        <v>0.22026136490561823</v>
      </c>
      <c r="BG235" s="297">
        <f t="shared" si="1405"/>
        <v>0.23975180551317263</v>
      </c>
      <c r="BH235" s="297">
        <f t="shared" si="1405"/>
        <v>0.22787878787878788</v>
      </c>
      <c r="BI235" s="297">
        <f t="shared" si="1405"/>
        <v>0.22671913059771406</v>
      </c>
      <c r="BJ235" s="297">
        <f t="shared" ref="BJ235:BK235" si="1406">BJ233</f>
        <v>0.24007113218731477</v>
      </c>
      <c r="BK235" s="1819">
        <f t="shared" si="1406"/>
        <v>0.2471479334206097</v>
      </c>
      <c r="BL235" s="559">
        <v>0.23499999999999999</v>
      </c>
      <c r="BM235" s="559">
        <v>0.23</v>
      </c>
      <c r="BN235" s="559">
        <f t="shared" ref="BN235:BQ235" si="1407">BJ235+$CY235</f>
        <v>0.24007113218731477</v>
      </c>
      <c r="BO235" s="559">
        <f t="shared" si="1407"/>
        <v>0.2471479334206097</v>
      </c>
      <c r="BP235" s="559">
        <f t="shared" si="1407"/>
        <v>0.23499999999999999</v>
      </c>
      <c r="BQ235" s="559">
        <f t="shared" si="1407"/>
        <v>0.23</v>
      </c>
      <c r="BR235" s="559">
        <f t="shared" ref="BR235:BY235" si="1408">BN235+$CY235</f>
        <v>0.24007113218731477</v>
      </c>
      <c r="BS235" s="559">
        <f t="shared" si="1408"/>
        <v>0.2471479334206097</v>
      </c>
      <c r="BT235" s="559">
        <f t="shared" si="1408"/>
        <v>0.23499999999999999</v>
      </c>
      <c r="BU235" s="559">
        <f t="shared" si="1408"/>
        <v>0.23</v>
      </c>
      <c r="BV235" s="559">
        <f t="shared" si="1408"/>
        <v>0.24007113218731477</v>
      </c>
      <c r="BW235" s="559">
        <f t="shared" si="1408"/>
        <v>0.2471479334206097</v>
      </c>
      <c r="BX235" s="559">
        <f t="shared" si="1408"/>
        <v>0.23499999999999999</v>
      </c>
      <c r="BY235" s="559">
        <f t="shared" si="1408"/>
        <v>0.23</v>
      </c>
      <c r="BZ235" s="559">
        <f t="shared" ref="BZ235:CU235" si="1409">BV235+$CZ235</f>
        <v>0.24007113218731477</v>
      </c>
      <c r="CA235" s="559">
        <f t="shared" si="1409"/>
        <v>0.2471479334206097</v>
      </c>
      <c r="CB235" s="559">
        <f t="shared" si="1409"/>
        <v>0.23499999999999999</v>
      </c>
      <c r="CC235" s="559">
        <f t="shared" si="1409"/>
        <v>0.23</v>
      </c>
      <c r="CD235" s="559">
        <f t="shared" si="1409"/>
        <v>0.24007113218731477</v>
      </c>
      <c r="CE235" s="559">
        <f t="shared" si="1409"/>
        <v>0.2471479334206097</v>
      </c>
      <c r="CF235" s="559">
        <f t="shared" si="1409"/>
        <v>0.23499999999999999</v>
      </c>
      <c r="CG235" s="559">
        <f t="shared" si="1409"/>
        <v>0.23</v>
      </c>
      <c r="CH235" s="559">
        <f t="shared" si="1409"/>
        <v>0.24007113218731477</v>
      </c>
      <c r="CI235" s="559">
        <f t="shared" si="1409"/>
        <v>0.2471479334206097</v>
      </c>
      <c r="CJ235" s="559">
        <f t="shared" si="1409"/>
        <v>0.23499999999999999</v>
      </c>
      <c r="CK235" s="559">
        <f t="shared" si="1409"/>
        <v>0.23</v>
      </c>
      <c r="CL235" s="559">
        <f t="shared" si="1409"/>
        <v>0.24007113218731477</v>
      </c>
      <c r="CM235" s="559">
        <f t="shared" si="1409"/>
        <v>0.2471479334206097</v>
      </c>
      <c r="CN235" s="559">
        <f t="shared" si="1409"/>
        <v>0.23499999999999999</v>
      </c>
      <c r="CO235" s="559">
        <f t="shared" si="1409"/>
        <v>0.23</v>
      </c>
      <c r="CP235" s="559">
        <f t="shared" si="1409"/>
        <v>0.24007113218731477</v>
      </c>
      <c r="CQ235" s="559">
        <f t="shared" si="1409"/>
        <v>0.2471479334206097</v>
      </c>
      <c r="CR235" s="559">
        <f t="shared" si="1409"/>
        <v>0.23499999999999999</v>
      </c>
      <c r="CS235" s="559">
        <f t="shared" si="1409"/>
        <v>0.23</v>
      </c>
      <c r="CT235" s="559">
        <f t="shared" si="1409"/>
        <v>0.24007113218731477</v>
      </c>
      <c r="CU235" s="559">
        <f t="shared" si="1409"/>
        <v>0.2471479334206097</v>
      </c>
      <c r="CV235" s="559">
        <f t="shared" ref="CV235:CW235" si="1410">CR235+$CZ235</f>
        <v>0.23499999999999999</v>
      </c>
      <c r="CW235" s="559">
        <f t="shared" si="1410"/>
        <v>0.23</v>
      </c>
      <c r="CX235" s="269"/>
      <c r="CY235" s="1565">
        <v>0</v>
      </c>
      <c r="CZ235" s="1565">
        <v>0</v>
      </c>
    </row>
    <row r="236" spans="1:118">
      <c r="A236" s="42" t="s">
        <v>202</v>
      </c>
      <c r="B236" s="297"/>
      <c r="C236" s="297"/>
      <c r="D236" s="297"/>
      <c r="E236" s="297"/>
      <c r="F236" s="297"/>
      <c r="G236" s="297"/>
      <c r="H236" s="297"/>
      <c r="I236" s="297"/>
      <c r="J236" s="297"/>
      <c r="K236" s="297"/>
      <c r="L236" s="297"/>
      <c r="M236" s="297"/>
      <c r="N236" s="297"/>
      <c r="O236" s="297"/>
      <c r="P236" s="297"/>
      <c r="Q236" s="297"/>
      <c r="R236" s="297"/>
      <c r="S236" s="297"/>
      <c r="T236" s="297"/>
      <c r="U236" s="297">
        <f t="shared" ref="U236:AL236" si="1411">U233</f>
        <v>0.17537404954623498</v>
      </c>
      <c r="V236" s="297">
        <f t="shared" si="1411"/>
        <v>0.16387872451646629</v>
      </c>
      <c r="W236" s="297">
        <f t="shared" si="1411"/>
        <v>0.18929215961499898</v>
      </c>
      <c r="X236" s="297">
        <f t="shared" si="1411"/>
        <v>0.19450631031922791</v>
      </c>
      <c r="Y236" s="297">
        <f t="shared" si="1411"/>
        <v>0.21648368640791713</v>
      </c>
      <c r="Z236" s="297">
        <f t="shared" si="1411"/>
        <v>0.21420905773771196</v>
      </c>
      <c r="AA236" s="297">
        <f t="shared" si="1411"/>
        <v>0.23005565862708721</v>
      </c>
      <c r="AB236" s="297">
        <f t="shared" si="1411"/>
        <v>0.23103171417101565</v>
      </c>
      <c r="AC236" s="297">
        <f t="shared" si="1411"/>
        <v>0.26091783863804591</v>
      </c>
      <c r="AD236" s="297">
        <f t="shared" si="1411"/>
        <v>0.22580019398642096</v>
      </c>
      <c r="AE236" s="297">
        <f t="shared" si="1411"/>
        <v>0.23915482423335827</v>
      </c>
      <c r="AF236" s="297">
        <f t="shared" si="1411"/>
        <v>0.24274836838288616</v>
      </c>
      <c r="AG236" s="297">
        <f t="shared" si="1411"/>
        <v>0.24015418133065192</v>
      </c>
      <c r="AH236" s="297">
        <f t="shared" si="1411"/>
        <v>0.22371725870111231</v>
      </c>
      <c r="AI236" s="297">
        <f t="shared" si="1411"/>
        <v>0.23843296183721716</v>
      </c>
      <c r="AJ236" s="297">
        <f t="shared" si="1411"/>
        <v>0.22314192102086566</v>
      </c>
      <c r="AK236" s="297">
        <f t="shared" si="1411"/>
        <v>0.25932309620808525</v>
      </c>
      <c r="AL236" s="297">
        <f t="shared" si="1411"/>
        <v>0.22761380690345173</v>
      </c>
      <c r="AM236" s="297">
        <f t="shared" ref="AM236:AR236" si="1412">AM233</f>
        <v>0.24299215120935447</v>
      </c>
      <c r="AN236" s="297">
        <f t="shared" si="1412"/>
        <v>0.22655007949125597</v>
      </c>
      <c r="AO236" s="297">
        <f t="shared" si="1412"/>
        <v>0.22994806693594921</v>
      </c>
      <c r="AP236" s="297">
        <f t="shared" si="1412"/>
        <v>0.20948802254579615</v>
      </c>
      <c r="AQ236" s="297">
        <f t="shared" si="1412"/>
        <v>0.24249891288592548</v>
      </c>
      <c r="AR236" s="297">
        <f t="shared" si="1412"/>
        <v>0.2284431137724551</v>
      </c>
      <c r="AS236" s="297">
        <f t="shared" ref="AS236:BC236" si="1413">AS233</f>
        <v>0.22934767618259549</v>
      </c>
      <c r="AT236" s="297">
        <f t="shared" si="1413"/>
        <v>0.20499194847020935</v>
      </c>
      <c r="AU236" s="297">
        <f t="shared" si="1413"/>
        <v>-0.12066473988439307</v>
      </c>
      <c r="AV236" s="297">
        <f t="shared" si="1413"/>
        <v>0.11337272926242066</v>
      </c>
      <c r="AW236" s="297">
        <f t="shared" si="1413"/>
        <v>0.25543478260869568</v>
      </c>
      <c r="AX236" s="297">
        <f t="shared" si="1413"/>
        <v>0.18110552763819096</v>
      </c>
      <c r="AY236" s="297">
        <f t="shared" si="1413"/>
        <v>0.24114462490332561</v>
      </c>
      <c r="AZ236" s="297">
        <f t="shared" si="1413"/>
        <v>0.20671140939597316</v>
      </c>
      <c r="BA236" s="297">
        <f t="shared" si="1413"/>
        <v>0.26747141041931383</v>
      </c>
      <c r="BB236" s="297">
        <f t="shared" si="1413"/>
        <v>0.22440354464894341</v>
      </c>
      <c r="BC236" s="297">
        <f t="shared" si="1413"/>
        <v>0.22795261457460811</v>
      </c>
      <c r="BD236" s="297">
        <f t="shared" ref="BD236:BI236" si="1414">BD233</f>
        <v>0.22242056408425562</v>
      </c>
      <c r="BE236" s="297">
        <f t="shared" si="1414"/>
        <v>0.22906219993598634</v>
      </c>
      <c r="BF236" s="297">
        <f t="shared" si="1414"/>
        <v>0.22026136490561823</v>
      </c>
      <c r="BG236" s="297">
        <f t="shared" si="1414"/>
        <v>0.23975180551317263</v>
      </c>
      <c r="BH236" s="297">
        <f t="shared" si="1414"/>
        <v>0.22787878787878788</v>
      </c>
      <c r="BI236" s="297">
        <f t="shared" si="1414"/>
        <v>0.22671913059771406</v>
      </c>
      <c r="BJ236" s="297">
        <f t="shared" ref="BJ236:BK236" si="1415">BJ233</f>
        <v>0.24007113218731477</v>
      </c>
      <c r="BK236" s="1819">
        <f t="shared" si="1415"/>
        <v>0.2471479334206097</v>
      </c>
      <c r="BL236" s="45">
        <f t="shared" ref="BL236:BP236" si="1416">+BL235+$CY236</f>
        <v>0.22999999999999998</v>
      </c>
      <c r="BM236" s="45">
        <f t="shared" si="1416"/>
        <v>0.22500000000000001</v>
      </c>
      <c r="BN236" s="45">
        <f t="shared" si="1416"/>
        <v>0.23507113218731476</v>
      </c>
      <c r="BO236" s="45">
        <f t="shared" si="1416"/>
        <v>0.2421479334206097</v>
      </c>
      <c r="BP236" s="45">
        <f t="shared" si="1416"/>
        <v>0.22999999999999998</v>
      </c>
      <c r="BQ236" s="45">
        <f t="shared" ref="BQ236:BY236" si="1417">+BQ235+$CY236</f>
        <v>0.22500000000000001</v>
      </c>
      <c r="BR236" s="45">
        <f t="shared" si="1417"/>
        <v>0.23507113218731476</v>
      </c>
      <c r="BS236" s="45">
        <f t="shared" si="1417"/>
        <v>0.2421479334206097</v>
      </c>
      <c r="BT236" s="45">
        <f t="shared" si="1417"/>
        <v>0.22999999999999998</v>
      </c>
      <c r="BU236" s="45">
        <f t="shared" si="1417"/>
        <v>0.22500000000000001</v>
      </c>
      <c r="BV236" s="45">
        <f t="shared" si="1417"/>
        <v>0.23507113218731476</v>
      </c>
      <c r="BW236" s="45">
        <f t="shared" si="1417"/>
        <v>0.2421479334206097</v>
      </c>
      <c r="BX236" s="45">
        <f t="shared" si="1417"/>
        <v>0.22999999999999998</v>
      </c>
      <c r="BY236" s="45">
        <f t="shared" si="1417"/>
        <v>0.22500000000000001</v>
      </c>
      <c r="BZ236" s="45">
        <f t="shared" ref="BZ236:CU236" si="1418">+BZ235+$CZ236</f>
        <v>0.23007113218731476</v>
      </c>
      <c r="CA236" s="45">
        <f t="shared" si="1418"/>
        <v>0.23714793342060969</v>
      </c>
      <c r="CB236" s="45">
        <f t="shared" si="1418"/>
        <v>0.22499999999999998</v>
      </c>
      <c r="CC236" s="45">
        <f t="shared" si="1418"/>
        <v>0.22</v>
      </c>
      <c r="CD236" s="45">
        <f t="shared" si="1418"/>
        <v>0.23007113218731476</v>
      </c>
      <c r="CE236" s="45">
        <f t="shared" si="1418"/>
        <v>0.23714793342060969</v>
      </c>
      <c r="CF236" s="45">
        <f t="shared" si="1418"/>
        <v>0.22499999999999998</v>
      </c>
      <c r="CG236" s="45">
        <f t="shared" si="1418"/>
        <v>0.22</v>
      </c>
      <c r="CH236" s="45">
        <f t="shared" si="1418"/>
        <v>0.23007113218731476</v>
      </c>
      <c r="CI236" s="45">
        <f t="shared" si="1418"/>
        <v>0.23714793342060969</v>
      </c>
      <c r="CJ236" s="45">
        <f t="shared" si="1418"/>
        <v>0.22499999999999998</v>
      </c>
      <c r="CK236" s="45">
        <f t="shared" si="1418"/>
        <v>0.22</v>
      </c>
      <c r="CL236" s="45">
        <f t="shared" si="1418"/>
        <v>0.23007113218731476</v>
      </c>
      <c r="CM236" s="45">
        <f t="shared" si="1418"/>
        <v>0.23714793342060969</v>
      </c>
      <c r="CN236" s="45">
        <f t="shared" si="1418"/>
        <v>0.22499999999999998</v>
      </c>
      <c r="CO236" s="45">
        <f t="shared" si="1418"/>
        <v>0.22</v>
      </c>
      <c r="CP236" s="45">
        <f t="shared" si="1418"/>
        <v>0.23007113218731476</v>
      </c>
      <c r="CQ236" s="45">
        <f t="shared" si="1418"/>
        <v>0.23714793342060969</v>
      </c>
      <c r="CR236" s="45">
        <f t="shared" si="1418"/>
        <v>0.22499999999999998</v>
      </c>
      <c r="CS236" s="45">
        <f t="shared" si="1418"/>
        <v>0.22</v>
      </c>
      <c r="CT236" s="45">
        <f t="shared" si="1418"/>
        <v>0.23007113218731476</v>
      </c>
      <c r="CU236" s="45">
        <f t="shared" si="1418"/>
        <v>0.23714793342060969</v>
      </c>
      <c r="CV236" s="45">
        <f t="shared" ref="CV236:CW236" si="1419">+CV235+$CZ236</f>
        <v>0.22499999999999998</v>
      </c>
      <c r="CW236" s="45">
        <f t="shared" si="1419"/>
        <v>0.22</v>
      </c>
      <c r="CX236" s="269"/>
      <c r="CY236" s="1565">
        <v>-5.0000000000000001E-3</v>
      </c>
      <c r="CZ236" s="1565">
        <v>-0.01</v>
      </c>
    </row>
    <row r="237" spans="1:118">
      <c r="A237" s="42"/>
      <c r="B237" s="297"/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  <c r="V237" s="297"/>
      <c r="W237" s="297"/>
      <c r="X237" s="297"/>
      <c r="Y237" s="297"/>
      <c r="Z237" s="297"/>
      <c r="AA237" s="297"/>
      <c r="AB237" s="297"/>
      <c r="AC237" s="297"/>
      <c r="AD237" s="297"/>
      <c r="AE237" s="297"/>
      <c r="AF237" s="297"/>
      <c r="AG237" s="297"/>
      <c r="AH237" s="297"/>
      <c r="AI237" s="297"/>
      <c r="AJ237" s="297"/>
      <c r="AK237" s="297"/>
      <c r="AL237" s="297"/>
      <c r="AM237" s="297"/>
      <c r="AN237" s="297"/>
      <c r="AO237" s="297"/>
      <c r="AP237" s="297"/>
      <c r="AQ237" s="297"/>
      <c r="AR237" s="297"/>
      <c r="AS237" s="297"/>
      <c r="AT237" s="297"/>
      <c r="AU237" s="297"/>
      <c r="AV237" s="297"/>
      <c r="AW237" s="297"/>
      <c r="AX237" s="297"/>
      <c r="AY237" s="297"/>
      <c r="AZ237" s="297"/>
      <c r="BA237" s="297"/>
      <c r="BB237" s="297"/>
      <c r="BC237" s="297"/>
      <c r="BD237" s="297"/>
      <c r="BE237" s="297"/>
      <c r="BF237" s="297"/>
      <c r="BG237" s="297"/>
      <c r="BH237" s="297"/>
      <c r="BI237" s="297"/>
      <c r="BJ237" s="297"/>
      <c r="BK237" s="1819"/>
      <c r="BL237" s="45"/>
      <c r="BM237" s="45"/>
      <c r="BN237" s="45"/>
      <c r="BO237" s="45"/>
      <c r="BP237" s="45"/>
      <c r="BQ237" s="45"/>
      <c r="BR237" s="45"/>
      <c r="BS237" s="45"/>
      <c r="BT237" s="45"/>
      <c r="BU237" s="45"/>
      <c r="BV237" s="45"/>
      <c r="BW237" s="45"/>
      <c r="BX237" s="45"/>
      <c r="BY237" s="45"/>
      <c r="BZ237" s="45"/>
      <c r="CA237" s="45"/>
      <c r="CB237" s="45"/>
      <c r="CC237" s="45"/>
      <c r="CD237" s="45"/>
      <c r="CE237" s="45"/>
      <c r="CF237" s="45"/>
      <c r="CG237" s="45"/>
      <c r="CH237" s="45"/>
      <c r="CI237" s="45"/>
      <c r="CJ237" s="45"/>
      <c r="CK237" s="45"/>
      <c r="CL237" s="45"/>
      <c r="CM237" s="45"/>
      <c r="CN237" s="45"/>
      <c r="CO237" s="45"/>
      <c r="CP237" s="45"/>
      <c r="CQ237" s="45"/>
      <c r="CR237" s="45"/>
      <c r="CS237" s="45"/>
      <c r="CT237" s="45"/>
      <c r="CU237" s="45"/>
      <c r="CV237" s="45"/>
      <c r="CW237" s="45"/>
      <c r="CX237" s="269"/>
      <c r="CY237" s="1565"/>
      <c r="CZ237" s="1565"/>
    </row>
    <row r="238" spans="1:118">
      <c r="A238" s="43" t="s">
        <v>1475</v>
      </c>
      <c r="B238" s="397"/>
      <c r="C238" s="397"/>
      <c r="D238" s="397"/>
      <c r="E238" s="397"/>
      <c r="F238" s="397"/>
      <c r="G238" s="397"/>
      <c r="H238" s="397"/>
      <c r="I238" s="397"/>
      <c r="J238" s="397"/>
      <c r="K238" s="397"/>
      <c r="L238" s="397"/>
      <c r="M238" s="397"/>
      <c r="N238" s="397"/>
      <c r="O238" s="397"/>
      <c r="P238" s="397"/>
      <c r="Q238" s="397"/>
      <c r="R238" s="397"/>
      <c r="S238" s="397"/>
      <c r="T238" s="397"/>
      <c r="U238" s="397"/>
      <c r="V238" s="397"/>
      <c r="W238" s="397"/>
      <c r="X238" s="397"/>
      <c r="Y238" s="397"/>
      <c r="Z238" s="397"/>
      <c r="AA238" s="397"/>
      <c r="AB238" s="397"/>
      <c r="AC238" s="397"/>
      <c r="AD238" s="397"/>
      <c r="AE238" s="397"/>
      <c r="AF238" s="397"/>
      <c r="AG238" s="397"/>
      <c r="AH238" s="397"/>
      <c r="AI238" s="397"/>
      <c r="AJ238" s="397"/>
      <c r="AK238" s="397"/>
      <c r="AL238" s="925">
        <f>Q_IS!AL123</f>
        <v>497</v>
      </c>
      <c r="AM238" s="925">
        <f>Q_IS!AM123</f>
        <v>449</v>
      </c>
      <c r="AN238" s="925">
        <f>Q_IS!AN123</f>
        <v>418</v>
      </c>
      <c r="AO238" s="925">
        <f>Q_IS!AO123</f>
        <v>552</v>
      </c>
      <c r="AP238" s="925">
        <f>Q_IS!AP123</f>
        <v>815</v>
      </c>
      <c r="AQ238" s="925">
        <f>Q_IS!AQ123</f>
        <v>865</v>
      </c>
      <c r="AR238" s="925">
        <f>Q_IS!AR123</f>
        <v>801</v>
      </c>
      <c r="AS238" s="925">
        <f>Q_IS!AS123</f>
        <v>1270</v>
      </c>
      <c r="AT238" s="925">
        <f>Q_IS!AT123</f>
        <v>390</v>
      </c>
      <c r="AU238" s="925">
        <f>Q_IS!AU123</f>
        <v>-566</v>
      </c>
      <c r="AV238" s="925">
        <f>Q_IS!AV123</f>
        <v>509</v>
      </c>
      <c r="AW238" s="925">
        <f>Q_IS!AW123</f>
        <v>854</v>
      </c>
      <c r="AX238" s="925">
        <f>Q_IS!AX123</f>
        <v>378</v>
      </c>
      <c r="AY238" s="925">
        <f>Q_IS!AY123</f>
        <v>699</v>
      </c>
      <c r="AZ238" s="925">
        <f>Q_IS!AZ123</f>
        <v>916</v>
      </c>
      <c r="BA238" s="925">
        <f>Q_IS!BA123</f>
        <v>1429</v>
      </c>
      <c r="BB238" s="925">
        <f>Q_IS!BB123</f>
        <v>791</v>
      </c>
      <c r="BC238" s="925">
        <f>Q_IS!BC123</f>
        <v>901</v>
      </c>
      <c r="BD238" s="925">
        <f>Q_IS!BD123</f>
        <v>602</v>
      </c>
      <c r="BE238" s="925">
        <f>Q_IS!BE123</f>
        <v>930</v>
      </c>
      <c r="BF238" s="925">
        <f>Q_IS!BF123</f>
        <v>726</v>
      </c>
      <c r="BG238" s="925">
        <f>Q_IS!BG123</f>
        <v>866</v>
      </c>
      <c r="BH238" s="925">
        <f>Q_IS!BH123</f>
        <v>884</v>
      </c>
      <c r="BI238" s="925">
        <f>Q_IS!BI123</f>
        <v>1065</v>
      </c>
      <c r="BJ238" s="925">
        <f>Q_IS!BJ123</f>
        <v>739</v>
      </c>
      <c r="BK238" s="1826">
        <f>Q_IS!BK123</f>
        <v>737</v>
      </c>
      <c r="BL238" s="926">
        <f>Q_IS!BL123</f>
        <v>861.77306022797984</v>
      </c>
      <c r="BM238" s="926">
        <f>Q_IS!BM123</f>
        <v>1141.6369468923569</v>
      </c>
      <c r="BN238" s="926">
        <f>Q_IS!BN123</f>
        <v>832.83749361961782</v>
      </c>
      <c r="BO238" s="926">
        <f>Q_IS!BO123</f>
        <v>851.54976561392766</v>
      </c>
      <c r="BP238" s="926">
        <f>Q_IS!BP123</f>
        <v>1005.1256229107319</v>
      </c>
      <c r="BQ238" s="926">
        <f>Q_IS!BQ123</f>
        <v>1297.2632695772854</v>
      </c>
      <c r="BR238" s="398"/>
      <c r="BS238" s="398"/>
      <c r="BT238" s="398"/>
      <c r="BU238" s="398"/>
      <c r="BV238" s="398"/>
      <c r="BW238" s="398"/>
      <c r="BX238" s="398"/>
      <c r="BY238" s="398"/>
      <c r="BZ238" s="398"/>
      <c r="CA238" s="398"/>
      <c r="CB238" s="398"/>
      <c r="CC238" s="398"/>
      <c r="CD238" s="398"/>
      <c r="CE238" s="398"/>
      <c r="CF238" s="398"/>
      <c r="CG238" s="398"/>
      <c r="CH238" s="398"/>
      <c r="CI238" s="398"/>
      <c r="CJ238" s="398"/>
      <c r="CK238" s="398"/>
      <c r="CL238" s="398"/>
      <c r="CM238" s="398"/>
      <c r="CN238" s="398"/>
      <c r="CO238" s="398"/>
      <c r="CP238" s="398"/>
      <c r="CQ238" s="398"/>
      <c r="CR238" s="398"/>
      <c r="CS238" s="398"/>
      <c r="CT238" s="398"/>
      <c r="CU238" s="398"/>
      <c r="CV238" s="398"/>
      <c r="CW238" s="398"/>
      <c r="CX238" s="269"/>
      <c r="CY238" s="269"/>
      <c r="CZ238" s="269"/>
    </row>
    <row r="239" spans="1:118">
      <c r="A239" s="43" t="s">
        <v>1165</v>
      </c>
      <c r="B239" s="397"/>
      <c r="C239" s="397"/>
      <c r="D239" s="397"/>
      <c r="E239" s="397"/>
      <c r="F239" s="397"/>
      <c r="G239" s="397"/>
      <c r="H239" s="397"/>
      <c r="I239" s="397"/>
      <c r="J239" s="397"/>
      <c r="K239" s="397"/>
      <c r="L239" s="397"/>
      <c r="M239" s="397"/>
      <c r="N239" s="397"/>
      <c r="O239" s="397"/>
      <c r="P239" s="397"/>
      <c r="Q239" s="397"/>
      <c r="R239" s="397"/>
      <c r="S239" s="397"/>
      <c r="T239" s="397"/>
      <c r="U239" s="397" t="e">
        <f>Q_IS!U125</f>
        <v>#DIV/0!</v>
      </c>
      <c r="V239" s="397" t="e">
        <f>Q_IS!V125</f>
        <v>#DIV/0!</v>
      </c>
      <c r="W239" s="397" t="e">
        <f>Q_IS!W125</f>
        <v>#DIV/0!</v>
      </c>
      <c r="X239" s="397" t="e">
        <f>Q_IS!X125</f>
        <v>#DIV/0!</v>
      </c>
      <c r="Y239" s="397">
        <f>Q_IS!Y125</f>
        <v>0.19754768392370572</v>
      </c>
      <c r="Z239" s="397">
        <f>Q_IS!Z125</f>
        <v>0.18900602409638553</v>
      </c>
      <c r="AA239" s="397">
        <f>Q_IS!AA125</f>
        <v>0.1891271056661562</v>
      </c>
      <c r="AB239" s="397">
        <f>Q_IS!AB125</f>
        <v>0.17672413793103448</v>
      </c>
      <c r="AC239" s="397">
        <f>Q_IS!AC125</f>
        <v>0.20522161505768063</v>
      </c>
      <c r="AD239" s="397">
        <f>Q_IS!AD125</f>
        <v>0.19521690767519467</v>
      </c>
      <c r="AE239" s="397">
        <f>Q_IS!AE125</f>
        <v>0.18949133594186696</v>
      </c>
      <c r="AF239" s="397">
        <f>Q_IS!AF125</f>
        <v>0.18231441048034935</v>
      </c>
      <c r="AG239" s="397">
        <f>Q_IS!AG125</f>
        <v>0.21915285451197053</v>
      </c>
      <c r="AH239" s="397">
        <f>Q_IS!AH125</f>
        <v>0.19902912621359223</v>
      </c>
      <c r="AI239" s="397">
        <f>Q_IS!AI125</f>
        <v>0.19756838905775076</v>
      </c>
      <c r="AJ239" s="397">
        <f>Q_IS!AJ125</f>
        <v>0.18208516886930984</v>
      </c>
      <c r="AK239" s="397">
        <f>Q_IS!AK125</f>
        <v>0.22222222222222221</v>
      </c>
      <c r="AL239" s="397">
        <f>Q_IS!AL125</f>
        <v>0.20032245062474807</v>
      </c>
      <c r="AM239" s="397">
        <f>Q_IS!AM125</f>
        <v>0.19041560644614081</v>
      </c>
      <c r="AN239" s="397">
        <f>Q_IS!AN125</f>
        <v>0.17726887192536048</v>
      </c>
      <c r="AO239" s="397">
        <f>Q_IS!AO125</f>
        <v>0.20520446096654274</v>
      </c>
      <c r="AP239" s="397">
        <f>Q_IS!AP125</f>
        <v>0.16193125372541228</v>
      </c>
      <c r="AQ239" s="397">
        <f>Q_IS!AQ125</f>
        <v>0.16501335368180084</v>
      </c>
      <c r="AR239" s="397">
        <f>Q_IS!AR125</f>
        <v>0.15283342873497424</v>
      </c>
      <c r="AS239" s="397">
        <f>Q_IS!AS125</f>
        <v>0.22315937445088738</v>
      </c>
      <c r="AT239" s="397">
        <f>Q_IS!AT125</f>
        <v>9.3975903614457831E-2</v>
      </c>
      <c r="AU239" s="397">
        <f>Q_IS!AU125</f>
        <v>-0.34344660194174759</v>
      </c>
      <c r="AV239" s="397">
        <f>Q_IS!AV125</f>
        <v>0.12536945812807881</v>
      </c>
      <c r="AW239" s="397">
        <f>Q_IS!AW125</f>
        <v>0.21339330334832585</v>
      </c>
      <c r="AX239" s="397">
        <f>Q_IS!AX125</f>
        <v>0.10824742268041238</v>
      </c>
      <c r="AY239" s="397">
        <f>Q_IS!AY125</f>
        <v>0.16331775700934578</v>
      </c>
      <c r="AZ239" s="397">
        <f>Q_IS!AZ125</f>
        <v>0.189648033126294</v>
      </c>
      <c r="BA239" s="397">
        <f>Q_IS!BA125</f>
        <v>0.24587061252580866</v>
      </c>
      <c r="BB239" s="397">
        <f>Q_IS!BB125</f>
        <v>0.15255544840887175</v>
      </c>
      <c r="BC239" s="397">
        <f>Q_IS!BC125</f>
        <v>0.16620549714074895</v>
      </c>
      <c r="BD239" s="397">
        <f>Q_IS!BD125</f>
        <v>0.11076356945722171</v>
      </c>
      <c r="BE239" s="397">
        <f>Q_IS!BE125</f>
        <v>0.15669755686604886</v>
      </c>
      <c r="BF239" s="397">
        <f>Q_IS!BF125</f>
        <v>0.13017751479289941</v>
      </c>
      <c r="BG239" s="397">
        <f>Q_IS!BG125</f>
        <v>0.15305761753269706</v>
      </c>
      <c r="BH239" s="397">
        <f>Q_IS!BH125</f>
        <v>0.15682100408018448</v>
      </c>
      <c r="BI239" s="397">
        <f>Q_IS!BI125</f>
        <v>0.1747620610436495</v>
      </c>
      <c r="BJ239" s="397">
        <f>Q_IS!BJ125</f>
        <v>0.13582062120933652</v>
      </c>
      <c r="BK239" s="1824">
        <f>Q_IS!BK125</f>
        <v>0.13392694893694349</v>
      </c>
      <c r="BL239" s="398">
        <f t="shared" ref="BL239:BQ239" si="1420">CHOOSE(MASTERSWITCH,BL240,BL241,BL242)</f>
        <v>0.14082100408018447</v>
      </c>
      <c r="BM239" s="398">
        <f t="shared" si="1420"/>
        <v>0.16376206104364949</v>
      </c>
      <c r="BN239" s="398">
        <f t="shared" si="1420"/>
        <v>0.13082062120933652</v>
      </c>
      <c r="BO239" s="398">
        <f t="shared" si="1420"/>
        <v>0.12892694893694348</v>
      </c>
      <c r="BP239" s="398">
        <f t="shared" si="1420"/>
        <v>0.14182100408018447</v>
      </c>
      <c r="BQ239" s="398">
        <f t="shared" si="1420"/>
        <v>0.16476206104364949</v>
      </c>
      <c r="BR239" s="398">
        <f t="shared" ref="BR239:CK239" si="1421">CHOOSE(MASTERSWITCH,BR240,BR241,BR242)</f>
        <v>0.13182062120933652</v>
      </c>
      <c r="BS239" s="398">
        <f t="shared" si="1421"/>
        <v>0.12992694893694348</v>
      </c>
      <c r="BT239" s="398">
        <f t="shared" si="1421"/>
        <v>0.14282100408018447</v>
      </c>
      <c r="BU239" s="398">
        <f t="shared" si="1421"/>
        <v>0.16576206104364949</v>
      </c>
      <c r="BV239" s="398">
        <f t="shared" si="1421"/>
        <v>0.13282062120933652</v>
      </c>
      <c r="BW239" s="398">
        <f t="shared" si="1421"/>
        <v>0.13092694893694348</v>
      </c>
      <c r="BX239" s="398">
        <f t="shared" si="1421"/>
        <v>0.14382100408018447</v>
      </c>
      <c r="BY239" s="398">
        <f t="shared" si="1421"/>
        <v>0.16676206104364949</v>
      </c>
      <c r="BZ239" s="398">
        <f t="shared" si="1421"/>
        <v>0.12632062120933651</v>
      </c>
      <c r="CA239" s="398">
        <f t="shared" si="1421"/>
        <v>0.12442694893694349</v>
      </c>
      <c r="CB239" s="398">
        <f t="shared" si="1421"/>
        <v>0.13732100408018447</v>
      </c>
      <c r="CC239" s="398">
        <f t="shared" si="1421"/>
        <v>0.16026206104364948</v>
      </c>
      <c r="CD239" s="398">
        <f t="shared" si="1421"/>
        <v>0.12682062120933651</v>
      </c>
      <c r="CE239" s="398">
        <f t="shared" si="1421"/>
        <v>0.12492694893694349</v>
      </c>
      <c r="CF239" s="398">
        <f t="shared" si="1421"/>
        <v>0.13782100408018447</v>
      </c>
      <c r="CG239" s="398">
        <f t="shared" si="1421"/>
        <v>0.16076206104364948</v>
      </c>
      <c r="CH239" s="398">
        <f t="shared" si="1421"/>
        <v>0.12732062120933652</v>
      </c>
      <c r="CI239" s="398">
        <f t="shared" si="1421"/>
        <v>0.12542694893694348</v>
      </c>
      <c r="CJ239" s="398">
        <f t="shared" si="1421"/>
        <v>0.13832100408018447</v>
      </c>
      <c r="CK239" s="398">
        <f t="shared" si="1421"/>
        <v>0.16126206104364949</v>
      </c>
      <c r="CL239" s="398">
        <f t="shared" ref="CL239:CP239" si="1422">CHOOSE(MASTERSWITCH,CL240,CL241,CL242)</f>
        <v>0.12782062120933652</v>
      </c>
      <c r="CM239" s="398">
        <f t="shared" si="1422"/>
        <v>0.12592694893694348</v>
      </c>
      <c r="CN239" s="398">
        <f t="shared" si="1422"/>
        <v>0.13882100408018447</v>
      </c>
      <c r="CO239" s="398">
        <f t="shared" si="1422"/>
        <v>0.16176206104364949</v>
      </c>
      <c r="CP239" s="398">
        <f t="shared" si="1422"/>
        <v>0.12832062120933652</v>
      </c>
      <c r="CQ239" s="398">
        <f t="shared" ref="CQ239:CU239" si="1423">CHOOSE(MASTERSWITCH,CQ240,CQ241,CQ242)</f>
        <v>0.12642694893694348</v>
      </c>
      <c r="CR239" s="398">
        <f t="shared" si="1423"/>
        <v>0.13932100408018447</v>
      </c>
      <c r="CS239" s="398">
        <f t="shared" si="1423"/>
        <v>0.16226206104364949</v>
      </c>
      <c r="CT239" s="398">
        <f t="shared" si="1423"/>
        <v>0.12882062120933652</v>
      </c>
      <c r="CU239" s="398">
        <f t="shared" si="1423"/>
        <v>0.12692694893694348</v>
      </c>
      <c r="CV239" s="398">
        <f t="shared" ref="CV239:CW239" si="1424">CHOOSE(MASTERSWITCH,CV240,CV241,CV242)</f>
        <v>0.13982100408018447</v>
      </c>
      <c r="CW239" s="398">
        <f t="shared" si="1424"/>
        <v>0.16276206104364949</v>
      </c>
      <c r="CX239" s="269"/>
      <c r="CY239" s="1559"/>
      <c r="CZ239" s="1559"/>
      <c r="DB239" s="36"/>
      <c r="DN239" s="2042"/>
    </row>
    <row r="240" spans="1:118">
      <c r="A240" s="42" t="s">
        <v>571</v>
      </c>
      <c r="B240" s="297"/>
      <c r="C240" s="297"/>
      <c r="D240" s="297"/>
      <c r="E240" s="297"/>
      <c r="F240" s="297"/>
      <c r="G240" s="297"/>
      <c r="H240" s="297"/>
      <c r="I240" s="297"/>
      <c r="J240" s="297"/>
      <c r="K240" s="297"/>
      <c r="L240" s="297"/>
      <c r="M240" s="297"/>
      <c r="N240" s="297"/>
      <c r="O240" s="297"/>
      <c r="P240" s="297"/>
      <c r="Q240" s="297"/>
      <c r="R240" s="297"/>
      <c r="S240" s="297"/>
      <c r="T240" s="297"/>
      <c r="U240" s="297" t="e">
        <f t="shared" ref="U240:AL240" si="1425">U239</f>
        <v>#DIV/0!</v>
      </c>
      <c r="V240" s="297" t="e">
        <f t="shared" si="1425"/>
        <v>#DIV/0!</v>
      </c>
      <c r="W240" s="297" t="e">
        <f t="shared" si="1425"/>
        <v>#DIV/0!</v>
      </c>
      <c r="X240" s="297" t="e">
        <f t="shared" si="1425"/>
        <v>#DIV/0!</v>
      </c>
      <c r="Y240" s="297">
        <f t="shared" si="1425"/>
        <v>0.19754768392370572</v>
      </c>
      <c r="Z240" s="297">
        <f t="shared" si="1425"/>
        <v>0.18900602409638553</v>
      </c>
      <c r="AA240" s="297">
        <f t="shared" si="1425"/>
        <v>0.1891271056661562</v>
      </c>
      <c r="AB240" s="297">
        <f t="shared" si="1425"/>
        <v>0.17672413793103448</v>
      </c>
      <c r="AC240" s="297">
        <f t="shared" si="1425"/>
        <v>0.20522161505768063</v>
      </c>
      <c r="AD240" s="297">
        <f t="shared" si="1425"/>
        <v>0.19521690767519467</v>
      </c>
      <c r="AE240" s="297">
        <f t="shared" si="1425"/>
        <v>0.18949133594186696</v>
      </c>
      <c r="AF240" s="297">
        <f t="shared" si="1425"/>
        <v>0.18231441048034935</v>
      </c>
      <c r="AG240" s="297">
        <f t="shared" si="1425"/>
        <v>0.21915285451197053</v>
      </c>
      <c r="AH240" s="297">
        <f t="shared" si="1425"/>
        <v>0.19902912621359223</v>
      </c>
      <c r="AI240" s="297">
        <f t="shared" si="1425"/>
        <v>0.19756838905775076</v>
      </c>
      <c r="AJ240" s="297">
        <f t="shared" si="1425"/>
        <v>0.18208516886930984</v>
      </c>
      <c r="AK240" s="297">
        <f t="shared" si="1425"/>
        <v>0.22222222222222221</v>
      </c>
      <c r="AL240" s="297">
        <f t="shared" si="1425"/>
        <v>0.20032245062474807</v>
      </c>
      <c r="AM240" s="297">
        <f t="shared" ref="AM240:AR240" si="1426">AM239</f>
        <v>0.19041560644614081</v>
      </c>
      <c r="AN240" s="297">
        <f t="shared" si="1426"/>
        <v>0.17726887192536048</v>
      </c>
      <c r="AO240" s="297">
        <f t="shared" si="1426"/>
        <v>0.20520446096654274</v>
      </c>
      <c r="AP240" s="297">
        <f t="shared" si="1426"/>
        <v>0.16193125372541228</v>
      </c>
      <c r="AQ240" s="297">
        <f t="shared" si="1426"/>
        <v>0.16501335368180084</v>
      </c>
      <c r="AR240" s="297">
        <f t="shared" si="1426"/>
        <v>0.15283342873497424</v>
      </c>
      <c r="AS240" s="297">
        <f t="shared" ref="AS240:BC240" si="1427">AS239</f>
        <v>0.22315937445088738</v>
      </c>
      <c r="AT240" s="297">
        <f t="shared" si="1427"/>
        <v>9.3975903614457831E-2</v>
      </c>
      <c r="AU240" s="297">
        <f t="shared" si="1427"/>
        <v>-0.34344660194174759</v>
      </c>
      <c r="AV240" s="297">
        <f t="shared" si="1427"/>
        <v>0.12536945812807881</v>
      </c>
      <c r="AW240" s="297">
        <f t="shared" si="1427"/>
        <v>0.21339330334832585</v>
      </c>
      <c r="AX240" s="297">
        <f t="shared" si="1427"/>
        <v>0.10824742268041238</v>
      </c>
      <c r="AY240" s="297">
        <f t="shared" si="1427"/>
        <v>0.16331775700934578</v>
      </c>
      <c r="AZ240" s="297">
        <f t="shared" si="1427"/>
        <v>0.189648033126294</v>
      </c>
      <c r="BA240" s="297">
        <f t="shared" si="1427"/>
        <v>0.24587061252580866</v>
      </c>
      <c r="BB240" s="297">
        <f t="shared" si="1427"/>
        <v>0.15255544840887175</v>
      </c>
      <c r="BC240" s="297">
        <f t="shared" si="1427"/>
        <v>0.16620549714074895</v>
      </c>
      <c r="BD240" s="297">
        <f t="shared" ref="BD240:BI240" si="1428">BD239</f>
        <v>0.11076356945722171</v>
      </c>
      <c r="BE240" s="297">
        <f t="shared" si="1428"/>
        <v>0.15669755686604886</v>
      </c>
      <c r="BF240" s="297">
        <f t="shared" si="1428"/>
        <v>0.13017751479289941</v>
      </c>
      <c r="BG240" s="297">
        <f t="shared" si="1428"/>
        <v>0.15305761753269706</v>
      </c>
      <c r="BH240" s="297">
        <f t="shared" si="1428"/>
        <v>0.15682100408018448</v>
      </c>
      <c r="BI240" s="297">
        <f t="shared" si="1428"/>
        <v>0.1747620610436495</v>
      </c>
      <c r="BJ240" s="297">
        <f t="shared" ref="BJ240:BK240" si="1429">BJ239</f>
        <v>0.13582062120933652</v>
      </c>
      <c r="BK240" s="1819">
        <f t="shared" si="1429"/>
        <v>0.13392694893694349</v>
      </c>
      <c r="BL240" s="45">
        <f t="shared" ref="BL240:BP240" si="1430">+BL241+$CY240</f>
        <v>0.14832100408018448</v>
      </c>
      <c r="BM240" s="45">
        <f t="shared" si="1430"/>
        <v>0.17126206104364949</v>
      </c>
      <c r="BN240" s="45">
        <f t="shared" si="1430"/>
        <v>0.13832062120933653</v>
      </c>
      <c r="BO240" s="45">
        <f t="shared" si="1430"/>
        <v>0.13642694893694349</v>
      </c>
      <c r="BP240" s="45">
        <f t="shared" si="1430"/>
        <v>0.14932100408018448</v>
      </c>
      <c r="BQ240" s="45">
        <f t="shared" ref="BQ240:BY240" si="1431">+BQ241+$CY240</f>
        <v>0.17226206104364949</v>
      </c>
      <c r="BR240" s="45">
        <f t="shared" si="1431"/>
        <v>0.13932062120933653</v>
      </c>
      <c r="BS240" s="45">
        <f t="shared" si="1431"/>
        <v>0.13742694893694349</v>
      </c>
      <c r="BT240" s="45">
        <f t="shared" si="1431"/>
        <v>0.15032100408018448</v>
      </c>
      <c r="BU240" s="45">
        <f t="shared" si="1431"/>
        <v>0.1732620610436495</v>
      </c>
      <c r="BV240" s="45">
        <f t="shared" si="1431"/>
        <v>0.14032062120933653</v>
      </c>
      <c r="BW240" s="45">
        <f t="shared" si="1431"/>
        <v>0.13842694893694349</v>
      </c>
      <c r="BX240" s="45">
        <f t="shared" si="1431"/>
        <v>0.15132100408018448</v>
      </c>
      <c r="BY240" s="45">
        <f t="shared" si="1431"/>
        <v>0.1742620610436495</v>
      </c>
      <c r="BZ240" s="45">
        <f t="shared" ref="BZ240:CU240" si="1432">+BZ241+$CZ240</f>
        <v>0.13932062120933653</v>
      </c>
      <c r="CA240" s="45">
        <f t="shared" si="1432"/>
        <v>0.13742694893694349</v>
      </c>
      <c r="CB240" s="45">
        <f t="shared" si="1432"/>
        <v>0.15032100408018448</v>
      </c>
      <c r="CC240" s="45">
        <f t="shared" si="1432"/>
        <v>0.1732620610436495</v>
      </c>
      <c r="CD240" s="45">
        <f t="shared" si="1432"/>
        <v>0.13982062120933653</v>
      </c>
      <c r="CE240" s="45">
        <f t="shared" si="1432"/>
        <v>0.13792694893694349</v>
      </c>
      <c r="CF240" s="45">
        <f t="shared" si="1432"/>
        <v>0.15082100408018448</v>
      </c>
      <c r="CG240" s="45">
        <f t="shared" si="1432"/>
        <v>0.1737620610436495</v>
      </c>
      <c r="CH240" s="45">
        <f t="shared" si="1432"/>
        <v>0.14032062120933653</v>
      </c>
      <c r="CI240" s="45">
        <f t="shared" si="1432"/>
        <v>0.13842694893694349</v>
      </c>
      <c r="CJ240" s="45">
        <f t="shared" si="1432"/>
        <v>0.15132100408018448</v>
      </c>
      <c r="CK240" s="45">
        <f t="shared" si="1432"/>
        <v>0.1742620610436495</v>
      </c>
      <c r="CL240" s="45">
        <f t="shared" si="1432"/>
        <v>0.14082062120933653</v>
      </c>
      <c r="CM240" s="45">
        <f t="shared" si="1432"/>
        <v>0.13892694893694349</v>
      </c>
      <c r="CN240" s="45">
        <f t="shared" si="1432"/>
        <v>0.15182100408018448</v>
      </c>
      <c r="CO240" s="45">
        <f t="shared" si="1432"/>
        <v>0.1747620610436495</v>
      </c>
      <c r="CP240" s="45">
        <f t="shared" si="1432"/>
        <v>0.14132062120933653</v>
      </c>
      <c r="CQ240" s="45">
        <f t="shared" si="1432"/>
        <v>0.13942694893694349</v>
      </c>
      <c r="CR240" s="45">
        <f t="shared" si="1432"/>
        <v>0.15232100408018448</v>
      </c>
      <c r="CS240" s="45">
        <f t="shared" si="1432"/>
        <v>0.1752620610436495</v>
      </c>
      <c r="CT240" s="45">
        <f t="shared" si="1432"/>
        <v>0.14182062120933653</v>
      </c>
      <c r="CU240" s="45">
        <f t="shared" si="1432"/>
        <v>0.13992694893694349</v>
      </c>
      <c r="CV240" s="45">
        <f t="shared" ref="CV240:CW240" si="1433">+CV241+$CZ240</f>
        <v>0.15282100408018448</v>
      </c>
      <c r="CW240" s="45">
        <f t="shared" si="1433"/>
        <v>0.1757620610436495</v>
      </c>
      <c r="CX240" s="269"/>
      <c r="CY240" s="1565">
        <v>1.5E-3</v>
      </c>
      <c r="CZ240" s="1565">
        <v>0</v>
      </c>
      <c r="DB240" s="36"/>
      <c r="DN240" s="2042"/>
    </row>
    <row r="241" spans="1:104">
      <c r="A241" s="42" t="s">
        <v>200</v>
      </c>
      <c r="B241" s="297"/>
      <c r="C241" s="297"/>
      <c r="D241" s="297"/>
      <c r="E241" s="297"/>
      <c r="F241" s="297"/>
      <c r="G241" s="297"/>
      <c r="H241" s="297"/>
      <c r="I241" s="297"/>
      <c r="J241" s="297"/>
      <c r="K241" s="297"/>
      <c r="L241" s="297"/>
      <c r="M241" s="297"/>
      <c r="N241" s="297"/>
      <c r="O241" s="297"/>
      <c r="P241" s="297"/>
      <c r="Q241" s="297"/>
      <c r="R241" s="297"/>
      <c r="S241" s="297"/>
      <c r="T241" s="297"/>
      <c r="U241" s="297" t="e">
        <f t="shared" ref="U241:AL241" si="1434">U239</f>
        <v>#DIV/0!</v>
      </c>
      <c r="V241" s="297" t="e">
        <f t="shared" si="1434"/>
        <v>#DIV/0!</v>
      </c>
      <c r="W241" s="297" t="e">
        <f t="shared" si="1434"/>
        <v>#DIV/0!</v>
      </c>
      <c r="X241" s="297" t="e">
        <f t="shared" si="1434"/>
        <v>#DIV/0!</v>
      </c>
      <c r="Y241" s="297">
        <f t="shared" si="1434"/>
        <v>0.19754768392370572</v>
      </c>
      <c r="Z241" s="297">
        <f t="shared" si="1434"/>
        <v>0.18900602409638553</v>
      </c>
      <c r="AA241" s="297">
        <f t="shared" si="1434"/>
        <v>0.1891271056661562</v>
      </c>
      <c r="AB241" s="297">
        <f t="shared" si="1434"/>
        <v>0.17672413793103448</v>
      </c>
      <c r="AC241" s="297">
        <f t="shared" si="1434"/>
        <v>0.20522161505768063</v>
      </c>
      <c r="AD241" s="297">
        <f t="shared" si="1434"/>
        <v>0.19521690767519467</v>
      </c>
      <c r="AE241" s="297">
        <f t="shared" si="1434"/>
        <v>0.18949133594186696</v>
      </c>
      <c r="AF241" s="297">
        <f t="shared" si="1434"/>
        <v>0.18231441048034935</v>
      </c>
      <c r="AG241" s="297">
        <f t="shared" si="1434"/>
        <v>0.21915285451197053</v>
      </c>
      <c r="AH241" s="297">
        <f t="shared" si="1434"/>
        <v>0.19902912621359223</v>
      </c>
      <c r="AI241" s="297">
        <f t="shared" si="1434"/>
        <v>0.19756838905775076</v>
      </c>
      <c r="AJ241" s="297">
        <f t="shared" si="1434"/>
        <v>0.18208516886930984</v>
      </c>
      <c r="AK241" s="297">
        <f t="shared" si="1434"/>
        <v>0.22222222222222221</v>
      </c>
      <c r="AL241" s="297">
        <f t="shared" si="1434"/>
        <v>0.20032245062474807</v>
      </c>
      <c r="AM241" s="297">
        <f t="shared" ref="AM241:AR241" si="1435">AM239</f>
        <v>0.19041560644614081</v>
      </c>
      <c r="AN241" s="297">
        <f t="shared" si="1435"/>
        <v>0.17726887192536048</v>
      </c>
      <c r="AO241" s="297">
        <f t="shared" si="1435"/>
        <v>0.20520446096654274</v>
      </c>
      <c r="AP241" s="297">
        <f t="shared" si="1435"/>
        <v>0.16193125372541228</v>
      </c>
      <c r="AQ241" s="297">
        <f t="shared" si="1435"/>
        <v>0.16501335368180084</v>
      </c>
      <c r="AR241" s="297">
        <f t="shared" si="1435"/>
        <v>0.15283342873497424</v>
      </c>
      <c r="AS241" s="297">
        <f t="shared" ref="AS241:BC241" si="1436">AS239</f>
        <v>0.22315937445088738</v>
      </c>
      <c r="AT241" s="297">
        <f t="shared" si="1436"/>
        <v>9.3975903614457831E-2</v>
      </c>
      <c r="AU241" s="297">
        <f t="shared" si="1436"/>
        <v>-0.34344660194174759</v>
      </c>
      <c r="AV241" s="297">
        <f t="shared" si="1436"/>
        <v>0.12536945812807881</v>
      </c>
      <c r="AW241" s="297">
        <f t="shared" si="1436"/>
        <v>0.21339330334832585</v>
      </c>
      <c r="AX241" s="297">
        <f t="shared" si="1436"/>
        <v>0.10824742268041238</v>
      </c>
      <c r="AY241" s="297">
        <f t="shared" si="1436"/>
        <v>0.16331775700934578</v>
      </c>
      <c r="AZ241" s="297">
        <f t="shared" si="1436"/>
        <v>0.189648033126294</v>
      </c>
      <c r="BA241" s="297">
        <f t="shared" si="1436"/>
        <v>0.24587061252580866</v>
      </c>
      <c r="BB241" s="297">
        <f t="shared" si="1436"/>
        <v>0.15255544840887175</v>
      </c>
      <c r="BC241" s="297">
        <f t="shared" si="1436"/>
        <v>0.16620549714074895</v>
      </c>
      <c r="BD241" s="297">
        <f t="shared" ref="BD241:BI241" si="1437">BD239</f>
        <v>0.11076356945722171</v>
      </c>
      <c r="BE241" s="297">
        <f t="shared" si="1437"/>
        <v>0.15669755686604886</v>
      </c>
      <c r="BF241" s="297">
        <f t="shared" si="1437"/>
        <v>0.13017751479289941</v>
      </c>
      <c r="BG241" s="297">
        <f t="shared" si="1437"/>
        <v>0.15305761753269706</v>
      </c>
      <c r="BH241" s="297">
        <f t="shared" si="1437"/>
        <v>0.15682100408018448</v>
      </c>
      <c r="BI241" s="297">
        <f t="shared" si="1437"/>
        <v>0.1747620610436495</v>
      </c>
      <c r="BJ241" s="297">
        <f t="shared" ref="BJ241:BK241" si="1438">BJ239</f>
        <v>0.13582062120933652</v>
      </c>
      <c r="BK241" s="1819">
        <f t="shared" si="1438"/>
        <v>0.13392694893694349</v>
      </c>
      <c r="BL241" s="2010">
        <f>BH241-1%</f>
        <v>0.14682100408018448</v>
      </c>
      <c r="BM241" s="2010">
        <f>BI241-0.5%</f>
        <v>0.16976206104364949</v>
      </c>
      <c r="BN241" s="559">
        <f t="shared" ref="BN241:BQ241" si="1439">BJ241+$CY241</f>
        <v>0.13682062120933652</v>
      </c>
      <c r="BO241" s="559">
        <f t="shared" si="1439"/>
        <v>0.13492694893694349</v>
      </c>
      <c r="BP241" s="559">
        <f t="shared" si="1439"/>
        <v>0.14782100408018448</v>
      </c>
      <c r="BQ241" s="559">
        <f t="shared" si="1439"/>
        <v>0.17076206104364949</v>
      </c>
      <c r="BR241" s="559">
        <f t="shared" ref="BR241:BY241" si="1440">BN241+$CY241</f>
        <v>0.13782062120933652</v>
      </c>
      <c r="BS241" s="559">
        <f t="shared" si="1440"/>
        <v>0.13592694893694349</v>
      </c>
      <c r="BT241" s="559">
        <f t="shared" si="1440"/>
        <v>0.14882100408018448</v>
      </c>
      <c r="BU241" s="559">
        <f t="shared" si="1440"/>
        <v>0.17176206104364949</v>
      </c>
      <c r="BV241" s="559">
        <f t="shared" si="1440"/>
        <v>0.13882062120933653</v>
      </c>
      <c r="BW241" s="559">
        <f t="shared" si="1440"/>
        <v>0.13692694893694349</v>
      </c>
      <c r="BX241" s="559">
        <f t="shared" si="1440"/>
        <v>0.14982100408018448</v>
      </c>
      <c r="BY241" s="559">
        <f t="shared" si="1440"/>
        <v>0.1727620610436495</v>
      </c>
      <c r="BZ241" s="559">
        <f t="shared" ref="BZ241:CV241" si="1441">BV241+$CZ241</f>
        <v>0.13932062120933653</v>
      </c>
      <c r="CA241" s="559">
        <f t="shared" si="1441"/>
        <v>0.13742694893694349</v>
      </c>
      <c r="CB241" s="559">
        <f t="shared" si="1441"/>
        <v>0.15032100408018448</v>
      </c>
      <c r="CC241" s="559">
        <f t="shared" si="1441"/>
        <v>0.1732620610436495</v>
      </c>
      <c r="CD241" s="559">
        <f t="shared" si="1441"/>
        <v>0.13982062120933653</v>
      </c>
      <c r="CE241" s="559">
        <f t="shared" si="1441"/>
        <v>0.13792694893694349</v>
      </c>
      <c r="CF241" s="559">
        <f t="shared" si="1441"/>
        <v>0.15082100408018448</v>
      </c>
      <c r="CG241" s="559">
        <f t="shared" si="1441"/>
        <v>0.1737620610436495</v>
      </c>
      <c r="CH241" s="559">
        <f t="shared" si="1441"/>
        <v>0.14032062120933653</v>
      </c>
      <c r="CI241" s="559">
        <f t="shared" si="1441"/>
        <v>0.13842694893694349</v>
      </c>
      <c r="CJ241" s="559">
        <f t="shared" si="1441"/>
        <v>0.15132100408018448</v>
      </c>
      <c r="CK241" s="559">
        <f t="shared" si="1441"/>
        <v>0.1742620610436495</v>
      </c>
      <c r="CL241" s="559">
        <f t="shared" si="1441"/>
        <v>0.14082062120933653</v>
      </c>
      <c r="CM241" s="559">
        <f t="shared" si="1441"/>
        <v>0.13892694893694349</v>
      </c>
      <c r="CN241" s="559">
        <f t="shared" si="1441"/>
        <v>0.15182100408018448</v>
      </c>
      <c r="CO241" s="559">
        <f t="shared" si="1441"/>
        <v>0.1747620610436495</v>
      </c>
      <c r="CP241" s="559">
        <f t="shared" si="1441"/>
        <v>0.14132062120933653</v>
      </c>
      <c r="CQ241" s="559">
        <f t="shared" si="1441"/>
        <v>0.13942694893694349</v>
      </c>
      <c r="CR241" s="559">
        <f t="shared" si="1441"/>
        <v>0.15232100408018448</v>
      </c>
      <c r="CS241" s="559">
        <f t="shared" si="1441"/>
        <v>0.1752620610436495</v>
      </c>
      <c r="CT241" s="559">
        <f t="shared" si="1441"/>
        <v>0.14182062120933653</v>
      </c>
      <c r="CU241" s="559">
        <f t="shared" si="1441"/>
        <v>0.13992694893694349</v>
      </c>
      <c r="CV241" s="559">
        <f t="shared" si="1441"/>
        <v>0.15282100408018448</v>
      </c>
      <c r="CW241" s="559">
        <f t="shared" ref="CW241" si="1442">CS241+$CZ241</f>
        <v>0.1757620610436495</v>
      </c>
      <c r="CX241" s="269"/>
      <c r="CY241" s="1565">
        <v>1E-3</v>
      </c>
      <c r="CZ241" s="1565">
        <v>5.0000000000000001E-4</v>
      </c>
    </row>
    <row r="242" spans="1:104">
      <c r="A242" s="42" t="s">
        <v>202</v>
      </c>
      <c r="B242" s="297"/>
      <c r="C242" s="297"/>
      <c r="D242" s="297"/>
      <c r="E242" s="297"/>
      <c r="F242" s="297"/>
      <c r="G242" s="297"/>
      <c r="H242" s="297"/>
      <c r="I242" s="297"/>
      <c r="J242" s="297"/>
      <c r="K242" s="297"/>
      <c r="L242" s="297"/>
      <c r="M242" s="297"/>
      <c r="N242" s="297"/>
      <c r="O242" s="297"/>
      <c r="P242" s="297"/>
      <c r="Q242" s="297"/>
      <c r="R242" s="297"/>
      <c r="S242" s="297"/>
      <c r="T242" s="297"/>
      <c r="U242" s="297" t="e">
        <f t="shared" ref="U242:AL242" si="1443">U239</f>
        <v>#DIV/0!</v>
      </c>
      <c r="V242" s="297" t="e">
        <f t="shared" si="1443"/>
        <v>#DIV/0!</v>
      </c>
      <c r="W242" s="297" t="e">
        <f t="shared" si="1443"/>
        <v>#DIV/0!</v>
      </c>
      <c r="X242" s="297" t="e">
        <f t="shared" si="1443"/>
        <v>#DIV/0!</v>
      </c>
      <c r="Y242" s="297">
        <f t="shared" si="1443"/>
        <v>0.19754768392370572</v>
      </c>
      <c r="Z242" s="297">
        <f t="shared" si="1443"/>
        <v>0.18900602409638553</v>
      </c>
      <c r="AA242" s="297">
        <f t="shared" si="1443"/>
        <v>0.1891271056661562</v>
      </c>
      <c r="AB242" s="297">
        <f t="shared" si="1443"/>
        <v>0.17672413793103448</v>
      </c>
      <c r="AC242" s="297">
        <f t="shared" si="1443"/>
        <v>0.20522161505768063</v>
      </c>
      <c r="AD242" s="297">
        <f t="shared" si="1443"/>
        <v>0.19521690767519467</v>
      </c>
      <c r="AE242" s="297">
        <f t="shared" si="1443"/>
        <v>0.18949133594186696</v>
      </c>
      <c r="AF242" s="297">
        <f t="shared" si="1443"/>
        <v>0.18231441048034935</v>
      </c>
      <c r="AG242" s="297">
        <f t="shared" si="1443"/>
        <v>0.21915285451197053</v>
      </c>
      <c r="AH242" s="297">
        <f t="shared" si="1443"/>
        <v>0.19902912621359223</v>
      </c>
      <c r="AI242" s="297">
        <f t="shared" si="1443"/>
        <v>0.19756838905775076</v>
      </c>
      <c r="AJ242" s="297">
        <f t="shared" si="1443"/>
        <v>0.18208516886930984</v>
      </c>
      <c r="AK242" s="297">
        <f t="shared" si="1443"/>
        <v>0.22222222222222221</v>
      </c>
      <c r="AL242" s="297">
        <f t="shared" si="1443"/>
        <v>0.20032245062474807</v>
      </c>
      <c r="AM242" s="297">
        <f t="shared" ref="AM242:AR242" si="1444">AM239</f>
        <v>0.19041560644614081</v>
      </c>
      <c r="AN242" s="297">
        <f t="shared" si="1444"/>
        <v>0.17726887192536048</v>
      </c>
      <c r="AO242" s="297">
        <f t="shared" si="1444"/>
        <v>0.20520446096654274</v>
      </c>
      <c r="AP242" s="297">
        <f t="shared" si="1444"/>
        <v>0.16193125372541228</v>
      </c>
      <c r="AQ242" s="297">
        <f t="shared" si="1444"/>
        <v>0.16501335368180084</v>
      </c>
      <c r="AR242" s="297">
        <f t="shared" si="1444"/>
        <v>0.15283342873497424</v>
      </c>
      <c r="AS242" s="297">
        <f t="shared" ref="AS242:BC242" si="1445">AS239</f>
        <v>0.22315937445088738</v>
      </c>
      <c r="AT242" s="297">
        <f t="shared" si="1445"/>
        <v>9.3975903614457831E-2</v>
      </c>
      <c r="AU242" s="297">
        <f t="shared" si="1445"/>
        <v>-0.34344660194174759</v>
      </c>
      <c r="AV242" s="297">
        <f t="shared" si="1445"/>
        <v>0.12536945812807881</v>
      </c>
      <c r="AW242" s="297">
        <f t="shared" si="1445"/>
        <v>0.21339330334832585</v>
      </c>
      <c r="AX242" s="297">
        <f t="shared" si="1445"/>
        <v>0.10824742268041238</v>
      </c>
      <c r="AY242" s="297">
        <f t="shared" si="1445"/>
        <v>0.16331775700934578</v>
      </c>
      <c r="AZ242" s="297">
        <f t="shared" si="1445"/>
        <v>0.189648033126294</v>
      </c>
      <c r="BA242" s="297">
        <f t="shared" si="1445"/>
        <v>0.24587061252580866</v>
      </c>
      <c r="BB242" s="297">
        <f t="shared" si="1445"/>
        <v>0.15255544840887175</v>
      </c>
      <c r="BC242" s="297">
        <f t="shared" si="1445"/>
        <v>0.16620549714074895</v>
      </c>
      <c r="BD242" s="297">
        <f t="shared" ref="BD242:BI242" si="1446">BD239</f>
        <v>0.11076356945722171</v>
      </c>
      <c r="BE242" s="297">
        <f t="shared" si="1446"/>
        <v>0.15669755686604886</v>
      </c>
      <c r="BF242" s="297">
        <f t="shared" si="1446"/>
        <v>0.13017751479289941</v>
      </c>
      <c r="BG242" s="297">
        <f t="shared" si="1446"/>
        <v>0.15305761753269706</v>
      </c>
      <c r="BH242" s="297">
        <f t="shared" si="1446"/>
        <v>0.15682100408018448</v>
      </c>
      <c r="BI242" s="297">
        <f t="shared" si="1446"/>
        <v>0.1747620610436495</v>
      </c>
      <c r="BJ242" s="297">
        <f t="shared" ref="BJ242:BK242" si="1447">BJ239</f>
        <v>0.13582062120933652</v>
      </c>
      <c r="BK242" s="1819">
        <f t="shared" si="1447"/>
        <v>0.13392694893694349</v>
      </c>
      <c r="BL242" s="45">
        <f t="shared" ref="BL242:BP242" si="1448">+BL241+$CY242</f>
        <v>0.14082100408018447</v>
      </c>
      <c r="BM242" s="45">
        <f t="shared" si="1448"/>
        <v>0.16376206104364949</v>
      </c>
      <c r="BN242" s="45">
        <f t="shared" si="1448"/>
        <v>0.13082062120933652</v>
      </c>
      <c r="BO242" s="45">
        <f t="shared" si="1448"/>
        <v>0.12892694893694348</v>
      </c>
      <c r="BP242" s="45">
        <f t="shared" si="1448"/>
        <v>0.14182100408018447</v>
      </c>
      <c r="BQ242" s="45">
        <f t="shared" ref="BQ242:BY242" si="1449">+BQ241+$CY242</f>
        <v>0.16476206104364949</v>
      </c>
      <c r="BR242" s="45">
        <f t="shared" si="1449"/>
        <v>0.13182062120933652</v>
      </c>
      <c r="BS242" s="45">
        <f t="shared" si="1449"/>
        <v>0.12992694893694348</v>
      </c>
      <c r="BT242" s="45">
        <f t="shared" si="1449"/>
        <v>0.14282100408018447</v>
      </c>
      <c r="BU242" s="45">
        <f t="shared" si="1449"/>
        <v>0.16576206104364949</v>
      </c>
      <c r="BV242" s="45">
        <f t="shared" si="1449"/>
        <v>0.13282062120933652</v>
      </c>
      <c r="BW242" s="45">
        <f t="shared" si="1449"/>
        <v>0.13092694893694348</v>
      </c>
      <c r="BX242" s="45">
        <f t="shared" si="1449"/>
        <v>0.14382100408018447</v>
      </c>
      <c r="BY242" s="45">
        <f t="shared" si="1449"/>
        <v>0.16676206104364949</v>
      </c>
      <c r="BZ242" s="45">
        <f t="shared" ref="BZ242:CU242" si="1450">+BZ241+$CZ242</f>
        <v>0.12632062120933651</v>
      </c>
      <c r="CA242" s="45">
        <f t="shared" si="1450"/>
        <v>0.12442694893694349</v>
      </c>
      <c r="CB242" s="45">
        <f t="shared" si="1450"/>
        <v>0.13732100408018447</v>
      </c>
      <c r="CC242" s="45">
        <f t="shared" si="1450"/>
        <v>0.16026206104364948</v>
      </c>
      <c r="CD242" s="45">
        <f t="shared" si="1450"/>
        <v>0.12682062120933651</v>
      </c>
      <c r="CE242" s="45">
        <f t="shared" si="1450"/>
        <v>0.12492694893694349</v>
      </c>
      <c r="CF242" s="45">
        <f t="shared" si="1450"/>
        <v>0.13782100408018447</v>
      </c>
      <c r="CG242" s="45">
        <f t="shared" si="1450"/>
        <v>0.16076206104364948</v>
      </c>
      <c r="CH242" s="45">
        <f t="shared" si="1450"/>
        <v>0.12732062120933652</v>
      </c>
      <c r="CI242" s="45">
        <f t="shared" si="1450"/>
        <v>0.12542694893694348</v>
      </c>
      <c r="CJ242" s="45">
        <f t="shared" si="1450"/>
        <v>0.13832100408018447</v>
      </c>
      <c r="CK242" s="45">
        <f t="shared" si="1450"/>
        <v>0.16126206104364949</v>
      </c>
      <c r="CL242" s="45">
        <f t="shared" si="1450"/>
        <v>0.12782062120933652</v>
      </c>
      <c r="CM242" s="45">
        <f t="shared" si="1450"/>
        <v>0.12592694893694348</v>
      </c>
      <c r="CN242" s="45">
        <f t="shared" si="1450"/>
        <v>0.13882100408018447</v>
      </c>
      <c r="CO242" s="45">
        <f t="shared" si="1450"/>
        <v>0.16176206104364949</v>
      </c>
      <c r="CP242" s="45">
        <f t="shared" si="1450"/>
        <v>0.12832062120933652</v>
      </c>
      <c r="CQ242" s="45">
        <f t="shared" si="1450"/>
        <v>0.12642694893694348</v>
      </c>
      <c r="CR242" s="45">
        <f t="shared" si="1450"/>
        <v>0.13932100408018447</v>
      </c>
      <c r="CS242" s="45">
        <f t="shared" si="1450"/>
        <v>0.16226206104364949</v>
      </c>
      <c r="CT242" s="45">
        <f t="shared" si="1450"/>
        <v>0.12882062120933652</v>
      </c>
      <c r="CU242" s="45">
        <f t="shared" si="1450"/>
        <v>0.12692694893694348</v>
      </c>
      <c r="CV242" s="45">
        <f t="shared" ref="CV242:CW242" si="1451">+CV241+$CZ242</f>
        <v>0.13982100408018447</v>
      </c>
      <c r="CW242" s="45">
        <f t="shared" si="1451"/>
        <v>0.16276206104364949</v>
      </c>
      <c r="CX242" s="269"/>
      <c r="CY242" s="1565">
        <v>-6.0000000000000001E-3</v>
      </c>
      <c r="CZ242" s="1565">
        <v>-1.2999999999999999E-2</v>
      </c>
    </row>
    <row r="243" spans="1:104">
      <c r="A243" s="42"/>
      <c r="B243" s="297"/>
      <c r="C243" s="297"/>
      <c r="D243" s="297"/>
      <c r="E243" s="297"/>
      <c r="F243" s="297"/>
      <c r="G243" s="297"/>
      <c r="H243" s="297"/>
      <c r="I243" s="297"/>
      <c r="J243" s="297"/>
      <c r="K243" s="297"/>
      <c r="L243" s="297"/>
      <c r="M243" s="297"/>
      <c r="N243" s="297"/>
      <c r="O243" s="297"/>
      <c r="P243" s="297"/>
      <c r="Q243" s="297"/>
      <c r="R243" s="297"/>
      <c r="S243" s="297"/>
      <c r="T243" s="297"/>
      <c r="U243" s="297"/>
      <c r="V243" s="297"/>
      <c r="W243" s="297"/>
      <c r="X243" s="297"/>
      <c r="Y243" s="297"/>
      <c r="Z243" s="297"/>
      <c r="AA243" s="297"/>
      <c r="AB243" s="297"/>
      <c r="AC243" s="297"/>
      <c r="AD243" s="297"/>
      <c r="AE243" s="297"/>
      <c r="AF243" s="297"/>
      <c r="AG243" s="297"/>
      <c r="AH243" s="297"/>
      <c r="AI243" s="297"/>
      <c r="AJ243" s="297"/>
      <c r="AK243" s="297"/>
      <c r="AL243" s="297"/>
      <c r="AM243" s="297"/>
      <c r="AN243" s="297"/>
      <c r="AO243" s="297"/>
      <c r="AP243" s="297"/>
      <c r="AQ243" s="297"/>
      <c r="AR243" s="297"/>
      <c r="AS243" s="297"/>
      <c r="AT243" s="297"/>
      <c r="AU243" s="297"/>
      <c r="AV243" s="297"/>
      <c r="AW243" s="297"/>
      <c r="AX243" s="297"/>
      <c r="AY243" s="297"/>
      <c r="AZ243" s="297"/>
      <c r="BA243" s="297"/>
      <c r="BB243" s="297"/>
      <c r="BC243" s="297"/>
      <c r="BD243" s="297"/>
      <c r="BE243" s="297"/>
      <c r="BF243" s="297"/>
      <c r="BG243" s="297"/>
      <c r="BH243" s="297"/>
      <c r="BI243" s="297"/>
      <c r="BJ243" s="297"/>
      <c r="BK243" s="1819"/>
      <c r="BL243" s="45"/>
      <c r="BM243" s="45"/>
      <c r="BN243" s="45"/>
      <c r="BO243" s="45"/>
      <c r="BP243" s="45"/>
      <c r="BQ243" s="45"/>
      <c r="BR243" s="45"/>
      <c r="BS243" s="45"/>
      <c r="BT243" s="45"/>
      <c r="BU243" s="45"/>
      <c r="BV243" s="45"/>
      <c r="BW243" s="45"/>
      <c r="BX243" s="45"/>
      <c r="BY243" s="45"/>
      <c r="BZ243" s="45"/>
      <c r="CA243" s="45"/>
      <c r="CB243" s="45"/>
      <c r="CC243" s="45"/>
      <c r="CD243" s="45"/>
      <c r="CE243" s="45"/>
      <c r="CF243" s="45"/>
      <c r="CG243" s="45"/>
      <c r="CH243" s="45"/>
      <c r="CI243" s="45"/>
      <c r="CJ243" s="45"/>
      <c r="CK243" s="45"/>
      <c r="CL243" s="45"/>
      <c r="CM243" s="45"/>
      <c r="CN243" s="45"/>
      <c r="CO243" s="45"/>
      <c r="CP243" s="45"/>
      <c r="CQ243" s="45"/>
      <c r="CR243" s="45"/>
      <c r="CS243" s="45"/>
      <c r="CT243" s="45"/>
      <c r="CU243" s="45"/>
      <c r="CV243" s="45"/>
      <c r="CW243" s="45"/>
      <c r="CX243" s="269"/>
      <c r="CY243" s="1565"/>
      <c r="CZ243" s="1565"/>
    </row>
    <row r="244" spans="1:104">
      <c r="A244" s="43" t="s">
        <v>1476</v>
      </c>
      <c r="B244" s="397"/>
      <c r="C244" s="397"/>
      <c r="D244" s="397"/>
      <c r="E244" s="397"/>
      <c r="F244" s="397"/>
      <c r="G244" s="397"/>
      <c r="H244" s="397"/>
      <c r="I244" s="397"/>
      <c r="J244" s="397"/>
      <c r="K244" s="397"/>
      <c r="L244" s="397"/>
      <c r="M244" s="397"/>
      <c r="N244" s="397"/>
      <c r="O244" s="397"/>
      <c r="P244" s="397"/>
      <c r="Q244" s="397"/>
      <c r="R244" s="397"/>
      <c r="S244" s="397"/>
      <c r="T244" s="397"/>
      <c r="U244" s="397"/>
      <c r="V244" s="397"/>
      <c r="W244" s="397"/>
      <c r="X244" s="397"/>
      <c r="Y244" s="397"/>
      <c r="Z244" s="397"/>
      <c r="AA244" s="397"/>
      <c r="AB244" s="397"/>
      <c r="AC244" s="397"/>
      <c r="AD244" s="397"/>
      <c r="AE244" s="397"/>
      <c r="AF244" s="397"/>
      <c r="AG244" s="397"/>
      <c r="AH244" s="397"/>
      <c r="AI244" s="397"/>
      <c r="AJ244" s="397"/>
      <c r="AK244" s="397"/>
      <c r="AL244" s="925">
        <f>Q_IS!AL207</f>
        <v>334</v>
      </c>
      <c r="AM244" s="925">
        <f>Q_IS!AM207</f>
        <v>364</v>
      </c>
      <c r="AN244" s="925">
        <f>Q_IS!AN207</f>
        <v>377</v>
      </c>
      <c r="AO244" s="925">
        <f>Q_IS!AO207</f>
        <v>333</v>
      </c>
      <c r="AP244" s="925">
        <f>Q_IS!AP207</f>
        <v>277</v>
      </c>
      <c r="AQ244" s="925">
        <f>Q_IS!AQ207</f>
        <v>314</v>
      </c>
      <c r="AR244" s="925">
        <f>Q_IS!AR207</f>
        <v>388</v>
      </c>
      <c r="AS244" s="925">
        <f>Q_IS!AS207</f>
        <v>284</v>
      </c>
      <c r="AT244" s="925">
        <f>Q_IS!AT207</f>
        <v>84</v>
      </c>
      <c r="AU244" s="925">
        <f>Q_IS!AU207</f>
        <v>-138</v>
      </c>
      <c r="AV244" s="925">
        <f>Q_IS!AV207</f>
        <v>109</v>
      </c>
      <c r="AW244" s="925">
        <f>Q_IS!AW207</f>
        <v>242</v>
      </c>
      <c r="AX244" s="925">
        <f>Q_IS!AX207</f>
        <v>209</v>
      </c>
      <c r="AY244" s="925">
        <f>Q_IS!AY207</f>
        <v>189</v>
      </c>
      <c r="AZ244" s="925">
        <f>Q_IS!AZ207</f>
        <v>393</v>
      </c>
      <c r="BA244" s="925">
        <f>Q_IS!BA207</f>
        <v>467</v>
      </c>
      <c r="BB244" s="925">
        <f>Q_IS!BB207</f>
        <v>372</v>
      </c>
      <c r="BC244" s="925">
        <f>Q_IS!BC207</f>
        <v>457</v>
      </c>
      <c r="BD244" s="925">
        <f>Q_IS!BD207</f>
        <v>610</v>
      </c>
      <c r="BE244" s="925">
        <f>Q_IS!BE207</f>
        <v>529</v>
      </c>
      <c r="BF244" s="925">
        <f>Q_IS!BF207</f>
        <v>504</v>
      </c>
      <c r="BG244" s="925">
        <f>Q_IS!BG207</f>
        <v>526</v>
      </c>
      <c r="BH244" s="925">
        <f>Q_IS!BH207</f>
        <v>613</v>
      </c>
      <c r="BI244" s="925">
        <f>Q_IS!BI207</f>
        <v>568</v>
      </c>
      <c r="BJ244" s="925">
        <f>Q_IS!BJ207</f>
        <v>413</v>
      </c>
      <c r="BK244" s="1826">
        <f>Q_IS!BK207</f>
        <v>414</v>
      </c>
      <c r="BL244" s="926">
        <f>Q_IS!BL207</f>
        <v>422.12082235600633</v>
      </c>
      <c r="BM244" s="926">
        <f>Q_IS!BM207</f>
        <v>390.55882309421889</v>
      </c>
      <c r="BN244" s="926">
        <f>Q_IS!BN207</f>
        <v>424.43572605930137</v>
      </c>
      <c r="BO244" s="926">
        <f>Q_IS!BO207</f>
        <v>455.69716584968927</v>
      </c>
      <c r="BP244" s="926">
        <f>Q_IS!BP207</f>
        <v>462.56114926736126</v>
      </c>
      <c r="BQ244" s="926">
        <f>Q_IS!BQ207</f>
        <v>414.37994862129</v>
      </c>
      <c r="BR244" s="398"/>
      <c r="BS244" s="398"/>
      <c r="BT244" s="398"/>
      <c r="BU244" s="398"/>
      <c r="BV244" s="398"/>
      <c r="BW244" s="398"/>
      <c r="BX244" s="398"/>
      <c r="BY244" s="398"/>
      <c r="BZ244" s="398"/>
      <c r="CA244" s="398"/>
      <c r="CB244" s="398"/>
      <c r="CC244" s="398"/>
      <c r="CD244" s="398"/>
      <c r="CE244" s="398"/>
      <c r="CF244" s="398"/>
      <c r="CG244" s="398"/>
      <c r="CH244" s="398"/>
      <c r="CI244" s="398"/>
      <c r="CJ244" s="398"/>
      <c r="CK244" s="398"/>
      <c r="CL244" s="398"/>
      <c r="CM244" s="398"/>
      <c r="CN244" s="398"/>
      <c r="CO244" s="398"/>
      <c r="CP244" s="398"/>
      <c r="CQ244" s="398"/>
      <c r="CR244" s="398"/>
      <c r="CS244" s="398"/>
      <c r="CT244" s="398"/>
      <c r="CU244" s="398"/>
      <c r="CV244" s="398"/>
      <c r="CW244" s="398"/>
      <c r="CX244" s="269"/>
      <c r="CY244" s="269"/>
      <c r="CZ244" s="269"/>
    </row>
    <row r="245" spans="1:104">
      <c r="A245" s="43" t="s">
        <v>1029</v>
      </c>
      <c r="B245" s="397"/>
      <c r="C245" s="397"/>
      <c r="D245" s="397"/>
      <c r="E245" s="397"/>
      <c r="F245" s="397"/>
      <c r="G245" s="397"/>
      <c r="H245" s="397"/>
      <c r="I245" s="397"/>
      <c r="J245" s="397"/>
      <c r="K245" s="397"/>
      <c r="L245" s="397"/>
      <c r="M245" s="397"/>
      <c r="N245" s="397"/>
      <c r="O245" s="397"/>
      <c r="P245" s="397"/>
      <c r="Q245" s="397"/>
      <c r="R245" s="397"/>
      <c r="S245" s="397"/>
      <c r="T245" s="397"/>
      <c r="U245" s="397">
        <f>Q_IS!U209</f>
        <v>0.15698462028846918</v>
      </c>
      <c r="V245" s="397">
        <f>Q_IS!V209</f>
        <v>0.13440320962888666</v>
      </c>
      <c r="W245" s="397">
        <f>Q_IS!W209</f>
        <v>0.12557286892758937</v>
      </c>
      <c r="X245" s="397">
        <f>Q_IS!X209</f>
        <v>0.14829821717990274</v>
      </c>
      <c r="Y245" s="397">
        <f>Q_IS!Y209</f>
        <v>0.17321016166281755</v>
      </c>
      <c r="Z245" s="397">
        <f>Q_IS!Z209</f>
        <v>0.12380250552689757</v>
      </c>
      <c r="AA245" s="397">
        <f>Q_IS!AA209</f>
        <v>0.14205607476635515</v>
      </c>
      <c r="AB245" s="397">
        <f>Q_IS!AB209</f>
        <v>0.16982152514872903</v>
      </c>
      <c r="AC245" s="397">
        <f>Q_IS!AC209</f>
        <v>0.16308337703198741</v>
      </c>
      <c r="AD245" s="397">
        <f>Q_IS!AD209</f>
        <v>0.12199747155499367</v>
      </c>
      <c r="AE245" s="397">
        <f>Q_IS!AE209</f>
        <v>0.13582166925868325</v>
      </c>
      <c r="AF245" s="397">
        <f>Q_IS!AF209</f>
        <v>0.1584553928095872</v>
      </c>
      <c r="AG245" s="397">
        <f>Q_IS!AG209</f>
        <v>0.17584745762711865</v>
      </c>
      <c r="AH245" s="397">
        <f>Q_IS!AH209</f>
        <v>0.14512195121951219</v>
      </c>
      <c r="AI245" s="397">
        <f>Q_IS!AI209</f>
        <v>0.15108207431604737</v>
      </c>
      <c r="AJ245" s="397">
        <f>Q_IS!AJ209</f>
        <v>0.16059225512528474</v>
      </c>
      <c r="AK245" s="397">
        <f>Q_IS!AK209</f>
        <v>0.15036496350364964</v>
      </c>
      <c r="AL245" s="397">
        <f>Q_IS!AL209</f>
        <v>0.12842315969419907</v>
      </c>
      <c r="AM245" s="397">
        <f>Q_IS!AM209</f>
        <v>0.13356812947008312</v>
      </c>
      <c r="AN245" s="397">
        <f>Q_IS!AN209</f>
        <v>0.15306536743808363</v>
      </c>
      <c r="AO245" s="397">
        <f>Q_IS!AO209</f>
        <v>0.13840399002493767</v>
      </c>
      <c r="AP245" s="397">
        <f>Q_IS!AP209</f>
        <v>0.12195197117530882</v>
      </c>
      <c r="AQ245" s="397">
        <f>Q_IS!AQ209</f>
        <v>0.12867370601992148</v>
      </c>
      <c r="AR245" s="397">
        <f>Q_IS!AR209</f>
        <v>0.15098316109708723</v>
      </c>
      <c r="AS245" s="397">
        <f>Q_IS!AS209</f>
        <v>0.11587471332228716</v>
      </c>
      <c r="AT245" s="397">
        <f>Q_IS!AT209</f>
        <v>4.7597677233351017E-2</v>
      </c>
      <c r="AU245" s="397">
        <f>Q_IS!AU209</f>
        <v>-0.17655186530883782</v>
      </c>
      <c r="AV245" s="397">
        <f>Q_IS!AV209</f>
        <v>8.6142106024336321E-2</v>
      </c>
      <c r="AW245" s="397">
        <f>Q_IS!AW209</f>
        <v>0.13632397335936633</v>
      </c>
      <c r="AX245" s="397">
        <f>Q_IS!AX209</f>
        <v>0.11895749972964204</v>
      </c>
      <c r="AY245" s="397">
        <f>Q_IS!AY209</f>
        <v>0.10916847699577593</v>
      </c>
      <c r="AZ245" s="397">
        <f>Q_IS!AZ209</f>
        <v>0.16216604317330474</v>
      </c>
      <c r="BA245" s="397">
        <f>Q_IS!BA209</f>
        <v>0.15309276897284915</v>
      </c>
      <c r="BB245" s="397">
        <f>Q_IS!BB209</f>
        <v>0.13735401520494178</v>
      </c>
      <c r="BC245" s="397">
        <f>Q_IS!BC209</f>
        <v>0.14454066431774909</v>
      </c>
      <c r="BD245" s="397">
        <f>Q_IS!BD209</f>
        <v>0.16576370736781634</v>
      </c>
      <c r="BE245" s="397">
        <f>Q_IS!BE209</f>
        <v>0.13784279927717216</v>
      </c>
      <c r="BF245" s="397">
        <f>Q_IS!BF209</f>
        <v>0.16073822217785622</v>
      </c>
      <c r="BG245" s="397">
        <f>Q_IS!BG209</f>
        <v>0.15200247365242292</v>
      </c>
      <c r="BH245" s="397">
        <f>Q_IS!BH209</f>
        <v>0.15590851298631439</v>
      </c>
      <c r="BI245" s="397">
        <f>Q_IS!BI209</f>
        <v>0.16814797732489004</v>
      </c>
      <c r="BJ245" s="397">
        <f>Q_IS!BJ209</f>
        <v>0.15648942313375944</v>
      </c>
      <c r="BK245" s="1824">
        <f>Q_IS!BK209</f>
        <v>0.13545032817258859</v>
      </c>
      <c r="BL245" s="398">
        <f t="shared" ref="BL245:BQ245" si="1452">CHOOSE(MASTERSWITCH,BL246,BL247,BL248)</f>
        <v>0.13045032817258859</v>
      </c>
      <c r="BM245" s="398">
        <f t="shared" si="1452"/>
        <v>0.155</v>
      </c>
      <c r="BN245" s="398">
        <f t="shared" si="1452"/>
        <v>0.15198942313375943</v>
      </c>
      <c r="BO245" s="398">
        <f t="shared" si="1452"/>
        <v>0.13095032817258859</v>
      </c>
      <c r="BP245" s="398">
        <f t="shared" si="1452"/>
        <v>0.13095032817258859</v>
      </c>
      <c r="BQ245" s="398">
        <f t="shared" si="1452"/>
        <v>0.1555</v>
      </c>
      <c r="BR245" s="398">
        <f t="shared" ref="BR245:CK245" si="1453">CHOOSE(MASTERSWITCH,BR246,BR247,BR248)</f>
        <v>0.15248942313375943</v>
      </c>
      <c r="BS245" s="398">
        <f t="shared" si="1453"/>
        <v>0.13145032817258859</v>
      </c>
      <c r="BT245" s="398">
        <f t="shared" si="1453"/>
        <v>0.13145032817258859</v>
      </c>
      <c r="BU245" s="398">
        <f t="shared" si="1453"/>
        <v>0.156</v>
      </c>
      <c r="BV245" s="398">
        <f t="shared" si="1453"/>
        <v>0.15298942313375943</v>
      </c>
      <c r="BW245" s="398">
        <f t="shared" si="1453"/>
        <v>0.13195032817258859</v>
      </c>
      <c r="BX245" s="398">
        <f t="shared" si="1453"/>
        <v>0.13195032817258859</v>
      </c>
      <c r="BY245" s="398">
        <f t="shared" si="1453"/>
        <v>0.1565</v>
      </c>
      <c r="BZ245" s="398">
        <f t="shared" si="1453"/>
        <v>0.15348942313375943</v>
      </c>
      <c r="CA245" s="398">
        <f t="shared" si="1453"/>
        <v>0.13245032817258859</v>
      </c>
      <c r="CB245" s="398">
        <f t="shared" si="1453"/>
        <v>0.13245032817258859</v>
      </c>
      <c r="CC245" s="398">
        <f t="shared" si="1453"/>
        <v>0.157</v>
      </c>
      <c r="CD245" s="398">
        <f t="shared" si="1453"/>
        <v>0.15398942313375943</v>
      </c>
      <c r="CE245" s="398">
        <f t="shared" si="1453"/>
        <v>0.13295032817258859</v>
      </c>
      <c r="CF245" s="398">
        <f t="shared" si="1453"/>
        <v>0.13295032817258859</v>
      </c>
      <c r="CG245" s="398">
        <f t="shared" si="1453"/>
        <v>0.1575</v>
      </c>
      <c r="CH245" s="398">
        <f t="shared" si="1453"/>
        <v>0.15448942313375943</v>
      </c>
      <c r="CI245" s="398">
        <f t="shared" si="1453"/>
        <v>0.13345032817258859</v>
      </c>
      <c r="CJ245" s="398">
        <f t="shared" si="1453"/>
        <v>0.13345032817258859</v>
      </c>
      <c r="CK245" s="398">
        <f t="shared" si="1453"/>
        <v>0.158</v>
      </c>
      <c r="CL245" s="398">
        <f t="shared" ref="CL245:CP245" si="1454">CHOOSE(MASTERSWITCH,CL246,CL247,CL248)</f>
        <v>0.15498942313375944</v>
      </c>
      <c r="CM245" s="398">
        <f t="shared" si="1454"/>
        <v>0.13395032817258859</v>
      </c>
      <c r="CN245" s="398">
        <f t="shared" si="1454"/>
        <v>0.13395032817258859</v>
      </c>
      <c r="CO245" s="398">
        <f t="shared" si="1454"/>
        <v>0.1585</v>
      </c>
      <c r="CP245" s="398">
        <f t="shared" si="1454"/>
        <v>0.15548942313375944</v>
      </c>
      <c r="CQ245" s="398">
        <f t="shared" ref="CQ245:CU245" si="1455">CHOOSE(MASTERSWITCH,CQ246,CQ247,CQ248)</f>
        <v>0.13445032817258859</v>
      </c>
      <c r="CR245" s="398">
        <f t="shared" si="1455"/>
        <v>0.13445032817258859</v>
      </c>
      <c r="CS245" s="398">
        <f t="shared" si="1455"/>
        <v>0.159</v>
      </c>
      <c r="CT245" s="398">
        <f t="shared" si="1455"/>
        <v>0.15598942313375944</v>
      </c>
      <c r="CU245" s="398">
        <f t="shared" si="1455"/>
        <v>0.13495032817258859</v>
      </c>
      <c r="CV245" s="398">
        <f t="shared" ref="CV245:CW245" si="1456">CHOOSE(MASTERSWITCH,CV246,CV247,CV248)</f>
        <v>0.13495032817258859</v>
      </c>
      <c r="CW245" s="398">
        <f t="shared" si="1456"/>
        <v>0.1595</v>
      </c>
      <c r="CX245" s="269"/>
      <c r="CY245" s="1559"/>
      <c r="CZ245" s="1559"/>
    </row>
    <row r="246" spans="1:104">
      <c r="A246" s="42" t="s">
        <v>571</v>
      </c>
      <c r="B246" s="297"/>
      <c r="C246" s="297"/>
      <c r="D246" s="297"/>
      <c r="E246" s="297"/>
      <c r="F246" s="297"/>
      <c r="G246" s="297"/>
      <c r="H246" s="297"/>
      <c r="I246" s="297"/>
      <c r="J246" s="297"/>
      <c r="K246" s="297"/>
      <c r="L246" s="297"/>
      <c r="M246" s="297"/>
      <c r="N246" s="297"/>
      <c r="O246" s="297"/>
      <c r="P246" s="297"/>
      <c r="Q246" s="297"/>
      <c r="R246" s="297"/>
      <c r="S246" s="297"/>
      <c r="T246" s="297"/>
      <c r="U246" s="297">
        <f t="shared" ref="U246:AL246" si="1457">U245</f>
        <v>0.15698462028846918</v>
      </c>
      <c r="V246" s="297">
        <f t="shared" si="1457"/>
        <v>0.13440320962888666</v>
      </c>
      <c r="W246" s="297">
        <f t="shared" si="1457"/>
        <v>0.12557286892758937</v>
      </c>
      <c r="X246" s="297">
        <f t="shared" si="1457"/>
        <v>0.14829821717990274</v>
      </c>
      <c r="Y246" s="297">
        <f t="shared" si="1457"/>
        <v>0.17321016166281755</v>
      </c>
      <c r="Z246" s="297">
        <f t="shared" si="1457"/>
        <v>0.12380250552689757</v>
      </c>
      <c r="AA246" s="297">
        <f t="shared" si="1457"/>
        <v>0.14205607476635515</v>
      </c>
      <c r="AB246" s="297">
        <f t="shared" si="1457"/>
        <v>0.16982152514872903</v>
      </c>
      <c r="AC246" s="297">
        <f t="shared" si="1457"/>
        <v>0.16308337703198741</v>
      </c>
      <c r="AD246" s="297">
        <f t="shared" si="1457"/>
        <v>0.12199747155499367</v>
      </c>
      <c r="AE246" s="297">
        <f t="shared" si="1457"/>
        <v>0.13582166925868325</v>
      </c>
      <c r="AF246" s="297">
        <f t="shared" si="1457"/>
        <v>0.1584553928095872</v>
      </c>
      <c r="AG246" s="297">
        <f t="shared" si="1457"/>
        <v>0.17584745762711865</v>
      </c>
      <c r="AH246" s="297">
        <f t="shared" si="1457"/>
        <v>0.14512195121951219</v>
      </c>
      <c r="AI246" s="297">
        <f t="shared" si="1457"/>
        <v>0.15108207431604737</v>
      </c>
      <c r="AJ246" s="297">
        <f t="shared" si="1457"/>
        <v>0.16059225512528474</v>
      </c>
      <c r="AK246" s="297">
        <f t="shared" si="1457"/>
        <v>0.15036496350364964</v>
      </c>
      <c r="AL246" s="297">
        <f t="shared" si="1457"/>
        <v>0.12842315969419907</v>
      </c>
      <c r="AM246" s="297">
        <f t="shared" ref="AM246:AR246" si="1458">AM245</f>
        <v>0.13356812947008312</v>
      </c>
      <c r="AN246" s="297">
        <f t="shared" si="1458"/>
        <v>0.15306536743808363</v>
      </c>
      <c r="AO246" s="297">
        <f t="shared" si="1458"/>
        <v>0.13840399002493767</v>
      </c>
      <c r="AP246" s="297">
        <f t="shared" si="1458"/>
        <v>0.12195197117530882</v>
      </c>
      <c r="AQ246" s="297">
        <f t="shared" si="1458"/>
        <v>0.12867370601992148</v>
      </c>
      <c r="AR246" s="297">
        <f t="shared" si="1458"/>
        <v>0.15098316109708723</v>
      </c>
      <c r="AS246" s="297">
        <f t="shared" ref="AS246:BC246" si="1459">AS245</f>
        <v>0.11587471332228716</v>
      </c>
      <c r="AT246" s="297">
        <f t="shared" si="1459"/>
        <v>4.7597677233351017E-2</v>
      </c>
      <c r="AU246" s="297">
        <f t="shared" si="1459"/>
        <v>-0.17655186530883782</v>
      </c>
      <c r="AV246" s="297">
        <f t="shared" si="1459"/>
        <v>8.6142106024336321E-2</v>
      </c>
      <c r="AW246" s="297">
        <f t="shared" si="1459"/>
        <v>0.13632397335936633</v>
      </c>
      <c r="AX246" s="297">
        <f t="shared" si="1459"/>
        <v>0.11895749972964204</v>
      </c>
      <c r="AY246" s="297">
        <f t="shared" si="1459"/>
        <v>0.10916847699577593</v>
      </c>
      <c r="AZ246" s="297">
        <f t="shared" si="1459"/>
        <v>0.16216604317330474</v>
      </c>
      <c r="BA246" s="297">
        <f t="shared" si="1459"/>
        <v>0.15309276897284915</v>
      </c>
      <c r="BB246" s="297">
        <f t="shared" si="1459"/>
        <v>0.13735401520494178</v>
      </c>
      <c r="BC246" s="297">
        <f t="shared" si="1459"/>
        <v>0.14454066431774909</v>
      </c>
      <c r="BD246" s="297">
        <f t="shared" ref="BD246:BI246" si="1460">BD245</f>
        <v>0.16576370736781634</v>
      </c>
      <c r="BE246" s="297">
        <f t="shared" si="1460"/>
        <v>0.13784279927717216</v>
      </c>
      <c r="BF246" s="297">
        <f t="shared" si="1460"/>
        <v>0.16073822217785622</v>
      </c>
      <c r="BG246" s="297">
        <f t="shared" si="1460"/>
        <v>0.15200247365242292</v>
      </c>
      <c r="BH246" s="297">
        <f t="shared" si="1460"/>
        <v>0.15590851298631439</v>
      </c>
      <c r="BI246" s="297">
        <f t="shared" si="1460"/>
        <v>0.16814797732489004</v>
      </c>
      <c r="BJ246" s="297">
        <f t="shared" ref="BJ246:BK246" si="1461">BJ245</f>
        <v>0.15648942313375944</v>
      </c>
      <c r="BK246" s="1819">
        <f t="shared" si="1461"/>
        <v>0.13545032817258859</v>
      </c>
      <c r="BL246" s="45">
        <f t="shared" ref="BL246:BP246" si="1462">+BL247+$CY246</f>
        <v>0.1404503281725886</v>
      </c>
      <c r="BM246" s="45">
        <f t="shared" si="1462"/>
        <v>0.16500000000000001</v>
      </c>
      <c r="BN246" s="45">
        <f t="shared" si="1462"/>
        <v>0.16198942313375944</v>
      </c>
      <c r="BO246" s="45">
        <f t="shared" si="1462"/>
        <v>0.1409503281725886</v>
      </c>
      <c r="BP246" s="45">
        <f t="shared" si="1462"/>
        <v>0.1409503281725886</v>
      </c>
      <c r="BQ246" s="45">
        <f t="shared" ref="BQ246:BY246" si="1463">+BQ247+$CY246</f>
        <v>0.16550000000000001</v>
      </c>
      <c r="BR246" s="45">
        <f t="shared" si="1463"/>
        <v>0.16248942313375944</v>
      </c>
      <c r="BS246" s="45">
        <f t="shared" si="1463"/>
        <v>0.1414503281725886</v>
      </c>
      <c r="BT246" s="45">
        <f t="shared" si="1463"/>
        <v>0.1414503281725886</v>
      </c>
      <c r="BU246" s="45">
        <f t="shared" si="1463"/>
        <v>0.16600000000000001</v>
      </c>
      <c r="BV246" s="45">
        <f t="shared" si="1463"/>
        <v>0.16298942313375944</v>
      </c>
      <c r="BW246" s="45">
        <f t="shared" si="1463"/>
        <v>0.1419503281725886</v>
      </c>
      <c r="BX246" s="45">
        <f t="shared" si="1463"/>
        <v>0.1419503281725886</v>
      </c>
      <c r="BY246" s="45">
        <f t="shared" si="1463"/>
        <v>0.16650000000000001</v>
      </c>
      <c r="BZ246" s="45">
        <f t="shared" ref="BZ246:CU246" si="1464">+BZ247+$CZ246</f>
        <v>0.15948942313375944</v>
      </c>
      <c r="CA246" s="45">
        <f t="shared" si="1464"/>
        <v>0.13845032817258859</v>
      </c>
      <c r="CB246" s="45">
        <f t="shared" si="1464"/>
        <v>0.13845032817258859</v>
      </c>
      <c r="CC246" s="45">
        <f t="shared" si="1464"/>
        <v>0.16300000000000001</v>
      </c>
      <c r="CD246" s="45">
        <f t="shared" si="1464"/>
        <v>0.15998942313375944</v>
      </c>
      <c r="CE246" s="45">
        <f t="shared" si="1464"/>
        <v>0.13895032817258859</v>
      </c>
      <c r="CF246" s="45">
        <f t="shared" si="1464"/>
        <v>0.13895032817258859</v>
      </c>
      <c r="CG246" s="45">
        <f t="shared" si="1464"/>
        <v>0.16350000000000001</v>
      </c>
      <c r="CH246" s="45">
        <f t="shared" si="1464"/>
        <v>0.16048942313375944</v>
      </c>
      <c r="CI246" s="45">
        <f t="shared" si="1464"/>
        <v>0.13945032817258859</v>
      </c>
      <c r="CJ246" s="45">
        <f t="shared" si="1464"/>
        <v>0.13945032817258859</v>
      </c>
      <c r="CK246" s="45">
        <f t="shared" si="1464"/>
        <v>0.16400000000000001</v>
      </c>
      <c r="CL246" s="45">
        <f t="shared" si="1464"/>
        <v>0.16098942313375944</v>
      </c>
      <c r="CM246" s="45">
        <f t="shared" si="1464"/>
        <v>0.1399503281725886</v>
      </c>
      <c r="CN246" s="45">
        <f t="shared" si="1464"/>
        <v>0.1399503281725886</v>
      </c>
      <c r="CO246" s="45">
        <f t="shared" si="1464"/>
        <v>0.16450000000000001</v>
      </c>
      <c r="CP246" s="45">
        <f t="shared" si="1464"/>
        <v>0.16148942313375944</v>
      </c>
      <c r="CQ246" s="45">
        <f t="shared" si="1464"/>
        <v>0.1404503281725886</v>
      </c>
      <c r="CR246" s="45">
        <f t="shared" si="1464"/>
        <v>0.1404503281725886</v>
      </c>
      <c r="CS246" s="45">
        <f t="shared" si="1464"/>
        <v>0.16500000000000001</v>
      </c>
      <c r="CT246" s="45">
        <f t="shared" si="1464"/>
        <v>0.16198942313375944</v>
      </c>
      <c r="CU246" s="45">
        <f t="shared" si="1464"/>
        <v>0.1409503281725886</v>
      </c>
      <c r="CV246" s="45">
        <f t="shared" ref="CV246:CW246" si="1465">+CV247+$CZ246</f>
        <v>0.1409503281725886</v>
      </c>
      <c r="CW246" s="45">
        <f t="shared" si="1465"/>
        <v>0.16550000000000001</v>
      </c>
      <c r="CX246" s="269"/>
      <c r="CY246" s="1565">
        <v>5.0000000000000001E-3</v>
      </c>
      <c r="CZ246" s="1565">
        <v>1E-3</v>
      </c>
    </row>
    <row r="247" spans="1:104">
      <c r="A247" s="42" t="s">
        <v>200</v>
      </c>
      <c r="B247" s="297"/>
      <c r="C247" s="297"/>
      <c r="D247" s="297"/>
      <c r="E247" s="297"/>
      <c r="F247" s="297"/>
      <c r="G247" s="297"/>
      <c r="H247" s="297"/>
      <c r="I247" s="297"/>
      <c r="J247" s="297"/>
      <c r="K247" s="297"/>
      <c r="L247" s="297"/>
      <c r="M247" s="297"/>
      <c r="N247" s="297"/>
      <c r="O247" s="297"/>
      <c r="P247" s="297"/>
      <c r="Q247" s="297"/>
      <c r="R247" s="297"/>
      <c r="S247" s="297"/>
      <c r="T247" s="297"/>
      <c r="U247" s="297">
        <f t="shared" ref="U247:AL247" si="1466">U245</f>
        <v>0.15698462028846918</v>
      </c>
      <c r="V247" s="297">
        <f t="shared" si="1466"/>
        <v>0.13440320962888666</v>
      </c>
      <c r="W247" s="297">
        <f t="shared" si="1466"/>
        <v>0.12557286892758937</v>
      </c>
      <c r="X247" s="297">
        <f t="shared" si="1466"/>
        <v>0.14829821717990274</v>
      </c>
      <c r="Y247" s="297">
        <f t="shared" si="1466"/>
        <v>0.17321016166281755</v>
      </c>
      <c r="Z247" s="297">
        <f t="shared" si="1466"/>
        <v>0.12380250552689757</v>
      </c>
      <c r="AA247" s="297">
        <f t="shared" si="1466"/>
        <v>0.14205607476635515</v>
      </c>
      <c r="AB247" s="297">
        <f t="shared" si="1466"/>
        <v>0.16982152514872903</v>
      </c>
      <c r="AC247" s="297">
        <f t="shared" si="1466"/>
        <v>0.16308337703198741</v>
      </c>
      <c r="AD247" s="297">
        <f t="shared" si="1466"/>
        <v>0.12199747155499367</v>
      </c>
      <c r="AE247" s="297">
        <f t="shared" si="1466"/>
        <v>0.13582166925868325</v>
      </c>
      <c r="AF247" s="297">
        <f t="shared" si="1466"/>
        <v>0.1584553928095872</v>
      </c>
      <c r="AG247" s="297">
        <f t="shared" si="1466"/>
        <v>0.17584745762711865</v>
      </c>
      <c r="AH247" s="297">
        <f t="shared" si="1466"/>
        <v>0.14512195121951219</v>
      </c>
      <c r="AI247" s="297">
        <f t="shared" si="1466"/>
        <v>0.15108207431604737</v>
      </c>
      <c r="AJ247" s="297">
        <f t="shared" si="1466"/>
        <v>0.16059225512528474</v>
      </c>
      <c r="AK247" s="297">
        <f t="shared" si="1466"/>
        <v>0.15036496350364964</v>
      </c>
      <c r="AL247" s="297">
        <f t="shared" si="1466"/>
        <v>0.12842315969419907</v>
      </c>
      <c r="AM247" s="297">
        <f t="shared" ref="AM247:AR247" si="1467">AM245</f>
        <v>0.13356812947008312</v>
      </c>
      <c r="AN247" s="297">
        <f t="shared" si="1467"/>
        <v>0.15306536743808363</v>
      </c>
      <c r="AO247" s="297">
        <f t="shared" si="1467"/>
        <v>0.13840399002493767</v>
      </c>
      <c r="AP247" s="297">
        <f t="shared" si="1467"/>
        <v>0.12195197117530882</v>
      </c>
      <c r="AQ247" s="297">
        <f t="shared" si="1467"/>
        <v>0.12867370601992148</v>
      </c>
      <c r="AR247" s="297">
        <f t="shared" si="1467"/>
        <v>0.15098316109708723</v>
      </c>
      <c r="AS247" s="297">
        <f t="shared" ref="AS247:BC247" si="1468">AS245</f>
        <v>0.11587471332228716</v>
      </c>
      <c r="AT247" s="297">
        <f t="shared" si="1468"/>
        <v>4.7597677233351017E-2</v>
      </c>
      <c r="AU247" s="297">
        <f t="shared" si="1468"/>
        <v>-0.17655186530883782</v>
      </c>
      <c r="AV247" s="297">
        <f t="shared" si="1468"/>
        <v>8.6142106024336321E-2</v>
      </c>
      <c r="AW247" s="297">
        <f t="shared" si="1468"/>
        <v>0.13632397335936633</v>
      </c>
      <c r="AX247" s="297">
        <f t="shared" si="1468"/>
        <v>0.11895749972964204</v>
      </c>
      <c r="AY247" s="297">
        <f t="shared" si="1468"/>
        <v>0.10916847699577593</v>
      </c>
      <c r="AZ247" s="297">
        <f t="shared" si="1468"/>
        <v>0.16216604317330474</v>
      </c>
      <c r="BA247" s="297">
        <f t="shared" si="1468"/>
        <v>0.15309276897284915</v>
      </c>
      <c r="BB247" s="297">
        <f t="shared" si="1468"/>
        <v>0.13735401520494178</v>
      </c>
      <c r="BC247" s="297">
        <f t="shared" si="1468"/>
        <v>0.14454066431774909</v>
      </c>
      <c r="BD247" s="297">
        <f t="shared" ref="BD247:BI247" si="1469">BD245</f>
        <v>0.16576370736781634</v>
      </c>
      <c r="BE247" s="297">
        <f t="shared" si="1469"/>
        <v>0.13784279927717216</v>
      </c>
      <c r="BF247" s="297">
        <f t="shared" si="1469"/>
        <v>0.16073822217785622</v>
      </c>
      <c r="BG247" s="297">
        <f t="shared" si="1469"/>
        <v>0.15200247365242292</v>
      </c>
      <c r="BH247" s="297">
        <f t="shared" si="1469"/>
        <v>0.15590851298631439</v>
      </c>
      <c r="BI247" s="297">
        <f t="shared" si="1469"/>
        <v>0.16814797732489004</v>
      </c>
      <c r="BJ247" s="297">
        <f t="shared" ref="BJ247:BK247" si="1470">BJ245</f>
        <v>0.15648942313375944</v>
      </c>
      <c r="BK247" s="1819">
        <f t="shared" si="1470"/>
        <v>0.13545032817258859</v>
      </c>
      <c r="BL247" s="2010">
        <f>BK247</f>
        <v>0.13545032817258859</v>
      </c>
      <c r="BM247" s="2010">
        <v>0.16</v>
      </c>
      <c r="BN247" s="559">
        <f t="shared" ref="BN247:BQ247" si="1471">BJ247+$CY247</f>
        <v>0.15698942313375944</v>
      </c>
      <c r="BO247" s="559">
        <f t="shared" si="1471"/>
        <v>0.13595032817258859</v>
      </c>
      <c r="BP247" s="559">
        <f t="shared" si="1471"/>
        <v>0.13595032817258859</v>
      </c>
      <c r="BQ247" s="559">
        <f t="shared" si="1471"/>
        <v>0.1605</v>
      </c>
      <c r="BR247" s="559">
        <f t="shared" ref="BR247:BY247" si="1472">BN247+$CY247</f>
        <v>0.15748942313375944</v>
      </c>
      <c r="BS247" s="559">
        <f t="shared" si="1472"/>
        <v>0.13645032817258859</v>
      </c>
      <c r="BT247" s="559">
        <f t="shared" si="1472"/>
        <v>0.13645032817258859</v>
      </c>
      <c r="BU247" s="559">
        <f t="shared" si="1472"/>
        <v>0.161</v>
      </c>
      <c r="BV247" s="559">
        <f t="shared" si="1472"/>
        <v>0.15798942313375944</v>
      </c>
      <c r="BW247" s="559">
        <f t="shared" si="1472"/>
        <v>0.13695032817258859</v>
      </c>
      <c r="BX247" s="559">
        <f t="shared" si="1472"/>
        <v>0.13695032817258859</v>
      </c>
      <c r="BY247" s="559">
        <f t="shared" si="1472"/>
        <v>0.1615</v>
      </c>
      <c r="BZ247" s="559">
        <f t="shared" ref="BZ247:CU247" si="1473">BV247+$CZ247</f>
        <v>0.15848942313375944</v>
      </c>
      <c r="CA247" s="559">
        <f t="shared" si="1473"/>
        <v>0.13745032817258859</v>
      </c>
      <c r="CB247" s="559">
        <f t="shared" si="1473"/>
        <v>0.13745032817258859</v>
      </c>
      <c r="CC247" s="559">
        <f t="shared" si="1473"/>
        <v>0.16200000000000001</v>
      </c>
      <c r="CD247" s="559">
        <f t="shared" si="1473"/>
        <v>0.15898942313375944</v>
      </c>
      <c r="CE247" s="559">
        <f t="shared" si="1473"/>
        <v>0.13795032817258859</v>
      </c>
      <c r="CF247" s="559">
        <f t="shared" si="1473"/>
        <v>0.13795032817258859</v>
      </c>
      <c r="CG247" s="559">
        <f t="shared" si="1473"/>
        <v>0.16250000000000001</v>
      </c>
      <c r="CH247" s="559">
        <f t="shared" si="1473"/>
        <v>0.15948942313375944</v>
      </c>
      <c r="CI247" s="559">
        <f t="shared" si="1473"/>
        <v>0.13845032817258859</v>
      </c>
      <c r="CJ247" s="559">
        <f t="shared" si="1473"/>
        <v>0.13845032817258859</v>
      </c>
      <c r="CK247" s="559">
        <f t="shared" si="1473"/>
        <v>0.16300000000000001</v>
      </c>
      <c r="CL247" s="559">
        <f t="shared" si="1473"/>
        <v>0.15998942313375944</v>
      </c>
      <c r="CM247" s="559">
        <f t="shared" si="1473"/>
        <v>0.13895032817258859</v>
      </c>
      <c r="CN247" s="559">
        <f t="shared" si="1473"/>
        <v>0.13895032817258859</v>
      </c>
      <c r="CO247" s="559">
        <f t="shared" si="1473"/>
        <v>0.16350000000000001</v>
      </c>
      <c r="CP247" s="559">
        <f t="shared" si="1473"/>
        <v>0.16048942313375944</v>
      </c>
      <c r="CQ247" s="559">
        <f t="shared" si="1473"/>
        <v>0.13945032817258859</v>
      </c>
      <c r="CR247" s="559">
        <f t="shared" si="1473"/>
        <v>0.13945032817258859</v>
      </c>
      <c r="CS247" s="559">
        <f t="shared" si="1473"/>
        <v>0.16400000000000001</v>
      </c>
      <c r="CT247" s="559">
        <f t="shared" si="1473"/>
        <v>0.16098942313375944</v>
      </c>
      <c r="CU247" s="559">
        <f t="shared" si="1473"/>
        <v>0.1399503281725886</v>
      </c>
      <c r="CV247" s="559">
        <f t="shared" ref="CV247:CW247" si="1474">CR247+$CZ247</f>
        <v>0.1399503281725886</v>
      </c>
      <c r="CW247" s="559">
        <f t="shared" si="1474"/>
        <v>0.16450000000000001</v>
      </c>
      <c r="CX247" s="269"/>
      <c r="CY247" s="1565">
        <v>5.0000000000000001E-4</v>
      </c>
      <c r="CZ247" s="1565">
        <v>5.0000000000000001E-4</v>
      </c>
    </row>
    <row r="248" spans="1:104">
      <c r="A248" s="42" t="s">
        <v>202</v>
      </c>
      <c r="B248" s="297"/>
      <c r="C248" s="297"/>
      <c r="D248" s="297"/>
      <c r="E248" s="297"/>
      <c r="F248" s="297"/>
      <c r="G248" s="297"/>
      <c r="H248" s="297"/>
      <c r="I248" s="297"/>
      <c r="J248" s="297"/>
      <c r="K248" s="297"/>
      <c r="L248" s="297"/>
      <c r="M248" s="297"/>
      <c r="N248" s="297"/>
      <c r="O248" s="297"/>
      <c r="P248" s="297"/>
      <c r="Q248" s="297"/>
      <c r="R248" s="297"/>
      <c r="S248" s="297"/>
      <c r="T248" s="297"/>
      <c r="U248" s="297">
        <f t="shared" ref="U248:AL248" si="1475">U245</f>
        <v>0.15698462028846918</v>
      </c>
      <c r="V248" s="297">
        <f t="shared" si="1475"/>
        <v>0.13440320962888666</v>
      </c>
      <c r="W248" s="297">
        <f t="shared" si="1475"/>
        <v>0.12557286892758937</v>
      </c>
      <c r="X248" s="297">
        <f t="shared" si="1475"/>
        <v>0.14829821717990274</v>
      </c>
      <c r="Y248" s="297">
        <f t="shared" si="1475"/>
        <v>0.17321016166281755</v>
      </c>
      <c r="Z248" s="297">
        <f t="shared" si="1475"/>
        <v>0.12380250552689757</v>
      </c>
      <c r="AA248" s="297">
        <f t="shared" si="1475"/>
        <v>0.14205607476635515</v>
      </c>
      <c r="AB248" s="297">
        <f t="shared" si="1475"/>
        <v>0.16982152514872903</v>
      </c>
      <c r="AC248" s="297">
        <f t="shared" si="1475"/>
        <v>0.16308337703198741</v>
      </c>
      <c r="AD248" s="297">
        <f t="shared" si="1475"/>
        <v>0.12199747155499367</v>
      </c>
      <c r="AE248" s="297">
        <f t="shared" si="1475"/>
        <v>0.13582166925868325</v>
      </c>
      <c r="AF248" s="297">
        <f t="shared" si="1475"/>
        <v>0.1584553928095872</v>
      </c>
      <c r="AG248" s="297">
        <f t="shared" si="1475"/>
        <v>0.17584745762711865</v>
      </c>
      <c r="AH248" s="297">
        <f t="shared" si="1475"/>
        <v>0.14512195121951219</v>
      </c>
      <c r="AI248" s="297">
        <f t="shared" si="1475"/>
        <v>0.15108207431604737</v>
      </c>
      <c r="AJ248" s="297">
        <f t="shared" si="1475"/>
        <v>0.16059225512528474</v>
      </c>
      <c r="AK248" s="297">
        <f t="shared" si="1475"/>
        <v>0.15036496350364964</v>
      </c>
      <c r="AL248" s="297">
        <f t="shared" si="1475"/>
        <v>0.12842315969419907</v>
      </c>
      <c r="AM248" s="297">
        <f t="shared" ref="AM248:AR248" si="1476">AM245</f>
        <v>0.13356812947008312</v>
      </c>
      <c r="AN248" s="297">
        <f t="shared" si="1476"/>
        <v>0.15306536743808363</v>
      </c>
      <c r="AO248" s="297">
        <f t="shared" si="1476"/>
        <v>0.13840399002493767</v>
      </c>
      <c r="AP248" s="297">
        <f t="shared" si="1476"/>
        <v>0.12195197117530882</v>
      </c>
      <c r="AQ248" s="297">
        <f t="shared" si="1476"/>
        <v>0.12867370601992148</v>
      </c>
      <c r="AR248" s="297">
        <f t="shared" si="1476"/>
        <v>0.15098316109708723</v>
      </c>
      <c r="AS248" s="297">
        <f t="shared" ref="AS248:BC248" si="1477">AS245</f>
        <v>0.11587471332228716</v>
      </c>
      <c r="AT248" s="297">
        <f t="shared" si="1477"/>
        <v>4.7597677233351017E-2</v>
      </c>
      <c r="AU248" s="297">
        <f t="shared" si="1477"/>
        <v>-0.17655186530883782</v>
      </c>
      <c r="AV248" s="297">
        <f t="shared" si="1477"/>
        <v>8.6142106024336321E-2</v>
      </c>
      <c r="AW248" s="297">
        <f t="shared" si="1477"/>
        <v>0.13632397335936633</v>
      </c>
      <c r="AX248" s="297">
        <f t="shared" si="1477"/>
        <v>0.11895749972964204</v>
      </c>
      <c r="AY248" s="297">
        <f t="shared" si="1477"/>
        <v>0.10916847699577593</v>
      </c>
      <c r="AZ248" s="297">
        <f t="shared" si="1477"/>
        <v>0.16216604317330474</v>
      </c>
      <c r="BA248" s="297">
        <f t="shared" si="1477"/>
        <v>0.15309276897284915</v>
      </c>
      <c r="BB248" s="297">
        <f t="shared" si="1477"/>
        <v>0.13735401520494178</v>
      </c>
      <c r="BC248" s="297">
        <f t="shared" si="1477"/>
        <v>0.14454066431774909</v>
      </c>
      <c r="BD248" s="297">
        <f t="shared" ref="BD248:BI248" si="1478">BD245</f>
        <v>0.16576370736781634</v>
      </c>
      <c r="BE248" s="297">
        <f t="shared" si="1478"/>
        <v>0.13784279927717216</v>
      </c>
      <c r="BF248" s="297">
        <f t="shared" si="1478"/>
        <v>0.16073822217785622</v>
      </c>
      <c r="BG248" s="297">
        <f t="shared" si="1478"/>
        <v>0.15200247365242292</v>
      </c>
      <c r="BH248" s="297">
        <f t="shared" si="1478"/>
        <v>0.15590851298631439</v>
      </c>
      <c r="BI248" s="297">
        <f t="shared" si="1478"/>
        <v>0.16814797732489004</v>
      </c>
      <c r="BJ248" s="297">
        <f t="shared" ref="BJ248:BK248" si="1479">BJ245</f>
        <v>0.15648942313375944</v>
      </c>
      <c r="BK248" s="1819">
        <f t="shared" si="1479"/>
        <v>0.13545032817258859</v>
      </c>
      <c r="BL248" s="45">
        <f t="shared" ref="BL248:BP248" si="1480">+BL247+$CY248</f>
        <v>0.13045032817258859</v>
      </c>
      <c r="BM248" s="45">
        <f t="shared" si="1480"/>
        <v>0.155</v>
      </c>
      <c r="BN248" s="45">
        <f t="shared" si="1480"/>
        <v>0.15198942313375943</v>
      </c>
      <c r="BO248" s="45">
        <f t="shared" si="1480"/>
        <v>0.13095032817258859</v>
      </c>
      <c r="BP248" s="45">
        <f t="shared" si="1480"/>
        <v>0.13095032817258859</v>
      </c>
      <c r="BQ248" s="45">
        <f t="shared" ref="BQ248:BY248" si="1481">+BQ247+$CY248</f>
        <v>0.1555</v>
      </c>
      <c r="BR248" s="45">
        <f t="shared" si="1481"/>
        <v>0.15248942313375943</v>
      </c>
      <c r="BS248" s="45">
        <f t="shared" si="1481"/>
        <v>0.13145032817258859</v>
      </c>
      <c r="BT248" s="45">
        <f t="shared" si="1481"/>
        <v>0.13145032817258859</v>
      </c>
      <c r="BU248" s="45">
        <f t="shared" si="1481"/>
        <v>0.156</v>
      </c>
      <c r="BV248" s="45">
        <f t="shared" si="1481"/>
        <v>0.15298942313375943</v>
      </c>
      <c r="BW248" s="45">
        <f t="shared" si="1481"/>
        <v>0.13195032817258859</v>
      </c>
      <c r="BX248" s="45">
        <f t="shared" si="1481"/>
        <v>0.13195032817258859</v>
      </c>
      <c r="BY248" s="45">
        <f t="shared" si="1481"/>
        <v>0.1565</v>
      </c>
      <c r="BZ248" s="45">
        <f t="shared" ref="BZ248:CU248" si="1482">+BZ247+$CZ248</f>
        <v>0.15348942313375943</v>
      </c>
      <c r="CA248" s="45">
        <f t="shared" si="1482"/>
        <v>0.13245032817258859</v>
      </c>
      <c r="CB248" s="45">
        <f t="shared" si="1482"/>
        <v>0.13245032817258859</v>
      </c>
      <c r="CC248" s="45">
        <f t="shared" si="1482"/>
        <v>0.157</v>
      </c>
      <c r="CD248" s="45">
        <f t="shared" si="1482"/>
        <v>0.15398942313375943</v>
      </c>
      <c r="CE248" s="45">
        <f t="shared" si="1482"/>
        <v>0.13295032817258859</v>
      </c>
      <c r="CF248" s="45">
        <f t="shared" si="1482"/>
        <v>0.13295032817258859</v>
      </c>
      <c r="CG248" s="45">
        <f t="shared" si="1482"/>
        <v>0.1575</v>
      </c>
      <c r="CH248" s="45">
        <f t="shared" si="1482"/>
        <v>0.15448942313375943</v>
      </c>
      <c r="CI248" s="45">
        <f t="shared" si="1482"/>
        <v>0.13345032817258859</v>
      </c>
      <c r="CJ248" s="45">
        <f t="shared" si="1482"/>
        <v>0.13345032817258859</v>
      </c>
      <c r="CK248" s="45">
        <f t="shared" si="1482"/>
        <v>0.158</v>
      </c>
      <c r="CL248" s="45">
        <f t="shared" si="1482"/>
        <v>0.15498942313375944</v>
      </c>
      <c r="CM248" s="45">
        <f t="shared" si="1482"/>
        <v>0.13395032817258859</v>
      </c>
      <c r="CN248" s="45">
        <f t="shared" si="1482"/>
        <v>0.13395032817258859</v>
      </c>
      <c r="CO248" s="45">
        <f t="shared" si="1482"/>
        <v>0.1585</v>
      </c>
      <c r="CP248" s="45">
        <f t="shared" si="1482"/>
        <v>0.15548942313375944</v>
      </c>
      <c r="CQ248" s="45">
        <f t="shared" si="1482"/>
        <v>0.13445032817258859</v>
      </c>
      <c r="CR248" s="45">
        <f t="shared" si="1482"/>
        <v>0.13445032817258859</v>
      </c>
      <c r="CS248" s="45">
        <f t="shared" si="1482"/>
        <v>0.159</v>
      </c>
      <c r="CT248" s="45">
        <f t="shared" si="1482"/>
        <v>0.15598942313375944</v>
      </c>
      <c r="CU248" s="45">
        <f t="shared" si="1482"/>
        <v>0.13495032817258859</v>
      </c>
      <c r="CV248" s="45">
        <f t="shared" ref="CV248:CW248" si="1483">+CV247+$CZ248</f>
        <v>0.13495032817258859</v>
      </c>
      <c r="CW248" s="45">
        <f t="shared" si="1483"/>
        <v>0.1595</v>
      </c>
      <c r="CX248" s="269"/>
      <c r="CY248" s="1565">
        <v>-5.0000000000000001E-3</v>
      </c>
      <c r="CZ248" s="1565">
        <v>-5.0000000000000001E-3</v>
      </c>
    </row>
    <row r="249" spans="1:104">
      <c r="A249" s="269"/>
      <c r="B249" s="388"/>
      <c r="C249" s="388"/>
      <c r="D249" s="388"/>
      <c r="E249" s="388"/>
      <c r="F249" s="388"/>
      <c r="G249" s="388"/>
      <c r="H249" s="388"/>
      <c r="I249" s="269"/>
      <c r="J249" s="388"/>
      <c r="K249" s="388"/>
      <c r="L249" s="388"/>
      <c r="M249" s="269"/>
      <c r="N249" s="269"/>
      <c r="O249" s="269"/>
      <c r="P249" s="269"/>
      <c r="Q249" s="269"/>
      <c r="R249" s="269"/>
      <c r="S249" s="269"/>
      <c r="T249" s="269"/>
      <c r="U249" s="269"/>
      <c r="V249" s="269"/>
      <c r="W249" s="269"/>
      <c r="X249" s="269"/>
      <c r="Y249" s="269"/>
      <c r="Z249" s="269"/>
      <c r="AA249" s="269"/>
      <c r="AB249" s="269"/>
      <c r="AC249" s="269"/>
      <c r="AD249" s="269"/>
      <c r="AE249" s="269"/>
      <c r="AF249" s="269"/>
      <c r="AG249" s="269"/>
      <c r="AH249" s="269"/>
      <c r="AI249" s="269"/>
      <c r="AJ249" s="269"/>
      <c r="AK249" s="269"/>
      <c r="AL249" s="269"/>
      <c r="AM249" s="399"/>
      <c r="AN249" s="399"/>
      <c r="AO249" s="399"/>
      <c r="AP249" s="269"/>
      <c r="AQ249" s="269"/>
      <c r="AR249" s="269"/>
      <c r="AS249" s="269"/>
      <c r="AT249" s="269"/>
      <c r="AU249" s="269"/>
      <c r="AV249" s="269"/>
      <c r="AW249" s="269"/>
      <c r="AX249" s="269"/>
      <c r="AY249" s="269"/>
      <c r="AZ249" s="269"/>
      <c r="BA249" s="269"/>
      <c r="BB249" s="269"/>
      <c r="BC249" s="269"/>
      <c r="BD249" s="269"/>
      <c r="BE249" s="269"/>
      <c r="BF249" s="269"/>
      <c r="BG249" s="269"/>
      <c r="BH249" s="269"/>
      <c r="BI249" s="269"/>
      <c r="BJ249" s="269"/>
      <c r="BK249" s="1835"/>
      <c r="BL249" s="269"/>
      <c r="BM249" s="269"/>
      <c r="BN249" s="269"/>
      <c r="BO249" s="269"/>
      <c r="BP249" s="269"/>
      <c r="BQ249" s="269"/>
      <c r="BR249" s="269"/>
      <c r="BS249" s="269"/>
      <c r="BT249" s="269"/>
      <c r="BU249" s="269"/>
      <c r="BV249" s="269"/>
      <c r="BW249" s="269"/>
      <c r="BX249" s="269"/>
      <c r="BY249" s="269"/>
      <c r="BZ249" s="269"/>
      <c r="CA249" s="269"/>
      <c r="CB249" s="269"/>
      <c r="CC249" s="269"/>
      <c r="CD249" s="269"/>
      <c r="CE249" s="269"/>
      <c r="CF249" s="269"/>
      <c r="CG249" s="269"/>
      <c r="CH249" s="269"/>
      <c r="CI249" s="269"/>
      <c r="CJ249" s="269"/>
      <c r="CK249" s="269"/>
      <c r="CL249" s="269"/>
      <c r="CM249" s="269"/>
      <c r="CN249" s="269"/>
      <c r="CO249" s="269"/>
      <c r="CP249" s="269"/>
      <c r="CQ249" s="269"/>
      <c r="CR249" s="269"/>
      <c r="CS249" s="269"/>
      <c r="CT249" s="269"/>
      <c r="CU249" s="269"/>
      <c r="CV249" s="269"/>
      <c r="CW249" s="269"/>
      <c r="CX249" s="269"/>
      <c r="CY249" s="269"/>
    </row>
    <row r="250" spans="1:104">
      <c r="B250" s="388"/>
      <c r="C250" s="388"/>
      <c r="D250" s="388"/>
      <c r="E250" s="388"/>
      <c r="F250" s="388"/>
      <c r="G250" s="388"/>
      <c r="H250" s="388"/>
      <c r="I250" s="269"/>
      <c r="J250" s="388"/>
      <c r="K250" s="388"/>
      <c r="L250" s="388"/>
      <c r="M250" s="269"/>
      <c r="N250" s="269"/>
      <c r="O250" s="269"/>
      <c r="P250" s="269"/>
      <c r="Q250" s="269"/>
      <c r="R250" s="269"/>
      <c r="S250" s="269"/>
      <c r="T250" s="269"/>
      <c r="U250" s="269"/>
      <c r="V250" s="269"/>
      <c r="W250" s="269"/>
      <c r="X250" s="269"/>
      <c r="Y250" s="269"/>
      <c r="Z250" s="269"/>
      <c r="AA250" s="269"/>
      <c r="AB250" s="269"/>
      <c r="AC250" s="269"/>
      <c r="AD250" s="269"/>
      <c r="AE250" s="269"/>
      <c r="AF250" s="269"/>
      <c r="AG250" s="269"/>
      <c r="AH250" s="269"/>
      <c r="AI250" s="269"/>
      <c r="AJ250" s="269"/>
      <c r="AK250" s="269"/>
      <c r="AL250" s="269"/>
      <c r="AM250" s="399"/>
      <c r="AN250" s="399"/>
      <c r="AO250" s="399"/>
      <c r="AP250" s="269"/>
      <c r="AQ250" s="269"/>
      <c r="AR250" s="269"/>
      <c r="AS250" s="269"/>
      <c r="AT250" s="269"/>
      <c r="AU250" s="269"/>
      <c r="AV250" s="269"/>
      <c r="AW250" s="269"/>
      <c r="AX250" s="269"/>
      <c r="AY250" s="269"/>
      <c r="AZ250" s="269"/>
      <c r="BA250" s="269"/>
      <c r="BB250" s="269"/>
      <c r="BC250" s="269"/>
      <c r="BD250" s="269"/>
      <c r="BE250" s="269"/>
      <c r="BF250" s="269"/>
      <c r="BG250" s="269"/>
      <c r="BH250" s="269"/>
      <c r="BI250" s="269"/>
      <c r="BJ250" s="269"/>
      <c r="BK250" s="1835"/>
      <c r="BL250" s="269"/>
      <c r="BM250" s="269"/>
      <c r="BN250" s="269"/>
      <c r="BO250" s="269"/>
      <c r="BP250" s="269"/>
      <c r="BQ250" s="269"/>
      <c r="BR250" s="269"/>
      <c r="BS250" s="269"/>
      <c r="BT250" s="269"/>
      <c r="BU250" s="269"/>
      <c r="BV250" s="269"/>
      <c r="BW250" s="269"/>
      <c r="BX250" s="269"/>
      <c r="BY250" s="269"/>
      <c r="BZ250" s="269"/>
      <c r="CA250" s="269"/>
      <c r="CB250" s="269"/>
      <c r="CC250" s="269"/>
      <c r="CD250" s="269"/>
      <c r="CE250" s="269"/>
      <c r="CF250" s="269"/>
      <c r="CG250" s="269"/>
      <c r="CH250" s="269"/>
      <c r="CI250" s="269"/>
      <c r="CJ250" s="269"/>
      <c r="CK250" s="269"/>
      <c r="CL250" s="269"/>
      <c r="CM250" s="269"/>
      <c r="CN250" s="269"/>
      <c r="CO250" s="269"/>
      <c r="CP250" s="269"/>
      <c r="CQ250" s="269"/>
      <c r="CR250" s="269"/>
      <c r="CS250" s="269"/>
      <c r="CT250" s="269"/>
      <c r="CU250" s="269"/>
      <c r="CV250" s="269"/>
      <c r="CW250" s="269"/>
      <c r="CX250" s="269"/>
      <c r="CY250" s="269"/>
    </row>
    <row r="251" spans="1:104">
      <c r="A251" s="269" t="s">
        <v>315</v>
      </c>
      <c r="B251" s="388"/>
      <c r="C251" s="388"/>
      <c r="D251" s="388"/>
      <c r="E251" s="388"/>
      <c r="F251" s="388"/>
      <c r="G251" s="388"/>
      <c r="H251" s="388"/>
      <c r="I251" s="269"/>
      <c r="J251" s="388"/>
      <c r="K251" s="388"/>
      <c r="L251" s="388"/>
      <c r="M251" s="269"/>
      <c r="N251" s="269"/>
      <c r="O251" s="269"/>
      <c r="P251" s="269"/>
      <c r="Q251" s="269"/>
      <c r="R251" s="269"/>
      <c r="S251" s="269"/>
      <c r="T251" s="269"/>
      <c r="U251" s="269"/>
      <c r="V251" s="269"/>
      <c r="W251" s="269"/>
      <c r="X251" s="269"/>
      <c r="Y251" s="269"/>
      <c r="Z251" s="269"/>
      <c r="AA251" s="269"/>
      <c r="AB251" s="269"/>
      <c r="AC251" s="269"/>
      <c r="AD251" s="269"/>
      <c r="AE251" s="269"/>
      <c r="AF251" s="269"/>
      <c r="AG251" s="269"/>
      <c r="AH251" s="297">
        <f>1-Q_IS!AH284</f>
        <v>0.69200524311321243</v>
      </c>
      <c r="AI251" s="297">
        <f>1-Q_IS!AI284</f>
        <v>0.69735208498740819</v>
      </c>
      <c r="AJ251" s="297">
        <f>1-Q_IS!AJ284</f>
        <v>0.69756897953042918</v>
      </c>
      <c r="AK251" s="297">
        <f>1-Q_IS!AK284</f>
        <v>0.69733974947237132</v>
      </c>
      <c r="AL251" s="297">
        <f>1-Q_IS!AL284</f>
        <v>0.69871194278991666</v>
      </c>
      <c r="AM251" s="297">
        <f>1-Q_IS!AM284</f>
        <v>0.69518541684840973</v>
      </c>
      <c r="AN251" s="297">
        <f>1-Q_IS!AN284</f>
        <v>0.68978293151288983</v>
      </c>
      <c r="AO251" s="297">
        <f>1-Q_IS!AO284</f>
        <v>0.68743449930032929</v>
      </c>
      <c r="AP251" s="297">
        <f>1-Q_IS!AP284</f>
        <v>0.70019498066847097</v>
      </c>
      <c r="AQ251" s="297">
        <f>1-Q_IS!AQ284</f>
        <v>0.70505489612625383</v>
      </c>
      <c r="AR251" s="297">
        <f>1-Q_IS!AR284</f>
        <v>0.70472751900780217</v>
      </c>
      <c r="AS251" s="297">
        <f>1-Q_IS!AS284</f>
        <v>0.70893179541319995</v>
      </c>
      <c r="AT251" s="297">
        <f>1-Q_IS!AT284</f>
        <v>0.70170151564341943</v>
      </c>
      <c r="AU251" s="297">
        <f>1-Q_IS!AU284</f>
        <v>0.66136080866878277</v>
      </c>
      <c r="AV251" s="297">
        <f>1-Q_IS!AV284</f>
        <v>0.71683584426808178</v>
      </c>
      <c r="AW251" s="297">
        <f>1-Q_IS!AW284</f>
        <v>0.70950543301896762</v>
      </c>
      <c r="AX251" s="297">
        <f>1-Q_IS!AX284</f>
        <v>0.6737836566907377</v>
      </c>
      <c r="AY251" s="297">
        <f>1-Q_IS!AY284</f>
        <v>0.68265735209540979</v>
      </c>
      <c r="AZ251" s="297">
        <f>1-Q_IS!AZ284</f>
        <v>0.6905347544736008</v>
      </c>
      <c r="BA251" s="297">
        <f>1-Q_IS!BA284</f>
        <v>0.69264902123533478</v>
      </c>
      <c r="BB251" s="297">
        <f>1-Q_IS!BB284</f>
        <v>0.68195377081676178</v>
      </c>
      <c r="BC251" s="297">
        <f>1-Q_IS!BC284</f>
        <v>0.67261856690615951</v>
      </c>
      <c r="BD251" s="297">
        <f>1-Q_IS!BD284</f>
        <v>0.67137497648156974</v>
      </c>
      <c r="BE251" s="297">
        <f>1-Q_IS!BE284</f>
        <v>0.66748134371623946</v>
      </c>
      <c r="BF251" s="297">
        <f>1-Q_IS!BF284</f>
        <v>0.66855654932989439</v>
      </c>
      <c r="BG251" s="297">
        <f>1-Q_IS!BG284</f>
        <v>0.6682880766598972</v>
      </c>
      <c r="BH251" s="297">
        <f>1-Q_IS!BH284</f>
        <v>0.67300249091241726</v>
      </c>
      <c r="BI251" s="297">
        <f>1-Q_IS!BI284</f>
        <v>0.67755333344286328</v>
      </c>
      <c r="BJ251" s="297">
        <f>1-Q_IS!BJ284</f>
        <v>0.68036461147685401</v>
      </c>
      <c r="BK251" s="1819">
        <f>1-Q_IS!BK284</f>
        <v>0.6821940391629997</v>
      </c>
      <c r="BL251" s="45">
        <f>1-Q_IS!BL284</f>
        <v>0.67</v>
      </c>
      <c r="BM251" s="45">
        <f>1-Q_IS!BM284</f>
        <v>0.66800000000000004</v>
      </c>
      <c r="BN251" s="45">
        <f>1-Q_IS!BN284</f>
        <v>0.669364611476854</v>
      </c>
      <c r="BO251" s="45">
        <f>1-Q_IS!BO284</f>
        <v>0.67119403916299969</v>
      </c>
      <c r="BP251" s="45">
        <f>1-Q_IS!BP284</f>
        <v>0.66900000000000004</v>
      </c>
      <c r="BQ251" s="45">
        <f>1-Q_IS!BQ284</f>
        <v>0.66700000000000004</v>
      </c>
      <c r="BR251" s="45">
        <f>1-Q_IS!BR284</f>
        <v>0.668364611476854</v>
      </c>
      <c r="BS251" s="45">
        <f>1-Q_IS!BS284</f>
        <v>0.67019403916299969</v>
      </c>
      <c r="BT251" s="45">
        <f>1-Q_IS!BT284</f>
        <v>0.66800000000000004</v>
      </c>
      <c r="BU251" s="45">
        <f>1-Q_IS!BU284</f>
        <v>0.66600000000000004</v>
      </c>
      <c r="BV251" s="45">
        <f>1-Q_IS!BV284</f>
        <v>0.667364611476854</v>
      </c>
      <c r="BW251" s="45">
        <f>1-Q_IS!BW284</f>
        <v>0.66919403916299969</v>
      </c>
      <c r="BX251" s="45">
        <f>1-Q_IS!BX284</f>
        <v>0.66700000000000004</v>
      </c>
      <c r="BY251" s="45">
        <f>1-Q_IS!BY284</f>
        <v>0.66500000000000004</v>
      </c>
      <c r="BZ251" s="45">
        <f>1-Q_IS!BZ284</f>
        <v>0.66236461147685399</v>
      </c>
      <c r="CA251" s="45">
        <f>1-Q_IS!CA284</f>
        <v>0.66419403916299968</v>
      </c>
      <c r="CB251" s="45">
        <f>1-Q_IS!CB284</f>
        <v>0.66200000000000003</v>
      </c>
      <c r="CC251" s="45">
        <f>1-Q_IS!CC284</f>
        <v>0.66</v>
      </c>
      <c r="CD251" s="45">
        <f>1-Q_IS!CD284</f>
        <v>0.66236461147685399</v>
      </c>
      <c r="CE251" s="45">
        <f>1-Q_IS!CE284</f>
        <v>0.66419403916299968</v>
      </c>
      <c r="CF251" s="45">
        <f>1-Q_IS!CF284</f>
        <v>0.66200000000000003</v>
      </c>
      <c r="CG251" s="45">
        <f>1-Q_IS!CG284</f>
        <v>0.66</v>
      </c>
      <c r="CH251" s="45">
        <f>1-Q_IS!CH284</f>
        <v>0.66236461147685399</v>
      </c>
      <c r="CI251" s="45">
        <f>1-Q_IS!CI284</f>
        <v>0.66419403916299968</v>
      </c>
      <c r="CJ251" s="45">
        <f>1-Q_IS!CJ284</f>
        <v>0.66200000000000003</v>
      </c>
      <c r="CK251" s="45">
        <f>1-Q_IS!CK284</f>
        <v>0.66</v>
      </c>
      <c r="CL251" s="45">
        <f>1-Q_IS!CL284</f>
        <v>0.66236461147685399</v>
      </c>
      <c r="CM251" s="45">
        <f>1-Q_IS!CM284</f>
        <v>0.66419403916299968</v>
      </c>
      <c r="CN251" s="45">
        <f>1-Q_IS!CN284</f>
        <v>0.66200000000000003</v>
      </c>
      <c r="CO251" s="45">
        <f>1-Q_IS!CO284</f>
        <v>0.66</v>
      </c>
      <c r="CP251" s="45">
        <f>1-Q_IS!CP284</f>
        <v>0.66236461147685399</v>
      </c>
      <c r="CQ251" s="45">
        <f>1-Q_IS!CQ284</f>
        <v>0.66419403916299968</v>
      </c>
      <c r="CR251" s="45">
        <f>1-Q_IS!CR284</f>
        <v>0.66200000000000003</v>
      </c>
      <c r="CS251" s="45">
        <f>1-Q_IS!CS284</f>
        <v>0.66</v>
      </c>
      <c r="CT251" s="45">
        <f>1-Q_IS!CT284</f>
        <v>0.66236461147685399</v>
      </c>
      <c r="CU251" s="45">
        <f>1-Q_IS!CU284</f>
        <v>0.66419403916299968</v>
      </c>
      <c r="CV251" s="45">
        <f>1-Q_IS!CV284</f>
        <v>0.66200000000000003</v>
      </c>
      <c r="CW251" s="45">
        <f>1-Q_IS!CW284</f>
        <v>0.66</v>
      </c>
      <c r="CX251" s="269"/>
      <c r="CY251" s="269"/>
    </row>
    <row r="252" spans="1:104">
      <c r="A252" s="269"/>
      <c r="B252" s="388"/>
      <c r="C252" s="388"/>
      <c r="D252" s="388"/>
      <c r="E252" s="388"/>
      <c r="F252" s="388"/>
      <c r="G252" s="388"/>
      <c r="H252" s="388"/>
      <c r="I252" s="269"/>
      <c r="J252" s="388"/>
      <c r="K252" s="388"/>
      <c r="L252" s="388"/>
      <c r="M252" s="269"/>
      <c r="N252" s="269"/>
      <c r="O252" s="269"/>
      <c r="P252" s="269"/>
      <c r="Q252" s="269"/>
      <c r="R252" s="269"/>
      <c r="S252" s="269"/>
      <c r="T252" s="269"/>
      <c r="U252" s="269"/>
      <c r="V252" s="269"/>
      <c r="W252" s="269"/>
      <c r="X252" s="269"/>
      <c r="Y252" s="269"/>
      <c r="Z252" s="269"/>
      <c r="AA252" s="269"/>
      <c r="AB252" s="269"/>
      <c r="AC252" s="269"/>
      <c r="AD252" s="269"/>
      <c r="AE252" s="269"/>
      <c r="AF252" s="269"/>
      <c r="AG252" s="269"/>
      <c r="AH252" s="269"/>
      <c r="AI252" s="269"/>
      <c r="AJ252" s="269"/>
      <c r="AK252" s="269"/>
      <c r="AL252" s="269"/>
      <c r="AM252" s="399"/>
      <c r="AN252" s="399"/>
      <c r="AO252" s="269"/>
      <c r="AP252" s="269"/>
      <c r="AQ252" s="269"/>
      <c r="AR252" s="269"/>
      <c r="AS252" s="269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1833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269"/>
      <c r="CY252" s="269"/>
    </row>
    <row r="253" spans="1:104">
      <c r="A253" s="472" t="s">
        <v>934</v>
      </c>
      <c r="B253" s="601">
        <f t="shared" ref="B253:AG253" si="1484">B208</f>
        <v>39903</v>
      </c>
      <c r="C253" s="601">
        <f t="shared" si="1484"/>
        <v>39994</v>
      </c>
      <c r="D253" s="601">
        <f t="shared" si="1484"/>
        <v>40086</v>
      </c>
      <c r="E253" s="601">
        <f t="shared" si="1484"/>
        <v>40178</v>
      </c>
      <c r="F253" s="601">
        <f t="shared" si="1484"/>
        <v>40268</v>
      </c>
      <c r="G253" s="601">
        <f t="shared" si="1484"/>
        <v>40359</v>
      </c>
      <c r="H253" s="601">
        <f t="shared" si="1484"/>
        <v>40451</v>
      </c>
      <c r="I253" s="601">
        <f t="shared" si="1484"/>
        <v>40543</v>
      </c>
      <c r="J253" s="601">
        <f t="shared" si="1484"/>
        <v>40633</v>
      </c>
      <c r="K253" s="601">
        <f t="shared" si="1484"/>
        <v>40724</v>
      </c>
      <c r="L253" s="601">
        <f t="shared" si="1484"/>
        <v>40816</v>
      </c>
      <c r="M253" s="601">
        <f t="shared" si="1484"/>
        <v>40908</v>
      </c>
      <c r="N253" s="601">
        <f t="shared" si="1484"/>
        <v>40999</v>
      </c>
      <c r="O253" s="601">
        <f t="shared" si="1484"/>
        <v>41090</v>
      </c>
      <c r="P253" s="601">
        <f t="shared" si="1484"/>
        <v>41182</v>
      </c>
      <c r="Q253" s="601">
        <f t="shared" si="1484"/>
        <v>41274</v>
      </c>
      <c r="R253" s="601">
        <f t="shared" si="1484"/>
        <v>41364</v>
      </c>
      <c r="S253" s="601">
        <f t="shared" si="1484"/>
        <v>41455</v>
      </c>
      <c r="T253" s="601">
        <f t="shared" si="1484"/>
        <v>41547</v>
      </c>
      <c r="U253" s="601">
        <f t="shared" si="1484"/>
        <v>41639</v>
      </c>
      <c r="V253" s="601">
        <f t="shared" si="1484"/>
        <v>41729</v>
      </c>
      <c r="W253" s="601">
        <f t="shared" si="1484"/>
        <v>41820</v>
      </c>
      <c r="X253" s="601">
        <f t="shared" si="1484"/>
        <v>41912</v>
      </c>
      <c r="Y253" s="601">
        <f t="shared" si="1484"/>
        <v>42004</v>
      </c>
      <c r="Z253" s="601">
        <f t="shared" si="1484"/>
        <v>42094</v>
      </c>
      <c r="AA253" s="601">
        <f t="shared" si="1484"/>
        <v>42185</v>
      </c>
      <c r="AB253" s="601">
        <f t="shared" si="1484"/>
        <v>42277</v>
      </c>
      <c r="AC253" s="601">
        <f t="shared" si="1484"/>
        <v>42369</v>
      </c>
      <c r="AD253" s="601">
        <f t="shared" si="1484"/>
        <v>42460</v>
      </c>
      <c r="AE253" s="601">
        <f t="shared" si="1484"/>
        <v>42551</v>
      </c>
      <c r="AF253" s="601">
        <f t="shared" si="1484"/>
        <v>42643</v>
      </c>
      <c r="AG253" s="601">
        <f t="shared" si="1484"/>
        <v>42735</v>
      </c>
      <c r="AH253" s="601">
        <f t="shared" ref="AH253:BM253" si="1485">AH208</f>
        <v>42825</v>
      </c>
      <c r="AI253" s="601">
        <f t="shared" si="1485"/>
        <v>42916</v>
      </c>
      <c r="AJ253" s="601">
        <f t="shared" si="1485"/>
        <v>43008</v>
      </c>
      <c r="AK253" s="601">
        <f t="shared" si="1485"/>
        <v>43100</v>
      </c>
      <c r="AL253" s="601">
        <f t="shared" si="1485"/>
        <v>43190</v>
      </c>
      <c r="AM253" s="601">
        <f t="shared" si="1485"/>
        <v>43281</v>
      </c>
      <c r="AN253" s="601">
        <f t="shared" si="1485"/>
        <v>43373</v>
      </c>
      <c r="AO253" s="601">
        <f t="shared" si="1485"/>
        <v>43465</v>
      </c>
      <c r="AP253" s="601">
        <f t="shared" si="1485"/>
        <v>43555</v>
      </c>
      <c r="AQ253" s="601">
        <f t="shared" si="1485"/>
        <v>43646</v>
      </c>
      <c r="AR253" s="601">
        <f t="shared" si="1485"/>
        <v>43738</v>
      </c>
      <c r="AS253" s="601">
        <f t="shared" si="1485"/>
        <v>43830</v>
      </c>
      <c r="AT253" s="601">
        <f t="shared" si="1485"/>
        <v>43921</v>
      </c>
      <c r="AU253" s="601">
        <f t="shared" si="1485"/>
        <v>44012</v>
      </c>
      <c r="AV253" s="601">
        <f t="shared" si="1485"/>
        <v>44104</v>
      </c>
      <c r="AW253" s="601">
        <f t="shared" si="1485"/>
        <v>44196</v>
      </c>
      <c r="AX253" s="601">
        <f t="shared" si="1485"/>
        <v>44286</v>
      </c>
      <c r="AY253" s="601">
        <f t="shared" si="1485"/>
        <v>44377</v>
      </c>
      <c r="AZ253" s="601">
        <f t="shared" si="1485"/>
        <v>44469</v>
      </c>
      <c r="BA253" s="601">
        <f t="shared" si="1485"/>
        <v>44561</v>
      </c>
      <c r="BB253" s="601">
        <f t="shared" si="1485"/>
        <v>44651</v>
      </c>
      <c r="BC253" s="601">
        <f t="shared" si="1485"/>
        <v>44742</v>
      </c>
      <c r="BD253" s="601">
        <f t="shared" ref="BD253:BI253" si="1486">BD208</f>
        <v>44834</v>
      </c>
      <c r="BE253" s="601">
        <f t="shared" si="1486"/>
        <v>44926</v>
      </c>
      <c r="BF253" s="601">
        <f t="shared" si="1486"/>
        <v>45016</v>
      </c>
      <c r="BG253" s="601">
        <f t="shared" si="1486"/>
        <v>45107</v>
      </c>
      <c r="BH253" s="601">
        <f t="shared" si="1486"/>
        <v>45199</v>
      </c>
      <c r="BI253" s="601">
        <f t="shared" si="1486"/>
        <v>45291</v>
      </c>
      <c r="BJ253" s="601">
        <f t="shared" ref="BJ253:BK253" si="1487">BJ208</f>
        <v>45382</v>
      </c>
      <c r="BK253" s="1172">
        <f t="shared" si="1487"/>
        <v>45473</v>
      </c>
      <c r="BL253" s="600">
        <f t="shared" si="1485"/>
        <v>45565</v>
      </c>
      <c r="BM253" s="600">
        <f t="shared" si="1485"/>
        <v>45657</v>
      </c>
      <c r="BN253" s="600">
        <f t="shared" ref="BN253:CK253" si="1488">BN208</f>
        <v>45747</v>
      </c>
      <c r="BO253" s="600">
        <f t="shared" si="1488"/>
        <v>45838</v>
      </c>
      <c r="BP253" s="600">
        <f t="shared" si="1488"/>
        <v>45930</v>
      </c>
      <c r="BQ253" s="600">
        <f t="shared" si="1488"/>
        <v>46022</v>
      </c>
      <c r="BR253" s="600">
        <f t="shared" si="1488"/>
        <v>46112</v>
      </c>
      <c r="BS253" s="600">
        <f t="shared" si="1488"/>
        <v>46203</v>
      </c>
      <c r="BT253" s="600">
        <f t="shared" si="1488"/>
        <v>46295</v>
      </c>
      <c r="BU253" s="600">
        <f t="shared" si="1488"/>
        <v>46387</v>
      </c>
      <c r="BV253" s="600">
        <f t="shared" si="1488"/>
        <v>46477</v>
      </c>
      <c r="BW253" s="600">
        <f t="shared" si="1488"/>
        <v>46568</v>
      </c>
      <c r="BX253" s="600">
        <f t="shared" si="1488"/>
        <v>46660</v>
      </c>
      <c r="BY253" s="600">
        <f t="shared" si="1488"/>
        <v>46752</v>
      </c>
      <c r="BZ253" s="600">
        <f t="shared" si="1488"/>
        <v>46843</v>
      </c>
      <c r="CA253" s="600">
        <f t="shared" si="1488"/>
        <v>46934</v>
      </c>
      <c r="CB253" s="600">
        <f t="shared" si="1488"/>
        <v>47026</v>
      </c>
      <c r="CC253" s="600">
        <f t="shared" si="1488"/>
        <v>47118</v>
      </c>
      <c r="CD253" s="600">
        <f t="shared" si="1488"/>
        <v>47208</v>
      </c>
      <c r="CE253" s="600">
        <f t="shared" si="1488"/>
        <v>47299</v>
      </c>
      <c r="CF253" s="600">
        <f t="shared" si="1488"/>
        <v>47391</v>
      </c>
      <c r="CG253" s="600">
        <f t="shared" si="1488"/>
        <v>47483</v>
      </c>
      <c r="CH253" s="600">
        <f t="shared" si="1488"/>
        <v>47573</v>
      </c>
      <c r="CI253" s="600">
        <f t="shared" si="1488"/>
        <v>47664</v>
      </c>
      <c r="CJ253" s="600">
        <f t="shared" si="1488"/>
        <v>47756</v>
      </c>
      <c r="CK253" s="600">
        <f t="shared" si="1488"/>
        <v>47848</v>
      </c>
      <c r="CL253" s="600">
        <f t="shared" ref="CL253:CP253" si="1489">CL208</f>
        <v>47938</v>
      </c>
      <c r="CM253" s="600">
        <f t="shared" si="1489"/>
        <v>48029</v>
      </c>
      <c r="CN253" s="600">
        <f t="shared" si="1489"/>
        <v>48121</v>
      </c>
      <c r="CO253" s="600">
        <f t="shared" si="1489"/>
        <v>48213</v>
      </c>
      <c r="CP253" s="600">
        <f t="shared" si="1489"/>
        <v>48304</v>
      </c>
      <c r="CQ253" s="600">
        <f t="shared" ref="CQ253:CU253" si="1490">CQ208</f>
        <v>48395</v>
      </c>
      <c r="CR253" s="600">
        <f t="shared" si="1490"/>
        <v>48487</v>
      </c>
      <c r="CS253" s="600">
        <f t="shared" si="1490"/>
        <v>48579</v>
      </c>
      <c r="CT253" s="600">
        <f t="shared" si="1490"/>
        <v>48669</v>
      </c>
      <c r="CU253" s="600">
        <f t="shared" si="1490"/>
        <v>48760</v>
      </c>
      <c r="CV253" s="600">
        <f t="shared" ref="CV253:CW253" si="1491">CV208</f>
        <v>48852</v>
      </c>
      <c r="CW253" s="600">
        <f t="shared" si="1491"/>
        <v>48944</v>
      </c>
      <c r="CX253" s="269"/>
      <c r="CY253" s="572" t="s">
        <v>1488</v>
      </c>
      <c r="CZ253" s="572" t="s">
        <v>1489</v>
      </c>
    </row>
    <row r="254" spans="1:104">
      <c r="A254" s="43" t="s">
        <v>548</v>
      </c>
      <c r="B254" s="556"/>
      <c r="C254" s="556"/>
      <c r="D254" s="556"/>
      <c r="E254" s="556"/>
      <c r="F254" s="556">
        <f>Q_BS!F7</f>
        <v>8.9538022862672246</v>
      </c>
      <c r="G254" s="556">
        <f>Q_BS!G7</f>
        <v>8.6039784003323039</v>
      </c>
      <c r="H254" s="556">
        <f>Q_BS!H7</f>
        <v>8.2202182489532625</v>
      </c>
      <c r="I254" s="556">
        <f>Q_BS!I7</f>
        <v>9.0849293186530105</v>
      </c>
      <c r="J254" s="556">
        <f>Q_BS!J7</f>
        <v>9.9110459857206283</v>
      </c>
      <c r="K254" s="556">
        <f>Q_BS!K7</f>
        <v>9.556553229334126</v>
      </c>
      <c r="L254" s="556">
        <f>Q_BS!L7</f>
        <v>9.3270032288589189</v>
      </c>
      <c r="M254" s="556">
        <f>Q_BS!M7</f>
        <v>11.820165459058964</v>
      </c>
      <c r="N254" s="556">
        <f>Q_BS!N7</f>
        <v>13.629826390389354</v>
      </c>
      <c r="O254" s="556">
        <f>Q_BS!O7</f>
        <v>10.496558361928532</v>
      </c>
      <c r="P254" s="556">
        <f>Q_BS!P7</f>
        <v>12.244561809840647</v>
      </c>
      <c r="Q254" s="556">
        <f>Q_BS!Q7</f>
        <v>13.293232614393983</v>
      </c>
      <c r="R254" s="556">
        <f>Q_BS!R7</f>
        <v>12.907001582348313</v>
      </c>
      <c r="S254" s="556">
        <f>Q_BS!S7</f>
        <v>12.415771023970672</v>
      </c>
      <c r="T254" s="556">
        <f>Q_BS!T7</f>
        <v>11.689631022984116</v>
      </c>
      <c r="U254" s="556">
        <f>Q_BS!U7</f>
        <v>12.830253611976191</v>
      </c>
      <c r="V254" s="556">
        <f>Q_BS!V7</f>
        <v>13.174037007682296</v>
      </c>
      <c r="W254" s="556">
        <f>Q_BS!W7</f>
        <v>10.79352898511452</v>
      </c>
      <c r="X254" s="556">
        <f>Q_BS!X7</f>
        <v>12.489170545427056</v>
      </c>
      <c r="Y254" s="556">
        <f>Q_BS!Y7</f>
        <v>10.197813790876598</v>
      </c>
      <c r="Z254" s="556">
        <f>Q_BS!Z7</f>
        <v>10.678176920833403</v>
      </c>
      <c r="AA254" s="556">
        <f>Q_BS!AA7</f>
        <v>8.9770279138906215</v>
      </c>
      <c r="AB254" s="556">
        <f>Q_BS!AB7</f>
        <v>8.4413184517143804</v>
      </c>
      <c r="AC254" s="556">
        <f>Q_BS!AC7</f>
        <v>9.0911310400536927</v>
      </c>
      <c r="AD254" s="556">
        <f>Q_BS!AD7</f>
        <v>9.1879877114294963</v>
      </c>
      <c r="AE254" s="556">
        <f>Q_BS!AE7</f>
        <v>8.5087310579987925</v>
      </c>
      <c r="AF254" s="556">
        <f>Q_BS!AF7</f>
        <v>8.3470124507601753</v>
      </c>
      <c r="AG254" s="556">
        <f>Q_BS!AG7</f>
        <v>8.1743864382823848</v>
      </c>
      <c r="AH254" s="556">
        <f>Q_BS!AH7</f>
        <v>7.6445214817045866</v>
      </c>
      <c r="AI254" s="556">
        <f>Q_BS!AI7</f>
        <v>7.9671083966856271</v>
      </c>
      <c r="AJ254" s="556">
        <f>Q_BS!AJ7</f>
        <v>8.3212261848143747</v>
      </c>
      <c r="AK254" s="556">
        <f>Q_BS!AK7</f>
        <v>9.689369707141557</v>
      </c>
      <c r="AL254" s="556">
        <f>Q_BS!AL7</f>
        <v>7.3209962395751225</v>
      </c>
      <c r="AM254" s="556">
        <f>Q_BS!AM7</f>
        <v>7.0886144798096486</v>
      </c>
      <c r="AN254" s="556">
        <f>Q_BS!AN7</f>
        <v>6.2753252721927222</v>
      </c>
      <c r="AO254" s="556">
        <f>Q_BS!AO7</f>
        <v>7.4549084497175215</v>
      </c>
      <c r="AP254" s="556">
        <f>Q_BS!AP7</f>
        <v>7.523459912751739</v>
      </c>
      <c r="AQ254" s="556">
        <f>Q_BS!AQ7</f>
        <v>8.5468024943114234</v>
      </c>
      <c r="AR254" s="556">
        <f>Q_BS!AR7</f>
        <v>10.362302963107476</v>
      </c>
      <c r="AS254" s="556">
        <f>Q_BS!AS7</f>
        <v>8.4616329100824235</v>
      </c>
      <c r="AT254" s="556">
        <f>Q_BS!AT7</f>
        <v>12.999591081107203</v>
      </c>
      <c r="AU254" s="556">
        <f>Q_BS!AU7</f>
        <v>25.425051901995797</v>
      </c>
      <c r="AV254" s="556">
        <f>Q_BS!AV7</f>
        <v>14.16793239120984</v>
      </c>
      <c r="AW254" s="556">
        <f>Q_BS!AW7</f>
        <v>13.591178003005037</v>
      </c>
      <c r="AX254" s="556">
        <f>Q_BS!AX7</f>
        <v>14.768274943853694</v>
      </c>
      <c r="AY254" s="556">
        <f>Q_BS!AY7</f>
        <v>11.86688250278424</v>
      </c>
      <c r="AZ254" s="556">
        <f>Q_BS!AZ7</f>
        <v>11.551373647531662</v>
      </c>
      <c r="BA254" s="556">
        <f>Q_BS!BA7</f>
        <v>9.4212511845486091</v>
      </c>
      <c r="BB254" s="556">
        <f>Q_BS!BB7</f>
        <v>9.9934975784685403</v>
      </c>
      <c r="BC254" s="556">
        <f>Q_BS!BC7</f>
        <v>9.533934686602521</v>
      </c>
      <c r="BD254" s="556">
        <f>Q_BS!BD7</f>
        <v>9.3869498742334816</v>
      </c>
      <c r="BE254" s="556">
        <f>Q_BS!BE7</f>
        <v>9.5398224615827516</v>
      </c>
      <c r="BF254" s="556">
        <f>Q_BS!BF7</f>
        <v>11.639607652071845</v>
      </c>
      <c r="BG254" s="556">
        <f>Q_BS!BG7</f>
        <v>10.472605716033589</v>
      </c>
      <c r="BH254" s="556">
        <f>Q_BS!BH7</f>
        <v>11.047235091325753</v>
      </c>
      <c r="BI254" s="556">
        <f>Q_BS!BI7</f>
        <v>10.59735659842536</v>
      </c>
      <c r="BJ254" s="556">
        <f>Q_BS!BJ7</f>
        <v>10.645177771278176</v>
      </c>
      <c r="BK254" s="1867">
        <f>Q_BS!BK7</f>
        <v>9.292510595567963</v>
      </c>
      <c r="BL254" s="557">
        <f t="shared" ref="BL254:BQ254" si="1492">CHOOSE(MASTERSWITCH,BL255,BL256,BL257)</f>
        <v>11.047235091325753</v>
      </c>
      <c r="BM254" s="557">
        <f t="shared" si="1492"/>
        <v>10.59735659842536</v>
      </c>
      <c r="BN254" s="557">
        <f t="shared" si="1492"/>
        <v>10.645177771278176</v>
      </c>
      <c r="BO254" s="557">
        <f t="shared" si="1492"/>
        <v>9.292510595567963</v>
      </c>
      <c r="BP254" s="557">
        <f t="shared" si="1492"/>
        <v>11.047235091325753</v>
      </c>
      <c r="BQ254" s="557">
        <f t="shared" si="1492"/>
        <v>10.59735659842536</v>
      </c>
      <c r="BR254" s="557">
        <f t="shared" ref="BR254:CK254" si="1493">CHOOSE(MASTERSWITCH,BR255,BR256,BR257)</f>
        <v>10.645177771278176</v>
      </c>
      <c r="BS254" s="557">
        <f t="shared" si="1493"/>
        <v>9.292510595567963</v>
      </c>
      <c r="BT254" s="557">
        <f t="shared" si="1493"/>
        <v>11.047235091325753</v>
      </c>
      <c r="BU254" s="557">
        <f t="shared" si="1493"/>
        <v>10.59735659842536</v>
      </c>
      <c r="BV254" s="557">
        <f t="shared" si="1493"/>
        <v>10.645177771278176</v>
      </c>
      <c r="BW254" s="557">
        <f t="shared" si="1493"/>
        <v>9.292510595567963</v>
      </c>
      <c r="BX254" s="557">
        <f t="shared" si="1493"/>
        <v>11.047235091325753</v>
      </c>
      <c r="BY254" s="557">
        <f t="shared" si="1493"/>
        <v>10.59735659842536</v>
      </c>
      <c r="BZ254" s="557">
        <f t="shared" si="1493"/>
        <v>10.645177771278176</v>
      </c>
      <c r="CA254" s="557">
        <f t="shared" si="1493"/>
        <v>9.292510595567963</v>
      </c>
      <c r="CB254" s="557">
        <f t="shared" si="1493"/>
        <v>11.047235091325753</v>
      </c>
      <c r="CC254" s="557">
        <f t="shared" si="1493"/>
        <v>10.59735659842536</v>
      </c>
      <c r="CD254" s="557">
        <f t="shared" si="1493"/>
        <v>10.645177771278176</v>
      </c>
      <c r="CE254" s="557">
        <f t="shared" si="1493"/>
        <v>9.292510595567963</v>
      </c>
      <c r="CF254" s="557">
        <f t="shared" si="1493"/>
        <v>11.047235091325753</v>
      </c>
      <c r="CG254" s="557">
        <f t="shared" si="1493"/>
        <v>10.59735659842536</v>
      </c>
      <c r="CH254" s="557">
        <f t="shared" si="1493"/>
        <v>10.645177771278176</v>
      </c>
      <c r="CI254" s="557">
        <f t="shared" si="1493"/>
        <v>9.292510595567963</v>
      </c>
      <c r="CJ254" s="557">
        <f t="shared" si="1493"/>
        <v>11.047235091325753</v>
      </c>
      <c r="CK254" s="557">
        <f t="shared" si="1493"/>
        <v>10.59735659842536</v>
      </c>
      <c r="CL254" s="557">
        <f t="shared" ref="CL254:CP254" si="1494">CHOOSE(MASTERSWITCH,CL255,CL256,CL257)</f>
        <v>10.645177771278176</v>
      </c>
      <c r="CM254" s="557">
        <f t="shared" si="1494"/>
        <v>9.292510595567963</v>
      </c>
      <c r="CN254" s="557">
        <f t="shared" si="1494"/>
        <v>11.047235091325753</v>
      </c>
      <c r="CO254" s="557">
        <f t="shared" si="1494"/>
        <v>10.59735659842536</v>
      </c>
      <c r="CP254" s="557">
        <f t="shared" si="1494"/>
        <v>10.645177771278176</v>
      </c>
      <c r="CQ254" s="557">
        <f t="shared" ref="CQ254:CU254" si="1495">CHOOSE(MASTERSWITCH,CQ255,CQ256,CQ257)</f>
        <v>9.292510595567963</v>
      </c>
      <c r="CR254" s="557">
        <f t="shared" si="1495"/>
        <v>11.047235091325753</v>
      </c>
      <c r="CS254" s="557">
        <f t="shared" si="1495"/>
        <v>10.59735659842536</v>
      </c>
      <c r="CT254" s="557">
        <f t="shared" si="1495"/>
        <v>10.645177771278176</v>
      </c>
      <c r="CU254" s="557">
        <f t="shared" si="1495"/>
        <v>9.292510595567963</v>
      </c>
      <c r="CV254" s="557">
        <f t="shared" ref="CV254:CW254" si="1496">CHOOSE(MASTERSWITCH,CV255,CV256,CV257)</f>
        <v>11.047235091325753</v>
      </c>
      <c r="CW254" s="557">
        <f t="shared" si="1496"/>
        <v>10.59735659842536</v>
      </c>
      <c r="CX254" s="269"/>
      <c r="CY254" s="269"/>
    </row>
    <row r="255" spans="1:104">
      <c r="A255" s="42" t="s">
        <v>571</v>
      </c>
      <c r="B255" s="561"/>
      <c r="C255" s="561"/>
      <c r="D255" s="561"/>
      <c r="E255" s="564"/>
      <c r="F255" s="111">
        <f>F254</f>
        <v>8.9538022862672246</v>
      </c>
      <c r="G255" s="111">
        <f>G254</f>
        <v>8.6039784003323039</v>
      </c>
      <c r="H255" s="111">
        <f>H254</f>
        <v>8.2202182489532625</v>
      </c>
      <c r="I255" s="111">
        <f>I254</f>
        <v>9.0849293186530105</v>
      </c>
      <c r="J255" s="111">
        <f t="shared" ref="J255:AA255" si="1497">J254</f>
        <v>9.9110459857206283</v>
      </c>
      <c r="K255" s="111">
        <f t="shared" si="1497"/>
        <v>9.556553229334126</v>
      </c>
      <c r="L255" s="111">
        <f t="shared" si="1497"/>
        <v>9.3270032288589189</v>
      </c>
      <c r="M255" s="111">
        <f t="shared" si="1497"/>
        <v>11.820165459058964</v>
      </c>
      <c r="N255" s="111">
        <f t="shared" si="1497"/>
        <v>13.629826390389354</v>
      </c>
      <c r="O255" s="111">
        <f t="shared" si="1497"/>
        <v>10.496558361928532</v>
      </c>
      <c r="P255" s="111">
        <f t="shared" si="1497"/>
        <v>12.244561809840647</v>
      </c>
      <c r="Q255" s="111">
        <f t="shared" si="1497"/>
        <v>13.293232614393983</v>
      </c>
      <c r="R255" s="111">
        <f t="shared" si="1497"/>
        <v>12.907001582348313</v>
      </c>
      <c r="S255" s="111">
        <f t="shared" si="1497"/>
        <v>12.415771023970672</v>
      </c>
      <c r="T255" s="111">
        <f t="shared" si="1497"/>
        <v>11.689631022984116</v>
      </c>
      <c r="U255" s="111">
        <f t="shared" si="1497"/>
        <v>12.830253611976191</v>
      </c>
      <c r="V255" s="111">
        <f t="shared" si="1497"/>
        <v>13.174037007682296</v>
      </c>
      <c r="W255" s="111">
        <f t="shared" si="1497"/>
        <v>10.79352898511452</v>
      </c>
      <c r="X255" s="111">
        <f t="shared" si="1497"/>
        <v>12.489170545427056</v>
      </c>
      <c r="Y255" s="111">
        <f t="shared" si="1497"/>
        <v>10.197813790876598</v>
      </c>
      <c r="Z255" s="111">
        <f t="shared" si="1497"/>
        <v>10.678176920833403</v>
      </c>
      <c r="AA255" s="111">
        <f t="shared" si="1497"/>
        <v>8.9770279138906215</v>
      </c>
      <c r="AB255" s="111">
        <f t="shared" ref="AB255:AM255" si="1498">AB254</f>
        <v>8.4413184517143804</v>
      </c>
      <c r="AC255" s="111">
        <f t="shared" si="1498"/>
        <v>9.0911310400536927</v>
      </c>
      <c r="AD255" s="111">
        <f t="shared" si="1498"/>
        <v>9.1879877114294963</v>
      </c>
      <c r="AE255" s="111">
        <f t="shared" si="1498"/>
        <v>8.5087310579987925</v>
      </c>
      <c r="AF255" s="111">
        <f t="shared" si="1498"/>
        <v>8.3470124507601753</v>
      </c>
      <c r="AG255" s="111">
        <f t="shared" si="1498"/>
        <v>8.1743864382823848</v>
      </c>
      <c r="AH255" s="111">
        <f t="shared" si="1498"/>
        <v>7.6445214817045866</v>
      </c>
      <c r="AI255" s="111">
        <f t="shared" si="1498"/>
        <v>7.9671083966856271</v>
      </c>
      <c r="AJ255" s="111">
        <f t="shared" si="1498"/>
        <v>8.3212261848143747</v>
      </c>
      <c r="AK255" s="111">
        <f t="shared" si="1498"/>
        <v>9.689369707141557</v>
      </c>
      <c r="AL255" s="111">
        <f t="shared" si="1498"/>
        <v>7.3209962395751225</v>
      </c>
      <c r="AM255" s="111">
        <f t="shared" si="1498"/>
        <v>7.0886144798096486</v>
      </c>
      <c r="AN255" s="111">
        <f t="shared" ref="AN255:AS255" si="1499">AN254</f>
        <v>6.2753252721927222</v>
      </c>
      <c r="AO255" s="111">
        <f t="shared" si="1499"/>
        <v>7.4549084497175215</v>
      </c>
      <c r="AP255" s="111">
        <f t="shared" si="1499"/>
        <v>7.523459912751739</v>
      </c>
      <c r="AQ255" s="111">
        <f t="shared" si="1499"/>
        <v>8.5468024943114234</v>
      </c>
      <c r="AR255" s="111">
        <f t="shared" si="1499"/>
        <v>10.362302963107476</v>
      </c>
      <c r="AS255" s="111">
        <f t="shared" si="1499"/>
        <v>8.4616329100824235</v>
      </c>
      <c r="AT255" s="111">
        <f t="shared" ref="AT255:BC255" si="1500">AT254</f>
        <v>12.999591081107203</v>
      </c>
      <c r="AU255" s="111">
        <f t="shared" si="1500"/>
        <v>25.425051901995797</v>
      </c>
      <c r="AV255" s="111">
        <f t="shared" si="1500"/>
        <v>14.16793239120984</v>
      </c>
      <c r="AW255" s="111">
        <f t="shared" si="1500"/>
        <v>13.591178003005037</v>
      </c>
      <c r="AX255" s="111">
        <f t="shared" si="1500"/>
        <v>14.768274943853694</v>
      </c>
      <c r="AY255" s="111">
        <f t="shared" si="1500"/>
        <v>11.86688250278424</v>
      </c>
      <c r="AZ255" s="111">
        <f t="shared" si="1500"/>
        <v>11.551373647531662</v>
      </c>
      <c r="BA255" s="111">
        <f t="shared" si="1500"/>
        <v>9.4212511845486091</v>
      </c>
      <c r="BB255" s="111">
        <f t="shared" si="1500"/>
        <v>9.9934975784685403</v>
      </c>
      <c r="BC255" s="111">
        <f t="shared" si="1500"/>
        <v>9.533934686602521</v>
      </c>
      <c r="BD255" s="111">
        <f t="shared" ref="BD255:BI255" si="1501">BD254</f>
        <v>9.3869498742334816</v>
      </c>
      <c r="BE255" s="111">
        <f t="shared" si="1501"/>
        <v>9.5398224615827516</v>
      </c>
      <c r="BF255" s="111">
        <f t="shared" si="1501"/>
        <v>11.639607652071845</v>
      </c>
      <c r="BG255" s="111">
        <f t="shared" si="1501"/>
        <v>10.472605716033589</v>
      </c>
      <c r="BH255" s="111">
        <f t="shared" si="1501"/>
        <v>11.047235091325753</v>
      </c>
      <c r="BI255" s="111">
        <f t="shared" si="1501"/>
        <v>10.59735659842536</v>
      </c>
      <c r="BJ255" s="111">
        <f t="shared" ref="BJ255:BK255" si="1502">BJ254</f>
        <v>10.645177771278176</v>
      </c>
      <c r="BK255" s="1175">
        <f t="shared" si="1502"/>
        <v>9.292510595567963</v>
      </c>
      <c r="BL255" s="565">
        <f t="shared" ref="BL255:BP255" si="1503">BL256+$CY255</f>
        <v>11.047235091325753</v>
      </c>
      <c r="BM255" s="565">
        <f t="shared" si="1503"/>
        <v>10.59735659842536</v>
      </c>
      <c r="BN255" s="565">
        <f t="shared" si="1503"/>
        <v>10.645177771278176</v>
      </c>
      <c r="BO255" s="565">
        <f t="shared" si="1503"/>
        <v>9.292510595567963</v>
      </c>
      <c r="BP255" s="565">
        <f t="shared" si="1503"/>
        <v>11.047235091325753</v>
      </c>
      <c r="BQ255" s="565">
        <f t="shared" ref="BQ255:BY255" si="1504">BQ256+$CY255</f>
        <v>10.59735659842536</v>
      </c>
      <c r="BR255" s="565">
        <f t="shared" si="1504"/>
        <v>10.645177771278176</v>
      </c>
      <c r="BS255" s="565">
        <f t="shared" si="1504"/>
        <v>9.292510595567963</v>
      </c>
      <c r="BT255" s="565">
        <f t="shared" si="1504"/>
        <v>11.047235091325753</v>
      </c>
      <c r="BU255" s="565">
        <f t="shared" si="1504"/>
        <v>10.59735659842536</v>
      </c>
      <c r="BV255" s="565">
        <f t="shared" si="1504"/>
        <v>10.645177771278176</v>
      </c>
      <c r="BW255" s="565">
        <f t="shared" si="1504"/>
        <v>9.292510595567963</v>
      </c>
      <c r="BX255" s="565">
        <f t="shared" si="1504"/>
        <v>11.047235091325753</v>
      </c>
      <c r="BY255" s="565">
        <f t="shared" si="1504"/>
        <v>10.59735659842536</v>
      </c>
      <c r="BZ255" s="565">
        <f t="shared" ref="BZ255:CU255" si="1505">BZ256+$CZ255</f>
        <v>10.645177771278176</v>
      </c>
      <c r="CA255" s="565">
        <f t="shared" si="1505"/>
        <v>9.292510595567963</v>
      </c>
      <c r="CB255" s="565">
        <f t="shared" si="1505"/>
        <v>11.047235091325753</v>
      </c>
      <c r="CC255" s="565">
        <f t="shared" si="1505"/>
        <v>10.59735659842536</v>
      </c>
      <c r="CD255" s="565">
        <f t="shared" si="1505"/>
        <v>10.645177771278176</v>
      </c>
      <c r="CE255" s="565">
        <f t="shared" si="1505"/>
        <v>9.292510595567963</v>
      </c>
      <c r="CF255" s="565">
        <f t="shared" si="1505"/>
        <v>11.047235091325753</v>
      </c>
      <c r="CG255" s="565">
        <f t="shared" si="1505"/>
        <v>10.59735659842536</v>
      </c>
      <c r="CH255" s="565">
        <f t="shared" si="1505"/>
        <v>10.645177771278176</v>
      </c>
      <c r="CI255" s="565">
        <f t="shared" si="1505"/>
        <v>9.292510595567963</v>
      </c>
      <c r="CJ255" s="565">
        <f t="shared" si="1505"/>
        <v>11.047235091325753</v>
      </c>
      <c r="CK255" s="565">
        <f t="shared" si="1505"/>
        <v>10.59735659842536</v>
      </c>
      <c r="CL255" s="565">
        <f t="shared" si="1505"/>
        <v>10.645177771278176</v>
      </c>
      <c r="CM255" s="565">
        <f t="shared" si="1505"/>
        <v>9.292510595567963</v>
      </c>
      <c r="CN255" s="565">
        <f t="shared" si="1505"/>
        <v>11.047235091325753</v>
      </c>
      <c r="CO255" s="565">
        <f t="shared" si="1505"/>
        <v>10.59735659842536</v>
      </c>
      <c r="CP255" s="565">
        <f t="shared" si="1505"/>
        <v>10.645177771278176</v>
      </c>
      <c r="CQ255" s="565">
        <f t="shared" si="1505"/>
        <v>9.292510595567963</v>
      </c>
      <c r="CR255" s="565">
        <f t="shared" si="1505"/>
        <v>11.047235091325753</v>
      </c>
      <c r="CS255" s="565">
        <f t="shared" si="1505"/>
        <v>10.59735659842536</v>
      </c>
      <c r="CT255" s="565">
        <f t="shared" si="1505"/>
        <v>10.645177771278176</v>
      </c>
      <c r="CU255" s="565">
        <f t="shared" si="1505"/>
        <v>9.292510595567963</v>
      </c>
      <c r="CV255" s="565">
        <f t="shared" ref="CV255:CW255" si="1506">CV256+$CZ255</f>
        <v>11.047235091325753</v>
      </c>
      <c r="CW255" s="565">
        <f t="shared" si="1506"/>
        <v>10.59735659842536</v>
      </c>
      <c r="CX255" s="269"/>
      <c r="CY255" s="401">
        <v>0</v>
      </c>
      <c r="CZ255" s="401">
        <v>0</v>
      </c>
    </row>
    <row r="256" spans="1:104">
      <c r="A256" s="42" t="s">
        <v>200</v>
      </c>
      <c r="B256" s="561"/>
      <c r="C256" s="561"/>
      <c r="D256" s="561"/>
      <c r="E256" s="564"/>
      <c r="F256" s="111">
        <f>F254</f>
        <v>8.9538022862672246</v>
      </c>
      <c r="G256" s="111">
        <f>G254</f>
        <v>8.6039784003323039</v>
      </c>
      <c r="H256" s="111">
        <f>H254</f>
        <v>8.2202182489532625</v>
      </c>
      <c r="I256" s="111">
        <f>I254</f>
        <v>9.0849293186530105</v>
      </c>
      <c r="J256" s="111">
        <f t="shared" ref="J256:AA256" si="1507">J254</f>
        <v>9.9110459857206283</v>
      </c>
      <c r="K256" s="111">
        <f t="shared" si="1507"/>
        <v>9.556553229334126</v>
      </c>
      <c r="L256" s="111">
        <f t="shared" si="1507"/>
        <v>9.3270032288589189</v>
      </c>
      <c r="M256" s="111">
        <f t="shared" si="1507"/>
        <v>11.820165459058964</v>
      </c>
      <c r="N256" s="111">
        <f t="shared" si="1507"/>
        <v>13.629826390389354</v>
      </c>
      <c r="O256" s="111">
        <f t="shared" si="1507"/>
        <v>10.496558361928532</v>
      </c>
      <c r="P256" s="111">
        <f t="shared" si="1507"/>
        <v>12.244561809840647</v>
      </c>
      <c r="Q256" s="111">
        <f t="shared" si="1507"/>
        <v>13.293232614393983</v>
      </c>
      <c r="R256" s="111">
        <f t="shared" si="1507"/>
        <v>12.907001582348313</v>
      </c>
      <c r="S256" s="111">
        <f t="shared" si="1507"/>
        <v>12.415771023970672</v>
      </c>
      <c r="T256" s="111">
        <f t="shared" si="1507"/>
        <v>11.689631022984116</v>
      </c>
      <c r="U256" s="111">
        <f t="shared" si="1507"/>
        <v>12.830253611976191</v>
      </c>
      <c r="V256" s="111">
        <f t="shared" si="1507"/>
        <v>13.174037007682296</v>
      </c>
      <c r="W256" s="111">
        <f t="shared" si="1507"/>
        <v>10.79352898511452</v>
      </c>
      <c r="X256" s="111">
        <f t="shared" si="1507"/>
        <v>12.489170545427056</v>
      </c>
      <c r="Y256" s="111">
        <f t="shared" si="1507"/>
        <v>10.197813790876598</v>
      </c>
      <c r="Z256" s="111">
        <f t="shared" si="1507"/>
        <v>10.678176920833403</v>
      </c>
      <c r="AA256" s="111">
        <f t="shared" si="1507"/>
        <v>8.9770279138906215</v>
      </c>
      <c r="AB256" s="111">
        <f t="shared" ref="AB256:AM256" si="1508">AB254</f>
        <v>8.4413184517143804</v>
      </c>
      <c r="AC256" s="111">
        <f t="shared" si="1508"/>
        <v>9.0911310400536927</v>
      </c>
      <c r="AD256" s="111">
        <f t="shared" si="1508"/>
        <v>9.1879877114294963</v>
      </c>
      <c r="AE256" s="111">
        <f t="shared" si="1508"/>
        <v>8.5087310579987925</v>
      </c>
      <c r="AF256" s="111">
        <f t="shared" si="1508"/>
        <v>8.3470124507601753</v>
      </c>
      <c r="AG256" s="111">
        <f t="shared" si="1508"/>
        <v>8.1743864382823848</v>
      </c>
      <c r="AH256" s="111">
        <f t="shared" si="1508"/>
        <v>7.6445214817045866</v>
      </c>
      <c r="AI256" s="111">
        <f t="shared" si="1508"/>
        <v>7.9671083966856271</v>
      </c>
      <c r="AJ256" s="111">
        <f t="shared" si="1508"/>
        <v>8.3212261848143747</v>
      </c>
      <c r="AK256" s="111">
        <f t="shared" si="1508"/>
        <v>9.689369707141557</v>
      </c>
      <c r="AL256" s="111">
        <f t="shared" si="1508"/>
        <v>7.3209962395751225</v>
      </c>
      <c r="AM256" s="111">
        <f t="shared" si="1508"/>
        <v>7.0886144798096486</v>
      </c>
      <c r="AN256" s="111">
        <f t="shared" ref="AN256:AS256" si="1509">AN254</f>
        <v>6.2753252721927222</v>
      </c>
      <c r="AO256" s="111">
        <f t="shared" si="1509"/>
        <v>7.4549084497175215</v>
      </c>
      <c r="AP256" s="111">
        <f t="shared" si="1509"/>
        <v>7.523459912751739</v>
      </c>
      <c r="AQ256" s="111">
        <f t="shared" si="1509"/>
        <v>8.5468024943114234</v>
      </c>
      <c r="AR256" s="111">
        <f t="shared" si="1509"/>
        <v>10.362302963107476</v>
      </c>
      <c r="AS256" s="111">
        <f t="shared" si="1509"/>
        <v>8.4616329100824235</v>
      </c>
      <c r="AT256" s="111">
        <f t="shared" ref="AT256:BC256" si="1510">AT254</f>
        <v>12.999591081107203</v>
      </c>
      <c r="AU256" s="111">
        <f t="shared" si="1510"/>
        <v>25.425051901995797</v>
      </c>
      <c r="AV256" s="111">
        <f t="shared" si="1510"/>
        <v>14.16793239120984</v>
      </c>
      <c r="AW256" s="111">
        <f t="shared" si="1510"/>
        <v>13.591178003005037</v>
      </c>
      <c r="AX256" s="111">
        <f t="shared" si="1510"/>
        <v>14.768274943853694</v>
      </c>
      <c r="AY256" s="111">
        <f t="shared" si="1510"/>
        <v>11.86688250278424</v>
      </c>
      <c r="AZ256" s="111">
        <f t="shared" si="1510"/>
        <v>11.551373647531662</v>
      </c>
      <c r="BA256" s="111">
        <f t="shared" si="1510"/>
        <v>9.4212511845486091</v>
      </c>
      <c r="BB256" s="111">
        <f t="shared" si="1510"/>
        <v>9.9934975784685403</v>
      </c>
      <c r="BC256" s="111">
        <f t="shared" si="1510"/>
        <v>9.533934686602521</v>
      </c>
      <c r="BD256" s="111">
        <f t="shared" ref="BD256:BI256" si="1511">BD254</f>
        <v>9.3869498742334816</v>
      </c>
      <c r="BE256" s="111">
        <f t="shared" si="1511"/>
        <v>9.5398224615827516</v>
      </c>
      <c r="BF256" s="111">
        <f t="shared" si="1511"/>
        <v>11.639607652071845</v>
      </c>
      <c r="BG256" s="111">
        <f t="shared" si="1511"/>
        <v>10.472605716033589</v>
      </c>
      <c r="BH256" s="111">
        <f t="shared" si="1511"/>
        <v>11.047235091325753</v>
      </c>
      <c r="BI256" s="111">
        <f t="shared" si="1511"/>
        <v>10.59735659842536</v>
      </c>
      <c r="BJ256" s="111">
        <f t="shared" ref="BJ256:BK256" si="1512">BJ254</f>
        <v>10.645177771278176</v>
      </c>
      <c r="BK256" s="1175">
        <f t="shared" si="1512"/>
        <v>9.292510595567963</v>
      </c>
      <c r="BL256" s="563">
        <f t="shared" ref="BL256:BP256" si="1513">BH256+$CY256</f>
        <v>11.047235091325753</v>
      </c>
      <c r="BM256" s="563">
        <f t="shared" si="1513"/>
        <v>10.59735659842536</v>
      </c>
      <c r="BN256" s="563">
        <f t="shared" si="1513"/>
        <v>10.645177771278176</v>
      </c>
      <c r="BO256" s="563">
        <f t="shared" si="1513"/>
        <v>9.292510595567963</v>
      </c>
      <c r="BP256" s="563">
        <f t="shared" si="1513"/>
        <v>11.047235091325753</v>
      </c>
      <c r="BQ256" s="563">
        <f t="shared" ref="BQ256:BY256" si="1514">BM256+$CY256</f>
        <v>10.59735659842536</v>
      </c>
      <c r="BR256" s="563">
        <f t="shared" si="1514"/>
        <v>10.645177771278176</v>
      </c>
      <c r="BS256" s="563">
        <f t="shared" si="1514"/>
        <v>9.292510595567963</v>
      </c>
      <c r="BT256" s="563">
        <f t="shared" si="1514"/>
        <v>11.047235091325753</v>
      </c>
      <c r="BU256" s="563">
        <f t="shared" si="1514"/>
        <v>10.59735659842536</v>
      </c>
      <c r="BV256" s="563">
        <f t="shared" si="1514"/>
        <v>10.645177771278176</v>
      </c>
      <c r="BW256" s="563">
        <f t="shared" si="1514"/>
        <v>9.292510595567963</v>
      </c>
      <c r="BX256" s="563">
        <f t="shared" si="1514"/>
        <v>11.047235091325753</v>
      </c>
      <c r="BY256" s="563">
        <f t="shared" si="1514"/>
        <v>10.59735659842536</v>
      </c>
      <c r="BZ256" s="563">
        <f t="shared" ref="BZ256:CU256" si="1515">BV256+$CZ256</f>
        <v>10.645177771278176</v>
      </c>
      <c r="CA256" s="563">
        <f t="shared" si="1515"/>
        <v>9.292510595567963</v>
      </c>
      <c r="CB256" s="563">
        <f t="shared" si="1515"/>
        <v>11.047235091325753</v>
      </c>
      <c r="CC256" s="563">
        <f t="shared" si="1515"/>
        <v>10.59735659842536</v>
      </c>
      <c r="CD256" s="563">
        <f t="shared" si="1515"/>
        <v>10.645177771278176</v>
      </c>
      <c r="CE256" s="563">
        <f t="shared" si="1515"/>
        <v>9.292510595567963</v>
      </c>
      <c r="CF256" s="563">
        <f t="shared" si="1515"/>
        <v>11.047235091325753</v>
      </c>
      <c r="CG256" s="563">
        <f t="shared" si="1515"/>
        <v>10.59735659842536</v>
      </c>
      <c r="CH256" s="563">
        <f t="shared" si="1515"/>
        <v>10.645177771278176</v>
      </c>
      <c r="CI256" s="563">
        <f t="shared" si="1515"/>
        <v>9.292510595567963</v>
      </c>
      <c r="CJ256" s="563">
        <f t="shared" si="1515"/>
        <v>11.047235091325753</v>
      </c>
      <c r="CK256" s="563">
        <f t="shared" si="1515"/>
        <v>10.59735659842536</v>
      </c>
      <c r="CL256" s="563">
        <f t="shared" si="1515"/>
        <v>10.645177771278176</v>
      </c>
      <c r="CM256" s="563">
        <f t="shared" si="1515"/>
        <v>9.292510595567963</v>
      </c>
      <c r="CN256" s="563">
        <f t="shared" si="1515"/>
        <v>11.047235091325753</v>
      </c>
      <c r="CO256" s="563">
        <f t="shared" si="1515"/>
        <v>10.59735659842536</v>
      </c>
      <c r="CP256" s="563">
        <f t="shared" si="1515"/>
        <v>10.645177771278176</v>
      </c>
      <c r="CQ256" s="563">
        <f t="shared" si="1515"/>
        <v>9.292510595567963</v>
      </c>
      <c r="CR256" s="563">
        <f t="shared" si="1515"/>
        <v>11.047235091325753</v>
      </c>
      <c r="CS256" s="563">
        <f t="shared" si="1515"/>
        <v>10.59735659842536</v>
      </c>
      <c r="CT256" s="563">
        <f t="shared" si="1515"/>
        <v>10.645177771278176</v>
      </c>
      <c r="CU256" s="563">
        <f t="shared" si="1515"/>
        <v>9.292510595567963</v>
      </c>
      <c r="CV256" s="563">
        <f t="shared" ref="CV256:CW256" si="1516">CR256+$CZ256</f>
        <v>11.047235091325753</v>
      </c>
      <c r="CW256" s="563">
        <f t="shared" si="1516"/>
        <v>10.59735659842536</v>
      </c>
      <c r="CX256" s="337"/>
      <c r="CY256" s="401">
        <v>0</v>
      </c>
      <c r="CZ256" s="401">
        <v>0</v>
      </c>
    </row>
    <row r="257" spans="1:106">
      <c r="A257" s="42" t="s">
        <v>202</v>
      </c>
      <c r="B257" s="561"/>
      <c r="C257" s="561"/>
      <c r="D257" s="561"/>
      <c r="E257" s="391"/>
      <c r="F257" s="99">
        <f>F254</f>
        <v>8.9538022862672246</v>
      </c>
      <c r="G257" s="99">
        <f>G254</f>
        <v>8.6039784003323039</v>
      </c>
      <c r="H257" s="99">
        <f>H254</f>
        <v>8.2202182489532625</v>
      </c>
      <c r="I257" s="99">
        <f>I254</f>
        <v>9.0849293186530105</v>
      </c>
      <c r="J257" s="99">
        <f t="shared" ref="J257:AA257" si="1517">J254</f>
        <v>9.9110459857206283</v>
      </c>
      <c r="K257" s="99">
        <f t="shared" si="1517"/>
        <v>9.556553229334126</v>
      </c>
      <c r="L257" s="99">
        <f t="shared" si="1517"/>
        <v>9.3270032288589189</v>
      </c>
      <c r="M257" s="99">
        <f t="shared" si="1517"/>
        <v>11.820165459058964</v>
      </c>
      <c r="N257" s="99">
        <f t="shared" si="1517"/>
        <v>13.629826390389354</v>
      </c>
      <c r="O257" s="99">
        <f t="shared" si="1517"/>
        <v>10.496558361928532</v>
      </c>
      <c r="P257" s="99">
        <f t="shared" si="1517"/>
        <v>12.244561809840647</v>
      </c>
      <c r="Q257" s="99">
        <f t="shared" si="1517"/>
        <v>13.293232614393983</v>
      </c>
      <c r="R257" s="99">
        <f t="shared" si="1517"/>
        <v>12.907001582348313</v>
      </c>
      <c r="S257" s="99">
        <f t="shared" si="1517"/>
        <v>12.415771023970672</v>
      </c>
      <c r="T257" s="99">
        <f t="shared" si="1517"/>
        <v>11.689631022984116</v>
      </c>
      <c r="U257" s="99">
        <f t="shared" si="1517"/>
        <v>12.830253611976191</v>
      </c>
      <c r="V257" s="99">
        <f t="shared" si="1517"/>
        <v>13.174037007682296</v>
      </c>
      <c r="W257" s="99">
        <f t="shared" si="1517"/>
        <v>10.79352898511452</v>
      </c>
      <c r="X257" s="99">
        <f t="shared" si="1517"/>
        <v>12.489170545427056</v>
      </c>
      <c r="Y257" s="99">
        <f t="shared" si="1517"/>
        <v>10.197813790876598</v>
      </c>
      <c r="Z257" s="99">
        <f t="shared" si="1517"/>
        <v>10.678176920833403</v>
      </c>
      <c r="AA257" s="99">
        <f t="shared" si="1517"/>
        <v>8.9770279138906215</v>
      </c>
      <c r="AB257" s="99">
        <f t="shared" ref="AB257:AM257" si="1518">AB254</f>
        <v>8.4413184517143804</v>
      </c>
      <c r="AC257" s="99">
        <f t="shared" si="1518"/>
        <v>9.0911310400536927</v>
      </c>
      <c r="AD257" s="99">
        <f t="shared" si="1518"/>
        <v>9.1879877114294963</v>
      </c>
      <c r="AE257" s="99">
        <f t="shared" si="1518"/>
        <v>8.5087310579987925</v>
      </c>
      <c r="AF257" s="99">
        <f t="shared" si="1518"/>
        <v>8.3470124507601753</v>
      </c>
      <c r="AG257" s="99">
        <f t="shared" si="1518"/>
        <v>8.1743864382823848</v>
      </c>
      <c r="AH257" s="99">
        <f t="shared" si="1518"/>
        <v>7.6445214817045866</v>
      </c>
      <c r="AI257" s="99">
        <f t="shared" si="1518"/>
        <v>7.9671083966856271</v>
      </c>
      <c r="AJ257" s="99">
        <f t="shared" si="1518"/>
        <v>8.3212261848143747</v>
      </c>
      <c r="AK257" s="99">
        <f t="shared" si="1518"/>
        <v>9.689369707141557</v>
      </c>
      <c r="AL257" s="99">
        <f t="shared" si="1518"/>
        <v>7.3209962395751225</v>
      </c>
      <c r="AM257" s="99">
        <f t="shared" si="1518"/>
        <v>7.0886144798096486</v>
      </c>
      <c r="AN257" s="99">
        <f t="shared" ref="AN257:AS257" si="1519">AN254</f>
        <v>6.2753252721927222</v>
      </c>
      <c r="AO257" s="99">
        <f t="shared" si="1519"/>
        <v>7.4549084497175215</v>
      </c>
      <c r="AP257" s="99">
        <f t="shared" si="1519"/>
        <v>7.523459912751739</v>
      </c>
      <c r="AQ257" s="99">
        <f t="shared" si="1519"/>
        <v>8.5468024943114234</v>
      </c>
      <c r="AR257" s="99">
        <f t="shared" si="1519"/>
        <v>10.362302963107476</v>
      </c>
      <c r="AS257" s="99">
        <f t="shared" si="1519"/>
        <v>8.4616329100824235</v>
      </c>
      <c r="AT257" s="99">
        <f t="shared" ref="AT257:BC257" si="1520">AT254</f>
        <v>12.999591081107203</v>
      </c>
      <c r="AU257" s="99">
        <f t="shared" si="1520"/>
        <v>25.425051901995797</v>
      </c>
      <c r="AV257" s="99">
        <f t="shared" si="1520"/>
        <v>14.16793239120984</v>
      </c>
      <c r="AW257" s="99">
        <f t="shared" si="1520"/>
        <v>13.591178003005037</v>
      </c>
      <c r="AX257" s="99">
        <f t="shared" si="1520"/>
        <v>14.768274943853694</v>
      </c>
      <c r="AY257" s="99">
        <f t="shared" si="1520"/>
        <v>11.86688250278424</v>
      </c>
      <c r="AZ257" s="99">
        <f t="shared" si="1520"/>
        <v>11.551373647531662</v>
      </c>
      <c r="BA257" s="99">
        <f t="shared" si="1520"/>
        <v>9.4212511845486091</v>
      </c>
      <c r="BB257" s="99">
        <f t="shared" si="1520"/>
        <v>9.9934975784685403</v>
      </c>
      <c r="BC257" s="99">
        <f t="shared" si="1520"/>
        <v>9.533934686602521</v>
      </c>
      <c r="BD257" s="99">
        <f t="shared" ref="BD257:BI257" si="1521">BD254</f>
        <v>9.3869498742334816</v>
      </c>
      <c r="BE257" s="99">
        <f t="shared" si="1521"/>
        <v>9.5398224615827516</v>
      </c>
      <c r="BF257" s="99">
        <f t="shared" si="1521"/>
        <v>11.639607652071845</v>
      </c>
      <c r="BG257" s="99">
        <f t="shared" si="1521"/>
        <v>10.472605716033589</v>
      </c>
      <c r="BH257" s="99">
        <f t="shared" si="1521"/>
        <v>11.047235091325753</v>
      </c>
      <c r="BI257" s="99">
        <f t="shared" si="1521"/>
        <v>10.59735659842536</v>
      </c>
      <c r="BJ257" s="99">
        <f t="shared" ref="BJ257:BK257" si="1522">BJ254</f>
        <v>10.645177771278176</v>
      </c>
      <c r="BK257" s="1173">
        <f t="shared" si="1522"/>
        <v>9.292510595567963</v>
      </c>
      <c r="BL257" s="295">
        <f t="shared" ref="BL257:BP257" si="1523">BL256+$CY257</f>
        <v>11.047235091325753</v>
      </c>
      <c r="BM257" s="295">
        <f t="shared" si="1523"/>
        <v>10.59735659842536</v>
      </c>
      <c r="BN257" s="295">
        <f t="shared" si="1523"/>
        <v>10.645177771278176</v>
      </c>
      <c r="BO257" s="295">
        <f t="shared" si="1523"/>
        <v>9.292510595567963</v>
      </c>
      <c r="BP257" s="295">
        <f t="shared" si="1523"/>
        <v>11.047235091325753</v>
      </c>
      <c r="BQ257" s="295">
        <f t="shared" ref="BQ257:BY257" si="1524">BQ256+$CY257</f>
        <v>10.59735659842536</v>
      </c>
      <c r="BR257" s="295">
        <f t="shared" si="1524"/>
        <v>10.645177771278176</v>
      </c>
      <c r="BS257" s="295">
        <f t="shared" si="1524"/>
        <v>9.292510595567963</v>
      </c>
      <c r="BT257" s="295">
        <f t="shared" si="1524"/>
        <v>11.047235091325753</v>
      </c>
      <c r="BU257" s="295">
        <f t="shared" si="1524"/>
        <v>10.59735659842536</v>
      </c>
      <c r="BV257" s="295">
        <f t="shared" si="1524"/>
        <v>10.645177771278176</v>
      </c>
      <c r="BW257" s="295">
        <f t="shared" si="1524"/>
        <v>9.292510595567963</v>
      </c>
      <c r="BX257" s="295">
        <f t="shared" si="1524"/>
        <v>11.047235091325753</v>
      </c>
      <c r="BY257" s="295">
        <f t="shared" si="1524"/>
        <v>10.59735659842536</v>
      </c>
      <c r="BZ257" s="295">
        <f t="shared" ref="BZ257:CU257" si="1525">BZ256+$CZ257</f>
        <v>10.645177771278176</v>
      </c>
      <c r="CA257" s="295">
        <f t="shared" si="1525"/>
        <v>9.292510595567963</v>
      </c>
      <c r="CB257" s="295">
        <f t="shared" si="1525"/>
        <v>11.047235091325753</v>
      </c>
      <c r="CC257" s="295">
        <f t="shared" si="1525"/>
        <v>10.59735659842536</v>
      </c>
      <c r="CD257" s="295">
        <f t="shared" si="1525"/>
        <v>10.645177771278176</v>
      </c>
      <c r="CE257" s="295">
        <f t="shared" si="1525"/>
        <v>9.292510595567963</v>
      </c>
      <c r="CF257" s="295">
        <f t="shared" si="1525"/>
        <v>11.047235091325753</v>
      </c>
      <c r="CG257" s="295">
        <f t="shared" si="1525"/>
        <v>10.59735659842536</v>
      </c>
      <c r="CH257" s="295">
        <f t="shared" si="1525"/>
        <v>10.645177771278176</v>
      </c>
      <c r="CI257" s="295">
        <f t="shared" si="1525"/>
        <v>9.292510595567963</v>
      </c>
      <c r="CJ257" s="295">
        <f t="shared" si="1525"/>
        <v>11.047235091325753</v>
      </c>
      <c r="CK257" s="295">
        <f t="shared" si="1525"/>
        <v>10.59735659842536</v>
      </c>
      <c r="CL257" s="295">
        <f t="shared" si="1525"/>
        <v>10.645177771278176</v>
      </c>
      <c r="CM257" s="295">
        <f t="shared" si="1525"/>
        <v>9.292510595567963</v>
      </c>
      <c r="CN257" s="295">
        <f t="shared" si="1525"/>
        <v>11.047235091325753</v>
      </c>
      <c r="CO257" s="295">
        <f t="shared" si="1525"/>
        <v>10.59735659842536</v>
      </c>
      <c r="CP257" s="295">
        <f t="shared" si="1525"/>
        <v>10.645177771278176</v>
      </c>
      <c r="CQ257" s="295">
        <f t="shared" si="1525"/>
        <v>9.292510595567963</v>
      </c>
      <c r="CR257" s="295">
        <f t="shared" si="1525"/>
        <v>11.047235091325753</v>
      </c>
      <c r="CS257" s="295">
        <f t="shared" si="1525"/>
        <v>10.59735659842536</v>
      </c>
      <c r="CT257" s="295">
        <f t="shared" si="1525"/>
        <v>10.645177771278176</v>
      </c>
      <c r="CU257" s="295">
        <f t="shared" si="1525"/>
        <v>9.292510595567963</v>
      </c>
      <c r="CV257" s="295">
        <f t="shared" ref="CV257:CW257" si="1526">CV256+$CZ257</f>
        <v>11.047235091325753</v>
      </c>
      <c r="CW257" s="295">
        <f t="shared" si="1526"/>
        <v>10.59735659842536</v>
      </c>
      <c r="CX257" s="269"/>
      <c r="CY257" s="401">
        <v>0</v>
      </c>
      <c r="CZ257" s="401">
        <v>0</v>
      </c>
    </row>
    <row r="258" spans="1:106">
      <c r="A258" s="269"/>
      <c r="B258" s="396"/>
      <c r="C258" s="396"/>
      <c r="D258" s="396"/>
      <c r="E258" s="391"/>
      <c r="F258" s="99"/>
      <c r="G258" s="99"/>
      <c r="H258" s="99"/>
      <c r="I258" s="99"/>
      <c r="J258" s="99"/>
      <c r="K258" s="99"/>
      <c r="L258" s="99"/>
      <c r="M258" s="99"/>
      <c r="N258" s="99"/>
      <c r="O258" s="99"/>
      <c r="P258" s="99"/>
      <c r="Q258" s="99"/>
      <c r="R258" s="99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9"/>
      <c r="AD258" s="99"/>
      <c r="AE258" s="99"/>
      <c r="AF258" s="99"/>
      <c r="AG258" s="99"/>
      <c r="AH258" s="99"/>
      <c r="AI258" s="99"/>
      <c r="AJ258" s="99"/>
      <c r="AK258" s="99"/>
      <c r="AL258" s="99"/>
      <c r="AM258" s="99"/>
      <c r="AN258" s="99"/>
      <c r="AO258" s="99"/>
      <c r="AP258" s="99"/>
      <c r="AQ258" s="99"/>
      <c r="AR258" s="99"/>
      <c r="AS258" s="99"/>
      <c r="AT258" s="99"/>
      <c r="AU258" s="99"/>
      <c r="AV258" s="99"/>
      <c r="AW258" s="99"/>
      <c r="AX258" s="99"/>
      <c r="AY258" s="99"/>
      <c r="AZ258" s="99"/>
      <c r="BA258" s="99"/>
      <c r="BB258" s="99"/>
      <c r="BC258" s="99"/>
      <c r="BD258" s="99"/>
      <c r="BE258" s="99"/>
      <c r="BF258" s="99"/>
      <c r="BG258" s="99"/>
      <c r="BH258" s="99"/>
      <c r="BI258" s="99"/>
      <c r="BJ258" s="99"/>
      <c r="BK258" s="1173"/>
      <c r="BL258" s="295"/>
      <c r="BM258" s="295"/>
      <c r="BN258" s="295"/>
      <c r="BO258" s="295"/>
      <c r="BP258" s="295"/>
      <c r="BQ258" s="295"/>
      <c r="BR258" s="295"/>
      <c r="BS258" s="295"/>
      <c r="BT258" s="295"/>
      <c r="BU258" s="295"/>
      <c r="BV258" s="295"/>
      <c r="BW258" s="295"/>
      <c r="BX258" s="295"/>
      <c r="BY258" s="295"/>
      <c r="BZ258" s="295"/>
      <c r="CA258" s="295"/>
      <c r="CB258" s="295"/>
      <c r="CC258" s="295"/>
      <c r="CD258" s="295"/>
      <c r="CE258" s="295"/>
      <c r="CF258" s="295"/>
      <c r="CG258" s="295"/>
      <c r="CH258" s="295"/>
      <c r="CI258" s="295"/>
      <c r="CJ258" s="295"/>
      <c r="CK258" s="295"/>
      <c r="CL258" s="295"/>
      <c r="CM258" s="295"/>
      <c r="CN258" s="295"/>
      <c r="CO258" s="295"/>
      <c r="CP258" s="295"/>
      <c r="CQ258" s="295"/>
      <c r="CR258" s="295"/>
      <c r="CS258" s="295"/>
      <c r="CT258" s="295"/>
      <c r="CU258" s="295"/>
      <c r="CV258" s="295"/>
      <c r="CW258" s="295"/>
      <c r="CX258" s="269"/>
      <c r="CY258" s="269"/>
      <c r="CZ258" s="269"/>
    </row>
    <row r="259" spans="1:106">
      <c r="A259" s="93" t="s">
        <v>203</v>
      </c>
      <c r="B259" s="556"/>
      <c r="C259" s="556"/>
      <c r="D259" s="556"/>
      <c r="E259" s="556"/>
      <c r="F259" s="556">
        <f>Q_BS!F9</f>
        <v>35.109108834893128</v>
      </c>
      <c r="G259" s="556">
        <f>Q_BS!G9</f>
        <v>35.273672650904039</v>
      </c>
      <c r="H259" s="556">
        <f>Q_BS!H9</f>
        <v>33.410789186688667</v>
      </c>
      <c r="I259" s="556">
        <f>Q_BS!I9</f>
        <v>35.907521507087118</v>
      </c>
      <c r="J259" s="556">
        <f>Q_BS!J9</f>
        <v>38.400322044213986</v>
      </c>
      <c r="K259" s="556">
        <f>Q_BS!K9</f>
        <v>39.214019411767332</v>
      </c>
      <c r="L259" s="556">
        <f>Q_BS!L9</f>
        <v>32.651827579794855</v>
      </c>
      <c r="M259" s="556">
        <f>Q_BS!M9</f>
        <v>34.227243911458608</v>
      </c>
      <c r="N259" s="556">
        <f>Q_BS!N9</f>
        <v>36.332808386125606</v>
      </c>
      <c r="O259" s="556">
        <f>Q_BS!O9</f>
        <v>37.668706333061827</v>
      </c>
      <c r="P259" s="556">
        <f>Q_BS!P9</f>
        <v>37.746725089663144</v>
      </c>
      <c r="Q259" s="556">
        <f>Q_BS!Q9</f>
        <v>39.830772051255664</v>
      </c>
      <c r="R259" s="556">
        <f>Q_BS!R9</f>
        <v>33.349696861764322</v>
      </c>
      <c r="S259" s="556">
        <f>Q_BS!S9</f>
        <v>33.833349259436218</v>
      </c>
      <c r="T259" s="556">
        <f>Q_BS!T9</f>
        <v>37.628195641311564</v>
      </c>
      <c r="U259" s="556">
        <f>Q_BS!U9</f>
        <v>40.042420461634435</v>
      </c>
      <c r="V259" s="556">
        <f>Q_BS!V9</f>
        <v>38.863054779883811</v>
      </c>
      <c r="W259" s="556">
        <f>Q_BS!W9</f>
        <v>40.319154151618648</v>
      </c>
      <c r="X259" s="556">
        <f>Q_BS!X9</f>
        <v>42.908197558709269</v>
      </c>
      <c r="Y259" s="556">
        <f>Q_BS!Y9</f>
        <v>38.613988441703711</v>
      </c>
      <c r="Z259" s="556">
        <f>Q_BS!Z9</f>
        <v>44.662492637444132</v>
      </c>
      <c r="AA259" s="556">
        <f>Q_BS!AA9</f>
        <v>49.784492355874903</v>
      </c>
      <c r="AB259" s="556">
        <f>Q_BS!AB9</f>
        <v>47.159137443424804</v>
      </c>
      <c r="AC259" s="556">
        <f>Q_BS!AC9</f>
        <v>44.543919574165464</v>
      </c>
      <c r="AD259" s="556">
        <f>Q_BS!AD9</f>
        <v>46.406105326581432</v>
      </c>
      <c r="AE259" s="556">
        <f>Q_BS!AE9</f>
        <v>46.179002475812922</v>
      </c>
      <c r="AF259" s="556">
        <f>Q_BS!AF9</f>
        <v>45.776019091756645</v>
      </c>
      <c r="AG259" s="556">
        <f>Q_BS!AG9</f>
        <v>43.622900083656674</v>
      </c>
      <c r="AH259" s="556">
        <f>Q_BS!AH9</f>
        <v>45.224676830729592</v>
      </c>
      <c r="AI259" s="556">
        <f>Q_BS!AI9</f>
        <v>49.533128566281405</v>
      </c>
      <c r="AJ259" s="556">
        <f>Q_BS!AJ9</f>
        <v>53.259073657416877</v>
      </c>
      <c r="AK259" s="556">
        <f>Q_BS!AK9</f>
        <v>51.448674090994807</v>
      </c>
      <c r="AL259" s="556">
        <f>Q_BS!AL9</f>
        <v>50.369552017221096</v>
      </c>
      <c r="AM259" s="556">
        <f>Q_BS!AM9</f>
        <v>54.832091605883811</v>
      </c>
      <c r="AN259" s="556">
        <f>Q_BS!AN9</f>
        <v>44.576249092478498</v>
      </c>
      <c r="AO259" s="556">
        <f>Q_BS!AO9</f>
        <v>49.329405636391606</v>
      </c>
      <c r="AP259" s="556">
        <f>Q_BS!AP9</f>
        <v>42.973463073640765</v>
      </c>
      <c r="AQ259" s="556">
        <f>Q_BS!AQ9</f>
        <v>43.551803087020041</v>
      </c>
      <c r="AR259" s="556">
        <f>Q_BS!AR9</f>
        <v>41.820910592021534</v>
      </c>
      <c r="AS259" s="556">
        <f>Q_BS!AS9</f>
        <v>35.748529376316277</v>
      </c>
      <c r="AT259" s="556">
        <f>Q_BS!AT9</f>
        <v>51.086695117324346</v>
      </c>
      <c r="AU259" s="556">
        <f>Q_BS!AU9</f>
        <v>98.510309509701045</v>
      </c>
      <c r="AV259" s="556">
        <f>Q_BS!AV9</f>
        <v>53.307906765603541</v>
      </c>
      <c r="AW259" s="556">
        <f>Q_BS!AW9</f>
        <v>44.372978008225544</v>
      </c>
      <c r="AX259" s="556">
        <f>Q_BS!AX9</f>
        <v>41.588582348611382</v>
      </c>
      <c r="AY259" s="556">
        <f>Q_BS!AY9</f>
        <v>39.557099313794495</v>
      </c>
      <c r="AZ259" s="556">
        <f>Q_BS!AZ9</f>
        <v>38.609482681386552</v>
      </c>
      <c r="BA259" s="556">
        <f>Q_BS!BA9</f>
        <v>35.163561219928091</v>
      </c>
      <c r="BB259" s="556">
        <f>Q_BS!BB9</f>
        <v>38.669615918028811</v>
      </c>
      <c r="BC259" s="556">
        <f>Q_BS!BC9</f>
        <v>44.10672798182906</v>
      </c>
      <c r="BD259" s="556">
        <f>Q_BS!BD9</f>
        <v>43.863429537125029</v>
      </c>
      <c r="BE259" s="556">
        <f>Q_BS!BE9</f>
        <v>40.930760114319909</v>
      </c>
      <c r="BF259" s="556">
        <f>Q_BS!BF9</f>
        <v>43.231230283426783</v>
      </c>
      <c r="BG259" s="556">
        <f>Q_BS!BG9</f>
        <v>41.15091811800486</v>
      </c>
      <c r="BH259" s="556">
        <f>Q_BS!BH9</f>
        <v>41.391077513027689</v>
      </c>
      <c r="BI259" s="556">
        <f>Q_BS!BI9</f>
        <v>38.108210079870894</v>
      </c>
      <c r="BJ259" s="556">
        <f>Q_BS!BJ9</f>
        <v>38.909099752709913</v>
      </c>
      <c r="BK259" s="1867">
        <f>Q_BS!BK9</f>
        <v>43.203978265250043</v>
      </c>
      <c r="BL259" s="557">
        <f t="shared" ref="BL259:BQ259" si="1527">CHOOSE(MASTERSWITCH,BL260,BL261,BL262)</f>
        <v>41.391077513027689</v>
      </c>
      <c r="BM259" s="557">
        <f t="shared" si="1527"/>
        <v>38.108210079870894</v>
      </c>
      <c r="BN259" s="557">
        <f t="shared" si="1527"/>
        <v>38.909099752709913</v>
      </c>
      <c r="BO259" s="557">
        <f t="shared" si="1527"/>
        <v>43.203978265250043</v>
      </c>
      <c r="BP259" s="557">
        <f t="shared" si="1527"/>
        <v>41.391077513027689</v>
      </c>
      <c r="BQ259" s="557">
        <f t="shared" si="1527"/>
        <v>38.108210079870894</v>
      </c>
      <c r="BR259" s="557">
        <f t="shared" ref="BR259:CK259" si="1528">CHOOSE(MASTERSWITCH,BR260,BR261,BR262)</f>
        <v>38.909099752709913</v>
      </c>
      <c r="BS259" s="557">
        <f t="shared" si="1528"/>
        <v>43.203978265250043</v>
      </c>
      <c r="BT259" s="557">
        <f t="shared" si="1528"/>
        <v>41.391077513027689</v>
      </c>
      <c r="BU259" s="557">
        <f t="shared" si="1528"/>
        <v>38.108210079870894</v>
      </c>
      <c r="BV259" s="557">
        <f t="shared" si="1528"/>
        <v>38.909099752709913</v>
      </c>
      <c r="BW259" s="557">
        <f t="shared" si="1528"/>
        <v>43.203978265250043</v>
      </c>
      <c r="BX259" s="557">
        <f t="shared" si="1528"/>
        <v>41.391077513027689</v>
      </c>
      <c r="BY259" s="557">
        <f t="shared" si="1528"/>
        <v>38.108210079870894</v>
      </c>
      <c r="BZ259" s="557">
        <f t="shared" si="1528"/>
        <v>38.909099752709913</v>
      </c>
      <c r="CA259" s="557">
        <f t="shared" si="1528"/>
        <v>43.203978265250043</v>
      </c>
      <c r="CB259" s="557">
        <f t="shared" si="1528"/>
        <v>41.391077513027689</v>
      </c>
      <c r="CC259" s="557">
        <f t="shared" si="1528"/>
        <v>38.108210079870894</v>
      </c>
      <c r="CD259" s="557">
        <f t="shared" si="1528"/>
        <v>38.909099752709913</v>
      </c>
      <c r="CE259" s="557">
        <f t="shared" si="1528"/>
        <v>43.203978265250043</v>
      </c>
      <c r="CF259" s="557">
        <f t="shared" si="1528"/>
        <v>41.391077513027689</v>
      </c>
      <c r="CG259" s="557">
        <f t="shared" si="1528"/>
        <v>38.108210079870894</v>
      </c>
      <c r="CH259" s="557">
        <f t="shared" si="1528"/>
        <v>38.909099752709913</v>
      </c>
      <c r="CI259" s="557">
        <f t="shared" si="1528"/>
        <v>43.203978265250043</v>
      </c>
      <c r="CJ259" s="557">
        <f t="shared" si="1528"/>
        <v>41.391077513027689</v>
      </c>
      <c r="CK259" s="557">
        <f t="shared" si="1528"/>
        <v>38.108210079870894</v>
      </c>
      <c r="CL259" s="557">
        <f t="shared" ref="CL259:CP259" si="1529">CHOOSE(MASTERSWITCH,CL260,CL261,CL262)</f>
        <v>38.909099752709913</v>
      </c>
      <c r="CM259" s="557">
        <f t="shared" si="1529"/>
        <v>43.203978265250043</v>
      </c>
      <c r="CN259" s="557">
        <f t="shared" si="1529"/>
        <v>41.391077513027689</v>
      </c>
      <c r="CO259" s="557">
        <f t="shared" si="1529"/>
        <v>38.108210079870894</v>
      </c>
      <c r="CP259" s="557">
        <f t="shared" si="1529"/>
        <v>38.909099752709913</v>
      </c>
      <c r="CQ259" s="557">
        <f t="shared" ref="CQ259:CU259" si="1530">CHOOSE(MASTERSWITCH,CQ260,CQ261,CQ262)</f>
        <v>43.203978265250043</v>
      </c>
      <c r="CR259" s="557">
        <f t="shared" si="1530"/>
        <v>41.391077513027689</v>
      </c>
      <c r="CS259" s="557">
        <f t="shared" si="1530"/>
        <v>38.108210079870894</v>
      </c>
      <c r="CT259" s="557">
        <f t="shared" si="1530"/>
        <v>38.909099752709913</v>
      </c>
      <c r="CU259" s="557">
        <f t="shared" si="1530"/>
        <v>43.203978265250043</v>
      </c>
      <c r="CV259" s="557">
        <f t="shared" ref="CV259:CW259" si="1531">CHOOSE(MASTERSWITCH,CV260,CV261,CV262)</f>
        <v>41.391077513027689</v>
      </c>
      <c r="CW259" s="557">
        <f t="shared" si="1531"/>
        <v>38.108210079870894</v>
      </c>
      <c r="CX259" s="269"/>
    </row>
    <row r="260" spans="1:106">
      <c r="A260" s="42" t="s">
        <v>571</v>
      </c>
      <c r="B260" s="561"/>
      <c r="C260" s="561"/>
      <c r="D260" s="561"/>
      <c r="E260" s="564"/>
      <c r="F260" s="111">
        <f>F259</f>
        <v>35.109108834893128</v>
      </c>
      <c r="G260" s="111">
        <f>G259</f>
        <v>35.273672650904039</v>
      </c>
      <c r="H260" s="111">
        <f>H259</f>
        <v>33.410789186688667</v>
      </c>
      <c r="I260" s="111">
        <f>I259</f>
        <v>35.907521507087118</v>
      </c>
      <c r="J260" s="111">
        <f t="shared" ref="J260:AA260" si="1532">J259</f>
        <v>38.400322044213986</v>
      </c>
      <c r="K260" s="111">
        <f t="shared" si="1532"/>
        <v>39.214019411767332</v>
      </c>
      <c r="L260" s="111">
        <f t="shared" si="1532"/>
        <v>32.651827579794855</v>
      </c>
      <c r="M260" s="111">
        <f t="shared" si="1532"/>
        <v>34.227243911458608</v>
      </c>
      <c r="N260" s="111">
        <f t="shared" si="1532"/>
        <v>36.332808386125606</v>
      </c>
      <c r="O260" s="111">
        <f t="shared" si="1532"/>
        <v>37.668706333061827</v>
      </c>
      <c r="P260" s="111">
        <f t="shared" si="1532"/>
        <v>37.746725089663144</v>
      </c>
      <c r="Q260" s="111">
        <f t="shared" si="1532"/>
        <v>39.830772051255664</v>
      </c>
      <c r="R260" s="111">
        <f t="shared" si="1532"/>
        <v>33.349696861764322</v>
      </c>
      <c r="S260" s="111">
        <f t="shared" si="1532"/>
        <v>33.833349259436218</v>
      </c>
      <c r="T260" s="111">
        <f t="shared" si="1532"/>
        <v>37.628195641311564</v>
      </c>
      <c r="U260" s="111">
        <f t="shared" si="1532"/>
        <v>40.042420461634435</v>
      </c>
      <c r="V260" s="111">
        <f t="shared" si="1532"/>
        <v>38.863054779883811</v>
      </c>
      <c r="W260" s="111">
        <f t="shared" si="1532"/>
        <v>40.319154151618648</v>
      </c>
      <c r="X260" s="111">
        <f t="shared" si="1532"/>
        <v>42.908197558709269</v>
      </c>
      <c r="Y260" s="111">
        <f t="shared" si="1532"/>
        <v>38.613988441703711</v>
      </c>
      <c r="Z260" s="111">
        <f t="shared" si="1532"/>
        <v>44.662492637444132</v>
      </c>
      <c r="AA260" s="111">
        <f t="shared" si="1532"/>
        <v>49.784492355874903</v>
      </c>
      <c r="AB260" s="111">
        <f t="shared" ref="AB260:AM260" si="1533">AB259</f>
        <v>47.159137443424804</v>
      </c>
      <c r="AC260" s="111">
        <f t="shared" si="1533"/>
        <v>44.543919574165464</v>
      </c>
      <c r="AD260" s="111">
        <f t="shared" si="1533"/>
        <v>46.406105326581432</v>
      </c>
      <c r="AE260" s="111">
        <f t="shared" si="1533"/>
        <v>46.179002475812922</v>
      </c>
      <c r="AF260" s="111">
        <f t="shared" si="1533"/>
        <v>45.776019091756645</v>
      </c>
      <c r="AG260" s="111">
        <f t="shared" si="1533"/>
        <v>43.622900083656674</v>
      </c>
      <c r="AH260" s="111">
        <f t="shared" si="1533"/>
        <v>45.224676830729592</v>
      </c>
      <c r="AI260" s="111">
        <f t="shared" si="1533"/>
        <v>49.533128566281405</v>
      </c>
      <c r="AJ260" s="111">
        <f t="shared" si="1533"/>
        <v>53.259073657416877</v>
      </c>
      <c r="AK260" s="111">
        <f t="shared" si="1533"/>
        <v>51.448674090994807</v>
      </c>
      <c r="AL260" s="111">
        <f t="shared" si="1533"/>
        <v>50.369552017221096</v>
      </c>
      <c r="AM260" s="111">
        <f t="shared" si="1533"/>
        <v>54.832091605883811</v>
      </c>
      <c r="AN260" s="111">
        <f t="shared" ref="AN260:AS260" si="1534">AN259</f>
        <v>44.576249092478498</v>
      </c>
      <c r="AO260" s="111">
        <f t="shared" si="1534"/>
        <v>49.329405636391606</v>
      </c>
      <c r="AP260" s="111">
        <f t="shared" si="1534"/>
        <v>42.973463073640765</v>
      </c>
      <c r="AQ260" s="111">
        <f t="shared" si="1534"/>
        <v>43.551803087020041</v>
      </c>
      <c r="AR260" s="111">
        <f t="shared" si="1534"/>
        <v>41.820910592021534</v>
      </c>
      <c r="AS260" s="111">
        <f t="shared" si="1534"/>
        <v>35.748529376316277</v>
      </c>
      <c r="AT260" s="111">
        <f t="shared" ref="AT260:BC260" si="1535">AT259</f>
        <v>51.086695117324346</v>
      </c>
      <c r="AU260" s="111">
        <f t="shared" si="1535"/>
        <v>98.510309509701045</v>
      </c>
      <c r="AV260" s="111">
        <f t="shared" si="1535"/>
        <v>53.307906765603541</v>
      </c>
      <c r="AW260" s="111">
        <f t="shared" si="1535"/>
        <v>44.372978008225544</v>
      </c>
      <c r="AX260" s="111">
        <f t="shared" si="1535"/>
        <v>41.588582348611382</v>
      </c>
      <c r="AY260" s="111">
        <f t="shared" si="1535"/>
        <v>39.557099313794495</v>
      </c>
      <c r="AZ260" s="111">
        <f t="shared" si="1535"/>
        <v>38.609482681386552</v>
      </c>
      <c r="BA260" s="111">
        <f t="shared" si="1535"/>
        <v>35.163561219928091</v>
      </c>
      <c r="BB260" s="111">
        <f t="shared" si="1535"/>
        <v>38.669615918028811</v>
      </c>
      <c r="BC260" s="111">
        <f t="shared" si="1535"/>
        <v>44.10672798182906</v>
      </c>
      <c r="BD260" s="111">
        <f t="shared" ref="BD260:BI260" si="1536">BD259</f>
        <v>43.863429537125029</v>
      </c>
      <c r="BE260" s="111">
        <f t="shared" si="1536"/>
        <v>40.930760114319909</v>
      </c>
      <c r="BF260" s="111">
        <f t="shared" si="1536"/>
        <v>43.231230283426783</v>
      </c>
      <c r="BG260" s="111">
        <f t="shared" si="1536"/>
        <v>41.15091811800486</v>
      </c>
      <c r="BH260" s="111">
        <f t="shared" si="1536"/>
        <v>41.391077513027689</v>
      </c>
      <c r="BI260" s="111">
        <f t="shared" si="1536"/>
        <v>38.108210079870894</v>
      </c>
      <c r="BJ260" s="111">
        <f t="shared" ref="BJ260:BK260" si="1537">BJ259</f>
        <v>38.909099752709913</v>
      </c>
      <c r="BK260" s="1175">
        <f t="shared" si="1537"/>
        <v>43.203978265250043</v>
      </c>
      <c r="BL260" s="565">
        <f t="shared" ref="BL260:BP260" si="1538">BL261+$CY260</f>
        <v>41.391077513027689</v>
      </c>
      <c r="BM260" s="565">
        <f t="shared" si="1538"/>
        <v>38.108210079870894</v>
      </c>
      <c r="BN260" s="565">
        <f t="shared" si="1538"/>
        <v>38.909099752709913</v>
      </c>
      <c r="BO260" s="565">
        <f t="shared" si="1538"/>
        <v>43.203978265250043</v>
      </c>
      <c r="BP260" s="565">
        <f t="shared" si="1538"/>
        <v>41.391077513027689</v>
      </c>
      <c r="BQ260" s="565">
        <f t="shared" ref="BQ260:BY260" si="1539">BQ261+$CY260</f>
        <v>38.108210079870894</v>
      </c>
      <c r="BR260" s="565">
        <f t="shared" si="1539"/>
        <v>38.909099752709913</v>
      </c>
      <c r="BS260" s="565">
        <f t="shared" si="1539"/>
        <v>43.203978265250043</v>
      </c>
      <c r="BT260" s="565">
        <f t="shared" si="1539"/>
        <v>41.391077513027689</v>
      </c>
      <c r="BU260" s="565">
        <f t="shared" si="1539"/>
        <v>38.108210079870894</v>
      </c>
      <c r="BV260" s="565">
        <f t="shared" si="1539"/>
        <v>38.909099752709913</v>
      </c>
      <c r="BW260" s="565">
        <f t="shared" si="1539"/>
        <v>43.203978265250043</v>
      </c>
      <c r="BX260" s="565">
        <f t="shared" si="1539"/>
        <v>41.391077513027689</v>
      </c>
      <c r="BY260" s="565">
        <f t="shared" si="1539"/>
        <v>38.108210079870894</v>
      </c>
      <c r="BZ260" s="565">
        <f t="shared" ref="BZ260:CU260" si="1540">BZ261+$CZ260</f>
        <v>38.909099752709913</v>
      </c>
      <c r="CA260" s="565">
        <f t="shared" si="1540"/>
        <v>43.203978265250043</v>
      </c>
      <c r="CB260" s="565">
        <f t="shared" si="1540"/>
        <v>41.391077513027689</v>
      </c>
      <c r="CC260" s="565">
        <f t="shared" si="1540"/>
        <v>38.108210079870894</v>
      </c>
      <c r="CD260" s="565">
        <f t="shared" si="1540"/>
        <v>38.909099752709913</v>
      </c>
      <c r="CE260" s="565">
        <f t="shared" si="1540"/>
        <v>43.203978265250043</v>
      </c>
      <c r="CF260" s="565">
        <f t="shared" si="1540"/>
        <v>41.391077513027689</v>
      </c>
      <c r="CG260" s="565">
        <f t="shared" si="1540"/>
        <v>38.108210079870894</v>
      </c>
      <c r="CH260" s="565">
        <f t="shared" si="1540"/>
        <v>38.909099752709913</v>
      </c>
      <c r="CI260" s="565">
        <f t="shared" si="1540"/>
        <v>43.203978265250043</v>
      </c>
      <c r="CJ260" s="565">
        <f t="shared" si="1540"/>
        <v>41.391077513027689</v>
      </c>
      <c r="CK260" s="565">
        <f t="shared" si="1540"/>
        <v>38.108210079870894</v>
      </c>
      <c r="CL260" s="565">
        <f t="shared" si="1540"/>
        <v>38.909099752709913</v>
      </c>
      <c r="CM260" s="565">
        <f t="shared" si="1540"/>
        <v>43.203978265250043</v>
      </c>
      <c r="CN260" s="565">
        <f t="shared" si="1540"/>
        <v>41.391077513027689</v>
      </c>
      <c r="CO260" s="565">
        <f t="shared" si="1540"/>
        <v>38.108210079870894</v>
      </c>
      <c r="CP260" s="565">
        <f t="shared" si="1540"/>
        <v>38.909099752709913</v>
      </c>
      <c r="CQ260" s="565">
        <f t="shared" si="1540"/>
        <v>43.203978265250043</v>
      </c>
      <c r="CR260" s="565">
        <f t="shared" si="1540"/>
        <v>41.391077513027689</v>
      </c>
      <c r="CS260" s="565">
        <f t="shared" si="1540"/>
        <v>38.108210079870894</v>
      </c>
      <c r="CT260" s="565">
        <f t="shared" si="1540"/>
        <v>38.909099752709913</v>
      </c>
      <c r="CU260" s="565">
        <f t="shared" si="1540"/>
        <v>43.203978265250043</v>
      </c>
      <c r="CV260" s="565">
        <f t="shared" ref="CV260:CW260" si="1541">CV261+$CZ260</f>
        <v>41.391077513027689</v>
      </c>
      <c r="CW260" s="565">
        <f t="shared" si="1541"/>
        <v>38.108210079870894</v>
      </c>
      <c r="CX260" s="269"/>
      <c r="CY260" s="401">
        <v>0</v>
      </c>
      <c r="CZ260" s="401">
        <v>0</v>
      </c>
    </row>
    <row r="261" spans="1:106">
      <c r="A261" s="42" t="s">
        <v>200</v>
      </c>
      <c r="B261" s="561"/>
      <c r="C261" s="561"/>
      <c r="D261" s="561"/>
      <c r="E261" s="564"/>
      <c r="F261" s="111">
        <f>F259</f>
        <v>35.109108834893128</v>
      </c>
      <c r="G261" s="111">
        <f>G259</f>
        <v>35.273672650904039</v>
      </c>
      <c r="H261" s="111">
        <f>H259</f>
        <v>33.410789186688667</v>
      </c>
      <c r="I261" s="111">
        <f>I259</f>
        <v>35.907521507087118</v>
      </c>
      <c r="J261" s="111">
        <f t="shared" ref="J261:AA261" si="1542">J259</f>
        <v>38.400322044213986</v>
      </c>
      <c r="K261" s="111">
        <f t="shared" si="1542"/>
        <v>39.214019411767332</v>
      </c>
      <c r="L261" s="111">
        <f t="shared" si="1542"/>
        <v>32.651827579794855</v>
      </c>
      <c r="M261" s="111">
        <f t="shared" si="1542"/>
        <v>34.227243911458608</v>
      </c>
      <c r="N261" s="111">
        <f t="shared" si="1542"/>
        <v>36.332808386125606</v>
      </c>
      <c r="O261" s="111">
        <f t="shared" si="1542"/>
        <v>37.668706333061827</v>
      </c>
      <c r="P261" s="111">
        <f t="shared" si="1542"/>
        <v>37.746725089663144</v>
      </c>
      <c r="Q261" s="111">
        <f t="shared" si="1542"/>
        <v>39.830772051255664</v>
      </c>
      <c r="R261" s="111">
        <f t="shared" si="1542"/>
        <v>33.349696861764322</v>
      </c>
      <c r="S261" s="111">
        <f t="shared" si="1542"/>
        <v>33.833349259436218</v>
      </c>
      <c r="T261" s="111">
        <f t="shared" si="1542"/>
        <v>37.628195641311564</v>
      </c>
      <c r="U261" s="111">
        <f t="shared" si="1542"/>
        <v>40.042420461634435</v>
      </c>
      <c r="V261" s="111">
        <f t="shared" si="1542"/>
        <v>38.863054779883811</v>
      </c>
      <c r="W261" s="111">
        <f t="shared" si="1542"/>
        <v>40.319154151618648</v>
      </c>
      <c r="X261" s="111">
        <f t="shared" si="1542"/>
        <v>42.908197558709269</v>
      </c>
      <c r="Y261" s="111">
        <f t="shared" si="1542"/>
        <v>38.613988441703711</v>
      </c>
      <c r="Z261" s="111">
        <f t="shared" si="1542"/>
        <v>44.662492637444132</v>
      </c>
      <c r="AA261" s="111">
        <f t="shared" si="1542"/>
        <v>49.784492355874903</v>
      </c>
      <c r="AB261" s="111">
        <f t="shared" ref="AB261:AM261" si="1543">AB259</f>
        <v>47.159137443424804</v>
      </c>
      <c r="AC261" s="111">
        <f t="shared" si="1543"/>
        <v>44.543919574165464</v>
      </c>
      <c r="AD261" s="111">
        <f t="shared" si="1543"/>
        <v>46.406105326581432</v>
      </c>
      <c r="AE261" s="111">
        <f t="shared" si="1543"/>
        <v>46.179002475812922</v>
      </c>
      <c r="AF261" s="111">
        <f t="shared" si="1543"/>
        <v>45.776019091756645</v>
      </c>
      <c r="AG261" s="111">
        <f t="shared" si="1543"/>
        <v>43.622900083656674</v>
      </c>
      <c r="AH261" s="111">
        <f t="shared" si="1543"/>
        <v>45.224676830729592</v>
      </c>
      <c r="AI261" s="111">
        <f t="shared" si="1543"/>
        <v>49.533128566281405</v>
      </c>
      <c r="AJ261" s="111">
        <f t="shared" si="1543"/>
        <v>53.259073657416877</v>
      </c>
      <c r="AK261" s="111">
        <f t="shared" si="1543"/>
        <v>51.448674090994807</v>
      </c>
      <c r="AL261" s="111">
        <f t="shared" si="1543"/>
        <v>50.369552017221096</v>
      </c>
      <c r="AM261" s="111">
        <f t="shared" si="1543"/>
        <v>54.832091605883811</v>
      </c>
      <c r="AN261" s="111">
        <f t="shared" ref="AN261:AS261" si="1544">AN259</f>
        <v>44.576249092478498</v>
      </c>
      <c r="AO261" s="111">
        <f t="shared" si="1544"/>
        <v>49.329405636391606</v>
      </c>
      <c r="AP261" s="111">
        <f t="shared" si="1544"/>
        <v>42.973463073640765</v>
      </c>
      <c r="AQ261" s="111">
        <f t="shared" si="1544"/>
        <v>43.551803087020041</v>
      </c>
      <c r="AR261" s="111">
        <f t="shared" si="1544"/>
        <v>41.820910592021534</v>
      </c>
      <c r="AS261" s="111">
        <f t="shared" si="1544"/>
        <v>35.748529376316277</v>
      </c>
      <c r="AT261" s="111">
        <f t="shared" ref="AT261:BC261" si="1545">AT259</f>
        <v>51.086695117324346</v>
      </c>
      <c r="AU261" s="111">
        <f t="shared" si="1545"/>
        <v>98.510309509701045</v>
      </c>
      <c r="AV261" s="111">
        <f t="shared" si="1545"/>
        <v>53.307906765603541</v>
      </c>
      <c r="AW261" s="111">
        <f t="shared" si="1545"/>
        <v>44.372978008225544</v>
      </c>
      <c r="AX261" s="111">
        <f t="shared" si="1545"/>
        <v>41.588582348611382</v>
      </c>
      <c r="AY261" s="111">
        <f t="shared" si="1545"/>
        <v>39.557099313794495</v>
      </c>
      <c r="AZ261" s="111">
        <f t="shared" si="1545"/>
        <v>38.609482681386552</v>
      </c>
      <c r="BA261" s="111">
        <f t="shared" si="1545"/>
        <v>35.163561219928091</v>
      </c>
      <c r="BB261" s="111">
        <f t="shared" si="1545"/>
        <v>38.669615918028811</v>
      </c>
      <c r="BC261" s="111">
        <f t="shared" si="1545"/>
        <v>44.10672798182906</v>
      </c>
      <c r="BD261" s="111">
        <f t="shared" ref="BD261:BI261" si="1546">BD259</f>
        <v>43.863429537125029</v>
      </c>
      <c r="BE261" s="111">
        <f t="shared" si="1546"/>
        <v>40.930760114319909</v>
      </c>
      <c r="BF261" s="111">
        <f t="shared" si="1546"/>
        <v>43.231230283426783</v>
      </c>
      <c r="BG261" s="111">
        <f t="shared" si="1546"/>
        <v>41.15091811800486</v>
      </c>
      <c r="BH261" s="111">
        <f t="shared" si="1546"/>
        <v>41.391077513027689</v>
      </c>
      <c r="BI261" s="111">
        <f t="shared" si="1546"/>
        <v>38.108210079870894</v>
      </c>
      <c r="BJ261" s="111">
        <f t="shared" ref="BJ261:BK261" si="1547">BJ259</f>
        <v>38.909099752709913</v>
      </c>
      <c r="BK261" s="1175">
        <f t="shared" si="1547"/>
        <v>43.203978265250043</v>
      </c>
      <c r="BL261" s="563">
        <f t="shared" ref="BL261:BP261" si="1548">BH261+$CY261</f>
        <v>41.391077513027689</v>
      </c>
      <c r="BM261" s="563">
        <f t="shared" si="1548"/>
        <v>38.108210079870894</v>
      </c>
      <c r="BN261" s="563">
        <f t="shared" si="1548"/>
        <v>38.909099752709913</v>
      </c>
      <c r="BO261" s="563">
        <f t="shared" si="1548"/>
        <v>43.203978265250043</v>
      </c>
      <c r="BP261" s="563">
        <f t="shared" si="1548"/>
        <v>41.391077513027689</v>
      </c>
      <c r="BQ261" s="563">
        <f t="shared" ref="BQ261:BY261" si="1549">BM261+$CY261</f>
        <v>38.108210079870894</v>
      </c>
      <c r="BR261" s="563">
        <f t="shared" si="1549"/>
        <v>38.909099752709913</v>
      </c>
      <c r="BS261" s="563">
        <f t="shared" si="1549"/>
        <v>43.203978265250043</v>
      </c>
      <c r="BT261" s="563">
        <f t="shared" si="1549"/>
        <v>41.391077513027689</v>
      </c>
      <c r="BU261" s="563">
        <f t="shared" si="1549"/>
        <v>38.108210079870894</v>
      </c>
      <c r="BV261" s="563">
        <f t="shared" si="1549"/>
        <v>38.909099752709913</v>
      </c>
      <c r="BW261" s="563">
        <f t="shared" si="1549"/>
        <v>43.203978265250043</v>
      </c>
      <c r="BX261" s="563">
        <f t="shared" si="1549"/>
        <v>41.391077513027689</v>
      </c>
      <c r="BY261" s="563">
        <f t="shared" si="1549"/>
        <v>38.108210079870894</v>
      </c>
      <c r="BZ261" s="563">
        <f t="shared" ref="BZ261:CU261" si="1550">BV261+$CZ261</f>
        <v>38.909099752709913</v>
      </c>
      <c r="CA261" s="563">
        <f t="shared" si="1550"/>
        <v>43.203978265250043</v>
      </c>
      <c r="CB261" s="563">
        <f t="shared" si="1550"/>
        <v>41.391077513027689</v>
      </c>
      <c r="CC261" s="563">
        <f t="shared" si="1550"/>
        <v>38.108210079870894</v>
      </c>
      <c r="CD261" s="563">
        <f t="shared" si="1550"/>
        <v>38.909099752709913</v>
      </c>
      <c r="CE261" s="563">
        <f t="shared" si="1550"/>
        <v>43.203978265250043</v>
      </c>
      <c r="CF261" s="563">
        <f t="shared" si="1550"/>
        <v>41.391077513027689</v>
      </c>
      <c r="CG261" s="563">
        <f t="shared" si="1550"/>
        <v>38.108210079870894</v>
      </c>
      <c r="CH261" s="563">
        <f t="shared" si="1550"/>
        <v>38.909099752709913</v>
      </c>
      <c r="CI261" s="563">
        <f t="shared" si="1550"/>
        <v>43.203978265250043</v>
      </c>
      <c r="CJ261" s="563">
        <f t="shared" si="1550"/>
        <v>41.391077513027689</v>
      </c>
      <c r="CK261" s="563">
        <f t="shared" si="1550"/>
        <v>38.108210079870894</v>
      </c>
      <c r="CL261" s="563">
        <f t="shared" si="1550"/>
        <v>38.909099752709913</v>
      </c>
      <c r="CM261" s="563">
        <f t="shared" si="1550"/>
        <v>43.203978265250043</v>
      </c>
      <c r="CN261" s="563">
        <f t="shared" si="1550"/>
        <v>41.391077513027689</v>
      </c>
      <c r="CO261" s="563">
        <f t="shared" si="1550"/>
        <v>38.108210079870894</v>
      </c>
      <c r="CP261" s="563">
        <f t="shared" si="1550"/>
        <v>38.909099752709913</v>
      </c>
      <c r="CQ261" s="563">
        <f t="shared" si="1550"/>
        <v>43.203978265250043</v>
      </c>
      <c r="CR261" s="563">
        <f t="shared" si="1550"/>
        <v>41.391077513027689</v>
      </c>
      <c r="CS261" s="563">
        <f t="shared" si="1550"/>
        <v>38.108210079870894</v>
      </c>
      <c r="CT261" s="563">
        <f t="shared" si="1550"/>
        <v>38.909099752709913</v>
      </c>
      <c r="CU261" s="563">
        <f t="shared" si="1550"/>
        <v>43.203978265250043</v>
      </c>
      <c r="CV261" s="563">
        <f t="shared" ref="CV261:CW261" si="1551">CR261+$CZ261</f>
        <v>41.391077513027689</v>
      </c>
      <c r="CW261" s="563">
        <f t="shared" si="1551"/>
        <v>38.108210079870894</v>
      </c>
      <c r="CX261" s="337"/>
      <c r="CY261" s="401">
        <f>CY256</f>
        <v>0</v>
      </c>
      <c r="CZ261" s="401">
        <v>0</v>
      </c>
    </row>
    <row r="262" spans="1:106">
      <c r="A262" s="42" t="s">
        <v>202</v>
      </c>
      <c r="B262" s="561"/>
      <c r="C262" s="561"/>
      <c r="D262" s="561"/>
      <c r="E262" s="391"/>
      <c r="F262" s="99">
        <f>F259</f>
        <v>35.109108834893128</v>
      </c>
      <c r="G262" s="99">
        <f>G259</f>
        <v>35.273672650904039</v>
      </c>
      <c r="H262" s="99">
        <f>H259</f>
        <v>33.410789186688667</v>
      </c>
      <c r="I262" s="99">
        <f>I259</f>
        <v>35.907521507087118</v>
      </c>
      <c r="J262" s="99">
        <f t="shared" ref="J262:AA262" si="1552">J259</f>
        <v>38.400322044213986</v>
      </c>
      <c r="K262" s="99">
        <f t="shared" si="1552"/>
        <v>39.214019411767332</v>
      </c>
      <c r="L262" s="99">
        <f t="shared" si="1552"/>
        <v>32.651827579794855</v>
      </c>
      <c r="M262" s="99">
        <f t="shared" si="1552"/>
        <v>34.227243911458608</v>
      </c>
      <c r="N262" s="99">
        <f t="shared" si="1552"/>
        <v>36.332808386125606</v>
      </c>
      <c r="O262" s="99">
        <f t="shared" si="1552"/>
        <v>37.668706333061827</v>
      </c>
      <c r="P262" s="99">
        <f t="shared" si="1552"/>
        <v>37.746725089663144</v>
      </c>
      <c r="Q262" s="99">
        <f t="shared" si="1552"/>
        <v>39.830772051255664</v>
      </c>
      <c r="R262" s="99">
        <f t="shared" si="1552"/>
        <v>33.349696861764322</v>
      </c>
      <c r="S262" s="99">
        <f t="shared" si="1552"/>
        <v>33.833349259436218</v>
      </c>
      <c r="T262" s="99">
        <f t="shared" si="1552"/>
        <v>37.628195641311564</v>
      </c>
      <c r="U262" s="99">
        <f t="shared" si="1552"/>
        <v>40.042420461634435</v>
      </c>
      <c r="V262" s="99">
        <f t="shared" si="1552"/>
        <v>38.863054779883811</v>
      </c>
      <c r="W262" s="99">
        <f t="shared" si="1552"/>
        <v>40.319154151618648</v>
      </c>
      <c r="X262" s="99">
        <f t="shared" si="1552"/>
        <v>42.908197558709269</v>
      </c>
      <c r="Y262" s="99">
        <f t="shared" si="1552"/>
        <v>38.613988441703711</v>
      </c>
      <c r="Z262" s="99">
        <f t="shared" si="1552"/>
        <v>44.662492637444132</v>
      </c>
      <c r="AA262" s="99">
        <f t="shared" si="1552"/>
        <v>49.784492355874903</v>
      </c>
      <c r="AB262" s="99">
        <f t="shared" ref="AB262:AM262" si="1553">AB259</f>
        <v>47.159137443424804</v>
      </c>
      <c r="AC262" s="99">
        <f t="shared" si="1553"/>
        <v>44.543919574165464</v>
      </c>
      <c r="AD262" s="99">
        <f t="shared" si="1553"/>
        <v>46.406105326581432</v>
      </c>
      <c r="AE262" s="99">
        <f t="shared" si="1553"/>
        <v>46.179002475812922</v>
      </c>
      <c r="AF262" s="99">
        <f t="shared" si="1553"/>
        <v>45.776019091756645</v>
      </c>
      <c r="AG262" s="99">
        <f t="shared" si="1553"/>
        <v>43.622900083656674</v>
      </c>
      <c r="AH262" s="99">
        <f t="shared" si="1553"/>
        <v>45.224676830729592</v>
      </c>
      <c r="AI262" s="99">
        <f t="shared" si="1553"/>
        <v>49.533128566281405</v>
      </c>
      <c r="AJ262" s="99">
        <f t="shared" si="1553"/>
        <v>53.259073657416877</v>
      </c>
      <c r="AK262" s="99">
        <f t="shared" si="1553"/>
        <v>51.448674090994807</v>
      </c>
      <c r="AL262" s="99">
        <f t="shared" si="1553"/>
        <v>50.369552017221096</v>
      </c>
      <c r="AM262" s="99">
        <f t="shared" si="1553"/>
        <v>54.832091605883811</v>
      </c>
      <c r="AN262" s="99">
        <f t="shared" ref="AN262:AS262" si="1554">AN259</f>
        <v>44.576249092478498</v>
      </c>
      <c r="AO262" s="99">
        <f t="shared" si="1554"/>
        <v>49.329405636391606</v>
      </c>
      <c r="AP262" s="99">
        <f t="shared" si="1554"/>
        <v>42.973463073640765</v>
      </c>
      <c r="AQ262" s="99">
        <f t="shared" si="1554"/>
        <v>43.551803087020041</v>
      </c>
      <c r="AR262" s="99">
        <f t="shared" si="1554"/>
        <v>41.820910592021534</v>
      </c>
      <c r="AS262" s="99">
        <f t="shared" si="1554"/>
        <v>35.748529376316277</v>
      </c>
      <c r="AT262" s="99">
        <f t="shared" ref="AT262:BC262" si="1555">AT259</f>
        <v>51.086695117324346</v>
      </c>
      <c r="AU262" s="99">
        <f t="shared" si="1555"/>
        <v>98.510309509701045</v>
      </c>
      <c r="AV262" s="99">
        <f t="shared" si="1555"/>
        <v>53.307906765603541</v>
      </c>
      <c r="AW262" s="99">
        <f t="shared" si="1555"/>
        <v>44.372978008225544</v>
      </c>
      <c r="AX262" s="99">
        <f t="shared" si="1555"/>
        <v>41.588582348611382</v>
      </c>
      <c r="AY262" s="99">
        <f t="shared" si="1555"/>
        <v>39.557099313794495</v>
      </c>
      <c r="AZ262" s="99">
        <f t="shared" si="1555"/>
        <v>38.609482681386552</v>
      </c>
      <c r="BA262" s="99">
        <f t="shared" si="1555"/>
        <v>35.163561219928091</v>
      </c>
      <c r="BB262" s="99">
        <f t="shared" si="1555"/>
        <v>38.669615918028811</v>
      </c>
      <c r="BC262" s="99">
        <f t="shared" si="1555"/>
        <v>44.10672798182906</v>
      </c>
      <c r="BD262" s="99">
        <f t="shared" ref="BD262:BI262" si="1556">BD259</f>
        <v>43.863429537125029</v>
      </c>
      <c r="BE262" s="99">
        <f t="shared" si="1556"/>
        <v>40.930760114319909</v>
      </c>
      <c r="BF262" s="99">
        <f t="shared" si="1556"/>
        <v>43.231230283426783</v>
      </c>
      <c r="BG262" s="99">
        <f t="shared" si="1556"/>
        <v>41.15091811800486</v>
      </c>
      <c r="BH262" s="99">
        <f t="shared" si="1556"/>
        <v>41.391077513027689</v>
      </c>
      <c r="BI262" s="99">
        <f t="shared" si="1556"/>
        <v>38.108210079870894</v>
      </c>
      <c r="BJ262" s="99">
        <f t="shared" ref="BJ262:BK262" si="1557">BJ259</f>
        <v>38.909099752709913</v>
      </c>
      <c r="BK262" s="1173">
        <f t="shared" si="1557"/>
        <v>43.203978265250043</v>
      </c>
      <c r="BL262" s="295">
        <f t="shared" ref="BL262:BP262" si="1558">BL261+$CY262</f>
        <v>41.391077513027689</v>
      </c>
      <c r="BM262" s="295">
        <f t="shared" si="1558"/>
        <v>38.108210079870894</v>
      </c>
      <c r="BN262" s="295">
        <f t="shared" si="1558"/>
        <v>38.909099752709913</v>
      </c>
      <c r="BO262" s="295">
        <f t="shared" si="1558"/>
        <v>43.203978265250043</v>
      </c>
      <c r="BP262" s="295">
        <f t="shared" si="1558"/>
        <v>41.391077513027689</v>
      </c>
      <c r="BQ262" s="295">
        <f t="shared" ref="BQ262:BY262" si="1559">BQ261+$CY262</f>
        <v>38.108210079870894</v>
      </c>
      <c r="BR262" s="295">
        <f t="shared" si="1559"/>
        <v>38.909099752709913</v>
      </c>
      <c r="BS262" s="295">
        <f t="shared" si="1559"/>
        <v>43.203978265250043</v>
      </c>
      <c r="BT262" s="295">
        <f t="shared" si="1559"/>
        <v>41.391077513027689</v>
      </c>
      <c r="BU262" s="295">
        <f t="shared" si="1559"/>
        <v>38.108210079870894</v>
      </c>
      <c r="BV262" s="295">
        <f t="shared" si="1559"/>
        <v>38.909099752709913</v>
      </c>
      <c r="BW262" s="295">
        <f t="shared" si="1559"/>
        <v>43.203978265250043</v>
      </c>
      <c r="BX262" s="295">
        <f t="shared" si="1559"/>
        <v>41.391077513027689</v>
      </c>
      <c r="BY262" s="295">
        <f t="shared" si="1559"/>
        <v>38.108210079870894</v>
      </c>
      <c r="BZ262" s="295">
        <f t="shared" ref="BZ262:CU262" si="1560">BZ261+$CZ262</f>
        <v>38.909099752709913</v>
      </c>
      <c r="CA262" s="295">
        <f t="shared" si="1560"/>
        <v>43.203978265250043</v>
      </c>
      <c r="CB262" s="295">
        <f t="shared" si="1560"/>
        <v>41.391077513027689</v>
      </c>
      <c r="CC262" s="295">
        <f t="shared" si="1560"/>
        <v>38.108210079870894</v>
      </c>
      <c r="CD262" s="295">
        <f t="shared" si="1560"/>
        <v>38.909099752709913</v>
      </c>
      <c r="CE262" s="295">
        <f t="shared" si="1560"/>
        <v>43.203978265250043</v>
      </c>
      <c r="CF262" s="295">
        <f t="shared" si="1560"/>
        <v>41.391077513027689</v>
      </c>
      <c r="CG262" s="295">
        <f t="shared" si="1560"/>
        <v>38.108210079870894</v>
      </c>
      <c r="CH262" s="295">
        <f t="shared" si="1560"/>
        <v>38.909099752709913</v>
      </c>
      <c r="CI262" s="295">
        <f t="shared" si="1560"/>
        <v>43.203978265250043</v>
      </c>
      <c r="CJ262" s="295">
        <f t="shared" si="1560"/>
        <v>41.391077513027689</v>
      </c>
      <c r="CK262" s="295">
        <f t="shared" si="1560"/>
        <v>38.108210079870894</v>
      </c>
      <c r="CL262" s="295">
        <f t="shared" si="1560"/>
        <v>38.909099752709913</v>
      </c>
      <c r="CM262" s="295">
        <f t="shared" si="1560"/>
        <v>43.203978265250043</v>
      </c>
      <c r="CN262" s="295">
        <f t="shared" si="1560"/>
        <v>41.391077513027689</v>
      </c>
      <c r="CO262" s="295">
        <f t="shared" si="1560"/>
        <v>38.108210079870894</v>
      </c>
      <c r="CP262" s="295">
        <f t="shared" si="1560"/>
        <v>38.909099752709913</v>
      </c>
      <c r="CQ262" s="295">
        <f t="shared" si="1560"/>
        <v>43.203978265250043</v>
      </c>
      <c r="CR262" s="295">
        <f t="shared" si="1560"/>
        <v>41.391077513027689</v>
      </c>
      <c r="CS262" s="295">
        <f t="shared" si="1560"/>
        <v>38.108210079870894</v>
      </c>
      <c r="CT262" s="295">
        <f t="shared" si="1560"/>
        <v>38.909099752709913</v>
      </c>
      <c r="CU262" s="295">
        <f t="shared" si="1560"/>
        <v>43.203978265250043</v>
      </c>
      <c r="CV262" s="295">
        <f t="shared" ref="CV262:CW262" si="1561">CV261+$CZ262</f>
        <v>41.391077513027689</v>
      </c>
      <c r="CW262" s="295">
        <f t="shared" si="1561"/>
        <v>38.108210079870894</v>
      </c>
      <c r="CX262" s="269"/>
      <c r="CY262" s="401">
        <v>0</v>
      </c>
      <c r="CZ262" s="401">
        <v>0</v>
      </c>
    </row>
    <row r="263" spans="1:106">
      <c r="A263" s="269"/>
      <c r="B263" s="396"/>
      <c r="C263" s="396"/>
      <c r="D263" s="396"/>
      <c r="E263" s="391"/>
      <c r="F263" s="99"/>
      <c r="G263" s="99"/>
      <c r="H263" s="99"/>
      <c r="I263" s="99"/>
      <c r="J263" s="99"/>
      <c r="K263" s="99"/>
      <c r="L263" s="99"/>
      <c r="M263" s="99"/>
      <c r="N263" s="99"/>
      <c r="O263" s="99"/>
      <c r="P263" s="99"/>
      <c r="Q263" s="99"/>
      <c r="R263" s="99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9"/>
      <c r="AD263" s="99"/>
      <c r="AE263" s="99"/>
      <c r="AF263" s="99"/>
      <c r="AG263" s="99"/>
      <c r="AH263" s="99"/>
      <c r="AI263" s="99"/>
      <c r="AJ263" s="99"/>
      <c r="AK263" s="99"/>
      <c r="AL263" s="99"/>
      <c r="AM263" s="99"/>
      <c r="AN263" s="99"/>
      <c r="AO263" s="99"/>
      <c r="AP263" s="99"/>
      <c r="AQ263" s="99"/>
      <c r="AR263" s="99"/>
      <c r="AS263" s="99"/>
      <c r="AT263" s="99"/>
      <c r="AU263" s="99"/>
      <c r="AV263" s="99"/>
      <c r="AW263" s="99"/>
      <c r="AX263" s="99"/>
      <c r="AY263" s="99"/>
      <c r="AZ263" s="99"/>
      <c r="BA263" s="99"/>
      <c r="BB263" s="99"/>
      <c r="BC263" s="99"/>
      <c r="BD263" s="99"/>
      <c r="BE263" s="99"/>
      <c r="BF263" s="99"/>
      <c r="BG263" s="99"/>
      <c r="BH263" s="99"/>
      <c r="BI263" s="99"/>
      <c r="BJ263" s="99"/>
      <c r="BK263" s="1173"/>
      <c r="BL263" s="295"/>
      <c r="BM263" s="295"/>
      <c r="BN263" s="295"/>
      <c r="BO263" s="295"/>
      <c r="BP263" s="295"/>
      <c r="BQ263" s="295"/>
      <c r="BR263" s="295"/>
      <c r="BS263" s="295"/>
      <c r="BT263" s="295"/>
      <c r="BU263" s="295"/>
      <c r="BV263" s="295"/>
      <c r="BW263" s="295"/>
      <c r="BX263" s="295"/>
      <c r="BY263" s="295"/>
      <c r="BZ263" s="295"/>
      <c r="CA263" s="295"/>
      <c r="CB263" s="295"/>
      <c r="CC263" s="295"/>
      <c r="CD263" s="295"/>
      <c r="CE263" s="295"/>
      <c r="CF263" s="295"/>
      <c r="CG263" s="295"/>
      <c r="CH263" s="295"/>
      <c r="CI263" s="295"/>
      <c r="CJ263" s="295"/>
      <c r="CK263" s="295"/>
      <c r="CL263" s="295"/>
      <c r="CM263" s="295"/>
      <c r="CN263" s="295"/>
      <c r="CO263" s="295"/>
      <c r="CP263" s="295"/>
      <c r="CQ263" s="295"/>
      <c r="CR263" s="295"/>
      <c r="CS263" s="295"/>
      <c r="CT263" s="295"/>
      <c r="CU263" s="295"/>
      <c r="CV263" s="295"/>
      <c r="CW263" s="295"/>
      <c r="CX263" s="269"/>
      <c r="CY263" s="269"/>
      <c r="CZ263" s="269"/>
    </row>
    <row r="264" spans="1:106">
      <c r="A264" s="43" t="s">
        <v>547</v>
      </c>
      <c r="B264" s="556"/>
      <c r="C264" s="556"/>
      <c r="D264" s="556"/>
      <c r="E264" s="556"/>
      <c r="F264" s="556">
        <f>Q_BS!F16</f>
        <v>52.034722796701303</v>
      </c>
      <c r="G264" s="556">
        <f>Q_BS!G16</f>
        <v>55.557645600262909</v>
      </c>
      <c r="H264" s="556">
        <f>Q_BS!H16</f>
        <v>60.1590734147685</v>
      </c>
      <c r="I264" s="556">
        <f>Q_BS!I16</f>
        <v>72.416143026517389</v>
      </c>
      <c r="J264" s="556">
        <f>Q_BS!J16</f>
        <v>63.753216847896418</v>
      </c>
      <c r="K264" s="556">
        <f>Q_BS!K16</f>
        <v>68.935069909978935</v>
      </c>
      <c r="L264" s="556">
        <f>Q_BS!L16</f>
        <v>61.217947622613437</v>
      </c>
      <c r="M264" s="556">
        <f>Q_BS!M16</f>
        <v>86.722715712097084</v>
      </c>
      <c r="N264" s="556">
        <f>Q_BS!N16</f>
        <v>71.11117479802374</v>
      </c>
      <c r="O264" s="556">
        <f>Q_BS!O16</f>
        <v>74.579090622582584</v>
      </c>
      <c r="P264" s="556">
        <f>Q_BS!P16</f>
        <v>68.078635250077042</v>
      </c>
      <c r="Q264" s="556">
        <f>Q_BS!Q16</f>
        <v>81.747471953478808</v>
      </c>
      <c r="R264" s="556">
        <f>Q_BS!R16</f>
        <v>79.359809212614891</v>
      </c>
      <c r="S264" s="556">
        <f>Q_BS!S16</f>
        <v>72.16189679885332</v>
      </c>
      <c r="T264" s="556">
        <f>Q_BS!T16</f>
        <v>73.062613835678064</v>
      </c>
      <c r="U264" s="556">
        <f>Q_BS!U16</f>
        <v>87.870555208983149</v>
      </c>
      <c r="V264" s="556">
        <f>Q_BS!V16</f>
        <v>81.794128738563202</v>
      </c>
      <c r="W264" s="556">
        <f>Q_BS!W16</f>
        <v>75.463533410684235</v>
      </c>
      <c r="X264" s="556">
        <f>Q_BS!X16</f>
        <v>68.466309608254818</v>
      </c>
      <c r="Y264" s="556">
        <f>Q_BS!Y16</f>
        <v>98.587213172212756</v>
      </c>
      <c r="Z264" s="556">
        <f>Q_BS!Z16</f>
        <v>97.874794726091253</v>
      </c>
      <c r="AA264" s="556">
        <f>Q_BS!AA16</f>
        <v>91.683501820806526</v>
      </c>
      <c r="AB264" s="556">
        <f>Q_BS!AB16</f>
        <v>85.265023105975857</v>
      </c>
      <c r="AC264" s="556">
        <f>Q_BS!AC16</f>
        <v>97.399661659806483</v>
      </c>
      <c r="AD264" s="556">
        <f>Q_BS!AD16</f>
        <v>98.020603061955569</v>
      </c>
      <c r="AE264" s="556">
        <f>Q_BS!AE16</f>
        <v>99.736882116370992</v>
      </c>
      <c r="AF264" s="556">
        <f>Q_BS!AF16</f>
        <v>104.8617041881638</v>
      </c>
      <c r="AG264" s="556">
        <f>Q_BS!AG16</f>
        <v>108.04832580505318</v>
      </c>
      <c r="AH264" s="556">
        <f>Q_BS!AH16</f>
        <v>87.738842879499728</v>
      </c>
      <c r="AI264" s="556">
        <f>Q_BS!AI16</f>
        <v>98.91498802828238</v>
      </c>
      <c r="AJ264" s="556">
        <f>Q_BS!AJ16</f>
        <v>88.647303470375675</v>
      </c>
      <c r="AK264" s="556">
        <f>Q_BS!AK16</f>
        <v>101.39334575177509</v>
      </c>
      <c r="AL264" s="556">
        <f>Q_BS!AL16</f>
        <v>90.908025837636757</v>
      </c>
      <c r="AM264" s="556">
        <f>Q_BS!AM16</f>
        <v>104.90989172059393</v>
      </c>
      <c r="AN264" s="556">
        <f>Q_BS!AN16</f>
        <v>85.369089916748891</v>
      </c>
      <c r="AO264" s="556">
        <f>Q_BS!AO16</f>
        <v>121.35418425103828</v>
      </c>
      <c r="AP264" s="556">
        <f>Q_BS!AP16</f>
        <v>105.31593684698309</v>
      </c>
      <c r="AQ264" s="556">
        <f>Q_BS!AQ16</f>
        <v>103.65430844807692</v>
      </c>
      <c r="AR264" s="556">
        <f>Q_BS!AR16</f>
        <v>100.98528622963578</v>
      </c>
      <c r="AS264" s="556">
        <f>Q_BS!AS16</f>
        <v>109.4876877394311</v>
      </c>
      <c r="AT264" s="556">
        <f>Q_BS!AT16</f>
        <v>143.14664089306635</v>
      </c>
      <c r="AU264" s="556">
        <f>Q_BS!AU16</f>
        <v>293.263506784284</v>
      </c>
      <c r="AV264" s="556">
        <f>Q_BS!AV16</f>
        <v>200.35860810776089</v>
      </c>
      <c r="AW264" s="556">
        <f>Q_BS!AW16</f>
        <v>98.838203177778041</v>
      </c>
      <c r="AX264" s="556">
        <f>Q_BS!AX16</f>
        <v>91.435308540874416</v>
      </c>
      <c r="AY264" s="556">
        <f>Q_BS!AY16</f>
        <v>76.951298880872088</v>
      </c>
      <c r="AZ264" s="556">
        <f>Q_BS!AZ16</f>
        <v>66.16294421637555</v>
      </c>
      <c r="BA264" s="556">
        <f>Q_BS!BA16</f>
        <v>69.639709712790989</v>
      </c>
      <c r="BB264" s="556">
        <f>Q_BS!BB16</f>
        <v>72.952736615789803</v>
      </c>
      <c r="BC264" s="556">
        <f>Q_BS!BC16</f>
        <v>70.627466389303436</v>
      </c>
      <c r="BD264" s="556">
        <f>Q_BS!BD16</f>
        <v>65.092814531959931</v>
      </c>
      <c r="BE264" s="556">
        <f>Q_BS!BE16</f>
        <v>79.570546365300657</v>
      </c>
      <c r="BF264" s="556">
        <f>Q_BS!BF16</f>
        <v>73.099208339716583</v>
      </c>
      <c r="BG264" s="556">
        <f>Q_BS!BG16</f>
        <v>72.423375882444745</v>
      </c>
      <c r="BH264" s="556">
        <f>Q_BS!BH16</f>
        <v>76.858747787095623</v>
      </c>
      <c r="BI264" s="556">
        <f>Q_BS!BI16</f>
        <v>79.909515266845375</v>
      </c>
      <c r="BJ264" s="556">
        <f>Q_BS!BJ16</f>
        <v>81.023400778375972</v>
      </c>
      <c r="BK264" s="1867">
        <f>Q_BS!BK16</f>
        <v>75.447591611049361</v>
      </c>
      <c r="BL264" s="557">
        <f t="shared" ref="BL264:BQ264" si="1562">CHOOSE(MASTERSWITCH,BL265,BL266,BL267)</f>
        <v>76.858747787095623</v>
      </c>
      <c r="BM264" s="557">
        <f t="shared" si="1562"/>
        <v>79.909515266845375</v>
      </c>
      <c r="BN264" s="557">
        <f t="shared" si="1562"/>
        <v>81.023400778375972</v>
      </c>
      <c r="BO264" s="557">
        <f t="shared" si="1562"/>
        <v>75.447591611049361</v>
      </c>
      <c r="BP264" s="557">
        <f t="shared" si="1562"/>
        <v>76.858747787095623</v>
      </c>
      <c r="BQ264" s="557">
        <f t="shared" si="1562"/>
        <v>79.909515266845375</v>
      </c>
      <c r="BR264" s="557">
        <f t="shared" ref="BR264:CK264" si="1563">CHOOSE(MASTERSWITCH,BR265,BR266,BR267)</f>
        <v>81.023400778375972</v>
      </c>
      <c r="BS264" s="557">
        <f t="shared" si="1563"/>
        <v>75.447591611049361</v>
      </c>
      <c r="BT264" s="557">
        <f t="shared" si="1563"/>
        <v>76.858747787095623</v>
      </c>
      <c r="BU264" s="557">
        <f t="shared" si="1563"/>
        <v>79.909515266845375</v>
      </c>
      <c r="BV264" s="557">
        <f t="shared" si="1563"/>
        <v>81.023400778375972</v>
      </c>
      <c r="BW264" s="557">
        <f t="shared" si="1563"/>
        <v>75.447591611049361</v>
      </c>
      <c r="BX264" s="557">
        <f t="shared" si="1563"/>
        <v>76.858747787095623</v>
      </c>
      <c r="BY264" s="557">
        <f t="shared" si="1563"/>
        <v>79.909515266845375</v>
      </c>
      <c r="BZ264" s="557">
        <f t="shared" si="1563"/>
        <v>81.023400778375972</v>
      </c>
      <c r="CA264" s="557">
        <f t="shared" si="1563"/>
        <v>75.447591611049361</v>
      </c>
      <c r="CB264" s="557">
        <f t="shared" si="1563"/>
        <v>76.858747787095623</v>
      </c>
      <c r="CC264" s="557">
        <f t="shared" si="1563"/>
        <v>79.909515266845375</v>
      </c>
      <c r="CD264" s="557">
        <f t="shared" si="1563"/>
        <v>81.023400778375972</v>
      </c>
      <c r="CE264" s="557">
        <f t="shared" si="1563"/>
        <v>75.447591611049361</v>
      </c>
      <c r="CF264" s="557">
        <f t="shared" si="1563"/>
        <v>76.858747787095623</v>
      </c>
      <c r="CG264" s="557">
        <f t="shared" si="1563"/>
        <v>79.909515266845375</v>
      </c>
      <c r="CH264" s="557">
        <f t="shared" si="1563"/>
        <v>81.023400778375972</v>
      </c>
      <c r="CI264" s="557">
        <f t="shared" si="1563"/>
        <v>75.447591611049361</v>
      </c>
      <c r="CJ264" s="557">
        <f t="shared" si="1563"/>
        <v>76.858747787095623</v>
      </c>
      <c r="CK264" s="557">
        <f t="shared" si="1563"/>
        <v>79.909515266845375</v>
      </c>
      <c r="CL264" s="557">
        <f t="shared" ref="CL264:CP264" si="1564">CHOOSE(MASTERSWITCH,CL265,CL266,CL267)</f>
        <v>81.023400778375972</v>
      </c>
      <c r="CM264" s="557">
        <f t="shared" si="1564"/>
        <v>75.447591611049361</v>
      </c>
      <c r="CN264" s="557">
        <f t="shared" si="1564"/>
        <v>76.858747787095623</v>
      </c>
      <c r="CO264" s="557">
        <f t="shared" si="1564"/>
        <v>79.909515266845375</v>
      </c>
      <c r="CP264" s="557">
        <f t="shared" si="1564"/>
        <v>81.023400778375972</v>
      </c>
      <c r="CQ264" s="557">
        <f t="shared" ref="CQ264:CU264" si="1565">CHOOSE(MASTERSWITCH,CQ265,CQ266,CQ267)</f>
        <v>75.447591611049361</v>
      </c>
      <c r="CR264" s="557">
        <f t="shared" si="1565"/>
        <v>76.858747787095623</v>
      </c>
      <c r="CS264" s="557">
        <f t="shared" si="1565"/>
        <v>79.909515266845375</v>
      </c>
      <c r="CT264" s="557">
        <f t="shared" si="1565"/>
        <v>81.023400778375972</v>
      </c>
      <c r="CU264" s="557">
        <f t="shared" si="1565"/>
        <v>75.447591611049361</v>
      </c>
      <c r="CV264" s="557">
        <f t="shared" ref="CV264:CW264" si="1566">CHOOSE(MASTERSWITCH,CV265,CV266,CV267)</f>
        <v>76.858747787095623</v>
      </c>
      <c r="CW264" s="557">
        <f t="shared" si="1566"/>
        <v>79.909515266845375</v>
      </c>
      <c r="CX264" s="269"/>
      <c r="CY264" s="269"/>
      <c r="CZ264" s="269"/>
    </row>
    <row r="265" spans="1:106">
      <c r="A265" s="42" t="s">
        <v>571</v>
      </c>
      <c r="B265" s="561"/>
      <c r="C265" s="561"/>
      <c r="D265" s="561"/>
      <c r="E265" s="564"/>
      <c r="F265" s="111">
        <f>F264</f>
        <v>52.034722796701303</v>
      </c>
      <c r="G265" s="111">
        <f>G264</f>
        <v>55.557645600262909</v>
      </c>
      <c r="H265" s="111">
        <f>H264</f>
        <v>60.1590734147685</v>
      </c>
      <c r="I265" s="111">
        <f>I264</f>
        <v>72.416143026517389</v>
      </c>
      <c r="J265" s="111">
        <f t="shared" ref="J265:AA265" si="1567">J264</f>
        <v>63.753216847896418</v>
      </c>
      <c r="K265" s="111">
        <f t="shared" si="1567"/>
        <v>68.935069909978935</v>
      </c>
      <c r="L265" s="111">
        <f t="shared" si="1567"/>
        <v>61.217947622613437</v>
      </c>
      <c r="M265" s="111">
        <f t="shared" si="1567"/>
        <v>86.722715712097084</v>
      </c>
      <c r="N265" s="111">
        <f t="shared" si="1567"/>
        <v>71.11117479802374</v>
      </c>
      <c r="O265" s="111">
        <f t="shared" si="1567"/>
        <v>74.579090622582584</v>
      </c>
      <c r="P265" s="111">
        <f t="shared" si="1567"/>
        <v>68.078635250077042</v>
      </c>
      <c r="Q265" s="111">
        <f t="shared" si="1567"/>
        <v>81.747471953478808</v>
      </c>
      <c r="R265" s="111">
        <f t="shared" si="1567"/>
        <v>79.359809212614891</v>
      </c>
      <c r="S265" s="111">
        <f t="shared" si="1567"/>
        <v>72.16189679885332</v>
      </c>
      <c r="T265" s="111">
        <f t="shared" si="1567"/>
        <v>73.062613835678064</v>
      </c>
      <c r="U265" s="111">
        <f t="shared" si="1567"/>
        <v>87.870555208983149</v>
      </c>
      <c r="V265" s="111">
        <f t="shared" si="1567"/>
        <v>81.794128738563202</v>
      </c>
      <c r="W265" s="111">
        <f t="shared" si="1567"/>
        <v>75.463533410684235</v>
      </c>
      <c r="X265" s="111">
        <f t="shared" si="1567"/>
        <v>68.466309608254818</v>
      </c>
      <c r="Y265" s="111">
        <f t="shared" si="1567"/>
        <v>98.587213172212756</v>
      </c>
      <c r="Z265" s="111">
        <f t="shared" si="1567"/>
        <v>97.874794726091253</v>
      </c>
      <c r="AA265" s="111">
        <f t="shared" si="1567"/>
        <v>91.683501820806526</v>
      </c>
      <c r="AB265" s="111">
        <f t="shared" ref="AB265:AM265" si="1568">AB264</f>
        <v>85.265023105975857</v>
      </c>
      <c r="AC265" s="111">
        <f t="shared" si="1568"/>
        <v>97.399661659806483</v>
      </c>
      <c r="AD265" s="111">
        <f t="shared" si="1568"/>
        <v>98.020603061955569</v>
      </c>
      <c r="AE265" s="111">
        <f t="shared" si="1568"/>
        <v>99.736882116370992</v>
      </c>
      <c r="AF265" s="111">
        <f t="shared" si="1568"/>
        <v>104.8617041881638</v>
      </c>
      <c r="AG265" s="111">
        <f t="shared" si="1568"/>
        <v>108.04832580505318</v>
      </c>
      <c r="AH265" s="111">
        <f t="shared" si="1568"/>
        <v>87.738842879499728</v>
      </c>
      <c r="AI265" s="111">
        <f t="shared" si="1568"/>
        <v>98.91498802828238</v>
      </c>
      <c r="AJ265" s="111">
        <f t="shared" si="1568"/>
        <v>88.647303470375675</v>
      </c>
      <c r="AK265" s="111">
        <f t="shared" si="1568"/>
        <v>101.39334575177509</v>
      </c>
      <c r="AL265" s="111">
        <f t="shared" si="1568"/>
        <v>90.908025837636757</v>
      </c>
      <c r="AM265" s="111">
        <f t="shared" si="1568"/>
        <v>104.90989172059393</v>
      </c>
      <c r="AN265" s="111">
        <f t="shared" ref="AN265:AS265" si="1569">AN264</f>
        <v>85.369089916748891</v>
      </c>
      <c r="AO265" s="111">
        <f t="shared" si="1569"/>
        <v>121.35418425103828</v>
      </c>
      <c r="AP265" s="111">
        <f t="shared" si="1569"/>
        <v>105.31593684698309</v>
      </c>
      <c r="AQ265" s="111">
        <f t="shared" si="1569"/>
        <v>103.65430844807692</v>
      </c>
      <c r="AR265" s="111">
        <f t="shared" si="1569"/>
        <v>100.98528622963578</v>
      </c>
      <c r="AS265" s="111">
        <f t="shared" si="1569"/>
        <v>109.4876877394311</v>
      </c>
      <c r="AT265" s="111">
        <f t="shared" ref="AT265:BC265" si="1570">AT264</f>
        <v>143.14664089306635</v>
      </c>
      <c r="AU265" s="111">
        <f t="shared" si="1570"/>
        <v>293.263506784284</v>
      </c>
      <c r="AV265" s="111">
        <f t="shared" si="1570"/>
        <v>200.35860810776089</v>
      </c>
      <c r="AW265" s="111">
        <f t="shared" si="1570"/>
        <v>98.838203177778041</v>
      </c>
      <c r="AX265" s="111">
        <f t="shared" si="1570"/>
        <v>91.435308540874416</v>
      </c>
      <c r="AY265" s="111">
        <f t="shared" si="1570"/>
        <v>76.951298880872088</v>
      </c>
      <c r="AZ265" s="111">
        <f t="shared" si="1570"/>
        <v>66.16294421637555</v>
      </c>
      <c r="BA265" s="111">
        <f t="shared" si="1570"/>
        <v>69.639709712790989</v>
      </c>
      <c r="BB265" s="111">
        <f t="shared" si="1570"/>
        <v>72.952736615789803</v>
      </c>
      <c r="BC265" s="111">
        <f t="shared" si="1570"/>
        <v>70.627466389303436</v>
      </c>
      <c r="BD265" s="111">
        <f t="shared" ref="BD265:BI265" si="1571">BD264</f>
        <v>65.092814531959931</v>
      </c>
      <c r="BE265" s="111">
        <f t="shared" si="1571"/>
        <v>79.570546365300657</v>
      </c>
      <c r="BF265" s="111">
        <f t="shared" si="1571"/>
        <v>73.099208339716583</v>
      </c>
      <c r="BG265" s="111">
        <f t="shared" si="1571"/>
        <v>72.423375882444745</v>
      </c>
      <c r="BH265" s="111">
        <f t="shared" si="1571"/>
        <v>76.858747787095623</v>
      </c>
      <c r="BI265" s="111">
        <f t="shared" si="1571"/>
        <v>79.909515266845375</v>
      </c>
      <c r="BJ265" s="111">
        <f t="shared" ref="BJ265:BK265" si="1572">BJ264</f>
        <v>81.023400778375972</v>
      </c>
      <c r="BK265" s="1175">
        <f t="shared" si="1572"/>
        <v>75.447591611049361</v>
      </c>
      <c r="BL265" s="565">
        <f t="shared" ref="BL265:BP265" si="1573">BL266+$CY265</f>
        <v>76.858747787095623</v>
      </c>
      <c r="BM265" s="565">
        <f t="shared" si="1573"/>
        <v>79.909515266845375</v>
      </c>
      <c r="BN265" s="565">
        <f t="shared" si="1573"/>
        <v>81.023400778375972</v>
      </c>
      <c r="BO265" s="565">
        <f t="shared" si="1573"/>
        <v>75.447591611049361</v>
      </c>
      <c r="BP265" s="565">
        <f t="shared" si="1573"/>
        <v>76.858747787095623</v>
      </c>
      <c r="BQ265" s="565">
        <f t="shared" ref="BQ265:BY265" si="1574">BQ266+$CY265</f>
        <v>79.909515266845375</v>
      </c>
      <c r="BR265" s="565">
        <f t="shared" si="1574"/>
        <v>81.023400778375972</v>
      </c>
      <c r="BS265" s="565">
        <f t="shared" si="1574"/>
        <v>75.447591611049361</v>
      </c>
      <c r="BT265" s="565">
        <f t="shared" si="1574"/>
        <v>76.858747787095623</v>
      </c>
      <c r="BU265" s="565">
        <f t="shared" si="1574"/>
        <v>79.909515266845375</v>
      </c>
      <c r="BV265" s="565">
        <f t="shared" si="1574"/>
        <v>81.023400778375972</v>
      </c>
      <c r="BW265" s="565">
        <f t="shared" si="1574"/>
        <v>75.447591611049361</v>
      </c>
      <c r="BX265" s="565">
        <f t="shared" si="1574"/>
        <v>76.858747787095623</v>
      </c>
      <c r="BY265" s="565">
        <f t="shared" si="1574"/>
        <v>79.909515266845375</v>
      </c>
      <c r="BZ265" s="565">
        <f t="shared" ref="BZ265:CU265" si="1575">BZ266+$CZ265</f>
        <v>81.023400778375972</v>
      </c>
      <c r="CA265" s="565">
        <f t="shared" si="1575"/>
        <v>75.447591611049361</v>
      </c>
      <c r="CB265" s="565">
        <f t="shared" si="1575"/>
        <v>76.858747787095623</v>
      </c>
      <c r="CC265" s="565">
        <f t="shared" si="1575"/>
        <v>79.909515266845375</v>
      </c>
      <c r="CD265" s="565">
        <f t="shared" si="1575"/>
        <v>81.023400778375972</v>
      </c>
      <c r="CE265" s="565">
        <f t="shared" si="1575"/>
        <v>75.447591611049361</v>
      </c>
      <c r="CF265" s="565">
        <f t="shared" si="1575"/>
        <v>76.858747787095623</v>
      </c>
      <c r="CG265" s="565">
        <f t="shared" si="1575"/>
        <v>79.909515266845375</v>
      </c>
      <c r="CH265" s="565">
        <f t="shared" si="1575"/>
        <v>81.023400778375972</v>
      </c>
      <c r="CI265" s="565">
        <f t="shared" si="1575"/>
        <v>75.447591611049361</v>
      </c>
      <c r="CJ265" s="565">
        <f t="shared" si="1575"/>
        <v>76.858747787095623</v>
      </c>
      <c r="CK265" s="565">
        <f t="shared" si="1575"/>
        <v>79.909515266845375</v>
      </c>
      <c r="CL265" s="565">
        <f t="shared" si="1575"/>
        <v>81.023400778375972</v>
      </c>
      <c r="CM265" s="565">
        <f t="shared" si="1575"/>
        <v>75.447591611049361</v>
      </c>
      <c r="CN265" s="565">
        <f t="shared" si="1575"/>
        <v>76.858747787095623</v>
      </c>
      <c r="CO265" s="565">
        <f t="shared" si="1575"/>
        <v>79.909515266845375</v>
      </c>
      <c r="CP265" s="565">
        <f t="shared" si="1575"/>
        <v>81.023400778375972</v>
      </c>
      <c r="CQ265" s="565">
        <f t="shared" si="1575"/>
        <v>75.447591611049361</v>
      </c>
      <c r="CR265" s="565">
        <f t="shared" si="1575"/>
        <v>76.858747787095623</v>
      </c>
      <c r="CS265" s="565">
        <f t="shared" si="1575"/>
        <v>79.909515266845375</v>
      </c>
      <c r="CT265" s="565">
        <f t="shared" si="1575"/>
        <v>81.023400778375972</v>
      </c>
      <c r="CU265" s="565">
        <f t="shared" si="1575"/>
        <v>75.447591611049361</v>
      </c>
      <c r="CV265" s="565">
        <f t="shared" ref="CV265:CW265" si="1576">CV266+$CZ265</f>
        <v>76.858747787095623</v>
      </c>
      <c r="CW265" s="565">
        <f t="shared" si="1576"/>
        <v>79.909515266845375</v>
      </c>
      <c r="CX265" s="269"/>
      <c r="CY265" s="401">
        <v>0</v>
      </c>
      <c r="CZ265" s="401">
        <v>0</v>
      </c>
    </row>
    <row r="266" spans="1:106">
      <c r="A266" s="42" t="s">
        <v>200</v>
      </c>
      <c r="B266" s="561"/>
      <c r="C266" s="561"/>
      <c r="D266" s="561"/>
      <c r="E266" s="564"/>
      <c r="F266" s="111">
        <f>F264</f>
        <v>52.034722796701303</v>
      </c>
      <c r="G266" s="111">
        <f>G264</f>
        <v>55.557645600262909</v>
      </c>
      <c r="H266" s="111">
        <f>H264</f>
        <v>60.1590734147685</v>
      </c>
      <c r="I266" s="111">
        <f>I264</f>
        <v>72.416143026517389</v>
      </c>
      <c r="J266" s="111">
        <f t="shared" ref="J266:AA266" si="1577">J264</f>
        <v>63.753216847896418</v>
      </c>
      <c r="K266" s="111">
        <f t="shared" si="1577"/>
        <v>68.935069909978935</v>
      </c>
      <c r="L266" s="111">
        <f t="shared" si="1577"/>
        <v>61.217947622613437</v>
      </c>
      <c r="M266" s="111">
        <f t="shared" si="1577"/>
        <v>86.722715712097084</v>
      </c>
      <c r="N266" s="111">
        <f t="shared" si="1577"/>
        <v>71.11117479802374</v>
      </c>
      <c r="O266" s="111">
        <f t="shared" si="1577"/>
        <v>74.579090622582584</v>
      </c>
      <c r="P266" s="111">
        <f t="shared" si="1577"/>
        <v>68.078635250077042</v>
      </c>
      <c r="Q266" s="111">
        <f t="shared" si="1577"/>
        <v>81.747471953478808</v>
      </c>
      <c r="R266" s="111">
        <f t="shared" si="1577"/>
        <v>79.359809212614891</v>
      </c>
      <c r="S266" s="111">
        <f t="shared" si="1577"/>
        <v>72.16189679885332</v>
      </c>
      <c r="T266" s="111">
        <f t="shared" si="1577"/>
        <v>73.062613835678064</v>
      </c>
      <c r="U266" s="111">
        <f t="shared" si="1577"/>
        <v>87.870555208983149</v>
      </c>
      <c r="V266" s="111">
        <f t="shared" si="1577"/>
        <v>81.794128738563202</v>
      </c>
      <c r="W266" s="111">
        <f t="shared" si="1577"/>
        <v>75.463533410684235</v>
      </c>
      <c r="X266" s="111">
        <f t="shared" si="1577"/>
        <v>68.466309608254818</v>
      </c>
      <c r="Y266" s="111">
        <f t="shared" si="1577"/>
        <v>98.587213172212756</v>
      </c>
      <c r="Z266" s="111">
        <f t="shared" si="1577"/>
        <v>97.874794726091253</v>
      </c>
      <c r="AA266" s="111">
        <f t="shared" si="1577"/>
        <v>91.683501820806526</v>
      </c>
      <c r="AB266" s="111">
        <f t="shared" ref="AB266:AM266" si="1578">AB264</f>
        <v>85.265023105975857</v>
      </c>
      <c r="AC266" s="111">
        <f t="shared" si="1578"/>
        <v>97.399661659806483</v>
      </c>
      <c r="AD266" s="111">
        <f t="shared" si="1578"/>
        <v>98.020603061955569</v>
      </c>
      <c r="AE266" s="111">
        <f t="shared" si="1578"/>
        <v>99.736882116370992</v>
      </c>
      <c r="AF266" s="111">
        <f t="shared" si="1578"/>
        <v>104.8617041881638</v>
      </c>
      <c r="AG266" s="111">
        <f t="shared" si="1578"/>
        <v>108.04832580505318</v>
      </c>
      <c r="AH266" s="111">
        <f t="shared" si="1578"/>
        <v>87.738842879499728</v>
      </c>
      <c r="AI266" s="111">
        <f t="shared" si="1578"/>
        <v>98.91498802828238</v>
      </c>
      <c r="AJ266" s="111">
        <f t="shared" si="1578"/>
        <v>88.647303470375675</v>
      </c>
      <c r="AK266" s="111">
        <f t="shared" si="1578"/>
        <v>101.39334575177509</v>
      </c>
      <c r="AL266" s="111">
        <f t="shared" si="1578"/>
        <v>90.908025837636757</v>
      </c>
      <c r="AM266" s="99">
        <f t="shared" si="1578"/>
        <v>104.90989172059393</v>
      </c>
      <c r="AN266" s="99">
        <f t="shared" ref="AN266:AS266" si="1579">AN264</f>
        <v>85.369089916748891</v>
      </c>
      <c r="AO266" s="99">
        <f t="shared" si="1579"/>
        <v>121.35418425103828</v>
      </c>
      <c r="AP266" s="99">
        <f t="shared" si="1579"/>
        <v>105.31593684698309</v>
      </c>
      <c r="AQ266" s="99">
        <f t="shared" si="1579"/>
        <v>103.65430844807692</v>
      </c>
      <c r="AR266" s="99">
        <f t="shared" si="1579"/>
        <v>100.98528622963578</v>
      </c>
      <c r="AS266" s="99">
        <f t="shared" si="1579"/>
        <v>109.4876877394311</v>
      </c>
      <c r="AT266" s="99">
        <f t="shared" ref="AT266:BC266" si="1580">AT264</f>
        <v>143.14664089306635</v>
      </c>
      <c r="AU266" s="99">
        <f t="shared" si="1580"/>
        <v>293.263506784284</v>
      </c>
      <c r="AV266" s="99">
        <f t="shared" si="1580"/>
        <v>200.35860810776089</v>
      </c>
      <c r="AW266" s="99">
        <f t="shared" si="1580"/>
        <v>98.838203177778041</v>
      </c>
      <c r="AX266" s="99">
        <f t="shared" si="1580"/>
        <v>91.435308540874416</v>
      </c>
      <c r="AY266" s="99">
        <f t="shared" si="1580"/>
        <v>76.951298880872088</v>
      </c>
      <c r="AZ266" s="99">
        <f t="shared" si="1580"/>
        <v>66.16294421637555</v>
      </c>
      <c r="BA266" s="99">
        <f t="shared" si="1580"/>
        <v>69.639709712790989</v>
      </c>
      <c r="BB266" s="99">
        <f t="shared" si="1580"/>
        <v>72.952736615789803</v>
      </c>
      <c r="BC266" s="99">
        <f t="shared" si="1580"/>
        <v>70.627466389303436</v>
      </c>
      <c r="BD266" s="99">
        <f t="shared" ref="BD266:BI266" si="1581">BD264</f>
        <v>65.092814531959931</v>
      </c>
      <c r="BE266" s="99">
        <f t="shared" si="1581"/>
        <v>79.570546365300657</v>
      </c>
      <c r="BF266" s="99">
        <f t="shared" si="1581"/>
        <v>73.099208339716583</v>
      </c>
      <c r="BG266" s="99">
        <f t="shared" si="1581"/>
        <v>72.423375882444745</v>
      </c>
      <c r="BH266" s="99">
        <f t="shared" si="1581"/>
        <v>76.858747787095623</v>
      </c>
      <c r="BI266" s="99">
        <f t="shared" si="1581"/>
        <v>79.909515266845375</v>
      </c>
      <c r="BJ266" s="99">
        <f t="shared" ref="BJ266:BK266" si="1582">BJ264</f>
        <v>81.023400778375972</v>
      </c>
      <c r="BK266" s="1173">
        <f t="shared" si="1582"/>
        <v>75.447591611049361</v>
      </c>
      <c r="BL266" s="563">
        <f t="shared" ref="BL266:BP266" si="1583">BH266+$CY266</f>
        <v>76.858747787095623</v>
      </c>
      <c r="BM266" s="563">
        <f t="shared" si="1583"/>
        <v>79.909515266845375</v>
      </c>
      <c r="BN266" s="563">
        <f t="shared" si="1583"/>
        <v>81.023400778375972</v>
      </c>
      <c r="BO266" s="563">
        <f t="shared" si="1583"/>
        <v>75.447591611049361</v>
      </c>
      <c r="BP266" s="563">
        <f t="shared" si="1583"/>
        <v>76.858747787095623</v>
      </c>
      <c r="BQ266" s="563">
        <f t="shared" ref="BQ266:BY266" si="1584">BM266+$CY266</f>
        <v>79.909515266845375</v>
      </c>
      <c r="BR266" s="563">
        <f t="shared" si="1584"/>
        <v>81.023400778375972</v>
      </c>
      <c r="BS266" s="563">
        <f t="shared" si="1584"/>
        <v>75.447591611049361</v>
      </c>
      <c r="BT266" s="563">
        <f t="shared" si="1584"/>
        <v>76.858747787095623</v>
      </c>
      <c r="BU266" s="563">
        <f t="shared" si="1584"/>
        <v>79.909515266845375</v>
      </c>
      <c r="BV266" s="563">
        <f t="shared" si="1584"/>
        <v>81.023400778375972</v>
      </c>
      <c r="BW266" s="563">
        <f t="shared" si="1584"/>
        <v>75.447591611049361</v>
      </c>
      <c r="BX266" s="563">
        <f t="shared" si="1584"/>
        <v>76.858747787095623</v>
      </c>
      <c r="BY266" s="563">
        <f t="shared" si="1584"/>
        <v>79.909515266845375</v>
      </c>
      <c r="BZ266" s="563">
        <f t="shared" ref="BZ266:CU266" si="1585">BV266+$CZ266</f>
        <v>81.023400778375972</v>
      </c>
      <c r="CA266" s="563">
        <f t="shared" si="1585"/>
        <v>75.447591611049361</v>
      </c>
      <c r="CB266" s="563">
        <f t="shared" si="1585"/>
        <v>76.858747787095623</v>
      </c>
      <c r="CC266" s="563">
        <f t="shared" si="1585"/>
        <v>79.909515266845375</v>
      </c>
      <c r="CD266" s="563">
        <f t="shared" si="1585"/>
        <v>81.023400778375972</v>
      </c>
      <c r="CE266" s="563">
        <f t="shared" si="1585"/>
        <v>75.447591611049361</v>
      </c>
      <c r="CF266" s="563">
        <f t="shared" si="1585"/>
        <v>76.858747787095623</v>
      </c>
      <c r="CG266" s="563">
        <f t="shared" si="1585"/>
        <v>79.909515266845375</v>
      </c>
      <c r="CH266" s="563">
        <f t="shared" si="1585"/>
        <v>81.023400778375972</v>
      </c>
      <c r="CI266" s="563">
        <f t="shared" si="1585"/>
        <v>75.447591611049361</v>
      </c>
      <c r="CJ266" s="563">
        <f t="shared" si="1585"/>
        <v>76.858747787095623</v>
      </c>
      <c r="CK266" s="563">
        <f t="shared" si="1585"/>
        <v>79.909515266845375</v>
      </c>
      <c r="CL266" s="563">
        <f t="shared" si="1585"/>
        <v>81.023400778375972</v>
      </c>
      <c r="CM266" s="563">
        <f t="shared" si="1585"/>
        <v>75.447591611049361</v>
      </c>
      <c r="CN266" s="563">
        <f t="shared" si="1585"/>
        <v>76.858747787095623</v>
      </c>
      <c r="CO266" s="563">
        <f t="shared" si="1585"/>
        <v>79.909515266845375</v>
      </c>
      <c r="CP266" s="563">
        <f t="shared" si="1585"/>
        <v>81.023400778375972</v>
      </c>
      <c r="CQ266" s="563">
        <f t="shared" si="1585"/>
        <v>75.447591611049361</v>
      </c>
      <c r="CR266" s="563">
        <f t="shared" si="1585"/>
        <v>76.858747787095623</v>
      </c>
      <c r="CS266" s="563">
        <f t="shared" si="1585"/>
        <v>79.909515266845375</v>
      </c>
      <c r="CT266" s="563">
        <f t="shared" si="1585"/>
        <v>81.023400778375972</v>
      </c>
      <c r="CU266" s="563">
        <f t="shared" si="1585"/>
        <v>75.447591611049361</v>
      </c>
      <c r="CV266" s="563">
        <f t="shared" ref="CV266:CW266" si="1586">CR266+$CZ266</f>
        <v>76.858747787095623</v>
      </c>
      <c r="CW266" s="563">
        <f t="shared" si="1586"/>
        <v>79.909515266845375</v>
      </c>
      <c r="CX266" s="337"/>
      <c r="CY266" s="401">
        <v>0</v>
      </c>
      <c r="CZ266" s="401">
        <v>0</v>
      </c>
    </row>
    <row r="267" spans="1:106">
      <c r="A267" s="42" t="s">
        <v>202</v>
      </c>
      <c r="B267" s="561"/>
      <c r="C267" s="561"/>
      <c r="D267" s="561"/>
      <c r="E267" s="391"/>
      <c r="F267" s="99">
        <f>F264</f>
        <v>52.034722796701303</v>
      </c>
      <c r="G267" s="99">
        <f>G264</f>
        <v>55.557645600262909</v>
      </c>
      <c r="H267" s="99">
        <f>H264</f>
        <v>60.1590734147685</v>
      </c>
      <c r="I267" s="99">
        <f>I264</f>
        <v>72.416143026517389</v>
      </c>
      <c r="J267" s="99">
        <f t="shared" ref="J267:AA267" si="1587">J264</f>
        <v>63.753216847896418</v>
      </c>
      <c r="K267" s="99">
        <f t="shared" si="1587"/>
        <v>68.935069909978935</v>
      </c>
      <c r="L267" s="99">
        <f t="shared" si="1587"/>
        <v>61.217947622613437</v>
      </c>
      <c r="M267" s="99">
        <f t="shared" si="1587"/>
        <v>86.722715712097084</v>
      </c>
      <c r="N267" s="99">
        <f t="shared" si="1587"/>
        <v>71.11117479802374</v>
      </c>
      <c r="O267" s="99">
        <f t="shared" si="1587"/>
        <v>74.579090622582584</v>
      </c>
      <c r="P267" s="99">
        <f t="shared" si="1587"/>
        <v>68.078635250077042</v>
      </c>
      <c r="Q267" s="99">
        <f t="shared" si="1587"/>
        <v>81.747471953478808</v>
      </c>
      <c r="R267" s="99">
        <f t="shared" si="1587"/>
        <v>79.359809212614891</v>
      </c>
      <c r="S267" s="99">
        <f t="shared" si="1587"/>
        <v>72.16189679885332</v>
      </c>
      <c r="T267" s="99">
        <f t="shared" si="1587"/>
        <v>73.062613835678064</v>
      </c>
      <c r="U267" s="99">
        <f t="shared" si="1587"/>
        <v>87.870555208983149</v>
      </c>
      <c r="V267" s="99">
        <f t="shared" si="1587"/>
        <v>81.794128738563202</v>
      </c>
      <c r="W267" s="99">
        <f t="shared" si="1587"/>
        <v>75.463533410684235</v>
      </c>
      <c r="X267" s="99">
        <f t="shared" si="1587"/>
        <v>68.466309608254818</v>
      </c>
      <c r="Y267" s="99">
        <f t="shared" si="1587"/>
        <v>98.587213172212756</v>
      </c>
      <c r="Z267" s="99">
        <f t="shared" si="1587"/>
        <v>97.874794726091253</v>
      </c>
      <c r="AA267" s="99">
        <f t="shared" si="1587"/>
        <v>91.683501820806526</v>
      </c>
      <c r="AB267" s="99">
        <f t="shared" ref="AB267:AM267" si="1588">AB264</f>
        <v>85.265023105975857</v>
      </c>
      <c r="AC267" s="99">
        <f t="shared" si="1588"/>
        <v>97.399661659806483</v>
      </c>
      <c r="AD267" s="99">
        <f t="shared" si="1588"/>
        <v>98.020603061955569</v>
      </c>
      <c r="AE267" s="99">
        <f t="shared" si="1588"/>
        <v>99.736882116370992</v>
      </c>
      <c r="AF267" s="99">
        <f t="shared" si="1588"/>
        <v>104.8617041881638</v>
      </c>
      <c r="AG267" s="99">
        <f t="shared" si="1588"/>
        <v>108.04832580505318</v>
      </c>
      <c r="AH267" s="99">
        <f t="shared" si="1588"/>
        <v>87.738842879499728</v>
      </c>
      <c r="AI267" s="99">
        <f t="shared" si="1588"/>
        <v>98.91498802828238</v>
      </c>
      <c r="AJ267" s="99">
        <f t="shared" si="1588"/>
        <v>88.647303470375675</v>
      </c>
      <c r="AK267" s="99">
        <f t="shared" si="1588"/>
        <v>101.39334575177509</v>
      </c>
      <c r="AL267" s="99">
        <f t="shared" si="1588"/>
        <v>90.908025837636757</v>
      </c>
      <c r="AM267" s="99">
        <f t="shared" si="1588"/>
        <v>104.90989172059393</v>
      </c>
      <c r="AN267" s="99">
        <f t="shared" ref="AN267:AS267" si="1589">AN264</f>
        <v>85.369089916748891</v>
      </c>
      <c r="AO267" s="99">
        <f t="shared" si="1589"/>
        <v>121.35418425103828</v>
      </c>
      <c r="AP267" s="99">
        <f t="shared" si="1589"/>
        <v>105.31593684698309</v>
      </c>
      <c r="AQ267" s="99">
        <f t="shared" si="1589"/>
        <v>103.65430844807692</v>
      </c>
      <c r="AR267" s="99">
        <f t="shared" si="1589"/>
        <v>100.98528622963578</v>
      </c>
      <c r="AS267" s="99">
        <f t="shared" si="1589"/>
        <v>109.4876877394311</v>
      </c>
      <c r="AT267" s="99">
        <f t="shared" ref="AT267:BC267" si="1590">AT264</f>
        <v>143.14664089306635</v>
      </c>
      <c r="AU267" s="99">
        <f t="shared" si="1590"/>
        <v>293.263506784284</v>
      </c>
      <c r="AV267" s="99">
        <f t="shared" si="1590"/>
        <v>200.35860810776089</v>
      </c>
      <c r="AW267" s="99">
        <f t="shared" si="1590"/>
        <v>98.838203177778041</v>
      </c>
      <c r="AX267" s="99">
        <f t="shared" si="1590"/>
        <v>91.435308540874416</v>
      </c>
      <c r="AY267" s="99">
        <f t="shared" si="1590"/>
        <v>76.951298880872088</v>
      </c>
      <c r="AZ267" s="99">
        <f t="shared" si="1590"/>
        <v>66.16294421637555</v>
      </c>
      <c r="BA267" s="99">
        <f t="shared" si="1590"/>
        <v>69.639709712790989</v>
      </c>
      <c r="BB267" s="99">
        <f t="shared" si="1590"/>
        <v>72.952736615789803</v>
      </c>
      <c r="BC267" s="99">
        <f t="shared" si="1590"/>
        <v>70.627466389303436</v>
      </c>
      <c r="BD267" s="99">
        <f t="shared" ref="BD267:BI267" si="1591">BD264</f>
        <v>65.092814531959931</v>
      </c>
      <c r="BE267" s="99">
        <f t="shared" si="1591"/>
        <v>79.570546365300657</v>
      </c>
      <c r="BF267" s="99">
        <f t="shared" si="1591"/>
        <v>73.099208339716583</v>
      </c>
      <c r="BG267" s="99">
        <f t="shared" si="1591"/>
        <v>72.423375882444745</v>
      </c>
      <c r="BH267" s="99">
        <f t="shared" si="1591"/>
        <v>76.858747787095623</v>
      </c>
      <c r="BI267" s="99">
        <f t="shared" si="1591"/>
        <v>79.909515266845375</v>
      </c>
      <c r="BJ267" s="99">
        <f t="shared" ref="BJ267:BK267" si="1592">BJ264</f>
        <v>81.023400778375972</v>
      </c>
      <c r="BK267" s="1173">
        <f t="shared" si="1592"/>
        <v>75.447591611049361</v>
      </c>
      <c r="BL267" s="295">
        <f t="shared" ref="BL267:BP267" si="1593">BL266+$CY267</f>
        <v>76.858747787095623</v>
      </c>
      <c r="BM267" s="295">
        <f t="shared" si="1593"/>
        <v>79.909515266845375</v>
      </c>
      <c r="BN267" s="295">
        <f t="shared" si="1593"/>
        <v>81.023400778375972</v>
      </c>
      <c r="BO267" s="295">
        <f t="shared" si="1593"/>
        <v>75.447591611049361</v>
      </c>
      <c r="BP267" s="295">
        <f t="shared" si="1593"/>
        <v>76.858747787095623</v>
      </c>
      <c r="BQ267" s="295">
        <f t="shared" ref="BQ267:BY267" si="1594">BQ266+$CY267</f>
        <v>79.909515266845375</v>
      </c>
      <c r="BR267" s="295">
        <f t="shared" si="1594"/>
        <v>81.023400778375972</v>
      </c>
      <c r="BS267" s="295">
        <f t="shared" si="1594"/>
        <v>75.447591611049361</v>
      </c>
      <c r="BT267" s="295">
        <f t="shared" si="1594"/>
        <v>76.858747787095623</v>
      </c>
      <c r="BU267" s="295">
        <f t="shared" si="1594"/>
        <v>79.909515266845375</v>
      </c>
      <c r="BV267" s="295">
        <f t="shared" si="1594"/>
        <v>81.023400778375972</v>
      </c>
      <c r="BW267" s="295">
        <f t="shared" si="1594"/>
        <v>75.447591611049361</v>
      </c>
      <c r="BX267" s="295">
        <f t="shared" si="1594"/>
        <v>76.858747787095623</v>
      </c>
      <c r="BY267" s="295">
        <f t="shared" si="1594"/>
        <v>79.909515266845375</v>
      </c>
      <c r="BZ267" s="295">
        <f t="shared" ref="BZ267:CU267" si="1595">BZ266+$CZ267</f>
        <v>81.023400778375972</v>
      </c>
      <c r="CA267" s="295">
        <f t="shared" si="1595"/>
        <v>75.447591611049361</v>
      </c>
      <c r="CB267" s="295">
        <f t="shared" si="1595"/>
        <v>76.858747787095623</v>
      </c>
      <c r="CC267" s="295">
        <f t="shared" si="1595"/>
        <v>79.909515266845375</v>
      </c>
      <c r="CD267" s="295">
        <f t="shared" si="1595"/>
        <v>81.023400778375972</v>
      </c>
      <c r="CE267" s="295">
        <f t="shared" si="1595"/>
        <v>75.447591611049361</v>
      </c>
      <c r="CF267" s="295">
        <f t="shared" si="1595"/>
        <v>76.858747787095623</v>
      </c>
      <c r="CG267" s="295">
        <f t="shared" si="1595"/>
        <v>79.909515266845375</v>
      </c>
      <c r="CH267" s="295">
        <f t="shared" si="1595"/>
        <v>81.023400778375972</v>
      </c>
      <c r="CI267" s="295">
        <f t="shared" si="1595"/>
        <v>75.447591611049361</v>
      </c>
      <c r="CJ267" s="295">
        <f t="shared" si="1595"/>
        <v>76.858747787095623</v>
      </c>
      <c r="CK267" s="295">
        <f t="shared" si="1595"/>
        <v>79.909515266845375</v>
      </c>
      <c r="CL267" s="295">
        <f t="shared" si="1595"/>
        <v>81.023400778375972</v>
      </c>
      <c r="CM267" s="295">
        <f t="shared" si="1595"/>
        <v>75.447591611049361</v>
      </c>
      <c r="CN267" s="295">
        <f t="shared" si="1595"/>
        <v>76.858747787095623</v>
      </c>
      <c r="CO267" s="295">
        <f t="shared" si="1595"/>
        <v>79.909515266845375</v>
      </c>
      <c r="CP267" s="295">
        <f t="shared" si="1595"/>
        <v>81.023400778375972</v>
      </c>
      <c r="CQ267" s="295">
        <f t="shared" si="1595"/>
        <v>75.447591611049361</v>
      </c>
      <c r="CR267" s="295">
        <f t="shared" si="1595"/>
        <v>76.858747787095623</v>
      </c>
      <c r="CS267" s="295">
        <f t="shared" si="1595"/>
        <v>79.909515266845375</v>
      </c>
      <c r="CT267" s="295">
        <f t="shared" si="1595"/>
        <v>81.023400778375972</v>
      </c>
      <c r="CU267" s="295">
        <f t="shared" si="1595"/>
        <v>75.447591611049361</v>
      </c>
      <c r="CV267" s="295">
        <f t="shared" ref="CV267:CW267" si="1596">CV266+$CZ267</f>
        <v>76.858747787095623</v>
      </c>
      <c r="CW267" s="295">
        <f t="shared" si="1596"/>
        <v>79.909515266845375</v>
      </c>
      <c r="CX267" s="269"/>
      <c r="CY267" s="401">
        <v>0</v>
      </c>
      <c r="CZ267" s="401">
        <v>0</v>
      </c>
    </row>
    <row r="268" spans="1:106">
      <c r="A268" s="269"/>
      <c r="B268" s="388"/>
      <c r="C268" s="388"/>
      <c r="D268" s="388"/>
      <c r="E268" s="388"/>
      <c r="F268" s="388"/>
      <c r="G268" s="388"/>
      <c r="H268" s="399"/>
      <c r="I268" s="399"/>
      <c r="J268" s="388"/>
      <c r="K268" s="388"/>
      <c r="L268" s="399"/>
      <c r="M268" s="399"/>
      <c r="N268" s="399"/>
      <c r="O268" s="399"/>
      <c r="P268" s="399"/>
      <c r="Q268" s="399"/>
      <c r="R268" s="399"/>
      <c r="S268" s="399"/>
      <c r="T268" s="399"/>
      <c r="U268" s="399"/>
      <c r="V268" s="399"/>
      <c r="W268" s="399"/>
      <c r="X268" s="399"/>
      <c r="Y268" s="399"/>
      <c r="Z268" s="399"/>
      <c r="AA268" s="399"/>
      <c r="AB268" s="399"/>
      <c r="AC268" s="399"/>
      <c r="AD268" s="399"/>
      <c r="AE268" s="399"/>
      <c r="AF268" s="399"/>
      <c r="AG268" s="399"/>
      <c r="AH268" s="399"/>
      <c r="AI268" s="399"/>
      <c r="AJ268" s="399"/>
      <c r="AK268" s="399"/>
      <c r="AL268" s="399"/>
      <c r="AM268" s="399"/>
      <c r="AN268" s="399"/>
      <c r="AO268" s="399"/>
      <c r="AP268" s="269"/>
      <c r="AQ268" s="269"/>
      <c r="AR268" s="269"/>
      <c r="AS268" s="269"/>
      <c r="AT268" s="269"/>
      <c r="AU268" s="269"/>
      <c r="AV268" s="269"/>
      <c r="AW268" s="269"/>
      <c r="AX268" s="269"/>
      <c r="AY268" s="269"/>
      <c r="AZ268" s="269"/>
      <c r="BA268" s="269"/>
      <c r="BB268" s="269"/>
      <c r="BC268" s="269"/>
      <c r="BD268" s="269"/>
      <c r="BE268" s="269"/>
      <c r="BF268" s="269"/>
      <c r="BG268" s="269"/>
      <c r="BH268" s="269"/>
      <c r="BI268" s="269"/>
      <c r="BJ268" s="269"/>
      <c r="BK268" s="1835"/>
      <c r="BL268" s="269"/>
      <c r="BM268" s="269"/>
      <c r="BN268" s="269"/>
      <c r="BO268" s="269"/>
      <c r="BP268" s="269"/>
      <c r="BQ268" s="269"/>
      <c r="BR268" s="2039"/>
      <c r="BS268" s="269"/>
      <c r="BT268" s="269"/>
      <c r="BU268" s="269"/>
      <c r="BV268" s="269"/>
      <c r="BW268" s="269"/>
      <c r="BX268" s="269"/>
      <c r="BY268" s="269"/>
      <c r="BZ268" s="269"/>
      <c r="CA268" s="269"/>
      <c r="CB268" s="269"/>
      <c r="CC268" s="269"/>
      <c r="CD268" s="269"/>
      <c r="CE268" s="269"/>
      <c r="CF268" s="269"/>
      <c r="CG268" s="269"/>
      <c r="CH268" s="269"/>
      <c r="CI268" s="269"/>
      <c r="CJ268" s="269"/>
      <c r="CK268" s="269"/>
      <c r="CL268" s="269"/>
      <c r="CM268" s="269"/>
      <c r="CN268" s="269"/>
      <c r="CO268" s="269"/>
      <c r="CP268" s="269"/>
      <c r="CQ268" s="269"/>
      <c r="CR268" s="269"/>
      <c r="CS268" s="269"/>
      <c r="CT268" s="269"/>
      <c r="CU268" s="269"/>
      <c r="CV268" s="269"/>
      <c r="CW268" s="269"/>
      <c r="CX268" s="269"/>
      <c r="CY268" s="269"/>
    </row>
    <row r="269" spans="1:106">
      <c r="A269" s="472" t="s">
        <v>935</v>
      </c>
      <c r="B269" s="601">
        <f t="shared" ref="B269:AG269" si="1597">B253</f>
        <v>39903</v>
      </c>
      <c r="C269" s="601">
        <f t="shared" si="1597"/>
        <v>39994</v>
      </c>
      <c r="D269" s="601">
        <f t="shared" si="1597"/>
        <v>40086</v>
      </c>
      <c r="E269" s="601">
        <f t="shared" si="1597"/>
        <v>40178</v>
      </c>
      <c r="F269" s="601">
        <f t="shared" si="1597"/>
        <v>40268</v>
      </c>
      <c r="G269" s="601">
        <f t="shared" si="1597"/>
        <v>40359</v>
      </c>
      <c r="H269" s="601">
        <f t="shared" si="1597"/>
        <v>40451</v>
      </c>
      <c r="I269" s="601">
        <f t="shared" si="1597"/>
        <v>40543</v>
      </c>
      <c r="J269" s="601">
        <f t="shared" si="1597"/>
        <v>40633</v>
      </c>
      <c r="K269" s="601">
        <f t="shared" si="1597"/>
        <v>40724</v>
      </c>
      <c r="L269" s="601">
        <f t="shared" si="1597"/>
        <v>40816</v>
      </c>
      <c r="M269" s="601">
        <f t="shared" si="1597"/>
        <v>40908</v>
      </c>
      <c r="N269" s="601">
        <f t="shared" si="1597"/>
        <v>40999</v>
      </c>
      <c r="O269" s="601">
        <f t="shared" si="1597"/>
        <v>41090</v>
      </c>
      <c r="P269" s="601">
        <f t="shared" si="1597"/>
        <v>41182</v>
      </c>
      <c r="Q269" s="601">
        <f t="shared" si="1597"/>
        <v>41274</v>
      </c>
      <c r="R269" s="601">
        <f t="shared" si="1597"/>
        <v>41364</v>
      </c>
      <c r="S269" s="601">
        <f t="shared" si="1597"/>
        <v>41455</v>
      </c>
      <c r="T269" s="601">
        <f t="shared" si="1597"/>
        <v>41547</v>
      </c>
      <c r="U269" s="601">
        <f t="shared" si="1597"/>
        <v>41639</v>
      </c>
      <c r="V269" s="601">
        <f t="shared" si="1597"/>
        <v>41729</v>
      </c>
      <c r="W269" s="601">
        <f t="shared" si="1597"/>
        <v>41820</v>
      </c>
      <c r="X269" s="601">
        <f t="shared" si="1597"/>
        <v>41912</v>
      </c>
      <c r="Y269" s="601">
        <f t="shared" si="1597"/>
        <v>42004</v>
      </c>
      <c r="Z269" s="601">
        <f t="shared" si="1597"/>
        <v>42094</v>
      </c>
      <c r="AA269" s="601">
        <f t="shared" si="1597"/>
        <v>42185</v>
      </c>
      <c r="AB269" s="601">
        <f t="shared" si="1597"/>
        <v>42277</v>
      </c>
      <c r="AC269" s="601">
        <f t="shared" si="1597"/>
        <v>42369</v>
      </c>
      <c r="AD269" s="601">
        <f t="shared" si="1597"/>
        <v>42460</v>
      </c>
      <c r="AE269" s="601">
        <f t="shared" si="1597"/>
        <v>42551</v>
      </c>
      <c r="AF269" s="601">
        <f t="shared" si="1597"/>
        <v>42643</v>
      </c>
      <c r="AG269" s="601">
        <f t="shared" si="1597"/>
        <v>42735</v>
      </c>
      <c r="AH269" s="601">
        <f t="shared" ref="AH269:CK269" si="1598">AH253</f>
        <v>42825</v>
      </c>
      <c r="AI269" s="601">
        <f t="shared" si="1598"/>
        <v>42916</v>
      </c>
      <c r="AJ269" s="601">
        <f t="shared" si="1598"/>
        <v>43008</v>
      </c>
      <c r="AK269" s="601">
        <f t="shared" si="1598"/>
        <v>43100</v>
      </c>
      <c r="AL269" s="601">
        <f t="shared" si="1598"/>
        <v>43190</v>
      </c>
      <c r="AM269" s="601">
        <f t="shared" si="1598"/>
        <v>43281</v>
      </c>
      <c r="AN269" s="601">
        <f t="shared" si="1598"/>
        <v>43373</v>
      </c>
      <c r="AO269" s="601">
        <f t="shared" si="1598"/>
        <v>43465</v>
      </c>
      <c r="AP269" s="601">
        <f t="shared" si="1598"/>
        <v>43555</v>
      </c>
      <c r="AQ269" s="601">
        <f t="shared" si="1598"/>
        <v>43646</v>
      </c>
      <c r="AR269" s="601">
        <f t="shared" ref="AR269:AY269" si="1599">AR253</f>
        <v>43738</v>
      </c>
      <c r="AS269" s="601">
        <f t="shared" si="1599"/>
        <v>43830</v>
      </c>
      <c r="AT269" s="601">
        <f t="shared" si="1599"/>
        <v>43921</v>
      </c>
      <c r="AU269" s="601">
        <f t="shared" si="1599"/>
        <v>44012</v>
      </c>
      <c r="AV269" s="601">
        <f t="shared" si="1599"/>
        <v>44104</v>
      </c>
      <c r="AW269" s="601">
        <f t="shared" si="1599"/>
        <v>44196</v>
      </c>
      <c r="AX269" s="601">
        <f t="shared" si="1599"/>
        <v>44286</v>
      </c>
      <c r="AY269" s="601">
        <f t="shared" si="1599"/>
        <v>44377</v>
      </c>
      <c r="AZ269" s="601">
        <f t="shared" si="1598"/>
        <v>44469</v>
      </c>
      <c r="BA269" s="601">
        <f t="shared" si="1598"/>
        <v>44561</v>
      </c>
      <c r="BB269" s="601">
        <f t="shared" si="1598"/>
        <v>44651</v>
      </c>
      <c r="BC269" s="601">
        <f t="shared" si="1598"/>
        <v>44742</v>
      </c>
      <c r="BD269" s="601">
        <f t="shared" ref="BD269:BI269" si="1600">BD253</f>
        <v>44834</v>
      </c>
      <c r="BE269" s="601">
        <f t="shared" si="1600"/>
        <v>44926</v>
      </c>
      <c r="BF269" s="601">
        <f t="shared" si="1600"/>
        <v>45016</v>
      </c>
      <c r="BG269" s="601">
        <f t="shared" si="1600"/>
        <v>45107</v>
      </c>
      <c r="BH269" s="601">
        <f t="shared" si="1600"/>
        <v>45199</v>
      </c>
      <c r="BI269" s="601">
        <f t="shared" si="1600"/>
        <v>45291</v>
      </c>
      <c r="BJ269" s="601">
        <f t="shared" ref="BJ269:BK269" si="1601">BJ253</f>
        <v>45382</v>
      </c>
      <c r="BK269" s="1172">
        <f t="shared" si="1601"/>
        <v>45473</v>
      </c>
      <c r="BL269" s="600">
        <f t="shared" si="1598"/>
        <v>45565</v>
      </c>
      <c r="BM269" s="600">
        <f t="shared" si="1598"/>
        <v>45657</v>
      </c>
      <c r="BN269" s="600">
        <f t="shared" si="1598"/>
        <v>45747</v>
      </c>
      <c r="BO269" s="600">
        <f t="shared" si="1598"/>
        <v>45838</v>
      </c>
      <c r="BP269" s="600">
        <f t="shared" si="1598"/>
        <v>45930</v>
      </c>
      <c r="BQ269" s="600">
        <f t="shared" si="1598"/>
        <v>46022</v>
      </c>
      <c r="BR269" s="600">
        <f t="shared" si="1598"/>
        <v>46112</v>
      </c>
      <c r="BS269" s="600">
        <f t="shared" si="1598"/>
        <v>46203</v>
      </c>
      <c r="BT269" s="600">
        <f t="shared" si="1598"/>
        <v>46295</v>
      </c>
      <c r="BU269" s="600">
        <f t="shared" si="1598"/>
        <v>46387</v>
      </c>
      <c r="BV269" s="600">
        <f t="shared" si="1598"/>
        <v>46477</v>
      </c>
      <c r="BW269" s="600">
        <f t="shared" si="1598"/>
        <v>46568</v>
      </c>
      <c r="BX269" s="600">
        <f t="shared" si="1598"/>
        <v>46660</v>
      </c>
      <c r="BY269" s="600">
        <f t="shared" si="1598"/>
        <v>46752</v>
      </c>
      <c r="BZ269" s="600">
        <f t="shared" si="1598"/>
        <v>46843</v>
      </c>
      <c r="CA269" s="600">
        <f t="shared" si="1598"/>
        <v>46934</v>
      </c>
      <c r="CB269" s="600">
        <f t="shared" si="1598"/>
        <v>47026</v>
      </c>
      <c r="CC269" s="600">
        <f t="shared" si="1598"/>
        <v>47118</v>
      </c>
      <c r="CD269" s="600">
        <f t="shared" si="1598"/>
        <v>47208</v>
      </c>
      <c r="CE269" s="600">
        <f t="shared" si="1598"/>
        <v>47299</v>
      </c>
      <c r="CF269" s="600">
        <f t="shared" si="1598"/>
        <v>47391</v>
      </c>
      <c r="CG269" s="600">
        <f t="shared" si="1598"/>
        <v>47483</v>
      </c>
      <c r="CH269" s="600">
        <f t="shared" si="1598"/>
        <v>47573</v>
      </c>
      <c r="CI269" s="600">
        <f t="shared" si="1598"/>
        <v>47664</v>
      </c>
      <c r="CJ269" s="600">
        <f t="shared" si="1598"/>
        <v>47756</v>
      </c>
      <c r="CK269" s="600">
        <f t="shared" si="1598"/>
        <v>47848</v>
      </c>
      <c r="CL269" s="600">
        <f t="shared" ref="CL269:CP269" si="1602">CL253</f>
        <v>47938</v>
      </c>
      <c r="CM269" s="600">
        <f t="shared" si="1602"/>
        <v>48029</v>
      </c>
      <c r="CN269" s="600">
        <f t="shared" si="1602"/>
        <v>48121</v>
      </c>
      <c r="CO269" s="600">
        <f t="shared" si="1602"/>
        <v>48213</v>
      </c>
      <c r="CP269" s="600">
        <f t="shared" si="1602"/>
        <v>48304</v>
      </c>
      <c r="CQ269" s="600">
        <f t="shared" ref="CQ269:CU269" si="1603">CQ253</f>
        <v>48395</v>
      </c>
      <c r="CR269" s="600">
        <f t="shared" si="1603"/>
        <v>48487</v>
      </c>
      <c r="CS269" s="600">
        <f t="shared" si="1603"/>
        <v>48579</v>
      </c>
      <c r="CT269" s="600">
        <f t="shared" si="1603"/>
        <v>48669</v>
      </c>
      <c r="CU269" s="600">
        <f t="shared" si="1603"/>
        <v>48760</v>
      </c>
      <c r="CV269" s="600">
        <f t="shared" ref="CV269:CW269" si="1604">CV253</f>
        <v>48852</v>
      </c>
      <c r="CW269" s="600">
        <f t="shared" si="1604"/>
        <v>48944</v>
      </c>
      <c r="CX269" s="269"/>
      <c r="CY269" s="572" t="s">
        <v>1488</v>
      </c>
      <c r="CZ269" s="572" t="s">
        <v>1489</v>
      </c>
    </row>
    <row r="270" spans="1:106">
      <c r="A270" s="43" t="s">
        <v>924</v>
      </c>
      <c r="B270" s="397"/>
      <c r="C270" s="397"/>
      <c r="D270" s="397"/>
      <c r="E270" s="397"/>
      <c r="F270" s="859">
        <f>Q_BS!F34</f>
        <v>0</v>
      </c>
      <c r="G270" s="859">
        <f>Q_BS!G34</f>
        <v>10.569766399999999</v>
      </c>
      <c r="H270" s="859">
        <f>Q_BS!H34</f>
        <v>0</v>
      </c>
      <c r="I270" s="859">
        <f>Q_BS!I34</f>
        <v>4.6928785833333331</v>
      </c>
      <c r="J270" s="859">
        <f>Q_BS!J34</f>
        <v>21.276468000000001</v>
      </c>
      <c r="K270" s="859">
        <f>Q_BS!K34</f>
        <v>9.7870668666666667</v>
      </c>
      <c r="L270" s="859">
        <f>Q_BS!L34</f>
        <v>21.871000999999993</v>
      </c>
      <c r="M270" s="859">
        <f>Q_BS!M34</f>
        <v>9.1838207567567576</v>
      </c>
      <c r="N270" s="859">
        <f>Q_BS!N34</f>
        <v>1.7268209777777779</v>
      </c>
      <c r="O270" s="859">
        <f>Q_BS!O34</f>
        <v>-230.17671599999994</v>
      </c>
      <c r="P270" s="859">
        <f>Q_BS!P34</f>
        <v>8.330737142857144</v>
      </c>
      <c r="Q270" s="859">
        <f>Q_BS!Q34</f>
        <v>14.590789999999997</v>
      </c>
      <c r="R270" s="859">
        <f>Q_BS!R34</f>
        <v>8.4623425000000001</v>
      </c>
      <c r="S270" s="859">
        <f>Q_BS!S34</f>
        <v>3.2041732068965514</v>
      </c>
      <c r="T270" s="859">
        <f>Q_BS!T34</f>
        <v>0.4610107674418612</v>
      </c>
      <c r="U270" s="859">
        <f>Q_BS!U34</f>
        <v>10.901738499999999</v>
      </c>
      <c r="V270" s="859">
        <f>Q_BS!V34</f>
        <v>13.81404</v>
      </c>
      <c r="W270" s="859">
        <f>Q_BS!W34</f>
        <v>1.3225474346590909</v>
      </c>
      <c r="X270" s="859">
        <f>Q_BS!X34</f>
        <v>14.006065972972978</v>
      </c>
      <c r="Y270" s="859">
        <f>Q_BS!Y34</f>
        <v>1.4089555710144916</v>
      </c>
      <c r="Z270" s="859">
        <f>Q_BS!Z34</f>
        <v>-646.83539299999995</v>
      </c>
      <c r="AA270" s="859">
        <f>Q_BS!AA34</f>
        <v>11.196104789473683</v>
      </c>
      <c r="AB270" s="859">
        <f>Q_BS!AB34</f>
        <v>7.2975072222222215</v>
      </c>
      <c r="AC270" s="859">
        <f>Q_BS!AC34</f>
        <v>17.208880483870981</v>
      </c>
      <c r="AD270" s="859">
        <f>Q_BS!AD34</f>
        <v>7.2803051999999999</v>
      </c>
      <c r="AE270" s="859">
        <f>Q_BS!AE34</f>
        <v>20.265415000000001</v>
      </c>
      <c r="AF270" s="859">
        <f>Q_BS!AF34</f>
        <v>14.432713064516122</v>
      </c>
      <c r="AG270" s="859">
        <f>Q_BS!AG34</f>
        <v>9.7914161038961058</v>
      </c>
      <c r="AH270" s="859">
        <f>Q_BS!AH34</f>
        <v>16.374418823529414</v>
      </c>
      <c r="AI270" s="859">
        <f>Q_BS!AI34</f>
        <v>12.198720000000002</v>
      </c>
      <c r="AJ270" s="859">
        <f>Q_BS!AJ34</f>
        <v>12.270244074074075</v>
      </c>
      <c r="AK270" s="859">
        <f>Q_BS!AK34</f>
        <v>10.53079261538462</v>
      </c>
      <c r="AL270" s="859">
        <f>Q_BS!AL34</f>
        <v>33.015840000000004</v>
      </c>
      <c r="AM270" s="859">
        <f>Q_BS!AM34</f>
        <v>12.977827499999998</v>
      </c>
      <c r="AN270" s="859">
        <f>Q_BS!AN34</f>
        <v>10.604378095238095</v>
      </c>
      <c r="AO270" s="859">
        <f>Q_BS!AO34</f>
        <v>8.9348818681318694</v>
      </c>
      <c r="AP270" s="859">
        <f>Q_BS!AP34</f>
        <v>1.136685974025974</v>
      </c>
      <c r="AQ270" s="859">
        <f>Q_BS!AQ34</f>
        <v>24.69768666666668</v>
      </c>
      <c r="AR270" s="859">
        <f>Q_BS!AR34</f>
        <v>45.556130285714254</v>
      </c>
      <c r="AS270" s="859">
        <f>Q_BS!AS34</f>
        <v>-361.76270800000003</v>
      </c>
      <c r="AT270" s="1171">
        <f>Q_BS!AT34</f>
        <v>-36.646838571428574</v>
      </c>
      <c r="AU270" s="1171">
        <f>Q_BS!AU34</f>
        <v>-2.6255809259259255</v>
      </c>
      <c r="AV270" s="1171">
        <f>Q_BS!AV34</f>
        <v>-1.4185739130434789</v>
      </c>
      <c r="AW270" s="1171">
        <f>Q_BS!AW34</f>
        <v>-2.1899378823529418</v>
      </c>
      <c r="AX270" s="1171">
        <f>Q_BS!AX34</f>
        <v>-7.3436481999999996</v>
      </c>
      <c r="AY270" s="1171">
        <f>Q_BS!AY34</f>
        <v>71.459879000000001</v>
      </c>
      <c r="AZ270" s="1171">
        <f>Q_BS!AZ34</f>
        <v>-14.673779666666666</v>
      </c>
      <c r="BA270" s="1171">
        <f>Q_BS!BA34</f>
        <v>12.712251240000001</v>
      </c>
      <c r="BB270" s="1171">
        <f>Q_BS!BB34</f>
        <v>15.684875499999999</v>
      </c>
      <c r="BC270" s="1171">
        <f>Q_BS!BC34</f>
        <v>12.313837586206899</v>
      </c>
      <c r="BD270" s="1171">
        <f>Q_BS!BD34</f>
        <v>18.097274249999998</v>
      </c>
      <c r="BE270" s="1171">
        <f>Q_BS!BE34</f>
        <v>11.500160918918921</v>
      </c>
      <c r="BF270" s="1171">
        <f>Q_BS!BF34</f>
        <v>86.292941399999989</v>
      </c>
      <c r="BG270" s="1171">
        <f>Q_BS!BG34</f>
        <v>41.77089268421053</v>
      </c>
      <c r="BH270" s="1171">
        <f>Q_BS!BH34</f>
        <v>53.147103599999994</v>
      </c>
      <c r="BI270" s="1171">
        <f>Q_BS!BI34</f>
        <v>3.706083333334062E-2</v>
      </c>
      <c r="BJ270" s="1171">
        <f>Q_BS!BJ34</f>
        <v>29.065012631578945</v>
      </c>
      <c r="BK270" s="2035">
        <f>Q_BS!BK34</f>
        <v>19.134133684210525</v>
      </c>
      <c r="BL270" s="860">
        <f t="shared" ref="BL270:BQ270" si="1605">CHOOSE(MASTERSWITCH,BL271,BL272,BL273)</f>
        <v>24.15</v>
      </c>
      <c r="BM270" s="860">
        <f t="shared" si="1605"/>
        <v>24.15</v>
      </c>
      <c r="BN270" s="860">
        <f t="shared" si="1605"/>
        <v>23</v>
      </c>
      <c r="BO270" s="860">
        <f t="shared" si="1605"/>
        <v>23</v>
      </c>
      <c r="BP270" s="860">
        <f t="shared" si="1605"/>
        <v>23</v>
      </c>
      <c r="BQ270" s="860">
        <f t="shared" si="1605"/>
        <v>23</v>
      </c>
      <c r="BR270" s="860">
        <f t="shared" ref="BR270:CK270" si="1606">CHOOSE(MASTERSWITCH,BR271,BR272,BR273)</f>
        <v>23.848120037013139</v>
      </c>
      <c r="BS270" s="860">
        <f t="shared" si="1606"/>
        <v>23.848120037013139</v>
      </c>
      <c r="BT270" s="860">
        <f t="shared" si="1606"/>
        <v>23.848120037013139</v>
      </c>
      <c r="BU270" s="860">
        <f t="shared" si="1606"/>
        <v>23.848120037013139</v>
      </c>
      <c r="BV270" s="860">
        <f t="shared" si="1606"/>
        <v>24.72751431738207</v>
      </c>
      <c r="BW270" s="860">
        <f t="shared" si="1606"/>
        <v>24.72751431738207</v>
      </c>
      <c r="BX270" s="860">
        <f t="shared" si="1606"/>
        <v>24.72751431738207</v>
      </c>
      <c r="BY270" s="860">
        <f t="shared" si="1606"/>
        <v>24.72751431738207</v>
      </c>
      <c r="BZ270" s="860">
        <f t="shared" si="1606"/>
        <v>20.065567360759918</v>
      </c>
      <c r="CA270" s="860">
        <f t="shared" si="1606"/>
        <v>20.065567360759918</v>
      </c>
      <c r="CB270" s="860">
        <f t="shared" si="1606"/>
        <v>20.065567360759918</v>
      </c>
      <c r="CC270" s="860">
        <f t="shared" si="1606"/>
        <v>20.065567360759918</v>
      </c>
      <c r="CD270" s="860">
        <f t="shared" si="1606"/>
        <v>20.805480827398934</v>
      </c>
      <c r="CE270" s="860">
        <f t="shared" si="1606"/>
        <v>20.805480827398934</v>
      </c>
      <c r="CF270" s="860">
        <f t="shared" si="1606"/>
        <v>20.805480827398934</v>
      </c>
      <c r="CG270" s="860">
        <f t="shared" si="1606"/>
        <v>20.805480827398934</v>
      </c>
      <c r="CH270" s="860">
        <f t="shared" si="1606"/>
        <v>21.57267844346023</v>
      </c>
      <c r="CI270" s="860">
        <f t="shared" si="1606"/>
        <v>21.57267844346023</v>
      </c>
      <c r="CJ270" s="860">
        <f t="shared" si="1606"/>
        <v>21.57267844346023</v>
      </c>
      <c r="CK270" s="860">
        <f t="shared" si="1606"/>
        <v>21.57267844346023</v>
      </c>
      <c r="CL270" s="860">
        <f t="shared" ref="CL270:CP270" si="1607">CHOOSE(MASTERSWITCH,CL271,CL272,CL273)</f>
        <v>22.368166306066318</v>
      </c>
      <c r="CM270" s="860">
        <f t="shared" si="1607"/>
        <v>22.368166306066318</v>
      </c>
      <c r="CN270" s="860">
        <f t="shared" si="1607"/>
        <v>22.368166306066318</v>
      </c>
      <c r="CO270" s="860">
        <f t="shared" si="1607"/>
        <v>22.368166306066318</v>
      </c>
      <c r="CP270" s="860">
        <f t="shared" si="1607"/>
        <v>23.192987611954017</v>
      </c>
      <c r="CQ270" s="860">
        <f t="shared" ref="CQ270:CU270" si="1608">CHOOSE(MASTERSWITCH,CQ271,CQ272,CQ273)</f>
        <v>23.192987611954017</v>
      </c>
      <c r="CR270" s="860">
        <f t="shared" si="1608"/>
        <v>23.192987611954017</v>
      </c>
      <c r="CS270" s="860">
        <f t="shared" si="1608"/>
        <v>23.192987611954017</v>
      </c>
      <c r="CT270" s="860">
        <f t="shared" si="1608"/>
        <v>24.048224025514703</v>
      </c>
      <c r="CU270" s="860">
        <f t="shared" si="1608"/>
        <v>24.048224025514703</v>
      </c>
      <c r="CV270" s="860">
        <f t="shared" ref="CV270:CW270" si="1609">CHOOSE(MASTERSWITCH,CV271,CV272,CV273)</f>
        <v>24.048224025514703</v>
      </c>
      <c r="CW270" s="860">
        <f t="shared" si="1609"/>
        <v>24.048224025514703</v>
      </c>
      <c r="CX270" s="269"/>
      <c r="CY270" s="846"/>
      <c r="DB270" s="557"/>
    </row>
    <row r="271" spans="1:106">
      <c r="A271" s="42" t="s">
        <v>571</v>
      </c>
      <c r="B271" s="392"/>
      <c r="C271" s="392"/>
      <c r="D271" s="392"/>
      <c r="E271" s="393"/>
      <c r="F271" s="857">
        <f t="shared" ref="F271:AJ271" si="1610">F270</f>
        <v>0</v>
      </c>
      <c r="G271" s="857">
        <f t="shared" si="1610"/>
        <v>10.569766399999999</v>
      </c>
      <c r="H271" s="857">
        <f t="shared" si="1610"/>
        <v>0</v>
      </c>
      <c r="I271" s="857">
        <f t="shared" si="1610"/>
        <v>4.6928785833333331</v>
      </c>
      <c r="J271" s="857">
        <f t="shared" si="1610"/>
        <v>21.276468000000001</v>
      </c>
      <c r="K271" s="857">
        <f t="shared" si="1610"/>
        <v>9.7870668666666667</v>
      </c>
      <c r="L271" s="857">
        <f t="shared" si="1610"/>
        <v>21.871000999999993</v>
      </c>
      <c r="M271" s="857">
        <f t="shared" si="1610"/>
        <v>9.1838207567567576</v>
      </c>
      <c r="N271" s="857">
        <f t="shared" si="1610"/>
        <v>1.7268209777777779</v>
      </c>
      <c r="O271" s="857">
        <f t="shared" si="1610"/>
        <v>-230.17671599999994</v>
      </c>
      <c r="P271" s="857">
        <f t="shared" si="1610"/>
        <v>8.330737142857144</v>
      </c>
      <c r="Q271" s="857">
        <f t="shared" si="1610"/>
        <v>14.590789999999997</v>
      </c>
      <c r="R271" s="857">
        <f t="shared" si="1610"/>
        <v>8.4623425000000001</v>
      </c>
      <c r="S271" s="857">
        <f t="shared" si="1610"/>
        <v>3.2041732068965514</v>
      </c>
      <c r="T271" s="857">
        <f t="shared" si="1610"/>
        <v>0.4610107674418612</v>
      </c>
      <c r="U271" s="857">
        <f t="shared" si="1610"/>
        <v>10.901738499999999</v>
      </c>
      <c r="V271" s="857">
        <f t="shared" si="1610"/>
        <v>13.81404</v>
      </c>
      <c r="W271" s="857">
        <f t="shared" si="1610"/>
        <v>1.3225474346590909</v>
      </c>
      <c r="X271" s="857">
        <f t="shared" si="1610"/>
        <v>14.006065972972978</v>
      </c>
      <c r="Y271" s="857">
        <f t="shared" si="1610"/>
        <v>1.4089555710144916</v>
      </c>
      <c r="Z271" s="857">
        <f t="shared" si="1610"/>
        <v>-646.83539299999995</v>
      </c>
      <c r="AA271" s="857">
        <f t="shared" si="1610"/>
        <v>11.196104789473683</v>
      </c>
      <c r="AB271" s="857">
        <f t="shared" si="1610"/>
        <v>7.2975072222222215</v>
      </c>
      <c r="AC271" s="857">
        <f t="shared" si="1610"/>
        <v>17.208880483870981</v>
      </c>
      <c r="AD271" s="857">
        <f t="shared" si="1610"/>
        <v>7.2803051999999999</v>
      </c>
      <c r="AE271" s="857">
        <f t="shared" si="1610"/>
        <v>20.265415000000001</v>
      </c>
      <c r="AF271" s="857">
        <f t="shared" si="1610"/>
        <v>14.432713064516122</v>
      </c>
      <c r="AG271" s="857">
        <f t="shared" si="1610"/>
        <v>9.7914161038961058</v>
      </c>
      <c r="AH271" s="857">
        <f t="shared" si="1610"/>
        <v>16.374418823529414</v>
      </c>
      <c r="AI271" s="857">
        <f t="shared" si="1610"/>
        <v>12.198720000000002</v>
      </c>
      <c r="AJ271" s="857">
        <f t="shared" si="1610"/>
        <v>12.270244074074075</v>
      </c>
      <c r="AK271" s="857">
        <f t="shared" ref="AK271:AP271" si="1611">AK270</f>
        <v>10.53079261538462</v>
      </c>
      <c r="AL271" s="857">
        <f t="shared" si="1611"/>
        <v>33.015840000000004</v>
      </c>
      <c r="AM271" s="857">
        <f t="shared" si="1611"/>
        <v>12.977827499999998</v>
      </c>
      <c r="AN271" s="857">
        <f t="shared" si="1611"/>
        <v>10.604378095238095</v>
      </c>
      <c r="AO271" s="857">
        <f t="shared" si="1611"/>
        <v>8.9348818681318694</v>
      </c>
      <c r="AP271" s="857">
        <f t="shared" si="1611"/>
        <v>1.136685974025974</v>
      </c>
      <c r="AQ271" s="857">
        <f t="shared" ref="AQ271:BC271" si="1612">AQ270</f>
        <v>24.69768666666668</v>
      </c>
      <c r="AR271" s="857">
        <f t="shared" si="1612"/>
        <v>45.556130285714254</v>
      </c>
      <c r="AS271" s="857">
        <f t="shared" si="1612"/>
        <v>-361.76270800000003</v>
      </c>
      <c r="AT271" s="857">
        <f t="shared" si="1612"/>
        <v>-36.646838571428574</v>
      </c>
      <c r="AU271" s="857">
        <f t="shared" si="1612"/>
        <v>-2.6255809259259255</v>
      </c>
      <c r="AV271" s="857">
        <f t="shared" si="1612"/>
        <v>-1.4185739130434789</v>
      </c>
      <c r="AW271" s="857">
        <f t="shared" si="1612"/>
        <v>-2.1899378823529418</v>
      </c>
      <c r="AX271" s="857">
        <f t="shared" si="1612"/>
        <v>-7.3436481999999996</v>
      </c>
      <c r="AY271" s="857">
        <f t="shared" si="1612"/>
        <v>71.459879000000001</v>
      </c>
      <c r="AZ271" s="857">
        <f t="shared" si="1612"/>
        <v>-14.673779666666666</v>
      </c>
      <c r="BA271" s="857">
        <f t="shared" si="1612"/>
        <v>12.712251240000001</v>
      </c>
      <c r="BB271" s="857">
        <f t="shared" si="1612"/>
        <v>15.684875499999999</v>
      </c>
      <c r="BC271" s="857">
        <f t="shared" si="1612"/>
        <v>12.313837586206899</v>
      </c>
      <c r="BD271" s="857">
        <f t="shared" ref="BD271:BI271" si="1613">BD270</f>
        <v>18.097274249999998</v>
      </c>
      <c r="BE271" s="857">
        <f t="shared" si="1613"/>
        <v>11.500160918918921</v>
      </c>
      <c r="BF271" s="857">
        <f t="shared" si="1613"/>
        <v>86.292941399999989</v>
      </c>
      <c r="BG271" s="857">
        <f t="shared" si="1613"/>
        <v>41.77089268421053</v>
      </c>
      <c r="BH271" s="857">
        <f t="shared" si="1613"/>
        <v>53.147103599999994</v>
      </c>
      <c r="BI271" s="857">
        <f t="shared" si="1613"/>
        <v>3.706083333334062E-2</v>
      </c>
      <c r="BJ271" s="857">
        <f t="shared" ref="BJ271:BK271" si="1614">BJ270</f>
        <v>29.065012631578945</v>
      </c>
      <c r="BK271" s="1398">
        <f t="shared" si="1614"/>
        <v>19.134133684210525</v>
      </c>
      <c r="BL271" s="861">
        <f t="shared" ref="BL271:BP271" si="1615">BL272*$CY$271</f>
        <v>18.900000000000002</v>
      </c>
      <c r="BM271" s="861">
        <f t="shared" si="1615"/>
        <v>18.900000000000002</v>
      </c>
      <c r="BN271" s="861">
        <f t="shared" si="1615"/>
        <v>18</v>
      </c>
      <c r="BO271" s="861">
        <f t="shared" si="1615"/>
        <v>18</v>
      </c>
      <c r="BP271" s="861">
        <f t="shared" si="1615"/>
        <v>18</v>
      </c>
      <c r="BQ271" s="861">
        <f t="shared" ref="BQ271:BY271" si="1616">BQ272*$CY$271</f>
        <v>18</v>
      </c>
      <c r="BR271" s="861">
        <f t="shared" si="1616"/>
        <v>18.663746115923328</v>
      </c>
      <c r="BS271" s="861">
        <f t="shared" si="1616"/>
        <v>18.663746115923328</v>
      </c>
      <c r="BT271" s="861">
        <f t="shared" si="1616"/>
        <v>18.663746115923328</v>
      </c>
      <c r="BU271" s="861">
        <f t="shared" si="1616"/>
        <v>18.663746115923328</v>
      </c>
      <c r="BV271" s="861">
        <f t="shared" si="1616"/>
        <v>19.351967726646841</v>
      </c>
      <c r="BW271" s="861">
        <f t="shared" si="1616"/>
        <v>19.351967726646841</v>
      </c>
      <c r="BX271" s="861">
        <f t="shared" si="1616"/>
        <v>19.351967726646841</v>
      </c>
      <c r="BY271" s="861">
        <f t="shared" si="1616"/>
        <v>19.351967726646841</v>
      </c>
      <c r="BZ271" s="861">
        <f t="shared" ref="BZ271:CU271" si="1617">BZ272*$CZ$271</f>
        <v>20.065567360759918</v>
      </c>
      <c r="CA271" s="861">
        <f t="shared" si="1617"/>
        <v>20.065567360759918</v>
      </c>
      <c r="CB271" s="861">
        <f t="shared" si="1617"/>
        <v>20.065567360759918</v>
      </c>
      <c r="CC271" s="861">
        <f t="shared" si="1617"/>
        <v>20.065567360759918</v>
      </c>
      <c r="CD271" s="861">
        <f t="shared" si="1617"/>
        <v>20.805480827398934</v>
      </c>
      <c r="CE271" s="861">
        <f t="shared" si="1617"/>
        <v>20.805480827398934</v>
      </c>
      <c r="CF271" s="861">
        <f t="shared" si="1617"/>
        <v>20.805480827398934</v>
      </c>
      <c r="CG271" s="861">
        <f t="shared" si="1617"/>
        <v>20.805480827398934</v>
      </c>
      <c r="CH271" s="861">
        <f t="shared" si="1617"/>
        <v>21.57267844346023</v>
      </c>
      <c r="CI271" s="861">
        <f t="shared" si="1617"/>
        <v>21.57267844346023</v>
      </c>
      <c r="CJ271" s="861">
        <f t="shared" si="1617"/>
        <v>21.57267844346023</v>
      </c>
      <c r="CK271" s="861">
        <f t="shared" si="1617"/>
        <v>21.57267844346023</v>
      </c>
      <c r="CL271" s="861">
        <f t="shared" si="1617"/>
        <v>22.368166306066318</v>
      </c>
      <c r="CM271" s="861">
        <f t="shared" si="1617"/>
        <v>22.368166306066318</v>
      </c>
      <c r="CN271" s="861">
        <f t="shared" si="1617"/>
        <v>22.368166306066318</v>
      </c>
      <c r="CO271" s="861">
        <f t="shared" si="1617"/>
        <v>22.368166306066318</v>
      </c>
      <c r="CP271" s="861">
        <f t="shared" si="1617"/>
        <v>23.192987611954017</v>
      </c>
      <c r="CQ271" s="861">
        <f t="shared" si="1617"/>
        <v>23.192987611954017</v>
      </c>
      <c r="CR271" s="861">
        <f t="shared" si="1617"/>
        <v>23.192987611954017</v>
      </c>
      <c r="CS271" s="861">
        <f t="shared" si="1617"/>
        <v>23.192987611954017</v>
      </c>
      <c r="CT271" s="861">
        <f t="shared" si="1617"/>
        <v>24.048224025514703</v>
      </c>
      <c r="CU271" s="861">
        <f t="shared" si="1617"/>
        <v>24.048224025514703</v>
      </c>
      <c r="CV271" s="861">
        <f t="shared" ref="CV271:CW271" si="1618">CV272*$CZ$271</f>
        <v>24.048224025514703</v>
      </c>
      <c r="CW271" s="861">
        <f t="shared" si="1618"/>
        <v>24.048224025514703</v>
      </c>
      <c r="CX271" s="269"/>
      <c r="CY271" s="1418">
        <v>0.9</v>
      </c>
      <c r="CZ271" s="1418">
        <v>0.9</v>
      </c>
      <c r="DB271" s="557"/>
    </row>
    <row r="272" spans="1:106">
      <c r="A272" s="42" t="s">
        <v>200</v>
      </c>
      <c r="B272" s="392"/>
      <c r="C272" s="392"/>
      <c r="D272" s="392"/>
      <c r="E272" s="394"/>
      <c r="F272" s="857">
        <f t="shared" ref="F272:AJ272" si="1619">F270</f>
        <v>0</v>
      </c>
      <c r="G272" s="857">
        <f t="shared" si="1619"/>
        <v>10.569766399999999</v>
      </c>
      <c r="H272" s="857">
        <f t="shared" si="1619"/>
        <v>0</v>
      </c>
      <c r="I272" s="857">
        <f t="shared" si="1619"/>
        <v>4.6928785833333331</v>
      </c>
      <c r="J272" s="857">
        <f t="shared" si="1619"/>
        <v>21.276468000000001</v>
      </c>
      <c r="K272" s="857">
        <f t="shared" si="1619"/>
        <v>9.7870668666666667</v>
      </c>
      <c r="L272" s="857">
        <f t="shared" si="1619"/>
        <v>21.871000999999993</v>
      </c>
      <c r="M272" s="857">
        <f t="shared" si="1619"/>
        <v>9.1838207567567576</v>
      </c>
      <c r="N272" s="857">
        <f t="shared" si="1619"/>
        <v>1.7268209777777779</v>
      </c>
      <c r="O272" s="857">
        <f t="shared" si="1619"/>
        <v>-230.17671599999994</v>
      </c>
      <c r="P272" s="857">
        <f t="shared" si="1619"/>
        <v>8.330737142857144</v>
      </c>
      <c r="Q272" s="857">
        <f t="shared" si="1619"/>
        <v>14.590789999999997</v>
      </c>
      <c r="R272" s="857">
        <f t="shared" si="1619"/>
        <v>8.4623425000000001</v>
      </c>
      <c r="S272" s="857">
        <f t="shared" si="1619"/>
        <v>3.2041732068965514</v>
      </c>
      <c r="T272" s="857">
        <f t="shared" si="1619"/>
        <v>0.4610107674418612</v>
      </c>
      <c r="U272" s="857">
        <f t="shared" si="1619"/>
        <v>10.901738499999999</v>
      </c>
      <c r="V272" s="857">
        <f t="shared" si="1619"/>
        <v>13.81404</v>
      </c>
      <c r="W272" s="857">
        <f t="shared" si="1619"/>
        <v>1.3225474346590909</v>
      </c>
      <c r="X272" s="857">
        <f t="shared" si="1619"/>
        <v>14.006065972972978</v>
      </c>
      <c r="Y272" s="857">
        <f t="shared" si="1619"/>
        <v>1.4089555710144916</v>
      </c>
      <c r="Z272" s="857">
        <f t="shared" si="1619"/>
        <v>-646.83539299999995</v>
      </c>
      <c r="AA272" s="857">
        <f t="shared" si="1619"/>
        <v>11.196104789473683</v>
      </c>
      <c r="AB272" s="857">
        <f t="shared" si="1619"/>
        <v>7.2975072222222215</v>
      </c>
      <c r="AC272" s="857">
        <f t="shared" si="1619"/>
        <v>17.208880483870981</v>
      </c>
      <c r="AD272" s="857">
        <f t="shared" si="1619"/>
        <v>7.2803051999999999</v>
      </c>
      <c r="AE272" s="857">
        <f t="shared" si="1619"/>
        <v>20.265415000000001</v>
      </c>
      <c r="AF272" s="857">
        <f t="shared" si="1619"/>
        <v>14.432713064516122</v>
      </c>
      <c r="AG272" s="857">
        <f t="shared" si="1619"/>
        <v>9.7914161038961058</v>
      </c>
      <c r="AH272" s="857">
        <f t="shared" si="1619"/>
        <v>16.374418823529414</v>
      </c>
      <c r="AI272" s="857">
        <f t="shared" si="1619"/>
        <v>12.198720000000002</v>
      </c>
      <c r="AJ272" s="857">
        <f t="shared" si="1619"/>
        <v>12.270244074074075</v>
      </c>
      <c r="AK272" s="857">
        <f t="shared" ref="AK272:AP272" si="1620">AK270</f>
        <v>10.53079261538462</v>
      </c>
      <c r="AL272" s="857">
        <f t="shared" si="1620"/>
        <v>33.015840000000004</v>
      </c>
      <c r="AM272" s="857">
        <f t="shared" si="1620"/>
        <v>12.977827499999998</v>
      </c>
      <c r="AN272" s="857">
        <f t="shared" si="1620"/>
        <v>10.604378095238095</v>
      </c>
      <c r="AO272" s="857">
        <f t="shared" si="1620"/>
        <v>8.9348818681318694</v>
      </c>
      <c r="AP272" s="857">
        <f t="shared" si="1620"/>
        <v>1.136685974025974</v>
      </c>
      <c r="AQ272" s="857">
        <f t="shared" ref="AQ272:BC272" si="1621">AQ270</f>
        <v>24.69768666666668</v>
      </c>
      <c r="AR272" s="857">
        <f t="shared" si="1621"/>
        <v>45.556130285714254</v>
      </c>
      <c r="AS272" s="857">
        <f t="shared" si="1621"/>
        <v>-361.76270800000003</v>
      </c>
      <c r="AT272" s="857">
        <f t="shared" si="1621"/>
        <v>-36.646838571428574</v>
      </c>
      <c r="AU272" s="857">
        <f t="shared" si="1621"/>
        <v>-2.6255809259259255</v>
      </c>
      <c r="AV272" s="857">
        <f t="shared" si="1621"/>
        <v>-1.4185739130434789</v>
      </c>
      <c r="AW272" s="857">
        <f t="shared" si="1621"/>
        <v>-2.1899378823529418</v>
      </c>
      <c r="AX272" s="857">
        <f t="shared" si="1621"/>
        <v>-7.3436481999999996</v>
      </c>
      <c r="AY272" s="857">
        <f t="shared" si="1621"/>
        <v>71.459879000000001</v>
      </c>
      <c r="AZ272" s="857">
        <f t="shared" si="1621"/>
        <v>-14.673779666666666</v>
      </c>
      <c r="BA272" s="857">
        <f t="shared" si="1621"/>
        <v>12.712251240000001</v>
      </c>
      <c r="BB272" s="857">
        <f t="shared" si="1621"/>
        <v>15.684875499999999</v>
      </c>
      <c r="BC272" s="857">
        <f t="shared" si="1621"/>
        <v>12.313837586206899</v>
      </c>
      <c r="BD272" s="857">
        <f t="shared" ref="BD272:BI272" si="1622">BD270</f>
        <v>18.097274249999998</v>
      </c>
      <c r="BE272" s="857">
        <f t="shared" si="1622"/>
        <v>11.500160918918921</v>
      </c>
      <c r="BF272" s="857">
        <f t="shared" si="1622"/>
        <v>86.292941399999989</v>
      </c>
      <c r="BG272" s="857">
        <f t="shared" si="1622"/>
        <v>41.77089268421053</v>
      </c>
      <c r="BH272" s="857">
        <f t="shared" si="1622"/>
        <v>53.147103599999994</v>
      </c>
      <c r="BI272" s="857">
        <f t="shared" si="1622"/>
        <v>3.706083333334062E-2</v>
      </c>
      <c r="BJ272" s="857">
        <f t="shared" ref="BJ272:BK272" si="1623">BJ270</f>
        <v>29.065012631578945</v>
      </c>
      <c r="BK272" s="1398">
        <f t="shared" si="1623"/>
        <v>19.134133684210525</v>
      </c>
      <c r="BL272" s="1799">
        <v>21</v>
      </c>
      <c r="BM272" s="1799">
        <v>21</v>
      </c>
      <c r="BN272" s="2026">
        <v>20</v>
      </c>
      <c r="BO272" s="2026">
        <f>BN272</f>
        <v>20</v>
      </c>
      <c r="BP272" s="2026">
        <f t="shared" ref="BP272:BQ272" si="1624">BO272</f>
        <v>20</v>
      </c>
      <c r="BQ272" s="2026">
        <f t="shared" si="1624"/>
        <v>20</v>
      </c>
      <c r="BR272" s="2026">
        <f t="shared" ref="BR272" si="1625">+BN272*(1+BR10)</f>
        <v>20.737495684359253</v>
      </c>
      <c r="BS272" s="858">
        <f t="shared" ref="BS272" si="1626">+BO272*(1+BS10)</f>
        <v>20.737495684359253</v>
      </c>
      <c r="BT272" s="858">
        <f t="shared" ref="BT272" si="1627">+BP272*(1+BT10)</f>
        <v>20.737495684359253</v>
      </c>
      <c r="BU272" s="858">
        <f t="shared" ref="BU272" si="1628">+BQ272*(1+BU10)</f>
        <v>20.737495684359253</v>
      </c>
      <c r="BV272" s="858">
        <f t="shared" ref="BV272:BY272" si="1629">+BR272*(1+BV10)</f>
        <v>21.502186362940932</v>
      </c>
      <c r="BW272" s="858">
        <f t="shared" si="1629"/>
        <v>21.502186362940932</v>
      </c>
      <c r="BX272" s="858">
        <f t="shared" si="1629"/>
        <v>21.502186362940932</v>
      </c>
      <c r="BY272" s="858">
        <f t="shared" si="1629"/>
        <v>21.502186362940932</v>
      </c>
      <c r="BZ272" s="858">
        <f>+BV272*(1+BZ10)*$CZ272</f>
        <v>22.295074845288799</v>
      </c>
      <c r="CA272" s="858">
        <f t="shared" ref="CA272:CW272" si="1630">+BW272*(1+CA10)*$CZ272</f>
        <v>22.295074845288799</v>
      </c>
      <c r="CB272" s="858">
        <f t="shared" si="1630"/>
        <v>22.295074845288799</v>
      </c>
      <c r="CC272" s="858">
        <f t="shared" si="1630"/>
        <v>22.295074845288799</v>
      </c>
      <c r="CD272" s="858">
        <f t="shared" si="1630"/>
        <v>23.117200919332149</v>
      </c>
      <c r="CE272" s="858">
        <f t="shared" si="1630"/>
        <v>23.117200919332149</v>
      </c>
      <c r="CF272" s="858">
        <f t="shared" si="1630"/>
        <v>23.117200919332149</v>
      </c>
      <c r="CG272" s="858">
        <f t="shared" si="1630"/>
        <v>23.117200919332149</v>
      </c>
      <c r="CH272" s="858">
        <f t="shared" si="1630"/>
        <v>23.96964271495581</v>
      </c>
      <c r="CI272" s="858">
        <f t="shared" si="1630"/>
        <v>23.96964271495581</v>
      </c>
      <c r="CJ272" s="858">
        <f t="shared" si="1630"/>
        <v>23.96964271495581</v>
      </c>
      <c r="CK272" s="858">
        <f t="shared" si="1630"/>
        <v>23.96964271495581</v>
      </c>
      <c r="CL272" s="858">
        <f t="shared" si="1630"/>
        <v>24.853518117851465</v>
      </c>
      <c r="CM272" s="858">
        <f t="shared" si="1630"/>
        <v>24.853518117851465</v>
      </c>
      <c r="CN272" s="858">
        <f t="shared" si="1630"/>
        <v>24.853518117851465</v>
      </c>
      <c r="CO272" s="858">
        <f t="shared" si="1630"/>
        <v>24.853518117851465</v>
      </c>
      <c r="CP272" s="858">
        <f t="shared" si="1630"/>
        <v>25.769986235504462</v>
      </c>
      <c r="CQ272" s="858">
        <f t="shared" si="1630"/>
        <v>25.769986235504462</v>
      </c>
      <c r="CR272" s="858">
        <f t="shared" si="1630"/>
        <v>25.769986235504462</v>
      </c>
      <c r="CS272" s="858">
        <f t="shared" si="1630"/>
        <v>25.769986235504462</v>
      </c>
      <c r="CT272" s="858">
        <f t="shared" si="1630"/>
        <v>26.720248917238557</v>
      </c>
      <c r="CU272" s="858">
        <f t="shared" si="1630"/>
        <v>26.720248917238557</v>
      </c>
      <c r="CV272" s="858">
        <f t="shared" si="1630"/>
        <v>26.720248917238557</v>
      </c>
      <c r="CW272" s="858">
        <f t="shared" si="1630"/>
        <v>26.720248917238557</v>
      </c>
      <c r="CX272" s="269"/>
      <c r="CY272" s="269"/>
      <c r="CZ272" s="1418">
        <v>1</v>
      </c>
      <c r="DB272" s="557"/>
    </row>
    <row r="273" spans="1:106">
      <c r="A273" s="42" t="s">
        <v>202</v>
      </c>
      <c r="B273" s="392"/>
      <c r="C273" s="392"/>
      <c r="D273" s="392"/>
      <c r="E273" s="394"/>
      <c r="F273" s="857">
        <f t="shared" ref="F273:AJ273" si="1631">F270</f>
        <v>0</v>
      </c>
      <c r="G273" s="857">
        <f t="shared" si="1631"/>
        <v>10.569766399999999</v>
      </c>
      <c r="H273" s="857">
        <f t="shared" si="1631"/>
        <v>0</v>
      </c>
      <c r="I273" s="857">
        <f t="shared" si="1631"/>
        <v>4.6928785833333331</v>
      </c>
      <c r="J273" s="857">
        <f t="shared" si="1631"/>
        <v>21.276468000000001</v>
      </c>
      <c r="K273" s="857">
        <f t="shared" si="1631"/>
        <v>9.7870668666666667</v>
      </c>
      <c r="L273" s="857">
        <f t="shared" si="1631"/>
        <v>21.871000999999993</v>
      </c>
      <c r="M273" s="857">
        <f t="shared" si="1631"/>
        <v>9.1838207567567576</v>
      </c>
      <c r="N273" s="857">
        <f t="shared" si="1631"/>
        <v>1.7268209777777779</v>
      </c>
      <c r="O273" s="857">
        <f t="shared" si="1631"/>
        <v>-230.17671599999994</v>
      </c>
      <c r="P273" s="857">
        <f t="shared" si="1631"/>
        <v>8.330737142857144</v>
      </c>
      <c r="Q273" s="857">
        <f t="shared" si="1631"/>
        <v>14.590789999999997</v>
      </c>
      <c r="R273" s="857">
        <f t="shared" si="1631"/>
        <v>8.4623425000000001</v>
      </c>
      <c r="S273" s="857">
        <f t="shared" si="1631"/>
        <v>3.2041732068965514</v>
      </c>
      <c r="T273" s="857">
        <f t="shared" si="1631"/>
        <v>0.4610107674418612</v>
      </c>
      <c r="U273" s="857">
        <f t="shared" si="1631"/>
        <v>10.901738499999999</v>
      </c>
      <c r="V273" s="857">
        <f t="shared" si="1631"/>
        <v>13.81404</v>
      </c>
      <c r="W273" s="857">
        <f t="shared" si="1631"/>
        <v>1.3225474346590909</v>
      </c>
      <c r="X273" s="857">
        <f t="shared" si="1631"/>
        <v>14.006065972972978</v>
      </c>
      <c r="Y273" s="857">
        <f t="shared" si="1631"/>
        <v>1.4089555710144916</v>
      </c>
      <c r="Z273" s="857">
        <f t="shared" si="1631"/>
        <v>-646.83539299999995</v>
      </c>
      <c r="AA273" s="857">
        <f t="shared" si="1631"/>
        <v>11.196104789473683</v>
      </c>
      <c r="AB273" s="857">
        <f t="shared" si="1631"/>
        <v>7.2975072222222215</v>
      </c>
      <c r="AC273" s="857">
        <f t="shared" si="1631"/>
        <v>17.208880483870981</v>
      </c>
      <c r="AD273" s="857">
        <f t="shared" si="1631"/>
        <v>7.2803051999999999</v>
      </c>
      <c r="AE273" s="857">
        <f t="shared" si="1631"/>
        <v>20.265415000000001</v>
      </c>
      <c r="AF273" s="857">
        <f t="shared" si="1631"/>
        <v>14.432713064516122</v>
      </c>
      <c r="AG273" s="857">
        <f t="shared" si="1631"/>
        <v>9.7914161038961058</v>
      </c>
      <c r="AH273" s="857">
        <f t="shared" si="1631"/>
        <v>16.374418823529414</v>
      </c>
      <c r="AI273" s="857">
        <f t="shared" si="1631"/>
        <v>12.198720000000002</v>
      </c>
      <c r="AJ273" s="857">
        <f t="shared" si="1631"/>
        <v>12.270244074074075</v>
      </c>
      <c r="AK273" s="857">
        <f t="shared" ref="AK273:AP273" si="1632">AK270</f>
        <v>10.53079261538462</v>
      </c>
      <c r="AL273" s="857">
        <f t="shared" si="1632"/>
        <v>33.015840000000004</v>
      </c>
      <c r="AM273" s="857">
        <f t="shared" si="1632"/>
        <v>12.977827499999998</v>
      </c>
      <c r="AN273" s="857">
        <f t="shared" si="1632"/>
        <v>10.604378095238095</v>
      </c>
      <c r="AO273" s="857">
        <f t="shared" si="1632"/>
        <v>8.9348818681318694</v>
      </c>
      <c r="AP273" s="857">
        <f t="shared" si="1632"/>
        <v>1.136685974025974</v>
      </c>
      <c r="AQ273" s="857">
        <f t="shared" ref="AQ273:BC273" si="1633">AQ270</f>
        <v>24.69768666666668</v>
      </c>
      <c r="AR273" s="857">
        <f t="shared" si="1633"/>
        <v>45.556130285714254</v>
      </c>
      <c r="AS273" s="857">
        <f t="shared" si="1633"/>
        <v>-361.76270800000003</v>
      </c>
      <c r="AT273" s="857">
        <f t="shared" si="1633"/>
        <v>-36.646838571428574</v>
      </c>
      <c r="AU273" s="857">
        <f t="shared" si="1633"/>
        <v>-2.6255809259259255</v>
      </c>
      <c r="AV273" s="857">
        <f t="shared" si="1633"/>
        <v>-1.4185739130434789</v>
      </c>
      <c r="AW273" s="857">
        <f t="shared" si="1633"/>
        <v>-2.1899378823529418</v>
      </c>
      <c r="AX273" s="857">
        <f t="shared" si="1633"/>
        <v>-7.3436481999999996</v>
      </c>
      <c r="AY273" s="857">
        <f t="shared" si="1633"/>
        <v>71.459879000000001</v>
      </c>
      <c r="AZ273" s="857">
        <f t="shared" si="1633"/>
        <v>-14.673779666666666</v>
      </c>
      <c r="BA273" s="857">
        <f t="shared" si="1633"/>
        <v>12.712251240000001</v>
      </c>
      <c r="BB273" s="857">
        <f t="shared" si="1633"/>
        <v>15.684875499999999</v>
      </c>
      <c r="BC273" s="857">
        <f t="shared" si="1633"/>
        <v>12.313837586206899</v>
      </c>
      <c r="BD273" s="857">
        <f t="shared" ref="BD273:BI273" si="1634">BD270</f>
        <v>18.097274249999998</v>
      </c>
      <c r="BE273" s="857">
        <f t="shared" si="1634"/>
        <v>11.500160918918921</v>
      </c>
      <c r="BF273" s="857">
        <f t="shared" si="1634"/>
        <v>86.292941399999989</v>
      </c>
      <c r="BG273" s="857">
        <f t="shared" si="1634"/>
        <v>41.77089268421053</v>
      </c>
      <c r="BH273" s="857">
        <f t="shared" si="1634"/>
        <v>53.147103599999994</v>
      </c>
      <c r="BI273" s="857">
        <f t="shared" si="1634"/>
        <v>3.706083333334062E-2</v>
      </c>
      <c r="BJ273" s="857">
        <f t="shared" ref="BJ273:BK273" si="1635">BJ270</f>
        <v>29.065012631578945</v>
      </c>
      <c r="BK273" s="1398">
        <f t="shared" si="1635"/>
        <v>19.134133684210525</v>
      </c>
      <c r="BL273" s="861">
        <f t="shared" ref="BL273:BP273" si="1636">BL272*$CY$273</f>
        <v>24.15</v>
      </c>
      <c r="BM273" s="861">
        <f t="shared" si="1636"/>
        <v>24.15</v>
      </c>
      <c r="BN273" s="861">
        <f t="shared" si="1636"/>
        <v>23</v>
      </c>
      <c r="BO273" s="861">
        <f t="shared" si="1636"/>
        <v>23</v>
      </c>
      <c r="BP273" s="861">
        <f t="shared" si="1636"/>
        <v>23</v>
      </c>
      <c r="BQ273" s="861">
        <f t="shared" ref="BQ273:BY273" si="1637">BQ272*$CY$273</f>
        <v>23</v>
      </c>
      <c r="BR273" s="861">
        <f t="shared" si="1637"/>
        <v>23.848120037013139</v>
      </c>
      <c r="BS273" s="861">
        <f t="shared" si="1637"/>
        <v>23.848120037013139</v>
      </c>
      <c r="BT273" s="861">
        <f t="shared" si="1637"/>
        <v>23.848120037013139</v>
      </c>
      <c r="BU273" s="861">
        <f t="shared" si="1637"/>
        <v>23.848120037013139</v>
      </c>
      <c r="BV273" s="861">
        <f t="shared" si="1637"/>
        <v>24.72751431738207</v>
      </c>
      <c r="BW273" s="861">
        <f t="shared" si="1637"/>
        <v>24.72751431738207</v>
      </c>
      <c r="BX273" s="861">
        <f t="shared" si="1637"/>
        <v>24.72751431738207</v>
      </c>
      <c r="BY273" s="861">
        <f t="shared" si="1637"/>
        <v>24.72751431738207</v>
      </c>
      <c r="BZ273" s="861">
        <f t="shared" ref="BZ273:CU273" si="1638">BZ272*$CZ$273</f>
        <v>20.065567360759918</v>
      </c>
      <c r="CA273" s="861">
        <f t="shared" si="1638"/>
        <v>20.065567360759918</v>
      </c>
      <c r="CB273" s="861">
        <f t="shared" si="1638"/>
        <v>20.065567360759918</v>
      </c>
      <c r="CC273" s="861">
        <f t="shared" si="1638"/>
        <v>20.065567360759918</v>
      </c>
      <c r="CD273" s="861">
        <f t="shared" si="1638"/>
        <v>20.805480827398934</v>
      </c>
      <c r="CE273" s="861">
        <f t="shared" si="1638"/>
        <v>20.805480827398934</v>
      </c>
      <c r="CF273" s="861">
        <f t="shared" si="1638"/>
        <v>20.805480827398934</v>
      </c>
      <c r="CG273" s="861">
        <f t="shared" si="1638"/>
        <v>20.805480827398934</v>
      </c>
      <c r="CH273" s="861">
        <f t="shared" si="1638"/>
        <v>21.57267844346023</v>
      </c>
      <c r="CI273" s="861">
        <f t="shared" si="1638"/>
        <v>21.57267844346023</v>
      </c>
      <c r="CJ273" s="861">
        <f t="shared" si="1638"/>
        <v>21.57267844346023</v>
      </c>
      <c r="CK273" s="861">
        <f t="shared" si="1638"/>
        <v>21.57267844346023</v>
      </c>
      <c r="CL273" s="861">
        <f t="shared" si="1638"/>
        <v>22.368166306066318</v>
      </c>
      <c r="CM273" s="861">
        <f t="shared" si="1638"/>
        <v>22.368166306066318</v>
      </c>
      <c r="CN273" s="861">
        <f t="shared" si="1638"/>
        <v>22.368166306066318</v>
      </c>
      <c r="CO273" s="861">
        <f t="shared" si="1638"/>
        <v>22.368166306066318</v>
      </c>
      <c r="CP273" s="861">
        <f t="shared" si="1638"/>
        <v>23.192987611954017</v>
      </c>
      <c r="CQ273" s="861">
        <f t="shared" si="1638"/>
        <v>23.192987611954017</v>
      </c>
      <c r="CR273" s="861">
        <f t="shared" si="1638"/>
        <v>23.192987611954017</v>
      </c>
      <c r="CS273" s="861">
        <f t="shared" si="1638"/>
        <v>23.192987611954017</v>
      </c>
      <c r="CT273" s="861">
        <f t="shared" si="1638"/>
        <v>24.048224025514703</v>
      </c>
      <c r="CU273" s="861">
        <f t="shared" si="1638"/>
        <v>24.048224025514703</v>
      </c>
      <c r="CV273" s="861">
        <f t="shared" ref="CV273:CW273" si="1639">CV272*$CZ$273</f>
        <v>24.048224025514703</v>
      </c>
      <c r="CW273" s="861">
        <f t="shared" si="1639"/>
        <v>24.048224025514703</v>
      </c>
      <c r="CX273" s="269"/>
      <c r="CY273" s="1418">
        <v>1.1499999999999999</v>
      </c>
      <c r="CZ273" s="1418">
        <v>0.9</v>
      </c>
    </row>
    <row r="274" spans="1:106">
      <c r="A274" s="835"/>
      <c r="B274" s="812"/>
      <c r="C274" s="812"/>
      <c r="D274" s="812"/>
      <c r="E274" s="812"/>
      <c r="F274" s="812"/>
      <c r="G274" s="812"/>
      <c r="H274" s="812"/>
      <c r="I274" s="812"/>
      <c r="J274" s="812"/>
      <c r="K274" s="812"/>
      <c r="L274" s="812"/>
      <c r="M274" s="812"/>
      <c r="N274" s="812"/>
      <c r="O274" s="812"/>
      <c r="P274" s="812"/>
      <c r="Q274" s="812"/>
      <c r="R274" s="812"/>
      <c r="S274" s="812"/>
      <c r="T274" s="812"/>
      <c r="U274" s="812"/>
      <c r="V274" s="812"/>
      <c r="W274" s="812"/>
      <c r="X274" s="812"/>
      <c r="Y274" s="812"/>
      <c r="Z274" s="812"/>
      <c r="AA274" s="812"/>
      <c r="AB274" s="812"/>
      <c r="AC274" s="812"/>
      <c r="AD274" s="812"/>
      <c r="AE274" s="812"/>
      <c r="AF274" s="812"/>
      <c r="AG274" s="812"/>
      <c r="AH274" s="812"/>
      <c r="AI274" s="812"/>
      <c r="AJ274" s="812"/>
      <c r="AK274" s="812"/>
      <c r="AL274" s="812"/>
      <c r="AM274" s="812"/>
      <c r="AN274" s="812"/>
      <c r="AO274" s="812"/>
      <c r="AP274" s="812"/>
      <c r="AQ274" s="811"/>
      <c r="AR274" s="811"/>
      <c r="AS274" s="811"/>
      <c r="AT274" s="811"/>
      <c r="AU274" s="811"/>
      <c r="AV274" s="811"/>
      <c r="AW274" s="811"/>
      <c r="AX274" s="811"/>
      <c r="AY274" s="811"/>
      <c r="AZ274" s="811"/>
      <c r="BA274" s="811"/>
      <c r="BB274" s="811"/>
      <c r="BC274" s="811"/>
      <c r="BD274" s="811"/>
      <c r="BE274" s="811"/>
      <c r="BF274" s="811"/>
      <c r="BG274" s="811"/>
      <c r="BH274" s="811"/>
      <c r="BI274" s="811"/>
      <c r="BJ274" s="811"/>
      <c r="BK274" s="1868"/>
      <c r="BL274" s="811"/>
      <c r="BM274" s="811"/>
      <c r="BN274" s="811"/>
      <c r="BO274" s="811"/>
      <c r="BP274" s="811"/>
      <c r="BQ274" s="811"/>
      <c r="BR274" s="811"/>
      <c r="BS274" s="811"/>
      <c r="BT274" s="811"/>
      <c r="BU274" s="811"/>
      <c r="BV274" s="811"/>
      <c r="BW274" s="811"/>
      <c r="BX274" s="811"/>
      <c r="BY274" s="811"/>
      <c r="BZ274" s="811"/>
      <c r="CA274" s="811"/>
      <c r="CB274" s="811"/>
      <c r="CC274" s="811"/>
      <c r="CD274" s="811"/>
      <c r="CE274" s="811"/>
      <c r="CF274" s="811"/>
      <c r="CG274" s="811"/>
      <c r="CH274" s="811"/>
      <c r="CI274" s="811"/>
      <c r="CJ274" s="811"/>
      <c r="CK274" s="811"/>
      <c r="CL274" s="811"/>
      <c r="CM274" s="811"/>
      <c r="CN274" s="811"/>
      <c r="CO274" s="811"/>
      <c r="CP274" s="811"/>
      <c r="CQ274" s="811"/>
      <c r="CR274" s="811"/>
      <c r="CS274" s="811"/>
      <c r="CT274" s="811"/>
      <c r="CU274" s="811"/>
      <c r="CV274" s="811"/>
      <c r="CW274" s="811"/>
      <c r="CX274" s="269"/>
      <c r="CY274" s="846"/>
      <c r="CZ274" s="846"/>
      <c r="DB274" s="557"/>
    </row>
    <row r="275" spans="1:106">
      <c r="A275" s="43" t="s">
        <v>923</v>
      </c>
      <c r="B275" s="397"/>
      <c r="C275" s="397"/>
      <c r="D275" s="397"/>
      <c r="E275" s="397"/>
      <c r="F275" s="330">
        <f>Q_BS!F36</f>
        <v>1.1652920244028813E-3</v>
      </c>
      <c r="G275" s="330">
        <f>Q_BS!G36</f>
        <v>6.6744376240365499E-3</v>
      </c>
      <c r="H275" s="330">
        <f>Q_BS!H36</f>
        <v>7.0495159181071972E-3</v>
      </c>
      <c r="I275" s="330">
        <f>Q_BS!I36</f>
        <v>4.7976208645100615E-3</v>
      </c>
      <c r="J275" s="330">
        <f>Q_BS!J36</f>
        <v>2.2060203342534702E-2</v>
      </c>
      <c r="K275" s="330">
        <f>Q_BS!K36</f>
        <v>3.1470265665002529E-2</v>
      </c>
      <c r="L275" s="330">
        <f>Q_BS!L36</f>
        <v>8.8118200073678717E-3</v>
      </c>
      <c r="M275" s="330">
        <f>Q_BS!M36</f>
        <v>3.3246561792364096E-3</v>
      </c>
      <c r="N275" s="330">
        <f>Q_BS!N36</f>
        <v>1.5835530011667429E-4</v>
      </c>
      <c r="O275" s="330">
        <f>Q_BS!O36</f>
        <v>1.6968253347520647E-3</v>
      </c>
      <c r="P275" s="330">
        <f>Q_BS!P36</f>
        <v>2.4695613244664011E-3</v>
      </c>
      <c r="Q275" s="330">
        <f>Q_BS!Q36</f>
        <v>6.9092892909831879E-3</v>
      </c>
      <c r="R275" s="330">
        <f>Q_BS!R36</f>
        <v>7.3672054340041884E-3</v>
      </c>
      <c r="S275" s="330">
        <f>Q_BS!S36</f>
        <v>-2.4553352106865793E-4</v>
      </c>
      <c r="T275" s="330">
        <f>Q_BS!T36</f>
        <v>-2.7714309020241174E-3</v>
      </c>
      <c r="U275" s="330">
        <f>Q_BS!U36</f>
        <v>2.6389910021671105E-3</v>
      </c>
      <c r="V275" s="330">
        <f>Q_BS!V36</f>
        <v>2.3069331038096858E-3</v>
      </c>
      <c r="W275" s="330">
        <f>Q_BS!W36</f>
        <v>1.1439279991297867E-2</v>
      </c>
      <c r="X275" s="330">
        <f>Q_BS!X36</f>
        <v>7.0714069600018997E-3</v>
      </c>
      <c r="Y275" s="330">
        <f>Q_BS!Y36</f>
        <v>3.1583594397652501E-2</v>
      </c>
      <c r="Z275" s="330">
        <f>Q_BS!Z36</f>
        <v>7.7627710391580691E-3</v>
      </c>
      <c r="AA275" s="330">
        <f>Q_BS!AA36</f>
        <v>4.2975845220178159E-2</v>
      </c>
      <c r="AB275" s="330">
        <f>Q_BS!AB36</f>
        <v>2.7113627128338282E-2</v>
      </c>
      <c r="AC275" s="330">
        <f>Q_BS!AC36</f>
        <v>4.1462036101170066E-2</v>
      </c>
      <c r="AD275" s="330">
        <f>Q_BS!AD36</f>
        <v>2.5048945723136914E-2</v>
      </c>
      <c r="AE275" s="330">
        <f>Q_BS!AE36</f>
        <v>2.9225808024384129E-2</v>
      </c>
      <c r="AF275" s="330">
        <f>Q_BS!AF36</f>
        <v>2.0238607979350943E-2</v>
      </c>
      <c r="AG275" s="330">
        <f>Q_BS!AG36</f>
        <v>7.6298753613843653E-2</v>
      </c>
      <c r="AH275" s="330">
        <f>Q_BS!AH36</f>
        <v>1.128246628436458E-2</v>
      </c>
      <c r="AI275" s="330">
        <f>Q_BS!AI36</f>
        <v>5.7309089756073871E-2</v>
      </c>
      <c r="AJ275" s="330">
        <f>Q_BS!AJ36</f>
        <v>2.8192729334015822E-2</v>
      </c>
      <c r="AK275" s="330">
        <f>Q_BS!AK36</f>
        <v>5.7197175236765763E-2</v>
      </c>
      <c r="AL275" s="330">
        <f>Q_BS!AL36</f>
        <v>1.8691505717804317E-2</v>
      </c>
      <c r="AM275" s="330">
        <f>Q_BS!AM36</f>
        <v>1.9167675304277744E-2</v>
      </c>
      <c r="AN275" s="330">
        <f>Q_BS!AN36</f>
        <v>3.7689253191713061E-2</v>
      </c>
      <c r="AO275" s="330">
        <f>Q_BS!AO36</f>
        <v>2.6834641771673839E-2</v>
      </c>
      <c r="AP275" s="330">
        <f>Q_BS!AP36</f>
        <v>8.9976471426939462E-3</v>
      </c>
      <c r="AQ275" s="330">
        <f>Q_BS!AQ36</f>
        <v>1.7528015600522803E-2</v>
      </c>
      <c r="AR275" s="330">
        <f>Q_BS!AR36</f>
        <v>2.0277640442560398E-2</v>
      </c>
      <c r="AS275" s="330">
        <f>Q_BS!AS36</f>
        <v>3.8326381535707436E-2</v>
      </c>
      <c r="AT275" s="330">
        <f>Q_BS!AT36</f>
        <v>1.4726460521978771E-2</v>
      </c>
      <c r="AU275" s="330">
        <f>Q_BS!AU36</f>
        <v>4.5462056182864329E-2</v>
      </c>
      <c r="AV275" s="330">
        <f>Q_BS!AV36</f>
        <v>1.3531156226485562E-2</v>
      </c>
      <c r="AW275" s="330">
        <f>Q_BS!AW36</f>
        <v>2.114459140337191E-2</v>
      </c>
      <c r="AX275" s="330">
        <f>Q_BS!AX36</f>
        <v>1.9843928061440027E-2</v>
      </c>
      <c r="AY275" s="330">
        <f>Q_BS!AY36</f>
        <v>2.6212198117423483E-2</v>
      </c>
      <c r="AZ275" s="330">
        <f>Q_BS!AZ36</f>
        <v>2.3475153197655158E-2</v>
      </c>
      <c r="BA275" s="330">
        <f>Q_BS!BA36</f>
        <v>4.457839625983856E-2</v>
      </c>
      <c r="BB275" s="330">
        <f>Q_BS!BB36</f>
        <v>2.1440621274791138E-2</v>
      </c>
      <c r="BC275" s="330">
        <f>Q_BS!BC36</f>
        <v>2.9125685218270973E-2</v>
      </c>
      <c r="BD275" s="330">
        <f>Q_BS!BD36</f>
        <v>1.9918650092338373E-2</v>
      </c>
      <c r="BE275" s="330">
        <f>Q_BS!BE36</f>
        <v>3.7116707201171974E-2</v>
      </c>
      <c r="BF275" s="330">
        <f>Q_BS!BF36</f>
        <v>7.2543220749288137E-3</v>
      </c>
      <c r="BG275" s="330">
        <f>Q_BS!BG36</f>
        <v>5.2780327698937601E-3</v>
      </c>
      <c r="BH275" s="330">
        <f>Q_BS!BH36</f>
        <v>1.0167549684452581E-2</v>
      </c>
      <c r="BI275" s="330">
        <f>Q_BS!BI36</f>
        <v>7.570620250182003E-2</v>
      </c>
      <c r="BJ275" s="330">
        <f>Q_BS!BJ36</f>
        <v>1.8594185474916314E-2</v>
      </c>
      <c r="BK275" s="1869">
        <f>Q_BS!BK36</f>
        <v>3.4627687766947204E-2</v>
      </c>
      <c r="BL275" s="575">
        <f t="shared" ref="BL275:BQ275" si="1640">CHOOSE(MASTERSWITCH,BL276,BL277,BL278)</f>
        <v>4.2999999999999997E-2</v>
      </c>
      <c r="BM275" s="575">
        <f t="shared" si="1640"/>
        <v>4.2999999999999997E-2</v>
      </c>
      <c r="BN275" s="575">
        <f t="shared" si="1640"/>
        <v>3.6999999999999998E-2</v>
      </c>
      <c r="BO275" s="575">
        <f t="shared" si="1640"/>
        <v>3.2000000000000001E-2</v>
      </c>
      <c r="BP275" s="575">
        <f t="shared" si="1640"/>
        <v>3.2000000000000001E-2</v>
      </c>
      <c r="BQ275" s="575">
        <f t="shared" si="1640"/>
        <v>3.2000000000000001E-2</v>
      </c>
      <c r="BR275" s="575">
        <f t="shared" ref="BR275:CK275" si="1641">CHOOSE(MASTERSWITCH,BR276,BR277,BR278)</f>
        <v>3.7999999999999999E-2</v>
      </c>
      <c r="BS275" s="575">
        <f t="shared" si="1641"/>
        <v>3.3000000000000002E-2</v>
      </c>
      <c r="BT275" s="575">
        <f t="shared" si="1641"/>
        <v>3.3000000000000002E-2</v>
      </c>
      <c r="BU275" s="575">
        <f t="shared" si="1641"/>
        <v>3.3000000000000002E-2</v>
      </c>
      <c r="BV275" s="575">
        <f t="shared" si="1641"/>
        <v>3.9E-2</v>
      </c>
      <c r="BW275" s="575">
        <f t="shared" si="1641"/>
        <v>3.4000000000000002E-2</v>
      </c>
      <c r="BX275" s="575">
        <f t="shared" si="1641"/>
        <v>3.4000000000000002E-2</v>
      </c>
      <c r="BY275" s="575">
        <f t="shared" si="1641"/>
        <v>3.4000000000000002E-2</v>
      </c>
      <c r="BZ275" s="575">
        <f t="shared" si="1641"/>
        <v>4.9799999999999997E-2</v>
      </c>
      <c r="CA275" s="575">
        <f t="shared" si="1641"/>
        <v>4.48E-2</v>
      </c>
      <c r="CB275" s="575">
        <f t="shared" si="1641"/>
        <v>4.48E-2</v>
      </c>
      <c r="CC275" s="575">
        <f t="shared" si="1641"/>
        <v>4.48E-2</v>
      </c>
      <c r="CD275" s="575">
        <f t="shared" si="1641"/>
        <v>5.2599999999999994E-2</v>
      </c>
      <c r="CE275" s="575">
        <f t="shared" si="1641"/>
        <v>4.7599999999999996E-2</v>
      </c>
      <c r="CF275" s="575">
        <f t="shared" si="1641"/>
        <v>4.7599999999999996E-2</v>
      </c>
      <c r="CG275" s="575">
        <f t="shared" si="1641"/>
        <v>4.7599999999999996E-2</v>
      </c>
      <c r="CH275" s="575">
        <f t="shared" si="1641"/>
        <v>5.5399999999999991E-2</v>
      </c>
      <c r="CI275" s="575">
        <f t="shared" si="1641"/>
        <v>5.0399999999999993E-2</v>
      </c>
      <c r="CJ275" s="575">
        <f t="shared" si="1641"/>
        <v>5.0399999999999993E-2</v>
      </c>
      <c r="CK275" s="575">
        <f t="shared" si="1641"/>
        <v>5.0399999999999993E-2</v>
      </c>
      <c r="CL275" s="575">
        <f t="shared" ref="CL275:CP275" si="1642">CHOOSE(MASTERSWITCH,CL276,CL277,CL278)</f>
        <v>5.8199999999999988E-2</v>
      </c>
      <c r="CM275" s="575">
        <f t="shared" si="1642"/>
        <v>5.319999999999999E-2</v>
      </c>
      <c r="CN275" s="575">
        <f t="shared" si="1642"/>
        <v>5.319999999999999E-2</v>
      </c>
      <c r="CO275" s="575">
        <f t="shared" si="1642"/>
        <v>5.319999999999999E-2</v>
      </c>
      <c r="CP275" s="575">
        <f t="shared" si="1642"/>
        <v>6.0999999999999985E-2</v>
      </c>
      <c r="CQ275" s="575">
        <f t="shared" ref="CQ275:CU275" si="1643">CHOOSE(MASTERSWITCH,CQ276,CQ277,CQ278)</f>
        <v>5.5999999999999987E-2</v>
      </c>
      <c r="CR275" s="575">
        <f t="shared" si="1643"/>
        <v>5.5999999999999987E-2</v>
      </c>
      <c r="CS275" s="575">
        <f t="shared" si="1643"/>
        <v>5.5999999999999987E-2</v>
      </c>
      <c r="CT275" s="575">
        <f t="shared" si="1643"/>
        <v>6.3799999999999982E-2</v>
      </c>
      <c r="CU275" s="575">
        <f t="shared" si="1643"/>
        <v>5.8799999999999984E-2</v>
      </c>
      <c r="CV275" s="575">
        <f t="shared" ref="CV275:CW275" si="1644">CHOOSE(MASTERSWITCH,CV276,CV277,CV278)</f>
        <v>5.8799999999999984E-2</v>
      </c>
      <c r="CW275" s="575">
        <f t="shared" si="1644"/>
        <v>5.8799999999999984E-2</v>
      </c>
      <c r="CX275" s="269"/>
      <c r="CY275" s="269"/>
      <c r="CZ275" s="269"/>
      <c r="DB275" s="847"/>
    </row>
    <row r="276" spans="1:106">
      <c r="A276" s="42" t="s">
        <v>571</v>
      </c>
      <c r="B276" s="392"/>
      <c r="C276" s="392"/>
      <c r="D276" s="392"/>
      <c r="E276" s="393"/>
      <c r="F276" s="84">
        <f>F275</f>
        <v>1.1652920244028813E-3</v>
      </c>
      <c r="G276" s="84">
        <f>G275</f>
        <v>6.6744376240365499E-3</v>
      </c>
      <c r="H276" s="84">
        <f>H275</f>
        <v>7.0495159181071972E-3</v>
      </c>
      <c r="I276" s="84">
        <f>I275</f>
        <v>4.7976208645100615E-3</v>
      </c>
      <c r="J276" s="84">
        <f t="shared" ref="J276:AA276" si="1645">J275</f>
        <v>2.2060203342534702E-2</v>
      </c>
      <c r="K276" s="84">
        <f t="shared" si="1645"/>
        <v>3.1470265665002529E-2</v>
      </c>
      <c r="L276" s="84">
        <f t="shared" si="1645"/>
        <v>8.8118200073678717E-3</v>
      </c>
      <c r="M276" s="84">
        <f t="shared" si="1645"/>
        <v>3.3246561792364096E-3</v>
      </c>
      <c r="N276" s="84">
        <f t="shared" si="1645"/>
        <v>1.5835530011667429E-4</v>
      </c>
      <c r="O276" s="84">
        <f t="shared" si="1645"/>
        <v>1.6968253347520647E-3</v>
      </c>
      <c r="P276" s="84">
        <f t="shared" si="1645"/>
        <v>2.4695613244664011E-3</v>
      </c>
      <c r="Q276" s="84">
        <f t="shared" si="1645"/>
        <v>6.9092892909831879E-3</v>
      </c>
      <c r="R276" s="84">
        <f t="shared" si="1645"/>
        <v>7.3672054340041884E-3</v>
      </c>
      <c r="S276" s="84">
        <f t="shared" si="1645"/>
        <v>-2.4553352106865793E-4</v>
      </c>
      <c r="T276" s="84">
        <f t="shared" si="1645"/>
        <v>-2.7714309020241174E-3</v>
      </c>
      <c r="U276" s="84">
        <f t="shared" si="1645"/>
        <v>2.6389910021671105E-3</v>
      </c>
      <c r="V276" s="84">
        <f t="shared" si="1645"/>
        <v>2.3069331038096858E-3</v>
      </c>
      <c r="W276" s="84">
        <f t="shared" si="1645"/>
        <v>1.1439279991297867E-2</v>
      </c>
      <c r="X276" s="84">
        <f t="shared" si="1645"/>
        <v>7.0714069600018997E-3</v>
      </c>
      <c r="Y276" s="84">
        <f t="shared" si="1645"/>
        <v>3.1583594397652501E-2</v>
      </c>
      <c r="Z276" s="84">
        <f t="shared" si="1645"/>
        <v>7.7627710391580691E-3</v>
      </c>
      <c r="AA276" s="84">
        <f t="shared" si="1645"/>
        <v>4.2975845220178159E-2</v>
      </c>
      <c r="AB276" s="84">
        <f t="shared" ref="AB276:AM276" si="1646">AB275</f>
        <v>2.7113627128338282E-2</v>
      </c>
      <c r="AC276" s="84">
        <f t="shared" si="1646"/>
        <v>4.1462036101170066E-2</v>
      </c>
      <c r="AD276" s="84">
        <f t="shared" si="1646"/>
        <v>2.5048945723136914E-2</v>
      </c>
      <c r="AE276" s="84">
        <f t="shared" si="1646"/>
        <v>2.9225808024384129E-2</v>
      </c>
      <c r="AF276" s="84">
        <f t="shared" si="1646"/>
        <v>2.0238607979350943E-2</v>
      </c>
      <c r="AG276" s="84">
        <f t="shared" si="1646"/>
        <v>7.6298753613843653E-2</v>
      </c>
      <c r="AH276" s="84">
        <f t="shared" si="1646"/>
        <v>1.128246628436458E-2</v>
      </c>
      <c r="AI276" s="84">
        <f t="shared" si="1646"/>
        <v>5.7309089756073871E-2</v>
      </c>
      <c r="AJ276" s="84">
        <f t="shared" si="1646"/>
        <v>2.8192729334015822E-2</v>
      </c>
      <c r="AK276" s="84">
        <f t="shared" si="1646"/>
        <v>5.7197175236765763E-2</v>
      </c>
      <c r="AL276" s="84">
        <f t="shared" si="1646"/>
        <v>1.8691505717804317E-2</v>
      </c>
      <c r="AM276" s="84">
        <f t="shared" si="1646"/>
        <v>1.9167675304277744E-2</v>
      </c>
      <c r="AN276" s="84">
        <f t="shared" ref="AN276:AS276" si="1647">AN275</f>
        <v>3.7689253191713061E-2</v>
      </c>
      <c r="AO276" s="84">
        <f t="shared" si="1647"/>
        <v>2.6834641771673839E-2</v>
      </c>
      <c r="AP276" s="84">
        <f t="shared" si="1647"/>
        <v>8.9976471426939462E-3</v>
      </c>
      <c r="AQ276" s="84">
        <f t="shared" si="1647"/>
        <v>1.7528015600522803E-2</v>
      </c>
      <c r="AR276" s="84">
        <f t="shared" si="1647"/>
        <v>2.0277640442560398E-2</v>
      </c>
      <c r="AS276" s="84">
        <f t="shared" si="1647"/>
        <v>3.8326381535707436E-2</v>
      </c>
      <c r="AT276" s="84">
        <f t="shared" ref="AT276:BC276" si="1648">AT275</f>
        <v>1.4726460521978771E-2</v>
      </c>
      <c r="AU276" s="84">
        <f t="shared" si="1648"/>
        <v>4.5462056182864329E-2</v>
      </c>
      <c r="AV276" s="84">
        <f t="shared" si="1648"/>
        <v>1.3531156226485562E-2</v>
      </c>
      <c r="AW276" s="84">
        <f t="shared" si="1648"/>
        <v>2.114459140337191E-2</v>
      </c>
      <c r="AX276" s="84">
        <f t="shared" si="1648"/>
        <v>1.9843928061440027E-2</v>
      </c>
      <c r="AY276" s="84">
        <f t="shared" si="1648"/>
        <v>2.6212198117423483E-2</v>
      </c>
      <c r="AZ276" s="84">
        <f t="shared" si="1648"/>
        <v>2.3475153197655158E-2</v>
      </c>
      <c r="BA276" s="84">
        <f t="shared" si="1648"/>
        <v>4.457839625983856E-2</v>
      </c>
      <c r="BB276" s="84">
        <f t="shared" si="1648"/>
        <v>2.1440621274791138E-2</v>
      </c>
      <c r="BC276" s="84">
        <f t="shared" si="1648"/>
        <v>2.9125685218270973E-2</v>
      </c>
      <c r="BD276" s="84">
        <f t="shared" ref="BD276:BI276" si="1649">BD275</f>
        <v>1.9918650092338373E-2</v>
      </c>
      <c r="BE276" s="84">
        <f t="shared" si="1649"/>
        <v>3.7116707201171974E-2</v>
      </c>
      <c r="BF276" s="84">
        <f t="shared" si="1649"/>
        <v>7.2543220749288137E-3</v>
      </c>
      <c r="BG276" s="84">
        <f t="shared" si="1649"/>
        <v>5.2780327698937601E-3</v>
      </c>
      <c r="BH276" s="84">
        <f t="shared" si="1649"/>
        <v>1.0167549684452581E-2</v>
      </c>
      <c r="BI276" s="84">
        <f t="shared" si="1649"/>
        <v>7.570620250182003E-2</v>
      </c>
      <c r="BJ276" s="84">
        <f t="shared" ref="BJ276:BK276" si="1650">BJ275</f>
        <v>1.8594185474916314E-2</v>
      </c>
      <c r="BK276" s="801">
        <f t="shared" si="1650"/>
        <v>3.4627687766947204E-2</v>
      </c>
      <c r="BL276" s="305">
        <f t="shared" ref="BL276:BP276" si="1651">BL277+$CY276</f>
        <v>5.0999999999999997E-2</v>
      </c>
      <c r="BM276" s="305">
        <f t="shared" si="1651"/>
        <v>5.0999999999999997E-2</v>
      </c>
      <c r="BN276" s="305">
        <f t="shared" si="1651"/>
        <v>4.4999999999999998E-2</v>
      </c>
      <c r="BO276" s="305">
        <f t="shared" si="1651"/>
        <v>0.04</v>
      </c>
      <c r="BP276" s="305">
        <f t="shared" si="1651"/>
        <v>0.04</v>
      </c>
      <c r="BQ276" s="305">
        <f t="shared" ref="BQ276:BY276" si="1652">BQ277+$CY276</f>
        <v>0.04</v>
      </c>
      <c r="BR276" s="305">
        <f t="shared" si="1652"/>
        <v>4.5999999999999999E-2</v>
      </c>
      <c r="BS276" s="305">
        <f t="shared" si="1652"/>
        <v>4.1000000000000002E-2</v>
      </c>
      <c r="BT276" s="305">
        <f t="shared" si="1652"/>
        <v>4.1000000000000002E-2</v>
      </c>
      <c r="BU276" s="305">
        <f t="shared" si="1652"/>
        <v>4.1000000000000002E-2</v>
      </c>
      <c r="BV276" s="305">
        <f t="shared" si="1652"/>
        <v>4.7E-2</v>
      </c>
      <c r="BW276" s="305">
        <f t="shared" si="1652"/>
        <v>4.2000000000000003E-2</v>
      </c>
      <c r="BX276" s="305">
        <f t="shared" si="1652"/>
        <v>4.2000000000000003E-2</v>
      </c>
      <c r="BY276" s="305">
        <f t="shared" si="1652"/>
        <v>4.2000000000000003E-2</v>
      </c>
      <c r="BZ276" s="305">
        <f t="shared" ref="BZ276:CU276" si="1653">BZ277+$CZ276</f>
        <v>4.7199999999999999E-2</v>
      </c>
      <c r="CA276" s="305">
        <f t="shared" si="1653"/>
        <v>4.2200000000000001E-2</v>
      </c>
      <c r="CB276" s="305">
        <f t="shared" si="1653"/>
        <v>4.2200000000000001E-2</v>
      </c>
      <c r="CC276" s="305">
        <f t="shared" si="1653"/>
        <v>4.2200000000000001E-2</v>
      </c>
      <c r="CD276" s="305">
        <f t="shared" si="1653"/>
        <v>4.9999999999999996E-2</v>
      </c>
      <c r="CE276" s="305">
        <f t="shared" si="1653"/>
        <v>4.4999999999999998E-2</v>
      </c>
      <c r="CF276" s="305">
        <f t="shared" si="1653"/>
        <v>4.4999999999999998E-2</v>
      </c>
      <c r="CG276" s="305">
        <f t="shared" si="1653"/>
        <v>4.4999999999999998E-2</v>
      </c>
      <c r="CH276" s="305">
        <f t="shared" si="1653"/>
        <v>5.2799999999999993E-2</v>
      </c>
      <c r="CI276" s="305">
        <f t="shared" si="1653"/>
        <v>4.7799999999999995E-2</v>
      </c>
      <c r="CJ276" s="305">
        <f t="shared" si="1653"/>
        <v>4.7799999999999995E-2</v>
      </c>
      <c r="CK276" s="305">
        <f t="shared" si="1653"/>
        <v>4.7799999999999995E-2</v>
      </c>
      <c r="CL276" s="305">
        <f t="shared" si="1653"/>
        <v>5.559999999999999E-2</v>
      </c>
      <c r="CM276" s="305">
        <f t="shared" si="1653"/>
        <v>5.0599999999999992E-2</v>
      </c>
      <c r="CN276" s="305">
        <f t="shared" si="1653"/>
        <v>5.0599999999999992E-2</v>
      </c>
      <c r="CO276" s="305">
        <f t="shared" si="1653"/>
        <v>5.0599999999999992E-2</v>
      </c>
      <c r="CP276" s="305">
        <f t="shared" si="1653"/>
        <v>5.8399999999999987E-2</v>
      </c>
      <c r="CQ276" s="305">
        <f t="shared" si="1653"/>
        <v>5.3399999999999989E-2</v>
      </c>
      <c r="CR276" s="305">
        <f t="shared" si="1653"/>
        <v>5.3399999999999989E-2</v>
      </c>
      <c r="CS276" s="305">
        <f t="shared" si="1653"/>
        <v>5.3399999999999989E-2</v>
      </c>
      <c r="CT276" s="305">
        <f t="shared" si="1653"/>
        <v>6.1199999999999984E-2</v>
      </c>
      <c r="CU276" s="305">
        <f t="shared" si="1653"/>
        <v>5.6199999999999986E-2</v>
      </c>
      <c r="CV276" s="305">
        <f t="shared" ref="CV276:CW276" si="1654">CV277+$CZ276</f>
        <v>5.6199999999999986E-2</v>
      </c>
      <c r="CW276" s="305">
        <f t="shared" si="1654"/>
        <v>5.6199999999999986E-2</v>
      </c>
      <c r="CX276" s="269"/>
      <c r="CY276" s="559">
        <v>0</v>
      </c>
      <c r="CZ276" s="559">
        <v>-2.5999999999999999E-3</v>
      </c>
      <c r="DA276" s="9" t="s">
        <v>1550</v>
      </c>
    </row>
    <row r="277" spans="1:106">
      <c r="A277" s="42" t="s">
        <v>200</v>
      </c>
      <c r="B277" s="392"/>
      <c r="C277" s="392"/>
      <c r="D277" s="392"/>
      <c r="E277" s="394"/>
      <c r="F277" s="84">
        <f>F275</f>
        <v>1.1652920244028813E-3</v>
      </c>
      <c r="G277" s="84">
        <f>G275</f>
        <v>6.6744376240365499E-3</v>
      </c>
      <c r="H277" s="84">
        <f>H275</f>
        <v>7.0495159181071972E-3</v>
      </c>
      <c r="I277" s="84">
        <f>I275</f>
        <v>4.7976208645100615E-3</v>
      </c>
      <c r="J277" s="84">
        <f t="shared" ref="J277:AA277" si="1655">J275</f>
        <v>2.2060203342534702E-2</v>
      </c>
      <c r="K277" s="84">
        <f t="shared" si="1655"/>
        <v>3.1470265665002529E-2</v>
      </c>
      <c r="L277" s="84">
        <f t="shared" si="1655"/>
        <v>8.8118200073678717E-3</v>
      </c>
      <c r="M277" s="84">
        <f t="shared" si="1655"/>
        <v>3.3246561792364096E-3</v>
      </c>
      <c r="N277" s="84">
        <f t="shared" si="1655"/>
        <v>1.5835530011667429E-4</v>
      </c>
      <c r="O277" s="84">
        <f t="shared" si="1655"/>
        <v>1.6968253347520647E-3</v>
      </c>
      <c r="P277" s="84">
        <f t="shared" si="1655"/>
        <v>2.4695613244664011E-3</v>
      </c>
      <c r="Q277" s="84">
        <f t="shared" si="1655"/>
        <v>6.9092892909831879E-3</v>
      </c>
      <c r="R277" s="84">
        <f t="shared" si="1655"/>
        <v>7.3672054340041884E-3</v>
      </c>
      <c r="S277" s="84">
        <f t="shared" si="1655"/>
        <v>-2.4553352106865793E-4</v>
      </c>
      <c r="T277" s="84">
        <f t="shared" si="1655"/>
        <v>-2.7714309020241174E-3</v>
      </c>
      <c r="U277" s="84">
        <f t="shared" si="1655"/>
        <v>2.6389910021671105E-3</v>
      </c>
      <c r="V277" s="84">
        <f t="shared" si="1655"/>
        <v>2.3069331038096858E-3</v>
      </c>
      <c r="W277" s="84">
        <f t="shared" si="1655"/>
        <v>1.1439279991297867E-2</v>
      </c>
      <c r="X277" s="84">
        <f t="shared" si="1655"/>
        <v>7.0714069600018997E-3</v>
      </c>
      <c r="Y277" s="84">
        <f t="shared" si="1655"/>
        <v>3.1583594397652501E-2</v>
      </c>
      <c r="Z277" s="84">
        <f t="shared" si="1655"/>
        <v>7.7627710391580691E-3</v>
      </c>
      <c r="AA277" s="84">
        <f t="shared" si="1655"/>
        <v>4.2975845220178159E-2</v>
      </c>
      <c r="AB277" s="84">
        <f t="shared" ref="AB277:AM277" si="1656">AB275</f>
        <v>2.7113627128338282E-2</v>
      </c>
      <c r="AC277" s="84">
        <f t="shared" si="1656"/>
        <v>4.1462036101170066E-2</v>
      </c>
      <c r="AD277" s="84">
        <f t="shared" si="1656"/>
        <v>2.5048945723136914E-2</v>
      </c>
      <c r="AE277" s="84">
        <f t="shared" si="1656"/>
        <v>2.9225808024384129E-2</v>
      </c>
      <c r="AF277" s="84">
        <f t="shared" si="1656"/>
        <v>2.0238607979350943E-2</v>
      </c>
      <c r="AG277" s="84">
        <f t="shared" si="1656"/>
        <v>7.6298753613843653E-2</v>
      </c>
      <c r="AH277" s="84">
        <f t="shared" si="1656"/>
        <v>1.128246628436458E-2</v>
      </c>
      <c r="AI277" s="84">
        <f t="shared" si="1656"/>
        <v>5.7309089756073871E-2</v>
      </c>
      <c r="AJ277" s="84">
        <f t="shared" si="1656"/>
        <v>2.8192729334015822E-2</v>
      </c>
      <c r="AK277" s="84">
        <f t="shared" si="1656"/>
        <v>5.7197175236765763E-2</v>
      </c>
      <c r="AL277" s="84">
        <f t="shared" si="1656"/>
        <v>1.8691505717804317E-2</v>
      </c>
      <c r="AM277" s="84">
        <f t="shared" si="1656"/>
        <v>1.9167675304277744E-2</v>
      </c>
      <c r="AN277" s="84">
        <f t="shared" ref="AN277:AS277" si="1657">AN275</f>
        <v>3.7689253191713061E-2</v>
      </c>
      <c r="AO277" s="84">
        <f t="shared" si="1657"/>
        <v>2.6834641771673839E-2</v>
      </c>
      <c r="AP277" s="84">
        <f t="shared" si="1657"/>
        <v>8.9976471426939462E-3</v>
      </c>
      <c r="AQ277" s="84">
        <f t="shared" si="1657"/>
        <v>1.7528015600522803E-2</v>
      </c>
      <c r="AR277" s="84">
        <f t="shared" si="1657"/>
        <v>2.0277640442560398E-2</v>
      </c>
      <c r="AS277" s="84">
        <f t="shared" si="1657"/>
        <v>3.8326381535707436E-2</v>
      </c>
      <c r="AT277" s="84">
        <f t="shared" ref="AT277:BC277" si="1658">AT275</f>
        <v>1.4726460521978771E-2</v>
      </c>
      <c r="AU277" s="84">
        <f t="shared" si="1658"/>
        <v>4.5462056182864329E-2</v>
      </c>
      <c r="AV277" s="84">
        <f t="shared" si="1658"/>
        <v>1.3531156226485562E-2</v>
      </c>
      <c r="AW277" s="84">
        <f t="shared" si="1658"/>
        <v>2.114459140337191E-2</v>
      </c>
      <c r="AX277" s="84">
        <f t="shared" si="1658"/>
        <v>1.9843928061440027E-2</v>
      </c>
      <c r="AY277" s="84">
        <f t="shared" si="1658"/>
        <v>2.6212198117423483E-2</v>
      </c>
      <c r="AZ277" s="84">
        <f t="shared" si="1658"/>
        <v>2.3475153197655158E-2</v>
      </c>
      <c r="BA277" s="84">
        <f t="shared" si="1658"/>
        <v>4.457839625983856E-2</v>
      </c>
      <c r="BB277" s="84">
        <f t="shared" si="1658"/>
        <v>2.1440621274791138E-2</v>
      </c>
      <c r="BC277" s="84">
        <f t="shared" si="1658"/>
        <v>2.9125685218270973E-2</v>
      </c>
      <c r="BD277" s="84">
        <f t="shared" ref="BD277:BI277" si="1659">BD275</f>
        <v>1.9918650092338373E-2</v>
      </c>
      <c r="BE277" s="84">
        <f t="shared" si="1659"/>
        <v>3.7116707201171974E-2</v>
      </c>
      <c r="BF277" s="84">
        <f t="shared" si="1659"/>
        <v>7.2543220749288137E-3</v>
      </c>
      <c r="BG277" s="84">
        <f t="shared" si="1659"/>
        <v>5.2780327698937601E-3</v>
      </c>
      <c r="BH277" s="84">
        <f t="shared" si="1659"/>
        <v>1.0167549684452581E-2</v>
      </c>
      <c r="BI277" s="84">
        <f t="shared" si="1659"/>
        <v>7.570620250182003E-2</v>
      </c>
      <c r="BJ277" s="84">
        <f t="shared" ref="BJ277:BK277" si="1660">BJ275</f>
        <v>1.8594185474916314E-2</v>
      </c>
      <c r="BK277" s="801">
        <f t="shared" si="1660"/>
        <v>3.4627687766947204E-2</v>
      </c>
      <c r="BL277" s="1879">
        <v>5.0999999999999997E-2</v>
      </c>
      <c r="BM277" s="1879">
        <v>5.0999999999999997E-2</v>
      </c>
      <c r="BN277" s="1879">
        <v>4.4999999999999998E-2</v>
      </c>
      <c r="BO277" s="1879">
        <v>0.04</v>
      </c>
      <c r="BP277" s="560">
        <v>0.04</v>
      </c>
      <c r="BQ277" s="560">
        <v>0.04</v>
      </c>
      <c r="BR277" s="560">
        <f t="shared" ref="BR277:BY277" si="1661">BN277+$CY$277</f>
        <v>4.5999999999999999E-2</v>
      </c>
      <c r="BS277" s="560">
        <f t="shared" si="1661"/>
        <v>4.1000000000000002E-2</v>
      </c>
      <c r="BT277" s="560">
        <f t="shared" si="1661"/>
        <v>4.1000000000000002E-2</v>
      </c>
      <c r="BU277" s="560">
        <f t="shared" si="1661"/>
        <v>4.1000000000000002E-2</v>
      </c>
      <c r="BV277" s="560">
        <f t="shared" si="1661"/>
        <v>4.7E-2</v>
      </c>
      <c r="BW277" s="560">
        <f t="shared" si="1661"/>
        <v>4.2000000000000003E-2</v>
      </c>
      <c r="BX277" s="560">
        <f t="shared" si="1661"/>
        <v>4.2000000000000003E-2</v>
      </c>
      <c r="BY277" s="560">
        <f t="shared" si="1661"/>
        <v>4.2000000000000003E-2</v>
      </c>
      <c r="BZ277" s="1953">
        <f>BV277+$CZ$277</f>
        <v>4.9799999999999997E-2</v>
      </c>
      <c r="CA277" s="560">
        <f t="shared" ref="CA277:CW277" si="1662">BW277+$CZ$277</f>
        <v>4.48E-2</v>
      </c>
      <c r="CB277" s="560">
        <f t="shared" si="1662"/>
        <v>4.48E-2</v>
      </c>
      <c r="CC277" s="560">
        <f t="shared" si="1662"/>
        <v>4.48E-2</v>
      </c>
      <c r="CD277" s="560">
        <f t="shared" si="1662"/>
        <v>5.2599999999999994E-2</v>
      </c>
      <c r="CE277" s="560">
        <f t="shared" si="1662"/>
        <v>4.7599999999999996E-2</v>
      </c>
      <c r="CF277" s="560">
        <f t="shared" si="1662"/>
        <v>4.7599999999999996E-2</v>
      </c>
      <c r="CG277" s="560">
        <f t="shared" si="1662"/>
        <v>4.7599999999999996E-2</v>
      </c>
      <c r="CH277" s="560">
        <f t="shared" si="1662"/>
        <v>5.5399999999999991E-2</v>
      </c>
      <c r="CI277" s="560">
        <f t="shared" si="1662"/>
        <v>5.0399999999999993E-2</v>
      </c>
      <c r="CJ277" s="560">
        <f t="shared" si="1662"/>
        <v>5.0399999999999993E-2</v>
      </c>
      <c r="CK277" s="560">
        <f t="shared" si="1662"/>
        <v>5.0399999999999993E-2</v>
      </c>
      <c r="CL277" s="560">
        <f t="shared" si="1662"/>
        <v>5.8199999999999988E-2</v>
      </c>
      <c r="CM277" s="560">
        <f t="shared" si="1662"/>
        <v>5.319999999999999E-2</v>
      </c>
      <c r="CN277" s="560">
        <f t="shared" si="1662"/>
        <v>5.319999999999999E-2</v>
      </c>
      <c r="CO277" s="560">
        <f t="shared" si="1662"/>
        <v>5.319999999999999E-2</v>
      </c>
      <c r="CP277" s="560">
        <f t="shared" si="1662"/>
        <v>6.0999999999999985E-2</v>
      </c>
      <c r="CQ277" s="560">
        <f t="shared" si="1662"/>
        <v>5.5999999999999987E-2</v>
      </c>
      <c r="CR277" s="560">
        <f t="shared" si="1662"/>
        <v>5.5999999999999987E-2</v>
      </c>
      <c r="CS277" s="560">
        <f t="shared" si="1662"/>
        <v>5.5999999999999987E-2</v>
      </c>
      <c r="CT277" s="560">
        <f t="shared" si="1662"/>
        <v>6.3799999999999982E-2</v>
      </c>
      <c r="CU277" s="560">
        <f t="shared" si="1662"/>
        <v>5.8799999999999984E-2</v>
      </c>
      <c r="CV277" s="560">
        <f t="shared" si="1662"/>
        <v>5.8799999999999984E-2</v>
      </c>
      <c r="CW277" s="560">
        <f t="shared" si="1662"/>
        <v>5.8799999999999984E-2</v>
      </c>
      <c r="CX277" s="269"/>
      <c r="CY277" s="1771">
        <v>1E-3</v>
      </c>
      <c r="CZ277" s="1449">
        <v>2.8E-3</v>
      </c>
      <c r="DA277" s="9" t="s">
        <v>1362</v>
      </c>
      <c r="DB277" s="2004"/>
    </row>
    <row r="278" spans="1:106">
      <c r="A278" s="42" t="s">
        <v>202</v>
      </c>
      <c r="B278" s="392"/>
      <c r="C278" s="392"/>
      <c r="D278" s="392"/>
      <c r="E278" s="394"/>
      <c r="F278" s="84">
        <f>F275</f>
        <v>1.1652920244028813E-3</v>
      </c>
      <c r="G278" s="84">
        <f>G275</f>
        <v>6.6744376240365499E-3</v>
      </c>
      <c r="H278" s="84">
        <f>H275</f>
        <v>7.0495159181071972E-3</v>
      </c>
      <c r="I278" s="84">
        <f>I275</f>
        <v>4.7976208645100615E-3</v>
      </c>
      <c r="J278" s="84">
        <f t="shared" ref="J278:AA278" si="1663">J275</f>
        <v>2.2060203342534702E-2</v>
      </c>
      <c r="K278" s="84">
        <f t="shared" si="1663"/>
        <v>3.1470265665002529E-2</v>
      </c>
      <c r="L278" s="84">
        <f t="shared" si="1663"/>
        <v>8.8118200073678717E-3</v>
      </c>
      <c r="M278" s="84">
        <f t="shared" si="1663"/>
        <v>3.3246561792364096E-3</v>
      </c>
      <c r="N278" s="84">
        <f t="shared" si="1663"/>
        <v>1.5835530011667429E-4</v>
      </c>
      <c r="O278" s="84">
        <f t="shared" si="1663"/>
        <v>1.6968253347520647E-3</v>
      </c>
      <c r="P278" s="84">
        <f t="shared" si="1663"/>
        <v>2.4695613244664011E-3</v>
      </c>
      <c r="Q278" s="84">
        <f t="shared" si="1663"/>
        <v>6.9092892909831879E-3</v>
      </c>
      <c r="R278" s="84">
        <f t="shared" si="1663"/>
        <v>7.3672054340041884E-3</v>
      </c>
      <c r="S278" s="84">
        <f t="shared" si="1663"/>
        <v>-2.4553352106865793E-4</v>
      </c>
      <c r="T278" s="84">
        <f t="shared" si="1663"/>
        <v>-2.7714309020241174E-3</v>
      </c>
      <c r="U278" s="84">
        <f t="shared" si="1663"/>
        <v>2.6389910021671105E-3</v>
      </c>
      <c r="V278" s="84">
        <f t="shared" si="1663"/>
        <v>2.3069331038096858E-3</v>
      </c>
      <c r="W278" s="84">
        <f t="shared" si="1663"/>
        <v>1.1439279991297867E-2</v>
      </c>
      <c r="X278" s="84">
        <f t="shared" si="1663"/>
        <v>7.0714069600018997E-3</v>
      </c>
      <c r="Y278" s="84">
        <f t="shared" si="1663"/>
        <v>3.1583594397652501E-2</v>
      </c>
      <c r="Z278" s="84">
        <f t="shared" si="1663"/>
        <v>7.7627710391580691E-3</v>
      </c>
      <c r="AA278" s="84">
        <f t="shared" si="1663"/>
        <v>4.2975845220178159E-2</v>
      </c>
      <c r="AB278" s="84">
        <f t="shared" ref="AB278:AM278" si="1664">AB275</f>
        <v>2.7113627128338282E-2</v>
      </c>
      <c r="AC278" s="84">
        <f t="shared" si="1664"/>
        <v>4.1462036101170066E-2</v>
      </c>
      <c r="AD278" s="84">
        <f t="shared" si="1664"/>
        <v>2.5048945723136914E-2</v>
      </c>
      <c r="AE278" s="84">
        <f t="shared" si="1664"/>
        <v>2.9225808024384129E-2</v>
      </c>
      <c r="AF278" s="84">
        <f t="shared" si="1664"/>
        <v>2.0238607979350943E-2</v>
      </c>
      <c r="AG278" s="84">
        <f t="shared" si="1664"/>
        <v>7.6298753613843653E-2</v>
      </c>
      <c r="AH278" s="84">
        <f t="shared" si="1664"/>
        <v>1.128246628436458E-2</v>
      </c>
      <c r="AI278" s="84">
        <f t="shared" si="1664"/>
        <v>5.7309089756073871E-2</v>
      </c>
      <c r="AJ278" s="84">
        <f t="shared" si="1664"/>
        <v>2.8192729334015822E-2</v>
      </c>
      <c r="AK278" s="84">
        <f t="shared" si="1664"/>
        <v>5.7197175236765763E-2</v>
      </c>
      <c r="AL278" s="84">
        <f t="shared" si="1664"/>
        <v>1.8691505717804317E-2</v>
      </c>
      <c r="AM278" s="84">
        <f t="shared" si="1664"/>
        <v>1.9167675304277744E-2</v>
      </c>
      <c r="AN278" s="84">
        <f t="shared" ref="AN278:AS278" si="1665">AN275</f>
        <v>3.7689253191713061E-2</v>
      </c>
      <c r="AO278" s="84">
        <f t="shared" si="1665"/>
        <v>2.6834641771673839E-2</v>
      </c>
      <c r="AP278" s="84">
        <f t="shared" si="1665"/>
        <v>8.9976471426939462E-3</v>
      </c>
      <c r="AQ278" s="84">
        <f t="shared" si="1665"/>
        <v>1.7528015600522803E-2</v>
      </c>
      <c r="AR278" s="84">
        <f t="shared" si="1665"/>
        <v>2.0277640442560398E-2</v>
      </c>
      <c r="AS278" s="84">
        <f t="shared" si="1665"/>
        <v>3.8326381535707436E-2</v>
      </c>
      <c r="AT278" s="84">
        <f t="shared" ref="AT278:BC278" si="1666">AT275</f>
        <v>1.4726460521978771E-2</v>
      </c>
      <c r="AU278" s="84">
        <f t="shared" si="1666"/>
        <v>4.5462056182864329E-2</v>
      </c>
      <c r="AV278" s="84">
        <f t="shared" si="1666"/>
        <v>1.3531156226485562E-2</v>
      </c>
      <c r="AW278" s="84">
        <f t="shared" si="1666"/>
        <v>2.114459140337191E-2</v>
      </c>
      <c r="AX278" s="84">
        <f t="shared" si="1666"/>
        <v>1.9843928061440027E-2</v>
      </c>
      <c r="AY278" s="84">
        <f t="shared" si="1666"/>
        <v>2.6212198117423483E-2</v>
      </c>
      <c r="AZ278" s="84">
        <f t="shared" si="1666"/>
        <v>2.3475153197655158E-2</v>
      </c>
      <c r="BA278" s="84">
        <f t="shared" si="1666"/>
        <v>4.457839625983856E-2</v>
      </c>
      <c r="BB278" s="84">
        <f t="shared" si="1666"/>
        <v>2.1440621274791138E-2</v>
      </c>
      <c r="BC278" s="84">
        <f t="shared" si="1666"/>
        <v>2.9125685218270973E-2</v>
      </c>
      <c r="BD278" s="84">
        <f t="shared" ref="BD278:BI278" si="1667">BD275</f>
        <v>1.9918650092338373E-2</v>
      </c>
      <c r="BE278" s="84">
        <f t="shared" si="1667"/>
        <v>3.7116707201171974E-2</v>
      </c>
      <c r="BF278" s="84">
        <f t="shared" si="1667"/>
        <v>7.2543220749288137E-3</v>
      </c>
      <c r="BG278" s="84">
        <f t="shared" si="1667"/>
        <v>5.2780327698937601E-3</v>
      </c>
      <c r="BH278" s="84">
        <f t="shared" si="1667"/>
        <v>1.0167549684452581E-2</v>
      </c>
      <c r="BI278" s="84">
        <f t="shared" si="1667"/>
        <v>7.570620250182003E-2</v>
      </c>
      <c r="BJ278" s="84">
        <f t="shared" ref="BJ278:BK278" si="1668">BJ275</f>
        <v>1.8594185474916314E-2</v>
      </c>
      <c r="BK278" s="801">
        <f t="shared" si="1668"/>
        <v>3.4627687766947204E-2</v>
      </c>
      <c r="BL278" s="305">
        <f t="shared" ref="BL278:BP278" si="1669">+BL277+$CY278</f>
        <v>4.2999999999999997E-2</v>
      </c>
      <c r="BM278" s="305">
        <f t="shared" si="1669"/>
        <v>4.2999999999999997E-2</v>
      </c>
      <c r="BN278" s="305">
        <f t="shared" si="1669"/>
        <v>3.6999999999999998E-2</v>
      </c>
      <c r="BO278" s="305">
        <f t="shared" si="1669"/>
        <v>3.2000000000000001E-2</v>
      </c>
      <c r="BP278" s="305">
        <f t="shared" si="1669"/>
        <v>3.2000000000000001E-2</v>
      </c>
      <c r="BQ278" s="305">
        <f t="shared" ref="BQ278:BY278" si="1670">+BQ277+$CY278</f>
        <v>3.2000000000000001E-2</v>
      </c>
      <c r="BR278" s="305">
        <f t="shared" si="1670"/>
        <v>3.7999999999999999E-2</v>
      </c>
      <c r="BS278" s="305">
        <f t="shared" si="1670"/>
        <v>3.3000000000000002E-2</v>
      </c>
      <c r="BT278" s="305">
        <f t="shared" si="1670"/>
        <v>3.3000000000000002E-2</v>
      </c>
      <c r="BU278" s="305">
        <f t="shared" si="1670"/>
        <v>3.3000000000000002E-2</v>
      </c>
      <c r="BV278" s="305">
        <f t="shared" si="1670"/>
        <v>3.9E-2</v>
      </c>
      <c r="BW278" s="305">
        <f t="shared" si="1670"/>
        <v>3.4000000000000002E-2</v>
      </c>
      <c r="BX278" s="305">
        <f t="shared" si="1670"/>
        <v>3.4000000000000002E-2</v>
      </c>
      <c r="BY278" s="305">
        <f t="shared" si="1670"/>
        <v>3.4000000000000002E-2</v>
      </c>
      <c r="BZ278" s="305">
        <f t="shared" ref="BZ278:CU278" si="1671">+BZ277+$CZ278</f>
        <v>4.9799999999999997E-2</v>
      </c>
      <c r="CA278" s="305">
        <f t="shared" si="1671"/>
        <v>4.48E-2</v>
      </c>
      <c r="CB278" s="305">
        <f t="shared" si="1671"/>
        <v>4.48E-2</v>
      </c>
      <c r="CC278" s="305">
        <f t="shared" si="1671"/>
        <v>4.48E-2</v>
      </c>
      <c r="CD278" s="305">
        <f t="shared" si="1671"/>
        <v>5.2599999999999994E-2</v>
      </c>
      <c r="CE278" s="305">
        <f t="shared" si="1671"/>
        <v>4.7599999999999996E-2</v>
      </c>
      <c r="CF278" s="305">
        <f t="shared" si="1671"/>
        <v>4.7599999999999996E-2</v>
      </c>
      <c r="CG278" s="305">
        <f t="shared" si="1671"/>
        <v>4.7599999999999996E-2</v>
      </c>
      <c r="CH278" s="305">
        <f t="shared" si="1671"/>
        <v>5.5399999999999991E-2</v>
      </c>
      <c r="CI278" s="305">
        <f t="shared" si="1671"/>
        <v>5.0399999999999993E-2</v>
      </c>
      <c r="CJ278" s="305">
        <f t="shared" si="1671"/>
        <v>5.0399999999999993E-2</v>
      </c>
      <c r="CK278" s="305">
        <f t="shared" si="1671"/>
        <v>5.0399999999999993E-2</v>
      </c>
      <c r="CL278" s="305">
        <f t="shared" si="1671"/>
        <v>5.8199999999999988E-2</v>
      </c>
      <c r="CM278" s="305">
        <f t="shared" si="1671"/>
        <v>5.319999999999999E-2</v>
      </c>
      <c r="CN278" s="305">
        <f t="shared" si="1671"/>
        <v>5.319999999999999E-2</v>
      </c>
      <c r="CO278" s="305">
        <f t="shared" si="1671"/>
        <v>5.319999999999999E-2</v>
      </c>
      <c r="CP278" s="305">
        <f t="shared" si="1671"/>
        <v>6.0999999999999985E-2</v>
      </c>
      <c r="CQ278" s="305">
        <f t="shared" si="1671"/>
        <v>5.5999999999999987E-2</v>
      </c>
      <c r="CR278" s="305">
        <f t="shared" si="1671"/>
        <v>5.5999999999999987E-2</v>
      </c>
      <c r="CS278" s="305">
        <f t="shared" si="1671"/>
        <v>5.5999999999999987E-2</v>
      </c>
      <c r="CT278" s="305">
        <f t="shared" si="1671"/>
        <v>6.3799999999999982E-2</v>
      </c>
      <c r="CU278" s="305">
        <f t="shared" si="1671"/>
        <v>5.8799999999999984E-2</v>
      </c>
      <c r="CV278" s="305">
        <f t="shared" ref="CV278:CW278" si="1672">+CV277+$CZ278</f>
        <v>5.8799999999999984E-2</v>
      </c>
      <c r="CW278" s="305">
        <f t="shared" si="1672"/>
        <v>5.8799999999999984E-2</v>
      </c>
      <c r="CX278" s="269"/>
      <c r="CY278" s="559">
        <v>-8.0000000000000002E-3</v>
      </c>
      <c r="CZ278" s="559">
        <v>0</v>
      </c>
      <c r="DA278" s="9" t="s">
        <v>1626</v>
      </c>
      <c r="DB278" s="2004"/>
    </row>
    <row r="279" spans="1:106">
      <c r="A279" s="91"/>
      <c r="B279" s="388"/>
      <c r="C279" s="388"/>
      <c r="D279" s="388"/>
      <c r="E279" s="388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574"/>
      <c r="AN279" s="574"/>
      <c r="AO279" s="574"/>
      <c r="AP279" s="574"/>
      <c r="AQ279" s="305"/>
      <c r="AR279" s="305"/>
      <c r="AS279" s="305"/>
      <c r="AT279" s="305"/>
      <c r="AU279" s="305"/>
      <c r="AV279" s="305"/>
      <c r="AW279" s="305"/>
      <c r="AX279" s="305"/>
      <c r="AY279" s="305"/>
      <c r="AZ279" s="305"/>
      <c r="BA279" s="305"/>
      <c r="BB279" s="305"/>
      <c r="BC279" s="305"/>
      <c r="BD279" s="305"/>
      <c r="BE279" s="305"/>
      <c r="BF279" s="305"/>
      <c r="BG279" s="305"/>
      <c r="BH279" s="305"/>
      <c r="BI279" s="305"/>
      <c r="BJ279" s="305"/>
      <c r="BK279" s="1870"/>
      <c r="BL279" s="305"/>
      <c r="BM279" s="305"/>
      <c r="BN279" s="305"/>
      <c r="BO279" s="305"/>
      <c r="BP279" s="305"/>
      <c r="BQ279" s="305"/>
      <c r="BR279" s="305"/>
      <c r="BS279" s="305"/>
      <c r="BT279" s="305"/>
      <c r="BU279" s="305"/>
      <c r="BV279" s="305"/>
      <c r="BW279" s="305"/>
      <c r="BX279" s="305"/>
      <c r="BY279" s="305"/>
      <c r="BZ279" s="305"/>
      <c r="CA279" s="305"/>
      <c r="CB279" s="305"/>
      <c r="CC279" s="305"/>
      <c r="CD279" s="305"/>
      <c r="CE279" s="305"/>
      <c r="CF279" s="305"/>
      <c r="CG279" s="305"/>
      <c r="CH279" s="305"/>
      <c r="CI279" s="305"/>
      <c r="CJ279" s="305"/>
      <c r="CK279" s="305"/>
      <c r="CL279" s="305"/>
      <c r="CM279" s="305"/>
      <c r="CN279" s="305"/>
      <c r="CO279" s="305"/>
      <c r="CP279" s="305"/>
      <c r="CQ279" s="305"/>
      <c r="CR279" s="305"/>
      <c r="CS279" s="305"/>
      <c r="CT279" s="305"/>
      <c r="CU279" s="305"/>
      <c r="CV279" s="305"/>
      <c r="CW279" s="305"/>
      <c r="CX279" s="269"/>
      <c r="CY279" s="269"/>
    </row>
    <row r="280" spans="1:106">
      <c r="A280" s="43" t="s">
        <v>1312</v>
      </c>
      <c r="B280" s="397"/>
      <c r="C280" s="397"/>
      <c r="D280" s="397"/>
      <c r="E280" s="397"/>
      <c r="F280" s="330">
        <f>Q_BS!F52</f>
        <v>0.95373880998476324</v>
      </c>
      <c r="G280" s="330">
        <f>Q_BS!G52</f>
        <v>0.17083908746398785</v>
      </c>
      <c r="H280" s="330">
        <f>Q_BS!H52</f>
        <v>0.6404196248373647</v>
      </c>
      <c r="I280" s="330">
        <f>Q_BS!I52</f>
        <v>1.1159129435146036</v>
      </c>
      <c r="J280" s="330">
        <f>Q_BS!J52</f>
        <v>1.1300826227524539</v>
      </c>
      <c r="K280" s="330">
        <f>Q_BS!K52</f>
        <v>0.57569324075308659</v>
      </c>
      <c r="L280" s="330">
        <f>Q_BS!L52</f>
        <v>1.2699795877815707</v>
      </c>
      <c r="M280" s="330">
        <f>Q_BS!M52</f>
        <v>1.1566653412109977</v>
      </c>
      <c r="N280" s="330">
        <f>Q_BS!N52</f>
        <v>0.97115423507851573</v>
      </c>
      <c r="O280" s="330">
        <f>Q_BS!O52</f>
        <v>0.25324040703565276</v>
      </c>
      <c r="P280" s="330">
        <f>Q_BS!P52</f>
        <v>0.48500385733784362</v>
      </c>
      <c r="Q280" s="330">
        <f>Q_BS!Q52</f>
        <v>0.29601436034632161</v>
      </c>
      <c r="R280" s="330">
        <f>Q_BS!R52</f>
        <v>0.66087343477669735</v>
      </c>
      <c r="S280" s="330">
        <f>Q_BS!S52</f>
        <v>4.189296796141913</v>
      </c>
      <c r="T280" s="330">
        <f>Q_BS!T52</f>
        <v>-1.971830385680801</v>
      </c>
      <c r="U280" s="330">
        <f>Q_BS!U52</f>
        <v>0.39015675334329852</v>
      </c>
      <c r="V280" s="330">
        <f>Q_BS!V52</f>
        <v>1.085644729803388</v>
      </c>
      <c r="W280" s="330">
        <f>Q_BS!W52</f>
        <v>0.35256880714141575</v>
      </c>
      <c r="X280" s="330">
        <f>Q_BS!X52</f>
        <v>1.961963102047579</v>
      </c>
      <c r="Y280" s="330">
        <f>Q_BS!Y52</f>
        <v>1.8565207817923537</v>
      </c>
      <c r="Z280" s="330">
        <f>Q_BS!Z52</f>
        <v>1.2519030541409055</v>
      </c>
      <c r="AA280" s="330">
        <f>Q_BS!AA52</f>
        <v>1.417548772640784</v>
      </c>
      <c r="AB280" s="330">
        <f>Q_BS!AB52</f>
        <v>0.80623690910561396</v>
      </c>
      <c r="AC280" s="330">
        <f>Q_BS!AC52</f>
        <v>0.52043486457952748</v>
      </c>
      <c r="AD280" s="330">
        <f>Q_BS!AD52</f>
        <v>1.2168086026004834</v>
      </c>
      <c r="AE280" s="330">
        <f>Q_BS!AE52</f>
        <v>0.32024023617177977</v>
      </c>
      <c r="AF280" s="330">
        <f>Q_BS!AF52</f>
        <v>0.60430513123939456</v>
      </c>
      <c r="AG280" s="330">
        <f>Q_BS!AG52</f>
        <v>0.43347246089296426</v>
      </c>
      <c r="AH280" s="330">
        <f>Q_BS!AH52</f>
        <v>0.41960899768247256</v>
      </c>
      <c r="AI280" s="330">
        <f>Q_BS!AI52</f>
        <v>0.98456972200719184</v>
      </c>
      <c r="AJ280" s="330">
        <f>Q_BS!AJ52</f>
        <v>0.93534574831447692</v>
      </c>
      <c r="AK280" s="330">
        <f>Q_BS!AK52</f>
        <v>0.32411046187432768</v>
      </c>
      <c r="AL280" s="330">
        <f>Q_BS!AL52</f>
        <v>0.33930456405866566</v>
      </c>
      <c r="AM280" s="330">
        <f>Q_BS!AM52</f>
        <v>0.17279200461789926</v>
      </c>
      <c r="AN280" s="330">
        <f>Q_BS!AN52</f>
        <v>0.88159692702903214</v>
      </c>
      <c r="AO280" s="330">
        <f>Q_BS!AO52</f>
        <v>0.19027431955692783</v>
      </c>
      <c r="AP280" s="330">
        <f>Q_BS!AP52</f>
        <v>0.41703153770498641</v>
      </c>
      <c r="AQ280" s="330">
        <f>Q_BS!AQ52</f>
        <v>0.2533534239944577</v>
      </c>
      <c r="AR280" s="330">
        <f>Q_BS!AR52</f>
        <v>0.15882281364675108</v>
      </c>
      <c r="AS280" s="330">
        <f>Q_BS!AS52</f>
        <v>0.29580101060992647</v>
      </c>
      <c r="AT280" s="330">
        <f>Q_BS!AT52</f>
        <v>0.4208728251528146</v>
      </c>
      <c r="AU280" s="330">
        <f>Q_BS!AU52</f>
        <v>0.16414884356369364</v>
      </c>
      <c r="AV280" s="330">
        <f>Q_BS!AV52</f>
        <v>0.14512686491411753</v>
      </c>
      <c r="AW280" s="330">
        <f>Q_BS!AW52</f>
        <v>0.23708992352934152</v>
      </c>
      <c r="AX280" s="330">
        <f>Q_BS!AX52</f>
        <v>9.7945255603047579E-2</v>
      </c>
      <c r="AY280" s="330">
        <f>Q_BS!AY52</f>
        <v>8.2538418420315077E-2</v>
      </c>
      <c r="AZ280" s="330">
        <f>Q_BS!AZ52</f>
        <v>6.4510489985967132E-2</v>
      </c>
      <c r="BA280" s="330">
        <f>Q_BS!BA52</f>
        <v>1.303566949925397</v>
      </c>
      <c r="BB280" s="330">
        <f>Q_BS!BB52</f>
        <v>0.26043221909350395</v>
      </c>
      <c r="BC280" s="330">
        <f>Q_BS!BC52</f>
        <v>4.9552310292255368E-2</v>
      </c>
      <c r="BD280" s="330">
        <f>Q_BS!BD52</f>
        <v>0.47446052733428212</v>
      </c>
      <c r="BE280" s="330">
        <f>Q_BS!BE52</f>
        <v>0.37966541344010979</v>
      </c>
      <c r="BF280" s="330">
        <f>Q_BS!BF52</f>
        <v>9.8221391613578193E-2</v>
      </c>
      <c r="BG280" s="330">
        <f>Q_BS!BG52</f>
        <v>0.39990510905525822</v>
      </c>
      <c r="BH280" s="330">
        <f>Q_BS!BH52</f>
        <v>0.14874144501474001</v>
      </c>
      <c r="BI280" s="330">
        <f>Q_BS!BI52</f>
        <v>0.46316532751799477</v>
      </c>
      <c r="BJ280" s="330">
        <f>Q_BS!BJ52</f>
        <v>0.10612707921062069</v>
      </c>
      <c r="BK280" s="1869">
        <f>Q_BS!BK52</f>
        <v>0.13349549235692482</v>
      </c>
      <c r="BL280" s="575">
        <f t="shared" ref="BL280:BQ280" si="1673">CHOOSE(MASTERSWITCH,BL281,BL282,BL283)</f>
        <v>0.14874144501474001</v>
      </c>
      <c r="BM280" s="575">
        <f t="shared" si="1673"/>
        <v>0.46316532751799477</v>
      </c>
      <c r="BN280" s="575">
        <f t="shared" si="1673"/>
        <v>0.10612707921062069</v>
      </c>
      <c r="BO280" s="575">
        <f t="shared" si="1673"/>
        <v>0.13349549235692482</v>
      </c>
      <c r="BP280" s="575">
        <f t="shared" si="1673"/>
        <v>0.14874144501474001</v>
      </c>
      <c r="BQ280" s="575">
        <f t="shared" si="1673"/>
        <v>0.46316532751799477</v>
      </c>
      <c r="BR280" s="575">
        <f t="shared" ref="BR280:CK280" si="1674">CHOOSE(MASTERSWITCH,BR281,BR282,BR283)</f>
        <v>0.10612707921062069</v>
      </c>
      <c r="BS280" s="575">
        <f t="shared" si="1674"/>
        <v>0.13349549235692482</v>
      </c>
      <c r="BT280" s="575">
        <f t="shared" si="1674"/>
        <v>0.14874144501474001</v>
      </c>
      <c r="BU280" s="575">
        <f t="shared" si="1674"/>
        <v>0.46316532751799477</v>
      </c>
      <c r="BV280" s="575">
        <f t="shared" si="1674"/>
        <v>0.10612707921062069</v>
      </c>
      <c r="BW280" s="575">
        <f t="shared" si="1674"/>
        <v>0.13349549235692482</v>
      </c>
      <c r="BX280" s="575">
        <f t="shared" si="1674"/>
        <v>0.14874144501474001</v>
      </c>
      <c r="BY280" s="575">
        <f t="shared" si="1674"/>
        <v>0.46316532751799477</v>
      </c>
      <c r="BZ280" s="575">
        <f t="shared" si="1674"/>
        <v>0.46316532751799477</v>
      </c>
      <c r="CA280" s="575">
        <f t="shared" si="1674"/>
        <v>0.46316532751799477</v>
      </c>
      <c r="CB280" s="575">
        <f t="shared" si="1674"/>
        <v>0.46316532751799477</v>
      </c>
      <c r="CC280" s="575">
        <f t="shared" si="1674"/>
        <v>0.46316532751799477</v>
      </c>
      <c r="CD280" s="575">
        <f t="shared" si="1674"/>
        <v>0.46316532751799477</v>
      </c>
      <c r="CE280" s="575">
        <f t="shared" si="1674"/>
        <v>0.46316532751799477</v>
      </c>
      <c r="CF280" s="575">
        <f t="shared" si="1674"/>
        <v>0.46316532751799477</v>
      </c>
      <c r="CG280" s="575">
        <f t="shared" si="1674"/>
        <v>0.46316532751799477</v>
      </c>
      <c r="CH280" s="575">
        <f t="shared" si="1674"/>
        <v>0.46316532751799477</v>
      </c>
      <c r="CI280" s="575">
        <f t="shared" si="1674"/>
        <v>0.46316532751799477</v>
      </c>
      <c r="CJ280" s="575">
        <f t="shared" si="1674"/>
        <v>0.46316532751799477</v>
      </c>
      <c r="CK280" s="575">
        <f t="shared" si="1674"/>
        <v>0.46316532751799477</v>
      </c>
      <c r="CL280" s="575">
        <f t="shared" ref="CL280:CP280" si="1675">CHOOSE(MASTERSWITCH,CL281,CL282,CL283)</f>
        <v>0.46316532751799477</v>
      </c>
      <c r="CM280" s="575">
        <f t="shared" si="1675"/>
        <v>0.46316532751799477</v>
      </c>
      <c r="CN280" s="575">
        <f t="shared" si="1675"/>
        <v>0.46316532751799477</v>
      </c>
      <c r="CO280" s="575">
        <f t="shared" si="1675"/>
        <v>0.46316532751799477</v>
      </c>
      <c r="CP280" s="575">
        <f t="shared" si="1675"/>
        <v>0.46316532751799477</v>
      </c>
      <c r="CQ280" s="575">
        <f t="shared" ref="CQ280:CU280" si="1676">CHOOSE(MASTERSWITCH,CQ281,CQ282,CQ283)</f>
        <v>0.46316532751799477</v>
      </c>
      <c r="CR280" s="575">
        <f t="shared" si="1676"/>
        <v>0.46316532751799477</v>
      </c>
      <c r="CS280" s="575">
        <f t="shared" si="1676"/>
        <v>0.46316532751799477</v>
      </c>
      <c r="CT280" s="575">
        <f t="shared" si="1676"/>
        <v>0.46316532751799477</v>
      </c>
      <c r="CU280" s="575">
        <f t="shared" si="1676"/>
        <v>0.46316532751799477</v>
      </c>
      <c r="CV280" s="575">
        <f t="shared" ref="CV280:CW280" si="1677">CHOOSE(MASTERSWITCH,CV281,CV282,CV283)</f>
        <v>0.46316532751799477</v>
      </c>
      <c r="CW280" s="575">
        <f t="shared" si="1677"/>
        <v>0.46316532751799477</v>
      </c>
      <c r="CX280" s="269"/>
      <c r="CY280" s="269"/>
    </row>
    <row r="281" spans="1:106">
      <c r="A281" s="42" t="s">
        <v>571</v>
      </c>
      <c r="B281" s="392"/>
      <c r="C281" s="392"/>
      <c r="D281" s="392"/>
      <c r="E281" s="393"/>
      <c r="F281" s="84">
        <f>F280</f>
        <v>0.95373880998476324</v>
      </c>
      <c r="G281" s="84">
        <f>G280</f>
        <v>0.17083908746398785</v>
      </c>
      <c r="H281" s="84">
        <f>H280</f>
        <v>0.6404196248373647</v>
      </c>
      <c r="I281" s="84">
        <f>I280</f>
        <v>1.1159129435146036</v>
      </c>
      <c r="J281" s="84">
        <f t="shared" ref="J281:AA281" si="1678">J280</f>
        <v>1.1300826227524539</v>
      </c>
      <c r="K281" s="84">
        <f t="shared" si="1678"/>
        <v>0.57569324075308659</v>
      </c>
      <c r="L281" s="84">
        <f t="shared" si="1678"/>
        <v>1.2699795877815707</v>
      </c>
      <c r="M281" s="84">
        <f t="shared" si="1678"/>
        <v>1.1566653412109977</v>
      </c>
      <c r="N281" s="84">
        <f t="shared" si="1678"/>
        <v>0.97115423507851573</v>
      </c>
      <c r="O281" s="84">
        <f t="shared" si="1678"/>
        <v>0.25324040703565276</v>
      </c>
      <c r="P281" s="84">
        <f t="shared" si="1678"/>
        <v>0.48500385733784362</v>
      </c>
      <c r="Q281" s="84">
        <f t="shared" si="1678"/>
        <v>0.29601436034632161</v>
      </c>
      <c r="R281" s="84">
        <f t="shared" si="1678"/>
        <v>0.66087343477669735</v>
      </c>
      <c r="S281" s="84">
        <f t="shared" si="1678"/>
        <v>4.189296796141913</v>
      </c>
      <c r="T281" s="84">
        <f t="shared" si="1678"/>
        <v>-1.971830385680801</v>
      </c>
      <c r="U281" s="84">
        <f t="shared" si="1678"/>
        <v>0.39015675334329852</v>
      </c>
      <c r="V281" s="84">
        <f t="shared" si="1678"/>
        <v>1.085644729803388</v>
      </c>
      <c r="W281" s="84">
        <f t="shared" si="1678"/>
        <v>0.35256880714141575</v>
      </c>
      <c r="X281" s="84">
        <f t="shared" si="1678"/>
        <v>1.961963102047579</v>
      </c>
      <c r="Y281" s="84">
        <f t="shared" si="1678"/>
        <v>1.8565207817923537</v>
      </c>
      <c r="Z281" s="84">
        <f t="shared" si="1678"/>
        <v>1.2519030541409055</v>
      </c>
      <c r="AA281" s="84">
        <f t="shared" si="1678"/>
        <v>1.417548772640784</v>
      </c>
      <c r="AB281" s="84">
        <f t="shared" ref="AB281:AM281" si="1679">AB280</f>
        <v>0.80623690910561396</v>
      </c>
      <c r="AC281" s="84">
        <f t="shared" si="1679"/>
        <v>0.52043486457952748</v>
      </c>
      <c r="AD281" s="84">
        <f t="shared" si="1679"/>
        <v>1.2168086026004834</v>
      </c>
      <c r="AE281" s="84">
        <f t="shared" si="1679"/>
        <v>0.32024023617177977</v>
      </c>
      <c r="AF281" s="84">
        <f t="shared" si="1679"/>
        <v>0.60430513123939456</v>
      </c>
      <c r="AG281" s="84">
        <f t="shared" si="1679"/>
        <v>0.43347246089296426</v>
      </c>
      <c r="AH281" s="84">
        <f t="shared" si="1679"/>
        <v>0.41960899768247256</v>
      </c>
      <c r="AI281" s="84">
        <f t="shared" si="1679"/>
        <v>0.98456972200719184</v>
      </c>
      <c r="AJ281" s="84">
        <f t="shared" si="1679"/>
        <v>0.93534574831447692</v>
      </c>
      <c r="AK281" s="84">
        <f t="shared" si="1679"/>
        <v>0.32411046187432768</v>
      </c>
      <c r="AL281" s="84">
        <f t="shared" si="1679"/>
        <v>0.33930456405866566</v>
      </c>
      <c r="AM281" s="84">
        <f t="shared" si="1679"/>
        <v>0.17279200461789926</v>
      </c>
      <c r="AN281" s="84">
        <f t="shared" ref="AN281:AS281" si="1680">AN280</f>
        <v>0.88159692702903214</v>
      </c>
      <c r="AO281" s="84">
        <f t="shared" si="1680"/>
        <v>0.19027431955692783</v>
      </c>
      <c r="AP281" s="84">
        <f t="shared" si="1680"/>
        <v>0.41703153770498641</v>
      </c>
      <c r="AQ281" s="84">
        <f t="shared" si="1680"/>
        <v>0.2533534239944577</v>
      </c>
      <c r="AR281" s="84">
        <f t="shared" si="1680"/>
        <v>0.15882281364675108</v>
      </c>
      <c r="AS281" s="84">
        <f t="shared" si="1680"/>
        <v>0.29580101060992647</v>
      </c>
      <c r="AT281" s="84">
        <f t="shared" ref="AT281:BC281" si="1681">AT280</f>
        <v>0.4208728251528146</v>
      </c>
      <c r="AU281" s="84">
        <f t="shared" si="1681"/>
        <v>0.16414884356369364</v>
      </c>
      <c r="AV281" s="84">
        <f t="shared" si="1681"/>
        <v>0.14512686491411753</v>
      </c>
      <c r="AW281" s="84">
        <f t="shared" si="1681"/>
        <v>0.23708992352934152</v>
      </c>
      <c r="AX281" s="84">
        <f t="shared" si="1681"/>
        <v>9.7945255603047579E-2</v>
      </c>
      <c r="AY281" s="84">
        <f t="shared" si="1681"/>
        <v>8.2538418420315077E-2</v>
      </c>
      <c r="AZ281" s="84">
        <f t="shared" si="1681"/>
        <v>6.4510489985967132E-2</v>
      </c>
      <c r="BA281" s="84">
        <f t="shared" si="1681"/>
        <v>1.303566949925397</v>
      </c>
      <c r="BB281" s="84">
        <f t="shared" si="1681"/>
        <v>0.26043221909350395</v>
      </c>
      <c r="BC281" s="84">
        <f t="shared" si="1681"/>
        <v>4.9552310292255368E-2</v>
      </c>
      <c r="BD281" s="84">
        <f t="shared" ref="BD281:BI281" si="1682">BD280</f>
        <v>0.47446052733428212</v>
      </c>
      <c r="BE281" s="84">
        <f t="shared" si="1682"/>
        <v>0.37966541344010979</v>
      </c>
      <c r="BF281" s="84">
        <f t="shared" si="1682"/>
        <v>9.8221391613578193E-2</v>
      </c>
      <c r="BG281" s="84">
        <f t="shared" si="1682"/>
        <v>0.39990510905525822</v>
      </c>
      <c r="BH281" s="84">
        <f t="shared" si="1682"/>
        <v>0.14874144501474001</v>
      </c>
      <c r="BI281" s="84">
        <f t="shared" si="1682"/>
        <v>0.46316532751799477</v>
      </c>
      <c r="BJ281" s="84">
        <f t="shared" ref="BJ281:BK281" si="1683">BJ280</f>
        <v>0.10612707921062069</v>
      </c>
      <c r="BK281" s="801">
        <f t="shared" si="1683"/>
        <v>0.13349549235692482</v>
      </c>
      <c r="BL281" s="305">
        <f t="shared" ref="BL281:CW281" si="1684">+BL282</f>
        <v>0.14874144501474001</v>
      </c>
      <c r="BM281" s="305">
        <f t="shared" si="1684"/>
        <v>0.46316532751799477</v>
      </c>
      <c r="BN281" s="305">
        <f t="shared" si="1684"/>
        <v>0.10612707921062069</v>
      </c>
      <c r="BO281" s="305">
        <f t="shared" si="1684"/>
        <v>0.13349549235692482</v>
      </c>
      <c r="BP281" s="305">
        <f t="shared" si="1684"/>
        <v>0.14874144501474001</v>
      </c>
      <c r="BQ281" s="305">
        <f t="shared" si="1684"/>
        <v>0.46316532751799477</v>
      </c>
      <c r="BR281" s="305">
        <f t="shared" si="1684"/>
        <v>0.10612707921062069</v>
      </c>
      <c r="BS281" s="305">
        <f t="shared" si="1684"/>
        <v>0.13349549235692482</v>
      </c>
      <c r="BT281" s="305">
        <f t="shared" si="1684"/>
        <v>0.14874144501474001</v>
      </c>
      <c r="BU281" s="305">
        <f t="shared" si="1684"/>
        <v>0.46316532751799477</v>
      </c>
      <c r="BV281" s="305">
        <f t="shared" si="1684"/>
        <v>0.10612707921062069</v>
      </c>
      <c r="BW281" s="305">
        <f t="shared" si="1684"/>
        <v>0.13349549235692482</v>
      </c>
      <c r="BX281" s="305">
        <f t="shared" si="1684"/>
        <v>0.14874144501474001</v>
      </c>
      <c r="BY281" s="305">
        <f t="shared" si="1684"/>
        <v>0.46316532751799477</v>
      </c>
      <c r="BZ281" s="305">
        <f t="shared" si="1684"/>
        <v>0.46316532751799477</v>
      </c>
      <c r="CA281" s="305">
        <f t="shared" si="1684"/>
        <v>0.46316532751799477</v>
      </c>
      <c r="CB281" s="305">
        <f t="shared" si="1684"/>
        <v>0.46316532751799477</v>
      </c>
      <c r="CC281" s="305">
        <f t="shared" si="1684"/>
        <v>0.46316532751799477</v>
      </c>
      <c r="CD281" s="305">
        <f t="shared" si="1684"/>
        <v>0.46316532751799477</v>
      </c>
      <c r="CE281" s="305">
        <f t="shared" si="1684"/>
        <v>0.46316532751799477</v>
      </c>
      <c r="CF281" s="305">
        <f t="shared" si="1684"/>
        <v>0.46316532751799477</v>
      </c>
      <c r="CG281" s="305">
        <f t="shared" si="1684"/>
        <v>0.46316532751799477</v>
      </c>
      <c r="CH281" s="305">
        <f t="shared" si="1684"/>
        <v>0.46316532751799477</v>
      </c>
      <c r="CI281" s="305">
        <f t="shared" si="1684"/>
        <v>0.46316532751799477</v>
      </c>
      <c r="CJ281" s="305">
        <f t="shared" si="1684"/>
        <v>0.46316532751799477</v>
      </c>
      <c r="CK281" s="305">
        <f t="shared" si="1684"/>
        <v>0.46316532751799477</v>
      </c>
      <c r="CL281" s="305">
        <f t="shared" si="1684"/>
        <v>0.46316532751799477</v>
      </c>
      <c r="CM281" s="305">
        <f t="shared" si="1684"/>
        <v>0.46316532751799477</v>
      </c>
      <c r="CN281" s="305">
        <f t="shared" si="1684"/>
        <v>0.46316532751799477</v>
      </c>
      <c r="CO281" s="305">
        <f t="shared" si="1684"/>
        <v>0.46316532751799477</v>
      </c>
      <c r="CP281" s="305">
        <f t="shared" si="1684"/>
        <v>0.46316532751799477</v>
      </c>
      <c r="CQ281" s="305">
        <f t="shared" si="1684"/>
        <v>0.46316532751799477</v>
      </c>
      <c r="CR281" s="305">
        <f t="shared" si="1684"/>
        <v>0.46316532751799477</v>
      </c>
      <c r="CS281" s="305">
        <f t="shared" si="1684"/>
        <v>0.46316532751799477</v>
      </c>
      <c r="CT281" s="305">
        <f t="shared" si="1684"/>
        <v>0.46316532751799477</v>
      </c>
      <c r="CU281" s="305">
        <f t="shared" si="1684"/>
        <v>0.46316532751799477</v>
      </c>
      <c r="CV281" s="305">
        <f t="shared" si="1684"/>
        <v>0.46316532751799477</v>
      </c>
      <c r="CW281" s="305">
        <f t="shared" si="1684"/>
        <v>0.46316532751799477</v>
      </c>
      <c r="CX281" s="269"/>
      <c r="CY281" s="269"/>
    </row>
    <row r="282" spans="1:106">
      <c r="A282" s="42" t="s">
        <v>200</v>
      </c>
      <c r="B282" s="392"/>
      <c r="C282" s="392"/>
      <c r="D282" s="392"/>
      <c r="E282" s="394"/>
      <c r="F282" s="84">
        <f>F280</f>
        <v>0.95373880998476324</v>
      </c>
      <c r="G282" s="84">
        <f>G280</f>
        <v>0.17083908746398785</v>
      </c>
      <c r="H282" s="84">
        <f>H280</f>
        <v>0.6404196248373647</v>
      </c>
      <c r="I282" s="84">
        <f>I280</f>
        <v>1.1159129435146036</v>
      </c>
      <c r="J282" s="84">
        <f t="shared" ref="J282:AA282" si="1685">J280</f>
        <v>1.1300826227524539</v>
      </c>
      <c r="K282" s="84">
        <f t="shared" si="1685"/>
        <v>0.57569324075308659</v>
      </c>
      <c r="L282" s="84">
        <f t="shared" si="1685"/>
        <v>1.2699795877815707</v>
      </c>
      <c r="M282" s="84">
        <f t="shared" si="1685"/>
        <v>1.1566653412109977</v>
      </c>
      <c r="N282" s="84">
        <f t="shared" si="1685"/>
        <v>0.97115423507851573</v>
      </c>
      <c r="O282" s="84">
        <f t="shared" si="1685"/>
        <v>0.25324040703565276</v>
      </c>
      <c r="P282" s="84">
        <f t="shared" si="1685"/>
        <v>0.48500385733784362</v>
      </c>
      <c r="Q282" s="84">
        <f t="shared" si="1685"/>
        <v>0.29601436034632161</v>
      </c>
      <c r="R282" s="84">
        <f t="shared" si="1685"/>
        <v>0.66087343477669735</v>
      </c>
      <c r="S282" s="84">
        <f t="shared" si="1685"/>
        <v>4.189296796141913</v>
      </c>
      <c r="T282" s="84">
        <f t="shared" si="1685"/>
        <v>-1.971830385680801</v>
      </c>
      <c r="U282" s="84">
        <f t="shared" si="1685"/>
        <v>0.39015675334329852</v>
      </c>
      <c r="V282" s="84">
        <f t="shared" si="1685"/>
        <v>1.085644729803388</v>
      </c>
      <c r="W282" s="84">
        <f t="shared" si="1685"/>
        <v>0.35256880714141575</v>
      </c>
      <c r="X282" s="84">
        <f t="shared" si="1685"/>
        <v>1.961963102047579</v>
      </c>
      <c r="Y282" s="84">
        <f t="shared" si="1685"/>
        <v>1.8565207817923537</v>
      </c>
      <c r="Z282" s="84">
        <f t="shared" si="1685"/>
        <v>1.2519030541409055</v>
      </c>
      <c r="AA282" s="84">
        <f t="shared" si="1685"/>
        <v>1.417548772640784</v>
      </c>
      <c r="AB282" s="84">
        <f t="shared" ref="AB282:AM282" si="1686">AB280</f>
        <v>0.80623690910561396</v>
      </c>
      <c r="AC282" s="84">
        <f t="shared" si="1686"/>
        <v>0.52043486457952748</v>
      </c>
      <c r="AD282" s="84">
        <f t="shared" si="1686"/>
        <v>1.2168086026004834</v>
      </c>
      <c r="AE282" s="84">
        <f t="shared" si="1686"/>
        <v>0.32024023617177977</v>
      </c>
      <c r="AF282" s="84">
        <f t="shared" si="1686"/>
        <v>0.60430513123939456</v>
      </c>
      <c r="AG282" s="84">
        <f t="shared" si="1686"/>
        <v>0.43347246089296426</v>
      </c>
      <c r="AH282" s="84">
        <f t="shared" si="1686"/>
        <v>0.41960899768247256</v>
      </c>
      <c r="AI282" s="84">
        <f t="shared" si="1686"/>
        <v>0.98456972200719184</v>
      </c>
      <c r="AJ282" s="84">
        <f t="shared" si="1686"/>
        <v>0.93534574831447692</v>
      </c>
      <c r="AK282" s="84">
        <f t="shared" si="1686"/>
        <v>0.32411046187432768</v>
      </c>
      <c r="AL282" s="84">
        <f t="shared" si="1686"/>
        <v>0.33930456405866566</v>
      </c>
      <c r="AM282" s="84">
        <f t="shared" si="1686"/>
        <v>0.17279200461789926</v>
      </c>
      <c r="AN282" s="84">
        <f t="shared" ref="AN282:AS282" si="1687">AN280</f>
        <v>0.88159692702903214</v>
      </c>
      <c r="AO282" s="84">
        <f t="shared" si="1687"/>
        <v>0.19027431955692783</v>
      </c>
      <c r="AP282" s="84">
        <f t="shared" si="1687"/>
        <v>0.41703153770498641</v>
      </c>
      <c r="AQ282" s="84">
        <f t="shared" si="1687"/>
        <v>0.2533534239944577</v>
      </c>
      <c r="AR282" s="84">
        <f t="shared" si="1687"/>
        <v>0.15882281364675108</v>
      </c>
      <c r="AS282" s="84">
        <f t="shared" si="1687"/>
        <v>0.29580101060992647</v>
      </c>
      <c r="AT282" s="84">
        <f t="shared" ref="AT282:BC282" si="1688">AT280</f>
        <v>0.4208728251528146</v>
      </c>
      <c r="AU282" s="84">
        <f t="shared" si="1688"/>
        <v>0.16414884356369364</v>
      </c>
      <c r="AV282" s="84">
        <f t="shared" si="1688"/>
        <v>0.14512686491411753</v>
      </c>
      <c r="AW282" s="84">
        <f t="shared" si="1688"/>
        <v>0.23708992352934152</v>
      </c>
      <c r="AX282" s="84">
        <f t="shared" si="1688"/>
        <v>9.7945255603047579E-2</v>
      </c>
      <c r="AY282" s="84">
        <f t="shared" si="1688"/>
        <v>8.2538418420315077E-2</v>
      </c>
      <c r="AZ282" s="84">
        <f t="shared" si="1688"/>
        <v>6.4510489985967132E-2</v>
      </c>
      <c r="BA282" s="84">
        <f t="shared" si="1688"/>
        <v>1.303566949925397</v>
      </c>
      <c r="BB282" s="84">
        <f t="shared" si="1688"/>
        <v>0.26043221909350395</v>
      </c>
      <c r="BC282" s="84">
        <f t="shared" si="1688"/>
        <v>4.9552310292255368E-2</v>
      </c>
      <c r="BD282" s="84">
        <f t="shared" ref="BD282:BI282" si="1689">BD280</f>
        <v>0.47446052733428212</v>
      </c>
      <c r="BE282" s="84">
        <f t="shared" si="1689"/>
        <v>0.37966541344010979</v>
      </c>
      <c r="BF282" s="84">
        <f t="shared" si="1689"/>
        <v>9.8221391613578193E-2</v>
      </c>
      <c r="BG282" s="84">
        <f t="shared" si="1689"/>
        <v>0.39990510905525822</v>
      </c>
      <c r="BH282" s="84">
        <f t="shared" si="1689"/>
        <v>0.14874144501474001</v>
      </c>
      <c r="BI282" s="84">
        <f t="shared" si="1689"/>
        <v>0.46316532751799477</v>
      </c>
      <c r="BJ282" s="84">
        <f t="shared" ref="BJ282:BK282" si="1690">BJ280</f>
        <v>0.10612707921062069</v>
      </c>
      <c r="BK282" s="801">
        <f t="shared" si="1690"/>
        <v>0.13349549235692482</v>
      </c>
      <c r="BL282" s="560">
        <f t="shared" ref="BL282:BQ282" si="1691">BH282</f>
        <v>0.14874144501474001</v>
      </c>
      <c r="BM282" s="560">
        <f t="shared" si="1691"/>
        <v>0.46316532751799477</v>
      </c>
      <c r="BN282" s="560">
        <f t="shared" si="1691"/>
        <v>0.10612707921062069</v>
      </c>
      <c r="BO282" s="560">
        <f t="shared" si="1691"/>
        <v>0.13349549235692482</v>
      </c>
      <c r="BP282" s="560">
        <f t="shared" si="1691"/>
        <v>0.14874144501474001</v>
      </c>
      <c r="BQ282" s="560">
        <f t="shared" si="1691"/>
        <v>0.46316532751799477</v>
      </c>
      <c r="BR282" s="560">
        <f t="shared" ref="BR282" si="1692">BN282</f>
        <v>0.10612707921062069</v>
      </c>
      <c r="BS282" s="560">
        <f t="shared" ref="BS282" si="1693">BO282</f>
        <v>0.13349549235692482</v>
      </c>
      <c r="BT282" s="560">
        <f t="shared" ref="BT282" si="1694">BP282</f>
        <v>0.14874144501474001</v>
      </c>
      <c r="BU282" s="560">
        <f t="shared" ref="BU282" si="1695">BQ282</f>
        <v>0.46316532751799477</v>
      </c>
      <c r="BV282" s="560">
        <f t="shared" ref="BV282" si="1696">BR282</f>
        <v>0.10612707921062069</v>
      </c>
      <c r="BW282" s="560">
        <f t="shared" ref="BW282" si="1697">BS282</f>
        <v>0.13349549235692482</v>
      </c>
      <c r="BX282" s="560">
        <f t="shared" ref="BX282" si="1698">BT282</f>
        <v>0.14874144501474001</v>
      </c>
      <c r="BY282" s="560">
        <f t="shared" ref="BY282" si="1699">BU282</f>
        <v>0.46316532751799477</v>
      </c>
      <c r="BZ282" s="1770">
        <f t="shared" ref="BZ282:CG282" si="1700">BY282</f>
        <v>0.46316532751799477</v>
      </c>
      <c r="CA282" s="1770">
        <f t="shared" si="1700"/>
        <v>0.46316532751799477</v>
      </c>
      <c r="CB282" s="1770">
        <f t="shared" si="1700"/>
        <v>0.46316532751799477</v>
      </c>
      <c r="CC282" s="1770">
        <f t="shared" si="1700"/>
        <v>0.46316532751799477</v>
      </c>
      <c r="CD282" s="1770">
        <f t="shared" si="1700"/>
        <v>0.46316532751799477</v>
      </c>
      <c r="CE282" s="1770">
        <f t="shared" si="1700"/>
        <v>0.46316532751799477</v>
      </c>
      <c r="CF282" s="1770">
        <f t="shared" si="1700"/>
        <v>0.46316532751799477</v>
      </c>
      <c r="CG282" s="1770">
        <f t="shared" si="1700"/>
        <v>0.46316532751799477</v>
      </c>
      <c r="CH282" s="1770">
        <f t="shared" ref="CH282" si="1701">CG282</f>
        <v>0.46316532751799477</v>
      </c>
      <c r="CI282" s="1770">
        <f t="shared" ref="CI282" si="1702">CH282</f>
        <v>0.46316532751799477</v>
      </c>
      <c r="CJ282" s="1770">
        <f t="shared" ref="CJ282" si="1703">CI282</f>
        <v>0.46316532751799477</v>
      </c>
      <c r="CK282" s="1770">
        <f t="shared" ref="CK282:CL282" si="1704">CJ282</f>
        <v>0.46316532751799477</v>
      </c>
      <c r="CL282" s="1770">
        <f t="shared" si="1704"/>
        <v>0.46316532751799477</v>
      </c>
      <c r="CM282" s="1770">
        <f t="shared" ref="CM282" si="1705">CL282</f>
        <v>0.46316532751799477</v>
      </c>
      <c r="CN282" s="1770">
        <f t="shared" ref="CN282" si="1706">CM282</f>
        <v>0.46316532751799477</v>
      </c>
      <c r="CO282" s="1770">
        <f t="shared" ref="CO282" si="1707">CN282</f>
        <v>0.46316532751799477</v>
      </c>
      <c r="CP282" s="1770">
        <f t="shared" ref="CP282" si="1708">CO282</f>
        <v>0.46316532751799477</v>
      </c>
      <c r="CQ282" s="1770">
        <f t="shared" ref="CQ282" si="1709">CP282</f>
        <v>0.46316532751799477</v>
      </c>
      <c r="CR282" s="1770">
        <f t="shared" ref="CR282" si="1710">CQ282</f>
        <v>0.46316532751799477</v>
      </c>
      <c r="CS282" s="1770">
        <f t="shared" ref="CS282" si="1711">CR282</f>
        <v>0.46316532751799477</v>
      </c>
      <c r="CT282" s="1770">
        <f t="shared" ref="CT282" si="1712">CS282</f>
        <v>0.46316532751799477</v>
      </c>
      <c r="CU282" s="1770">
        <f t="shared" ref="CU282" si="1713">CT282</f>
        <v>0.46316532751799477</v>
      </c>
      <c r="CV282" s="1770">
        <f t="shared" ref="CV282" si="1714">CU282</f>
        <v>0.46316532751799477</v>
      </c>
      <c r="CW282" s="1770">
        <f t="shared" ref="CW282" si="1715">CV282</f>
        <v>0.46316532751799477</v>
      </c>
      <c r="CX282" s="269"/>
      <c r="CY282" s="269"/>
      <c r="CZ282" s="269"/>
    </row>
    <row r="283" spans="1:106">
      <c r="A283" s="42" t="s">
        <v>202</v>
      </c>
      <c r="B283" s="392"/>
      <c r="C283" s="392"/>
      <c r="D283" s="392"/>
      <c r="E283" s="394"/>
      <c r="F283" s="84">
        <f>F280</f>
        <v>0.95373880998476324</v>
      </c>
      <c r="G283" s="84">
        <f>G280</f>
        <v>0.17083908746398785</v>
      </c>
      <c r="H283" s="84">
        <f>H280</f>
        <v>0.6404196248373647</v>
      </c>
      <c r="I283" s="84">
        <f>I280</f>
        <v>1.1159129435146036</v>
      </c>
      <c r="J283" s="84">
        <f t="shared" ref="J283:AA283" si="1716">J280</f>
        <v>1.1300826227524539</v>
      </c>
      <c r="K283" s="84">
        <f t="shared" si="1716"/>
        <v>0.57569324075308659</v>
      </c>
      <c r="L283" s="84">
        <f t="shared" si="1716"/>
        <v>1.2699795877815707</v>
      </c>
      <c r="M283" s="84">
        <f t="shared" si="1716"/>
        <v>1.1566653412109977</v>
      </c>
      <c r="N283" s="84">
        <f t="shared" si="1716"/>
        <v>0.97115423507851573</v>
      </c>
      <c r="O283" s="84">
        <f t="shared" si="1716"/>
        <v>0.25324040703565276</v>
      </c>
      <c r="P283" s="84">
        <f t="shared" si="1716"/>
        <v>0.48500385733784362</v>
      </c>
      <c r="Q283" s="84">
        <f t="shared" si="1716"/>
        <v>0.29601436034632161</v>
      </c>
      <c r="R283" s="84">
        <f t="shared" si="1716"/>
        <v>0.66087343477669735</v>
      </c>
      <c r="S283" s="84">
        <f t="shared" si="1716"/>
        <v>4.189296796141913</v>
      </c>
      <c r="T283" s="84">
        <f t="shared" si="1716"/>
        <v>-1.971830385680801</v>
      </c>
      <c r="U283" s="84">
        <f t="shared" si="1716"/>
        <v>0.39015675334329852</v>
      </c>
      <c r="V283" s="84">
        <f t="shared" si="1716"/>
        <v>1.085644729803388</v>
      </c>
      <c r="W283" s="84">
        <f t="shared" si="1716"/>
        <v>0.35256880714141575</v>
      </c>
      <c r="X283" s="84">
        <f t="shared" si="1716"/>
        <v>1.961963102047579</v>
      </c>
      <c r="Y283" s="84">
        <f t="shared" si="1716"/>
        <v>1.8565207817923537</v>
      </c>
      <c r="Z283" s="84">
        <f t="shared" si="1716"/>
        <v>1.2519030541409055</v>
      </c>
      <c r="AA283" s="84">
        <f t="shared" si="1716"/>
        <v>1.417548772640784</v>
      </c>
      <c r="AB283" s="84">
        <f t="shared" ref="AB283:AM283" si="1717">AB280</f>
        <v>0.80623690910561396</v>
      </c>
      <c r="AC283" s="84">
        <f t="shared" si="1717"/>
        <v>0.52043486457952748</v>
      </c>
      <c r="AD283" s="84">
        <f t="shared" si="1717"/>
        <v>1.2168086026004834</v>
      </c>
      <c r="AE283" s="84">
        <f t="shared" si="1717"/>
        <v>0.32024023617177977</v>
      </c>
      <c r="AF283" s="84">
        <f t="shared" si="1717"/>
        <v>0.60430513123939456</v>
      </c>
      <c r="AG283" s="84">
        <f t="shared" si="1717"/>
        <v>0.43347246089296426</v>
      </c>
      <c r="AH283" s="84">
        <f t="shared" si="1717"/>
        <v>0.41960899768247256</v>
      </c>
      <c r="AI283" s="84">
        <f t="shared" si="1717"/>
        <v>0.98456972200719184</v>
      </c>
      <c r="AJ283" s="84">
        <f t="shared" si="1717"/>
        <v>0.93534574831447692</v>
      </c>
      <c r="AK283" s="84">
        <f t="shared" si="1717"/>
        <v>0.32411046187432768</v>
      </c>
      <c r="AL283" s="84">
        <f t="shared" si="1717"/>
        <v>0.33930456405866566</v>
      </c>
      <c r="AM283" s="84">
        <f t="shared" si="1717"/>
        <v>0.17279200461789926</v>
      </c>
      <c r="AN283" s="84">
        <f t="shared" ref="AN283:AS283" si="1718">AN280</f>
        <v>0.88159692702903214</v>
      </c>
      <c r="AO283" s="84">
        <f t="shared" si="1718"/>
        <v>0.19027431955692783</v>
      </c>
      <c r="AP283" s="84">
        <f t="shared" si="1718"/>
        <v>0.41703153770498641</v>
      </c>
      <c r="AQ283" s="84">
        <f t="shared" si="1718"/>
        <v>0.2533534239944577</v>
      </c>
      <c r="AR283" s="84">
        <f t="shared" si="1718"/>
        <v>0.15882281364675108</v>
      </c>
      <c r="AS283" s="84">
        <f t="shared" si="1718"/>
        <v>0.29580101060992647</v>
      </c>
      <c r="AT283" s="84">
        <f t="shared" ref="AT283:BC283" si="1719">AT280</f>
        <v>0.4208728251528146</v>
      </c>
      <c r="AU283" s="84">
        <f t="shared" si="1719"/>
        <v>0.16414884356369364</v>
      </c>
      <c r="AV283" s="84">
        <f t="shared" si="1719"/>
        <v>0.14512686491411753</v>
      </c>
      <c r="AW283" s="84">
        <f t="shared" si="1719"/>
        <v>0.23708992352934152</v>
      </c>
      <c r="AX283" s="84">
        <f t="shared" si="1719"/>
        <v>9.7945255603047579E-2</v>
      </c>
      <c r="AY283" s="84">
        <f t="shared" si="1719"/>
        <v>8.2538418420315077E-2</v>
      </c>
      <c r="AZ283" s="84">
        <f t="shared" si="1719"/>
        <v>6.4510489985967132E-2</v>
      </c>
      <c r="BA283" s="84">
        <f t="shared" si="1719"/>
        <v>1.303566949925397</v>
      </c>
      <c r="BB283" s="84">
        <f t="shared" si="1719"/>
        <v>0.26043221909350395</v>
      </c>
      <c r="BC283" s="84">
        <f t="shared" si="1719"/>
        <v>4.9552310292255368E-2</v>
      </c>
      <c r="BD283" s="84">
        <f t="shared" ref="BD283:BI283" si="1720">BD280</f>
        <v>0.47446052733428212</v>
      </c>
      <c r="BE283" s="84">
        <f t="shared" si="1720"/>
        <v>0.37966541344010979</v>
      </c>
      <c r="BF283" s="84">
        <f t="shared" si="1720"/>
        <v>9.8221391613578193E-2</v>
      </c>
      <c r="BG283" s="84">
        <f t="shared" si="1720"/>
        <v>0.39990510905525822</v>
      </c>
      <c r="BH283" s="84">
        <f t="shared" si="1720"/>
        <v>0.14874144501474001</v>
      </c>
      <c r="BI283" s="84">
        <f t="shared" si="1720"/>
        <v>0.46316532751799477</v>
      </c>
      <c r="BJ283" s="84">
        <f t="shared" ref="BJ283:BK283" si="1721">BJ280</f>
        <v>0.10612707921062069</v>
      </c>
      <c r="BK283" s="801">
        <f t="shared" si="1721"/>
        <v>0.13349549235692482</v>
      </c>
      <c r="BL283" s="305">
        <f t="shared" ref="BL283:BQ283" si="1722">+BL282</f>
        <v>0.14874144501474001</v>
      </c>
      <c r="BM283" s="305">
        <f t="shared" si="1722"/>
        <v>0.46316532751799477</v>
      </c>
      <c r="BN283" s="305">
        <f t="shared" si="1722"/>
        <v>0.10612707921062069</v>
      </c>
      <c r="BO283" s="305">
        <f t="shared" si="1722"/>
        <v>0.13349549235692482</v>
      </c>
      <c r="BP283" s="305">
        <f t="shared" si="1722"/>
        <v>0.14874144501474001</v>
      </c>
      <c r="BQ283" s="305">
        <f t="shared" si="1722"/>
        <v>0.46316532751799477</v>
      </c>
      <c r="BR283" s="305">
        <f t="shared" ref="BR283:CK283" si="1723">+BR282</f>
        <v>0.10612707921062069</v>
      </c>
      <c r="BS283" s="305">
        <f t="shared" si="1723"/>
        <v>0.13349549235692482</v>
      </c>
      <c r="BT283" s="305">
        <f t="shared" si="1723"/>
        <v>0.14874144501474001</v>
      </c>
      <c r="BU283" s="305">
        <f t="shared" si="1723"/>
        <v>0.46316532751799477</v>
      </c>
      <c r="BV283" s="305">
        <f t="shared" si="1723"/>
        <v>0.10612707921062069</v>
      </c>
      <c r="BW283" s="305">
        <f t="shared" si="1723"/>
        <v>0.13349549235692482</v>
      </c>
      <c r="BX283" s="305">
        <f t="shared" si="1723"/>
        <v>0.14874144501474001</v>
      </c>
      <c r="BY283" s="305">
        <f t="shared" si="1723"/>
        <v>0.46316532751799477</v>
      </c>
      <c r="BZ283" s="305">
        <f t="shared" si="1723"/>
        <v>0.46316532751799477</v>
      </c>
      <c r="CA283" s="305">
        <f t="shared" si="1723"/>
        <v>0.46316532751799477</v>
      </c>
      <c r="CB283" s="305">
        <f t="shared" si="1723"/>
        <v>0.46316532751799477</v>
      </c>
      <c r="CC283" s="305">
        <f t="shared" si="1723"/>
        <v>0.46316532751799477</v>
      </c>
      <c r="CD283" s="305">
        <f t="shared" si="1723"/>
        <v>0.46316532751799477</v>
      </c>
      <c r="CE283" s="305">
        <f t="shared" si="1723"/>
        <v>0.46316532751799477</v>
      </c>
      <c r="CF283" s="305">
        <f t="shared" si="1723"/>
        <v>0.46316532751799477</v>
      </c>
      <c r="CG283" s="305">
        <f t="shared" si="1723"/>
        <v>0.46316532751799477</v>
      </c>
      <c r="CH283" s="305">
        <f t="shared" si="1723"/>
        <v>0.46316532751799477</v>
      </c>
      <c r="CI283" s="305">
        <f t="shared" si="1723"/>
        <v>0.46316532751799477</v>
      </c>
      <c r="CJ283" s="305">
        <f t="shared" si="1723"/>
        <v>0.46316532751799477</v>
      </c>
      <c r="CK283" s="305">
        <f t="shared" si="1723"/>
        <v>0.46316532751799477</v>
      </c>
      <c r="CL283" s="305">
        <f t="shared" ref="CL283:CP283" si="1724">+CL282</f>
        <v>0.46316532751799477</v>
      </c>
      <c r="CM283" s="305">
        <f t="shared" si="1724"/>
        <v>0.46316532751799477</v>
      </c>
      <c r="CN283" s="305">
        <f t="shared" si="1724"/>
        <v>0.46316532751799477</v>
      </c>
      <c r="CO283" s="305">
        <f t="shared" si="1724"/>
        <v>0.46316532751799477</v>
      </c>
      <c r="CP283" s="305">
        <f t="shared" si="1724"/>
        <v>0.46316532751799477</v>
      </c>
      <c r="CQ283" s="305">
        <f t="shared" ref="CQ283:CU283" si="1725">+CQ282</f>
        <v>0.46316532751799477</v>
      </c>
      <c r="CR283" s="305">
        <f t="shared" si="1725"/>
        <v>0.46316532751799477</v>
      </c>
      <c r="CS283" s="305">
        <f t="shared" si="1725"/>
        <v>0.46316532751799477</v>
      </c>
      <c r="CT283" s="305">
        <f t="shared" si="1725"/>
        <v>0.46316532751799477</v>
      </c>
      <c r="CU283" s="305">
        <f t="shared" si="1725"/>
        <v>0.46316532751799477</v>
      </c>
      <c r="CV283" s="305">
        <f t="shared" ref="CV283:CW283" si="1726">+CV282</f>
        <v>0.46316532751799477</v>
      </c>
      <c r="CW283" s="305">
        <f t="shared" si="1726"/>
        <v>0.46316532751799477</v>
      </c>
      <c r="CX283" s="269"/>
      <c r="CY283" s="269"/>
    </row>
    <row r="284" spans="1:106">
      <c r="A284" s="91"/>
      <c r="B284" s="388"/>
      <c r="C284" s="388"/>
      <c r="D284" s="388"/>
      <c r="E284" s="388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574"/>
      <c r="AN284" s="574"/>
      <c r="AO284" s="574"/>
      <c r="AP284" s="574"/>
      <c r="AQ284" s="305"/>
      <c r="AR284" s="305"/>
      <c r="AS284" s="305"/>
      <c r="AT284" s="305"/>
      <c r="AU284" s="305"/>
      <c r="AV284" s="305"/>
      <c r="AW284" s="305"/>
      <c r="AX284" s="305"/>
      <c r="AY284" s="305"/>
      <c r="AZ284" s="305"/>
      <c r="BA284" s="305"/>
      <c r="BB284" s="305"/>
      <c r="BC284" s="305"/>
      <c r="BD284" s="305"/>
      <c r="BE284" s="305"/>
      <c r="BF284" s="305"/>
      <c r="BG284" s="305"/>
      <c r="BH284" s="305"/>
      <c r="BI284" s="305"/>
      <c r="BJ284" s="305"/>
      <c r="BK284" s="1870"/>
      <c r="BL284" s="305"/>
      <c r="BM284" s="305"/>
      <c r="BN284" s="305"/>
      <c r="BO284" s="305"/>
      <c r="BP284" s="305"/>
      <c r="BQ284" s="305"/>
      <c r="BR284" s="305"/>
      <c r="BS284" s="305"/>
      <c r="BT284" s="305"/>
      <c r="BU284" s="305"/>
      <c r="BV284" s="305"/>
      <c r="BW284" s="305"/>
      <c r="BX284" s="305"/>
      <c r="BY284" s="305"/>
      <c r="BZ284" s="305"/>
      <c r="CA284" s="305"/>
      <c r="CB284" s="305"/>
      <c r="CC284" s="305"/>
      <c r="CD284" s="305"/>
      <c r="CE284" s="305"/>
      <c r="CF284" s="305"/>
      <c r="CG284" s="305"/>
      <c r="CH284" s="305"/>
      <c r="CI284" s="305"/>
      <c r="CJ284" s="305"/>
      <c r="CK284" s="305"/>
      <c r="CL284" s="305"/>
      <c r="CM284" s="305"/>
      <c r="CN284" s="305"/>
      <c r="CO284" s="305"/>
      <c r="CP284" s="305"/>
      <c r="CQ284" s="305"/>
      <c r="CR284" s="305"/>
      <c r="CS284" s="305"/>
      <c r="CT284" s="305"/>
      <c r="CU284" s="305"/>
      <c r="CV284" s="305"/>
      <c r="CW284" s="305"/>
      <c r="CX284" s="269"/>
      <c r="CY284" s="269"/>
    </row>
    <row r="285" spans="1:106">
      <c r="A285" s="43" t="s">
        <v>539</v>
      </c>
      <c r="B285" s="397"/>
      <c r="C285" s="397"/>
      <c r="D285" s="397"/>
      <c r="E285" s="397"/>
      <c r="F285" s="330">
        <f>Q_BS!F46</f>
        <v>3.1496512034808563E-2</v>
      </c>
      <c r="G285" s="330">
        <f>Q_BS!G46</f>
        <v>3.2256858846918493E-2</v>
      </c>
      <c r="H285" s="330">
        <f>Q_BS!H46</f>
        <v>3.192589584238463E-2</v>
      </c>
      <c r="I285" s="330">
        <f>Q_BS!I46</f>
        <v>3.1615875773970487E-2</v>
      </c>
      <c r="J285" s="330">
        <f>Q_BS!J46</f>
        <v>3.7103435630399965E-2</v>
      </c>
      <c r="K285" s="330">
        <f>Q_BS!K46</f>
        <v>3.6595531541882914E-2</v>
      </c>
      <c r="L285" s="330">
        <f>Q_BS!L46</f>
        <v>3.5264962783504383E-2</v>
      </c>
      <c r="M285" s="330">
        <f>Q_BS!M46</f>
        <v>3.413854393715858E-2</v>
      </c>
      <c r="N285" s="330">
        <f>Q_BS!N46</f>
        <v>3.0194864100540827E-2</v>
      </c>
      <c r="O285" s="330">
        <f>Q_BS!O46</f>
        <v>2.9221376432826161E-2</v>
      </c>
      <c r="P285" s="330">
        <f>Q_BS!P46</f>
        <v>2.8588861688906238E-2</v>
      </c>
      <c r="Q285" s="330">
        <f>Q_BS!Q46</f>
        <v>2.8285688849801507E-2</v>
      </c>
      <c r="R285" s="330">
        <f>Q_BS!R46</f>
        <v>3.1395670047817244E-2</v>
      </c>
      <c r="S285" s="330">
        <f>Q_BS!S46</f>
        <v>3.1804218189328048E-2</v>
      </c>
      <c r="T285" s="330">
        <f>Q_BS!T46</f>
        <v>2.8922815288618953E-2</v>
      </c>
      <c r="U285" s="330">
        <f>Q_BS!U46</f>
        <v>2.7659474155678845E-2</v>
      </c>
      <c r="V285" s="330">
        <f>Q_BS!V46</f>
        <v>3.5000000000000003E-2</v>
      </c>
      <c r="W285" s="330">
        <f>Q_BS!W46</f>
        <v>3.5000000000000003E-2</v>
      </c>
      <c r="X285" s="330">
        <f>Q_BS!X46</f>
        <v>3.5000000000000003E-2</v>
      </c>
      <c r="Y285" s="330">
        <f>Q_BS!Y46</f>
        <v>3.5000000000000003E-2</v>
      </c>
      <c r="Z285" s="330">
        <f>Q_BS!Z46</f>
        <v>3.5000000000000003E-2</v>
      </c>
      <c r="AA285" s="330">
        <f>Q_BS!AA46</f>
        <v>3.5000000000000003E-2</v>
      </c>
      <c r="AB285" s="330">
        <f>Q_BS!AB46</f>
        <v>3.5000000000000003E-2</v>
      </c>
      <c r="AC285" s="330">
        <f>Q_BS!AC46</f>
        <v>3.5000000000000003E-2</v>
      </c>
      <c r="AD285" s="330">
        <f>Q_BS!AD46</f>
        <v>3.5000000000000003E-2</v>
      </c>
      <c r="AE285" s="330">
        <f>Q_BS!AE46</f>
        <v>3.5000000000000003E-2</v>
      </c>
      <c r="AF285" s="330">
        <f>Q_BS!AF46</f>
        <v>3.5000000000000003E-2</v>
      </c>
      <c r="AG285" s="330">
        <f>Q_BS!AG46</f>
        <v>3.5000000000000003E-2</v>
      </c>
      <c r="AH285" s="330">
        <f>Q_BS!AH46</f>
        <v>3.5000000000000003E-2</v>
      </c>
      <c r="AI285" s="330">
        <f>Q_BS!AI46</f>
        <v>3.5000000000000003E-2</v>
      </c>
      <c r="AJ285" s="330">
        <f>Q_BS!AJ46</f>
        <v>3.5000000000000003E-2</v>
      </c>
      <c r="AK285" s="330">
        <f>Q_BS!AK46</f>
        <v>3.5000000000000003E-2</v>
      </c>
      <c r="AL285" s="330">
        <f>Q_BS!AL46</f>
        <v>3.5000000000000003E-2</v>
      </c>
      <c r="AM285" s="330">
        <f>Q_BS!AM46</f>
        <v>3.5000000000000003E-2</v>
      </c>
      <c r="AN285" s="330">
        <f>Q_BS!AN46</f>
        <v>3.5000000000000003E-2</v>
      </c>
      <c r="AO285" s="330">
        <f>Q_BS!AO46</f>
        <v>3.5000000000000003E-2</v>
      </c>
      <c r="AP285" s="330">
        <f>Q_BS!AP46</f>
        <v>3.5000000000000003E-2</v>
      </c>
      <c r="AQ285" s="330">
        <f>Q_BS!AQ46</f>
        <v>3.5000000000000003E-2</v>
      </c>
      <c r="AR285" s="330">
        <f>Q_BS!AR46</f>
        <v>3.5000000000000003E-2</v>
      </c>
      <c r="AS285" s="330">
        <f>Q_BS!AS46</f>
        <v>3.5000000000000003E-2</v>
      </c>
      <c r="AT285" s="330">
        <f>Q_BS!AT46</f>
        <v>3.5000000000000003E-2</v>
      </c>
      <c r="AU285" s="330">
        <f>Q_BS!AU46</f>
        <v>3.5000000000000003E-2</v>
      </c>
      <c r="AV285" s="330">
        <f>Q_BS!AV46</f>
        <v>3.5000000000000003E-2</v>
      </c>
      <c r="AW285" s="330">
        <f>Q_BS!AW46</f>
        <v>3.5000000000000003E-2</v>
      </c>
      <c r="AX285" s="330">
        <f>Q_BS!AX46</f>
        <v>3.5000000000000003E-2</v>
      </c>
      <c r="AY285" s="330">
        <f>Q_BS!AY46</f>
        <v>3.5000000000000003E-2</v>
      </c>
      <c r="AZ285" s="330">
        <f>Q_BS!AZ46</f>
        <v>3.5000000000000003E-2</v>
      </c>
      <c r="BA285" s="330">
        <f>Q_BS!BA46</f>
        <v>3.5000000000000003E-2</v>
      </c>
      <c r="BB285" s="330">
        <f>Q_BS!BB46</f>
        <v>3.5000000000000003E-2</v>
      </c>
      <c r="BC285" s="330">
        <f>Q_BS!BC46</f>
        <v>3.5000000000000003E-2</v>
      </c>
      <c r="BD285" s="330">
        <f>Q_BS!BD46</f>
        <v>3.5000000000000003E-2</v>
      </c>
      <c r="BE285" s="330">
        <f>Q_BS!BE46</f>
        <v>3.5000000000000003E-2</v>
      </c>
      <c r="BF285" s="330">
        <f>Q_BS!BF46</f>
        <v>3.5000000000000003E-2</v>
      </c>
      <c r="BG285" s="330">
        <f>Q_BS!BG46</f>
        <v>3.5000000000000003E-2</v>
      </c>
      <c r="BH285" s="330">
        <f>Q_BS!BH46</f>
        <v>3.5000000000000003E-2</v>
      </c>
      <c r="BI285" s="330">
        <f>Q_BS!BI46</f>
        <v>3.5000000000000003E-2</v>
      </c>
      <c r="BJ285" s="330">
        <f>Q_BS!BJ46</f>
        <v>3.5000000000000003E-2</v>
      </c>
      <c r="BK285" s="1869">
        <f>Q_BS!BK46</f>
        <v>3.5000000000000003E-2</v>
      </c>
      <c r="BL285" s="575">
        <f t="shared" ref="BL285:BQ285" si="1727">CHOOSE(MASTERSWITCH,BL286,BL287,BL288)</f>
        <v>3.5000000000000003E-2</v>
      </c>
      <c r="BM285" s="575">
        <f t="shared" si="1727"/>
        <v>3.5000000000000003E-2</v>
      </c>
      <c r="BN285" s="575">
        <f t="shared" si="1727"/>
        <v>3.5000000000000003E-2</v>
      </c>
      <c r="BO285" s="575">
        <f t="shared" si="1727"/>
        <v>3.5000000000000003E-2</v>
      </c>
      <c r="BP285" s="575">
        <f t="shared" si="1727"/>
        <v>3.5000000000000003E-2</v>
      </c>
      <c r="BQ285" s="575">
        <f t="shared" si="1727"/>
        <v>3.5000000000000003E-2</v>
      </c>
      <c r="BR285" s="575">
        <f t="shared" ref="BR285:CK285" si="1728">CHOOSE(MASTERSWITCH,BR286,BR287,BR288)</f>
        <v>3.5000000000000003E-2</v>
      </c>
      <c r="BS285" s="575">
        <f t="shared" si="1728"/>
        <v>3.5000000000000003E-2</v>
      </c>
      <c r="BT285" s="575">
        <f t="shared" si="1728"/>
        <v>3.5000000000000003E-2</v>
      </c>
      <c r="BU285" s="575">
        <f t="shared" si="1728"/>
        <v>3.5000000000000003E-2</v>
      </c>
      <c r="BV285" s="575">
        <f t="shared" si="1728"/>
        <v>3.5000000000000003E-2</v>
      </c>
      <c r="BW285" s="575">
        <f t="shared" si="1728"/>
        <v>3.5000000000000003E-2</v>
      </c>
      <c r="BX285" s="575">
        <f t="shared" si="1728"/>
        <v>3.5000000000000003E-2</v>
      </c>
      <c r="BY285" s="575">
        <f t="shared" si="1728"/>
        <v>3.5000000000000003E-2</v>
      </c>
      <c r="BZ285" s="575">
        <f t="shared" si="1728"/>
        <v>3.8197659574468086E-2</v>
      </c>
      <c r="CA285" s="575">
        <f t="shared" si="1728"/>
        <v>3.8453333333333339E-2</v>
      </c>
      <c r="CB285" s="575">
        <f t="shared" si="1728"/>
        <v>3.8453333333333339E-2</v>
      </c>
      <c r="CC285" s="575">
        <f t="shared" si="1728"/>
        <v>3.8453333333333339E-2</v>
      </c>
      <c r="CD285" s="575">
        <f t="shared" si="1728"/>
        <v>4.1555678723404252E-2</v>
      </c>
      <c r="CE285" s="575">
        <f t="shared" si="1728"/>
        <v>4.2082366666666676E-2</v>
      </c>
      <c r="CF285" s="575">
        <f t="shared" si="1728"/>
        <v>4.2082366666666676E-2</v>
      </c>
      <c r="CG285" s="575">
        <f t="shared" si="1728"/>
        <v>4.2082366666666676E-2</v>
      </c>
      <c r="CH285" s="575">
        <f t="shared" si="1728"/>
        <v>4.5080801127659574E-2</v>
      </c>
      <c r="CI285" s="575">
        <f t="shared" si="1728"/>
        <v>4.5894534000000008E-2</v>
      </c>
      <c r="CJ285" s="575">
        <f t="shared" si="1728"/>
        <v>4.5894534000000008E-2</v>
      </c>
      <c r="CK285" s="575">
        <f t="shared" si="1728"/>
        <v>4.5894534000000008E-2</v>
      </c>
      <c r="CL285" s="575">
        <f t="shared" ref="CL285:CP285" si="1729">CHOOSE(MASTERSWITCH,CL286,CL287,CL288)</f>
        <v>4.878003076531915E-2</v>
      </c>
      <c r="CM285" s="575">
        <f t="shared" si="1729"/>
        <v>4.9897557243333342E-2</v>
      </c>
      <c r="CN285" s="575">
        <f t="shared" si="1729"/>
        <v>4.9897557243333342E-2</v>
      </c>
      <c r="CO285" s="575">
        <f t="shared" si="1729"/>
        <v>4.9897557243333342E-2</v>
      </c>
      <c r="CP285" s="575">
        <f t="shared" si="1729"/>
        <v>5.2660641460223402E-2</v>
      </c>
      <c r="CQ285" s="575">
        <f t="shared" ref="CQ285:CU285" si="1730">CHOOSE(MASTERSWITCH,CQ286,CQ287,CQ288)</f>
        <v>5.4099456800666676E-2</v>
      </c>
      <c r="CR285" s="575">
        <f t="shared" si="1730"/>
        <v>5.4099456800666676E-2</v>
      </c>
      <c r="CS285" s="575">
        <f t="shared" si="1730"/>
        <v>5.4099456800666676E-2</v>
      </c>
      <c r="CT285" s="575">
        <f t="shared" si="1730"/>
        <v>5.6730186769133134E-2</v>
      </c>
      <c r="CU285" s="575">
        <f t="shared" si="1730"/>
        <v>5.850856252992101E-2</v>
      </c>
      <c r="CV285" s="575">
        <f t="shared" ref="CV285:CW285" si="1731">CHOOSE(MASTERSWITCH,CV286,CV287,CV288)</f>
        <v>5.850856252992101E-2</v>
      </c>
      <c r="CW285" s="575">
        <f t="shared" si="1731"/>
        <v>5.850856252992101E-2</v>
      </c>
      <c r="CX285" s="269"/>
      <c r="CY285" s="269"/>
    </row>
    <row r="286" spans="1:106">
      <c r="A286" s="42" t="s">
        <v>571</v>
      </c>
      <c r="B286" s="392"/>
      <c r="C286" s="392"/>
      <c r="D286" s="392"/>
      <c r="E286" s="393"/>
      <c r="F286" s="84">
        <f>F285</f>
        <v>3.1496512034808563E-2</v>
      </c>
      <c r="G286" s="84">
        <f>G285</f>
        <v>3.2256858846918493E-2</v>
      </c>
      <c r="H286" s="84">
        <f>H285</f>
        <v>3.192589584238463E-2</v>
      </c>
      <c r="I286" s="84">
        <f>I285</f>
        <v>3.1615875773970487E-2</v>
      </c>
      <c r="J286" s="84">
        <f t="shared" ref="J286:AA286" si="1732">J285</f>
        <v>3.7103435630399965E-2</v>
      </c>
      <c r="K286" s="84">
        <f t="shared" si="1732"/>
        <v>3.6595531541882914E-2</v>
      </c>
      <c r="L286" s="84">
        <f t="shared" si="1732"/>
        <v>3.5264962783504383E-2</v>
      </c>
      <c r="M286" s="84">
        <f t="shared" si="1732"/>
        <v>3.413854393715858E-2</v>
      </c>
      <c r="N286" s="84">
        <f t="shared" si="1732"/>
        <v>3.0194864100540827E-2</v>
      </c>
      <c r="O286" s="84">
        <f t="shared" si="1732"/>
        <v>2.9221376432826161E-2</v>
      </c>
      <c r="P286" s="84">
        <f t="shared" si="1732"/>
        <v>2.8588861688906238E-2</v>
      </c>
      <c r="Q286" s="84">
        <f t="shared" si="1732"/>
        <v>2.8285688849801507E-2</v>
      </c>
      <c r="R286" s="84">
        <f t="shared" si="1732"/>
        <v>3.1395670047817244E-2</v>
      </c>
      <c r="S286" s="84">
        <f t="shared" si="1732"/>
        <v>3.1804218189328048E-2</v>
      </c>
      <c r="T286" s="84">
        <f t="shared" si="1732"/>
        <v>2.8922815288618953E-2</v>
      </c>
      <c r="U286" s="84">
        <f t="shared" si="1732"/>
        <v>2.7659474155678845E-2</v>
      </c>
      <c r="V286" s="84">
        <f t="shared" si="1732"/>
        <v>3.5000000000000003E-2</v>
      </c>
      <c r="W286" s="84">
        <f t="shared" si="1732"/>
        <v>3.5000000000000003E-2</v>
      </c>
      <c r="X286" s="84">
        <f t="shared" si="1732"/>
        <v>3.5000000000000003E-2</v>
      </c>
      <c r="Y286" s="84">
        <f t="shared" si="1732"/>
        <v>3.5000000000000003E-2</v>
      </c>
      <c r="Z286" s="84">
        <f t="shared" si="1732"/>
        <v>3.5000000000000003E-2</v>
      </c>
      <c r="AA286" s="84">
        <f t="shared" si="1732"/>
        <v>3.5000000000000003E-2</v>
      </c>
      <c r="AB286" s="84">
        <f t="shared" ref="AB286:AM286" si="1733">AB285</f>
        <v>3.5000000000000003E-2</v>
      </c>
      <c r="AC286" s="84">
        <f t="shared" si="1733"/>
        <v>3.5000000000000003E-2</v>
      </c>
      <c r="AD286" s="84">
        <f t="shared" si="1733"/>
        <v>3.5000000000000003E-2</v>
      </c>
      <c r="AE286" s="84">
        <f t="shared" si="1733"/>
        <v>3.5000000000000003E-2</v>
      </c>
      <c r="AF286" s="84">
        <f t="shared" si="1733"/>
        <v>3.5000000000000003E-2</v>
      </c>
      <c r="AG286" s="84">
        <f t="shared" si="1733"/>
        <v>3.5000000000000003E-2</v>
      </c>
      <c r="AH286" s="84">
        <f t="shared" si="1733"/>
        <v>3.5000000000000003E-2</v>
      </c>
      <c r="AI286" s="84">
        <f t="shared" si="1733"/>
        <v>3.5000000000000003E-2</v>
      </c>
      <c r="AJ286" s="84">
        <f t="shared" si="1733"/>
        <v>3.5000000000000003E-2</v>
      </c>
      <c r="AK286" s="84">
        <f t="shared" si="1733"/>
        <v>3.5000000000000003E-2</v>
      </c>
      <c r="AL286" s="84">
        <f t="shared" si="1733"/>
        <v>3.5000000000000003E-2</v>
      </c>
      <c r="AM286" s="84">
        <f t="shared" si="1733"/>
        <v>3.5000000000000003E-2</v>
      </c>
      <c r="AN286" s="84">
        <f t="shared" ref="AN286:AS286" si="1734">AN285</f>
        <v>3.5000000000000003E-2</v>
      </c>
      <c r="AO286" s="84">
        <f t="shared" si="1734"/>
        <v>3.5000000000000003E-2</v>
      </c>
      <c r="AP286" s="84">
        <f t="shared" si="1734"/>
        <v>3.5000000000000003E-2</v>
      </c>
      <c r="AQ286" s="84">
        <f t="shared" si="1734"/>
        <v>3.5000000000000003E-2</v>
      </c>
      <c r="AR286" s="84">
        <f t="shared" si="1734"/>
        <v>3.5000000000000003E-2</v>
      </c>
      <c r="AS286" s="84">
        <f t="shared" si="1734"/>
        <v>3.5000000000000003E-2</v>
      </c>
      <c r="AT286" s="84">
        <f t="shared" ref="AT286:BC286" si="1735">AT285</f>
        <v>3.5000000000000003E-2</v>
      </c>
      <c r="AU286" s="84">
        <f t="shared" si="1735"/>
        <v>3.5000000000000003E-2</v>
      </c>
      <c r="AV286" s="84">
        <f t="shared" si="1735"/>
        <v>3.5000000000000003E-2</v>
      </c>
      <c r="AW286" s="84">
        <f t="shared" si="1735"/>
        <v>3.5000000000000003E-2</v>
      </c>
      <c r="AX286" s="84">
        <f t="shared" si="1735"/>
        <v>3.5000000000000003E-2</v>
      </c>
      <c r="AY286" s="84">
        <f t="shared" si="1735"/>
        <v>3.5000000000000003E-2</v>
      </c>
      <c r="AZ286" s="84">
        <f t="shared" si="1735"/>
        <v>3.5000000000000003E-2</v>
      </c>
      <c r="BA286" s="84">
        <f t="shared" si="1735"/>
        <v>3.5000000000000003E-2</v>
      </c>
      <c r="BB286" s="84">
        <f t="shared" si="1735"/>
        <v>3.5000000000000003E-2</v>
      </c>
      <c r="BC286" s="84">
        <f t="shared" si="1735"/>
        <v>3.5000000000000003E-2</v>
      </c>
      <c r="BD286" s="84">
        <f t="shared" ref="BD286:BI286" si="1736">BD285</f>
        <v>3.5000000000000003E-2</v>
      </c>
      <c r="BE286" s="84">
        <f t="shared" si="1736"/>
        <v>3.5000000000000003E-2</v>
      </c>
      <c r="BF286" s="84">
        <f t="shared" si="1736"/>
        <v>3.5000000000000003E-2</v>
      </c>
      <c r="BG286" s="84">
        <f t="shared" si="1736"/>
        <v>3.5000000000000003E-2</v>
      </c>
      <c r="BH286" s="84">
        <f t="shared" si="1736"/>
        <v>3.5000000000000003E-2</v>
      </c>
      <c r="BI286" s="84">
        <f t="shared" si="1736"/>
        <v>3.5000000000000003E-2</v>
      </c>
      <c r="BJ286" s="84">
        <f t="shared" ref="BJ286:BK286" si="1737">BJ285</f>
        <v>3.5000000000000003E-2</v>
      </c>
      <c r="BK286" s="801">
        <f t="shared" si="1737"/>
        <v>3.5000000000000003E-2</v>
      </c>
      <c r="BL286" s="305">
        <f t="shared" ref="BL286:BP286" si="1738">BL287+$CY286</f>
        <v>3.5000000000000003E-2</v>
      </c>
      <c r="BM286" s="305">
        <f t="shared" si="1738"/>
        <v>3.5000000000000003E-2</v>
      </c>
      <c r="BN286" s="305">
        <f t="shared" si="1738"/>
        <v>3.5000000000000003E-2</v>
      </c>
      <c r="BO286" s="305">
        <f t="shared" si="1738"/>
        <v>3.5000000000000003E-2</v>
      </c>
      <c r="BP286" s="305">
        <f t="shared" si="1738"/>
        <v>3.5000000000000003E-2</v>
      </c>
      <c r="BQ286" s="305">
        <f t="shared" ref="BQ286:BY286" si="1739">BQ287+$CY286</f>
        <v>3.5000000000000003E-2</v>
      </c>
      <c r="BR286" s="305">
        <f t="shared" si="1739"/>
        <v>3.5000000000000003E-2</v>
      </c>
      <c r="BS286" s="305">
        <f t="shared" si="1739"/>
        <v>3.5000000000000003E-2</v>
      </c>
      <c r="BT286" s="305">
        <f t="shared" si="1739"/>
        <v>3.5000000000000003E-2</v>
      </c>
      <c r="BU286" s="305">
        <f t="shared" si="1739"/>
        <v>3.5000000000000003E-2</v>
      </c>
      <c r="BV286" s="305">
        <f t="shared" si="1739"/>
        <v>3.5000000000000003E-2</v>
      </c>
      <c r="BW286" s="305">
        <f t="shared" si="1739"/>
        <v>3.5000000000000003E-2</v>
      </c>
      <c r="BX286" s="305">
        <f t="shared" si="1739"/>
        <v>3.5000000000000003E-2</v>
      </c>
      <c r="BY286" s="305">
        <f t="shared" si="1739"/>
        <v>3.5000000000000003E-2</v>
      </c>
      <c r="BZ286" s="305">
        <f t="shared" ref="BZ286:CU286" si="1740">BZ287+$CZ286</f>
        <v>3.8197659574468086E-2</v>
      </c>
      <c r="CA286" s="305">
        <f t="shared" si="1740"/>
        <v>3.8453333333333339E-2</v>
      </c>
      <c r="CB286" s="305">
        <f t="shared" si="1740"/>
        <v>3.8453333333333339E-2</v>
      </c>
      <c r="CC286" s="305">
        <f t="shared" si="1740"/>
        <v>3.8453333333333339E-2</v>
      </c>
      <c r="CD286" s="305">
        <f t="shared" si="1740"/>
        <v>4.1555678723404252E-2</v>
      </c>
      <c r="CE286" s="305">
        <f t="shared" si="1740"/>
        <v>4.2082366666666676E-2</v>
      </c>
      <c r="CF286" s="305">
        <f t="shared" si="1740"/>
        <v>4.2082366666666676E-2</v>
      </c>
      <c r="CG286" s="305">
        <f t="shared" si="1740"/>
        <v>4.2082366666666676E-2</v>
      </c>
      <c r="CH286" s="305">
        <f t="shared" si="1740"/>
        <v>4.5080801127659574E-2</v>
      </c>
      <c r="CI286" s="305">
        <f t="shared" si="1740"/>
        <v>4.5894534000000008E-2</v>
      </c>
      <c r="CJ286" s="305">
        <f t="shared" si="1740"/>
        <v>4.5894534000000008E-2</v>
      </c>
      <c r="CK286" s="305">
        <f t="shared" si="1740"/>
        <v>4.5894534000000008E-2</v>
      </c>
      <c r="CL286" s="305">
        <f t="shared" si="1740"/>
        <v>4.878003076531915E-2</v>
      </c>
      <c r="CM286" s="305">
        <f t="shared" si="1740"/>
        <v>4.9897557243333342E-2</v>
      </c>
      <c r="CN286" s="305">
        <f t="shared" si="1740"/>
        <v>4.9897557243333342E-2</v>
      </c>
      <c r="CO286" s="305">
        <f t="shared" si="1740"/>
        <v>4.9897557243333342E-2</v>
      </c>
      <c r="CP286" s="305">
        <f t="shared" si="1740"/>
        <v>5.2660641460223402E-2</v>
      </c>
      <c r="CQ286" s="305">
        <f t="shared" si="1740"/>
        <v>5.4099456800666676E-2</v>
      </c>
      <c r="CR286" s="305">
        <f t="shared" si="1740"/>
        <v>5.4099456800666676E-2</v>
      </c>
      <c r="CS286" s="305">
        <f t="shared" si="1740"/>
        <v>5.4099456800666676E-2</v>
      </c>
      <c r="CT286" s="305">
        <f t="shared" si="1740"/>
        <v>5.6730186769133134E-2</v>
      </c>
      <c r="CU286" s="305">
        <f t="shared" si="1740"/>
        <v>5.850856252992101E-2</v>
      </c>
      <c r="CV286" s="305">
        <f t="shared" ref="CV286:CW286" si="1741">CV287+$CZ286</f>
        <v>5.850856252992101E-2</v>
      </c>
      <c r="CW286" s="305">
        <f t="shared" si="1741"/>
        <v>5.850856252992101E-2</v>
      </c>
      <c r="CX286" s="269"/>
      <c r="CY286" s="559">
        <v>0</v>
      </c>
      <c r="CZ286" s="559">
        <v>0</v>
      </c>
      <c r="DB286" s="557"/>
    </row>
    <row r="287" spans="1:106">
      <c r="A287" s="42" t="s">
        <v>200</v>
      </c>
      <c r="B287" s="392"/>
      <c r="C287" s="392"/>
      <c r="D287" s="392"/>
      <c r="E287" s="394"/>
      <c r="F287" s="84">
        <f>F285</f>
        <v>3.1496512034808563E-2</v>
      </c>
      <c r="G287" s="84">
        <f>G285</f>
        <v>3.2256858846918493E-2</v>
      </c>
      <c r="H287" s="84">
        <f>H285</f>
        <v>3.192589584238463E-2</v>
      </c>
      <c r="I287" s="84">
        <f>I285</f>
        <v>3.1615875773970487E-2</v>
      </c>
      <c r="J287" s="84">
        <f t="shared" ref="J287:AA287" si="1742">J285</f>
        <v>3.7103435630399965E-2</v>
      </c>
      <c r="K287" s="84">
        <f t="shared" si="1742"/>
        <v>3.6595531541882914E-2</v>
      </c>
      <c r="L287" s="84">
        <f t="shared" si="1742"/>
        <v>3.5264962783504383E-2</v>
      </c>
      <c r="M287" s="84">
        <f t="shared" si="1742"/>
        <v>3.413854393715858E-2</v>
      </c>
      <c r="N287" s="84">
        <f t="shared" si="1742"/>
        <v>3.0194864100540827E-2</v>
      </c>
      <c r="O287" s="84">
        <f t="shared" si="1742"/>
        <v>2.9221376432826161E-2</v>
      </c>
      <c r="P287" s="84">
        <f t="shared" si="1742"/>
        <v>2.8588861688906238E-2</v>
      </c>
      <c r="Q287" s="84">
        <f t="shared" si="1742"/>
        <v>2.8285688849801507E-2</v>
      </c>
      <c r="R287" s="84">
        <f t="shared" si="1742"/>
        <v>3.1395670047817244E-2</v>
      </c>
      <c r="S287" s="84">
        <f t="shared" si="1742"/>
        <v>3.1804218189328048E-2</v>
      </c>
      <c r="T287" s="84">
        <f t="shared" si="1742"/>
        <v>2.8922815288618953E-2</v>
      </c>
      <c r="U287" s="84">
        <f t="shared" si="1742"/>
        <v>2.7659474155678845E-2</v>
      </c>
      <c r="V287" s="84">
        <f t="shared" si="1742"/>
        <v>3.5000000000000003E-2</v>
      </c>
      <c r="W287" s="84">
        <f t="shared" si="1742"/>
        <v>3.5000000000000003E-2</v>
      </c>
      <c r="X287" s="84">
        <f t="shared" si="1742"/>
        <v>3.5000000000000003E-2</v>
      </c>
      <c r="Y287" s="84">
        <f t="shared" si="1742"/>
        <v>3.5000000000000003E-2</v>
      </c>
      <c r="Z287" s="84">
        <f t="shared" si="1742"/>
        <v>3.5000000000000003E-2</v>
      </c>
      <c r="AA287" s="84">
        <f t="shared" si="1742"/>
        <v>3.5000000000000003E-2</v>
      </c>
      <c r="AB287" s="84">
        <f t="shared" ref="AB287:AM287" si="1743">AB285</f>
        <v>3.5000000000000003E-2</v>
      </c>
      <c r="AC287" s="84">
        <f t="shared" si="1743"/>
        <v>3.5000000000000003E-2</v>
      </c>
      <c r="AD287" s="84">
        <f t="shared" si="1743"/>
        <v>3.5000000000000003E-2</v>
      </c>
      <c r="AE287" s="84">
        <f t="shared" si="1743"/>
        <v>3.5000000000000003E-2</v>
      </c>
      <c r="AF287" s="84">
        <f t="shared" si="1743"/>
        <v>3.5000000000000003E-2</v>
      </c>
      <c r="AG287" s="84">
        <f t="shared" si="1743"/>
        <v>3.5000000000000003E-2</v>
      </c>
      <c r="AH287" s="84">
        <f t="shared" si="1743"/>
        <v>3.5000000000000003E-2</v>
      </c>
      <c r="AI287" s="84">
        <f t="shared" si="1743"/>
        <v>3.5000000000000003E-2</v>
      </c>
      <c r="AJ287" s="84">
        <f t="shared" si="1743"/>
        <v>3.5000000000000003E-2</v>
      </c>
      <c r="AK287" s="84">
        <f t="shared" si="1743"/>
        <v>3.5000000000000003E-2</v>
      </c>
      <c r="AL287" s="84">
        <f t="shared" si="1743"/>
        <v>3.5000000000000003E-2</v>
      </c>
      <c r="AM287" s="84">
        <f t="shared" si="1743"/>
        <v>3.5000000000000003E-2</v>
      </c>
      <c r="AN287" s="84">
        <f t="shared" ref="AN287:AS287" si="1744">AN285</f>
        <v>3.5000000000000003E-2</v>
      </c>
      <c r="AO287" s="84">
        <f t="shared" si="1744"/>
        <v>3.5000000000000003E-2</v>
      </c>
      <c r="AP287" s="84">
        <f t="shared" si="1744"/>
        <v>3.5000000000000003E-2</v>
      </c>
      <c r="AQ287" s="84">
        <f t="shared" si="1744"/>
        <v>3.5000000000000003E-2</v>
      </c>
      <c r="AR287" s="84">
        <f t="shared" si="1744"/>
        <v>3.5000000000000003E-2</v>
      </c>
      <c r="AS287" s="84">
        <f t="shared" si="1744"/>
        <v>3.5000000000000003E-2</v>
      </c>
      <c r="AT287" s="84">
        <f t="shared" ref="AT287:BC287" si="1745">AT285</f>
        <v>3.5000000000000003E-2</v>
      </c>
      <c r="AU287" s="84">
        <f t="shared" si="1745"/>
        <v>3.5000000000000003E-2</v>
      </c>
      <c r="AV287" s="84">
        <f t="shared" si="1745"/>
        <v>3.5000000000000003E-2</v>
      </c>
      <c r="AW287" s="84">
        <f t="shared" si="1745"/>
        <v>3.5000000000000003E-2</v>
      </c>
      <c r="AX287" s="84">
        <f t="shared" si="1745"/>
        <v>3.5000000000000003E-2</v>
      </c>
      <c r="AY287" s="84">
        <f t="shared" si="1745"/>
        <v>3.5000000000000003E-2</v>
      </c>
      <c r="AZ287" s="84">
        <f t="shared" si="1745"/>
        <v>3.5000000000000003E-2</v>
      </c>
      <c r="BA287" s="84">
        <f t="shared" si="1745"/>
        <v>3.5000000000000003E-2</v>
      </c>
      <c r="BB287" s="84">
        <f t="shared" si="1745"/>
        <v>3.5000000000000003E-2</v>
      </c>
      <c r="BC287" s="84">
        <f t="shared" si="1745"/>
        <v>3.5000000000000003E-2</v>
      </c>
      <c r="BD287" s="84">
        <f t="shared" ref="BD287:BI287" si="1746">BD285</f>
        <v>3.5000000000000003E-2</v>
      </c>
      <c r="BE287" s="84">
        <f t="shared" si="1746"/>
        <v>3.5000000000000003E-2</v>
      </c>
      <c r="BF287" s="84">
        <f t="shared" si="1746"/>
        <v>3.5000000000000003E-2</v>
      </c>
      <c r="BG287" s="84">
        <f t="shared" si="1746"/>
        <v>3.5000000000000003E-2</v>
      </c>
      <c r="BH287" s="84">
        <f t="shared" si="1746"/>
        <v>3.5000000000000003E-2</v>
      </c>
      <c r="BI287" s="84">
        <f t="shared" si="1746"/>
        <v>3.5000000000000003E-2</v>
      </c>
      <c r="BJ287" s="84">
        <f t="shared" ref="BJ287:BK287" si="1747">BJ285</f>
        <v>3.5000000000000003E-2</v>
      </c>
      <c r="BK287" s="801">
        <f t="shared" si="1747"/>
        <v>3.5000000000000003E-2</v>
      </c>
      <c r="BL287" s="560">
        <f>BK287</f>
        <v>3.5000000000000003E-2</v>
      </c>
      <c r="BM287" s="560">
        <f t="shared" ref="BM287:BU287" si="1748">BL287</f>
        <v>3.5000000000000003E-2</v>
      </c>
      <c r="BN287" s="560">
        <f t="shared" si="1748"/>
        <v>3.5000000000000003E-2</v>
      </c>
      <c r="BO287" s="560">
        <f t="shared" si="1748"/>
        <v>3.5000000000000003E-2</v>
      </c>
      <c r="BP287" s="560">
        <f t="shared" si="1748"/>
        <v>3.5000000000000003E-2</v>
      </c>
      <c r="BQ287" s="560">
        <f t="shared" si="1748"/>
        <v>3.5000000000000003E-2</v>
      </c>
      <c r="BR287" s="560">
        <f t="shared" si="1748"/>
        <v>3.5000000000000003E-2</v>
      </c>
      <c r="BS287" s="560">
        <f t="shared" si="1748"/>
        <v>3.5000000000000003E-2</v>
      </c>
      <c r="BT287" s="560">
        <f t="shared" si="1748"/>
        <v>3.5000000000000003E-2</v>
      </c>
      <c r="BU287" s="560">
        <f t="shared" si="1748"/>
        <v>3.5000000000000003E-2</v>
      </c>
      <c r="BV287" s="1879">
        <v>3.5000000000000003E-2</v>
      </c>
      <c r="BW287" s="1879">
        <f>BV287</f>
        <v>3.5000000000000003E-2</v>
      </c>
      <c r="BX287" s="1879">
        <f>BW287</f>
        <v>3.5000000000000003E-2</v>
      </c>
      <c r="BY287" s="560">
        <f t="shared" ref="BY287" si="1749">BX287</f>
        <v>3.5000000000000003E-2</v>
      </c>
      <c r="BZ287" s="560">
        <f t="shared" ref="BZ287:CV287" si="1750">BV287/BV277*BZ277*$CZ$287</f>
        <v>3.8197659574468086E-2</v>
      </c>
      <c r="CA287" s="560">
        <f t="shared" si="1750"/>
        <v>3.8453333333333339E-2</v>
      </c>
      <c r="CB287" s="560">
        <f t="shared" si="1750"/>
        <v>3.8453333333333339E-2</v>
      </c>
      <c r="CC287" s="1879">
        <f t="shared" si="1750"/>
        <v>3.8453333333333339E-2</v>
      </c>
      <c r="CD287" s="560">
        <f t="shared" si="1750"/>
        <v>4.1555678723404252E-2</v>
      </c>
      <c r="CE287" s="560">
        <f t="shared" si="1750"/>
        <v>4.2082366666666676E-2</v>
      </c>
      <c r="CF287" s="560">
        <f t="shared" si="1750"/>
        <v>4.2082366666666676E-2</v>
      </c>
      <c r="CG287" s="560">
        <f t="shared" si="1750"/>
        <v>4.2082366666666676E-2</v>
      </c>
      <c r="CH287" s="1879">
        <f t="shared" si="1750"/>
        <v>4.5080801127659574E-2</v>
      </c>
      <c r="CI287" s="560">
        <f t="shared" si="1750"/>
        <v>4.5894534000000008E-2</v>
      </c>
      <c r="CJ287" s="560">
        <f t="shared" si="1750"/>
        <v>4.5894534000000008E-2</v>
      </c>
      <c r="CK287" s="560">
        <f t="shared" si="1750"/>
        <v>4.5894534000000008E-2</v>
      </c>
      <c r="CL287" s="560">
        <f t="shared" si="1750"/>
        <v>4.878003076531915E-2</v>
      </c>
      <c r="CM287" s="560">
        <f t="shared" si="1750"/>
        <v>4.9897557243333342E-2</v>
      </c>
      <c r="CN287" s="560">
        <f t="shared" si="1750"/>
        <v>4.9897557243333342E-2</v>
      </c>
      <c r="CO287" s="560">
        <f t="shared" si="1750"/>
        <v>4.9897557243333342E-2</v>
      </c>
      <c r="CP287" s="560">
        <f t="shared" si="1750"/>
        <v>5.2660641460223402E-2</v>
      </c>
      <c r="CQ287" s="560">
        <f t="shared" si="1750"/>
        <v>5.4099456800666676E-2</v>
      </c>
      <c r="CR287" s="560">
        <f t="shared" si="1750"/>
        <v>5.4099456800666676E-2</v>
      </c>
      <c r="CS287" s="560">
        <f t="shared" si="1750"/>
        <v>5.4099456800666676E-2</v>
      </c>
      <c r="CT287" s="560">
        <f t="shared" si="1750"/>
        <v>5.6730186769133134E-2</v>
      </c>
      <c r="CU287" s="560">
        <f t="shared" si="1750"/>
        <v>5.850856252992101E-2</v>
      </c>
      <c r="CV287" s="560">
        <f t="shared" si="1750"/>
        <v>5.850856252992101E-2</v>
      </c>
      <c r="CW287" s="560">
        <f>CS287/CS277*CW277*$CZ$287</f>
        <v>5.850856252992101E-2</v>
      </c>
      <c r="CX287" s="269"/>
      <c r="CZ287" s="559">
        <v>1.03</v>
      </c>
    </row>
    <row r="288" spans="1:106">
      <c r="A288" s="42" t="s">
        <v>202</v>
      </c>
      <c r="B288" s="392"/>
      <c r="C288" s="392"/>
      <c r="D288" s="392"/>
      <c r="E288" s="394"/>
      <c r="F288" s="84">
        <f>F285</f>
        <v>3.1496512034808563E-2</v>
      </c>
      <c r="G288" s="84">
        <f>G285</f>
        <v>3.2256858846918493E-2</v>
      </c>
      <c r="H288" s="84">
        <f>H285</f>
        <v>3.192589584238463E-2</v>
      </c>
      <c r="I288" s="84">
        <f>I285</f>
        <v>3.1615875773970487E-2</v>
      </c>
      <c r="J288" s="84">
        <f t="shared" ref="J288:AA288" si="1751">J285</f>
        <v>3.7103435630399965E-2</v>
      </c>
      <c r="K288" s="84">
        <f t="shared" si="1751"/>
        <v>3.6595531541882914E-2</v>
      </c>
      <c r="L288" s="84">
        <f t="shared" si="1751"/>
        <v>3.5264962783504383E-2</v>
      </c>
      <c r="M288" s="84">
        <f t="shared" si="1751"/>
        <v>3.413854393715858E-2</v>
      </c>
      <c r="N288" s="84">
        <f t="shared" si="1751"/>
        <v>3.0194864100540827E-2</v>
      </c>
      <c r="O288" s="84">
        <f t="shared" si="1751"/>
        <v>2.9221376432826161E-2</v>
      </c>
      <c r="P288" s="84">
        <f t="shared" si="1751"/>
        <v>2.8588861688906238E-2</v>
      </c>
      <c r="Q288" s="84">
        <f t="shared" si="1751"/>
        <v>2.8285688849801507E-2</v>
      </c>
      <c r="R288" s="84">
        <f t="shared" si="1751"/>
        <v>3.1395670047817244E-2</v>
      </c>
      <c r="S288" s="84">
        <f t="shared" si="1751"/>
        <v>3.1804218189328048E-2</v>
      </c>
      <c r="T288" s="84">
        <f t="shared" si="1751"/>
        <v>2.8922815288618953E-2</v>
      </c>
      <c r="U288" s="84">
        <f t="shared" si="1751"/>
        <v>2.7659474155678845E-2</v>
      </c>
      <c r="V288" s="84">
        <f t="shared" si="1751"/>
        <v>3.5000000000000003E-2</v>
      </c>
      <c r="W288" s="84">
        <f t="shared" si="1751"/>
        <v>3.5000000000000003E-2</v>
      </c>
      <c r="X288" s="84">
        <f t="shared" si="1751"/>
        <v>3.5000000000000003E-2</v>
      </c>
      <c r="Y288" s="84">
        <f t="shared" si="1751"/>
        <v>3.5000000000000003E-2</v>
      </c>
      <c r="Z288" s="84">
        <f t="shared" si="1751"/>
        <v>3.5000000000000003E-2</v>
      </c>
      <c r="AA288" s="84">
        <f t="shared" si="1751"/>
        <v>3.5000000000000003E-2</v>
      </c>
      <c r="AB288" s="84">
        <f t="shared" ref="AB288:AM288" si="1752">AB285</f>
        <v>3.5000000000000003E-2</v>
      </c>
      <c r="AC288" s="84">
        <f t="shared" si="1752"/>
        <v>3.5000000000000003E-2</v>
      </c>
      <c r="AD288" s="84">
        <f t="shared" si="1752"/>
        <v>3.5000000000000003E-2</v>
      </c>
      <c r="AE288" s="84">
        <f t="shared" si="1752"/>
        <v>3.5000000000000003E-2</v>
      </c>
      <c r="AF288" s="84">
        <f t="shared" si="1752"/>
        <v>3.5000000000000003E-2</v>
      </c>
      <c r="AG288" s="84">
        <f t="shared" si="1752"/>
        <v>3.5000000000000003E-2</v>
      </c>
      <c r="AH288" s="84">
        <f t="shared" si="1752"/>
        <v>3.5000000000000003E-2</v>
      </c>
      <c r="AI288" s="84">
        <f t="shared" si="1752"/>
        <v>3.5000000000000003E-2</v>
      </c>
      <c r="AJ288" s="84">
        <f t="shared" si="1752"/>
        <v>3.5000000000000003E-2</v>
      </c>
      <c r="AK288" s="84">
        <f t="shared" si="1752"/>
        <v>3.5000000000000003E-2</v>
      </c>
      <c r="AL288" s="84">
        <f t="shared" si="1752"/>
        <v>3.5000000000000003E-2</v>
      </c>
      <c r="AM288" s="84">
        <f t="shared" si="1752"/>
        <v>3.5000000000000003E-2</v>
      </c>
      <c r="AN288" s="84">
        <f t="shared" ref="AN288:AS288" si="1753">AN285</f>
        <v>3.5000000000000003E-2</v>
      </c>
      <c r="AO288" s="84">
        <f t="shared" si="1753"/>
        <v>3.5000000000000003E-2</v>
      </c>
      <c r="AP288" s="84">
        <f t="shared" si="1753"/>
        <v>3.5000000000000003E-2</v>
      </c>
      <c r="AQ288" s="84">
        <f t="shared" si="1753"/>
        <v>3.5000000000000003E-2</v>
      </c>
      <c r="AR288" s="84">
        <f t="shared" si="1753"/>
        <v>3.5000000000000003E-2</v>
      </c>
      <c r="AS288" s="84">
        <f t="shared" si="1753"/>
        <v>3.5000000000000003E-2</v>
      </c>
      <c r="AT288" s="84">
        <f t="shared" ref="AT288:BC288" si="1754">AT285</f>
        <v>3.5000000000000003E-2</v>
      </c>
      <c r="AU288" s="84">
        <f t="shared" si="1754"/>
        <v>3.5000000000000003E-2</v>
      </c>
      <c r="AV288" s="84">
        <f t="shared" si="1754"/>
        <v>3.5000000000000003E-2</v>
      </c>
      <c r="AW288" s="84">
        <f t="shared" si="1754"/>
        <v>3.5000000000000003E-2</v>
      </c>
      <c r="AX288" s="84">
        <f t="shared" si="1754"/>
        <v>3.5000000000000003E-2</v>
      </c>
      <c r="AY288" s="84">
        <f t="shared" si="1754"/>
        <v>3.5000000000000003E-2</v>
      </c>
      <c r="AZ288" s="84">
        <f t="shared" si="1754"/>
        <v>3.5000000000000003E-2</v>
      </c>
      <c r="BA288" s="84">
        <f t="shared" si="1754"/>
        <v>3.5000000000000003E-2</v>
      </c>
      <c r="BB288" s="84">
        <f t="shared" si="1754"/>
        <v>3.5000000000000003E-2</v>
      </c>
      <c r="BC288" s="84">
        <f t="shared" si="1754"/>
        <v>3.5000000000000003E-2</v>
      </c>
      <c r="BD288" s="84">
        <f t="shared" ref="BD288:BI288" si="1755">BD285</f>
        <v>3.5000000000000003E-2</v>
      </c>
      <c r="BE288" s="84">
        <f t="shared" si="1755"/>
        <v>3.5000000000000003E-2</v>
      </c>
      <c r="BF288" s="84">
        <f t="shared" si="1755"/>
        <v>3.5000000000000003E-2</v>
      </c>
      <c r="BG288" s="84">
        <f t="shared" si="1755"/>
        <v>3.5000000000000003E-2</v>
      </c>
      <c r="BH288" s="84">
        <f t="shared" si="1755"/>
        <v>3.5000000000000003E-2</v>
      </c>
      <c r="BI288" s="84">
        <f t="shared" si="1755"/>
        <v>3.5000000000000003E-2</v>
      </c>
      <c r="BJ288" s="84">
        <f t="shared" ref="BJ288:BK288" si="1756">BJ285</f>
        <v>3.5000000000000003E-2</v>
      </c>
      <c r="BK288" s="801">
        <f t="shared" si="1756"/>
        <v>3.5000000000000003E-2</v>
      </c>
      <c r="BL288" s="305">
        <f t="shared" ref="BL288:BP288" si="1757">BL287+$CY288</f>
        <v>3.5000000000000003E-2</v>
      </c>
      <c r="BM288" s="305">
        <f t="shared" si="1757"/>
        <v>3.5000000000000003E-2</v>
      </c>
      <c r="BN288" s="305">
        <f t="shared" si="1757"/>
        <v>3.5000000000000003E-2</v>
      </c>
      <c r="BO288" s="305">
        <f t="shared" si="1757"/>
        <v>3.5000000000000003E-2</v>
      </c>
      <c r="BP288" s="305">
        <f t="shared" si="1757"/>
        <v>3.5000000000000003E-2</v>
      </c>
      <c r="BQ288" s="305">
        <f t="shared" ref="BQ288:BY288" si="1758">BQ287+$CY288</f>
        <v>3.5000000000000003E-2</v>
      </c>
      <c r="BR288" s="305">
        <f t="shared" si="1758"/>
        <v>3.5000000000000003E-2</v>
      </c>
      <c r="BS288" s="305">
        <f t="shared" si="1758"/>
        <v>3.5000000000000003E-2</v>
      </c>
      <c r="BT288" s="305">
        <f t="shared" si="1758"/>
        <v>3.5000000000000003E-2</v>
      </c>
      <c r="BU288" s="305">
        <f t="shared" si="1758"/>
        <v>3.5000000000000003E-2</v>
      </c>
      <c r="BV288" s="305">
        <f t="shared" si="1758"/>
        <v>3.5000000000000003E-2</v>
      </c>
      <c r="BW288" s="305">
        <f t="shared" si="1758"/>
        <v>3.5000000000000003E-2</v>
      </c>
      <c r="BX288" s="305">
        <f t="shared" si="1758"/>
        <v>3.5000000000000003E-2</v>
      </c>
      <c r="BY288" s="305">
        <f t="shared" si="1758"/>
        <v>3.5000000000000003E-2</v>
      </c>
      <c r="BZ288" s="305">
        <f t="shared" ref="BZ288:CU288" si="1759">BZ287+$CZ288</f>
        <v>3.8197659574468086E-2</v>
      </c>
      <c r="CA288" s="305">
        <f t="shared" si="1759"/>
        <v>3.8453333333333339E-2</v>
      </c>
      <c r="CB288" s="305">
        <f t="shared" si="1759"/>
        <v>3.8453333333333339E-2</v>
      </c>
      <c r="CC288" s="305">
        <f t="shared" si="1759"/>
        <v>3.8453333333333339E-2</v>
      </c>
      <c r="CD288" s="305">
        <f t="shared" si="1759"/>
        <v>4.1555678723404252E-2</v>
      </c>
      <c r="CE288" s="305">
        <f t="shared" si="1759"/>
        <v>4.2082366666666676E-2</v>
      </c>
      <c r="CF288" s="305">
        <f t="shared" si="1759"/>
        <v>4.2082366666666676E-2</v>
      </c>
      <c r="CG288" s="305">
        <f t="shared" si="1759"/>
        <v>4.2082366666666676E-2</v>
      </c>
      <c r="CH288" s="305">
        <f t="shared" si="1759"/>
        <v>4.5080801127659574E-2</v>
      </c>
      <c r="CI288" s="305">
        <f t="shared" si="1759"/>
        <v>4.5894534000000008E-2</v>
      </c>
      <c r="CJ288" s="305">
        <f t="shared" si="1759"/>
        <v>4.5894534000000008E-2</v>
      </c>
      <c r="CK288" s="305">
        <f t="shared" si="1759"/>
        <v>4.5894534000000008E-2</v>
      </c>
      <c r="CL288" s="305">
        <f t="shared" si="1759"/>
        <v>4.878003076531915E-2</v>
      </c>
      <c r="CM288" s="305">
        <f t="shared" si="1759"/>
        <v>4.9897557243333342E-2</v>
      </c>
      <c r="CN288" s="305">
        <f t="shared" si="1759"/>
        <v>4.9897557243333342E-2</v>
      </c>
      <c r="CO288" s="305">
        <f t="shared" si="1759"/>
        <v>4.9897557243333342E-2</v>
      </c>
      <c r="CP288" s="305">
        <f t="shared" si="1759"/>
        <v>5.2660641460223402E-2</v>
      </c>
      <c r="CQ288" s="305">
        <f t="shared" si="1759"/>
        <v>5.4099456800666676E-2</v>
      </c>
      <c r="CR288" s="305">
        <f t="shared" si="1759"/>
        <v>5.4099456800666676E-2</v>
      </c>
      <c r="CS288" s="305">
        <f t="shared" si="1759"/>
        <v>5.4099456800666676E-2</v>
      </c>
      <c r="CT288" s="305">
        <f t="shared" si="1759"/>
        <v>5.6730186769133134E-2</v>
      </c>
      <c r="CU288" s="305">
        <f t="shared" si="1759"/>
        <v>5.850856252992101E-2</v>
      </c>
      <c r="CV288" s="305">
        <f t="shared" ref="CV288:CW288" si="1760">CV287+$CZ288</f>
        <v>5.850856252992101E-2</v>
      </c>
      <c r="CW288" s="305">
        <f t="shared" si="1760"/>
        <v>5.850856252992101E-2</v>
      </c>
      <c r="CX288" s="269"/>
      <c r="CY288" s="559">
        <v>0</v>
      </c>
      <c r="CZ288" s="559">
        <v>0</v>
      </c>
    </row>
    <row r="289" spans="1:104">
      <c r="A289" s="91"/>
      <c r="B289" s="388"/>
      <c r="C289" s="388"/>
      <c r="D289" s="388"/>
      <c r="E289" s="388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574"/>
      <c r="AN289" s="574"/>
      <c r="AO289" s="574"/>
      <c r="AP289" s="574"/>
      <c r="AQ289" s="305"/>
      <c r="AR289" s="305"/>
      <c r="AS289" s="305"/>
      <c r="AT289" s="305"/>
      <c r="AU289" s="305"/>
      <c r="AV289" s="305"/>
      <c r="AW289" s="305"/>
      <c r="AX289" s="305"/>
      <c r="AY289" s="305"/>
      <c r="AZ289" s="305"/>
      <c r="BA289" s="305"/>
      <c r="BB289" s="305"/>
      <c r="BC289" s="305"/>
      <c r="BD289" s="305"/>
      <c r="BE289" s="305"/>
      <c r="BF289" s="305"/>
      <c r="BG289" s="305"/>
      <c r="BH289" s="305"/>
      <c r="BI289" s="305"/>
      <c r="BJ289" s="305"/>
      <c r="BK289" s="1870"/>
      <c r="BL289" s="305"/>
      <c r="BM289" s="305"/>
      <c r="BN289" s="305"/>
      <c r="BO289" s="305"/>
      <c r="BP289" s="305"/>
      <c r="BQ289" s="305"/>
      <c r="BR289" s="305"/>
      <c r="BS289" s="305"/>
      <c r="BT289" s="305"/>
      <c r="BU289" s="305"/>
      <c r="BV289" s="305"/>
      <c r="BW289" s="305"/>
      <c r="BX289" s="305"/>
      <c r="BY289" s="305"/>
      <c r="BZ289" s="305"/>
      <c r="CA289" s="305"/>
      <c r="CB289" s="305"/>
      <c r="CC289" s="305"/>
      <c r="CD289" s="305"/>
      <c r="CE289" s="305"/>
      <c r="CF289" s="305"/>
      <c r="CG289" s="305"/>
      <c r="CH289" s="305"/>
      <c r="CI289" s="305"/>
      <c r="CJ289" s="305"/>
      <c r="CK289" s="305"/>
      <c r="CL289" s="305"/>
      <c r="CM289" s="305"/>
      <c r="CN289" s="305"/>
      <c r="CO289" s="305"/>
      <c r="CP289" s="305"/>
      <c r="CQ289" s="305"/>
      <c r="CR289" s="305"/>
      <c r="CS289" s="305"/>
      <c r="CT289" s="305"/>
      <c r="CU289" s="305"/>
      <c r="CV289" s="305"/>
      <c r="CW289" s="305"/>
      <c r="CX289" s="269"/>
      <c r="CY289" s="269"/>
      <c r="CZ289" s="269"/>
    </row>
    <row r="290" spans="1:104">
      <c r="A290" s="43" t="s">
        <v>540</v>
      </c>
      <c r="B290" s="397"/>
      <c r="C290" s="397"/>
      <c r="D290" s="397"/>
      <c r="E290" s="397"/>
      <c r="F290" s="330">
        <f>Q_BS!F55</f>
        <v>7.8186832560951033E-2</v>
      </c>
      <c r="G290" s="330">
        <f>Q_BS!G55</f>
        <v>7.0937944102321168E-2</v>
      </c>
      <c r="H290" s="330">
        <f>Q_BS!H55</f>
        <v>7.5592591521780009E-2</v>
      </c>
      <c r="I290" s="330">
        <f>Q_BS!I55</f>
        <v>9.4023556334415781E-2</v>
      </c>
      <c r="J290" s="330">
        <f>Q_BS!J55</f>
        <v>6.9206592624383667E-2</v>
      </c>
      <c r="K290" s="330">
        <f>Q_BS!K55</f>
        <v>7.921217596459125E-2</v>
      </c>
      <c r="L290" s="330">
        <f>Q_BS!L55</f>
        <v>7.7639742841755732E-2</v>
      </c>
      <c r="M290" s="330">
        <f>Q_BS!M55</f>
        <v>7.7995900658485481E-2</v>
      </c>
      <c r="N290" s="330">
        <f>Q_BS!N55</f>
        <v>8.6519079481508471E-2</v>
      </c>
      <c r="O290" s="330">
        <f>Q_BS!O55</f>
        <v>3.8299068388028754E-2</v>
      </c>
      <c r="P290" s="330">
        <f>Q_BS!P55</f>
        <v>4.1734511149214545E-2</v>
      </c>
      <c r="Q290" s="330">
        <f>Q_BS!Q55</f>
        <v>4.3894656939537965E-2</v>
      </c>
      <c r="R290" s="330">
        <f>Q_BS!R55</f>
        <v>3.3445508779037778E-2</v>
      </c>
      <c r="S290" s="330">
        <f>Q_BS!S55</f>
        <v>4.4436968787053811E-2</v>
      </c>
      <c r="T290" s="330">
        <f>Q_BS!T55</f>
        <v>4.5988090329115189E-2</v>
      </c>
      <c r="U290" s="330">
        <f>Q_BS!U55</f>
        <v>3.3259689366023797E-2</v>
      </c>
      <c r="V290" s="330">
        <f>Q_BS!V55</f>
        <v>2.3330814168632821E-2</v>
      </c>
      <c r="W290" s="330">
        <f>Q_BS!W55</f>
        <v>4.4654284239183134E-2</v>
      </c>
      <c r="X290" s="330">
        <f>Q_BS!X55</f>
        <v>6.9617351874065236E-3</v>
      </c>
      <c r="Y290" s="330">
        <f>Q_BS!Y55</f>
        <v>1.3126851365828793E-2</v>
      </c>
      <c r="Z290" s="330">
        <f>Q_BS!Z55</f>
        <v>6.1111296192805781E-3</v>
      </c>
      <c r="AA290" s="330">
        <f>Q_BS!AA55</f>
        <v>7.6240249682023135E-3</v>
      </c>
      <c r="AB290" s="330">
        <f>Q_BS!AB55</f>
        <v>9.5838756182458577E-3</v>
      </c>
      <c r="AC290" s="330">
        <f>Q_BS!AC55</f>
        <v>1.4660583856773114E-2</v>
      </c>
      <c r="AD290" s="330">
        <f>Q_BS!AD55</f>
        <v>1.1745672246319623E-2</v>
      </c>
      <c r="AE290" s="330">
        <f>Q_BS!AE55</f>
        <v>1.2094139053409825E-2</v>
      </c>
      <c r="AF290" s="330">
        <f>Q_BS!AF55</f>
        <v>1.1011145994855772E-2</v>
      </c>
      <c r="AG290" s="330">
        <f>Q_BS!AG55</f>
        <v>1.5037190886634093E-2</v>
      </c>
      <c r="AH290" s="330">
        <f>Q_BS!AH55</f>
        <v>1.2841742370986745E-2</v>
      </c>
      <c r="AI290" s="330">
        <f>Q_BS!AI55</f>
        <v>1.1834620977619772E-2</v>
      </c>
      <c r="AJ290" s="330">
        <f>Q_BS!AJ55</f>
        <v>1.1272870427596081E-2</v>
      </c>
      <c r="AK290" s="330">
        <f>Q_BS!AK55</f>
        <v>1.5788067069961862E-2</v>
      </c>
      <c r="AL290" s="330">
        <f>Q_BS!AL55</f>
        <v>1.317164708751904E-2</v>
      </c>
      <c r="AM290" s="330">
        <f>Q_BS!AM55</f>
        <v>1.2632935372787606E-2</v>
      </c>
      <c r="AN290" s="330">
        <f>Q_BS!AN55</f>
        <v>1.0689396911220755E-2</v>
      </c>
      <c r="AO290" s="330">
        <f>Q_BS!AO55</f>
        <v>1.7928291734437683E-2</v>
      </c>
      <c r="AP290" s="330">
        <f>Q_BS!AP55</f>
        <v>1.3845029620749313E-2</v>
      </c>
      <c r="AQ290" s="330">
        <f>Q_BS!AQ55</f>
        <v>1.133238327979811E-2</v>
      </c>
      <c r="AR290" s="330">
        <f>Q_BS!AR55</f>
        <v>9.6982541432915886E-3</v>
      </c>
      <c r="AS290" s="330">
        <f>Q_BS!AS55</f>
        <v>2.1284039216846809E-2</v>
      </c>
      <c r="AT290" s="330">
        <f>Q_BS!AT55</f>
        <v>1.5180512959736672E-2</v>
      </c>
      <c r="AU290" s="330">
        <f>Q_BS!AU55</f>
        <v>1.8840340950666345E-2</v>
      </c>
      <c r="AV290" s="330">
        <f>Q_BS!AV55</f>
        <v>1.345884635755734E-2</v>
      </c>
      <c r="AW290" s="330">
        <f>Q_BS!AW55</f>
        <v>1.7198095318821216E-2</v>
      </c>
      <c r="AX290" s="330">
        <f>Q_BS!AX55</f>
        <v>1.280324114238123E-2</v>
      </c>
      <c r="AY290" s="330">
        <f>Q_BS!AY55</f>
        <v>1.4195275392994925E-2</v>
      </c>
      <c r="AZ290" s="330">
        <f>Q_BS!AZ55</f>
        <v>1.3763959215160397E-2</v>
      </c>
      <c r="BA290" s="330">
        <f>Q_BS!BA55</f>
        <v>7.4780356801595919E-3</v>
      </c>
      <c r="BB290" s="330">
        <f>Q_BS!BB55</f>
        <v>9.8942953884516051E-3</v>
      </c>
      <c r="BC290" s="330">
        <f>Q_BS!BC55</f>
        <v>9.306152117412838E-3</v>
      </c>
      <c r="BD290" s="330">
        <f>Q_BS!BD55</f>
        <v>1.0595059860052412E-2</v>
      </c>
      <c r="BE290" s="330">
        <f>Q_BS!BE55</f>
        <v>1.630380144907809E-2</v>
      </c>
      <c r="BF290" s="330">
        <f>Q_BS!BF55</f>
        <v>1.6331806835791541E-2</v>
      </c>
      <c r="BG290" s="330">
        <f>Q_BS!BG55</f>
        <v>2.0611185928100205E-2</v>
      </c>
      <c r="BH290" s="330">
        <f>Q_BS!BH55</f>
        <v>1.9174459527197783E-2</v>
      </c>
      <c r="BI290" s="330">
        <f>Q_BS!BI55</f>
        <v>1.5156753514900336E-2</v>
      </c>
      <c r="BJ290" s="330">
        <f>Q_BS!BJ55</f>
        <v>1.8470879753588739E-2</v>
      </c>
      <c r="BK290" s="1869">
        <f>Q_BS!BK55</f>
        <v>2.0609084936693098E-2</v>
      </c>
      <c r="BL290" s="575">
        <f t="shared" ref="BL290:BQ290" si="1761">CHOOSE(MASTERSWITCH,BL291,BL292,BL293)</f>
        <v>1.9174459527197783E-2</v>
      </c>
      <c r="BM290" s="575">
        <f t="shared" si="1761"/>
        <v>1.5156753514900336E-2</v>
      </c>
      <c r="BN290" s="575">
        <f t="shared" si="1761"/>
        <v>1.8470879753588739E-2</v>
      </c>
      <c r="BO290" s="575">
        <f t="shared" si="1761"/>
        <v>2.0609084936693098E-2</v>
      </c>
      <c r="BP290" s="575">
        <f t="shared" si="1761"/>
        <v>1.9174459527197783E-2</v>
      </c>
      <c r="BQ290" s="575">
        <f t="shared" si="1761"/>
        <v>1.5156753514900336E-2</v>
      </c>
      <c r="BR290" s="575">
        <f t="shared" ref="BR290:CK290" si="1762">CHOOSE(MASTERSWITCH,BR291,BR292,BR293)</f>
        <v>1.8470879753588739E-2</v>
      </c>
      <c r="BS290" s="575">
        <f t="shared" si="1762"/>
        <v>2.0609084936693098E-2</v>
      </c>
      <c r="BT290" s="575">
        <f t="shared" si="1762"/>
        <v>1.9174459527197783E-2</v>
      </c>
      <c r="BU290" s="575">
        <f t="shared" si="1762"/>
        <v>1.5156753514900336E-2</v>
      </c>
      <c r="BV290" s="575">
        <f t="shared" si="1762"/>
        <v>1.8470879753588739E-2</v>
      </c>
      <c r="BW290" s="575">
        <f t="shared" si="1762"/>
        <v>2.0609084936693098E-2</v>
      </c>
      <c r="BX290" s="575">
        <f t="shared" si="1762"/>
        <v>1.9174459527197783E-2</v>
      </c>
      <c r="BY290" s="575">
        <f t="shared" si="1762"/>
        <v>1.5156753514900336E-2</v>
      </c>
      <c r="BZ290" s="575">
        <f t="shared" si="1762"/>
        <v>1.5156753514900336E-2</v>
      </c>
      <c r="CA290" s="575">
        <f t="shared" si="1762"/>
        <v>1.5156753514900336E-2</v>
      </c>
      <c r="CB290" s="575">
        <f t="shared" si="1762"/>
        <v>1.5156753514900336E-2</v>
      </c>
      <c r="CC290" s="575">
        <f t="shared" si="1762"/>
        <v>1.5156753514900336E-2</v>
      </c>
      <c r="CD290" s="575">
        <f t="shared" si="1762"/>
        <v>1.5156753514900336E-2</v>
      </c>
      <c r="CE290" s="575">
        <f t="shared" si="1762"/>
        <v>1.5156753514900336E-2</v>
      </c>
      <c r="CF290" s="575">
        <f t="shared" si="1762"/>
        <v>1.5156753514900336E-2</v>
      </c>
      <c r="CG290" s="575">
        <f t="shared" si="1762"/>
        <v>1.5156753514900336E-2</v>
      </c>
      <c r="CH290" s="575">
        <f t="shared" si="1762"/>
        <v>1.5156753514900336E-2</v>
      </c>
      <c r="CI290" s="575">
        <f t="shared" si="1762"/>
        <v>1.5156753514900336E-2</v>
      </c>
      <c r="CJ290" s="575">
        <f t="shared" si="1762"/>
        <v>1.5156753514900336E-2</v>
      </c>
      <c r="CK290" s="575">
        <f t="shared" si="1762"/>
        <v>1.5156753514900336E-2</v>
      </c>
      <c r="CL290" s="575">
        <f t="shared" ref="CL290:CP290" si="1763">CHOOSE(MASTERSWITCH,CL291,CL292,CL293)</f>
        <v>1.5156753514900336E-2</v>
      </c>
      <c r="CM290" s="575">
        <f t="shared" si="1763"/>
        <v>1.5156753514900336E-2</v>
      </c>
      <c r="CN290" s="575">
        <f t="shared" si="1763"/>
        <v>1.5156753514900336E-2</v>
      </c>
      <c r="CO290" s="575">
        <f t="shared" si="1763"/>
        <v>1.5156753514900336E-2</v>
      </c>
      <c r="CP290" s="575">
        <f t="shared" si="1763"/>
        <v>1.5156753514900336E-2</v>
      </c>
      <c r="CQ290" s="575">
        <f t="shared" ref="CQ290:CU290" si="1764">CHOOSE(MASTERSWITCH,CQ291,CQ292,CQ293)</f>
        <v>1.5156753514900336E-2</v>
      </c>
      <c r="CR290" s="575">
        <f t="shared" si="1764"/>
        <v>1.5156753514900336E-2</v>
      </c>
      <c r="CS290" s="575">
        <f t="shared" si="1764"/>
        <v>1.5156753514900336E-2</v>
      </c>
      <c r="CT290" s="575">
        <f t="shared" si="1764"/>
        <v>1.5156753514900336E-2</v>
      </c>
      <c r="CU290" s="575">
        <f t="shared" si="1764"/>
        <v>1.5156753514900336E-2</v>
      </c>
      <c r="CV290" s="575">
        <f t="shared" ref="CV290:CW290" si="1765">CHOOSE(MASTERSWITCH,CV291,CV292,CV293)</f>
        <v>1.5156753514900336E-2</v>
      </c>
      <c r="CW290" s="575">
        <f t="shared" si="1765"/>
        <v>1.5156753514900336E-2</v>
      </c>
      <c r="CX290" s="269"/>
      <c r="CY290" s="269"/>
      <c r="CZ290" s="269"/>
    </row>
    <row r="291" spans="1:104">
      <c r="A291" s="42" t="s">
        <v>571</v>
      </c>
      <c r="B291" s="392"/>
      <c r="C291" s="392"/>
      <c r="D291" s="392"/>
      <c r="E291" s="393"/>
      <c r="F291" s="84">
        <f>F290</f>
        <v>7.8186832560951033E-2</v>
      </c>
      <c r="G291" s="84">
        <f>G290</f>
        <v>7.0937944102321168E-2</v>
      </c>
      <c r="H291" s="84">
        <f>H290</f>
        <v>7.5592591521780009E-2</v>
      </c>
      <c r="I291" s="84">
        <f>I290</f>
        <v>9.4023556334415781E-2</v>
      </c>
      <c r="J291" s="84">
        <f t="shared" ref="J291:AA291" si="1766">J290</f>
        <v>6.9206592624383667E-2</v>
      </c>
      <c r="K291" s="84">
        <f t="shared" si="1766"/>
        <v>7.921217596459125E-2</v>
      </c>
      <c r="L291" s="84">
        <f t="shared" si="1766"/>
        <v>7.7639742841755732E-2</v>
      </c>
      <c r="M291" s="84">
        <f t="shared" si="1766"/>
        <v>7.7995900658485481E-2</v>
      </c>
      <c r="N291" s="84">
        <f t="shared" si="1766"/>
        <v>8.6519079481508471E-2</v>
      </c>
      <c r="O291" s="84">
        <f t="shared" si="1766"/>
        <v>3.8299068388028754E-2</v>
      </c>
      <c r="P291" s="84">
        <f t="shared" si="1766"/>
        <v>4.1734511149214545E-2</v>
      </c>
      <c r="Q291" s="84">
        <f t="shared" si="1766"/>
        <v>4.3894656939537965E-2</v>
      </c>
      <c r="R291" s="84">
        <f t="shared" si="1766"/>
        <v>3.3445508779037778E-2</v>
      </c>
      <c r="S291" s="84">
        <f t="shared" si="1766"/>
        <v>4.4436968787053811E-2</v>
      </c>
      <c r="T291" s="84">
        <f t="shared" si="1766"/>
        <v>4.5988090329115189E-2</v>
      </c>
      <c r="U291" s="84">
        <f t="shared" si="1766"/>
        <v>3.3259689366023797E-2</v>
      </c>
      <c r="V291" s="84">
        <f t="shared" si="1766"/>
        <v>2.3330814168632821E-2</v>
      </c>
      <c r="W291" s="84">
        <f t="shared" si="1766"/>
        <v>4.4654284239183134E-2</v>
      </c>
      <c r="X291" s="84">
        <f t="shared" si="1766"/>
        <v>6.9617351874065236E-3</v>
      </c>
      <c r="Y291" s="84">
        <f t="shared" si="1766"/>
        <v>1.3126851365828793E-2</v>
      </c>
      <c r="Z291" s="84">
        <f t="shared" si="1766"/>
        <v>6.1111296192805781E-3</v>
      </c>
      <c r="AA291" s="84">
        <f t="shared" si="1766"/>
        <v>7.6240249682023135E-3</v>
      </c>
      <c r="AB291" s="84">
        <f t="shared" ref="AB291:AM291" si="1767">AB290</f>
        <v>9.5838756182458577E-3</v>
      </c>
      <c r="AC291" s="84">
        <f t="shared" si="1767"/>
        <v>1.4660583856773114E-2</v>
      </c>
      <c r="AD291" s="84">
        <f t="shared" si="1767"/>
        <v>1.1745672246319623E-2</v>
      </c>
      <c r="AE291" s="84">
        <f t="shared" si="1767"/>
        <v>1.2094139053409825E-2</v>
      </c>
      <c r="AF291" s="84">
        <f t="shared" si="1767"/>
        <v>1.1011145994855772E-2</v>
      </c>
      <c r="AG291" s="84">
        <f t="shared" si="1767"/>
        <v>1.5037190886634093E-2</v>
      </c>
      <c r="AH291" s="84">
        <f t="shared" si="1767"/>
        <v>1.2841742370986745E-2</v>
      </c>
      <c r="AI291" s="84">
        <f t="shared" si="1767"/>
        <v>1.1834620977619772E-2</v>
      </c>
      <c r="AJ291" s="84">
        <f t="shared" si="1767"/>
        <v>1.1272870427596081E-2</v>
      </c>
      <c r="AK291" s="84">
        <f t="shared" si="1767"/>
        <v>1.5788067069961862E-2</v>
      </c>
      <c r="AL291" s="84">
        <f t="shared" si="1767"/>
        <v>1.317164708751904E-2</v>
      </c>
      <c r="AM291" s="84">
        <f t="shared" si="1767"/>
        <v>1.2632935372787606E-2</v>
      </c>
      <c r="AN291" s="84">
        <f t="shared" ref="AN291:AS291" si="1768">AN290</f>
        <v>1.0689396911220755E-2</v>
      </c>
      <c r="AO291" s="84">
        <f t="shared" si="1768"/>
        <v>1.7928291734437683E-2</v>
      </c>
      <c r="AP291" s="84">
        <f t="shared" si="1768"/>
        <v>1.3845029620749313E-2</v>
      </c>
      <c r="AQ291" s="84">
        <f t="shared" si="1768"/>
        <v>1.133238327979811E-2</v>
      </c>
      <c r="AR291" s="84">
        <f t="shared" si="1768"/>
        <v>9.6982541432915886E-3</v>
      </c>
      <c r="AS291" s="84">
        <f t="shared" si="1768"/>
        <v>2.1284039216846809E-2</v>
      </c>
      <c r="AT291" s="84">
        <f t="shared" ref="AT291:BC291" si="1769">AT290</f>
        <v>1.5180512959736672E-2</v>
      </c>
      <c r="AU291" s="84">
        <f t="shared" si="1769"/>
        <v>1.8840340950666345E-2</v>
      </c>
      <c r="AV291" s="84">
        <f t="shared" si="1769"/>
        <v>1.345884635755734E-2</v>
      </c>
      <c r="AW291" s="84">
        <f t="shared" si="1769"/>
        <v>1.7198095318821216E-2</v>
      </c>
      <c r="AX291" s="84">
        <f t="shared" si="1769"/>
        <v>1.280324114238123E-2</v>
      </c>
      <c r="AY291" s="84">
        <f t="shared" si="1769"/>
        <v>1.4195275392994925E-2</v>
      </c>
      <c r="AZ291" s="84">
        <f t="shared" si="1769"/>
        <v>1.3763959215160397E-2</v>
      </c>
      <c r="BA291" s="84">
        <f t="shared" si="1769"/>
        <v>7.4780356801595919E-3</v>
      </c>
      <c r="BB291" s="84">
        <f t="shared" si="1769"/>
        <v>9.8942953884516051E-3</v>
      </c>
      <c r="BC291" s="84">
        <f t="shared" si="1769"/>
        <v>9.306152117412838E-3</v>
      </c>
      <c r="BD291" s="84">
        <f t="shared" ref="BD291:BI291" si="1770">BD290</f>
        <v>1.0595059860052412E-2</v>
      </c>
      <c r="BE291" s="84">
        <f t="shared" si="1770"/>
        <v>1.630380144907809E-2</v>
      </c>
      <c r="BF291" s="84">
        <f t="shared" si="1770"/>
        <v>1.6331806835791541E-2</v>
      </c>
      <c r="BG291" s="84">
        <f t="shared" si="1770"/>
        <v>2.0611185928100205E-2</v>
      </c>
      <c r="BH291" s="84">
        <f t="shared" si="1770"/>
        <v>1.9174459527197783E-2</v>
      </c>
      <c r="BI291" s="84">
        <f t="shared" si="1770"/>
        <v>1.5156753514900336E-2</v>
      </c>
      <c r="BJ291" s="84">
        <f t="shared" ref="BJ291:BK291" si="1771">BJ290</f>
        <v>1.8470879753588739E-2</v>
      </c>
      <c r="BK291" s="801">
        <f t="shared" si="1771"/>
        <v>2.0609084936693098E-2</v>
      </c>
      <c r="BL291" s="305">
        <f t="shared" ref="BL291:BP291" si="1772">BL292+$CY291</f>
        <v>1.9174459527197783E-2</v>
      </c>
      <c r="BM291" s="305">
        <f t="shared" si="1772"/>
        <v>1.5156753514900336E-2</v>
      </c>
      <c r="BN291" s="305">
        <f t="shared" si="1772"/>
        <v>1.8470879753588739E-2</v>
      </c>
      <c r="BO291" s="305">
        <f t="shared" si="1772"/>
        <v>2.0609084936693098E-2</v>
      </c>
      <c r="BP291" s="305">
        <f t="shared" si="1772"/>
        <v>1.9174459527197783E-2</v>
      </c>
      <c r="BQ291" s="305">
        <f t="shared" ref="BQ291:BY291" si="1773">BQ292+$CY291</f>
        <v>1.5156753514900336E-2</v>
      </c>
      <c r="BR291" s="305">
        <f t="shared" si="1773"/>
        <v>1.8470879753588739E-2</v>
      </c>
      <c r="BS291" s="305">
        <f t="shared" si="1773"/>
        <v>2.0609084936693098E-2</v>
      </c>
      <c r="BT291" s="305">
        <f t="shared" si="1773"/>
        <v>1.9174459527197783E-2</v>
      </c>
      <c r="BU291" s="305">
        <f t="shared" si="1773"/>
        <v>1.5156753514900336E-2</v>
      </c>
      <c r="BV291" s="305">
        <f t="shared" si="1773"/>
        <v>1.8470879753588739E-2</v>
      </c>
      <c r="BW291" s="305">
        <f t="shared" si="1773"/>
        <v>2.0609084936693098E-2</v>
      </c>
      <c r="BX291" s="305">
        <f t="shared" si="1773"/>
        <v>1.9174459527197783E-2</v>
      </c>
      <c r="BY291" s="305">
        <f t="shared" si="1773"/>
        <v>1.5156753514900336E-2</v>
      </c>
      <c r="BZ291" s="305">
        <f t="shared" ref="BZ291:CU291" si="1774">BZ292+$CZ291</f>
        <v>1.5156753514900336E-2</v>
      </c>
      <c r="CA291" s="305">
        <f t="shared" si="1774"/>
        <v>1.5156753514900336E-2</v>
      </c>
      <c r="CB291" s="305">
        <f t="shared" si="1774"/>
        <v>1.5156753514900336E-2</v>
      </c>
      <c r="CC291" s="305">
        <f t="shared" si="1774"/>
        <v>1.5156753514900336E-2</v>
      </c>
      <c r="CD291" s="305">
        <f t="shared" si="1774"/>
        <v>1.5156753514900336E-2</v>
      </c>
      <c r="CE291" s="305">
        <f t="shared" si="1774"/>
        <v>1.5156753514900336E-2</v>
      </c>
      <c r="CF291" s="305">
        <f t="shared" si="1774"/>
        <v>1.5156753514900336E-2</v>
      </c>
      <c r="CG291" s="305">
        <f t="shared" si="1774"/>
        <v>1.5156753514900336E-2</v>
      </c>
      <c r="CH291" s="305">
        <f t="shared" si="1774"/>
        <v>1.5156753514900336E-2</v>
      </c>
      <c r="CI291" s="305">
        <f t="shared" si="1774"/>
        <v>1.5156753514900336E-2</v>
      </c>
      <c r="CJ291" s="305">
        <f t="shared" si="1774"/>
        <v>1.5156753514900336E-2</v>
      </c>
      <c r="CK291" s="305">
        <f t="shared" si="1774"/>
        <v>1.5156753514900336E-2</v>
      </c>
      <c r="CL291" s="305">
        <f t="shared" si="1774"/>
        <v>1.5156753514900336E-2</v>
      </c>
      <c r="CM291" s="305">
        <f t="shared" si="1774"/>
        <v>1.5156753514900336E-2</v>
      </c>
      <c r="CN291" s="305">
        <f t="shared" si="1774"/>
        <v>1.5156753514900336E-2</v>
      </c>
      <c r="CO291" s="305">
        <f t="shared" si="1774"/>
        <v>1.5156753514900336E-2</v>
      </c>
      <c r="CP291" s="305">
        <f t="shared" si="1774"/>
        <v>1.5156753514900336E-2</v>
      </c>
      <c r="CQ291" s="305">
        <f t="shared" si="1774"/>
        <v>1.5156753514900336E-2</v>
      </c>
      <c r="CR291" s="305">
        <f t="shared" si="1774"/>
        <v>1.5156753514900336E-2</v>
      </c>
      <c r="CS291" s="305">
        <f t="shared" si="1774"/>
        <v>1.5156753514900336E-2</v>
      </c>
      <c r="CT291" s="305">
        <f t="shared" si="1774"/>
        <v>1.5156753514900336E-2</v>
      </c>
      <c r="CU291" s="305">
        <f t="shared" si="1774"/>
        <v>1.5156753514900336E-2</v>
      </c>
      <c r="CV291" s="305">
        <f t="shared" ref="CV291:CW291" si="1775">CV292+$CZ291</f>
        <v>1.5156753514900336E-2</v>
      </c>
      <c r="CW291" s="305">
        <f t="shared" si="1775"/>
        <v>1.5156753514900336E-2</v>
      </c>
      <c r="CX291" s="269"/>
      <c r="CY291" s="559">
        <v>0</v>
      </c>
      <c r="CZ291" s="559">
        <v>0</v>
      </c>
    </row>
    <row r="292" spans="1:104">
      <c r="A292" s="42" t="s">
        <v>200</v>
      </c>
      <c r="B292" s="392"/>
      <c r="C292" s="392"/>
      <c r="D292" s="392"/>
      <c r="E292" s="394"/>
      <c r="F292" s="84">
        <f>F290</f>
        <v>7.8186832560951033E-2</v>
      </c>
      <c r="G292" s="84">
        <f>G290</f>
        <v>7.0937944102321168E-2</v>
      </c>
      <c r="H292" s="84">
        <f>H290</f>
        <v>7.5592591521780009E-2</v>
      </c>
      <c r="I292" s="84">
        <f>I290</f>
        <v>9.4023556334415781E-2</v>
      </c>
      <c r="J292" s="84">
        <f t="shared" ref="J292:AA292" si="1776">J290</f>
        <v>6.9206592624383667E-2</v>
      </c>
      <c r="K292" s="84">
        <f t="shared" si="1776"/>
        <v>7.921217596459125E-2</v>
      </c>
      <c r="L292" s="84">
        <f t="shared" si="1776"/>
        <v>7.7639742841755732E-2</v>
      </c>
      <c r="M292" s="84">
        <f t="shared" si="1776"/>
        <v>7.7995900658485481E-2</v>
      </c>
      <c r="N292" s="84">
        <f t="shared" si="1776"/>
        <v>8.6519079481508471E-2</v>
      </c>
      <c r="O292" s="84">
        <f t="shared" si="1776"/>
        <v>3.8299068388028754E-2</v>
      </c>
      <c r="P292" s="84">
        <f t="shared" si="1776"/>
        <v>4.1734511149214545E-2</v>
      </c>
      <c r="Q292" s="84">
        <f t="shared" si="1776"/>
        <v>4.3894656939537965E-2</v>
      </c>
      <c r="R292" s="84">
        <f t="shared" si="1776"/>
        <v>3.3445508779037778E-2</v>
      </c>
      <c r="S292" s="84">
        <f t="shared" si="1776"/>
        <v>4.4436968787053811E-2</v>
      </c>
      <c r="T292" s="84">
        <f t="shared" si="1776"/>
        <v>4.5988090329115189E-2</v>
      </c>
      <c r="U292" s="84">
        <f t="shared" si="1776"/>
        <v>3.3259689366023797E-2</v>
      </c>
      <c r="V292" s="84">
        <f t="shared" si="1776"/>
        <v>2.3330814168632821E-2</v>
      </c>
      <c r="W292" s="84">
        <f t="shared" si="1776"/>
        <v>4.4654284239183134E-2</v>
      </c>
      <c r="X292" s="84">
        <f t="shared" si="1776"/>
        <v>6.9617351874065236E-3</v>
      </c>
      <c r="Y292" s="84">
        <f t="shared" si="1776"/>
        <v>1.3126851365828793E-2</v>
      </c>
      <c r="Z292" s="84">
        <f t="shared" si="1776"/>
        <v>6.1111296192805781E-3</v>
      </c>
      <c r="AA292" s="84">
        <f t="shared" si="1776"/>
        <v>7.6240249682023135E-3</v>
      </c>
      <c r="AB292" s="84">
        <f t="shared" ref="AB292:AM292" si="1777">AB290</f>
        <v>9.5838756182458577E-3</v>
      </c>
      <c r="AC292" s="84">
        <f t="shared" si="1777"/>
        <v>1.4660583856773114E-2</v>
      </c>
      <c r="AD292" s="84">
        <f t="shared" si="1777"/>
        <v>1.1745672246319623E-2</v>
      </c>
      <c r="AE292" s="84">
        <f t="shared" si="1777"/>
        <v>1.2094139053409825E-2</v>
      </c>
      <c r="AF292" s="84">
        <f t="shared" si="1777"/>
        <v>1.1011145994855772E-2</v>
      </c>
      <c r="AG292" s="84">
        <f t="shared" si="1777"/>
        <v>1.5037190886634093E-2</v>
      </c>
      <c r="AH292" s="84">
        <f t="shared" si="1777"/>
        <v>1.2841742370986745E-2</v>
      </c>
      <c r="AI292" s="84">
        <f t="shared" si="1777"/>
        <v>1.1834620977619772E-2</v>
      </c>
      <c r="AJ292" s="84">
        <f t="shared" si="1777"/>
        <v>1.1272870427596081E-2</v>
      </c>
      <c r="AK292" s="84">
        <f t="shared" si="1777"/>
        <v>1.5788067069961862E-2</v>
      </c>
      <c r="AL292" s="84">
        <f t="shared" si="1777"/>
        <v>1.317164708751904E-2</v>
      </c>
      <c r="AM292" s="84">
        <f t="shared" si="1777"/>
        <v>1.2632935372787606E-2</v>
      </c>
      <c r="AN292" s="84">
        <f t="shared" ref="AN292:AS292" si="1778">AN290</f>
        <v>1.0689396911220755E-2</v>
      </c>
      <c r="AO292" s="84">
        <f t="shared" si="1778"/>
        <v>1.7928291734437683E-2</v>
      </c>
      <c r="AP292" s="84">
        <f t="shared" si="1778"/>
        <v>1.3845029620749313E-2</v>
      </c>
      <c r="AQ292" s="84">
        <f t="shared" si="1778"/>
        <v>1.133238327979811E-2</v>
      </c>
      <c r="AR292" s="84">
        <f t="shared" si="1778"/>
        <v>9.6982541432915886E-3</v>
      </c>
      <c r="AS292" s="84">
        <f t="shared" si="1778"/>
        <v>2.1284039216846809E-2</v>
      </c>
      <c r="AT292" s="84">
        <f t="shared" ref="AT292:BC292" si="1779">AT290</f>
        <v>1.5180512959736672E-2</v>
      </c>
      <c r="AU292" s="84">
        <f t="shared" si="1779"/>
        <v>1.8840340950666345E-2</v>
      </c>
      <c r="AV292" s="84">
        <f t="shared" si="1779"/>
        <v>1.345884635755734E-2</v>
      </c>
      <c r="AW292" s="84">
        <f t="shared" si="1779"/>
        <v>1.7198095318821216E-2</v>
      </c>
      <c r="AX292" s="84">
        <f t="shared" si="1779"/>
        <v>1.280324114238123E-2</v>
      </c>
      <c r="AY292" s="84">
        <f t="shared" si="1779"/>
        <v>1.4195275392994925E-2</v>
      </c>
      <c r="AZ292" s="84">
        <f t="shared" si="1779"/>
        <v>1.3763959215160397E-2</v>
      </c>
      <c r="BA292" s="84">
        <f t="shared" si="1779"/>
        <v>7.4780356801595919E-3</v>
      </c>
      <c r="BB292" s="84">
        <f t="shared" si="1779"/>
        <v>9.8942953884516051E-3</v>
      </c>
      <c r="BC292" s="84">
        <f t="shared" si="1779"/>
        <v>9.306152117412838E-3</v>
      </c>
      <c r="BD292" s="84">
        <f t="shared" ref="BD292:BI292" si="1780">BD290</f>
        <v>1.0595059860052412E-2</v>
      </c>
      <c r="BE292" s="84">
        <f t="shared" si="1780"/>
        <v>1.630380144907809E-2</v>
      </c>
      <c r="BF292" s="84">
        <f t="shared" si="1780"/>
        <v>1.6331806835791541E-2</v>
      </c>
      <c r="BG292" s="84">
        <f t="shared" si="1780"/>
        <v>2.0611185928100205E-2</v>
      </c>
      <c r="BH292" s="84">
        <f t="shared" si="1780"/>
        <v>1.9174459527197783E-2</v>
      </c>
      <c r="BI292" s="84">
        <f t="shared" si="1780"/>
        <v>1.5156753514900336E-2</v>
      </c>
      <c r="BJ292" s="84">
        <f t="shared" ref="BJ292:BK292" si="1781">BJ290</f>
        <v>1.8470879753588739E-2</v>
      </c>
      <c r="BK292" s="801">
        <f t="shared" si="1781"/>
        <v>2.0609084936693098E-2</v>
      </c>
      <c r="BL292" s="560">
        <f t="shared" ref="BL292:BY292" si="1782">BH292</f>
        <v>1.9174459527197783E-2</v>
      </c>
      <c r="BM292" s="560">
        <f t="shared" si="1782"/>
        <v>1.5156753514900336E-2</v>
      </c>
      <c r="BN292" s="560">
        <f t="shared" si="1782"/>
        <v>1.8470879753588739E-2</v>
      </c>
      <c r="BO292" s="560">
        <f t="shared" si="1782"/>
        <v>2.0609084936693098E-2</v>
      </c>
      <c r="BP292" s="560">
        <f t="shared" si="1782"/>
        <v>1.9174459527197783E-2</v>
      </c>
      <c r="BQ292" s="560">
        <f t="shared" si="1782"/>
        <v>1.5156753514900336E-2</v>
      </c>
      <c r="BR292" s="560">
        <f t="shared" si="1782"/>
        <v>1.8470879753588739E-2</v>
      </c>
      <c r="BS292" s="560">
        <f t="shared" si="1782"/>
        <v>2.0609084936693098E-2</v>
      </c>
      <c r="BT292" s="560">
        <f t="shared" si="1782"/>
        <v>1.9174459527197783E-2</v>
      </c>
      <c r="BU292" s="560">
        <f t="shared" si="1782"/>
        <v>1.5156753514900336E-2</v>
      </c>
      <c r="BV292" s="560">
        <f t="shared" si="1782"/>
        <v>1.8470879753588739E-2</v>
      </c>
      <c r="BW292" s="560">
        <f t="shared" si="1782"/>
        <v>2.0609084936693098E-2</v>
      </c>
      <c r="BX292" s="560">
        <f t="shared" si="1782"/>
        <v>1.9174459527197783E-2</v>
      </c>
      <c r="BY292" s="560">
        <f t="shared" si="1782"/>
        <v>1.5156753514900336E-2</v>
      </c>
      <c r="BZ292" s="560">
        <f t="shared" ref="BZ292:CL292" si="1783">BY292</f>
        <v>1.5156753514900336E-2</v>
      </c>
      <c r="CA292" s="560">
        <f t="shared" si="1783"/>
        <v>1.5156753514900336E-2</v>
      </c>
      <c r="CB292" s="560">
        <f t="shared" si="1783"/>
        <v>1.5156753514900336E-2</v>
      </c>
      <c r="CC292" s="560">
        <f t="shared" si="1783"/>
        <v>1.5156753514900336E-2</v>
      </c>
      <c r="CD292" s="560">
        <f t="shared" si="1783"/>
        <v>1.5156753514900336E-2</v>
      </c>
      <c r="CE292" s="560">
        <f t="shared" si="1783"/>
        <v>1.5156753514900336E-2</v>
      </c>
      <c r="CF292" s="560">
        <f t="shared" si="1783"/>
        <v>1.5156753514900336E-2</v>
      </c>
      <c r="CG292" s="560">
        <f t="shared" si="1783"/>
        <v>1.5156753514900336E-2</v>
      </c>
      <c r="CH292" s="560">
        <f t="shared" si="1783"/>
        <v>1.5156753514900336E-2</v>
      </c>
      <c r="CI292" s="560">
        <f t="shared" si="1783"/>
        <v>1.5156753514900336E-2</v>
      </c>
      <c r="CJ292" s="560">
        <f t="shared" si="1783"/>
        <v>1.5156753514900336E-2</v>
      </c>
      <c r="CK292" s="560">
        <f t="shared" si="1783"/>
        <v>1.5156753514900336E-2</v>
      </c>
      <c r="CL292" s="560">
        <f t="shared" si="1783"/>
        <v>1.5156753514900336E-2</v>
      </c>
      <c r="CM292" s="560">
        <f t="shared" ref="CM292" si="1784">CL292</f>
        <v>1.5156753514900336E-2</v>
      </c>
      <c r="CN292" s="560">
        <f t="shared" ref="CN292" si="1785">CM292</f>
        <v>1.5156753514900336E-2</v>
      </c>
      <c r="CO292" s="560">
        <f t="shared" ref="CO292" si="1786">CN292</f>
        <v>1.5156753514900336E-2</v>
      </c>
      <c r="CP292" s="560">
        <f t="shared" ref="CP292" si="1787">CO292</f>
        <v>1.5156753514900336E-2</v>
      </c>
      <c r="CQ292" s="560">
        <f t="shared" ref="CQ292" si="1788">CP292</f>
        <v>1.5156753514900336E-2</v>
      </c>
      <c r="CR292" s="560">
        <f t="shared" ref="CR292" si="1789">CQ292</f>
        <v>1.5156753514900336E-2</v>
      </c>
      <c r="CS292" s="560">
        <f t="shared" ref="CS292" si="1790">CR292</f>
        <v>1.5156753514900336E-2</v>
      </c>
      <c r="CT292" s="560">
        <f t="shared" ref="CT292" si="1791">CS292</f>
        <v>1.5156753514900336E-2</v>
      </c>
      <c r="CU292" s="560">
        <f t="shared" ref="CU292" si="1792">CT292</f>
        <v>1.5156753514900336E-2</v>
      </c>
      <c r="CV292" s="560">
        <f t="shared" ref="CV292" si="1793">CU292</f>
        <v>1.5156753514900336E-2</v>
      </c>
      <c r="CW292" s="560">
        <f t="shared" ref="CW292" si="1794">CV292</f>
        <v>1.5156753514900336E-2</v>
      </c>
      <c r="CX292" s="269"/>
    </row>
    <row r="293" spans="1:104">
      <c r="A293" s="42" t="s">
        <v>202</v>
      </c>
      <c r="B293" s="392"/>
      <c r="C293" s="392"/>
      <c r="D293" s="392"/>
      <c r="E293" s="394"/>
      <c r="F293" s="84">
        <f>F290</f>
        <v>7.8186832560951033E-2</v>
      </c>
      <c r="G293" s="84">
        <f>G290</f>
        <v>7.0937944102321168E-2</v>
      </c>
      <c r="H293" s="84">
        <f>H290</f>
        <v>7.5592591521780009E-2</v>
      </c>
      <c r="I293" s="84">
        <f>I290</f>
        <v>9.4023556334415781E-2</v>
      </c>
      <c r="J293" s="84">
        <f t="shared" ref="J293:AA293" si="1795">J290</f>
        <v>6.9206592624383667E-2</v>
      </c>
      <c r="K293" s="84">
        <f t="shared" si="1795"/>
        <v>7.921217596459125E-2</v>
      </c>
      <c r="L293" s="84">
        <f t="shared" si="1795"/>
        <v>7.7639742841755732E-2</v>
      </c>
      <c r="M293" s="84">
        <f t="shared" si="1795"/>
        <v>7.7995900658485481E-2</v>
      </c>
      <c r="N293" s="84">
        <f t="shared" si="1795"/>
        <v>8.6519079481508471E-2</v>
      </c>
      <c r="O293" s="84">
        <f t="shared" si="1795"/>
        <v>3.8299068388028754E-2</v>
      </c>
      <c r="P293" s="84">
        <f t="shared" si="1795"/>
        <v>4.1734511149214545E-2</v>
      </c>
      <c r="Q293" s="84">
        <f t="shared" si="1795"/>
        <v>4.3894656939537965E-2</v>
      </c>
      <c r="R293" s="84">
        <f t="shared" si="1795"/>
        <v>3.3445508779037778E-2</v>
      </c>
      <c r="S293" s="84">
        <f t="shared" si="1795"/>
        <v>4.4436968787053811E-2</v>
      </c>
      <c r="T293" s="84">
        <f t="shared" si="1795"/>
        <v>4.5988090329115189E-2</v>
      </c>
      <c r="U293" s="84">
        <f t="shared" si="1795"/>
        <v>3.3259689366023797E-2</v>
      </c>
      <c r="V293" s="84">
        <f t="shared" si="1795"/>
        <v>2.3330814168632821E-2</v>
      </c>
      <c r="W293" s="84">
        <f t="shared" si="1795"/>
        <v>4.4654284239183134E-2</v>
      </c>
      <c r="X293" s="84">
        <f t="shared" si="1795"/>
        <v>6.9617351874065236E-3</v>
      </c>
      <c r="Y293" s="84">
        <f t="shared" si="1795"/>
        <v>1.3126851365828793E-2</v>
      </c>
      <c r="Z293" s="84">
        <f t="shared" si="1795"/>
        <v>6.1111296192805781E-3</v>
      </c>
      <c r="AA293" s="84">
        <f t="shared" si="1795"/>
        <v>7.6240249682023135E-3</v>
      </c>
      <c r="AB293" s="84">
        <f t="shared" ref="AB293:AM293" si="1796">AB290</f>
        <v>9.5838756182458577E-3</v>
      </c>
      <c r="AC293" s="84">
        <f t="shared" si="1796"/>
        <v>1.4660583856773114E-2</v>
      </c>
      <c r="AD293" s="84">
        <f t="shared" si="1796"/>
        <v>1.1745672246319623E-2</v>
      </c>
      <c r="AE293" s="84">
        <f t="shared" si="1796"/>
        <v>1.2094139053409825E-2</v>
      </c>
      <c r="AF293" s="84">
        <f t="shared" si="1796"/>
        <v>1.1011145994855772E-2</v>
      </c>
      <c r="AG293" s="84">
        <f t="shared" si="1796"/>
        <v>1.5037190886634093E-2</v>
      </c>
      <c r="AH293" s="84">
        <f t="shared" si="1796"/>
        <v>1.2841742370986745E-2</v>
      </c>
      <c r="AI293" s="84">
        <f t="shared" si="1796"/>
        <v>1.1834620977619772E-2</v>
      </c>
      <c r="AJ293" s="84">
        <f t="shared" si="1796"/>
        <v>1.1272870427596081E-2</v>
      </c>
      <c r="AK293" s="84">
        <f t="shared" si="1796"/>
        <v>1.5788067069961862E-2</v>
      </c>
      <c r="AL293" s="84">
        <f t="shared" si="1796"/>
        <v>1.317164708751904E-2</v>
      </c>
      <c r="AM293" s="84">
        <f t="shared" si="1796"/>
        <v>1.2632935372787606E-2</v>
      </c>
      <c r="AN293" s="84">
        <f t="shared" ref="AN293:AS293" si="1797">AN290</f>
        <v>1.0689396911220755E-2</v>
      </c>
      <c r="AO293" s="84">
        <f t="shared" si="1797"/>
        <v>1.7928291734437683E-2</v>
      </c>
      <c r="AP293" s="84">
        <f t="shared" si="1797"/>
        <v>1.3845029620749313E-2</v>
      </c>
      <c r="AQ293" s="84">
        <f t="shared" si="1797"/>
        <v>1.133238327979811E-2</v>
      </c>
      <c r="AR293" s="84">
        <f t="shared" si="1797"/>
        <v>9.6982541432915886E-3</v>
      </c>
      <c r="AS293" s="84">
        <f t="shared" si="1797"/>
        <v>2.1284039216846809E-2</v>
      </c>
      <c r="AT293" s="84">
        <f t="shared" ref="AT293:BC293" si="1798">AT290</f>
        <v>1.5180512959736672E-2</v>
      </c>
      <c r="AU293" s="84">
        <f t="shared" si="1798"/>
        <v>1.8840340950666345E-2</v>
      </c>
      <c r="AV293" s="84">
        <f t="shared" si="1798"/>
        <v>1.345884635755734E-2</v>
      </c>
      <c r="AW293" s="84">
        <f t="shared" si="1798"/>
        <v>1.7198095318821216E-2</v>
      </c>
      <c r="AX293" s="84">
        <f t="shared" si="1798"/>
        <v>1.280324114238123E-2</v>
      </c>
      <c r="AY293" s="84">
        <f t="shared" si="1798"/>
        <v>1.4195275392994925E-2</v>
      </c>
      <c r="AZ293" s="84">
        <f t="shared" si="1798"/>
        <v>1.3763959215160397E-2</v>
      </c>
      <c r="BA293" s="84">
        <f t="shared" si="1798"/>
        <v>7.4780356801595919E-3</v>
      </c>
      <c r="BB293" s="84">
        <f t="shared" si="1798"/>
        <v>9.8942953884516051E-3</v>
      </c>
      <c r="BC293" s="84">
        <f t="shared" si="1798"/>
        <v>9.306152117412838E-3</v>
      </c>
      <c r="BD293" s="84">
        <f t="shared" ref="BD293:BI293" si="1799">BD290</f>
        <v>1.0595059860052412E-2</v>
      </c>
      <c r="BE293" s="84">
        <f t="shared" si="1799"/>
        <v>1.630380144907809E-2</v>
      </c>
      <c r="BF293" s="84">
        <f t="shared" si="1799"/>
        <v>1.6331806835791541E-2</v>
      </c>
      <c r="BG293" s="84">
        <f t="shared" si="1799"/>
        <v>2.0611185928100205E-2</v>
      </c>
      <c r="BH293" s="84">
        <f t="shared" si="1799"/>
        <v>1.9174459527197783E-2</v>
      </c>
      <c r="BI293" s="84">
        <f t="shared" si="1799"/>
        <v>1.5156753514900336E-2</v>
      </c>
      <c r="BJ293" s="84">
        <f t="shared" ref="BJ293:BK293" si="1800">BJ290</f>
        <v>1.8470879753588739E-2</v>
      </c>
      <c r="BK293" s="801">
        <f t="shared" si="1800"/>
        <v>2.0609084936693098E-2</v>
      </c>
      <c r="BL293" s="305">
        <f t="shared" ref="BL293:BP293" si="1801">BL292+$CY293</f>
        <v>1.9174459527197783E-2</v>
      </c>
      <c r="BM293" s="305">
        <f t="shared" si="1801"/>
        <v>1.5156753514900336E-2</v>
      </c>
      <c r="BN293" s="305">
        <f t="shared" si="1801"/>
        <v>1.8470879753588739E-2</v>
      </c>
      <c r="BO293" s="305">
        <f t="shared" si="1801"/>
        <v>2.0609084936693098E-2</v>
      </c>
      <c r="BP293" s="305">
        <f t="shared" si="1801"/>
        <v>1.9174459527197783E-2</v>
      </c>
      <c r="BQ293" s="305">
        <f t="shared" ref="BQ293:BY293" si="1802">BQ292+$CY293</f>
        <v>1.5156753514900336E-2</v>
      </c>
      <c r="BR293" s="305">
        <f t="shared" si="1802"/>
        <v>1.8470879753588739E-2</v>
      </c>
      <c r="BS293" s="305">
        <f t="shared" si="1802"/>
        <v>2.0609084936693098E-2</v>
      </c>
      <c r="BT293" s="305">
        <f t="shared" si="1802"/>
        <v>1.9174459527197783E-2</v>
      </c>
      <c r="BU293" s="305">
        <f t="shared" si="1802"/>
        <v>1.5156753514900336E-2</v>
      </c>
      <c r="BV293" s="305">
        <f t="shared" si="1802"/>
        <v>1.8470879753588739E-2</v>
      </c>
      <c r="BW293" s="305">
        <f t="shared" si="1802"/>
        <v>2.0609084936693098E-2</v>
      </c>
      <c r="BX293" s="305">
        <f t="shared" si="1802"/>
        <v>1.9174459527197783E-2</v>
      </c>
      <c r="BY293" s="305">
        <f t="shared" si="1802"/>
        <v>1.5156753514900336E-2</v>
      </c>
      <c r="BZ293" s="305">
        <f t="shared" ref="BZ293:CU293" si="1803">BZ292+$CZ293</f>
        <v>1.5156753514900336E-2</v>
      </c>
      <c r="CA293" s="305">
        <f t="shared" si="1803"/>
        <v>1.5156753514900336E-2</v>
      </c>
      <c r="CB293" s="305">
        <f t="shared" si="1803"/>
        <v>1.5156753514900336E-2</v>
      </c>
      <c r="CC293" s="305">
        <f t="shared" si="1803"/>
        <v>1.5156753514900336E-2</v>
      </c>
      <c r="CD293" s="305">
        <f t="shared" si="1803"/>
        <v>1.5156753514900336E-2</v>
      </c>
      <c r="CE293" s="305">
        <f t="shared" si="1803"/>
        <v>1.5156753514900336E-2</v>
      </c>
      <c r="CF293" s="305">
        <f t="shared" si="1803"/>
        <v>1.5156753514900336E-2</v>
      </c>
      <c r="CG293" s="305">
        <f t="shared" si="1803"/>
        <v>1.5156753514900336E-2</v>
      </c>
      <c r="CH293" s="305">
        <f t="shared" si="1803"/>
        <v>1.5156753514900336E-2</v>
      </c>
      <c r="CI293" s="305">
        <f t="shared" si="1803"/>
        <v>1.5156753514900336E-2</v>
      </c>
      <c r="CJ293" s="305">
        <f t="shared" si="1803"/>
        <v>1.5156753514900336E-2</v>
      </c>
      <c r="CK293" s="305">
        <f t="shared" si="1803"/>
        <v>1.5156753514900336E-2</v>
      </c>
      <c r="CL293" s="305">
        <f t="shared" si="1803"/>
        <v>1.5156753514900336E-2</v>
      </c>
      <c r="CM293" s="305">
        <f t="shared" si="1803"/>
        <v>1.5156753514900336E-2</v>
      </c>
      <c r="CN293" s="305">
        <f t="shared" si="1803"/>
        <v>1.5156753514900336E-2</v>
      </c>
      <c r="CO293" s="305">
        <f t="shared" si="1803"/>
        <v>1.5156753514900336E-2</v>
      </c>
      <c r="CP293" s="305">
        <f t="shared" si="1803"/>
        <v>1.5156753514900336E-2</v>
      </c>
      <c r="CQ293" s="305">
        <f t="shared" si="1803"/>
        <v>1.5156753514900336E-2</v>
      </c>
      <c r="CR293" s="305">
        <f t="shared" si="1803"/>
        <v>1.5156753514900336E-2</v>
      </c>
      <c r="CS293" s="305">
        <f t="shared" si="1803"/>
        <v>1.5156753514900336E-2</v>
      </c>
      <c r="CT293" s="305">
        <f t="shared" si="1803"/>
        <v>1.5156753514900336E-2</v>
      </c>
      <c r="CU293" s="305">
        <f t="shared" si="1803"/>
        <v>1.5156753514900336E-2</v>
      </c>
      <c r="CV293" s="305">
        <f t="shared" ref="CV293:CW293" si="1804">CV292+$CZ293</f>
        <v>1.5156753514900336E-2</v>
      </c>
      <c r="CW293" s="305">
        <f t="shared" si="1804"/>
        <v>1.5156753514900336E-2</v>
      </c>
      <c r="CX293" s="269"/>
      <c r="CY293" s="559">
        <v>0</v>
      </c>
      <c r="CZ293" s="559">
        <v>0</v>
      </c>
    </row>
    <row r="294" spans="1:104">
      <c r="A294" s="91"/>
      <c r="B294" s="388"/>
      <c r="C294" s="388"/>
      <c r="D294" s="388"/>
      <c r="E294" s="38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574"/>
      <c r="AN294" s="574"/>
      <c r="AO294" s="574"/>
      <c r="AP294" s="45"/>
      <c r="AQ294" s="45"/>
      <c r="AR294" s="45"/>
      <c r="AS294" s="45"/>
      <c r="AT294" s="45"/>
      <c r="AU294" s="45"/>
      <c r="AV294" s="45"/>
      <c r="AW294" s="45"/>
      <c r="AX294" s="45"/>
      <c r="AY294" s="45"/>
      <c r="AZ294" s="45"/>
      <c r="BA294" s="45"/>
      <c r="BB294" s="45"/>
      <c r="BC294" s="45"/>
      <c r="BD294" s="45"/>
      <c r="BE294" s="45"/>
      <c r="BF294" s="45"/>
      <c r="BG294" s="45"/>
      <c r="BH294" s="45"/>
      <c r="BI294" s="45"/>
      <c r="BJ294" s="45"/>
      <c r="BK294" s="45"/>
      <c r="BL294" s="45"/>
      <c r="BM294" s="45"/>
      <c r="BN294" s="45"/>
      <c r="BO294" s="45"/>
      <c r="BP294" s="45"/>
      <c r="BQ294" s="45"/>
      <c r="BR294" s="45"/>
      <c r="BS294" s="45"/>
      <c r="BT294" s="45"/>
      <c r="BU294" s="45"/>
      <c r="BV294" s="45"/>
      <c r="BW294" s="45"/>
      <c r="BX294" s="45"/>
      <c r="BY294" s="45"/>
      <c r="BZ294" s="45"/>
      <c r="CA294" s="45"/>
      <c r="CB294" s="45"/>
      <c r="CC294" s="45"/>
      <c r="CD294" s="45"/>
      <c r="CE294" s="45"/>
      <c r="CF294" s="45"/>
      <c r="CG294" s="45"/>
      <c r="CH294" s="45"/>
      <c r="CI294" s="45"/>
      <c r="CJ294" s="45"/>
      <c r="CK294" s="45"/>
      <c r="CL294" s="45"/>
      <c r="CM294" s="45"/>
      <c r="CN294" s="45"/>
      <c r="CO294" s="45"/>
      <c r="CP294" s="45"/>
      <c r="CQ294" s="45"/>
      <c r="CR294" s="45"/>
      <c r="CS294" s="45"/>
      <c r="CT294" s="45"/>
      <c r="CU294" s="45"/>
      <c r="CV294" s="45"/>
      <c r="CW294" s="45"/>
      <c r="CX294" s="269"/>
      <c r="CY294" s="269"/>
      <c r="CZ294" s="269"/>
    </row>
    <row r="295" spans="1:104">
      <c r="A295" s="472"/>
      <c r="B295" s="601"/>
      <c r="C295" s="601"/>
      <c r="D295" s="601"/>
      <c r="E295" s="601"/>
      <c r="F295" s="601"/>
      <c r="G295" s="601"/>
      <c r="H295" s="601"/>
      <c r="I295" s="601"/>
      <c r="J295" s="601"/>
      <c r="K295" s="601"/>
      <c r="L295" s="601"/>
      <c r="M295" s="601"/>
      <c r="N295" s="601"/>
      <c r="O295" s="601"/>
      <c r="P295" s="601"/>
      <c r="Q295" s="601"/>
      <c r="R295" s="601"/>
      <c r="S295" s="601"/>
      <c r="T295" s="601"/>
      <c r="U295" s="601"/>
      <c r="V295" s="601"/>
      <c r="W295" s="601"/>
      <c r="X295" s="601"/>
      <c r="Y295" s="601"/>
      <c r="Z295" s="601"/>
      <c r="AA295" s="601"/>
      <c r="AB295" s="601"/>
      <c r="AC295" s="601"/>
      <c r="AD295" s="601"/>
      <c r="AE295" s="601"/>
      <c r="AF295" s="601"/>
      <c r="AG295" s="601"/>
      <c r="AH295" s="601"/>
      <c r="AI295" s="601"/>
      <c r="AJ295" s="601"/>
      <c r="AK295" s="601"/>
      <c r="AL295" s="601"/>
      <c r="AM295" s="601"/>
      <c r="AN295" s="601"/>
      <c r="AO295" s="1459"/>
      <c r="AP295" s="1459"/>
      <c r="AQ295" s="1459"/>
      <c r="AR295" s="1459"/>
      <c r="AS295" s="1459"/>
      <c r="AT295" s="1459"/>
      <c r="AU295" s="1459"/>
      <c r="AV295" s="1459"/>
      <c r="AW295" s="1460"/>
      <c r="AX295" s="1460"/>
      <c r="AY295" s="1460"/>
      <c r="AZ295" s="1460"/>
      <c r="BA295" s="1460"/>
      <c r="BB295" s="1460"/>
      <c r="BC295" s="1460"/>
      <c r="BD295" s="1460"/>
      <c r="BE295" s="1460"/>
      <c r="BF295" s="1460"/>
      <c r="BG295" s="1460"/>
      <c r="BH295" s="600"/>
      <c r="BI295" s="600"/>
      <c r="BJ295" s="600"/>
      <c r="BK295" s="600"/>
      <c r="BL295" s="600"/>
      <c r="BM295" s="600"/>
      <c r="BN295" s="600"/>
      <c r="BO295" s="600"/>
      <c r="BP295" s="600"/>
      <c r="BQ295" s="600"/>
      <c r="BR295" s="600"/>
      <c r="BS295" s="600"/>
      <c r="BT295" s="600"/>
      <c r="BU295" s="600"/>
      <c r="BV295" s="600"/>
      <c r="BW295" s="600"/>
      <c r="BX295" s="600"/>
      <c r="BY295" s="600"/>
      <c r="BZ295" s="600"/>
      <c r="CA295" s="600"/>
      <c r="CB295" s="600"/>
      <c r="CC295" s="600"/>
      <c r="CD295" s="600"/>
      <c r="CE295" s="600"/>
      <c r="CF295" s="600"/>
      <c r="CG295" s="600"/>
      <c r="CH295" s="600"/>
      <c r="CI295" s="600"/>
      <c r="CJ295" s="600"/>
      <c r="CK295" s="600"/>
      <c r="CL295" s="600"/>
      <c r="CM295" s="600"/>
      <c r="CN295" s="600"/>
      <c r="CO295" s="600"/>
      <c r="CP295" s="600"/>
      <c r="CQ295" s="600"/>
      <c r="CR295" s="600"/>
      <c r="CS295" s="600"/>
      <c r="CT295" s="600"/>
      <c r="CU295" s="600"/>
      <c r="CV295" s="600"/>
      <c r="CW295" s="600"/>
      <c r="CX295" s="269"/>
      <c r="CY295" s="269"/>
      <c r="CZ295" s="269"/>
    </row>
    <row r="296" spans="1:104" hidden="1" outlineLevel="1">
      <c r="A296" s="43"/>
      <c r="B296" s="838"/>
      <c r="C296" s="838"/>
      <c r="D296" s="838"/>
      <c r="E296" s="838"/>
      <c r="F296" s="838"/>
      <c r="G296" s="838"/>
      <c r="H296" s="838"/>
      <c r="I296" s="838"/>
      <c r="J296" s="838"/>
      <c r="K296" s="838"/>
      <c r="L296" s="838"/>
      <c r="M296" s="838"/>
      <c r="N296" s="838"/>
      <c r="O296" s="838"/>
      <c r="P296" s="838"/>
      <c r="Q296" s="838"/>
      <c r="R296" s="838"/>
      <c r="S296" s="838"/>
      <c r="T296" s="838"/>
      <c r="U296" s="838"/>
      <c r="V296" s="838"/>
      <c r="W296" s="838"/>
      <c r="X296" s="838"/>
      <c r="Y296" s="838"/>
      <c r="Z296" s="838"/>
      <c r="AA296" s="838"/>
      <c r="AB296" s="838"/>
      <c r="AC296" s="838"/>
      <c r="AD296" s="838"/>
      <c r="AE296" s="838"/>
      <c r="AF296" s="838"/>
      <c r="AG296" s="838"/>
      <c r="AH296" s="838"/>
      <c r="AI296" s="837"/>
      <c r="AJ296" s="838"/>
      <c r="AK296" s="837"/>
      <c r="AL296" s="837"/>
      <c r="AM296" s="838"/>
      <c r="AN296" s="838"/>
      <c r="AO296" s="838"/>
      <c r="AP296" s="838"/>
      <c r="AQ296" s="838"/>
      <c r="AR296" s="838"/>
      <c r="AS296" s="838"/>
      <c r="AT296" s="838"/>
      <c r="AU296" s="838"/>
      <c r="AV296" s="838"/>
      <c r="AW296" s="575"/>
      <c r="AX296" s="575"/>
      <c r="AY296" s="575"/>
      <c r="AZ296" s="575"/>
      <c r="BA296" s="575"/>
      <c r="BB296" s="575"/>
      <c r="BC296" s="575"/>
      <c r="BD296" s="575"/>
      <c r="BE296" s="575"/>
      <c r="BF296" s="575"/>
      <c r="BG296" s="575"/>
      <c r="BH296" s="575"/>
      <c r="BI296" s="575"/>
      <c r="BJ296" s="575"/>
      <c r="BK296" s="575"/>
      <c r="BL296" s="575"/>
      <c r="BM296" s="575"/>
      <c r="BN296" s="575"/>
      <c r="BO296" s="575"/>
      <c r="BP296" s="575"/>
      <c r="BQ296" s="575"/>
      <c r="BR296" s="575"/>
      <c r="BS296" s="575"/>
      <c r="BT296" s="575"/>
      <c r="BU296" s="575"/>
      <c r="BV296" s="575"/>
      <c r="BW296" s="575"/>
      <c r="BX296" s="575"/>
      <c r="BY296" s="575"/>
      <c r="BZ296" s="575"/>
      <c r="CA296" s="575"/>
      <c r="CB296" s="575"/>
      <c r="CC296" s="575"/>
      <c r="CD296" s="575"/>
      <c r="CE296" s="575"/>
      <c r="CF296" s="575"/>
      <c r="CG296" s="575"/>
      <c r="CH296" s="575"/>
      <c r="CI296" s="575"/>
      <c r="CJ296" s="575"/>
      <c r="CK296" s="575"/>
      <c r="CL296" s="575"/>
      <c r="CM296" s="575"/>
      <c r="CN296" s="575"/>
      <c r="CO296" s="575"/>
      <c r="CP296" s="575"/>
      <c r="CQ296" s="575"/>
      <c r="CR296" s="575"/>
      <c r="CS296" s="575"/>
      <c r="CT296" s="575"/>
      <c r="CU296" s="575"/>
      <c r="CV296" s="575"/>
      <c r="CW296" s="575"/>
      <c r="CX296" s="269"/>
      <c r="CY296" s="269"/>
      <c r="CZ296" s="269"/>
    </row>
    <row r="297" spans="1:104" hidden="1" outlineLevel="1">
      <c r="A297" s="42"/>
      <c r="B297" s="836"/>
      <c r="C297" s="836"/>
      <c r="D297" s="836"/>
      <c r="E297" s="836"/>
      <c r="F297" s="836"/>
      <c r="G297" s="836"/>
      <c r="H297" s="836"/>
      <c r="I297" s="836"/>
      <c r="J297" s="836"/>
      <c r="K297" s="836"/>
      <c r="L297" s="836"/>
      <c r="M297" s="836"/>
      <c r="N297" s="836"/>
      <c r="O297" s="836"/>
      <c r="P297" s="836"/>
      <c r="Q297" s="836"/>
      <c r="R297" s="836"/>
      <c r="S297" s="836"/>
      <c r="T297" s="836"/>
      <c r="U297" s="836"/>
      <c r="V297" s="836"/>
      <c r="W297" s="836"/>
      <c r="X297" s="836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39"/>
      <c r="AX297" s="839"/>
      <c r="AY297" s="839"/>
      <c r="AZ297" s="839"/>
      <c r="BA297" s="839"/>
      <c r="BB297" s="839"/>
      <c r="BC297" s="839"/>
      <c r="BD297" s="839"/>
      <c r="BE297" s="839"/>
      <c r="BF297" s="839"/>
      <c r="BG297" s="839"/>
      <c r="BH297" s="839"/>
      <c r="BI297" s="839"/>
      <c r="BJ297" s="839"/>
      <c r="BK297" s="839"/>
      <c r="BL297" s="839"/>
      <c r="BM297" s="839"/>
      <c r="BN297" s="839"/>
      <c r="BO297" s="839"/>
      <c r="BP297" s="839"/>
      <c r="BQ297" s="839"/>
      <c r="BR297" s="839"/>
      <c r="BS297" s="839"/>
      <c r="BT297" s="839"/>
      <c r="BU297" s="839"/>
      <c r="BV297" s="839"/>
      <c r="BW297" s="839"/>
      <c r="BX297" s="839"/>
      <c r="BY297" s="839"/>
      <c r="BZ297" s="839"/>
      <c r="CA297" s="839"/>
      <c r="CB297" s="839"/>
      <c r="CC297" s="839"/>
      <c r="CD297" s="839"/>
      <c r="CE297" s="839"/>
      <c r="CF297" s="839"/>
      <c r="CG297" s="839"/>
      <c r="CH297" s="839"/>
      <c r="CI297" s="839"/>
      <c r="CJ297" s="839"/>
      <c r="CK297" s="839"/>
      <c r="CL297" s="839"/>
      <c r="CM297" s="839"/>
      <c r="CN297" s="839"/>
      <c r="CO297" s="839"/>
      <c r="CP297" s="839"/>
      <c r="CQ297" s="839"/>
      <c r="CR297" s="839"/>
      <c r="CS297" s="839"/>
      <c r="CT297" s="839"/>
      <c r="CU297" s="839"/>
      <c r="CV297" s="839"/>
      <c r="CW297" s="839"/>
      <c r="CX297" s="269"/>
      <c r="CY297" s="559"/>
      <c r="CZ297" s="559"/>
    </row>
    <row r="298" spans="1:104" hidden="1" outlineLevel="1">
      <c r="A298" s="836"/>
      <c r="B298" s="836"/>
      <c r="C298" s="836"/>
      <c r="D298" s="836"/>
      <c r="E298" s="836"/>
      <c r="F298" s="836"/>
      <c r="G298" s="836"/>
      <c r="H298" s="836"/>
      <c r="I298" s="836"/>
      <c r="J298" s="836"/>
      <c r="K298" s="836"/>
      <c r="L298" s="836"/>
      <c r="M298" s="836"/>
      <c r="N298" s="836"/>
      <c r="O298" s="836"/>
      <c r="P298" s="836"/>
      <c r="Q298" s="836"/>
      <c r="R298" s="836"/>
      <c r="S298" s="836"/>
      <c r="T298" s="836"/>
      <c r="U298" s="836"/>
      <c r="V298" s="836"/>
      <c r="W298" s="836"/>
      <c r="X298" s="836"/>
      <c r="Y298" s="836"/>
      <c r="Z298" s="836"/>
      <c r="AA298" s="836"/>
      <c r="AB298" s="836"/>
      <c r="AC298" s="836"/>
      <c r="AD298" s="836"/>
      <c r="AE298" s="836"/>
      <c r="AF298" s="836"/>
      <c r="AG298" s="836"/>
      <c r="AH298" s="836"/>
      <c r="AI298" s="836"/>
      <c r="AJ298" s="836"/>
      <c r="AK298" s="836"/>
      <c r="AL298" s="836"/>
      <c r="AM298" s="836"/>
      <c r="AN298" s="836"/>
      <c r="AO298" s="836"/>
      <c r="AP298" s="836"/>
      <c r="AQ298" s="836"/>
      <c r="AR298" s="836"/>
      <c r="AS298" s="836"/>
      <c r="AT298" s="836"/>
      <c r="AU298" s="836"/>
      <c r="AV298" s="836"/>
      <c r="AW298" s="836"/>
      <c r="AX298" s="836"/>
      <c r="AY298" s="836"/>
      <c r="AZ298" s="836"/>
      <c r="BA298" s="836"/>
      <c r="BB298" s="836"/>
      <c r="BC298" s="836"/>
      <c r="BD298" s="836"/>
      <c r="BE298" s="836"/>
      <c r="BF298" s="836"/>
      <c r="BG298" s="836"/>
      <c r="BH298" s="836"/>
      <c r="BI298" s="836"/>
      <c r="BJ298" s="836"/>
      <c r="BK298" s="836"/>
      <c r="BL298" s="836"/>
      <c r="BM298" s="836"/>
      <c r="BN298" s="836"/>
      <c r="BO298" s="836"/>
      <c r="BP298" s="836"/>
      <c r="BQ298" s="836"/>
      <c r="BR298" s="836"/>
      <c r="BS298" s="836"/>
      <c r="BT298" s="836"/>
      <c r="BU298" s="836"/>
      <c r="BV298" s="836"/>
      <c r="BW298" s="836"/>
      <c r="BX298" s="836"/>
      <c r="BY298" s="836"/>
      <c r="BZ298" s="836"/>
      <c r="CA298" s="836"/>
      <c r="CB298" s="836"/>
      <c r="CC298" s="836"/>
      <c r="CD298" s="836"/>
      <c r="CE298" s="836"/>
      <c r="CF298" s="836"/>
      <c r="CG298" s="836"/>
      <c r="CH298" s="836"/>
      <c r="CI298" s="836"/>
      <c r="CJ298" s="836"/>
      <c r="CK298" s="836"/>
      <c r="CL298" s="836"/>
      <c r="CM298" s="836"/>
      <c r="CN298" s="836"/>
      <c r="CO298" s="836"/>
      <c r="CP298" s="836"/>
      <c r="CQ298" s="836"/>
      <c r="CR298" s="836"/>
      <c r="CS298" s="836"/>
      <c r="CT298" s="836"/>
      <c r="CU298" s="836"/>
      <c r="CV298" s="836"/>
      <c r="CW298" s="836"/>
      <c r="CX298" s="269"/>
      <c r="CY298" s="559"/>
      <c r="CZ298" s="559"/>
    </row>
    <row r="299" spans="1:104" hidden="1" outlineLevel="1">
      <c r="A299" s="836"/>
      <c r="B299" s="836"/>
      <c r="C299" s="836"/>
      <c r="D299" s="836"/>
      <c r="E299" s="836"/>
      <c r="F299" s="836"/>
      <c r="G299" s="836"/>
      <c r="H299" s="836"/>
      <c r="I299" s="836"/>
      <c r="J299" s="836"/>
      <c r="K299" s="836"/>
      <c r="L299" s="836"/>
      <c r="M299" s="836"/>
      <c r="N299" s="836"/>
      <c r="O299" s="836"/>
      <c r="P299" s="836"/>
      <c r="Q299" s="836"/>
      <c r="R299" s="836"/>
      <c r="S299" s="836"/>
      <c r="T299" s="836"/>
      <c r="U299" s="836"/>
      <c r="V299" s="836"/>
      <c r="W299" s="836"/>
      <c r="X299" s="836"/>
      <c r="Y299" s="836"/>
      <c r="Z299" s="836"/>
      <c r="AA299" s="836"/>
      <c r="AB299" s="836"/>
      <c r="AC299" s="836"/>
      <c r="AD299" s="836"/>
      <c r="AE299" s="836"/>
      <c r="AF299" s="836"/>
      <c r="AG299" s="836"/>
      <c r="AH299" s="836"/>
      <c r="AI299" s="836"/>
      <c r="AJ299" s="836"/>
      <c r="AK299" s="836"/>
      <c r="AL299" s="836"/>
      <c r="AM299" s="836"/>
      <c r="AN299" s="836"/>
      <c r="AO299" s="836"/>
      <c r="AP299" s="836"/>
      <c r="AQ299" s="836"/>
      <c r="AR299" s="836"/>
      <c r="AS299" s="836"/>
      <c r="AT299" s="836"/>
      <c r="AU299" s="836"/>
      <c r="AV299" s="836"/>
      <c r="AW299" s="836"/>
      <c r="AX299" s="836"/>
      <c r="AY299" s="836"/>
      <c r="AZ299" s="836"/>
      <c r="BA299" s="836"/>
      <c r="BB299" s="836"/>
      <c r="BC299" s="836"/>
      <c r="BD299" s="836"/>
      <c r="BE299" s="836"/>
      <c r="BF299" s="836"/>
      <c r="BG299" s="836"/>
      <c r="BH299" s="836"/>
      <c r="BI299" s="836"/>
      <c r="BJ299" s="836"/>
      <c r="BK299" s="836"/>
      <c r="BL299" s="836"/>
      <c r="BM299" s="836"/>
      <c r="BN299" s="836"/>
      <c r="BO299" s="836"/>
      <c r="BP299" s="836"/>
      <c r="BQ299" s="836"/>
      <c r="BR299" s="836"/>
      <c r="BS299" s="836"/>
      <c r="BT299" s="836"/>
      <c r="BU299" s="836"/>
      <c r="BV299" s="836"/>
      <c r="BW299" s="836"/>
      <c r="BX299" s="836"/>
      <c r="BY299" s="836"/>
      <c r="BZ299" s="836"/>
      <c r="CA299" s="836"/>
      <c r="CB299" s="836"/>
      <c r="CC299" s="836"/>
      <c r="CD299" s="836"/>
      <c r="CE299" s="836"/>
      <c r="CF299" s="836"/>
      <c r="CG299" s="836"/>
      <c r="CH299" s="836"/>
      <c r="CI299" s="836"/>
      <c r="CJ299" s="836"/>
      <c r="CK299" s="836"/>
      <c r="CL299" s="836"/>
      <c r="CM299" s="836"/>
      <c r="CN299" s="836"/>
      <c r="CO299" s="836"/>
      <c r="CP299" s="836"/>
      <c r="CQ299" s="836"/>
      <c r="CR299" s="836"/>
      <c r="CS299" s="836"/>
      <c r="CT299" s="836"/>
      <c r="CU299" s="836"/>
      <c r="CV299" s="836"/>
      <c r="CW299" s="836"/>
      <c r="CX299" s="269"/>
      <c r="CY299" s="559"/>
      <c r="CZ299" s="559"/>
    </row>
    <row r="300" spans="1:104" hidden="1" outlineLevel="1">
      <c r="A300" s="836"/>
      <c r="B300" s="836"/>
      <c r="C300" s="836"/>
      <c r="D300" s="836"/>
      <c r="E300" s="836"/>
      <c r="F300" s="836"/>
      <c r="G300" s="836"/>
      <c r="H300" s="836"/>
      <c r="I300" s="836"/>
      <c r="J300" s="836"/>
      <c r="K300" s="836"/>
      <c r="L300" s="836"/>
      <c r="M300" s="836"/>
      <c r="N300" s="836"/>
      <c r="O300" s="836"/>
      <c r="P300" s="836"/>
      <c r="Q300" s="836"/>
      <c r="R300" s="836"/>
      <c r="S300" s="836"/>
      <c r="T300" s="836"/>
      <c r="U300" s="836"/>
      <c r="V300" s="836"/>
      <c r="W300" s="836"/>
      <c r="X300" s="836"/>
      <c r="Y300" s="836"/>
      <c r="Z300" s="836"/>
      <c r="AA300" s="836"/>
      <c r="AB300" s="836"/>
      <c r="AC300" s="836"/>
      <c r="AD300" s="836"/>
      <c r="AE300" s="836"/>
      <c r="AF300" s="836"/>
      <c r="AG300" s="836"/>
      <c r="AH300" s="836"/>
      <c r="AI300" s="836"/>
      <c r="AJ300" s="836"/>
      <c r="AK300" s="836"/>
      <c r="AL300" s="836"/>
      <c r="AM300" s="836"/>
      <c r="AN300" s="836"/>
      <c r="AO300" s="836"/>
      <c r="AP300" s="836"/>
      <c r="AQ300" s="836"/>
      <c r="AR300" s="836"/>
      <c r="AS300" s="836"/>
      <c r="AT300" s="836"/>
      <c r="AU300" s="836"/>
      <c r="AV300" s="836"/>
      <c r="AW300" s="836"/>
      <c r="AX300" s="836"/>
      <c r="AY300" s="836"/>
      <c r="AZ300" s="836"/>
      <c r="BA300" s="836"/>
      <c r="BB300" s="836"/>
      <c r="BC300" s="836"/>
      <c r="BD300" s="836"/>
      <c r="BE300" s="836"/>
      <c r="BF300" s="836"/>
      <c r="BG300" s="836"/>
      <c r="BH300" s="836"/>
      <c r="BI300" s="836"/>
      <c r="BJ300" s="836"/>
      <c r="BK300" s="836"/>
      <c r="BL300" s="836"/>
      <c r="BM300" s="836"/>
      <c r="BN300" s="836"/>
      <c r="BO300" s="836"/>
      <c r="BP300" s="836"/>
      <c r="BQ300" s="836"/>
      <c r="BR300" s="836"/>
      <c r="BS300" s="836"/>
      <c r="BT300" s="836"/>
      <c r="BU300" s="836"/>
      <c r="BV300" s="836"/>
      <c r="BW300" s="836"/>
      <c r="BX300" s="836"/>
      <c r="BY300" s="836"/>
      <c r="BZ300" s="836"/>
      <c r="CA300" s="836"/>
      <c r="CB300" s="836"/>
      <c r="CC300" s="836"/>
      <c r="CD300" s="836"/>
      <c r="CE300" s="836"/>
      <c r="CF300" s="836"/>
      <c r="CG300" s="836"/>
      <c r="CH300" s="836"/>
      <c r="CI300" s="836"/>
      <c r="CJ300" s="836"/>
      <c r="CK300" s="836"/>
      <c r="CL300" s="836"/>
      <c r="CM300" s="836"/>
      <c r="CN300" s="836"/>
      <c r="CO300" s="836"/>
      <c r="CP300" s="836"/>
      <c r="CQ300" s="836"/>
      <c r="CR300" s="836"/>
      <c r="CS300" s="836"/>
      <c r="CT300" s="836"/>
      <c r="CU300" s="836"/>
      <c r="CV300" s="836"/>
      <c r="CW300" s="836"/>
      <c r="CX300" s="269"/>
      <c r="CY300" s="269"/>
      <c r="CZ300" s="269"/>
    </row>
    <row r="301" spans="1:104" hidden="1" outlineLevel="1">
      <c r="A301" s="836"/>
      <c r="B301" s="836"/>
      <c r="C301" s="836"/>
      <c r="D301" s="836"/>
      <c r="E301" s="836"/>
      <c r="F301" s="836"/>
      <c r="G301" s="836"/>
      <c r="H301" s="836"/>
      <c r="I301" s="836"/>
      <c r="J301" s="836"/>
      <c r="K301" s="836"/>
      <c r="L301" s="836"/>
      <c r="M301" s="836"/>
      <c r="N301" s="836"/>
      <c r="O301" s="836"/>
      <c r="P301" s="836"/>
      <c r="Q301" s="836"/>
      <c r="R301" s="836"/>
      <c r="S301" s="836"/>
      <c r="T301" s="836"/>
      <c r="U301" s="836"/>
      <c r="V301" s="836"/>
      <c r="W301" s="836"/>
      <c r="X301" s="836"/>
      <c r="Y301" s="836"/>
      <c r="Z301" s="836"/>
      <c r="AA301" s="836"/>
      <c r="AB301" s="836"/>
      <c r="AC301" s="836"/>
      <c r="AD301" s="836"/>
      <c r="AE301" s="836"/>
      <c r="AF301" s="836"/>
      <c r="AG301" s="836"/>
      <c r="AH301" s="836"/>
      <c r="AI301" s="836"/>
      <c r="AJ301" s="836"/>
      <c r="AK301" s="836"/>
      <c r="AL301" s="836"/>
      <c r="AM301" s="836"/>
      <c r="AN301" s="836"/>
      <c r="AO301" s="836"/>
      <c r="AP301" s="836"/>
      <c r="AQ301" s="836"/>
      <c r="AR301" s="836"/>
      <c r="AS301" s="836"/>
      <c r="AT301" s="836"/>
      <c r="AU301" s="836"/>
      <c r="AV301" s="836"/>
      <c r="AW301" s="836"/>
      <c r="AX301" s="836"/>
      <c r="AY301" s="836"/>
      <c r="AZ301" s="836"/>
      <c r="BA301" s="836"/>
      <c r="BB301" s="836"/>
      <c r="BC301" s="836"/>
      <c r="BD301" s="836"/>
      <c r="BE301" s="836"/>
      <c r="BF301" s="836"/>
      <c r="BG301" s="836"/>
      <c r="BH301" s="836"/>
      <c r="BI301" s="836"/>
      <c r="BJ301" s="836"/>
      <c r="BK301" s="836"/>
      <c r="BL301" s="836"/>
      <c r="BM301" s="836"/>
      <c r="BN301" s="836"/>
      <c r="BO301" s="836"/>
      <c r="BP301" s="836"/>
      <c r="BQ301" s="836"/>
      <c r="BR301" s="836"/>
      <c r="BS301" s="836"/>
      <c r="BT301" s="836"/>
      <c r="BU301" s="836"/>
      <c r="BV301" s="836"/>
      <c r="BW301" s="836"/>
      <c r="BX301" s="836"/>
      <c r="BY301" s="836"/>
      <c r="BZ301" s="836"/>
      <c r="CA301" s="836"/>
      <c r="CB301" s="836"/>
      <c r="CC301" s="836"/>
      <c r="CD301" s="836"/>
      <c r="CE301" s="836"/>
      <c r="CF301" s="836"/>
      <c r="CG301" s="836"/>
      <c r="CH301" s="836"/>
      <c r="CI301" s="836"/>
      <c r="CJ301" s="836"/>
      <c r="CK301" s="836"/>
      <c r="CL301" s="836"/>
      <c r="CM301" s="836"/>
      <c r="CN301" s="836"/>
      <c r="CO301" s="836"/>
      <c r="CP301" s="836"/>
      <c r="CQ301" s="836"/>
      <c r="CR301" s="836"/>
      <c r="CS301" s="836"/>
      <c r="CT301" s="836"/>
      <c r="CU301" s="836"/>
      <c r="CV301" s="836"/>
      <c r="CW301" s="836"/>
      <c r="CX301" s="269"/>
      <c r="CY301" s="269"/>
      <c r="CZ301" s="269"/>
    </row>
    <row r="302" spans="1:104" hidden="1" outlineLevel="1">
      <c r="A302" s="836"/>
      <c r="B302" s="836"/>
      <c r="C302" s="836"/>
      <c r="D302" s="836"/>
      <c r="E302" s="836"/>
      <c r="F302" s="836"/>
      <c r="G302" s="836"/>
      <c r="H302" s="836"/>
      <c r="I302" s="836"/>
      <c r="J302" s="836"/>
      <c r="K302" s="836"/>
      <c r="L302" s="836"/>
      <c r="M302" s="836"/>
      <c r="N302" s="836"/>
      <c r="O302" s="836"/>
      <c r="P302" s="836"/>
      <c r="Q302" s="836"/>
      <c r="R302" s="836"/>
      <c r="S302" s="836"/>
      <c r="T302" s="836"/>
      <c r="U302" s="836"/>
      <c r="V302" s="836"/>
      <c r="W302" s="836"/>
      <c r="X302" s="836"/>
      <c r="Y302" s="836"/>
      <c r="Z302" s="836"/>
      <c r="AA302" s="836"/>
      <c r="AB302" s="836"/>
      <c r="AC302" s="836"/>
      <c r="AD302" s="836"/>
      <c r="AE302" s="836"/>
      <c r="AF302" s="836"/>
      <c r="AG302" s="836"/>
      <c r="AH302" s="836"/>
      <c r="AI302" s="836"/>
      <c r="AJ302" s="836"/>
      <c r="AK302" s="836"/>
      <c r="AL302" s="836"/>
      <c r="AM302" s="836"/>
      <c r="AN302" s="836"/>
      <c r="AO302" s="836"/>
      <c r="AP302" s="836"/>
      <c r="AQ302" s="836"/>
      <c r="AR302" s="836"/>
      <c r="AS302" s="836"/>
      <c r="AT302" s="836"/>
      <c r="AU302" s="836"/>
      <c r="AV302" s="836"/>
      <c r="AW302" s="836"/>
      <c r="AX302" s="836"/>
      <c r="AY302" s="836"/>
      <c r="AZ302" s="836"/>
      <c r="BA302" s="836"/>
      <c r="BB302" s="836"/>
      <c r="BC302" s="836"/>
      <c r="BD302" s="836"/>
      <c r="BE302" s="836"/>
      <c r="BF302" s="836"/>
      <c r="BG302" s="836"/>
      <c r="BH302" s="836"/>
      <c r="BI302" s="836"/>
      <c r="BJ302" s="836"/>
      <c r="BK302" s="836"/>
      <c r="BL302" s="836"/>
      <c r="BM302" s="836"/>
      <c r="BN302" s="836"/>
      <c r="BO302" s="836"/>
      <c r="BP302" s="836"/>
      <c r="BQ302" s="836"/>
      <c r="BR302" s="836"/>
      <c r="BS302" s="836"/>
      <c r="BT302" s="836"/>
      <c r="BU302" s="836"/>
      <c r="BV302" s="836"/>
      <c r="BW302" s="836"/>
      <c r="BX302" s="836"/>
      <c r="BY302" s="836"/>
      <c r="BZ302" s="836"/>
      <c r="CA302" s="836"/>
      <c r="CB302" s="836"/>
      <c r="CC302" s="836"/>
      <c r="CD302" s="836"/>
      <c r="CE302" s="836"/>
      <c r="CF302" s="836"/>
      <c r="CG302" s="836"/>
      <c r="CH302" s="836"/>
      <c r="CI302" s="836"/>
      <c r="CJ302" s="836"/>
      <c r="CK302" s="836"/>
      <c r="CL302" s="836"/>
      <c r="CM302" s="836"/>
      <c r="CN302" s="836"/>
      <c r="CO302" s="836"/>
      <c r="CP302" s="836"/>
      <c r="CQ302" s="836"/>
      <c r="CR302" s="836"/>
      <c r="CS302" s="836"/>
      <c r="CT302" s="836"/>
      <c r="CU302" s="836"/>
      <c r="CV302" s="836"/>
      <c r="CW302" s="836"/>
      <c r="CX302" s="269"/>
      <c r="CY302" s="559"/>
      <c r="CZ302" s="559"/>
    </row>
    <row r="303" spans="1:104" hidden="1" outlineLevel="1">
      <c r="A303" s="836"/>
      <c r="B303" s="836"/>
      <c r="C303" s="836"/>
      <c r="D303" s="836"/>
      <c r="E303" s="836"/>
      <c r="F303" s="836"/>
      <c r="G303" s="836"/>
      <c r="H303" s="836"/>
      <c r="I303" s="836"/>
      <c r="J303" s="836"/>
      <c r="K303" s="836"/>
      <c r="L303" s="836"/>
      <c r="M303" s="836"/>
      <c r="N303" s="836"/>
      <c r="O303" s="836"/>
      <c r="P303" s="836"/>
      <c r="Q303" s="836"/>
      <c r="R303" s="836"/>
      <c r="S303" s="836"/>
      <c r="T303" s="836"/>
      <c r="U303" s="836"/>
      <c r="V303" s="836"/>
      <c r="W303" s="836"/>
      <c r="X303" s="836"/>
      <c r="Y303" s="836"/>
      <c r="Z303" s="836"/>
      <c r="AA303" s="836"/>
      <c r="AB303" s="836"/>
      <c r="AC303" s="836"/>
      <c r="AD303" s="836"/>
      <c r="AE303" s="836"/>
      <c r="AF303" s="836"/>
      <c r="AG303" s="836"/>
      <c r="AH303" s="836"/>
      <c r="AI303" s="836"/>
      <c r="AJ303" s="836"/>
      <c r="AK303" s="836"/>
      <c r="AL303" s="836"/>
      <c r="AM303" s="836"/>
      <c r="AN303" s="836"/>
      <c r="AO303" s="836"/>
      <c r="AP303" s="836"/>
      <c r="AQ303" s="836"/>
      <c r="AR303" s="836"/>
      <c r="AS303" s="836"/>
      <c r="AT303" s="836"/>
      <c r="AU303" s="836"/>
      <c r="AV303" s="836"/>
      <c r="AW303" s="836"/>
      <c r="AX303" s="836"/>
      <c r="AY303" s="836"/>
      <c r="AZ303" s="836"/>
      <c r="BA303" s="836"/>
      <c r="BB303" s="836"/>
      <c r="BC303" s="836"/>
      <c r="BD303" s="836"/>
      <c r="BE303" s="836"/>
      <c r="BF303" s="836"/>
      <c r="BG303" s="836"/>
      <c r="BH303" s="836"/>
      <c r="BI303" s="836"/>
      <c r="BJ303" s="836"/>
      <c r="BK303" s="836"/>
      <c r="BL303" s="836"/>
      <c r="BM303" s="836"/>
      <c r="BN303" s="836"/>
      <c r="BO303" s="836"/>
      <c r="BP303" s="836"/>
      <c r="BQ303" s="836"/>
      <c r="BR303" s="836"/>
      <c r="BS303" s="836"/>
      <c r="BT303" s="836"/>
      <c r="BU303" s="836"/>
      <c r="BV303" s="836"/>
      <c r="BW303" s="836"/>
      <c r="BX303" s="836"/>
      <c r="BY303" s="836"/>
      <c r="BZ303" s="836"/>
      <c r="CA303" s="836"/>
      <c r="CB303" s="836"/>
      <c r="CC303" s="836"/>
      <c r="CD303" s="836"/>
      <c r="CE303" s="836"/>
      <c r="CF303" s="836"/>
      <c r="CG303" s="836"/>
      <c r="CH303" s="836"/>
      <c r="CI303" s="836"/>
      <c r="CJ303" s="836"/>
      <c r="CK303" s="836"/>
      <c r="CL303" s="836"/>
      <c r="CM303" s="836"/>
      <c r="CN303" s="836"/>
      <c r="CO303" s="836"/>
      <c r="CP303" s="836"/>
      <c r="CQ303" s="836"/>
      <c r="CR303" s="836"/>
      <c r="CS303" s="836"/>
      <c r="CT303" s="836"/>
      <c r="CU303" s="836"/>
      <c r="CV303" s="836"/>
      <c r="CW303" s="836"/>
      <c r="CX303" s="269"/>
      <c r="CY303" s="559"/>
      <c r="CZ303" s="559"/>
    </row>
    <row r="304" spans="1:104" hidden="1" outlineLevel="1">
      <c r="A304" s="836"/>
      <c r="B304" s="836"/>
      <c r="C304" s="836"/>
      <c r="D304" s="836"/>
      <c r="E304" s="836"/>
      <c r="F304" s="836"/>
      <c r="G304" s="836"/>
      <c r="H304" s="836"/>
      <c r="I304" s="836"/>
      <c r="J304" s="836"/>
      <c r="K304" s="836"/>
      <c r="L304" s="836"/>
      <c r="M304" s="836"/>
      <c r="N304" s="836"/>
      <c r="O304" s="836"/>
      <c r="P304" s="836"/>
      <c r="Q304" s="836"/>
      <c r="R304" s="836"/>
      <c r="S304" s="836"/>
      <c r="T304" s="836"/>
      <c r="U304" s="836"/>
      <c r="V304" s="836"/>
      <c r="W304" s="836"/>
      <c r="X304" s="836"/>
      <c r="Y304" s="836"/>
      <c r="Z304" s="836"/>
      <c r="AA304" s="836"/>
      <c r="AB304" s="836"/>
      <c r="AC304" s="836"/>
      <c r="AD304" s="836"/>
      <c r="AE304" s="836"/>
      <c r="AF304" s="836"/>
      <c r="AG304" s="836"/>
      <c r="AH304" s="836"/>
      <c r="AI304" s="836"/>
      <c r="AJ304" s="836"/>
      <c r="AK304" s="836"/>
      <c r="AL304" s="836"/>
      <c r="AM304" s="836"/>
      <c r="AN304" s="836"/>
      <c r="AO304" s="836"/>
      <c r="AP304" s="836"/>
      <c r="AQ304" s="836"/>
      <c r="AR304" s="836"/>
      <c r="AS304" s="836"/>
      <c r="AT304" s="836"/>
      <c r="AU304" s="836"/>
      <c r="AV304" s="836"/>
      <c r="AW304" s="836"/>
      <c r="AX304" s="836"/>
      <c r="AY304" s="836"/>
      <c r="AZ304" s="836"/>
      <c r="BA304" s="836"/>
      <c r="BB304" s="836"/>
      <c r="BC304" s="836"/>
      <c r="BD304" s="836"/>
      <c r="BE304" s="836"/>
      <c r="BF304" s="836"/>
      <c r="BG304" s="836"/>
      <c r="BH304" s="836"/>
      <c r="BI304" s="836"/>
      <c r="BJ304" s="836"/>
      <c r="BK304" s="836"/>
      <c r="BL304" s="836"/>
      <c r="BM304" s="836"/>
      <c r="BN304" s="836"/>
      <c r="BO304" s="836"/>
      <c r="BP304" s="836"/>
      <c r="BQ304" s="836"/>
      <c r="BR304" s="836"/>
      <c r="BS304" s="836"/>
      <c r="BT304" s="836"/>
      <c r="BU304" s="836"/>
      <c r="BV304" s="836"/>
      <c r="BW304" s="836"/>
      <c r="BX304" s="836"/>
      <c r="BY304" s="836"/>
      <c r="BZ304" s="836"/>
      <c r="CA304" s="836"/>
      <c r="CB304" s="836"/>
      <c r="CC304" s="836"/>
      <c r="CD304" s="836"/>
      <c r="CE304" s="836"/>
      <c r="CF304" s="836"/>
      <c r="CG304" s="836"/>
      <c r="CH304" s="836"/>
      <c r="CI304" s="836"/>
      <c r="CJ304" s="836"/>
      <c r="CK304" s="836"/>
      <c r="CL304" s="836"/>
      <c r="CM304" s="836"/>
      <c r="CN304" s="836"/>
      <c r="CO304" s="836"/>
      <c r="CP304" s="836"/>
      <c r="CQ304" s="836"/>
      <c r="CR304" s="836"/>
      <c r="CS304" s="836"/>
      <c r="CT304" s="836"/>
      <c r="CU304" s="836"/>
      <c r="CV304" s="836"/>
      <c r="CW304" s="836"/>
      <c r="CX304" s="269"/>
      <c r="CY304" s="559"/>
      <c r="CZ304" s="559"/>
    </row>
    <row r="305" spans="1:104" hidden="1" outlineLevel="1">
      <c r="A305" s="836"/>
      <c r="B305" s="836"/>
      <c r="C305" s="836"/>
      <c r="D305" s="836"/>
      <c r="E305" s="836"/>
      <c r="F305" s="836"/>
      <c r="G305" s="836"/>
      <c r="H305" s="836"/>
      <c r="I305" s="836"/>
      <c r="J305" s="836"/>
      <c r="K305" s="836"/>
      <c r="L305" s="836"/>
      <c r="M305" s="836"/>
      <c r="N305" s="836"/>
      <c r="O305" s="836"/>
      <c r="P305" s="836"/>
      <c r="Q305" s="836"/>
      <c r="R305" s="836"/>
      <c r="S305" s="836"/>
      <c r="T305" s="836"/>
      <c r="U305" s="836"/>
      <c r="V305" s="836"/>
      <c r="W305" s="836"/>
      <c r="X305" s="836"/>
      <c r="Y305" s="836"/>
      <c r="Z305" s="836"/>
      <c r="AA305" s="836"/>
      <c r="AB305" s="836"/>
      <c r="AC305" s="836"/>
      <c r="AD305" s="836"/>
      <c r="AE305" s="836"/>
      <c r="AF305" s="836"/>
      <c r="AG305" s="836"/>
      <c r="AH305" s="836"/>
      <c r="AI305" s="836"/>
      <c r="AJ305" s="836"/>
      <c r="AK305" s="836"/>
      <c r="AL305" s="836"/>
      <c r="AM305" s="836"/>
      <c r="AN305" s="836"/>
      <c r="AO305" s="836"/>
      <c r="AP305" s="836"/>
      <c r="AQ305" s="836"/>
      <c r="AR305" s="836"/>
      <c r="AS305" s="836"/>
      <c r="AT305" s="836"/>
      <c r="AU305" s="836"/>
      <c r="AV305" s="836"/>
      <c r="AW305" s="836"/>
      <c r="AX305" s="836"/>
      <c r="AY305" s="836"/>
      <c r="AZ305" s="836"/>
      <c r="BA305" s="836"/>
      <c r="BB305" s="836"/>
      <c r="BC305" s="836"/>
      <c r="BD305" s="836"/>
      <c r="BE305" s="836"/>
      <c r="BF305" s="836"/>
      <c r="BG305" s="836"/>
      <c r="BH305" s="836"/>
      <c r="BI305" s="836"/>
      <c r="BJ305" s="836"/>
      <c r="BK305" s="836"/>
      <c r="BL305" s="836"/>
      <c r="BM305" s="836"/>
      <c r="BN305" s="836"/>
      <c r="BO305" s="836"/>
      <c r="BP305" s="836"/>
      <c r="BQ305" s="836"/>
      <c r="BR305" s="836"/>
      <c r="BS305" s="836"/>
      <c r="BT305" s="836"/>
      <c r="BU305" s="836"/>
      <c r="BV305" s="836"/>
      <c r="BW305" s="836"/>
      <c r="BX305" s="836"/>
      <c r="BY305" s="836"/>
      <c r="BZ305" s="836"/>
      <c r="CA305" s="836"/>
      <c r="CB305" s="836"/>
      <c r="CC305" s="836"/>
      <c r="CD305" s="836"/>
      <c r="CE305" s="836"/>
      <c r="CF305" s="836"/>
      <c r="CG305" s="836"/>
      <c r="CH305" s="836"/>
      <c r="CI305" s="836"/>
      <c r="CJ305" s="836"/>
      <c r="CK305" s="836"/>
      <c r="CL305" s="836"/>
      <c r="CM305" s="836"/>
      <c r="CN305" s="836"/>
      <c r="CO305" s="836"/>
      <c r="CP305" s="836"/>
      <c r="CQ305" s="836"/>
      <c r="CR305" s="836"/>
      <c r="CS305" s="836"/>
      <c r="CT305" s="836"/>
      <c r="CU305" s="836"/>
      <c r="CV305" s="836"/>
      <c r="CW305" s="836"/>
      <c r="CX305" s="269"/>
      <c r="CY305" s="269"/>
      <c r="CZ305" s="269"/>
    </row>
    <row r="306" spans="1:104" hidden="1" outlineLevel="1">
      <c r="A306" s="836"/>
      <c r="B306" s="836"/>
      <c r="C306" s="836"/>
      <c r="D306" s="836"/>
      <c r="E306" s="836"/>
      <c r="F306" s="836"/>
      <c r="G306" s="836"/>
      <c r="H306" s="836"/>
      <c r="I306" s="836"/>
      <c r="J306" s="836"/>
      <c r="K306" s="836"/>
      <c r="L306" s="836"/>
      <c r="M306" s="836"/>
      <c r="N306" s="836"/>
      <c r="O306" s="836"/>
      <c r="P306" s="836"/>
      <c r="Q306" s="836"/>
      <c r="R306" s="836"/>
      <c r="S306" s="836"/>
      <c r="T306" s="836"/>
      <c r="U306" s="836"/>
      <c r="V306" s="836"/>
      <c r="W306" s="836"/>
      <c r="X306" s="836"/>
      <c r="Y306" s="836"/>
      <c r="Z306" s="836"/>
      <c r="AA306" s="836"/>
      <c r="AB306" s="836"/>
      <c r="AC306" s="836"/>
      <c r="AD306" s="836"/>
      <c r="AE306" s="836"/>
      <c r="AF306" s="836"/>
      <c r="AG306" s="836"/>
      <c r="AH306" s="836"/>
      <c r="AI306" s="836"/>
      <c r="AJ306" s="836"/>
      <c r="AK306" s="836"/>
      <c r="AL306" s="836"/>
      <c r="AM306" s="836"/>
      <c r="AN306" s="836"/>
      <c r="AO306" s="836"/>
      <c r="AP306" s="836"/>
      <c r="AQ306" s="836"/>
      <c r="AR306" s="836"/>
      <c r="AS306" s="836"/>
      <c r="AT306" s="836"/>
      <c r="AU306" s="836"/>
      <c r="AV306" s="836"/>
      <c r="AW306" s="836"/>
      <c r="AX306" s="836"/>
      <c r="AY306" s="836"/>
      <c r="AZ306" s="836"/>
      <c r="BA306" s="836"/>
      <c r="BB306" s="836"/>
      <c r="BC306" s="836"/>
      <c r="BD306" s="836"/>
      <c r="BE306" s="836"/>
      <c r="BF306" s="836"/>
      <c r="BG306" s="836"/>
      <c r="BH306" s="836"/>
      <c r="BI306" s="836"/>
      <c r="BJ306" s="836"/>
      <c r="BK306" s="836"/>
      <c r="BL306" s="836"/>
      <c r="BM306" s="836"/>
      <c r="BN306" s="836"/>
      <c r="BO306" s="836"/>
      <c r="BP306" s="836"/>
      <c r="BQ306" s="836"/>
      <c r="BR306" s="836"/>
      <c r="BS306" s="836"/>
      <c r="BT306" s="836"/>
      <c r="BU306" s="836"/>
      <c r="BV306" s="836"/>
      <c r="BW306" s="836"/>
      <c r="BX306" s="836"/>
      <c r="BY306" s="836"/>
      <c r="BZ306" s="836"/>
      <c r="CA306" s="836"/>
      <c r="CB306" s="836"/>
      <c r="CC306" s="836"/>
      <c r="CD306" s="836"/>
      <c r="CE306" s="836"/>
      <c r="CF306" s="836"/>
      <c r="CG306" s="836"/>
      <c r="CH306" s="836"/>
      <c r="CI306" s="836"/>
      <c r="CJ306" s="836"/>
      <c r="CK306" s="836"/>
      <c r="CL306" s="836"/>
      <c r="CM306" s="836"/>
      <c r="CN306" s="836"/>
      <c r="CO306" s="836"/>
      <c r="CP306" s="836"/>
      <c r="CQ306" s="836"/>
      <c r="CR306" s="836"/>
      <c r="CS306" s="836"/>
      <c r="CT306" s="836"/>
      <c r="CU306" s="836"/>
      <c r="CV306" s="836"/>
      <c r="CW306" s="836"/>
      <c r="CX306" s="269"/>
      <c r="CY306" s="269"/>
      <c r="CZ306" s="269"/>
    </row>
    <row r="307" spans="1:104" hidden="1" outlineLevel="1">
      <c r="A307" s="836"/>
      <c r="B307" s="836"/>
      <c r="C307" s="836"/>
      <c r="D307" s="836"/>
      <c r="E307" s="836"/>
      <c r="F307" s="836"/>
      <c r="G307" s="836"/>
      <c r="H307" s="836"/>
      <c r="I307" s="836"/>
      <c r="J307" s="836"/>
      <c r="K307" s="836"/>
      <c r="L307" s="836"/>
      <c r="M307" s="836"/>
      <c r="N307" s="836"/>
      <c r="O307" s="836"/>
      <c r="P307" s="836"/>
      <c r="Q307" s="836"/>
      <c r="R307" s="836"/>
      <c r="S307" s="836"/>
      <c r="T307" s="836"/>
      <c r="U307" s="836"/>
      <c r="V307" s="836"/>
      <c r="W307" s="836"/>
      <c r="X307" s="836"/>
      <c r="Y307" s="836"/>
      <c r="Z307" s="836"/>
      <c r="AA307" s="836"/>
      <c r="AB307" s="836"/>
      <c r="AC307" s="836"/>
      <c r="AD307" s="836"/>
      <c r="AE307" s="836"/>
      <c r="AF307" s="836"/>
      <c r="AG307" s="836"/>
      <c r="AH307" s="836"/>
      <c r="AI307" s="836"/>
      <c r="AJ307" s="836"/>
      <c r="AK307" s="836"/>
      <c r="AL307" s="836"/>
      <c r="AM307" s="836"/>
      <c r="AN307" s="836"/>
      <c r="AO307" s="836"/>
      <c r="AP307" s="836"/>
      <c r="AQ307" s="836"/>
      <c r="AR307" s="836"/>
      <c r="AS307" s="836"/>
      <c r="AT307" s="836"/>
      <c r="AU307" s="836"/>
      <c r="AV307" s="836"/>
      <c r="AW307" s="836"/>
      <c r="AX307" s="836"/>
      <c r="AY307" s="836"/>
      <c r="AZ307" s="836"/>
      <c r="BA307" s="836"/>
      <c r="BB307" s="836"/>
      <c r="BC307" s="836"/>
      <c r="BD307" s="836"/>
      <c r="BE307" s="836"/>
      <c r="BF307" s="836"/>
      <c r="BG307" s="836"/>
      <c r="BH307" s="836"/>
      <c r="BI307" s="836"/>
      <c r="BJ307" s="836"/>
      <c r="BK307" s="836"/>
      <c r="BL307" s="836"/>
      <c r="BM307" s="836"/>
      <c r="BN307" s="836"/>
      <c r="BO307" s="836"/>
      <c r="BP307" s="836"/>
      <c r="BQ307" s="836"/>
      <c r="BR307" s="836"/>
      <c r="BS307" s="836"/>
      <c r="BT307" s="836"/>
      <c r="BU307" s="836"/>
      <c r="BV307" s="836"/>
      <c r="BW307" s="836"/>
      <c r="BX307" s="836"/>
      <c r="BY307" s="836"/>
      <c r="BZ307" s="836"/>
      <c r="CA307" s="836"/>
      <c r="CB307" s="836"/>
      <c r="CC307" s="836"/>
      <c r="CD307" s="836"/>
      <c r="CE307" s="836"/>
      <c r="CF307" s="836"/>
      <c r="CG307" s="836"/>
      <c r="CH307" s="836"/>
      <c r="CI307" s="836"/>
      <c r="CJ307" s="836"/>
      <c r="CK307" s="836"/>
      <c r="CL307" s="836"/>
      <c r="CM307" s="836"/>
      <c r="CN307" s="836"/>
      <c r="CO307" s="836"/>
      <c r="CP307" s="836"/>
      <c r="CQ307" s="836"/>
      <c r="CR307" s="836"/>
      <c r="CS307" s="836"/>
      <c r="CT307" s="836"/>
      <c r="CU307" s="836"/>
      <c r="CV307" s="836"/>
      <c r="CW307" s="836"/>
      <c r="CX307" s="269"/>
      <c r="CY307" s="559"/>
      <c r="CZ307" s="559"/>
    </row>
    <row r="308" spans="1:104" hidden="1" outlineLevel="1">
      <c r="A308" s="836"/>
      <c r="B308" s="836"/>
      <c r="C308" s="836"/>
      <c r="D308" s="836"/>
      <c r="E308" s="836"/>
      <c r="F308" s="836"/>
      <c r="G308" s="836"/>
      <c r="H308" s="836"/>
      <c r="I308" s="836"/>
      <c r="J308" s="836"/>
      <c r="K308" s="836"/>
      <c r="L308" s="836"/>
      <c r="M308" s="836"/>
      <c r="N308" s="836"/>
      <c r="O308" s="836"/>
      <c r="P308" s="836"/>
      <c r="Q308" s="836"/>
      <c r="R308" s="836"/>
      <c r="S308" s="836"/>
      <c r="T308" s="836"/>
      <c r="U308" s="836"/>
      <c r="V308" s="836"/>
      <c r="W308" s="836"/>
      <c r="X308" s="836"/>
      <c r="Y308" s="836"/>
      <c r="Z308" s="836"/>
      <c r="AA308" s="836"/>
      <c r="AB308" s="836"/>
      <c r="AC308" s="836"/>
      <c r="AD308" s="836"/>
      <c r="AE308" s="836"/>
      <c r="AF308" s="836"/>
      <c r="AG308" s="836"/>
      <c r="AH308" s="836"/>
      <c r="AI308" s="836"/>
      <c r="AJ308" s="836"/>
      <c r="AK308" s="836"/>
      <c r="AL308" s="836"/>
      <c r="AM308" s="836"/>
      <c r="AN308" s="836"/>
      <c r="AO308" s="836"/>
      <c r="AP308" s="836"/>
      <c r="AQ308" s="836"/>
      <c r="AR308" s="836"/>
      <c r="AS308" s="836"/>
      <c r="AT308" s="836"/>
      <c r="AU308" s="836"/>
      <c r="AV308" s="836"/>
      <c r="AW308" s="836"/>
      <c r="AX308" s="836"/>
      <c r="AY308" s="836"/>
      <c r="AZ308" s="836"/>
      <c r="BA308" s="836"/>
      <c r="BB308" s="836"/>
      <c r="BC308" s="836"/>
      <c r="BD308" s="836"/>
      <c r="BE308" s="836"/>
      <c r="BF308" s="836"/>
      <c r="BG308" s="836"/>
      <c r="BH308" s="836"/>
      <c r="BI308" s="836"/>
      <c r="BJ308" s="836"/>
      <c r="BK308" s="836"/>
      <c r="BL308" s="836"/>
      <c r="BM308" s="836"/>
      <c r="BN308" s="836"/>
      <c r="BO308" s="836"/>
      <c r="BP308" s="836"/>
      <c r="BQ308" s="836"/>
      <c r="BR308" s="836"/>
      <c r="BS308" s="836"/>
      <c r="BT308" s="836"/>
      <c r="BU308" s="836"/>
      <c r="BV308" s="836"/>
      <c r="BW308" s="836"/>
      <c r="BX308" s="836"/>
      <c r="BY308" s="836"/>
      <c r="BZ308" s="836"/>
      <c r="CA308" s="836"/>
      <c r="CB308" s="836"/>
      <c r="CC308" s="836"/>
      <c r="CD308" s="836"/>
      <c r="CE308" s="836"/>
      <c r="CF308" s="836"/>
      <c r="CG308" s="836"/>
      <c r="CH308" s="836"/>
      <c r="CI308" s="836"/>
      <c r="CJ308" s="836"/>
      <c r="CK308" s="836"/>
      <c r="CL308" s="836"/>
      <c r="CM308" s="836"/>
      <c r="CN308" s="836"/>
      <c r="CO308" s="836"/>
      <c r="CP308" s="836"/>
      <c r="CQ308" s="836"/>
      <c r="CR308" s="836"/>
      <c r="CS308" s="836"/>
      <c r="CT308" s="836"/>
      <c r="CU308" s="836"/>
      <c r="CV308" s="836"/>
      <c r="CW308" s="836"/>
      <c r="CX308" s="269"/>
      <c r="CY308" s="559"/>
      <c r="CZ308" s="559"/>
    </row>
    <row r="309" spans="1:104" hidden="1" outlineLevel="1">
      <c r="A309" s="836"/>
      <c r="B309" s="836"/>
      <c r="C309" s="836"/>
      <c r="D309" s="836"/>
      <c r="E309" s="836"/>
      <c r="F309" s="836"/>
      <c r="G309" s="836"/>
      <c r="H309" s="836"/>
      <c r="I309" s="836"/>
      <c r="J309" s="836"/>
      <c r="K309" s="836"/>
      <c r="L309" s="836"/>
      <c r="M309" s="836"/>
      <c r="N309" s="836"/>
      <c r="O309" s="836"/>
      <c r="P309" s="836"/>
      <c r="Q309" s="836"/>
      <c r="R309" s="836"/>
      <c r="S309" s="836"/>
      <c r="T309" s="836"/>
      <c r="U309" s="836"/>
      <c r="V309" s="836"/>
      <c r="W309" s="836"/>
      <c r="X309" s="836"/>
      <c r="Y309" s="836"/>
      <c r="Z309" s="836"/>
      <c r="AA309" s="836"/>
      <c r="AB309" s="836"/>
      <c r="AC309" s="836"/>
      <c r="AD309" s="836"/>
      <c r="AE309" s="836"/>
      <c r="AF309" s="836"/>
      <c r="AG309" s="836"/>
      <c r="AH309" s="836"/>
      <c r="AI309" s="836"/>
      <c r="AJ309" s="836"/>
      <c r="AK309" s="836"/>
      <c r="AL309" s="836"/>
      <c r="AM309" s="836"/>
      <c r="AN309" s="836"/>
      <c r="AO309" s="836"/>
      <c r="AP309" s="836"/>
      <c r="AQ309" s="836"/>
      <c r="AR309" s="836"/>
      <c r="AS309" s="836"/>
      <c r="AT309" s="836"/>
      <c r="AU309" s="836"/>
      <c r="AV309" s="836"/>
      <c r="AW309" s="836"/>
      <c r="AX309" s="836"/>
      <c r="AY309" s="836"/>
      <c r="AZ309" s="836"/>
      <c r="BA309" s="836"/>
      <c r="BB309" s="836"/>
      <c r="BC309" s="836"/>
      <c r="BD309" s="836"/>
      <c r="BE309" s="836"/>
      <c r="BF309" s="836"/>
      <c r="BG309" s="836"/>
      <c r="BH309" s="836"/>
      <c r="BI309" s="836"/>
      <c r="BJ309" s="836"/>
      <c r="BK309" s="836"/>
      <c r="BL309" s="836"/>
      <c r="BM309" s="836"/>
      <c r="BN309" s="836"/>
      <c r="BO309" s="836"/>
      <c r="BP309" s="836"/>
      <c r="BQ309" s="836"/>
      <c r="BR309" s="836"/>
      <c r="BS309" s="836"/>
      <c r="BT309" s="836"/>
      <c r="BU309" s="836"/>
      <c r="BV309" s="836"/>
      <c r="BW309" s="836"/>
      <c r="BX309" s="836"/>
      <c r="BY309" s="836"/>
      <c r="BZ309" s="836"/>
      <c r="CA309" s="836"/>
      <c r="CB309" s="836"/>
      <c r="CC309" s="836"/>
      <c r="CD309" s="836"/>
      <c r="CE309" s="836"/>
      <c r="CF309" s="836"/>
      <c r="CG309" s="836"/>
      <c r="CH309" s="836"/>
      <c r="CI309" s="836"/>
      <c r="CJ309" s="836"/>
      <c r="CK309" s="836"/>
      <c r="CL309" s="836"/>
      <c r="CM309" s="836"/>
      <c r="CN309" s="836"/>
      <c r="CO309" s="836"/>
      <c r="CP309" s="836"/>
      <c r="CQ309" s="836"/>
      <c r="CR309" s="836"/>
      <c r="CS309" s="836"/>
      <c r="CT309" s="836"/>
      <c r="CU309" s="836"/>
      <c r="CV309" s="836"/>
      <c r="CW309" s="836"/>
      <c r="CX309" s="269"/>
      <c r="CY309" s="559"/>
      <c r="CZ309" s="559"/>
    </row>
    <row r="310" spans="1:104" hidden="1" outlineLevel="1">
      <c r="A310" s="836"/>
      <c r="B310" s="836"/>
      <c r="C310" s="836"/>
      <c r="D310" s="836"/>
      <c r="E310" s="836"/>
      <c r="F310" s="836"/>
      <c r="G310" s="836"/>
      <c r="H310" s="836"/>
      <c r="I310" s="836"/>
      <c r="J310" s="836"/>
      <c r="K310" s="836"/>
      <c r="L310" s="836"/>
      <c r="M310" s="836"/>
      <c r="N310" s="836"/>
      <c r="O310" s="836"/>
      <c r="P310" s="836"/>
      <c r="Q310" s="836"/>
      <c r="R310" s="836"/>
      <c r="S310" s="836"/>
      <c r="T310" s="836"/>
      <c r="U310" s="836"/>
      <c r="V310" s="836"/>
      <c r="W310" s="836"/>
      <c r="X310" s="836"/>
      <c r="Y310" s="836"/>
      <c r="Z310" s="836"/>
      <c r="AA310" s="836"/>
      <c r="AB310" s="836"/>
      <c r="AC310" s="836"/>
      <c r="AD310" s="836"/>
      <c r="AE310" s="836"/>
      <c r="AF310" s="836"/>
      <c r="AG310" s="836"/>
      <c r="AH310" s="836"/>
      <c r="AI310" s="836"/>
      <c r="AJ310" s="836"/>
      <c r="AK310" s="836"/>
      <c r="AL310" s="836"/>
      <c r="AM310" s="836"/>
      <c r="AN310" s="836"/>
      <c r="AO310" s="836"/>
      <c r="AP310" s="836"/>
      <c r="AQ310" s="836"/>
      <c r="AR310" s="836"/>
      <c r="AS310" s="836"/>
      <c r="AT310" s="836"/>
      <c r="AU310" s="836"/>
      <c r="AV310" s="836"/>
      <c r="AW310" s="836"/>
      <c r="AX310" s="836"/>
      <c r="AY310" s="836"/>
      <c r="AZ310" s="836"/>
      <c r="BA310" s="836"/>
      <c r="BB310" s="836"/>
      <c r="BC310" s="836"/>
      <c r="BD310" s="836"/>
      <c r="BE310" s="836"/>
      <c r="BF310" s="836"/>
      <c r="BG310" s="836"/>
      <c r="BH310" s="836"/>
      <c r="BI310" s="836"/>
      <c r="BJ310" s="836"/>
      <c r="BK310" s="836"/>
      <c r="BL310" s="836"/>
      <c r="BM310" s="836"/>
      <c r="BN310" s="836"/>
      <c r="BO310" s="836"/>
      <c r="BP310" s="836"/>
      <c r="BQ310" s="836"/>
      <c r="BR310" s="836"/>
      <c r="BS310" s="836"/>
      <c r="BT310" s="836"/>
      <c r="BU310" s="836"/>
      <c r="BV310" s="836"/>
      <c r="BW310" s="836"/>
      <c r="BX310" s="836"/>
      <c r="BY310" s="836"/>
      <c r="BZ310" s="836"/>
      <c r="CA310" s="836"/>
      <c r="CB310" s="836"/>
      <c r="CC310" s="836"/>
      <c r="CD310" s="836"/>
      <c r="CE310" s="836"/>
      <c r="CF310" s="836"/>
      <c r="CG310" s="836"/>
      <c r="CH310" s="836"/>
      <c r="CI310" s="836"/>
      <c r="CJ310" s="836"/>
      <c r="CK310" s="836"/>
      <c r="CL310" s="836"/>
      <c r="CM310" s="836"/>
      <c r="CN310" s="836"/>
      <c r="CO310" s="836"/>
      <c r="CP310" s="836"/>
      <c r="CQ310" s="836"/>
      <c r="CR310" s="836"/>
      <c r="CS310" s="836"/>
      <c r="CT310" s="836"/>
      <c r="CU310" s="836"/>
      <c r="CV310" s="836"/>
      <c r="CW310" s="836"/>
      <c r="CX310" s="269"/>
      <c r="CY310" s="269"/>
      <c r="CZ310" s="269"/>
    </row>
    <row r="311" spans="1:104" hidden="1" outlineLevel="1">
      <c r="A311" s="836"/>
      <c r="B311" s="836"/>
      <c r="C311" s="836"/>
      <c r="D311" s="836"/>
      <c r="E311" s="836"/>
      <c r="F311" s="836"/>
      <c r="G311" s="836"/>
      <c r="H311" s="836"/>
      <c r="I311" s="836"/>
      <c r="J311" s="836"/>
      <c r="K311" s="836"/>
      <c r="L311" s="836"/>
      <c r="M311" s="836"/>
      <c r="N311" s="836"/>
      <c r="O311" s="836"/>
      <c r="P311" s="836"/>
      <c r="Q311" s="836"/>
      <c r="R311" s="836"/>
      <c r="S311" s="836"/>
      <c r="T311" s="836"/>
      <c r="U311" s="836"/>
      <c r="V311" s="836"/>
      <c r="W311" s="836"/>
      <c r="X311" s="836"/>
      <c r="Y311" s="836"/>
      <c r="Z311" s="836"/>
      <c r="AA311" s="836"/>
      <c r="AB311" s="836"/>
      <c r="AC311" s="836"/>
      <c r="AD311" s="836"/>
      <c r="AE311" s="836"/>
      <c r="AF311" s="836"/>
      <c r="AG311" s="836"/>
      <c r="AH311" s="836"/>
      <c r="AI311" s="836"/>
      <c r="AJ311" s="836"/>
      <c r="AK311" s="836"/>
      <c r="AL311" s="836"/>
      <c r="AM311" s="836"/>
      <c r="AN311" s="836"/>
      <c r="AO311" s="836"/>
      <c r="AP311" s="836"/>
      <c r="AQ311" s="836"/>
      <c r="AR311" s="836"/>
      <c r="AS311" s="836"/>
      <c r="AT311" s="836"/>
      <c r="AU311" s="836"/>
      <c r="AV311" s="836"/>
      <c r="AW311" s="836"/>
      <c r="AX311" s="836"/>
      <c r="AY311" s="836"/>
      <c r="AZ311" s="836"/>
      <c r="BA311" s="836"/>
      <c r="BB311" s="836"/>
      <c r="BC311" s="836"/>
      <c r="BD311" s="836"/>
      <c r="BE311" s="836"/>
      <c r="BF311" s="836"/>
      <c r="BG311" s="836"/>
      <c r="BH311" s="836"/>
      <c r="BI311" s="836"/>
      <c r="BJ311" s="836"/>
      <c r="BK311" s="836"/>
      <c r="BL311" s="836"/>
      <c r="BM311" s="836"/>
      <c r="BN311" s="836"/>
      <c r="BO311" s="836"/>
      <c r="BP311" s="836"/>
      <c r="BQ311" s="836"/>
      <c r="BR311" s="836"/>
      <c r="BS311" s="836"/>
      <c r="BT311" s="836"/>
      <c r="BU311" s="836"/>
      <c r="BV311" s="836"/>
      <c r="BW311" s="836"/>
      <c r="BX311" s="836"/>
      <c r="BY311" s="836"/>
      <c r="BZ311" s="836"/>
      <c r="CA311" s="836"/>
      <c r="CB311" s="836"/>
      <c r="CC311" s="836"/>
      <c r="CD311" s="836"/>
      <c r="CE311" s="836"/>
      <c r="CF311" s="836"/>
      <c r="CG311" s="836"/>
      <c r="CH311" s="836"/>
      <c r="CI311" s="836"/>
      <c r="CJ311" s="836"/>
      <c r="CK311" s="836"/>
      <c r="CL311" s="836"/>
      <c r="CM311" s="836"/>
      <c r="CN311" s="836"/>
      <c r="CO311" s="836"/>
      <c r="CP311" s="836"/>
      <c r="CQ311" s="836"/>
      <c r="CR311" s="836"/>
      <c r="CS311" s="836"/>
      <c r="CT311" s="836"/>
      <c r="CU311" s="836"/>
      <c r="CV311" s="836"/>
      <c r="CW311" s="836"/>
      <c r="CX311" s="269"/>
    </row>
    <row r="312" spans="1:104" hidden="1" outlineLevel="1">
      <c r="A312" s="836"/>
      <c r="B312" s="836"/>
      <c r="C312" s="836"/>
      <c r="D312" s="836"/>
      <c r="E312" s="836"/>
      <c r="F312" s="836"/>
      <c r="G312" s="836"/>
      <c r="H312" s="836"/>
      <c r="I312" s="836"/>
      <c r="J312" s="836"/>
      <c r="K312" s="836"/>
      <c r="L312" s="836"/>
      <c r="M312" s="836"/>
      <c r="N312" s="836"/>
      <c r="O312" s="836"/>
      <c r="P312" s="836"/>
      <c r="Q312" s="836"/>
      <c r="R312" s="836"/>
      <c r="S312" s="836"/>
      <c r="T312" s="836"/>
      <c r="U312" s="836"/>
      <c r="V312" s="836"/>
      <c r="W312" s="836"/>
      <c r="X312" s="836"/>
      <c r="Y312" s="836"/>
      <c r="Z312" s="836"/>
      <c r="AA312" s="836"/>
      <c r="AB312" s="836"/>
      <c r="AC312" s="836"/>
      <c r="AD312" s="836"/>
      <c r="AE312" s="836"/>
      <c r="AF312" s="836"/>
      <c r="AG312" s="836"/>
      <c r="AH312" s="836"/>
      <c r="AI312" s="836"/>
      <c r="AJ312" s="836"/>
      <c r="AK312" s="836"/>
      <c r="AL312" s="836"/>
      <c r="AM312" s="836"/>
      <c r="AN312" s="836"/>
      <c r="AO312" s="836"/>
      <c r="AP312" s="836"/>
      <c r="AQ312" s="836"/>
      <c r="AR312" s="836"/>
      <c r="AS312" s="836"/>
      <c r="AT312" s="836"/>
      <c r="AU312" s="836"/>
      <c r="AV312" s="836"/>
      <c r="AW312" s="836"/>
      <c r="AX312" s="836"/>
      <c r="AY312" s="836"/>
      <c r="AZ312" s="836"/>
      <c r="BA312" s="836"/>
      <c r="BB312" s="836"/>
      <c r="BC312" s="836"/>
      <c r="BD312" s="836"/>
      <c r="BE312" s="836"/>
      <c r="BF312" s="836"/>
      <c r="BG312" s="836"/>
      <c r="BH312" s="836"/>
      <c r="BI312" s="836"/>
      <c r="BJ312" s="836"/>
      <c r="BK312" s="836"/>
      <c r="BL312" s="836"/>
      <c r="BM312" s="836"/>
      <c r="BN312" s="836"/>
      <c r="BO312" s="836"/>
      <c r="BP312" s="836"/>
      <c r="BQ312" s="836"/>
      <c r="BR312" s="836"/>
      <c r="BS312" s="836"/>
      <c r="BT312" s="836"/>
      <c r="BU312" s="836"/>
      <c r="BV312" s="836"/>
      <c r="BW312" s="836"/>
      <c r="BX312" s="836"/>
      <c r="BY312" s="836"/>
      <c r="BZ312" s="836"/>
      <c r="CA312" s="836"/>
      <c r="CB312" s="836"/>
      <c r="CC312" s="836"/>
      <c r="CD312" s="836"/>
      <c r="CE312" s="836"/>
      <c r="CF312" s="836"/>
      <c r="CG312" s="836"/>
      <c r="CH312" s="836"/>
      <c r="CI312" s="836"/>
      <c r="CJ312" s="836"/>
      <c r="CK312" s="836"/>
      <c r="CL312" s="836"/>
      <c r="CM312" s="836"/>
      <c r="CN312" s="836"/>
      <c r="CO312" s="836"/>
      <c r="CP312" s="836"/>
      <c r="CQ312" s="836"/>
      <c r="CR312" s="836"/>
      <c r="CS312" s="836"/>
      <c r="CT312" s="836"/>
      <c r="CU312" s="836"/>
      <c r="CV312" s="836"/>
      <c r="CW312" s="836"/>
      <c r="CX312" s="269"/>
      <c r="CY312" s="559"/>
      <c r="CZ312" s="559"/>
    </row>
    <row r="313" spans="1:104" hidden="1" outlineLevel="1">
      <c r="A313" s="836"/>
      <c r="B313" s="836"/>
      <c r="C313" s="836"/>
      <c r="D313" s="836"/>
      <c r="E313" s="836"/>
      <c r="F313" s="836"/>
      <c r="G313" s="836"/>
      <c r="H313" s="836"/>
      <c r="I313" s="836"/>
      <c r="J313" s="836"/>
      <c r="K313" s="836"/>
      <c r="L313" s="836"/>
      <c r="M313" s="836"/>
      <c r="N313" s="836"/>
      <c r="O313" s="836"/>
      <c r="P313" s="836"/>
      <c r="Q313" s="836"/>
      <c r="R313" s="836"/>
      <c r="S313" s="836"/>
      <c r="T313" s="836"/>
      <c r="U313" s="836"/>
      <c r="V313" s="836"/>
      <c r="W313" s="836"/>
      <c r="X313" s="836"/>
      <c r="Y313" s="836"/>
      <c r="Z313" s="836"/>
      <c r="AA313" s="836"/>
      <c r="AB313" s="836"/>
      <c r="AC313" s="836"/>
      <c r="AD313" s="836"/>
      <c r="AE313" s="836"/>
      <c r="AF313" s="836"/>
      <c r="AG313" s="836"/>
      <c r="AH313" s="836"/>
      <c r="AI313" s="836"/>
      <c r="AJ313" s="836"/>
      <c r="AK313" s="836"/>
      <c r="AL313" s="836"/>
      <c r="AM313" s="836"/>
      <c r="AN313" s="836"/>
      <c r="AO313" s="836"/>
      <c r="AP313" s="836"/>
      <c r="AQ313" s="836"/>
      <c r="AR313" s="836"/>
      <c r="AS313" s="836"/>
      <c r="AT313" s="836"/>
      <c r="AU313" s="836"/>
      <c r="AV313" s="836"/>
      <c r="AW313" s="836"/>
      <c r="AX313" s="836"/>
      <c r="AY313" s="836"/>
      <c r="AZ313" s="836"/>
      <c r="BA313" s="836"/>
      <c r="BB313" s="836"/>
      <c r="BC313" s="836"/>
      <c r="BD313" s="836"/>
      <c r="BE313" s="836"/>
      <c r="BF313" s="836"/>
      <c r="BG313" s="836"/>
      <c r="BH313" s="836"/>
      <c r="BI313" s="836"/>
      <c r="BJ313" s="836"/>
      <c r="BK313" s="836"/>
      <c r="BL313" s="836"/>
      <c r="BM313" s="836"/>
      <c r="BN313" s="836"/>
      <c r="BO313" s="836"/>
      <c r="BP313" s="836"/>
      <c r="BQ313" s="836"/>
      <c r="BR313" s="836"/>
      <c r="BS313" s="836"/>
      <c r="BT313" s="836"/>
      <c r="BU313" s="836"/>
      <c r="BV313" s="836"/>
      <c r="BW313" s="836"/>
      <c r="BX313" s="836"/>
      <c r="BY313" s="836"/>
      <c r="BZ313" s="836"/>
      <c r="CA313" s="836"/>
      <c r="CB313" s="836"/>
      <c r="CC313" s="836"/>
      <c r="CD313" s="836"/>
      <c r="CE313" s="836"/>
      <c r="CF313" s="836"/>
      <c r="CG313" s="836"/>
      <c r="CH313" s="836"/>
      <c r="CI313" s="836"/>
      <c r="CJ313" s="836"/>
      <c r="CK313" s="836"/>
      <c r="CL313" s="836"/>
      <c r="CM313" s="836"/>
      <c r="CN313" s="836"/>
      <c r="CO313" s="836"/>
      <c r="CP313" s="836"/>
      <c r="CQ313" s="836"/>
      <c r="CR313" s="836"/>
      <c r="CS313" s="836"/>
      <c r="CT313" s="836"/>
      <c r="CU313" s="836"/>
      <c r="CV313" s="836"/>
      <c r="CW313" s="836"/>
      <c r="CX313" s="269"/>
      <c r="CY313" s="559"/>
      <c r="CZ313" s="559"/>
    </row>
    <row r="314" spans="1:104" hidden="1" outlineLevel="1">
      <c r="A314" s="836"/>
      <c r="B314" s="836"/>
      <c r="C314" s="836"/>
      <c r="D314" s="836"/>
      <c r="E314" s="836"/>
      <c r="F314" s="836"/>
      <c r="G314" s="836"/>
      <c r="H314" s="836"/>
      <c r="I314" s="836"/>
      <c r="J314" s="836"/>
      <c r="K314" s="836"/>
      <c r="L314" s="836"/>
      <c r="M314" s="836"/>
      <c r="N314" s="836"/>
      <c r="O314" s="836"/>
      <c r="P314" s="836"/>
      <c r="Q314" s="836"/>
      <c r="R314" s="836"/>
      <c r="S314" s="836"/>
      <c r="T314" s="836"/>
      <c r="U314" s="836"/>
      <c r="V314" s="836"/>
      <c r="W314" s="836"/>
      <c r="X314" s="836"/>
      <c r="Y314" s="836"/>
      <c r="Z314" s="836"/>
      <c r="AA314" s="836"/>
      <c r="AB314" s="836"/>
      <c r="AC314" s="836"/>
      <c r="AD314" s="836"/>
      <c r="AE314" s="836"/>
      <c r="AF314" s="836"/>
      <c r="AG314" s="836"/>
      <c r="AH314" s="836"/>
      <c r="AI314" s="836"/>
      <c r="AJ314" s="836"/>
      <c r="AK314" s="836"/>
      <c r="AL314" s="836"/>
      <c r="AM314" s="836"/>
      <c r="AN314" s="836"/>
      <c r="AO314" s="836"/>
      <c r="AP314" s="836"/>
      <c r="AQ314" s="836"/>
      <c r="AR314" s="836"/>
      <c r="AS314" s="836"/>
      <c r="AT314" s="836"/>
      <c r="AU314" s="836"/>
      <c r="AV314" s="836"/>
      <c r="AW314" s="836"/>
      <c r="AX314" s="836"/>
      <c r="AY314" s="836"/>
      <c r="AZ314" s="836"/>
      <c r="BA314" s="836"/>
      <c r="BB314" s="836"/>
      <c r="BC314" s="836"/>
      <c r="BD314" s="836"/>
      <c r="BE314" s="836"/>
      <c r="BF314" s="836"/>
      <c r="BG314" s="836"/>
      <c r="BH314" s="836"/>
      <c r="BI314" s="836"/>
      <c r="BJ314" s="836"/>
      <c r="BK314" s="836"/>
      <c r="BL314" s="836"/>
      <c r="BM314" s="836"/>
      <c r="BN314" s="836"/>
      <c r="BO314" s="836"/>
      <c r="BP314" s="836"/>
      <c r="BQ314" s="836"/>
      <c r="BR314" s="836"/>
      <c r="BS314" s="836"/>
      <c r="BT314" s="836"/>
      <c r="BU314" s="836"/>
      <c r="BV314" s="836"/>
      <c r="BW314" s="836"/>
      <c r="BX314" s="836"/>
      <c r="BY314" s="836"/>
      <c r="BZ314" s="836"/>
      <c r="CA314" s="836"/>
      <c r="CB314" s="836"/>
      <c r="CC314" s="836"/>
      <c r="CD314" s="836"/>
      <c r="CE314" s="836"/>
      <c r="CF314" s="836"/>
      <c r="CG314" s="836"/>
      <c r="CH314" s="836"/>
      <c r="CI314" s="836"/>
      <c r="CJ314" s="836"/>
      <c r="CK314" s="836"/>
      <c r="CL314" s="836"/>
      <c r="CM314" s="836"/>
      <c r="CN314" s="836"/>
      <c r="CO314" s="836"/>
      <c r="CP314" s="836"/>
      <c r="CQ314" s="836"/>
      <c r="CR314" s="836"/>
      <c r="CS314" s="836"/>
      <c r="CT314" s="836"/>
      <c r="CU314" s="836"/>
      <c r="CV314" s="836"/>
      <c r="CW314" s="836"/>
      <c r="CX314" s="269"/>
      <c r="CY314" s="559"/>
      <c r="CZ314" s="559"/>
    </row>
    <row r="315" spans="1:104" hidden="1" outlineLevel="1">
      <c r="A315" s="836"/>
      <c r="B315" s="836"/>
      <c r="C315" s="836"/>
      <c r="D315" s="836"/>
      <c r="E315" s="836"/>
      <c r="F315" s="836"/>
      <c r="G315" s="836"/>
      <c r="H315" s="836"/>
      <c r="I315" s="836"/>
      <c r="J315" s="836"/>
      <c r="K315" s="836"/>
      <c r="L315" s="836"/>
      <c r="M315" s="836"/>
      <c r="N315" s="836"/>
      <c r="O315" s="836"/>
      <c r="P315" s="836"/>
      <c r="Q315" s="836"/>
      <c r="R315" s="836"/>
      <c r="S315" s="836"/>
      <c r="T315" s="836"/>
      <c r="U315" s="836"/>
      <c r="V315" s="836"/>
      <c r="W315" s="836"/>
      <c r="X315" s="836"/>
      <c r="Y315" s="836"/>
      <c r="Z315" s="836"/>
      <c r="AA315" s="836"/>
      <c r="AB315" s="836"/>
      <c r="AC315" s="836"/>
      <c r="AD315" s="836"/>
      <c r="AE315" s="836"/>
      <c r="AF315" s="836"/>
      <c r="AG315" s="836"/>
      <c r="AH315" s="836"/>
      <c r="AI315" s="836"/>
      <c r="AJ315" s="836"/>
      <c r="AK315" s="836"/>
      <c r="AL315" s="836"/>
      <c r="AM315" s="836"/>
      <c r="AN315" s="836"/>
      <c r="AO315" s="836"/>
      <c r="AP315" s="836"/>
      <c r="AQ315" s="836"/>
      <c r="AR315" s="836"/>
      <c r="AS315" s="836"/>
      <c r="AT315" s="836"/>
      <c r="AU315" s="836"/>
      <c r="AV315" s="836"/>
      <c r="AW315" s="836"/>
      <c r="AX315" s="836"/>
      <c r="AY315" s="836"/>
      <c r="AZ315" s="836"/>
      <c r="BA315" s="836"/>
      <c r="BB315" s="836"/>
      <c r="BC315" s="836"/>
      <c r="BD315" s="836"/>
      <c r="BE315" s="836"/>
      <c r="BF315" s="836"/>
      <c r="BG315" s="836"/>
      <c r="BH315" s="836"/>
      <c r="BI315" s="836"/>
      <c r="BJ315" s="836"/>
      <c r="BK315" s="836"/>
      <c r="BL315" s="836"/>
      <c r="BM315" s="836"/>
      <c r="BN315" s="836"/>
      <c r="BO315" s="836"/>
      <c r="BP315" s="836"/>
      <c r="BQ315" s="836"/>
      <c r="BR315" s="836"/>
      <c r="BS315" s="836"/>
      <c r="BT315" s="836"/>
      <c r="BU315" s="836"/>
      <c r="BV315" s="836"/>
      <c r="BW315" s="836"/>
      <c r="BX315" s="836"/>
      <c r="BY315" s="836"/>
      <c r="BZ315" s="836"/>
      <c r="CA315" s="836"/>
      <c r="CB315" s="836"/>
      <c r="CC315" s="836"/>
      <c r="CD315" s="836"/>
      <c r="CE315" s="836"/>
      <c r="CF315" s="836"/>
      <c r="CG315" s="836"/>
      <c r="CH315" s="836"/>
      <c r="CI315" s="836"/>
      <c r="CJ315" s="836"/>
      <c r="CK315" s="836"/>
      <c r="CL315" s="836"/>
      <c r="CM315" s="836"/>
      <c r="CN315" s="836"/>
      <c r="CO315" s="836"/>
      <c r="CP315" s="836"/>
      <c r="CQ315" s="836"/>
      <c r="CR315" s="836"/>
      <c r="CS315" s="836"/>
      <c r="CT315" s="836"/>
      <c r="CU315" s="836"/>
      <c r="CV315" s="836"/>
      <c r="CW315" s="836"/>
      <c r="CX315" s="269"/>
      <c r="CY315" s="269"/>
      <c r="CZ315" s="269"/>
    </row>
    <row r="316" spans="1:104" hidden="1" outlineLevel="1">
      <c r="A316" s="836"/>
      <c r="B316" s="836"/>
      <c r="C316" s="836"/>
      <c r="D316" s="836"/>
      <c r="E316" s="836"/>
      <c r="F316" s="836"/>
      <c r="G316" s="836"/>
      <c r="H316" s="836"/>
      <c r="I316" s="836"/>
      <c r="J316" s="836"/>
      <c r="K316" s="836"/>
      <c r="L316" s="836"/>
      <c r="M316" s="836"/>
      <c r="N316" s="836"/>
      <c r="O316" s="836"/>
      <c r="P316" s="836"/>
      <c r="Q316" s="836"/>
      <c r="R316" s="836"/>
      <c r="S316" s="836"/>
      <c r="T316" s="836"/>
      <c r="U316" s="836"/>
      <c r="V316" s="836"/>
      <c r="W316" s="836"/>
      <c r="X316" s="836"/>
      <c r="Y316" s="836"/>
      <c r="Z316" s="836"/>
      <c r="AA316" s="836"/>
      <c r="AB316" s="836"/>
      <c r="AC316" s="836"/>
      <c r="AD316" s="836"/>
      <c r="AE316" s="836"/>
      <c r="AF316" s="836"/>
      <c r="AG316" s="836"/>
      <c r="AH316" s="836"/>
      <c r="AI316" s="836"/>
      <c r="AJ316" s="836"/>
      <c r="AK316" s="836"/>
      <c r="AL316" s="836"/>
      <c r="AM316" s="836"/>
      <c r="AN316" s="836"/>
      <c r="AO316" s="836"/>
      <c r="AP316" s="836"/>
      <c r="AQ316" s="836"/>
      <c r="AR316" s="836"/>
      <c r="AS316" s="836"/>
      <c r="AT316" s="836"/>
      <c r="AU316" s="836"/>
      <c r="AV316" s="836"/>
      <c r="AW316" s="836"/>
      <c r="AX316" s="836"/>
      <c r="AY316" s="836"/>
      <c r="AZ316" s="836"/>
      <c r="BA316" s="836"/>
      <c r="BB316" s="836"/>
      <c r="BC316" s="836"/>
      <c r="BD316" s="836"/>
      <c r="BE316" s="836"/>
      <c r="BF316" s="836"/>
      <c r="BG316" s="836"/>
      <c r="BH316" s="836"/>
      <c r="BI316" s="836"/>
      <c r="BJ316" s="836"/>
      <c r="BK316" s="836"/>
      <c r="BL316" s="836"/>
      <c r="BM316" s="836"/>
      <c r="BN316" s="836"/>
      <c r="BO316" s="836"/>
      <c r="BP316" s="836"/>
      <c r="BQ316" s="836"/>
      <c r="BR316" s="836"/>
      <c r="BS316" s="836"/>
      <c r="BT316" s="836"/>
      <c r="BU316" s="836"/>
      <c r="BV316" s="836"/>
      <c r="BW316" s="836"/>
      <c r="BX316" s="836"/>
      <c r="BY316" s="836"/>
      <c r="BZ316" s="836"/>
      <c r="CA316" s="836"/>
      <c r="CB316" s="836"/>
      <c r="CC316" s="836"/>
      <c r="CD316" s="836"/>
      <c r="CE316" s="836"/>
      <c r="CF316" s="836"/>
      <c r="CG316" s="836"/>
      <c r="CH316" s="836"/>
      <c r="CI316" s="836"/>
      <c r="CJ316" s="836"/>
      <c r="CK316" s="836"/>
      <c r="CL316" s="836"/>
      <c r="CM316" s="836"/>
      <c r="CN316" s="836"/>
      <c r="CO316" s="836"/>
      <c r="CP316" s="836"/>
      <c r="CQ316" s="836"/>
      <c r="CR316" s="836"/>
      <c r="CS316" s="836"/>
      <c r="CT316" s="836"/>
      <c r="CU316" s="836"/>
      <c r="CV316" s="836"/>
      <c r="CW316" s="836"/>
      <c r="CX316" s="269"/>
      <c r="CY316" s="269"/>
      <c r="CZ316" s="269"/>
    </row>
    <row r="317" spans="1:104" hidden="1" outlineLevel="1">
      <c r="A317" s="836"/>
      <c r="B317" s="836"/>
      <c r="C317" s="836"/>
      <c r="D317" s="836"/>
      <c r="E317" s="836"/>
      <c r="F317" s="836"/>
      <c r="G317" s="836"/>
      <c r="H317" s="836"/>
      <c r="I317" s="836"/>
      <c r="J317" s="836"/>
      <c r="K317" s="836"/>
      <c r="L317" s="836"/>
      <c r="M317" s="836"/>
      <c r="N317" s="836"/>
      <c r="O317" s="836"/>
      <c r="P317" s="836"/>
      <c r="Q317" s="836"/>
      <c r="R317" s="836"/>
      <c r="S317" s="836"/>
      <c r="T317" s="836"/>
      <c r="U317" s="836"/>
      <c r="V317" s="836"/>
      <c r="W317" s="836"/>
      <c r="X317" s="836"/>
      <c r="Y317" s="836"/>
      <c r="Z317" s="836"/>
      <c r="AA317" s="836"/>
      <c r="AB317" s="836"/>
      <c r="AC317" s="836"/>
      <c r="AD317" s="836"/>
      <c r="AE317" s="836"/>
      <c r="AF317" s="836"/>
      <c r="AG317" s="836"/>
      <c r="AH317" s="836"/>
      <c r="AI317" s="836"/>
      <c r="AJ317" s="836"/>
      <c r="AK317" s="836"/>
      <c r="AL317" s="836"/>
      <c r="AM317" s="836"/>
      <c r="AN317" s="836"/>
      <c r="AO317" s="836"/>
      <c r="AP317" s="836"/>
      <c r="AQ317" s="836"/>
      <c r="AR317" s="836"/>
      <c r="AS317" s="836"/>
      <c r="AT317" s="836"/>
      <c r="AU317" s="836"/>
      <c r="AV317" s="836"/>
      <c r="AW317" s="836"/>
      <c r="AX317" s="836"/>
      <c r="AY317" s="836"/>
      <c r="AZ317" s="836"/>
      <c r="BA317" s="836"/>
      <c r="BB317" s="836"/>
      <c r="BC317" s="836"/>
      <c r="BD317" s="836"/>
      <c r="BE317" s="836"/>
      <c r="BF317" s="836"/>
      <c r="BG317" s="836"/>
      <c r="BH317" s="836"/>
      <c r="BI317" s="836"/>
      <c r="BJ317" s="836"/>
      <c r="BK317" s="836"/>
      <c r="BL317" s="836"/>
      <c r="BM317" s="836"/>
      <c r="BN317" s="836"/>
      <c r="BO317" s="836"/>
      <c r="BP317" s="836"/>
      <c r="BQ317" s="836"/>
      <c r="BR317" s="836"/>
      <c r="BS317" s="836"/>
      <c r="BT317" s="836"/>
      <c r="BU317" s="836"/>
      <c r="BV317" s="836"/>
      <c r="BW317" s="836"/>
      <c r="BX317" s="836"/>
      <c r="BY317" s="836"/>
      <c r="BZ317" s="836"/>
      <c r="CA317" s="836"/>
      <c r="CB317" s="836"/>
      <c r="CC317" s="836"/>
      <c r="CD317" s="836"/>
      <c r="CE317" s="836"/>
      <c r="CF317" s="836"/>
      <c r="CG317" s="836"/>
      <c r="CH317" s="836"/>
      <c r="CI317" s="836"/>
      <c r="CJ317" s="836"/>
      <c r="CK317" s="836"/>
      <c r="CL317" s="836"/>
      <c r="CM317" s="836"/>
      <c r="CN317" s="836"/>
      <c r="CO317" s="836"/>
      <c r="CP317" s="836"/>
      <c r="CQ317" s="836"/>
      <c r="CR317" s="836"/>
      <c r="CS317" s="836"/>
      <c r="CT317" s="836"/>
      <c r="CU317" s="836"/>
      <c r="CV317" s="836"/>
      <c r="CW317" s="836"/>
      <c r="CX317" s="269"/>
      <c r="CY317" s="559"/>
      <c r="CZ317" s="559"/>
    </row>
    <row r="318" spans="1:104" hidden="1" outlineLevel="1">
      <c r="A318" s="836"/>
      <c r="B318" s="836"/>
      <c r="C318" s="836"/>
      <c r="D318" s="836"/>
      <c r="E318" s="836"/>
      <c r="F318" s="836"/>
      <c r="G318" s="836"/>
      <c r="H318" s="836"/>
      <c r="I318" s="836"/>
      <c r="J318" s="836"/>
      <c r="K318" s="836"/>
      <c r="L318" s="836"/>
      <c r="M318" s="836"/>
      <c r="N318" s="836"/>
      <c r="O318" s="836"/>
      <c r="P318" s="836"/>
      <c r="Q318" s="836"/>
      <c r="R318" s="836"/>
      <c r="S318" s="836"/>
      <c r="T318" s="836"/>
      <c r="U318" s="836"/>
      <c r="V318" s="836"/>
      <c r="W318" s="836"/>
      <c r="X318" s="836"/>
      <c r="Y318" s="836"/>
      <c r="Z318" s="836"/>
      <c r="AA318" s="836"/>
      <c r="AB318" s="836"/>
      <c r="AC318" s="836"/>
      <c r="AD318" s="836"/>
      <c r="AE318" s="836"/>
      <c r="AF318" s="836"/>
      <c r="AG318" s="836"/>
      <c r="AH318" s="836"/>
      <c r="AI318" s="836"/>
      <c r="AJ318" s="836"/>
      <c r="AK318" s="836"/>
      <c r="AL318" s="836"/>
      <c r="AM318" s="836"/>
      <c r="AN318" s="836"/>
      <c r="AO318" s="836"/>
      <c r="AP318" s="836"/>
      <c r="AQ318" s="836"/>
      <c r="AR318" s="836"/>
      <c r="AS318" s="836"/>
      <c r="AT318" s="836"/>
      <c r="AU318" s="836"/>
      <c r="AV318" s="836"/>
      <c r="AW318" s="836"/>
      <c r="AX318" s="836"/>
      <c r="AY318" s="836"/>
      <c r="AZ318" s="836"/>
      <c r="BA318" s="836"/>
      <c r="BB318" s="836"/>
      <c r="BC318" s="836"/>
      <c r="BD318" s="836"/>
      <c r="BE318" s="836"/>
      <c r="BF318" s="836"/>
      <c r="BG318" s="836"/>
      <c r="BH318" s="836"/>
      <c r="BI318" s="836"/>
      <c r="BJ318" s="836"/>
      <c r="BK318" s="836"/>
      <c r="BL318" s="836"/>
      <c r="BM318" s="836"/>
      <c r="BN318" s="836"/>
      <c r="BO318" s="836"/>
      <c r="BP318" s="836"/>
      <c r="BQ318" s="836"/>
      <c r="BR318" s="836"/>
      <c r="BS318" s="836"/>
      <c r="BT318" s="836"/>
      <c r="BU318" s="836"/>
      <c r="BV318" s="836"/>
      <c r="BW318" s="836"/>
      <c r="BX318" s="836"/>
      <c r="BY318" s="836"/>
      <c r="BZ318" s="836"/>
      <c r="CA318" s="836"/>
      <c r="CB318" s="836"/>
      <c r="CC318" s="836"/>
      <c r="CD318" s="836"/>
      <c r="CE318" s="836"/>
      <c r="CF318" s="836"/>
      <c r="CG318" s="836"/>
      <c r="CH318" s="836"/>
      <c r="CI318" s="836"/>
      <c r="CJ318" s="836"/>
      <c r="CK318" s="836"/>
      <c r="CL318" s="836"/>
      <c r="CM318" s="836"/>
      <c r="CN318" s="836"/>
      <c r="CO318" s="836"/>
      <c r="CP318" s="836"/>
      <c r="CQ318" s="836"/>
      <c r="CR318" s="836"/>
      <c r="CS318" s="836"/>
      <c r="CT318" s="836"/>
      <c r="CU318" s="836"/>
      <c r="CV318" s="836"/>
      <c r="CW318" s="836"/>
      <c r="CX318" s="269"/>
      <c r="CY318" s="559"/>
      <c r="CZ318" s="559"/>
    </row>
    <row r="319" spans="1:104" hidden="1" outlineLevel="1">
      <c r="A319" s="836"/>
      <c r="B319" s="836"/>
      <c r="C319" s="836"/>
      <c r="D319" s="836"/>
      <c r="E319" s="836"/>
      <c r="F319" s="836"/>
      <c r="G319" s="836"/>
      <c r="H319" s="836"/>
      <c r="I319" s="836"/>
      <c r="J319" s="836"/>
      <c r="K319" s="836"/>
      <c r="L319" s="836"/>
      <c r="M319" s="836"/>
      <c r="N319" s="836"/>
      <c r="O319" s="836"/>
      <c r="P319" s="836"/>
      <c r="Q319" s="836"/>
      <c r="R319" s="836"/>
      <c r="S319" s="836"/>
      <c r="T319" s="836"/>
      <c r="U319" s="836"/>
      <c r="V319" s="836"/>
      <c r="W319" s="836"/>
      <c r="X319" s="836"/>
      <c r="Y319" s="836"/>
      <c r="Z319" s="836"/>
      <c r="AA319" s="836"/>
      <c r="AB319" s="836"/>
      <c r="AC319" s="836"/>
      <c r="AD319" s="836"/>
      <c r="AE319" s="836"/>
      <c r="AF319" s="836"/>
      <c r="AG319" s="836"/>
      <c r="AH319" s="836"/>
      <c r="AI319" s="836"/>
      <c r="AJ319" s="836"/>
      <c r="AK319" s="836"/>
      <c r="AL319" s="836"/>
      <c r="AM319" s="836"/>
      <c r="AN319" s="836"/>
      <c r="AO319" s="836"/>
      <c r="AP319" s="836"/>
      <c r="AQ319" s="836"/>
      <c r="AR319" s="836"/>
      <c r="AS319" s="836"/>
      <c r="AT319" s="836"/>
      <c r="AU319" s="836"/>
      <c r="AV319" s="836"/>
      <c r="AW319" s="836"/>
      <c r="AX319" s="836"/>
      <c r="AY319" s="836"/>
      <c r="AZ319" s="836"/>
      <c r="BA319" s="836"/>
      <c r="BB319" s="836"/>
      <c r="BC319" s="836"/>
      <c r="BD319" s="836"/>
      <c r="BE319" s="836"/>
      <c r="BF319" s="836"/>
      <c r="BG319" s="836"/>
      <c r="BH319" s="836"/>
      <c r="BI319" s="836"/>
      <c r="BJ319" s="836"/>
      <c r="BK319" s="836"/>
      <c r="BL319" s="836"/>
      <c r="BM319" s="836"/>
      <c r="BN319" s="836"/>
      <c r="BO319" s="836"/>
      <c r="BP319" s="836"/>
      <c r="BQ319" s="836"/>
      <c r="BR319" s="836"/>
      <c r="BS319" s="836"/>
      <c r="BT319" s="836"/>
      <c r="BU319" s="836"/>
      <c r="BV319" s="836"/>
      <c r="BW319" s="836"/>
      <c r="BX319" s="836"/>
      <c r="BY319" s="836"/>
      <c r="BZ319" s="836"/>
      <c r="CA319" s="836"/>
      <c r="CB319" s="836"/>
      <c r="CC319" s="836"/>
      <c r="CD319" s="836"/>
      <c r="CE319" s="836"/>
      <c r="CF319" s="836"/>
      <c r="CG319" s="836"/>
      <c r="CH319" s="836"/>
      <c r="CI319" s="836"/>
      <c r="CJ319" s="836"/>
      <c r="CK319" s="836"/>
      <c r="CL319" s="836"/>
      <c r="CM319" s="836"/>
      <c r="CN319" s="836"/>
      <c r="CO319" s="836"/>
      <c r="CP319" s="836"/>
      <c r="CQ319" s="836"/>
      <c r="CR319" s="836"/>
      <c r="CS319" s="836"/>
      <c r="CT319" s="836"/>
      <c r="CU319" s="836"/>
      <c r="CV319" s="836"/>
      <c r="CW319" s="836"/>
      <c r="CX319" s="269"/>
      <c r="CY319" s="559"/>
      <c r="CZ319" s="559"/>
    </row>
    <row r="320" spans="1:104" hidden="1" outlineLevel="1">
      <c r="A320" s="835"/>
      <c r="B320" s="836"/>
      <c r="C320" s="836"/>
      <c r="D320" s="836"/>
      <c r="E320" s="836"/>
      <c r="F320" s="836"/>
      <c r="G320" s="836"/>
      <c r="H320" s="836"/>
      <c r="I320" s="836"/>
      <c r="J320" s="836"/>
      <c r="K320" s="836"/>
      <c r="L320" s="836"/>
      <c r="M320" s="836"/>
      <c r="N320" s="836"/>
      <c r="O320" s="836"/>
      <c r="P320" s="836"/>
      <c r="Q320" s="836"/>
      <c r="R320" s="836"/>
      <c r="S320" s="836"/>
      <c r="T320" s="836"/>
      <c r="U320" s="836"/>
      <c r="V320" s="836"/>
      <c r="W320" s="836"/>
      <c r="X320" s="836"/>
      <c r="Y320" s="836"/>
      <c r="Z320" s="836"/>
      <c r="AA320" s="836"/>
      <c r="AB320" s="836"/>
      <c r="AC320" s="836"/>
      <c r="AD320" s="836"/>
      <c r="AE320" s="836"/>
      <c r="AF320" s="836"/>
      <c r="AG320" s="836"/>
      <c r="AH320" s="836"/>
      <c r="AI320" s="836"/>
      <c r="AJ320" s="836"/>
      <c r="AK320" s="836"/>
      <c r="AL320" s="836"/>
      <c r="AM320" s="994"/>
      <c r="AN320" s="994"/>
      <c r="AO320" s="994"/>
      <c r="AP320" s="840"/>
      <c r="AQ320" s="840"/>
      <c r="AR320" s="840"/>
      <c r="AS320" s="840"/>
      <c r="AT320" s="840"/>
      <c r="AU320" s="840"/>
      <c r="AV320" s="840"/>
      <c r="AW320" s="840"/>
      <c r="AX320" s="840"/>
      <c r="AY320" s="840"/>
      <c r="AZ320" s="836"/>
      <c r="BA320" s="840"/>
      <c r="BB320" s="840"/>
      <c r="BC320" s="840"/>
      <c r="BD320" s="840"/>
      <c r="BE320" s="840"/>
      <c r="BF320" s="840"/>
      <c r="BG320" s="840"/>
      <c r="BH320" s="836"/>
      <c r="BI320" s="836"/>
      <c r="BJ320" s="836"/>
      <c r="BK320" s="840"/>
      <c r="BL320" s="840"/>
      <c r="BM320" s="840"/>
      <c r="BN320" s="840"/>
      <c r="BO320" s="840"/>
      <c r="BP320" s="840"/>
      <c r="BQ320" s="840"/>
      <c r="BR320" s="840"/>
      <c r="BS320" s="840"/>
      <c r="BT320" s="840"/>
      <c r="BU320" s="840"/>
      <c r="BV320" s="840"/>
      <c r="BW320" s="840"/>
      <c r="BX320" s="840"/>
      <c r="BY320" s="840"/>
      <c r="BZ320" s="840"/>
      <c r="CA320" s="840"/>
      <c r="CB320" s="840"/>
      <c r="CC320" s="840"/>
      <c r="CD320" s="840"/>
      <c r="CE320" s="840"/>
      <c r="CF320" s="840"/>
      <c r="CG320" s="840"/>
      <c r="CH320" s="840"/>
      <c r="CI320" s="840"/>
      <c r="CJ320" s="840"/>
      <c r="CK320" s="840"/>
      <c r="CL320" s="840"/>
      <c r="CM320" s="840"/>
      <c r="CN320" s="840"/>
      <c r="CO320" s="840"/>
      <c r="CP320" s="840"/>
      <c r="CQ320" s="840"/>
      <c r="CR320" s="840"/>
      <c r="CS320" s="840"/>
      <c r="CT320" s="840"/>
      <c r="CU320" s="840"/>
      <c r="CV320" s="840"/>
      <c r="CW320" s="840"/>
      <c r="CX320" s="269"/>
      <c r="CY320" s="269"/>
      <c r="CZ320" s="269"/>
    </row>
    <row r="321" spans="1:106" collapsed="1">
      <c r="A321" s="472" t="s">
        <v>936</v>
      </c>
      <c r="B321" s="601">
        <f t="shared" ref="B321:AG321" si="1805">B8</f>
        <v>39903</v>
      </c>
      <c r="C321" s="601">
        <f t="shared" si="1805"/>
        <v>39994</v>
      </c>
      <c r="D321" s="601">
        <f t="shared" si="1805"/>
        <v>40086</v>
      </c>
      <c r="E321" s="601">
        <f t="shared" si="1805"/>
        <v>40178</v>
      </c>
      <c r="F321" s="601">
        <f t="shared" si="1805"/>
        <v>40268</v>
      </c>
      <c r="G321" s="601">
        <f t="shared" si="1805"/>
        <v>40359</v>
      </c>
      <c r="H321" s="601">
        <f t="shared" si="1805"/>
        <v>40451</v>
      </c>
      <c r="I321" s="601">
        <f t="shared" si="1805"/>
        <v>40543</v>
      </c>
      <c r="J321" s="601">
        <f t="shared" si="1805"/>
        <v>40633</v>
      </c>
      <c r="K321" s="601">
        <f t="shared" si="1805"/>
        <v>40724</v>
      </c>
      <c r="L321" s="601">
        <f t="shared" si="1805"/>
        <v>40816</v>
      </c>
      <c r="M321" s="601">
        <f t="shared" si="1805"/>
        <v>40908</v>
      </c>
      <c r="N321" s="601">
        <f t="shared" si="1805"/>
        <v>40999</v>
      </c>
      <c r="O321" s="601">
        <f t="shared" si="1805"/>
        <v>41090</v>
      </c>
      <c r="P321" s="601">
        <f t="shared" si="1805"/>
        <v>41182</v>
      </c>
      <c r="Q321" s="601">
        <f t="shared" si="1805"/>
        <v>41274</v>
      </c>
      <c r="R321" s="601">
        <f t="shared" si="1805"/>
        <v>41364</v>
      </c>
      <c r="S321" s="601">
        <f t="shared" si="1805"/>
        <v>41455</v>
      </c>
      <c r="T321" s="601">
        <f t="shared" si="1805"/>
        <v>41547</v>
      </c>
      <c r="U321" s="601">
        <f t="shared" si="1805"/>
        <v>41639</v>
      </c>
      <c r="V321" s="601">
        <f t="shared" si="1805"/>
        <v>41729</v>
      </c>
      <c r="W321" s="601">
        <f t="shared" si="1805"/>
        <v>41820</v>
      </c>
      <c r="X321" s="601">
        <f t="shared" si="1805"/>
        <v>41912</v>
      </c>
      <c r="Y321" s="601">
        <f t="shared" si="1805"/>
        <v>42004</v>
      </c>
      <c r="Z321" s="601">
        <f t="shared" si="1805"/>
        <v>42094</v>
      </c>
      <c r="AA321" s="601">
        <f t="shared" si="1805"/>
        <v>42185</v>
      </c>
      <c r="AB321" s="601">
        <f t="shared" si="1805"/>
        <v>42277</v>
      </c>
      <c r="AC321" s="601">
        <f t="shared" si="1805"/>
        <v>42369</v>
      </c>
      <c r="AD321" s="601">
        <f t="shared" si="1805"/>
        <v>42460</v>
      </c>
      <c r="AE321" s="601">
        <f t="shared" si="1805"/>
        <v>42551</v>
      </c>
      <c r="AF321" s="601">
        <f t="shared" si="1805"/>
        <v>42643</v>
      </c>
      <c r="AG321" s="601">
        <f t="shared" si="1805"/>
        <v>42735</v>
      </c>
      <c r="AH321" s="601">
        <f t="shared" ref="AH321:BM321" si="1806">AH8</f>
        <v>42825</v>
      </c>
      <c r="AI321" s="601">
        <f t="shared" si="1806"/>
        <v>42916</v>
      </c>
      <c r="AJ321" s="601">
        <f t="shared" si="1806"/>
        <v>43008</v>
      </c>
      <c r="AK321" s="601">
        <f t="shared" si="1806"/>
        <v>43100</v>
      </c>
      <c r="AL321" s="601">
        <f t="shared" si="1806"/>
        <v>43190</v>
      </c>
      <c r="AM321" s="601">
        <f t="shared" si="1806"/>
        <v>43281</v>
      </c>
      <c r="AN321" s="601">
        <f t="shared" si="1806"/>
        <v>43373</v>
      </c>
      <c r="AO321" s="601">
        <f t="shared" si="1806"/>
        <v>43465</v>
      </c>
      <c r="AP321" s="601">
        <f t="shared" si="1806"/>
        <v>43555</v>
      </c>
      <c r="AQ321" s="601">
        <f t="shared" si="1806"/>
        <v>43646</v>
      </c>
      <c r="AR321" s="601">
        <f t="shared" si="1806"/>
        <v>43738</v>
      </c>
      <c r="AS321" s="601">
        <f t="shared" si="1806"/>
        <v>43830</v>
      </c>
      <c r="AT321" s="601">
        <f t="shared" si="1806"/>
        <v>43921</v>
      </c>
      <c r="AU321" s="601">
        <f t="shared" si="1806"/>
        <v>44012</v>
      </c>
      <c r="AV321" s="601">
        <f t="shared" si="1806"/>
        <v>44104</v>
      </c>
      <c r="AW321" s="601">
        <f t="shared" si="1806"/>
        <v>44196</v>
      </c>
      <c r="AX321" s="601">
        <f t="shared" si="1806"/>
        <v>44286</v>
      </c>
      <c r="AY321" s="601">
        <f t="shared" si="1806"/>
        <v>44377</v>
      </c>
      <c r="AZ321" s="601">
        <f t="shared" si="1806"/>
        <v>44469</v>
      </c>
      <c r="BA321" s="601">
        <f t="shared" si="1806"/>
        <v>44561</v>
      </c>
      <c r="BB321" s="601">
        <f t="shared" si="1806"/>
        <v>44651</v>
      </c>
      <c r="BC321" s="601">
        <f t="shared" si="1806"/>
        <v>44742</v>
      </c>
      <c r="BD321" s="601">
        <f t="shared" ref="BD321:BI321" si="1807">BD8</f>
        <v>44834</v>
      </c>
      <c r="BE321" s="601">
        <f t="shared" si="1807"/>
        <v>44926</v>
      </c>
      <c r="BF321" s="601">
        <f t="shared" si="1807"/>
        <v>45016</v>
      </c>
      <c r="BG321" s="601">
        <f t="shared" si="1807"/>
        <v>45107</v>
      </c>
      <c r="BH321" s="601">
        <f t="shared" si="1807"/>
        <v>45199</v>
      </c>
      <c r="BI321" s="601">
        <f t="shared" si="1807"/>
        <v>45291</v>
      </c>
      <c r="BJ321" s="601">
        <f t="shared" ref="BJ321:BK321" si="1808">BJ8</f>
        <v>45382</v>
      </c>
      <c r="BK321" s="601">
        <f t="shared" si="1808"/>
        <v>45473</v>
      </c>
      <c r="BL321" s="600">
        <f t="shared" si="1806"/>
        <v>45565</v>
      </c>
      <c r="BM321" s="600">
        <f t="shared" si="1806"/>
        <v>45657</v>
      </c>
      <c r="BN321" s="600">
        <f t="shared" ref="BN321:CK321" si="1809">BN8</f>
        <v>45747</v>
      </c>
      <c r="BO321" s="600">
        <f t="shared" si="1809"/>
        <v>45838</v>
      </c>
      <c r="BP321" s="600">
        <f t="shared" si="1809"/>
        <v>45930</v>
      </c>
      <c r="BQ321" s="600">
        <f t="shared" si="1809"/>
        <v>46022</v>
      </c>
      <c r="BR321" s="600">
        <f t="shared" si="1809"/>
        <v>46112</v>
      </c>
      <c r="BS321" s="600">
        <f t="shared" si="1809"/>
        <v>46203</v>
      </c>
      <c r="BT321" s="600">
        <f t="shared" si="1809"/>
        <v>46295</v>
      </c>
      <c r="BU321" s="600">
        <f t="shared" si="1809"/>
        <v>46387</v>
      </c>
      <c r="BV321" s="600">
        <f t="shared" si="1809"/>
        <v>46477</v>
      </c>
      <c r="BW321" s="600">
        <f t="shared" si="1809"/>
        <v>46568</v>
      </c>
      <c r="BX321" s="600">
        <f t="shared" si="1809"/>
        <v>46660</v>
      </c>
      <c r="BY321" s="600">
        <f t="shared" si="1809"/>
        <v>46752</v>
      </c>
      <c r="BZ321" s="600">
        <f t="shared" si="1809"/>
        <v>46843</v>
      </c>
      <c r="CA321" s="600">
        <f t="shared" si="1809"/>
        <v>46934</v>
      </c>
      <c r="CB321" s="600">
        <f t="shared" si="1809"/>
        <v>47026</v>
      </c>
      <c r="CC321" s="600">
        <f t="shared" si="1809"/>
        <v>47118</v>
      </c>
      <c r="CD321" s="600">
        <f t="shared" si="1809"/>
        <v>47208</v>
      </c>
      <c r="CE321" s="600">
        <f t="shared" si="1809"/>
        <v>47299</v>
      </c>
      <c r="CF321" s="600">
        <f t="shared" si="1809"/>
        <v>47391</v>
      </c>
      <c r="CG321" s="600">
        <f t="shared" si="1809"/>
        <v>47483</v>
      </c>
      <c r="CH321" s="600">
        <f t="shared" si="1809"/>
        <v>47573</v>
      </c>
      <c r="CI321" s="600">
        <f t="shared" si="1809"/>
        <v>47664</v>
      </c>
      <c r="CJ321" s="600">
        <f t="shared" si="1809"/>
        <v>47756</v>
      </c>
      <c r="CK321" s="600">
        <f t="shared" si="1809"/>
        <v>47848</v>
      </c>
      <c r="CL321" s="600">
        <f t="shared" ref="CL321:CP321" si="1810">CL8</f>
        <v>47938</v>
      </c>
      <c r="CM321" s="600">
        <f t="shared" si="1810"/>
        <v>48029</v>
      </c>
      <c r="CN321" s="600">
        <f t="shared" si="1810"/>
        <v>48121</v>
      </c>
      <c r="CO321" s="600">
        <f t="shared" si="1810"/>
        <v>48213</v>
      </c>
      <c r="CP321" s="600">
        <f t="shared" si="1810"/>
        <v>48304</v>
      </c>
      <c r="CQ321" s="600">
        <f t="shared" ref="CQ321:CU321" si="1811">CQ8</f>
        <v>48395</v>
      </c>
      <c r="CR321" s="600">
        <f t="shared" si="1811"/>
        <v>48487</v>
      </c>
      <c r="CS321" s="600">
        <f t="shared" si="1811"/>
        <v>48579</v>
      </c>
      <c r="CT321" s="600">
        <f t="shared" si="1811"/>
        <v>48669</v>
      </c>
      <c r="CU321" s="600">
        <f t="shared" si="1811"/>
        <v>48760</v>
      </c>
      <c r="CV321" s="600">
        <f t="shared" ref="CV321:CW321" si="1812">CV8</f>
        <v>48852</v>
      </c>
      <c r="CW321" s="600">
        <f t="shared" si="1812"/>
        <v>48944</v>
      </c>
      <c r="CX321" s="269"/>
      <c r="CY321" s="572" t="s">
        <v>1488</v>
      </c>
      <c r="CZ321" s="572" t="s">
        <v>1489</v>
      </c>
    </row>
    <row r="322" spans="1:106" s="12" customFormat="1">
      <c r="A322" s="43" t="s">
        <v>551</v>
      </c>
      <c r="B322" s="573"/>
      <c r="C322" s="573"/>
      <c r="D322" s="573"/>
      <c r="E322" s="573"/>
      <c r="F322" s="149">
        <f>Q_BS!F72</f>
        <v>0</v>
      </c>
      <c r="G322" s="149">
        <f>Q_BS!G72</f>
        <v>0.8569905436199059</v>
      </c>
      <c r="H322" s="149">
        <f>Q_BS!H72</f>
        <v>0</v>
      </c>
      <c r="I322" s="149">
        <f>Q_BS!I72</f>
        <v>0</v>
      </c>
      <c r="J322" s="149">
        <f>Q_BS!J72</f>
        <v>0</v>
      </c>
      <c r="K322" s="149">
        <f>Q_BS!K72</f>
        <v>1.0525647297100134</v>
      </c>
      <c r="L322" s="149">
        <f>Q_BS!L72</f>
        <v>0</v>
      </c>
      <c r="M322" s="149">
        <f>Q_BS!M72</f>
        <v>0</v>
      </c>
      <c r="N322" s="149">
        <f>Q_BS!N72</f>
        <v>0</v>
      </c>
      <c r="O322" s="149">
        <f>Q_BS!O72</f>
        <v>0</v>
      </c>
      <c r="P322" s="149">
        <f>Q_BS!P72</f>
        <v>0</v>
      </c>
      <c r="Q322" s="149">
        <f>Q_BS!Q72</f>
        <v>0</v>
      </c>
      <c r="R322" s="149">
        <f>Q_BS!R72</f>
        <v>6.465382111076283E-2</v>
      </c>
      <c r="S322" s="149">
        <f>Q_BS!S72</f>
        <v>0.79148928420199527</v>
      </c>
      <c r="T322" s="149">
        <f>Q_BS!T72</f>
        <v>0</v>
      </c>
      <c r="U322" s="149">
        <f>Q_BS!U72</f>
        <v>-4.4933062951808565E-2</v>
      </c>
      <c r="V322" s="149">
        <f>Q_BS!V72</f>
        <v>0</v>
      </c>
      <c r="W322" s="149">
        <f>Q_BS!W72</f>
        <v>0</v>
      </c>
      <c r="X322" s="149">
        <f>Q_BS!X72</f>
        <v>0</v>
      </c>
      <c r="Y322" s="149">
        <f>Q_BS!Y72</f>
        <v>0</v>
      </c>
      <c r="Z322" s="149">
        <f>Q_BS!Z72</f>
        <v>0</v>
      </c>
      <c r="AA322" s="149">
        <f>Q_BS!AA72</f>
        <v>0.47462054519206204</v>
      </c>
      <c r="AB322" s="149">
        <f>Q_BS!AB72</f>
        <v>0</v>
      </c>
      <c r="AC322" s="149">
        <f>Q_BS!AC72</f>
        <v>0</v>
      </c>
      <c r="AD322" s="149">
        <f>Q_BS!AD72</f>
        <v>0</v>
      </c>
      <c r="AE322" s="149">
        <f>Q_BS!AE72</f>
        <v>0.77291116995580411</v>
      </c>
      <c r="AF322" s="149">
        <f>Q_BS!AF72</f>
        <v>0</v>
      </c>
      <c r="AG322" s="149">
        <f>Q_BS!AG72</f>
        <v>0</v>
      </c>
      <c r="AH322" s="149">
        <f>Q_BS!AH72</f>
        <v>8.1956909971422659E-2</v>
      </c>
      <c r="AI322" s="149">
        <f>Q_BS!AI72</f>
        <v>0.57724306282070414</v>
      </c>
      <c r="AJ322" s="149">
        <f>Q_BS!AJ72</f>
        <v>5.7223241661813376E-2</v>
      </c>
      <c r="AK322" s="149">
        <f>Q_BS!AK72</f>
        <v>0</v>
      </c>
      <c r="AL322" s="149">
        <f>Q_BS!AL72</f>
        <v>0</v>
      </c>
      <c r="AM322" s="149">
        <f>Q_BS!AM72</f>
        <v>0.57106832655721818</v>
      </c>
      <c r="AN322" s="149">
        <f>Q_BS!AN72</f>
        <v>0</v>
      </c>
      <c r="AO322" s="149">
        <f>Q_BS!AO72</f>
        <v>0</v>
      </c>
      <c r="AP322" s="149">
        <f>Q_BS!AP72</f>
        <v>0</v>
      </c>
      <c r="AQ322" s="149">
        <f>Q_BS!AQ72</f>
        <v>0</v>
      </c>
      <c r="AR322" s="149">
        <f>Q_BS!AR72</f>
        <v>0</v>
      </c>
      <c r="AS322" s="149">
        <f>Q_BS!AS72</f>
        <v>0</v>
      </c>
      <c r="AT322" s="149">
        <f>Q_BS!AT72</f>
        <v>0</v>
      </c>
      <c r="AU322" s="149">
        <f>Q_BS!AU72</f>
        <v>0</v>
      </c>
      <c r="AV322" s="149">
        <f>Q_BS!AV72</f>
        <v>0</v>
      </c>
      <c r="AW322" s="149">
        <f>Q_BS!AW72</f>
        <v>0</v>
      </c>
      <c r="AX322" s="149">
        <f>Q_BS!AX72</f>
        <v>0</v>
      </c>
      <c r="AY322" s="149">
        <f>Q_BS!AY72</f>
        <v>0</v>
      </c>
      <c r="AZ322" s="149">
        <f>Q_BS!AZ72</f>
        <v>0</v>
      </c>
      <c r="BA322" s="149">
        <f>Q_BS!BA72</f>
        <v>0</v>
      </c>
      <c r="BB322" s="149">
        <f>Q_BS!BB72</f>
        <v>0</v>
      </c>
      <c r="BC322" s="149">
        <f>Q_BS!BC72</f>
        <v>0</v>
      </c>
      <c r="BD322" s="149">
        <f>Q_BS!BD72</f>
        <v>0</v>
      </c>
      <c r="BE322" s="149">
        <f>Q_BS!BE72</f>
        <v>0</v>
      </c>
      <c r="BF322" s="149">
        <f>Q_BS!BF72</f>
        <v>0</v>
      </c>
      <c r="BG322" s="149">
        <f>Q_BS!BG72</f>
        <v>0</v>
      </c>
      <c r="BH322" s="149">
        <f>Q_BS!BH72</f>
        <v>0</v>
      </c>
      <c r="BI322" s="149">
        <f>Q_BS!BI72</f>
        <v>0</v>
      </c>
      <c r="BJ322" s="149">
        <f>Q_BS!BJ72</f>
        <v>0</v>
      </c>
      <c r="BK322" s="149">
        <f>Q_BS!BK72</f>
        <v>0.40035081255884408</v>
      </c>
      <c r="BL322" s="1669">
        <f t="shared" ref="BL322:BQ322" si="1813">CHOOSE(MASTERSWITCH,BL323,BL324,BL325)</f>
        <v>0</v>
      </c>
      <c r="BM322" s="1669">
        <f t="shared" si="1813"/>
        <v>0</v>
      </c>
      <c r="BN322" s="1669">
        <f t="shared" si="1813"/>
        <v>0</v>
      </c>
      <c r="BO322" s="1669">
        <f t="shared" si="1813"/>
        <v>0</v>
      </c>
      <c r="BP322" s="1669">
        <f t="shared" si="1813"/>
        <v>0</v>
      </c>
      <c r="BQ322" s="1669">
        <f t="shared" si="1813"/>
        <v>0</v>
      </c>
      <c r="BR322" s="1669">
        <f t="shared" ref="BR322:CK322" si="1814">CHOOSE(MASTERSWITCH,BR323,BR324,BR325)</f>
        <v>0</v>
      </c>
      <c r="BS322" s="1669">
        <f t="shared" si="1814"/>
        <v>0</v>
      </c>
      <c r="BT322" s="1669">
        <f t="shared" si="1814"/>
        <v>0</v>
      </c>
      <c r="BU322" s="1669">
        <f t="shared" si="1814"/>
        <v>0</v>
      </c>
      <c r="BV322" s="1669">
        <f t="shared" si="1814"/>
        <v>0</v>
      </c>
      <c r="BW322" s="1669">
        <f t="shared" si="1814"/>
        <v>0</v>
      </c>
      <c r="BX322" s="1669">
        <f t="shared" si="1814"/>
        <v>0</v>
      </c>
      <c r="BY322" s="1669">
        <f t="shared" si="1814"/>
        <v>0</v>
      </c>
      <c r="BZ322" s="1669">
        <f t="shared" si="1814"/>
        <v>0</v>
      </c>
      <c r="CA322" s="1669">
        <f t="shared" si="1814"/>
        <v>0</v>
      </c>
      <c r="CB322" s="1669">
        <f t="shared" si="1814"/>
        <v>0</v>
      </c>
      <c r="CC322" s="1669">
        <f t="shared" si="1814"/>
        <v>0</v>
      </c>
      <c r="CD322" s="1669">
        <f t="shared" si="1814"/>
        <v>0</v>
      </c>
      <c r="CE322" s="1669">
        <f t="shared" si="1814"/>
        <v>0</v>
      </c>
      <c r="CF322" s="1669">
        <f t="shared" si="1814"/>
        <v>0</v>
      </c>
      <c r="CG322" s="1669">
        <f t="shared" si="1814"/>
        <v>0</v>
      </c>
      <c r="CH322" s="1669">
        <f t="shared" si="1814"/>
        <v>0</v>
      </c>
      <c r="CI322" s="1669">
        <f t="shared" si="1814"/>
        <v>0</v>
      </c>
      <c r="CJ322" s="1669">
        <f t="shared" si="1814"/>
        <v>0</v>
      </c>
      <c r="CK322" s="1669">
        <f t="shared" si="1814"/>
        <v>0</v>
      </c>
      <c r="CL322" s="1669">
        <f t="shared" ref="CL322:CP322" si="1815">CHOOSE(MASTERSWITCH,CL323,CL324,CL325)</f>
        <v>0</v>
      </c>
      <c r="CM322" s="1669">
        <f t="shared" si="1815"/>
        <v>0</v>
      </c>
      <c r="CN322" s="1669">
        <f t="shared" si="1815"/>
        <v>0</v>
      </c>
      <c r="CO322" s="1669">
        <f t="shared" si="1815"/>
        <v>0</v>
      </c>
      <c r="CP322" s="1669">
        <f t="shared" si="1815"/>
        <v>0</v>
      </c>
      <c r="CQ322" s="1669">
        <f t="shared" ref="CQ322:CU322" si="1816">CHOOSE(MASTERSWITCH,CQ323,CQ324,CQ325)</f>
        <v>0</v>
      </c>
      <c r="CR322" s="1669">
        <f t="shared" si="1816"/>
        <v>0</v>
      </c>
      <c r="CS322" s="1669">
        <f t="shared" si="1816"/>
        <v>0</v>
      </c>
      <c r="CT322" s="1669">
        <f t="shared" si="1816"/>
        <v>0</v>
      </c>
      <c r="CU322" s="1669">
        <f t="shared" si="1816"/>
        <v>0</v>
      </c>
      <c r="CV322" s="1669">
        <f t="shared" ref="CV322:CW322" si="1817">CHOOSE(MASTERSWITCH,CV323,CV324,CV325)</f>
        <v>0</v>
      </c>
      <c r="CW322" s="1669">
        <f t="shared" si="1817"/>
        <v>0</v>
      </c>
      <c r="CX322" s="574"/>
      <c r="DA322" s="9"/>
      <c r="DB322" s="9"/>
    </row>
    <row r="323" spans="1:106">
      <c r="A323" s="42" t="s">
        <v>571</v>
      </c>
      <c r="B323" s="392"/>
      <c r="C323" s="392"/>
      <c r="D323" s="392"/>
      <c r="E323" s="393"/>
      <c r="F323" s="84">
        <f>F322</f>
        <v>0</v>
      </c>
      <c r="G323" s="84">
        <f>G322</f>
        <v>0.8569905436199059</v>
      </c>
      <c r="H323" s="84">
        <f>H322</f>
        <v>0</v>
      </c>
      <c r="I323" s="84">
        <f>I322</f>
        <v>0</v>
      </c>
      <c r="J323" s="84">
        <f t="shared" ref="J323:AS323" si="1818">J322</f>
        <v>0</v>
      </c>
      <c r="K323" s="84">
        <f t="shared" si="1818"/>
        <v>1.0525647297100134</v>
      </c>
      <c r="L323" s="84">
        <f t="shared" si="1818"/>
        <v>0</v>
      </c>
      <c r="M323" s="84">
        <f t="shared" si="1818"/>
        <v>0</v>
      </c>
      <c r="N323" s="84">
        <f t="shared" si="1818"/>
        <v>0</v>
      </c>
      <c r="O323" s="84">
        <f t="shared" si="1818"/>
        <v>0</v>
      </c>
      <c r="P323" s="84">
        <f t="shared" si="1818"/>
        <v>0</v>
      </c>
      <c r="Q323" s="84">
        <f t="shared" si="1818"/>
        <v>0</v>
      </c>
      <c r="R323" s="84">
        <f t="shared" si="1818"/>
        <v>6.465382111076283E-2</v>
      </c>
      <c r="S323" s="84">
        <f t="shared" si="1818"/>
        <v>0.79148928420199527</v>
      </c>
      <c r="T323" s="84">
        <f t="shared" si="1818"/>
        <v>0</v>
      </c>
      <c r="U323" s="84">
        <f t="shared" si="1818"/>
        <v>-4.4933062951808565E-2</v>
      </c>
      <c r="V323" s="84">
        <f t="shared" si="1818"/>
        <v>0</v>
      </c>
      <c r="W323" s="84">
        <f t="shared" si="1818"/>
        <v>0</v>
      </c>
      <c r="X323" s="84">
        <f t="shared" si="1818"/>
        <v>0</v>
      </c>
      <c r="Y323" s="84">
        <f t="shared" si="1818"/>
        <v>0</v>
      </c>
      <c r="Z323" s="84">
        <f t="shared" si="1818"/>
        <v>0</v>
      </c>
      <c r="AA323" s="84">
        <f t="shared" si="1818"/>
        <v>0.47462054519206204</v>
      </c>
      <c r="AB323" s="84">
        <f t="shared" si="1818"/>
        <v>0</v>
      </c>
      <c r="AC323" s="84">
        <f t="shared" si="1818"/>
        <v>0</v>
      </c>
      <c r="AD323" s="84">
        <f t="shared" si="1818"/>
        <v>0</v>
      </c>
      <c r="AE323" s="84">
        <f t="shared" si="1818"/>
        <v>0.77291116995580411</v>
      </c>
      <c r="AF323" s="84">
        <f t="shared" si="1818"/>
        <v>0</v>
      </c>
      <c r="AG323" s="84">
        <f t="shared" si="1818"/>
        <v>0</v>
      </c>
      <c r="AH323" s="84">
        <f t="shared" si="1818"/>
        <v>8.1956909971422659E-2</v>
      </c>
      <c r="AI323" s="84">
        <f t="shared" si="1818"/>
        <v>0.57724306282070414</v>
      </c>
      <c r="AJ323" s="84">
        <f t="shared" si="1818"/>
        <v>5.7223241661813376E-2</v>
      </c>
      <c r="AK323" s="84">
        <f t="shared" si="1818"/>
        <v>0</v>
      </c>
      <c r="AL323" s="84">
        <f t="shared" si="1818"/>
        <v>0</v>
      </c>
      <c r="AM323" s="84">
        <f t="shared" si="1818"/>
        <v>0.57106832655721818</v>
      </c>
      <c r="AN323" s="84">
        <f t="shared" si="1818"/>
        <v>0</v>
      </c>
      <c r="AO323" s="84">
        <f t="shared" si="1818"/>
        <v>0</v>
      </c>
      <c r="AP323" s="84">
        <f t="shared" si="1818"/>
        <v>0</v>
      </c>
      <c r="AQ323" s="84">
        <f t="shared" si="1818"/>
        <v>0</v>
      </c>
      <c r="AR323" s="84">
        <f t="shared" si="1818"/>
        <v>0</v>
      </c>
      <c r="AS323" s="84">
        <f t="shared" si="1818"/>
        <v>0</v>
      </c>
      <c r="AT323" s="84">
        <f t="shared" ref="AT323:BC323" si="1819">AT322</f>
        <v>0</v>
      </c>
      <c r="AU323" s="84">
        <f t="shared" si="1819"/>
        <v>0</v>
      </c>
      <c r="AV323" s="84">
        <f t="shared" si="1819"/>
        <v>0</v>
      </c>
      <c r="AW323" s="84">
        <f t="shared" si="1819"/>
        <v>0</v>
      </c>
      <c r="AX323" s="84">
        <f t="shared" si="1819"/>
        <v>0</v>
      </c>
      <c r="AY323" s="84">
        <f t="shared" si="1819"/>
        <v>0</v>
      </c>
      <c r="AZ323" s="84">
        <f t="shared" si="1819"/>
        <v>0</v>
      </c>
      <c r="BA323" s="84">
        <f t="shared" si="1819"/>
        <v>0</v>
      </c>
      <c r="BB323" s="84">
        <f t="shared" si="1819"/>
        <v>0</v>
      </c>
      <c r="BC323" s="84">
        <f t="shared" si="1819"/>
        <v>0</v>
      </c>
      <c r="BD323" s="84">
        <f t="shared" ref="BD323:BI323" si="1820">BD322</f>
        <v>0</v>
      </c>
      <c r="BE323" s="84">
        <f t="shared" si="1820"/>
        <v>0</v>
      </c>
      <c r="BF323" s="84">
        <f t="shared" si="1820"/>
        <v>0</v>
      </c>
      <c r="BG323" s="84">
        <f t="shared" si="1820"/>
        <v>0</v>
      </c>
      <c r="BH323" s="84">
        <f t="shared" si="1820"/>
        <v>0</v>
      </c>
      <c r="BI323" s="84">
        <f t="shared" si="1820"/>
        <v>0</v>
      </c>
      <c r="BJ323" s="84">
        <f t="shared" ref="BJ323" si="1821">BJ322</f>
        <v>0</v>
      </c>
      <c r="BK323" s="84">
        <f t="shared" ref="BK323" si="1822">BK322</f>
        <v>0.40035081255884408</v>
      </c>
      <c r="BL323" s="1670">
        <f t="shared" ref="BL323:BQ323" si="1823">BL324+$CY323</f>
        <v>0</v>
      </c>
      <c r="BM323" s="1670">
        <f t="shared" si="1823"/>
        <v>0</v>
      </c>
      <c r="BN323" s="1670">
        <f t="shared" si="1823"/>
        <v>7.4999999999999997E-2</v>
      </c>
      <c r="BO323" s="1670">
        <f t="shared" si="1823"/>
        <v>7.4999999999999997E-2</v>
      </c>
      <c r="BP323" s="1670">
        <f t="shared" si="1823"/>
        <v>7.4999999999999997E-2</v>
      </c>
      <c r="BQ323" s="1670">
        <f t="shared" si="1823"/>
        <v>7.4999999999999997E-2</v>
      </c>
      <c r="BR323" s="1670">
        <f t="shared" ref="BR323:BY323" si="1824">BR324+$CY323</f>
        <v>7.4999999999999997E-2</v>
      </c>
      <c r="BS323" s="1670">
        <f t="shared" si="1824"/>
        <v>7.4999999999999997E-2</v>
      </c>
      <c r="BT323" s="1670">
        <f t="shared" si="1824"/>
        <v>7.4999999999999997E-2</v>
      </c>
      <c r="BU323" s="1670">
        <f t="shared" si="1824"/>
        <v>7.4999999999999997E-2</v>
      </c>
      <c r="BV323" s="1670">
        <f t="shared" si="1824"/>
        <v>7.4999999999999997E-2</v>
      </c>
      <c r="BW323" s="1670">
        <f t="shared" si="1824"/>
        <v>7.4999999999999997E-2</v>
      </c>
      <c r="BX323" s="1670">
        <f t="shared" si="1824"/>
        <v>7.4999999999999997E-2</v>
      </c>
      <c r="BY323" s="1670">
        <f t="shared" si="1824"/>
        <v>7.4999999999999997E-2</v>
      </c>
      <c r="BZ323" s="1670">
        <f t="shared" ref="BZ323:CU323" si="1825">BZ324+$CZ323</f>
        <v>7.4999999999999997E-2</v>
      </c>
      <c r="CA323" s="1670">
        <f t="shared" si="1825"/>
        <v>7.4999999999999997E-2</v>
      </c>
      <c r="CB323" s="1670">
        <f t="shared" si="1825"/>
        <v>7.4999999999999997E-2</v>
      </c>
      <c r="CC323" s="1670">
        <f t="shared" si="1825"/>
        <v>7.4999999999999997E-2</v>
      </c>
      <c r="CD323" s="1670">
        <f t="shared" si="1825"/>
        <v>7.4999999999999997E-2</v>
      </c>
      <c r="CE323" s="1670">
        <f t="shared" si="1825"/>
        <v>7.4999999999999997E-2</v>
      </c>
      <c r="CF323" s="1670">
        <f t="shared" si="1825"/>
        <v>7.4999999999999997E-2</v>
      </c>
      <c r="CG323" s="1670">
        <f t="shared" si="1825"/>
        <v>7.4999999999999997E-2</v>
      </c>
      <c r="CH323" s="1670">
        <f t="shared" si="1825"/>
        <v>7.4999999999999997E-2</v>
      </c>
      <c r="CI323" s="1670">
        <f t="shared" si="1825"/>
        <v>7.4999999999999997E-2</v>
      </c>
      <c r="CJ323" s="1670">
        <f t="shared" si="1825"/>
        <v>7.4999999999999997E-2</v>
      </c>
      <c r="CK323" s="1670">
        <f t="shared" si="1825"/>
        <v>7.4999999999999997E-2</v>
      </c>
      <c r="CL323" s="1670">
        <f t="shared" si="1825"/>
        <v>7.4999999999999997E-2</v>
      </c>
      <c r="CM323" s="1670">
        <f t="shared" si="1825"/>
        <v>7.4999999999999997E-2</v>
      </c>
      <c r="CN323" s="1670">
        <f t="shared" si="1825"/>
        <v>7.4999999999999997E-2</v>
      </c>
      <c r="CO323" s="1670">
        <f t="shared" si="1825"/>
        <v>7.4999999999999997E-2</v>
      </c>
      <c r="CP323" s="1670">
        <f t="shared" si="1825"/>
        <v>7.4999999999999997E-2</v>
      </c>
      <c r="CQ323" s="1670">
        <f t="shared" si="1825"/>
        <v>7.4999999999999997E-2</v>
      </c>
      <c r="CR323" s="1670">
        <f t="shared" si="1825"/>
        <v>7.4999999999999997E-2</v>
      </c>
      <c r="CS323" s="1670">
        <f t="shared" si="1825"/>
        <v>7.4999999999999997E-2</v>
      </c>
      <c r="CT323" s="1670">
        <f t="shared" si="1825"/>
        <v>7.4999999999999997E-2</v>
      </c>
      <c r="CU323" s="1670">
        <f t="shared" si="1825"/>
        <v>7.4999999999999997E-2</v>
      </c>
      <c r="CV323" s="1670">
        <f t="shared" ref="CV323:CW323" si="1826">CV324+$CZ323</f>
        <v>7.4999999999999997E-2</v>
      </c>
      <c r="CW323" s="1670">
        <f t="shared" si="1826"/>
        <v>7.4999999999999997E-2</v>
      </c>
      <c r="CX323" s="269"/>
    </row>
    <row r="324" spans="1:106">
      <c r="A324" s="42" t="s">
        <v>200</v>
      </c>
      <c r="B324" s="392"/>
      <c r="C324" s="392"/>
      <c r="D324" s="392"/>
      <c r="E324" s="394"/>
      <c r="F324" s="84">
        <f>F322</f>
        <v>0</v>
      </c>
      <c r="G324" s="84">
        <f>G322</f>
        <v>0.8569905436199059</v>
      </c>
      <c r="H324" s="84">
        <f>H322</f>
        <v>0</v>
      </c>
      <c r="I324" s="84">
        <f>I322</f>
        <v>0</v>
      </c>
      <c r="J324" s="84">
        <f t="shared" ref="J324:AS324" si="1827">J322</f>
        <v>0</v>
      </c>
      <c r="K324" s="84">
        <f t="shared" si="1827"/>
        <v>1.0525647297100134</v>
      </c>
      <c r="L324" s="84">
        <f t="shared" si="1827"/>
        <v>0</v>
      </c>
      <c r="M324" s="84">
        <f t="shared" si="1827"/>
        <v>0</v>
      </c>
      <c r="N324" s="84">
        <f t="shared" si="1827"/>
        <v>0</v>
      </c>
      <c r="O324" s="84">
        <f t="shared" si="1827"/>
        <v>0</v>
      </c>
      <c r="P324" s="84">
        <f t="shared" si="1827"/>
        <v>0</v>
      </c>
      <c r="Q324" s="84">
        <f t="shared" si="1827"/>
        <v>0</v>
      </c>
      <c r="R324" s="84">
        <f t="shared" si="1827"/>
        <v>6.465382111076283E-2</v>
      </c>
      <c r="S324" s="84">
        <f t="shared" si="1827"/>
        <v>0.79148928420199527</v>
      </c>
      <c r="T324" s="84">
        <f t="shared" si="1827"/>
        <v>0</v>
      </c>
      <c r="U324" s="84">
        <f t="shared" si="1827"/>
        <v>-4.4933062951808565E-2</v>
      </c>
      <c r="V324" s="84">
        <f t="shared" si="1827"/>
        <v>0</v>
      </c>
      <c r="W324" s="84">
        <f t="shared" si="1827"/>
        <v>0</v>
      </c>
      <c r="X324" s="84">
        <f t="shared" si="1827"/>
        <v>0</v>
      </c>
      <c r="Y324" s="84">
        <f t="shared" si="1827"/>
        <v>0</v>
      </c>
      <c r="Z324" s="84">
        <f t="shared" si="1827"/>
        <v>0</v>
      </c>
      <c r="AA324" s="84">
        <f t="shared" si="1827"/>
        <v>0.47462054519206204</v>
      </c>
      <c r="AB324" s="84">
        <f t="shared" si="1827"/>
        <v>0</v>
      </c>
      <c r="AC324" s="84">
        <f t="shared" si="1827"/>
        <v>0</v>
      </c>
      <c r="AD324" s="84">
        <f t="shared" si="1827"/>
        <v>0</v>
      </c>
      <c r="AE324" s="84">
        <f t="shared" si="1827"/>
        <v>0.77291116995580411</v>
      </c>
      <c r="AF324" s="84">
        <f t="shared" si="1827"/>
        <v>0</v>
      </c>
      <c r="AG324" s="84">
        <f t="shared" si="1827"/>
        <v>0</v>
      </c>
      <c r="AH324" s="84">
        <f t="shared" si="1827"/>
        <v>8.1956909971422659E-2</v>
      </c>
      <c r="AI324" s="84">
        <f t="shared" si="1827"/>
        <v>0.57724306282070414</v>
      </c>
      <c r="AJ324" s="84">
        <f t="shared" si="1827"/>
        <v>5.7223241661813376E-2</v>
      </c>
      <c r="AK324" s="84">
        <f t="shared" si="1827"/>
        <v>0</v>
      </c>
      <c r="AL324" s="84">
        <f t="shared" si="1827"/>
        <v>0</v>
      </c>
      <c r="AM324" s="84">
        <f t="shared" si="1827"/>
        <v>0.57106832655721818</v>
      </c>
      <c r="AN324" s="84">
        <f t="shared" si="1827"/>
        <v>0</v>
      </c>
      <c r="AO324" s="84">
        <f t="shared" si="1827"/>
        <v>0</v>
      </c>
      <c r="AP324" s="84">
        <f t="shared" si="1827"/>
        <v>0</v>
      </c>
      <c r="AQ324" s="84">
        <f t="shared" si="1827"/>
        <v>0</v>
      </c>
      <c r="AR324" s="84">
        <f t="shared" si="1827"/>
        <v>0</v>
      </c>
      <c r="AS324" s="84">
        <f t="shared" si="1827"/>
        <v>0</v>
      </c>
      <c r="AT324" s="84">
        <f t="shared" ref="AT324:BC324" si="1828">AT322</f>
        <v>0</v>
      </c>
      <c r="AU324" s="84">
        <f t="shared" si="1828"/>
        <v>0</v>
      </c>
      <c r="AV324" s="84">
        <f t="shared" si="1828"/>
        <v>0</v>
      </c>
      <c r="AW324" s="84">
        <f t="shared" si="1828"/>
        <v>0</v>
      </c>
      <c r="AX324" s="84">
        <f t="shared" si="1828"/>
        <v>0</v>
      </c>
      <c r="AY324" s="84">
        <f t="shared" si="1828"/>
        <v>0</v>
      </c>
      <c r="AZ324" s="84">
        <f t="shared" si="1828"/>
        <v>0</v>
      </c>
      <c r="BA324" s="84">
        <f t="shared" si="1828"/>
        <v>0</v>
      </c>
      <c r="BB324" s="84">
        <f t="shared" si="1828"/>
        <v>0</v>
      </c>
      <c r="BC324" s="84">
        <f t="shared" si="1828"/>
        <v>0</v>
      </c>
      <c r="BD324" s="84">
        <f t="shared" ref="BD324:BI324" si="1829">BD322</f>
        <v>0</v>
      </c>
      <c r="BE324" s="84">
        <f t="shared" si="1829"/>
        <v>0</v>
      </c>
      <c r="BF324" s="84">
        <f t="shared" si="1829"/>
        <v>0</v>
      </c>
      <c r="BG324" s="84">
        <f t="shared" si="1829"/>
        <v>0</v>
      </c>
      <c r="BH324" s="84">
        <f t="shared" si="1829"/>
        <v>0</v>
      </c>
      <c r="BI324" s="84">
        <f t="shared" si="1829"/>
        <v>0</v>
      </c>
      <c r="BJ324" s="84">
        <f t="shared" ref="BJ324" si="1830">BJ322</f>
        <v>0</v>
      </c>
      <c r="BK324" s="84">
        <f t="shared" ref="BK324" si="1831">BK322</f>
        <v>0.40035081255884408</v>
      </c>
      <c r="BL324" s="1671">
        <v>0</v>
      </c>
      <c r="BM324" s="1671">
        <v>0</v>
      </c>
      <c r="BN324" s="1671">
        <f>30%/4</f>
        <v>7.4999999999999997E-2</v>
      </c>
      <c r="BO324" s="1671">
        <f t="shared" ref="BO324:CW324" si="1832">30%/4</f>
        <v>7.4999999999999997E-2</v>
      </c>
      <c r="BP324" s="1671">
        <f t="shared" si="1832"/>
        <v>7.4999999999999997E-2</v>
      </c>
      <c r="BQ324" s="1671">
        <f t="shared" si="1832"/>
        <v>7.4999999999999997E-2</v>
      </c>
      <c r="BR324" s="1671">
        <f t="shared" si="1832"/>
        <v>7.4999999999999997E-2</v>
      </c>
      <c r="BS324" s="1671">
        <f t="shared" si="1832"/>
        <v>7.4999999999999997E-2</v>
      </c>
      <c r="BT324" s="1671">
        <f t="shared" si="1832"/>
        <v>7.4999999999999997E-2</v>
      </c>
      <c r="BU324" s="1671">
        <f t="shared" si="1832"/>
        <v>7.4999999999999997E-2</v>
      </c>
      <c r="BV324" s="1671">
        <f t="shared" si="1832"/>
        <v>7.4999999999999997E-2</v>
      </c>
      <c r="BW324" s="1671">
        <f t="shared" si="1832"/>
        <v>7.4999999999999997E-2</v>
      </c>
      <c r="BX324" s="1671">
        <f t="shared" si="1832"/>
        <v>7.4999999999999997E-2</v>
      </c>
      <c r="BY324" s="1671">
        <f t="shared" si="1832"/>
        <v>7.4999999999999997E-2</v>
      </c>
      <c r="BZ324" s="1671">
        <f t="shared" si="1832"/>
        <v>7.4999999999999997E-2</v>
      </c>
      <c r="CA324" s="1671">
        <f t="shared" si="1832"/>
        <v>7.4999999999999997E-2</v>
      </c>
      <c r="CB324" s="1671">
        <f t="shared" si="1832"/>
        <v>7.4999999999999997E-2</v>
      </c>
      <c r="CC324" s="1671">
        <f t="shared" si="1832"/>
        <v>7.4999999999999997E-2</v>
      </c>
      <c r="CD324" s="1671">
        <f t="shared" si="1832"/>
        <v>7.4999999999999997E-2</v>
      </c>
      <c r="CE324" s="1671">
        <f t="shared" si="1832"/>
        <v>7.4999999999999997E-2</v>
      </c>
      <c r="CF324" s="1671">
        <f t="shared" si="1832"/>
        <v>7.4999999999999997E-2</v>
      </c>
      <c r="CG324" s="1671">
        <f t="shared" si="1832"/>
        <v>7.4999999999999997E-2</v>
      </c>
      <c r="CH324" s="1671">
        <f t="shared" si="1832"/>
        <v>7.4999999999999997E-2</v>
      </c>
      <c r="CI324" s="1671">
        <f t="shared" si="1832"/>
        <v>7.4999999999999997E-2</v>
      </c>
      <c r="CJ324" s="1671">
        <f t="shared" si="1832"/>
        <v>7.4999999999999997E-2</v>
      </c>
      <c r="CK324" s="1671">
        <f t="shared" si="1832"/>
        <v>7.4999999999999997E-2</v>
      </c>
      <c r="CL324" s="1671">
        <f t="shared" si="1832"/>
        <v>7.4999999999999997E-2</v>
      </c>
      <c r="CM324" s="1671">
        <f t="shared" si="1832"/>
        <v>7.4999999999999997E-2</v>
      </c>
      <c r="CN324" s="1671">
        <f t="shared" si="1832"/>
        <v>7.4999999999999997E-2</v>
      </c>
      <c r="CO324" s="1671">
        <f t="shared" si="1832"/>
        <v>7.4999999999999997E-2</v>
      </c>
      <c r="CP324" s="1671">
        <f t="shared" si="1832"/>
        <v>7.4999999999999997E-2</v>
      </c>
      <c r="CQ324" s="1671">
        <f t="shared" si="1832"/>
        <v>7.4999999999999997E-2</v>
      </c>
      <c r="CR324" s="1671">
        <f t="shared" si="1832"/>
        <v>7.4999999999999997E-2</v>
      </c>
      <c r="CS324" s="1671">
        <f t="shared" si="1832"/>
        <v>7.4999999999999997E-2</v>
      </c>
      <c r="CT324" s="1671">
        <f t="shared" si="1832"/>
        <v>7.4999999999999997E-2</v>
      </c>
      <c r="CU324" s="1671">
        <f t="shared" si="1832"/>
        <v>7.4999999999999997E-2</v>
      </c>
      <c r="CV324" s="1671">
        <f t="shared" si="1832"/>
        <v>7.4999999999999997E-2</v>
      </c>
      <c r="CW324" s="1671">
        <f t="shared" si="1832"/>
        <v>7.4999999999999997E-2</v>
      </c>
      <c r="CX324" s="269"/>
    </row>
    <row r="325" spans="1:106">
      <c r="A325" s="42" t="s">
        <v>202</v>
      </c>
      <c r="B325" s="392"/>
      <c r="C325" s="392"/>
      <c r="D325" s="392"/>
      <c r="E325" s="394"/>
      <c r="F325" s="84">
        <f>F322</f>
        <v>0</v>
      </c>
      <c r="G325" s="84">
        <f>G322</f>
        <v>0.8569905436199059</v>
      </c>
      <c r="H325" s="84">
        <f>H322</f>
        <v>0</v>
      </c>
      <c r="I325" s="84">
        <f>I322</f>
        <v>0</v>
      </c>
      <c r="J325" s="84">
        <f t="shared" ref="J325:AS325" si="1833">J322</f>
        <v>0</v>
      </c>
      <c r="K325" s="84">
        <f t="shared" si="1833"/>
        <v>1.0525647297100134</v>
      </c>
      <c r="L325" s="84">
        <f t="shared" si="1833"/>
        <v>0</v>
      </c>
      <c r="M325" s="84">
        <f t="shared" si="1833"/>
        <v>0</v>
      </c>
      <c r="N325" s="84">
        <f t="shared" si="1833"/>
        <v>0</v>
      </c>
      <c r="O325" s="84">
        <f t="shared" si="1833"/>
        <v>0</v>
      </c>
      <c r="P325" s="84">
        <f t="shared" si="1833"/>
        <v>0</v>
      </c>
      <c r="Q325" s="84">
        <f t="shared" si="1833"/>
        <v>0</v>
      </c>
      <c r="R325" s="84">
        <f t="shared" si="1833"/>
        <v>6.465382111076283E-2</v>
      </c>
      <c r="S325" s="84">
        <f t="shared" si="1833"/>
        <v>0.79148928420199527</v>
      </c>
      <c r="T325" s="84">
        <f t="shared" si="1833"/>
        <v>0</v>
      </c>
      <c r="U325" s="84">
        <f t="shared" si="1833"/>
        <v>-4.4933062951808565E-2</v>
      </c>
      <c r="V325" s="84">
        <f t="shared" si="1833"/>
        <v>0</v>
      </c>
      <c r="W325" s="84">
        <f t="shared" si="1833"/>
        <v>0</v>
      </c>
      <c r="X325" s="84">
        <f t="shared" si="1833"/>
        <v>0</v>
      </c>
      <c r="Y325" s="84">
        <f t="shared" si="1833"/>
        <v>0</v>
      </c>
      <c r="Z325" s="84">
        <f t="shared" si="1833"/>
        <v>0</v>
      </c>
      <c r="AA325" s="84">
        <f t="shared" si="1833"/>
        <v>0.47462054519206204</v>
      </c>
      <c r="AB325" s="84">
        <f t="shared" si="1833"/>
        <v>0</v>
      </c>
      <c r="AC325" s="84">
        <f t="shared" si="1833"/>
        <v>0</v>
      </c>
      <c r="AD325" s="84">
        <f t="shared" si="1833"/>
        <v>0</v>
      </c>
      <c r="AE325" s="84">
        <f t="shared" si="1833"/>
        <v>0.77291116995580411</v>
      </c>
      <c r="AF325" s="84">
        <f t="shared" si="1833"/>
        <v>0</v>
      </c>
      <c r="AG325" s="84">
        <f t="shared" si="1833"/>
        <v>0</v>
      </c>
      <c r="AH325" s="84">
        <f t="shared" si="1833"/>
        <v>8.1956909971422659E-2</v>
      </c>
      <c r="AI325" s="84">
        <f t="shared" si="1833"/>
        <v>0.57724306282070414</v>
      </c>
      <c r="AJ325" s="84">
        <f t="shared" si="1833"/>
        <v>5.7223241661813376E-2</v>
      </c>
      <c r="AK325" s="84">
        <f t="shared" si="1833"/>
        <v>0</v>
      </c>
      <c r="AL325" s="84">
        <f t="shared" si="1833"/>
        <v>0</v>
      </c>
      <c r="AM325" s="84">
        <f t="shared" si="1833"/>
        <v>0.57106832655721818</v>
      </c>
      <c r="AN325" s="84">
        <f t="shared" si="1833"/>
        <v>0</v>
      </c>
      <c r="AO325" s="84">
        <f t="shared" si="1833"/>
        <v>0</v>
      </c>
      <c r="AP325" s="84">
        <f t="shared" si="1833"/>
        <v>0</v>
      </c>
      <c r="AQ325" s="84">
        <f t="shared" si="1833"/>
        <v>0</v>
      </c>
      <c r="AR325" s="84">
        <f t="shared" si="1833"/>
        <v>0</v>
      </c>
      <c r="AS325" s="84">
        <f t="shared" si="1833"/>
        <v>0</v>
      </c>
      <c r="AT325" s="84">
        <f t="shared" ref="AT325:BC325" si="1834">AT322</f>
        <v>0</v>
      </c>
      <c r="AU325" s="84">
        <f t="shared" si="1834"/>
        <v>0</v>
      </c>
      <c r="AV325" s="84">
        <f t="shared" si="1834"/>
        <v>0</v>
      </c>
      <c r="AW325" s="84">
        <f t="shared" si="1834"/>
        <v>0</v>
      </c>
      <c r="AX325" s="84">
        <f t="shared" si="1834"/>
        <v>0</v>
      </c>
      <c r="AY325" s="84">
        <f t="shared" si="1834"/>
        <v>0</v>
      </c>
      <c r="AZ325" s="84">
        <f t="shared" si="1834"/>
        <v>0</v>
      </c>
      <c r="BA325" s="84">
        <f t="shared" si="1834"/>
        <v>0</v>
      </c>
      <c r="BB325" s="84">
        <f t="shared" si="1834"/>
        <v>0</v>
      </c>
      <c r="BC325" s="84">
        <f t="shared" si="1834"/>
        <v>0</v>
      </c>
      <c r="BD325" s="84">
        <f t="shared" ref="BD325:BI325" si="1835">BD322</f>
        <v>0</v>
      </c>
      <c r="BE325" s="84">
        <f t="shared" si="1835"/>
        <v>0</v>
      </c>
      <c r="BF325" s="84">
        <f t="shared" si="1835"/>
        <v>0</v>
      </c>
      <c r="BG325" s="84">
        <f t="shared" si="1835"/>
        <v>0</v>
      </c>
      <c r="BH325" s="84">
        <f t="shared" si="1835"/>
        <v>0</v>
      </c>
      <c r="BI325" s="84">
        <f t="shared" si="1835"/>
        <v>0</v>
      </c>
      <c r="BJ325" s="84">
        <f t="shared" ref="BJ325" si="1836">BJ322</f>
        <v>0</v>
      </c>
      <c r="BK325" s="84">
        <f t="shared" ref="BK325" si="1837">BK322</f>
        <v>0.40035081255884408</v>
      </c>
      <c r="BL325" s="1670">
        <v>0</v>
      </c>
      <c r="BM325" s="1670">
        <v>0</v>
      </c>
      <c r="BN325" s="1670">
        <v>0</v>
      </c>
      <c r="BO325" s="1670">
        <v>0</v>
      </c>
      <c r="BP325" s="1670">
        <v>0</v>
      </c>
      <c r="BQ325" s="1670">
        <v>0</v>
      </c>
      <c r="BR325" s="1670">
        <v>0</v>
      </c>
      <c r="BS325" s="1670">
        <v>0</v>
      </c>
      <c r="BT325" s="1670">
        <v>0</v>
      </c>
      <c r="BU325" s="1670">
        <v>0</v>
      </c>
      <c r="BV325" s="1670">
        <v>0</v>
      </c>
      <c r="BW325" s="1670">
        <v>0</v>
      </c>
      <c r="BX325" s="1670">
        <v>0</v>
      </c>
      <c r="BY325" s="1670">
        <v>0</v>
      </c>
      <c r="BZ325" s="1670">
        <v>0</v>
      </c>
      <c r="CA325" s="1670">
        <v>0</v>
      </c>
      <c r="CB325" s="1670">
        <v>0</v>
      </c>
      <c r="CC325" s="1670">
        <v>0</v>
      </c>
      <c r="CD325" s="1670">
        <v>0</v>
      </c>
      <c r="CE325" s="1670">
        <v>0</v>
      </c>
      <c r="CF325" s="1670">
        <v>0</v>
      </c>
      <c r="CG325" s="1670">
        <v>0</v>
      </c>
      <c r="CH325" s="1670">
        <v>0</v>
      </c>
      <c r="CI325" s="1670">
        <v>0</v>
      </c>
      <c r="CJ325" s="1670">
        <v>0</v>
      </c>
      <c r="CK325" s="1670">
        <v>0</v>
      </c>
      <c r="CL325" s="1670">
        <v>0</v>
      </c>
      <c r="CM325" s="1670">
        <v>0</v>
      </c>
      <c r="CN325" s="1670">
        <v>0</v>
      </c>
      <c r="CO325" s="1670">
        <v>0</v>
      </c>
      <c r="CP325" s="1670">
        <v>0</v>
      </c>
      <c r="CQ325" s="1670">
        <v>0</v>
      </c>
      <c r="CR325" s="1670">
        <v>0</v>
      </c>
      <c r="CS325" s="1670">
        <v>0</v>
      </c>
      <c r="CT325" s="1670">
        <v>0</v>
      </c>
      <c r="CU325" s="1670">
        <v>0</v>
      </c>
      <c r="CV325" s="1670">
        <v>0</v>
      </c>
      <c r="CW325" s="1670">
        <v>0</v>
      </c>
      <c r="CX325" s="269"/>
    </row>
    <row r="326" spans="1:106" ht="12.75">
      <c r="A326" s="269"/>
      <c r="B326" s="388"/>
      <c r="C326" s="388"/>
      <c r="D326" s="388"/>
      <c r="E326" s="388"/>
      <c r="F326" s="388"/>
      <c r="G326" s="388"/>
      <c r="H326" s="388"/>
      <c r="I326" s="269"/>
      <c r="J326" s="388"/>
      <c r="K326" s="388"/>
      <c r="L326" s="388"/>
      <c r="M326" s="269"/>
      <c r="N326" s="269"/>
      <c r="O326" s="269"/>
      <c r="P326" s="269"/>
      <c r="Q326" s="269"/>
      <c r="R326" s="269"/>
      <c r="S326" s="269"/>
      <c r="T326" s="269"/>
      <c r="U326" s="269"/>
      <c r="V326" s="269"/>
      <c r="W326" s="269"/>
      <c r="X326" s="269"/>
      <c r="Y326" s="269"/>
      <c r="Z326" s="269"/>
      <c r="AA326" s="269"/>
      <c r="AB326" s="269"/>
      <c r="AC326" s="269"/>
      <c r="AD326" s="269"/>
      <c r="AE326" s="269"/>
      <c r="AF326" s="269"/>
      <c r="AG326" s="269"/>
      <c r="AH326" s="269"/>
      <c r="AI326" s="269"/>
      <c r="AJ326" s="269"/>
      <c r="AK326" s="269"/>
      <c r="AL326" s="269"/>
      <c r="AM326" s="399"/>
      <c r="AN326" s="399"/>
      <c r="AO326" s="399"/>
      <c r="AP326" s="399"/>
      <c r="AQ326" s="399"/>
      <c r="AR326" s="399"/>
      <c r="AS326" s="399"/>
      <c r="AT326" s="269"/>
      <c r="AU326" s="269"/>
      <c r="AV326" s="269"/>
      <c r="AW326" s="269"/>
      <c r="AX326" s="269"/>
      <c r="AY326"/>
      <c r="AZ326"/>
      <c r="BA326"/>
      <c r="BB326"/>
      <c r="BC326"/>
      <c r="BD326"/>
      <c r="BE326"/>
      <c r="BF326"/>
      <c r="BG326"/>
      <c r="BH326" s="269"/>
      <c r="BI326" s="269"/>
      <c r="BJ326" s="269"/>
      <c r="BK326" s="269"/>
      <c r="BL326" s="269"/>
      <c r="BM326" s="269"/>
      <c r="BN326" s="269"/>
      <c r="BO326" s="269"/>
      <c r="BP326" s="269"/>
      <c r="BQ326" s="269"/>
      <c r="BR326" s="269"/>
      <c r="BS326" s="269"/>
      <c r="BT326" s="269"/>
      <c r="BU326" s="269"/>
      <c r="BV326" s="269"/>
      <c r="BW326" s="269"/>
      <c r="BX326" s="269"/>
      <c r="BY326" s="269"/>
      <c r="BZ326" s="269"/>
      <c r="CA326" s="269"/>
      <c r="CB326" s="269"/>
      <c r="CC326" s="269"/>
      <c r="CD326" s="269"/>
      <c r="CE326" s="269"/>
      <c r="CF326" s="269"/>
      <c r="CG326" s="269"/>
      <c r="CH326" s="269"/>
      <c r="CI326" s="269"/>
      <c r="CJ326" s="269"/>
      <c r="CK326" s="269"/>
      <c r="CL326" s="269"/>
      <c r="CM326" s="269"/>
      <c r="CN326" s="269"/>
      <c r="CO326" s="269"/>
      <c r="CP326" s="269"/>
      <c r="CQ326" s="269"/>
      <c r="CR326" s="269"/>
      <c r="CS326" s="269"/>
      <c r="CT326" s="269"/>
      <c r="CU326" s="269"/>
      <c r="CV326" s="269"/>
      <c r="CW326" s="269"/>
      <c r="CX326" s="269"/>
    </row>
    <row r="327" spans="1:106" ht="12.75">
      <c r="A327" s="43" t="s">
        <v>563</v>
      </c>
      <c r="B327" s="558"/>
      <c r="C327" s="558"/>
      <c r="D327" s="558"/>
      <c r="E327" s="558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  <c r="AP327" s="111"/>
      <c r="AQ327" s="111"/>
      <c r="AR327" s="111"/>
      <c r="AS327" s="111"/>
      <c r="AT327" s="111"/>
      <c r="AU327"/>
      <c r="AV327"/>
      <c r="AW327"/>
      <c r="AX327"/>
      <c r="AY327"/>
      <c r="AZ327"/>
      <c r="BA327"/>
      <c r="BB327"/>
      <c r="BC327"/>
      <c r="BD327"/>
      <c r="BE327"/>
      <c r="BF327"/>
      <c r="BG327">
        <v>1000</v>
      </c>
      <c r="BH327" s="563">
        <v>1000</v>
      </c>
      <c r="BI327" s="563">
        <v>1000</v>
      </c>
      <c r="BJ327" s="563">
        <v>1000</v>
      </c>
      <c r="BK327" s="563">
        <v>1000</v>
      </c>
      <c r="BL327" s="563">
        <v>1000</v>
      </c>
      <c r="BM327" s="563">
        <v>1000</v>
      </c>
      <c r="BN327" s="563">
        <v>1000</v>
      </c>
      <c r="BO327" s="563">
        <v>1000</v>
      </c>
      <c r="BP327" s="563">
        <v>1000</v>
      </c>
      <c r="BQ327" s="563">
        <v>1000</v>
      </c>
      <c r="BR327" s="563">
        <v>1000</v>
      </c>
      <c r="BS327" s="563">
        <v>1000</v>
      </c>
      <c r="BT327" s="563">
        <v>1000</v>
      </c>
      <c r="BU327" s="563">
        <v>1000</v>
      </c>
      <c r="BV327" s="563">
        <v>1000</v>
      </c>
      <c r="BW327" s="563">
        <v>1000</v>
      </c>
      <c r="BX327" s="563">
        <v>1000</v>
      </c>
      <c r="BY327" s="563">
        <v>1000</v>
      </c>
      <c r="BZ327" s="563">
        <v>1000</v>
      </c>
      <c r="CA327" s="563">
        <v>1000</v>
      </c>
      <c r="CB327" s="563">
        <v>1000</v>
      </c>
      <c r="CC327" s="563">
        <v>1000</v>
      </c>
      <c r="CD327" s="563">
        <v>1000</v>
      </c>
      <c r="CE327" s="563">
        <v>1000</v>
      </c>
      <c r="CF327" s="563">
        <v>1000</v>
      </c>
      <c r="CG327" s="563">
        <v>1000</v>
      </c>
      <c r="CH327" s="563">
        <v>1000</v>
      </c>
      <c r="CI327" s="563">
        <v>1000</v>
      </c>
      <c r="CJ327" s="563">
        <v>1000</v>
      </c>
      <c r="CK327" s="563">
        <v>1000</v>
      </c>
      <c r="CL327" s="563">
        <v>1000</v>
      </c>
      <c r="CM327" s="563">
        <v>1000</v>
      </c>
      <c r="CN327" s="563">
        <v>1000</v>
      </c>
      <c r="CO327" s="563">
        <v>1000</v>
      </c>
      <c r="CP327" s="563">
        <v>1000</v>
      </c>
      <c r="CQ327" s="563">
        <v>1000</v>
      </c>
      <c r="CR327" s="563">
        <v>1000</v>
      </c>
      <c r="CS327" s="563">
        <v>1000</v>
      </c>
      <c r="CT327" s="563">
        <v>1000</v>
      </c>
      <c r="CU327" s="563">
        <v>1000</v>
      </c>
      <c r="CV327" s="563">
        <v>1000</v>
      </c>
      <c r="CW327" s="563">
        <v>1000</v>
      </c>
      <c r="CX327" s="269"/>
    </row>
    <row r="328" spans="1:106" ht="12.75">
      <c r="A328" s="269"/>
      <c r="B328" s="388"/>
      <c r="C328" s="388"/>
      <c r="D328" s="388"/>
      <c r="E328" s="388"/>
      <c r="F328" s="388"/>
      <c r="G328" s="388"/>
      <c r="H328" s="388"/>
      <c r="I328" s="269"/>
      <c r="J328" s="388"/>
      <c r="K328" s="388"/>
      <c r="L328" s="388"/>
      <c r="M328" s="269"/>
      <c r="N328" s="269"/>
      <c r="O328" s="269"/>
      <c r="P328" s="269"/>
      <c r="Q328" s="269"/>
      <c r="R328" s="269"/>
      <c r="S328" s="269"/>
      <c r="T328" s="269"/>
      <c r="U328" s="269"/>
      <c r="V328" s="269"/>
      <c r="W328" s="269"/>
      <c r="X328" s="269"/>
      <c r="Y328" s="269"/>
      <c r="Z328" s="269"/>
      <c r="AA328" s="269"/>
      <c r="AB328" s="269"/>
      <c r="AC328" s="269"/>
      <c r="AD328" s="269"/>
      <c r="AE328" s="269"/>
      <c r="AF328" s="269"/>
      <c r="AG328" s="269"/>
      <c r="AH328" s="269"/>
      <c r="AI328" s="269"/>
      <c r="AJ328" s="269"/>
      <c r="AK328" s="269"/>
      <c r="AL328" s="269"/>
      <c r="AM328" s="399"/>
      <c r="AN328" s="399"/>
      <c r="AO328" s="399"/>
      <c r="AP328" s="399"/>
      <c r="AQ328" s="399"/>
      <c r="AR328" s="399"/>
      <c r="AS328" s="399"/>
      <c r="AT328" s="399"/>
      <c r="AU328" s="269"/>
      <c r="AV328" s="269"/>
      <c r="AW328" s="269"/>
      <c r="AX328" s="269"/>
      <c r="AY328"/>
      <c r="AZ328"/>
      <c r="BA328"/>
      <c r="BB328"/>
      <c r="BC328"/>
      <c r="BD328"/>
      <c r="BE328"/>
      <c r="BF328"/>
      <c r="BG328"/>
      <c r="BH328" s="269"/>
      <c r="BI328" s="269"/>
      <c r="BJ328" s="269"/>
      <c r="BK328" s="269"/>
      <c r="BL328" s="269"/>
      <c r="BM328" s="269"/>
      <c r="BN328" s="269"/>
      <c r="BO328" s="269"/>
      <c r="BP328" s="269"/>
      <c r="BQ328" s="269"/>
      <c r="BR328" s="269"/>
      <c r="BS328" s="269"/>
      <c r="BT328" s="269"/>
      <c r="BU328" s="269"/>
      <c r="BV328" s="269"/>
      <c r="BW328" s="269"/>
      <c r="BX328" s="269"/>
      <c r="BY328" s="269"/>
      <c r="BZ328" s="269"/>
      <c r="CA328" s="269"/>
      <c r="CB328" s="269"/>
      <c r="CC328" s="269"/>
      <c r="CD328" s="269"/>
      <c r="CE328" s="269"/>
      <c r="CF328" s="269"/>
      <c r="CG328" s="269"/>
      <c r="CH328" s="269"/>
      <c r="CI328" s="269"/>
      <c r="CJ328" s="269"/>
      <c r="CK328" s="269"/>
      <c r="CL328" s="269"/>
      <c r="CM328" s="269"/>
      <c r="CN328" s="269"/>
      <c r="CO328" s="269"/>
      <c r="CP328" s="269"/>
      <c r="CQ328" s="269"/>
      <c r="CR328" s="269"/>
      <c r="CS328" s="269"/>
      <c r="CT328" s="269"/>
      <c r="CU328" s="269"/>
      <c r="CV328" s="269"/>
      <c r="CW328" s="269"/>
      <c r="CX328" s="269"/>
      <c r="CY328" s="269"/>
    </row>
    <row r="329" spans="1:106">
      <c r="A329" s="43" t="s">
        <v>569</v>
      </c>
      <c r="B329" s="558"/>
      <c r="C329" s="558"/>
      <c r="D329" s="558"/>
      <c r="E329" s="558"/>
      <c r="F329" s="111">
        <f>Q_BS!F112</f>
        <v>308.56899999999996</v>
      </c>
      <c r="G329" s="111">
        <f>Q_BS!G112</f>
        <v>53.289999999999964</v>
      </c>
      <c r="H329" s="111">
        <f>Q_BS!H112</f>
        <v>0</v>
      </c>
      <c r="I329" s="111">
        <f>Q_BS!I112</f>
        <v>377.85</v>
      </c>
      <c r="J329" s="111">
        <f>Q_BS!J112</f>
        <v>0</v>
      </c>
      <c r="K329" s="111">
        <f>Q_BS!K112</f>
        <v>274.67799999999988</v>
      </c>
      <c r="L329" s="111">
        <f>Q_BS!L112</f>
        <v>0</v>
      </c>
      <c r="M329" s="111">
        <f>Q_BS!M112</f>
        <v>2315.627</v>
      </c>
      <c r="N329" s="111">
        <f>Q_BS!N112</f>
        <v>0</v>
      </c>
      <c r="O329" s="111">
        <f>Q_BS!O112</f>
        <v>0</v>
      </c>
      <c r="P329" s="111">
        <f>Q_BS!P112</f>
        <v>0</v>
      </c>
      <c r="Q329" s="111">
        <f>Q_BS!Q112</f>
        <v>0</v>
      </c>
      <c r="R329" s="111">
        <f>Q_BS!R112</f>
        <v>0</v>
      </c>
      <c r="S329" s="111">
        <f>Q_BS!S112</f>
        <v>1435.508</v>
      </c>
      <c r="T329" s="111">
        <f>Q_BS!T112</f>
        <v>1418.0169999999998</v>
      </c>
      <c r="U329" s="111">
        <f>Q_BS!U112</f>
        <v>0</v>
      </c>
      <c r="V329" s="111">
        <f>Q_BS!V112</f>
        <v>0</v>
      </c>
      <c r="W329" s="111">
        <f>Q_BS!W112</f>
        <v>1122.7790000000005</v>
      </c>
      <c r="X329" s="111">
        <f>Q_BS!X112</f>
        <v>643.25</v>
      </c>
      <c r="Y329" s="111">
        <f>Q_BS!Y112</f>
        <v>3541.4570000000003</v>
      </c>
      <c r="Z329" s="111">
        <f>Q_BS!Z112</f>
        <v>826.24199999999837</v>
      </c>
      <c r="AA329" s="111">
        <f>Q_BS!AA112</f>
        <v>95.189000000002125</v>
      </c>
      <c r="AB329" s="111">
        <f>Q_BS!AB112</f>
        <v>857.30400000000009</v>
      </c>
      <c r="AC329" s="111">
        <f>Q_BS!AC112</f>
        <v>0</v>
      </c>
      <c r="AD329" s="111">
        <f>Q_BS!AD112</f>
        <v>5429.1290000000008</v>
      </c>
      <c r="AE329" s="111">
        <f>Q_BS!AE112</f>
        <v>1378.9510000000009</v>
      </c>
      <c r="AF329" s="111">
        <f>Q_BS!AF112</f>
        <v>339.09799999999814</v>
      </c>
      <c r="AG329" s="111">
        <f>Q_BS!AG112</f>
        <v>637.05099999999948</v>
      </c>
      <c r="AH329" s="111">
        <f>Q_BS!AH112</f>
        <v>0</v>
      </c>
      <c r="AI329" s="111">
        <f>Q_BS!AI112</f>
        <v>698.58200000000579</v>
      </c>
      <c r="AJ329" s="111">
        <f>Q_BS!AJ112</f>
        <v>427.24399999999878</v>
      </c>
      <c r="AK329" s="111">
        <f>Q_BS!AK112</f>
        <v>0</v>
      </c>
      <c r="AL329" s="111">
        <f>Q_BS!AL112</f>
        <v>0</v>
      </c>
      <c r="AM329" s="111">
        <f>Q_BS!AM112</f>
        <v>1192.599000000002</v>
      </c>
      <c r="AN329" s="111">
        <f>Q_BS!AN112</f>
        <v>0</v>
      </c>
      <c r="AO329" s="111">
        <f>Q_BS!AO112</f>
        <v>10439.285999999998</v>
      </c>
      <c r="AP329" s="111">
        <f>Q_BS!AP112</f>
        <v>0</v>
      </c>
      <c r="AQ329" s="111">
        <f>Q_BS!AQ112</f>
        <v>5081.3650000000016</v>
      </c>
      <c r="AR329" s="111">
        <f>Q_BS!AR112</f>
        <v>0</v>
      </c>
      <c r="AS329" s="111">
        <f>Q_BS!AS112</f>
        <v>1182.3940000000002</v>
      </c>
      <c r="AT329" s="111">
        <f>Q_BS!AT112</f>
        <v>2767.900999999998</v>
      </c>
      <c r="AU329" s="111">
        <f>Q_BS!AU112</f>
        <v>960.0060000000085</v>
      </c>
      <c r="AV329" s="111">
        <f>Q_BS!AV112</f>
        <v>0</v>
      </c>
      <c r="AW329" s="111">
        <f>Q_BS!AW112</f>
        <v>4231.8839999999982</v>
      </c>
      <c r="AX329" s="111">
        <f>Q_BS!AX112</f>
        <v>0</v>
      </c>
      <c r="AY329" s="111">
        <f>Q_BS!AY112</f>
        <v>0</v>
      </c>
      <c r="AZ329" s="111">
        <f>Q_BS!AZ112</f>
        <v>1.2800000000006548</v>
      </c>
      <c r="BA329" s="111">
        <f>Q_BS!BA112</f>
        <v>19022.754000000001</v>
      </c>
      <c r="BB329" s="111">
        <f>Q_BS!BB112</f>
        <v>1153.4150000000045</v>
      </c>
      <c r="BC329" s="111">
        <f>Q_BS!BC112</f>
        <v>0</v>
      </c>
      <c r="BD329" s="111">
        <f>Q_BS!BD112</f>
        <v>0</v>
      </c>
      <c r="BE329" s="111">
        <f>Q_BS!BE112</f>
        <v>665.23199999999997</v>
      </c>
      <c r="BF329" s="111">
        <f>Q_BS!BF112</f>
        <v>0</v>
      </c>
      <c r="BG329" s="111">
        <v>0</v>
      </c>
      <c r="BH329" s="563">
        <v>0</v>
      </c>
      <c r="BI329" s="563">
        <v>0</v>
      </c>
      <c r="BJ329" s="563">
        <v>0</v>
      </c>
      <c r="BK329" s="563">
        <v>0</v>
      </c>
      <c r="BL329" s="563">
        <v>0</v>
      </c>
      <c r="BM329" s="563">
        <v>0</v>
      </c>
      <c r="BN329" s="563">
        <v>700</v>
      </c>
      <c r="BO329" s="563">
        <f>BN329</f>
        <v>700</v>
      </c>
      <c r="BP329" s="563">
        <f t="shared" ref="BP329:BY329" si="1838">BO329</f>
        <v>700</v>
      </c>
      <c r="BQ329" s="563">
        <f t="shared" si="1838"/>
        <v>700</v>
      </c>
      <c r="BR329" s="563">
        <f t="shared" si="1838"/>
        <v>700</v>
      </c>
      <c r="BS329" s="563">
        <f t="shared" si="1838"/>
        <v>700</v>
      </c>
      <c r="BT329" s="563">
        <f t="shared" si="1838"/>
        <v>700</v>
      </c>
      <c r="BU329" s="563">
        <f t="shared" si="1838"/>
        <v>700</v>
      </c>
      <c r="BV329" s="563">
        <f t="shared" si="1838"/>
        <v>700</v>
      </c>
      <c r="BW329" s="563">
        <f t="shared" si="1838"/>
        <v>700</v>
      </c>
      <c r="BX329" s="563">
        <f t="shared" si="1838"/>
        <v>700</v>
      </c>
      <c r="BY329" s="563">
        <f t="shared" si="1838"/>
        <v>700</v>
      </c>
      <c r="BZ329" s="563">
        <v>0</v>
      </c>
      <c r="CA329" s="563">
        <v>0</v>
      </c>
      <c r="CB329" s="563">
        <v>0</v>
      </c>
      <c r="CC329" s="563">
        <v>0</v>
      </c>
      <c r="CD329" s="563">
        <v>0</v>
      </c>
      <c r="CE329" s="563">
        <v>0</v>
      </c>
      <c r="CF329" s="563">
        <v>0</v>
      </c>
      <c r="CG329" s="563">
        <v>0</v>
      </c>
      <c r="CH329" s="563">
        <v>0</v>
      </c>
      <c r="CI329" s="563">
        <v>0</v>
      </c>
      <c r="CJ329" s="563">
        <v>0</v>
      </c>
      <c r="CK329" s="563">
        <v>0</v>
      </c>
      <c r="CL329" s="563">
        <v>0</v>
      </c>
      <c r="CM329" s="563">
        <v>0</v>
      </c>
      <c r="CN329" s="563">
        <v>0</v>
      </c>
      <c r="CO329" s="563">
        <v>0</v>
      </c>
      <c r="CP329" s="563">
        <v>0</v>
      </c>
      <c r="CQ329" s="563">
        <v>0</v>
      </c>
      <c r="CR329" s="563">
        <v>500</v>
      </c>
      <c r="CS329" s="563">
        <v>500</v>
      </c>
      <c r="CT329" s="563">
        <v>0</v>
      </c>
      <c r="CU329" s="563">
        <v>150</v>
      </c>
      <c r="CV329" s="563">
        <v>0</v>
      </c>
      <c r="CW329" s="563">
        <v>0</v>
      </c>
      <c r="CX329" s="269"/>
    </row>
    <row r="330" spans="1:106">
      <c r="A330" s="269"/>
      <c r="B330" s="388"/>
      <c r="C330" s="388"/>
      <c r="D330" s="388"/>
      <c r="E330" s="388"/>
      <c r="F330" s="388"/>
      <c r="G330" s="388"/>
      <c r="H330" s="388"/>
      <c r="I330" s="269"/>
      <c r="J330" s="388"/>
      <c r="K330" s="388"/>
      <c r="L330" s="388"/>
      <c r="M330" s="269"/>
      <c r="N330" s="269"/>
      <c r="O330" s="269"/>
      <c r="P330" s="269"/>
      <c r="Q330" s="269"/>
      <c r="R330" s="269"/>
      <c r="S330" s="269"/>
      <c r="T330" s="269"/>
      <c r="U330" s="269"/>
      <c r="V330" s="269"/>
      <c r="W330" s="269"/>
      <c r="X330" s="269"/>
      <c r="Y330" s="269"/>
      <c r="Z330" s="269"/>
      <c r="AA330" s="269"/>
      <c r="AB330" s="269"/>
      <c r="AC330" s="269"/>
      <c r="AD330" s="399"/>
      <c r="AE330" s="269"/>
      <c r="AF330" s="269"/>
      <c r="AG330" s="269"/>
      <c r="AH330" s="269"/>
      <c r="AI330" s="269"/>
      <c r="AJ330" s="269"/>
      <c r="AK330" s="269"/>
      <c r="AL330" s="269"/>
      <c r="AM330" s="269"/>
      <c r="AN330" s="269"/>
      <c r="AO330" s="269"/>
      <c r="AP330" s="269"/>
      <c r="AQ330" s="269"/>
      <c r="AR330" s="269"/>
      <c r="AS330" s="269"/>
      <c r="AT330" s="269"/>
      <c r="AU330" s="269"/>
      <c r="AV330" s="269"/>
      <c r="AW330" s="269"/>
      <c r="AX330" s="269"/>
      <c r="AY330" s="269"/>
      <c r="AZ330" s="269"/>
      <c r="BA330" s="269"/>
      <c r="BB330" s="269"/>
      <c r="BC330" s="269"/>
      <c r="BD330" s="269"/>
      <c r="BE330" s="269"/>
      <c r="BF330" s="269"/>
      <c r="BG330" s="269"/>
      <c r="BH330" s="269"/>
      <c r="BI330" s="269"/>
      <c r="BJ330" s="269"/>
      <c r="BK330" s="269"/>
      <c r="BL330" s="269"/>
      <c r="BM330" s="269"/>
      <c r="BN330" s="269"/>
      <c r="BO330" s="269"/>
      <c r="BP330" s="269"/>
      <c r="BQ330" s="269"/>
      <c r="BR330" s="269"/>
      <c r="BS330" s="269"/>
      <c r="BT330" s="269"/>
      <c r="BU330" s="269"/>
      <c r="BV330" s="269"/>
      <c r="BW330" s="337"/>
      <c r="BX330" s="269"/>
      <c r="BY330" s="269"/>
      <c r="BZ330" s="269"/>
      <c r="CA330" s="269"/>
      <c r="CB330" s="269"/>
      <c r="CC330" s="269"/>
      <c r="CD330" s="269"/>
      <c r="CE330" s="269"/>
      <c r="CF330" s="269"/>
      <c r="CG330" s="269"/>
      <c r="CH330" s="269"/>
      <c r="CI330" s="269"/>
      <c r="CJ330" s="269"/>
      <c r="CK330" s="269"/>
      <c r="CL330" s="269"/>
      <c r="CM330" s="269"/>
      <c r="CN330" s="269"/>
      <c r="CO330" s="269"/>
      <c r="CP330" s="269"/>
      <c r="CQ330" s="269"/>
      <c r="CR330" s="269"/>
      <c r="CS330" s="269"/>
      <c r="CT330" s="269"/>
      <c r="CU330" s="269"/>
      <c r="CV330" s="269"/>
      <c r="CW330" s="269"/>
      <c r="CX330" s="269"/>
      <c r="CY330" s="269"/>
    </row>
    <row r="331" spans="1:106">
      <c r="A331" s="269"/>
      <c r="B331" s="388"/>
      <c r="C331" s="388"/>
      <c r="D331" s="388"/>
      <c r="E331" s="388"/>
      <c r="F331" s="388"/>
      <c r="G331" s="388"/>
      <c r="H331" s="388"/>
      <c r="I331" s="269"/>
      <c r="J331" s="388"/>
      <c r="K331" s="388"/>
      <c r="L331" s="388"/>
      <c r="M331" s="269"/>
      <c r="N331" s="269"/>
      <c r="O331" s="269"/>
      <c r="P331" s="269"/>
      <c r="Q331" s="269"/>
      <c r="R331" s="269"/>
      <c r="S331" s="269"/>
      <c r="T331" s="269"/>
      <c r="U331" s="269"/>
      <c r="V331" s="269"/>
      <c r="W331" s="269"/>
      <c r="X331" s="269"/>
      <c r="Y331" s="269"/>
      <c r="Z331" s="269"/>
      <c r="AA331" s="269"/>
      <c r="AB331" s="269"/>
      <c r="AC331" s="269"/>
      <c r="AD331" s="399"/>
      <c r="AE331" s="269"/>
      <c r="AF331" s="269"/>
      <c r="AG331" s="269"/>
      <c r="AH331" s="269"/>
      <c r="AI331" s="269"/>
      <c r="AJ331" s="269"/>
      <c r="AK331" s="269"/>
      <c r="AL331" s="269"/>
      <c r="AM331" s="269"/>
      <c r="AN331" s="269"/>
      <c r="AO331" s="269"/>
      <c r="AP331" s="269"/>
      <c r="AQ331" s="269"/>
      <c r="AR331" s="269"/>
      <c r="AS331" s="269"/>
      <c r="AT331" s="269"/>
      <c r="AU331" s="269"/>
      <c r="AV331" s="269"/>
      <c r="AW331" s="269"/>
      <c r="AX331" s="269"/>
      <c r="AY331" s="269"/>
      <c r="AZ331" s="269"/>
      <c r="BA331" s="269"/>
      <c r="BB331" s="269"/>
      <c r="BC331" s="269"/>
      <c r="BD331" s="269"/>
      <c r="BE331" s="269"/>
      <c r="BF331" s="269"/>
      <c r="BG331" s="269"/>
      <c r="BH331" s="269"/>
      <c r="BI331" s="269"/>
      <c r="BJ331" s="269"/>
      <c r="BK331" s="269"/>
      <c r="BL331" s="269"/>
      <c r="BM331" s="269"/>
      <c r="BN331" s="269"/>
      <c r="BO331" s="269"/>
      <c r="BP331" s="269"/>
      <c r="BQ331" s="269"/>
      <c r="BR331" s="269"/>
      <c r="BS331" s="269"/>
      <c r="BT331" s="269"/>
      <c r="BU331" s="269"/>
      <c r="BV331" s="269"/>
      <c r="BW331" s="269"/>
      <c r="BX331" s="269"/>
      <c r="BY331" s="269"/>
      <c r="BZ331" s="269"/>
      <c r="CA331" s="269"/>
      <c r="CB331" s="269"/>
      <c r="CC331" s="269"/>
      <c r="CD331" s="269"/>
      <c r="CE331" s="269"/>
      <c r="CF331" s="269"/>
      <c r="CG331" s="269"/>
      <c r="CH331" s="269"/>
      <c r="CI331" s="269"/>
      <c r="CJ331" s="269"/>
      <c r="CK331" s="269"/>
      <c r="CL331" s="269"/>
      <c r="CM331" s="269"/>
      <c r="CN331" s="269"/>
      <c r="CO331" s="269"/>
      <c r="CP331" s="269"/>
      <c r="CQ331" s="269"/>
      <c r="CR331" s="269"/>
      <c r="CS331" s="269"/>
      <c r="CT331" s="269"/>
      <c r="CU331" s="269"/>
      <c r="CV331" s="269"/>
      <c r="CW331" s="269"/>
      <c r="CX331" s="269"/>
      <c r="CY331" s="269"/>
    </row>
    <row r="332" spans="1:106">
      <c r="A332" s="269"/>
      <c r="B332" s="388"/>
      <c r="C332" s="388"/>
      <c r="D332" s="388"/>
      <c r="E332" s="388"/>
      <c r="F332" s="388"/>
      <c r="G332" s="388"/>
      <c r="H332" s="388"/>
      <c r="I332" s="269"/>
      <c r="J332" s="388"/>
      <c r="K332" s="388"/>
      <c r="L332" s="388"/>
      <c r="M332" s="269"/>
      <c r="N332" s="269"/>
      <c r="O332" s="269"/>
      <c r="P332" s="269"/>
      <c r="Q332" s="269"/>
      <c r="R332" s="269"/>
      <c r="S332" s="269"/>
      <c r="T332" s="269"/>
      <c r="U332" s="269"/>
      <c r="V332" s="269"/>
      <c r="W332" s="269"/>
      <c r="X332" s="269"/>
      <c r="Y332" s="269"/>
      <c r="Z332" s="269"/>
      <c r="AA332" s="269"/>
      <c r="AB332" s="269"/>
      <c r="AC332" s="269"/>
      <c r="AD332" s="399"/>
      <c r="AE332" s="269"/>
      <c r="AF332" s="269"/>
      <c r="AG332" s="269"/>
      <c r="AH332" s="269"/>
      <c r="AI332" s="269"/>
      <c r="AJ332" s="269"/>
      <c r="AK332" s="269"/>
      <c r="AL332" s="269"/>
      <c r="AM332" s="269"/>
      <c r="AN332" s="269"/>
      <c r="AO332" s="269"/>
      <c r="AP332" s="269"/>
      <c r="AQ332" s="269"/>
      <c r="AR332" s="269"/>
      <c r="AS332" s="269"/>
      <c r="AT332" s="269"/>
      <c r="AU332" s="269"/>
      <c r="AV332" s="269"/>
      <c r="AW332" s="269"/>
      <c r="AX332" s="269"/>
      <c r="AY332" s="269"/>
      <c r="AZ332" s="269"/>
      <c r="BA332" s="269"/>
      <c r="BB332" s="269"/>
      <c r="BC332" s="269"/>
      <c r="BD332" s="269"/>
      <c r="BE332" s="269"/>
      <c r="BF332" s="269"/>
      <c r="BG332" s="269"/>
      <c r="BH332" s="269"/>
      <c r="BI332" s="269"/>
      <c r="BJ332" s="269"/>
      <c r="BK332" s="269"/>
      <c r="BL332" s="269"/>
      <c r="BM332" s="269"/>
      <c r="BN332" s="269"/>
      <c r="BO332" s="269"/>
      <c r="BP332" s="269"/>
      <c r="BQ332" s="269"/>
      <c r="BR332" s="269"/>
      <c r="BS332" s="269"/>
      <c r="BT332" s="269"/>
      <c r="BU332" s="269"/>
      <c r="BV332" s="269"/>
      <c r="BW332" s="269"/>
      <c r="BX332" s="269"/>
      <c r="BY332" s="269"/>
      <c r="BZ332" s="269"/>
      <c r="CA332" s="269"/>
      <c r="CB332" s="269"/>
      <c r="CC332" s="269"/>
      <c r="CD332" s="269"/>
      <c r="CE332" s="269"/>
      <c r="CF332" s="269"/>
      <c r="CG332" s="269"/>
      <c r="CH332" s="269"/>
      <c r="CI332" s="269"/>
      <c r="CJ332" s="269"/>
      <c r="CK332" s="269"/>
      <c r="CL332" s="269"/>
      <c r="CM332" s="269"/>
      <c r="CN332" s="269"/>
      <c r="CO332" s="269"/>
      <c r="CP332" s="269"/>
      <c r="CQ332" s="269"/>
      <c r="CR332" s="269"/>
      <c r="CS332" s="269"/>
      <c r="CT332" s="269"/>
      <c r="CU332" s="269"/>
      <c r="CV332" s="269"/>
      <c r="CW332" s="269"/>
      <c r="CX332" s="269"/>
      <c r="CY332" s="269"/>
    </row>
    <row r="333" spans="1:106">
      <c r="A333" s="269"/>
      <c r="B333" s="388"/>
      <c r="C333" s="388"/>
      <c r="D333" s="388"/>
      <c r="E333" s="388"/>
      <c r="F333" s="388"/>
      <c r="G333" s="388"/>
      <c r="H333" s="388"/>
      <c r="I333" s="269"/>
      <c r="J333" s="388"/>
      <c r="K333" s="388"/>
      <c r="L333" s="388"/>
      <c r="M333" s="269"/>
      <c r="N333" s="269"/>
      <c r="O333" s="269"/>
      <c r="P333" s="269"/>
      <c r="Q333" s="269"/>
      <c r="R333" s="269"/>
      <c r="S333" s="269"/>
      <c r="T333" s="269"/>
      <c r="U333" s="269"/>
      <c r="V333" s="269"/>
      <c r="W333" s="269"/>
      <c r="X333" s="269"/>
      <c r="Y333" s="269"/>
      <c r="Z333" s="269"/>
      <c r="AA333" s="269"/>
      <c r="AB333" s="269"/>
      <c r="AC333" s="269"/>
      <c r="AD333" s="399"/>
      <c r="AE333" s="269"/>
      <c r="AF333" s="269"/>
      <c r="AG333" s="269"/>
      <c r="AH333" s="269"/>
      <c r="AI333" s="269"/>
      <c r="AJ333" s="269"/>
      <c r="AK333" s="269"/>
      <c r="AL333" s="269"/>
      <c r="AM333" s="269"/>
      <c r="AN333" s="269"/>
      <c r="AO333" s="269"/>
      <c r="AP333" s="269"/>
      <c r="AQ333" s="269"/>
      <c r="AR333" s="269"/>
      <c r="AS333" s="269"/>
      <c r="AT333" s="269"/>
      <c r="AU333" s="269"/>
      <c r="AV333" s="269"/>
      <c r="AW333" s="269"/>
      <c r="AX333" s="269"/>
      <c r="AY333" s="269"/>
      <c r="AZ333" s="269"/>
      <c r="BA333" s="269"/>
      <c r="BB333" s="269"/>
      <c r="BC333" s="269"/>
      <c r="BD333" s="269"/>
      <c r="BE333" s="269"/>
      <c r="BF333" s="269"/>
      <c r="BG333" s="269"/>
      <c r="BH333" s="269"/>
      <c r="BI333" s="269"/>
      <c r="BJ333" s="269"/>
      <c r="BK333" s="269"/>
      <c r="BL333" s="269"/>
      <c r="BM333" s="269"/>
      <c r="BN333" s="269"/>
      <c r="BO333" s="269"/>
      <c r="BP333" s="269"/>
      <c r="BQ333" s="269"/>
      <c r="BR333" s="269"/>
      <c r="BS333" s="269"/>
      <c r="BT333" s="269"/>
      <c r="BU333" s="269"/>
      <c r="BV333" s="269"/>
      <c r="BW333" s="269"/>
      <c r="BX333" s="269"/>
      <c r="BY333" s="269"/>
      <c r="BZ333" s="269"/>
      <c r="CA333" s="269"/>
      <c r="CB333" s="269"/>
      <c r="CC333" s="269"/>
      <c r="CD333" s="269"/>
      <c r="CE333" s="269"/>
      <c r="CF333" s="269"/>
      <c r="CG333" s="269"/>
      <c r="CH333" s="269"/>
      <c r="CI333" s="269"/>
      <c r="CJ333" s="269"/>
      <c r="CK333" s="269"/>
      <c r="CL333" s="269"/>
      <c r="CM333" s="269"/>
      <c r="CN333" s="269"/>
      <c r="CO333" s="269"/>
      <c r="CP333" s="269"/>
      <c r="CQ333" s="269"/>
      <c r="CR333" s="269"/>
      <c r="CS333" s="269"/>
      <c r="CT333" s="269"/>
      <c r="CU333" s="269"/>
      <c r="CV333" s="269"/>
      <c r="CW333" s="269"/>
      <c r="CX333" s="269"/>
      <c r="CY333" s="269"/>
    </row>
    <row r="334" spans="1:106">
      <c r="AY334" s="262"/>
      <c r="AZ334" s="262"/>
      <c r="BA334" s="262"/>
      <c r="BB334" s="262"/>
      <c r="BC334" s="262"/>
      <c r="BD334" s="262"/>
      <c r="BE334" s="262"/>
      <c r="BF334" s="262"/>
      <c r="BG334" s="262"/>
    </row>
    <row r="335" spans="1:106">
      <c r="A335" s="472" t="s">
        <v>275</v>
      </c>
      <c r="R335" s="400"/>
      <c r="S335" s="400"/>
      <c r="T335" s="400"/>
      <c r="U335" s="400"/>
      <c r="V335" s="400"/>
      <c r="W335" s="400"/>
      <c r="X335" s="400"/>
      <c r="Y335" s="400"/>
      <c r="Z335" s="400"/>
      <c r="AA335" s="330"/>
      <c r="AB335" s="330"/>
      <c r="AC335" s="330"/>
      <c r="AD335" s="330"/>
      <c r="AE335" s="330"/>
      <c r="AF335" s="330"/>
      <c r="AG335" s="330"/>
      <c r="AM335" s="388"/>
      <c r="AN335" s="388"/>
      <c r="AO335" s="388"/>
      <c r="AY335" s="330"/>
      <c r="AZ335" s="330"/>
      <c r="BA335" s="330"/>
      <c r="BB335" s="330"/>
      <c r="BC335" s="330"/>
      <c r="BD335" s="330"/>
      <c r="BE335" s="330"/>
      <c r="BF335" s="330"/>
      <c r="BG335" s="330"/>
      <c r="BH335" s="330"/>
      <c r="BI335" s="330"/>
      <c r="BJ335" s="330"/>
      <c r="BK335" s="330"/>
      <c r="BL335" s="571" t="s">
        <v>1303</v>
      </c>
      <c r="BM335" s="571" t="s">
        <v>12</v>
      </c>
      <c r="BN335" s="571"/>
      <c r="BO335" s="571" t="s">
        <v>199</v>
      </c>
      <c r="BP335" s="571" t="s">
        <v>212</v>
      </c>
      <c r="BQ335" s="571"/>
      <c r="BR335" s="571" t="s">
        <v>1534</v>
      </c>
      <c r="BS335" s="571"/>
      <c r="BT335" s="571"/>
      <c r="BU335" s="571"/>
      <c r="BV335" s="571"/>
      <c r="BW335" s="571"/>
      <c r="BX335" s="571"/>
      <c r="BY335" s="571"/>
      <c r="BZ335" s="571"/>
      <c r="CA335" s="571"/>
      <c r="CB335" s="571"/>
      <c r="CC335" s="571"/>
      <c r="CD335" s="571"/>
      <c r="CE335" s="571"/>
      <c r="CF335" s="571"/>
      <c r="CG335" s="571"/>
      <c r="CH335" s="571"/>
      <c r="CI335" s="571"/>
      <c r="CJ335" s="571"/>
      <c r="CK335" s="571"/>
      <c r="CL335" s="571"/>
      <c r="CM335" s="571"/>
      <c r="CN335" s="571"/>
      <c r="CO335" s="571"/>
      <c r="CP335" s="571"/>
      <c r="CQ335" s="571"/>
      <c r="CR335" s="571"/>
      <c r="CS335" s="571"/>
      <c r="CT335" s="571"/>
      <c r="CU335" s="571"/>
      <c r="CV335" s="571"/>
      <c r="CW335" s="571"/>
    </row>
    <row r="336" spans="1:106">
      <c r="A336" s="43" t="s">
        <v>484</v>
      </c>
      <c r="R336" s="400"/>
      <c r="S336" s="400"/>
      <c r="T336" s="400"/>
      <c r="U336" s="400"/>
      <c r="V336" s="400"/>
      <c r="W336" s="400"/>
      <c r="X336" s="400"/>
      <c r="Y336" s="400"/>
      <c r="Z336" s="400"/>
      <c r="AA336" s="330"/>
      <c r="AB336" s="330"/>
      <c r="AC336" s="330"/>
      <c r="AD336" s="330"/>
      <c r="AE336" s="330"/>
      <c r="AF336" s="330"/>
      <c r="AG336" s="330"/>
      <c r="AM336" s="388"/>
      <c r="AN336" s="388"/>
      <c r="AO336" s="269"/>
      <c r="AP336" s="269"/>
      <c r="AQ336" s="269"/>
      <c r="AY336" s="330"/>
      <c r="AZ336" s="330"/>
      <c r="BA336" s="330"/>
      <c r="BB336" s="330"/>
      <c r="BC336" s="330"/>
      <c r="BD336" s="330"/>
      <c r="BE336" s="330"/>
      <c r="BF336" s="330"/>
      <c r="BG336" s="330"/>
      <c r="BH336" s="330"/>
      <c r="BI336" s="330"/>
      <c r="BJ336" s="330"/>
      <c r="BK336" s="330"/>
      <c r="BL336" s="570">
        <f>CHOOSE(MASTERSWITCH,BL337,BL338,BL339)</f>
        <v>0.6</v>
      </c>
      <c r="BM336" s="330">
        <f>CHOOSE(MASTERSWITCH,BM337,BM338,BM339)</f>
        <v>3.7437392108981324E-2</v>
      </c>
      <c r="BN336" s="269"/>
      <c r="BQ336" s="269"/>
      <c r="BR336" s="570">
        <f>CHOOSE(MASTERSWITCH,BR337,BR338,BR339)</f>
        <v>5</v>
      </c>
      <c r="BS336" s="390">
        <f>SOP!$J$13</f>
        <v>65</v>
      </c>
      <c r="BT336" s="390">
        <f ca="1">DCF!X41</f>
        <v>45</v>
      </c>
      <c r="BU336" s="269"/>
      <c r="BV336" s="269"/>
      <c r="BW336" s="269"/>
      <c r="BX336" s="269"/>
      <c r="BY336" s="269"/>
      <c r="BZ336" s="269"/>
      <c r="CA336" s="269"/>
      <c r="CB336" s="269"/>
      <c r="CC336" s="269"/>
      <c r="CD336" s="269"/>
      <c r="CE336" s="269"/>
      <c r="CF336" s="269"/>
      <c r="CG336" s="269"/>
      <c r="CH336" s="269"/>
      <c r="CI336" s="269"/>
      <c r="CJ336" s="269"/>
      <c r="CK336" s="269"/>
      <c r="CL336" s="269"/>
      <c r="CM336" s="269"/>
      <c r="CN336" s="269"/>
      <c r="CO336" s="269"/>
      <c r="CP336" s="269"/>
      <c r="CQ336" s="269"/>
      <c r="CR336" s="269"/>
      <c r="CS336" s="269"/>
      <c r="CT336" s="269"/>
      <c r="CU336" s="269"/>
      <c r="CV336" s="269"/>
      <c r="CW336" s="269"/>
    </row>
    <row r="337" spans="1:101">
      <c r="A337" s="42" t="s">
        <v>571</v>
      </c>
      <c r="R337" s="400"/>
      <c r="S337" s="400"/>
      <c r="T337" s="400"/>
      <c r="U337" s="400"/>
      <c r="V337" s="400"/>
      <c r="W337" s="400"/>
      <c r="X337" s="400"/>
      <c r="Y337" s="400"/>
      <c r="Z337" s="400"/>
      <c r="AA337" s="330"/>
      <c r="AB337" s="330"/>
      <c r="AC337" s="330"/>
      <c r="AD337" s="330"/>
      <c r="AE337" s="330"/>
      <c r="AF337" s="330"/>
      <c r="AG337" s="330"/>
      <c r="AM337" s="566"/>
      <c r="AN337" s="567"/>
      <c r="AO337" s="567"/>
      <c r="AP337" s="567"/>
      <c r="AQ337" s="567"/>
      <c r="AY337" s="330"/>
      <c r="AZ337" s="330"/>
      <c r="BA337" s="330"/>
      <c r="BB337" s="330"/>
      <c r="BC337" s="330"/>
      <c r="BD337" s="330"/>
      <c r="BE337" s="330"/>
      <c r="BF337" s="330"/>
      <c r="BG337" s="330"/>
      <c r="BH337" s="330"/>
      <c r="BI337" s="330"/>
      <c r="BJ337" s="330"/>
      <c r="BK337" s="330"/>
      <c r="BL337" s="568">
        <v>0.6</v>
      </c>
      <c r="BM337" s="569">
        <f>+BM338</f>
        <v>3.7437392108981324E-2</v>
      </c>
      <c r="BN337" s="400"/>
      <c r="BO337" s="389">
        <f>Summary!AD69</f>
        <v>83</v>
      </c>
      <c r="BP337" s="84">
        <f>BO337/Index!$H$36-1</f>
        <v>0.3548808357819131</v>
      </c>
      <c r="BQ337" s="269"/>
      <c r="BR337" s="568">
        <v>7.5</v>
      </c>
      <c r="BT337" s="269"/>
      <c r="BU337" s="269"/>
      <c r="BV337" s="269"/>
      <c r="BW337" s="269"/>
      <c r="BX337" s="269"/>
      <c r="BY337" s="269"/>
      <c r="BZ337" s="269"/>
      <c r="CA337" s="269"/>
      <c r="CB337" s="269"/>
      <c r="CC337" s="269"/>
      <c r="CD337" s="269"/>
      <c r="CE337" s="269"/>
      <c r="CF337" s="269"/>
      <c r="CG337" s="269"/>
      <c r="CH337" s="269"/>
      <c r="CI337" s="269"/>
      <c r="CJ337" s="269"/>
      <c r="CK337" s="269"/>
      <c r="CL337" s="269"/>
      <c r="CM337" s="269"/>
      <c r="CN337" s="269"/>
      <c r="CO337" s="269"/>
      <c r="CP337" s="269"/>
      <c r="CQ337" s="269"/>
      <c r="CR337" s="269"/>
      <c r="CS337" s="269"/>
      <c r="CT337" s="269"/>
      <c r="CU337" s="269"/>
      <c r="CV337" s="269"/>
      <c r="CW337" s="269"/>
    </row>
    <row r="338" spans="1:101">
      <c r="A338" s="42" t="s">
        <v>200</v>
      </c>
      <c r="R338" s="400"/>
      <c r="S338" s="400"/>
      <c r="T338" s="400"/>
      <c r="U338" s="400"/>
      <c r="V338" s="400"/>
      <c r="W338" s="400"/>
      <c r="X338" s="400"/>
      <c r="Y338" s="400"/>
      <c r="Z338" s="400"/>
      <c r="AA338" s="330"/>
      <c r="AB338" s="330"/>
      <c r="AC338" s="330"/>
      <c r="AD338" s="330"/>
      <c r="AE338" s="330"/>
      <c r="AF338" s="330"/>
      <c r="AG338" s="330"/>
      <c r="AM338" s="566"/>
      <c r="AN338" s="567"/>
      <c r="AO338" s="567"/>
      <c r="AP338" s="567"/>
      <c r="AQ338" s="567"/>
      <c r="AY338" s="330"/>
      <c r="AZ338" s="330"/>
      <c r="BA338" s="330"/>
      <c r="BB338" s="330"/>
      <c r="BC338" s="330"/>
      <c r="BD338" s="330"/>
      <c r="BE338" s="330"/>
      <c r="BF338" s="330"/>
      <c r="BG338" s="330"/>
      <c r="BH338" s="330"/>
      <c r="BI338" s="330"/>
      <c r="BJ338" s="330"/>
      <c r="BK338" s="330"/>
      <c r="BL338" s="568">
        <v>0.6</v>
      </c>
      <c r="BM338" s="569">
        <f>+BQ10*0.5+0.5*2%+0.9%</f>
        <v>3.7437392108981324E-2</v>
      </c>
      <c r="BN338" s="400"/>
      <c r="BO338" s="389">
        <f>Summary!AE69</f>
        <v>65</v>
      </c>
      <c r="BP338" s="84">
        <f>BO338/Index!$H$36-1</f>
        <v>6.1051256937642906E-2</v>
      </c>
      <c r="BQ338" s="269"/>
      <c r="BR338" s="568">
        <v>6</v>
      </c>
      <c r="BS338" s="269"/>
      <c r="BT338" s="269"/>
      <c r="BU338" s="269"/>
      <c r="BV338" s="269"/>
      <c r="BW338" s="269"/>
      <c r="BX338" s="269"/>
      <c r="BY338" s="269"/>
      <c r="BZ338" s="269"/>
      <c r="CA338" s="269"/>
      <c r="CB338" s="269"/>
      <c r="CC338" s="269"/>
      <c r="CD338" s="269"/>
      <c r="CE338" s="269"/>
      <c r="CF338" s="269"/>
      <c r="CG338" s="269"/>
      <c r="CH338" s="269"/>
      <c r="CI338" s="269"/>
      <c r="CJ338" s="269"/>
      <c r="CK338" s="269"/>
      <c r="CL338" s="269"/>
      <c r="CM338" s="269"/>
      <c r="CN338" s="269"/>
      <c r="CO338" s="269"/>
      <c r="CP338" s="269"/>
      <c r="CQ338" s="269"/>
      <c r="CR338" s="269"/>
      <c r="CS338" s="269"/>
      <c r="CT338" s="269"/>
      <c r="CU338" s="269"/>
      <c r="CV338" s="269"/>
      <c r="CW338" s="269"/>
    </row>
    <row r="339" spans="1:101">
      <c r="A339" s="42" t="s">
        <v>202</v>
      </c>
      <c r="R339" s="400"/>
      <c r="S339" s="400"/>
      <c r="T339" s="400"/>
      <c r="U339" s="400"/>
      <c r="V339" s="400"/>
      <c r="W339" s="400"/>
      <c r="X339" s="400"/>
      <c r="Y339" s="400"/>
      <c r="Z339" s="400"/>
      <c r="AA339" s="330"/>
      <c r="AB339" s="330"/>
      <c r="AC339" s="330"/>
      <c r="AD339" s="330"/>
      <c r="AE339" s="330"/>
      <c r="AF339" s="330"/>
      <c r="AG339" s="330"/>
      <c r="AM339" s="566"/>
      <c r="AN339" s="567"/>
      <c r="AO339" s="567"/>
      <c r="AP339" s="567"/>
      <c r="AQ339" s="567"/>
      <c r="AY339" s="330"/>
      <c r="AZ339" s="330"/>
      <c r="BA339" s="330"/>
      <c r="BB339" s="330"/>
      <c r="BC339" s="330"/>
      <c r="BD339" s="330"/>
      <c r="BE339" s="330"/>
      <c r="BF339" s="330"/>
      <c r="BG339" s="330"/>
      <c r="BH339" s="330"/>
      <c r="BI339" s="330"/>
      <c r="BJ339" s="330"/>
      <c r="BK339" s="330"/>
      <c r="BL339" s="568">
        <v>0.6</v>
      </c>
      <c r="BM339" s="569">
        <f>+BM338</f>
        <v>3.7437392108981324E-2</v>
      </c>
      <c r="BN339" s="400"/>
      <c r="BO339" s="389">
        <f>Summary!AF69</f>
        <v>45</v>
      </c>
      <c r="BP339" s="84">
        <f>BO339/Index!$H$36-1</f>
        <v>-0.26542605288932419</v>
      </c>
      <c r="BQ339" s="269"/>
      <c r="BR339" s="568">
        <v>5</v>
      </c>
      <c r="BS339" s="269"/>
      <c r="BT339" s="269"/>
      <c r="BU339" s="269"/>
      <c r="BV339" s="269"/>
      <c r="BW339" s="269"/>
      <c r="BX339" s="269"/>
      <c r="BY339" s="269"/>
      <c r="BZ339" s="269"/>
      <c r="CA339" s="269"/>
      <c r="CB339" s="269"/>
      <c r="CC339" s="269"/>
      <c r="CD339" s="269"/>
      <c r="CE339" s="269"/>
      <c r="CF339" s="269"/>
      <c r="CG339" s="269"/>
      <c r="CH339" s="269"/>
      <c r="CI339" s="269"/>
      <c r="CJ339" s="269"/>
      <c r="CK339" s="269"/>
      <c r="CL339" s="269"/>
      <c r="CM339" s="269"/>
      <c r="CN339" s="269"/>
      <c r="CO339" s="269"/>
      <c r="CP339" s="269"/>
      <c r="CQ339" s="269"/>
      <c r="CR339" s="269"/>
      <c r="CS339" s="269"/>
      <c r="CT339" s="269"/>
      <c r="CU339" s="269"/>
      <c r="CV339" s="269"/>
      <c r="CW339" s="269"/>
    </row>
    <row r="341" spans="1:101">
      <c r="A341" s="472" t="s">
        <v>1520</v>
      </c>
    </row>
    <row r="343" spans="1:101">
      <c r="A343" s="13" t="s">
        <v>746</v>
      </c>
    </row>
    <row r="344" spans="1:101">
      <c r="A344" s="9" t="s">
        <v>1513</v>
      </c>
      <c r="B344" s="261">
        <v>3.7120000000000002</v>
      </c>
      <c r="C344" s="261">
        <v>3.7978999999999998</v>
      </c>
      <c r="D344" s="261">
        <v>3.8431999999999999</v>
      </c>
      <c r="E344" s="261">
        <v>3.8008000000000002</v>
      </c>
      <c r="F344" s="261">
        <v>3.8730000000000002</v>
      </c>
      <c r="G344" s="261">
        <v>3.9323999999999999</v>
      </c>
      <c r="H344" s="261">
        <v>3.9603999999999999</v>
      </c>
      <c r="I344" s="261">
        <v>3.9698000000000002</v>
      </c>
      <c r="J344" s="261">
        <v>4.0540000000000003</v>
      </c>
      <c r="K344" s="261">
        <v>4.1100000000000003</v>
      </c>
      <c r="L344" s="261">
        <v>4.2050000000000001</v>
      </c>
      <c r="M344" s="261">
        <v>4.3040000000000003</v>
      </c>
      <c r="N344" s="261">
        <v>4.3789999999999996</v>
      </c>
      <c r="O344" s="261">
        <v>4.5270000000000001</v>
      </c>
      <c r="P344" s="261">
        <v>4.6970000000000001</v>
      </c>
      <c r="Q344" s="261">
        <v>4.9180000000000001</v>
      </c>
      <c r="R344" s="261">
        <v>5.1219999999999999</v>
      </c>
      <c r="S344" s="261">
        <v>5.3879999999999999</v>
      </c>
      <c r="T344" s="261">
        <v>5.7930000000000001</v>
      </c>
      <c r="U344" s="261">
        <v>6.5209999999999999</v>
      </c>
      <c r="V344" s="261">
        <v>8.0020000000000007</v>
      </c>
      <c r="W344" s="261">
        <v>8.1329999999999991</v>
      </c>
      <c r="X344" s="261">
        <v>8.43</v>
      </c>
      <c r="Y344" s="261">
        <v>8.5510000000000002</v>
      </c>
      <c r="Z344" s="261">
        <v>8.8219999999999992</v>
      </c>
      <c r="AA344" s="261">
        <v>9.0879999999999992</v>
      </c>
      <c r="AB344" s="261">
        <v>9.4220000000000006</v>
      </c>
      <c r="AC344" s="261">
        <v>13.04</v>
      </c>
      <c r="AD344" s="261">
        <v>14.7</v>
      </c>
      <c r="AE344" s="261">
        <v>15.04</v>
      </c>
      <c r="AF344" s="261">
        <v>15.31</v>
      </c>
      <c r="AG344" s="261">
        <v>15.89</v>
      </c>
      <c r="AH344" s="261">
        <v>15.39</v>
      </c>
      <c r="AI344" s="261">
        <v>16.63</v>
      </c>
      <c r="AJ344" s="261">
        <v>17.309999999999999</v>
      </c>
      <c r="AK344" s="261">
        <v>18.649000000000001</v>
      </c>
      <c r="AL344" s="261">
        <v>20.149000000000001</v>
      </c>
      <c r="AM344" s="261">
        <v>28.85</v>
      </c>
      <c r="AN344" s="261">
        <v>41.25</v>
      </c>
      <c r="AO344" s="261">
        <v>37.700000000000003</v>
      </c>
      <c r="AP344" s="261">
        <v>43.35</v>
      </c>
      <c r="AQ344" s="261">
        <v>42.463000000000001</v>
      </c>
      <c r="AR344" s="261">
        <v>57.59</v>
      </c>
      <c r="AS344" s="261">
        <v>59.89</v>
      </c>
      <c r="AT344" s="261">
        <v>64.468999999999994</v>
      </c>
      <c r="AU344" s="261">
        <v>70.459999999999994</v>
      </c>
      <c r="AV344" s="261">
        <v>76.450999999999993</v>
      </c>
      <c r="AW344" s="261">
        <v>83</v>
      </c>
      <c r="AX344" s="261">
        <v>97</v>
      </c>
      <c r="AY344" s="261">
        <v>103</v>
      </c>
      <c r="AZ344" s="261">
        <v>110</v>
      </c>
      <c r="BA344" s="261">
        <v>95.092500000000001</v>
      </c>
      <c r="BB344" s="261">
        <v>106.636875</v>
      </c>
      <c r="BC344" s="261">
        <v>118.014615384615</v>
      </c>
      <c r="BD344" s="261">
        <v>135.79621212121199</v>
      </c>
      <c r="BE344" s="261">
        <v>162.47461538461499</v>
      </c>
      <c r="BF344" s="261">
        <v>192.627076923077</v>
      </c>
      <c r="BG344" s="261">
        <v>232.48230769230801</v>
      </c>
      <c r="BH344" s="261">
        <v>313.50938461538499</v>
      </c>
      <c r="BI344" s="261">
        <v>443.72507692307698</v>
      </c>
      <c r="BJ344" s="261">
        <v>833.88046153846199</v>
      </c>
      <c r="BK344" s="1175">
        <v>885.24538461538395</v>
      </c>
      <c r="BL344" s="261">
        <v>1346</v>
      </c>
      <c r="BM344" s="261">
        <v>1558</v>
      </c>
      <c r="BN344" s="261">
        <v>1702</v>
      </c>
      <c r="BO344" s="261">
        <v>1860</v>
      </c>
      <c r="BP344" s="261">
        <v>1974</v>
      </c>
      <c r="BQ344" s="261">
        <v>2095</v>
      </c>
      <c r="BR344" s="261">
        <v>2078.2363315223079</v>
      </c>
      <c r="BS344" s="261">
        <v>2078.2363315223079</v>
      </c>
      <c r="BT344" s="261">
        <v>2078.2363315223079</v>
      </c>
      <c r="BU344" s="261">
        <v>2078.2363315223079</v>
      </c>
      <c r="BV344" s="261"/>
      <c r="BW344" s="261"/>
      <c r="BX344" s="261"/>
      <c r="BY344" s="261"/>
    </row>
    <row r="345" spans="1:101">
      <c r="A345" s="13" t="s">
        <v>749</v>
      </c>
      <c r="B345" s="261"/>
      <c r="C345" s="261"/>
      <c r="D345" s="261"/>
      <c r="E345" s="261"/>
      <c r="F345" s="261"/>
      <c r="G345" s="261"/>
      <c r="H345" s="261"/>
      <c r="I345" s="261"/>
      <c r="J345" s="261"/>
      <c r="K345" s="261"/>
      <c r="L345" s="261"/>
      <c r="M345" s="261"/>
      <c r="N345" s="261"/>
      <c r="O345" s="261"/>
      <c r="P345" s="261"/>
      <c r="Q345" s="261"/>
      <c r="R345" s="261"/>
      <c r="S345" s="261"/>
      <c r="T345" s="261"/>
      <c r="U345" s="261"/>
      <c r="V345" s="261"/>
      <c r="W345" s="261"/>
      <c r="X345" s="261"/>
      <c r="Y345" s="261"/>
      <c r="Z345" s="261"/>
      <c r="AA345" s="261"/>
      <c r="AB345" s="261"/>
      <c r="AC345" s="261"/>
      <c r="AD345" s="261"/>
      <c r="AE345" s="261"/>
      <c r="AF345" s="261"/>
      <c r="AG345" s="261"/>
      <c r="AH345" s="261"/>
      <c r="AI345" s="261"/>
      <c r="AJ345" s="261"/>
      <c r="AK345" s="261"/>
      <c r="AL345" s="261"/>
      <c r="AM345" s="261"/>
      <c r="AN345" s="261"/>
      <c r="AO345" s="261"/>
      <c r="AP345" s="261"/>
      <c r="AQ345" s="261"/>
      <c r="AR345" s="261"/>
      <c r="AS345" s="261"/>
      <c r="AT345" s="261"/>
      <c r="AU345" s="261"/>
      <c r="AV345" s="261"/>
      <c r="AW345" s="261"/>
      <c r="AX345" s="261"/>
      <c r="AY345" s="261"/>
      <c r="AZ345" s="261"/>
      <c r="BA345" s="261"/>
      <c r="BB345" s="261"/>
      <c r="BC345" s="261"/>
      <c r="BD345" s="261"/>
      <c r="BE345" s="261"/>
      <c r="BF345" s="261"/>
      <c r="BG345" s="261"/>
      <c r="BH345" s="261"/>
      <c r="BI345" s="261"/>
      <c r="BJ345" s="261"/>
      <c r="BK345" s="1175"/>
      <c r="BL345" s="261"/>
      <c r="BM345" s="261"/>
      <c r="BN345" s="261"/>
      <c r="BO345" s="261"/>
      <c r="BP345" s="261"/>
      <c r="BQ345" s="261"/>
      <c r="BR345" s="261"/>
      <c r="BS345" s="261"/>
      <c r="BT345" s="261"/>
      <c r="BU345" s="261"/>
      <c r="BV345" s="261"/>
      <c r="BW345" s="261"/>
      <c r="BX345" s="261"/>
      <c r="BY345" s="261"/>
    </row>
    <row r="346" spans="1:101">
      <c r="A346" s="9" t="s">
        <v>1514</v>
      </c>
      <c r="B346" s="261">
        <v>2.3228</v>
      </c>
      <c r="C346" s="261">
        <v>1.9518</v>
      </c>
      <c r="D346" s="261">
        <v>1.7669999999999999</v>
      </c>
      <c r="E346" s="261">
        <v>1.7444999999999999</v>
      </c>
      <c r="F346" s="261">
        <v>1.7806</v>
      </c>
      <c r="G346" s="261">
        <v>1.8010999999999999</v>
      </c>
      <c r="H346" s="261">
        <v>1.6938</v>
      </c>
      <c r="I346" s="261">
        <v>1.6657999999999999</v>
      </c>
      <c r="J346" s="261">
        <v>1.6283000000000001</v>
      </c>
      <c r="K346" s="261">
        <v>1.5607</v>
      </c>
      <c r="L346" s="261">
        <v>1.8540000000000001</v>
      </c>
      <c r="M346" s="261">
        <v>1.8754999999999999</v>
      </c>
      <c r="N346" s="261">
        <v>1.8218000000000001</v>
      </c>
      <c r="O346" s="261">
        <v>2.0209999999999999</v>
      </c>
      <c r="P346" s="261">
        <v>2.0303</v>
      </c>
      <c r="Q346" s="261">
        <v>2.0432000000000001</v>
      </c>
      <c r="R346" s="261">
        <v>2.0135000000000001</v>
      </c>
      <c r="S346" s="261">
        <v>2.2153</v>
      </c>
      <c r="T346" s="261">
        <v>2.2296999999999998</v>
      </c>
      <c r="U346" s="261">
        <v>2.3422999999999998</v>
      </c>
      <c r="V346" s="261">
        <v>2.2627000000000002</v>
      </c>
      <c r="W346" s="261">
        <v>2.2021999999999999</v>
      </c>
      <c r="X346" s="261">
        <v>2.4506999999999999</v>
      </c>
      <c r="Y346" s="261">
        <v>2.6558999999999999</v>
      </c>
      <c r="Z346" s="261">
        <v>3.2077</v>
      </c>
      <c r="AA346" s="261">
        <v>3.1021999999999998</v>
      </c>
      <c r="AB346" s="261">
        <v>3.9725999999999999</v>
      </c>
      <c r="AC346" s="261">
        <v>3.9045000000000001</v>
      </c>
      <c r="AD346" s="261">
        <v>3.5586000000000002</v>
      </c>
      <c r="AE346" s="261">
        <v>3.2094999999999998</v>
      </c>
      <c r="AF346" s="261">
        <v>3.2458999999999998</v>
      </c>
      <c r="AG346" s="261">
        <v>3.2587999999999999</v>
      </c>
      <c r="AH346" s="261">
        <v>3.1680999999999999</v>
      </c>
      <c r="AI346" s="261">
        <v>3.3079000000000001</v>
      </c>
      <c r="AJ346" s="261">
        <v>3.1677</v>
      </c>
      <c r="AK346" s="261">
        <v>3.3077000000000001</v>
      </c>
      <c r="AL346" s="261">
        <v>3.3235000000000001</v>
      </c>
      <c r="AM346" s="261">
        <v>3.8555000000000001</v>
      </c>
      <c r="AN346" s="261">
        <v>4.0035999999999996</v>
      </c>
      <c r="AO346" s="261">
        <v>3.8744999999999998</v>
      </c>
      <c r="AP346" s="261">
        <v>3.8963999999999999</v>
      </c>
      <c r="AQ346" s="261">
        <v>3.8319000000000001</v>
      </c>
      <c r="AR346" s="261">
        <v>4.1641000000000004</v>
      </c>
      <c r="AS346" s="261">
        <v>4.0304000000000002</v>
      </c>
      <c r="AT346" s="261">
        <v>5.1984000000000004</v>
      </c>
      <c r="AU346" s="261">
        <v>5.4756999999999998</v>
      </c>
      <c r="AV346" s="261">
        <v>5.6403999999999996</v>
      </c>
      <c r="AW346" s="261">
        <v>5.3</v>
      </c>
      <c r="AX346" s="261">
        <v>5.25</v>
      </c>
      <c r="AY346" s="261">
        <v>5.0999999999999996</v>
      </c>
      <c r="AZ346" s="261">
        <v>5.3</v>
      </c>
      <c r="BA346" s="261">
        <v>5.57</v>
      </c>
      <c r="BB346" s="261">
        <v>5.2219453124999999</v>
      </c>
      <c r="BC346" s="261">
        <v>4.9201353846153797</v>
      </c>
      <c r="BD346" s="261">
        <v>5.2457272727272697</v>
      </c>
      <c r="BE346" s="261">
        <v>5.2596984615384601</v>
      </c>
      <c r="BF346" s="261">
        <v>5.1919184615384601</v>
      </c>
      <c r="BG346" s="261">
        <v>4.9457538461538402</v>
      </c>
      <c r="BH346" s="261">
        <v>4.8856646153846102</v>
      </c>
      <c r="BI346" s="261">
        <v>4.9529969230769204</v>
      </c>
      <c r="BJ346" s="261">
        <v>4.9505830769230803</v>
      </c>
      <c r="BK346" s="1175">
        <v>5.2144553846153796</v>
      </c>
      <c r="BL346" s="261">
        <v>5.25</v>
      </c>
      <c r="BM346" s="261">
        <v>5.3</v>
      </c>
      <c r="BN346" s="261">
        <v>5.25</v>
      </c>
      <c r="BO346" s="261">
        <v>5.2</v>
      </c>
      <c r="BP346" s="261">
        <v>5.15</v>
      </c>
      <c r="BQ346" s="261">
        <v>5.0999999999999996</v>
      </c>
      <c r="BR346" s="261">
        <v>5.6443301048076924</v>
      </c>
      <c r="BS346" s="261">
        <v>5.6443301048076924</v>
      </c>
      <c r="BT346" s="261">
        <v>5.6443301048076924</v>
      </c>
      <c r="BU346" s="261">
        <v>5.6443301048076924</v>
      </c>
      <c r="BV346" s="261"/>
      <c r="BW346" s="261"/>
      <c r="BX346" s="261"/>
      <c r="BY346" s="261"/>
    </row>
    <row r="347" spans="1:101">
      <c r="A347" s="13" t="s">
        <v>747</v>
      </c>
      <c r="B347" s="261"/>
      <c r="C347" s="261"/>
      <c r="D347" s="261"/>
      <c r="E347" s="261"/>
      <c r="F347" s="261"/>
      <c r="G347" s="261"/>
      <c r="H347" s="261"/>
      <c r="I347" s="261"/>
      <c r="J347" s="261"/>
      <c r="K347" s="261"/>
      <c r="L347" s="261"/>
      <c r="M347" s="261"/>
      <c r="N347" s="261"/>
      <c r="O347" s="261"/>
      <c r="P347" s="261"/>
      <c r="Q347" s="261"/>
      <c r="R347" s="261"/>
      <c r="S347" s="261"/>
      <c r="T347" s="261"/>
      <c r="U347" s="261"/>
      <c r="V347" s="261"/>
      <c r="W347" s="261"/>
      <c r="X347" s="261"/>
      <c r="Y347" s="261"/>
      <c r="Z347" s="261"/>
      <c r="AA347" s="261"/>
      <c r="AB347" s="261"/>
      <c r="AC347" s="261"/>
      <c r="AD347" s="261"/>
      <c r="AE347" s="261"/>
      <c r="AF347" s="261"/>
      <c r="AG347" s="261"/>
      <c r="AH347" s="261"/>
      <c r="AI347" s="261"/>
      <c r="AJ347" s="261"/>
      <c r="AK347" s="261"/>
      <c r="AL347" s="261"/>
      <c r="AM347" s="261"/>
      <c r="AN347" s="261"/>
      <c r="AO347" s="261"/>
      <c r="AP347" s="261"/>
      <c r="AQ347" s="261"/>
      <c r="AR347" s="261"/>
      <c r="AS347" s="261"/>
      <c r="AT347" s="261"/>
      <c r="AU347" s="261"/>
      <c r="AV347" s="261"/>
      <c r="AW347" s="261"/>
      <c r="AX347" s="261"/>
      <c r="AY347" s="261"/>
      <c r="AZ347" s="261"/>
      <c r="BA347" s="261"/>
      <c r="BB347" s="261"/>
      <c r="BC347" s="261"/>
      <c r="BD347" s="261"/>
      <c r="BE347" s="261"/>
      <c r="BF347" s="261"/>
      <c r="BG347" s="261"/>
      <c r="BH347" s="261"/>
      <c r="BI347" s="261"/>
      <c r="BJ347" s="261"/>
      <c r="BK347" s="1175"/>
      <c r="BL347" s="261"/>
      <c r="BM347" s="261"/>
      <c r="BN347" s="261"/>
      <c r="BO347" s="261"/>
      <c r="BP347" s="261"/>
      <c r="BQ347" s="261"/>
      <c r="BR347" s="261"/>
      <c r="BS347" s="261"/>
      <c r="BT347" s="261"/>
      <c r="BU347" s="261"/>
      <c r="BV347" s="261"/>
      <c r="BW347" s="261"/>
      <c r="BX347" s="261"/>
      <c r="BY347" s="261"/>
    </row>
    <row r="348" spans="1:101">
      <c r="A348" s="9" t="s">
        <v>1515</v>
      </c>
      <c r="B348" s="261">
        <v>637.25</v>
      </c>
      <c r="C348" s="261">
        <v>580.75</v>
      </c>
      <c r="D348" s="261">
        <v>534.35</v>
      </c>
      <c r="E348" s="261">
        <v>554</v>
      </c>
      <c r="F348" s="261">
        <v>507.25</v>
      </c>
      <c r="G348" s="261">
        <v>521.75</v>
      </c>
      <c r="H348" s="261">
        <v>547.35</v>
      </c>
      <c r="I348" s="261">
        <v>480.65</v>
      </c>
      <c r="J348" s="261">
        <v>482.08</v>
      </c>
      <c r="K348" s="261">
        <v>471.13</v>
      </c>
      <c r="L348" s="261">
        <v>515.14</v>
      </c>
      <c r="M348" s="261">
        <v>521.46</v>
      </c>
      <c r="N348" s="261">
        <v>489.76</v>
      </c>
      <c r="O348" s="261">
        <v>509.73</v>
      </c>
      <c r="P348" s="261">
        <v>470.48</v>
      </c>
      <c r="Q348" s="261">
        <v>478.6</v>
      </c>
      <c r="R348" s="261">
        <v>472.54</v>
      </c>
      <c r="S348" s="261">
        <v>503.86</v>
      </c>
      <c r="T348" s="261">
        <v>502.97</v>
      </c>
      <c r="U348" s="261">
        <v>523.76</v>
      </c>
      <c r="V348" s="261">
        <v>550.53</v>
      </c>
      <c r="W348" s="261">
        <v>550.6</v>
      </c>
      <c r="X348" s="261">
        <v>601.66</v>
      </c>
      <c r="Y348" s="261">
        <v>607.38</v>
      </c>
      <c r="Z348" s="261">
        <v>626.87</v>
      </c>
      <c r="AA348" s="261">
        <v>634.58000000000004</v>
      </c>
      <c r="AB348" s="261">
        <v>704.68</v>
      </c>
      <c r="AC348" s="261">
        <v>707.34</v>
      </c>
      <c r="AD348" s="261">
        <v>675.1</v>
      </c>
      <c r="AE348" s="261">
        <v>661.49</v>
      </c>
      <c r="AF348" s="261">
        <v>659.08</v>
      </c>
      <c r="AG348" s="261">
        <v>667.29</v>
      </c>
      <c r="AH348" s="261">
        <v>662.66</v>
      </c>
      <c r="AI348" s="261">
        <v>663.21</v>
      </c>
      <c r="AJ348" s="261">
        <v>636.85</v>
      </c>
      <c r="AK348" s="261">
        <v>615.22</v>
      </c>
      <c r="AL348" s="261">
        <v>605.26</v>
      </c>
      <c r="AM348" s="261">
        <v>647.95000000000005</v>
      </c>
      <c r="AN348" s="261">
        <v>661.5</v>
      </c>
      <c r="AO348" s="261">
        <v>695.69</v>
      </c>
      <c r="AP348" s="261">
        <v>681.09</v>
      </c>
      <c r="AQ348" s="261">
        <v>679.86</v>
      </c>
      <c r="AR348" s="261">
        <v>725.68</v>
      </c>
      <c r="AS348" s="261">
        <v>744.62</v>
      </c>
      <c r="AT348" s="261">
        <v>846.3</v>
      </c>
      <c r="AU348" s="261">
        <v>816.36</v>
      </c>
      <c r="AV348" s="261">
        <v>784.46</v>
      </c>
      <c r="AW348" s="261">
        <v>745</v>
      </c>
      <c r="AX348" s="261">
        <v>735</v>
      </c>
      <c r="AY348" s="261">
        <v>725</v>
      </c>
      <c r="AZ348" s="261">
        <v>750</v>
      </c>
      <c r="BA348" s="261">
        <v>759</v>
      </c>
      <c r="BB348" s="261">
        <v>807.18562499999996</v>
      </c>
      <c r="BC348" s="261">
        <v>843.97261538461498</v>
      </c>
      <c r="BD348" s="261">
        <v>925.78636363636394</v>
      </c>
      <c r="BE348" s="261">
        <v>912.46446153846205</v>
      </c>
      <c r="BF348" s="261">
        <v>810.20230769230795</v>
      </c>
      <c r="BG348" s="261">
        <v>800.72523076923096</v>
      </c>
      <c r="BH348" s="261">
        <v>852.77753846153803</v>
      </c>
      <c r="BI348" s="261">
        <v>895.30538461538401</v>
      </c>
      <c r="BJ348" s="261">
        <v>945.95953846153895</v>
      </c>
      <c r="BK348" s="1175">
        <v>933.71784615384604</v>
      </c>
      <c r="BL348" s="261">
        <v>930</v>
      </c>
      <c r="BM348" s="261">
        <v>910</v>
      </c>
      <c r="BN348" s="261">
        <v>900</v>
      </c>
      <c r="BO348" s="261">
        <v>875</v>
      </c>
      <c r="BP348" s="261">
        <v>850</v>
      </c>
      <c r="BQ348" s="261">
        <v>825</v>
      </c>
      <c r="BR348" s="261">
        <v>952.64025989777997</v>
      </c>
      <c r="BS348" s="261">
        <v>952.64025989777997</v>
      </c>
      <c r="BT348" s="261">
        <v>952.64025989777997</v>
      </c>
      <c r="BU348" s="261">
        <v>952.64025989777997</v>
      </c>
      <c r="BV348" s="261"/>
      <c r="BW348" s="261"/>
      <c r="BX348" s="261"/>
      <c r="BY348" s="261"/>
    </row>
    <row r="349" spans="1:101">
      <c r="A349" s="13" t="s">
        <v>748</v>
      </c>
      <c r="B349" s="261"/>
      <c r="C349" s="261"/>
      <c r="D349" s="261"/>
      <c r="E349" s="261"/>
      <c r="F349" s="261"/>
      <c r="G349" s="261"/>
      <c r="H349" s="261"/>
      <c r="I349" s="261"/>
      <c r="J349" s="261"/>
      <c r="K349" s="261"/>
      <c r="L349" s="261"/>
      <c r="M349" s="261"/>
      <c r="N349" s="261"/>
      <c r="O349" s="261"/>
      <c r="P349" s="261"/>
      <c r="Q349" s="261"/>
      <c r="R349" s="261"/>
      <c r="S349" s="261"/>
      <c r="T349" s="261"/>
      <c r="U349" s="261"/>
      <c r="V349" s="261"/>
      <c r="W349" s="261"/>
      <c r="X349" s="261"/>
      <c r="Y349" s="261"/>
      <c r="Z349" s="261"/>
      <c r="AA349" s="261"/>
      <c r="AB349" s="261"/>
      <c r="AC349" s="261"/>
      <c r="AD349" s="261"/>
      <c r="AE349" s="261"/>
      <c r="AF349" s="261"/>
      <c r="AG349" s="261"/>
      <c r="AH349" s="261"/>
      <c r="AI349" s="261"/>
      <c r="AJ349" s="261"/>
      <c r="AK349" s="261"/>
      <c r="AL349" s="261"/>
      <c r="AM349" s="261"/>
      <c r="AN349" s="261"/>
      <c r="AO349" s="261"/>
      <c r="AP349" s="261"/>
      <c r="AQ349" s="261"/>
      <c r="AR349" s="261"/>
      <c r="AS349" s="261"/>
      <c r="AT349" s="261"/>
      <c r="AU349" s="261"/>
      <c r="AV349" s="261"/>
      <c r="AW349" s="261"/>
      <c r="AX349" s="261"/>
      <c r="AY349" s="261"/>
      <c r="AZ349" s="261"/>
      <c r="BA349" s="261"/>
      <c r="BB349" s="261"/>
      <c r="BC349" s="261"/>
      <c r="BD349" s="261"/>
      <c r="BE349" s="261"/>
      <c r="BF349" s="261"/>
      <c r="BG349" s="261"/>
      <c r="BH349" s="261"/>
      <c r="BI349" s="261"/>
      <c r="BJ349" s="261"/>
      <c r="BK349" s="1175"/>
      <c r="BL349" s="261"/>
      <c r="BM349" s="261"/>
      <c r="BN349" s="261"/>
      <c r="BO349" s="261"/>
      <c r="BP349" s="261"/>
      <c r="BQ349" s="261"/>
      <c r="BR349" s="261"/>
      <c r="BS349" s="261"/>
      <c r="BT349" s="261"/>
      <c r="BU349" s="261"/>
      <c r="BV349" s="261"/>
      <c r="BW349" s="261"/>
      <c r="BX349" s="261"/>
      <c r="BY349" s="261"/>
    </row>
    <row r="350" spans="1:101">
      <c r="A350" s="9" t="s">
        <v>1516</v>
      </c>
      <c r="B350" s="261">
        <v>2232.3000000000002</v>
      </c>
      <c r="C350" s="261">
        <v>2351.1999999999998</v>
      </c>
      <c r="D350" s="261">
        <v>2006.3</v>
      </c>
      <c r="E350" s="261">
        <v>1848.0250000000001</v>
      </c>
      <c r="F350" s="261">
        <v>1952.65</v>
      </c>
      <c r="G350" s="261">
        <v>1951.05</v>
      </c>
      <c r="H350" s="261">
        <v>1872</v>
      </c>
      <c r="I350" s="261">
        <v>1818.65</v>
      </c>
      <c r="J350" s="261">
        <v>1879.47</v>
      </c>
      <c r="K350" s="261">
        <v>1780.16</v>
      </c>
      <c r="L350" s="261">
        <v>1915.1</v>
      </c>
      <c r="M350" s="261">
        <v>1942.7</v>
      </c>
      <c r="N350" s="261">
        <v>1792.07</v>
      </c>
      <c r="O350" s="261">
        <v>1784.6</v>
      </c>
      <c r="P350" s="261">
        <v>1800.52</v>
      </c>
      <c r="Q350" s="261">
        <v>1768.23</v>
      </c>
      <c r="R350" s="261">
        <v>1832.2</v>
      </c>
      <c r="S350" s="261">
        <v>1929</v>
      </c>
      <c r="T350" s="261">
        <v>1914.65</v>
      </c>
      <c r="U350" s="261">
        <v>1926.83</v>
      </c>
      <c r="V350" s="261">
        <v>1965.32</v>
      </c>
      <c r="W350" s="261">
        <v>1881.19</v>
      </c>
      <c r="X350" s="261">
        <v>2028.48</v>
      </c>
      <c r="Y350" s="261">
        <v>2392.46</v>
      </c>
      <c r="Z350" s="261">
        <v>2576.0500000000002</v>
      </c>
      <c r="AA350" s="261">
        <v>2585.11</v>
      </c>
      <c r="AB350" s="261">
        <v>3121.94</v>
      </c>
      <c r="AC350" s="261">
        <v>3149.47</v>
      </c>
      <c r="AD350" s="261">
        <v>3022.35</v>
      </c>
      <c r="AE350" s="261">
        <v>2916.15</v>
      </c>
      <c r="AF350" s="261">
        <v>2879.95</v>
      </c>
      <c r="AG350" s="261">
        <v>3000.71</v>
      </c>
      <c r="AH350" s="261">
        <v>2880.24</v>
      </c>
      <c r="AI350" s="261">
        <v>3038.26</v>
      </c>
      <c r="AJ350" s="261">
        <v>2936.67</v>
      </c>
      <c r="AK350" s="261">
        <v>2984</v>
      </c>
      <c r="AL350" s="261">
        <v>2780.47</v>
      </c>
      <c r="AM350" s="261">
        <v>2930.8</v>
      </c>
      <c r="AN350" s="261">
        <v>2972.18</v>
      </c>
      <c r="AO350" s="261">
        <v>3249.75</v>
      </c>
      <c r="AP350" s="261">
        <v>3174.79</v>
      </c>
      <c r="AQ350" s="261">
        <v>3205.67</v>
      </c>
      <c r="AR350" s="261">
        <v>3462.01</v>
      </c>
      <c r="AS350" s="261">
        <v>3277.14</v>
      </c>
      <c r="AT350" s="261">
        <v>4064.81</v>
      </c>
      <c r="AU350" s="261">
        <v>3758.91</v>
      </c>
      <c r="AV350" s="261">
        <v>3878.94</v>
      </c>
      <c r="AW350" s="261">
        <v>3660</v>
      </c>
      <c r="AX350" s="261">
        <v>3550</v>
      </c>
      <c r="AY350" s="261">
        <v>3600</v>
      </c>
      <c r="AZ350" s="261">
        <v>3550</v>
      </c>
      <c r="BA350" s="261">
        <v>3827.5</v>
      </c>
      <c r="BB350" s="261">
        <v>3903.2903124999998</v>
      </c>
      <c r="BC350" s="261">
        <v>3914.2293846153898</v>
      </c>
      <c r="BD350" s="261">
        <v>4382.2319696969698</v>
      </c>
      <c r="BE350" s="261">
        <v>4813.8253846153902</v>
      </c>
      <c r="BF350" s="261">
        <v>4751.6826153846096</v>
      </c>
      <c r="BG350" s="261">
        <v>4417.6161538461502</v>
      </c>
      <c r="BH350" s="261">
        <v>4043.78061538462</v>
      </c>
      <c r="BI350" s="261">
        <v>4063.4396923076902</v>
      </c>
      <c r="BJ350" s="261" t="s">
        <v>1630</v>
      </c>
      <c r="BK350" s="1175">
        <v>3923.29292307692</v>
      </c>
      <c r="BL350" s="261">
        <v>4450</v>
      </c>
      <c r="BM350" s="261">
        <v>4500</v>
      </c>
      <c r="BN350" s="261">
        <v>4350</v>
      </c>
      <c r="BO350" s="261">
        <v>4200</v>
      </c>
      <c r="BP350" s="261">
        <v>4050</v>
      </c>
      <c r="BQ350" s="261">
        <v>3900</v>
      </c>
      <c r="BR350" s="261">
        <v>4470.2742624710936</v>
      </c>
      <c r="BS350" s="261">
        <v>4470.2742624710936</v>
      </c>
      <c r="BT350" s="261">
        <v>4470.2742624710936</v>
      </c>
      <c r="BU350" s="261">
        <v>4470.2742624710936</v>
      </c>
      <c r="BV350" s="261"/>
      <c r="BW350" s="261"/>
      <c r="BX350" s="261"/>
      <c r="BY350" s="261"/>
    </row>
    <row r="351" spans="1:101">
      <c r="A351" s="13" t="s">
        <v>731</v>
      </c>
      <c r="B351" s="261"/>
      <c r="C351" s="261"/>
      <c r="D351" s="261"/>
      <c r="E351" s="261"/>
      <c r="F351" s="261"/>
      <c r="G351" s="261"/>
      <c r="H351" s="261"/>
      <c r="I351" s="261"/>
      <c r="J351" s="261"/>
      <c r="K351" s="261"/>
      <c r="L351" s="261"/>
      <c r="M351" s="261"/>
      <c r="N351" s="261"/>
      <c r="O351" s="261"/>
      <c r="P351" s="261"/>
      <c r="Q351" s="261"/>
      <c r="R351" s="261"/>
      <c r="S351" s="261"/>
      <c r="T351" s="261"/>
      <c r="U351" s="261"/>
      <c r="V351" s="261"/>
      <c r="W351" s="261"/>
      <c r="X351" s="261"/>
      <c r="Y351" s="261"/>
      <c r="Z351" s="261"/>
      <c r="AA351" s="261"/>
      <c r="AB351" s="261"/>
      <c r="AC351" s="261"/>
      <c r="AD351" s="261"/>
      <c r="AE351" s="261"/>
      <c r="AF351" s="261"/>
      <c r="AG351" s="261"/>
      <c r="AH351" s="261"/>
      <c r="AI351" s="261"/>
      <c r="AJ351" s="261"/>
      <c r="AK351" s="261"/>
      <c r="AL351" s="261"/>
      <c r="AM351" s="261"/>
      <c r="AN351" s="261"/>
      <c r="AO351" s="261"/>
      <c r="AP351" s="261"/>
      <c r="AQ351" s="261"/>
      <c r="AR351" s="261"/>
      <c r="AS351" s="261"/>
      <c r="AT351" s="261"/>
      <c r="AU351" s="261"/>
      <c r="AV351" s="261"/>
      <c r="AW351" s="261"/>
      <c r="AX351" s="261"/>
      <c r="AY351" s="261"/>
      <c r="AZ351" s="261"/>
      <c r="BA351" s="261"/>
      <c r="BB351" s="261"/>
      <c r="BC351" s="261"/>
      <c r="BD351" s="261"/>
      <c r="BE351" s="261"/>
      <c r="BF351" s="261"/>
      <c r="BG351" s="261"/>
      <c r="BH351" s="261"/>
      <c r="BI351" s="261"/>
      <c r="BJ351" s="261"/>
      <c r="BK351" s="1175"/>
      <c r="BL351" s="261"/>
      <c r="BM351" s="261"/>
      <c r="BN351" s="261"/>
      <c r="BO351" s="261"/>
      <c r="BP351" s="261"/>
      <c r="BQ351" s="261"/>
      <c r="BR351" s="261"/>
      <c r="BS351" s="261"/>
      <c r="BT351" s="261"/>
      <c r="BU351" s="261"/>
      <c r="BV351" s="261"/>
      <c r="BW351" s="261"/>
      <c r="BX351" s="261"/>
      <c r="BY351" s="261"/>
    </row>
    <row r="352" spans="1:101">
      <c r="A352" s="9" t="s">
        <v>1402</v>
      </c>
      <c r="B352" s="261">
        <v>13.9</v>
      </c>
      <c r="C352" s="261">
        <v>13.2</v>
      </c>
      <c r="D352" s="261">
        <v>13.45</v>
      </c>
      <c r="E352" s="261">
        <v>13.14</v>
      </c>
      <c r="F352" s="261">
        <v>12.7</v>
      </c>
      <c r="G352" s="261">
        <v>12.2</v>
      </c>
      <c r="H352" s="261">
        <v>12.87</v>
      </c>
      <c r="I352" s="261">
        <v>12.41</v>
      </c>
      <c r="J352" s="261">
        <v>11.9678</v>
      </c>
      <c r="K352" s="261">
        <v>11.838900000000001</v>
      </c>
      <c r="L352" s="261">
        <v>13.4217</v>
      </c>
      <c r="M352" s="261">
        <v>13.990399999999999</v>
      </c>
      <c r="N352" s="261">
        <v>12.803900000000001</v>
      </c>
      <c r="O352" s="261">
        <v>13.6652</v>
      </c>
      <c r="P352" s="261">
        <v>12.917</v>
      </c>
      <c r="Q352" s="261">
        <v>13.0101</v>
      </c>
      <c r="R352" s="261">
        <v>12.357900000000001</v>
      </c>
      <c r="S352" s="261">
        <v>13.1884</v>
      </c>
      <c r="T352" s="261">
        <v>13.011900000000001</v>
      </c>
      <c r="U352" s="261">
        <v>13.076499999999999</v>
      </c>
      <c r="V352" s="261">
        <v>13.0837</v>
      </c>
      <c r="W352" s="261">
        <v>13.032299999999999</v>
      </c>
      <c r="X352" s="261">
        <v>13.4541</v>
      </c>
      <c r="Y352" s="261">
        <v>14.718</v>
      </c>
      <c r="Z352" s="261">
        <v>15.154199999999999</v>
      </c>
      <c r="AA352" s="261">
        <v>15.567600000000001</v>
      </c>
      <c r="AB352" s="261">
        <v>17.007300000000001</v>
      </c>
      <c r="AC352" s="261">
        <v>17.206499999999998</v>
      </c>
      <c r="AD352" s="261">
        <v>17.401499999999999</v>
      </c>
      <c r="AE352" s="261">
        <v>18.911300000000001</v>
      </c>
      <c r="AF352" s="261">
        <v>19.5002</v>
      </c>
      <c r="AG352" s="261">
        <v>20.731400000000001</v>
      </c>
      <c r="AH352" s="261">
        <v>18.809200000000001</v>
      </c>
      <c r="AI352" s="261">
        <v>17.897300000000001</v>
      </c>
      <c r="AJ352" s="261">
        <v>18.13</v>
      </c>
      <c r="AK352" s="261">
        <v>19.7867</v>
      </c>
      <c r="AL352" s="261">
        <v>18.326799999999999</v>
      </c>
      <c r="AM352" s="261">
        <v>20.055299999999999</v>
      </c>
      <c r="AN352" s="261">
        <v>18.898599999999998</v>
      </c>
      <c r="AO352" s="261">
        <v>19.6829</v>
      </c>
      <c r="AP352" s="261">
        <v>19.3201</v>
      </c>
      <c r="AQ352" s="261">
        <v>19.144200000000001</v>
      </c>
      <c r="AR352" s="261">
        <v>19.636299999999999</v>
      </c>
      <c r="AS352" s="261">
        <v>18.845199999999998</v>
      </c>
      <c r="AT352" s="261">
        <v>23.5122</v>
      </c>
      <c r="AU352" s="261">
        <v>22.971499999999999</v>
      </c>
      <c r="AV352" s="261">
        <v>22.4573</v>
      </c>
      <c r="AW352" s="261">
        <v>20.25</v>
      </c>
      <c r="AX352" s="261">
        <v>20</v>
      </c>
      <c r="AY352" s="261">
        <v>19.75</v>
      </c>
      <c r="AZ352" s="261">
        <v>20</v>
      </c>
      <c r="BA352" s="261">
        <v>20.322500000000002</v>
      </c>
      <c r="BB352" s="261">
        <v>20.487442187500001</v>
      </c>
      <c r="BC352" s="261">
        <v>20.018890769230801</v>
      </c>
      <c r="BD352" s="261">
        <v>20.221340909090902</v>
      </c>
      <c r="BE352" s="261">
        <v>19.655358461538501</v>
      </c>
      <c r="BF352" s="261">
        <v>18.6359030769231</v>
      </c>
      <c r="BG352" s="261">
        <v>17.660956923076899</v>
      </c>
      <c r="BH352" s="261">
        <v>17.058746153846101</v>
      </c>
      <c r="BI352" s="261">
        <v>17.543401538461499</v>
      </c>
      <c r="BJ352" s="261">
        <v>16.968044615384599</v>
      </c>
      <c r="BK352" s="1175">
        <v>17.233104615384601</v>
      </c>
      <c r="BL352" s="261">
        <v>17.5</v>
      </c>
      <c r="BM352" s="261">
        <v>18.2</v>
      </c>
      <c r="BN352" s="261">
        <v>18.100000000000001</v>
      </c>
      <c r="BO352" s="261">
        <v>18</v>
      </c>
      <c r="BP352" s="261">
        <v>17.899999999999999</v>
      </c>
      <c r="BQ352" s="261">
        <v>17.8</v>
      </c>
      <c r="BR352" s="261">
        <v>18.108978103975485</v>
      </c>
      <c r="BS352" s="261">
        <v>18.108978103975485</v>
      </c>
      <c r="BT352" s="261">
        <v>18.108978103975485</v>
      </c>
      <c r="BU352" s="261">
        <v>18.108978103975485</v>
      </c>
      <c r="BV352" s="261"/>
      <c r="BW352" s="261"/>
      <c r="BX352" s="261"/>
      <c r="BY352" s="261"/>
    </row>
    <row r="353" spans="1:77">
      <c r="A353" s="13" t="s">
        <v>1368</v>
      </c>
      <c r="B353" s="261"/>
      <c r="C353" s="261"/>
      <c r="D353" s="261"/>
      <c r="E353" s="261"/>
      <c r="F353" s="261"/>
      <c r="G353" s="261"/>
      <c r="H353" s="261"/>
      <c r="I353" s="261"/>
      <c r="J353" s="261"/>
      <c r="K353" s="261"/>
      <c r="L353" s="261"/>
      <c r="M353" s="261"/>
      <c r="N353" s="261"/>
      <c r="O353" s="261"/>
      <c r="P353" s="261"/>
      <c r="Q353" s="261"/>
      <c r="R353" s="261"/>
      <c r="S353" s="261"/>
      <c r="T353" s="261"/>
      <c r="U353" s="261"/>
      <c r="V353" s="261"/>
      <c r="W353" s="261"/>
      <c r="X353" s="261"/>
      <c r="Y353" s="261"/>
      <c r="Z353" s="261"/>
      <c r="AA353" s="261"/>
      <c r="AB353" s="261"/>
      <c r="AC353" s="261"/>
      <c r="AD353" s="261"/>
      <c r="AE353" s="261"/>
      <c r="AF353" s="261"/>
      <c r="AG353" s="261"/>
      <c r="AH353" s="261"/>
      <c r="AI353" s="261"/>
      <c r="AJ353" s="261"/>
      <c r="AK353" s="261"/>
      <c r="AL353" s="261"/>
      <c r="AM353" s="261"/>
      <c r="AN353" s="261"/>
      <c r="AO353" s="261"/>
      <c r="AP353" s="261"/>
      <c r="AQ353" s="261"/>
      <c r="AR353" s="261"/>
      <c r="AS353" s="261"/>
      <c r="AT353" s="261"/>
      <c r="AU353" s="261"/>
      <c r="AV353" s="261"/>
      <c r="AW353" s="261"/>
      <c r="AX353" s="261"/>
      <c r="AY353" s="261"/>
      <c r="AZ353" s="261"/>
      <c r="BA353" s="261"/>
      <c r="BB353" s="261"/>
      <c r="BC353" s="261"/>
      <c r="BD353" s="261"/>
      <c r="BE353" s="261"/>
      <c r="BF353" s="261"/>
      <c r="BG353" s="261"/>
      <c r="BH353" s="261"/>
      <c r="BI353" s="261"/>
      <c r="BJ353" s="261"/>
      <c r="BK353" s="1175"/>
      <c r="BL353" s="261"/>
      <c r="BM353" s="261"/>
      <c r="BN353" s="261"/>
      <c r="BO353" s="261"/>
      <c r="BP353" s="261"/>
      <c r="BQ353" s="261"/>
      <c r="BR353" s="261"/>
      <c r="BS353" s="261"/>
      <c r="BT353" s="261"/>
      <c r="BU353" s="261"/>
      <c r="BV353" s="261"/>
      <c r="BW353" s="261"/>
      <c r="BX353" s="261"/>
      <c r="BY353" s="261"/>
    </row>
    <row r="354" spans="1:77">
      <c r="A354" s="9" t="s">
        <v>1517</v>
      </c>
      <c r="B354" s="261">
        <v>3.19</v>
      </c>
      <c r="C354" s="261">
        <v>3.0233333333333334</v>
      </c>
      <c r="D354" s="261">
        <v>2.956666666666667</v>
      </c>
      <c r="E354" s="261">
        <v>2.8800000000000003</v>
      </c>
      <c r="F354" s="261">
        <v>2.85</v>
      </c>
      <c r="G354" s="261">
        <v>2.8433333333333333</v>
      </c>
      <c r="H354" s="261">
        <v>2.8033333333333332</v>
      </c>
      <c r="I354" s="261">
        <v>2.8066666666666666</v>
      </c>
      <c r="J354" s="261">
        <v>2.8035000000000001</v>
      </c>
      <c r="K354" s="261">
        <v>2.7490000000000001</v>
      </c>
      <c r="L354" s="261">
        <v>2.7725</v>
      </c>
      <c r="M354" s="261">
        <v>2.6964999999999999</v>
      </c>
      <c r="N354" s="261">
        <v>2.6675</v>
      </c>
      <c r="O354" s="261">
        <v>2.6709999999999998</v>
      </c>
      <c r="P354" s="261">
        <v>2.5975000000000001</v>
      </c>
      <c r="Q354" s="261">
        <v>2.5495000000000001</v>
      </c>
      <c r="R354" s="261">
        <v>2.5905</v>
      </c>
      <c r="S354" s="261">
        <v>2.7810000000000001</v>
      </c>
      <c r="T354" s="261">
        <v>2.7825000000000002</v>
      </c>
      <c r="U354" s="261">
        <v>2.7965</v>
      </c>
      <c r="V354" s="261">
        <v>2.8085</v>
      </c>
      <c r="W354" s="261">
        <v>2.7955000000000001</v>
      </c>
      <c r="X354" s="261">
        <v>2.8915000000000002</v>
      </c>
      <c r="Y354" s="261">
        <v>2.9809999999999999</v>
      </c>
      <c r="Z354" s="261">
        <v>3.0979999999999999</v>
      </c>
      <c r="AA354" s="261">
        <v>3.1779999999999999</v>
      </c>
      <c r="AB354" s="261">
        <v>3.2229999999999999</v>
      </c>
      <c r="AC354" s="261">
        <v>3.411</v>
      </c>
      <c r="AD354" s="261">
        <v>3.3250000000000002</v>
      </c>
      <c r="AE354" s="261">
        <v>3.2894999999999999</v>
      </c>
      <c r="AF354" s="261">
        <v>3.3965000000000001</v>
      </c>
      <c r="AG354" s="261">
        <v>3.3555000000000001</v>
      </c>
      <c r="AH354" s="261">
        <v>3.2494999999999998</v>
      </c>
      <c r="AI354" s="261">
        <v>3.2515000000000001</v>
      </c>
      <c r="AJ354" s="261">
        <v>3.2654999999999998</v>
      </c>
      <c r="AK354" s="261">
        <v>3.24</v>
      </c>
      <c r="AL354" s="261">
        <v>3.2275</v>
      </c>
      <c r="AM354" s="261">
        <v>3.2730000000000001</v>
      </c>
      <c r="AN354" s="261">
        <v>3.3</v>
      </c>
      <c r="AO354" s="261">
        <v>3.3730000000000002</v>
      </c>
      <c r="AP354" s="261">
        <v>3.3195000000000001</v>
      </c>
      <c r="AQ354" s="261">
        <v>3.2890000000000001</v>
      </c>
      <c r="AR354" s="261">
        <v>3.3824999999999998</v>
      </c>
      <c r="AS354" s="261">
        <v>3.3130000000000002</v>
      </c>
      <c r="AT354" s="261">
        <v>3.4375</v>
      </c>
      <c r="AU354" s="261">
        <v>3.5419999999999998</v>
      </c>
      <c r="AV354" s="261">
        <v>3.5985</v>
      </c>
      <c r="AW354" s="261">
        <v>3.57</v>
      </c>
      <c r="AX354" s="261">
        <v>3.53</v>
      </c>
      <c r="AY354" s="261">
        <v>3.49</v>
      </c>
      <c r="AZ354" s="261">
        <v>3.5</v>
      </c>
      <c r="BA354" s="261">
        <v>3.9324999999999997</v>
      </c>
      <c r="BB354" s="261">
        <v>3.7959109375</v>
      </c>
      <c r="BC354" s="261">
        <v>3.74143076923077</v>
      </c>
      <c r="BD354" s="261">
        <v>3.8799545454545501</v>
      </c>
      <c r="BE354" s="261">
        <v>3.8779969230769198</v>
      </c>
      <c r="BF354" s="261">
        <v>3.7996092307692302</v>
      </c>
      <c r="BG354" s="261">
        <v>3.6822353846153799</v>
      </c>
      <c r="BH354" s="261">
        <v>3.6620338461538502</v>
      </c>
      <c r="BI354" s="261">
        <v>3.7659338461538501</v>
      </c>
      <c r="BJ354" s="261">
        <v>3.7439153846153799</v>
      </c>
      <c r="BK354" s="1175">
        <v>3.7297430769230799</v>
      </c>
      <c r="BL354" s="261">
        <v>3.75</v>
      </c>
      <c r="BM354" s="261">
        <v>3.72</v>
      </c>
      <c r="BN354" s="261">
        <v>3.779905310195844</v>
      </c>
      <c r="BO354" s="261">
        <v>3.779905310195844</v>
      </c>
      <c r="BP354" s="261">
        <v>3.779905310195844</v>
      </c>
      <c r="BQ354" s="261">
        <v>3.779905310195844</v>
      </c>
      <c r="BR354" s="261">
        <v>3.8244139989735317</v>
      </c>
      <c r="BS354" s="261">
        <v>3.8244139989735317</v>
      </c>
      <c r="BT354" s="261">
        <v>3.8244139989735317</v>
      </c>
      <c r="BU354" s="261">
        <v>3.8244139989735317</v>
      </c>
      <c r="BV354" s="261"/>
      <c r="BW354" s="261"/>
      <c r="BX354" s="261"/>
      <c r="BY354" s="261"/>
    </row>
    <row r="355" spans="1:77">
      <c r="A355" s="13" t="s">
        <v>1518</v>
      </c>
      <c r="B355" s="261"/>
      <c r="C355" s="261"/>
      <c r="D355" s="261"/>
      <c r="E355" s="261"/>
      <c r="F355" s="261"/>
      <c r="G355" s="261"/>
      <c r="H355" s="261"/>
      <c r="I355" s="261"/>
      <c r="J355" s="261"/>
      <c r="K355" s="261"/>
      <c r="L355" s="261"/>
      <c r="M355" s="261"/>
      <c r="N355" s="261"/>
      <c r="O355" s="261"/>
      <c r="P355" s="261"/>
      <c r="Q355" s="261"/>
      <c r="R355" s="261"/>
      <c r="S355" s="261"/>
      <c r="T355" s="261"/>
      <c r="U355" s="261"/>
      <c r="V355" s="261"/>
      <c r="W355" s="261"/>
      <c r="X355" s="261"/>
      <c r="Y355" s="261"/>
      <c r="Z355" s="261"/>
      <c r="AA355" s="261"/>
      <c r="AB355" s="261"/>
      <c r="AC355" s="261"/>
      <c r="AD355" s="261"/>
      <c r="AE355" s="261"/>
      <c r="AF355" s="261"/>
      <c r="AG355" s="261"/>
      <c r="AH355" s="261"/>
      <c r="AI355" s="261"/>
      <c r="AJ355" s="261"/>
      <c r="AK355" s="261"/>
      <c r="AL355" s="261"/>
      <c r="AM355" s="261"/>
      <c r="AN355" s="261"/>
      <c r="AO355" s="261"/>
      <c r="AP355" s="261"/>
      <c r="AQ355" s="261"/>
      <c r="AR355" s="261"/>
      <c r="AS355" s="261"/>
      <c r="AT355" s="261"/>
      <c r="AU355" s="261"/>
      <c r="AV355" s="261"/>
      <c r="AW355" s="261"/>
      <c r="AX355" s="261"/>
      <c r="AY355" s="261"/>
      <c r="AZ355" s="261"/>
      <c r="BA355" s="261"/>
      <c r="BB355" s="261"/>
      <c r="BC355" s="261"/>
      <c r="BD355" s="261"/>
      <c r="BE355" s="261"/>
      <c r="BF355" s="261"/>
      <c r="BG355" s="261"/>
      <c r="BH355" s="261"/>
      <c r="BI355" s="261"/>
      <c r="BJ355" s="261"/>
      <c r="BK355" s="1175"/>
      <c r="BL355" s="261"/>
      <c r="BM355" s="261"/>
      <c r="BN355" s="261"/>
      <c r="BO355" s="261"/>
      <c r="BP355" s="261"/>
      <c r="BQ355" s="261"/>
      <c r="BR355" s="261"/>
      <c r="BS355" s="261"/>
      <c r="BT355" s="261"/>
      <c r="BU355" s="261"/>
      <c r="BV355" s="261"/>
      <c r="BW355" s="261"/>
      <c r="BX355" s="261"/>
      <c r="BY355" s="261"/>
    </row>
    <row r="356" spans="1:77">
      <c r="A356" s="9" t="s">
        <v>1519</v>
      </c>
      <c r="B356" s="261">
        <v>1.39005</v>
      </c>
      <c r="C356" s="261">
        <v>1.3228500000000001</v>
      </c>
      <c r="D356" s="261">
        <v>1.4131</v>
      </c>
      <c r="E356" s="261">
        <v>1.4561500000000001</v>
      </c>
      <c r="F356" s="261">
        <v>1.43475</v>
      </c>
      <c r="G356" s="261">
        <v>1.35375</v>
      </c>
      <c r="H356" s="261">
        <v>1.2455000000000001</v>
      </c>
      <c r="I356" s="261">
        <v>1.3746499999999999</v>
      </c>
      <c r="J356" s="261">
        <v>1.3362000000000001</v>
      </c>
      <c r="K356" s="261">
        <v>1.4146000000000001</v>
      </c>
      <c r="L356" s="261">
        <v>1.44825</v>
      </c>
      <c r="M356" s="261">
        <v>1.3273999999999999</v>
      </c>
      <c r="N356" s="261">
        <v>1.2981499999999999</v>
      </c>
      <c r="O356" s="261">
        <v>1.3301000000000001</v>
      </c>
      <c r="P356" s="261">
        <v>1.2584</v>
      </c>
      <c r="Q356" s="261">
        <v>1.2905</v>
      </c>
      <c r="R356" s="261">
        <v>1.3184</v>
      </c>
      <c r="S356" s="261">
        <v>1.2847</v>
      </c>
      <c r="T356" s="261">
        <v>1.30355</v>
      </c>
      <c r="U356" s="261">
        <v>1.3525499999999999</v>
      </c>
      <c r="V356" s="261">
        <v>1.37825</v>
      </c>
      <c r="W356" s="261">
        <v>1.3691500000000001</v>
      </c>
      <c r="X356" s="261">
        <v>1.26325</v>
      </c>
      <c r="Y356" s="261">
        <v>1.2100500000000001</v>
      </c>
      <c r="Z356" s="261">
        <v>1.0740000000000001</v>
      </c>
      <c r="AA356" s="261">
        <v>1.1142000000000001</v>
      </c>
      <c r="AB356" s="261">
        <v>1.11625</v>
      </c>
      <c r="AC356" s="261">
        <v>1.0863</v>
      </c>
      <c r="AD356" s="261">
        <v>1.1395500000000001</v>
      </c>
      <c r="AE356" s="261">
        <v>1.1299999999999999</v>
      </c>
      <c r="AF356" s="261">
        <v>1.1599999999999999</v>
      </c>
      <c r="AG356" s="261">
        <v>1.05</v>
      </c>
      <c r="AH356" s="261">
        <v>1.05</v>
      </c>
      <c r="AI356" s="261">
        <v>1.17</v>
      </c>
      <c r="AJ356" s="261">
        <v>1.19</v>
      </c>
      <c r="AK356" s="261">
        <v>1.22</v>
      </c>
      <c r="AL356" s="261">
        <v>1.25</v>
      </c>
      <c r="AM356" s="261">
        <v>1.21</v>
      </c>
      <c r="AN356" s="261">
        <v>1.18</v>
      </c>
      <c r="AO356" s="261">
        <v>1.1599999999999999</v>
      </c>
      <c r="AP356" s="261">
        <v>1.1599999999999999</v>
      </c>
      <c r="AQ356" s="261">
        <v>1.17</v>
      </c>
      <c r="AR356" s="261">
        <v>1.1000000000000001</v>
      </c>
      <c r="AS356" s="261">
        <v>1.1299999999999999</v>
      </c>
      <c r="AT356" s="261">
        <v>1.1599999999999999</v>
      </c>
      <c r="AU356" s="261">
        <v>1.18</v>
      </c>
      <c r="AV356" s="261">
        <v>1.17</v>
      </c>
      <c r="AW356" s="261">
        <v>1.1599999999999999</v>
      </c>
      <c r="AX356" s="261">
        <v>1.17</v>
      </c>
      <c r="AY356" s="261">
        <v>1.18</v>
      </c>
      <c r="AZ356" s="261">
        <v>1.19</v>
      </c>
      <c r="BA356" s="261">
        <v>1.2</v>
      </c>
      <c r="BB356" s="261">
        <v>1.1215828125</v>
      </c>
      <c r="BC356" s="261">
        <v>1.06447538461538</v>
      </c>
      <c r="BD356" s="261">
        <v>1.0065696969697</v>
      </c>
      <c r="BE356" s="261">
        <v>1.02186615384615</v>
      </c>
      <c r="BF356" s="261">
        <v>1.07298153846154</v>
      </c>
      <c r="BG356" s="261">
        <v>1.08868769230769</v>
      </c>
      <c r="BH356" s="261">
        <v>1.08773846153846</v>
      </c>
      <c r="BI356" s="261">
        <v>1.0762323076923099</v>
      </c>
      <c r="BJ356" s="261">
        <v>1.0857246153846101</v>
      </c>
      <c r="BK356" s="1175">
        <v>1.0765030769230799</v>
      </c>
      <c r="BL356" s="261">
        <v>1.03</v>
      </c>
      <c r="BM356" s="261">
        <v>1.02</v>
      </c>
      <c r="BN356" s="261">
        <v>1.02</v>
      </c>
      <c r="BO356" s="261">
        <v>1.03</v>
      </c>
      <c r="BP356" s="261">
        <v>1.05</v>
      </c>
      <c r="BQ356" s="261">
        <v>1.07</v>
      </c>
      <c r="BR356" s="261">
        <v>1.0530569230769227</v>
      </c>
      <c r="BS356" s="261">
        <v>1.0530569230769227</v>
      </c>
      <c r="BT356" s="261">
        <v>1.0530569230769227</v>
      </c>
      <c r="BU356" s="261">
        <v>1.0530569230769227</v>
      </c>
      <c r="BV356" s="261"/>
      <c r="BW356" s="261"/>
      <c r="BX356" s="261"/>
      <c r="BY356" s="261"/>
    </row>
    <row r="357" spans="1:77">
      <c r="BL357" s="9">
        <f t="shared" ref="BL357:BU357" si="1839">BL356*BL352</f>
        <v>18.025000000000002</v>
      </c>
      <c r="BM357" s="9">
        <f t="shared" si="1839"/>
        <v>18.564</v>
      </c>
      <c r="BN357" s="9">
        <f t="shared" si="1839"/>
        <v>18.462000000000003</v>
      </c>
      <c r="BO357" s="9">
        <f t="shared" si="1839"/>
        <v>18.54</v>
      </c>
      <c r="BP357" s="9">
        <f t="shared" si="1839"/>
        <v>18.794999999999998</v>
      </c>
      <c r="BQ357" s="9">
        <f t="shared" si="1839"/>
        <v>19.046000000000003</v>
      </c>
      <c r="BR357" s="9">
        <f t="shared" si="1839"/>
        <v>19.069784762239788</v>
      </c>
      <c r="BS357" s="9">
        <f t="shared" si="1839"/>
        <v>19.069784762239788</v>
      </c>
      <c r="BT357" s="9">
        <f t="shared" si="1839"/>
        <v>19.069784762239788</v>
      </c>
      <c r="BU357" s="9">
        <f t="shared" si="1839"/>
        <v>19.069784762239788</v>
      </c>
    </row>
    <row r="358" spans="1:77">
      <c r="A358" s="472" t="s">
        <v>1521</v>
      </c>
    </row>
    <row r="360" spans="1:77">
      <c r="A360" s="13" t="s">
        <v>746</v>
      </c>
      <c r="BK360" s="1175"/>
    </row>
    <row r="361" spans="1:77">
      <c r="A361" s="9" t="s">
        <v>1513</v>
      </c>
      <c r="B361" s="261">
        <v>3.7120000000000002</v>
      </c>
      <c r="C361" s="261">
        <v>3.7978999999999998</v>
      </c>
      <c r="D361" s="261">
        <v>3.8431999999999999</v>
      </c>
      <c r="E361" s="261">
        <v>3.8008000000000002</v>
      </c>
      <c r="F361" s="261">
        <v>3.8730000000000002</v>
      </c>
      <c r="G361" s="261">
        <v>3.9323999999999999</v>
      </c>
      <c r="H361" s="261">
        <v>3.9603999999999999</v>
      </c>
      <c r="I361" s="261">
        <v>3.9698000000000002</v>
      </c>
      <c r="J361" s="261">
        <v>4.0540000000000003</v>
      </c>
      <c r="K361" s="261">
        <v>4.1100000000000003</v>
      </c>
      <c r="L361" s="261">
        <v>4.2050000000000001</v>
      </c>
      <c r="M361" s="261">
        <v>4.3040000000000003</v>
      </c>
      <c r="N361" s="261">
        <v>4.3789999999999996</v>
      </c>
      <c r="O361" s="261">
        <v>4.5270000000000001</v>
      </c>
      <c r="P361" s="261">
        <v>4.6970000000000001</v>
      </c>
      <c r="Q361" s="261">
        <v>4.9180000000000001</v>
      </c>
      <c r="R361" s="261">
        <v>5.1219999999999999</v>
      </c>
      <c r="S361" s="261">
        <v>5.3879999999999999</v>
      </c>
      <c r="T361" s="261">
        <v>5.7930000000000001</v>
      </c>
      <c r="U361" s="261">
        <v>6.5209999999999999</v>
      </c>
      <c r="V361" s="261">
        <v>8.0020000000000007</v>
      </c>
      <c r="W361" s="261">
        <v>8.1329999999999991</v>
      </c>
      <c r="X361" s="261">
        <v>8.43</v>
      </c>
      <c r="Y361" s="261">
        <v>8.5510000000000002</v>
      </c>
      <c r="Z361" s="261">
        <v>8.8219999999999992</v>
      </c>
      <c r="AA361" s="261">
        <v>9.0879999999999992</v>
      </c>
      <c r="AB361" s="261">
        <v>9.4220000000000006</v>
      </c>
      <c r="AC361" s="261">
        <v>13.04</v>
      </c>
      <c r="AD361" s="261">
        <v>14.7</v>
      </c>
      <c r="AE361" s="261">
        <v>15.04</v>
      </c>
      <c r="AF361" s="261">
        <v>15.31</v>
      </c>
      <c r="AG361" s="261">
        <v>15.89</v>
      </c>
      <c r="AH361" s="261">
        <v>15.39</v>
      </c>
      <c r="AI361" s="261">
        <v>16.63</v>
      </c>
      <c r="AJ361" s="261">
        <v>17.309999999999999</v>
      </c>
      <c r="AK361" s="261">
        <v>18.649000000000001</v>
      </c>
      <c r="AL361" s="261">
        <v>20.149000000000001</v>
      </c>
      <c r="AM361" s="261">
        <v>28.85</v>
      </c>
      <c r="AN361" s="261">
        <v>41.25</v>
      </c>
      <c r="AO361" s="261">
        <v>37.700000000000003</v>
      </c>
      <c r="AP361" s="261">
        <v>43.35</v>
      </c>
      <c r="AQ361" s="261">
        <v>42.463000000000001</v>
      </c>
      <c r="AR361" s="261">
        <v>57.59</v>
      </c>
      <c r="AS361" s="261">
        <v>59.89</v>
      </c>
      <c r="AT361" s="261">
        <v>64.468999999999994</v>
      </c>
      <c r="AU361" s="261">
        <v>70.459999999999994</v>
      </c>
      <c r="AV361" s="261">
        <v>76.450999999999993</v>
      </c>
      <c r="AW361" s="261">
        <v>83</v>
      </c>
      <c r="AX361" s="261">
        <v>97</v>
      </c>
      <c r="AY361" s="261">
        <v>103</v>
      </c>
      <c r="AZ361" s="261">
        <v>110</v>
      </c>
      <c r="BA361" s="261">
        <v>95.092500000000001</v>
      </c>
      <c r="BB361" s="261">
        <v>106.636875</v>
      </c>
      <c r="BC361" s="261">
        <v>118.014615384615</v>
      </c>
      <c r="BD361" s="261">
        <v>135.79621212121199</v>
      </c>
      <c r="BE361" s="261">
        <v>162.47461538461499</v>
      </c>
      <c r="BF361" s="261">
        <v>192.627076923077</v>
      </c>
      <c r="BG361" s="261">
        <v>232.48230769230801</v>
      </c>
      <c r="BH361" s="261">
        <v>313.50938461538499</v>
      </c>
      <c r="BI361" s="261">
        <v>443.72507692307698</v>
      </c>
      <c r="BJ361" s="261">
        <v>833.88046153846199</v>
      </c>
      <c r="BK361" s="1175">
        <v>885.24538461538395</v>
      </c>
      <c r="BL361" s="261">
        <v>1039.45</v>
      </c>
      <c r="BM361" s="261">
        <v>1218.03</v>
      </c>
      <c r="BN361" s="261">
        <v>1344.93</v>
      </c>
      <c r="BO361" s="261">
        <v>1464.02</v>
      </c>
      <c r="BP361" s="261">
        <v>1464.02</v>
      </c>
      <c r="BQ361" s="261">
        <v>1707.03</v>
      </c>
      <c r="BR361" s="261">
        <v>2078.2363315223079</v>
      </c>
      <c r="BS361" s="261">
        <v>2078.2363315223079</v>
      </c>
      <c r="BT361" s="261">
        <v>2078.2363315223079</v>
      </c>
      <c r="BU361" s="261">
        <v>2078.2363315223079</v>
      </c>
      <c r="BV361" s="261"/>
      <c r="BW361" s="261"/>
      <c r="BX361" s="261"/>
      <c r="BY361" s="261"/>
    </row>
    <row r="362" spans="1:77">
      <c r="A362" s="13" t="s">
        <v>749</v>
      </c>
      <c r="B362" s="261"/>
      <c r="C362" s="261"/>
      <c r="D362" s="261"/>
      <c r="E362" s="261"/>
      <c r="F362" s="261"/>
      <c r="G362" s="261"/>
      <c r="H362" s="261"/>
      <c r="I362" s="261"/>
      <c r="J362" s="261"/>
      <c r="K362" s="261"/>
      <c r="L362" s="261"/>
      <c r="M362" s="261"/>
      <c r="N362" s="261"/>
      <c r="O362" s="261"/>
      <c r="P362" s="261"/>
      <c r="Q362" s="261"/>
      <c r="R362" s="261"/>
      <c r="S362" s="261"/>
      <c r="T362" s="261"/>
      <c r="U362" s="261"/>
      <c r="V362" s="261"/>
      <c r="W362" s="261"/>
      <c r="X362" s="261"/>
      <c r="Y362" s="261"/>
      <c r="Z362" s="261"/>
      <c r="AA362" s="261"/>
      <c r="AB362" s="261"/>
      <c r="AC362" s="261"/>
      <c r="AD362" s="261"/>
      <c r="AE362" s="261"/>
      <c r="AF362" s="261"/>
      <c r="AG362" s="261"/>
      <c r="AH362" s="261"/>
      <c r="AI362" s="261"/>
      <c r="AJ362" s="261"/>
      <c r="AK362" s="261"/>
      <c r="AL362" s="261"/>
      <c r="AM362" s="261"/>
      <c r="AN362" s="261"/>
      <c r="AO362" s="261"/>
      <c r="AP362" s="261"/>
      <c r="AQ362" s="261"/>
      <c r="AR362" s="261"/>
      <c r="AS362" s="261"/>
      <c r="AT362" s="261"/>
      <c r="AU362" s="261"/>
      <c r="AV362" s="261"/>
      <c r="AW362" s="261"/>
      <c r="AX362" s="261"/>
      <c r="AY362" s="261"/>
      <c r="AZ362" s="261"/>
      <c r="BA362" s="261"/>
      <c r="BB362" s="261"/>
      <c r="BC362" s="261"/>
      <c r="BD362" s="261"/>
      <c r="BE362" s="261"/>
      <c r="BF362" s="261"/>
      <c r="BG362" s="261"/>
      <c r="BH362" s="261"/>
      <c r="BI362" s="261"/>
      <c r="BJ362" s="261"/>
      <c r="BK362" s="1175"/>
      <c r="BL362" s="261"/>
      <c r="BM362" s="261"/>
      <c r="BN362" s="261"/>
      <c r="BO362" s="261"/>
      <c r="BP362" s="261"/>
      <c r="BQ362" s="261"/>
      <c r="BR362" s="261"/>
      <c r="BS362" s="261"/>
      <c r="BT362" s="261"/>
      <c r="BU362" s="261"/>
      <c r="BV362" s="261"/>
      <c r="BW362" s="261"/>
      <c r="BX362" s="261"/>
      <c r="BY362" s="261"/>
    </row>
    <row r="363" spans="1:77">
      <c r="A363" s="9" t="s">
        <v>1514</v>
      </c>
      <c r="B363" s="261">
        <v>2.3228</v>
      </c>
      <c r="C363" s="261">
        <v>1.9518</v>
      </c>
      <c r="D363" s="261">
        <v>1.7669999999999999</v>
      </c>
      <c r="E363" s="261">
        <v>1.7444999999999999</v>
      </c>
      <c r="F363" s="261">
        <v>1.7806</v>
      </c>
      <c r="G363" s="261">
        <v>1.8010999999999999</v>
      </c>
      <c r="H363" s="261">
        <v>1.6938</v>
      </c>
      <c r="I363" s="261">
        <v>1.6657999999999999</v>
      </c>
      <c r="J363" s="261">
        <v>1.6283000000000001</v>
      </c>
      <c r="K363" s="261">
        <v>1.5607</v>
      </c>
      <c r="L363" s="261">
        <v>1.8540000000000001</v>
      </c>
      <c r="M363" s="261">
        <v>1.8754999999999999</v>
      </c>
      <c r="N363" s="261">
        <v>1.8218000000000001</v>
      </c>
      <c r="O363" s="261">
        <v>2.0209999999999999</v>
      </c>
      <c r="P363" s="261">
        <v>2.0303</v>
      </c>
      <c r="Q363" s="261">
        <v>2.0432000000000001</v>
      </c>
      <c r="R363" s="261">
        <v>2.0135000000000001</v>
      </c>
      <c r="S363" s="261">
        <v>2.2153</v>
      </c>
      <c r="T363" s="261">
        <v>2.2296999999999998</v>
      </c>
      <c r="U363" s="261">
        <v>2.3422999999999998</v>
      </c>
      <c r="V363" s="261">
        <v>2.2627000000000002</v>
      </c>
      <c r="W363" s="261">
        <v>2.2021999999999999</v>
      </c>
      <c r="X363" s="261">
        <v>2.4506999999999999</v>
      </c>
      <c r="Y363" s="261">
        <v>2.6558999999999999</v>
      </c>
      <c r="Z363" s="261">
        <v>3.2077</v>
      </c>
      <c r="AA363" s="261">
        <v>3.1021999999999998</v>
      </c>
      <c r="AB363" s="261">
        <v>3.9725999999999999</v>
      </c>
      <c r="AC363" s="261">
        <v>3.9045000000000001</v>
      </c>
      <c r="AD363" s="261">
        <v>3.5586000000000002</v>
      </c>
      <c r="AE363" s="261">
        <v>3.2094999999999998</v>
      </c>
      <c r="AF363" s="261">
        <v>3.2458999999999998</v>
      </c>
      <c r="AG363" s="261">
        <v>3.2587999999999999</v>
      </c>
      <c r="AH363" s="261">
        <v>3.1680999999999999</v>
      </c>
      <c r="AI363" s="261">
        <v>3.3079000000000001</v>
      </c>
      <c r="AJ363" s="261">
        <v>3.1677</v>
      </c>
      <c r="AK363" s="261">
        <v>3.3077000000000001</v>
      </c>
      <c r="AL363" s="261">
        <v>3.3235000000000001</v>
      </c>
      <c r="AM363" s="261">
        <v>3.8555000000000001</v>
      </c>
      <c r="AN363" s="261">
        <v>4.0035999999999996</v>
      </c>
      <c r="AO363" s="261">
        <v>3.8744999999999998</v>
      </c>
      <c r="AP363" s="261">
        <v>3.8963999999999999</v>
      </c>
      <c r="AQ363" s="261">
        <v>3.8319000000000001</v>
      </c>
      <c r="AR363" s="261">
        <v>4.1641000000000004</v>
      </c>
      <c r="AS363" s="261">
        <v>4.0304000000000002</v>
      </c>
      <c r="AT363" s="261">
        <v>5.1984000000000004</v>
      </c>
      <c r="AU363" s="261">
        <v>5.4756999999999998</v>
      </c>
      <c r="AV363" s="261">
        <v>5.6403999999999996</v>
      </c>
      <c r="AW363" s="261">
        <v>5.3</v>
      </c>
      <c r="AX363" s="261">
        <v>5.25</v>
      </c>
      <c r="AY363" s="261">
        <v>5.0999999999999996</v>
      </c>
      <c r="AZ363" s="261">
        <v>5.3</v>
      </c>
      <c r="BA363" s="261">
        <v>5.57</v>
      </c>
      <c r="BB363" s="261">
        <v>5.2219453124999999</v>
      </c>
      <c r="BC363" s="261">
        <v>4.9201353846153797</v>
      </c>
      <c r="BD363" s="261">
        <v>5.2457272727272697</v>
      </c>
      <c r="BE363" s="261">
        <v>5.2596984615384601</v>
      </c>
      <c r="BF363" s="261">
        <v>5.1919184615384601</v>
      </c>
      <c r="BG363" s="261">
        <v>4.9457538461538402</v>
      </c>
      <c r="BH363" s="261">
        <v>4.8856646153846102</v>
      </c>
      <c r="BI363" s="261">
        <v>4.9529969230769204</v>
      </c>
      <c r="BJ363" s="261">
        <v>4.9505830769230803</v>
      </c>
      <c r="BK363" s="1175">
        <v>5.2144553846153796</v>
      </c>
      <c r="BL363" s="261">
        <v>5.53</v>
      </c>
      <c r="BM363" s="261">
        <v>5.58</v>
      </c>
      <c r="BN363" s="261">
        <v>5.64</v>
      </c>
      <c r="BO363" s="261">
        <v>5.71</v>
      </c>
      <c r="BP363" s="261">
        <v>5.71</v>
      </c>
      <c r="BQ363" s="261">
        <v>5.89</v>
      </c>
      <c r="BR363" s="261">
        <v>6.29</v>
      </c>
      <c r="BS363" s="261">
        <v>6.29</v>
      </c>
      <c r="BT363" s="261">
        <v>6.29</v>
      </c>
      <c r="BU363" s="261">
        <v>6.29</v>
      </c>
      <c r="BV363" s="261"/>
      <c r="BW363" s="261"/>
      <c r="BX363" s="261"/>
      <c r="BY363" s="261"/>
    </row>
    <row r="364" spans="1:77">
      <c r="A364" s="13" t="s">
        <v>747</v>
      </c>
      <c r="B364" s="261"/>
      <c r="C364" s="261"/>
      <c r="D364" s="261"/>
      <c r="E364" s="261"/>
      <c r="F364" s="261"/>
      <c r="G364" s="261"/>
      <c r="H364" s="261"/>
      <c r="I364" s="261"/>
      <c r="J364" s="261"/>
      <c r="K364" s="261"/>
      <c r="L364" s="261"/>
      <c r="M364" s="261"/>
      <c r="N364" s="261"/>
      <c r="O364" s="261"/>
      <c r="P364" s="261"/>
      <c r="Q364" s="261"/>
      <c r="R364" s="261"/>
      <c r="S364" s="261"/>
      <c r="T364" s="261"/>
      <c r="U364" s="261"/>
      <c r="V364" s="261"/>
      <c r="W364" s="261"/>
      <c r="X364" s="261"/>
      <c r="Y364" s="261"/>
      <c r="Z364" s="261"/>
      <c r="AA364" s="261"/>
      <c r="AB364" s="261"/>
      <c r="AC364" s="261"/>
      <c r="AD364" s="261"/>
      <c r="AE364" s="261"/>
      <c r="AF364" s="261"/>
      <c r="AG364" s="261"/>
      <c r="AH364" s="261"/>
      <c r="AI364" s="261"/>
      <c r="AJ364" s="261"/>
      <c r="AK364" s="261"/>
      <c r="AL364" s="261"/>
      <c r="AM364" s="261"/>
      <c r="AN364" s="261"/>
      <c r="AO364" s="261"/>
      <c r="AP364" s="261"/>
      <c r="AQ364" s="261"/>
      <c r="AR364" s="261"/>
      <c r="AS364" s="261"/>
      <c r="AT364" s="261"/>
      <c r="AU364" s="261"/>
      <c r="AV364" s="261"/>
      <c r="AW364" s="261"/>
      <c r="AX364" s="261"/>
      <c r="AY364" s="261"/>
      <c r="AZ364" s="261"/>
      <c r="BA364" s="261"/>
      <c r="BB364" s="261"/>
      <c r="BC364" s="261"/>
      <c r="BD364" s="261"/>
      <c r="BE364" s="261"/>
      <c r="BF364" s="261"/>
      <c r="BG364" s="261"/>
      <c r="BH364" s="261"/>
      <c r="BI364" s="261"/>
      <c r="BJ364" s="261"/>
      <c r="BK364" s="1175"/>
      <c r="BL364" s="261"/>
      <c r="BM364" s="261"/>
      <c r="BN364" s="261"/>
      <c r="BO364" s="261"/>
      <c r="BP364" s="261"/>
      <c r="BQ364" s="261"/>
      <c r="BR364" s="261"/>
      <c r="BS364" s="261"/>
      <c r="BT364" s="261"/>
      <c r="BU364" s="261"/>
      <c r="BV364" s="261"/>
      <c r="BW364" s="261"/>
      <c r="BX364" s="261"/>
      <c r="BY364" s="261"/>
    </row>
    <row r="365" spans="1:77">
      <c r="A365" s="9" t="s">
        <v>1515</v>
      </c>
      <c r="B365" s="261">
        <v>637.25</v>
      </c>
      <c r="C365" s="261">
        <v>580.75</v>
      </c>
      <c r="D365" s="261">
        <v>534.35</v>
      </c>
      <c r="E365" s="261">
        <v>554</v>
      </c>
      <c r="F365" s="261">
        <v>507.25</v>
      </c>
      <c r="G365" s="261">
        <v>521.75</v>
      </c>
      <c r="H365" s="261">
        <v>547.35</v>
      </c>
      <c r="I365" s="261">
        <v>480.65</v>
      </c>
      <c r="J365" s="261">
        <v>482.08</v>
      </c>
      <c r="K365" s="261">
        <v>471.13</v>
      </c>
      <c r="L365" s="261">
        <v>515.14</v>
      </c>
      <c r="M365" s="261">
        <v>521.46</v>
      </c>
      <c r="N365" s="261">
        <v>489.76</v>
      </c>
      <c r="O365" s="261">
        <v>509.73</v>
      </c>
      <c r="P365" s="261">
        <v>470.48</v>
      </c>
      <c r="Q365" s="261">
        <v>478.6</v>
      </c>
      <c r="R365" s="261">
        <v>472.54</v>
      </c>
      <c r="S365" s="261">
        <v>503.86</v>
      </c>
      <c r="T365" s="261">
        <v>502.97</v>
      </c>
      <c r="U365" s="261">
        <v>523.76</v>
      </c>
      <c r="V365" s="261">
        <v>550.53</v>
      </c>
      <c r="W365" s="261">
        <v>550.6</v>
      </c>
      <c r="X365" s="261">
        <v>601.66</v>
      </c>
      <c r="Y365" s="261">
        <v>607.38</v>
      </c>
      <c r="Z365" s="261">
        <v>626.87</v>
      </c>
      <c r="AA365" s="261">
        <v>634.58000000000004</v>
      </c>
      <c r="AB365" s="261">
        <v>704.68</v>
      </c>
      <c r="AC365" s="261">
        <v>707.34</v>
      </c>
      <c r="AD365" s="261">
        <v>675.1</v>
      </c>
      <c r="AE365" s="261">
        <v>661.49</v>
      </c>
      <c r="AF365" s="261">
        <v>659.08</v>
      </c>
      <c r="AG365" s="261">
        <v>667.29</v>
      </c>
      <c r="AH365" s="261">
        <v>662.66</v>
      </c>
      <c r="AI365" s="261">
        <v>663.21</v>
      </c>
      <c r="AJ365" s="261">
        <v>636.85</v>
      </c>
      <c r="AK365" s="261">
        <v>615.22</v>
      </c>
      <c r="AL365" s="261">
        <v>605.26</v>
      </c>
      <c r="AM365" s="261">
        <v>647.95000000000005</v>
      </c>
      <c r="AN365" s="261">
        <v>661.5</v>
      </c>
      <c r="AO365" s="261">
        <v>695.69</v>
      </c>
      <c r="AP365" s="261">
        <v>681.09</v>
      </c>
      <c r="AQ365" s="261">
        <v>679.86</v>
      </c>
      <c r="AR365" s="261">
        <v>725.68</v>
      </c>
      <c r="AS365" s="261">
        <v>744.62</v>
      </c>
      <c r="AT365" s="261">
        <v>846.3</v>
      </c>
      <c r="AU365" s="261">
        <v>816.36</v>
      </c>
      <c r="AV365" s="261">
        <v>784.46</v>
      </c>
      <c r="AW365" s="261">
        <v>745</v>
      </c>
      <c r="AX365" s="261">
        <v>735</v>
      </c>
      <c r="AY365" s="261">
        <v>725</v>
      </c>
      <c r="AZ365" s="261">
        <v>750</v>
      </c>
      <c r="BA365" s="261">
        <v>759</v>
      </c>
      <c r="BB365" s="261">
        <v>807.18562499999996</v>
      </c>
      <c r="BC365" s="261">
        <v>843.97261538461498</v>
      </c>
      <c r="BD365" s="261">
        <v>925.78636363636394</v>
      </c>
      <c r="BE365" s="261">
        <v>912.46446153846205</v>
      </c>
      <c r="BF365" s="261">
        <v>810.20230769230795</v>
      </c>
      <c r="BG365" s="261">
        <v>800.72523076923096</v>
      </c>
      <c r="BH365" s="261">
        <v>852.77753846153803</v>
      </c>
      <c r="BI365" s="261">
        <v>895.30538461538401</v>
      </c>
      <c r="BJ365" s="261">
        <v>945.95953846153895</v>
      </c>
      <c r="BK365" s="1175">
        <v>933.71784615384604</v>
      </c>
      <c r="BL365" s="261">
        <v>938</v>
      </c>
      <c r="BM365" s="261">
        <v>938</v>
      </c>
      <c r="BN365" s="261">
        <v>938</v>
      </c>
      <c r="BO365" s="261">
        <v>939</v>
      </c>
      <c r="BP365" s="261">
        <v>939</v>
      </c>
      <c r="BQ365" s="261">
        <v>945</v>
      </c>
      <c r="BR365" s="261">
        <v>958</v>
      </c>
      <c r="BS365" s="261">
        <v>958</v>
      </c>
      <c r="BT365" s="261">
        <v>958</v>
      </c>
      <c r="BU365" s="261">
        <v>958</v>
      </c>
      <c r="BV365" s="261"/>
      <c r="BW365" s="261"/>
      <c r="BX365" s="261"/>
      <c r="BY365" s="261"/>
    </row>
    <row r="366" spans="1:77">
      <c r="A366" s="13" t="s">
        <v>748</v>
      </c>
      <c r="B366" s="261"/>
      <c r="C366" s="261"/>
      <c r="D366" s="261"/>
      <c r="E366" s="261"/>
      <c r="F366" s="261"/>
      <c r="G366" s="261"/>
      <c r="H366" s="261"/>
      <c r="I366" s="261"/>
      <c r="J366" s="261"/>
      <c r="K366" s="261"/>
      <c r="L366" s="261"/>
      <c r="M366" s="261"/>
      <c r="N366" s="261"/>
      <c r="O366" s="261"/>
      <c r="P366" s="261"/>
      <c r="Q366" s="261"/>
      <c r="R366" s="261"/>
      <c r="S366" s="261"/>
      <c r="T366" s="261"/>
      <c r="U366" s="261"/>
      <c r="V366" s="261"/>
      <c r="W366" s="261"/>
      <c r="X366" s="261"/>
      <c r="Y366" s="261"/>
      <c r="Z366" s="261"/>
      <c r="AA366" s="261"/>
      <c r="AB366" s="261"/>
      <c r="AC366" s="261"/>
      <c r="AD366" s="261"/>
      <c r="AE366" s="261"/>
      <c r="AF366" s="261"/>
      <c r="AG366" s="261"/>
      <c r="AH366" s="261"/>
      <c r="AI366" s="261"/>
      <c r="AJ366" s="261"/>
      <c r="AK366" s="261"/>
      <c r="AL366" s="261"/>
      <c r="AM366" s="261"/>
      <c r="AN366" s="261"/>
      <c r="AO366" s="261"/>
      <c r="AP366" s="261"/>
      <c r="AQ366" s="261"/>
      <c r="AR366" s="261"/>
      <c r="AS366" s="261"/>
      <c r="AT366" s="261"/>
      <c r="AU366" s="261"/>
      <c r="AV366" s="261"/>
      <c r="AW366" s="261"/>
      <c r="AX366" s="261"/>
      <c r="AY366" s="261"/>
      <c r="AZ366" s="261"/>
      <c r="BA366" s="261"/>
      <c r="BB366" s="261"/>
      <c r="BC366" s="261"/>
      <c r="BD366" s="261"/>
      <c r="BE366" s="261"/>
      <c r="BF366" s="261"/>
      <c r="BG366" s="261"/>
      <c r="BH366" s="261"/>
      <c r="BI366" s="261"/>
      <c r="BJ366" s="261"/>
      <c r="BK366" s="1175"/>
      <c r="BL366" s="261"/>
      <c r="BM366" s="261"/>
      <c r="BN366" s="261"/>
      <c r="BO366" s="261"/>
      <c r="BP366" s="261"/>
      <c r="BQ366" s="261"/>
      <c r="BR366" s="261"/>
      <c r="BS366" s="261"/>
      <c r="BT366" s="261"/>
      <c r="BU366" s="261"/>
      <c r="BV366" s="261"/>
      <c r="BW366" s="261"/>
      <c r="BX366" s="261"/>
      <c r="BY366" s="261"/>
    </row>
    <row r="367" spans="1:77">
      <c r="A367" s="9" t="s">
        <v>1516</v>
      </c>
      <c r="B367" s="261">
        <v>2232.3000000000002</v>
      </c>
      <c r="C367" s="261">
        <v>2351.1999999999998</v>
      </c>
      <c r="D367" s="261">
        <v>2006.3</v>
      </c>
      <c r="E367" s="261">
        <v>1848.0250000000001</v>
      </c>
      <c r="F367" s="261">
        <v>1952.65</v>
      </c>
      <c r="G367" s="261">
        <v>1951.05</v>
      </c>
      <c r="H367" s="261">
        <v>1872</v>
      </c>
      <c r="I367" s="261">
        <v>1818.65</v>
      </c>
      <c r="J367" s="261">
        <v>1879.47</v>
      </c>
      <c r="K367" s="261">
        <v>1780.16</v>
      </c>
      <c r="L367" s="261">
        <v>1915.1</v>
      </c>
      <c r="M367" s="261">
        <v>1942.7</v>
      </c>
      <c r="N367" s="261">
        <v>1792.07</v>
      </c>
      <c r="O367" s="261">
        <v>1784.6</v>
      </c>
      <c r="P367" s="261">
        <v>1800.52</v>
      </c>
      <c r="Q367" s="261">
        <v>1768.23</v>
      </c>
      <c r="R367" s="261">
        <v>1832.2</v>
      </c>
      <c r="S367" s="261">
        <v>1929</v>
      </c>
      <c r="T367" s="261">
        <v>1914.65</v>
      </c>
      <c r="U367" s="261">
        <v>1926.83</v>
      </c>
      <c r="V367" s="261">
        <v>1965.32</v>
      </c>
      <c r="W367" s="261">
        <v>1881.19</v>
      </c>
      <c r="X367" s="261">
        <v>2028.48</v>
      </c>
      <c r="Y367" s="261">
        <v>2392.46</v>
      </c>
      <c r="Z367" s="261">
        <v>2576.0500000000002</v>
      </c>
      <c r="AA367" s="261">
        <v>2585.11</v>
      </c>
      <c r="AB367" s="261">
        <v>3121.94</v>
      </c>
      <c r="AC367" s="261">
        <v>3149.47</v>
      </c>
      <c r="AD367" s="261">
        <v>3022.35</v>
      </c>
      <c r="AE367" s="261">
        <v>2916.15</v>
      </c>
      <c r="AF367" s="261">
        <v>2879.95</v>
      </c>
      <c r="AG367" s="261">
        <v>3000.71</v>
      </c>
      <c r="AH367" s="261">
        <v>2880.24</v>
      </c>
      <c r="AI367" s="261">
        <v>3038.26</v>
      </c>
      <c r="AJ367" s="261">
        <v>2936.67</v>
      </c>
      <c r="AK367" s="261">
        <v>2984</v>
      </c>
      <c r="AL367" s="261">
        <v>2780.47</v>
      </c>
      <c r="AM367" s="261">
        <v>2930.8</v>
      </c>
      <c r="AN367" s="261">
        <v>2972.18</v>
      </c>
      <c r="AO367" s="261">
        <v>3249.75</v>
      </c>
      <c r="AP367" s="261">
        <v>3174.79</v>
      </c>
      <c r="AQ367" s="261">
        <v>3205.67</v>
      </c>
      <c r="AR367" s="261">
        <v>3462.01</v>
      </c>
      <c r="AS367" s="261">
        <v>3277.14</v>
      </c>
      <c r="AT367" s="261">
        <v>4064.81</v>
      </c>
      <c r="AU367" s="261">
        <v>3758.91</v>
      </c>
      <c r="AV367" s="261">
        <v>3878.94</v>
      </c>
      <c r="AW367" s="261">
        <v>3660</v>
      </c>
      <c r="AX367" s="261">
        <v>3550</v>
      </c>
      <c r="AY367" s="261">
        <v>3600</v>
      </c>
      <c r="AZ367" s="261">
        <v>3550</v>
      </c>
      <c r="BA367" s="261">
        <v>3827.5</v>
      </c>
      <c r="BB367" s="261">
        <v>3903.2903124999998</v>
      </c>
      <c r="BC367" s="261">
        <v>3914.2293846153898</v>
      </c>
      <c r="BD367" s="261">
        <v>4382.2319696969698</v>
      </c>
      <c r="BE367" s="261">
        <v>4813.8253846153902</v>
      </c>
      <c r="BF367" s="261">
        <v>4751.6826153846096</v>
      </c>
      <c r="BG367" s="261">
        <v>4417.6161538461502</v>
      </c>
      <c r="BH367" s="261">
        <v>4043.78061538462</v>
      </c>
      <c r="BI367" s="261">
        <v>4063.4396923076902</v>
      </c>
      <c r="BJ367" s="261" t="s">
        <v>1630</v>
      </c>
      <c r="BK367" s="1175">
        <v>3923.29292307692</v>
      </c>
      <c r="BL367" s="261">
        <v>4100</v>
      </c>
      <c r="BM367" s="261">
        <v>4154</v>
      </c>
      <c r="BN367" s="261">
        <v>4203</v>
      </c>
      <c r="BO367" s="261">
        <v>4253</v>
      </c>
      <c r="BP367" s="261">
        <v>4253</v>
      </c>
      <c r="BQ367" s="261">
        <v>4358</v>
      </c>
      <c r="BR367" s="261">
        <v>4600</v>
      </c>
      <c r="BS367" s="261">
        <v>4600</v>
      </c>
      <c r="BT367" s="261">
        <v>4600</v>
      </c>
      <c r="BU367" s="261">
        <v>4600</v>
      </c>
      <c r="BV367" s="261"/>
      <c r="BW367" s="261"/>
      <c r="BX367" s="261"/>
      <c r="BY367" s="261"/>
    </row>
    <row r="368" spans="1:77">
      <c r="A368" s="13" t="s">
        <v>731</v>
      </c>
      <c r="B368" s="261"/>
      <c r="C368" s="261"/>
      <c r="D368" s="261"/>
      <c r="E368" s="261"/>
      <c r="F368" s="261"/>
      <c r="G368" s="261"/>
      <c r="H368" s="261"/>
      <c r="I368" s="261"/>
      <c r="J368" s="261"/>
      <c r="K368" s="261"/>
      <c r="L368" s="261"/>
      <c r="M368" s="261"/>
      <c r="N368" s="261"/>
      <c r="O368" s="261"/>
      <c r="P368" s="261"/>
      <c r="Q368" s="261"/>
      <c r="R368" s="261"/>
      <c r="S368" s="261"/>
      <c r="T368" s="261"/>
      <c r="U368" s="261"/>
      <c r="V368" s="261"/>
      <c r="W368" s="261"/>
      <c r="X368" s="261"/>
      <c r="Y368" s="261"/>
      <c r="Z368" s="261"/>
      <c r="AA368" s="261"/>
      <c r="AB368" s="261"/>
      <c r="AC368" s="261"/>
      <c r="AD368" s="261"/>
      <c r="AE368" s="261"/>
      <c r="AF368" s="261"/>
      <c r="AG368" s="261"/>
      <c r="AH368" s="261"/>
      <c r="AI368" s="261"/>
      <c r="AJ368" s="261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261"/>
      <c r="AU368" s="261"/>
      <c r="AV368" s="261"/>
      <c r="AW368" s="261"/>
      <c r="AX368" s="261"/>
      <c r="AY368" s="261"/>
      <c r="AZ368" s="261"/>
      <c r="BA368" s="261"/>
      <c r="BB368" s="261"/>
      <c r="BC368" s="261"/>
      <c r="BD368" s="261"/>
      <c r="BE368" s="261"/>
      <c r="BF368" s="261"/>
      <c r="BG368" s="261"/>
      <c r="BH368" s="261"/>
      <c r="BI368" s="261"/>
      <c r="BJ368" s="261"/>
      <c r="BK368" s="1175"/>
      <c r="BL368" s="261"/>
      <c r="BM368" s="261"/>
      <c r="BN368" s="261"/>
      <c r="BO368" s="261"/>
      <c r="BP368" s="261"/>
      <c r="BQ368" s="261"/>
      <c r="BR368" s="261"/>
      <c r="BS368" s="261"/>
      <c r="BT368" s="261"/>
      <c r="BU368" s="261"/>
      <c r="BV368" s="261"/>
      <c r="BW368" s="261"/>
      <c r="BX368" s="261"/>
      <c r="BY368" s="261"/>
    </row>
    <row r="369" spans="1:101">
      <c r="A369" s="9" t="s">
        <v>1402</v>
      </c>
      <c r="B369" s="261">
        <v>13.9</v>
      </c>
      <c r="C369" s="261">
        <v>13.2</v>
      </c>
      <c r="D369" s="261">
        <v>13.45</v>
      </c>
      <c r="E369" s="261">
        <v>13.14</v>
      </c>
      <c r="F369" s="261">
        <v>12.7</v>
      </c>
      <c r="G369" s="261">
        <v>12.2</v>
      </c>
      <c r="H369" s="261">
        <v>12.87</v>
      </c>
      <c r="I369" s="261">
        <v>12.41</v>
      </c>
      <c r="J369" s="261">
        <v>11.9678</v>
      </c>
      <c r="K369" s="261">
        <v>11.838900000000001</v>
      </c>
      <c r="L369" s="261">
        <v>13.4217</v>
      </c>
      <c r="M369" s="261">
        <v>13.990399999999999</v>
      </c>
      <c r="N369" s="261">
        <v>12.803900000000001</v>
      </c>
      <c r="O369" s="261">
        <v>13.6652</v>
      </c>
      <c r="P369" s="261">
        <v>12.917</v>
      </c>
      <c r="Q369" s="261">
        <v>13.0101</v>
      </c>
      <c r="R369" s="261">
        <v>12.357900000000001</v>
      </c>
      <c r="S369" s="261">
        <v>13.1884</v>
      </c>
      <c r="T369" s="261">
        <v>13.011900000000001</v>
      </c>
      <c r="U369" s="261">
        <v>13.076499999999999</v>
      </c>
      <c r="V369" s="261">
        <v>13.0837</v>
      </c>
      <c r="W369" s="261">
        <v>13.032299999999999</v>
      </c>
      <c r="X369" s="261">
        <v>13.4541</v>
      </c>
      <c r="Y369" s="261">
        <v>14.718</v>
      </c>
      <c r="Z369" s="261">
        <v>15.154199999999999</v>
      </c>
      <c r="AA369" s="261">
        <v>15.567600000000001</v>
      </c>
      <c r="AB369" s="261">
        <v>17.007300000000001</v>
      </c>
      <c r="AC369" s="261">
        <v>17.206499999999998</v>
      </c>
      <c r="AD369" s="261">
        <v>17.401499999999999</v>
      </c>
      <c r="AE369" s="261">
        <v>18.911300000000001</v>
      </c>
      <c r="AF369" s="261">
        <v>19.5002</v>
      </c>
      <c r="AG369" s="261">
        <v>20.731400000000001</v>
      </c>
      <c r="AH369" s="261">
        <v>18.809200000000001</v>
      </c>
      <c r="AI369" s="261">
        <v>17.897300000000001</v>
      </c>
      <c r="AJ369" s="261">
        <v>18.13</v>
      </c>
      <c r="AK369" s="261">
        <v>19.7867</v>
      </c>
      <c r="AL369" s="261">
        <v>18.326799999999999</v>
      </c>
      <c r="AM369" s="261">
        <v>20.055299999999999</v>
      </c>
      <c r="AN369" s="261">
        <v>18.898599999999998</v>
      </c>
      <c r="AO369" s="261">
        <v>19.6829</v>
      </c>
      <c r="AP369" s="261">
        <v>19.3201</v>
      </c>
      <c r="AQ369" s="261">
        <v>19.144200000000001</v>
      </c>
      <c r="AR369" s="261">
        <v>19.636299999999999</v>
      </c>
      <c r="AS369" s="261">
        <v>18.845199999999998</v>
      </c>
      <c r="AT369" s="261">
        <v>23.5122</v>
      </c>
      <c r="AU369" s="261">
        <v>22.971499999999999</v>
      </c>
      <c r="AV369" s="261">
        <v>22.4573</v>
      </c>
      <c r="AW369" s="261">
        <v>20.25</v>
      </c>
      <c r="AX369" s="261">
        <v>20</v>
      </c>
      <c r="AY369" s="261">
        <v>19.75</v>
      </c>
      <c r="AZ369" s="261">
        <v>20</v>
      </c>
      <c r="BA369" s="261">
        <v>20.322500000000002</v>
      </c>
      <c r="BB369" s="261">
        <v>20.487442187500001</v>
      </c>
      <c r="BC369" s="261">
        <v>20.018890769230801</v>
      </c>
      <c r="BD369" s="261">
        <v>20.221340909090902</v>
      </c>
      <c r="BE369" s="261">
        <v>19.655358461538501</v>
      </c>
      <c r="BF369" s="261">
        <v>18.6359030769231</v>
      </c>
      <c r="BG369" s="261">
        <v>17.660956923076899</v>
      </c>
      <c r="BH369" s="261">
        <v>17.058746153846101</v>
      </c>
      <c r="BI369" s="261">
        <v>17.543401538461499</v>
      </c>
      <c r="BJ369" s="261">
        <v>16.968044615384599</v>
      </c>
      <c r="BK369" s="1175">
        <v>17.233104615384601</v>
      </c>
      <c r="BL369" s="261">
        <v>18.22</v>
      </c>
      <c r="BM369" s="261">
        <v>18.48</v>
      </c>
      <c r="BN369" s="261">
        <v>18.739999999999998</v>
      </c>
      <c r="BO369" s="261">
        <v>19.010000000000002</v>
      </c>
      <c r="BP369" s="261">
        <v>19.010000000000002</v>
      </c>
      <c r="BQ369" s="261">
        <v>19.55</v>
      </c>
      <c r="BR369" s="261">
        <v>20.63</v>
      </c>
      <c r="BS369" s="261">
        <v>20.63</v>
      </c>
      <c r="BT369" s="261">
        <v>20.63</v>
      </c>
      <c r="BU369" s="261">
        <v>20.63</v>
      </c>
      <c r="BV369" s="261"/>
      <c r="BW369" s="261"/>
      <c r="BX369" s="261"/>
      <c r="BY369" s="261"/>
    </row>
    <row r="370" spans="1:101">
      <c r="A370" s="13" t="s">
        <v>1368</v>
      </c>
      <c r="B370" s="261"/>
      <c r="C370" s="261"/>
      <c r="D370" s="261"/>
      <c r="E370" s="261"/>
      <c r="F370" s="261"/>
      <c r="G370" s="261"/>
      <c r="H370" s="261"/>
      <c r="I370" s="261"/>
      <c r="J370" s="261"/>
      <c r="K370" s="261"/>
      <c r="L370" s="261"/>
      <c r="M370" s="261"/>
      <c r="N370" s="261"/>
      <c r="O370" s="261"/>
      <c r="P370" s="261"/>
      <c r="Q370" s="261"/>
      <c r="R370" s="261"/>
      <c r="S370" s="261"/>
      <c r="T370" s="261"/>
      <c r="U370" s="261"/>
      <c r="V370" s="261"/>
      <c r="W370" s="261"/>
      <c r="X370" s="261"/>
      <c r="Y370" s="261"/>
      <c r="Z370" s="261"/>
      <c r="AA370" s="261"/>
      <c r="AB370" s="261"/>
      <c r="AC370" s="261"/>
      <c r="AD370" s="261"/>
      <c r="AE370" s="261"/>
      <c r="AF370" s="261"/>
      <c r="AG370" s="261"/>
      <c r="AH370" s="261"/>
      <c r="AI370" s="261"/>
      <c r="AJ370" s="261"/>
      <c r="AK370" s="261"/>
      <c r="AL370" s="261"/>
      <c r="AM370" s="261"/>
      <c r="AN370" s="261"/>
      <c r="AO370" s="261"/>
      <c r="AP370" s="261"/>
      <c r="AQ370" s="261"/>
      <c r="AR370" s="261"/>
      <c r="AS370" s="261"/>
      <c r="AT370" s="261"/>
      <c r="AU370" s="261"/>
      <c r="AV370" s="261"/>
      <c r="AW370" s="261"/>
      <c r="AX370" s="261"/>
      <c r="AY370" s="261"/>
      <c r="AZ370" s="261"/>
      <c r="BA370" s="261"/>
      <c r="BB370" s="261"/>
      <c r="BC370" s="261"/>
      <c r="BD370" s="261"/>
      <c r="BE370" s="261"/>
      <c r="BF370" s="261"/>
      <c r="BG370" s="261"/>
      <c r="BH370" s="261"/>
      <c r="BI370" s="261"/>
      <c r="BJ370" s="261"/>
      <c r="BK370" s="1175"/>
      <c r="BL370" s="261"/>
      <c r="BM370" s="261"/>
      <c r="BN370" s="261"/>
      <c r="BO370" s="261"/>
      <c r="BP370" s="261"/>
      <c r="BQ370" s="261"/>
      <c r="BR370" s="261"/>
      <c r="BS370" s="261"/>
      <c r="BT370" s="261"/>
      <c r="BU370" s="261"/>
      <c r="BV370" s="261"/>
      <c r="BW370" s="261"/>
      <c r="BX370" s="261"/>
      <c r="BY370" s="261"/>
    </row>
    <row r="371" spans="1:101">
      <c r="A371" s="9" t="s">
        <v>1517</v>
      </c>
      <c r="B371" s="261">
        <v>3.19</v>
      </c>
      <c r="C371" s="261">
        <v>3.0233333333333334</v>
      </c>
      <c r="D371" s="261">
        <v>2.956666666666667</v>
      </c>
      <c r="E371" s="261">
        <v>2.8800000000000003</v>
      </c>
      <c r="F371" s="261">
        <v>2.85</v>
      </c>
      <c r="G371" s="261">
        <v>2.8433333333333333</v>
      </c>
      <c r="H371" s="261">
        <v>2.8033333333333332</v>
      </c>
      <c r="I371" s="261">
        <v>2.8066666666666666</v>
      </c>
      <c r="J371" s="261">
        <v>2.8035000000000001</v>
      </c>
      <c r="K371" s="261">
        <v>2.7490000000000001</v>
      </c>
      <c r="L371" s="261">
        <v>2.7725</v>
      </c>
      <c r="M371" s="261">
        <v>2.6964999999999999</v>
      </c>
      <c r="N371" s="261">
        <v>2.6675</v>
      </c>
      <c r="O371" s="261">
        <v>2.6709999999999998</v>
      </c>
      <c r="P371" s="261">
        <v>2.5975000000000001</v>
      </c>
      <c r="Q371" s="261">
        <v>2.5495000000000001</v>
      </c>
      <c r="R371" s="261">
        <v>2.5905</v>
      </c>
      <c r="S371" s="261">
        <v>2.7810000000000001</v>
      </c>
      <c r="T371" s="261">
        <v>2.7825000000000002</v>
      </c>
      <c r="U371" s="261">
        <v>2.7965</v>
      </c>
      <c r="V371" s="261">
        <v>2.8085</v>
      </c>
      <c r="W371" s="261">
        <v>2.7955000000000001</v>
      </c>
      <c r="X371" s="261">
        <v>2.8915000000000002</v>
      </c>
      <c r="Y371" s="261">
        <v>2.9809999999999999</v>
      </c>
      <c r="Z371" s="261">
        <v>3.0979999999999999</v>
      </c>
      <c r="AA371" s="261">
        <v>3.1779999999999999</v>
      </c>
      <c r="AB371" s="261">
        <v>3.2229999999999999</v>
      </c>
      <c r="AC371" s="261">
        <v>3.411</v>
      </c>
      <c r="AD371" s="261">
        <v>3.3250000000000002</v>
      </c>
      <c r="AE371" s="261">
        <v>3.2894999999999999</v>
      </c>
      <c r="AF371" s="261">
        <v>3.3965000000000001</v>
      </c>
      <c r="AG371" s="261">
        <v>3.3555000000000001</v>
      </c>
      <c r="AH371" s="261">
        <v>3.2494999999999998</v>
      </c>
      <c r="AI371" s="261">
        <v>3.2515000000000001</v>
      </c>
      <c r="AJ371" s="261">
        <v>3.2654999999999998</v>
      </c>
      <c r="AK371" s="261">
        <v>3.24</v>
      </c>
      <c r="AL371" s="261">
        <v>3.2275</v>
      </c>
      <c r="AM371" s="261">
        <v>3.2730000000000001</v>
      </c>
      <c r="AN371" s="261">
        <v>3.3</v>
      </c>
      <c r="AO371" s="261">
        <v>3.3730000000000002</v>
      </c>
      <c r="AP371" s="261">
        <v>3.3195000000000001</v>
      </c>
      <c r="AQ371" s="261">
        <v>3.2890000000000001</v>
      </c>
      <c r="AR371" s="261">
        <v>3.3824999999999998</v>
      </c>
      <c r="AS371" s="261">
        <v>3.3130000000000002</v>
      </c>
      <c r="AT371" s="261">
        <v>3.4375</v>
      </c>
      <c r="AU371" s="261">
        <v>3.5419999999999998</v>
      </c>
      <c r="AV371" s="261">
        <v>3.5985</v>
      </c>
      <c r="AW371" s="261">
        <v>3.57</v>
      </c>
      <c r="AX371" s="261">
        <v>3.53</v>
      </c>
      <c r="AY371" s="261">
        <v>3.49</v>
      </c>
      <c r="AZ371" s="261">
        <v>3.5</v>
      </c>
      <c r="BA371" s="261">
        <v>3.9324999999999997</v>
      </c>
      <c r="BB371" s="261">
        <v>3.7959109375</v>
      </c>
      <c r="BC371" s="261">
        <v>3.74143076923077</v>
      </c>
      <c r="BD371" s="261">
        <v>3.8799545454545501</v>
      </c>
      <c r="BE371" s="261">
        <v>3.8779969230769198</v>
      </c>
      <c r="BF371" s="261">
        <v>3.7996092307692302</v>
      </c>
      <c r="BG371" s="261">
        <v>3.6822353846153799</v>
      </c>
      <c r="BH371" s="261">
        <v>3.6620338461538502</v>
      </c>
      <c r="BI371" s="261">
        <v>3.7659338461538501</v>
      </c>
      <c r="BJ371" s="261">
        <v>3.7439153846153799</v>
      </c>
      <c r="BK371" s="1175">
        <v>3.7297430769230799</v>
      </c>
      <c r="BL371" s="261">
        <v>3.79</v>
      </c>
      <c r="BM371" s="261">
        <v>3.79</v>
      </c>
      <c r="BN371" s="261">
        <v>3.79</v>
      </c>
      <c r="BO371" s="261">
        <v>3.8</v>
      </c>
      <c r="BP371" s="261">
        <v>3.8</v>
      </c>
      <c r="BQ371" s="261">
        <v>3.81</v>
      </c>
      <c r="BR371" s="261">
        <v>3.87</v>
      </c>
      <c r="BS371" s="261">
        <v>3.87</v>
      </c>
      <c r="BT371" s="261">
        <v>3.87</v>
      </c>
      <c r="BU371" s="261">
        <v>3.87</v>
      </c>
      <c r="BV371" s="261"/>
      <c r="BW371" s="261"/>
      <c r="BX371" s="261"/>
      <c r="BY371" s="261"/>
    </row>
    <row r="372" spans="1:101">
      <c r="A372" s="13" t="s">
        <v>1518</v>
      </c>
      <c r="B372" s="261"/>
      <c r="C372" s="261"/>
      <c r="D372" s="261"/>
      <c r="E372" s="261"/>
      <c r="F372" s="261"/>
      <c r="G372" s="261"/>
      <c r="H372" s="261"/>
      <c r="I372" s="261"/>
      <c r="J372" s="261"/>
      <c r="K372" s="261"/>
      <c r="L372" s="261"/>
      <c r="M372" s="261"/>
      <c r="N372" s="261"/>
      <c r="O372" s="261"/>
      <c r="P372" s="261"/>
      <c r="Q372" s="261"/>
      <c r="R372" s="261"/>
      <c r="S372" s="261"/>
      <c r="T372" s="261"/>
      <c r="U372" s="261"/>
      <c r="V372" s="261"/>
      <c r="W372" s="261"/>
      <c r="X372" s="261"/>
      <c r="Y372" s="261"/>
      <c r="Z372" s="261"/>
      <c r="AA372" s="261"/>
      <c r="AB372" s="261"/>
      <c r="AC372" s="261"/>
      <c r="AD372" s="261"/>
      <c r="AE372" s="261"/>
      <c r="AF372" s="261"/>
      <c r="AG372" s="261"/>
      <c r="AH372" s="261"/>
      <c r="AI372" s="261"/>
      <c r="AJ372" s="261"/>
      <c r="AK372" s="261"/>
      <c r="AL372" s="261"/>
      <c r="AM372" s="261"/>
      <c r="AN372" s="261"/>
      <c r="AO372" s="261"/>
      <c r="AP372" s="261"/>
      <c r="AQ372" s="261"/>
      <c r="AR372" s="261"/>
      <c r="AS372" s="261"/>
      <c r="AT372" s="261"/>
      <c r="AU372" s="261"/>
      <c r="AV372" s="261"/>
      <c r="AW372" s="261"/>
      <c r="AX372" s="261"/>
      <c r="AY372" s="261"/>
      <c r="AZ372" s="261"/>
      <c r="BA372" s="261"/>
      <c r="BB372" s="261"/>
      <c r="BC372" s="261"/>
      <c r="BD372" s="261"/>
      <c r="BE372" s="261"/>
      <c r="BF372" s="261"/>
      <c r="BG372" s="261"/>
      <c r="BH372" s="261"/>
      <c r="BI372" s="261"/>
      <c r="BJ372" s="261"/>
      <c r="BK372" s="1175"/>
      <c r="BL372" s="261"/>
      <c r="BM372" s="261"/>
      <c r="BN372" s="261"/>
      <c r="BO372" s="261"/>
      <c r="BP372" s="261"/>
      <c r="BQ372" s="261"/>
      <c r="BR372" s="261"/>
      <c r="BS372" s="261"/>
      <c r="BT372" s="261"/>
      <c r="BU372" s="261"/>
      <c r="BV372" s="261"/>
      <c r="BW372" s="261"/>
      <c r="BX372" s="261"/>
      <c r="BY372" s="261"/>
    </row>
    <row r="373" spans="1:101">
      <c r="A373" s="9" t="s">
        <v>1519</v>
      </c>
      <c r="B373" s="261">
        <v>1.39005</v>
      </c>
      <c r="C373" s="261">
        <v>1.3228500000000001</v>
      </c>
      <c r="D373" s="261">
        <v>1.4131</v>
      </c>
      <c r="E373" s="261">
        <v>1.4561500000000001</v>
      </c>
      <c r="F373" s="261">
        <v>1.43475</v>
      </c>
      <c r="G373" s="261">
        <v>1.35375</v>
      </c>
      <c r="H373" s="261">
        <v>1.2455000000000001</v>
      </c>
      <c r="I373" s="261">
        <v>1.3746499999999999</v>
      </c>
      <c r="J373" s="261">
        <v>1.3362000000000001</v>
      </c>
      <c r="K373" s="261">
        <v>1.4146000000000001</v>
      </c>
      <c r="L373" s="261">
        <v>1.44825</v>
      </c>
      <c r="M373" s="261">
        <v>1.3273999999999999</v>
      </c>
      <c r="N373" s="261">
        <v>1.2981499999999999</v>
      </c>
      <c r="O373" s="261">
        <v>1.3301000000000001</v>
      </c>
      <c r="P373" s="261">
        <v>1.2584</v>
      </c>
      <c r="Q373" s="261">
        <v>1.2905</v>
      </c>
      <c r="R373" s="261">
        <v>1.3184</v>
      </c>
      <c r="S373" s="261">
        <v>1.2847</v>
      </c>
      <c r="T373" s="261">
        <v>1.30355</v>
      </c>
      <c r="U373" s="261">
        <v>1.3525499999999999</v>
      </c>
      <c r="V373" s="261">
        <v>1.37825</v>
      </c>
      <c r="W373" s="261">
        <v>1.3691500000000001</v>
      </c>
      <c r="X373" s="261">
        <v>1.26325</v>
      </c>
      <c r="Y373" s="261">
        <v>1.2100500000000001</v>
      </c>
      <c r="Z373" s="261">
        <v>1.0740000000000001</v>
      </c>
      <c r="AA373" s="261">
        <v>1.1142000000000001</v>
      </c>
      <c r="AB373" s="261">
        <v>1.11625</v>
      </c>
      <c r="AC373" s="261">
        <v>1.0863</v>
      </c>
      <c r="AD373" s="261">
        <v>1.1395500000000001</v>
      </c>
      <c r="AE373" s="261">
        <v>1.1299999999999999</v>
      </c>
      <c r="AF373" s="261">
        <v>1.1599999999999999</v>
      </c>
      <c r="AG373" s="261">
        <v>1.05</v>
      </c>
      <c r="AH373" s="261">
        <v>1.05</v>
      </c>
      <c r="AI373" s="261">
        <v>1.17</v>
      </c>
      <c r="AJ373" s="261">
        <v>1.19</v>
      </c>
      <c r="AK373" s="261">
        <v>1.22</v>
      </c>
      <c r="AL373" s="261">
        <v>1.25</v>
      </c>
      <c r="AM373" s="261">
        <v>1.21</v>
      </c>
      <c r="AN373" s="261">
        <v>1.18</v>
      </c>
      <c r="AO373" s="261">
        <v>1.1599999999999999</v>
      </c>
      <c r="AP373" s="261">
        <v>1.1599999999999999</v>
      </c>
      <c r="AQ373" s="261">
        <v>1.17</v>
      </c>
      <c r="AR373" s="261">
        <v>1.1000000000000001</v>
      </c>
      <c r="AS373" s="261">
        <v>1.1299999999999999</v>
      </c>
      <c r="AT373" s="261">
        <v>1.1599999999999999</v>
      </c>
      <c r="AU373" s="261">
        <v>1.18</v>
      </c>
      <c r="AV373" s="261">
        <v>1.17</v>
      </c>
      <c r="AW373" s="261">
        <v>1.1599999999999999</v>
      </c>
      <c r="AX373" s="261">
        <v>1.17</v>
      </c>
      <c r="AY373" s="261">
        <v>1.18</v>
      </c>
      <c r="AZ373" s="261">
        <v>1.19</v>
      </c>
      <c r="BA373" s="261">
        <v>1.2</v>
      </c>
      <c r="BB373" s="261">
        <v>1.1215828125</v>
      </c>
      <c r="BC373" s="261">
        <v>1.06447538461538</v>
      </c>
      <c r="BD373" s="261">
        <v>1.0065696969697</v>
      </c>
      <c r="BE373" s="261">
        <v>1.02186615384615</v>
      </c>
      <c r="BF373" s="261">
        <v>1.07298153846154</v>
      </c>
      <c r="BG373" s="261">
        <v>1.08868769230769</v>
      </c>
      <c r="BH373" s="261">
        <v>1.08773846153846</v>
      </c>
      <c r="BI373" s="261">
        <v>1.0762323076923099</v>
      </c>
      <c r="BJ373" s="261">
        <v>1.0857246153846101</v>
      </c>
      <c r="BK373" s="1175">
        <v>1.0765030769230799</v>
      </c>
      <c r="BL373" s="261">
        <v>1.0900000000000001</v>
      </c>
      <c r="BM373" s="261">
        <v>1.0900000000000001</v>
      </c>
      <c r="BN373" s="261">
        <v>1.1000000000000001</v>
      </c>
      <c r="BO373" s="261">
        <v>1.1000000000000001</v>
      </c>
      <c r="BP373" s="261">
        <v>1.1000000000000001</v>
      </c>
      <c r="BQ373" s="261">
        <v>1.1100000000000001</v>
      </c>
      <c r="BR373" s="261">
        <v>1.1200000000000001</v>
      </c>
      <c r="BS373" s="261">
        <v>1.1200000000000001</v>
      </c>
      <c r="BT373" s="261">
        <v>1.1200000000000001</v>
      </c>
      <c r="BU373" s="261">
        <v>1.1200000000000001</v>
      </c>
    </row>
    <row r="374" spans="1:101">
      <c r="A374" s="9" t="s">
        <v>1544</v>
      </c>
      <c r="AL374" s="9">
        <f t="shared" ref="AL374:BI374" si="1840">AL373*AL369</f>
        <v>22.908499999999997</v>
      </c>
      <c r="AM374" s="9">
        <f t="shared" si="1840"/>
        <v>24.266912999999999</v>
      </c>
      <c r="AN374" s="9">
        <f t="shared" si="1840"/>
        <v>22.300347999999996</v>
      </c>
      <c r="AO374" s="9">
        <f t="shared" si="1840"/>
        <v>22.832163999999999</v>
      </c>
      <c r="AP374" s="9">
        <f t="shared" si="1840"/>
        <v>22.411315999999999</v>
      </c>
      <c r="AQ374" s="9">
        <f t="shared" si="1840"/>
        <v>22.398714000000002</v>
      </c>
      <c r="AR374" s="9">
        <f t="shared" si="1840"/>
        <v>21.599930000000001</v>
      </c>
      <c r="AS374" s="9">
        <f t="shared" si="1840"/>
        <v>21.295075999999995</v>
      </c>
      <c r="AT374" s="9">
        <f t="shared" si="1840"/>
        <v>27.274151999999997</v>
      </c>
      <c r="AU374" s="9">
        <f t="shared" si="1840"/>
        <v>27.106369999999998</v>
      </c>
      <c r="AV374" s="9">
        <f t="shared" si="1840"/>
        <v>26.275040999999998</v>
      </c>
      <c r="AW374" s="9">
        <f t="shared" si="1840"/>
        <v>23.49</v>
      </c>
      <c r="AX374" s="9">
        <f t="shared" si="1840"/>
        <v>23.4</v>
      </c>
      <c r="AY374" s="9">
        <f t="shared" si="1840"/>
        <v>23.305</v>
      </c>
      <c r="AZ374" s="9">
        <f t="shared" si="1840"/>
        <v>23.799999999999997</v>
      </c>
      <c r="BA374" s="9">
        <f t="shared" si="1840"/>
        <v>24.387</v>
      </c>
      <c r="BB374" s="9">
        <f t="shared" si="1840"/>
        <v>22.978363029587403</v>
      </c>
      <c r="BC374" s="9">
        <f t="shared" si="1840"/>
        <v>21.309616451150237</v>
      </c>
      <c r="BD374" s="9">
        <f t="shared" si="1840"/>
        <v>20.354188991184628</v>
      </c>
      <c r="BE374" s="9">
        <f t="shared" si="1840"/>
        <v>20.085145553559727</v>
      </c>
      <c r="BF374" s="9">
        <f t="shared" si="1840"/>
        <v>19.995979954097095</v>
      </c>
      <c r="BG374" s="9">
        <f t="shared" si="1840"/>
        <v>19.227266436530112</v>
      </c>
      <c r="BH374" s="9">
        <f t="shared" si="1840"/>
        <v>18.555454297159681</v>
      </c>
      <c r="BI374" s="9">
        <f t="shared" si="1840"/>
        <v>18.880775522511239</v>
      </c>
      <c r="BJ374" s="9">
        <f>BJ373*BJ369</f>
        <v>18.422623713867349</v>
      </c>
      <c r="BK374" s="9">
        <f t="shared" ref="BK374" si="1841">BK373*BK369</f>
        <v>18.551490143398851</v>
      </c>
      <c r="BL374" s="9">
        <f t="shared" ref="BL374:BU374" si="1842">BL373*BL369</f>
        <v>19.8598</v>
      </c>
      <c r="BM374" s="9">
        <f t="shared" si="1842"/>
        <v>20.1432</v>
      </c>
      <c r="BN374" s="9">
        <f t="shared" si="1842"/>
        <v>20.614000000000001</v>
      </c>
      <c r="BO374" s="9">
        <f t="shared" si="1842"/>
        <v>20.911000000000005</v>
      </c>
      <c r="BP374" s="9">
        <f t="shared" si="1842"/>
        <v>20.911000000000005</v>
      </c>
      <c r="BQ374" s="9">
        <f t="shared" si="1842"/>
        <v>21.700500000000002</v>
      </c>
      <c r="BR374" s="9">
        <f t="shared" si="1842"/>
        <v>23.105600000000003</v>
      </c>
      <c r="BS374" s="9">
        <f t="shared" si="1842"/>
        <v>23.105600000000003</v>
      </c>
      <c r="BT374" s="9">
        <f t="shared" si="1842"/>
        <v>23.105600000000003</v>
      </c>
      <c r="BU374" s="9">
        <f t="shared" si="1842"/>
        <v>23.105600000000003</v>
      </c>
    </row>
    <row r="375" spans="1:101">
      <c r="BK375" s="2004">
        <f>BK374/BG374-1</f>
        <v>-3.5146769061635608E-2</v>
      </c>
    </row>
    <row r="376" spans="1:101">
      <c r="A376" s="627"/>
      <c r="B376" s="628"/>
      <c r="C376" s="628"/>
      <c r="D376" s="628"/>
      <c r="E376" s="628"/>
      <c r="F376" s="628"/>
      <c r="G376" s="628"/>
      <c r="H376" s="628"/>
      <c r="I376" s="628"/>
      <c r="J376" s="628"/>
      <c r="K376" s="628"/>
      <c r="L376" s="628"/>
      <c r="M376" s="628"/>
      <c r="N376" s="628"/>
      <c r="O376" s="628"/>
      <c r="P376" s="628"/>
      <c r="Q376" s="628"/>
      <c r="R376" s="628"/>
      <c r="S376" s="628"/>
      <c r="T376" s="628"/>
      <c r="U376" s="628"/>
      <c r="V376" s="628"/>
      <c r="W376" s="628"/>
      <c r="X376" s="628"/>
      <c r="Y376" s="628"/>
      <c r="Z376" s="628"/>
      <c r="AA376" s="628"/>
      <c r="AB376" s="628"/>
      <c r="AC376" s="628"/>
      <c r="AD376" s="628"/>
      <c r="AE376" s="628"/>
      <c r="AF376" s="628"/>
      <c r="AG376" s="628"/>
      <c r="AH376" s="628"/>
      <c r="AI376" s="628"/>
      <c r="AJ376" s="628"/>
      <c r="AK376" s="628"/>
      <c r="AL376" s="629"/>
      <c r="AM376" s="629"/>
      <c r="AN376" s="629"/>
      <c r="AO376" s="629"/>
      <c r="AP376" s="629"/>
      <c r="AQ376" s="629"/>
      <c r="AR376" s="629"/>
      <c r="AS376" s="629"/>
      <c r="AT376" s="629"/>
      <c r="AU376" s="629"/>
      <c r="AV376" s="629"/>
      <c r="AW376" s="629"/>
      <c r="AX376" s="629"/>
      <c r="AY376" s="629"/>
      <c r="AZ376" s="629"/>
      <c r="BA376" s="629"/>
      <c r="BB376" s="629"/>
      <c r="BC376" s="629"/>
      <c r="BD376" s="629"/>
      <c r="BE376" s="629"/>
      <c r="BF376" s="629"/>
      <c r="BG376" s="629"/>
      <c r="BH376" s="629"/>
      <c r="BI376" s="629"/>
      <c r="BJ376" s="629"/>
      <c r="BK376" s="629"/>
      <c r="BL376" s="629"/>
      <c r="BM376" s="629"/>
      <c r="BN376" s="629"/>
      <c r="BO376" s="629"/>
      <c r="BP376" s="629"/>
      <c r="BQ376" s="629"/>
      <c r="BR376" s="629"/>
      <c r="BS376" s="629"/>
      <c r="BT376" s="629"/>
      <c r="BU376" s="629"/>
      <c r="BV376" s="296"/>
      <c r="BW376" s="296"/>
      <c r="BX376" s="296"/>
      <c r="BY376" s="296"/>
      <c r="BZ376" s="296"/>
      <c r="CA376" s="296"/>
      <c r="CB376" s="296"/>
      <c r="CC376" s="296"/>
      <c r="CD376" s="296"/>
      <c r="CE376" s="296"/>
      <c r="CF376" s="296"/>
      <c r="CG376" s="296"/>
      <c r="CH376" s="296"/>
      <c r="CI376" s="296"/>
      <c r="CJ376" s="296"/>
      <c r="CK376" s="296"/>
      <c r="CL376" s="296"/>
      <c r="CM376" s="296"/>
      <c r="CN376" s="296"/>
      <c r="CO376" s="296"/>
      <c r="CP376" s="296"/>
      <c r="CQ376" s="296"/>
      <c r="CR376" s="296"/>
      <c r="CS376" s="296"/>
      <c r="CT376" s="296"/>
      <c r="CU376" s="296"/>
      <c r="CV376" s="296"/>
      <c r="CW376" s="296"/>
    </row>
    <row r="377" spans="1:101">
      <c r="A377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377" s="4"/>
      <c r="C377" s="4"/>
      <c r="D377" s="4"/>
      <c r="E377" s="4"/>
      <c r="F377" s="4"/>
      <c r="G377" s="4"/>
      <c r="H377" s="12"/>
      <c r="I377" s="624"/>
      <c r="J377" s="4"/>
      <c r="K377" s="4"/>
      <c r="L377" s="12"/>
      <c r="M377" s="624"/>
      <c r="N377" s="4"/>
      <c r="O377" s="4"/>
      <c r="P377" s="625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631"/>
      <c r="AH377" s="4"/>
      <c r="AI377" s="4"/>
      <c r="AJ377" s="4"/>
      <c r="AK377" s="4"/>
      <c r="AL377" s="4"/>
      <c r="AM377" s="4"/>
      <c r="AN377" s="4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626"/>
      <c r="BR377" s="626"/>
      <c r="BS377" s="626"/>
      <c r="BT377" s="626"/>
      <c r="BU377" s="626" t="s">
        <v>281</v>
      </c>
      <c r="BV377" s="626"/>
      <c r="BW377" s="626"/>
      <c r="BX377" s="626"/>
      <c r="BY377" s="626"/>
      <c r="BZ377" s="626"/>
      <c r="CA377" s="626"/>
      <c r="CB377" s="626"/>
      <c r="CC377" s="626"/>
      <c r="CD377" s="626"/>
      <c r="CE377" s="626"/>
      <c r="CF377" s="626"/>
      <c r="CG377" s="626"/>
      <c r="CH377" s="626"/>
      <c r="CI377" s="626"/>
      <c r="CJ377" s="626"/>
      <c r="CK377" s="626"/>
      <c r="CL377" s="626"/>
      <c r="CM377" s="626"/>
      <c r="CN377" s="626"/>
      <c r="CO377" s="626"/>
      <c r="CP377" s="626"/>
      <c r="CQ377" s="626"/>
      <c r="CR377" s="626"/>
      <c r="CS377" s="626"/>
      <c r="CT377" s="626"/>
      <c r="CU377" s="626"/>
      <c r="CV377" s="626"/>
      <c r="CW377" s="626"/>
    </row>
  </sheetData>
  <phoneticPr fontId="18" type="noConversion"/>
  <pageMargins left="0.5" right="0.25" top="0.5" bottom="0.5" header="0.5" footer="0.5"/>
  <pageSetup scale="3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3" tint="0.59999389629810485"/>
    <pageSetUpPr fitToPage="1"/>
  </sheetPr>
  <dimension ref="A1:CY160"/>
  <sheetViews>
    <sheetView showGridLines="0" zoomScaleNormal="100" workbookViewId="0">
      <pane xSplit="1" ySplit="4" topLeftCell="AD5" activePane="bottomRight" state="frozen"/>
      <selection pane="topRight" activeCell="B1" sqref="B1"/>
      <selection pane="bottomLeft" activeCell="A5" sqref="A5"/>
      <selection pane="bottomRight" activeCell="AD5" sqref="AD5"/>
    </sheetView>
  </sheetViews>
  <sheetFormatPr baseColWidth="10" defaultColWidth="9.42578125" defaultRowHeight="11.25" outlineLevelCol="1"/>
  <cols>
    <col min="1" max="1" width="44.42578125" style="9" customWidth="1"/>
    <col min="2" max="6" width="9.42578125" style="9" hidden="1" customWidth="1" outlineLevel="1"/>
    <col min="7" max="7" width="9.5703125" style="9" hidden="1" customWidth="1" outlineLevel="1"/>
    <col min="8" max="21" width="9.42578125" style="9" hidden="1" customWidth="1" outlineLevel="1"/>
    <col min="22" max="23" width="9.5703125" style="9" hidden="1" customWidth="1" outlineLevel="1"/>
    <col min="24" max="29" width="9.42578125" style="9" hidden="1" customWidth="1" outlineLevel="1"/>
    <col min="30" max="30" width="8.5703125" style="9" customWidth="1" collapsed="1"/>
    <col min="31" max="61" width="8.5703125" style="9" customWidth="1"/>
    <col min="62" max="62" width="9" style="9" bestFit="1" customWidth="1"/>
    <col min="63" max="69" width="8.5703125" style="9" customWidth="1"/>
    <col min="70" max="101" width="9.42578125" style="9" hidden="1" customWidth="1" outlineLevel="1"/>
    <col min="102" max="102" width="9.42578125" style="9" collapsed="1"/>
    <col min="103" max="16384" width="9.42578125" style="9"/>
  </cols>
  <sheetData>
    <row r="1" spans="1:101" ht="18">
      <c r="A1" s="24" t="str">
        <f>Index!$G$12</f>
        <v>Alsea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409"/>
      <c r="AB1" s="409"/>
      <c r="AC1" s="409"/>
      <c r="AD1" s="409"/>
      <c r="AE1" s="409"/>
      <c r="AF1" s="552"/>
      <c r="AG1" s="552"/>
      <c r="AH1" s="552"/>
      <c r="AI1" s="552"/>
      <c r="AJ1" s="552"/>
      <c r="AK1" s="552"/>
      <c r="AL1" s="552"/>
      <c r="AM1" s="552"/>
      <c r="AN1" s="552"/>
      <c r="AO1" s="552"/>
      <c r="AP1" s="552"/>
      <c r="AQ1" s="552"/>
      <c r="AR1" s="1399"/>
      <c r="AS1" s="552"/>
      <c r="AT1" s="552"/>
      <c r="AU1" s="552"/>
      <c r="AV1" s="552"/>
      <c r="AW1" s="552"/>
      <c r="AX1" s="552"/>
      <c r="AY1" s="552"/>
      <c r="AZ1" s="552"/>
      <c r="BA1" s="552"/>
      <c r="BB1" s="552"/>
      <c r="BC1" s="552"/>
      <c r="BD1" s="552"/>
      <c r="BE1" s="552"/>
      <c r="BF1" s="552"/>
      <c r="BG1" s="1948"/>
      <c r="BH1" s="1948"/>
      <c r="BI1" s="1948"/>
      <c r="BJ1" s="1948"/>
      <c r="BK1" s="1948"/>
      <c r="BL1" s="1948"/>
      <c r="BM1" s="1948"/>
      <c r="BN1" s="1948"/>
      <c r="BO1" s="1948"/>
      <c r="BP1" s="1948"/>
      <c r="BQ1" s="1948"/>
      <c r="BR1" s="409"/>
      <c r="BS1" s="409"/>
      <c r="BT1" s="409"/>
      <c r="BU1" s="409"/>
      <c r="BV1" s="409"/>
      <c r="BW1" s="409"/>
      <c r="BX1" s="409"/>
      <c r="BY1" s="409"/>
      <c r="BZ1" s="409"/>
      <c r="CA1" s="409"/>
      <c r="CB1" s="409"/>
      <c r="CC1" s="409"/>
      <c r="CD1" s="409"/>
      <c r="CE1" s="409"/>
      <c r="CF1" s="409"/>
      <c r="CG1" s="409"/>
      <c r="CH1" s="409"/>
      <c r="CI1" s="409"/>
      <c r="CJ1" s="409"/>
      <c r="CK1" s="409"/>
      <c r="CL1" s="409"/>
      <c r="CM1" s="409"/>
      <c r="CN1" s="409"/>
      <c r="CO1" s="409"/>
      <c r="CP1" s="409"/>
      <c r="CQ1" s="409"/>
      <c r="CR1" s="409"/>
      <c r="CS1" s="409"/>
      <c r="CT1" s="409"/>
      <c r="CU1" s="409"/>
      <c r="CV1" s="409"/>
      <c r="CW1" s="409"/>
    </row>
    <row r="2" spans="1:101" ht="12.75">
      <c r="A2" s="551" t="s">
        <v>533</v>
      </c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2064" t="s">
        <v>154</v>
      </c>
      <c r="V2" s="2064" t="s">
        <v>155</v>
      </c>
      <c r="W2" s="2064" t="s">
        <v>156</v>
      </c>
      <c r="X2" s="2064" t="s">
        <v>157</v>
      </c>
      <c r="Y2" s="2064" t="s">
        <v>158</v>
      </c>
      <c r="Z2" s="2064" t="s">
        <v>159</v>
      </c>
      <c r="AA2" s="2064" t="s">
        <v>160</v>
      </c>
      <c r="AB2" s="2064" t="s">
        <v>161</v>
      </c>
      <c r="AC2" s="2064" t="s">
        <v>162</v>
      </c>
      <c r="AD2" s="2064" t="s">
        <v>163</v>
      </c>
      <c r="AE2" s="2064" t="s">
        <v>164</v>
      </c>
      <c r="AF2" s="2064" t="s">
        <v>165</v>
      </c>
      <c r="AG2" s="2064" t="s">
        <v>166</v>
      </c>
      <c r="AH2" s="2064" t="s">
        <v>167</v>
      </c>
      <c r="AI2" s="2064" t="s">
        <v>168</v>
      </c>
      <c r="AJ2" s="2064" t="s">
        <v>169</v>
      </c>
      <c r="AK2" s="2064" t="s">
        <v>170</v>
      </c>
      <c r="AL2" s="2064" t="s">
        <v>171</v>
      </c>
      <c r="AM2" s="2064" t="s">
        <v>172</v>
      </c>
      <c r="AN2" s="2064" t="s">
        <v>173</v>
      </c>
      <c r="AO2" s="2064" t="s">
        <v>174</v>
      </c>
      <c r="AP2" s="2064" t="s">
        <v>175</v>
      </c>
      <c r="AQ2" s="2064" t="s">
        <v>176</v>
      </c>
      <c r="AR2" s="2064" t="s">
        <v>177</v>
      </c>
      <c r="AS2" s="2064" t="s">
        <v>178</v>
      </c>
      <c r="AT2" s="2064" t="s">
        <v>179</v>
      </c>
      <c r="AU2" s="2064" t="s">
        <v>180</v>
      </c>
      <c r="AV2" s="2064" t="s">
        <v>181</v>
      </c>
      <c r="AW2" s="2064" t="s">
        <v>182</v>
      </c>
      <c r="AX2" s="2064" t="s">
        <v>183</v>
      </c>
      <c r="AY2" s="2064" t="s">
        <v>184</v>
      </c>
      <c r="AZ2" s="2064" t="s">
        <v>185</v>
      </c>
      <c r="BA2" s="2064" t="s">
        <v>186</v>
      </c>
      <c r="BB2" s="2064" t="s">
        <v>452</v>
      </c>
      <c r="BC2" s="2064" t="s">
        <v>453</v>
      </c>
      <c r="BD2" s="2064" t="s">
        <v>454</v>
      </c>
      <c r="BE2" s="2064" t="s">
        <v>455</v>
      </c>
      <c r="BF2" s="2064" t="s">
        <v>456</v>
      </c>
      <c r="BG2" s="2064" t="s">
        <v>457</v>
      </c>
      <c r="BH2" s="2064" t="s">
        <v>458</v>
      </c>
      <c r="BI2" s="2064" t="s">
        <v>459</v>
      </c>
      <c r="BJ2" s="2064" t="s">
        <v>460</v>
      </c>
      <c r="BK2" s="2064" t="s">
        <v>461</v>
      </c>
      <c r="BL2" s="2064" t="s">
        <v>462</v>
      </c>
      <c r="BM2" s="2064" t="s">
        <v>463</v>
      </c>
      <c r="BN2" s="2064" t="s">
        <v>464</v>
      </c>
      <c r="BO2" s="2064" t="s">
        <v>465</v>
      </c>
      <c r="BP2" s="2064" t="s">
        <v>466</v>
      </c>
      <c r="BQ2" s="2064" t="s">
        <v>467</v>
      </c>
      <c r="BR2" s="2064" t="s">
        <v>1592</v>
      </c>
      <c r="BS2" s="2064" t="s">
        <v>1593</v>
      </c>
      <c r="BT2" s="2064" t="s">
        <v>1594</v>
      </c>
      <c r="BU2" s="2064" t="s">
        <v>1595</v>
      </c>
      <c r="BV2" s="2064" t="s">
        <v>1596</v>
      </c>
      <c r="BW2" s="2064" t="s">
        <v>1597</v>
      </c>
      <c r="BX2" s="2064" t="s">
        <v>1598</v>
      </c>
      <c r="BY2" s="2064" t="s">
        <v>1599</v>
      </c>
      <c r="BZ2" s="2064" t="s">
        <v>1600</v>
      </c>
      <c r="CA2" s="2064" t="s">
        <v>1601</v>
      </c>
      <c r="CB2" s="2064" t="s">
        <v>1602</v>
      </c>
      <c r="CC2" s="2064" t="s">
        <v>1603</v>
      </c>
      <c r="CD2" s="2064" t="s">
        <v>1604</v>
      </c>
      <c r="CE2" s="2064" t="s">
        <v>1605</v>
      </c>
      <c r="CF2" s="2064" t="s">
        <v>1606</v>
      </c>
      <c r="CG2" s="2064" t="s">
        <v>1607</v>
      </c>
      <c r="CH2" s="2064" t="s">
        <v>1608</v>
      </c>
      <c r="CI2" s="2064" t="s">
        <v>1609</v>
      </c>
      <c r="CJ2" s="2064" t="s">
        <v>1610</v>
      </c>
      <c r="CK2" s="2064" t="s">
        <v>1611</v>
      </c>
      <c r="CL2" s="2064" t="s">
        <v>1612</v>
      </c>
      <c r="CM2" s="2064" t="s">
        <v>1613</v>
      </c>
      <c r="CN2" s="2064" t="s">
        <v>1614</v>
      </c>
      <c r="CO2" s="2064" t="s">
        <v>1615</v>
      </c>
      <c r="CP2" s="2064" t="s">
        <v>1616</v>
      </c>
      <c r="CQ2" s="2064" t="s">
        <v>1617</v>
      </c>
      <c r="CR2" s="2064" t="s">
        <v>1618</v>
      </c>
      <c r="CS2" s="2064" t="s">
        <v>1619</v>
      </c>
      <c r="CT2" s="409"/>
      <c r="CU2" s="409"/>
      <c r="CV2" s="131" t="s">
        <v>317</v>
      </c>
      <c r="CW2" s="131"/>
    </row>
    <row r="3" spans="1:101">
      <c r="A3" s="290"/>
      <c r="B3" s="1860">
        <f t="shared" ref="B3:AC3" si="0">YEAR(B4)</f>
        <v>2009</v>
      </c>
      <c r="C3" s="1860">
        <f t="shared" si="0"/>
        <v>2009</v>
      </c>
      <c r="D3" s="1860">
        <f t="shared" si="0"/>
        <v>2009</v>
      </c>
      <c r="E3" s="1860">
        <f t="shared" si="0"/>
        <v>2009</v>
      </c>
      <c r="F3" s="1860">
        <f t="shared" si="0"/>
        <v>2010</v>
      </c>
      <c r="G3" s="1860">
        <f t="shared" si="0"/>
        <v>2010</v>
      </c>
      <c r="H3" s="1860">
        <f t="shared" si="0"/>
        <v>2010</v>
      </c>
      <c r="I3" s="1860">
        <f t="shared" si="0"/>
        <v>2010</v>
      </c>
      <c r="J3" s="1860">
        <f t="shared" si="0"/>
        <v>2011</v>
      </c>
      <c r="K3" s="1860">
        <f t="shared" si="0"/>
        <v>2011</v>
      </c>
      <c r="L3" s="1860">
        <f t="shared" si="0"/>
        <v>2011</v>
      </c>
      <c r="M3" s="1860">
        <f t="shared" si="0"/>
        <v>2011</v>
      </c>
      <c r="N3" s="1860">
        <f t="shared" si="0"/>
        <v>2012</v>
      </c>
      <c r="O3" s="1860">
        <f t="shared" si="0"/>
        <v>2012</v>
      </c>
      <c r="P3" s="1860">
        <f t="shared" si="0"/>
        <v>2012</v>
      </c>
      <c r="Q3" s="1860">
        <f t="shared" si="0"/>
        <v>2012</v>
      </c>
      <c r="R3" s="1860">
        <f t="shared" si="0"/>
        <v>2013</v>
      </c>
      <c r="S3" s="1860">
        <f t="shared" si="0"/>
        <v>2013</v>
      </c>
      <c r="T3" s="1860">
        <f t="shared" si="0"/>
        <v>2013</v>
      </c>
      <c r="U3" s="1860">
        <f t="shared" si="0"/>
        <v>2013</v>
      </c>
      <c r="V3" s="1860">
        <f t="shared" si="0"/>
        <v>2014</v>
      </c>
      <c r="W3" s="1860">
        <f t="shared" si="0"/>
        <v>2014</v>
      </c>
      <c r="X3" s="1860">
        <f t="shared" si="0"/>
        <v>2014</v>
      </c>
      <c r="Y3" s="1860">
        <f t="shared" si="0"/>
        <v>2014</v>
      </c>
      <c r="Z3" s="1860">
        <f t="shared" si="0"/>
        <v>2015</v>
      </c>
      <c r="AA3" s="1860">
        <f t="shared" si="0"/>
        <v>2015</v>
      </c>
      <c r="AB3" s="1860">
        <f t="shared" si="0"/>
        <v>2015</v>
      </c>
      <c r="AC3" s="1860">
        <f t="shared" si="0"/>
        <v>2015</v>
      </c>
      <c r="AD3" s="1860">
        <f>YEAR(AD4)</f>
        <v>2016</v>
      </c>
      <c r="AE3" s="1860">
        <f t="shared" ref="AE3:CP3" si="1">YEAR(AE4)</f>
        <v>2016</v>
      </c>
      <c r="AF3" s="1860">
        <f t="shared" si="1"/>
        <v>2016</v>
      </c>
      <c r="AG3" s="1860">
        <f t="shared" si="1"/>
        <v>2016</v>
      </c>
      <c r="AH3" s="1860">
        <f t="shared" si="1"/>
        <v>2017</v>
      </c>
      <c r="AI3" s="1860">
        <f t="shared" si="1"/>
        <v>2017</v>
      </c>
      <c r="AJ3" s="1860">
        <f t="shared" si="1"/>
        <v>2017</v>
      </c>
      <c r="AK3" s="1860">
        <f t="shared" si="1"/>
        <v>2017</v>
      </c>
      <c r="AL3" s="1860">
        <f t="shared" si="1"/>
        <v>2018</v>
      </c>
      <c r="AM3" s="1860">
        <f t="shared" si="1"/>
        <v>2018</v>
      </c>
      <c r="AN3" s="1860">
        <f t="shared" si="1"/>
        <v>2018</v>
      </c>
      <c r="AO3" s="1860">
        <f t="shared" si="1"/>
        <v>2018</v>
      </c>
      <c r="AP3" s="1860">
        <f t="shared" si="1"/>
        <v>2019</v>
      </c>
      <c r="AQ3" s="1860">
        <f t="shared" si="1"/>
        <v>2019</v>
      </c>
      <c r="AR3" s="1860">
        <f t="shared" si="1"/>
        <v>2019</v>
      </c>
      <c r="AS3" s="1860">
        <f t="shared" si="1"/>
        <v>2019</v>
      </c>
      <c r="AT3" s="1860">
        <f t="shared" si="1"/>
        <v>2020</v>
      </c>
      <c r="AU3" s="1860">
        <f t="shared" si="1"/>
        <v>2020</v>
      </c>
      <c r="AV3" s="1860">
        <f t="shared" si="1"/>
        <v>2020</v>
      </c>
      <c r="AW3" s="1860">
        <f t="shared" si="1"/>
        <v>2020</v>
      </c>
      <c r="AX3" s="1860">
        <f t="shared" si="1"/>
        <v>2021</v>
      </c>
      <c r="AY3" s="1860">
        <f t="shared" si="1"/>
        <v>2021</v>
      </c>
      <c r="AZ3" s="1860">
        <f t="shared" si="1"/>
        <v>2021</v>
      </c>
      <c r="BA3" s="1860">
        <f t="shared" si="1"/>
        <v>2021</v>
      </c>
      <c r="BB3" s="1860">
        <f t="shared" si="1"/>
        <v>2022</v>
      </c>
      <c r="BC3" s="1860">
        <f t="shared" si="1"/>
        <v>2022</v>
      </c>
      <c r="BD3" s="1860">
        <f t="shared" si="1"/>
        <v>2022</v>
      </c>
      <c r="BE3" s="1860">
        <f t="shared" si="1"/>
        <v>2022</v>
      </c>
      <c r="BF3" s="1860">
        <f t="shared" si="1"/>
        <v>2023</v>
      </c>
      <c r="BG3" s="1860">
        <f t="shared" si="1"/>
        <v>2023</v>
      </c>
      <c r="BH3" s="1860">
        <f t="shared" si="1"/>
        <v>2023</v>
      </c>
      <c r="BI3" s="1860">
        <f t="shared" si="1"/>
        <v>2023</v>
      </c>
      <c r="BJ3" s="1860">
        <f t="shared" si="1"/>
        <v>2024</v>
      </c>
      <c r="BK3" s="1860">
        <f t="shared" si="1"/>
        <v>2024</v>
      </c>
      <c r="BL3" s="1860">
        <f t="shared" si="1"/>
        <v>2024</v>
      </c>
      <c r="BM3" s="1860">
        <f t="shared" si="1"/>
        <v>2024</v>
      </c>
      <c r="BN3" s="1860">
        <f t="shared" si="1"/>
        <v>2025</v>
      </c>
      <c r="BO3" s="1860">
        <f t="shared" si="1"/>
        <v>2025</v>
      </c>
      <c r="BP3" s="1860">
        <f t="shared" si="1"/>
        <v>2025</v>
      </c>
      <c r="BQ3" s="1860">
        <f t="shared" si="1"/>
        <v>2025</v>
      </c>
      <c r="BR3" s="1860">
        <f t="shared" si="1"/>
        <v>2026</v>
      </c>
      <c r="BS3" s="1860">
        <f t="shared" si="1"/>
        <v>2026</v>
      </c>
      <c r="BT3" s="1860">
        <f t="shared" si="1"/>
        <v>2026</v>
      </c>
      <c r="BU3" s="1860">
        <f t="shared" si="1"/>
        <v>2026</v>
      </c>
      <c r="BV3" s="1860">
        <f t="shared" si="1"/>
        <v>2027</v>
      </c>
      <c r="BW3" s="1860">
        <f t="shared" si="1"/>
        <v>2027</v>
      </c>
      <c r="BX3" s="1860">
        <f t="shared" si="1"/>
        <v>2027</v>
      </c>
      <c r="BY3" s="1860">
        <f t="shared" si="1"/>
        <v>2027</v>
      </c>
      <c r="BZ3" s="1860">
        <f t="shared" si="1"/>
        <v>2028</v>
      </c>
      <c r="CA3" s="1860">
        <f t="shared" si="1"/>
        <v>2028</v>
      </c>
      <c r="CB3" s="1860">
        <f t="shared" si="1"/>
        <v>2028</v>
      </c>
      <c r="CC3" s="1860">
        <f t="shared" si="1"/>
        <v>2028</v>
      </c>
      <c r="CD3" s="1860">
        <f t="shared" si="1"/>
        <v>2029</v>
      </c>
      <c r="CE3" s="1860">
        <f t="shared" si="1"/>
        <v>2029</v>
      </c>
      <c r="CF3" s="1860">
        <f t="shared" si="1"/>
        <v>2029</v>
      </c>
      <c r="CG3" s="1860">
        <f t="shared" si="1"/>
        <v>2029</v>
      </c>
      <c r="CH3" s="1860">
        <f t="shared" si="1"/>
        <v>2030</v>
      </c>
      <c r="CI3" s="1860">
        <f t="shared" si="1"/>
        <v>2030</v>
      </c>
      <c r="CJ3" s="1860">
        <f t="shared" si="1"/>
        <v>2030</v>
      </c>
      <c r="CK3" s="1860">
        <f t="shared" si="1"/>
        <v>2030</v>
      </c>
      <c r="CL3" s="1860">
        <f t="shared" si="1"/>
        <v>2031</v>
      </c>
      <c r="CM3" s="1860">
        <f t="shared" si="1"/>
        <v>2031</v>
      </c>
      <c r="CN3" s="1860">
        <f t="shared" si="1"/>
        <v>2031</v>
      </c>
      <c r="CO3" s="1860">
        <f t="shared" si="1"/>
        <v>2031</v>
      </c>
      <c r="CP3" s="1860">
        <f t="shared" si="1"/>
        <v>2032</v>
      </c>
      <c r="CQ3" s="1860">
        <f t="shared" ref="CQ3:CW3" si="2">YEAR(CQ4)</f>
        <v>2032</v>
      </c>
      <c r="CR3" s="1860">
        <f t="shared" si="2"/>
        <v>2032</v>
      </c>
      <c r="CS3" s="1860">
        <f t="shared" si="2"/>
        <v>2032</v>
      </c>
      <c r="CT3" s="1860">
        <f t="shared" si="2"/>
        <v>2033</v>
      </c>
      <c r="CU3" s="1860">
        <f t="shared" si="2"/>
        <v>2033</v>
      </c>
      <c r="CV3" s="1860">
        <f t="shared" si="2"/>
        <v>2033</v>
      </c>
      <c r="CW3" s="1860">
        <f t="shared" si="2"/>
        <v>2033</v>
      </c>
    </row>
    <row r="4" spans="1:101">
      <c r="A4" s="291" t="s">
        <v>530</v>
      </c>
      <c r="B4" s="292">
        <f>Q_IS!B$4</f>
        <v>39903</v>
      </c>
      <c r="C4" s="292">
        <f>Q_IS!C$4</f>
        <v>39994</v>
      </c>
      <c r="D4" s="292">
        <f>Q_IS!D$4</f>
        <v>40086</v>
      </c>
      <c r="E4" s="292">
        <f>Q_IS!E$4</f>
        <v>40178</v>
      </c>
      <c r="F4" s="292">
        <f>Q_IS!F$4</f>
        <v>40268</v>
      </c>
      <c r="G4" s="292">
        <f>Q_IS!G$4</f>
        <v>40359</v>
      </c>
      <c r="H4" s="292">
        <f>Q_IS!H$4</f>
        <v>40451</v>
      </c>
      <c r="I4" s="292">
        <f>Q_IS!I$4</f>
        <v>40543</v>
      </c>
      <c r="J4" s="292">
        <f>Q_IS!J$4</f>
        <v>40633</v>
      </c>
      <c r="K4" s="292">
        <f>Q_IS!K$4</f>
        <v>40724</v>
      </c>
      <c r="L4" s="292">
        <f>Q_IS!L$4</f>
        <v>40816</v>
      </c>
      <c r="M4" s="292">
        <f>Q_IS!M$4</f>
        <v>40908</v>
      </c>
      <c r="N4" s="292">
        <f>Q_IS!N$4</f>
        <v>40999</v>
      </c>
      <c r="O4" s="292">
        <f>Q_IS!O$4</f>
        <v>41090</v>
      </c>
      <c r="P4" s="292">
        <f>Q_IS!P$4</f>
        <v>41182</v>
      </c>
      <c r="Q4" s="292">
        <f>Q_IS!Q$4</f>
        <v>41274</v>
      </c>
      <c r="R4" s="292">
        <f>Q_IS!R$4</f>
        <v>41364</v>
      </c>
      <c r="S4" s="292">
        <f>Q_IS!S$4</f>
        <v>41455</v>
      </c>
      <c r="T4" s="292">
        <f>Q_IS!T$4</f>
        <v>41547</v>
      </c>
      <c r="U4" s="292">
        <f>Q_IS!U$4</f>
        <v>41639</v>
      </c>
      <c r="V4" s="292">
        <f>Q_IS!V$4</f>
        <v>41729</v>
      </c>
      <c r="W4" s="292">
        <f>Q_IS!W$4</f>
        <v>41820</v>
      </c>
      <c r="X4" s="292">
        <f>Q_IS!X$4</f>
        <v>41912</v>
      </c>
      <c r="Y4" s="292">
        <f>Q_IS!Y$4</f>
        <v>42004</v>
      </c>
      <c r="Z4" s="292">
        <f>Q_IS!Z$4</f>
        <v>42094</v>
      </c>
      <c r="AA4" s="292">
        <f>Q_IS!AA$4</f>
        <v>42185</v>
      </c>
      <c r="AB4" s="292">
        <f>Q_IS!AB$4</f>
        <v>42277</v>
      </c>
      <c r="AC4" s="292">
        <f>Q_IS!AC$4</f>
        <v>42369</v>
      </c>
      <c r="AD4" s="292">
        <f>Q_IS!AD$4</f>
        <v>42460</v>
      </c>
      <c r="AE4" s="292">
        <f>Q_IS!AE$4</f>
        <v>42551</v>
      </c>
      <c r="AF4" s="292">
        <f>Q_IS!AF$4</f>
        <v>42643</v>
      </c>
      <c r="AG4" s="292">
        <f>Q_IS!AG$4</f>
        <v>42735</v>
      </c>
      <c r="AH4" s="292">
        <f>Q_IS!AH$4</f>
        <v>42825</v>
      </c>
      <c r="AI4" s="292">
        <f>Q_IS!AI$4</f>
        <v>42916</v>
      </c>
      <c r="AJ4" s="292">
        <f>Q_IS!AJ$4</f>
        <v>43008</v>
      </c>
      <c r="AK4" s="292">
        <f>Q_IS!AK$4</f>
        <v>43100</v>
      </c>
      <c r="AL4" s="292">
        <f>Q_IS!AL$4</f>
        <v>43190</v>
      </c>
      <c r="AM4" s="292">
        <f>Q_IS!AM$4</f>
        <v>43281</v>
      </c>
      <c r="AN4" s="292">
        <f>Q_IS!AN$4</f>
        <v>43373</v>
      </c>
      <c r="AO4" s="292">
        <f>Q_IS!AO$4</f>
        <v>43465</v>
      </c>
      <c r="AP4" s="292">
        <f>Q_IS!AP$4</f>
        <v>43555</v>
      </c>
      <c r="AQ4" s="292">
        <f>Q_IS!AQ$4</f>
        <v>43646</v>
      </c>
      <c r="AR4" s="292">
        <f>Q_IS!AR$4</f>
        <v>43738</v>
      </c>
      <c r="AS4" s="292">
        <f>Q_IS!AS$4</f>
        <v>43830</v>
      </c>
      <c r="AT4" s="292">
        <f>Q_IS!AT$4</f>
        <v>43921</v>
      </c>
      <c r="AU4" s="292">
        <f>Q_IS!AU$4</f>
        <v>44012</v>
      </c>
      <c r="AV4" s="292">
        <f>Q_IS!AV$4</f>
        <v>44104</v>
      </c>
      <c r="AW4" s="292">
        <f>Q_IS!AW$4</f>
        <v>44196</v>
      </c>
      <c r="AX4" s="292">
        <f>Q_IS!AX$4</f>
        <v>44286</v>
      </c>
      <c r="AY4" s="292">
        <f>Q_IS!AY$4</f>
        <v>44377</v>
      </c>
      <c r="AZ4" s="292">
        <f>Q_IS!AZ$4</f>
        <v>44469</v>
      </c>
      <c r="BA4" s="292">
        <f>Q_IS!BA$4</f>
        <v>44561</v>
      </c>
      <c r="BB4" s="292">
        <f>Q_IS!BB$4</f>
        <v>44651</v>
      </c>
      <c r="BC4" s="292">
        <f>Q_IS!BC$4</f>
        <v>44742</v>
      </c>
      <c r="BD4" s="292">
        <f>Q_IS!BD$4</f>
        <v>44834</v>
      </c>
      <c r="BE4" s="292">
        <f>Q_IS!BE$4</f>
        <v>44926</v>
      </c>
      <c r="BF4" s="292">
        <f>Q_IS!BF$4</f>
        <v>45016</v>
      </c>
      <c r="BG4" s="292">
        <f>Q_IS!BG$4</f>
        <v>45107</v>
      </c>
      <c r="BH4" s="292">
        <f>Q_IS!BH$4</f>
        <v>45199</v>
      </c>
      <c r="BI4" s="292">
        <f>Q_IS!BI$4</f>
        <v>45291</v>
      </c>
      <c r="BJ4" s="292">
        <f>Q_IS!BJ$4</f>
        <v>45382</v>
      </c>
      <c r="BK4" s="1300">
        <f>Q_IS!BK$4</f>
        <v>45473</v>
      </c>
      <c r="BL4" s="600">
        <f>Q_IS!BL$4</f>
        <v>45565</v>
      </c>
      <c r="BM4" s="600">
        <f>Q_IS!BM$4</f>
        <v>45657</v>
      </c>
      <c r="BN4" s="600">
        <f>Q_IS!BN$4</f>
        <v>45747</v>
      </c>
      <c r="BO4" s="600">
        <f>Q_IS!BO$4</f>
        <v>45838</v>
      </c>
      <c r="BP4" s="600">
        <f>Q_IS!BP$4</f>
        <v>45930</v>
      </c>
      <c r="BQ4" s="600">
        <f>Q_IS!BQ$4</f>
        <v>46022</v>
      </c>
      <c r="BR4" s="600">
        <f>Q_IS!BR$4</f>
        <v>46112</v>
      </c>
      <c r="BS4" s="600">
        <f>Q_IS!BS$4</f>
        <v>46203</v>
      </c>
      <c r="BT4" s="600">
        <f>Q_IS!BT$4</f>
        <v>46295</v>
      </c>
      <c r="BU4" s="600">
        <f>Q_IS!BU$4</f>
        <v>46387</v>
      </c>
      <c r="BV4" s="600">
        <f>Q_IS!BV$4</f>
        <v>46477</v>
      </c>
      <c r="BW4" s="600">
        <f>Q_IS!BW$4</f>
        <v>46568</v>
      </c>
      <c r="BX4" s="600">
        <f>Q_IS!BX$4</f>
        <v>46660</v>
      </c>
      <c r="BY4" s="600">
        <f>Q_IS!BY$4</f>
        <v>46752</v>
      </c>
      <c r="BZ4" s="600">
        <f>Q_IS!BZ$4</f>
        <v>46843</v>
      </c>
      <c r="CA4" s="600">
        <f>Q_IS!CA$4</f>
        <v>46934</v>
      </c>
      <c r="CB4" s="600">
        <f>Q_IS!CB$4</f>
        <v>47026</v>
      </c>
      <c r="CC4" s="600">
        <f>Q_IS!CC$4</f>
        <v>47118</v>
      </c>
      <c r="CD4" s="600">
        <f>Q_IS!CD$4</f>
        <v>47208</v>
      </c>
      <c r="CE4" s="600">
        <f>Q_IS!CE$4</f>
        <v>47299</v>
      </c>
      <c r="CF4" s="600">
        <f>Q_IS!CF$4</f>
        <v>47391</v>
      </c>
      <c r="CG4" s="600">
        <f>Q_IS!CG$4</f>
        <v>47483</v>
      </c>
      <c r="CH4" s="600">
        <f>Q_IS!CH$4</f>
        <v>47573</v>
      </c>
      <c r="CI4" s="600">
        <f>Q_IS!CI$4</f>
        <v>47664</v>
      </c>
      <c r="CJ4" s="600">
        <f>Q_IS!CJ$4</f>
        <v>47756</v>
      </c>
      <c r="CK4" s="600">
        <f>Q_IS!CK$4</f>
        <v>47848</v>
      </c>
      <c r="CL4" s="600">
        <f>Q_IS!CL$4</f>
        <v>47938</v>
      </c>
      <c r="CM4" s="600">
        <f>Q_IS!CM$4</f>
        <v>48029</v>
      </c>
      <c r="CN4" s="600">
        <f>Q_IS!CN$4</f>
        <v>48121</v>
      </c>
      <c r="CO4" s="600">
        <f>Q_IS!CO$4</f>
        <v>48213</v>
      </c>
      <c r="CP4" s="600">
        <f>Q_IS!CP$4</f>
        <v>48304</v>
      </c>
      <c r="CQ4" s="600">
        <f>Q_IS!CQ$4</f>
        <v>48395</v>
      </c>
      <c r="CR4" s="600">
        <f>Q_IS!CR$4</f>
        <v>48487</v>
      </c>
      <c r="CS4" s="600">
        <f>Q_IS!CS$4</f>
        <v>48579</v>
      </c>
      <c r="CT4" s="600">
        <f>Q_IS!CT$4</f>
        <v>48669</v>
      </c>
      <c r="CU4" s="600">
        <f>Q_IS!CU$4</f>
        <v>48760</v>
      </c>
      <c r="CV4" s="600">
        <f>Q_IS!CV$4</f>
        <v>48852</v>
      </c>
      <c r="CW4" s="600">
        <f>Q_IS!CW$4</f>
        <v>48944</v>
      </c>
    </row>
    <row r="5" spans="1:101">
      <c r="A5" s="13" t="s">
        <v>695</v>
      </c>
      <c r="B5" s="371">
        <f>IS!C4</f>
        <v>2084.1030000000001</v>
      </c>
      <c r="C5" s="371">
        <f>IS!D4</f>
        <v>2072.723</v>
      </c>
      <c r="D5" s="371">
        <f>IS!E4</f>
        <v>2119.5929999999998</v>
      </c>
      <c r="E5" s="371">
        <f>IS!F4</f>
        <v>2310.6619999999998</v>
      </c>
      <c r="F5" s="371">
        <f>IS!G4</f>
        <v>2095.8180000000002</v>
      </c>
      <c r="G5" s="371">
        <f>IS!H4</f>
        <v>2166.6999999999998</v>
      </c>
      <c r="H5" s="371">
        <f>IS!I4</f>
        <v>2274.9250000000002</v>
      </c>
      <c r="I5" s="371">
        <f>IS!J4</f>
        <v>2443.9969999999998</v>
      </c>
      <c r="J5" s="371">
        <f>IS!K4</f>
        <v>2396.7440000000001</v>
      </c>
      <c r="K5" s="371">
        <f>IS!L4</f>
        <v>2595.1480000000001</v>
      </c>
      <c r="L5" s="371">
        <f>IS!M4</f>
        <v>2768.78</v>
      </c>
      <c r="M5" s="371">
        <f>IS!N4</f>
        <v>2935.8319999999999</v>
      </c>
      <c r="N5" s="371">
        <f>IS!O4</f>
        <v>2962.0479999999998</v>
      </c>
      <c r="O5" s="349">
        <f>IS!P4</f>
        <v>3426.5659999999998</v>
      </c>
      <c r="P5" s="349">
        <f>IS!Q4</f>
        <v>3502.4520000000002</v>
      </c>
      <c r="Q5" s="349">
        <f>IS!R4</f>
        <v>3628.4470000000001</v>
      </c>
      <c r="R5" s="349">
        <f>IS!S4</f>
        <v>3398.7460000000001</v>
      </c>
      <c r="S5" s="349">
        <f>IS!T4</f>
        <v>3820.627</v>
      </c>
      <c r="T5" s="349">
        <f>IS!U4</f>
        <v>4082.3409999999999</v>
      </c>
      <c r="U5" s="349">
        <f>IS!V4</f>
        <v>4410.951</v>
      </c>
      <c r="V5" s="349">
        <f>IS!W4</f>
        <v>3992.0360000000001</v>
      </c>
      <c r="W5" s="349">
        <f>IS!X4</f>
        <v>5203.326</v>
      </c>
      <c r="X5" s="349">
        <f>IS!Y4</f>
        <v>5701.3490000000002</v>
      </c>
      <c r="Y5" s="349">
        <f>IS!Z4</f>
        <v>7903.5439999999999</v>
      </c>
      <c r="Z5" s="349">
        <f>IS!AA4</f>
        <v>7344.2340000000004</v>
      </c>
      <c r="AA5" s="349">
        <f>IS!AB4</f>
        <v>7761.942</v>
      </c>
      <c r="AB5" s="349">
        <f>IS!AC4</f>
        <v>8224.3739999999998</v>
      </c>
      <c r="AC5" s="349">
        <f>IS!AD4</f>
        <v>8957.8259999999991</v>
      </c>
      <c r="AD5" s="349">
        <f>IS!AE4</f>
        <v>8534.76</v>
      </c>
      <c r="AE5" s="349">
        <f>IS!AF4</f>
        <v>9065.5679999999993</v>
      </c>
      <c r="AF5" s="349">
        <f>IS!AG4</f>
        <v>9601.9840000000004</v>
      </c>
      <c r="AG5" s="349">
        <f>IS!AH4</f>
        <v>10499.555</v>
      </c>
      <c r="AH5" s="349">
        <f>IS!AI4</f>
        <v>10093.24</v>
      </c>
      <c r="AI5" s="349">
        <f>IS!AJ4</f>
        <v>10344.403</v>
      </c>
      <c r="AJ5" s="349">
        <f>IS!AK4</f>
        <v>10475.353999999999</v>
      </c>
      <c r="AK5" s="349">
        <f>IS!AL4</f>
        <v>11616.124</v>
      </c>
      <c r="AL5" s="349">
        <f>IS!AM4</f>
        <v>11079.865</v>
      </c>
      <c r="AM5" s="349">
        <f>IS!AN4</f>
        <v>11325.508</v>
      </c>
      <c r="AN5" s="349">
        <f>IS!AO4</f>
        <v>11375.396000000001</v>
      </c>
      <c r="AO5" s="349">
        <f>IS!AP4</f>
        <v>12375.822</v>
      </c>
      <c r="AP5" s="349">
        <f>IS!AQ4</f>
        <v>13690.588</v>
      </c>
      <c r="AQ5" s="349">
        <f>IS!AR4</f>
        <v>14580.537</v>
      </c>
      <c r="AR5" s="349">
        <f>IS!AS4</f>
        <v>14490.496999999999</v>
      </c>
      <c r="AS5" s="349">
        <f>IS!AT4</f>
        <v>15392.996999999999</v>
      </c>
      <c r="AT5" s="349">
        <f>IS!AU4</f>
        <v>12105.09</v>
      </c>
      <c r="AU5" s="349">
        <f>IS!AV4</f>
        <v>5197.777</v>
      </c>
      <c r="AV5" s="349">
        <f>IS!AW4</f>
        <v>9895.518</v>
      </c>
      <c r="AW5" s="349">
        <f>IS!AX4</f>
        <v>11297.034</v>
      </c>
      <c r="AX5" s="349">
        <f>IS!AY4</f>
        <v>10211.714</v>
      </c>
      <c r="AY5" s="349">
        <f>IS!AZ4</f>
        <v>12477.368</v>
      </c>
      <c r="AZ5" s="349">
        <f>IS!BA4</f>
        <v>13958.275</v>
      </c>
      <c r="BA5" s="349">
        <f>IS!BB4</f>
        <v>16732.112000000001</v>
      </c>
      <c r="BB5" s="349">
        <f>IS!BC4</f>
        <v>15228.173000000001</v>
      </c>
      <c r="BC5" s="349">
        <f>IS!BD4</f>
        <v>16939.128000000001</v>
      </c>
      <c r="BD5" s="349">
        <f>IS!BE4</f>
        <v>17518.175999999999</v>
      </c>
      <c r="BE5" s="349">
        <f>IS!BF4</f>
        <v>19145.828000000001</v>
      </c>
      <c r="BF5" s="349">
        <f>IS!BG4</f>
        <v>17665.647000000001</v>
      </c>
      <c r="BG5" s="349">
        <f>IS!BH4</f>
        <v>18948.734</v>
      </c>
      <c r="BH5" s="349">
        <f>IS!BI4</f>
        <v>19469.973999999998</v>
      </c>
      <c r="BI5" s="349">
        <f>IS!BJ4</f>
        <v>20146.692999999999</v>
      </c>
      <c r="BJ5" s="349">
        <f>IS!BK4</f>
        <v>18202.828000000001</v>
      </c>
      <c r="BK5" s="1301">
        <f>IS!BL4</f>
        <v>19254.041000000001</v>
      </c>
      <c r="BL5" s="381">
        <f>Q_IS!BL245</f>
        <v>20107.970832727809</v>
      </c>
      <c r="BM5" s="381">
        <f>Q_IS!BM245</f>
        <v>20984.193483420095</v>
      </c>
      <c r="BN5" s="381">
        <f>Q_IS!BN245</f>
        <v>19911.591318315957</v>
      </c>
      <c r="BO5" s="381">
        <f>Q_IS!BO245</f>
        <v>21413.716177310689</v>
      </c>
      <c r="BP5" s="381">
        <f>Q_IS!BP245</f>
        <v>21960.064838352253</v>
      </c>
      <c r="BQ5" s="381">
        <f>Q_IS!BQ245</f>
        <v>22715.611927975278</v>
      </c>
      <c r="BR5" s="381">
        <f>Q_IS!BR245</f>
        <v>21456.749419662832</v>
      </c>
      <c r="BS5" s="381">
        <f>Q_IS!BS245</f>
        <v>22817.445734206507</v>
      </c>
      <c r="BT5" s="381">
        <f>Q_IS!BT245</f>
        <v>23395.290758133189</v>
      </c>
      <c r="BU5" s="381">
        <f>Q_IS!BU245</f>
        <v>24192.539125077034</v>
      </c>
      <c r="BV5" s="381">
        <f>Q_IS!BV245</f>
        <v>22740.69729254796</v>
      </c>
      <c r="BW5" s="381">
        <f>Q_IS!BW245</f>
        <v>24143.358255206396</v>
      </c>
      <c r="BX5" s="381">
        <f>Q_IS!BX245</f>
        <v>24763.988998877619</v>
      </c>
      <c r="BY5" s="381">
        <f>Q_IS!BY245</f>
        <v>25634.57517516951</v>
      </c>
      <c r="BZ5" s="381">
        <f>Q_IS!BZ245</f>
        <v>23941.814771062571</v>
      </c>
      <c r="CA5" s="381">
        <f>Q_IS!CA245</f>
        <v>25391.693157376401</v>
      </c>
      <c r="CB5" s="381">
        <f>Q_IS!CB245</f>
        <v>26062.920699555041</v>
      </c>
      <c r="CC5" s="381">
        <f>Q_IS!CC245</f>
        <v>27013.513139272727</v>
      </c>
      <c r="CD5" s="381">
        <f>Q_IS!CD245</f>
        <v>25200.975288784495</v>
      </c>
      <c r="CE5" s="381">
        <f>Q_IS!CE245</f>
        <v>26698.989694340016</v>
      </c>
      <c r="CF5" s="381">
        <f>Q_IS!CF245</f>
        <v>27423.756905689424</v>
      </c>
      <c r="CG5" s="381">
        <f>Q_IS!CG245</f>
        <v>28459.011437979949</v>
      </c>
      <c r="CH5" s="381">
        <f>Q_IS!CH245</f>
        <v>26513.054993055528</v>
      </c>
      <c r="CI5" s="381">
        <f>Q_IS!CI245</f>
        <v>28047.66709817612</v>
      </c>
      <c r="CJ5" s="381">
        <f>Q_IS!CJ245</f>
        <v>28815.736760202399</v>
      </c>
      <c r="CK5" s="381">
        <f>Q_IS!CK245</f>
        <v>29919.161441835007</v>
      </c>
      <c r="CL5" s="381">
        <f>Q_IS!CL245</f>
        <v>27834.533909550948</v>
      </c>
      <c r="CM5" s="381">
        <f>Q_IS!CM245</f>
        <v>29418.12201169457</v>
      </c>
      <c r="CN5" s="381">
        <f>Q_IS!CN245</f>
        <v>30245.657356652453</v>
      </c>
      <c r="CO5" s="381">
        <f>Q_IS!CO245</f>
        <v>31439.029921125362</v>
      </c>
      <c r="CP5" s="381">
        <f>Q_IS!CP245</f>
        <v>29218.425537763826</v>
      </c>
      <c r="CQ5" s="381">
        <f>Q_IS!CQ245</f>
        <v>30852.235451189445</v>
      </c>
      <c r="CR5" s="381">
        <f>Q_IS!CR245</f>
        <v>31743.971271447612</v>
      </c>
      <c r="CS5" s="381">
        <f>Q_IS!CS245</f>
        <v>33033.022241939041</v>
      </c>
      <c r="CT5" s="381">
        <f>Q_IS!CT245</f>
        <v>30668.695957645104</v>
      </c>
      <c r="CU5" s="381">
        <f>Q_IS!CU245</f>
        <v>32353.119396919366</v>
      </c>
      <c r="CV5" s="381">
        <f>Q_IS!CV245</f>
        <v>33311.758125313609</v>
      </c>
      <c r="CW5" s="381">
        <f>Q_IS!CW245</f>
        <v>34682.833159762762</v>
      </c>
    </row>
    <row r="6" spans="1:101">
      <c r="A6" s="312" t="s">
        <v>535</v>
      </c>
      <c r="B6" s="372"/>
      <c r="C6" s="372"/>
      <c r="D6" s="372"/>
      <c r="E6" s="372"/>
      <c r="F6" s="372">
        <f t="shared" ref="F6:AK6" si="3">F5/B5-1</f>
        <v>5.6211233321963316E-3</v>
      </c>
      <c r="G6" s="372">
        <f t="shared" si="3"/>
        <v>4.5339874165529981E-2</v>
      </c>
      <c r="H6" s="372">
        <f t="shared" si="3"/>
        <v>7.3283880443085314E-2</v>
      </c>
      <c r="I6" s="372">
        <f t="shared" si="3"/>
        <v>5.7704242334015055E-2</v>
      </c>
      <c r="J6" s="372">
        <f t="shared" si="3"/>
        <v>0.1435840325829818</v>
      </c>
      <c r="K6" s="372">
        <f t="shared" si="3"/>
        <v>0.19774218858171433</v>
      </c>
      <c r="L6" s="372">
        <f t="shared" si="3"/>
        <v>0.21708627756959009</v>
      </c>
      <c r="M6" s="372">
        <f t="shared" si="3"/>
        <v>0.2012420637177541</v>
      </c>
      <c r="N6" s="372">
        <f t="shared" si="3"/>
        <v>0.23586332123914766</v>
      </c>
      <c r="O6" s="350">
        <f t="shared" si="3"/>
        <v>0.32037402105775836</v>
      </c>
      <c r="P6" s="350">
        <f t="shared" si="3"/>
        <v>0.26498024400638553</v>
      </c>
      <c r="Q6" s="350">
        <f t="shared" si="3"/>
        <v>0.23591779093626619</v>
      </c>
      <c r="R6" s="350">
        <f t="shared" si="3"/>
        <v>0.14743110172421248</v>
      </c>
      <c r="S6" s="350">
        <f t="shared" si="3"/>
        <v>0.11500172475884018</v>
      </c>
      <c r="T6" s="350">
        <f t="shared" si="3"/>
        <v>0.16556658021294779</v>
      </c>
      <c r="U6" s="350">
        <f t="shared" si="3"/>
        <v>0.2156581038664751</v>
      </c>
      <c r="V6" s="350">
        <f t="shared" si="3"/>
        <v>0.17456144119036843</v>
      </c>
      <c r="W6" s="350">
        <f t="shared" si="3"/>
        <v>0.36190368753610347</v>
      </c>
      <c r="X6" s="350">
        <f t="shared" si="3"/>
        <v>0.39658813411226546</v>
      </c>
      <c r="Y6" s="350">
        <f t="shared" si="3"/>
        <v>0.79180045300888624</v>
      </c>
      <c r="Z6" s="350">
        <f t="shared" si="3"/>
        <v>0.83972138527808871</v>
      </c>
      <c r="AA6" s="353">
        <f t="shared" si="3"/>
        <v>0.49172702229304877</v>
      </c>
      <c r="AB6" s="353">
        <f t="shared" si="3"/>
        <v>0.44253123252058413</v>
      </c>
      <c r="AC6" s="353">
        <f t="shared" si="3"/>
        <v>0.13339357635005245</v>
      </c>
      <c r="AD6" s="353">
        <f>AD5/Z5-1</f>
        <v>0.16210349506837596</v>
      </c>
      <c r="AE6" s="353">
        <f t="shared" si="3"/>
        <v>0.1679510101982209</v>
      </c>
      <c r="AF6" s="353">
        <f t="shared" si="3"/>
        <v>0.16750332608901308</v>
      </c>
      <c r="AG6" s="353">
        <f t="shared" si="3"/>
        <v>0.17210972840954941</v>
      </c>
      <c r="AH6" s="353">
        <f t="shared" si="3"/>
        <v>0.18260384591951029</v>
      </c>
      <c r="AI6" s="353">
        <f t="shared" si="3"/>
        <v>0.14106507170868943</v>
      </c>
      <c r="AJ6" s="353">
        <f t="shared" si="3"/>
        <v>9.0957243836273793E-2</v>
      </c>
      <c r="AK6" s="353">
        <f t="shared" si="3"/>
        <v>0.10634441173935461</v>
      </c>
      <c r="AL6" s="353">
        <f t="shared" ref="AL6:AZ6" si="4">AL5/AH5-1</f>
        <v>9.775106903234243E-2</v>
      </c>
      <c r="AM6" s="353">
        <f t="shared" si="4"/>
        <v>9.4844042715659826E-2</v>
      </c>
      <c r="AN6" s="353">
        <f t="shared" si="4"/>
        <v>8.5919960318286304E-2</v>
      </c>
      <c r="AO6" s="353">
        <f t="shared" si="4"/>
        <v>6.540030047888612E-2</v>
      </c>
      <c r="AP6" s="353">
        <f t="shared" si="4"/>
        <v>0.23562769040958531</v>
      </c>
      <c r="AQ6" s="353">
        <f t="shared" si="4"/>
        <v>0.28740688717892393</v>
      </c>
      <c r="AR6" s="353">
        <f t="shared" si="4"/>
        <v>0.2738454995324997</v>
      </c>
      <c r="AS6" s="353">
        <f t="shared" si="4"/>
        <v>0.24379592725234733</v>
      </c>
      <c r="AT6" s="353">
        <f t="shared" si="4"/>
        <v>-0.11580934288578404</v>
      </c>
      <c r="AU6" s="353">
        <f t="shared" si="4"/>
        <v>-0.64351264977414757</v>
      </c>
      <c r="AV6" s="353">
        <f t="shared" si="4"/>
        <v>-0.31710292614532132</v>
      </c>
      <c r="AW6" s="353">
        <f t="shared" si="4"/>
        <v>-0.26609262640667053</v>
      </c>
      <c r="AX6" s="353">
        <f t="shared" si="4"/>
        <v>-0.15641155910447591</v>
      </c>
      <c r="AY6" s="353">
        <f t="shared" si="4"/>
        <v>1.4005200684831229</v>
      </c>
      <c r="AZ6" s="353">
        <f t="shared" si="4"/>
        <v>0.41056536908931895</v>
      </c>
      <c r="BA6" s="353">
        <f t="shared" ref="BA6:BI6" si="5">BA5/AW5-1</f>
        <v>0.48110663382972918</v>
      </c>
      <c r="BB6" s="353">
        <f t="shared" si="5"/>
        <v>0.49124554408789756</v>
      </c>
      <c r="BC6" s="353">
        <f t="shared" si="5"/>
        <v>0.35758823495467951</v>
      </c>
      <c r="BD6" s="353">
        <f t="shared" si="5"/>
        <v>0.25503874941566917</v>
      </c>
      <c r="BE6" s="353">
        <f t="shared" si="5"/>
        <v>0.14425650509630827</v>
      </c>
      <c r="BF6" s="353">
        <f t="shared" si="5"/>
        <v>0.16006345606922112</v>
      </c>
      <c r="BG6" s="353">
        <f t="shared" si="5"/>
        <v>0.11863692156998873</v>
      </c>
      <c r="BH6" s="353">
        <f t="shared" si="5"/>
        <v>0.11141559486558417</v>
      </c>
      <c r="BI6" s="353">
        <f t="shared" si="5"/>
        <v>5.2275879632889044E-2</v>
      </c>
      <c r="BJ6" s="353">
        <f t="shared" ref="BJ6" si="6">BJ5/BF5-1</f>
        <v>3.0408226769163882E-2</v>
      </c>
      <c r="BK6" s="1302">
        <f t="shared" ref="BK6" si="7">BK5/BG5-1</f>
        <v>1.6112263753346401E-2</v>
      </c>
      <c r="BL6" s="315">
        <f t="shared" ref="BL6" si="8">BL5/BH5-1</f>
        <v>3.2768242665748293E-2</v>
      </c>
      <c r="BM6" s="315">
        <f t="shared" ref="BM6" si="9">BM5/BI5-1</f>
        <v>4.1570121876582711E-2</v>
      </c>
      <c r="BN6" s="315">
        <f t="shared" ref="BN6" si="10">BN5/BJ5-1</f>
        <v>9.3873507914042476E-2</v>
      </c>
      <c r="BO6" s="315">
        <f t="shared" ref="BO6" si="11">BO5/BK5-1</f>
        <v>0.11216737189407078</v>
      </c>
      <c r="BP6" s="315">
        <f t="shared" ref="BP6" si="12">BP5/BL5-1</f>
        <v>9.210745435387091E-2</v>
      </c>
      <c r="BQ6" s="315">
        <f t="shared" ref="BQ6" si="13">BQ5/BM5-1</f>
        <v>8.2510602369502584E-2</v>
      </c>
      <c r="BR6" s="315">
        <f t="shared" ref="BR6" si="14">BR5/BN5-1</f>
        <v>7.7600934884874739E-2</v>
      </c>
      <c r="BS6" s="315">
        <f t="shared" ref="BS6" si="15">BS5/BO5-1</f>
        <v>6.5552823492783796E-2</v>
      </c>
      <c r="BT6" s="315">
        <f t="shared" ref="BT6" si="16">BT5/BP5-1</f>
        <v>6.5356178606284399E-2</v>
      </c>
      <c r="BU6" s="315">
        <f t="shared" ref="BU6" si="17">BU5/BQ5-1</f>
        <v>6.5018155873795891E-2</v>
      </c>
      <c r="BV6" s="315">
        <f t="shared" ref="BV6" si="18">BV5/BR5-1</f>
        <v>5.9838880893511526E-2</v>
      </c>
      <c r="BW6" s="315">
        <f t="shared" ref="BW6" si="19">BW5/BS5-1</f>
        <v>5.8109594581490009E-2</v>
      </c>
      <c r="BX6" s="315">
        <f t="shared" ref="BX6" si="20">BX5/BT5-1</f>
        <v>5.850315154850616E-2</v>
      </c>
      <c r="BY6" s="315">
        <f t="shared" ref="BY6" si="21">BY5/BU5-1</f>
        <v>5.96066432976321E-2</v>
      </c>
      <c r="BZ6" s="315">
        <f t="shared" ref="BZ6" si="22">BZ5/BV5-1</f>
        <v>5.2817970489770882E-2</v>
      </c>
      <c r="CA6" s="315">
        <f t="shared" ref="CA6" si="23">CA5/BW5-1</f>
        <v>5.1705106181771932E-2</v>
      </c>
      <c r="CB6" s="315">
        <f t="shared" ref="CB6" si="24">CB5/BX5-1</f>
        <v>5.2452442162540747E-2</v>
      </c>
      <c r="CC6" s="315">
        <f t="shared" ref="CC6" si="25">CC5/BY5-1</f>
        <v>5.3792112983362506E-2</v>
      </c>
      <c r="CD6" s="315">
        <f t="shared" ref="CD6" si="26">CD5/BZ5-1</f>
        <v>5.2592526078842461E-2</v>
      </c>
      <c r="CE6" s="315">
        <f t="shared" ref="CE6" si="27">CE5/CA5-1</f>
        <v>5.1485205372523213E-2</v>
      </c>
      <c r="CF6" s="315">
        <f t="shared" ref="CF6" si="28">CF5/CB5-1</f>
        <v>5.2213496016876526E-2</v>
      </c>
      <c r="CG6" s="315">
        <f t="shared" ref="CG6" si="29">CG5/CC5-1</f>
        <v>5.3510192889562713E-2</v>
      </c>
      <c r="CH6" s="315">
        <f t="shared" ref="CH6" si="30">CH5/CD5-1</f>
        <v>5.2064639929033429E-2</v>
      </c>
      <c r="CI6" s="315">
        <f t="shared" ref="CI6" si="31">CI5/CE5-1</f>
        <v>5.0514173730027423E-2</v>
      </c>
      <c r="CJ6" s="315">
        <f t="shared" ref="CJ6" si="32">CJ5/CF5-1</f>
        <v>5.0758175085201085E-2</v>
      </c>
      <c r="CK6" s="315">
        <f t="shared" ref="CK6" si="33">CK5/CG5-1</f>
        <v>5.1307123124678E-2</v>
      </c>
      <c r="CL6" s="315">
        <f t="shared" ref="CL6" si="34">CL5/CH5-1</f>
        <v>4.9842574416322449E-2</v>
      </c>
      <c r="CM6" s="315">
        <f t="shared" ref="CM6" si="35">CM5/CI5-1</f>
        <v>4.8861636467710579E-2</v>
      </c>
      <c r="CN6" s="315">
        <f t="shared" ref="CN6" si="36">CN5/CJ5-1</f>
        <v>4.9622905995758693E-2</v>
      </c>
      <c r="CO6" s="315">
        <f t="shared" ref="CO6" si="37">CO5/CK5-1</f>
        <v>5.0799167023617642E-2</v>
      </c>
      <c r="CP6" s="315">
        <f t="shared" ref="CP6" si="38">CP5/CL5-1</f>
        <v>4.9718512719123309E-2</v>
      </c>
      <c r="CQ6" s="315">
        <f t="shared" ref="CQ6" si="39">CQ5/CM5-1</f>
        <v>4.8749319855454054E-2</v>
      </c>
      <c r="CR6" s="315">
        <f t="shared" ref="CR6" si="40">CR5/CN5-1</f>
        <v>4.9538150126057889E-2</v>
      </c>
      <c r="CS6" s="315">
        <f t="shared" ref="CS6" si="41">CS5/CO5-1</f>
        <v>5.070106567577648E-2</v>
      </c>
      <c r="CT6" s="315">
        <f t="shared" ref="CT6" si="42">CT5/CP5-1</f>
        <v>4.9635474642767852E-2</v>
      </c>
      <c r="CU6" s="315">
        <f t="shared" ref="CU6" si="43">CU5/CQ5-1</f>
        <v>4.8647494218188259E-2</v>
      </c>
      <c r="CV6" s="315">
        <f t="shared" ref="CV6" si="44">CV5/CR5-1</f>
        <v>4.9388491454317673E-2</v>
      </c>
      <c r="CW6" s="315">
        <f t="shared" ref="CW6" si="45">CW5/CS5-1</f>
        <v>4.9944292282439351E-2</v>
      </c>
    </row>
    <row r="7" spans="1:101" s="2119" customFormat="1">
      <c r="A7" s="2113" t="s">
        <v>731</v>
      </c>
      <c r="B7" s="2114">
        <f>+Q_IS!B38</f>
        <v>2242.4</v>
      </c>
      <c r="C7" s="2114">
        <f>+Q_IS!C38</f>
        <v>2232.1000000000004</v>
      </c>
      <c r="D7" s="2114">
        <f>+Q_IS!D38</f>
        <v>2215.6</v>
      </c>
      <c r="E7" s="2114">
        <f>+Q_IS!E38</f>
        <v>2407.3999999999992</v>
      </c>
      <c r="F7" s="2114">
        <f>+Q_IS!F38</f>
        <v>2172.6</v>
      </c>
      <c r="G7" s="2114">
        <f>+Q_IS!G38</f>
        <v>2188.8000000000002</v>
      </c>
      <c r="H7" s="2114">
        <f>+Q_IS!H38</f>
        <v>2233.6</v>
      </c>
      <c r="I7" s="2114">
        <f>+Q_IS!I38</f>
        <v>2490.1000000000004</v>
      </c>
      <c r="J7" s="2114">
        <f>+Q_IS!J38</f>
        <v>2427.3000000000002</v>
      </c>
      <c r="K7" s="2114">
        <f>+Q_IS!K38</f>
        <v>2592.6</v>
      </c>
      <c r="L7" s="2114">
        <f>+Q_IS!L38</f>
        <v>2641.4</v>
      </c>
      <c r="M7" s="2114">
        <f>+Q_IS!M38</f>
        <v>2839.7</v>
      </c>
      <c r="N7" s="2114">
        <f>+Q_IS!N38</f>
        <v>2861.2</v>
      </c>
      <c r="O7" s="2115">
        <f>+Q_IS!O38</f>
        <v>3262</v>
      </c>
      <c r="P7" s="2115">
        <f>+Q_IS!P38</f>
        <v>3220.3999999999996</v>
      </c>
      <c r="Q7" s="2115">
        <f>+Q_IS!Q38</f>
        <v>3442.2</v>
      </c>
      <c r="R7" s="2115">
        <f>+Q_IS!R38</f>
        <v>3253.1</v>
      </c>
      <c r="S7" s="2115">
        <f>+Q_IS!S38</f>
        <v>3640</v>
      </c>
      <c r="T7" s="2115">
        <f>+Q_IS!T38</f>
        <v>3724.6000000000004</v>
      </c>
      <c r="U7" s="2115">
        <f>+Q_IS!U38</f>
        <v>4077</v>
      </c>
      <c r="V7" s="2115">
        <f>+Q_IS!V38</f>
        <v>3826</v>
      </c>
      <c r="W7" s="2115">
        <f>+Q_IS!W38</f>
        <v>4987</v>
      </c>
      <c r="X7" s="2115">
        <f>+Q_IS!X38</f>
        <v>5388</v>
      </c>
      <c r="Y7" s="2115">
        <f>+Q_IS!Y38</f>
        <v>6467</v>
      </c>
      <c r="Z7" s="2115">
        <f>+Q_IS!Z38</f>
        <v>4659</v>
      </c>
      <c r="AA7" s="2116">
        <f>+Q_IS!AA38</f>
        <v>4851</v>
      </c>
      <c r="AB7" s="2116">
        <f>+Q_IS!AB38</f>
        <v>4982</v>
      </c>
      <c r="AC7" s="2116">
        <f>+Q_IS!AC38</f>
        <v>5404</v>
      </c>
      <c r="AD7" s="2116">
        <f>+Q_IS!AD38</f>
        <v>5155</v>
      </c>
      <c r="AE7" s="2116">
        <f>+Q_IS!AE38</f>
        <v>5348</v>
      </c>
      <c r="AF7" s="2116">
        <f>+Q_IS!AF38</f>
        <v>5516</v>
      </c>
      <c r="AG7" s="2116">
        <f>+Q_IS!AG38</f>
        <v>5967</v>
      </c>
      <c r="AH7" s="2116">
        <f>+Q_IS!AH38</f>
        <v>5574</v>
      </c>
      <c r="AI7" s="2116">
        <f>+Q_IS!AI38</f>
        <v>5922</v>
      </c>
      <c r="AJ7" s="2116">
        <f>+Q_IS!AJ38</f>
        <v>5799</v>
      </c>
      <c r="AK7" s="2116">
        <f>+Q_IS!AK38</f>
        <v>6382</v>
      </c>
      <c r="AL7" s="2116">
        <f>+Q_IS!AL38</f>
        <v>5997</v>
      </c>
      <c r="AM7" s="2116">
        <f>+Q_IS!AM38</f>
        <v>6243</v>
      </c>
      <c r="AN7" s="2116">
        <f>+Q_IS!AN38</f>
        <v>6290</v>
      </c>
      <c r="AO7" s="2116">
        <f>+Q_IS!AO38</f>
        <v>6932</v>
      </c>
      <c r="AP7" s="2116">
        <f>+Q_IS!AP38</f>
        <v>6387</v>
      </c>
      <c r="AQ7" s="2116">
        <f>+Q_IS!AQ38</f>
        <v>6899</v>
      </c>
      <c r="AR7" s="2116">
        <f>+Q_IS!AR38</f>
        <v>6680</v>
      </c>
      <c r="AS7" s="2116">
        <f>+Q_IS!AS38</f>
        <v>7251</v>
      </c>
      <c r="AT7" s="2116">
        <f>+Q_IS!AT38</f>
        <v>6210</v>
      </c>
      <c r="AU7" s="2116">
        <f>+Q_IS!AU38</f>
        <v>2768</v>
      </c>
      <c r="AV7" s="2116">
        <f>+Q_IS!AV38</f>
        <v>4569</v>
      </c>
      <c r="AW7" s="2116">
        <f>+Q_IS!AW38</f>
        <v>5520</v>
      </c>
      <c r="AX7" s="2116">
        <f>+Q_IS!AX38</f>
        <v>4975</v>
      </c>
      <c r="AY7" s="2116">
        <f>+Q_IS!AY38</f>
        <v>6465</v>
      </c>
      <c r="AZ7" s="2116">
        <f>+Q_IS!AZ38</f>
        <v>6705</v>
      </c>
      <c r="BA7" s="2116">
        <f>+Q_IS!BA38</f>
        <v>7870</v>
      </c>
      <c r="BB7" s="2116">
        <f>+Q_IS!BB38</f>
        <v>7335</v>
      </c>
      <c r="BC7" s="2116">
        <f>+Q_IS!BC38</f>
        <v>8357</v>
      </c>
      <c r="BD7" s="2116">
        <f>+Q_IS!BD38</f>
        <v>8403</v>
      </c>
      <c r="BE7" s="2116">
        <f>+Q_IS!BE38</f>
        <v>9373</v>
      </c>
      <c r="BF7" s="2116">
        <f>+Q_IS!BF38</f>
        <v>8953</v>
      </c>
      <c r="BG7" s="2116">
        <f>+Q_IS!BG38</f>
        <v>9831</v>
      </c>
      <c r="BH7" s="2116">
        <f>+Q_IS!BH38</f>
        <v>9900</v>
      </c>
      <c r="BI7" s="2116">
        <f>+Q_IS!BI38</f>
        <v>10674</v>
      </c>
      <c r="BJ7" s="2116">
        <f>+Q_IS!BJ38</f>
        <v>10122</v>
      </c>
      <c r="BK7" s="2117">
        <f>+Q_IS!BK38</f>
        <v>10694</v>
      </c>
      <c r="BL7" s="2118">
        <f>+Q_IS!BL38</f>
        <v>10752.462458866608</v>
      </c>
      <c r="BM7" s="2118">
        <f>+Q_IS!BM38</f>
        <v>11493.143931378603</v>
      </c>
      <c r="BN7" s="2118">
        <f>+Q_IS!BN38</f>
        <v>10752.801241084824</v>
      </c>
      <c r="BO7" s="2118">
        <f>+Q_IS!BO38</f>
        <v>11328.891114812559</v>
      </c>
      <c r="BP7" s="2118">
        <f>+Q_IS!BP38</f>
        <v>11340.4411031537</v>
      </c>
      <c r="BQ7" s="2118">
        <f>+Q_IS!BQ38</f>
        <v>12177.233378713507</v>
      </c>
      <c r="BR7" s="2118">
        <f>+Q_IS!BR38</f>
        <v>11420.854333278157</v>
      </c>
      <c r="BS7" s="2118">
        <f>+Q_IS!BS38</f>
        <v>12018.226620607606</v>
      </c>
      <c r="BT7" s="2118">
        <f>+Q_IS!BT38</f>
        <v>12025.193325339651</v>
      </c>
      <c r="BU7" s="2118">
        <f>+Q_IS!BU38</f>
        <v>12900.699192856386</v>
      </c>
      <c r="BV7" s="2118">
        <f>+Q_IS!BV38</f>
        <v>12078.947022064853</v>
      </c>
      <c r="BW7" s="2118">
        <f>+Q_IS!BW38</f>
        <v>12700.349023447976</v>
      </c>
      <c r="BX7" s="2118">
        <f>+Q_IS!BX38</f>
        <v>12705.389202232964</v>
      </c>
      <c r="BY7" s="2118">
        <f>+Q_IS!BY38</f>
        <v>13619.44766835582</v>
      </c>
      <c r="BZ7" s="2118">
        <f>+Q_IS!BZ38</f>
        <v>12615.436170698993</v>
      </c>
      <c r="CA7" s="2118">
        <f>+Q_IS!CA38</f>
        <v>13260.667168052891</v>
      </c>
      <c r="CB7" s="2118">
        <f>+Q_IS!CB38</f>
        <v>13269.548169983396</v>
      </c>
      <c r="CC7" s="2118">
        <f>+Q_IS!CC38</f>
        <v>14227.64378433974</v>
      </c>
      <c r="CD7" s="2118">
        <f>+Q_IS!CD38</f>
        <v>13172.332997807955</v>
      </c>
      <c r="CE7" s="2118">
        <f>+Q_IS!CE38</f>
        <v>13842.176901285213</v>
      </c>
      <c r="CF7" s="2118">
        <f>+Q_IS!CF38</f>
        <v>13855.196538930999</v>
      </c>
      <c r="CG7" s="2118">
        <f>+Q_IS!CG38</f>
        <v>14859.162392934209</v>
      </c>
      <c r="CH7" s="2118">
        <f>+Q_IS!CH38</f>
        <v>13747.229474459893</v>
      </c>
      <c r="CI7" s="2118">
        <f>+Q_IS!CI38</f>
        <v>14435.951214472092</v>
      </c>
      <c r="CJ7" s="2118">
        <f>+Q_IS!CJ38</f>
        <v>14446.565401350839</v>
      </c>
      <c r="CK7" s="2118">
        <f>+Q_IS!CK38</f>
        <v>15484.067608349418</v>
      </c>
      <c r="CL7" s="2118">
        <f>+Q_IS!CL38</f>
        <v>14311.172608256547</v>
      </c>
      <c r="CM7" s="2118">
        <f>+Q_IS!CM38</f>
        <v>15024.719414255509</v>
      </c>
      <c r="CN7" s="2118">
        <f>+Q_IS!CN38</f>
        <v>15039.398976465</v>
      </c>
      <c r="CO7" s="2118">
        <f>+Q_IS!CO38</f>
        <v>16123.091703259646</v>
      </c>
      <c r="CP7" s="2118">
        <f>+Q_IS!CP38</f>
        <v>14895.905048810529</v>
      </c>
      <c r="CQ7" s="2118">
        <f>+Q_IS!CQ38</f>
        <v>15635.074152905197</v>
      </c>
      <c r="CR7" s="2118">
        <f>+Q_IS!CR38</f>
        <v>15654.117691589825</v>
      </c>
      <c r="CS7" s="2118">
        <f>+Q_IS!CS38</f>
        <v>16785.860134588882</v>
      </c>
      <c r="CT7" s="2118">
        <f>+Q_IS!CT38</f>
        <v>15501.40866864165</v>
      </c>
      <c r="CU7" s="2118">
        <f>+Q_IS!CU38</f>
        <v>16265.68038268244</v>
      </c>
      <c r="CV7" s="2118">
        <f>+Q_IS!CV38</f>
        <v>16287.375133786825</v>
      </c>
      <c r="CW7" s="2118">
        <f>+Q_IS!CW38</f>
        <v>17464.20610886443</v>
      </c>
    </row>
    <row r="8" spans="1:101" s="2119" customFormat="1">
      <c r="A8" s="2113" t="s">
        <v>733</v>
      </c>
      <c r="B8" s="2114">
        <f>+Q_IS!B189</f>
        <v>306.8</v>
      </c>
      <c r="C8" s="2114">
        <f>+Q_IS!C189</f>
        <v>326.8</v>
      </c>
      <c r="D8" s="2114">
        <f>+Q_IS!D189</f>
        <v>376</v>
      </c>
      <c r="E8" s="2114">
        <f>+Q_IS!E189</f>
        <v>398.1</v>
      </c>
      <c r="F8" s="2114">
        <f>+Q_IS!F189</f>
        <v>360.8</v>
      </c>
      <c r="G8" s="2114">
        <f>+Q_IS!G189</f>
        <v>430</v>
      </c>
      <c r="H8" s="2114">
        <f>+Q_IS!H189</f>
        <v>504.9</v>
      </c>
      <c r="I8" s="2114">
        <f>+Q_IS!I189</f>
        <v>515</v>
      </c>
      <c r="J8" s="2114">
        <f>+Q_IS!J189</f>
        <v>470.4</v>
      </c>
      <c r="K8" s="2114">
        <f>+Q_IS!K189</f>
        <v>536.6</v>
      </c>
      <c r="L8" s="2114">
        <f>+Q_IS!L189</f>
        <v>662.5</v>
      </c>
      <c r="M8" s="2114">
        <f>+Q_IS!M189</f>
        <v>732.6</v>
      </c>
      <c r="N8" s="2114">
        <f>+Q_IS!N189</f>
        <v>694.2</v>
      </c>
      <c r="O8" s="2115">
        <f>+Q_IS!O189</f>
        <v>847</v>
      </c>
      <c r="P8" s="2115">
        <f>+Q_IS!P189</f>
        <v>948.2</v>
      </c>
      <c r="Q8" s="2115">
        <f>+Q_IS!Q189</f>
        <v>927.1</v>
      </c>
      <c r="R8" s="2115">
        <f>+Q_IS!R189</f>
        <v>824</v>
      </c>
      <c r="S8" s="2115">
        <f>+Q_IS!S189</f>
        <v>968</v>
      </c>
      <c r="T8" s="2115">
        <f>+Q_IS!T189</f>
        <v>1172.5999999999999</v>
      </c>
      <c r="U8" s="2115">
        <f>+Q_IS!U189</f>
        <v>1254.9000000000001</v>
      </c>
      <c r="V8" s="2115">
        <f>+Q_IS!V189</f>
        <v>997</v>
      </c>
      <c r="W8" s="2115">
        <f>+Q_IS!W189</f>
        <v>1091</v>
      </c>
      <c r="X8" s="2115">
        <f>+Q_IS!X189</f>
        <v>1234</v>
      </c>
      <c r="Y8" s="2115">
        <f>+Q_IS!Y189</f>
        <v>1299</v>
      </c>
      <c r="Z8" s="2115">
        <f>+Q_IS!Z189</f>
        <v>1357</v>
      </c>
      <c r="AA8" s="2116">
        <f>+Q_IS!AA189</f>
        <v>1605</v>
      </c>
      <c r="AB8" s="2116">
        <f>+Q_IS!AB189</f>
        <v>1849</v>
      </c>
      <c r="AC8" s="2116">
        <f>+Q_IS!AC189</f>
        <v>1907</v>
      </c>
      <c r="AD8" s="2116">
        <f>+Q_IS!AD189</f>
        <v>1582</v>
      </c>
      <c r="AE8" s="2116">
        <f>+Q_IS!AE189</f>
        <v>1929</v>
      </c>
      <c r="AF8" s="2116">
        <f>+Q_IS!AF189</f>
        <v>2253</v>
      </c>
      <c r="AG8" s="2116">
        <f>+Q_IS!AG189</f>
        <v>2360</v>
      </c>
      <c r="AH8" s="2116">
        <f>+Q_IS!AH189</f>
        <v>2460</v>
      </c>
      <c r="AI8" s="2116">
        <f>+Q_IS!AI189</f>
        <v>2449</v>
      </c>
      <c r="AJ8" s="2116">
        <f>+Q_IS!AJ189</f>
        <v>2634</v>
      </c>
      <c r="AK8" s="2116">
        <f>+Q_IS!AK189</f>
        <v>2740</v>
      </c>
      <c r="AL8" s="2116">
        <f>+Q_IS!AL189</f>
        <v>2600.777</v>
      </c>
      <c r="AM8" s="2116">
        <f>+Q_IS!AM189</f>
        <v>2725.201</v>
      </c>
      <c r="AN8" s="2116">
        <f>+Q_IS!AN189</f>
        <v>2463</v>
      </c>
      <c r="AO8" s="2116">
        <f>+Q_IS!AO189</f>
        <v>2406</v>
      </c>
      <c r="AP8" s="2116">
        <f>+Q_IS!AP189</f>
        <v>2271.386</v>
      </c>
      <c r="AQ8" s="2116">
        <f>+Q_IS!AQ189</f>
        <v>2440.2809999999999</v>
      </c>
      <c r="AR8" s="2116">
        <f>+Q_IS!AR189</f>
        <v>2569.8229999999999</v>
      </c>
      <c r="AS8" s="2116">
        <f>+Q_IS!AS189</f>
        <v>2450.9229999999998</v>
      </c>
      <c r="AT8" s="2116">
        <f>+Q_IS!AT189</f>
        <v>1764.7919999999999</v>
      </c>
      <c r="AU8" s="2116">
        <f>+Q_IS!AU189</f>
        <v>781.64</v>
      </c>
      <c r="AV8" s="2116">
        <f>+Q_IS!AV189</f>
        <v>1265.3510000000001</v>
      </c>
      <c r="AW8" s="2116">
        <f>+Q_IS!AW189</f>
        <v>1775.183</v>
      </c>
      <c r="AX8" s="2116">
        <f>+Q_IS!AX189</f>
        <v>1756.93</v>
      </c>
      <c r="AY8" s="2116">
        <f>+Q_IS!AY189</f>
        <v>1731.269</v>
      </c>
      <c r="AZ8" s="2116">
        <f>+Q_IS!AZ189</f>
        <v>2423.442</v>
      </c>
      <c r="BA8" s="2116">
        <f>+Q_IS!BA189</f>
        <v>3050.4380000000001</v>
      </c>
      <c r="BB8" s="2116">
        <f>+Q_IS!BB189</f>
        <v>2708.33</v>
      </c>
      <c r="BC8" s="2116">
        <f>+Q_IS!BC189</f>
        <v>3161.74</v>
      </c>
      <c r="BD8" s="2116">
        <f>+Q_IS!BD189</f>
        <v>3679.9369999999999</v>
      </c>
      <c r="BE8" s="2116">
        <f>+Q_IS!BE189</f>
        <v>3837.7049999999999</v>
      </c>
      <c r="BF8" s="2116">
        <f>+Q_IS!BF189</f>
        <v>3135.5329999999999</v>
      </c>
      <c r="BG8" s="2116">
        <f>+Q_IS!BG189</f>
        <v>3460.4700000000003</v>
      </c>
      <c r="BH8" s="2116">
        <f>+Q_IS!BH189</f>
        <v>3931.7930000000001</v>
      </c>
      <c r="BI8" s="2116">
        <f>+Q_IS!BI189</f>
        <v>3377.9769999999999</v>
      </c>
      <c r="BJ8" s="2116">
        <f>+Q_IS!BJ189</f>
        <v>2639.1559999999999</v>
      </c>
      <c r="BK8" s="2117">
        <f>+Q_IS!BK189</f>
        <v>3056.471</v>
      </c>
      <c r="BL8" s="2118">
        <f>+Q_IS!BL189</f>
        <v>3235.8739780058768</v>
      </c>
      <c r="BM8" s="2118">
        <f>+Q_IS!BM189</f>
        <v>2519.7343425433478</v>
      </c>
      <c r="BN8" s="2118">
        <f>+Q_IS!BN189</f>
        <v>2792.5346205556261</v>
      </c>
      <c r="BO8" s="2118">
        <f>+Q_IS!BO189</f>
        <v>3479.9238169842088</v>
      </c>
      <c r="BP8" s="2118">
        <f>+Q_IS!BP189</f>
        <v>3532.340512027733</v>
      </c>
      <c r="BQ8" s="2118">
        <f>+Q_IS!BQ189</f>
        <v>2664.8228207156913</v>
      </c>
      <c r="BR8" s="2118">
        <f>+Q_IS!BR189</f>
        <v>2952.6420667606362</v>
      </c>
      <c r="BS8" s="2118">
        <f>+Q_IS!BS189</f>
        <v>3639.5253454033141</v>
      </c>
      <c r="BT8" s="2118">
        <f>+Q_IS!BT189</f>
        <v>3694.082468330922</v>
      </c>
      <c r="BU8" s="2118">
        <f>+Q_IS!BU189</f>
        <v>2779.9566067173037</v>
      </c>
      <c r="BV8" s="2118">
        <f>+Q_IS!BV189</f>
        <v>3012.2264502465528</v>
      </c>
      <c r="BW8" s="2118">
        <f>+Q_IS!BW189</f>
        <v>3711.6604865978716</v>
      </c>
      <c r="BX8" s="2118">
        <f>+Q_IS!BX189</f>
        <v>3770.1737041993551</v>
      </c>
      <c r="BY8" s="2118">
        <f>+Q_IS!BY189</f>
        <v>2836.9798448241809</v>
      </c>
      <c r="BZ8" s="2118">
        <f>+Q_IS!BZ189</f>
        <v>3093.3035095873083</v>
      </c>
      <c r="CA8" s="2118">
        <f>+Q_IS!CA189</f>
        <v>3810.5954207463451</v>
      </c>
      <c r="CB8" s="2118">
        <f>+Q_IS!CB189</f>
        <v>3873.8672640048312</v>
      </c>
      <c r="CC8" s="2118">
        <f>+Q_IS!CC189</f>
        <v>2914.6807940400226</v>
      </c>
      <c r="CD8" s="2118">
        <f>+Q_IS!CD189</f>
        <v>3175.9875771869124</v>
      </c>
      <c r="CE8" s="2118">
        <f>+Q_IS!CE189</f>
        <v>3910.9606423390578</v>
      </c>
      <c r="CF8" s="2118">
        <f>+Q_IS!CF189</f>
        <v>3979.0691498091633</v>
      </c>
      <c r="CG8" s="2118">
        <f>+Q_IS!CG189</f>
        <v>2993.0633974806606</v>
      </c>
      <c r="CH8" s="2118">
        <f>+Q_IS!CH189</f>
        <v>3259.0413456722999</v>
      </c>
      <c r="CI8" s="2118">
        <f>+Q_IS!CI189</f>
        <v>4012.4935903154114</v>
      </c>
      <c r="CJ8" s="2118">
        <f>+Q_IS!CJ189</f>
        <v>4087.133219529012</v>
      </c>
      <c r="CK8" s="2118">
        <f>+Q_IS!CK189</f>
        <v>3072.0809100227789</v>
      </c>
      <c r="CL8" s="2118">
        <f>+Q_IS!CL189</f>
        <v>3340.622514113511</v>
      </c>
      <c r="CM8" s="2118">
        <f>+Q_IS!CM189</f>
        <v>4112.1525706868279</v>
      </c>
      <c r="CN8" s="2118">
        <f>+Q_IS!CN189</f>
        <v>4193.887672942371</v>
      </c>
      <c r="CO8" s="2118">
        <f>+Q_IS!CO189</f>
        <v>3151.5013212206195</v>
      </c>
      <c r="CP8" s="2118">
        <f>+Q_IS!CP189</f>
        <v>3423.4953618978084</v>
      </c>
      <c r="CQ8" s="2118">
        <f>+Q_IS!CQ189</f>
        <v>4213.2139843669529</v>
      </c>
      <c r="CR8" s="2118">
        <f>+Q_IS!CR189</f>
        <v>4303.6177380336521</v>
      </c>
      <c r="CS8" s="2118">
        <f>+Q_IS!CS189</f>
        <v>3233.7045112827036</v>
      </c>
      <c r="CT8" s="2118">
        <f>+Q_IS!CT189</f>
        <v>3509.504354767631</v>
      </c>
      <c r="CU8" s="2118">
        <f>+Q_IS!CU189</f>
        <v>4317.9679803200934</v>
      </c>
      <c r="CV8" s="2118">
        <f>+Q_IS!CV189</f>
        <v>4418.4413590633421</v>
      </c>
      <c r="CW8" s="2118">
        <f>+Q_IS!CW189</f>
        <v>3315.8580717140567</v>
      </c>
    </row>
    <row r="9" spans="1:101" s="2119" customFormat="1">
      <c r="A9" s="2113" t="s">
        <v>949</v>
      </c>
      <c r="B9" s="2114">
        <f>+Q_IS!B105</f>
        <v>0</v>
      </c>
      <c r="C9" s="2114">
        <f>+Q_IS!C105</f>
        <v>0</v>
      </c>
      <c r="D9" s="2114">
        <f>+Q_IS!D105</f>
        <v>0</v>
      </c>
      <c r="E9" s="2114">
        <f>+Q_IS!E105</f>
        <v>0</v>
      </c>
      <c r="F9" s="2114">
        <f>+Q_IS!F105</f>
        <v>0</v>
      </c>
      <c r="G9" s="2114">
        <f>+Q_IS!G105</f>
        <v>0</v>
      </c>
      <c r="H9" s="2114">
        <f>+Q_IS!H105</f>
        <v>0</v>
      </c>
      <c r="I9" s="2114">
        <f>+Q_IS!I105</f>
        <v>0</v>
      </c>
      <c r="J9" s="2114">
        <f>+Q_IS!J105</f>
        <v>0</v>
      </c>
      <c r="K9" s="2114">
        <f>+Q_IS!K105</f>
        <v>0</v>
      </c>
      <c r="L9" s="2114">
        <f>+Q_IS!L105</f>
        <v>0</v>
      </c>
      <c r="M9" s="2114">
        <f>+Q_IS!M105</f>
        <v>0</v>
      </c>
      <c r="N9" s="2114">
        <f>+Q_IS!N105</f>
        <v>0</v>
      </c>
      <c r="O9" s="2115">
        <f>+Q_IS!O105</f>
        <v>0</v>
      </c>
      <c r="P9" s="2115">
        <f>+Q_IS!P105</f>
        <v>0</v>
      </c>
      <c r="Q9" s="2115">
        <f>+Q_IS!Q105</f>
        <v>0</v>
      </c>
      <c r="R9" s="2115">
        <f>+Q_IS!R105</f>
        <v>0</v>
      </c>
      <c r="S9" s="2115">
        <f>+Q_IS!S105</f>
        <v>0</v>
      </c>
      <c r="T9" s="2115">
        <f>+Q_IS!T105</f>
        <v>0</v>
      </c>
      <c r="U9" s="2115">
        <f>+Q_IS!U105</f>
        <v>0</v>
      </c>
      <c r="V9" s="2115">
        <f>+Q_IS!V105</f>
        <v>0</v>
      </c>
      <c r="W9" s="2115">
        <f>+Q_IS!W105</f>
        <v>0</v>
      </c>
      <c r="X9" s="2115">
        <f>+Q_IS!X105</f>
        <v>0</v>
      </c>
      <c r="Y9" s="2115">
        <f>+Q_IS!Y105</f>
        <v>1468</v>
      </c>
      <c r="Z9" s="2115">
        <f>+Q_IS!Z105</f>
        <v>1328</v>
      </c>
      <c r="AA9" s="2116">
        <f>+Q_IS!AA105</f>
        <v>1306</v>
      </c>
      <c r="AB9" s="2116">
        <f>+Q_IS!AB105</f>
        <v>1392</v>
      </c>
      <c r="AC9" s="2116">
        <f>+Q_IS!AC105</f>
        <v>1647</v>
      </c>
      <c r="AD9" s="2116">
        <f>+Q_IS!AD105</f>
        <v>1798</v>
      </c>
      <c r="AE9" s="2116">
        <f>+Q_IS!AE105</f>
        <v>1789</v>
      </c>
      <c r="AF9" s="2116">
        <f>+Q_IS!AF105</f>
        <v>1832</v>
      </c>
      <c r="AG9" s="2116">
        <f>+Q_IS!AG105</f>
        <v>2172</v>
      </c>
      <c r="AH9" s="2116">
        <f>+Q_IS!AH105</f>
        <v>2060</v>
      </c>
      <c r="AI9" s="2116">
        <f>+Q_IS!AI105</f>
        <v>1974</v>
      </c>
      <c r="AJ9" s="2116">
        <f>+Q_IS!AJ105</f>
        <v>2043</v>
      </c>
      <c r="AK9" s="2116">
        <f>+Q_IS!AK105</f>
        <v>2493</v>
      </c>
      <c r="AL9" s="2116">
        <f>+Q_IS!AL105</f>
        <v>2481</v>
      </c>
      <c r="AM9" s="2116">
        <f>+Q_IS!AM105</f>
        <v>2358</v>
      </c>
      <c r="AN9" s="2116">
        <f>+Q_IS!AN105</f>
        <v>2358</v>
      </c>
      <c r="AO9" s="2116">
        <f>+Q_IS!AO105</f>
        <v>2690</v>
      </c>
      <c r="AP9" s="2116">
        <f>+Q_IS!AP105</f>
        <v>5033</v>
      </c>
      <c r="AQ9" s="2116">
        <f>+Q_IS!AQ105</f>
        <v>5242</v>
      </c>
      <c r="AR9" s="2116">
        <f>+Q_IS!AR105</f>
        <v>5241</v>
      </c>
      <c r="AS9" s="2116">
        <f>+Q_IS!AS105</f>
        <v>5691</v>
      </c>
      <c r="AT9" s="2116">
        <f>+Q_IS!AT105</f>
        <v>4150</v>
      </c>
      <c r="AU9" s="2116">
        <f>+Q_IS!AU105</f>
        <v>1648</v>
      </c>
      <c r="AV9" s="2116">
        <f>+Q_IS!AV105</f>
        <v>4060</v>
      </c>
      <c r="AW9" s="2116">
        <f>+Q_IS!AW105</f>
        <v>4002</v>
      </c>
      <c r="AX9" s="2116">
        <f>+Q_IS!AX105</f>
        <v>3492</v>
      </c>
      <c r="AY9" s="2116">
        <f>+Q_IS!AY105</f>
        <v>4280</v>
      </c>
      <c r="AZ9" s="2116">
        <f>+Q_IS!AZ105</f>
        <v>4830</v>
      </c>
      <c r="BA9" s="2116">
        <f>+Q_IS!BA105</f>
        <v>5812</v>
      </c>
      <c r="BB9" s="2116">
        <f>+Q_IS!BB105</f>
        <v>5185</v>
      </c>
      <c r="BC9" s="2116">
        <f>+Q_IS!BC105</f>
        <v>5421</v>
      </c>
      <c r="BD9" s="2116">
        <f>+Q_IS!BD105</f>
        <v>5435</v>
      </c>
      <c r="BE9" s="2116">
        <f>+Q_IS!BE105</f>
        <v>5935</v>
      </c>
      <c r="BF9" s="2116">
        <f>+Q_IS!BF105</f>
        <v>5577</v>
      </c>
      <c r="BG9" s="2116">
        <f>+Q_IS!BG105</f>
        <v>5658</v>
      </c>
      <c r="BH9" s="2116">
        <f>+Q_IS!BH105</f>
        <v>5637</v>
      </c>
      <c r="BI9" s="2116">
        <f>+Q_IS!BI105</f>
        <v>6094</v>
      </c>
      <c r="BJ9" s="2116">
        <f>+Q_IS!BJ105</f>
        <v>5441</v>
      </c>
      <c r="BK9" s="2117">
        <f>+Q_IS!BK105</f>
        <v>5503</v>
      </c>
      <c r="BL9" s="2118">
        <f>+Q_IS!BL105</f>
        <v>6119.6343958553243</v>
      </c>
      <c r="BM9" s="2118">
        <f>+Q_IS!BM105</f>
        <v>6971.3152094981424</v>
      </c>
      <c r="BN9" s="2118">
        <f>+Q_IS!BN105</f>
        <v>6366.2554566755043</v>
      </c>
      <c r="BO9" s="2118">
        <f>+Q_IS!BO105</f>
        <v>6604.9012455139209</v>
      </c>
      <c r="BP9" s="2118">
        <f>+Q_IS!BP105</f>
        <v>7087.2832231708207</v>
      </c>
      <c r="BQ9" s="2118">
        <f>+Q_IS!BQ105</f>
        <v>7873.55572854608</v>
      </c>
      <c r="BR9" s="2118">
        <f>+Q_IS!BR105</f>
        <v>7083.2530196240396</v>
      </c>
      <c r="BS9" s="2118">
        <f>+Q_IS!BS105</f>
        <v>7159.6937681955897</v>
      </c>
      <c r="BT9" s="2118">
        <f>+Q_IS!BT105</f>
        <v>7676.0149644626154</v>
      </c>
      <c r="BU9" s="2118">
        <f>+Q_IS!BU105</f>
        <v>8511.8833255033423</v>
      </c>
      <c r="BV9" s="2118">
        <f>+Q_IS!BV105</f>
        <v>7649.5238202365535</v>
      </c>
      <c r="BW9" s="2118">
        <f>+Q_IS!BW105</f>
        <v>7731.348745160547</v>
      </c>
      <c r="BX9" s="2118">
        <f>+Q_IS!BX105</f>
        <v>8288.426092445301</v>
      </c>
      <c r="BY9" s="2118">
        <f>+Q_IS!BY105</f>
        <v>9178.1476619895075</v>
      </c>
      <c r="BZ9" s="2118">
        <f>+Q_IS!BZ105</f>
        <v>8233.0750907762722</v>
      </c>
      <c r="CA9" s="2118">
        <f>+Q_IS!CA105</f>
        <v>8320.4305685771651</v>
      </c>
      <c r="CB9" s="2118">
        <f>+Q_IS!CB105</f>
        <v>8919.5052655668169</v>
      </c>
      <c r="CC9" s="2118">
        <f>+Q_IS!CC105</f>
        <v>9871.1885608929679</v>
      </c>
      <c r="CD9" s="2118">
        <f>+Q_IS!CD105</f>
        <v>8852.6547137896268</v>
      </c>
      <c r="CE9" s="2118">
        <f>+Q_IS!CE105</f>
        <v>8945.8521507157438</v>
      </c>
      <c r="CF9" s="2118">
        <f>+Q_IS!CF105</f>
        <v>9589.4912169492636</v>
      </c>
      <c r="CG9" s="2118">
        <f>+Q_IS!CG105</f>
        <v>10606.785647565079</v>
      </c>
      <c r="CH9" s="2118">
        <f>+Q_IS!CH105</f>
        <v>9506.7841729233314</v>
      </c>
      <c r="CI9" s="2118">
        <f>+Q_IS!CI105</f>
        <v>9599.2222933886133</v>
      </c>
      <c r="CJ9" s="2118">
        <f>+Q_IS!CJ105</f>
        <v>10282.038139322547</v>
      </c>
      <c r="CK9" s="2118">
        <f>+Q_IS!CK105</f>
        <v>11363.012923462811</v>
      </c>
      <c r="CL9" s="2118">
        <f>+Q_IS!CL105</f>
        <v>10182.738787180888</v>
      </c>
      <c r="CM9" s="2118">
        <f>+Q_IS!CM105</f>
        <v>10281.250026752235</v>
      </c>
      <c r="CN9" s="2118">
        <f>+Q_IS!CN105</f>
        <v>11012.370707245082</v>
      </c>
      <c r="CO9" s="2118">
        <f>+Q_IS!CO105</f>
        <v>12164.436896645097</v>
      </c>
      <c r="CP9" s="2118">
        <f>+Q_IS!CP105</f>
        <v>10899.025127055487</v>
      </c>
      <c r="CQ9" s="2118">
        <f>+Q_IS!CQ105</f>
        <v>11003.947313917297</v>
      </c>
      <c r="CR9" s="2118">
        <f>+Q_IS!CR105</f>
        <v>11786.235841824133</v>
      </c>
      <c r="CS9" s="2118">
        <f>+Q_IS!CS105</f>
        <v>13013.457596067457</v>
      </c>
      <c r="CT9" s="2118">
        <f>+Q_IS!CT105</f>
        <v>11657.782934235824</v>
      </c>
      <c r="CU9" s="2118">
        <f>+Q_IS!CU105</f>
        <v>11769.471033916834</v>
      </c>
      <c r="CV9" s="2118">
        <f>+Q_IS!CV105</f>
        <v>12605.94163246344</v>
      </c>
      <c r="CW9" s="2118">
        <f>+Q_IS!CW105</f>
        <v>13902.768979184273</v>
      </c>
    </row>
    <row r="10" spans="1:101">
      <c r="A10" s="342" t="s">
        <v>761</v>
      </c>
      <c r="B10" s="373">
        <f>Q_IS!B283</f>
        <v>-792.54899999999998</v>
      </c>
      <c r="C10" s="373">
        <f>Q_IS!C283</f>
        <v>-772.08100000000002</v>
      </c>
      <c r="D10" s="373">
        <f>Q_IS!D283</f>
        <v>-785.44500000000005</v>
      </c>
      <c r="E10" s="373">
        <f>Q_IS!E283</f>
        <v>-816.38400000000001</v>
      </c>
      <c r="F10" s="373">
        <f>Q_IS!F283</f>
        <v>-737.38300000000004</v>
      </c>
      <c r="G10" s="373">
        <f>Q_IS!G283</f>
        <v>-748.52200000000005</v>
      </c>
      <c r="H10" s="373">
        <f>Q_IS!H283</f>
        <v>-804.15700000000004</v>
      </c>
      <c r="I10" s="373">
        <f>Q_IS!I283</f>
        <v>-883.08100000000002</v>
      </c>
      <c r="J10" s="373">
        <f>Q_IS!J283</f>
        <v>-834.66800000000001</v>
      </c>
      <c r="K10" s="373">
        <f>Q_IS!K283</f>
        <v>-898.01199999999994</v>
      </c>
      <c r="L10" s="373">
        <f>Q_IS!L283</f>
        <v>-994.89499999999998</v>
      </c>
      <c r="M10" s="373">
        <f>Q_IS!M283</f>
        <v>-1060.0239999999999</v>
      </c>
      <c r="N10" s="373">
        <f>Q_IS!N283</f>
        <v>-1064.2339999999999</v>
      </c>
      <c r="O10" s="96">
        <f>Q_IS!O283</f>
        <v>-1221.605</v>
      </c>
      <c r="P10" s="96">
        <f>Q_IS!P283</f>
        <v>-1229.8810000000001</v>
      </c>
      <c r="Q10" s="96">
        <f>Q_IS!Q283</f>
        <v>-1243.6479999999999</v>
      </c>
      <c r="R10" s="96">
        <f>Q_IS!R283</f>
        <v>-1162.3409999999999</v>
      </c>
      <c r="S10" s="96">
        <f>Q_IS!S283</f>
        <v>-1255.8</v>
      </c>
      <c r="T10" s="96">
        <f>Q_IS!T283</f>
        <v>-1364.9059999999999</v>
      </c>
      <c r="U10" s="96">
        <f>Q_IS!U283</f>
        <v>-1442.7</v>
      </c>
      <c r="V10" s="96">
        <f>Q_IS!V283</f>
        <v>-1336.4760000000001</v>
      </c>
      <c r="W10" s="96">
        <f>Q_IS!W283</f>
        <v>-1652.211</v>
      </c>
      <c r="X10" s="96">
        <f>Q_IS!X283</f>
        <v>-1828.4590000000001</v>
      </c>
      <c r="Y10" s="96">
        <f>Q_IS!Y283</f>
        <v>-2459.3589999999999</v>
      </c>
      <c r="Z10" s="96">
        <f>Q_IS!Z283</f>
        <v>-2307.2829999999999</v>
      </c>
      <c r="AA10" s="99">
        <f>Q_IS!AA283</f>
        <v>-2452.21</v>
      </c>
      <c r="AB10" s="99">
        <f>Q_IS!AB283</f>
        <v>-2605.6030000000001</v>
      </c>
      <c r="AC10" s="99">
        <f>Q_IS!AC283</f>
        <v>-2784.18</v>
      </c>
      <c r="AD10" s="99">
        <f>Q_IS!AD283</f>
        <v>-2711.9270000000001</v>
      </c>
      <c r="AE10" s="99">
        <f>Q_IS!AE283</f>
        <v>-2828.1619999999998</v>
      </c>
      <c r="AF10" s="99">
        <f>Q_IS!AF283</f>
        <v>-2989.3530000000001</v>
      </c>
      <c r="AG10" s="99">
        <f>Q_IS!AG283</f>
        <v>-3250.1889999999999</v>
      </c>
      <c r="AH10" s="99">
        <f>Q_IS!AH283</f>
        <v>-3108.665</v>
      </c>
      <c r="AI10" s="99">
        <f>Q_IS!AI283</f>
        <v>-3130.712</v>
      </c>
      <c r="AJ10" s="99">
        <f>Q_IS!AJ283</f>
        <v>-3168.0720000000001</v>
      </c>
      <c r="AK10" s="99">
        <f>Q_IS!AK283</f>
        <v>-3515.739</v>
      </c>
      <c r="AL10" s="99">
        <f>Q_IS!AL283</f>
        <v>-3338.2310000000002</v>
      </c>
      <c r="AM10" s="99">
        <f>Q_IS!AM283</f>
        <v>-3452.18</v>
      </c>
      <c r="AN10" s="99">
        <f>Q_IS!AN283</f>
        <v>-3528.8420000000001</v>
      </c>
      <c r="AO10" s="99">
        <f>Q_IS!AO283</f>
        <v>-3868.2550000000001</v>
      </c>
      <c r="AP10" s="99">
        <f>Q_IS!AP283</f>
        <v>-4104.5069999999996</v>
      </c>
      <c r="AQ10" s="99">
        <f>Q_IS!AQ283</f>
        <v>-4300.4579999999996</v>
      </c>
      <c r="AR10" s="99">
        <f>Q_IS!AR283</f>
        <v>-4278.6450000000004</v>
      </c>
      <c r="AS10" s="99">
        <f>Q_IS!AS283</f>
        <v>-4480.4120000000003</v>
      </c>
      <c r="AT10" s="99">
        <f>Q_IS!AT283</f>
        <v>-3610.93</v>
      </c>
      <c r="AU10" s="99">
        <f>Q_IS!AU283</f>
        <v>-1760.171</v>
      </c>
      <c r="AV10" s="99">
        <f>Q_IS!AV283</f>
        <v>-2802.056</v>
      </c>
      <c r="AW10" s="99">
        <f>Q_IS!AW283</f>
        <v>-3281.7269999999999</v>
      </c>
      <c r="AX10" s="99">
        <f>Q_IS!AX283</f>
        <v>-3331.2280000000001</v>
      </c>
      <c r="AY10" s="99">
        <f>Q_IS!AY283</f>
        <v>-3959.6010000000001</v>
      </c>
      <c r="AZ10" s="99">
        <f>Q_IS!AZ283</f>
        <v>-4319.6009999999997</v>
      </c>
      <c r="BA10" s="99">
        <f>Q_IS!BA283</f>
        <v>-5142.6310000000003</v>
      </c>
      <c r="BB10" s="99">
        <f>Q_IS!BB283</f>
        <v>-4843.2629999999999</v>
      </c>
      <c r="BC10" s="99">
        <f>Q_IS!BC283</f>
        <v>-5545.5559999999996</v>
      </c>
      <c r="BD10" s="99">
        <f>Q_IS!BD283</f>
        <v>-5756.9110000000001</v>
      </c>
      <c r="BE10" s="99">
        <f>Q_IS!BE283</f>
        <v>-6366.3450000000003</v>
      </c>
      <c r="BF10" s="99">
        <f>Q_IS!BF283</f>
        <v>-5855.1629999999996</v>
      </c>
      <c r="BG10" s="99">
        <f>Q_IS!BG283</f>
        <v>-6285.5209999999997</v>
      </c>
      <c r="BH10" s="99">
        <f>Q_IS!BH283</f>
        <v>-6366.6329999999998</v>
      </c>
      <c r="BI10" s="99">
        <f>Q_IS!BI283</f>
        <v>-6496.2340000000004</v>
      </c>
      <c r="BJ10" s="99">
        <f>Q_IS!BJ283</f>
        <v>-5818.268</v>
      </c>
      <c r="BK10" s="1173">
        <f>Q_IS!BK283</f>
        <v>-6119.049</v>
      </c>
      <c r="BL10" s="332">
        <f>Q_IS!BL283</f>
        <v>-6635.6303748001765</v>
      </c>
      <c r="BM10" s="332">
        <f>Q_IS!BM283</f>
        <v>-6966.7522364954702</v>
      </c>
      <c r="BN10" s="332">
        <f>Q_IS!BN283</f>
        <v>-6583.4767316454972</v>
      </c>
      <c r="BO10" s="332">
        <f>Q_IS!BO283</f>
        <v>-7040.9575227714586</v>
      </c>
      <c r="BP10" s="332">
        <f>Q_IS!BP283</f>
        <v>-7268.7814614945946</v>
      </c>
      <c r="BQ10" s="332">
        <f>Q_IS!BQ283</f>
        <v>-7564.2987720157671</v>
      </c>
      <c r="BR10" s="332">
        <f>Q_IS!BR283</f>
        <v>-7115.8174302336711</v>
      </c>
      <c r="BS10" s="332">
        <f>Q_IS!BS283</f>
        <v>-7525.3296142160907</v>
      </c>
      <c r="BT10" s="332">
        <f>Q_IS!BT283</f>
        <v>-7767.2365317002177</v>
      </c>
      <c r="BU10" s="332">
        <f>Q_IS!BU283</f>
        <v>-8080.308067775728</v>
      </c>
      <c r="BV10" s="332">
        <f>Q_IS!BV283</f>
        <v>-7564.3606791939455</v>
      </c>
      <c r="BW10" s="332">
        <f>Q_IS!BW283</f>
        <v>-7986.7668254454757</v>
      </c>
      <c r="BX10" s="332">
        <f>Q_IS!BX283</f>
        <v>-8246.4083366262457</v>
      </c>
      <c r="BY10" s="332">
        <f>Q_IS!BY283</f>
        <v>-8587.5826836817851</v>
      </c>
      <c r="BZ10" s="332">
        <f>Q_IS!BZ283</f>
        <v>-8083.6039321769067</v>
      </c>
      <c r="CA10" s="332">
        <f>Q_IS!CA283</f>
        <v>-8526.681917991069</v>
      </c>
      <c r="CB10" s="332">
        <f>Q_IS!CB283</f>
        <v>-8809.2671964496039</v>
      </c>
      <c r="CC10" s="332">
        <f>Q_IS!CC283</f>
        <v>-9184.5944673527265</v>
      </c>
      <c r="CD10" s="332">
        <f>Q_IS!CD283</f>
        <v>-8508.7410827909553</v>
      </c>
      <c r="CE10" s="332">
        <f>Q_IS!CE283</f>
        <v>-8965.6798876850189</v>
      </c>
      <c r="CF10" s="332">
        <f>Q_IS!CF283</f>
        <v>-9269.2298341230253</v>
      </c>
      <c r="CG10" s="332">
        <f>Q_IS!CG283</f>
        <v>-9676.0638889131824</v>
      </c>
      <c r="CH10" s="332">
        <f>Q_IS!CH283</f>
        <v>-8951.7456235158388</v>
      </c>
      <c r="CI10" s="332">
        <f>Q_IS!CI283</f>
        <v>-9418.5737991393526</v>
      </c>
      <c r="CJ10" s="332">
        <f>Q_IS!CJ283</f>
        <v>-9739.7190249484102</v>
      </c>
      <c r="CK10" s="332">
        <f>Q_IS!CK283</f>
        <v>-10172.514890223902</v>
      </c>
      <c r="CL10" s="332">
        <f>Q_IS!CL283</f>
        <v>-9397.9236709119159</v>
      </c>
      <c r="CM10" s="332">
        <f>Q_IS!CM283</f>
        <v>-9878.7807281572041</v>
      </c>
      <c r="CN10" s="332">
        <f>Q_IS!CN283</f>
        <v>-10223.032186548528</v>
      </c>
      <c r="CO10" s="332">
        <f>Q_IS!CO283</f>
        <v>-10689.270173182622</v>
      </c>
      <c r="CP10" s="332">
        <f>Q_IS!CP283</f>
        <v>-9865.1744584775006</v>
      </c>
      <c r="CQ10" s="332">
        <f>Q_IS!CQ283</f>
        <v>-10360.364569656036</v>
      </c>
      <c r="CR10" s="332">
        <f>Q_IS!CR283</f>
        <v>-10729.462289749292</v>
      </c>
      <c r="CS10" s="332">
        <f>Q_IS!CS283</f>
        <v>-11231.227562259273</v>
      </c>
      <c r="CT10" s="332">
        <f>Q_IS!CT283</f>
        <v>-10354.837075157742</v>
      </c>
      <c r="CU10" s="332">
        <f>Q_IS!CU283</f>
        <v>-10864.3703451567</v>
      </c>
      <c r="CV10" s="332">
        <f>Q_IS!CV283</f>
        <v>-11259.374246355999</v>
      </c>
      <c r="CW10" s="332">
        <f>Q_IS!CW283</f>
        <v>-11792.163274319339</v>
      </c>
    </row>
    <row r="11" spans="1:101">
      <c r="A11" s="13" t="s">
        <v>332</v>
      </c>
      <c r="B11" s="371">
        <f t="shared" ref="B11:AG11" si="46">B5+B10</f>
        <v>1291.5540000000001</v>
      </c>
      <c r="C11" s="371">
        <f t="shared" si="46"/>
        <v>1300.6419999999998</v>
      </c>
      <c r="D11" s="371">
        <f t="shared" si="46"/>
        <v>1334.1479999999997</v>
      </c>
      <c r="E11" s="371">
        <f t="shared" si="46"/>
        <v>1494.2779999999998</v>
      </c>
      <c r="F11" s="371">
        <f t="shared" si="46"/>
        <v>1358.4350000000002</v>
      </c>
      <c r="G11" s="371">
        <f t="shared" si="46"/>
        <v>1418.1779999999999</v>
      </c>
      <c r="H11" s="371">
        <f t="shared" si="46"/>
        <v>1470.768</v>
      </c>
      <c r="I11" s="371">
        <f t="shared" si="46"/>
        <v>1560.9159999999997</v>
      </c>
      <c r="J11" s="371">
        <f t="shared" si="46"/>
        <v>1562.076</v>
      </c>
      <c r="K11" s="371">
        <f t="shared" si="46"/>
        <v>1697.1360000000002</v>
      </c>
      <c r="L11" s="371">
        <f t="shared" si="46"/>
        <v>1773.8850000000002</v>
      </c>
      <c r="M11" s="371">
        <f t="shared" si="46"/>
        <v>1875.808</v>
      </c>
      <c r="N11" s="371">
        <f t="shared" si="46"/>
        <v>1897.8139999999999</v>
      </c>
      <c r="O11" s="349">
        <f t="shared" si="46"/>
        <v>2204.9609999999998</v>
      </c>
      <c r="P11" s="349">
        <f t="shared" si="46"/>
        <v>2272.5709999999999</v>
      </c>
      <c r="Q11" s="349">
        <f t="shared" si="46"/>
        <v>2384.799</v>
      </c>
      <c r="R11" s="349">
        <f t="shared" si="46"/>
        <v>2236.4050000000002</v>
      </c>
      <c r="S11" s="349">
        <f t="shared" si="46"/>
        <v>2564.8270000000002</v>
      </c>
      <c r="T11" s="349">
        <f t="shared" si="46"/>
        <v>2717.4349999999999</v>
      </c>
      <c r="U11" s="349">
        <f t="shared" si="46"/>
        <v>2968.2510000000002</v>
      </c>
      <c r="V11" s="349">
        <f t="shared" si="46"/>
        <v>2655.56</v>
      </c>
      <c r="W11" s="349">
        <f t="shared" si="46"/>
        <v>3551.1149999999998</v>
      </c>
      <c r="X11" s="349">
        <f t="shared" si="46"/>
        <v>3872.8900000000003</v>
      </c>
      <c r="Y11" s="349">
        <f t="shared" si="46"/>
        <v>5444.1849999999995</v>
      </c>
      <c r="Z11" s="349">
        <f t="shared" si="46"/>
        <v>5036.9510000000009</v>
      </c>
      <c r="AA11" s="349">
        <f t="shared" si="46"/>
        <v>5309.732</v>
      </c>
      <c r="AB11" s="349">
        <f t="shared" si="46"/>
        <v>5618.7709999999997</v>
      </c>
      <c r="AC11" s="349">
        <f t="shared" si="46"/>
        <v>6173.6459999999988</v>
      </c>
      <c r="AD11" s="349">
        <f>AD5+AD10</f>
        <v>5822.8330000000005</v>
      </c>
      <c r="AE11" s="349">
        <f t="shared" si="46"/>
        <v>6237.405999999999</v>
      </c>
      <c r="AF11" s="349">
        <f t="shared" si="46"/>
        <v>6612.6310000000003</v>
      </c>
      <c r="AG11" s="349">
        <f t="shared" si="46"/>
        <v>7249.366</v>
      </c>
      <c r="AH11" s="349">
        <f t="shared" ref="AH11:AQ11" si="47">AH5+AH10</f>
        <v>6984.5749999999998</v>
      </c>
      <c r="AI11" s="349">
        <f t="shared" si="47"/>
        <v>7213.6910000000007</v>
      </c>
      <c r="AJ11" s="349">
        <f t="shared" si="47"/>
        <v>7307.2819999999992</v>
      </c>
      <c r="AK11" s="349">
        <f t="shared" si="47"/>
        <v>8100.3850000000002</v>
      </c>
      <c r="AL11" s="349">
        <f t="shared" si="47"/>
        <v>7741.634</v>
      </c>
      <c r="AM11" s="349">
        <f t="shared" si="47"/>
        <v>7873.3279999999995</v>
      </c>
      <c r="AN11" s="349">
        <f t="shared" si="47"/>
        <v>7846.5540000000001</v>
      </c>
      <c r="AO11" s="349">
        <f t="shared" si="47"/>
        <v>8507.5669999999991</v>
      </c>
      <c r="AP11" s="349">
        <f t="shared" si="47"/>
        <v>9586.0810000000001</v>
      </c>
      <c r="AQ11" s="349">
        <f t="shared" si="47"/>
        <v>10280.079000000002</v>
      </c>
      <c r="AR11" s="349">
        <f t="shared" ref="AR11:BC11" si="48">AR5+AR10</f>
        <v>10211.851999999999</v>
      </c>
      <c r="AS11" s="349">
        <f t="shared" si="48"/>
        <v>10912.584999999999</v>
      </c>
      <c r="AT11" s="349">
        <f t="shared" si="48"/>
        <v>8494.16</v>
      </c>
      <c r="AU11" s="349">
        <f t="shared" si="48"/>
        <v>3437.6059999999998</v>
      </c>
      <c r="AV11" s="349">
        <f t="shared" si="48"/>
        <v>7093.4619999999995</v>
      </c>
      <c r="AW11" s="349">
        <f t="shared" si="48"/>
        <v>8015.3069999999998</v>
      </c>
      <c r="AX11" s="349">
        <f t="shared" si="48"/>
        <v>6880.4859999999999</v>
      </c>
      <c r="AY11" s="349">
        <f t="shared" si="48"/>
        <v>8517.7669999999998</v>
      </c>
      <c r="AZ11" s="349">
        <f t="shared" si="48"/>
        <v>9638.6739999999991</v>
      </c>
      <c r="BA11" s="349">
        <f t="shared" si="48"/>
        <v>11589.481</v>
      </c>
      <c r="BB11" s="349">
        <f t="shared" si="48"/>
        <v>10384.91</v>
      </c>
      <c r="BC11" s="349">
        <f t="shared" si="48"/>
        <v>11393.572</v>
      </c>
      <c r="BD11" s="349">
        <f t="shared" ref="BD11:BG11" si="49">BD5+BD10</f>
        <v>11761.264999999999</v>
      </c>
      <c r="BE11" s="349">
        <f t="shared" si="49"/>
        <v>12779.483</v>
      </c>
      <c r="BF11" s="349">
        <f t="shared" si="49"/>
        <v>11810.484</v>
      </c>
      <c r="BG11" s="349">
        <f t="shared" si="49"/>
        <v>12663.213</v>
      </c>
      <c r="BH11" s="349">
        <f t="shared" ref="BH11" si="50">BH5+BH10</f>
        <v>13103.340999999999</v>
      </c>
      <c r="BI11" s="349">
        <f t="shared" ref="BI11:BJ11" si="51">BI5+BI10</f>
        <v>13650.458999999999</v>
      </c>
      <c r="BJ11" s="349">
        <f t="shared" si="51"/>
        <v>12384.560000000001</v>
      </c>
      <c r="BK11" s="1301">
        <f t="shared" ref="BK11" si="52">BK5+BK10</f>
        <v>13134.992000000002</v>
      </c>
      <c r="BL11" s="328">
        <f t="shared" ref="BL11:CW11" si="53">BL5+BL10</f>
        <v>13472.340457927632</v>
      </c>
      <c r="BM11" s="328">
        <f t="shared" si="53"/>
        <v>14017.441246924624</v>
      </c>
      <c r="BN11" s="328">
        <f t="shared" si="53"/>
        <v>13328.114586670461</v>
      </c>
      <c r="BO11" s="328">
        <f t="shared" si="53"/>
        <v>14372.75865453923</v>
      </c>
      <c r="BP11" s="328">
        <f t="shared" si="53"/>
        <v>14691.283376857658</v>
      </c>
      <c r="BQ11" s="328">
        <f t="shared" si="53"/>
        <v>15151.313155959511</v>
      </c>
      <c r="BR11" s="328">
        <f t="shared" si="53"/>
        <v>14340.931989429162</v>
      </c>
      <c r="BS11" s="328">
        <f t="shared" si="53"/>
        <v>15292.116119990416</v>
      </c>
      <c r="BT11" s="328">
        <f t="shared" si="53"/>
        <v>15628.054226432971</v>
      </c>
      <c r="BU11" s="328">
        <f t="shared" si="53"/>
        <v>16112.231057301306</v>
      </c>
      <c r="BV11" s="328">
        <f t="shared" si="53"/>
        <v>15176.336613354015</v>
      </c>
      <c r="BW11" s="328">
        <f t="shared" si="53"/>
        <v>16156.59142976092</v>
      </c>
      <c r="BX11" s="328">
        <f t="shared" si="53"/>
        <v>16517.580662251374</v>
      </c>
      <c r="BY11" s="328">
        <f t="shared" si="53"/>
        <v>17046.992491487727</v>
      </c>
      <c r="BZ11" s="328">
        <f t="shared" si="53"/>
        <v>15858.210838885665</v>
      </c>
      <c r="CA11" s="328">
        <f t="shared" si="53"/>
        <v>16865.011239385334</v>
      </c>
      <c r="CB11" s="328">
        <f t="shared" si="53"/>
        <v>17253.653503105437</v>
      </c>
      <c r="CC11" s="328">
        <f t="shared" si="53"/>
        <v>17828.918671920001</v>
      </c>
      <c r="CD11" s="328">
        <f t="shared" si="53"/>
        <v>16692.23420599354</v>
      </c>
      <c r="CE11" s="328">
        <f t="shared" si="53"/>
        <v>17733.309806654997</v>
      </c>
      <c r="CF11" s="328">
        <f t="shared" si="53"/>
        <v>18154.527071566401</v>
      </c>
      <c r="CG11" s="328">
        <f t="shared" si="53"/>
        <v>18782.947549066768</v>
      </c>
      <c r="CH11" s="328">
        <f t="shared" si="53"/>
        <v>17561.309369539689</v>
      </c>
      <c r="CI11" s="328">
        <f t="shared" si="53"/>
        <v>18629.093299036766</v>
      </c>
      <c r="CJ11" s="328">
        <f t="shared" si="53"/>
        <v>19076.01773525399</v>
      </c>
      <c r="CK11" s="328">
        <f t="shared" si="53"/>
        <v>19746.646551611106</v>
      </c>
      <c r="CL11" s="328">
        <f t="shared" si="53"/>
        <v>18436.610238639034</v>
      </c>
      <c r="CM11" s="328">
        <f t="shared" si="53"/>
        <v>19539.341283537367</v>
      </c>
      <c r="CN11" s="328">
        <f t="shared" si="53"/>
        <v>20022.625170103925</v>
      </c>
      <c r="CO11" s="328">
        <f t="shared" si="53"/>
        <v>20749.759747942742</v>
      </c>
      <c r="CP11" s="328">
        <f t="shared" si="53"/>
        <v>19353.251079286325</v>
      </c>
      <c r="CQ11" s="328">
        <f t="shared" si="53"/>
        <v>20491.87088153341</v>
      </c>
      <c r="CR11" s="328">
        <f t="shared" si="53"/>
        <v>21014.50898169832</v>
      </c>
      <c r="CS11" s="328">
        <f t="shared" si="53"/>
        <v>21801.79467967977</v>
      </c>
      <c r="CT11" s="328">
        <f t="shared" si="53"/>
        <v>20313.858882487362</v>
      </c>
      <c r="CU11" s="328">
        <f t="shared" si="53"/>
        <v>21488.749051762665</v>
      </c>
      <c r="CV11" s="328">
        <f t="shared" si="53"/>
        <v>22052.383878957611</v>
      </c>
      <c r="CW11" s="328">
        <f t="shared" si="53"/>
        <v>22890.669885443422</v>
      </c>
    </row>
    <row r="12" spans="1:101">
      <c r="A12" s="312" t="s">
        <v>334</v>
      </c>
      <c r="B12" s="370">
        <f t="shared" ref="B12:AG12" si="54">B11/B5</f>
        <v>0.61971697176195228</v>
      </c>
      <c r="C12" s="370">
        <f t="shared" si="54"/>
        <v>0.62750401283721935</v>
      </c>
      <c r="D12" s="370">
        <f t="shared" si="54"/>
        <v>0.62943593416283206</v>
      </c>
      <c r="E12" s="370">
        <f t="shared" si="54"/>
        <v>0.64668826509459187</v>
      </c>
      <c r="F12" s="370">
        <f t="shared" si="54"/>
        <v>0.64816458299337065</v>
      </c>
      <c r="G12" s="370">
        <f t="shared" si="54"/>
        <v>0.65453362255965297</v>
      </c>
      <c r="H12" s="370">
        <f t="shared" si="54"/>
        <v>0.64651274217831356</v>
      </c>
      <c r="I12" s="370">
        <f t="shared" si="54"/>
        <v>0.63867345172682288</v>
      </c>
      <c r="J12" s="370">
        <f t="shared" si="54"/>
        <v>0.65174920642338108</v>
      </c>
      <c r="K12" s="370">
        <f t="shared" si="54"/>
        <v>0.65396501471207036</v>
      </c>
      <c r="L12" s="370">
        <f t="shared" si="54"/>
        <v>0.64067387080230287</v>
      </c>
      <c r="M12" s="370">
        <f t="shared" si="54"/>
        <v>0.6389357429171697</v>
      </c>
      <c r="N12" s="370">
        <f t="shared" si="54"/>
        <v>0.64071007627155263</v>
      </c>
      <c r="O12" s="313">
        <f t="shared" si="54"/>
        <v>0.64349001303345676</v>
      </c>
      <c r="P12" s="313">
        <f t="shared" si="54"/>
        <v>0.64885143322449523</v>
      </c>
      <c r="Q12" s="313">
        <f t="shared" si="54"/>
        <v>0.65725060886930409</v>
      </c>
      <c r="R12" s="313">
        <f t="shared" si="54"/>
        <v>0.65800886562279148</v>
      </c>
      <c r="S12" s="313">
        <f t="shared" si="54"/>
        <v>0.67131049432462275</v>
      </c>
      <c r="T12" s="313">
        <f t="shared" si="54"/>
        <v>0.66565605372015713</v>
      </c>
      <c r="U12" s="313">
        <f t="shared" si="54"/>
        <v>0.67292767478033655</v>
      </c>
      <c r="V12" s="313">
        <f t="shared" si="54"/>
        <v>0.6652144419539302</v>
      </c>
      <c r="W12" s="313">
        <f t="shared" si="54"/>
        <v>0.68247021232188787</v>
      </c>
      <c r="X12" s="313">
        <f t="shared" si="54"/>
        <v>0.67929361980822434</v>
      </c>
      <c r="Y12" s="313">
        <f t="shared" si="54"/>
        <v>0.68882832815253503</v>
      </c>
      <c r="Z12" s="313">
        <f t="shared" si="54"/>
        <v>0.68583748829353763</v>
      </c>
      <c r="AA12" s="353">
        <f t="shared" si="54"/>
        <v>0.68407261997062074</v>
      </c>
      <c r="AB12" s="353">
        <f t="shared" si="54"/>
        <v>0.68318524911440071</v>
      </c>
      <c r="AC12" s="353">
        <f t="shared" si="54"/>
        <v>0.68919021200009911</v>
      </c>
      <c r="AD12" s="353">
        <f>AD11/AD5</f>
        <v>0.68224917865294399</v>
      </c>
      <c r="AE12" s="353">
        <f t="shared" si="54"/>
        <v>0.68803256453429062</v>
      </c>
      <c r="AF12" s="353">
        <f t="shared" si="54"/>
        <v>0.68867340332997851</v>
      </c>
      <c r="AG12" s="353">
        <f t="shared" si="54"/>
        <v>0.69044507124349552</v>
      </c>
      <c r="AH12" s="353">
        <f t="shared" ref="AH12:AQ12" si="55">AH11/AH5</f>
        <v>0.69200524311321243</v>
      </c>
      <c r="AI12" s="353">
        <f t="shared" si="55"/>
        <v>0.69735208498740819</v>
      </c>
      <c r="AJ12" s="353">
        <f t="shared" si="55"/>
        <v>0.69756897953042918</v>
      </c>
      <c r="AK12" s="353">
        <f t="shared" si="55"/>
        <v>0.69733974947237132</v>
      </c>
      <c r="AL12" s="353">
        <f t="shared" si="55"/>
        <v>0.69871194278991666</v>
      </c>
      <c r="AM12" s="353">
        <f t="shared" si="55"/>
        <v>0.69518541684840973</v>
      </c>
      <c r="AN12" s="353">
        <f t="shared" si="55"/>
        <v>0.68978293151288972</v>
      </c>
      <c r="AO12" s="353">
        <f t="shared" si="55"/>
        <v>0.68743449930032918</v>
      </c>
      <c r="AP12" s="353">
        <f t="shared" si="55"/>
        <v>0.70019498066847097</v>
      </c>
      <c r="AQ12" s="353">
        <f t="shared" si="55"/>
        <v>0.70505489612625383</v>
      </c>
      <c r="AR12" s="353">
        <f t="shared" ref="AR12:BC12" si="56">AR11/AR5</f>
        <v>0.70472751900780206</v>
      </c>
      <c r="AS12" s="353">
        <f t="shared" si="56"/>
        <v>0.70893179541319984</v>
      </c>
      <c r="AT12" s="353">
        <f t="shared" si="56"/>
        <v>0.70170151564341943</v>
      </c>
      <c r="AU12" s="353">
        <f t="shared" si="56"/>
        <v>0.66136080866878277</v>
      </c>
      <c r="AV12" s="353">
        <f t="shared" si="56"/>
        <v>0.71683584426808167</v>
      </c>
      <c r="AW12" s="353">
        <f t="shared" si="56"/>
        <v>0.70950543301896762</v>
      </c>
      <c r="AX12" s="353">
        <f t="shared" si="56"/>
        <v>0.6737836566907377</v>
      </c>
      <c r="AY12" s="353">
        <f t="shared" si="56"/>
        <v>0.68265735209540979</v>
      </c>
      <c r="AZ12" s="353">
        <f t="shared" si="56"/>
        <v>0.69053475447360069</v>
      </c>
      <c r="BA12" s="353">
        <f t="shared" si="56"/>
        <v>0.69264902123533478</v>
      </c>
      <c r="BB12" s="353">
        <f t="shared" si="56"/>
        <v>0.68195377081676178</v>
      </c>
      <c r="BC12" s="353">
        <f t="shared" si="56"/>
        <v>0.67261856690615951</v>
      </c>
      <c r="BD12" s="353">
        <f t="shared" ref="BD12:BG12" si="57">BD11/BD5</f>
        <v>0.67137497648156974</v>
      </c>
      <c r="BE12" s="353">
        <f t="shared" si="57"/>
        <v>0.66748134371623935</v>
      </c>
      <c r="BF12" s="353">
        <f t="shared" si="57"/>
        <v>0.66855654932989428</v>
      </c>
      <c r="BG12" s="353">
        <f t="shared" si="57"/>
        <v>0.6682880766598972</v>
      </c>
      <c r="BH12" s="353">
        <f t="shared" ref="BH12" si="58">BH11/BH5</f>
        <v>0.67300249091241726</v>
      </c>
      <c r="BI12" s="353">
        <f t="shared" ref="BI12:BJ12" si="59">BI11/BI5</f>
        <v>0.67755333344286328</v>
      </c>
      <c r="BJ12" s="353">
        <f t="shared" si="59"/>
        <v>0.68036461147685401</v>
      </c>
      <c r="BK12" s="1302">
        <f t="shared" ref="BK12" si="60">BK11/BK5</f>
        <v>0.6821940391629997</v>
      </c>
      <c r="BL12" s="315">
        <f t="shared" ref="BL12:CW12" si="61">BL11/BL5</f>
        <v>0.67</v>
      </c>
      <c r="BM12" s="315">
        <f t="shared" si="61"/>
        <v>0.66800000000000004</v>
      </c>
      <c r="BN12" s="315">
        <f t="shared" si="61"/>
        <v>0.669364611476854</v>
      </c>
      <c r="BO12" s="315">
        <f t="shared" si="61"/>
        <v>0.67119403916299969</v>
      </c>
      <c r="BP12" s="315">
        <f t="shared" si="61"/>
        <v>0.66900000000000004</v>
      </c>
      <c r="BQ12" s="315">
        <f t="shared" si="61"/>
        <v>0.66700000000000004</v>
      </c>
      <c r="BR12" s="315">
        <f t="shared" si="61"/>
        <v>0.668364611476854</v>
      </c>
      <c r="BS12" s="315">
        <f t="shared" si="61"/>
        <v>0.67019403916299969</v>
      </c>
      <c r="BT12" s="315">
        <f t="shared" si="61"/>
        <v>0.66800000000000004</v>
      </c>
      <c r="BU12" s="315">
        <f t="shared" si="61"/>
        <v>0.66600000000000004</v>
      </c>
      <c r="BV12" s="315">
        <f t="shared" si="61"/>
        <v>0.667364611476854</v>
      </c>
      <c r="BW12" s="315">
        <f t="shared" si="61"/>
        <v>0.66919403916299969</v>
      </c>
      <c r="BX12" s="315">
        <f t="shared" si="61"/>
        <v>0.66700000000000004</v>
      </c>
      <c r="BY12" s="315">
        <f t="shared" si="61"/>
        <v>0.66500000000000015</v>
      </c>
      <c r="BZ12" s="315">
        <f t="shared" si="61"/>
        <v>0.66236461147685399</v>
      </c>
      <c r="CA12" s="315">
        <f t="shared" si="61"/>
        <v>0.66419403916299979</v>
      </c>
      <c r="CB12" s="315">
        <f t="shared" si="61"/>
        <v>0.66200000000000003</v>
      </c>
      <c r="CC12" s="315">
        <f t="shared" si="61"/>
        <v>0.66</v>
      </c>
      <c r="CD12" s="315">
        <f t="shared" si="61"/>
        <v>0.66236461147685399</v>
      </c>
      <c r="CE12" s="315">
        <f t="shared" si="61"/>
        <v>0.66419403916299968</v>
      </c>
      <c r="CF12" s="315">
        <f t="shared" si="61"/>
        <v>0.66200000000000003</v>
      </c>
      <c r="CG12" s="315">
        <f t="shared" si="61"/>
        <v>0.66</v>
      </c>
      <c r="CH12" s="315">
        <f t="shared" si="61"/>
        <v>0.66236461147685399</v>
      </c>
      <c r="CI12" s="315">
        <f t="shared" si="61"/>
        <v>0.66419403916299957</v>
      </c>
      <c r="CJ12" s="315">
        <f t="shared" si="61"/>
        <v>0.66200000000000003</v>
      </c>
      <c r="CK12" s="315">
        <f t="shared" si="61"/>
        <v>0.66</v>
      </c>
      <c r="CL12" s="315">
        <f t="shared" si="61"/>
        <v>0.6623646114768541</v>
      </c>
      <c r="CM12" s="315">
        <f t="shared" si="61"/>
        <v>0.66419403916299968</v>
      </c>
      <c r="CN12" s="315">
        <f t="shared" si="61"/>
        <v>0.66200000000000003</v>
      </c>
      <c r="CO12" s="315">
        <f t="shared" si="61"/>
        <v>0.66000000000000014</v>
      </c>
      <c r="CP12" s="315">
        <f t="shared" si="61"/>
        <v>0.66236461147685399</v>
      </c>
      <c r="CQ12" s="315">
        <f t="shared" si="61"/>
        <v>0.66419403916299968</v>
      </c>
      <c r="CR12" s="315">
        <f t="shared" si="61"/>
        <v>0.66200000000000003</v>
      </c>
      <c r="CS12" s="315">
        <f t="shared" si="61"/>
        <v>0.66</v>
      </c>
      <c r="CT12" s="315">
        <f t="shared" si="61"/>
        <v>0.66236461147685399</v>
      </c>
      <c r="CU12" s="315">
        <f t="shared" si="61"/>
        <v>0.66419403916299968</v>
      </c>
      <c r="CV12" s="315">
        <f t="shared" si="61"/>
        <v>0.66200000000000003</v>
      </c>
      <c r="CW12" s="315">
        <f t="shared" si="61"/>
        <v>0.65999999999999992</v>
      </c>
    </row>
    <row r="13" spans="1:101">
      <c r="A13" s="312" t="s">
        <v>535</v>
      </c>
      <c r="B13" s="370"/>
      <c r="C13" s="370"/>
      <c r="D13" s="370"/>
      <c r="E13" s="370"/>
      <c r="F13" s="370">
        <f t="shared" ref="F13:AK13" si="62">F11/B11-1</f>
        <v>5.1783355554626542E-2</v>
      </c>
      <c r="G13" s="370">
        <f t="shared" si="62"/>
        <v>9.0367679961127045E-2</v>
      </c>
      <c r="H13" s="370">
        <f t="shared" si="62"/>
        <v>0.1024024321139787</v>
      </c>
      <c r="I13" s="370">
        <f t="shared" si="62"/>
        <v>4.4595450110354262E-2</v>
      </c>
      <c r="J13" s="370">
        <f t="shared" si="62"/>
        <v>0.14990853445324936</v>
      </c>
      <c r="K13" s="370">
        <f t="shared" si="62"/>
        <v>0.19670168342760941</v>
      </c>
      <c r="L13" s="370">
        <f t="shared" si="62"/>
        <v>0.20609436702457495</v>
      </c>
      <c r="M13" s="370">
        <f t="shared" si="62"/>
        <v>0.20173539127025442</v>
      </c>
      <c r="N13" s="370">
        <f t="shared" si="62"/>
        <v>0.21493064357944158</v>
      </c>
      <c r="O13" s="313">
        <f t="shared" si="62"/>
        <v>0.29922469383714656</v>
      </c>
      <c r="P13" s="313">
        <f t="shared" si="62"/>
        <v>0.28112645408242343</v>
      </c>
      <c r="Q13" s="313">
        <f t="shared" si="62"/>
        <v>0.27134493508930557</v>
      </c>
      <c r="R13" s="313">
        <f t="shared" si="62"/>
        <v>0.17841105608874219</v>
      </c>
      <c r="S13" s="313">
        <f t="shared" si="62"/>
        <v>0.16320742180927494</v>
      </c>
      <c r="T13" s="313">
        <f t="shared" si="62"/>
        <v>0.1957536200189125</v>
      </c>
      <c r="U13" s="313">
        <f t="shared" si="62"/>
        <v>0.24465458095210546</v>
      </c>
      <c r="V13" s="313">
        <f t="shared" si="62"/>
        <v>0.18742356594623955</v>
      </c>
      <c r="W13" s="313">
        <f t="shared" si="62"/>
        <v>0.38454367487553731</v>
      </c>
      <c r="X13" s="313">
        <f t="shared" si="62"/>
        <v>0.4252006027743076</v>
      </c>
      <c r="Y13" s="313">
        <f t="shared" si="62"/>
        <v>0.83413902665239537</v>
      </c>
      <c r="Z13" s="313">
        <f t="shared" si="62"/>
        <v>0.89675661630691872</v>
      </c>
      <c r="AA13" s="353">
        <f t="shared" si="62"/>
        <v>0.49522952650083152</v>
      </c>
      <c r="AB13" s="353">
        <f t="shared" si="62"/>
        <v>0.45079540085052749</v>
      </c>
      <c r="AC13" s="353">
        <f t="shared" si="62"/>
        <v>0.1339890176399221</v>
      </c>
      <c r="AD13" s="353">
        <f>AD11/Z11-1</f>
        <v>0.15602335619306196</v>
      </c>
      <c r="AE13" s="353">
        <f t="shared" si="62"/>
        <v>0.17471201936368908</v>
      </c>
      <c r="AF13" s="353">
        <f t="shared" si="62"/>
        <v>0.17688209752630968</v>
      </c>
      <c r="AG13" s="353">
        <f t="shared" si="62"/>
        <v>0.17424387468928426</v>
      </c>
      <c r="AH13" s="353">
        <f t="shared" si="62"/>
        <v>0.19951490966682361</v>
      </c>
      <c r="AI13" s="353">
        <f t="shared" si="62"/>
        <v>0.15652099606791703</v>
      </c>
      <c r="AJ13" s="353">
        <f t="shared" si="62"/>
        <v>0.10504910980213467</v>
      </c>
      <c r="AK13" s="353">
        <f t="shared" si="62"/>
        <v>0.11739219677969093</v>
      </c>
      <c r="AL13" s="353">
        <f t="shared" ref="AL13:AZ13" si="63">AL11/AH11-1</f>
        <v>0.10839013111033968</v>
      </c>
      <c r="AM13" s="353">
        <f t="shared" si="63"/>
        <v>9.1442369793771183E-2</v>
      </c>
      <c r="AN13" s="353">
        <f t="shared" si="63"/>
        <v>7.3799259423681818E-2</v>
      </c>
      <c r="AO13" s="353">
        <f t="shared" si="63"/>
        <v>5.0266993482408484E-2</v>
      </c>
      <c r="AP13" s="353">
        <f t="shared" si="63"/>
        <v>0.23825034869899553</v>
      </c>
      <c r="AQ13" s="353">
        <f t="shared" si="63"/>
        <v>0.30568407666999287</v>
      </c>
      <c r="AR13" s="353">
        <f t="shared" si="63"/>
        <v>0.3014441753666639</v>
      </c>
      <c r="AS13" s="353">
        <f t="shared" si="63"/>
        <v>0.28269163204944503</v>
      </c>
      <c r="AT13" s="353">
        <f t="shared" si="63"/>
        <v>-0.11390692400784019</v>
      </c>
      <c r="AU13" s="353">
        <f t="shared" si="63"/>
        <v>-0.66560509894914244</v>
      </c>
      <c r="AV13" s="353">
        <f t="shared" si="63"/>
        <v>-0.30536968220847693</v>
      </c>
      <c r="AW13" s="353">
        <f t="shared" si="63"/>
        <v>-0.2654987796200442</v>
      </c>
      <c r="AX13" s="353">
        <f t="shared" si="63"/>
        <v>-0.18997452367273515</v>
      </c>
      <c r="AY13" s="353">
        <f t="shared" si="63"/>
        <v>1.477819447603943</v>
      </c>
      <c r="AZ13" s="353">
        <f t="shared" si="63"/>
        <v>0.35881097269570206</v>
      </c>
      <c r="BA13" s="353">
        <f t="shared" ref="BA13:BI13" si="64">BA11/AW11-1</f>
        <v>0.44591854061235581</v>
      </c>
      <c r="BB13" s="353">
        <f t="shared" si="64"/>
        <v>0.5093279747971291</v>
      </c>
      <c r="BC13" s="353">
        <f t="shared" si="64"/>
        <v>0.33762428580166604</v>
      </c>
      <c r="BD13" s="353">
        <f t="shared" si="64"/>
        <v>0.22021607951467193</v>
      </c>
      <c r="BE13" s="353">
        <f t="shared" si="64"/>
        <v>0.10267949013420008</v>
      </c>
      <c r="BF13" s="353">
        <f t="shared" si="64"/>
        <v>0.13727360179337134</v>
      </c>
      <c r="BG13" s="353">
        <f t="shared" si="64"/>
        <v>0.11143485115993479</v>
      </c>
      <c r="BH13" s="353">
        <f t="shared" si="64"/>
        <v>0.11410983427377919</v>
      </c>
      <c r="BI13" s="353">
        <f t="shared" si="64"/>
        <v>6.8154243798438374E-2</v>
      </c>
      <c r="BJ13" s="353">
        <f t="shared" ref="BJ13" si="65">BJ11/BF11-1</f>
        <v>4.8607322104665673E-2</v>
      </c>
      <c r="BK13" s="1302">
        <f t="shared" ref="BK13" si="66">BK11/BG11-1</f>
        <v>3.7255868633023992E-2</v>
      </c>
      <c r="BL13" s="315">
        <f t="shared" ref="BL13" si="67">BL11/BH11-1</f>
        <v>2.8160715494440103E-2</v>
      </c>
      <c r="BM13" s="315">
        <f t="shared" ref="BM13" si="68">BM11/BI11-1</f>
        <v>2.6884242275268866E-2</v>
      </c>
      <c r="BN13" s="315">
        <f t="shared" ref="BN13" si="69">BN11/BJ11-1</f>
        <v>7.6187978149442559E-2</v>
      </c>
      <c r="BO13" s="315">
        <f t="shared" ref="BO13" si="70">BO11/BK11-1</f>
        <v>9.4234290705257129E-2</v>
      </c>
      <c r="BP13" s="315">
        <f t="shared" ref="BP13" si="71">BP11/BL11-1</f>
        <v>9.0477443227969578E-2</v>
      </c>
      <c r="BQ13" s="315">
        <f t="shared" ref="BQ13" si="72">BQ11/BM11-1</f>
        <v>8.0890077515656023E-2</v>
      </c>
      <c r="BR13" s="315">
        <f t="shared" ref="BR13" si="73">BR11/BN11-1</f>
        <v>7.5991048559233221E-2</v>
      </c>
      <c r="BS13" s="315">
        <f t="shared" ref="BS13" si="74">BS11/BO11-1</f>
        <v>6.3965275389970655E-2</v>
      </c>
      <c r="BT13" s="315">
        <f t="shared" ref="BT13" si="75">BT11/BP11-1</f>
        <v>6.3763717950669596E-2</v>
      </c>
      <c r="BU13" s="315">
        <f t="shared" ref="BU13" si="76">BU11/BQ11-1</f>
        <v>6.3421427004419995E-2</v>
      </c>
      <c r="BV13" s="315">
        <f t="shared" ref="BV13" si="77">BV11/BR11-1</f>
        <v>5.8253161268781994E-2</v>
      </c>
      <c r="BW13" s="315">
        <f t="shared" ref="BW13" si="78">BW11/BS11-1</f>
        <v>5.6530783770365689E-2</v>
      </c>
      <c r="BX13" s="315">
        <f t="shared" ref="BX13" si="79">BX11/BT11-1</f>
        <v>5.6918565992295944E-2</v>
      </c>
      <c r="BY13" s="315">
        <f t="shared" ref="BY13" si="80">BY11/BU11-1</f>
        <v>5.8015642331719963E-2</v>
      </c>
      <c r="BZ13" s="315">
        <f t="shared" ref="BZ13" si="81">BZ11/BV11-1</f>
        <v>4.4930093665137338E-2</v>
      </c>
      <c r="CA13" s="315">
        <f t="shared" ref="CA13" si="82">CA11/BW11-1</f>
        <v>4.3847108018061576E-2</v>
      </c>
      <c r="CB13" s="315">
        <f t="shared" ref="CB13" si="83">CB11/BX11-1</f>
        <v>4.4562993570617548E-2</v>
      </c>
      <c r="CC13" s="315">
        <f t="shared" ref="CC13" si="84">CC11/BY11-1</f>
        <v>4.5868864013562716E-2</v>
      </c>
      <c r="CD13" s="315">
        <f t="shared" ref="CD13" si="85">CD11/BZ11-1</f>
        <v>5.2592526078842461E-2</v>
      </c>
      <c r="CE13" s="315">
        <f t="shared" ref="CE13" si="86">CE11/CA11-1</f>
        <v>5.1485205372522991E-2</v>
      </c>
      <c r="CF13" s="315">
        <f t="shared" ref="CF13" si="87">CF11/CB11-1</f>
        <v>5.2213496016876526E-2</v>
      </c>
      <c r="CG13" s="315">
        <f t="shared" ref="CG13" si="88">CG11/CC11-1</f>
        <v>5.3510192889562935E-2</v>
      </c>
      <c r="CH13" s="315">
        <f t="shared" ref="CH13" si="89">CH11/CD11-1</f>
        <v>5.2064639929033429E-2</v>
      </c>
      <c r="CI13" s="315">
        <f t="shared" ref="CI13" si="90">CI11/CE11-1</f>
        <v>5.0514173730027423E-2</v>
      </c>
      <c r="CJ13" s="315">
        <f t="shared" ref="CJ13" si="91">CJ11/CF11-1</f>
        <v>5.0758175085201085E-2</v>
      </c>
      <c r="CK13" s="315">
        <f t="shared" ref="CK13" si="92">CK11/CG11-1</f>
        <v>5.1307123124678E-2</v>
      </c>
      <c r="CL13" s="315">
        <f t="shared" ref="CL13" si="93">CL11/CH11-1</f>
        <v>4.9842574416322671E-2</v>
      </c>
      <c r="CM13" s="315">
        <f t="shared" ref="CM13" si="94">CM11/CI11-1</f>
        <v>4.8861636467710801E-2</v>
      </c>
      <c r="CN13" s="315">
        <f t="shared" ref="CN13" si="95">CN11/CJ11-1</f>
        <v>4.9622905995758693E-2</v>
      </c>
      <c r="CO13" s="315">
        <f t="shared" ref="CO13" si="96">CO11/CK11-1</f>
        <v>5.0799167023617642E-2</v>
      </c>
      <c r="CP13" s="315">
        <f t="shared" ref="CP13" si="97">CP11/CL11-1</f>
        <v>4.9718512719123087E-2</v>
      </c>
      <c r="CQ13" s="315">
        <f t="shared" ref="CQ13" si="98">CQ11/CM11-1</f>
        <v>4.8749319855454054E-2</v>
      </c>
      <c r="CR13" s="315">
        <f t="shared" ref="CR13" si="99">CR11/CN11-1</f>
        <v>4.9538150126057889E-2</v>
      </c>
      <c r="CS13" s="315">
        <f t="shared" ref="CS13" si="100">CS11/CO11-1</f>
        <v>5.070106567577648E-2</v>
      </c>
      <c r="CT13" s="315">
        <f t="shared" ref="CT13" si="101">CT11/CP11-1</f>
        <v>4.9635474642767852E-2</v>
      </c>
      <c r="CU13" s="315">
        <f t="shared" ref="CU13" si="102">CU11/CQ11-1</f>
        <v>4.8647494218188037E-2</v>
      </c>
      <c r="CV13" s="315">
        <f t="shared" ref="CV13" si="103">CV11/CR11-1</f>
        <v>4.9388491454317673E-2</v>
      </c>
      <c r="CW13" s="315">
        <f t="shared" ref="CW13" si="104">CW11/CS11-1</f>
        <v>4.9944292282439129E-2</v>
      </c>
    </row>
    <row r="14" spans="1:101">
      <c r="A14" s="36" t="s">
        <v>964</v>
      </c>
      <c r="B14" s="373">
        <f>IS!C9</f>
        <v>-1117.7840000000001</v>
      </c>
      <c r="C14" s="373">
        <f>IS!D9</f>
        <v>-1110.636</v>
      </c>
      <c r="D14" s="373">
        <f>IS!E9</f>
        <v>-1096.915</v>
      </c>
      <c r="E14" s="373">
        <f>IS!F9</f>
        <v>-1095.0509999999999</v>
      </c>
      <c r="F14" s="373">
        <f>IS!G9</f>
        <v>-1134.729</v>
      </c>
      <c r="G14" s="373">
        <f>IS!H9</f>
        <v>-1164.6379999999999</v>
      </c>
      <c r="H14" s="373">
        <f>IS!I9</f>
        <v>-1233.2470000000001</v>
      </c>
      <c r="I14" s="373">
        <f>IS!J9</f>
        <v>-1277.0519999999999</v>
      </c>
      <c r="J14" s="373">
        <f>IS!K9</f>
        <v>-1334.7239999999999</v>
      </c>
      <c r="K14" s="373">
        <f>IS!L9</f>
        <v>-1386.3789999999999</v>
      </c>
      <c r="L14" s="373">
        <f>IS!M9</f>
        <v>-1489.6690000000001</v>
      </c>
      <c r="M14" s="373">
        <f>IS!N9</f>
        <v>-1583.2860000000001</v>
      </c>
      <c r="N14" s="373">
        <f>IS!O9</f>
        <v>-1612.557</v>
      </c>
      <c r="O14" s="96">
        <f>IS!P9</f>
        <v>-1773.7760000000001</v>
      </c>
      <c r="P14" s="96">
        <f>IS!Q9</f>
        <v>-1860.047</v>
      </c>
      <c r="Q14" s="96">
        <f>IS!R9</f>
        <v>-1905.7</v>
      </c>
      <c r="R14" s="96">
        <f>IS!S9</f>
        <v>-1862.9380000000001</v>
      </c>
      <c r="S14" s="96">
        <f>IS!T9</f>
        <v>-2059.8200000000002</v>
      </c>
      <c r="T14" s="96">
        <f>IS!U9</f>
        <v>-2171.5030000000002</v>
      </c>
      <c r="U14" s="96">
        <f>IS!V9</f>
        <v>-2353.9349999999999</v>
      </c>
      <c r="V14" s="96">
        <f>IS!W9</f>
        <v>-2231.8069999999998</v>
      </c>
      <c r="W14" s="96">
        <f>IS!X9</f>
        <v>-2932.8029999999999</v>
      </c>
      <c r="X14" s="96">
        <f>IS!Y9</f>
        <v>-3167.1779999999999</v>
      </c>
      <c r="Y14" s="96">
        <f>IS!Z9</f>
        <v>-4398.87</v>
      </c>
      <c r="Z14" s="96">
        <f>IS!AA9</f>
        <v>-4186.7169999999996</v>
      </c>
      <c r="AA14" s="99">
        <f>IS!AB9</f>
        <v>-4312.0320000000002</v>
      </c>
      <c r="AB14" s="99">
        <f>IS!AC9</f>
        <v>-4531.8159999999998</v>
      </c>
      <c r="AC14" s="99">
        <f>IS!AD9</f>
        <v>-4806.8059999999996</v>
      </c>
      <c r="AD14" s="99">
        <f>IS!AE9</f>
        <v>-4787.6710000000003</v>
      </c>
      <c r="AE14" s="99">
        <f>IS!AF9</f>
        <v>-5014.3980000000001</v>
      </c>
      <c r="AF14" s="99">
        <f>IS!AG9</f>
        <v>-5284.9080000000004</v>
      </c>
      <c r="AG14" s="99">
        <f>IS!AH9</f>
        <v>-5680.0209999999997</v>
      </c>
      <c r="AH14" s="99">
        <f>IS!AI9</f>
        <v>-5697.4690000000001</v>
      </c>
      <c r="AI14" s="99">
        <f>IS!AJ9</f>
        <v>-5807.22</v>
      </c>
      <c r="AJ14" s="99">
        <f>IS!AK9</f>
        <v>-5892.4210000000003</v>
      </c>
      <c r="AK14" s="99">
        <f>IS!AL9</f>
        <v>-5742.5789999999997</v>
      </c>
      <c r="AL14" s="99">
        <f>IS!AM9</f>
        <v>-6313.71</v>
      </c>
      <c r="AM14" s="99">
        <f>IS!AN9</f>
        <v>-6294.44</v>
      </c>
      <c r="AN14" s="99">
        <f>IS!AO9</f>
        <v>-6309.6189999999997</v>
      </c>
      <c r="AO14" s="99">
        <f>IS!AP9</f>
        <v>-6642.9970000000003</v>
      </c>
      <c r="AP14" s="99">
        <f>IS!AQ9</f>
        <v>-6838.1880000000001</v>
      </c>
      <c r="AQ14" s="99">
        <f>IS!AR9</f>
        <v>-7218.5720000000001</v>
      </c>
      <c r="AR14" s="99">
        <f>IS!AS9</f>
        <v>-6742.5950000000003</v>
      </c>
      <c r="AS14" s="99">
        <f>IS!AT9</f>
        <v>-7573.683</v>
      </c>
      <c r="AT14" s="99">
        <f>IS!AU9</f>
        <v>-5999.1090000000004</v>
      </c>
      <c r="AU14" s="99">
        <f>IS!AV9</f>
        <v>-4340.6080000000002</v>
      </c>
      <c r="AV14" s="99">
        <f>IS!AW9</f>
        <v>-4985.9840000000004</v>
      </c>
      <c r="AW14" s="99">
        <f>IS!AX9</f>
        <v>-4790.098</v>
      </c>
      <c r="AX14" s="99">
        <f>IS!AY9</f>
        <v>-4835.7579999999998</v>
      </c>
      <c r="AY14" s="99">
        <f>IS!AZ9</f>
        <v>-5669.7020000000002</v>
      </c>
      <c r="AZ14" s="99">
        <f>IS!BA9</f>
        <v>-6494.3819999999996</v>
      </c>
      <c r="BA14" s="99">
        <f>IS!BB9</f>
        <v>-7315.2969999999996</v>
      </c>
      <c r="BB14" s="99">
        <f>IS!BC9</f>
        <v>-6927.2240000000002</v>
      </c>
      <c r="BC14" s="99">
        <f>IS!BD9</f>
        <v>-7766.098</v>
      </c>
      <c r="BD14" s="99">
        <f>IS!BE9</f>
        <v>-8283.4680000000008</v>
      </c>
      <c r="BE14" s="99">
        <f>IS!BF9</f>
        <v>-9292.6460000000006</v>
      </c>
      <c r="BF14" s="99">
        <f>IS!BG9</f>
        <v>-8126.0780000000004</v>
      </c>
      <c r="BG14" s="99">
        <f>IS!BH9</f>
        <v>-8823.7250000000004</v>
      </c>
      <c r="BH14" s="99">
        <f>IS!BI9</f>
        <v>-9172.5570000000007</v>
      </c>
      <c r="BI14" s="99">
        <f>IS!BJ9</f>
        <v>-9144.7479999999996</v>
      </c>
      <c r="BJ14" s="99">
        <f>IS!BK9</f>
        <v>-8649.3250000000007</v>
      </c>
      <c r="BK14" s="1173">
        <f>IS!BL9</f>
        <v>-9142.8490000000002</v>
      </c>
      <c r="BL14" s="332">
        <f>Q_IS!BL287</f>
        <v>-9601.5560726275289</v>
      </c>
      <c r="BM14" s="332">
        <f>Q_IS!BM287</f>
        <v>-9831.0946469823139</v>
      </c>
      <c r="BN14" s="332">
        <f>Q_IS!BN287</f>
        <v>-9518.6342069829298</v>
      </c>
      <c r="BO14" s="332">
        <f>Q_IS!BO287</f>
        <v>-10243.326350574922</v>
      </c>
      <c r="BP14" s="332">
        <f>Q_IS!BP287</f>
        <v>-10463.970895474848</v>
      </c>
      <c r="BQ14" s="332">
        <f>Q_IS!BQ287</f>
        <v>-10619.548576328441</v>
      </c>
      <c r="BR14" s="332">
        <f>Q_IS!BR287</f>
        <v>-10235.832370852291</v>
      </c>
      <c r="BS14" s="332">
        <f>Q_IS!BS287</f>
        <v>-10891.987869078936</v>
      </c>
      <c r="BT14" s="332">
        <f>Q_IS!BT287</f>
        <v>-11124.460755492331</v>
      </c>
      <c r="BU14" s="332">
        <f>Q_IS!BU287</f>
        <v>-11285.819501848435</v>
      </c>
      <c r="BV14" s="332">
        <f>Q_IS!BV287</f>
        <v>-10825.592427645124</v>
      </c>
      <c r="BW14" s="332">
        <f>Q_IS!BW287</f>
        <v>-11500.773510082414</v>
      </c>
      <c r="BX14" s="332">
        <f>Q_IS!BX287</f>
        <v>-11750.51277996743</v>
      </c>
      <c r="BY14" s="332">
        <f>Q_IS!BY287</f>
        <v>-11932.894744041407</v>
      </c>
      <c r="BZ14" s="332">
        <f>Q_IS!BZ287</f>
        <v>-11421.320063793833</v>
      </c>
      <c r="CA14" s="332">
        <f>Q_IS!CA287</f>
        <v>-12120.813918751108</v>
      </c>
      <c r="CB14" s="332">
        <f>Q_IS!CB287</f>
        <v>-12392.918792638422</v>
      </c>
      <c r="CC14" s="332">
        <f>Q_IS!CC287</f>
        <v>-12601.803879470726</v>
      </c>
      <c r="CD14" s="332">
        <f>Q_IS!CD287</f>
        <v>-12021.996137103719</v>
      </c>
      <c r="CE14" s="332">
        <f>Q_IS!CE287</f>
        <v>-12744.856512640146</v>
      </c>
      <c r="CF14" s="332">
        <f>Q_IS!CF287</f>
        <v>-13039.996408655323</v>
      </c>
      <c r="CG14" s="332">
        <f>Q_IS!CG287</f>
        <v>-13276.128835817646</v>
      </c>
      <c r="CH14" s="332">
        <f>Q_IS!CH287</f>
        <v>-12647.917037210254</v>
      </c>
      <c r="CI14" s="332">
        <f>Q_IS!CI287</f>
        <v>-13388.652408683924</v>
      </c>
      <c r="CJ14" s="332">
        <f>Q_IS!CJ287</f>
        <v>-13701.882829476239</v>
      </c>
      <c r="CK14" s="332">
        <f>Q_IS!CK287</f>
        <v>-13957.288812616031</v>
      </c>
      <c r="CL14" s="332">
        <f>Q_IS!CL287</f>
        <v>-13278.321783348878</v>
      </c>
      <c r="CM14" s="332">
        <f>Q_IS!CM287</f>
        <v>-14042.843875469574</v>
      </c>
      <c r="CN14" s="332">
        <f>Q_IS!CN287</f>
        <v>-14381.810073088242</v>
      </c>
      <c r="CO14" s="332">
        <f>Q_IS!CO287</f>
        <v>-14666.307458204981</v>
      </c>
      <c r="CP14" s="332">
        <f>Q_IS!CP287</f>
        <v>-13938.500193822922</v>
      </c>
      <c r="CQ14" s="332">
        <f>Q_IS!CQ287</f>
        <v>-14727.422963235047</v>
      </c>
      <c r="CR14" s="332">
        <f>Q_IS!CR287</f>
        <v>-15094.25833957334</v>
      </c>
      <c r="CS14" s="332">
        <f>Q_IS!CS287</f>
        <v>-15409.904875864562</v>
      </c>
      <c r="CT14" s="332">
        <f>Q_IS!CT287</f>
        <v>-14630.344266751636</v>
      </c>
      <c r="CU14" s="332">
        <f>Q_IS!CU287</f>
        <v>-15443.875186687837</v>
      </c>
      <c r="CV14" s="332">
        <f>Q_IS!CV287</f>
        <v>-15839.74098858662</v>
      </c>
      <c r="CW14" s="332">
        <f>Q_IS!CW287</f>
        <v>-16179.541669029328</v>
      </c>
    </row>
    <row r="15" spans="1:101" s="1209" customFormat="1">
      <c r="A15" s="1211" t="s">
        <v>1271</v>
      </c>
      <c r="B15" s="1230">
        <f t="shared" ref="B15:AC15" si="105">+B14+B16-B32+B33</f>
        <v>-1117.7840000000001</v>
      </c>
      <c r="C15" s="1230">
        <f t="shared" si="105"/>
        <v>-1110.636</v>
      </c>
      <c r="D15" s="1230">
        <f t="shared" si="105"/>
        <v>-1096.915</v>
      </c>
      <c r="E15" s="1230">
        <f t="shared" si="105"/>
        <v>-1095.0509999999999</v>
      </c>
      <c r="F15" s="1230">
        <f t="shared" si="105"/>
        <v>-1134.729</v>
      </c>
      <c r="G15" s="1230">
        <f t="shared" si="105"/>
        <v>-1164.6379999999999</v>
      </c>
      <c r="H15" s="1230">
        <f t="shared" si="105"/>
        <v>-1233.2470000000001</v>
      </c>
      <c r="I15" s="1230">
        <f t="shared" si="105"/>
        <v>-1277.0519999999999</v>
      </c>
      <c r="J15" s="1230">
        <f t="shared" si="105"/>
        <v>-1334.7239999999999</v>
      </c>
      <c r="K15" s="1230">
        <f t="shared" si="105"/>
        <v>-1386.3789999999999</v>
      </c>
      <c r="L15" s="1230">
        <f t="shared" si="105"/>
        <v>-1489.6690000000001</v>
      </c>
      <c r="M15" s="1230">
        <f t="shared" si="105"/>
        <v>-1583.2860000000001</v>
      </c>
      <c r="N15" s="1230">
        <f t="shared" si="105"/>
        <v>-1612.557</v>
      </c>
      <c r="O15" s="1230">
        <f t="shared" si="105"/>
        <v>-1773.7760000000001</v>
      </c>
      <c r="P15" s="1230">
        <f t="shared" si="105"/>
        <v>-1860.047</v>
      </c>
      <c r="Q15" s="1230">
        <f t="shared" si="105"/>
        <v>-1905.7</v>
      </c>
      <c r="R15" s="1230">
        <f t="shared" si="105"/>
        <v>-1862.9380000000001</v>
      </c>
      <c r="S15" s="1230">
        <f t="shared" si="105"/>
        <v>-2059.8200000000002</v>
      </c>
      <c r="T15" s="1230">
        <f t="shared" si="105"/>
        <v>-2171.5030000000002</v>
      </c>
      <c r="U15" s="1230">
        <f t="shared" si="105"/>
        <v>-2353.9349999999999</v>
      </c>
      <c r="V15" s="1230">
        <f t="shared" si="105"/>
        <v>-2231.8069999999998</v>
      </c>
      <c r="W15" s="1230">
        <f t="shared" si="105"/>
        <v>-2932.8029999999999</v>
      </c>
      <c r="X15" s="1230">
        <f t="shared" si="105"/>
        <v>-3167.1779999999999</v>
      </c>
      <c r="Y15" s="1230">
        <f t="shared" si="105"/>
        <v>-4398.87</v>
      </c>
      <c r="Z15" s="1230">
        <f t="shared" si="105"/>
        <v>-4186.7169999999996</v>
      </c>
      <c r="AA15" s="1230">
        <f t="shared" si="105"/>
        <v>-4312.0320000000002</v>
      </c>
      <c r="AB15" s="1230">
        <f t="shared" si="105"/>
        <v>-4531.8159999999998</v>
      </c>
      <c r="AC15" s="1230">
        <f t="shared" si="105"/>
        <v>-4806.8059999999996</v>
      </c>
      <c r="AD15" s="1230">
        <f>+AD14+AD16</f>
        <v>-4787.6710000000003</v>
      </c>
      <c r="AE15" s="1230">
        <f>+AE14+AE16</f>
        <v>-5014.3980000000001</v>
      </c>
      <c r="AF15" s="1230">
        <f t="shared" ref="AD15:BD15" si="106">+AF14+AF16</f>
        <v>-5284.9080000000004</v>
      </c>
      <c r="AG15" s="1230">
        <f t="shared" si="106"/>
        <v>-5680.0209999999997</v>
      </c>
      <c r="AH15" s="1230">
        <f t="shared" si="106"/>
        <v>-5697.4690000000001</v>
      </c>
      <c r="AI15" s="1230">
        <f t="shared" si="106"/>
        <v>-5807.22</v>
      </c>
      <c r="AJ15" s="1230">
        <f t="shared" si="106"/>
        <v>-5892.4210000000003</v>
      </c>
      <c r="AK15" s="1230">
        <f t="shared" si="106"/>
        <v>-5742.5789999999997</v>
      </c>
      <c r="AL15" s="1230">
        <f t="shared" si="106"/>
        <v>-6313.71</v>
      </c>
      <c r="AM15" s="1208">
        <f t="shared" si="106"/>
        <v>-6294.44</v>
      </c>
      <c r="AN15" s="1208">
        <f t="shared" si="106"/>
        <v>-6309.6189999999997</v>
      </c>
      <c r="AO15" s="1208">
        <f t="shared" si="106"/>
        <v>-6642.9970000000003</v>
      </c>
      <c r="AP15" s="1208">
        <f t="shared" si="106"/>
        <v>-8042.1379999999999</v>
      </c>
      <c r="AQ15" s="1208">
        <f t="shared" si="106"/>
        <v>-8445.1129999999994</v>
      </c>
      <c r="AR15" s="1208">
        <f t="shared" si="106"/>
        <v>-8292.4320000000007</v>
      </c>
      <c r="AS15" s="1208">
        <f t="shared" si="106"/>
        <v>-8542.7450000000008</v>
      </c>
      <c r="AT15" s="1208">
        <f t="shared" si="106"/>
        <v>-7267.5290000000005</v>
      </c>
      <c r="AU15" s="1208">
        <f t="shared" si="106"/>
        <v>-5189.1090000000004</v>
      </c>
      <c r="AV15" s="1208">
        <f t="shared" si="106"/>
        <v>-6677.0760000000009</v>
      </c>
      <c r="AW15" s="1208">
        <f t="shared" si="106"/>
        <v>-6470.0789999999997</v>
      </c>
      <c r="AX15" s="1208">
        <f t="shared" si="106"/>
        <v>-6189.8130000000001</v>
      </c>
      <c r="AY15" s="1208">
        <f t="shared" si="106"/>
        <v>-6987.4269999999997</v>
      </c>
      <c r="AZ15" s="1208">
        <f t="shared" si="106"/>
        <v>-7782.3389999999999</v>
      </c>
      <c r="BA15" s="1208">
        <f t="shared" si="106"/>
        <v>-9130.5419999999995</v>
      </c>
      <c r="BB15" s="1208">
        <f t="shared" si="106"/>
        <v>-8522.7389999999996</v>
      </c>
      <c r="BC15" s="1208">
        <f t="shared" si="106"/>
        <v>-9171.6929999999993</v>
      </c>
      <c r="BD15" s="1208">
        <f t="shared" si="106"/>
        <v>-9626.5130000000008</v>
      </c>
      <c r="BE15" s="1208">
        <f t="shared" ref="BE15:BI15" si="107">+BE14+BE16</f>
        <v>-10173.779</v>
      </c>
      <c r="BF15" s="1208">
        <f t="shared" si="107"/>
        <v>-9506.0410000000011</v>
      </c>
      <c r="BG15" s="1208">
        <f t="shared" si="107"/>
        <v>-10088.873</v>
      </c>
      <c r="BH15" s="1208">
        <f t="shared" si="107"/>
        <v>-10397.782000000001</v>
      </c>
      <c r="BI15" s="1208">
        <f t="shared" si="107"/>
        <v>-10440.171999999999</v>
      </c>
      <c r="BJ15" s="1208">
        <f t="shared" ref="BJ15:BK15" si="108">+BJ14+BJ16</f>
        <v>-9795.4310000000005</v>
      </c>
      <c r="BK15" s="1303">
        <f t="shared" si="108"/>
        <v>-10388.316000000001</v>
      </c>
      <c r="BL15" s="1233">
        <f t="shared" ref="BL15:CW15" si="109">+BL14+BL16</f>
        <v>-10760.994693106173</v>
      </c>
      <c r="BM15" s="1233">
        <f t="shared" si="109"/>
        <v>-10969.481960032286</v>
      </c>
      <c r="BN15" s="1233">
        <f t="shared" si="109"/>
        <v>-10649.155080059007</v>
      </c>
      <c r="BO15" s="1233">
        <f t="shared" si="109"/>
        <v>-11508.45744845554</v>
      </c>
      <c r="BP15" s="1233">
        <f t="shared" si="109"/>
        <v>-11735.258457710181</v>
      </c>
      <c r="BQ15" s="1233">
        <f t="shared" si="109"/>
        <v>-11835.573023949159</v>
      </c>
      <c r="BR15" s="1233">
        <f t="shared" si="109"/>
        <v>-11442.609073093261</v>
      </c>
      <c r="BS15" s="1233">
        <f t="shared" si="109"/>
        <v>-12214.428894672736</v>
      </c>
      <c r="BT15" s="1233">
        <f t="shared" si="109"/>
        <v>-12450.139782193732</v>
      </c>
      <c r="BU15" s="1233">
        <f t="shared" si="109"/>
        <v>-12550.387601990984</v>
      </c>
      <c r="BV15" s="1233">
        <f t="shared" si="109"/>
        <v>-12077.719390059337</v>
      </c>
      <c r="BW15" s="1233">
        <f t="shared" si="109"/>
        <v>-12868.366603893972</v>
      </c>
      <c r="BX15" s="1233">
        <f t="shared" si="109"/>
        <v>-13119.251186286145</v>
      </c>
      <c r="BY15" s="1233">
        <f t="shared" si="109"/>
        <v>-13238.522208124494</v>
      </c>
      <c r="BZ15" s="1233">
        <f t="shared" si="109"/>
        <v>-12746.869947881882</v>
      </c>
      <c r="CA15" s="1233">
        <f t="shared" si="109"/>
        <v>-13561.452750500584</v>
      </c>
      <c r="CB15" s="1233">
        <f t="shared" si="109"/>
        <v>-13833.220790456307</v>
      </c>
      <c r="CC15" s="1233">
        <f t="shared" si="109"/>
        <v>-13982.917274806136</v>
      </c>
      <c r="CD15" s="1233">
        <f t="shared" si="109"/>
        <v>-13424.477052186245</v>
      </c>
      <c r="CE15" s="1233">
        <f t="shared" si="109"/>
        <v>-14265.416799061506</v>
      </c>
      <c r="CF15" s="1233">
        <f t="shared" si="109"/>
        <v>-14557.643838164788</v>
      </c>
      <c r="CG15" s="1233">
        <f t="shared" si="109"/>
        <v>-14731.847176228292</v>
      </c>
      <c r="CH15" s="1233">
        <f t="shared" si="109"/>
        <v>-14130.7229384945</v>
      </c>
      <c r="CI15" s="1233">
        <f t="shared" si="109"/>
        <v>-14991.821043194959</v>
      </c>
      <c r="CJ15" s="1233">
        <f t="shared" si="109"/>
        <v>-15298.676249107088</v>
      </c>
      <c r="CK15" s="1233">
        <f t="shared" si="109"/>
        <v>-15488.378920937312</v>
      </c>
      <c r="CL15" s="1233">
        <f t="shared" si="109"/>
        <v>-14842.928606532996</v>
      </c>
      <c r="CM15" s="1233">
        <f t="shared" si="109"/>
        <v>-15730.948909557401</v>
      </c>
      <c r="CN15" s="1233">
        <f t="shared" si="109"/>
        <v>-16060.522279239347</v>
      </c>
      <c r="CO15" s="1233">
        <f t="shared" si="109"/>
        <v>-16275.934696110568</v>
      </c>
      <c r="CP15" s="1233">
        <f t="shared" si="109"/>
        <v>-15588.961750066934</v>
      </c>
      <c r="CQ15" s="1233">
        <f t="shared" si="109"/>
        <v>-16504.589921373969</v>
      </c>
      <c r="CR15" s="1233">
        <f t="shared" si="109"/>
        <v>-16858.838035646193</v>
      </c>
      <c r="CS15" s="1233">
        <f t="shared" si="109"/>
        <v>-17101.774071789237</v>
      </c>
      <c r="CT15" s="1233">
        <f t="shared" si="109"/>
        <v>-16371.044064943822</v>
      </c>
      <c r="CU15" s="1233">
        <f t="shared" si="109"/>
        <v>-17314.65098702208</v>
      </c>
      <c r="CV15" s="1233">
        <f t="shared" si="109"/>
        <v>-17694.466852277081</v>
      </c>
      <c r="CW15" s="1233">
        <f t="shared" si="109"/>
        <v>-17956.280670617482</v>
      </c>
    </row>
    <row r="16" spans="1:101" s="1209" customFormat="1">
      <c r="A16" s="1234" t="s">
        <v>1212</v>
      </c>
      <c r="B16" s="1208"/>
      <c r="C16" s="1208"/>
      <c r="D16" s="1208"/>
      <c r="E16" s="1208"/>
      <c r="F16" s="1208"/>
      <c r="G16" s="1208"/>
      <c r="H16" s="1208"/>
      <c r="I16" s="1208"/>
      <c r="J16" s="1208"/>
      <c r="K16" s="1208"/>
      <c r="L16" s="1208"/>
      <c r="M16" s="1208"/>
      <c r="N16" s="1208"/>
      <c r="O16" s="1208"/>
      <c r="P16" s="1208"/>
      <c r="Q16" s="1208"/>
      <c r="R16" s="1208"/>
      <c r="S16" s="1208"/>
      <c r="T16" s="1208"/>
      <c r="U16" s="1208"/>
      <c r="V16" s="1208"/>
      <c r="W16" s="1208"/>
      <c r="X16" s="1208"/>
      <c r="Y16" s="1208"/>
      <c r="Z16" s="1208"/>
      <c r="AA16" s="1208"/>
      <c r="AB16" s="1208"/>
      <c r="AC16" s="1208"/>
      <c r="AD16" s="1208"/>
      <c r="AE16" s="1208"/>
      <c r="AF16" s="1208"/>
      <c r="AG16" s="1208"/>
      <c r="AH16" s="1208"/>
      <c r="AI16" s="1208"/>
      <c r="AJ16" s="1208"/>
      <c r="AK16" s="1208"/>
      <c r="AL16" s="1208"/>
      <c r="AM16" s="1208"/>
      <c r="AN16" s="1208"/>
      <c r="AO16" s="1208"/>
      <c r="AP16" s="1208">
        <f>-Q_IS!AP299</f>
        <v>-1203.95</v>
      </c>
      <c r="AQ16" s="1208">
        <f>-Q_IS!AQ299</f>
        <v>-1226.5409999999999</v>
      </c>
      <c r="AR16" s="1208">
        <f>-Q_IS!AR299</f>
        <v>-1549.837</v>
      </c>
      <c r="AS16" s="1208">
        <f>-Q_IS!AS299</f>
        <v>-969.06200000000001</v>
      </c>
      <c r="AT16" s="1208">
        <f>-Q_IS!AT299</f>
        <v>-1268.42</v>
      </c>
      <c r="AU16" s="1208">
        <f>-Q_IS!AU299</f>
        <v>-848.50099999999998</v>
      </c>
      <c r="AV16" s="1208">
        <f>-Q_IS!AV299</f>
        <v>-1691.0920000000001</v>
      </c>
      <c r="AW16" s="1208">
        <f>-Q_IS!AW299</f>
        <v>-1679.981</v>
      </c>
      <c r="AX16" s="1208">
        <f>-Q_IS!AX299</f>
        <v>-1354.0550000000001</v>
      </c>
      <c r="AY16" s="1208">
        <f>-Q_IS!AY299</f>
        <v>-1317.7249999999999</v>
      </c>
      <c r="AZ16" s="1208">
        <f>-Q_IS!AZ299</f>
        <v>-1287.9570000000001</v>
      </c>
      <c r="BA16" s="1208">
        <f>-Q_IS!BA299</f>
        <v>-1815.2449999999999</v>
      </c>
      <c r="BB16" s="1208">
        <f>-Q_IS!BB299</f>
        <v>-1595.5150000000001</v>
      </c>
      <c r="BC16" s="1208">
        <f>-Q_IS!BC299</f>
        <v>-1405.595</v>
      </c>
      <c r="BD16" s="1208">
        <f>-Q_IS!BD299</f>
        <v>-1343.0450000000001</v>
      </c>
      <c r="BE16" s="1208">
        <f>-Q_IS!BE299</f>
        <v>-881.13300000000004</v>
      </c>
      <c r="BF16" s="1208">
        <f>-Q_IS!BF299</f>
        <v>-1379.963</v>
      </c>
      <c r="BG16" s="1208">
        <f>-Q_IS!BG299</f>
        <v>-1265.1479999999999</v>
      </c>
      <c r="BH16" s="1208">
        <f>-Q_IS!BH299</f>
        <v>-1225.2249999999999</v>
      </c>
      <c r="BI16" s="1208">
        <f>-Q_IS!BI299</f>
        <v>-1295.424</v>
      </c>
      <c r="BJ16" s="1208">
        <f>-Q_IS!BJ299</f>
        <v>-1146.106</v>
      </c>
      <c r="BK16" s="1303">
        <f>-Q_IS!BK299</f>
        <v>-1245.4670000000001</v>
      </c>
      <c r="BL16" s="1208">
        <f>-Q_IS!BL299</f>
        <v>-1159.4386204786442</v>
      </c>
      <c r="BM16" s="1208">
        <f>-Q_IS!BM299</f>
        <v>-1138.3873130499724</v>
      </c>
      <c r="BN16" s="1208">
        <f>-Q_IS!BN299</f>
        <v>-1130.5208730760769</v>
      </c>
      <c r="BO16" s="1208">
        <f>-Q_IS!BO299</f>
        <v>-1265.1310978806177</v>
      </c>
      <c r="BP16" s="1208">
        <f>-Q_IS!BP299</f>
        <v>-1271.2875622353331</v>
      </c>
      <c r="BQ16" s="1208">
        <f>-Q_IS!BQ299</f>
        <v>-1216.0244476207172</v>
      </c>
      <c r="BR16" s="1208">
        <f>-Q_IS!BR299</f>
        <v>-1206.7767022409698</v>
      </c>
      <c r="BS16" s="1208">
        <f>-Q_IS!BS299</f>
        <v>-1322.4410255938001</v>
      </c>
      <c r="BT16" s="1208">
        <f>-Q_IS!BT299</f>
        <v>-1325.6790267014003</v>
      </c>
      <c r="BU16" s="1208">
        <f>-Q_IS!BU299</f>
        <v>-1264.5681001425492</v>
      </c>
      <c r="BV16" s="1208">
        <f>-Q_IS!BV299</f>
        <v>-1252.1269624142133</v>
      </c>
      <c r="BW16" s="1208">
        <f>-Q_IS!BW299</f>
        <v>-1367.593093811558</v>
      </c>
      <c r="BX16" s="1208">
        <f>-Q_IS!BX299</f>
        <v>-1368.7384063187146</v>
      </c>
      <c r="BY16" s="1208">
        <f>-Q_IS!BY299</f>
        <v>-1305.627464083087</v>
      </c>
      <c r="BZ16" s="1208">
        <f>-Q_IS!BZ299</f>
        <v>-1325.5498840880482</v>
      </c>
      <c r="CA16" s="1208">
        <f>-Q_IS!CA299</f>
        <v>-1440.6388317494766</v>
      </c>
      <c r="CB16" s="1208">
        <f>-Q_IS!CB299</f>
        <v>-1440.3019978178854</v>
      </c>
      <c r="CC16" s="1208">
        <f>-Q_IS!CC299</f>
        <v>-1381.1133953354092</v>
      </c>
      <c r="CD16" s="1208">
        <f>-Q_IS!CD299</f>
        <v>-1402.4809150825258</v>
      </c>
      <c r="CE16" s="1208">
        <f>-Q_IS!CE299</f>
        <v>-1520.5602864213597</v>
      </c>
      <c r="CF16" s="1208">
        <f>-Q_IS!CF299</f>
        <v>-1517.6474295094649</v>
      </c>
      <c r="CG16" s="1208">
        <f>-Q_IS!CG299</f>
        <v>-1455.7183404106454</v>
      </c>
      <c r="CH16" s="1208">
        <f>-Q_IS!CH299</f>
        <v>-1482.8059012842459</v>
      </c>
      <c r="CI16" s="1208">
        <f>-Q_IS!CI299</f>
        <v>-1603.1686345110356</v>
      </c>
      <c r="CJ16" s="1208">
        <f>-Q_IS!CJ299</f>
        <v>-1596.7934196308488</v>
      </c>
      <c r="CK16" s="1208">
        <f>-Q_IS!CK299</f>
        <v>-1531.0901083212811</v>
      </c>
      <c r="CL16" s="1208">
        <f>-Q_IS!CL299</f>
        <v>-1564.6068231841182</v>
      </c>
      <c r="CM16" s="1208">
        <f>-Q_IS!CM299</f>
        <v>-1688.1050340878264</v>
      </c>
      <c r="CN16" s="1208">
        <f>-Q_IS!CN299</f>
        <v>-1678.7122061511054</v>
      </c>
      <c r="CO16" s="1208">
        <f>-Q_IS!CO299</f>
        <v>-1609.6272379055863</v>
      </c>
      <c r="CP16" s="1208">
        <f>-Q_IS!CP299</f>
        <v>-1650.4615562440122</v>
      </c>
      <c r="CQ16" s="1208">
        <f>-Q_IS!CQ299</f>
        <v>-1777.1669581389215</v>
      </c>
      <c r="CR16" s="1208">
        <f>-Q_IS!CR299</f>
        <v>-1764.5796960728549</v>
      </c>
      <c r="CS16" s="1208">
        <f>-Q_IS!CS299</f>
        <v>-1691.8691959246753</v>
      </c>
      <c r="CT16" s="1208">
        <f>-Q_IS!CT299</f>
        <v>-1740.6997981921868</v>
      </c>
      <c r="CU16" s="1208">
        <f>-Q_IS!CU299</f>
        <v>-1870.7758003342424</v>
      </c>
      <c r="CV16" s="1208">
        <f>-Q_IS!CV299</f>
        <v>-1854.7258636904608</v>
      </c>
      <c r="CW16" s="1208">
        <f>-Q_IS!CW299</f>
        <v>-1776.7390015881538</v>
      </c>
    </row>
    <row r="17" spans="1:103">
      <c r="A17" s="36" t="s">
        <v>368</v>
      </c>
      <c r="B17" s="373">
        <f>IS!C11</f>
        <v>0</v>
      </c>
      <c r="C17" s="373">
        <f>IS!D11</f>
        <v>0</v>
      </c>
      <c r="D17" s="373">
        <f>IS!E11</f>
        <v>0</v>
      </c>
      <c r="E17" s="373">
        <f>IS!F11</f>
        <v>0</v>
      </c>
      <c r="F17" s="373">
        <f>IS!G11</f>
        <v>0</v>
      </c>
      <c r="G17" s="373">
        <f>IS!H11</f>
        <v>0</v>
      </c>
      <c r="H17" s="373">
        <f>IS!I11</f>
        <v>0</v>
      </c>
      <c r="I17" s="373">
        <f>IS!J11</f>
        <v>0</v>
      </c>
      <c r="J17" s="373">
        <f>IS!K11</f>
        <v>0</v>
      </c>
      <c r="K17" s="373">
        <f>IS!L11</f>
        <v>0</v>
      </c>
      <c r="L17" s="373">
        <f>IS!M11</f>
        <v>0</v>
      </c>
      <c r="M17" s="373">
        <f>IS!N11</f>
        <v>0</v>
      </c>
      <c r="N17" s="373">
        <f>IS!O11</f>
        <v>0</v>
      </c>
      <c r="O17" s="96">
        <f>IS!P11</f>
        <v>0</v>
      </c>
      <c r="P17" s="96">
        <f>IS!Q11</f>
        <v>0</v>
      </c>
      <c r="Q17" s="96">
        <f>IS!R11</f>
        <v>0</v>
      </c>
      <c r="R17" s="96">
        <f>IS!S11</f>
        <v>0</v>
      </c>
      <c r="S17" s="96">
        <f>IS!T11</f>
        <v>0</v>
      </c>
      <c r="T17" s="96">
        <f>IS!U11</f>
        <v>0</v>
      </c>
      <c r="U17" s="96">
        <f>IS!V11</f>
        <v>0</v>
      </c>
      <c r="V17" s="96">
        <f>IS!W11</f>
        <v>0</v>
      </c>
      <c r="W17" s="96">
        <f>IS!X11</f>
        <v>0</v>
      </c>
      <c r="X17" s="96">
        <f>IS!Y11</f>
        <v>0</v>
      </c>
      <c r="Y17" s="96">
        <f>IS!Z11</f>
        <v>0</v>
      </c>
      <c r="Z17" s="96">
        <f>IS!AA11</f>
        <v>0</v>
      </c>
      <c r="AA17" s="99">
        <f>IS!AB11</f>
        <v>0</v>
      </c>
      <c r="AB17" s="99">
        <f>IS!AC11</f>
        <v>0</v>
      </c>
      <c r="AC17" s="99">
        <f>IS!AD11</f>
        <v>0</v>
      </c>
      <c r="AD17" s="99">
        <f>IS!AE11</f>
        <v>0</v>
      </c>
      <c r="AE17" s="99">
        <f>IS!AF11</f>
        <v>0</v>
      </c>
      <c r="AF17" s="99">
        <f>IS!AG11</f>
        <v>0</v>
      </c>
      <c r="AG17" s="99">
        <f>IS!AH11</f>
        <v>0</v>
      </c>
      <c r="AH17" s="99">
        <f>IS!AI11</f>
        <v>0</v>
      </c>
      <c r="AI17" s="99">
        <f>IS!AJ11</f>
        <v>0</v>
      </c>
      <c r="AJ17" s="99">
        <f>IS!AK11</f>
        <v>0</v>
      </c>
      <c r="AK17" s="99">
        <f>IS!AL11</f>
        <v>0</v>
      </c>
      <c r="AL17" s="99">
        <f>IS!AM11</f>
        <v>0</v>
      </c>
      <c r="AM17" s="99">
        <f>IS!AN11</f>
        <v>0</v>
      </c>
      <c r="AN17" s="99">
        <f>IS!AO11</f>
        <v>0</v>
      </c>
      <c r="AO17" s="99">
        <f>IS!AP11</f>
        <v>0</v>
      </c>
      <c r="AP17" s="99">
        <f>IS!AQ11</f>
        <v>0</v>
      </c>
      <c r="AQ17" s="99">
        <f>IS!AR11</f>
        <v>0</v>
      </c>
      <c r="AR17" s="99">
        <f>IS!AS11</f>
        <v>0</v>
      </c>
      <c r="AS17" s="857">
        <f>IS!AT11</f>
        <v>0</v>
      </c>
      <c r="AT17" s="857">
        <f>IS!AU11</f>
        <v>0</v>
      </c>
      <c r="AU17" s="857">
        <f>IS!AV11</f>
        <v>0</v>
      </c>
      <c r="AV17" s="857">
        <f>IS!AW11</f>
        <v>0</v>
      </c>
      <c r="AW17" s="857">
        <f>IS!AX11</f>
        <v>0</v>
      </c>
      <c r="AX17" s="857">
        <f>IS!AY11</f>
        <v>0</v>
      </c>
      <c r="AY17" s="857">
        <f>IS!AZ11</f>
        <v>0</v>
      </c>
      <c r="AZ17" s="857">
        <f>IS!BA11</f>
        <v>0</v>
      </c>
      <c r="BA17" s="857">
        <f>IS!BB11</f>
        <v>0</v>
      </c>
      <c r="BB17" s="857">
        <f>IS!BC11</f>
        <v>0</v>
      </c>
      <c r="BC17" s="857">
        <f>IS!BD11</f>
        <v>0</v>
      </c>
      <c r="BD17" s="857">
        <f>IS!BE11</f>
        <v>0</v>
      </c>
      <c r="BE17" s="857">
        <f>IS!BF11</f>
        <v>0</v>
      </c>
      <c r="BF17" s="857">
        <f>IS!BG11</f>
        <v>0</v>
      </c>
      <c r="BG17" s="857">
        <f>IS!BH11</f>
        <v>0</v>
      </c>
      <c r="BH17" s="857">
        <f>IS!BI11</f>
        <v>0</v>
      </c>
      <c r="BI17" s="857">
        <f>IS!BJ11</f>
        <v>0</v>
      </c>
      <c r="BJ17" s="857">
        <f>IS!BK11</f>
        <v>0</v>
      </c>
      <c r="BK17" s="1398">
        <f>IS!BL11</f>
        <v>0</v>
      </c>
      <c r="BL17" s="587">
        <v>0</v>
      </c>
      <c r="BM17" s="587">
        <v>0</v>
      </c>
      <c r="BN17" s="587">
        <v>0</v>
      </c>
      <c r="BO17" s="587">
        <v>0</v>
      </c>
      <c r="BP17" s="587">
        <v>0</v>
      </c>
      <c r="BQ17" s="587">
        <v>0</v>
      </c>
      <c r="BR17" s="587">
        <v>0</v>
      </c>
      <c r="BS17" s="587">
        <v>0</v>
      </c>
      <c r="BT17" s="587">
        <v>0</v>
      </c>
      <c r="BU17" s="587">
        <v>0</v>
      </c>
      <c r="BV17" s="587">
        <v>0</v>
      </c>
      <c r="BW17" s="587">
        <v>0</v>
      </c>
      <c r="BX17" s="587">
        <v>0</v>
      </c>
      <c r="BY17" s="587">
        <v>0</v>
      </c>
      <c r="BZ17" s="587">
        <v>0</v>
      </c>
      <c r="CA17" s="587">
        <v>0</v>
      </c>
      <c r="CB17" s="587">
        <v>0</v>
      </c>
      <c r="CC17" s="587">
        <v>0</v>
      </c>
      <c r="CD17" s="587">
        <v>0</v>
      </c>
      <c r="CE17" s="587">
        <v>0</v>
      </c>
      <c r="CF17" s="587">
        <v>0</v>
      </c>
      <c r="CG17" s="587">
        <v>0</v>
      </c>
      <c r="CH17" s="587">
        <v>0</v>
      </c>
      <c r="CI17" s="587">
        <v>0</v>
      </c>
      <c r="CJ17" s="587">
        <v>0</v>
      </c>
      <c r="CK17" s="587">
        <v>0</v>
      </c>
      <c r="CL17" s="587">
        <v>0</v>
      </c>
      <c r="CM17" s="587">
        <v>0</v>
      </c>
      <c r="CN17" s="587">
        <v>0</v>
      </c>
      <c r="CO17" s="587">
        <v>0</v>
      </c>
      <c r="CP17" s="587">
        <v>0</v>
      </c>
      <c r="CQ17" s="587">
        <v>0</v>
      </c>
      <c r="CR17" s="587">
        <v>0</v>
      </c>
      <c r="CS17" s="587">
        <v>0</v>
      </c>
      <c r="CT17" s="587">
        <v>0</v>
      </c>
      <c r="CU17" s="587">
        <v>0</v>
      </c>
      <c r="CV17" s="587">
        <v>0</v>
      </c>
      <c r="CW17" s="587">
        <v>0</v>
      </c>
    </row>
    <row r="18" spans="1:103">
      <c r="A18" s="13" t="s">
        <v>1256</v>
      </c>
      <c r="B18" s="411">
        <f t="shared" ref="B18:AO18" si="110">+B20</f>
        <v>173.76999999999998</v>
      </c>
      <c r="C18" s="411">
        <f t="shared" si="110"/>
        <v>190.00599999999986</v>
      </c>
      <c r="D18" s="411">
        <f t="shared" si="110"/>
        <v>237.23299999999972</v>
      </c>
      <c r="E18" s="411">
        <f t="shared" si="110"/>
        <v>399.22699999999986</v>
      </c>
      <c r="F18" s="411">
        <f t="shared" si="110"/>
        <v>223.70600000000013</v>
      </c>
      <c r="G18" s="411">
        <f t="shared" si="110"/>
        <v>253.53999999999996</v>
      </c>
      <c r="H18" s="411">
        <f t="shared" si="110"/>
        <v>237.52099999999996</v>
      </c>
      <c r="I18" s="411">
        <f t="shared" si="110"/>
        <v>283.86399999999981</v>
      </c>
      <c r="J18" s="411">
        <f t="shared" si="110"/>
        <v>227.35200000000009</v>
      </c>
      <c r="K18" s="411">
        <f t="shared" si="110"/>
        <v>310.75700000000029</v>
      </c>
      <c r="L18" s="411">
        <f t="shared" si="110"/>
        <v>284.21600000000012</v>
      </c>
      <c r="M18" s="411">
        <f t="shared" si="110"/>
        <v>292.52199999999993</v>
      </c>
      <c r="N18" s="411">
        <f t="shared" si="110"/>
        <v>285.25699999999983</v>
      </c>
      <c r="O18" s="411">
        <f t="shared" si="110"/>
        <v>431.18499999999972</v>
      </c>
      <c r="P18" s="411">
        <f t="shared" si="110"/>
        <v>412.52399999999989</v>
      </c>
      <c r="Q18" s="411">
        <f t="shared" si="110"/>
        <v>479.09899999999993</v>
      </c>
      <c r="R18" s="411">
        <f t="shared" si="110"/>
        <v>373.4670000000001</v>
      </c>
      <c r="S18" s="411">
        <f t="shared" si="110"/>
        <v>505.00700000000006</v>
      </c>
      <c r="T18" s="411">
        <f t="shared" si="110"/>
        <v>545.93199999999979</v>
      </c>
      <c r="U18" s="411">
        <f t="shared" si="110"/>
        <v>614.31600000000026</v>
      </c>
      <c r="V18" s="411">
        <f t="shared" si="110"/>
        <v>423.75300000000016</v>
      </c>
      <c r="W18" s="411">
        <f t="shared" si="110"/>
        <v>618.3119999999999</v>
      </c>
      <c r="X18" s="411">
        <f t="shared" si="110"/>
        <v>705.71200000000044</v>
      </c>
      <c r="Y18" s="411">
        <f t="shared" si="110"/>
        <v>1045.3149999999996</v>
      </c>
      <c r="Z18" s="411">
        <f t="shared" si="110"/>
        <v>850.23400000000129</v>
      </c>
      <c r="AA18" s="411">
        <f t="shared" si="110"/>
        <v>997.69999999999982</v>
      </c>
      <c r="AB18" s="411">
        <f t="shared" si="110"/>
        <v>1086.9549999999999</v>
      </c>
      <c r="AC18" s="411">
        <f t="shared" si="110"/>
        <v>1366.8399999999992</v>
      </c>
      <c r="AD18" s="411">
        <f>+AD20</f>
        <v>1035.1620000000003</v>
      </c>
      <c r="AE18" s="411">
        <f t="shared" si="110"/>
        <v>1223.0079999999989</v>
      </c>
      <c r="AF18" s="411">
        <f t="shared" si="110"/>
        <v>1327.723</v>
      </c>
      <c r="AG18" s="411">
        <f t="shared" si="110"/>
        <v>1569.3450000000003</v>
      </c>
      <c r="AH18" s="411">
        <f t="shared" si="110"/>
        <v>1287.1059999999998</v>
      </c>
      <c r="AI18" s="411">
        <f t="shared" si="110"/>
        <v>1406.4710000000005</v>
      </c>
      <c r="AJ18" s="411">
        <f t="shared" si="110"/>
        <v>1414.860999999999</v>
      </c>
      <c r="AK18" s="411">
        <f t="shared" si="110"/>
        <v>2357.8060000000005</v>
      </c>
      <c r="AL18" s="411">
        <f t="shared" si="110"/>
        <v>1427.924</v>
      </c>
      <c r="AM18" s="411">
        <f t="shared" si="110"/>
        <v>1578.8879999999999</v>
      </c>
      <c r="AN18" s="411">
        <f t="shared" si="110"/>
        <v>1536.9350000000004</v>
      </c>
      <c r="AO18" s="411">
        <f t="shared" si="110"/>
        <v>1864.5699999999988</v>
      </c>
      <c r="AP18" s="411">
        <f t="shared" ref="AP18:AU18" si="111">AP11+AP14+AP17</f>
        <v>2747.893</v>
      </c>
      <c r="AQ18" s="411">
        <f t="shared" si="111"/>
        <v>3061.5070000000014</v>
      </c>
      <c r="AR18" s="411">
        <f t="shared" si="111"/>
        <v>3469.2569999999987</v>
      </c>
      <c r="AS18" s="411">
        <f t="shared" si="111"/>
        <v>3338.9019999999991</v>
      </c>
      <c r="AT18" s="411">
        <f t="shared" si="111"/>
        <v>2495.0509999999995</v>
      </c>
      <c r="AU18" s="411">
        <f t="shared" si="111"/>
        <v>-903.00200000000041</v>
      </c>
      <c r="AV18" s="411">
        <f t="shared" ref="AV18:BC18" si="112">AV11+AV14+AV17</f>
        <v>2107.4779999999992</v>
      </c>
      <c r="AW18" s="411">
        <f t="shared" si="112"/>
        <v>3225.2089999999998</v>
      </c>
      <c r="AX18" s="411">
        <f t="shared" si="112"/>
        <v>2044.7280000000001</v>
      </c>
      <c r="AY18" s="411">
        <f t="shared" si="112"/>
        <v>2848.0649999999996</v>
      </c>
      <c r="AZ18" s="411">
        <f t="shared" si="112"/>
        <v>3144.2919999999995</v>
      </c>
      <c r="BA18" s="411">
        <f t="shared" si="112"/>
        <v>4274.1840000000002</v>
      </c>
      <c r="BB18" s="411">
        <f t="shared" si="112"/>
        <v>3457.6859999999997</v>
      </c>
      <c r="BC18" s="411">
        <f t="shared" si="112"/>
        <v>3627.4740000000002</v>
      </c>
      <c r="BD18" s="411">
        <f t="shared" ref="BD18:BG18" si="113">BD11+BD14+BD17</f>
        <v>3477.7969999999987</v>
      </c>
      <c r="BE18" s="411">
        <f t="shared" si="113"/>
        <v>3486.8369999999995</v>
      </c>
      <c r="BF18" s="411">
        <f t="shared" si="113"/>
        <v>3684.4059999999999</v>
      </c>
      <c r="BG18" s="411">
        <f t="shared" si="113"/>
        <v>3839.4879999999994</v>
      </c>
      <c r="BH18" s="411">
        <f t="shared" ref="BH18" si="114">BH11+BH14+BH17</f>
        <v>3930.7839999999978</v>
      </c>
      <c r="BI18" s="411">
        <f t="shared" ref="BI18:BJ18" si="115">BI11+BI14+BI17</f>
        <v>4505.7109999999993</v>
      </c>
      <c r="BJ18" s="411">
        <f t="shared" si="115"/>
        <v>3735.2350000000006</v>
      </c>
      <c r="BK18" s="1304">
        <f t="shared" ref="BK18" si="116">BK11+BK14+BK17</f>
        <v>3992.1430000000018</v>
      </c>
      <c r="BL18" s="587">
        <f t="shared" ref="BL18:CW18" si="117">BL11+BL14</f>
        <v>3870.7843853001032</v>
      </c>
      <c r="BM18" s="587">
        <f t="shared" si="117"/>
        <v>4186.3465999423097</v>
      </c>
      <c r="BN18" s="587">
        <f t="shared" si="117"/>
        <v>3809.4803796875312</v>
      </c>
      <c r="BO18" s="587">
        <f t="shared" si="117"/>
        <v>4129.4323039643077</v>
      </c>
      <c r="BP18" s="587">
        <f t="shared" si="117"/>
        <v>4227.3124813828108</v>
      </c>
      <c r="BQ18" s="587">
        <f t="shared" si="117"/>
        <v>4531.7645796310699</v>
      </c>
      <c r="BR18" s="587">
        <f t="shared" si="117"/>
        <v>4105.0996185768709</v>
      </c>
      <c r="BS18" s="587">
        <f t="shared" si="117"/>
        <v>4400.1282509114808</v>
      </c>
      <c r="BT18" s="587">
        <f t="shared" si="117"/>
        <v>4503.5934709406392</v>
      </c>
      <c r="BU18" s="587">
        <f t="shared" si="117"/>
        <v>4826.4115554528707</v>
      </c>
      <c r="BV18" s="587">
        <f t="shared" si="117"/>
        <v>4350.7441857088907</v>
      </c>
      <c r="BW18" s="587">
        <f t="shared" si="117"/>
        <v>4655.8179196785059</v>
      </c>
      <c r="BX18" s="587">
        <f t="shared" si="117"/>
        <v>4767.0678822839436</v>
      </c>
      <c r="BY18" s="587">
        <f t="shared" si="117"/>
        <v>5114.0977474463198</v>
      </c>
      <c r="BZ18" s="587">
        <f t="shared" si="117"/>
        <v>4436.8907750918315</v>
      </c>
      <c r="CA18" s="587">
        <f t="shared" si="117"/>
        <v>4744.1973206342263</v>
      </c>
      <c r="CB18" s="587">
        <f t="shared" si="117"/>
        <v>4860.7347104670152</v>
      </c>
      <c r="CC18" s="587">
        <f t="shared" si="117"/>
        <v>5227.1147924492743</v>
      </c>
      <c r="CD18" s="587">
        <f t="shared" si="117"/>
        <v>4670.2380688898211</v>
      </c>
      <c r="CE18" s="587">
        <f t="shared" si="117"/>
        <v>4988.4532940148511</v>
      </c>
      <c r="CF18" s="587">
        <f t="shared" si="117"/>
        <v>5114.5306629110783</v>
      </c>
      <c r="CG18" s="587">
        <f t="shared" si="117"/>
        <v>5506.8187132491221</v>
      </c>
      <c r="CH18" s="587">
        <f t="shared" si="117"/>
        <v>4913.3923323294348</v>
      </c>
      <c r="CI18" s="587">
        <f t="shared" si="117"/>
        <v>5240.440890352842</v>
      </c>
      <c r="CJ18" s="587">
        <f t="shared" si="117"/>
        <v>5374.1349057777516</v>
      </c>
      <c r="CK18" s="587">
        <f t="shared" si="117"/>
        <v>5789.3577389950751</v>
      </c>
      <c r="CL18" s="587">
        <f t="shared" si="117"/>
        <v>5158.288455290156</v>
      </c>
      <c r="CM18" s="587">
        <f t="shared" si="117"/>
        <v>5496.497408067793</v>
      </c>
      <c r="CN18" s="587">
        <f t="shared" si="117"/>
        <v>5640.8150970156839</v>
      </c>
      <c r="CO18" s="587">
        <f t="shared" si="117"/>
        <v>6083.452289737761</v>
      </c>
      <c r="CP18" s="587">
        <f t="shared" si="117"/>
        <v>5414.7508854634034</v>
      </c>
      <c r="CQ18" s="587">
        <f t="shared" si="117"/>
        <v>5764.4479182983632</v>
      </c>
      <c r="CR18" s="587">
        <f t="shared" si="117"/>
        <v>5920.25064212498</v>
      </c>
      <c r="CS18" s="587">
        <f t="shared" si="117"/>
        <v>6391.8898038152074</v>
      </c>
      <c r="CT18" s="587">
        <f t="shared" si="117"/>
        <v>5683.5146157357267</v>
      </c>
      <c r="CU18" s="587">
        <f t="shared" si="117"/>
        <v>6044.8738650748273</v>
      </c>
      <c r="CV18" s="587">
        <f t="shared" si="117"/>
        <v>6212.6428903709912</v>
      </c>
      <c r="CW18" s="587">
        <f t="shared" si="117"/>
        <v>6711.1282164140939</v>
      </c>
      <c r="CY18" s="254"/>
    </row>
    <row r="19" spans="1:103">
      <c r="A19" s="244" t="s">
        <v>1213</v>
      </c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2062">
        <f>N18/N5</f>
        <v>9.6303976167840574E-2</v>
      </c>
      <c r="O19" s="2062">
        <f t="shared" ref="O19:AO19" si="118">O18/O5</f>
        <v>0.12583589517902172</v>
      </c>
      <c r="P19" s="2062">
        <f t="shared" si="118"/>
        <v>0.11778148565633444</v>
      </c>
      <c r="Q19" s="2062">
        <f t="shared" si="118"/>
        <v>0.13203968529786983</v>
      </c>
      <c r="R19" s="2062">
        <f t="shared" si="118"/>
        <v>0.10988376301141659</v>
      </c>
      <c r="S19" s="2062">
        <f t="shared" si="118"/>
        <v>0.13217908997659286</v>
      </c>
      <c r="T19" s="2062">
        <f t="shared" si="118"/>
        <v>0.13373013180427598</v>
      </c>
      <c r="U19" s="2062">
        <f t="shared" si="118"/>
        <v>0.13927064707814715</v>
      </c>
      <c r="V19" s="2062">
        <f t="shared" si="118"/>
        <v>0.10614959384133814</v>
      </c>
      <c r="W19" s="2062">
        <f t="shared" si="118"/>
        <v>0.11883014825517368</v>
      </c>
      <c r="X19" s="2062">
        <f t="shared" si="118"/>
        <v>0.12377982824766567</v>
      </c>
      <c r="Y19" s="2062">
        <f t="shared" si="118"/>
        <v>0.13225902202859877</v>
      </c>
      <c r="Z19" s="2062">
        <f t="shared" si="118"/>
        <v>0.11576891477041734</v>
      </c>
      <c r="AA19" s="2062">
        <f t="shared" si="118"/>
        <v>0.12853742014562847</v>
      </c>
      <c r="AB19" s="2062">
        <f t="shared" si="118"/>
        <v>0.13216264240901496</v>
      </c>
      <c r="AC19" s="2062">
        <f t="shared" si="118"/>
        <v>0.15258612971495533</v>
      </c>
      <c r="AD19" s="2062">
        <f>AD18/AD5</f>
        <v>0.12128776907610761</v>
      </c>
      <c r="AE19" s="2062">
        <f t="shared" si="118"/>
        <v>0.13490693578162991</v>
      </c>
      <c r="AF19" s="2062">
        <f t="shared" si="118"/>
        <v>0.13827590214688965</v>
      </c>
      <c r="AG19" s="2062">
        <f t="shared" si="118"/>
        <v>0.14946776315758145</v>
      </c>
      <c r="AH19" s="2062">
        <f t="shared" si="118"/>
        <v>0.12752158870689687</v>
      </c>
      <c r="AI19" s="2062">
        <f t="shared" si="118"/>
        <v>0.13596444376732039</v>
      </c>
      <c r="AJ19" s="2062">
        <f t="shared" si="118"/>
        <v>0.13506569801841534</v>
      </c>
      <c r="AK19" s="2062">
        <f t="shared" si="118"/>
        <v>0.20297699990117191</v>
      </c>
      <c r="AL19" s="2062">
        <f t="shared" si="118"/>
        <v>0.12887557745514047</v>
      </c>
      <c r="AM19" s="2062">
        <f t="shared" si="118"/>
        <v>0.13940990549827875</v>
      </c>
      <c r="AN19" s="2062">
        <f t="shared" si="118"/>
        <v>0.13511046120943837</v>
      </c>
      <c r="AO19" s="2063">
        <f t="shared" si="118"/>
        <v>0.15066231560214738</v>
      </c>
      <c r="AP19" s="1290">
        <f t="shared" ref="AP19:AQ19" si="119">AP18/AP5</f>
        <v>0.20071402338599337</v>
      </c>
      <c r="AQ19" s="1290">
        <f t="shared" si="119"/>
        <v>0.20997217043514937</v>
      </c>
      <c r="AR19" s="1290">
        <f t="shared" ref="AR19:BC19" si="120">AR18/AR5</f>
        <v>0.23941601174894131</v>
      </c>
      <c r="AS19" s="1290">
        <f t="shared" si="120"/>
        <v>0.21691045609896495</v>
      </c>
      <c r="AT19" s="1290">
        <f t="shared" si="120"/>
        <v>0.20611585704856383</v>
      </c>
      <c r="AU19" s="1290">
        <f t="shared" si="120"/>
        <v>-0.17372849970285381</v>
      </c>
      <c r="AV19" s="1290">
        <f t="shared" si="120"/>
        <v>0.21297298433492812</v>
      </c>
      <c r="AW19" s="1290">
        <f t="shared" si="120"/>
        <v>0.28549166090851813</v>
      </c>
      <c r="AX19" s="1290">
        <f t="shared" si="120"/>
        <v>0.2002335748925205</v>
      </c>
      <c r="AY19" s="1290">
        <f t="shared" si="120"/>
        <v>0.22825847566570126</v>
      </c>
      <c r="AZ19" s="1290">
        <f t="shared" si="120"/>
        <v>0.22526365184809724</v>
      </c>
      <c r="BA19" s="1290">
        <f t="shared" si="120"/>
        <v>0.25544796735761749</v>
      </c>
      <c r="BB19" s="1290">
        <f t="shared" si="120"/>
        <v>0.22705849217762364</v>
      </c>
      <c r="BC19" s="1290">
        <f t="shared" si="120"/>
        <v>0.21414762318343661</v>
      </c>
      <c r="BD19" s="1290">
        <f t="shared" ref="BD19:BG19" si="121">BD18/BD5</f>
        <v>0.19852506333992756</v>
      </c>
      <c r="BE19" s="1290">
        <f t="shared" si="121"/>
        <v>0.18211993756551031</v>
      </c>
      <c r="BF19" s="1290">
        <f t="shared" si="121"/>
        <v>0.20856332066411151</v>
      </c>
      <c r="BG19" s="1290">
        <f t="shared" si="121"/>
        <v>0.20262504080747554</v>
      </c>
      <c r="BH19" s="1290">
        <f t="shared" ref="BH19" si="122">BH18/BH5</f>
        <v>0.2018895351375404</v>
      </c>
      <c r="BI19" s="1290">
        <f t="shared" ref="BI19:BJ19" si="123">BI18/BI5</f>
        <v>0.22364519080128931</v>
      </c>
      <c r="BJ19" s="1290">
        <f t="shared" si="123"/>
        <v>0.20520080725917975</v>
      </c>
      <c r="BK19" s="1305">
        <f t="shared" ref="BK19" si="124">BK18/BK5</f>
        <v>0.20734052659387198</v>
      </c>
      <c r="BL19" s="1560">
        <f t="shared" ref="BL19:CW19" si="125">BL18/BL5</f>
        <v>0.1925</v>
      </c>
      <c r="BM19" s="1560">
        <f t="shared" si="125"/>
        <v>0.19950000000000004</v>
      </c>
      <c r="BN19" s="1560">
        <f t="shared" si="125"/>
        <v>0.19131973526311416</v>
      </c>
      <c r="BO19" s="1560">
        <f t="shared" si="125"/>
        <v>0.19284052659387194</v>
      </c>
      <c r="BP19" s="1560">
        <f t="shared" si="125"/>
        <v>0.19250000000000009</v>
      </c>
      <c r="BQ19" s="1560">
        <f t="shared" si="125"/>
        <v>0.19950000000000009</v>
      </c>
      <c r="BR19" s="1560">
        <f t="shared" si="125"/>
        <v>0.19131973526311413</v>
      </c>
      <c r="BS19" s="1560">
        <f t="shared" si="125"/>
        <v>0.19284052659387199</v>
      </c>
      <c r="BT19" s="1560">
        <f t="shared" si="125"/>
        <v>0.1925</v>
      </c>
      <c r="BU19" s="1560">
        <f t="shared" si="125"/>
        <v>0.19950000000000009</v>
      </c>
      <c r="BV19" s="1560">
        <f t="shared" si="125"/>
        <v>0.19131973526311408</v>
      </c>
      <c r="BW19" s="1560">
        <f t="shared" si="125"/>
        <v>0.19284052659387191</v>
      </c>
      <c r="BX19" s="1560">
        <f t="shared" si="125"/>
        <v>0.19250000000000009</v>
      </c>
      <c r="BY19" s="1560">
        <f t="shared" si="125"/>
        <v>0.19950000000000009</v>
      </c>
      <c r="BZ19" s="1560">
        <f t="shared" si="125"/>
        <v>0.18531973526311415</v>
      </c>
      <c r="CA19" s="1560">
        <f t="shared" si="125"/>
        <v>0.18684052659387212</v>
      </c>
      <c r="CB19" s="1560">
        <f t="shared" si="125"/>
        <v>0.1865</v>
      </c>
      <c r="CC19" s="1560">
        <f t="shared" si="125"/>
        <v>0.19350000000000006</v>
      </c>
      <c r="CD19" s="1560">
        <f t="shared" si="125"/>
        <v>0.18531973526311402</v>
      </c>
      <c r="CE19" s="1560">
        <f t="shared" si="125"/>
        <v>0.18684052659387204</v>
      </c>
      <c r="CF19" s="1560">
        <f t="shared" si="125"/>
        <v>0.18650000000000003</v>
      </c>
      <c r="CG19" s="1560">
        <f t="shared" si="125"/>
        <v>0.19350000000000006</v>
      </c>
      <c r="CH19" s="1560">
        <f t="shared" si="125"/>
        <v>0.18531973526311407</v>
      </c>
      <c r="CI19" s="1560">
        <f t="shared" si="125"/>
        <v>0.18684052659387193</v>
      </c>
      <c r="CJ19" s="1560">
        <f t="shared" si="125"/>
        <v>0.18650000000000014</v>
      </c>
      <c r="CK19" s="1560">
        <f t="shared" si="125"/>
        <v>0.19350000000000003</v>
      </c>
      <c r="CL19" s="1560">
        <f t="shared" si="125"/>
        <v>0.18531973526311418</v>
      </c>
      <c r="CM19" s="1560">
        <f t="shared" si="125"/>
        <v>0.1868405265938721</v>
      </c>
      <c r="CN19" s="1560">
        <f t="shared" si="125"/>
        <v>0.18650000000000005</v>
      </c>
      <c r="CO19" s="1560">
        <f t="shared" si="125"/>
        <v>0.19350000000000012</v>
      </c>
      <c r="CP19" s="1560">
        <f t="shared" si="125"/>
        <v>0.18531973526311407</v>
      </c>
      <c r="CQ19" s="1560">
        <f t="shared" si="125"/>
        <v>0.18684052659387204</v>
      </c>
      <c r="CR19" s="1560">
        <f t="shared" si="125"/>
        <v>0.1865</v>
      </c>
      <c r="CS19" s="1560">
        <f t="shared" si="125"/>
        <v>0.19350000000000009</v>
      </c>
      <c r="CT19" s="1560">
        <f t="shared" si="125"/>
        <v>0.18531973526311404</v>
      </c>
      <c r="CU19" s="1560">
        <f t="shared" si="125"/>
        <v>0.18684052659387196</v>
      </c>
      <c r="CV19" s="1560">
        <f t="shared" si="125"/>
        <v>0.18650000000000008</v>
      </c>
      <c r="CW19" s="1560">
        <f t="shared" si="125"/>
        <v>0.19349999999999998</v>
      </c>
    </row>
    <row r="20" spans="1:103" s="1209" customFormat="1">
      <c r="A20" s="1207" t="s">
        <v>1554</v>
      </c>
      <c r="B20" s="1247">
        <f t="shared" ref="B20:AQ20" si="126">B11+B14+B16+B17</f>
        <v>173.76999999999998</v>
      </c>
      <c r="C20" s="1247">
        <f t="shared" si="126"/>
        <v>190.00599999999986</v>
      </c>
      <c r="D20" s="1247">
        <f t="shared" si="126"/>
        <v>237.23299999999972</v>
      </c>
      <c r="E20" s="1247">
        <f t="shared" si="126"/>
        <v>399.22699999999986</v>
      </c>
      <c r="F20" s="1247">
        <f t="shared" si="126"/>
        <v>223.70600000000013</v>
      </c>
      <c r="G20" s="1247">
        <f t="shared" si="126"/>
        <v>253.53999999999996</v>
      </c>
      <c r="H20" s="1247">
        <f t="shared" si="126"/>
        <v>237.52099999999996</v>
      </c>
      <c r="I20" s="1247">
        <f t="shared" si="126"/>
        <v>283.86399999999981</v>
      </c>
      <c r="J20" s="1247">
        <f t="shared" si="126"/>
        <v>227.35200000000009</v>
      </c>
      <c r="K20" s="1247">
        <f t="shared" si="126"/>
        <v>310.75700000000029</v>
      </c>
      <c r="L20" s="1247">
        <f t="shared" si="126"/>
        <v>284.21600000000012</v>
      </c>
      <c r="M20" s="1247">
        <f t="shared" si="126"/>
        <v>292.52199999999993</v>
      </c>
      <c r="N20" s="1247">
        <f t="shared" si="126"/>
        <v>285.25699999999983</v>
      </c>
      <c r="O20" s="1247">
        <f t="shared" si="126"/>
        <v>431.18499999999972</v>
      </c>
      <c r="P20" s="1247">
        <f t="shared" si="126"/>
        <v>412.52399999999989</v>
      </c>
      <c r="Q20" s="1247">
        <f t="shared" si="126"/>
        <v>479.09899999999993</v>
      </c>
      <c r="R20" s="1247">
        <f t="shared" si="126"/>
        <v>373.4670000000001</v>
      </c>
      <c r="S20" s="1247">
        <f t="shared" si="126"/>
        <v>505.00700000000006</v>
      </c>
      <c r="T20" s="1247">
        <f t="shared" si="126"/>
        <v>545.93199999999979</v>
      </c>
      <c r="U20" s="1247">
        <f t="shared" si="126"/>
        <v>614.31600000000026</v>
      </c>
      <c r="V20" s="1247">
        <f t="shared" si="126"/>
        <v>423.75300000000016</v>
      </c>
      <c r="W20" s="1247">
        <f t="shared" si="126"/>
        <v>618.3119999999999</v>
      </c>
      <c r="X20" s="1247">
        <f t="shared" si="126"/>
        <v>705.71200000000044</v>
      </c>
      <c r="Y20" s="1247">
        <f t="shared" si="126"/>
        <v>1045.3149999999996</v>
      </c>
      <c r="Z20" s="1247">
        <f t="shared" si="126"/>
        <v>850.23400000000129</v>
      </c>
      <c r="AA20" s="1248">
        <f t="shared" si="126"/>
        <v>997.69999999999982</v>
      </c>
      <c r="AB20" s="1248">
        <f t="shared" si="126"/>
        <v>1086.9549999999999</v>
      </c>
      <c r="AC20" s="1248">
        <f t="shared" si="126"/>
        <v>1366.8399999999992</v>
      </c>
      <c r="AD20" s="1248">
        <f>AD11+AD14+AD16+AD17</f>
        <v>1035.1620000000003</v>
      </c>
      <c r="AE20" s="1248">
        <f t="shared" si="126"/>
        <v>1223.0079999999989</v>
      </c>
      <c r="AF20" s="1248">
        <f t="shared" si="126"/>
        <v>1327.723</v>
      </c>
      <c r="AG20" s="1248">
        <f>AG11+AG14+AG16+AG17</f>
        <v>1569.3450000000003</v>
      </c>
      <c r="AH20" s="1248">
        <f t="shared" si="126"/>
        <v>1287.1059999999998</v>
      </c>
      <c r="AI20" s="1248">
        <f t="shared" si="126"/>
        <v>1406.4710000000005</v>
      </c>
      <c r="AJ20" s="1248">
        <f t="shared" si="126"/>
        <v>1414.860999999999</v>
      </c>
      <c r="AK20" s="1248">
        <f t="shared" si="126"/>
        <v>2357.8060000000005</v>
      </c>
      <c r="AL20" s="1248">
        <f>AL11+AL14+AL16+AL17</f>
        <v>1427.924</v>
      </c>
      <c r="AM20" s="1248">
        <f t="shared" si="126"/>
        <v>1578.8879999999999</v>
      </c>
      <c r="AN20" s="1248">
        <f t="shared" si="126"/>
        <v>1536.9350000000004</v>
      </c>
      <c r="AO20" s="1248">
        <f t="shared" si="126"/>
        <v>1864.5699999999988</v>
      </c>
      <c r="AP20" s="1248">
        <f t="shared" si="126"/>
        <v>1543.943</v>
      </c>
      <c r="AQ20" s="1248">
        <f t="shared" si="126"/>
        <v>1834.9660000000015</v>
      </c>
      <c r="AR20" s="1248">
        <f t="shared" ref="AR20:BE20" si="127">AR11+AR14+AR16+AR17</f>
        <v>1919.4199999999987</v>
      </c>
      <c r="AS20" s="1248">
        <f t="shared" si="127"/>
        <v>2369.8399999999992</v>
      </c>
      <c r="AT20" s="1248">
        <f t="shared" si="127"/>
        <v>1226.6309999999994</v>
      </c>
      <c r="AU20" s="1248">
        <f t="shared" si="127"/>
        <v>-1751.5030000000004</v>
      </c>
      <c r="AV20" s="1248">
        <f t="shared" si="127"/>
        <v>416.38599999999906</v>
      </c>
      <c r="AW20" s="1248">
        <f t="shared" si="127"/>
        <v>1545.2279999999998</v>
      </c>
      <c r="AX20" s="1248">
        <f t="shared" si="127"/>
        <v>690.673</v>
      </c>
      <c r="AY20" s="1248">
        <f t="shared" si="127"/>
        <v>1530.3399999999997</v>
      </c>
      <c r="AZ20" s="1248">
        <f t="shared" si="127"/>
        <v>1856.3349999999994</v>
      </c>
      <c r="BA20" s="1248">
        <f t="shared" si="127"/>
        <v>2458.9390000000003</v>
      </c>
      <c r="BB20" s="1248">
        <f t="shared" si="127"/>
        <v>1862.1709999999996</v>
      </c>
      <c r="BC20" s="1248">
        <f t="shared" si="127"/>
        <v>2221.8789999999999</v>
      </c>
      <c r="BD20" s="1248">
        <f t="shared" si="127"/>
        <v>2134.7519999999986</v>
      </c>
      <c r="BE20" s="1248">
        <f t="shared" si="127"/>
        <v>2605.7039999999997</v>
      </c>
      <c r="BF20" s="1248">
        <f t="shared" ref="BF20:BG20" si="128">BF11+BF14+BF16+BF17</f>
        <v>2304.4430000000002</v>
      </c>
      <c r="BG20" s="1248">
        <f t="shared" si="128"/>
        <v>2574.3399999999992</v>
      </c>
      <c r="BH20" s="1248">
        <f t="shared" ref="BH20" si="129">BH11+BH14+BH16+BH17</f>
        <v>2705.5589999999979</v>
      </c>
      <c r="BI20" s="1248">
        <f t="shared" ref="BI20:BJ20" si="130">BI11+BI14+BI16+BI17</f>
        <v>3210.2869999999994</v>
      </c>
      <c r="BJ20" s="1248">
        <f t="shared" si="130"/>
        <v>2589.1290000000008</v>
      </c>
      <c r="BK20" s="1306">
        <f t="shared" ref="BK20" si="131">BK11+BK14+BK16+BK17</f>
        <v>2746.6760000000017</v>
      </c>
      <c r="BL20" s="1247">
        <f t="shared" ref="BL20:CW20" si="132">BL11+BL14+BL17+BL16</f>
        <v>2711.3457648214589</v>
      </c>
      <c r="BM20" s="1247">
        <f t="shared" si="132"/>
        <v>3047.9592868923373</v>
      </c>
      <c r="BN20" s="1247">
        <f t="shared" si="132"/>
        <v>2678.9595066114543</v>
      </c>
      <c r="BO20" s="1247">
        <f t="shared" si="132"/>
        <v>2864.30120608369</v>
      </c>
      <c r="BP20" s="1247">
        <f t="shared" si="132"/>
        <v>2956.0249191474777</v>
      </c>
      <c r="BQ20" s="1247">
        <f t="shared" si="132"/>
        <v>3315.7401320103527</v>
      </c>
      <c r="BR20" s="1247">
        <f t="shared" si="132"/>
        <v>2898.322916335901</v>
      </c>
      <c r="BS20" s="1247">
        <f t="shared" si="132"/>
        <v>3077.6872253176807</v>
      </c>
      <c r="BT20" s="1247">
        <f t="shared" si="132"/>
        <v>3177.9144442392389</v>
      </c>
      <c r="BU20" s="1247">
        <f t="shared" si="132"/>
        <v>3561.8434553103216</v>
      </c>
      <c r="BV20" s="1247">
        <f t="shared" si="132"/>
        <v>3098.6172232946774</v>
      </c>
      <c r="BW20" s="1247">
        <f t="shared" si="132"/>
        <v>3288.2248258669479</v>
      </c>
      <c r="BX20" s="1247">
        <f t="shared" si="132"/>
        <v>3398.329475965229</v>
      </c>
      <c r="BY20" s="1247">
        <f t="shared" si="132"/>
        <v>3808.4702833632327</v>
      </c>
      <c r="BZ20" s="1247">
        <f t="shared" si="132"/>
        <v>3111.3408910037833</v>
      </c>
      <c r="CA20" s="1247">
        <f t="shared" si="132"/>
        <v>3303.5584888847497</v>
      </c>
      <c r="CB20" s="1247">
        <f t="shared" si="132"/>
        <v>3420.4327126491298</v>
      </c>
      <c r="CC20" s="1247">
        <f t="shared" si="132"/>
        <v>3846.0013971138651</v>
      </c>
      <c r="CD20" s="1247">
        <f t="shared" si="132"/>
        <v>3267.7571538072953</v>
      </c>
      <c r="CE20" s="1247">
        <f t="shared" si="132"/>
        <v>3467.8930075934913</v>
      </c>
      <c r="CF20" s="1247">
        <f t="shared" si="132"/>
        <v>3596.8832334016133</v>
      </c>
      <c r="CG20" s="1247">
        <f t="shared" si="132"/>
        <v>4051.1003728384767</v>
      </c>
      <c r="CH20" s="1247">
        <f t="shared" si="132"/>
        <v>3430.5864310451889</v>
      </c>
      <c r="CI20" s="1247">
        <f t="shared" si="132"/>
        <v>3637.2722558418063</v>
      </c>
      <c r="CJ20" s="1247">
        <f t="shared" si="132"/>
        <v>3777.3414861469028</v>
      </c>
      <c r="CK20" s="1247">
        <f t="shared" si="132"/>
        <v>4258.267630673794</v>
      </c>
      <c r="CL20" s="1247">
        <f t="shared" si="132"/>
        <v>3593.6816321060378</v>
      </c>
      <c r="CM20" s="1247">
        <f t="shared" si="132"/>
        <v>3808.3923739799666</v>
      </c>
      <c r="CN20" s="1247">
        <f t="shared" si="132"/>
        <v>3962.1028908645785</v>
      </c>
      <c r="CO20" s="1247">
        <f t="shared" si="132"/>
        <v>4473.8250518321747</v>
      </c>
      <c r="CP20" s="1247">
        <f t="shared" si="132"/>
        <v>3764.2893292193912</v>
      </c>
      <c r="CQ20" s="1247">
        <f t="shared" si="132"/>
        <v>3987.2809601594417</v>
      </c>
      <c r="CR20" s="1247">
        <f t="shared" si="132"/>
        <v>4155.6709460521251</v>
      </c>
      <c r="CS20" s="1247">
        <f t="shared" si="132"/>
        <v>4700.0206078905321</v>
      </c>
      <c r="CT20" s="1247">
        <f t="shared" si="132"/>
        <v>3942.8148175435399</v>
      </c>
      <c r="CU20" s="1247">
        <f t="shared" si="132"/>
        <v>4174.098064740585</v>
      </c>
      <c r="CV20" s="1247">
        <f t="shared" si="132"/>
        <v>4357.9170266805304</v>
      </c>
      <c r="CW20" s="1247">
        <f t="shared" si="132"/>
        <v>4934.3892148259401</v>
      </c>
      <c r="CY20" s="254"/>
    </row>
    <row r="21" spans="1:103" s="1209" customFormat="1">
      <c r="A21" s="1249" t="s">
        <v>1242</v>
      </c>
      <c r="B21" s="1274">
        <f t="shared" ref="B21:AG21" si="133">+B20/B5</f>
        <v>8.3378796537407207E-2</v>
      </c>
      <c r="C21" s="1274">
        <f t="shared" si="133"/>
        <v>9.1669750371853764E-2</v>
      </c>
      <c r="D21" s="1274">
        <f t="shared" si="133"/>
        <v>0.11192384575718062</v>
      </c>
      <c r="E21" s="1274">
        <f t="shared" si="133"/>
        <v>0.17277602695677685</v>
      </c>
      <c r="F21" s="1274">
        <f t="shared" si="133"/>
        <v>0.10673923021941796</v>
      </c>
      <c r="G21" s="1274">
        <f t="shared" si="133"/>
        <v>0.11701666128213412</v>
      </c>
      <c r="H21" s="1274">
        <f t="shared" si="133"/>
        <v>0.10440827719595148</v>
      </c>
      <c r="I21" s="1274">
        <f t="shared" si="133"/>
        <v>0.11614744207951148</v>
      </c>
      <c r="J21" s="1274">
        <f t="shared" si="133"/>
        <v>9.4858691624971236E-2</v>
      </c>
      <c r="K21" s="1274">
        <f t="shared" si="133"/>
        <v>0.11974538639029461</v>
      </c>
      <c r="L21" s="1274">
        <f t="shared" si="133"/>
        <v>0.10265026473753787</v>
      </c>
      <c r="M21" s="1274">
        <f t="shared" si="133"/>
        <v>9.9638535175037249E-2</v>
      </c>
      <c r="N21" s="1274">
        <f t="shared" si="133"/>
        <v>9.6303976167840574E-2</v>
      </c>
      <c r="O21" s="1274">
        <f t="shared" si="133"/>
        <v>0.12583589517902172</v>
      </c>
      <c r="P21" s="1274">
        <f t="shared" si="133"/>
        <v>0.11778148565633444</v>
      </c>
      <c r="Q21" s="1274">
        <f t="shared" si="133"/>
        <v>0.13203968529786983</v>
      </c>
      <c r="R21" s="1274">
        <f t="shared" si="133"/>
        <v>0.10988376301141659</v>
      </c>
      <c r="S21" s="1274">
        <f t="shared" si="133"/>
        <v>0.13217908997659286</v>
      </c>
      <c r="T21" s="1274">
        <f t="shared" si="133"/>
        <v>0.13373013180427598</v>
      </c>
      <c r="U21" s="1274">
        <f t="shared" si="133"/>
        <v>0.13927064707814715</v>
      </c>
      <c r="V21" s="1274">
        <f t="shared" si="133"/>
        <v>0.10614959384133814</v>
      </c>
      <c r="W21" s="1274">
        <f t="shared" si="133"/>
        <v>0.11883014825517368</v>
      </c>
      <c r="X21" s="1274">
        <f t="shared" si="133"/>
        <v>0.12377982824766567</v>
      </c>
      <c r="Y21" s="1274">
        <f t="shared" si="133"/>
        <v>0.13225902202859877</v>
      </c>
      <c r="Z21" s="1274">
        <f t="shared" si="133"/>
        <v>0.11576891477041734</v>
      </c>
      <c r="AA21" s="1274">
        <f t="shared" si="133"/>
        <v>0.12853742014562847</v>
      </c>
      <c r="AB21" s="1274">
        <f t="shared" si="133"/>
        <v>0.13216264240901496</v>
      </c>
      <c r="AC21" s="1274">
        <f t="shared" si="133"/>
        <v>0.15258612971495533</v>
      </c>
      <c r="AD21" s="1274">
        <f t="shared" si="133"/>
        <v>0.12128776907610761</v>
      </c>
      <c r="AE21" s="1274">
        <f t="shared" si="133"/>
        <v>0.13490693578162991</v>
      </c>
      <c r="AF21" s="1274">
        <f t="shared" si="133"/>
        <v>0.13827590214688965</v>
      </c>
      <c r="AG21" s="1274">
        <f t="shared" si="133"/>
        <v>0.14946776315758145</v>
      </c>
      <c r="AH21" s="1274">
        <f t="shared" ref="AH21:AQ21" si="134">+AH20/AH5</f>
        <v>0.12752158870689687</v>
      </c>
      <c r="AI21" s="1274">
        <f t="shared" si="134"/>
        <v>0.13596444376732039</v>
      </c>
      <c r="AJ21" s="1274">
        <f t="shared" si="134"/>
        <v>0.13506569801841534</v>
      </c>
      <c r="AK21" s="1274">
        <f t="shared" si="134"/>
        <v>0.20297699990117191</v>
      </c>
      <c r="AL21" s="1274">
        <f t="shared" si="134"/>
        <v>0.12887557745514047</v>
      </c>
      <c r="AM21" s="1274">
        <f t="shared" si="134"/>
        <v>0.13940990549827875</v>
      </c>
      <c r="AN21" s="1274">
        <f t="shared" si="134"/>
        <v>0.13511046120943837</v>
      </c>
      <c r="AO21" s="1274">
        <f t="shared" si="134"/>
        <v>0.15066231560214738</v>
      </c>
      <c r="AP21" s="1274">
        <f t="shared" si="134"/>
        <v>0.11277404593579181</v>
      </c>
      <c r="AQ21" s="1274">
        <f t="shared" si="134"/>
        <v>0.12585037162897372</v>
      </c>
      <c r="AR21" s="1274">
        <f t="shared" ref="AR21:BC21" si="135">+AR20/AR5</f>
        <v>0.13246060504342941</v>
      </c>
      <c r="AS21" s="1274">
        <f t="shared" si="135"/>
        <v>0.1539557241517035</v>
      </c>
      <c r="AT21" s="1274">
        <f t="shared" si="135"/>
        <v>0.10133183644235602</v>
      </c>
      <c r="AU21" s="1274">
        <f t="shared" si="135"/>
        <v>-0.33697155533990786</v>
      </c>
      <c r="AV21" s="1274">
        <f t="shared" si="135"/>
        <v>4.2078241886882431E-2</v>
      </c>
      <c r="AW21" s="1274">
        <f t="shared" si="135"/>
        <v>0.13678174288932829</v>
      </c>
      <c r="AX21" s="1274">
        <f t="shared" si="135"/>
        <v>6.7635364641038712E-2</v>
      </c>
      <c r="AY21" s="1274">
        <f t="shared" si="135"/>
        <v>0.12264926385115832</v>
      </c>
      <c r="AZ21" s="1274">
        <f t="shared" si="135"/>
        <v>0.13299171996539683</v>
      </c>
      <c r="BA21" s="1274">
        <f t="shared" si="135"/>
        <v>0.1469592720871101</v>
      </c>
      <c r="BB21" s="1274">
        <f t="shared" si="135"/>
        <v>0.12228459710826765</v>
      </c>
      <c r="BC21" s="1274">
        <f t="shared" si="135"/>
        <v>0.13116844031168545</v>
      </c>
      <c r="BD21" s="1274">
        <f t="shared" ref="BD21:BG21" si="136">+BD20/BD5</f>
        <v>0.12185926206015961</v>
      </c>
      <c r="BE21" s="1274">
        <f t="shared" si="136"/>
        <v>0.13609774411427908</v>
      </c>
      <c r="BF21" s="1274">
        <f t="shared" si="136"/>
        <v>0.13044769885869451</v>
      </c>
      <c r="BG21" s="1274">
        <f t="shared" si="136"/>
        <v>0.13585815284546182</v>
      </c>
      <c r="BH21" s="1274">
        <f t="shared" ref="BH21" si="137">+BH20/BH5</f>
        <v>0.13896058618260088</v>
      </c>
      <c r="BI21" s="1274">
        <f t="shared" ref="BI21:BJ21" si="138">+BI20/BI5</f>
        <v>0.15934560575276546</v>
      </c>
      <c r="BJ21" s="1274">
        <f t="shared" si="138"/>
        <v>0.14223773360930514</v>
      </c>
      <c r="BK21" s="1307">
        <f t="shared" ref="BK21" si="139">+BK20/BK5</f>
        <v>0.14265452119895256</v>
      </c>
      <c r="BL21" s="1274">
        <f t="shared" ref="BL21:CW21" si="140">+BL20/BL5</f>
        <v>0.13483935238300934</v>
      </c>
      <c r="BM21" s="1274">
        <f t="shared" si="140"/>
        <v>0.14525024701571554</v>
      </c>
      <c r="BN21" s="1274">
        <f t="shared" si="140"/>
        <v>0.13454271252278946</v>
      </c>
      <c r="BO21" s="1274">
        <f t="shared" si="140"/>
        <v>0.13376011815822117</v>
      </c>
      <c r="BP21" s="1274">
        <f t="shared" si="140"/>
        <v>0.13460911618006313</v>
      </c>
      <c r="BQ21" s="1274">
        <f t="shared" si="140"/>
        <v>0.14596745808669465</v>
      </c>
      <c r="BR21" s="1274">
        <f t="shared" si="140"/>
        <v>0.13507744624541757</v>
      </c>
      <c r="BS21" s="1274">
        <f t="shared" si="140"/>
        <v>0.13488307416915654</v>
      </c>
      <c r="BT21" s="1274">
        <f t="shared" si="140"/>
        <v>0.13583564645951074</v>
      </c>
      <c r="BU21" s="1274">
        <f t="shared" si="140"/>
        <v>0.1472290046487206</v>
      </c>
      <c r="BV21" s="1274">
        <f t="shared" si="140"/>
        <v>0.13625867243350021</v>
      </c>
      <c r="BW21" s="1274">
        <f t="shared" si="140"/>
        <v>0.13619583452761211</v>
      </c>
      <c r="BX21" s="1274">
        <f t="shared" si="140"/>
        <v>0.13722867814709705</v>
      </c>
      <c r="BY21" s="1274">
        <f t="shared" si="140"/>
        <v>0.14856771595935173</v>
      </c>
      <c r="BZ21" s="1274">
        <f t="shared" si="140"/>
        <v>0.12995426289757808</v>
      </c>
      <c r="CA21" s="1274">
        <f t="shared" si="140"/>
        <v>0.13010390714827347</v>
      </c>
      <c r="CB21" s="1274">
        <f t="shared" si="140"/>
        <v>0.13123750603697787</v>
      </c>
      <c r="CC21" s="1274">
        <f t="shared" si="140"/>
        <v>0.14237324028478471</v>
      </c>
      <c r="CD21" s="1274">
        <f t="shared" si="140"/>
        <v>0.12966788453070649</v>
      </c>
      <c r="CE21" s="1274">
        <f t="shared" si="140"/>
        <v>0.12988854811718431</v>
      </c>
      <c r="CF21" s="1274">
        <f t="shared" si="140"/>
        <v>0.13115939022400655</v>
      </c>
      <c r="CG21" s="1274">
        <f t="shared" si="140"/>
        <v>0.14234859779535716</v>
      </c>
      <c r="CH21" s="1274">
        <f t="shared" si="140"/>
        <v>0.12939234772996738</v>
      </c>
      <c r="CI21" s="1274">
        <f t="shared" si="140"/>
        <v>0.12968181072280091</v>
      </c>
      <c r="CJ21" s="1274">
        <f t="shared" si="140"/>
        <v>0.13108606306272944</v>
      </c>
      <c r="CK21" s="1274">
        <f t="shared" si="140"/>
        <v>0.14232576801833738</v>
      </c>
      <c r="CL21" s="1274">
        <f t="shared" si="140"/>
        <v>0.12910874109779602</v>
      </c>
      <c r="CM21" s="1274">
        <f t="shared" si="140"/>
        <v>0.12945735871467318</v>
      </c>
      <c r="CN21" s="1274">
        <f t="shared" si="140"/>
        <v>0.13099741374915511</v>
      </c>
      <c r="CO21" s="1274">
        <f t="shared" si="140"/>
        <v>0.14230162517915354</v>
      </c>
      <c r="CP21" s="1274">
        <f t="shared" si="140"/>
        <v>0.12883272318538092</v>
      </c>
      <c r="CQ21" s="1274">
        <f t="shared" si="140"/>
        <v>0.12923799205628453</v>
      </c>
      <c r="CR21" s="1274">
        <f t="shared" si="140"/>
        <v>0.1309121316459223</v>
      </c>
      <c r="CS21" s="1274">
        <f t="shared" si="140"/>
        <v>0.14228248851912015</v>
      </c>
      <c r="CT21" s="1274">
        <f t="shared" si="140"/>
        <v>0.12856154115547497</v>
      </c>
      <c r="CU21" s="1274">
        <f t="shared" si="140"/>
        <v>0.12901686584008462</v>
      </c>
      <c r="CV21" s="1274">
        <f t="shared" si="140"/>
        <v>0.13082218627689149</v>
      </c>
      <c r="CW21" s="1274">
        <f t="shared" si="140"/>
        <v>0.14227180323176611</v>
      </c>
    </row>
    <row r="22" spans="1:103" s="1209" customFormat="1">
      <c r="A22" s="1249" t="s">
        <v>1218</v>
      </c>
      <c r="B22" s="1208">
        <f>IS!C34</f>
        <v>0</v>
      </c>
      <c r="C22" s="1208">
        <f>IS!D34</f>
        <v>0</v>
      </c>
      <c r="D22" s="1208">
        <f>IS!E34</f>
        <v>0</v>
      </c>
      <c r="E22" s="1208">
        <f>IS!F34</f>
        <v>0</v>
      </c>
      <c r="F22" s="1208">
        <f>IS!G34</f>
        <v>0</v>
      </c>
      <c r="G22" s="1208">
        <f>IS!H34</f>
        <v>0</v>
      </c>
      <c r="H22" s="1208">
        <f>IS!I34</f>
        <v>0</v>
      </c>
      <c r="I22" s="1208">
        <f>IS!J34</f>
        <v>0</v>
      </c>
      <c r="J22" s="1208">
        <f>IS!K34</f>
        <v>0</v>
      </c>
      <c r="K22" s="1208">
        <f>IS!L34</f>
        <v>0</v>
      </c>
      <c r="L22" s="1208">
        <f>IS!M34</f>
        <v>0</v>
      </c>
      <c r="M22" s="1208">
        <f>IS!N34</f>
        <v>0</v>
      </c>
      <c r="N22" s="1208">
        <f>IS!O34</f>
        <v>0</v>
      </c>
      <c r="O22" s="1208">
        <f>IS!P34</f>
        <v>0</v>
      </c>
      <c r="P22" s="1208">
        <f>IS!Q34</f>
        <v>0</v>
      </c>
      <c r="Q22" s="1208">
        <f>IS!R34</f>
        <v>0</v>
      </c>
      <c r="R22" s="1208">
        <f>IS!S34</f>
        <v>0</v>
      </c>
      <c r="S22" s="1208">
        <f>IS!T34</f>
        <v>0</v>
      </c>
      <c r="T22" s="1208">
        <f>IS!U34</f>
        <v>0</v>
      </c>
      <c r="U22" s="1208">
        <f>IS!V34</f>
        <v>297.68399999999974</v>
      </c>
      <c r="V22" s="1208">
        <f>IS!W34</f>
        <v>337.24699999999984</v>
      </c>
      <c r="W22" s="1208">
        <f>IS!X34</f>
        <v>462.6880000000001</v>
      </c>
      <c r="X22" s="1208">
        <f>IS!Y34</f>
        <v>525.28799999999956</v>
      </c>
      <c r="Y22" s="1208">
        <f>IS!Z34</f>
        <v>869.6850000000004</v>
      </c>
      <c r="Z22" s="1208">
        <f>IS!AA34</f>
        <v>566.76599999999871</v>
      </c>
      <c r="AA22" s="1208">
        <f>IS!AB34</f>
        <v>593.30000000000018</v>
      </c>
      <c r="AB22" s="1208">
        <f>IS!AC34</f>
        <v>624.04500000000007</v>
      </c>
      <c r="AC22" s="1208">
        <f>IS!AD34</f>
        <v>692.16000000000076</v>
      </c>
      <c r="AD22" s="1208">
        <f>IS!AE34</f>
        <v>672.83799999999974</v>
      </c>
      <c r="AE22" s="1208">
        <f>IS!AF34</f>
        <v>656.9920000000011</v>
      </c>
      <c r="AF22" s="1208">
        <f>IS!AG34</f>
        <v>702.27700000000004</v>
      </c>
      <c r="AG22" s="1208">
        <f>IS!AH34</f>
        <v>754.65499999999975</v>
      </c>
      <c r="AH22" s="1208">
        <f>IS!AI34</f>
        <v>726.89400000000023</v>
      </c>
      <c r="AI22" s="1208">
        <f>IS!AJ34</f>
        <v>765.52899999999954</v>
      </c>
      <c r="AJ22" s="1208">
        <f>IS!AK34</f>
        <v>674.13900000000103</v>
      </c>
      <c r="AK22" s="1208">
        <f>IS!AL34</f>
        <v>263.19399999999951</v>
      </c>
      <c r="AL22" s="1208">
        <f>IS!AM34</f>
        <v>768.07600000000002</v>
      </c>
      <c r="AM22" s="1208">
        <f>IS!AN34</f>
        <v>751.11200000000008</v>
      </c>
      <c r="AN22" s="1208">
        <f>IS!AO34</f>
        <v>683.0649999999996</v>
      </c>
      <c r="AO22" s="1208">
        <f>IS!AP34</f>
        <v>614.4300000000012</v>
      </c>
      <c r="AP22" s="1208">
        <f>IS!AQ34</f>
        <v>886.05700000000002</v>
      </c>
      <c r="AQ22" s="1208">
        <f>IS!AR34</f>
        <v>1017.0339999999985</v>
      </c>
      <c r="AR22" s="1208">
        <f>IS!AS34</f>
        <v>795.58000000000129</v>
      </c>
      <c r="AS22" s="1208">
        <f>IS!AT34</f>
        <v>847.16000000000076</v>
      </c>
      <c r="AT22" s="1208">
        <f>IS!AU34</f>
        <v>520.3690000000006</v>
      </c>
      <c r="AU22" s="1208">
        <f>IS!AV34</f>
        <v>713.50300000000038</v>
      </c>
      <c r="AV22" s="1208">
        <f>IS!AW34</f>
        <v>719.61400000000094</v>
      </c>
      <c r="AW22" s="1208">
        <f>IS!AX34</f>
        <v>960.77200000000016</v>
      </c>
      <c r="AX22" s="1208">
        <f>IS!AY34</f>
        <v>797.327</v>
      </c>
      <c r="AY22" s="1208">
        <f>IS!AZ34</f>
        <v>916.66000000000031</v>
      </c>
      <c r="AZ22" s="1208">
        <f>IS!BA34</f>
        <v>838.66500000000065</v>
      </c>
      <c r="BA22" s="1208">
        <f>IS!BB34</f>
        <v>1542.0609999999997</v>
      </c>
      <c r="BB22" s="1208">
        <f>IS!BC34</f>
        <v>946.82900000000041</v>
      </c>
      <c r="BC22" s="1208">
        <f>IS!BD34</f>
        <v>1041.1210000000001</v>
      </c>
      <c r="BD22" s="1208">
        <f>IS!BE34</f>
        <v>946.24800000000141</v>
      </c>
      <c r="BE22" s="1208">
        <f>IS!BF34</f>
        <v>1000.2960000000003</v>
      </c>
      <c r="BF22" s="1208">
        <f>IS!BG34</f>
        <v>897.55699999999979</v>
      </c>
      <c r="BG22" s="1208">
        <f>IS!BH34</f>
        <v>1174.6600000000008</v>
      </c>
      <c r="BH22" s="1208">
        <f>IS!BI34</f>
        <v>1047.4410000000021</v>
      </c>
      <c r="BI22" s="1208">
        <f>IS!BJ34</f>
        <v>842.71300000000065</v>
      </c>
      <c r="BJ22" s="1208">
        <f>IS!BK34</f>
        <v>992.87099999999919</v>
      </c>
      <c r="BK22" s="1303">
        <f>IS!BL34</f>
        <v>1047.3239999999983</v>
      </c>
      <c r="BL22" s="1208">
        <f>-Q_IS!BL293</f>
        <v>1045.6144833018461</v>
      </c>
      <c r="BM22" s="1208">
        <f>-Q_IS!BM293</f>
        <v>1070.1938676544248</v>
      </c>
      <c r="BN22" s="1208">
        <f>-Q_IS!BN293</f>
        <v>1105.9868749944385</v>
      </c>
      <c r="BO22" s="1208">
        <f>-Q_IS!BO293</f>
        <v>1186.2132967788948</v>
      </c>
      <c r="BP22" s="1208">
        <f>-Q_IS!BP293</f>
        <v>1119.963306755965</v>
      </c>
      <c r="BQ22" s="1208">
        <f>-Q_IS!BQ293</f>
        <v>1135.7805963987639</v>
      </c>
      <c r="BR22" s="1208">
        <f>-Q_IS!BR293</f>
        <v>1170.3557410447452</v>
      </c>
      <c r="BS22" s="1208">
        <f>-Q_IS!BS293</f>
        <v>1241.1554819132282</v>
      </c>
      <c r="BT22" s="1208">
        <f>-Q_IS!BT293</f>
        <v>1169.7645379066596</v>
      </c>
      <c r="BU22" s="1208">
        <f>-Q_IS!BU293</f>
        <v>1185.4344171287746</v>
      </c>
      <c r="BV22" s="1208">
        <f>-Q_IS!BV293</f>
        <v>1217.6478215436111</v>
      </c>
      <c r="BW22" s="1208">
        <f>-Q_IS!BW293</f>
        <v>1289.1351655245935</v>
      </c>
      <c r="BX22" s="1208">
        <f>-Q_IS!BX293</f>
        <v>1213.4354609450033</v>
      </c>
      <c r="BY22" s="1208">
        <f>-Q_IS!BY293</f>
        <v>1230.4596084081365</v>
      </c>
      <c r="BZ22" s="1208">
        <f>-Q_IS!BZ293</f>
        <v>1305.9033230198982</v>
      </c>
      <c r="CA22" s="1208">
        <f>-Q_IS!CA293</f>
        <v>1381.181729298075</v>
      </c>
      <c r="CB22" s="1208">
        <f>-Q_IS!CB293</f>
        <v>1303.1460349777522</v>
      </c>
      <c r="CC22" s="1208">
        <f>-Q_IS!CC293</f>
        <v>1323.6621438243637</v>
      </c>
      <c r="CD22" s="1208">
        <f>-Q_IS!CD293</f>
        <v>1374.5840775922691</v>
      </c>
      <c r="CE22" s="1208">
        <f>-Q_IS!CE293</f>
        <v>1452.2921542877632</v>
      </c>
      <c r="CF22" s="1208">
        <f>-Q_IS!CF293</f>
        <v>1371.1878452844712</v>
      </c>
      <c r="CG22" s="1208">
        <f>-Q_IS!CG293</f>
        <v>1394.4915604610176</v>
      </c>
      <c r="CH22" s="1208">
        <f>-Q_IS!CH293</f>
        <v>1446.1513026442931</v>
      </c>
      <c r="CI22" s="1208">
        <f>-Q_IS!CI293</f>
        <v>1525.6534924762109</v>
      </c>
      <c r="CJ22" s="1208">
        <f>-Q_IS!CJ293</f>
        <v>1440.7868380101199</v>
      </c>
      <c r="CK22" s="1208">
        <f>-Q_IS!CK293</f>
        <v>1466.0389106499154</v>
      </c>
      <c r="CL22" s="1208">
        <f>-Q_IS!CL293</f>
        <v>1518.2312065636029</v>
      </c>
      <c r="CM22" s="1208">
        <f>-Q_IS!CM293</f>
        <v>1600.1994188012766</v>
      </c>
      <c r="CN22" s="1208">
        <f>-Q_IS!CN293</f>
        <v>1512.2828678326227</v>
      </c>
      <c r="CO22" s="1208">
        <f>-Q_IS!CO293</f>
        <v>1540.5124661351429</v>
      </c>
      <c r="CP22" s="1208">
        <f>-Q_IS!CP293</f>
        <v>1593.7154041177052</v>
      </c>
      <c r="CQ22" s="1208">
        <f>-Q_IS!CQ293</f>
        <v>1678.208052100932</v>
      </c>
      <c r="CR22" s="1208">
        <f>-Q_IS!CR293</f>
        <v>1587.1985635723806</v>
      </c>
      <c r="CS22" s="1208">
        <f>-Q_IS!CS293</f>
        <v>1618.6180898550131</v>
      </c>
      <c r="CT22" s="1208">
        <f>-Q_IS!CT293</f>
        <v>1672.8202246465783</v>
      </c>
      <c r="CU22" s="1208">
        <f>-Q_IS!CU293</f>
        <v>1759.848668612429</v>
      </c>
      <c r="CV22" s="1208">
        <f>-Q_IS!CV293</f>
        <v>1665.5879062656804</v>
      </c>
      <c r="CW22" s="1208">
        <f>-Q_IS!CW293</f>
        <v>1699.4588248283753</v>
      </c>
    </row>
    <row r="23" spans="1:103" s="1209" customFormat="1">
      <c r="A23" s="1207" t="s">
        <v>1553</v>
      </c>
      <c r="B23" s="1247">
        <f t="shared" ref="B23:AG23" si="141">+B22+B20</f>
        <v>173.76999999999998</v>
      </c>
      <c r="C23" s="1247">
        <f t="shared" si="141"/>
        <v>190.00599999999986</v>
      </c>
      <c r="D23" s="1247">
        <f t="shared" si="141"/>
        <v>237.23299999999972</v>
      </c>
      <c r="E23" s="1247">
        <f t="shared" si="141"/>
        <v>399.22699999999986</v>
      </c>
      <c r="F23" s="1247">
        <f t="shared" si="141"/>
        <v>223.70600000000013</v>
      </c>
      <c r="G23" s="1247">
        <f t="shared" si="141"/>
        <v>253.53999999999996</v>
      </c>
      <c r="H23" s="1247">
        <f t="shared" si="141"/>
        <v>237.52099999999996</v>
      </c>
      <c r="I23" s="1247">
        <f t="shared" si="141"/>
        <v>283.86399999999981</v>
      </c>
      <c r="J23" s="1247">
        <f t="shared" si="141"/>
        <v>227.35200000000009</v>
      </c>
      <c r="K23" s="1247">
        <f t="shared" si="141"/>
        <v>310.75700000000029</v>
      </c>
      <c r="L23" s="1247">
        <f t="shared" si="141"/>
        <v>284.21600000000012</v>
      </c>
      <c r="M23" s="1247">
        <f t="shared" si="141"/>
        <v>292.52199999999993</v>
      </c>
      <c r="N23" s="1247">
        <f t="shared" si="141"/>
        <v>285.25699999999983</v>
      </c>
      <c r="O23" s="1247">
        <f t="shared" si="141"/>
        <v>431.18499999999972</v>
      </c>
      <c r="P23" s="1247">
        <f t="shared" si="141"/>
        <v>412.52399999999989</v>
      </c>
      <c r="Q23" s="1247">
        <f t="shared" si="141"/>
        <v>479.09899999999993</v>
      </c>
      <c r="R23" s="1247">
        <f t="shared" si="141"/>
        <v>373.4670000000001</v>
      </c>
      <c r="S23" s="1247">
        <f t="shared" si="141"/>
        <v>505.00700000000006</v>
      </c>
      <c r="T23" s="1247">
        <f t="shared" si="141"/>
        <v>545.93199999999979</v>
      </c>
      <c r="U23" s="1247">
        <f t="shared" si="141"/>
        <v>912</v>
      </c>
      <c r="V23" s="1247">
        <f t="shared" si="141"/>
        <v>761</v>
      </c>
      <c r="W23" s="1247">
        <f t="shared" si="141"/>
        <v>1081</v>
      </c>
      <c r="X23" s="1247">
        <f t="shared" si="141"/>
        <v>1231</v>
      </c>
      <c r="Y23" s="1247">
        <f t="shared" si="141"/>
        <v>1915</v>
      </c>
      <c r="Z23" s="1247">
        <f t="shared" si="141"/>
        <v>1417</v>
      </c>
      <c r="AA23" s="1248">
        <f t="shared" si="141"/>
        <v>1591</v>
      </c>
      <c r="AB23" s="1248">
        <f t="shared" si="141"/>
        <v>1711</v>
      </c>
      <c r="AC23" s="1248">
        <f t="shared" si="141"/>
        <v>2059</v>
      </c>
      <c r="AD23" s="1248">
        <f>+AD22+AD20</f>
        <v>1708</v>
      </c>
      <c r="AE23" s="1248">
        <f t="shared" si="141"/>
        <v>1880</v>
      </c>
      <c r="AF23" s="1248">
        <f t="shared" si="141"/>
        <v>2030</v>
      </c>
      <c r="AG23" s="1248">
        <f t="shared" si="141"/>
        <v>2324</v>
      </c>
      <c r="AH23" s="1248">
        <f t="shared" ref="AH23:AQ23" si="142">+AH22+AH20</f>
        <v>2014</v>
      </c>
      <c r="AI23" s="1248">
        <f t="shared" si="142"/>
        <v>2172</v>
      </c>
      <c r="AJ23" s="1248">
        <f t="shared" si="142"/>
        <v>2089</v>
      </c>
      <c r="AK23" s="1248">
        <f t="shared" si="142"/>
        <v>2621</v>
      </c>
      <c r="AL23" s="1248">
        <f t="shared" si="142"/>
        <v>2196</v>
      </c>
      <c r="AM23" s="1248">
        <f t="shared" si="142"/>
        <v>2330</v>
      </c>
      <c r="AN23" s="1248">
        <f t="shared" si="142"/>
        <v>2220</v>
      </c>
      <c r="AO23" s="1248">
        <f t="shared" si="142"/>
        <v>2479</v>
      </c>
      <c r="AP23" s="1248">
        <f t="shared" si="142"/>
        <v>2430</v>
      </c>
      <c r="AQ23" s="1248">
        <f t="shared" si="142"/>
        <v>2852</v>
      </c>
      <c r="AR23" s="1248">
        <f t="shared" ref="AR23:BC23" si="143">+AR22+AR20</f>
        <v>2715</v>
      </c>
      <c r="AS23" s="1248">
        <f t="shared" si="143"/>
        <v>3217</v>
      </c>
      <c r="AT23" s="1248">
        <f t="shared" si="143"/>
        <v>1747</v>
      </c>
      <c r="AU23" s="1248">
        <f t="shared" si="143"/>
        <v>-1038</v>
      </c>
      <c r="AV23" s="1248">
        <f t="shared" si="143"/>
        <v>1136</v>
      </c>
      <c r="AW23" s="1248">
        <f t="shared" si="143"/>
        <v>2506</v>
      </c>
      <c r="AX23" s="1248">
        <f t="shared" si="143"/>
        <v>1488</v>
      </c>
      <c r="AY23" s="1248">
        <f t="shared" si="143"/>
        <v>2447</v>
      </c>
      <c r="AZ23" s="1248">
        <f t="shared" si="143"/>
        <v>2695</v>
      </c>
      <c r="BA23" s="1248">
        <f t="shared" si="143"/>
        <v>4001</v>
      </c>
      <c r="BB23" s="1248">
        <f t="shared" si="143"/>
        <v>2809</v>
      </c>
      <c r="BC23" s="1248">
        <f t="shared" si="143"/>
        <v>3263</v>
      </c>
      <c r="BD23" s="1248">
        <f t="shared" ref="BD23:BG23" si="144">+BD22+BD20</f>
        <v>3081</v>
      </c>
      <c r="BE23" s="1248">
        <f t="shared" si="144"/>
        <v>3606</v>
      </c>
      <c r="BF23" s="1248">
        <f t="shared" si="144"/>
        <v>3202</v>
      </c>
      <c r="BG23" s="1248">
        <f t="shared" si="144"/>
        <v>3749</v>
      </c>
      <c r="BH23" s="1248">
        <f t="shared" ref="BH23" si="145">+BH22+BH20</f>
        <v>3753</v>
      </c>
      <c r="BI23" s="1248">
        <f t="shared" ref="BI23:BJ23" si="146">+BI22+BI20</f>
        <v>4053</v>
      </c>
      <c r="BJ23" s="1248">
        <f t="shared" si="146"/>
        <v>3582</v>
      </c>
      <c r="BK23" s="1306">
        <f t="shared" ref="BK23" si="147">+BK22+BK20</f>
        <v>3794</v>
      </c>
      <c r="BL23" s="1792">
        <f t="shared" ref="BL23:CW23" si="148">+BL22+BL20</f>
        <v>3756.9602481233051</v>
      </c>
      <c r="BM23" s="1792">
        <f t="shared" si="148"/>
        <v>4118.1531545467624</v>
      </c>
      <c r="BN23" s="1792">
        <f t="shared" si="148"/>
        <v>3784.9463816058928</v>
      </c>
      <c r="BO23" s="1792">
        <f t="shared" si="148"/>
        <v>4050.5145028625848</v>
      </c>
      <c r="BP23" s="1792">
        <f t="shared" si="148"/>
        <v>4075.988225903443</v>
      </c>
      <c r="BQ23" s="1792">
        <f t="shared" si="148"/>
        <v>4451.5207284091166</v>
      </c>
      <c r="BR23" s="1792">
        <f t="shared" si="148"/>
        <v>4068.6786573806462</v>
      </c>
      <c r="BS23" s="1792">
        <f t="shared" si="148"/>
        <v>4318.8427072309087</v>
      </c>
      <c r="BT23" s="1792">
        <f t="shared" si="148"/>
        <v>4347.6789821458988</v>
      </c>
      <c r="BU23" s="1792">
        <f t="shared" si="148"/>
        <v>4747.2778724390964</v>
      </c>
      <c r="BV23" s="1792">
        <f t="shared" si="148"/>
        <v>4316.2650448382883</v>
      </c>
      <c r="BW23" s="1792">
        <f t="shared" si="148"/>
        <v>4577.3599913915414</v>
      </c>
      <c r="BX23" s="1792">
        <f t="shared" si="148"/>
        <v>4611.7649369102328</v>
      </c>
      <c r="BY23" s="1792">
        <f t="shared" si="148"/>
        <v>5038.9298917713695</v>
      </c>
      <c r="BZ23" s="1792">
        <f t="shared" si="148"/>
        <v>4417.2442140236817</v>
      </c>
      <c r="CA23" s="1792">
        <f t="shared" si="148"/>
        <v>4684.7402181828247</v>
      </c>
      <c r="CB23" s="1792">
        <f t="shared" si="148"/>
        <v>4723.5787476268815</v>
      </c>
      <c r="CC23" s="1792">
        <f t="shared" si="148"/>
        <v>5169.6635409382288</v>
      </c>
      <c r="CD23" s="1792">
        <f t="shared" si="148"/>
        <v>4642.3412313995641</v>
      </c>
      <c r="CE23" s="1792">
        <f t="shared" si="148"/>
        <v>4920.1851618812543</v>
      </c>
      <c r="CF23" s="1792">
        <f t="shared" si="148"/>
        <v>4968.0710786860845</v>
      </c>
      <c r="CG23" s="1792">
        <f t="shared" si="148"/>
        <v>5445.5919332994945</v>
      </c>
      <c r="CH23" s="1792">
        <f t="shared" si="148"/>
        <v>4876.7377336894824</v>
      </c>
      <c r="CI23" s="1792">
        <f t="shared" si="148"/>
        <v>5162.9257483180172</v>
      </c>
      <c r="CJ23" s="1792">
        <f t="shared" si="148"/>
        <v>5218.1283241570227</v>
      </c>
      <c r="CK23" s="1792">
        <f t="shared" si="148"/>
        <v>5724.3065413237091</v>
      </c>
      <c r="CL23" s="1792">
        <f t="shared" si="148"/>
        <v>5111.9128386696411</v>
      </c>
      <c r="CM23" s="1792">
        <f t="shared" si="148"/>
        <v>5408.5917927812434</v>
      </c>
      <c r="CN23" s="1792">
        <f t="shared" si="148"/>
        <v>5474.3857586972008</v>
      </c>
      <c r="CO23" s="1792">
        <f t="shared" si="148"/>
        <v>6014.3375179673176</v>
      </c>
      <c r="CP23" s="1792">
        <f t="shared" si="148"/>
        <v>5358.0047333370967</v>
      </c>
      <c r="CQ23" s="1792">
        <f t="shared" si="148"/>
        <v>5665.4890122603738</v>
      </c>
      <c r="CR23" s="1792">
        <f t="shared" si="148"/>
        <v>5742.8695096245056</v>
      </c>
      <c r="CS23" s="1792">
        <f t="shared" si="148"/>
        <v>6318.638697745545</v>
      </c>
      <c r="CT23" s="1792">
        <f t="shared" si="148"/>
        <v>5615.6350421901179</v>
      </c>
      <c r="CU23" s="1792">
        <f t="shared" si="148"/>
        <v>5933.9467333530138</v>
      </c>
      <c r="CV23" s="1792">
        <f t="shared" si="148"/>
        <v>6023.5049329462108</v>
      </c>
      <c r="CW23" s="1792">
        <f t="shared" si="148"/>
        <v>6633.8480396543155</v>
      </c>
    </row>
    <row r="24" spans="1:103" s="1209" customFormat="1">
      <c r="A24" s="1793" t="s">
        <v>535</v>
      </c>
      <c r="B24" s="1794"/>
      <c r="C24" s="1218"/>
      <c r="D24" s="1218"/>
      <c r="E24" s="1218"/>
      <c r="F24" s="1218">
        <f t="shared" ref="F24:AK24" si="149">F23/B23-1</f>
        <v>0.28736836047649272</v>
      </c>
      <c r="G24" s="1218">
        <f t="shared" si="149"/>
        <v>0.33437891435007394</v>
      </c>
      <c r="H24" s="1218">
        <f t="shared" si="149"/>
        <v>1.2139963664423714E-3</v>
      </c>
      <c r="I24" s="1218">
        <f t="shared" si="149"/>
        <v>-0.28896592665325771</v>
      </c>
      <c r="J24" s="1218">
        <f t="shared" si="149"/>
        <v>1.6298177071692121E-2</v>
      </c>
      <c r="K24" s="1218">
        <f t="shared" si="149"/>
        <v>0.22567247771554921</v>
      </c>
      <c r="L24" s="1218">
        <f t="shared" si="149"/>
        <v>0.19659314334311562</v>
      </c>
      <c r="M24" s="1218">
        <f t="shared" si="149"/>
        <v>3.050052137643422E-2</v>
      </c>
      <c r="N24" s="1218">
        <f t="shared" si="149"/>
        <v>0.25469316302473577</v>
      </c>
      <c r="O24" s="1218">
        <f t="shared" si="149"/>
        <v>0.38753109342669445</v>
      </c>
      <c r="P24" s="1218">
        <f t="shared" si="149"/>
        <v>0.45144537957046649</v>
      </c>
      <c r="Q24" s="1218">
        <f t="shared" si="149"/>
        <v>0.63782211252486998</v>
      </c>
      <c r="R24" s="1218">
        <f t="shared" si="149"/>
        <v>0.30922992249094783</v>
      </c>
      <c r="S24" s="1218">
        <f t="shared" si="149"/>
        <v>0.17120725442675511</v>
      </c>
      <c r="T24" s="1218">
        <f t="shared" si="149"/>
        <v>0.32339451765230609</v>
      </c>
      <c r="U24" s="1218">
        <f t="shared" si="149"/>
        <v>0.90357316546267086</v>
      </c>
      <c r="V24" s="1218">
        <f t="shared" si="149"/>
        <v>1.0376633009074423</v>
      </c>
      <c r="W24" s="1218">
        <f t="shared" si="149"/>
        <v>1.1405643882164007</v>
      </c>
      <c r="X24" s="1218">
        <f t="shared" si="149"/>
        <v>1.2548595795813409</v>
      </c>
      <c r="Y24" s="1218">
        <f t="shared" si="149"/>
        <v>1.0997807017543861</v>
      </c>
      <c r="Z24" s="1218">
        <f t="shared" si="149"/>
        <v>0.86202365308804207</v>
      </c>
      <c r="AA24" s="1219">
        <f t="shared" si="149"/>
        <v>0.47178538390379288</v>
      </c>
      <c r="AB24" s="1219">
        <f t="shared" si="149"/>
        <v>0.38992688870836711</v>
      </c>
      <c r="AC24" s="1219">
        <f t="shared" si="149"/>
        <v>7.5195822454308114E-2</v>
      </c>
      <c r="AD24" s="1219">
        <f>AD23/Z23-1</f>
        <v>0.20536344389555405</v>
      </c>
      <c r="AE24" s="1219">
        <f t="shared" si="149"/>
        <v>0.18164676304211191</v>
      </c>
      <c r="AF24" s="1219">
        <f t="shared" si="149"/>
        <v>0.18644067796610164</v>
      </c>
      <c r="AG24" s="1219">
        <f t="shared" si="149"/>
        <v>0.12870325400679938</v>
      </c>
      <c r="AH24" s="1219">
        <f t="shared" si="149"/>
        <v>0.17915690866510547</v>
      </c>
      <c r="AI24" s="1219">
        <f t="shared" si="149"/>
        <v>0.15531914893617027</v>
      </c>
      <c r="AJ24" s="1219">
        <f t="shared" si="149"/>
        <v>2.9064039408867037E-2</v>
      </c>
      <c r="AK24" s="1219">
        <f t="shared" si="149"/>
        <v>0.12779690189328741</v>
      </c>
      <c r="AL24" s="1219">
        <f t="shared" ref="AL24:AZ24" si="150">AL23/AH23-1</f>
        <v>9.0367428003972128E-2</v>
      </c>
      <c r="AM24" s="1219">
        <f t="shared" si="150"/>
        <v>7.274401473296499E-2</v>
      </c>
      <c r="AN24" s="1219">
        <f t="shared" si="150"/>
        <v>6.2709430349449535E-2</v>
      </c>
      <c r="AO24" s="1219">
        <f t="shared" si="150"/>
        <v>-5.4177794734834084E-2</v>
      </c>
      <c r="AP24" s="1218">
        <f t="shared" si="150"/>
        <v>0.10655737704918034</v>
      </c>
      <c r="AQ24" s="1218">
        <f t="shared" si="150"/>
        <v>0.22403433476394841</v>
      </c>
      <c r="AR24" s="1218">
        <f t="shared" si="150"/>
        <v>0.22297297297297303</v>
      </c>
      <c r="AS24" s="1218">
        <f t="shared" si="150"/>
        <v>0.29770068576038722</v>
      </c>
      <c r="AT24" s="1218">
        <f t="shared" si="150"/>
        <v>-0.28106995884773667</v>
      </c>
      <c r="AU24" s="1218">
        <f t="shared" si="150"/>
        <v>-1.3639551192145862</v>
      </c>
      <c r="AV24" s="1218">
        <f t="shared" si="150"/>
        <v>-0.5815837937384899</v>
      </c>
      <c r="AW24" s="1218">
        <f t="shared" si="150"/>
        <v>-0.22101336649051917</v>
      </c>
      <c r="AX24" s="1218">
        <f t="shared" si="150"/>
        <v>-0.14825414997137953</v>
      </c>
      <c r="AY24" s="1218">
        <f t="shared" si="150"/>
        <v>-3.3574181117533719</v>
      </c>
      <c r="AZ24" s="1218">
        <f t="shared" si="150"/>
        <v>1.3723591549295775</v>
      </c>
      <c r="BA24" s="1218">
        <f t="shared" ref="BA24:BI24" si="151">BA23/AW23-1</f>
        <v>0.59656823623304067</v>
      </c>
      <c r="BB24" s="1218">
        <f t="shared" si="151"/>
        <v>0.88776881720430101</v>
      </c>
      <c r="BC24" s="1218">
        <f t="shared" si="151"/>
        <v>0.33346955455659999</v>
      </c>
      <c r="BD24" s="1218">
        <f t="shared" si="151"/>
        <v>0.14322820037105743</v>
      </c>
      <c r="BE24" s="1218">
        <f t="shared" si="151"/>
        <v>-9.8725318670332407E-2</v>
      </c>
      <c r="BF24" s="1218">
        <f t="shared" si="151"/>
        <v>0.1399074403702385</v>
      </c>
      <c r="BG24" s="1218">
        <f t="shared" si="151"/>
        <v>0.14894269077536015</v>
      </c>
      <c r="BH24" s="1218">
        <f t="shared" si="151"/>
        <v>0.2181110029211295</v>
      </c>
      <c r="BI24" s="1218">
        <f t="shared" si="151"/>
        <v>0.12396006655574032</v>
      </c>
      <c r="BJ24" s="1218">
        <f t="shared" ref="BJ24" si="152">BJ23/BF23-1</f>
        <v>0.11867582760774509</v>
      </c>
      <c r="BK24" s="1795">
        <f t="shared" ref="BK24" si="153">BK23/BG23-1</f>
        <v>1.200320085356088E-2</v>
      </c>
      <c r="BL24" s="1219">
        <f t="shared" ref="BL24" si="154">BL23/BH23-1</f>
        <v>1.0552219886237335E-3</v>
      </c>
      <c r="BM24" s="1219">
        <f t="shared" ref="BM24" si="155">BM23/BI23-1</f>
        <v>1.6075291030535954E-2</v>
      </c>
      <c r="BN24" s="1219">
        <f t="shared" ref="BN24" si="156">BN23/BJ23-1</f>
        <v>5.6657281297010753E-2</v>
      </c>
      <c r="BO24" s="1219">
        <f t="shared" ref="BO24" si="157">BO23/BK23-1</f>
        <v>6.7610570074482013E-2</v>
      </c>
      <c r="BP24" s="1219">
        <f t="shared" ref="BP24" si="158">BP23/BL23-1</f>
        <v>8.4916516734373282E-2</v>
      </c>
      <c r="BQ24" s="1219">
        <f t="shared" ref="BQ24" si="159">BQ23/BM23-1</f>
        <v>8.0950746937201723E-2</v>
      </c>
      <c r="BR24" s="1219">
        <f t="shared" ref="BR24" si="160">BR23/BN23-1</f>
        <v>7.4963354079105926E-2</v>
      </c>
      <c r="BS24" s="1219">
        <f t="shared" ref="BS24" si="161">BS23/BO23-1</f>
        <v>6.6245461947782358E-2</v>
      </c>
      <c r="BT24" s="1219">
        <f t="shared" ref="BT24" si="162">BT23/BP23-1</f>
        <v>6.6656413410574933E-2</v>
      </c>
      <c r="BU24" s="1219">
        <f t="shared" ref="BU24" si="163">BU23/BQ23-1</f>
        <v>6.6439574714881156E-2</v>
      </c>
      <c r="BV24" s="1219">
        <f t="shared" ref="BV24" si="164">BV23/BR23-1</f>
        <v>6.0851792020615081E-2</v>
      </c>
      <c r="BW24" s="1219">
        <f t="shared" ref="BW24" si="165">BW23/BS23-1</f>
        <v>5.985799939595049E-2</v>
      </c>
      <c r="BX24" s="1219">
        <f t="shared" ref="BX24" si="166">BX23/BT23-1</f>
        <v>6.0741824741160633E-2</v>
      </c>
      <c r="BY24" s="1219">
        <f t="shared" ref="BY24" si="167">BY23/BU23-1</f>
        <v>6.1435632623380698E-2</v>
      </c>
      <c r="BZ24" s="1219">
        <f t="shared" ref="BZ24" si="168">BZ23/BV23-1</f>
        <v>2.3395034395802927E-2</v>
      </c>
      <c r="CA24" s="1219">
        <f t="shared" ref="CA24" si="169">CA23/BW23-1</f>
        <v>2.3458986619629973E-2</v>
      </c>
      <c r="CB24" s="1219">
        <f t="shared" ref="CB24" si="170">CB23/BX23-1</f>
        <v>2.4245340394899006E-2</v>
      </c>
      <c r="CC24" s="1219">
        <f t="shared" ref="CC24" si="171">CC23/BY23-1</f>
        <v>2.5944724767921201E-2</v>
      </c>
      <c r="CD24" s="1219">
        <f t="shared" ref="CD24" si="172">CD23/BZ23-1</f>
        <v>5.095869878809367E-2</v>
      </c>
      <c r="CE24" s="1219">
        <f t="shared" ref="CE24" si="173">CE23/CA23-1</f>
        <v>5.0257844135006779E-2</v>
      </c>
      <c r="CF24" s="1219">
        <f t="shared" ref="CF24" si="174">CF23/CB23-1</f>
        <v>5.1759977788458755E-2</v>
      </c>
      <c r="CG24" s="1219">
        <f t="shared" ref="CG24" si="175">CG23/CC23-1</f>
        <v>5.3374535920221344E-2</v>
      </c>
      <c r="CH24" s="1219">
        <f t="shared" ref="CH24" si="176">CH23/CD23-1</f>
        <v>5.0491011023602095E-2</v>
      </c>
      <c r="CI24" s="1219">
        <f t="shared" ref="CI24" si="177">CI23/CE23-1</f>
        <v>4.9335660844103346E-2</v>
      </c>
      <c r="CJ24" s="1219">
        <f t="shared" ref="CJ24" si="178">CJ23/CF23-1</f>
        <v>5.0332863904409164E-2</v>
      </c>
      <c r="CK24" s="1219">
        <f t="shared" ref="CK24" si="179">CK23/CG23-1</f>
        <v>5.1181691804685236E-2</v>
      </c>
      <c r="CL24" s="1219">
        <f t="shared" ref="CL24" si="180">CL23/CH23-1</f>
        <v>4.8223857386367586E-2</v>
      </c>
      <c r="CM24" s="1219">
        <f t="shared" ref="CM24" si="181">CM23/CI23-1</f>
        <v>4.7582718876648444E-2</v>
      </c>
      <c r="CN24" s="1219">
        <f t="shared" ref="CN24" si="182">CN23/CJ23-1</f>
        <v>4.9109071034886043E-2</v>
      </c>
      <c r="CO24" s="1219">
        <f t="shared" ref="CO24" si="183">CO23/CK23-1</f>
        <v>5.0666569749519441E-2</v>
      </c>
      <c r="CP24" s="1219">
        <f t="shared" ref="CP24" si="184">CP23/CL23-1</f>
        <v>4.8140862810857277E-2</v>
      </c>
      <c r="CQ24" s="1219">
        <f t="shared" ref="CQ24" si="185">CQ23/CM23-1</f>
        <v>4.7497986411547455E-2</v>
      </c>
      <c r="CR24" s="1219">
        <f t="shared" ref="CR24" si="186">CR23/CN23-1</f>
        <v>4.9043630237558977E-2</v>
      </c>
      <c r="CS24" s="1219">
        <f t="shared" ref="CS24" si="187">CS23/CO23-1</f>
        <v>5.0595959882389963E-2</v>
      </c>
      <c r="CT24" s="1219">
        <f t="shared" ref="CT24" si="188">CT23/CP23-1</f>
        <v>4.8083255180807249E-2</v>
      </c>
      <c r="CU24" s="1219">
        <f t="shared" ref="CU24" si="189">CU23/CQ23-1</f>
        <v>4.7384739518810282E-2</v>
      </c>
      <c r="CV24" s="1219">
        <f t="shared" ref="CV24" si="190">CV23/CR23-1</f>
        <v>4.8866759526990267E-2</v>
      </c>
      <c r="CW24" s="1219">
        <f t="shared" ref="CW24" si="191">CW23/CS23-1</f>
        <v>4.9885641035502637E-2</v>
      </c>
    </row>
    <row r="25" spans="1:103" s="2124" customFormat="1">
      <c r="A25" s="2120" t="s">
        <v>731</v>
      </c>
      <c r="B25" s="2121"/>
      <c r="C25" s="2121"/>
      <c r="D25" s="2121"/>
      <c r="E25" s="2121"/>
      <c r="F25" s="2121"/>
      <c r="G25" s="2121"/>
      <c r="H25" s="2121"/>
      <c r="I25" s="2121"/>
      <c r="J25" s="2121"/>
      <c r="K25" s="2121"/>
      <c r="L25" s="2121"/>
      <c r="M25" s="2121"/>
      <c r="N25" s="2121"/>
      <c r="O25" s="2121"/>
      <c r="P25" s="2121"/>
      <c r="Q25" s="2121"/>
      <c r="R25" s="2121"/>
      <c r="S25" s="2121"/>
      <c r="T25" s="2122"/>
      <c r="U25" s="2122">
        <f>IS!V77</f>
        <v>715</v>
      </c>
      <c r="V25" s="2122">
        <f>IS!W77</f>
        <v>627</v>
      </c>
      <c r="W25" s="2122">
        <f>IS!X77</f>
        <v>944</v>
      </c>
      <c r="X25" s="2122">
        <f>IS!Y77</f>
        <v>1048</v>
      </c>
      <c r="Y25" s="2122">
        <f>IS!Z77</f>
        <v>1400</v>
      </c>
      <c r="Z25" s="2122">
        <f>IS!AA77</f>
        <v>998</v>
      </c>
      <c r="AA25" s="2122">
        <f>IS!AB77</f>
        <v>1116</v>
      </c>
      <c r="AB25" s="2122">
        <f>IS!AC77</f>
        <v>1151</v>
      </c>
      <c r="AC25" s="2122">
        <f>IS!AD77</f>
        <v>1410</v>
      </c>
      <c r="AD25" s="2122">
        <f>IS!AE77</f>
        <v>1164</v>
      </c>
      <c r="AE25" s="2122">
        <f>IS!AF77</f>
        <v>1279</v>
      </c>
      <c r="AF25" s="2122">
        <f>IS!AG77</f>
        <v>1339</v>
      </c>
      <c r="AG25" s="2122">
        <f>IS!AH77</f>
        <v>1433</v>
      </c>
      <c r="AH25" s="2122">
        <f>IS!AI77</f>
        <v>1247</v>
      </c>
      <c r="AI25" s="2122">
        <f>IS!AJ77</f>
        <v>1412</v>
      </c>
      <c r="AJ25" s="2122">
        <f>IS!AK77</f>
        <v>1294</v>
      </c>
      <c r="AK25" s="2122">
        <f>IS!AL77</f>
        <v>1655</v>
      </c>
      <c r="AL25" s="2122">
        <f>IS!AM77</f>
        <v>1365</v>
      </c>
      <c r="AM25" s="2122">
        <f>IS!AN77</f>
        <v>1517</v>
      </c>
      <c r="AN25" s="2122">
        <f>IS!AO77</f>
        <v>1425</v>
      </c>
      <c r="AO25" s="2122">
        <f>IS!AP77</f>
        <v>1594</v>
      </c>
      <c r="AP25" s="2122">
        <f>IS!AQ77</f>
        <v>1338</v>
      </c>
      <c r="AQ25" s="2122">
        <f>IS!AR77</f>
        <v>1673</v>
      </c>
      <c r="AR25" s="2122">
        <f>IS!AS77</f>
        <v>1526</v>
      </c>
      <c r="AS25" s="2122">
        <f>IS!AT77</f>
        <v>1663</v>
      </c>
      <c r="AT25" s="2122">
        <f>IS!AU77</f>
        <v>1273</v>
      </c>
      <c r="AU25" s="2122">
        <f>IS!AV77</f>
        <v>-334</v>
      </c>
      <c r="AV25" s="2122">
        <f>IS!AW77</f>
        <v>518</v>
      </c>
      <c r="AW25" s="2122">
        <f>IS!AX77</f>
        <v>1410</v>
      </c>
      <c r="AX25" s="2122">
        <f>IS!AY77</f>
        <v>901</v>
      </c>
      <c r="AY25" s="2122">
        <f>IS!AZ77</f>
        <v>1559</v>
      </c>
      <c r="AZ25" s="2122">
        <f>IS!BA77</f>
        <v>1386</v>
      </c>
      <c r="BA25" s="2122">
        <f>IS!BB77</f>
        <v>2105</v>
      </c>
      <c r="BB25" s="2122">
        <f>IS!BC77</f>
        <v>1646</v>
      </c>
      <c r="BC25" s="2122">
        <f>IS!BD77</f>
        <v>1905</v>
      </c>
      <c r="BD25" s="2122">
        <f>IS!BE77</f>
        <v>1869</v>
      </c>
      <c r="BE25" s="2122">
        <f>IS!BF77</f>
        <v>2147</v>
      </c>
      <c r="BF25" s="2122">
        <f>IS!BG77</f>
        <v>1972</v>
      </c>
      <c r="BG25" s="2122">
        <f>IS!BH77</f>
        <v>2357</v>
      </c>
      <c r="BH25" s="2122">
        <f>IS!BI77</f>
        <v>2256</v>
      </c>
      <c r="BI25" s="2122">
        <f>IS!BJ77</f>
        <v>2420</v>
      </c>
      <c r="BJ25" s="2122">
        <f>IS!BK77</f>
        <v>2430</v>
      </c>
      <c r="BK25" s="2123">
        <f>IS!BL77</f>
        <v>2643</v>
      </c>
      <c r="BL25" s="2122">
        <f>Q_IS!BL58</f>
        <v>2473.0663655393196</v>
      </c>
      <c r="BM25" s="2122">
        <f>Q_IS!BM58</f>
        <v>2585.9573845601858</v>
      </c>
      <c r="BN25" s="2122">
        <f>Q_IS!BN58</f>
        <v>2527.6731619269731</v>
      </c>
      <c r="BO25" s="2122">
        <f>Q_IS!BO58</f>
        <v>2743.2675713989684</v>
      </c>
      <c r="BP25" s="2122">
        <f>Q_IS!BP58</f>
        <v>2608.3014537253507</v>
      </c>
      <c r="BQ25" s="2122">
        <f>Q_IS!BQ58</f>
        <v>2739.8775102105392</v>
      </c>
      <c r="BR25" s="2122">
        <f>Q_IS!BR58</f>
        <v>2684.7131586700962</v>
      </c>
      <c r="BS25" s="2122">
        <f>Q_IS!BS58</f>
        <v>2910.1887395606896</v>
      </c>
      <c r="BT25" s="2122">
        <f>Q_IS!BT58</f>
        <v>2765.7944648281195</v>
      </c>
      <c r="BU25" s="2122">
        <f>Q_IS!BU58</f>
        <v>2902.6573183926866</v>
      </c>
      <c r="BV25" s="2122">
        <f>Q_IS!BV58</f>
        <v>2839.411752107379</v>
      </c>
      <c r="BW25" s="2122">
        <f>Q_IS!BW58</f>
        <v>3075.3632697483858</v>
      </c>
      <c r="BX25" s="2122">
        <f>Q_IS!BX58</f>
        <v>2922.2395165135813</v>
      </c>
      <c r="BY25" s="2122">
        <f>Q_IS!BY58</f>
        <v>3064.3757253800595</v>
      </c>
      <c r="BZ25" s="2122">
        <f>Q_IS!BZ58</f>
        <v>2902.4476828295201</v>
      </c>
      <c r="CA25" s="2122">
        <f>Q_IS!CA58</f>
        <v>3144.7398146822716</v>
      </c>
      <c r="CB25" s="2122">
        <f>Q_IS!CB58</f>
        <v>2985.6483382462638</v>
      </c>
      <c r="CC25" s="2122">
        <f>Q_IS!CC58</f>
        <v>3130.0816325547426</v>
      </c>
      <c r="CD25" s="2122">
        <f>Q_IS!CD58</f>
        <v>3030.5735663540022</v>
      </c>
      <c r="CE25" s="2122">
        <f>Q_IS!CE58</f>
        <v>3282.6436461822868</v>
      </c>
      <c r="CF25" s="2122">
        <f>Q_IS!CF58</f>
        <v>3117.4192212594744</v>
      </c>
      <c r="CG25" s="2122">
        <f>Q_IS!CG58</f>
        <v>3269.0157264455261</v>
      </c>
      <c r="CH25" s="2122">
        <f>Q_IS!CH58</f>
        <v>3162.8406496278117</v>
      </c>
      <c r="CI25" s="2122">
        <f>Q_IS!CI58</f>
        <v>3423.4559974727972</v>
      </c>
      <c r="CJ25" s="2122">
        <f>Q_IS!CJ58</f>
        <v>3250.4772153039385</v>
      </c>
      <c r="CK25" s="2122">
        <f>Q_IS!CK58</f>
        <v>3406.4948738368721</v>
      </c>
      <c r="CL25" s="2122">
        <f>Q_IS!CL58</f>
        <v>3292.5876849096703</v>
      </c>
      <c r="CM25" s="2122">
        <f>Q_IS!CM58</f>
        <v>3563.0811593152075</v>
      </c>
      <c r="CN25" s="2122">
        <f>Q_IS!CN58</f>
        <v>3383.8647697046245</v>
      </c>
      <c r="CO25" s="2122">
        <f>Q_IS!CO58</f>
        <v>3547.0801747171222</v>
      </c>
      <c r="CP25" s="2122">
        <f>Q_IS!CP58</f>
        <v>3427.1177395345767</v>
      </c>
      <c r="CQ25" s="2122">
        <f>Q_IS!CQ58</f>
        <v>3707.8255242394571</v>
      </c>
      <c r="CR25" s="2122">
        <f>Q_IS!CR58</f>
        <v>3522.1764806077103</v>
      </c>
      <c r="CS25" s="2122">
        <f>Q_IS!CS58</f>
        <v>3692.8892296095541</v>
      </c>
      <c r="CT25" s="2122">
        <f>Q_IS!CT58</f>
        <v>3566.4266428926398</v>
      </c>
      <c r="CU25" s="2122">
        <f>Q_IS!CU58</f>
        <v>3857.3724884332923</v>
      </c>
      <c r="CV25" s="2122">
        <f>Q_IS!CV58</f>
        <v>3664.6594051020352</v>
      </c>
      <c r="CW25" s="2122">
        <f>Q_IS!CW58</f>
        <v>3842.1253439501747</v>
      </c>
    </row>
    <row r="26" spans="1:103" s="2124" customFormat="1">
      <c r="A26" s="2120" t="s">
        <v>733</v>
      </c>
      <c r="B26" s="2121"/>
      <c r="C26" s="2121"/>
      <c r="D26" s="2121"/>
      <c r="E26" s="2121"/>
      <c r="F26" s="2121"/>
      <c r="G26" s="2121"/>
      <c r="H26" s="2121"/>
      <c r="I26" s="2121"/>
      <c r="J26" s="2121"/>
      <c r="K26" s="2121"/>
      <c r="L26" s="2121"/>
      <c r="M26" s="2121"/>
      <c r="N26" s="2121"/>
      <c r="O26" s="2121"/>
      <c r="P26" s="2121"/>
      <c r="Q26" s="2121"/>
      <c r="R26" s="2121"/>
      <c r="S26" s="2121"/>
      <c r="T26" s="2121"/>
      <c r="U26" s="2122">
        <f>IS!V114</f>
        <v>197</v>
      </c>
      <c r="V26" s="2122">
        <f>IS!W114</f>
        <v>134</v>
      </c>
      <c r="W26" s="2122">
        <f>IS!X114</f>
        <v>137</v>
      </c>
      <c r="X26" s="2122">
        <f>IS!Y114</f>
        <v>183</v>
      </c>
      <c r="Y26" s="2122">
        <f>IS!Z114</f>
        <v>225</v>
      </c>
      <c r="Z26" s="2122">
        <f>IS!AA114</f>
        <v>168</v>
      </c>
      <c r="AA26" s="2122">
        <f>IS!AB114</f>
        <v>228</v>
      </c>
      <c r="AB26" s="2122">
        <f>IS!AC114</f>
        <v>314</v>
      </c>
      <c r="AC26" s="2122">
        <f>IS!AD114</f>
        <v>311</v>
      </c>
      <c r="AD26" s="2122">
        <f>IS!AE114</f>
        <v>193</v>
      </c>
      <c r="AE26" s="2122">
        <f>IS!AF114</f>
        <v>262</v>
      </c>
      <c r="AF26" s="2122">
        <f>IS!AG114</f>
        <v>357</v>
      </c>
      <c r="AG26" s="2122">
        <f>IS!AH114</f>
        <v>415</v>
      </c>
      <c r="AH26" s="2122">
        <f>IS!AI114</f>
        <v>357</v>
      </c>
      <c r="AI26" s="2122">
        <f>IS!AJ114</f>
        <v>370</v>
      </c>
      <c r="AJ26" s="2122">
        <f>IS!AK114</f>
        <v>423</v>
      </c>
      <c r="AK26" s="2122">
        <f>IS!AL114</f>
        <v>412</v>
      </c>
      <c r="AL26" s="2122">
        <f>IS!AM114</f>
        <v>334</v>
      </c>
      <c r="AM26" s="2122">
        <f>IS!AN114</f>
        <v>364</v>
      </c>
      <c r="AN26" s="2122">
        <f>IS!AO114</f>
        <v>377</v>
      </c>
      <c r="AO26" s="2122">
        <f>IS!AP114</f>
        <v>333</v>
      </c>
      <c r="AP26" s="2122">
        <f>IS!AQ114</f>
        <v>277</v>
      </c>
      <c r="AQ26" s="2122">
        <f>IS!AR114</f>
        <v>314</v>
      </c>
      <c r="AR26" s="2122">
        <f>IS!AS114</f>
        <v>388</v>
      </c>
      <c r="AS26" s="2122">
        <f>IS!AT114</f>
        <v>284</v>
      </c>
      <c r="AT26" s="2122">
        <f>IS!AU114</f>
        <v>84</v>
      </c>
      <c r="AU26" s="2122">
        <f>IS!AV114</f>
        <v>-138</v>
      </c>
      <c r="AV26" s="2122">
        <f>IS!AW114</f>
        <v>109</v>
      </c>
      <c r="AW26" s="2122">
        <f>IS!AX114</f>
        <v>242</v>
      </c>
      <c r="AX26" s="2122">
        <f>IS!AY114</f>
        <v>209</v>
      </c>
      <c r="AY26" s="2122">
        <f>IS!AZ114</f>
        <v>189</v>
      </c>
      <c r="AZ26" s="2122">
        <f>IS!BA114</f>
        <v>393</v>
      </c>
      <c r="BA26" s="2122">
        <f>IS!BB114</f>
        <v>467</v>
      </c>
      <c r="BB26" s="2122">
        <f>IS!BC114</f>
        <v>372</v>
      </c>
      <c r="BC26" s="2122">
        <f>IS!BD114</f>
        <v>457</v>
      </c>
      <c r="BD26" s="2122">
        <f>IS!BE114</f>
        <v>610</v>
      </c>
      <c r="BE26" s="2122">
        <f>IS!BF114</f>
        <v>529</v>
      </c>
      <c r="BF26" s="2122">
        <f>IS!BG114</f>
        <v>504</v>
      </c>
      <c r="BG26" s="2122">
        <f>IS!BH114</f>
        <v>526</v>
      </c>
      <c r="BH26" s="2122">
        <f>IS!BI114</f>
        <v>613</v>
      </c>
      <c r="BI26" s="2122">
        <f>IS!BJ114</f>
        <v>568</v>
      </c>
      <c r="BJ26" s="2122">
        <f>IS!BK114</f>
        <v>413</v>
      </c>
      <c r="BK26" s="2123">
        <f>IS!BL114</f>
        <v>414</v>
      </c>
      <c r="BL26" s="2122">
        <f>Q_IS!BL207</f>
        <v>422.12082235600633</v>
      </c>
      <c r="BM26" s="2122">
        <f>Q_IS!BM207</f>
        <v>390.55882309421889</v>
      </c>
      <c r="BN26" s="2122">
        <f>Q_IS!BN207</f>
        <v>424.43572605930137</v>
      </c>
      <c r="BO26" s="2122">
        <f>Q_IS!BO207</f>
        <v>455.69716584968927</v>
      </c>
      <c r="BP26" s="2122">
        <f>Q_IS!BP207</f>
        <v>462.56114926736126</v>
      </c>
      <c r="BQ26" s="2122">
        <f>Q_IS!BQ207</f>
        <v>414.37994862129</v>
      </c>
      <c r="BR26" s="2122">
        <f>Q_IS!BR207</f>
        <v>450.24668548080064</v>
      </c>
      <c r="BS26" s="2122">
        <f>Q_IS!BS207</f>
        <v>478.41680104571947</v>
      </c>
      <c r="BT26" s="2122">
        <f>Q_IS!BT207</f>
        <v>485.58835275870581</v>
      </c>
      <c r="BU26" s="2122">
        <f>Q_IS!BU207</f>
        <v>433.67323064789935</v>
      </c>
      <c r="BV26" s="2122">
        <f>Q_IS!BV207</f>
        <v>460.83878697147202</v>
      </c>
      <c r="BW26" s="2122">
        <f>Q_IS!BW207</f>
        <v>489.75481927181897</v>
      </c>
      <c r="BX26" s="2122">
        <f>Q_IS!BX207</f>
        <v>497.47565753676884</v>
      </c>
      <c r="BY26" s="2122">
        <f>Q_IS!BY207</f>
        <v>443.98734571498431</v>
      </c>
      <c r="BZ26" s="2122">
        <f>Q_IS!BZ207</f>
        <v>474.78937126418947</v>
      </c>
      <c r="CA26" s="2122">
        <f>Q_IS!CA207</f>
        <v>504.71461401081672</v>
      </c>
      <c r="CB26" s="2122">
        <f>Q_IS!CB207</f>
        <v>513.09499041448782</v>
      </c>
      <c r="CC26" s="2122">
        <f>Q_IS!CC207</f>
        <v>457.60488466428353</v>
      </c>
      <c r="CD26" s="2122">
        <f>Q_IS!CD207</f>
        <v>489.06849489099892</v>
      </c>
      <c r="CE26" s="2122">
        <f>Q_IS!CE207</f>
        <v>519.96350086905557</v>
      </c>
      <c r="CF26" s="2122">
        <f>Q_IS!CF207</f>
        <v>529.0185492885513</v>
      </c>
      <c r="CG26" s="2122">
        <f>Q_IS!CG207</f>
        <v>471.40748510320407</v>
      </c>
      <c r="CH26" s="2122">
        <f>Q_IS!CH207</f>
        <v>503.48741746198471</v>
      </c>
      <c r="CI26" s="2122">
        <f>Q_IS!CI207</f>
        <v>535.46858641799986</v>
      </c>
      <c r="CJ26" s="2122">
        <f>Q_IS!CJ207</f>
        <v>545.42926943123518</v>
      </c>
      <c r="CK26" s="2122">
        <f>Q_IS!CK207</f>
        <v>485.38878378359908</v>
      </c>
      <c r="CL26" s="2122">
        <f>Q_IS!CL207</f>
        <v>517.76115637010219</v>
      </c>
      <c r="CM26" s="2122">
        <f>Q_IS!CM207</f>
        <v>550.82418633925442</v>
      </c>
      <c r="CN26" s="2122">
        <f>Q_IS!CN207</f>
        <v>561.77263010960451</v>
      </c>
      <c r="CO26" s="2122">
        <f>Q_IS!CO207</f>
        <v>499.5129594134682</v>
      </c>
      <c r="CP26" s="2122">
        <f>Q_IS!CP207</f>
        <v>532.3173189225912</v>
      </c>
      <c r="CQ26" s="2122">
        <f>Q_IS!CQ207</f>
        <v>566.46800285947631</v>
      </c>
      <c r="CR26" s="2122">
        <f>Q_IS!CR207</f>
        <v>578.62281720799797</v>
      </c>
      <c r="CS26" s="2122">
        <f>Q_IS!CS207</f>
        <v>514.15901729394989</v>
      </c>
      <c r="CT26" s="2122">
        <f>Q_IS!CT207</f>
        <v>547.44555978561937</v>
      </c>
      <c r="CU26" s="2122">
        <f>Q_IS!CU207</f>
        <v>582.71119598292614</v>
      </c>
      <c r="CV26" s="2122">
        <f>Q_IS!CV207</f>
        <v>596.2701114169364</v>
      </c>
      <c r="CW26" s="2122">
        <f>Q_IS!CW207</f>
        <v>528.87936243839204</v>
      </c>
    </row>
    <row r="27" spans="1:103" s="2124" customFormat="1">
      <c r="A27" s="2120" t="s">
        <v>949</v>
      </c>
      <c r="B27" s="2121"/>
      <c r="C27" s="2121"/>
      <c r="D27" s="2121"/>
      <c r="E27" s="2121"/>
      <c r="F27" s="2121"/>
      <c r="G27" s="2121"/>
      <c r="H27" s="2121"/>
      <c r="I27" s="2121"/>
      <c r="J27" s="2121"/>
      <c r="K27" s="2121"/>
      <c r="L27" s="2121"/>
      <c r="M27" s="2121"/>
      <c r="N27" s="2121"/>
      <c r="O27" s="2121"/>
      <c r="P27" s="2121"/>
      <c r="Q27" s="2121"/>
      <c r="R27" s="2121"/>
      <c r="S27" s="2121"/>
      <c r="T27" s="2121"/>
      <c r="U27" s="2122">
        <f>IS!V103</f>
        <v>0</v>
      </c>
      <c r="V27" s="2122">
        <f>IS!W103</f>
        <v>0</v>
      </c>
      <c r="W27" s="2122">
        <f>IS!X103</f>
        <v>0</v>
      </c>
      <c r="X27" s="2122">
        <f>IS!Y103</f>
        <v>0</v>
      </c>
      <c r="Y27" s="2122">
        <f>IS!Z103</f>
        <v>290</v>
      </c>
      <c r="Z27" s="2122">
        <f>IS!AA103</f>
        <v>251</v>
      </c>
      <c r="AA27" s="2122">
        <f>IS!AB103</f>
        <v>247</v>
      </c>
      <c r="AB27" s="2122">
        <f>IS!AC103</f>
        <v>246</v>
      </c>
      <c r="AC27" s="2122">
        <f>IS!AD103</f>
        <v>338</v>
      </c>
      <c r="AD27" s="2122">
        <f>IS!AE103</f>
        <v>351</v>
      </c>
      <c r="AE27" s="2122">
        <f>IS!AF103</f>
        <v>339</v>
      </c>
      <c r="AF27" s="2122">
        <f>IS!AG103</f>
        <v>334</v>
      </c>
      <c r="AG27" s="2122">
        <f>IS!AH103</f>
        <v>476</v>
      </c>
      <c r="AH27" s="2122">
        <f>IS!AI103</f>
        <v>410</v>
      </c>
      <c r="AI27" s="2122">
        <f>IS!AJ103</f>
        <v>390</v>
      </c>
      <c r="AJ27" s="2122">
        <f>IS!AK103</f>
        <v>372</v>
      </c>
      <c r="AK27" s="2122">
        <f>IS!AL103</f>
        <v>554</v>
      </c>
      <c r="AL27" s="2122">
        <f>IS!AM103</f>
        <v>497</v>
      </c>
      <c r="AM27" s="2122">
        <f>IS!AN103</f>
        <v>449</v>
      </c>
      <c r="AN27" s="2122">
        <f>IS!AO103</f>
        <v>418</v>
      </c>
      <c r="AO27" s="2122">
        <f>IS!AP103</f>
        <v>552</v>
      </c>
      <c r="AP27" s="2122">
        <f>IS!AQ103</f>
        <v>815</v>
      </c>
      <c r="AQ27" s="2122">
        <f>IS!AR103</f>
        <v>865</v>
      </c>
      <c r="AR27" s="2122">
        <f>IS!AS103</f>
        <v>801</v>
      </c>
      <c r="AS27" s="2122">
        <f>IS!AT103</f>
        <v>1270</v>
      </c>
      <c r="AT27" s="2122">
        <f>IS!AU103</f>
        <v>390</v>
      </c>
      <c r="AU27" s="2122">
        <f>IS!AV103</f>
        <v>-566</v>
      </c>
      <c r="AV27" s="2122">
        <f>IS!AW103</f>
        <v>509</v>
      </c>
      <c r="AW27" s="2122">
        <f>IS!AX103</f>
        <v>854</v>
      </c>
      <c r="AX27" s="2122">
        <f>IS!AY103</f>
        <v>378</v>
      </c>
      <c r="AY27" s="2122">
        <f>IS!AZ103</f>
        <v>699</v>
      </c>
      <c r="AZ27" s="2122">
        <f>IS!BA103</f>
        <v>916</v>
      </c>
      <c r="BA27" s="2122">
        <f>IS!BB103</f>
        <v>1429</v>
      </c>
      <c r="BB27" s="2122">
        <f>IS!BC103</f>
        <v>791</v>
      </c>
      <c r="BC27" s="2122">
        <f>IS!BD103</f>
        <v>901</v>
      </c>
      <c r="BD27" s="2122">
        <f>IS!BE103</f>
        <v>602</v>
      </c>
      <c r="BE27" s="2122">
        <f>IS!BF103</f>
        <v>930</v>
      </c>
      <c r="BF27" s="2122">
        <f>IS!BG103</f>
        <v>726</v>
      </c>
      <c r="BG27" s="2122">
        <f>IS!BH103</f>
        <v>866</v>
      </c>
      <c r="BH27" s="2122">
        <f>IS!BI103</f>
        <v>884</v>
      </c>
      <c r="BI27" s="2122">
        <f>IS!BJ103</f>
        <v>1065</v>
      </c>
      <c r="BJ27" s="2122">
        <f>IS!BK103</f>
        <v>739</v>
      </c>
      <c r="BK27" s="2123">
        <f>IS!BL103</f>
        <v>737</v>
      </c>
      <c r="BL27" s="2122">
        <f>Q_IS!BL123</f>
        <v>861.77306022797984</v>
      </c>
      <c r="BM27" s="2122">
        <f>Q_IS!BM123</f>
        <v>1141.6369468923569</v>
      </c>
      <c r="BN27" s="2122">
        <f>Q_IS!BN123</f>
        <v>832.83749361961782</v>
      </c>
      <c r="BO27" s="2122">
        <f>Q_IS!BO123</f>
        <v>851.54976561392766</v>
      </c>
      <c r="BP27" s="2122">
        <f>Q_IS!BP123</f>
        <v>1005.1256229107319</v>
      </c>
      <c r="BQ27" s="2122">
        <f>Q_IS!BQ123</f>
        <v>1297.2632695772854</v>
      </c>
      <c r="BR27" s="2122">
        <f>Q_IS!BR123</f>
        <v>933.71881322974957</v>
      </c>
      <c r="BS27" s="2122">
        <f>Q_IS!BS123</f>
        <v>930.23716662450079</v>
      </c>
      <c r="BT27" s="2122">
        <f>Q_IS!BT123</f>
        <v>1096.2961645590722</v>
      </c>
      <c r="BU27" s="2122">
        <f>Q_IS!BU123</f>
        <v>1410.9473233985073</v>
      </c>
      <c r="BV27" s="2122">
        <f>Q_IS!BV123</f>
        <v>1016.0145057594361</v>
      </c>
      <c r="BW27" s="2122">
        <f>Q_IS!BW123</f>
        <v>1012.241902371337</v>
      </c>
      <c r="BX27" s="2122">
        <f>Q_IS!BX123</f>
        <v>1192.049762859883</v>
      </c>
      <c r="BY27" s="2122">
        <f>Q_IS!BY123</f>
        <v>1530.566820676323</v>
      </c>
      <c r="BZ27" s="2122">
        <f>Q_IS!BZ123</f>
        <v>1040.0071599299733</v>
      </c>
      <c r="CA27" s="2122">
        <f>Q_IS!CA123</f>
        <v>1035.2857894897347</v>
      </c>
      <c r="CB27" s="2122">
        <f>Q_IS!CB123</f>
        <v>1224.8354189661277</v>
      </c>
      <c r="CC27" s="2122">
        <f>Q_IS!CC123</f>
        <v>1581.9770237192033</v>
      </c>
      <c r="CD27" s="2122">
        <f>Q_IS!CD123</f>
        <v>1122.6991701545617</v>
      </c>
      <c r="CE27" s="2122">
        <f>Q_IS!CE123</f>
        <v>1117.5780148299118</v>
      </c>
      <c r="CF27" s="2122">
        <f>Q_IS!CF123</f>
        <v>1321.6333081380576</v>
      </c>
      <c r="CG27" s="2122">
        <f>Q_IS!CG123</f>
        <v>1705.1687217507624</v>
      </c>
      <c r="CH27" s="2122">
        <f>Q_IS!CH123</f>
        <v>1210.4096665996869</v>
      </c>
      <c r="CI27" s="2122">
        <f>Q_IS!CI123</f>
        <v>1204.0011644272231</v>
      </c>
      <c r="CJ27" s="2122">
        <f>Q_IS!CJ123</f>
        <v>1422.2218394218464</v>
      </c>
      <c r="CK27" s="2122">
        <f>Q_IS!CK123</f>
        <v>1832.4228837032379</v>
      </c>
      <c r="CL27" s="2122">
        <f>Q_IS!CL123</f>
        <v>1301.5639973898669</v>
      </c>
      <c r="CM27" s="2122">
        <f>Q_IS!CM123</f>
        <v>1294.6864471267775</v>
      </c>
      <c r="CN27" s="2122">
        <f>Q_IS!CN123</f>
        <v>1528.7483588829734</v>
      </c>
      <c r="CO27" s="2122">
        <f>Q_IS!CO123</f>
        <v>1967.7443838367262</v>
      </c>
      <c r="CP27" s="2122">
        <f>Q_IS!CP123</f>
        <v>1398.569674879928</v>
      </c>
      <c r="CQ27" s="2122">
        <f>Q_IS!CQ123</f>
        <v>1391.1954851614385</v>
      </c>
      <c r="CR27" s="2122">
        <f>Q_IS!CR123</f>
        <v>1642.0702118087963</v>
      </c>
      <c r="CS27" s="2122">
        <f>Q_IS!CS123</f>
        <v>2111.5904508420417</v>
      </c>
      <c r="CT27" s="2122">
        <f>Q_IS!CT123</f>
        <v>1501.7628395118606</v>
      </c>
      <c r="CU27" s="2122">
        <f>Q_IS!CU123</f>
        <v>1493.8630489367974</v>
      </c>
      <c r="CV27" s="2122">
        <f>Q_IS!CV123</f>
        <v>1762.575416427238</v>
      </c>
      <c r="CW27" s="2122">
        <f>Q_IS!CW123</f>
        <v>2262.8433332657473</v>
      </c>
    </row>
    <row r="28" spans="1:103" s="1209" customFormat="1">
      <c r="A28" s="1797" t="s">
        <v>1241</v>
      </c>
      <c r="B28" s="1794">
        <f t="shared" ref="B28:AG28" si="192">B23/B5</f>
        <v>8.3378796537407207E-2</v>
      </c>
      <c r="C28" s="1794">
        <f t="shared" si="192"/>
        <v>9.1669750371853764E-2</v>
      </c>
      <c r="D28" s="1794">
        <f t="shared" si="192"/>
        <v>0.11192384575718062</v>
      </c>
      <c r="E28" s="1794">
        <f t="shared" si="192"/>
        <v>0.17277602695677685</v>
      </c>
      <c r="F28" s="1794">
        <f t="shared" si="192"/>
        <v>0.10673923021941796</v>
      </c>
      <c r="G28" s="1794">
        <f t="shared" si="192"/>
        <v>0.11701666128213412</v>
      </c>
      <c r="H28" s="1794">
        <f t="shared" si="192"/>
        <v>0.10440827719595148</v>
      </c>
      <c r="I28" s="1794">
        <f t="shared" si="192"/>
        <v>0.11614744207951148</v>
      </c>
      <c r="J28" s="1794">
        <f t="shared" si="192"/>
        <v>9.4858691624971236E-2</v>
      </c>
      <c r="K28" s="1794">
        <f t="shared" si="192"/>
        <v>0.11974538639029461</v>
      </c>
      <c r="L28" s="1794">
        <f t="shared" si="192"/>
        <v>0.10265026473753787</v>
      </c>
      <c r="M28" s="1794">
        <f t="shared" si="192"/>
        <v>9.9638535175037249E-2</v>
      </c>
      <c r="N28" s="1794">
        <f t="shared" si="192"/>
        <v>9.6303976167840574E-2</v>
      </c>
      <c r="O28" s="1794">
        <f t="shared" si="192"/>
        <v>0.12583589517902172</v>
      </c>
      <c r="P28" s="1794">
        <f t="shared" si="192"/>
        <v>0.11778148565633444</v>
      </c>
      <c r="Q28" s="1794">
        <f t="shared" si="192"/>
        <v>0.13203968529786983</v>
      </c>
      <c r="R28" s="1794">
        <f t="shared" si="192"/>
        <v>0.10988376301141659</v>
      </c>
      <c r="S28" s="1794">
        <f t="shared" si="192"/>
        <v>0.13217908997659286</v>
      </c>
      <c r="T28" s="1794">
        <f t="shared" si="192"/>
        <v>0.13373013180427598</v>
      </c>
      <c r="U28" s="1794">
        <f t="shared" si="192"/>
        <v>0.20675813447032171</v>
      </c>
      <c r="V28" s="1794">
        <f t="shared" si="192"/>
        <v>0.19062954342095112</v>
      </c>
      <c r="W28" s="1794">
        <f t="shared" si="192"/>
        <v>0.2077517341792538</v>
      </c>
      <c r="X28" s="1794">
        <f t="shared" si="192"/>
        <v>0.21591381267836787</v>
      </c>
      <c r="Y28" s="1794">
        <f t="shared" si="192"/>
        <v>0.24229636730054266</v>
      </c>
      <c r="Z28" s="1794">
        <f t="shared" si="192"/>
        <v>0.19294047548049259</v>
      </c>
      <c r="AA28" s="1219">
        <f t="shared" si="192"/>
        <v>0.20497447674821584</v>
      </c>
      <c r="AB28" s="1219">
        <f t="shared" si="192"/>
        <v>0.20804014992508854</v>
      </c>
      <c r="AC28" s="1219">
        <f t="shared" si="192"/>
        <v>0.22985487773484328</v>
      </c>
      <c r="AD28" s="1219">
        <f t="shared" si="192"/>
        <v>0.20012279197071739</v>
      </c>
      <c r="AE28" s="1219">
        <f t="shared" si="192"/>
        <v>0.20737807051913351</v>
      </c>
      <c r="AF28" s="1219">
        <f t="shared" si="192"/>
        <v>0.21141464097419865</v>
      </c>
      <c r="AG28" s="1219">
        <f t="shared" si="192"/>
        <v>0.22134271404835729</v>
      </c>
      <c r="AH28" s="1219">
        <f t="shared" ref="AH28:AQ28" si="193">AH23/AH5</f>
        <v>0.1995394937601801</v>
      </c>
      <c r="AI28" s="1219">
        <f t="shared" si="193"/>
        <v>0.2099686178119704</v>
      </c>
      <c r="AJ28" s="1219">
        <f t="shared" si="193"/>
        <v>0.19942046827248036</v>
      </c>
      <c r="AK28" s="1219">
        <f t="shared" si="193"/>
        <v>0.22563464370731581</v>
      </c>
      <c r="AL28" s="1219">
        <f t="shared" si="193"/>
        <v>0.19819736070791477</v>
      </c>
      <c r="AM28" s="1219">
        <f t="shared" si="193"/>
        <v>0.20573028600571383</v>
      </c>
      <c r="AN28" s="1219">
        <f t="shared" si="193"/>
        <v>0.19515804109149254</v>
      </c>
      <c r="AO28" s="1219">
        <f t="shared" si="193"/>
        <v>0.20030992688808871</v>
      </c>
      <c r="AP28" s="1218">
        <f t="shared" si="193"/>
        <v>0.17749420258647766</v>
      </c>
      <c r="AQ28" s="1218">
        <f t="shared" si="193"/>
        <v>0.19560322092389326</v>
      </c>
      <c r="AR28" s="1218">
        <f t="shared" ref="AR28:BC28" si="194">AR23/AR5</f>
        <v>0.18736417391342755</v>
      </c>
      <c r="AS28" s="1218">
        <f t="shared" si="194"/>
        <v>0.20899114058165541</v>
      </c>
      <c r="AT28" s="1218">
        <f t="shared" si="194"/>
        <v>0.14431945570004023</v>
      </c>
      <c r="AU28" s="1218">
        <f t="shared" si="194"/>
        <v>-0.19970075668886911</v>
      </c>
      <c r="AV28" s="1218">
        <f t="shared" si="194"/>
        <v>0.114799447588292</v>
      </c>
      <c r="AW28" s="1218">
        <f t="shared" si="194"/>
        <v>0.22182813648254932</v>
      </c>
      <c r="AX28" s="1218">
        <f t="shared" si="194"/>
        <v>0.14571500925309894</v>
      </c>
      <c r="AY28" s="1218">
        <f t="shared" si="194"/>
        <v>0.1961150781158334</v>
      </c>
      <c r="AZ28" s="1218">
        <f t="shared" si="194"/>
        <v>0.19307543374808134</v>
      </c>
      <c r="BA28" s="1218">
        <f t="shared" si="194"/>
        <v>0.23912103863517048</v>
      </c>
      <c r="BB28" s="1218">
        <f t="shared" si="194"/>
        <v>0.1844607360318273</v>
      </c>
      <c r="BC28" s="1218">
        <f t="shared" si="194"/>
        <v>0.19263093117898394</v>
      </c>
      <c r="BD28" s="1218">
        <f t="shared" ref="BD28:BG28" si="195">BD23/BD5</f>
        <v>0.17587447460283537</v>
      </c>
      <c r="BE28" s="1218">
        <f t="shared" si="195"/>
        <v>0.18834390447882429</v>
      </c>
      <c r="BF28" s="1218">
        <f t="shared" si="195"/>
        <v>0.18125574455325638</v>
      </c>
      <c r="BG28" s="1218">
        <f t="shared" si="195"/>
        <v>0.19784962942643028</v>
      </c>
      <c r="BH28" s="1218">
        <f t="shared" ref="BH28" si="196">BH23/BH5</f>
        <v>0.19275834677539888</v>
      </c>
      <c r="BI28" s="1218">
        <f t="shared" ref="BI28:BJ28" si="197">BI23/BI5</f>
        <v>0.20117445577792842</v>
      </c>
      <c r="BJ28" s="1218">
        <f t="shared" si="197"/>
        <v>0.19678260982304507</v>
      </c>
      <c r="BK28" s="1795">
        <f t="shared" ref="BK28" si="198">BK23/BK5</f>
        <v>0.19704954404117037</v>
      </c>
      <c r="BL28" s="1219">
        <f t="shared" ref="BL28:CW28" si="199">BL23/BL5</f>
        <v>0.18683935238300933</v>
      </c>
      <c r="BM28" s="1219">
        <f t="shared" si="199"/>
        <v>0.19625024701571556</v>
      </c>
      <c r="BN28" s="1219">
        <f t="shared" si="199"/>
        <v>0.19008758873652939</v>
      </c>
      <c r="BO28" s="1219">
        <f t="shared" si="199"/>
        <v>0.18915514100043898</v>
      </c>
      <c r="BP28" s="1219">
        <f t="shared" si="199"/>
        <v>0.18560911618006315</v>
      </c>
      <c r="BQ28" s="1219">
        <f t="shared" si="199"/>
        <v>0.19596745808669466</v>
      </c>
      <c r="BR28" s="1219">
        <f t="shared" si="199"/>
        <v>0.1896223224591575</v>
      </c>
      <c r="BS28" s="1219">
        <f t="shared" si="199"/>
        <v>0.18927809701137432</v>
      </c>
      <c r="BT28" s="1219">
        <f t="shared" si="199"/>
        <v>0.18583564645951076</v>
      </c>
      <c r="BU28" s="1219">
        <f t="shared" si="199"/>
        <v>0.19622900464872062</v>
      </c>
      <c r="BV28" s="1219">
        <f t="shared" si="199"/>
        <v>0.18980354864724011</v>
      </c>
      <c r="BW28" s="1219">
        <f t="shared" si="199"/>
        <v>0.18959085736982992</v>
      </c>
      <c r="BX28" s="1219">
        <f t="shared" si="199"/>
        <v>0.18622867814709707</v>
      </c>
      <c r="BY28" s="1219">
        <f t="shared" si="199"/>
        <v>0.19656771595935174</v>
      </c>
      <c r="BZ28" s="1219">
        <f t="shared" si="199"/>
        <v>0.18449913911131802</v>
      </c>
      <c r="CA28" s="1219">
        <f t="shared" si="199"/>
        <v>0.18449892999049125</v>
      </c>
      <c r="CB28" s="1219">
        <f t="shared" si="199"/>
        <v>0.18123750603697783</v>
      </c>
      <c r="CC28" s="1219">
        <f t="shared" si="199"/>
        <v>0.19137324028478472</v>
      </c>
      <c r="CD28" s="1219">
        <f t="shared" si="199"/>
        <v>0.1842127607444464</v>
      </c>
      <c r="CE28" s="1219">
        <f t="shared" si="199"/>
        <v>0.18428357095940212</v>
      </c>
      <c r="CF28" s="1219">
        <f t="shared" si="199"/>
        <v>0.18115939022400654</v>
      </c>
      <c r="CG28" s="1219">
        <f t="shared" si="199"/>
        <v>0.19134859779535718</v>
      </c>
      <c r="CH28" s="1219">
        <f t="shared" si="199"/>
        <v>0.18393722394370732</v>
      </c>
      <c r="CI28" s="1219">
        <f t="shared" si="199"/>
        <v>0.18407683356501872</v>
      </c>
      <c r="CJ28" s="1219">
        <f t="shared" si="199"/>
        <v>0.18108606306272945</v>
      </c>
      <c r="CK28" s="1219">
        <f t="shared" si="199"/>
        <v>0.19132576801833737</v>
      </c>
      <c r="CL28" s="1219">
        <f t="shared" si="199"/>
        <v>0.18365361731153598</v>
      </c>
      <c r="CM28" s="1219">
        <f t="shared" si="199"/>
        <v>0.18385238155689099</v>
      </c>
      <c r="CN28" s="1219">
        <f t="shared" si="199"/>
        <v>0.18099741374915509</v>
      </c>
      <c r="CO28" s="1219">
        <f t="shared" si="199"/>
        <v>0.19130162517915356</v>
      </c>
      <c r="CP28" s="1219">
        <f t="shared" si="199"/>
        <v>0.18337759939912085</v>
      </c>
      <c r="CQ28" s="1219">
        <f t="shared" si="199"/>
        <v>0.18363301489850237</v>
      </c>
      <c r="CR28" s="1219">
        <f t="shared" si="199"/>
        <v>0.18091213164592229</v>
      </c>
      <c r="CS28" s="1219">
        <f t="shared" si="199"/>
        <v>0.19128248851912014</v>
      </c>
      <c r="CT28" s="1219">
        <f t="shared" si="199"/>
        <v>0.18310641736921487</v>
      </c>
      <c r="CU28" s="1219">
        <f t="shared" si="199"/>
        <v>0.1834118886823024</v>
      </c>
      <c r="CV28" s="1219">
        <f t="shared" si="199"/>
        <v>0.18082218627689148</v>
      </c>
      <c r="CW28" s="1219">
        <f t="shared" si="199"/>
        <v>0.1912718032317661</v>
      </c>
    </row>
    <row r="29" spans="1:103" s="1209" customFormat="1">
      <c r="A29" s="1796" t="s">
        <v>731</v>
      </c>
      <c r="B29" s="1794"/>
      <c r="C29" s="1794"/>
      <c r="D29" s="1794"/>
      <c r="E29" s="1794"/>
      <c r="F29" s="1794"/>
      <c r="G29" s="1794"/>
      <c r="H29" s="1794"/>
      <c r="I29" s="1794"/>
      <c r="J29" s="1794"/>
      <c r="K29" s="1794"/>
      <c r="L29" s="1794"/>
      <c r="M29" s="1794"/>
      <c r="N29" s="1794"/>
      <c r="O29" s="1794"/>
      <c r="P29" s="1794"/>
      <c r="Q29" s="1794"/>
      <c r="R29" s="1794"/>
      <c r="S29" s="1794"/>
      <c r="T29" s="1219"/>
      <c r="U29" s="1219">
        <f>U25/U7</f>
        <v>0.17537404954623498</v>
      </c>
      <c r="V29" s="1219">
        <f t="shared" ref="V29:BC30" si="200">V25/V7</f>
        <v>0.16387872451646629</v>
      </c>
      <c r="W29" s="1219">
        <f t="shared" si="200"/>
        <v>0.18929215961499898</v>
      </c>
      <c r="X29" s="1219">
        <f t="shared" si="200"/>
        <v>0.19450631031922791</v>
      </c>
      <c r="Y29" s="1219">
        <f t="shared" si="200"/>
        <v>0.21648368640791713</v>
      </c>
      <c r="Z29" s="1219">
        <f t="shared" si="200"/>
        <v>0.21420905773771196</v>
      </c>
      <c r="AA29" s="1219">
        <f t="shared" si="200"/>
        <v>0.23005565862708721</v>
      </c>
      <c r="AB29" s="1219">
        <f t="shared" si="200"/>
        <v>0.23103171417101565</v>
      </c>
      <c r="AC29" s="1219">
        <f t="shared" si="200"/>
        <v>0.26091783863804591</v>
      </c>
      <c r="AD29" s="1219">
        <f t="shared" si="200"/>
        <v>0.22580019398642096</v>
      </c>
      <c r="AE29" s="1219">
        <f t="shared" si="200"/>
        <v>0.23915482423335827</v>
      </c>
      <c r="AF29" s="1219">
        <f t="shared" si="200"/>
        <v>0.24274836838288616</v>
      </c>
      <c r="AG29" s="1219">
        <f t="shared" si="200"/>
        <v>0.24015418133065192</v>
      </c>
      <c r="AH29" s="1219">
        <f t="shared" si="200"/>
        <v>0.22371725870111231</v>
      </c>
      <c r="AI29" s="1219">
        <f t="shared" si="200"/>
        <v>0.23843296183721716</v>
      </c>
      <c r="AJ29" s="1219">
        <f t="shared" si="200"/>
        <v>0.22314192102086566</v>
      </c>
      <c r="AK29" s="1219">
        <f t="shared" si="200"/>
        <v>0.25932309620808525</v>
      </c>
      <c r="AL29" s="1219">
        <f t="shared" si="200"/>
        <v>0.22761380690345173</v>
      </c>
      <c r="AM29" s="1219">
        <f t="shared" si="200"/>
        <v>0.24299215120935447</v>
      </c>
      <c r="AN29" s="1219">
        <f t="shared" si="200"/>
        <v>0.22655007949125597</v>
      </c>
      <c r="AO29" s="1219">
        <f t="shared" si="200"/>
        <v>0.22994806693594921</v>
      </c>
      <c r="AP29" s="1218">
        <f t="shared" si="200"/>
        <v>0.20948802254579615</v>
      </c>
      <c r="AQ29" s="1218">
        <f t="shared" si="200"/>
        <v>0.24249891288592548</v>
      </c>
      <c r="AR29" s="1218">
        <f t="shared" ref="AR29:BC29" si="201">AR25/AR7</f>
        <v>0.2284431137724551</v>
      </c>
      <c r="AS29" s="1218">
        <f t="shared" si="201"/>
        <v>0.22934767618259549</v>
      </c>
      <c r="AT29" s="1218">
        <f t="shared" si="201"/>
        <v>0.20499194847020935</v>
      </c>
      <c r="AU29" s="1218">
        <f t="shared" si="201"/>
        <v>-0.12066473988439307</v>
      </c>
      <c r="AV29" s="1218">
        <f t="shared" si="201"/>
        <v>0.11337272926242066</v>
      </c>
      <c r="AW29" s="1218">
        <f t="shared" si="201"/>
        <v>0.25543478260869568</v>
      </c>
      <c r="AX29" s="1218">
        <f t="shared" si="201"/>
        <v>0.18110552763819096</v>
      </c>
      <c r="AY29" s="1218">
        <f t="shared" si="201"/>
        <v>0.24114462490332561</v>
      </c>
      <c r="AZ29" s="1218">
        <f t="shared" si="201"/>
        <v>0.20671140939597316</v>
      </c>
      <c r="BA29" s="1218">
        <f t="shared" si="201"/>
        <v>0.26747141041931383</v>
      </c>
      <c r="BB29" s="1218">
        <f t="shared" si="201"/>
        <v>0.22440354464894341</v>
      </c>
      <c r="BC29" s="1218">
        <f t="shared" si="201"/>
        <v>0.22795261457460811</v>
      </c>
      <c r="BD29" s="1218">
        <f t="shared" ref="BD29:BF30" si="202">BD25/BD7</f>
        <v>0.22242056408425562</v>
      </c>
      <c r="BE29" s="1218">
        <f t="shared" si="202"/>
        <v>0.22906219993598634</v>
      </c>
      <c r="BF29" s="1218">
        <f t="shared" si="202"/>
        <v>0.22026136490561823</v>
      </c>
      <c r="BG29" s="1218">
        <f t="shared" ref="BG29" si="203">BG25/BG7</f>
        <v>0.23975180551317263</v>
      </c>
      <c r="BH29" s="1218">
        <f t="shared" ref="BH29" si="204">BH25/BH7</f>
        <v>0.22787878787878788</v>
      </c>
      <c r="BI29" s="1218">
        <f t="shared" ref="BI29:BJ29" si="205">BI25/BI7</f>
        <v>0.22671913059771406</v>
      </c>
      <c r="BJ29" s="1218">
        <f t="shared" si="205"/>
        <v>0.24007113218731477</v>
      </c>
      <c r="BK29" s="1795">
        <f t="shared" ref="BK29" si="206">BK25/BK7</f>
        <v>0.2471479334206097</v>
      </c>
      <c r="BL29" s="1798">
        <f t="shared" ref="BL29:CW29" si="207">BL25/BL7</f>
        <v>0.22999999999999995</v>
      </c>
      <c r="BM29" s="1798">
        <f t="shared" si="207"/>
        <v>0.22500000000000001</v>
      </c>
      <c r="BN29" s="1798">
        <f t="shared" si="207"/>
        <v>0.23507113218731476</v>
      </c>
      <c r="BO29" s="1798">
        <f t="shared" si="207"/>
        <v>0.2421479334206097</v>
      </c>
      <c r="BP29" s="1798">
        <f t="shared" si="207"/>
        <v>0.22999999999999998</v>
      </c>
      <c r="BQ29" s="1798">
        <f t="shared" si="207"/>
        <v>0.22500000000000001</v>
      </c>
      <c r="BR29" s="1798">
        <f t="shared" si="207"/>
        <v>0.23507113218731474</v>
      </c>
      <c r="BS29" s="1798">
        <f t="shared" si="207"/>
        <v>0.2421479334206097</v>
      </c>
      <c r="BT29" s="1798">
        <f t="shared" si="207"/>
        <v>0.22999999999999998</v>
      </c>
      <c r="BU29" s="1798">
        <f t="shared" si="207"/>
        <v>0.22499999999999998</v>
      </c>
      <c r="BV29" s="1798">
        <f t="shared" si="207"/>
        <v>0.23507113218731476</v>
      </c>
      <c r="BW29" s="1798">
        <f t="shared" si="207"/>
        <v>0.2421479334206097</v>
      </c>
      <c r="BX29" s="1798">
        <f t="shared" si="207"/>
        <v>0.22999999999999998</v>
      </c>
      <c r="BY29" s="1798">
        <f t="shared" si="207"/>
        <v>0.22500000000000001</v>
      </c>
      <c r="BZ29" s="1798">
        <f t="shared" si="207"/>
        <v>0.23007113218731476</v>
      </c>
      <c r="CA29" s="1798">
        <f t="shared" si="207"/>
        <v>0.23714793342060966</v>
      </c>
      <c r="CB29" s="1798">
        <f t="shared" si="207"/>
        <v>0.22499999999999998</v>
      </c>
      <c r="CC29" s="1798">
        <f t="shared" si="207"/>
        <v>0.21999999999999997</v>
      </c>
      <c r="CD29" s="1798">
        <f t="shared" si="207"/>
        <v>0.23007113218731479</v>
      </c>
      <c r="CE29" s="1798">
        <f t="shared" si="207"/>
        <v>0.23714793342060969</v>
      </c>
      <c r="CF29" s="1798">
        <f t="shared" si="207"/>
        <v>0.22499999999999998</v>
      </c>
      <c r="CG29" s="1798">
        <f t="shared" si="207"/>
        <v>0.22</v>
      </c>
      <c r="CH29" s="1798">
        <f t="shared" si="207"/>
        <v>0.23007113218731476</v>
      </c>
      <c r="CI29" s="1798">
        <f t="shared" si="207"/>
        <v>0.23714793342060969</v>
      </c>
      <c r="CJ29" s="1798">
        <f t="shared" si="207"/>
        <v>0.22499999999999998</v>
      </c>
      <c r="CK29" s="1798">
        <f t="shared" si="207"/>
        <v>0.22</v>
      </c>
      <c r="CL29" s="1798">
        <f t="shared" si="207"/>
        <v>0.23007113218731476</v>
      </c>
      <c r="CM29" s="1798">
        <f t="shared" si="207"/>
        <v>0.23714793342060972</v>
      </c>
      <c r="CN29" s="1798">
        <f t="shared" si="207"/>
        <v>0.22499999999999998</v>
      </c>
      <c r="CO29" s="1798">
        <f t="shared" si="207"/>
        <v>0.22</v>
      </c>
      <c r="CP29" s="1798">
        <f t="shared" si="207"/>
        <v>0.23007113218731476</v>
      </c>
      <c r="CQ29" s="1798">
        <f t="shared" si="207"/>
        <v>0.23714793342060969</v>
      </c>
      <c r="CR29" s="1798">
        <f t="shared" si="207"/>
        <v>0.22499999999999998</v>
      </c>
      <c r="CS29" s="1798">
        <f t="shared" si="207"/>
        <v>0.22</v>
      </c>
      <c r="CT29" s="1798">
        <f t="shared" si="207"/>
        <v>0.23007113218731476</v>
      </c>
      <c r="CU29" s="1798">
        <f t="shared" si="207"/>
        <v>0.23714793342060969</v>
      </c>
      <c r="CV29" s="1798">
        <f t="shared" si="207"/>
        <v>0.22499999999999998</v>
      </c>
      <c r="CW29" s="1798">
        <f t="shared" si="207"/>
        <v>0.22</v>
      </c>
    </row>
    <row r="30" spans="1:103" s="1209" customFormat="1">
      <c r="A30" s="1796" t="s">
        <v>733</v>
      </c>
      <c r="B30" s="1794"/>
      <c r="C30" s="1794"/>
      <c r="D30" s="1794"/>
      <c r="E30" s="1794"/>
      <c r="F30" s="1794"/>
      <c r="G30" s="1794"/>
      <c r="H30" s="1794"/>
      <c r="I30" s="1794"/>
      <c r="J30" s="1794"/>
      <c r="K30" s="1794"/>
      <c r="L30" s="1794"/>
      <c r="M30" s="1794"/>
      <c r="N30" s="1794"/>
      <c r="O30" s="1794"/>
      <c r="P30" s="1794"/>
      <c r="Q30" s="1794"/>
      <c r="R30" s="1794"/>
      <c r="S30" s="1794"/>
      <c r="T30" s="1219"/>
      <c r="U30" s="1219">
        <f t="shared" ref="U30:AJ30" si="208">U26/U8</f>
        <v>0.15698462028846918</v>
      </c>
      <c r="V30" s="1219">
        <f t="shared" si="208"/>
        <v>0.13440320962888666</v>
      </c>
      <c r="W30" s="1219">
        <f t="shared" si="208"/>
        <v>0.12557286892758937</v>
      </c>
      <c r="X30" s="1219">
        <f t="shared" si="208"/>
        <v>0.14829821717990274</v>
      </c>
      <c r="Y30" s="1219">
        <f t="shared" si="208"/>
        <v>0.17321016166281755</v>
      </c>
      <c r="Z30" s="1219">
        <f t="shared" si="208"/>
        <v>0.12380250552689757</v>
      </c>
      <c r="AA30" s="1219">
        <f t="shared" si="208"/>
        <v>0.14205607476635515</v>
      </c>
      <c r="AB30" s="1219">
        <f t="shared" si="208"/>
        <v>0.16982152514872903</v>
      </c>
      <c r="AC30" s="1219">
        <f t="shared" si="208"/>
        <v>0.16308337703198741</v>
      </c>
      <c r="AD30" s="1219">
        <f t="shared" si="208"/>
        <v>0.12199747155499367</v>
      </c>
      <c r="AE30" s="1219">
        <f t="shared" si="208"/>
        <v>0.13582166925868325</v>
      </c>
      <c r="AF30" s="1219">
        <f t="shared" si="208"/>
        <v>0.1584553928095872</v>
      </c>
      <c r="AG30" s="1219">
        <f t="shared" si="208"/>
        <v>0.17584745762711865</v>
      </c>
      <c r="AH30" s="1219">
        <f t="shared" si="208"/>
        <v>0.14512195121951219</v>
      </c>
      <c r="AI30" s="1219">
        <f t="shared" si="208"/>
        <v>0.15108207431604737</v>
      </c>
      <c r="AJ30" s="1219">
        <f t="shared" si="208"/>
        <v>0.16059225512528474</v>
      </c>
      <c r="AK30" s="1219">
        <f t="shared" si="200"/>
        <v>0.15036496350364964</v>
      </c>
      <c r="AL30" s="1219">
        <f t="shared" si="200"/>
        <v>0.12842315969419907</v>
      </c>
      <c r="AM30" s="1219">
        <f t="shared" si="200"/>
        <v>0.13356812947008312</v>
      </c>
      <c r="AN30" s="1219">
        <f t="shared" si="200"/>
        <v>0.15306536743808363</v>
      </c>
      <c r="AO30" s="1219">
        <f t="shared" si="200"/>
        <v>0.13840399002493767</v>
      </c>
      <c r="AP30" s="1218">
        <f t="shared" si="200"/>
        <v>0.12195197117530882</v>
      </c>
      <c r="AQ30" s="1218">
        <f t="shared" si="200"/>
        <v>0.12867370601992148</v>
      </c>
      <c r="AR30" s="1218">
        <f t="shared" si="200"/>
        <v>0.15098316109708723</v>
      </c>
      <c r="AS30" s="1218">
        <f t="shared" si="200"/>
        <v>0.11587471332228716</v>
      </c>
      <c r="AT30" s="1218">
        <f t="shared" si="200"/>
        <v>4.7597677233351017E-2</v>
      </c>
      <c r="AU30" s="1218">
        <f t="shared" si="200"/>
        <v>-0.17655186530883782</v>
      </c>
      <c r="AV30" s="1218">
        <f t="shared" si="200"/>
        <v>8.6142106024336321E-2</v>
      </c>
      <c r="AW30" s="1218">
        <f t="shared" si="200"/>
        <v>0.13632397335936633</v>
      </c>
      <c r="AX30" s="1218">
        <f t="shared" si="200"/>
        <v>0.11895749972964204</v>
      </c>
      <c r="AY30" s="1218">
        <f t="shared" si="200"/>
        <v>0.10916847699577593</v>
      </c>
      <c r="AZ30" s="1218">
        <f t="shared" si="200"/>
        <v>0.16216604317330474</v>
      </c>
      <c r="BA30" s="1218">
        <f t="shared" si="200"/>
        <v>0.15309276897284915</v>
      </c>
      <c r="BB30" s="1218">
        <f t="shared" si="200"/>
        <v>0.13735401520494178</v>
      </c>
      <c r="BC30" s="1218">
        <f t="shared" si="200"/>
        <v>0.14454066431774909</v>
      </c>
      <c r="BD30" s="1218">
        <f t="shared" si="202"/>
        <v>0.16576370736781634</v>
      </c>
      <c r="BE30" s="1218">
        <f t="shared" si="202"/>
        <v>0.13784279927717216</v>
      </c>
      <c r="BF30" s="1218">
        <f t="shared" si="202"/>
        <v>0.16073822217785622</v>
      </c>
      <c r="BG30" s="1218">
        <f t="shared" ref="BG30" si="209">BG26/BG8</f>
        <v>0.15200247365242292</v>
      </c>
      <c r="BH30" s="1218">
        <f t="shared" ref="BH30" si="210">BH26/BH8</f>
        <v>0.15590851298631439</v>
      </c>
      <c r="BI30" s="1218">
        <f t="shared" ref="BI30:BJ30" si="211">BI26/BI8</f>
        <v>0.16814797732489004</v>
      </c>
      <c r="BJ30" s="1218">
        <f t="shared" si="211"/>
        <v>0.15648942313375944</v>
      </c>
      <c r="BK30" s="1795">
        <f t="shared" ref="BK30" si="212">BK26/BK8</f>
        <v>0.13545032817258859</v>
      </c>
      <c r="BL30" s="1798">
        <f t="shared" ref="BL30:CW30" si="213">BL26/BL8</f>
        <v>0.13045032817258859</v>
      </c>
      <c r="BM30" s="1798">
        <f t="shared" si="213"/>
        <v>0.155</v>
      </c>
      <c r="BN30" s="1798">
        <f t="shared" si="213"/>
        <v>0.15198942313375943</v>
      </c>
      <c r="BO30" s="1798">
        <f t="shared" si="213"/>
        <v>0.13095032817258859</v>
      </c>
      <c r="BP30" s="1798">
        <f t="shared" si="213"/>
        <v>0.13095032817258859</v>
      </c>
      <c r="BQ30" s="1798">
        <f t="shared" si="213"/>
        <v>0.1555</v>
      </c>
      <c r="BR30" s="1798">
        <f t="shared" si="213"/>
        <v>0.15248942313375943</v>
      </c>
      <c r="BS30" s="1798">
        <f t="shared" si="213"/>
        <v>0.13145032817258859</v>
      </c>
      <c r="BT30" s="1798">
        <f t="shared" si="213"/>
        <v>0.13145032817258859</v>
      </c>
      <c r="BU30" s="1798">
        <f t="shared" si="213"/>
        <v>0.156</v>
      </c>
      <c r="BV30" s="1798">
        <f t="shared" si="213"/>
        <v>0.15298942313375943</v>
      </c>
      <c r="BW30" s="1798">
        <f t="shared" si="213"/>
        <v>0.13195032817258859</v>
      </c>
      <c r="BX30" s="1798">
        <f t="shared" si="213"/>
        <v>0.13195032817258859</v>
      </c>
      <c r="BY30" s="1798">
        <f t="shared" si="213"/>
        <v>0.1565</v>
      </c>
      <c r="BZ30" s="1798">
        <f t="shared" si="213"/>
        <v>0.15348942313375943</v>
      </c>
      <c r="CA30" s="1798">
        <f t="shared" si="213"/>
        <v>0.13245032817258859</v>
      </c>
      <c r="CB30" s="1798">
        <f t="shared" si="213"/>
        <v>0.13245032817258862</v>
      </c>
      <c r="CC30" s="1798">
        <f t="shared" si="213"/>
        <v>0.157</v>
      </c>
      <c r="CD30" s="1798">
        <f t="shared" si="213"/>
        <v>0.15398942313375943</v>
      </c>
      <c r="CE30" s="1798">
        <f t="shared" si="213"/>
        <v>0.13295032817258859</v>
      </c>
      <c r="CF30" s="1798">
        <f t="shared" si="213"/>
        <v>0.13295032817258859</v>
      </c>
      <c r="CG30" s="1798">
        <f t="shared" si="213"/>
        <v>0.1575</v>
      </c>
      <c r="CH30" s="1798">
        <f t="shared" si="213"/>
        <v>0.15448942313375943</v>
      </c>
      <c r="CI30" s="1798">
        <f t="shared" si="213"/>
        <v>0.13345032817258859</v>
      </c>
      <c r="CJ30" s="1798">
        <f t="shared" si="213"/>
        <v>0.13345032817258859</v>
      </c>
      <c r="CK30" s="1798">
        <f t="shared" si="213"/>
        <v>0.158</v>
      </c>
      <c r="CL30" s="1798">
        <f t="shared" si="213"/>
        <v>0.15498942313375944</v>
      </c>
      <c r="CM30" s="1798">
        <f t="shared" si="213"/>
        <v>0.13395032817258859</v>
      </c>
      <c r="CN30" s="1798">
        <f t="shared" si="213"/>
        <v>0.13395032817258859</v>
      </c>
      <c r="CO30" s="1798">
        <f t="shared" si="213"/>
        <v>0.1585</v>
      </c>
      <c r="CP30" s="1798">
        <f t="shared" si="213"/>
        <v>0.15548942313375944</v>
      </c>
      <c r="CQ30" s="1798">
        <f t="shared" si="213"/>
        <v>0.13445032817258859</v>
      </c>
      <c r="CR30" s="1798">
        <f t="shared" si="213"/>
        <v>0.13445032817258859</v>
      </c>
      <c r="CS30" s="1798">
        <f t="shared" si="213"/>
        <v>0.159</v>
      </c>
      <c r="CT30" s="1798">
        <f t="shared" si="213"/>
        <v>0.15598942313375944</v>
      </c>
      <c r="CU30" s="1798">
        <f t="shared" si="213"/>
        <v>0.13495032817258859</v>
      </c>
      <c r="CV30" s="1798">
        <f t="shared" si="213"/>
        <v>0.13495032817258859</v>
      </c>
      <c r="CW30" s="1798">
        <f t="shared" si="213"/>
        <v>0.1595</v>
      </c>
    </row>
    <row r="31" spans="1:103" s="1209" customFormat="1">
      <c r="A31" s="1796" t="s">
        <v>949</v>
      </c>
      <c r="B31" s="1794"/>
      <c r="C31" s="1794"/>
      <c r="D31" s="1794"/>
      <c r="E31" s="1794"/>
      <c r="F31" s="1794"/>
      <c r="G31" s="1794"/>
      <c r="H31" s="1794"/>
      <c r="I31" s="1794"/>
      <c r="J31" s="1794"/>
      <c r="K31" s="1794"/>
      <c r="L31" s="1794"/>
      <c r="M31" s="1794"/>
      <c r="N31" s="1794"/>
      <c r="O31" s="1794"/>
      <c r="P31" s="1794"/>
      <c r="Q31" s="1794"/>
      <c r="R31" s="1794"/>
      <c r="S31" s="1794"/>
      <c r="T31" s="1219"/>
      <c r="U31" s="1219">
        <f>IFERROR(U27/U9,0)</f>
        <v>0</v>
      </c>
      <c r="V31" s="1219">
        <f t="shared" ref="V31:AQ31" si="214">IFERROR(V27/V9,0)</f>
        <v>0</v>
      </c>
      <c r="W31" s="1219">
        <f t="shared" si="214"/>
        <v>0</v>
      </c>
      <c r="X31" s="1219">
        <f t="shared" si="214"/>
        <v>0</v>
      </c>
      <c r="Y31" s="1219">
        <f t="shared" si="214"/>
        <v>0.19754768392370572</v>
      </c>
      <c r="Z31" s="1219">
        <f t="shared" si="214"/>
        <v>0.18900602409638553</v>
      </c>
      <c r="AA31" s="1219">
        <f t="shared" si="214"/>
        <v>0.1891271056661562</v>
      </c>
      <c r="AB31" s="1219">
        <f t="shared" si="214"/>
        <v>0.17672413793103448</v>
      </c>
      <c r="AC31" s="1219">
        <f t="shared" si="214"/>
        <v>0.20522161505768063</v>
      </c>
      <c r="AD31" s="1219">
        <f t="shared" si="214"/>
        <v>0.19521690767519467</v>
      </c>
      <c r="AE31" s="1219">
        <f t="shared" si="214"/>
        <v>0.18949133594186696</v>
      </c>
      <c r="AF31" s="1219">
        <f t="shared" si="214"/>
        <v>0.18231441048034935</v>
      </c>
      <c r="AG31" s="1219">
        <f t="shared" si="214"/>
        <v>0.21915285451197053</v>
      </c>
      <c r="AH31" s="1219">
        <f t="shared" si="214"/>
        <v>0.19902912621359223</v>
      </c>
      <c r="AI31" s="1219">
        <f t="shared" si="214"/>
        <v>0.19756838905775076</v>
      </c>
      <c r="AJ31" s="1219">
        <f t="shared" si="214"/>
        <v>0.18208516886930984</v>
      </c>
      <c r="AK31" s="1219">
        <f t="shared" si="214"/>
        <v>0.22222222222222221</v>
      </c>
      <c r="AL31" s="1219">
        <f t="shared" si="214"/>
        <v>0.20032245062474807</v>
      </c>
      <c r="AM31" s="1219">
        <f t="shared" si="214"/>
        <v>0.19041560644614081</v>
      </c>
      <c r="AN31" s="1219">
        <f t="shared" si="214"/>
        <v>0.17726887192536048</v>
      </c>
      <c r="AO31" s="1219">
        <f t="shared" si="214"/>
        <v>0.20520446096654274</v>
      </c>
      <c r="AP31" s="1218">
        <f t="shared" si="214"/>
        <v>0.16193125372541228</v>
      </c>
      <c r="AQ31" s="1218">
        <f t="shared" si="214"/>
        <v>0.16501335368180084</v>
      </c>
      <c r="AR31" s="1218">
        <f t="shared" ref="AR31:BC31" si="215">IFERROR(AR27/AR9,0)</f>
        <v>0.15283342873497424</v>
      </c>
      <c r="AS31" s="1218">
        <f t="shared" si="215"/>
        <v>0.22315937445088738</v>
      </c>
      <c r="AT31" s="1218">
        <f t="shared" si="215"/>
        <v>9.3975903614457831E-2</v>
      </c>
      <c r="AU31" s="1218">
        <f t="shared" si="215"/>
        <v>-0.34344660194174759</v>
      </c>
      <c r="AV31" s="1218">
        <f t="shared" si="215"/>
        <v>0.12536945812807881</v>
      </c>
      <c r="AW31" s="1218">
        <f t="shared" si="215"/>
        <v>0.21339330334832585</v>
      </c>
      <c r="AX31" s="1218">
        <f t="shared" si="215"/>
        <v>0.10824742268041238</v>
      </c>
      <c r="AY31" s="1218">
        <f t="shared" si="215"/>
        <v>0.16331775700934578</v>
      </c>
      <c r="AZ31" s="1218">
        <f t="shared" si="215"/>
        <v>0.189648033126294</v>
      </c>
      <c r="BA31" s="1218">
        <f t="shared" si="215"/>
        <v>0.24587061252580866</v>
      </c>
      <c r="BB31" s="1218">
        <f t="shared" si="215"/>
        <v>0.15255544840887175</v>
      </c>
      <c r="BC31" s="1218">
        <f t="shared" si="215"/>
        <v>0.16620549714074895</v>
      </c>
      <c r="BD31" s="1218">
        <f t="shared" ref="BD31:BG31" si="216">IFERROR(BD27/BD9,0)</f>
        <v>0.11076356945722171</v>
      </c>
      <c r="BE31" s="1218">
        <f t="shared" si="216"/>
        <v>0.15669755686604886</v>
      </c>
      <c r="BF31" s="1218">
        <f t="shared" si="216"/>
        <v>0.13017751479289941</v>
      </c>
      <c r="BG31" s="1218">
        <f t="shared" si="216"/>
        <v>0.15305761753269706</v>
      </c>
      <c r="BH31" s="1218">
        <f t="shared" ref="BH31" si="217">IFERROR(BH27/BH9,0)</f>
        <v>0.15682100408018448</v>
      </c>
      <c r="BI31" s="1218">
        <f t="shared" ref="BI31:BJ31" si="218">IFERROR(BI27/BI9,0)</f>
        <v>0.1747620610436495</v>
      </c>
      <c r="BJ31" s="1218">
        <f t="shared" si="218"/>
        <v>0.13582062120933652</v>
      </c>
      <c r="BK31" s="1795">
        <f t="shared" ref="BK31" si="219">IFERROR(BK27/BK9,0)</f>
        <v>0.13392694893694349</v>
      </c>
      <c r="BL31" s="1798">
        <f t="shared" ref="BL31:CW31" si="220">IFERROR(BL27/BL9,0)</f>
        <v>0.14082100408018447</v>
      </c>
      <c r="BM31" s="1798">
        <f t="shared" si="220"/>
        <v>0.16376206104364949</v>
      </c>
      <c r="BN31" s="1798">
        <f t="shared" si="220"/>
        <v>0.13082062120933652</v>
      </c>
      <c r="BO31" s="1798">
        <f t="shared" si="220"/>
        <v>0.12892694893694348</v>
      </c>
      <c r="BP31" s="1798">
        <f t="shared" si="220"/>
        <v>0.14182100408018447</v>
      </c>
      <c r="BQ31" s="1798">
        <f t="shared" si="220"/>
        <v>0.16476206104364949</v>
      </c>
      <c r="BR31" s="1798">
        <f t="shared" si="220"/>
        <v>0.13182062120933652</v>
      </c>
      <c r="BS31" s="1798">
        <f t="shared" si="220"/>
        <v>0.12992694893694348</v>
      </c>
      <c r="BT31" s="1798">
        <f t="shared" si="220"/>
        <v>0.14282100408018447</v>
      </c>
      <c r="BU31" s="1798">
        <f t="shared" si="220"/>
        <v>0.16576206104364949</v>
      </c>
      <c r="BV31" s="1798">
        <f t="shared" si="220"/>
        <v>0.13282062120933652</v>
      </c>
      <c r="BW31" s="1798">
        <f t="shared" si="220"/>
        <v>0.13092694893694348</v>
      </c>
      <c r="BX31" s="1798">
        <f t="shared" si="220"/>
        <v>0.14382100408018447</v>
      </c>
      <c r="BY31" s="1798">
        <f t="shared" si="220"/>
        <v>0.16676206104364949</v>
      </c>
      <c r="BZ31" s="1798">
        <f t="shared" si="220"/>
        <v>0.12632062120933651</v>
      </c>
      <c r="CA31" s="1798">
        <f t="shared" si="220"/>
        <v>0.1244269489369435</v>
      </c>
      <c r="CB31" s="1798">
        <f t="shared" si="220"/>
        <v>0.13732100408018447</v>
      </c>
      <c r="CC31" s="1798">
        <f t="shared" si="220"/>
        <v>0.16026206104364948</v>
      </c>
      <c r="CD31" s="1798">
        <f t="shared" si="220"/>
        <v>0.12682062120933651</v>
      </c>
      <c r="CE31" s="1798">
        <f t="shared" si="220"/>
        <v>0.12492694893694349</v>
      </c>
      <c r="CF31" s="1798">
        <f t="shared" si="220"/>
        <v>0.13782100408018447</v>
      </c>
      <c r="CG31" s="1798">
        <f t="shared" si="220"/>
        <v>0.16076206104364948</v>
      </c>
      <c r="CH31" s="1798">
        <f t="shared" si="220"/>
        <v>0.12732062120933652</v>
      </c>
      <c r="CI31" s="1798">
        <f t="shared" si="220"/>
        <v>0.12542694893694348</v>
      </c>
      <c r="CJ31" s="1798">
        <f t="shared" si="220"/>
        <v>0.13832100408018447</v>
      </c>
      <c r="CK31" s="1798">
        <f t="shared" si="220"/>
        <v>0.16126206104364949</v>
      </c>
      <c r="CL31" s="1798">
        <f t="shared" si="220"/>
        <v>0.12782062120933652</v>
      </c>
      <c r="CM31" s="1798">
        <f t="shared" si="220"/>
        <v>0.12592694893694348</v>
      </c>
      <c r="CN31" s="1798">
        <f t="shared" si="220"/>
        <v>0.13882100408018447</v>
      </c>
      <c r="CO31" s="1798">
        <f t="shared" si="220"/>
        <v>0.16176206104364949</v>
      </c>
      <c r="CP31" s="1798">
        <f t="shared" si="220"/>
        <v>0.12832062120933652</v>
      </c>
      <c r="CQ31" s="1798">
        <f t="shared" si="220"/>
        <v>0.12642694893694348</v>
      </c>
      <c r="CR31" s="1798">
        <f t="shared" si="220"/>
        <v>0.13932100408018447</v>
      </c>
      <c r="CS31" s="1798">
        <f t="shared" si="220"/>
        <v>0.16226206104364949</v>
      </c>
      <c r="CT31" s="1798">
        <f t="shared" si="220"/>
        <v>0.12882062120933652</v>
      </c>
      <c r="CU31" s="1798">
        <f t="shared" si="220"/>
        <v>0.12692694893694348</v>
      </c>
      <c r="CV31" s="1798">
        <f t="shared" si="220"/>
        <v>0.13982100408018447</v>
      </c>
      <c r="CW31" s="1798">
        <f t="shared" si="220"/>
        <v>0.16276206104364951</v>
      </c>
    </row>
    <row r="32" spans="1:103">
      <c r="A32" s="99" t="s">
        <v>367</v>
      </c>
      <c r="B32" s="99">
        <f>IS!C10</f>
        <v>-169.16900000000001</v>
      </c>
      <c r="C32" s="99">
        <f>IS!D10</f>
        <v>-172.602</v>
      </c>
      <c r="D32" s="99">
        <f>IS!E10</f>
        <v>-162.68199999999999</v>
      </c>
      <c r="E32" s="99">
        <f>IS!F10</f>
        <v>-160.714</v>
      </c>
      <c r="F32" s="99">
        <f>IS!G10</f>
        <v>-167.70500000000001</v>
      </c>
      <c r="G32" s="99">
        <f>IS!H10</f>
        <v>-159.44399999999999</v>
      </c>
      <c r="H32" s="99">
        <f>IS!I10</f>
        <v>-163.34200000000001</v>
      </c>
      <c r="I32" s="99">
        <f>IS!J10</f>
        <v>-180.035</v>
      </c>
      <c r="J32" s="99">
        <f>IS!K10</f>
        <v>-161.67400000000001</v>
      </c>
      <c r="K32" s="99">
        <f>IS!L10</f>
        <v>-167.221</v>
      </c>
      <c r="L32" s="99">
        <f>IS!M10</f>
        <v>-165.66499999999999</v>
      </c>
      <c r="M32" s="99">
        <f>IS!N10</f>
        <v>-167.21899999999999</v>
      </c>
      <c r="N32" s="99">
        <f>IS!O10</f>
        <v>-181.125</v>
      </c>
      <c r="O32" s="99">
        <f>IS!P10</f>
        <v>-200.887</v>
      </c>
      <c r="P32" s="99">
        <f>IS!Q10</f>
        <v>-210.167</v>
      </c>
      <c r="Q32" s="99">
        <f>IS!R10</f>
        <v>-213.62200000000001</v>
      </c>
      <c r="R32" s="99">
        <f>IS!S10</f>
        <v>-204.09899999999999</v>
      </c>
      <c r="S32" s="99">
        <f>IS!T10</f>
        <v>-230.196</v>
      </c>
      <c r="T32" s="99">
        <f>IS!U10</f>
        <v>-240.52600000000001</v>
      </c>
      <c r="U32" s="99">
        <f>IS!V10</f>
        <v>-247.25299999999999</v>
      </c>
      <c r="V32" s="99">
        <f>IS!W10</f>
        <v>-245.75299999999999</v>
      </c>
      <c r="W32" s="99">
        <f>IS!X10</f>
        <v>-311.56099999999998</v>
      </c>
      <c r="X32" s="99">
        <f>IS!Y10</f>
        <v>-355.95</v>
      </c>
      <c r="Y32" s="99">
        <f>IS!Z10</f>
        <v>-422.81700000000001</v>
      </c>
      <c r="Z32" s="99">
        <f>IS!AA10</f>
        <v>-431.24299999999999</v>
      </c>
      <c r="AA32" s="99">
        <f>IS!AB10</f>
        <v>-450.29899999999998</v>
      </c>
      <c r="AB32" s="99">
        <f>IS!AC10</f>
        <v>-492.45400000000001</v>
      </c>
      <c r="AC32" s="99">
        <f>IS!AD10</f>
        <v>-573.9</v>
      </c>
      <c r="AD32" s="99">
        <f>IS!AE10</f>
        <v>-548.78300000000002</v>
      </c>
      <c r="AE32" s="99">
        <f>IS!AF10</f>
        <v>-580.17200000000003</v>
      </c>
      <c r="AF32" s="99">
        <f>IS!AG10</f>
        <v>-584.04399999999998</v>
      </c>
      <c r="AG32" s="99">
        <f>IS!AH10</f>
        <v>-675.23699999999997</v>
      </c>
      <c r="AH32" s="99">
        <f>IS!AI10</f>
        <v>-673.96199999999999</v>
      </c>
      <c r="AI32" s="99">
        <f>IS!AJ10</f>
        <v>-659.40200000000004</v>
      </c>
      <c r="AJ32" s="99">
        <f>IS!AK10</f>
        <v>-663.125</v>
      </c>
      <c r="AK32" s="99">
        <f>IS!AL10</f>
        <v>-755.18700000000001</v>
      </c>
      <c r="AL32" s="99">
        <f>IS!AM10</f>
        <v>-776.55399999999997</v>
      </c>
      <c r="AM32" s="99">
        <f>IS!AN10</f>
        <v>-803.173</v>
      </c>
      <c r="AN32" s="99">
        <f>IS!AO10</f>
        <v>-714.8</v>
      </c>
      <c r="AO32" s="99">
        <f>IS!AP10</f>
        <v>-820.20100000000002</v>
      </c>
      <c r="AP32" s="99">
        <f>IS!AQ10</f>
        <v>-1918.633</v>
      </c>
      <c r="AQ32" s="99">
        <f>IS!AR10</f>
        <v>-1931.1320000000001</v>
      </c>
      <c r="AR32" s="99">
        <f>IS!AS10</f>
        <v>-2122.3960000000002</v>
      </c>
      <c r="AS32" s="99">
        <f>IS!AT10</f>
        <v>-2074.5039999999999</v>
      </c>
      <c r="AT32" s="99">
        <f>IS!AU10</f>
        <v>-2027.482</v>
      </c>
      <c r="AU32" s="99">
        <f>IS!AV10</f>
        <v>-2081.7910000000002</v>
      </c>
      <c r="AV32" s="99">
        <f>IS!AW10</f>
        <v>-2028.4639999999999</v>
      </c>
      <c r="AW32" s="99">
        <f>IS!AX10</f>
        <v>-2240.797</v>
      </c>
      <c r="AX32" s="99">
        <f>IS!AY10</f>
        <v>-2006.4860000000001</v>
      </c>
      <c r="AY32" s="99">
        <f>IS!AZ10</f>
        <v>-1989.127</v>
      </c>
      <c r="AZ32" s="99">
        <f>IS!BA10</f>
        <v>-1917.951</v>
      </c>
      <c r="BA32" s="99">
        <f>IS!BB10</f>
        <v>-2264.7640000000001</v>
      </c>
      <c r="BB32" s="99">
        <f>IS!BC10</f>
        <v>-2022.4459999999999</v>
      </c>
      <c r="BC32" s="99">
        <f>IS!BD10</f>
        <v>-1947.9110000000001</v>
      </c>
      <c r="BD32" s="99">
        <f>IS!BE10</f>
        <v>-1932.9380000000001</v>
      </c>
      <c r="BE32" s="99">
        <f>IS!BF10</f>
        <v>-1805.002</v>
      </c>
      <c r="BF32" s="99">
        <f>IS!BG10</f>
        <v>-2047.867</v>
      </c>
      <c r="BG32" s="99">
        <f>IS!BH10</f>
        <v>-2094.627</v>
      </c>
      <c r="BH32" s="99">
        <f>IS!BI10</f>
        <v>-2000.375</v>
      </c>
      <c r="BI32" s="99">
        <f>IS!BJ10</f>
        <v>-1917.1610000000001</v>
      </c>
      <c r="BJ32" s="99">
        <f>IS!BK10</f>
        <v>-1952.8019999999999</v>
      </c>
      <c r="BK32" s="1173">
        <f>IS!BL10</f>
        <v>-2050.1460000000002</v>
      </c>
      <c r="BL32" s="1400">
        <f>+BL33-Q_BS!BL57</f>
        <v>-2250.2906034554435</v>
      </c>
      <c r="BM32" s="1400">
        <f>+BM33-Q_BS!BM57</f>
        <v>-2104.7972435305028</v>
      </c>
      <c r="BN32" s="1400">
        <f>+BN33-Q_BS!BN57</f>
        <v>-2207.5158938331533</v>
      </c>
      <c r="BO32" s="1400">
        <f>+BO33-Q_BS!BO57</f>
        <v>-2257.8114041861095</v>
      </c>
      <c r="BP32" s="1400">
        <f>+BP33-Q_BS!BP57</f>
        <v>-2221.5084651551952</v>
      </c>
      <c r="BQ32" s="1400">
        <f>+BQ33-Q_BS!BQ57</f>
        <v>-2138.7106830724124</v>
      </c>
      <c r="BR32" s="1400">
        <f>+BR33-Q_BS!BR57</f>
        <v>-2248.9200263984249</v>
      </c>
      <c r="BS32" s="1400">
        <f>+BS33-Q_BS!BS57</f>
        <v>-2305.7113437520075</v>
      </c>
      <c r="BT32" s="1400">
        <f>+BT33-Q_BS!BT57</f>
        <v>-2273.647036256064</v>
      </c>
      <c r="BU32" s="1400">
        <f>+BU33-Q_BS!BU57</f>
        <v>-2195.1960833849462</v>
      </c>
      <c r="BV32" s="1400">
        <f>+BV33-Q_BS!BV57</f>
        <v>-2297.4425185865584</v>
      </c>
      <c r="BW32" s="1400">
        <f>+BW33-Q_BS!BW57</f>
        <v>-2352.4637091797276</v>
      </c>
      <c r="BX32" s="1400">
        <f>+BX33-Q_BS!BX57</f>
        <v>-2323.5997344274633</v>
      </c>
      <c r="BY32" s="1400">
        <f>+BY33-Q_BS!BY57</f>
        <v>-2251.47510865192</v>
      </c>
      <c r="BZ32" s="1400">
        <f>+BZ33-Q_BS!BZ57</f>
        <v>-2357.7657478318165</v>
      </c>
      <c r="CA32" s="1400">
        <f>+CA33-Q_BS!CA57</f>
        <v>-2383.6344129825757</v>
      </c>
      <c r="CB32" s="1400">
        <f>+CB33-Q_BS!CB57</f>
        <v>-2398.7920779905621</v>
      </c>
      <c r="CC32" s="1400">
        <f>+CC33-Q_BS!CC57</f>
        <v>-2421.7169934094472</v>
      </c>
      <c r="CD32" s="1400">
        <f>+CD33-Q_BS!CD57</f>
        <v>-2539.8491208867999</v>
      </c>
      <c r="CE32" s="1400">
        <f>+CE33-Q_BS!CE57</f>
        <v>-2577.3045288284443</v>
      </c>
      <c r="CF32" s="1400">
        <f>+CF33-Q_BS!CF57</f>
        <v>-2595.579571487332</v>
      </c>
      <c r="CG32" s="1400">
        <f>+CG33-Q_BS!CG57</f>
        <v>-2621.8582058620882</v>
      </c>
      <c r="CH32" s="1400">
        <f>+CH33-Q_BS!CH57</f>
        <v>-2747.8262830938393</v>
      </c>
      <c r="CI32" s="1400">
        <f>+CI33-Q_BS!CI57</f>
        <v>-2794.9749617355014</v>
      </c>
      <c r="CJ32" s="1400">
        <f>+CJ33-Q_BS!CJ57</f>
        <v>-2812.9181363435737</v>
      </c>
      <c r="CK32" s="1400">
        <f>+CK33-Q_BS!CK57</f>
        <v>-2839.2681600364699</v>
      </c>
      <c r="CL32" s="1400">
        <f>+CL33-Q_BS!CL57</f>
        <v>-2965.8114215140645</v>
      </c>
      <c r="CM32" s="1400">
        <f>+CM33-Q_BS!CM57</f>
        <v>-3024.7416905714904</v>
      </c>
      <c r="CN32" s="1400">
        <f>+CN33-Q_BS!CN57</f>
        <v>-3044.4347104735716</v>
      </c>
      <c r="CO32" s="1400">
        <f>+CO33-Q_BS!CO57</f>
        <v>-3073.0017661583588</v>
      </c>
      <c r="CP32" s="1400">
        <f>+CP33-Q_BS!CP57</f>
        <v>-3203.9001347997209</v>
      </c>
      <c r="CQ32" s="1400">
        <f>+CQ33-Q_BS!CQ57</f>
        <v>-3276.5748005211581</v>
      </c>
      <c r="CR32" s="1400">
        <f>+CR33-Q_BS!CR57</f>
        <v>-3297.4062042657361</v>
      </c>
      <c r="CS32" s="1400">
        <f>+CS33-Q_BS!CS57</f>
        <v>-3327.6938277372201</v>
      </c>
      <c r="CT32" s="1400">
        <f>+CT33-Q_BS!CT57</f>
        <v>-3461.7337979894614</v>
      </c>
      <c r="CU32" s="1400">
        <f>+CU33-Q_BS!CU57</f>
        <v>-3549.162031006118</v>
      </c>
      <c r="CV32" s="1400">
        <f>+CV33-Q_BS!CV57</f>
        <v>-3570.6080420108328</v>
      </c>
      <c r="CW32" s="1400">
        <f>+CW33-Q_BS!CW57</f>
        <v>-3602.232423784852</v>
      </c>
    </row>
    <row r="33" spans="1:101" s="1209" customFormat="1">
      <c r="A33" s="1211" t="s">
        <v>1217</v>
      </c>
      <c r="B33" s="1231">
        <f>IS!C31</f>
        <v>-169.16900000000001</v>
      </c>
      <c r="C33" s="1231">
        <f>IS!D31</f>
        <v>-172.602</v>
      </c>
      <c r="D33" s="1231">
        <f>IS!E31</f>
        <v>-162.68199999999999</v>
      </c>
      <c r="E33" s="1231">
        <f>IS!F31</f>
        <v>-160.714</v>
      </c>
      <c r="F33" s="1231">
        <f>IS!G31</f>
        <v>-167.70500000000001</v>
      </c>
      <c r="G33" s="1231">
        <f>IS!H31</f>
        <v>-159.44399999999999</v>
      </c>
      <c r="H33" s="1231">
        <f>IS!I31</f>
        <v>-163.34200000000001</v>
      </c>
      <c r="I33" s="1231">
        <f>IS!J31</f>
        <v>-180.035</v>
      </c>
      <c r="J33" s="1231">
        <f>IS!K31</f>
        <v>-161.67400000000001</v>
      </c>
      <c r="K33" s="1231">
        <f>IS!L31</f>
        <v>-167.221</v>
      </c>
      <c r="L33" s="1231">
        <f>IS!M31</f>
        <v>-165.66499999999999</v>
      </c>
      <c r="M33" s="1231">
        <f>IS!N31</f>
        <v>-167.21899999999999</v>
      </c>
      <c r="N33" s="1231">
        <f>IS!O31</f>
        <v>-181.125</v>
      </c>
      <c r="O33" s="1231">
        <f>IS!P31</f>
        <v>-200.887</v>
      </c>
      <c r="P33" s="1231">
        <f>IS!Q31</f>
        <v>-210.167</v>
      </c>
      <c r="Q33" s="1231">
        <f>IS!R31</f>
        <v>-213.62200000000001</v>
      </c>
      <c r="R33" s="1231">
        <f>IS!S31</f>
        <v>-204.09899999999999</v>
      </c>
      <c r="S33" s="1231">
        <f>IS!T31</f>
        <v>-230.196</v>
      </c>
      <c r="T33" s="1231">
        <f>IS!U31</f>
        <v>-240.52600000000001</v>
      </c>
      <c r="U33" s="1231">
        <f>IS!V31</f>
        <v>-247.25299999999999</v>
      </c>
      <c r="V33" s="1231">
        <f>IS!W31</f>
        <v>-245.75299999999999</v>
      </c>
      <c r="W33" s="1231">
        <f>IS!X31</f>
        <v>-311.56099999999998</v>
      </c>
      <c r="X33" s="1231">
        <f>IS!Y31</f>
        <v>-355.95</v>
      </c>
      <c r="Y33" s="1231">
        <f>IS!Z31</f>
        <v>-422.81700000000001</v>
      </c>
      <c r="Z33" s="1231">
        <f>IS!AA31</f>
        <v>-431.24299999999999</v>
      </c>
      <c r="AA33" s="1232">
        <f>IS!AB31</f>
        <v>-450.29899999999998</v>
      </c>
      <c r="AB33" s="1232">
        <f>IS!AC31</f>
        <v>-492.45400000000001</v>
      </c>
      <c r="AC33" s="1232">
        <f>IS!AD31</f>
        <v>-573.9</v>
      </c>
      <c r="AD33" s="1232">
        <f>IS!AE31</f>
        <v>-548.78300000000002</v>
      </c>
      <c r="AE33" s="1232">
        <f>IS!AF31</f>
        <v>-580.17200000000003</v>
      </c>
      <c r="AF33" s="1232">
        <f>IS!AG31</f>
        <v>-584.04399999999998</v>
      </c>
      <c r="AG33" s="1232">
        <f>IS!AH31</f>
        <v>-675.23699999999997</v>
      </c>
      <c r="AH33" s="1232">
        <f>IS!AI31</f>
        <v>-673.96199999999999</v>
      </c>
      <c r="AI33" s="1232">
        <f>IS!AJ31</f>
        <v>-659.40200000000004</v>
      </c>
      <c r="AJ33" s="1232">
        <f>IS!AK31</f>
        <v>-663.125</v>
      </c>
      <c r="AK33" s="1232">
        <f>IS!AL31</f>
        <v>-755.18700000000001</v>
      </c>
      <c r="AL33" s="1232">
        <f>IS!AM31</f>
        <v>-776.55399999999997</v>
      </c>
      <c r="AM33" s="1232">
        <f>IS!AN31</f>
        <v>-803.173</v>
      </c>
      <c r="AN33" s="1232">
        <f>IS!AO31</f>
        <v>-714.8</v>
      </c>
      <c r="AO33" s="1232">
        <f>IS!AP31</f>
        <v>-820.20100000000002</v>
      </c>
      <c r="AP33" s="1232">
        <f>IS!AQ31</f>
        <v>-986.25600000000009</v>
      </c>
      <c r="AQ33" s="1232">
        <f>IS!AR31</f>
        <v>-1043.7080000000001</v>
      </c>
      <c r="AR33" s="1232">
        <f>IS!AS31</f>
        <v>-980.75199999999995</v>
      </c>
      <c r="AS33" s="1232">
        <f>IS!AT31</f>
        <v>-1246.5680000000002</v>
      </c>
      <c r="AT33" s="1232">
        <f>IS!AU31</f>
        <v>-1029.412</v>
      </c>
      <c r="AU33" s="1232">
        <f>IS!AV31</f>
        <v>-1186.701</v>
      </c>
      <c r="AV33" s="1232">
        <f>IS!AW31</f>
        <v>-1024.193</v>
      </c>
      <c r="AW33" s="1232">
        <f>IS!AX31</f>
        <v>-1113.058</v>
      </c>
      <c r="AX33" s="1232">
        <f>IS!AY31</f>
        <v>-924.75099999999998</v>
      </c>
      <c r="AY33" s="1232">
        <f>IS!AZ31</f>
        <v>-948.34199999999998</v>
      </c>
      <c r="AZ33" s="1232">
        <f>IS!BA31</f>
        <v>-906.15499999999997</v>
      </c>
      <c r="BA33" s="1232">
        <f>IS!BB31</f>
        <v>-960.79599999999994</v>
      </c>
      <c r="BB33" s="1232">
        <f>IS!BC31</f>
        <v>-809.755</v>
      </c>
      <c r="BC33" s="1232">
        <f>IS!BD31</f>
        <v>-797.96500000000003</v>
      </c>
      <c r="BD33" s="1232">
        <f>IS!BE31</f>
        <v>-816.93000000000006</v>
      </c>
      <c r="BE33" s="1232">
        <f>IS!BF31</f>
        <v>-926.34500000000003</v>
      </c>
      <c r="BF33" s="1232">
        <f>IS!BG31</f>
        <v>-975.60399999999993</v>
      </c>
      <c r="BG33" s="1232">
        <f>IS!BH31</f>
        <v>-1052.0419999999999</v>
      </c>
      <c r="BH33" s="1232">
        <f>IS!BI31</f>
        <v>-990.71699999999998</v>
      </c>
      <c r="BI33" s="1232">
        <f>IS!BJ31</f>
        <v>-895.24200000000008</v>
      </c>
      <c r="BJ33" s="1232">
        <f>IS!BK31</f>
        <v>-1009.179</v>
      </c>
      <c r="BK33" s="1308">
        <f>IS!BL31</f>
        <v>-1040.1680000000001</v>
      </c>
      <c r="BL33" s="1233">
        <f t="shared" ref="BL33:CW33" si="221">-BL107</f>
        <v>-1079.3370951699237</v>
      </c>
      <c r="BM33" s="1233">
        <f t="shared" si="221"/>
        <v>-998.64321553060017</v>
      </c>
      <c r="BN33" s="1233">
        <f t="shared" si="221"/>
        <v>-1110.0173421545605</v>
      </c>
      <c r="BO33" s="1233">
        <f t="shared" si="221"/>
        <v>-1169.8559332582136</v>
      </c>
      <c r="BP33" s="1233">
        <f t="shared" si="221"/>
        <v>-1141.4255824512677</v>
      </c>
      <c r="BQ33" s="1233">
        <f t="shared" si="221"/>
        <v>-1055.6542329951003</v>
      </c>
      <c r="BR33" s="1233">
        <f t="shared" si="221"/>
        <v>-1158.9711804435926</v>
      </c>
      <c r="BS33" s="1233">
        <f t="shared" si="221"/>
        <v>-1213.6049664882962</v>
      </c>
      <c r="BT33" s="1233">
        <f t="shared" si="221"/>
        <v>-1184.628209643168</v>
      </c>
      <c r="BU33" s="1233">
        <f t="shared" si="221"/>
        <v>-1101.7787747739694</v>
      </c>
      <c r="BV33" s="1233">
        <f t="shared" si="221"/>
        <v>-1196.3420399479401</v>
      </c>
      <c r="BW33" s="1233">
        <f t="shared" si="221"/>
        <v>-1248.4930769401651</v>
      </c>
      <c r="BX33" s="1233">
        <f t="shared" si="221"/>
        <v>-1221.5711017089588</v>
      </c>
      <c r="BY33" s="1233">
        <f t="shared" si="221"/>
        <v>-1143.9739879943038</v>
      </c>
      <c r="BZ33" s="1233">
        <f t="shared" si="221"/>
        <v>-1242.7023125682226</v>
      </c>
      <c r="CA33" s="1233">
        <f t="shared" si="221"/>
        <v>-1265.6019117942135</v>
      </c>
      <c r="CB33" s="1233">
        <f t="shared" si="221"/>
        <v>-1279.1789205595851</v>
      </c>
      <c r="CC33" s="1233">
        <f t="shared" si="221"/>
        <v>-1293.3149784432658</v>
      </c>
      <c r="CD33" s="1233">
        <f t="shared" si="221"/>
        <v>-1400.8760696827246</v>
      </c>
      <c r="CE33" s="1233">
        <f t="shared" si="221"/>
        <v>-1432.2962822928512</v>
      </c>
      <c r="CF33" s="1233">
        <f t="shared" si="221"/>
        <v>-1446.0253448353528</v>
      </c>
      <c r="CG33" s="1233">
        <f t="shared" si="221"/>
        <v>-1460.5469580103734</v>
      </c>
      <c r="CH33" s="1233">
        <f t="shared" si="221"/>
        <v>-1573.3291085616988</v>
      </c>
      <c r="CI33" s="1233">
        <f t="shared" si="221"/>
        <v>-1612.5068324342103</v>
      </c>
      <c r="CJ33" s="1233">
        <f t="shared" si="221"/>
        <v>-1624.0611379055249</v>
      </c>
      <c r="CK33" s="1233">
        <f t="shared" si="221"/>
        <v>-1636.7740423295049</v>
      </c>
      <c r="CL33" s="1233">
        <f t="shared" si="221"/>
        <v>-1749.2503709479677</v>
      </c>
      <c r="CM33" s="1233">
        <f t="shared" si="221"/>
        <v>-1799.2881410660655</v>
      </c>
      <c r="CN33" s="1233">
        <f t="shared" si="221"/>
        <v>-1810.3030501289245</v>
      </c>
      <c r="CO33" s="1233">
        <f t="shared" si="221"/>
        <v>-1822.8711631056476</v>
      </c>
      <c r="CP33" s="1233">
        <f t="shared" si="221"/>
        <v>-1937.6831395694323</v>
      </c>
      <c r="CQ33" s="1233">
        <f t="shared" si="221"/>
        <v>-1999.7948593680294</v>
      </c>
      <c r="CR33" s="1233">
        <f t="shared" si="221"/>
        <v>-2009.9181621549333</v>
      </c>
      <c r="CS33" s="1233">
        <f t="shared" si="221"/>
        <v>-2022.0953363765193</v>
      </c>
      <c r="CT33" s="1233">
        <f t="shared" si="221"/>
        <v>-2138.2751547729204</v>
      </c>
      <c r="CU33" s="1233">
        <f t="shared" si="221"/>
        <v>-2213.7157240830011</v>
      </c>
      <c r="CV33" s="1233">
        <f t="shared" si="221"/>
        <v>-2222.6102600388676</v>
      </c>
      <c r="CW33" s="1233">
        <f t="shared" si="221"/>
        <v>-2234.1762869702638</v>
      </c>
    </row>
    <row r="34" spans="1:101">
      <c r="A34" s="13" t="s">
        <v>1372</v>
      </c>
      <c r="B34" s="375">
        <f t="shared" ref="B34:AO34" si="222">+B20+B33</f>
        <v>4.6009999999999707</v>
      </c>
      <c r="C34" s="375">
        <f t="shared" si="222"/>
        <v>17.403999999999854</v>
      </c>
      <c r="D34" s="375">
        <f t="shared" si="222"/>
        <v>74.550999999999732</v>
      </c>
      <c r="E34" s="375">
        <f t="shared" si="222"/>
        <v>238.51299999999986</v>
      </c>
      <c r="F34" s="375">
        <f t="shared" si="222"/>
        <v>56.001000000000118</v>
      </c>
      <c r="G34" s="375">
        <f t="shared" si="222"/>
        <v>94.095999999999975</v>
      </c>
      <c r="H34" s="375">
        <f t="shared" si="222"/>
        <v>74.178999999999945</v>
      </c>
      <c r="I34" s="375">
        <f t="shared" si="222"/>
        <v>103.82899999999981</v>
      </c>
      <c r="J34" s="375">
        <f t="shared" si="222"/>
        <v>65.678000000000083</v>
      </c>
      <c r="K34" s="375">
        <f t="shared" si="222"/>
        <v>143.53600000000029</v>
      </c>
      <c r="L34" s="375">
        <f t="shared" si="222"/>
        <v>118.55100000000013</v>
      </c>
      <c r="M34" s="375">
        <f t="shared" si="222"/>
        <v>125.30299999999994</v>
      </c>
      <c r="N34" s="375">
        <f t="shared" si="222"/>
        <v>104.13199999999983</v>
      </c>
      <c r="O34" s="354">
        <f t="shared" si="222"/>
        <v>230.29799999999972</v>
      </c>
      <c r="P34" s="354">
        <f t="shared" si="222"/>
        <v>202.35699999999989</v>
      </c>
      <c r="Q34" s="354">
        <f t="shared" si="222"/>
        <v>265.47699999999992</v>
      </c>
      <c r="R34" s="354">
        <f t="shared" si="222"/>
        <v>169.36800000000011</v>
      </c>
      <c r="S34" s="354">
        <f t="shared" si="222"/>
        <v>274.81100000000004</v>
      </c>
      <c r="T34" s="354">
        <f t="shared" si="222"/>
        <v>305.40599999999978</v>
      </c>
      <c r="U34" s="354">
        <f t="shared" si="222"/>
        <v>367.06300000000027</v>
      </c>
      <c r="V34" s="354">
        <f t="shared" si="222"/>
        <v>178.00000000000017</v>
      </c>
      <c r="W34" s="354">
        <f t="shared" si="222"/>
        <v>306.75099999999992</v>
      </c>
      <c r="X34" s="354">
        <f t="shared" si="222"/>
        <v>349.76200000000046</v>
      </c>
      <c r="Y34" s="354">
        <f t="shared" si="222"/>
        <v>622.49799999999959</v>
      </c>
      <c r="Z34" s="354">
        <f t="shared" si="222"/>
        <v>418.99100000000129</v>
      </c>
      <c r="AA34" s="592">
        <f t="shared" si="222"/>
        <v>547.40099999999984</v>
      </c>
      <c r="AB34" s="592">
        <f t="shared" si="222"/>
        <v>594.50099999999998</v>
      </c>
      <c r="AC34" s="592">
        <f t="shared" si="222"/>
        <v>792.93999999999926</v>
      </c>
      <c r="AD34" s="592">
        <f t="shared" si="222"/>
        <v>486.37900000000025</v>
      </c>
      <c r="AE34" s="592">
        <f t="shared" si="222"/>
        <v>642.83599999999888</v>
      </c>
      <c r="AF34" s="592">
        <f t="shared" si="222"/>
        <v>743.67899999999997</v>
      </c>
      <c r="AG34" s="592">
        <f t="shared" si="222"/>
        <v>894.10800000000029</v>
      </c>
      <c r="AH34" s="592">
        <f t="shared" si="222"/>
        <v>613.14399999999978</v>
      </c>
      <c r="AI34" s="592">
        <f t="shared" si="222"/>
        <v>747.06900000000041</v>
      </c>
      <c r="AJ34" s="592">
        <f t="shared" si="222"/>
        <v>751.73599999999897</v>
      </c>
      <c r="AK34" s="592">
        <f t="shared" si="222"/>
        <v>1602.6190000000006</v>
      </c>
      <c r="AL34" s="592">
        <f t="shared" si="222"/>
        <v>651.37</v>
      </c>
      <c r="AM34" s="592">
        <f t="shared" si="222"/>
        <v>775.71499999999992</v>
      </c>
      <c r="AN34" s="592">
        <f t="shared" si="222"/>
        <v>822.13500000000045</v>
      </c>
      <c r="AO34" s="592">
        <f t="shared" si="222"/>
        <v>1044.3689999999988</v>
      </c>
      <c r="AP34" s="1413">
        <f t="shared" ref="AP34:AU34" si="223">+AP18+AP32</f>
        <v>829.26</v>
      </c>
      <c r="AQ34" s="1413">
        <f t="shared" si="223"/>
        <v>1130.3750000000014</v>
      </c>
      <c r="AR34" s="1413">
        <f t="shared" si="223"/>
        <v>1346.8609999999985</v>
      </c>
      <c r="AS34" s="1413">
        <f t="shared" si="223"/>
        <v>1264.3979999999992</v>
      </c>
      <c r="AT34" s="1413">
        <f t="shared" si="223"/>
        <v>467.56899999999951</v>
      </c>
      <c r="AU34" s="1413">
        <f t="shared" si="223"/>
        <v>-2984.7930000000006</v>
      </c>
      <c r="AV34" s="1413">
        <f t="shared" ref="AV34:BC34" si="224">+AV18+AV32</f>
        <v>79.013999999999214</v>
      </c>
      <c r="AW34" s="1413">
        <f t="shared" si="224"/>
        <v>984.41199999999981</v>
      </c>
      <c r="AX34" s="1413">
        <f t="shared" si="224"/>
        <v>38.241999999999962</v>
      </c>
      <c r="AY34" s="1413">
        <f t="shared" si="224"/>
        <v>858.93799999999965</v>
      </c>
      <c r="AZ34" s="1413">
        <f t="shared" si="224"/>
        <v>1226.3409999999994</v>
      </c>
      <c r="BA34" s="1413">
        <f t="shared" si="224"/>
        <v>2009.42</v>
      </c>
      <c r="BB34" s="1413">
        <f t="shared" si="224"/>
        <v>1435.2399999999998</v>
      </c>
      <c r="BC34" s="1413">
        <f t="shared" si="224"/>
        <v>1679.5630000000001</v>
      </c>
      <c r="BD34" s="1413">
        <f t="shared" ref="BD34:BG34" si="225">+BD18+BD32</f>
        <v>1544.8589999999986</v>
      </c>
      <c r="BE34" s="1413">
        <f t="shared" si="225"/>
        <v>1681.8349999999996</v>
      </c>
      <c r="BF34" s="1413">
        <f t="shared" si="225"/>
        <v>1636.539</v>
      </c>
      <c r="BG34" s="1413">
        <f t="shared" si="225"/>
        <v>1744.8609999999994</v>
      </c>
      <c r="BH34" s="1413">
        <f t="shared" ref="BH34" si="226">+BH18+BH32</f>
        <v>1930.4089999999978</v>
      </c>
      <c r="BI34" s="1413">
        <f t="shared" ref="BI34:BJ34" si="227">+BI18+BI32</f>
        <v>2588.5499999999993</v>
      </c>
      <c r="BJ34" s="1413">
        <f t="shared" si="227"/>
        <v>1782.4330000000007</v>
      </c>
      <c r="BK34" s="1414">
        <f t="shared" ref="BK34" si="228">+BK18+BK32</f>
        <v>1941.9970000000017</v>
      </c>
      <c r="BL34" s="584">
        <f t="shared" ref="BL34:CW34" si="229">+BL18+BL32</f>
        <v>1620.4937818446597</v>
      </c>
      <c r="BM34" s="584">
        <f t="shared" si="229"/>
        <v>2081.5493564118069</v>
      </c>
      <c r="BN34" s="584">
        <f t="shared" si="229"/>
        <v>1601.9644858543779</v>
      </c>
      <c r="BO34" s="584">
        <f t="shared" si="229"/>
        <v>1871.6208997781982</v>
      </c>
      <c r="BP34" s="584">
        <f t="shared" si="229"/>
        <v>2005.8040162276156</v>
      </c>
      <c r="BQ34" s="584">
        <f t="shared" si="229"/>
        <v>2393.0538965586575</v>
      </c>
      <c r="BR34" s="584">
        <f t="shared" si="229"/>
        <v>1856.179592178446</v>
      </c>
      <c r="BS34" s="584">
        <f t="shared" si="229"/>
        <v>2094.4169071594733</v>
      </c>
      <c r="BT34" s="584">
        <f t="shared" si="229"/>
        <v>2229.9464346845753</v>
      </c>
      <c r="BU34" s="584">
        <f t="shared" si="229"/>
        <v>2631.2154720679246</v>
      </c>
      <c r="BV34" s="584">
        <f t="shared" si="229"/>
        <v>2053.3016671223322</v>
      </c>
      <c r="BW34" s="584">
        <f t="shared" si="229"/>
        <v>2303.3542104987782</v>
      </c>
      <c r="BX34" s="584">
        <f t="shared" si="229"/>
        <v>2443.4681478564803</v>
      </c>
      <c r="BY34" s="584">
        <f t="shared" si="229"/>
        <v>2862.6226387943998</v>
      </c>
      <c r="BZ34" s="584">
        <f t="shared" si="229"/>
        <v>2079.125027260015</v>
      </c>
      <c r="CA34" s="584">
        <f t="shared" si="229"/>
        <v>2360.5629076516507</v>
      </c>
      <c r="CB34" s="584">
        <f t="shared" si="229"/>
        <v>2461.9426324764531</v>
      </c>
      <c r="CC34" s="584">
        <f t="shared" si="229"/>
        <v>2805.3977990398271</v>
      </c>
      <c r="CD34" s="584">
        <f t="shared" si="229"/>
        <v>2130.3889480030211</v>
      </c>
      <c r="CE34" s="584">
        <f t="shared" si="229"/>
        <v>2411.1487651864068</v>
      </c>
      <c r="CF34" s="584">
        <f t="shared" si="229"/>
        <v>2518.9510914237462</v>
      </c>
      <c r="CG34" s="584">
        <f t="shared" si="229"/>
        <v>2884.9605073870339</v>
      </c>
      <c r="CH34" s="584">
        <f t="shared" si="229"/>
        <v>2165.5660492355955</v>
      </c>
      <c r="CI34" s="584">
        <f t="shared" si="229"/>
        <v>2445.4659286173405</v>
      </c>
      <c r="CJ34" s="584">
        <f t="shared" si="229"/>
        <v>2561.2167694341779</v>
      </c>
      <c r="CK34" s="584">
        <f t="shared" si="229"/>
        <v>2950.0895789586052</v>
      </c>
      <c r="CL34" s="584">
        <f t="shared" si="229"/>
        <v>2192.4770337760915</v>
      </c>
      <c r="CM34" s="584">
        <f t="shared" si="229"/>
        <v>2471.7557174963026</v>
      </c>
      <c r="CN34" s="584">
        <f t="shared" si="229"/>
        <v>2596.3803865421123</v>
      </c>
      <c r="CO34" s="584">
        <f t="shared" si="229"/>
        <v>3010.4505235794022</v>
      </c>
      <c r="CP34" s="584">
        <f t="shared" si="229"/>
        <v>2210.8507506636824</v>
      </c>
      <c r="CQ34" s="584">
        <f t="shared" si="229"/>
        <v>2487.8731177772052</v>
      </c>
      <c r="CR34" s="584">
        <f t="shared" si="229"/>
        <v>2622.844437859244</v>
      </c>
      <c r="CS34" s="584">
        <f t="shared" si="229"/>
        <v>3064.1959760779873</v>
      </c>
      <c r="CT34" s="584">
        <f t="shared" si="229"/>
        <v>2221.7808177462653</v>
      </c>
      <c r="CU34" s="584">
        <f t="shared" si="229"/>
        <v>2495.7118340687093</v>
      </c>
      <c r="CV34" s="584">
        <f t="shared" si="229"/>
        <v>2642.0348483601583</v>
      </c>
      <c r="CW34" s="584">
        <f t="shared" si="229"/>
        <v>3108.8957926292419</v>
      </c>
    </row>
    <row r="35" spans="1:101">
      <c r="A35" s="312" t="s">
        <v>535</v>
      </c>
      <c r="B35" s="372"/>
      <c r="C35" s="372"/>
      <c r="D35" s="372"/>
      <c r="E35" s="372"/>
      <c r="F35" s="372">
        <f t="shared" ref="F35:AK35" si="230">F34/B34-1</f>
        <v>11.171484459900125</v>
      </c>
      <c r="G35" s="372">
        <f t="shared" si="230"/>
        <v>4.4065732015629031</v>
      </c>
      <c r="H35" s="372">
        <f t="shared" si="230"/>
        <v>-4.989872704588616E-3</v>
      </c>
      <c r="I35" s="372">
        <f t="shared" si="230"/>
        <v>-0.56468200894710197</v>
      </c>
      <c r="J35" s="372">
        <f t="shared" si="230"/>
        <v>0.17280048570561135</v>
      </c>
      <c r="K35" s="372">
        <f t="shared" si="230"/>
        <v>0.52542084679476631</v>
      </c>
      <c r="L35" s="372">
        <f t="shared" si="230"/>
        <v>0.5981746855579102</v>
      </c>
      <c r="M35" s="372">
        <f t="shared" si="230"/>
        <v>0.20682083040383881</v>
      </c>
      <c r="N35" s="372">
        <f t="shared" si="230"/>
        <v>0.58549285910045534</v>
      </c>
      <c r="O35" s="350">
        <f t="shared" si="230"/>
        <v>0.60446159848399894</v>
      </c>
      <c r="P35" s="350">
        <f t="shared" si="230"/>
        <v>0.70691938490607131</v>
      </c>
      <c r="Q35" s="350">
        <f t="shared" si="230"/>
        <v>1.1186803189069701</v>
      </c>
      <c r="R35" s="350">
        <f t="shared" si="230"/>
        <v>0.62647409057734782</v>
      </c>
      <c r="S35" s="350">
        <f t="shared" si="230"/>
        <v>0.19328435331613991</v>
      </c>
      <c r="T35" s="350">
        <f t="shared" si="230"/>
        <v>0.50924356459129139</v>
      </c>
      <c r="U35" s="350">
        <f t="shared" si="230"/>
        <v>0.38265461791417099</v>
      </c>
      <c r="V35" s="350">
        <f t="shared" si="230"/>
        <v>5.0965943979973005E-2</v>
      </c>
      <c r="W35" s="350">
        <f t="shared" si="230"/>
        <v>0.1162253330470755</v>
      </c>
      <c r="X35" s="350">
        <f t="shared" si="230"/>
        <v>0.14523617741629402</v>
      </c>
      <c r="Y35" s="350">
        <f t="shared" si="230"/>
        <v>0.69588871665081786</v>
      </c>
      <c r="Z35" s="350">
        <f t="shared" si="230"/>
        <v>1.353882022471915</v>
      </c>
      <c r="AA35" s="353">
        <f t="shared" si="230"/>
        <v>0.78451251992658544</v>
      </c>
      <c r="AB35" s="353">
        <f t="shared" si="230"/>
        <v>0.6997301021837683</v>
      </c>
      <c r="AC35" s="353">
        <f t="shared" si="230"/>
        <v>0.27380328932783682</v>
      </c>
      <c r="AD35" s="353">
        <f t="shared" si="230"/>
        <v>0.1608340035943463</v>
      </c>
      <c r="AE35" s="353">
        <f t="shared" si="230"/>
        <v>0.17434202714280578</v>
      </c>
      <c r="AF35" s="353">
        <f t="shared" si="230"/>
        <v>0.25092977135446359</v>
      </c>
      <c r="AG35" s="353">
        <f t="shared" si="230"/>
        <v>0.12758594597321493</v>
      </c>
      <c r="AH35" s="353">
        <f t="shared" si="230"/>
        <v>0.26063008476928373</v>
      </c>
      <c r="AI35" s="353">
        <f t="shared" si="230"/>
        <v>0.16214555500936734</v>
      </c>
      <c r="AJ35" s="353">
        <f t="shared" si="230"/>
        <v>1.0833975411432828E-2</v>
      </c>
      <c r="AK35" s="353">
        <f t="shared" si="230"/>
        <v>0.79242216823918366</v>
      </c>
      <c r="AL35" s="353">
        <f t="shared" ref="AL35:AZ35" si="231">AL34/AH34-1</f>
        <v>6.2344245397492726E-2</v>
      </c>
      <c r="AM35" s="353">
        <f t="shared" si="231"/>
        <v>3.8344517039255344E-2</v>
      </c>
      <c r="AN35" s="353">
        <f t="shared" si="231"/>
        <v>9.3648568114340192E-2</v>
      </c>
      <c r="AO35" s="353">
        <f t="shared" si="231"/>
        <v>-0.34833606739967615</v>
      </c>
      <c r="AP35" s="344">
        <f t="shared" si="231"/>
        <v>0.27310130954756895</v>
      </c>
      <c r="AQ35" s="344">
        <f t="shared" si="231"/>
        <v>0.45720399889134722</v>
      </c>
      <c r="AR35" s="344">
        <f t="shared" si="231"/>
        <v>0.63824797630559194</v>
      </c>
      <c r="AS35" s="344">
        <f t="shared" si="231"/>
        <v>0.21068128219049087</v>
      </c>
      <c r="AT35" s="344">
        <f t="shared" si="231"/>
        <v>-0.436161155729205</v>
      </c>
      <c r="AU35" s="344">
        <f t="shared" si="231"/>
        <v>-3.6405334512882868</v>
      </c>
      <c r="AV35" s="344">
        <f t="shared" si="231"/>
        <v>-0.94133470343264869</v>
      </c>
      <c r="AW35" s="344">
        <f t="shared" si="231"/>
        <v>-0.22143818639384083</v>
      </c>
      <c r="AX35" s="344">
        <f t="shared" si="231"/>
        <v>-0.91821100201253714</v>
      </c>
      <c r="AY35" s="344">
        <f t="shared" si="231"/>
        <v>-1.2877713797908261</v>
      </c>
      <c r="AZ35" s="344">
        <f t="shared" si="231"/>
        <v>14.520553319665018</v>
      </c>
      <c r="BA35" s="344">
        <f t="shared" ref="BA35:BI35" si="232">BA34/AW34-1</f>
        <v>1.0412388308960074</v>
      </c>
      <c r="BB35" s="344">
        <f t="shared" si="232"/>
        <v>36.530463887872003</v>
      </c>
      <c r="BC35" s="344">
        <f t="shared" si="232"/>
        <v>0.95539491791025744</v>
      </c>
      <c r="BD35" s="344">
        <f t="shared" si="232"/>
        <v>0.25973036863319354</v>
      </c>
      <c r="BE35" s="344">
        <f t="shared" si="232"/>
        <v>-0.16302465388022436</v>
      </c>
      <c r="BF35" s="344">
        <f t="shared" si="232"/>
        <v>0.14025459156656739</v>
      </c>
      <c r="BG35" s="344">
        <f t="shared" si="232"/>
        <v>3.887797004339788E-2</v>
      </c>
      <c r="BH35" s="344">
        <f t="shared" si="232"/>
        <v>0.24956970183039329</v>
      </c>
      <c r="BI35" s="344">
        <f t="shared" si="232"/>
        <v>0.53912244661337172</v>
      </c>
      <c r="BJ35" s="344">
        <f t="shared" ref="BJ35" si="233">BJ34/BF34-1</f>
        <v>8.914789076215146E-2</v>
      </c>
      <c r="BK35" s="1387">
        <f t="shared" ref="BK35" si="234">BK34/BG34-1</f>
        <v>0.11298091939701926</v>
      </c>
      <c r="BL35" s="382">
        <f t="shared" ref="BL35" si="235">BL34/BH34-1</f>
        <v>-0.16054381126245187</v>
      </c>
      <c r="BM35" s="382">
        <f t="shared" ref="BM35" si="236">BM34/BI34-1</f>
        <v>-0.1958627971598742</v>
      </c>
      <c r="BN35" s="382">
        <f t="shared" ref="BN35" si="237">BN34/BJ34-1</f>
        <v>-0.10124841390707118</v>
      </c>
      <c r="BO35" s="382">
        <f t="shared" ref="BO35" si="238">BO34/BK34-1</f>
        <v>-3.6239036528791457E-2</v>
      </c>
      <c r="BP35" s="382">
        <f t="shared" ref="BP35" si="239">BP34/BL34-1</f>
        <v>0.23777334951840734</v>
      </c>
      <c r="BQ35" s="382">
        <f t="shared" ref="BQ35" si="240">BQ34/BM34-1</f>
        <v>0.14965032618002616</v>
      </c>
      <c r="BR35" s="382">
        <f t="shared" ref="BR35" si="241">BR34/BN34-1</f>
        <v>0.15868960177883551</v>
      </c>
      <c r="BS35" s="382">
        <f t="shared" ref="BS35" si="242">BS34/BO34-1</f>
        <v>0.11903906790508589</v>
      </c>
      <c r="BT35" s="382">
        <f t="shared" ref="BT35" si="243">BT34/BP34-1</f>
        <v>0.11174691876353493</v>
      </c>
      <c r="BU35" s="382">
        <f t="shared" ref="BU35" si="244">BU34/BQ34-1</f>
        <v>9.9522027419339132E-2</v>
      </c>
      <c r="BV35" s="382">
        <f t="shared" ref="BV35" si="245">BV34/BR34-1</f>
        <v>0.10619773850252301</v>
      </c>
      <c r="BW35" s="382">
        <f t="shared" ref="BW35" si="246">BW34/BS34-1</f>
        <v>9.9759175274551026E-2</v>
      </c>
      <c r="BX35" s="382">
        <f t="shared" ref="BX35" si="247">BX34/BT34-1</f>
        <v>9.5751947154778971E-2</v>
      </c>
      <c r="BY35" s="382">
        <f t="shared" ref="BY35" si="248">BY34/BU34-1</f>
        <v>8.7946870631848251E-2</v>
      </c>
      <c r="BZ35" s="382">
        <f t="shared" ref="BZ35" si="249">BZ34/BV34-1</f>
        <v>1.2576505708425056E-2</v>
      </c>
      <c r="CA35" s="382">
        <f t="shared" ref="CA35" si="250">CA34/BW34-1</f>
        <v>2.4837125307133778E-2</v>
      </c>
      <c r="CB35" s="382">
        <f t="shared" ref="CB35" si="251">CB34/BX34-1</f>
        <v>7.5607634321648298E-3</v>
      </c>
      <c r="CC35" s="382">
        <f t="shared" ref="CC35" si="252">CC34/BY34-1</f>
        <v>-1.9990353942939909E-2</v>
      </c>
      <c r="CD35" s="382">
        <f t="shared" ref="CD35" si="253">CD34/BZ34-1</f>
        <v>2.4656487739250776E-2</v>
      </c>
      <c r="CE35" s="382">
        <f t="shared" ref="CE35" si="254">CE34/CA34-1</f>
        <v>2.1429574009989016E-2</v>
      </c>
      <c r="CF35" s="382">
        <f t="shared" ref="CF35" si="255">CF34/CB34-1</f>
        <v>2.3155884379786995E-2</v>
      </c>
      <c r="CG35" s="382">
        <f t="shared" ref="CG35" si="256">CG34/CC34-1</f>
        <v>2.8360579870148062E-2</v>
      </c>
      <c r="CH35" s="382">
        <f t="shared" ref="CH35" si="257">CH34/CD34-1</f>
        <v>1.6512055822270666E-2</v>
      </c>
      <c r="CI35" s="382">
        <f t="shared" ref="CI35" si="258">CI34/CE34-1</f>
        <v>1.4232702654612295E-2</v>
      </c>
      <c r="CJ35" s="382">
        <f t="shared" ref="CJ35" si="259">CJ34/CF34-1</f>
        <v>1.6779078464180364E-2</v>
      </c>
      <c r="CK35" s="382">
        <f t="shared" ref="CK35" si="260">CK34/CG34-1</f>
        <v>2.2575377168875033E-2</v>
      </c>
      <c r="CL35" s="382">
        <f t="shared" ref="CL35" si="261">CL34/CH34-1</f>
        <v>1.2426766918513188E-2</v>
      </c>
      <c r="CM35" s="382">
        <f t="shared" ref="CM35" si="262">CM34/CI34-1</f>
        <v>1.0750421247466058E-2</v>
      </c>
      <c r="CN35" s="382">
        <f t="shared" ref="CN35" si="263">CN34/CJ34-1</f>
        <v>1.3729262406673604E-2</v>
      </c>
      <c r="CO35" s="382">
        <f t="shared" ref="CO35" si="264">CO34/CK34-1</f>
        <v>2.0460715854636824E-2</v>
      </c>
      <c r="CP35" s="382">
        <f t="shared" ref="CP35" si="265">CP34/CL34-1</f>
        <v>8.3803463409357626E-3</v>
      </c>
      <c r="CQ35" s="382">
        <f t="shared" ref="CQ35" si="266">CQ34/CM34-1</f>
        <v>6.5206282994778597E-3</v>
      </c>
      <c r="CR35" s="382">
        <f t="shared" ref="CR35" si="267">CR34/CN34-1</f>
        <v>1.0192671094845451E-2</v>
      </c>
      <c r="CS35" s="382">
        <f t="shared" ref="CS35" si="268">CS34/CO34-1</f>
        <v>1.7852959906705879E-2</v>
      </c>
      <c r="CT35" s="382">
        <f t="shared" ref="CT35" si="269">CT34/CP34-1</f>
        <v>4.9438285597984688E-3</v>
      </c>
      <c r="CU35" s="382">
        <f t="shared" ref="CU35" si="270">CU34/CQ34-1</f>
        <v>3.1507701238830954E-3</v>
      </c>
      <c r="CV35" s="382">
        <f t="shared" ref="CV35" si="271">CV34/CR34-1</f>
        <v>7.3166407522733401E-3</v>
      </c>
      <c r="CW35" s="382">
        <f t="shared" ref="CW35" si="272">CW34/CS34-1</f>
        <v>1.4587779926683364E-2</v>
      </c>
    </row>
    <row r="36" spans="1:101">
      <c r="A36" s="312" t="s">
        <v>536</v>
      </c>
      <c r="B36" s="376">
        <f t="shared" ref="B36:AQ36" si="273">B34/B5</f>
        <v>2.2076644004638784E-3</v>
      </c>
      <c r="C36" s="376">
        <f t="shared" si="273"/>
        <v>8.3966839756204059E-3</v>
      </c>
      <c r="D36" s="376">
        <f t="shared" si="273"/>
        <v>3.5172318459251249E-2</v>
      </c>
      <c r="E36" s="376">
        <f t="shared" si="273"/>
        <v>0.10322279935360511</v>
      </c>
      <c r="F36" s="376">
        <f t="shared" si="273"/>
        <v>2.6720354534601819E-2</v>
      </c>
      <c r="G36" s="376">
        <f t="shared" si="273"/>
        <v>4.342825494992384E-2</v>
      </c>
      <c r="H36" s="376">
        <f t="shared" si="273"/>
        <v>3.2607228809740957E-2</v>
      </c>
      <c r="I36" s="376">
        <f t="shared" si="273"/>
        <v>4.2483276370633767E-2</v>
      </c>
      <c r="J36" s="376">
        <f t="shared" si="273"/>
        <v>2.7403010083680224E-2</v>
      </c>
      <c r="K36" s="376">
        <f t="shared" si="273"/>
        <v>5.5309369639034184E-2</v>
      </c>
      <c r="L36" s="376">
        <f t="shared" si="273"/>
        <v>4.2817052998071398E-2</v>
      </c>
      <c r="M36" s="376">
        <f t="shared" si="273"/>
        <v>4.2680575727766422E-2</v>
      </c>
      <c r="N36" s="376">
        <f t="shared" si="273"/>
        <v>3.5155405989369462E-2</v>
      </c>
      <c r="O36" s="344">
        <f t="shared" si="273"/>
        <v>6.7209561992968972E-2</v>
      </c>
      <c r="P36" s="344">
        <f t="shared" si="273"/>
        <v>5.7775809632794363E-2</v>
      </c>
      <c r="Q36" s="344">
        <f t="shared" si="273"/>
        <v>7.3165461697525108E-2</v>
      </c>
      <c r="R36" s="344">
        <f t="shared" si="273"/>
        <v>4.9832497044498207E-2</v>
      </c>
      <c r="S36" s="344">
        <f t="shared" si="273"/>
        <v>7.1928246332342849E-2</v>
      </c>
      <c r="T36" s="344">
        <f t="shared" si="273"/>
        <v>7.4811486840516209E-2</v>
      </c>
      <c r="U36" s="344">
        <f t="shared" si="273"/>
        <v>8.3216295080131314E-2</v>
      </c>
      <c r="V36" s="344">
        <f t="shared" si="273"/>
        <v>4.4588776253520805E-2</v>
      </c>
      <c r="W36" s="344">
        <f t="shared" si="273"/>
        <v>5.8952869760610795E-2</v>
      </c>
      <c r="X36" s="344">
        <f t="shared" si="273"/>
        <v>6.1347235540220472E-2</v>
      </c>
      <c r="Y36" s="344">
        <f t="shared" si="273"/>
        <v>7.8761882011411544E-2</v>
      </c>
      <c r="Z36" s="344">
        <f t="shared" si="273"/>
        <v>5.7050333635883778E-2</v>
      </c>
      <c r="AA36" s="353">
        <f t="shared" si="273"/>
        <v>7.0523716873947248E-2</v>
      </c>
      <c r="AB36" s="353">
        <f t="shared" si="273"/>
        <v>7.2285258428179455E-2</v>
      </c>
      <c r="AC36" s="353">
        <f t="shared" si="273"/>
        <v>8.8519245629464033E-2</v>
      </c>
      <c r="AD36" s="353">
        <f t="shared" si="273"/>
        <v>5.6988011379347545E-2</v>
      </c>
      <c r="AE36" s="353">
        <f t="shared" si="273"/>
        <v>7.0909621989488025E-2</v>
      </c>
      <c r="AF36" s="353">
        <f t="shared" si="273"/>
        <v>7.7450556051749303E-2</v>
      </c>
      <c r="AG36" s="353">
        <f t="shared" si="273"/>
        <v>8.5156751881389284E-2</v>
      </c>
      <c r="AH36" s="353">
        <f t="shared" si="273"/>
        <v>6.0747985780581833E-2</v>
      </c>
      <c r="AI36" s="353">
        <f t="shared" si="273"/>
        <v>7.2219634134517027E-2</v>
      </c>
      <c r="AJ36" s="353">
        <f t="shared" si="273"/>
        <v>7.1762348079119714E-2</v>
      </c>
      <c r="AK36" s="353">
        <f t="shared" si="273"/>
        <v>0.13796503894070006</v>
      </c>
      <c r="AL36" s="353">
        <f t="shared" si="273"/>
        <v>5.8788622424551205E-2</v>
      </c>
      <c r="AM36" s="353">
        <f t="shared" si="273"/>
        <v>6.8492733394387245E-2</v>
      </c>
      <c r="AN36" s="353">
        <f t="shared" si="273"/>
        <v>7.2273088339078514E-2</v>
      </c>
      <c r="AO36" s="353">
        <f t="shared" si="273"/>
        <v>8.4387849146505073E-2</v>
      </c>
      <c r="AP36" s="344">
        <f t="shared" si="273"/>
        <v>6.0571540097474265E-2</v>
      </c>
      <c r="AQ36" s="344">
        <f t="shared" si="273"/>
        <v>7.7526294127575779E-2</v>
      </c>
      <c r="AR36" s="344">
        <f t="shared" ref="AR36:BC36" si="274">AR34/AR5</f>
        <v>9.2947881635805765E-2</v>
      </c>
      <c r="AS36" s="344">
        <f t="shared" si="274"/>
        <v>8.2141119107604535E-2</v>
      </c>
      <c r="AT36" s="344">
        <f t="shared" si="274"/>
        <v>3.8625817734523206E-2</v>
      </c>
      <c r="AU36" s="344">
        <f t="shared" si="274"/>
        <v>-0.57424414321737938</v>
      </c>
      <c r="AV36" s="344">
        <f t="shared" si="274"/>
        <v>7.9848270701947301E-3</v>
      </c>
      <c r="AW36" s="344">
        <f t="shared" si="274"/>
        <v>8.7138978248627014E-2</v>
      </c>
      <c r="AX36" s="344">
        <f t="shared" si="274"/>
        <v>3.744914908506051E-3</v>
      </c>
      <c r="AY36" s="344">
        <f t="shared" si="274"/>
        <v>6.8839678368066051E-2</v>
      </c>
      <c r="AZ36" s="344">
        <f t="shared" si="274"/>
        <v>8.7857632837868543E-2</v>
      </c>
      <c r="BA36" s="344">
        <f t="shared" si="274"/>
        <v>0.1200936259570818</v>
      </c>
      <c r="BB36" s="344">
        <f t="shared" si="274"/>
        <v>9.4248994938526093E-2</v>
      </c>
      <c r="BC36" s="344">
        <f t="shared" si="274"/>
        <v>9.9152860761191494E-2</v>
      </c>
      <c r="BD36" s="344">
        <f t="shared" ref="BD36:BG36" si="275">BD34/BD5</f>
        <v>8.8186064576585982E-2</v>
      </c>
      <c r="BE36" s="344">
        <f t="shared" si="275"/>
        <v>8.7843419464543368E-2</v>
      </c>
      <c r="BF36" s="344">
        <f t="shared" si="275"/>
        <v>9.2639629898638859E-2</v>
      </c>
      <c r="BG36" s="344">
        <f t="shared" si="275"/>
        <v>9.2083249466692565E-2</v>
      </c>
      <c r="BH36" s="344">
        <f t="shared" ref="BH36" si="276">BH34/BH5</f>
        <v>9.9148000916693471E-2</v>
      </c>
      <c r="BI36" s="344">
        <f t="shared" ref="BI36:BJ36" si="277">BI34/BI5</f>
        <v>0.1284851067120544</v>
      </c>
      <c r="BJ36" s="344">
        <f t="shared" si="277"/>
        <v>9.7920663756203188E-2</v>
      </c>
      <c r="BK36" s="1387">
        <f t="shared" ref="BK36" si="278">BK34/BK5</f>
        <v>0.10086178792285742</v>
      </c>
      <c r="BL36" s="382">
        <f t="shared" ref="BL36:CW36" si="279">BL34/BL5</f>
        <v>8.0589622658848198E-2</v>
      </c>
      <c r="BM36" s="382">
        <f t="shared" si="279"/>
        <v>9.9196061933782123E-2</v>
      </c>
      <c r="BN36" s="382">
        <f t="shared" si="279"/>
        <v>8.0453865301101699E-2</v>
      </c>
      <c r="BO36" s="382">
        <f t="shared" si="279"/>
        <v>8.7402900285066351E-2</v>
      </c>
      <c r="BP36" s="382">
        <f t="shared" si="279"/>
        <v>9.1338711018947916E-2</v>
      </c>
      <c r="BQ36" s="382">
        <f t="shared" si="279"/>
        <v>0.10534842310858049</v>
      </c>
      <c r="BR36" s="382">
        <f t="shared" si="279"/>
        <v>8.6507958678841382E-2</v>
      </c>
      <c r="BS36" s="382">
        <f t="shared" si="279"/>
        <v>9.1790156161942915E-2</v>
      </c>
      <c r="BT36" s="382">
        <f t="shared" si="279"/>
        <v>9.5316038502720982E-2</v>
      </c>
      <c r="BU36" s="382">
        <f t="shared" si="279"/>
        <v>0.1087614432889564</v>
      </c>
      <c r="BV36" s="382">
        <f t="shared" si="279"/>
        <v>9.0291939631736415E-2</v>
      </c>
      <c r="BW36" s="382">
        <f t="shared" si="279"/>
        <v>9.5403223783173216E-2</v>
      </c>
      <c r="BX36" s="382">
        <f t="shared" si="279"/>
        <v>9.8670216174269257E-2</v>
      </c>
      <c r="BY36" s="382">
        <f t="shared" si="279"/>
        <v>0.11167037562484086</v>
      </c>
      <c r="BZ36" s="382">
        <f t="shared" si="279"/>
        <v>8.6840744828289407E-2</v>
      </c>
      <c r="CA36" s="382">
        <f t="shared" si="279"/>
        <v>9.2965951227474433E-2</v>
      </c>
      <c r="CB36" s="382">
        <f t="shared" si="279"/>
        <v>9.4461501872984049E-2</v>
      </c>
      <c r="CC36" s="382">
        <f t="shared" si="279"/>
        <v>0.10385164582541061</v>
      </c>
      <c r="CD36" s="382">
        <f t="shared" si="279"/>
        <v>8.4535972262594725E-2</v>
      </c>
      <c r="CE36" s="382">
        <f t="shared" si="279"/>
        <v>9.0308614400400028E-2</v>
      </c>
      <c r="CF36" s="382">
        <f t="shared" si="279"/>
        <v>9.1852881430011371E-2</v>
      </c>
      <c r="CG36" s="382">
        <f t="shared" si="279"/>
        <v>0.10137247787661775</v>
      </c>
      <c r="CH36" s="382">
        <f t="shared" si="279"/>
        <v>8.1679234995846936E-2</v>
      </c>
      <c r="CI36" s="382">
        <f t="shared" si="279"/>
        <v>8.7189637557284178E-2</v>
      </c>
      <c r="CJ36" s="382">
        <f t="shared" si="279"/>
        <v>8.8882571032210811E-2</v>
      </c>
      <c r="CK36" s="382">
        <f t="shared" si="279"/>
        <v>9.8602014120408782E-2</v>
      </c>
      <c r="CL36" s="382">
        <f t="shared" si="279"/>
        <v>7.8768232329688131E-2</v>
      </c>
      <c r="CM36" s="382">
        <f t="shared" si="279"/>
        <v>8.4021533275091695E-2</v>
      </c>
      <c r="CN36" s="382">
        <f t="shared" si="279"/>
        <v>8.5843080080091075E-2</v>
      </c>
      <c r="CO36" s="382">
        <f t="shared" si="279"/>
        <v>9.5755197635934014E-2</v>
      </c>
      <c r="CP36" s="382">
        <f t="shared" si="279"/>
        <v>7.5666320480076266E-2</v>
      </c>
      <c r="CQ36" s="382">
        <f t="shared" si="279"/>
        <v>8.063834212963944E-2</v>
      </c>
      <c r="CR36" s="382">
        <f t="shared" si="279"/>
        <v>8.2624962561580445E-2</v>
      </c>
      <c r="CS36" s="382">
        <f t="shared" si="279"/>
        <v>9.2761599396971151E-2</v>
      </c>
      <c r="CT36" s="382">
        <f t="shared" si="279"/>
        <v>7.244458065040156E-2</v>
      </c>
      <c r="CU36" s="382">
        <f t="shared" si="279"/>
        <v>7.7139759027574598E-2</v>
      </c>
      <c r="CV36" s="382">
        <f t="shared" si="279"/>
        <v>7.9312380884288297E-2</v>
      </c>
      <c r="CW36" s="382">
        <f t="shared" si="279"/>
        <v>8.9637884491974629E-2</v>
      </c>
    </row>
    <row r="37" spans="1:101">
      <c r="A37" s="36" t="s">
        <v>699</v>
      </c>
      <c r="B37" s="420">
        <f t="shared" ref="B37:AO37" si="280">B41+B40+B39</f>
        <v>-58.679999999999993</v>
      </c>
      <c r="C37" s="420">
        <f t="shared" si="280"/>
        <v>-7.1539999999999964</v>
      </c>
      <c r="D37" s="420">
        <f t="shared" si="280"/>
        <v>-34.14</v>
      </c>
      <c r="E37" s="420">
        <f t="shared" si="280"/>
        <v>-27.863000000000003</v>
      </c>
      <c r="F37" s="420">
        <f t="shared" si="280"/>
        <v>-40.28</v>
      </c>
      <c r="G37" s="420">
        <f t="shared" si="280"/>
        <v>-14.41</v>
      </c>
      <c r="H37" s="420">
        <f t="shared" si="280"/>
        <v>-20.149000000000001</v>
      </c>
      <c r="I37" s="420">
        <f t="shared" si="280"/>
        <v>-4.7859999999999978</v>
      </c>
      <c r="J37" s="830">
        <f t="shared" si="280"/>
        <v>-40.17</v>
      </c>
      <c r="K37" s="830">
        <f t="shared" si="280"/>
        <v>-44.128</v>
      </c>
      <c r="L37" s="830">
        <f t="shared" si="280"/>
        <v>6.070999999999998</v>
      </c>
      <c r="M37" s="830">
        <f t="shared" si="280"/>
        <v>-39.867000000000004</v>
      </c>
      <c r="N37" s="420">
        <f t="shared" si="280"/>
        <v>-58.448</v>
      </c>
      <c r="O37" s="421">
        <f t="shared" si="280"/>
        <v>-36.602000000000004</v>
      </c>
      <c r="P37" s="421">
        <f t="shared" si="280"/>
        <v>-55.564</v>
      </c>
      <c r="Q37" s="421">
        <f t="shared" si="280"/>
        <v>-38.722999999999999</v>
      </c>
      <c r="R37" s="421">
        <f t="shared" si="280"/>
        <v>-55.975999999999999</v>
      </c>
      <c r="S37" s="421">
        <f t="shared" si="280"/>
        <v>-45.97</v>
      </c>
      <c r="T37" s="420">
        <f t="shared" si="280"/>
        <v>-37.563000000000002</v>
      </c>
      <c r="U37" s="420">
        <f t="shared" si="280"/>
        <v>-70.962000000000003</v>
      </c>
      <c r="V37" s="420">
        <f t="shared" si="280"/>
        <v>-87.582999999999998</v>
      </c>
      <c r="W37" s="420">
        <f t="shared" si="280"/>
        <v>-168.762</v>
      </c>
      <c r="X37" s="420">
        <f t="shared" si="280"/>
        <v>-91.403999999999996</v>
      </c>
      <c r="Y37" s="420">
        <f t="shared" si="280"/>
        <v>-145.714</v>
      </c>
      <c r="Z37" s="420">
        <f t="shared" si="280"/>
        <v>-7.6090000000000089</v>
      </c>
      <c r="AA37" s="420">
        <f t="shared" si="280"/>
        <v>-321.82</v>
      </c>
      <c r="AB37" s="420">
        <f t="shared" si="280"/>
        <v>-342.76400000000001</v>
      </c>
      <c r="AC37" s="420">
        <f t="shared" si="280"/>
        <v>-186.673</v>
      </c>
      <c r="AD37" s="420">
        <f t="shared" si="280"/>
        <v>-377.22199999999998</v>
      </c>
      <c r="AE37" s="420">
        <f t="shared" si="280"/>
        <v>-261.38499999999999</v>
      </c>
      <c r="AF37" s="420">
        <f t="shared" si="280"/>
        <v>-263.46800000000002</v>
      </c>
      <c r="AG37" s="420">
        <f t="shared" si="280"/>
        <v>-277.08199999999999</v>
      </c>
      <c r="AH37" s="420">
        <f t="shared" si="280"/>
        <v>-254.58300000000003</v>
      </c>
      <c r="AI37" s="420">
        <f t="shared" si="280"/>
        <v>-576.54600000000005</v>
      </c>
      <c r="AJ37" s="420">
        <f t="shared" si="280"/>
        <v>-389.77100000000002</v>
      </c>
      <c r="AK37" s="420">
        <f t="shared" si="280"/>
        <v>-405.68200000000002</v>
      </c>
      <c r="AL37" s="420">
        <f t="shared" si="280"/>
        <v>-260.65699999999998</v>
      </c>
      <c r="AM37" s="420">
        <f t="shared" si="280"/>
        <v>-330.34300000000002</v>
      </c>
      <c r="AN37" s="420">
        <f t="shared" si="280"/>
        <v>-322.00799999999998</v>
      </c>
      <c r="AO37" s="420">
        <f t="shared" si="280"/>
        <v>-542.96199999999999</v>
      </c>
      <c r="AP37" s="420">
        <f t="shared" ref="AP37:AQ37" si="281">AP41+AP40+AP38</f>
        <v>-622.26599999999996</v>
      </c>
      <c r="AQ37" s="420">
        <f t="shared" si="281"/>
        <v>-782.65800000000002</v>
      </c>
      <c r="AR37" s="420">
        <f t="shared" ref="AR37:BC37" si="282">AR41+AR40+AR38</f>
        <v>-942.49599999999998</v>
      </c>
      <c r="AS37" s="420">
        <f t="shared" si="282"/>
        <v>-502.37799999999999</v>
      </c>
      <c r="AT37" s="420">
        <f t="shared" si="282"/>
        <v>-854.03699999999992</v>
      </c>
      <c r="AU37" s="420">
        <f t="shared" si="282"/>
        <v>-411.36600000000004</v>
      </c>
      <c r="AV37" s="420">
        <f t="shared" si="282"/>
        <v>-963.32499999999993</v>
      </c>
      <c r="AW37" s="420">
        <f t="shared" si="282"/>
        <v>-1338.877</v>
      </c>
      <c r="AX37" s="420">
        <f t="shared" si="282"/>
        <v>-658.07299999999998</v>
      </c>
      <c r="AY37" s="420">
        <f t="shared" si="282"/>
        <v>-788.52700000000004</v>
      </c>
      <c r="AZ37" s="420">
        <f t="shared" si="282"/>
        <v>-839.88800000000003</v>
      </c>
      <c r="BA37" s="420">
        <f t="shared" si="282"/>
        <v>-848.87699999999995</v>
      </c>
      <c r="BB37" s="420">
        <f>BB41+BB40+BB38</f>
        <v>-715.18999999999994</v>
      </c>
      <c r="BC37" s="420">
        <f t="shared" si="282"/>
        <v>-1337.4069999999999</v>
      </c>
      <c r="BD37" s="420">
        <f t="shared" ref="BD37:BG37" si="283">BD41+BD40+BD38</f>
        <v>-1075.241</v>
      </c>
      <c r="BE37" s="420">
        <f t="shared" si="283"/>
        <v>-691.85299999999995</v>
      </c>
      <c r="BF37" s="420">
        <f t="shared" si="283"/>
        <v>-682.59800000000007</v>
      </c>
      <c r="BG37" s="420">
        <f t="shared" si="283"/>
        <v>-1001.112</v>
      </c>
      <c r="BH37" s="420">
        <f t="shared" ref="BH37" si="284">BH41+BH40+BH38</f>
        <v>-999.29300000000001</v>
      </c>
      <c r="BI37" s="420">
        <f t="shared" ref="BI37:BJ37" si="285">BI41+BI40+BI38</f>
        <v>-772.89</v>
      </c>
      <c r="BJ37" s="420">
        <f t="shared" si="285"/>
        <v>-1174.5339999999999</v>
      </c>
      <c r="BK37" s="1415">
        <f t="shared" ref="BK37" si="286">BK41+BK40+BK38</f>
        <v>-1737.74</v>
      </c>
      <c r="BL37" s="332">
        <f t="shared" ref="BL37:CW37" si="287">BL41+BL40+BL38</f>
        <v>-1547.1644217266805</v>
      </c>
      <c r="BM37" s="332">
        <f t="shared" si="287"/>
        <v>-1278.1847913060647</v>
      </c>
      <c r="BN37" s="332">
        <f t="shared" si="287"/>
        <v>-1344.2796595978432</v>
      </c>
      <c r="BO37" s="332">
        <f t="shared" si="287"/>
        <v>-1205.5779693098884</v>
      </c>
      <c r="BP37" s="332">
        <f t="shared" si="287"/>
        <v>-1024.3905508864734</v>
      </c>
      <c r="BQ37" s="332">
        <f t="shared" si="287"/>
        <v>-1417.6015399811363</v>
      </c>
      <c r="BR37" s="332">
        <f t="shared" si="287"/>
        <v>-1726.6450922375577</v>
      </c>
      <c r="BS37" s="332">
        <f t="shared" si="287"/>
        <v>-950.50817701292317</v>
      </c>
      <c r="BT37" s="332">
        <f t="shared" si="287"/>
        <v>-956.5833109104392</v>
      </c>
      <c r="BU37" s="332">
        <f t="shared" si="287"/>
        <v>-926.65363323677821</v>
      </c>
      <c r="BV37" s="332">
        <f t="shared" si="287"/>
        <v>-951.93973376560905</v>
      </c>
      <c r="BW37" s="332">
        <f t="shared" si="287"/>
        <v>-796.64772591036012</v>
      </c>
      <c r="BX37" s="332">
        <f t="shared" si="287"/>
        <v>-979.49457637517298</v>
      </c>
      <c r="BY37" s="332">
        <f t="shared" si="287"/>
        <v>-1113.8034654692847</v>
      </c>
      <c r="BZ37" s="332">
        <f t="shared" si="287"/>
        <v>-874.42104847944813</v>
      </c>
      <c r="CA37" s="332">
        <f t="shared" si="287"/>
        <v>-712.69456819356537</v>
      </c>
      <c r="CB37" s="332">
        <f t="shared" si="287"/>
        <v>-912.64609542080245</v>
      </c>
      <c r="CC37" s="332">
        <f t="shared" si="287"/>
        <v>-1054.6657000156806</v>
      </c>
      <c r="CD37" s="332">
        <f t="shared" si="287"/>
        <v>-809.38546875355485</v>
      </c>
      <c r="CE37" s="332">
        <f t="shared" si="287"/>
        <v>-650.44202058780945</v>
      </c>
      <c r="CF37" s="332">
        <f t="shared" si="287"/>
        <v>-852.18638258957731</v>
      </c>
      <c r="CG37" s="332">
        <f t="shared" si="287"/>
        <v>-993.41460619566055</v>
      </c>
      <c r="CH37" s="332">
        <f t="shared" si="287"/>
        <v>-742.93679252602294</v>
      </c>
      <c r="CI37" s="332">
        <f t="shared" si="287"/>
        <v>-581.82126575581037</v>
      </c>
      <c r="CJ37" s="332">
        <f t="shared" si="287"/>
        <v>-784.30592663707932</v>
      </c>
      <c r="CK37" s="332">
        <f t="shared" si="287"/>
        <v>-923.61008002054768</v>
      </c>
      <c r="CL37" s="332">
        <f t="shared" si="287"/>
        <v>-665.80635504486281</v>
      </c>
      <c r="CM37" s="332">
        <f t="shared" si="287"/>
        <v>-503.31035127804466</v>
      </c>
      <c r="CN37" s="332">
        <f t="shared" si="287"/>
        <v>-707.48592345659097</v>
      </c>
      <c r="CO37" s="332">
        <f t="shared" si="287"/>
        <v>-845.76811075904823</v>
      </c>
      <c r="CP37" s="332">
        <f t="shared" si="287"/>
        <v>-582.4845136922803</v>
      </c>
      <c r="CQ37" s="332">
        <f t="shared" si="287"/>
        <v>-418.74812404132967</v>
      </c>
      <c r="CR37" s="332">
        <f t="shared" si="287"/>
        <v>-624.61765914524437</v>
      </c>
      <c r="CS37" s="332">
        <f t="shared" si="287"/>
        <v>-765.03992394963029</v>
      </c>
      <c r="CT37" s="332">
        <f t="shared" si="287"/>
        <v>-494.77625477454342</v>
      </c>
      <c r="CU37" s="332">
        <f t="shared" si="287"/>
        <v>-325.83823914109996</v>
      </c>
      <c r="CV37" s="332">
        <f t="shared" si="287"/>
        <v>-538.35976933247582</v>
      </c>
      <c r="CW37" s="332">
        <f t="shared" si="287"/>
        <v>-679.00932331410229</v>
      </c>
    </row>
    <row r="38" spans="1:101">
      <c r="A38" s="411" t="s">
        <v>698</v>
      </c>
      <c r="B38" s="411">
        <f t="shared" ref="B38:AO38" si="288">+B39</f>
        <v>-33.610999999999997</v>
      </c>
      <c r="C38" s="411">
        <f t="shared" si="288"/>
        <v>-32.805999999999997</v>
      </c>
      <c r="D38" s="411">
        <f t="shared" si="288"/>
        <v>-27.869</v>
      </c>
      <c r="E38" s="411">
        <f t="shared" si="288"/>
        <v>-28.202000000000002</v>
      </c>
      <c r="F38" s="411">
        <f t="shared" si="288"/>
        <v>-21.997</v>
      </c>
      <c r="G38" s="411">
        <f t="shared" si="288"/>
        <v>-22.183</v>
      </c>
      <c r="H38" s="411">
        <f t="shared" si="288"/>
        <v>-23.678000000000001</v>
      </c>
      <c r="I38" s="411">
        <f t="shared" si="288"/>
        <v>-24.367999999999999</v>
      </c>
      <c r="J38" s="411">
        <f t="shared" si="288"/>
        <v>-23.172999999999998</v>
      </c>
      <c r="K38" s="411">
        <f t="shared" si="288"/>
        <v>-36.500999999999998</v>
      </c>
      <c r="L38" s="411">
        <f t="shared" si="288"/>
        <v>-24.873000000000001</v>
      </c>
      <c r="M38" s="411">
        <f t="shared" si="288"/>
        <v>-46.457000000000001</v>
      </c>
      <c r="N38" s="411">
        <f t="shared" si="288"/>
        <v>-44.155000000000001</v>
      </c>
      <c r="O38" s="411">
        <f t="shared" si="288"/>
        <v>-56.817</v>
      </c>
      <c r="P38" s="411">
        <f t="shared" si="288"/>
        <v>-47.283000000000001</v>
      </c>
      <c r="Q38" s="411">
        <f t="shared" si="288"/>
        <v>-49.805</v>
      </c>
      <c r="R38" s="411">
        <f t="shared" si="288"/>
        <v>-33.223999999999997</v>
      </c>
      <c r="S38" s="411">
        <f t="shared" si="288"/>
        <v>-36.155000000000001</v>
      </c>
      <c r="T38" s="411">
        <f t="shared" si="288"/>
        <v>-60.841000000000001</v>
      </c>
      <c r="U38" s="411">
        <f t="shared" si="288"/>
        <v>-72.126000000000005</v>
      </c>
      <c r="V38" s="411">
        <f t="shared" si="288"/>
        <v>-85.346000000000004</v>
      </c>
      <c r="W38" s="411">
        <f t="shared" si="288"/>
        <v>-175.83199999999999</v>
      </c>
      <c r="X38" s="411">
        <f t="shared" si="288"/>
        <v>-89.841999999999999</v>
      </c>
      <c r="Y38" s="411">
        <f t="shared" si="288"/>
        <v>-143.00399999999999</v>
      </c>
      <c r="Z38" s="411">
        <f t="shared" si="288"/>
        <v>-181.721</v>
      </c>
      <c r="AA38" s="411">
        <f t="shared" si="288"/>
        <v>-143.4</v>
      </c>
      <c r="AB38" s="411">
        <f t="shared" si="288"/>
        <v>-192.32900000000001</v>
      </c>
      <c r="AC38" s="411">
        <f t="shared" si="288"/>
        <v>-162.93799999999999</v>
      </c>
      <c r="AD38" s="411">
        <f t="shared" si="288"/>
        <v>-167.01499999999999</v>
      </c>
      <c r="AE38" s="411">
        <f t="shared" si="288"/>
        <v>-203.68100000000001</v>
      </c>
      <c r="AF38" s="411">
        <f t="shared" si="288"/>
        <v>-221.274</v>
      </c>
      <c r="AG38" s="411">
        <f t="shared" si="288"/>
        <v>-252.61199999999999</v>
      </c>
      <c r="AH38" s="411">
        <f t="shared" si="288"/>
        <v>-284.94600000000003</v>
      </c>
      <c r="AI38" s="411">
        <f t="shared" si="288"/>
        <v>-327.48599999999999</v>
      </c>
      <c r="AJ38" s="411">
        <f t="shared" si="288"/>
        <v>-334.04700000000003</v>
      </c>
      <c r="AK38" s="411">
        <f t="shared" si="288"/>
        <v>-316.00299999999999</v>
      </c>
      <c r="AL38" s="411">
        <f t="shared" si="288"/>
        <v>-318.13299999999998</v>
      </c>
      <c r="AM38" s="411">
        <f t="shared" si="288"/>
        <v>-369.80700000000002</v>
      </c>
      <c r="AN38" s="411">
        <f t="shared" si="288"/>
        <v>-427.71199999999999</v>
      </c>
      <c r="AO38" s="411">
        <f t="shared" si="288"/>
        <v>-455.76</v>
      </c>
      <c r="AP38" s="411">
        <f>IS!AQ14</f>
        <v>-743.654</v>
      </c>
      <c r="AQ38" s="411">
        <f>IS!AR14</f>
        <v>-774.56600000000003</v>
      </c>
      <c r="AR38" s="411">
        <f>IS!AS14</f>
        <v>-947.51800000000003</v>
      </c>
      <c r="AS38" s="411">
        <f>IS!AT14</f>
        <v>-556.11599999999999</v>
      </c>
      <c r="AT38" s="411">
        <f>IS!AU14</f>
        <v>-715.75599999999997</v>
      </c>
      <c r="AU38" s="411">
        <f>IS!AV14</f>
        <v>-814.66700000000003</v>
      </c>
      <c r="AV38" s="411">
        <f>IS!AW14</f>
        <v>-788.57799999999997</v>
      </c>
      <c r="AW38" s="411">
        <f>IS!AX14</f>
        <v>-780.73800000000006</v>
      </c>
      <c r="AX38" s="411">
        <f>IS!AY14</f>
        <v>-780.23299999999995</v>
      </c>
      <c r="AY38" s="411">
        <f>IS!AZ14</f>
        <v>-811.50800000000004</v>
      </c>
      <c r="AZ38" s="411">
        <f>IS!BA14</f>
        <v>-838.19299999999998</v>
      </c>
      <c r="BA38" s="411">
        <f>IS!BB14</f>
        <v>-940.80899999999997</v>
      </c>
      <c r="BB38" s="411">
        <f>IS!BC14</f>
        <v>-910.91499999999996</v>
      </c>
      <c r="BC38" s="411">
        <f>IS!BD14</f>
        <v>-913.149</v>
      </c>
      <c r="BD38" s="411">
        <f>IS!BE14</f>
        <v>-905.89</v>
      </c>
      <c r="BE38" s="411">
        <f>IS!BF14</f>
        <v>-787.41099999999994</v>
      </c>
      <c r="BF38" s="411">
        <f>IS!BG14</f>
        <v>-1035.0740000000001</v>
      </c>
      <c r="BG38" s="411">
        <f>IS!BH14</f>
        <v>-1014.961</v>
      </c>
      <c r="BH38" s="411">
        <f>IS!BI14</f>
        <v>-950.09100000000001</v>
      </c>
      <c r="BI38" s="411">
        <f>IS!BJ14</f>
        <v>-815.36</v>
      </c>
      <c r="BJ38" s="411">
        <f>IS!BK14</f>
        <v>-978.25199999999995</v>
      </c>
      <c r="BK38" s="1304">
        <f>IS!BL14</f>
        <v>-1166.296</v>
      </c>
      <c r="BL38" s="332">
        <f>Q_BS!BL132</f>
        <v>-1170.3910572511334</v>
      </c>
      <c r="BM38" s="332">
        <f>Q_BS!BM132</f>
        <v>-1123.8263391563796</v>
      </c>
      <c r="BN38" s="332">
        <f>Q_BS!BN132</f>
        <v>-1090.1957759297311</v>
      </c>
      <c r="BO38" s="332">
        <f>Q_BS!BO132</f>
        <v>-1044.1410187934653</v>
      </c>
      <c r="BP38" s="332">
        <f>Q_BS!BP132</f>
        <v>-1024.3905508864734</v>
      </c>
      <c r="BQ38" s="332">
        <f>Q_BS!BQ132</f>
        <v>-973.92364034051673</v>
      </c>
      <c r="BR38" s="332">
        <f>Q_BS!BR132</f>
        <v>-939.82597411939332</v>
      </c>
      <c r="BS38" s="332">
        <f>Q_BS!BS132</f>
        <v>-950.50817701292317</v>
      </c>
      <c r="BT38" s="332">
        <f>Q_BS!BT132</f>
        <v>-956.5833109104392</v>
      </c>
      <c r="BU38" s="332">
        <f>Q_BS!BU132</f>
        <v>-926.65363323677821</v>
      </c>
      <c r="BV38" s="332">
        <f>Q_BS!BV132</f>
        <v>-877.83716239330317</v>
      </c>
      <c r="BW38" s="332">
        <f>Q_BS!BW132</f>
        <v>-877.10434291088734</v>
      </c>
      <c r="BX38" s="332">
        <f>Q_BS!BX132</f>
        <v>-880.11402656410496</v>
      </c>
      <c r="BY38" s="332">
        <f>Q_BS!BY132</f>
        <v>-847.13473550868503</v>
      </c>
      <c r="BZ38" s="332">
        <f>Q_BS!BZ132</f>
        <v>-794.20607715602125</v>
      </c>
      <c r="CA38" s="332">
        <f>Q_BS!CA132</f>
        <v>-798.22769650431064</v>
      </c>
      <c r="CB38" s="332">
        <f>Q_BS!CB132</f>
        <v>-808.85788756726447</v>
      </c>
      <c r="CC38" s="332">
        <f>Q_BS!CC132</f>
        <v>-780.98348630336932</v>
      </c>
      <c r="CD38" s="332">
        <f>Q_BS!CD132</f>
        <v>-728.45057246418469</v>
      </c>
      <c r="CE38" s="332">
        <f>Q_BS!CE132</f>
        <v>-736.74280403162925</v>
      </c>
      <c r="CF38" s="332">
        <f>Q_BS!CF132</f>
        <v>-747.46668126579084</v>
      </c>
      <c r="CG38" s="332">
        <f>Q_BS!CG132</f>
        <v>-717.2761096332182</v>
      </c>
      <c r="CH38" s="332">
        <f>Q_BS!CH132</f>
        <v>-661.27550998364825</v>
      </c>
      <c r="CI38" s="332">
        <f>Q_BS!CI132</f>
        <v>-668.89659399540346</v>
      </c>
      <c r="CJ38" s="332">
        <f>Q_BS!CJ132</f>
        <v>-678.64637174026018</v>
      </c>
      <c r="CK38" s="332">
        <f>Q_BS!CK132</f>
        <v>-644.99325560418265</v>
      </c>
      <c r="CL38" s="332">
        <f>Q_BS!CL132</f>
        <v>-583.41216697272569</v>
      </c>
      <c r="CM38" s="332">
        <f>Q_BS!CM132</f>
        <v>-591.16717581044259</v>
      </c>
      <c r="CN38" s="332">
        <f>Q_BS!CN132</f>
        <v>-600.87807985250083</v>
      </c>
      <c r="CO38" s="332">
        <f>Q_BS!CO132</f>
        <v>-564.6507156322632</v>
      </c>
      <c r="CP38" s="332">
        <f>Q_BS!CP132</f>
        <v>-499.35084230346831</v>
      </c>
      <c r="CQ38" s="332">
        <f>Q_BS!CQ132</f>
        <v>-507.39345875288018</v>
      </c>
      <c r="CR38" s="332">
        <f>Q_BS!CR132</f>
        <v>-517.05301599476502</v>
      </c>
      <c r="CS38" s="332">
        <f>Q_BS!CS132</f>
        <v>-478.10722927105826</v>
      </c>
      <c r="CT38" s="332">
        <f>Q_BS!CT132</f>
        <v>-408.95560399695199</v>
      </c>
      <c r="CU38" s="332">
        <f>Q_BS!CU132</f>
        <v>-417.34869677218978</v>
      </c>
      <c r="CV38" s="332">
        <f>Q_BS!CV132</f>
        <v>-426.94301196538197</v>
      </c>
      <c r="CW38" s="332">
        <f>Q_BS!CW132</f>
        <v>-385.2111603869285</v>
      </c>
    </row>
    <row r="39" spans="1:101" s="1209" customFormat="1">
      <c r="A39" s="1234" t="s">
        <v>1219</v>
      </c>
      <c r="B39" s="1230">
        <f>IS!C14</f>
        <v>-33.610999999999997</v>
      </c>
      <c r="C39" s="1230">
        <f>IS!D14</f>
        <v>-32.805999999999997</v>
      </c>
      <c r="D39" s="1230">
        <f>IS!E14</f>
        <v>-27.869</v>
      </c>
      <c r="E39" s="1230">
        <f>IS!F14</f>
        <v>-28.202000000000002</v>
      </c>
      <c r="F39" s="1230">
        <f>IS!G14</f>
        <v>-21.997</v>
      </c>
      <c r="G39" s="1230">
        <f>IS!H14</f>
        <v>-22.183</v>
      </c>
      <c r="H39" s="1230">
        <f>IS!I14</f>
        <v>-23.678000000000001</v>
      </c>
      <c r="I39" s="1230">
        <f>IS!J14</f>
        <v>-24.367999999999999</v>
      </c>
      <c r="J39" s="1230">
        <f>IS!K14</f>
        <v>-23.172999999999998</v>
      </c>
      <c r="K39" s="1230">
        <f>IS!L14</f>
        <v>-36.500999999999998</v>
      </c>
      <c r="L39" s="1230">
        <f>IS!M14</f>
        <v>-24.873000000000001</v>
      </c>
      <c r="M39" s="1230">
        <f>IS!N14</f>
        <v>-46.457000000000001</v>
      </c>
      <c r="N39" s="1230">
        <f>IS!O14</f>
        <v>-44.155000000000001</v>
      </c>
      <c r="O39" s="1230">
        <f>IS!P14</f>
        <v>-56.817</v>
      </c>
      <c r="P39" s="1230">
        <f>IS!Q14</f>
        <v>-47.283000000000001</v>
      </c>
      <c r="Q39" s="1230">
        <f>IS!R14</f>
        <v>-49.805</v>
      </c>
      <c r="R39" s="1230">
        <f>IS!S14</f>
        <v>-33.223999999999997</v>
      </c>
      <c r="S39" s="1230">
        <f>IS!T14</f>
        <v>-36.155000000000001</v>
      </c>
      <c r="T39" s="1230">
        <f>IS!U14</f>
        <v>-60.841000000000001</v>
      </c>
      <c r="U39" s="1230">
        <f>IS!V14</f>
        <v>-72.126000000000005</v>
      </c>
      <c r="V39" s="1230">
        <f>IS!W14</f>
        <v>-85.346000000000004</v>
      </c>
      <c r="W39" s="1230">
        <f>IS!X14</f>
        <v>-175.83199999999999</v>
      </c>
      <c r="X39" s="1230">
        <f>IS!Y14</f>
        <v>-89.841999999999999</v>
      </c>
      <c r="Y39" s="1230">
        <f>IS!Z14</f>
        <v>-143.00399999999999</v>
      </c>
      <c r="Z39" s="1230">
        <f>IS!AA14</f>
        <v>-181.721</v>
      </c>
      <c r="AA39" s="1230">
        <f>IS!AB14</f>
        <v>-143.4</v>
      </c>
      <c r="AB39" s="1230">
        <f>IS!AC14</f>
        <v>-192.32900000000001</v>
      </c>
      <c r="AC39" s="1230">
        <f>IS!AD14</f>
        <v>-162.93799999999999</v>
      </c>
      <c r="AD39" s="1230">
        <f>IS!AE14</f>
        <v>-167.01499999999999</v>
      </c>
      <c r="AE39" s="1230">
        <f>IS!AF14</f>
        <v>-203.68100000000001</v>
      </c>
      <c r="AF39" s="1230">
        <f>IS!AG14</f>
        <v>-221.274</v>
      </c>
      <c r="AG39" s="1230">
        <f>IS!AH14</f>
        <v>-252.61199999999999</v>
      </c>
      <c r="AH39" s="1230">
        <f>IS!AI14</f>
        <v>-284.94600000000003</v>
      </c>
      <c r="AI39" s="1230">
        <f>IS!AJ14</f>
        <v>-327.48599999999999</v>
      </c>
      <c r="AJ39" s="1230">
        <f>IS!AK14</f>
        <v>-334.04700000000003</v>
      </c>
      <c r="AK39" s="1230">
        <f>IS!AL14</f>
        <v>-316.00299999999999</v>
      </c>
      <c r="AL39" s="1230">
        <f>IS!AM14</f>
        <v>-318.13299999999998</v>
      </c>
      <c r="AM39" s="1208">
        <f>IS!AN14</f>
        <v>-369.80700000000002</v>
      </c>
      <c r="AN39" s="1208">
        <f>IS!AO14</f>
        <v>-427.71199999999999</v>
      </c>
      <c r="AO39" s="1208">
        <f>IS!AP14</f>
        <v>-455.76</v>
      </c>
      <c r="AP39" s="1208">
        <f>IS!AQ14+IS!AQ56</f>
        <v>-490.44100000000003</v>
      </c>
      <c r="AQ39" s="1208">
        <f>IS!AR14+IS!AR56</f>
        <v>-481.32600000000002</v>
      </c>
      <c r="AR39" s="1208">
        <f>IS!AS14+IS!AS56</f>
        <v>-570.52800000000002</v>
      </c>
      <c r="AS39" s="1208">
        <f>IS!AT14+IS!AT56</f>
        <v>-481.80599999999998</v>
      </c>
      <c r="AT39" s="1208">
        <f>IS!AU14+IS!AU56</f>
        <v>-493.89499999999998</v>
      </c>
      <c r="AU39" s="1208">
        <f>IS!AV14+IS!AV56</f>
        <v>-529.77</v>
      </c>
      <c r="AV39" s="1208">
        <f>IS!AW14+IS!AW56</f>
        <v>-545.10699999999997</v>
      </c>
      <c r="AW39" s="1208">
        <f>IS!AX14+IS!AX56</f>
        <v>-590.31000000000006</v>
      </c>
      <c r="AX39" s="1208">
        <f>IS!AY14+IS!AY56</f>
        <v>-548.20699999999988</v>
      </c>
      <c r="AY39" s="1208">
        <f>IS!AZ14+IS!AZ56</f>
        <v>-569.404</v>
      </c>
      <c r="AZ39" s="1208">
        <f>IS!BA14+IS!BA56</f>
        <v>-572.85599999999999</v>
      </c>
      <c r="BA39" s="1208">
        <f>IS!BB14+IS!BB56</f>
        <v>-690.82099999999991</v>
      </c>
      <c r="BB39" s="1208">
        <f>IS!BC14+IS!BC56</f>
        <v>-667.23099999999999</v>
      </c>
      <c r="BC39" s="1208">
        <f>IS!BD14+IS!BD56</f>
        <v>-667.68799999999999</v>
      </c>
      <c r="BD39" s="1208">
        <f>IS!BE14+IS!BE56</f>
        <v>-660.49800000000005</v>
      </c>
      <c r="BE39" s="1208">
        <f>IS!BF14+IS!BF56</f>
        <v>-581.62899999999991</v>
      </c>
      <c r="BF39" s="1208">
        <f>IS!BG14+IS!BG56</f>
        <v>-808.18500000000006</v>
      </c>
      <c r="BG39" s="1208">
        <f>IS!BH14+IS!BH56</f>
        <v>-794.15700000000004</v>
      </c>
      <c r="BH39" s="1208">
        <f>IS!BI14+IS!BI56</f>
        <v>-735.76499999999999</v>
      </c>
      <c r="BI39" s="1208">
        <f>IS!BJ14+IS!BJ56</f>
        <v>-598.87699999999995</v>
      </c>
      <c r="BJ39" s="1208">
        <f>IS!BK14+IS!BK56</f>
        <v>-767.26699999999994</v>
      </c>
      <c r="BK39" s="1303">
        <f>IS!BL14+IS!BL56</f>
        <v>-900.14200000000005</v>
      </c>
      <c r="BL39" s="1233">
        <f>Q_BS!BL130</f>
        <v>-925.05717408919702</v>
      </c>
      <c r="BM39" s="1233">
        <f>Q_BS!BM130</f>
        <v>-866.66312188065649</v>
      </c>
      <c r="BN39" s="1233">
        <f>Q_BS!BN130</f>
        <v>-821.01718985387947</v>
      </c>
      <c r="BO39" s="1233">
        <f>Q_BS!BO130</f>
        <v>-801.51268989404434</v>
      </c>
      <c r="BP39" s="1233">
        <f>Q_BS!BP130</f>
        <v>-782.49563072765761</v>
      </c>
      <c r="BQ39" s="1233">
        <f>Q_BS!BQ130</f>
        <v>-730.78542735254291</v>
      </c>
      <c r="BR39" s="1233">
        <f>Q_BS!BR130</f>
        <v>-693.89979268590605</v>
      </c>
      <c r="BS39" s="1233">
        <f>Q_BS!BS130</f>
        <v>-702.49699685149585</v>
      </c>
      <c r="BT39" s="1233">
        <f>Q_BS!BT130</f>
        <v>-708.96218701391558</v>
      </c>
      <c r="BU39" s="1233">
        <f>Q_BS!BU130</f>
        <v>-678.01373702695309</v>
      </c>
      <c r="BV39" s="1233">
        <f>Q_BS!BV130</f>
        <v>-626.67013888250949</v>
      </c>
      <c r="BW39" s="1233">
        <f>Q_BS!BW130</f>
        <v>-624.08106012313863</v>
      </c>
      <c r="BX39" s="1233">
        <f>Q_BS!BX130</f>
        <v>-627.61434887408791</v>
      </c>
      <c r="BY39" s="1233">
        <f>Q_BS!BY130</f>
        <v>-593.72434005924697</v>
      </c>
      <c r="BZ39" s="1233">
        <f>Q_BS!BZ130</f>
        <v>-538.5772058655881</v>
      </c>
      <c r="CA39" s="1233">
        <f>Q_BS!CA130</f>
        <v>-541.42751662786281</v>
      </c>
      <c r="CB39" s="1233">
        <f>Q_BS!CB130</f>
        <v>-552.58525627089739</v>
      </c>
      <c r="CC39" s="1233">
        <f>Q_BS!CC130</f>
        <v>-523.78119672400737</v>
      </c>
      <c r="CD39" s="1233">
        <f>Q_BS!CD130</f>
        <v>-469.07982211436024</v>
      </c>
      <c r="CE39" s="1233">
        <f>Q_BS!CE130</f>
        <v>-476.21990231451474</v>
      </c>
      <c r="CF39" s="1233">
        <f>Q_BS!CF130</f>
        <v>-487.50989051808511</v>
      </c>
      <c r="CG39" s="1233">
        <f>Q_BS!CG130</f>
        <v>-456.35714758938036</v>
      </c>
      <c r="CH39" s="1233">
        <f>Q_BS!CH130</f>
        <v>-398.15255614525881</v>
      </c>
      <c r="CI39" s="1233">
        <f>Q_BS!CI130</f>
        <v>-404.76090431699214</v>
      </c>
      <c r="CJ39" s="1233">
        <f>Q_BS!CJ130</f>
        <v>-415.2409940062642</v>
      </c>
      <c r="CK39" s="1233">
        <f>Q_BS!CK130</f>
        <v>-380.71660402023292</v>
      </c>
      <c r="CL39" s="1233">
        <f>Q_BS!CL130</f>
        <v>-317.15064322659106</v>
      </c>
      <c r="CM39" s="1233">
        <f>Q_BS!CM130</f>
        <v>-324.17783807643002</v>
      </c>
      <c r="CN39" s="1233">
        <f>Q_BS!CN130</f>
        <v>-334.66288035727803</v>
      </c>
      <c r="CO39" s="1233">
        <f>Q_BS!CO130</f>
        <v>-297.52613853548172</v>
      </c>
      <c r="CP39" s="1233">
        <f>Q_BS!CP130</f>
        <v>-230.19757493573749</v>
      </c>
      <c r="CQ39" s="1233">
        <f>Q_BS!CQ130</f>
        <v>-237.60557793013106</v>
      </c>
      <c r="CR39" s="1233">
        <f>Q_BS!CR130</f>
        <v>-248.08156201751785</v>
      </c>
      <c r="CS39" s="1233">
        <f>Q_BS!CS130</f>
        <v>-208.18600859255488</v>
      </c>
      <c r="CT39" s="1233">
        <f>Q_BS!CT130</f>
        <v>-136.95872083514888</v>
      </c>
      <c r="CU39" s="1233">
        <f>Q_BS!CU130</f>
        <v>-144.81905634860266</v>
      </c>
      <c r="CV39" s="1233">
        <f>Q_BS!CV130</f>
        <v>-155.27429169776087</v>
      </c>
      <c r="CW39" s="1233">
        <f>Q_BS!CW130</f>
        <v>-112.54887554672933</v>
      </c>
    </row>
    <row r="40" spans="1:101">
      <c r="A40" s="342" t="s">
        <v>846</v>
      </c>
      <c r="B40" s="369"/>
      <c r="C40" s="369"/>
      <c r="D40" s="369"/>
      <c r="E40" s="369"/>
      <c r="F40" s="369"/>
      <c r="G40" s="369"/>
      <c r="H40" s="369"/>
      <c r="I40" s="369"/>
      <c r="J40" s="369"/>
      <c r="K40" s="369"/>
      <c r="L40" s="369"/>
      <c r="M40" s="369"/>
      <c r="N40" s="369"/>
      <c r="O40" s="351"/>
      <c r="P40" s="351"/>
      <c r="Q40" s="351"/>
      <c r="R40" s="351"/>
      <c r="S40" s="351"/>
      <c r="T40" s="351"/>
      <c r="U40" s="351"/>
      <c r="V40" s="351"/>
      <c r="W40" s="351"/>
      <c r="X40" s="351"/>
      <c r="Y40" s="351"/>
      <c r="Z40" s="351">
        <f>IS!AA15</f>
        <v>190.386</v>
      </c>
      <c r="AA40" s="351">
        <f>IS!AB15</f>
        <v>-159.48599999999999</v>
      </c>
      <c r="AB40" s="351">
        <f>IS!AC15</f>
        <v>-120.113</v>
      </c>
      <c r="AC40" s="351">
        <f>IS!AD15</f>
        <v>-15.061999999999999</v>
      </c>
      <c r="AD40" s="351">
        <f>IS!AE15</f>
        <v>-139.422</v>
      </c>
      <c r="AE40" s="351">
        <f>IS!AF15</f>
        <v>-160.363</v>
      </c>
      <c r="AF40" s="351">
        <f>IS!AG15</f>
        <v>-90.168999999999997</v>
      </c>
      <c r="AG40" s="351">
        <f>IS!AH15</f>
        <v>-17.812999999999999</v>
      </c>
      <c r="AH40" s="351">
        <f>IS!AI15</f>
        <v>236.48699999999999</v>
      </c>
      <c r="AI40" s="351">
        <f>IS!AJ15</f>
        <v>-92.997</v>
      </c>
      <c r="AJ40" s="351">
        <f>IS!AK15</f>
        <v>-24.702999999999999</v>
      </c>
      <c r="AK40" s="351">
        <f>IS!AL15</f>
        <v>-213.755</v>
      </c>
      <c r="AL40" s="351">
        <f>IS!AM15</f>
        <v>120.28400000000001</v>
      </c>
      <c r="AM40" s="411">
        <f>IS!AN15</f>
        <v>-82.733000000000004</v>
      </c>
      <c r="AN40" s="411">
        <f>IS!AO15</f>
        <v>182.505</v>
      </c>
      <c r="AO40" s="411">
        <f>IS!AP15</f>
        <v>-105.25</v>
      </c>
      <c r="AP40" s="411">
        <f>IS!AQ15</f>
        <v>86.613</v>
      </c>
      <c r="AQ40" s="411">
        <f>IS!AR15</f>
        <v>3.847</v>
      </c>
      <c r="AR40" s="411">
        <f>IS!AS15</f>
        <v>38.798999999999999</v>
      </c>
      <c r="AS40" s="411">
        <f>IS!AT15</f>
        <v>71.879000000000005</v>
      </c>
      <c r="AT40" s="411">
        <f>IS!AU15</f>
        <v>-565.60699999999997</v>
      </c>
      <c r="AU40" s="411">
        <f>IS!AV15</f>
        <v>-9.4849999999999994</v>
      </c>
      <c r="AV40" s="411">
        <f>IS!AW15</f>
        <v>2.2269999999999999</v>
      </c>
      <c r="AW40" s="411">
        <f>IS!AX15</f>
        <v>116.321</v>
      </c>
      <c r="AX40" s="411">
        <f>IS!AY15</f>
        <v>39.911000000000001</v>
      </c>
      <c r="AY40" s="411">
        <f>IS!AZ15</f>
        <v>49.451999999999998</v>
      </c>
      <c r="AZ40" s="411">
        <f>IS!BA15</f>
        <v>-14.382</v>
      </c>
      <c r="BA40" s="411">
        <f>IS!BB15</f>
        <v>45.359000000000002</v>
      </c>
      <c r="BB40" s="411">
        <f>IS!BC15</f>
        <v>0</v>
      </c>
      <c r="BC40" s="411">
        <f>IS!BD15</f>
        <v>0</v>
      </c>
      <c r="BD40" s="411">
        <f>IS!BE15</f>
        <v>0</v>
      </c>
      <c r="BE40" s="411">
        <f>IS!BF15</f>
        <v>0</v>
      </c>
      <c r="BF40" s="411">
        <f>IS!BG15</f>
        <v>0</v>
      </c>
      <c r="BG40" s="411">
        <f>IS!BH15</f>
        <v>0</v>
      </c>
      <c r="BH40" s="411">
        <f>IS!BI15</f>
        <v>0</v>
      </c>
      <c r="BI40" s="411">
        <f>IS!BJ15</f>
        <v>0</v>
      </c>
      <c r="BJ40" s="411">
        <f>IS!BK15</f>
        <v>0</v>
      </c>
      <c r="BK40" s="1304">
        <f>IS!BL15</f>
        <v>0</v>
      </c>
      <c r="BL40" s="332">
        <v>0</v>
      </c>
      <c r="BM40" s="332">
        <v>0</v>
      </c>
      <c r="BN40" s="332">
        <v>0</v>
      </c>
      <c r="BO40" s="332">
        <v>0</v>
      </c>
      <c r="BP40" s="332">
        <v>0</v>
      </c>
      <c r="BQ40" s="332">
        <v>0</v>
      </c>
      <c r="BR40" s="332">
        <v>0</v>
      </c>
      <c r="BS40" s="332">
        <v>0</v>
      </c>
      <c r="BT40" s="332">
        <v>0</v>
      </c>
      <c r="BU40" s="332">
        <v>0</v>
      </c>
      <c r="BV40" s="332">
        <v>0</v>
      </c>
      <c r="BW40" s="332">
        <v>0</v>
      </c>
      <c r="BX40" s="332">
        <v>0</v>
      </c>
      <c r="BY40" s="332">
        <v>0</v>
      </c>
      <c r="BZ40" s="332">
        <v>0</v>
      </c>
      <c r="CA40" s="332">
        <v>0</v>
      </c>
      <c r="CB40" s="332">
        <v>0</v>
      </c>
      <c r="CC40" s="332">
        <v>0</v>
      </c>
      <c r="CD40" s="332">
        <v>0</v>
      </c>
      <c r="CE40" s="332">
        <v>0</v>
      </c>
      <c r="CF40" s="332">
        <v>0</v>
      </c>
      <c r="CG40" s="332">
        <v>0</v>
      </c>
      <c r="CH40" s="332">
        <v>0</v>
      </c>
      <c r="CI40" s="332">
        <v>0</v>
      </c>
      <c r="CJ40" s="332">
        <v>0</v>
      </c>
      <c r="CK40" s="332">
        <v>0</v>
      </c>
      <c r="CL40" s="332">
        <v>0</v>
      </c>
      <c r="CM40" s="332">
        <v>0</v>
      </c>
      <c r="CN40" s="332">
        <v>0</v>
      </c>
      <c r="CO40" s="332">
        <v>0</v>
      </c>
      <c r="CP40" s="332">
        <v>0</v>
      </c>
      <c r="CQ40" s="332">
        <v>0</v>
      </c>
      <c r="CR40" s="332">
        <v>0</v>
      </c>
      <c r="CS40" s="332">
        <v>0</v>
      </c>
      <c r="CT40" s="332">
        <v>0</v>
      </c>
      <c r="CU40" s="332">
        <v>0</v>
      </c>
      <c r="CV40" s="332">
        <v>0</v>
      </c>
      <c r="CW40" s="332">
        <v>0</v>
      </c>
    </row>
    <row r="41" spans="1:101">
      <c r="A41" s="342" t="s">
        <v>702</v>
      </c>
      <c r="B41" s="369">
        <f>IS!C16</f>
        <v>-25.068999999999999</v>
      </c>
      <c r="C41" s="369">
        <f>IS!D16</f>
        <v>25.652000000000001</v>
      </c>
      <c r="D41" s="369">
        <f>IS!E16</f>
        <v>-6.2709999999999999</v>
      </c>
      <c r="E41" s="369">
        <f>IS!F16</f>
        <v>0.33900000000000002</v>
      </c>
      <c r="F41" s="369">
        <f>IS!G16</f>
        <v>-18.283000000000001</v>
      </c>
      <c r="G41" s="369">
        <f>IS!H16</f>
        <v>7.7729999999999997</v>
      </c>
      <c r="H41" s="369">
        <f>IS!I16</f>
        <v>3.5289999999999999</v>
      </c>
      <c r="I41" s="369">
        <f>IS!J16</f>
        <v>19.582000000000001</v>
      </c>
      <c r="J41" s="369">
        <f>IS!K16</f>
        <v>-16.997</v>
      </c>
      <c r="K41" s="369">
        <f>IS!L16</f>
        <v>-7.6269999999999998</v>
      </c>
      <c r="L41" s="369">
        <f>IS!M16</f>
        <v>30.943999999999999</v>
      </c>
      <c r="M41" s="369">
        <f>IS!N16</f>
        <v>6.59</v>
      </c>
      <c r="N41" s="369">
        <f>IS!O16</f>
        <v>-14.292999999999999</v>
      </c>
      <c r="O41" s="351">
        <f>IS!P16</f>
        <v>20.215</v>
      </c>
      <c r="P41" s="351">
        <f>IS!Q16</f>
        <v>-8.2810000000000006</v>
      </c>
      <c r="Q41" s="351">
        <f>IS!R16</f>
        <v>11.082000000000001</v>
      </c>
      <c r="R41" s="351">
        <f>IS!S16</f>
        <v>-22.751999999999999</v>
      </c>
      <c r="S41" s="351">
        <f>IS!T16</f>
        <v>-9.8149999999999995</v>
      </c>
      <c r="T41" s="351">
        <f>IS!U16</f>
        <v>23.277999999999999</v>
      </c>
      <c r="U41" s="351">
        <f>IS!V16</f>
        <v>1.1639999999999999</v>
      </c>
      <c r="V41" s="351">
        <f>IS!W16</f>
        <v>-2.2370000000000001</v>
      </c>
      <c r="W41" s="351">
        <f>IS!X16</f>
        <v>7.07</v>
      </c>
      <c r="X41" s="351">
        <f>IS!Y16</f>
        <v>-1.5620000000000001</v>
      </c>
      <c r="Y41" s="351">
        <f>IS!Z16</f>
        <v>-2.71</v>
      </c>
      <c r="Z41" s="351">
        <f>IS!AA16</f>
        <v>-16.274000000000001</v>
      </c>
      <c r="AA41" s="351">
        <f>IS!AB16</f>
        <v>-18.934000000000001</v>
      </c>
      <c r="AB41" s="351">
        <f>IS!AC16</f>
        <v>-30.321999999999999</v>
      </c>
      <c r="AC41" s="351">
        <f>IS!AD16</f>
        <v>-8.673</v>
      </c>
      <c r="AD41" s="351">
        <f>IS!AE16</f>
        <v>-70.784999999999997</v>
      </c>
      <c r="AE41" s="351">
        <f>IS!AF16</f>
        <v>102.65900000000001</v>
      </c>
      <c r="AF41" s="351">
        <f>IS!AG16</f>
        <v>47.975000000000001</v>
      </c>
      <c r="AG41" s="351">
        <f>IS!AH16</f>
        <v>-6.657</v>
      </c>
      <c r="AH41" s="351">
        <f>IS!AI16</f>
        <v>-206.124</v>
      </c>
      <c r="AI41" s="351">
        <f>IS!AJ16</f>
        <v>-156.06299999999999</v>
      </c>
      <c r="AJ41" s="351">
        <f>IS!AK16</f>
        <v>-31.021000000000001</v>
      </c>
      <c r="AK41" s="351">
        <f>IS!AL16</f>
        <v>124.07599999999999</v>
      </c>
      <c r="AL41" s="351">
        <f>IS!AM16</f>
        <v>-62.808</v>
      </c>
      <c r="AM41" s="411">
        <f>IS!AN16</f>
        <v>122.197</v>
      </c>
      <c r="AN41" s="411">
        <f>IS!AO16</f>
        <v>-76.801000000000002</v>
      </c>
      <c r="AO41" s="411">
        <f>IS!AP16</f>
        <v>18.047999999999998</v>
      </c>
      <c r="AP41" s="411">
        <f>IS!AQ16</f>
        <v>34.774999999999999</v>
      </c>
      <c r="AQ41" s="411">
        <f>IS!AR16</f>
        <v>-11.939</v>
      </c>
      <c r="AR41" s="411">
        <f>IS!AS16</f>
        <v>-33.777000000000001</v>
      </c>
      <c r="AS41" s="411">
        <f>IS!AT16</f>
        <v>-18.140999999999998</v>
      </c>
      <c r="AT41" s="411">
        <f>IS!AU16</f>
        <v>427.32600000000002</v>
      </c>
      <c r="AU41" s="411">
        <f>IS!AV16</f>
        <v>412.786</v>
      </c>
      <c r="AV41" s="411">
        <f>IS!AW16</f>
        <v>-176.97399999999999</v>
      </c>
      <c r="AW41" s="411">
        <f>IS!AX16</f>
        <v>-674.46</v>
      </c>
      <c r="AX41" s="411">
        <f>IS!AY16</f>
        <v>82.248999999999995</v>
      </c>
      <c r="AY41" s="411">
        <f>IS!AZ16</f>
        <v>-26.471</v>
      </c>
      <c r="AZ41" s="411">
        <f>IS!BA16</f>
        <v>12.686999999999999</v>
      </c>
      <c r="BA41" s="411">
        <f>IS!BB16</f>
        <v>46.573</v>
      </c>
      <c r="BB41" s="411">
        <f>IS!BC16</f>
        <v>195.72499999999999</v>
      </c>
      <c r="BC41" s="411">
        <f>IS!BD16</f>
        <v>-424.25799999999998</v>
      </c>
      <c r="BD41" s="411">
        <f>IS!BE16</f>
        <v>-169.351</v>
      </c>
      <c r="BE41" s="411">
        <f>IS!BF16</f>
        <v>95.558000000000007</v>
      </c>
      <c r="BF41" s="411">
        <f>IS!BG16</f>
        <v>352.476</v>
      </c>
      <c r="BG41" s="411">
        <f>IS!BH16</f>
        <v>13.849</v>
      </c>
      <c r="BH41" s="411">
        <f>IS!BI16</f>
        <v>-49.201999999999998</v>
      </c>
      <c r="BI41" s="411">
        <f>IS!BJ16</f>
        <v>42.47</v>
      </c>
      <c r="BJ41" s="411">
        <f>IS!BK16</f>
        <v>-196.28200000000001</v>
      </c>
      <c r="BK41" s="1304">
        <f>IS!BL16</f>
        <v>-571.44399999999996</v>
      </c>
      <c r="BL41" s="332">
        <f>-Q_BS!BL114</f>
        <v>-376.77336447554711</v>
      </c>
      <c r="BM41" s="332">
        <f>-Q_BS!BM114</f>
        <v>-154.35845214968512</v>
      </c>
      <c r="BN41" s="332">
        <f>-Q_BS!BN114</f>
        <v>-254.08388366811218</v>
      </c>
      <c r="BO41" s="332">
        <f>-Q_BS!BO114</f>
        <v>-161.43695051642317</v>
      </c>
      <c r="BP41" s="332">
        <f>-Q_BS!BP114</f>
        <v>0</v>
      </c>
      <c r="BQ41" s="332">
        <f>-Q_BS!BQ114</f>
        <v>-443.6778996406195</v>
      </c>
      <c r="BR41" s="332">
        <f>-Q_BS!BR114</f>
        <v>-786.8191181181644</v>
      </c>
      <c r="BS41" s="332">
        <f>-Q_BS!BS114</f>
        <v>0</v>
      </c>
      <c r="BT41" s="332">
        <f>-Q_BS!BT114</f>
        <v>0</v>
      </c>
      <c r="BU41" s="332">
        <f>-Q_BS!BU114</f>
        <v>0</v>
      </c>
      <c r="BV41" s="332">
        <f>-Q_BS!BV114</f>
        <v>-74.102571372305846</v>
      </c>
      <c r="BW41" s="332">
        <f>-Q_BS!BW114</f>
        <v>80.456617000527174</v>
      </c>
      <c r="BX41" s="332">
        <f>-Q_BS!BX114</f>
        <v>-99.38054981106805</v>
      </c>
      <c r="BY41" s="332">
        <f>-Q_BS!BY114</f>
        <v>-266.66872996059953</v>
      </c>
      <c r="BZ41" s="332">
        <f>-Q_BS!BZ114</f>
        <v>-80.214971323426909</v>
      </c>
      <c r="CA41" s="332">
        <f>-Q_BS!CA114</f>
        <v>85.533128310745255</v>
      </c>
      <c r="CB41" s="332">
        <f>-Q_BS!CB114</f>
        <v>-103.788207853538</v>
      </c>
      <c r="CC41" s="332">
        <f>-Q_BS!CC114</f>
        <v>-273.6822137123113</v>
      </c>
      <c r="CD41" s="332">
        <f>-Q_BS!CD114</f>
        <v>-80.934896289370201</v>
      </c>
      <c r="CE41" s="332">
        <f>-Q_BS!CE114</f>
        <v>86.300783443819839</v>
      </c>
      <c r="CF41" s="332">
        <f>-Q_BS!CF114</f>
        <v>-104.71970132378642</v>
      </c>
      <c r="CG41" s="332">
        <f>-Q_BS!CG114</f>
        <v>-276.13849656244241</v>
      </c>
      <c r="CH41" s="332">
        <f>-Q_BS!CH114</f>
        <v>-81.661282542374707</v>
      </c>
      <c r="CI41" s="332">
        <f>-Q_BS!CI114</f>
        <v>87.075328239593034</v>
      </c>
      <c r="CJ41" s="332">
        <f>-Q_BS!CJ114</f>
        <v>-105.65955489681917</v>
      </c>
      <c r="CK41" s="332">
        <f>-Q_BS!CK114</f>
        <v>-278.61682441636503</v>
      </c>
      <c r="CL41" s="332">
        <f>-Q_BS!CL114</f>
        <v>-82.394188072137126</v>
      </c>
      <c r="CM41" s="332">
        <f>-Q_BS!CM114</f>
        <v>87.856824532397923</v>
      </c>
      <c r="CN41" s="332">
        <f>-Q_BS!CN114</f>
        <v>-106.60784360409012</v>
      </c>
      <c r="CO41" s="332">
        <f>-Q_BS!CO114</f>
        <v>-281.11739512678503</v>
      </c>
      <c r="CP41" s="332">
        <f>-Q_BS!CP114</f>
        <v>-83.133671388811948</v>
      </c>
      <c r="CQ41" s="332">
        <f>-Q_BS!CQ114</f>
        <v>88.645334711550476</v>
      </c>
      <c r="CR41" s="332">
        <f>-Q_BS!CR114</f>
        <v>-107.5646431504794</v>
      </c>
      <c r="CS41" s="332">
        <f>-Q_BS!CS114</f>
        <v>-286.93269467857209</v>
      </c>
      <c r="CT41" s="332">
        <f>-Q_BS!CT114</f>
        <v>-85.82065077759141</v>
      </c>
      <c r="CU41" s="332">
        <f>-Q_BS!CU114</f>
        <v>91.510457631089807</v>
      </c>
      <c r="CV41" s="332">
        <f>-Q_BS!CV114</f>
        <v>-111.41675736709388</v>
      </c>
      <c r="CW41" s="332">
        <f>-Q_BS!CW114</f>
        <v>-293.79816292717379</v>
      </c>
    </row>
    <row r="42" spans="1:101">
      <c r="A42" s="36" t="s">
        <v>700</v>
      </c>
      <c r="B42" s="420">
        <f>IS!C17</f>
        <v>-1.272</v>
      </c>
      <c r="C42" s="420">
        <f>IS!D17</f>
        <v>-2.125</v>
      </c>
      <c r="D42" s="420">
        <f>IS!E17</f>
        <v>-2.5510000000000002</v>
      </c>
      <c r="E42" s="420">
        <f>IS!F17</f>
        <v>1.456</v>
      </c>
      <c r="F42" s="420">
        <f>IS!G17</f>
        <v>2.222</v>
      </c>
      <c r="G42" s="420">
        <f>IS!H17</f>
        <v>3.226</v>
      </c>
      <c r="H42" s="420">
        <f>IS!I17</f>
        <v>-3.5339999999999998</v>
      </c>
      <c r="I42" s="420">
        <f>IS!J17</f>
        <v>1.92</v>
      </c>
      <c r="J42" s="830">
        <f>IS!K17</f>
        <v>0.73799999999999999</v>
      </c>
      <c r="K42" s="830">
        <f>IS!L17</f>
        <v>2.4870000000000001</v>
      </c>
      <c r="L42" s="830">
        <f>IS!M17</f>
        <v>1.6120000000000001</v>
      </c>
      <c r="M42" s="830">
        <f>IS!N17</f>
        <v>3.9670000000000001</v>
      </c>
      <c r="N42" s="420">
        <f>IS!O17</f>
        <v>2.5859999999999999</v>
      </c>
      <c r="O42" s="421">
        <f>IS!P17</f>
        <v>7.6890000000000001</v>
      </c>
      <c r="P42" s="421">
        <f>IS!Q17</f>
        <v>3.3029999999999999</v>
      </c>
      <c r="Q42" s="421">
        <f>IS!R17</f>
        <v>-0.59899999999999998</v>
      </c>
      <c r="R42" s="421">
        <f>IS!S17</f>
        <v>3.1480000000000001</v>
      </c>
      <c r="S42" s="421">
        <f>IS!T17</f>
        <v>1.165</v>
      </c>
      <c r="T42" s="420">
        <f>IS!U17</f>
        <v>-1.123</v>
      </c>
      <c r="U42" s="420">
        <f>IS!V17</f>
        <v>40.390999999999998</v>
      </c>
      <c r="V42" s="420">
        <f>IS!W17</f>
        <v>5.7220000000000004</v>
      </c>
      <c r="W42" s="420">
        <f>IS!X17</f>
        <v>2.9329999999999998</v>
      </c>
      <c r="X42" s="420">
        <f>IS!Y17</f>
        <v>2.89</v>
      </c>
      <c r="Y42" s="420">
        <f>IS!Z17</f>
        <v>20.707999999999998</v>
      </c>
      <c r="Z42" s="420">
        <f>IS!AA17</f>
        <v>-2.8159999999999998</v>
      </c>
      <c r="AA42" s="420">
        <f>IS!AB17</f>
        <v>3.669</v>
      </c>
      <c r="AB42" s="420">
        <f>IS!AC17</f>
        <v>7.1139999999999999</v>
      </c>
      <c r="AC42" s="420">
        <f>IS!AD17</f>
        <v>19.736000000000001</v>
      </c>
      <c r="AD42" s="420">
        <f>IS!AE17</f>
        <v>-7.0810000000000004</v>
      </c>
      <c r="AE42" s="420">
        <f>IS!AF17</f>
        <v>17.331</v>
      </c>
      <c r="AF42" s="420">
        <f>IS!AG17</f>
        <v>16.402999999999999</v>
      </c>
      <c r="AG42" s="420">
        <f>IS!AH17</f>
        <v>41.223999999999997</v>
      </c>
      <c r="AH42" s="420">
        <f>IS!AI17</f>
        <v>-8.7569999999999997</v>
      </c>
      <c r="AI42" s="420">
        <f>IS!AJ17</f>
        <v>2.1840000000000002</v>
      </c>
      <c r="AJ42" s="420">
        <f>IS!AK17</f>
        <v>18.065999999999999</v>
      </c>
      <c r="AK42" s="420">
        <f>IS!AL17</f>
        <v>-11.930999999999999</v>
      </c>
      <c r="AL42" s="420">
        <f>IS!AM17</f>
        <v>0</v>
      </c>
      <c r="AM42" s="420">
        <f>IS!AN17</f>
        <v>0</v>
      </c>
      <c r="AN42" s="420">
        <f>IS!AO17</f>
        <v>0</v>
      </c>
      <c r="AO42" s="420">
        <f>IS!AP17</f>
        <v>0</v>
      </c>
      <c r="AP42" s="420">
        <f>IS!AQ17</f>
        <v>0</v>
      </c>
      <c r="AQ42" s="420">
        <f>IS!AR17</f>
        <v>-1.917</v>
      </c>
      <c r="AR42" s="420">
        <f>IS!AS17</f>
        <v>0.69399999999999995</v>
      </c>
      <c r="AS42" s="420">
        <f>IS!AT17</f>
        <v>0.28000000000000003</v>
      </c>
      <c r="AT42" s="420">
        <f>IS!AU17</f>
        <v>-1.3260000000000001</v>
      </c>
      <c r="AU42" s="420">
        <f>IS!AV17</f>
        <v>-1.444</v>
      </c>
      <c r="AV42" s="420">
        <f>IS!AW17</f>
        <v>-8.6999999999999994E-2</v>
      </c>
      <c r="AW42" s="420">
        <f>IS!AX17</f>
        <v>0.24</v>
      </c>
      <c r="AX42" s="420">
        <f>IS!AY17</f>
        <v>-0.157</v>
      </c>
      <c r="AY42" s="420">
        <f>IS!AZ17</f>
        <v>0.41799999999999998</v>
      </c>
      <c r="AZ42" s="420">
        <f>IS!BA17</f>
        <v>0.48199999999999998</v>
      </c>
      <c r="BA42" s="420">
        <f>IS!BB17</f>
        <v>1.097</v>
      </c>
      <c r="BB42" s="420">
        <f>IS!BC17</f>
        <v>0</v>
      </c>
      <c r="BC42" s="420">
        <f>IS!BD17</f>
        <v>0</v>
      </c>
      <c r="BD42" s="420">
        <f>IS!BE17</f>
        <v>0</v>
      </c>
      <c r="BE42" s="420">
        <f>IS!BF17</f>
        <v>0</v>
      </c>
      <c r="BF42" s="420">
        <f>IS!BG17</f>
        <v>0</v>
      </c>
      <c r="BG42" s="420">
        <f>IS!BH17</f>
        <v>0</v>
      </c>
      <c r="BH42" s="420">
        <f>IS!BI17</f>
        <v>0</v>
      </c>
      <c r="BI42" s="420">
        <f>IS!BJ17</f>
        <v>0</v>
      </c>
      <c r="BJ42" s="420">
        <f>IS!BK17</f>
        <v>0</v>
      </c>
      <c r="BK42" s="1415">
        <f>IS!BL17</f>
        <v>0</v>
      </c>
      <c r="BL42" s="332">
        <v>0</v>
      </c>
      <c r="BM42" s="332">
        <v>0</v>
      </c>
      <c r="BN42" s="332">
        <v>0</v>
      </c>
      <c r="BO42" s="332">
        <v>0</v>
      </c>
      <c r="BP42" s="332">
        <v>0</v>
      </c>
      <c r="BQ42" s="332">
        <v>0</v>
      </c>
      <c r="BR42" s="332">
        <v>0</v>
      </c>
      <c r="BS42" s="332">
        <v>0</v>
      </c>
      <c r="BT42" s="332">
        <v>0</v>
      </c>
      <c r="BU42" s="332">
        <v>0</v>
      </c>
      <c r="BV42" s="332">
        <v>0</v>
      </c>
      <c r="BW42" s="332">
        <v>0</v>
      </c>
      <c r="BX42" s="332">
        <v>0</v>
      </c>
      <c r="BY42" s="332">
        <v>0</v>
      </c>
      <c r="BZ42" s="332">
        <v>0</v>
      </c>
      <c r="CA42" s="332">
        <v>0</v>
      </c>
      <c r="CB42" s="332">
        <v>0</v>
      </c>
      <c r="CC42" s="332">
        <v>0</v>
      </c>
      <c r="CD42" s="332">
        <v>0</v>
      </c>
      <c r="CE42" s="332">
        <v>0</v>
      </c>
      <c r="CF42" s="332">
        <v>0</v>
      </c>
      <c r="CG42" s="332">
        <v>0</v>
      </c>
      <c r="CH42" s="332">
        <v>0</v>
      </c>
      <c r="CI42" s="332">
        <v>0</v>
      </c>
      <c r="CJ42" s="332">
        <v>0</v>
      </c>
      <c r="CK42" s="332">
        <v>0</v>
      </c>
      <c r="CL42" s="332">
        <v>0</v>
      </c>
      <c r="CM42" s="332">
        <v>0</v>
      </c>
      <c r="CN42" s="332">
        <v>0</v>
      </c>
      <c r="CO42" s="332">
        <v>0</v>
      </c>
      <c r="CP42" s="332">
        <v>0</v>
      </c>
      <c r="CQ42" s="332">
        <v>0</v>
      </c>
      <c r="CR42" s="332">
        <v>0</v>
      </c>
      <c r="CS42" s="332">
        <v>0</v>
      </c>
      <c r="CT42" s="332">
        <v>0</v>
      </c>
      <c r="CU42" s="332">
        <v>0</v>
      </c>
      <c r="CV42" s="332">
        <v>0</v>
      </c>
      <c r="CW42" s="332">
        <v>0</v>
      </c>
    </row>
    <row r="43" spans="1:101">
      <c r="A43" s="36" t="s">
        <v>701</v>
      </c>
      <c r="B43" s="420">
        <f>IS!C18</f>
        <v>26.451999999999998</v>
      </c>
      <c r="C43" s="420">
        <f>IS!D18</f>
        <v>-37.541999999999994</v>
      </c>
      <c r="D43" s="420">
        <f>IS!E18</f>
        <v>41.604999999999997</v>
      </c>
      <c r="E43" s="420">
        <f>IS!F18</f>
        <v>-49.311999999999998</v>
      </c>
      <c r="F43" s="420">
        <f>IS!G18</f>
        <v>-13.46</v>
      </c>
      <c r="G43" s="420">
        <f>IS!H18</f>
        <v>67.78</v>
      </c>
      <c r="H43" s="420">
        <f>IS!I18</f>
        <v>-4.1360000000000001</v>
      </c>
      <c r="I43" s="420">
        <f>IS!J18</f>
        <v>-15.759</v>
      </c>
      <c r="J43" s="830">
        <f>IS!K18</f>
        <v>0</v>
      </c>
      <c r="K43" s="830">
        <f>IS!L18</f>
        <v>0</v>
      </c>
      <c r="L43" s="830">
        <f>IS!M18</f>
        <v>0</v>
      </c>
      <c r="M43" s="830">
        <f>IS!N18</f>
        <v>0</v>
      </c>
      <c r="N43" s="420">
        <f>IS!O18</f>
        <v>0</v>
      </c>
      <c r="O43" s="421">
        <f>IS!P18</f>
        <v>0</v>
      </c>
      <c r="P43" s="421">
        <f>IS!Q18</f>
        <v>0</v>
      </c>
      <c r="Q43" s="421">
        <f>IS!R18</f>
        <v>0</v>
      </c>
      <c r="R43" s="421">
        <f>IS!S18</f>
        <v>0</v>
      </c>
      <c r="S43" s="421">
        <f>IS!T18</f>
        <v>0</v>
      </c>
      <c r="T43" s="420">
        <f>IS!U18</f>
        <v>0</v>
      </c>
      <c r="U43" s="420">
        <f>IS!V18</f>
        <v>0</v>
      </c>
      <c r="V43" s="420">
        <f>IS!W18</f>
        <v>0</v>
      </c>
      <c r="W43" s="420">
        <f>IS!X18</f>
        <v>0</v>
      </c>
      <c r="X43" s="420">
        <f>IS!Y18</f>
        <v>0</v>
      </c>
      <c r="Y43" s="420">
        <f>IS!Z18</f>
        <v>0</v>
      </c>
      <c r="Z43" s="420">
        <f>IS!AA18</f>
        <v>0</v>
      </c>
      <c r="AA43" s="420">
        <f>IS!AB18</f>
        <v>0</v>
      </c>
      <c r="AB43" s="420">
        <f>IS!AC18</f>
        <v>0</v>
      </c>
      <c r="AC43" s="420">
        <f>IS!AD18</f>
        <v>0</v>
      </c>
      <c r="AD43" s="420">
        <f>IS!AE18</f>
        <v>0</v>
      </c>
      <c r="AE43" s="420">
        <f>IS!AF18</f>
        <v>0</v>
      </c>
      <c r="AF43" s="420">
        <f>IS!AG18</f>
        <v>0</v>
      </c>
      <c r="AG43" s="420">
        <f>IS!AH18</f>
        <v>0</v>
      </c>
      <c r="AH43" s="420">
        <f>IS!AI18</f>
        <v>0</v>
      </c>
      <c r="AI43" s="420">
        <f>IS!AJ18</f>
        <v>0</v>
      </c>
      <c r="AJ43" s="420">
        <f>IS!AK18</f>
        <v>0</v>
      </c>
      <c r="AK43" s="420">
        <f>IS!AL18</f>
        <v>0</v>
      </c>
      <c r="AL43" s="420">
        <f>IS!AM18</f>
        <v>0</v>
      </c>
      <c r="AM43" s="420">
        <f>IS!AN18</f>
        <v>0</v>
      </c>
      <c r="AN43" s="420">
        <f>IS!AO18</f>
        <v>0</v>
      </c>
      <c r="AO43" s="420">
        <f>IS!AP18</f>
        <v>0</v>
      </c>
      <c r="AP43" s="420">
        <f>IS!AQ18</f>
        <v>0</v>
      </c>
      <c r="AQ43" s="420">
        <f>IS!AR18</f>
        <v>0</v>
      </c>
      <c r="AR43" s="420">
        <f>IS!AS18</f>
        <v>0</v>
      </c>
      <c r="AS43" s="420">
        <f>IS!AT18</f>
        <v>0</v>
      </c>
      <c r="AT43" s="420">
        <f>IS!AU18</f>
        <v>0</v>
      </c>
      <c r="AU43" s="420">
        <f>IS!AV18</f>
        <v>0</v>
      </c>
      <c r="AV43" s="420">
        <f>IS!AW18</f>
        <v>0</v>
      </c>
      <c r="AW43" s="420">
        <f>IS!AX18</f>
        <v>0</v>
      </c>
      <c r="AX43" s="420">
        <f>IS!AY18</f>
        <v>0</v>
      </c>
      <c r="AY43" s="420">
        <f>IS!AZ18</f>
        <v>0</v>
      </c>
      <c r="AZ43" s="420">
        <f>IS!BA18</f>
        <v>0</v>
      </c>
      <c r="BA43" s="420">
        <f>IS!BB18</f>
        <v>0</v>
      </c>
      <c r="BB43" s="420">
        <f>IS!BC18</f>
        <v>0</v>
      </c>
      <c r="BC43" s="420">
        <f>IS!BD18</f>
        <v>0</v>
      </c>
      <c r="BD43" s="420">
        <f>IS!BE18</f>
        <v>0</v>
      </c>
      <c r="BE43" s="420">
        <f>IS!BF18</f>
        <v>0</v>
      </c>
      <c r="BF43" s="420">
        <f>IS!BG18</f>
        <v>0</v>
      </c>
      <c r="BG43" s="420">
        <f>IS!BH18</f>
        <v>3.4039999999999999</v>
      </c>
      <c r="BH43" s="420">
        <f>IS!BI18</f>
        <v>0</v>
      </c>
      <c r="BI43" s="420">
        <f>IS!BJ18</f>
        <v>0</v>
      </c>
      <c r="BJ43" s="420">
        <f>IS!BK18</f>
        <v>0</v>
      </c>
      <c r="BK43" s="1415">
        <f>IS!BL18</f>
        <v>0</v>
      </c>
      <c r="BL43" s="422">
        <f>Q_IS!BL308</f>
        <v>0</v>
      </c>
      <c r="BM43" s="422">
        <f>Q_IS!BM308</f>
        <v>0</v>
      </c>
      <c r="BN43" s="422">
        <f>Q_IS!BN308</f>
        <v>0</v>
      </c>
      <c r="BO43" s="422">
        <f>Q_IS!BO308</f>
        <v>0</v>
      </c>
      <c r="BP43" s="422">
        <f>Q_IS!BP308</f>
        <v>0</v>
      </c>
      <c r="BQ43" s="422">
        <f>Q_IS!BQ308</f>
        <v>0</v>
      </c>
      <c r="BR43" s="422">
        <f>Q_IS!BR308</f>
        <v>0</v>
      </c>
      <c r="BS43" s="422">
        <f>Q_IS!BS308</f>
        <v>0</v>
      </c>
      <c r="BT43" s="422">
        <f>Q_IS!BT308</f>
        <v>0</v>
      </c>
      <c r="BU43" s="422">
        <f>Q_IS!BU308</f>
        <v>0</v>
      </c>
      <c r="BV43" s="422">
        <f>Q_IS!BV308</f>
        <v>0</v>
      </c>
      <c r="BW43" s="422">
        <f>Q_IS!BW308</f>
        <v>0</v>
      </c>
      <c r="BX43" s="422">
        <f>Q_IS!BX308</f>
        <v>0</v>
      </c>
      <c r="BY43" s="422">
        <f>Q_IS!BY308</f>
        <v>0</v>
      </c>
      <c r="BZ43" s="422">
        <f>Q_IS!BZ308</f>
        <v>0</v>
      </c>
      <c r="CA43" s="422">
        <f>Q_IS!CA308</f>
        <v>0</v>
      </c>
      <c r="CB43" s="422">
        <f>Q_IS!CB308</f>
        <v>0</v>
      </c>
      <c r="CC43" s="422">
        <f>Q_IS!CC308</f>
        <v>0</v>
      </c>
      <c r="CD43" s="422">
        <f>Q_IS!CD308</f>
        <v>0</v>
      </c>
      <c r="CE43" s="422">
        <f>Q_IS!CE308</f>
        <v>0</v>
      </c>
      <c r="CF43" s="422">
        <f>Q_IS!CF308</f>
        <v>0</v>
      </c>
      <c r="CG43" s="422">
        <f>Q_IS!CG308</f>
        <v>0</v>
      </c>
      <c r="CH43" s="422">
        <f>Q_IS!CH308</f>
        <v>0</v>
      </c>
      <c r="CI43" s="422">
        <f>Q_IS!CI308</f>
        <v>0</v>
      </c>
      <c r="CJ43" s="422">
        <f>Q_IS!CJ308</f>
        <v>0</v>
      </c>
      <c r="CK43" s="422">
        <f>Q_IS!CK308</f>
        <v>0</v>
      </c>
      <c r="CL43" s="422">
        <f>Q_IS!CL308</f>
        <v>0</v>
      </c>
      <c r="CM43" s="422">
        <f>Q_IS!CM308</f>
        <v>0</v>
      </c>
      <c r="CN43" s="422">
        <f>Q_IS!CN308</f>
        <v>0</v>
      </c>
      <c r="CO43" s="422">
        <f>Q_IS!CO308</f>
        <v>0</v>
      </c>
      <c r="CP43" s="422">
        <f>Q_IS!CP308</f>
        <v>0</v>
      </c>
      <c r="CQ43" s="422">
        <f>Q_IS!CQ308</f>
        <v>0</v>
      </c>
      <c r="CR43" s="422">
        <f>Q_IS!CR308</f>
        <v>0</v>
      </c>
      <c r="CS43" s="422">
        <f>Q_IS!CS308</f>
        <v>0</v>
      </c>
      <c r="CT43" s="422">
        <f>Q_IS!CT308</f>
        <v>0</v>
      </c>
      <c r="CU43" s="422">
        <f>Q_IS!CU308</f>
        <v>0</v>
      </c>
      <c r="CV43" s="422">
        <f>Q_IS!CV308</f>
        <v>0</v>
      </c>
      <c r="CW43" s="422">
        <f>Q_IS!CW308</f>
        <v>0</v>
      </c>
    </row>
    <row r="44" spans="1:101" s="13" customFormat="1">
      <c r="A44" s="13" t="s">
        <v>29</v>
      </c>
      <c r="B44" s="678">
        <f t="shared" ref="B44:AG44" si="289">B34+B37+B43+B42</f>
        <v>-28.899000000000022</v>
      </c>
      <c r="C44" s="678">
        <f t="shared" si="289"/>
        <v>-29.417000000000137</v>
      </c>
      <c r="D44" s="678">
        <f t="shared" si="289"/>
        <v>79.464999999999733</v>
      </c>
      <c r="E44" s="678">
        <f t="shared" si="289"/>
        <v>162.79399999999984</v>
      </c>
      <c r="F44" s="678">
        <f t="shared" si="289"/>
        <v>4.483000000000116</v>
      </c>
      <c r="G44" s="678">
        <f t="shared" si="289"/>
        <v>150.69199999999998</v>
      </c>
      <c r="H44" s="678">
        <f t="shared" si="289"/>
        <v>46.359999999999943</v>
      </c>
      <c r="I44" s="678">
        <f t="shared" si="289"/>
        <v>85.203999999999809</v>
      </c>
      <c r="J44" s="678">
        <f t="shared" si="289"/>
        <v>26.24600000000008</v>
      </c>
      <c r="K44" s="678">
        <f t="shared" si="289"/>
        <v>101.89500000000028</v>
      </c>
      <c r="L44" s="678">
        <f t="shared" si="289"/>
        <v>126.23400000000012</v>
      </c>
      <c r="M44" s="678">
        <f t="shared" si="289"/>
        <v>89.402999999999935</v>
      </c>
      <c r="N44" s="678">
        <f t="shared" si="289"/>
        <v>48.269999999999833</v>
      </c>
      <c r="O44" s="679">
        <f t="shared" si="289"/>
        <v>201.38499999999971</v>
      </c>
      <c r="P44" s="679">
        <f t="shared" si="289"/>
        <v>150.09599999999989</v>
      </c>
      <c r="Q44" s="679">
        <f t="shared" si="289"/>
        <v>226.15499999999992</v>
      </c>
      <c r="R44" s="679">
        <f t="shared" si="289"/>
        <v>116.54000000000011</v>
      </c>
      <c r="S44" s="679">
        <f t="shared" si="289"/>
        <v>230.00600000000003</v>
      </c>
      <c r="T44" s="679">
        <f t="shared" si="289"/>
        <v>266.7199999999998</v>
      </c>
      <c r="U44" s="679">
        <f t="shared" si="289"/>
        <v>336.4920000000003</v>
      </c>
      <c r="V44" s="679">
        <f t="shared" si="289"/>
        <v>96.139000000000166</v>
      </c>
      <c r="W44" s="679">
        <f t="shared" si="289"/>
        <v>140.92199999999991</v>
      </c>
      <c r="X44" s="679">
        <f t="shared" si="289"/>
        <v>261.24800000000045</v>
      </c>
      <c r="Y44" s="679">
        <f t="shared" si="289"/>
        <v>497.49199999999962</v>
      </c>
      <c r="Z44" s="679">
        <f t="shared" si="289"/>
        <v>408.56600000000134</v>
      </c>
      <c r="AA44" s="680">
        <f t="shared" si="289"/>
        <v>229.24999999999986</v>
      </c>
      <c r="AB44" s="680">
        <f t="shared" si="289"/>
        <v>258.85099999999994</v>
      </c>
      <c r="AC44" s="680">
        <f t="shared" si="289"/>
        <v>626.00299999999925</v>
      </c>
      <c r="AD44" s="680">
        <f t="shared" si="289"/>
        <v>102.07600000000026</v>
      </c>
      <c r="AE44" s="680">
        <f t="shared" si="289"/>
        <v>398.7819999999989</v>
      </c>
      <c r="AF44" s="680">
        <f t="shared" si="289"/>
        <v>496.61399999999998</v>
      </c>
      <c r="AG44" s="680">
        <f t="shared" si="289"/>
        <v>658.25000000000034</v>
      </c>
      <c r="AH44" s="680">
        <f t="shared" ref="AH44:AQ44" si="290">AH34+AH37+AH43+AH42</f>
        <v>349.80399999999975</v>
      </c>
      <c r="AI44" s="680">
        <f t="shared" si="290"/>
        <v>172.70700000000036</v>
      </c>
      <c r="AJ44" s="680">
        <f t="shared" si="290"/>
        <v>380.03099999999893</v>
      </c>
      <c r="AK44" s="680">
        <f t="shared" si="290"/>
        <v>1185.0060000000005</v>
      </c>
      <c r="AL44" s="680">
        <f t="shared" si="290"/>
        <v>390.71300000000002</v>
      </c>
      <c r="AM44" s="680">
        <f t="shared" si="290"/>
        <v>445.3719999999999</v>
      </c>
      <c r="AN44" s="680">
        <f t="shared" si="290"/>
        <v>500.12700000000046</v>
      </c>
      <c r="AO44" s="680">
        <f t="shared" si="290"/>
        <v>501.40699999999879</v>
      </c>
      <c r="AP44" s="1416">
        <f t="shared" si="290"/>
        <v>206.99400000000003</v>
      </c>
      <c r="AQ44" s="1416">
        <f t="shared" si="290"/>
        <v>345.80000000000138</v>
      </c>
      <c r="AR44" s="1416">
        <f>AR34+AR37+AR43+AR42</f>
        <v>405.05899999999855</v>
      </c>
      <c r="AS44" s="1416">
        <f t="shared" ref="AS44:AX44" si="291">AS34+AS37+AS43+AS42</f>
        <v>762.29999999999927</v>
      </c>
      <c r="AT44" s="1416">
        <f t="shared" si="291"/>
        <v>-387.79400000000044</v>
      </c>
      <c r="AU44" s="1416">
        <f t="shared" si="291"/>
        <v>-3397.6030000000005</v>
      </c>
      <c r="AV44" s="1416">
        <f t="shared" si="291"/>
        <v>-884.39800000000071</v>
      </c>
      <c r="AW44" s="1416">
        <f t="shared" si="291"/>
        <v>-354.22500000000014</v>
      </c>
      <c r="AX44" s="1416">
        <f t="shared" si="291"/>
        <v>-619.98800000000006</v>
      </c>
      <c r="AY44" s="1416">
        <f t="shared" ref="AY44:BD44" si="292">AY34+AY37+AY43+AY42</f>
        <v>70.82899999999961</v>
      </c>
      <c r="AZ44" s="1416">
        <f t="shared" si="292"/>
        <v>386.93499999999943</v>
      </c>
      <c r="BA44" s="1416">
        <f t="shared" si="292"/>
        <v>1161.6400000000001</v>
      </c>
      <c r="BB44" s="1416">
        <f t="shared" si="292"/>
        <v>720.04999999999984</v>
      </c>
      <c r="BC44" s="1416">
        <f t="shared" si="292"/>
        <v>342.15600000000018</v>
      </c>
      <c r="BD44" s="1416">
        <f t="shared" si="292"/>
        <v>469.61799999999857</v>
      </c>
      <c r="BE44" s="1416">
        <f t="shared" ref="BE44:BI44" si="293">BE34+BE37+BE43+BE42</f>
        <v>989.98199999999963</v>
      </c>
      <c r="BF44" s="1416">
        <f t="shared" si="293"/>
        <v>953.94099999999992</v>
      </c>
      <c r="BG44" s="1416">
        <f t="shared" si="293"/>
        <v>747.15299999999945</v>
      </c>
      <c r="BH44" s="1416">
        <f t="shared" si="293"/>
        <v>931.11599999999783</v>
      </c>
      <c r="BI44" s="1416">
        <f t="shared" si="293"/>
        <v>1815.6599999999994</v>
      </c>
      <c r="BJ44" s="1416">
        <f t="shared" ref="BJ44:BK44" si="294">BJ34+BJ37+BJ43+BJ42</f>
        <v>607.8990000000008</v>
      </c>
      <c r="BK44" s="1176">
        <f t="shared" si="294"/>
        <v>204.25700000000165</v>
      </c>
      <c r="BL44" s="681">
        <f t="shared" ref="BL44:CW44" si="295">BL34+BL37+BL43+BL42</f>
        <v>73.329360117979149</v>
      </c>
      <c r="BM44" s="681">
        <f t="shared" si="295"/>
        <v>803.36456510574226</v>
      </c>
      <c r="BN44" s="681">
        <f t="shared" si="295"/>
        <v>257.68482625653473</v>
      </c>
      <c r="BO44" s="681">
        <f t="shared" si="295"/>
        <v>666.04293046830981</v>
      </c>
      <c r="BP44" s="681">
        <f t="shared" si="295"/>
        <v>981.41346534114223</v>
      </c>
      <c r="BQ44" s="681">
        <f t="shared" si="295"/>
        <v>975.45235657752119</v>
      </c>
      <c r="BR44" s="681">
        <f t="shared" si="295"/>
        <v>129.53449994088828</v>
      </c>
      <c r="BS44" s="681">
        <f t="shared" si="295"/>
        <v>1143.9087301465502</v>
      </c>
      <c r="BT44" s="681">
        <f t="shared" si="295"/>
        <v>1273.3631237741361</v>
      </c>
      <c r="BU44" s="681">
        <f t="shared" si="295"/>
        <v>1704.5618388311464</v>
      </c>
      <c r="BV44" s="681">
        <f t="shared" si="295"/>
        <v>1101.3619333567231</v>
      </c>
      <c r="BW44" s="681">
        <f t="shared" si="295"/>
        <v>1506.7064845884181</v>
      </c>
      <c r="BX44" s="681">
        <f t="shared" si="295"/>
        <v>1463.9735714813073</v>
      </c>
      <c r="BY44" s="681">
        <f t="shared" si="295"/>
        <v>1748.8191733251151</v>
      </c>
      <c r="BZ44" s="681">
        <f t="shared" si="295"/>
        <v>1204.703978780567</v>
      </c>
      <c r="CA44" s="681">
        <f t="shared" si="295"/>
        <v>1647.8683394580853</v>
      </c>
      <c r="CB44" s="681">
        <f t="shared" si="295"/>
        <v>1549.2965370556508</v>
      </c>
      <c r="CC44" s="681">
        <f t="shared" si="295"/>
        <v>1750.7320990241465</v>
      </c>
      <c r="CD44" s="681">
        <f t="shared" si="295"/>
        <v>1321.0034792494662</v>
      </c>
      <c r="CE44" s="681">
        <f t="shared" si="295"/>
        <v>1760.7067445985972</v>
      </c>
      <c r="CF44" s="681">
        <f t="shared" si="295"/>
        <v>1666.7647088341689</v>
      </c>
      <c r="CG44" s="681">
        <f t="shared" si="295"/>
        <v>1891.5459011913733</v>
      </c>
      <c r="CH44" s="681">
        <f t="shared" si="295"/>
        <v>1422.6292567095725</v>
      </c>
      <c r="CI44" s="681">
        <f t="shared" si="295"/>
        <v>1863.6446628615302</v>
      </c>
      <c r="CJ44" s="681">
        <f t="shared" si="295"/>
        <v>1776.9108427970987</v>
      </c>
      <c r="CK44" s="681">
        <f t="shared" si="295"/>
        <v>2026.4794989380575</v>
      </c>
      <c r="CL44" s="681">
        <f t="shared" si="295"/>
        <v>1526.6706787312287</v>
      </c>
      <c r="CM44" s="681">
        <f t="shared" si="295"/>
        <v>1968.445366218258</v>
      </c>
      <c r="CN44" s="681">
        <f t="shared" si="295"/>
        <v>1888.8944630855212</v>
      </c>
      <c r="CO44" s="681">
        <f t="shared" si="295"/>
        <v>2164.6824128203539</v>
      </c>
      <c r="CP44" s="681">
        <f t="shared" si="295"/>
        <v>1628.366236971402</v>
      </c>
      <c r="CQ44" s="681">
        <f t="shared" si="295"/>
        <v>2069.1249937358753</v>
      </c>
      <c r="CR44" s="681">
        <f t="shared" si="295"/>
        <v>1998.2267787139995</v>
      </c>
      <c r="CS44" s="681">
        <f t="shared" si="295"/>
        <v>2299.1560521283573</v>
      </c>
      <c r="CT44" s="681">
        <f t="shared" si="295"/>
        <v>1727.004562971722</v>
      </c>
      <c r="CU44" s="681">
        <f t="shared" si="295"/>
        <v>2169.8735949276092</v>
      </c>
      <c r="CV44" s="681">
        <f t="shared" si="295"/>
        <v>2103.6750790276824</v>
      </c>
      <c r="CW44" s="681">
        <f t="shared" si="295"/>
        <v>2429.8864693151395</v>
      </c>
    </row>
    <row r="45" spans="1:101">
      <c r="A45" s="36" t="s">
        <v>356</v>
      </c>
      <c r="B45" s="373">
        <f>IS!C20</f>
        <v>3.0459999999999998</v>
      </c>
      <c r="C45" s="373">
        <f>IS!D20</f>
        <v>-8.8490000000000002</v>
      </c>
      <c r="D45" s="373">
        <f>IS!E20</f>
        <v>-10.225</v>
      </c>
      <c r="E45" s="373">
        <f>IS!F20</f>
        <v>-29.056999999999999</v>
      </c>
      <c r="F45" s="373">
        <f>IS!G20</f>
        <v>-1.0760000000000001</v>
      </c>
      <c r="G45" s="373">
        <f>IS!H20</f>
        <v>-47</v>
      </c>
      <c r="H45" s="373">
        <f>IS!I20</f>
        <v>-29.224</v>
      </c>
      <c r="I45" s="373">
        <f>IS!J20</f>
        <v>-50.448999999999998</v>
      </c>
      <c r="J45" s="373">
        <f>IS!K20</f>
        <v>-7.1120000000000001</v>
      </c>
      <c r="K45" s="373">
        <f>IS!L20</f>
        <v>-44.776000000000003</v>
      </c>
      <c r="L45" s="373">
        <f>IS!M20</f>
        <v>-38.615000000000002</v>
      </c>
      <c r="M45" s="373">
        <f>IS!N20</f>
        <v>-16.513999999999999</v>
      </c>
      <c r="N45" s="373">
        <f>IS!O20</f>
        <v>-28.259</v>
      </c>
      <c r="O45" s="96">
        <f>IS!P20</f>
        <v>-63.945999999999998</v>
      </c>
      <c r="P45" s="96">
        <f>IS!Q20</f>
        <v>-55.521000000000001</v>
      </c>
      <c r="Q45" s="96">
        <f>IS!R20</f>
        <v>-74.736000000000004</v>
      </c>
      <c r="R45" s="96">
        <f>IS!S20</f>
        <v>-43.588000000000001</v>
      </c>
      <c r="S45" s="96">
        <f>IS!T20</f>
        <v>-83.27</v>
      </c>
      <c r="T45" s="96">
        <f>IS!U20</f>
        <v>-82.614999999999995</v>
      </c>
      <c r="U45" s="96">
        <f>IS!V20</f>
        <v>-75.394999999999996</v>
      </c>
      <c r="V45" s="96">
        <f>IS!W20</f>
        <v>-27.76</v>
      </c>
      <c r="W45" s="96">
        <f>IS!X20</f>
        <v>-55.156999999999996</v>
      </c>
      <c r="X45" s="96">
        <f>IS!Y20</f>
        <v>-76.459000000000003</v>
      </c>
      <c r="Y45" s="96">
        <f>IS!Z20</f>
        <v>-205.21700000000001</v>
      </c>
      <c r="Z45" s="96">
        <f>IS!AA20</f>
        <v>-103.474</v>
      </c>
      <c r="AA45" s="96">
        <f>IS!AB20</f>
        <v>-130.78800000000001</v>
      </c>
      <c r="AB45" s="96">
        <f>IS!AC20</f>
        <v>-126.65900000000001</v>
      </c>
      <c r="AC45" s="96">
        <f>IS!AD20</f>
        <v>-128.99700000000001</v>
      </c>
      <c r="AD45" s="96">
        <f>IS!AE20</f>
        <v>-47.018999999999998</v>
      </c>
      <c r="AE45" s="96">
        <f>IS!AF20</f>
        <v>-167.61500000000001</v>
      </c>
      <c r="AF45" s="96">
        <f>IS!AG20</f>
        <v>-310.24700000000001</v>
      </c>
      <c r="AG45" s="96">
        <f>IS!AH20</f>
        <v>-4.351</v>
      </c>
      <c r="AH45" s="96">
        <f>IS!AI20</f>
        <v>-131.49100000000001</v>
      </c>
      <c r="AI45" s="96">
        <f>IS!AJ20</f>
        <v>-78.558999999999997</v>
      </c>
      <c r="AJ45" s="96">
        <f>IS!AK20</f>
        <v>-150.92400000000001</v>
      </c>
      <c r="AK45" s="96">
        <f>IS!AL20</f>
        <v>-474.45400000000001</v>
      </c>
      <c r="AL45" s="96">
        <f>IS!AM20</f>
        <v>-149.71299999999999</v>
      </c>
      <c r="AM45" s="99">
        <f>IS!AN20</f>
        <v>-199.19800000000001</v>
      </c>
      <c r="AN45" s="99">
        <f>IS!AO20</f>
        <v>-175.977</v>
      </c>
      <c r="AO45" s="99">
        <f>IS!AP20</f>
        <v>-173.40700000000001</v>
      </c>
      <c r="AP45" s="99">
        <f>IS!AQ20</f>
        <v>-72.921999999999997</v>
      </c>
      <c r="AQ45" s="99">
        <f>IS!AR20</f>
        <v>-131.61099999999999</v>
      </c>
      <c r="AR45" s="99">
        <f>IS!AS20</f>
        <v>-174.304</v>
      </c>
      <c r="AS45" s="99">
        <f>IS!AT20</f>
        <v>-256.58199999999999</v>
      </c>
      <c r="AT45" s="99">
        <f>IS!AU20</f>
        <v>-2.645</v>
      </c>
      <c r="AU45" s="99">
        <f>IS!AV20</f>
        <v>416.06599999999997</v>
      </c>
      <c r="AV45" s="99">
        <f>IS!AW20</f>
        <v>293.98099999999999</v>
      </c>
      <c r="AW45" s="99">
        <f>IS!AX20</f>
        <v>470.68700000000001</v>
      </c>
      <c r="AX45" s="1876">
        <f>IS!AY20</f>
        <v>150.55500000000001</v>
      </c>
      <c r="AY45" s="1876">
        <f>IS!AZ20</f>
        <v>-13.696999999999999</v>
      </c>
      <c r="AZ45" s="1876">
        <f>IS!BA20</f>
        <v>-114.527</v>
      </c>
      <c r="BA45" s="1876">
        <f>IS!BB20</f>
        <v>-237.27699999999999</v>
      </c>
      <c r="BB45" s="718">
        <f>IS!BC20</f>
        <v>-208.53899999999999</v>
      </c>
      <c r="BC45" s="718">
        <f>IS!BD20</f>
        <v>-105.298</v>
      </c>
      <c r="BD45" s="718">
        <f>IS!BE20</f>
        <v>-162.465</v>
      </c>
      <c r="BE45" s="718">
        <f>IS!BF20</f>
        <v>-460.709</v>
      </c>
      <c r="BF45" s="718">
        <f>IS!BG20</f>
        <v>-347.702</v>
      </c>
      <c r="BG45" s="718">
        <f>IS!BH20</f>
        <v>-257.02499999999998</v>
      </c>
      <c r="BH45" s="718">
        <f>IS!BI20</f>
        <v>-400.61500000000001</v>
      </c>
      <c r="BI45" s="718">
        <f>IS!BJ20</f>
        <v>-452.53100000000001</v>
      </c>
      <c r="BJ45" s="718">
        <f>IS!BK20</f>
        <v>-205.03299999999999</v>
      </c>
      <c r="BK45" s="1398">
        <f>IS!BL20</f>
        <v>-62.985999999999997</v>
      </c>
      <c r="BL45" s="332">
        <f>Q_IS!BL311</f>
        <v>-24.198688838933119</v>
      </c>
      <c r="BM45" s="332">
        <f>Q_IS!BM311</f>
        <v>-273.14395213595236</v>
      </c>
      <c r="BN45" s="332">
        <f>Q_IS!BN311</f>
        <v>-87.612840927221811</v>
      </c>
      <c r="BO45" s="332">
        <f>Q_IS!BO311</f>
        <v>-226.45459635922535</v>
      </c>
      <c r="BP45" s="332">
        <f>Q_IS!BP311</f>
        <v>-333.68057821598836</v>
      </c>
      <c r="BQ45" s="332">
        <f>Q_IS!BQ311</f>
        <v>-331.65380123635725</v>
      </c>
      <c r="BR45" s="332">
        <f>Q_IS!BR311</f>
        <v>-44.041729979902016</v>
      </c>
      <c r="BS45" s="332">
        <f>Q_IS!BS311</f>
        <v>-388.92896824982711</v>
      </c>
      <c r="BT45" s="332">
        <f>Q_IS!BT311</f>
        <v>-432.94346208320627</v>
      </c>
      <c r="BU45" s="332">
        <f>Q_IS!BU311</f>
        <v>-579.55102520258981</v>
      </c>
      <c r="BV45" s="332">
        <f>Q_IS!BV311</f>
        <v>-374.46305734128589</v>
      </c>
      <c r="BW45" s="332">
        <f>Q_IS!BW311</f>
        <v>-512.28020476006225</v>
      </c>
      <c r="BX45" s="332">
        <f>Q_IS!BX311</f>
        <v>-497.75101430364452</v>
      </c>
      <c r="BY45" s="332">
        <f>Q_IS!BY311</f>
        <v>-594.59851893053917</v>
      </c>
      <c r="BZ45" s="332">
        <f>Q_IS!BZ311</f>
        <v>-409.5993527853928</v>
      </c>
      <c r="CA45" s="332">
        <f>Q_IS!CA311</f>
        <v>-560.27523541574908</v>
      </c>
      <c r="CB45" s="332">
        <f>Q_IS!CB311</f>
        <v>-526.76082259892132</v>
      </c>
      <c r="CC45" s="332">
        <f>Q_IS!CC311</f>
        <v>-595.24891366820987</v>
      </c>
      <c r="CD45" s="332">
        <f>Q_IS!CD311</f>
        <v>-449.14118294481852</v>
      </c>
      <c r="CE45" s="332">
        <f>Q_IS!CE311</f>
        <v>-598.6402931635231</v>
      </c>
      <c r="CF45" s="332">
        <f>Q_IS!CF311</f>
        <v>-566.70000100361744</v>
      </c>
      <c r="CG45" s="332">
        <f>Q_IS!CG311</f>
        <v>-643.12560640506695</v>
      </c>
      <c r="CH45" s="332">
        <f>Q_IS!CH311</f>
        <v>-483.69394728125468</v>
      </c>
      <c r="CI45" s="332">
        <f>Q_IS!CI311</f>
        <v>-633.63918537292034</v>
      </c>
      <c r="CJ45" s="332">
        <f>Q_IS!CJ311</f>
        <v>-604.14968655101359</v>
      </c>
      <c r="CK45" s="332">
        <f>Q_IS!CK311</f>
        <v>-689.00302963893967</v>
      </c>
      <c r="CL45" s="332">
        <f>Q_IS!CL311</f>
        <v>-519.06803076861775</v>
      </c>
      <c r="CM45" s="332">
        <f>Q_IS!CM311</f>
        <v>-669.27142451420775</v>
      </c>
      <c r="CN45" s="332">
        <f>Q_IS!CN311</f>
        <v>-642.22411744907731</v>
      </c>
      <c r="CO45" s="332">
        <f>Q_IS!CO311</f>
        <v>-735.9920203589204</v>
      </c>
      <c r="CP45" s="332">
        <f>Q_IS!CP311</f>
        <v>-553.64452057027677</v>
      </c>
      <c r="CQ45" s="332">
        <f>Q_IS!CQ311</f>
        <v>-703.50249787019766</v>
      </c>
      <c r="CR45" s="332">
        <f>Q_IS!CR311</f>
        <v>-679.39710476275991</v>
      </c>
      <c r="CS45" s="332">
        <f>Q_IS!CS311</f>
        <v>-781.71305772364155</v>
      </c>
      <c r="CT45" s="332">
        <f>Q_IS!CT311</f>
        <v>-587.18155141038551</v>
      </c>
      <c r="CU45" s="332">
        <f>Q_IS!CU311</f>
        <v>-737.75702227538716</v>
      </c>
      <c r="CV45" s="332">
        <f>Q_IS!CV311</f>
        <v>-715.24952686941208</v>
      </c>
      <c r="CW45" s="332">
        <f>Q_IS!CW311</f>
        <v>-826.16139956714744</v>
      </c>
    </row>
    <row r="46" spans="1:101">
      <c r="A46" s="244" t="s">
        <v>341</v>
      </c>
      <c r="B46" s="372">
        <f t="shared" ref="B46:AG46" si="296">-B45/B44</f>
        <v>0.10540157098861544</v>
      </c>
      <c r="C46" s="372">
        <f t="shared" si="296"/>
        <v>-0.30081245538294044</v>
      </c>
      <c r="D46" s="372">
        <f t="shared" si="296"/>
        <v>0.12867300069212903</v>
      </c>
      <c r="E46" s="372">
        <f t="shared" si="296"/>
        <v>0.17848937921545036</v>
      </c>
      <c r="F46" s="372">
        <f t="shared" si="296"/>
        <v>0.24001784519294495</v>
      </c>
      <c r="G46" s="372">
        <f t="shared" si="296"/>
        <v>0.31189446022350231</v>
      </c>
      <c r="H46" s="372">
        <f t="shared" si="296"/>
        <v>0.63037100949094127</v>
      </c>
      <c r="I46" s="372">
        <f t="shared" si="296"/>
        <v>0.5920966151823871</v>
      </c>
      <c r="J46" s="372">
        <f t="shared" si="296"/>
        <v>0.27097462470471606</v>
      </c>
      <c r="K46" s="372">
        <f t="shared" si="296"/>
        <v>0.43943274939888982</v>
      </c>
      <c r="L46" s="372">
        <f t="shared" si="296"/>
        <v>0.30590015368284268</v>
      </c>
      <c r="M46" s="372">
        <f t="shared" si="296"/>
        <v>0.18471415948010705</v>
      </c>
      <c r="N46" s="372">
        <f t="shared" si="296"/>
        <v>0.58543608866791175</v>
      </c>
      <c r="O46" s="350">
        <f t="shared" si="296"/>
        <v>0.31753109715222133</v>
      </c>
      <c r="P46" s="350">
        <f t="shared" si="296"/>
        <v>0.36990326191237638</v>
      </c>
      <c r="Q46" s="350">
        <f t="shared" si="296"/>
        <v>0.33046362008357116</v>
      </c>
      <c r="R46" s="350">
        <f t="shared" si="296"/>
        <v>0.37401750471940931</v>
      </c>
      <c r="S46" s="350">
        <f t="shared" si="296"/>
        <v>0.3620340338947679</v>
      </c>
      <c r="T46" s="350">
        <f t="shared" si="296"/>
        <v>0.30974430113977225</v>
      </c>
      <c r="U46" s="350">
        <f t="shared" si="296"/>
        <v>0.22406179047347316</v>
      </c>
      <c r="V46" s="350">
        <f t="shared" si="296"/>
        <v>0.28874858278118093</v>
      </c>
      <c r="W46" s="350">
        <f t="shared" si="296"/>
        <v>0.39140091681923356</v>
      </c>
      <c r="X46" s="350">
        <f t="shared" si="296"/>
        <v>0.29266826923076872</v>
      </c>
      <c r="Y46" s="350">
        <f t="shared" si="296"/>
        <v>0.41250311562799036</v>
      </c>
      <c r="Z46" s="350">
        <f t="shared" si="296"/>
        <v>0.25326140696974214</v>
      </c>
      <c r="AA46" s="344">
        <f t="shared" si="296"/>
        <v>0.5705038167938935</v>
      </c>
      <c r="AB46" s="344">
        <f t="shared" si="296"/>
        <v>0.48931238434466173</v>
      </c>
      <c r="AC46" s="344">
        <f t="shared" si="296"/>
        <v>0.20606450767807849</v>
      </c>
      <c r="AD46" s="344">
        <f t="shared" si="296"/>
        <v>0.46062737568086404</v>
      </c>
      <c r="AE46" s="344">
        <f t="shared" si="296"/>
        <v>0.42031736638063022</v>
      </c>
      <c r="AF46" s="344">
        <f t="shared" si="296"/>
        <v>0.62472463522977606</v>
      </c>
      <c r="AG46" s="344">
        <f t="shared" si="296"/>
        <v>6.6099506266615992E-3</v>
      </c>
      <c r="AH46" s="344">
        <f t="shared" ref="AH46:AQ46" si="297">-AH45/AH44</f>
        <v>0.37589907491052166</v>
      </c>
      <c r="AI46" s="344">
        <f t="shared" si="297"/>
        <v>0.45486865037317442</v>
      </c>
      <c r="AJ46" s="344">
        <f t="shared" si="297"/>
        <v>0.397136023113905</v>
      </c>
      <c r="AK46" s="344">
        <f t="shared" si="297"/>
        <v>0.4003810951168178</v>
      </c>
      <c r="AL46" s="344">
        <f t="shared" si="297"/>
        <v>0.38317895744446689</v>
      </c>
      <c r="AM46" s="344">
        <f t="shared" si="297"/>
        <v>0.44726206407228125</v>
      </c>
      <c r="AN46" s="344">
        <f t="shared" si="297"/>
        <v>0.3518646263848979</v>
      </c>
      <c r="AO46" s="344">
        <f t="shared" si="297"/>
        <v>0.34584080397760786</v>
      </c>
      <c r="AP46" s="1291">
        <f t="shared" si="297"/>
        <v>0.35229040455278893</v>
      </c>
      <c r="AQ46" s="1291">
        <f t="shared" si="297"/>
        <v>0.38059861191439986</v>
      </c>
      <c r="AR46" s="1291">
        <f t="shared" ref="AR46:BC46" si="298">-AR45/AR44</f>
        <v>0.43031755867663879</v>
      </c>
      <c r="AS46" s="1291">
        <f t="shared" si="298"/>
        <v>0.33658926931654237</v>
      </c>
      <c r="AT46" s="1291">
        <f t="shared" si="298"/>
        <v>-6.8206315724327789E-3</v>
      </c>
      <c r="AU46" s="1291">
        <f t="shared" si="298"/>
        <v>0.12245868631502854</v>
      </c>
      <c r="AV46" s="1291">
        <f t="shared" si="298"/>
        <v>0.33240803348718534</v>
      </c>
      <c r="AW46" s="1291">
        <f t="shared" si="298"/>
        <v>1.3287797303973459</v>
      </c>
      <c r="AX46" s="1291">
        <f t="shared" si="298"/>
        <v>0.24283534520022967</v>
      </c>
      <c r="AY46" s="1291">
        <f t="shared" si="298"/>
        <v>0.19338124214657942</v>
      </c>
      <c r="AZ46" s="1291">
        <f t="shared" si="298"/>
        <v>0.29598511377880049</v>
      </c>
      <c r="BA46" s="1291">
        <f t="shared" si="298"/>
        <v>0.20426035604834542</v>
      </c>
      <c r="BB46" s="1291">
        <f t="shared" si="298"/>
        <v>0.28961738768141104</v>
      </c>
      <c r="BC46" s="1291">
        <f t="shared" si="298"/>
        <v>0.30774851237447232</v>
      </c>
      <c r="BD46" s="1291">
        <f t="shared" ref="BD46:BG46" si="299">-BD45/BD44</f>
        <v>0.34595139027890859</v>
      </c>
      <c r="BE46" s="1291">
        <f t="shared" si="299"/>
        <v>0.46537108755512746</v>
      </c>
      <c r="BF46" s="1291">
        <f t="shared" si="299"/>
        <v>0.36449004707838328</v>
      </c>
      <c r="BG46" s="1291">
        <f t="shared" si="299"/>
        <v>0.34400584619214558</v>
      </c>
      <c r="BH46" s="1291">
        <f t="shared" ref="BH46" si="300">-BH45/BH44</f>
        <v>0.43025251418727734</v>
      </c>
      <c r="BI46" s="1291">
        <f t="shared" ref="BI46:BJ46" si="301">-BI45/BI44</f>
        <v>0.24923774274919322</v>
      </c>
      <c r="BJ46" s="1291">
        <f t="shared" si="301"/>
        <v>0.33728135759394196</v>
      </c>
      <c r="BK46" s="1309">
        <f t="shared" ref="BK46" si="302">-BK45/BK44</f>
        <v>0.3083664207346602</v>
      </c>
      <c r="BL46" s="315">
        <f t="shared" ref="BL46:CW46" si="303">-BL45/BL44</f>
        <v>0.33</v>
      </c>
      <c r="BM46" s="315">
        <f t="shared" si="303"/>
        <v>0.33999999999999997</v>
      </c>
      <c r="BN46" s="315">
        <f t="shared" si="303"/>
        <v>0.34</v>
      </c>
      <c r="BO46" s="315">
        <f t="shared" si="303"/>
        <v>0.34</v>
      </c>
      <c r="BP46" s="315">
        <f t="shared" si="303"/>
        <v>0.34</v>
      </c>
      <c r="BQ46" s="315">
        <f t="shared" si="303"/>
        <v>0.34</v>
      </c>
      <c r="BR46" s="315">
        <f t="shared" si="303"/>
        <v>0.34</v>
      </c>
      <c r="BS46" s="315">
        <f t="shared" si="303"/>
        <v>0.34</v>
      </c>
      <c r="BT46" s="315">
        <f t="shared" si="303"/>
        <v>0.34</v>
      </c>
      <c r="BU46" s="315">
        <f t="shared" si="303"/>
        <v>0.34</v>
      </c>
      <c r="BV46" s="315">
        <f t="shared" si="303"/>
        <v>0.34</v>
      </c>
      <c r="BW46" s="315">
        <f t="shared" si="303"/>
        <v>0.34000000000000008</v>
      </c>
      <c r="BX46" s="315">
        <f t="shared" si="303"/>
        <v>0.34</v>
      </c>
      <c r="BY46" s="315">
        <f t="shared" si="303"/>
        <v>0.34</v>
      </c>
      <c r="BZ46" s="315">
        <f t="shared" si="303"/>
        <v>0.34</v>
      </c>
      <c r="CA46" s="315">
        <f t="shared" si="303"/>
        <v>0.34</v>
      </c>
      <c r="CB46" s="315">
        <f t="shared" si="303"/>
        <v>0.34</v>
      </c>
      <c r="CC46" s="315">
        <f t="shared" si="303"/>
        <v>0.34</v>
      </c>
      <c r="CD46" s="315">
        <f t="shared" si="303"/>
        <v>0.34</v>
      </c>
      <c r="CE46" s="315">
        <f t="shared" si="303"/>
        <v>0.34</v>
      </c>
      <c r="CF46" s="315">
        <f t="shared" si="303"/>
        <v>0.34</v>
      </c>
      <c r="CG46" s="315">
        <f t="shared" si="303"/>
        <v>0.34</v>
      </c>
      <c r="CH46" s="315">
        <f t="shared" si="303"/>
        <v>0.34</v>
      </c>
      <c r="CI46" s="315">
        <f t="shared" si="303"/>
        <v>0.34</v>
      </c>
      <c r="CJ46" s="315">
        <f t="shared" si="303"/>
        <v>0.34</v>
      </c>
      <c r="CK46" s="315">
        <f t="shared" si="303"/>
        <v>0.34</v>
      </c>
      <c r="CL46" s="315">
        <f t="shared" si="303"/>
        <v>0.33999999999999997</v>
      </c>
      <c r="CM46" s="315">
        <f t="shared" si="303"/>
        <v>0.34</v>
      </c>
      <c r="CN46" s="315">
        <f t="shared" si="303"/>
        <v>0.34</v>
      </c>
      <c r="CO46" s="315">
        <f t="shared" si="303"/>
        <v>0.34</v>
      </c>
      <c r="CP46" s="315">
        <f t="shared" si="303"/>
        <v>0.34</v>
      </c>
      <c r="CQ46" s="315">
        <f t="shared" si="303"/>
        <v>0.34</v>
      </c>
      <c r="CR46" s="315">
        <f t="shared" si="303"/>
        <v>0.34</v>
      </c>
      <c r="CS46" s="315">
        <f t="shared" si="303"/>
        <v>0.34</v>
      </c>
      <c r="CT46" s="315">
        <f t="shared" si="303"/>
        <v>0.34</v>
      </c>
      <c r="CU46" s="315">
        <f t="shared" si="303"/>
        <v>0.34</v>
      </c>
      <c r="CV46" s="315">
        <f t="shared" si="303"/>
        <v>0.34</v>
      </c>
      <c r="CW46" s="315">
        <f t="shared" si="303"/>
        <v>0.34</v>
      </c>
    </row>
    <row r="47" spans="1:101">
      <c r="A47" s="36" t="s">
        <v>707</v>
      </c>
      <c r="B47" s="369">
        <f>IS!C21</f>
        <v>-20.451000000000001</v>
      </c>
      <c r="C47" s="369">
        <f>IS!D21</f>
        <v>-11.416</v>
      </c>
      <c r="D47" s="369">
        <f>IS!E21</f>
        <v>0</v>
      </c>
      <c r="E47" s="369">
        <f>IS!F21</f>
        <v>-0.03</v>
      </c>
      <c r="F47" s="369">
        <f>IS!G21</f>
        <v>0</v>
      </c>
      <c r="G47" s="369">
        <f>IS!H21</f>
        <v>0</v>
      </c>
      <c r="H47" s="369">
        <f>IS!I21</f>
        <v>0</v>
      </c>
      <c r="I47" s="369">
        <f>IS!J21</f>
        <v>0</v>
      </c>
      <c r="J47" s="369">
        <f>IS!K21</f>
        <v>-5.8520000000000003</v>
      </c>
      <c r="K47" s="369">
        <f>IS!L21</f>
        <v>0</v>
      </c>
      <c r="L47" s="369">
        <f>IS!M21</f>
        <v>0</v>
      </c>
      <c r="M47" s="369">
        <f>IS!N21</f>
        <v>0</v>
      </c>
      <c r="N47" s="369">
        <f>IS!O21</f>
        <v>0</v>
      </c>
      <c r="O47" s="351">
        <f>IS!P21</f>
        <v>0</v>
      </c>
      <c r="P47" s="351">
        <f>IS!Q21</f>
        <v>0</v>
      </c>
      <c r="Q47" s="351">
        <f>IS!R21</f>
        <v>0</v>
      </c>
      <c r="R47" s="351">
        <f>IS!S21</f>
        <v>0</v>
      </c>
      <c r="S47" s="351">
        <f>IS!T21</f>
        <v>0</v>
      </c>
      <c r="T47" s="351">
        <f>IS!U21</f>
        <v>0</v>
      </c>
      <c r="U47" s="351">
        <f>IS!V21</f>
        <v>-1.5720000000000001</v>
      </c>
      <c r="V47" s="351">
        <f>IS!W21</f>
        <v>0</v>
      </c>
      <c r="W47" s="351">
        <f>IS!X21</f>
        <v>0</v>
      </c>
      <c r="X47" s="351">
        <f>IS!Y21</f>
        <v>0</v>
      </c>
      <c r="Y47" s="351">
        <f>IS!Z21</f>
        <v>-7.1139999999999999</v>
      </c>
      <c r="Z47" s="351">
        <f>IS!AA21</f>
        <v>0</v>
      </c>
      <c r="AA47" s="351">
        <f>IS!AB21</f>
        <v>0</v>
      </c>
      <c r="AB47" s="351">
        <f>IS!AC21</f>
        <v>0</v>
      </c>
      <c r="AC47" s="351">
        <f>IS!AD21</f>
        <v>0</v>
      </c>
      <c r="AD47" s="351">
        <f>IS!AE21</f>
        <v>0</v>
      </c>
      <c r="AE47" s="351">
        <f>IS!AF21</f>
        <v>0</v>
      </c>
      <c r="AF47" s="351">
        <f>IS!AG21</f>
        <v>0</v>
      </c>
      <c r="AG47" s="351">
        <f>IS!AH21</f>
        <v>0</v>
      </c>
      <c r="AH47" s="351">
        <f>IS!AI21</f>
        <v>0</v>
      </c>
      <c r="AI47" s="351">
        <f>IS!AJ21</f>
        <v>0</v>
      </c>
      <c r="AJ47" s="351">
        <f>IS!AK21</f>
        <v>0</v>
      </c>
      <c r="AK47" s="351">
        <f>IS!AL21</f>
        <v>0</v>
      </c>
      <c r="AL47" s="351">
        <f>IS!AM21</f>
        <v>0</v>
      </c>
      <c r="AM47" s="411">
        <f>IS!AN21</f>
        <v>0</v>
      </c>
      <c r="AN47" s="411">
        <f>IS!AO21</f>
        <v>0</v>
      </c>
      <c r="AO47" s="411">
        <f>IS!AP21</f>
        <v>0</v>
      </c>
      <c r="AP47" s="411">
        <f>IS!AQ21</f>
        <v>0</v>
      </c>
      <c r="AQ47" s="411">
        <f>IS!AR21</f>
        <v>0</v>
      </c>
      <c r="AR47" s="411">
        <f>IS!AS21</f>
        <v>0</v>
      </c>
      <c r="AS47" s="411">
        <f>IS!AT21</f>
        <v>0</v>
      </c>
      <c r="AT47" s="411">
        <f>IS!AU21</f>
        <v>0</v>
      </c>
      <c r="AU47" s="411">
        <f>IS!AV21</f>
        <v>0</v>
      </c>
      <c r="AV47" s="411">
        <f>IS!AW21</f>
        <v>0</v>
      </c>
      <c r="AW47" s="411">
        <f>IS!AX21</f>
        <v>0</v>
      </c>
      <c r="AX47" s="411">
        <f>IS!AY21</f>
        <v>0</v>
      </c>
      <c r="AY47" s="411">
        <f>IS!AZ21</f>
        <v>0</v>
      </c>
      <c r="AZ47" s="411">
        <f>IS!BA21</f>
        <v>0</v>
      </c>
      <c r="BA47" s="411">
        <f>IS!BB21</f>
        <v>0</v>
      </c>
      <c r="BB47" s="411">
        <f>IS!BC21</f>
        <v>0</v>
      </c>
      <c r="BC47" s="411">
        <f>IS!BD21</f>
        <v>0</v>
      </c>
      <c r="BD47" s="411">
        <f>IS!BE21</f>
        <v>0</v>
      </c>
      <c r="BE47" s="411">
        <f>IS!BF21</f>
        <v>0</v>
      </c>
      <c r="BF47" s="411">
        <f>IS!BG21</f>
        <v>0</v>
      </c>
      <c r="BG47" s="411">
        <f>IS!BH21</f>
        <v>0</v>
      </c>
      <c r="BH47" s="411">
        <f>IS!BI21</f>
        <v>0</v>
      </c>
      <c r="BI47" s="411">
        <f>IS!BJ21</f>
        <v>0</v>
      </c>
      <c r="BJ47" s="411">
        <f>IS!BK21</f>
        <v>0</v>
      </c>
      <c r="BK47" s="1304">
        <f>IS!BL21</f>
        <v>0</v>
      </c>
      <c r="BL47" s="332">
        <v>0</v>
      </c>
      <c r="BM47" s="332">
        <v>0</v>
      </c>
      <c r="BN47" s="332">
        <v>0</v>
      </c>
      <c r="BO47" s="332">
        <v>0</v>
      </c>
      <c r="BP47" s="332">
        <v>0</v>
      </c>
      <c r="BQ47" s="332">
        <v>0</v>
      </c>
      <c r="BR47" s="332">
        <v>0</v>
      </c>
      <c r="BS47" s="332">
        <v>0</v>
      </c>
      <c r="BT47" s="332">
        <v>0</v>
      </c>
      <c r="BU47" s="332">
        <v>0</v>
      </c>
      <c r="BV47" s="332">
        <v>0</v>
      </c>
      <c r="BW47" s="332">
        <v>0</v>
      </c>
      <c r="BX47" s="332">
        <v>0</v>
      </c>
      <c r="BY47" s="332">
        <v>0</v>
      </c>
      <c r="BZ47" s="332">
        <v>0</v>
      </c>
      <c r="CA47" s="332">
        <v>0</v>
      </c>
      <c r="CB47" s="332">
        <v>0</v>
      </c>
      <c r="CC47" s="332">
        <v>0</v>
      </c>
      <c r="CD47" s="332">
        <v>0</v>
      </c>
      <c r="CE47" s="332">
        <v>0</v>
      </c>
      <c r="CF47" s="332">
        <v>0</v>
      </c>
      <c r="CG47" s="332">
        <v>0</v>
      </c>
      <c r="CH47" s="332">
        <v>0</v>
      </c>
      <c r="CI47" s="332">
        <v>0</v>
      </c>
      <c r="CJ47" s="332">
        <v>0</v>
      </c>
      <c r="CK47" s="332">
        <v>0</v>
      </c>
      <c r="CL47" s="332">
        <v>0</v>
      </c>
      <c r="CM47" s="332">
        <v>0</v>
      </c>
      <c r="CN47" s="332">
        <v>0</v>
      </c>
      <c r="CO47" s="332">
        <v>0</v>
      </c>
      <c r="CP47" s="332">
        <v>0</v>
      </c>
      <c r="CQ47" s="332">
        <v>0</v>
      </c>
      <c r="CR47" s="332">
        <v>0</v>
      </c>
      <c r="CS47" s="332">
        <v>0</v>
      </c>
      <c r="CT47" s="332">
        <v>0</v>
      </c>
      <c r="CU47" s="332">
        <v>0</v>
      </c>
      <c r="CV47" s="332">
        <v>0</v>
      </c>
      <c r="CW47" s="332">
        <v>0</v>
      </c>
    </row>
    <row r="48" spans="1:101">
      <c r="A48" s="36" t="s">
        <v>118</v>
      </c>
      <c r="B48" s="377">
        <f>-IS!C23</f>
        <v>3.0030000000000001</v>
      </c>
      <c r="C48" s="377">
        <f>-IS!D23</f>
        <v>7.7750000000000004</v>
      </c>
      <c r="D48" s="377">
        <f>-IS!E23</f>
        <v>-4.8129999999999997</v>
      </c>
      <c r="E48" s="377">
        <f>-IS!F23</f>
        <v>-9.1780000000000008</v>
      </c>
      <c r="F48" s="377">
        <f>-IS!G23</f>
        <v>-4.0650000000000004</v>
      </c>
      <c r="G48" s="377">
        <f>-IS!H23</f>
        <v>-4.9880000000000004</v>
      </c>
      <c r="H48" s="377">
        <f>-IS!I23</f>
        <v>-0.69799999999999995</v>
      </c>
      <c r="I48" s="377">
        <f>-IS!J23</f>
        <v>1.9870000000000001</v>
      </c>
      <c r="J48" s="377">
        <f>-IS!K23</f>
        <v>0</v>
      </c>
      <c r="K48" s="377">
        <f>-IS!L23</f>
        <v>-7.0579999999999998</v>
      </c>
      <c r="L48" s="377">
        <f>-IS!M23</f>
        <v>-5.44</v>
      </c>
      <c r="M48" s="377">
        <f>-IS!N23</f>
        <v>-8.7669999999999995</v>
      </c>
      <c r="N48" s="377">
        <f>-IS!O23</f>
        <v>-2.9670000000000001</v>
      </c>
      <c r="O48" s="355">
        <f>-IS!P23</f>
        <v>-4.5839999999999996</v>
      </c>
      <c r="P48" s="355">
        <f>-IS!Q23</f>
        <v>-10.319000000000001</v>
      </c>
      <c r="Q48" s="355">
        <f>-IS!R23</f>
        <v>-19.009</v>
      </c>
      <c r="R48" s="355">
        <f>-IS!S23</f>
        <v>-7.8029999999999999</v>
      </c>
      <c r="S48" s="355">
        <f>-IS!T23</f>
        <v>10.707000000000001</v>
      </c>
      <c r="T48" s="355">
        <f>-IS!U23</f>
        <v>-0.28199999999999997</v>
      </c>
      <c r="U48" s="355">
        <f>-IS!V23</f>
        <v>15.073</v>
      </c>
      <c r="V48" s="355">
        <f>-IS!W23</f>
        <v>18.356000000000002</v>
      </c>
      <c r="W48" s="355">
        <f>-IS!X23</f>
        <v>2.3980000000000001</v>
      </c>
      <c r="X48" s="355">
        <f>-IS!Y23</f>
        <v>9.7579999999999991</v>
      </c>
      <c r="Y48" s="355">
        <f>-IS!Z23</f>
        <v>12.06</v>
      </c>
      <c r="Z48" s="355">
        <f>-IS!AA23</f>
        <v>-6.2779999999999996</v>
      </c>
      <c r="AA48" s="99">
        <f>-IS!AB23</f>
        <v>-5.8689999999999998</v>
      </c>
      <c r="AB48" s="99">
        <f>-IS!AC23</f>
        <v>-11.93</v>
      </c>
      <c r="AC48" s="99">
        <f>-IS!AD23</f>
        <v>-27.469000000000001</v>
      </c>
      <c r="AD48" s="99">
        <f>-IS!AE23</f>
        <v>-20.965</v>
      </c>
      <c r="AE48" s="99">
        <f>-IS!AF23</f>
        <v>-20.847000000000001</v>
      </c>
      <c r="AF48" s="99">
        <f>-IS!AG23</f>
        <v>-21.559000000000001</v>
      </c>
      <c r="AG48" s="99">
        <f>-IS!AH23</f>
        <v>-66.647000000000006</v>
      </c>
      <c r="AH48" s="99">
        <f>-IS!AI23</f>
        <v>-46.231000000000002</v>
      </c>
      <c r="AI48" s="99">
        <f>-IS!AJ23</f>
        <v>-34.713000000000001</v>
      </c>
      <c r="AJ48" s="99">
        <f>-IS!AK23</f>
        <v>-22.803000000000001</v>
      </c>
      <c r="AK48" s="99">
        <f>-IS!AL23</f>
        <v>-58.904000000000003</v>
      </c>
      <c r="AL48" s="99">
        <f>-IS!AM23</f>
        <v>-42.600999999999999</v>
      </c>
      <c r="AM48" s="99">
        <f>-IS!AN23</f>
        <v>-41.478000000000002</v>
      </c>
      <c r="AN48" s="99">
        <f>-IS!AO23</f>
        <v>-24.228999999999999</v>
      </c>
      <c r="AO48" s="99">
        <f>-IS!AP23</f>
        <v>-77.763000000000005</v>
      </c>
      <c r="AP48" s="99">
        <f>-IS!AQ23</f>
        <v>-27.600999999999999</v>
      </c>
      <c r="AQ48" s="99">
        <f>-IS!AR23</f>
        <v>-40.899000000000001</v>
      </c>
      <c r="AR48" s="99">
        <f>-IS!AS23</f>
        <v>-40.149000000000001</v>
      </c>
      <c r="AS48" s="99">
        <f>-IS!AT23</f>
        <v>-49.414999999999999</v>
      </c>
      <c r="AT48" s="99">
        <f>-IS!AU23</f>
        <v>110.49</v>
      </c>
      <c r="AU48" s="99">
        <f>-IS!AV23</f>
        <v>386.089</v>
      </c>
      <c r="AV48" s="99">
        <f>-IS!AW23</f>
        <v>114.306</v>
      </c>
      <c r="AW48" s="99">
        <f>-IS!AX23</f>
        <v>48.999000000000002</v>
      </c>
      <c r="AX48" s="99">
        <f>-IS!AY23</f>
        <v>157.32499999999999</v>
      </c>
      <c r="AY48" s="99">
        <f>-IS!AZ23</f>
        <v>81.869</v>
      </c>
      <c r="AZ48" s="99">
        <f>-IS!BA23</f>
        <v>-99.38</v>
      </c>
      <c r="BA48" s="99">
        <f>-IS!BB23</f>
        <v>-89.153999999999996</v>
      </c>
      <c r="BB48" s="99">
        <f>-IS!BC23</f>
        <v>13.930999999999999</v>
      </c>
      <c r="BC48" s="99">
        <f>-IS!BD23</f>
        <v>-25.436</v>
      </c>
      <c r="BD48" s="99">
        <f>-IS!BE23</f>
        <v>9.609</v>
      </c>
      <c r="BE48" s="99">
        <f>-IS!BF23</f>
        <v>49.436</v>
      </c>
      <c r="BF48" s="99">
        <f>-IS!BG23</f>
        <v>-18.013999999999999</v>
      </c>
      <c r="BG48" s="99">
        <f>-IS!BH23</f>
        <v>-46.319000000000003</v>
      </c>
      <c r="BH48" s="99">
        <f>-IS!BI23</f>
        <v>-35.875999999999998</v>
      </c>
      <c r="BI48" s="99">
        <f>-IS!BJ23</f>
        <v>40.941000000000003</v>
      </c>
      <c r="BJ48" s="99">
        <f>-IS!BK23</f>
        <v>1.262</v>
      </c>
      <c r="BK48" s="1173">
        <f>-IS!BL23</f>
        <v>-1.194</v>
      </c>
      <c r="BL48" s="1800"/>
      <c r="BM48" s="1800"/>
      <c r="BN48" s="1800"/>
      <c r="BO48" s="1800"/>
      <c r="BP48" s="1800"/>
      <c r="BQ48" s="1800"/>
      <c r="BR48" s="1800"/>
      <c r="BS48" s="1800"/>
      <c r="BT48" s="1800"/>
      <c r="BU48" s="1800"/>
      <c r="BV48" s="1800"/>
      <c r="BW48" s="1800"/>
      <c r="BX48" s="1800"/>
      <c r="BY48" s="1800"/>
      <c r="BZ48" s="1800"/>
      <c r="CA48" s="1800"/>
      <c r="CB48" s="1800"/>
      <c r="CC48" s="1800"/>
      <c r="CD48" s="1800"/>
      <c r="CE48" s="1800"/>
      <c r="CF48" s="1800"/>
      <c r="CG48" s="1800"/>
      <c r="CH48" s="1800"/>
      <c r="CI48" s="1800"/>
      <c r="CJ48" s="1800"/>
      <c r="CK48" s="1800"/>
      <c r="CL48" s="1800"/>
      <c r="CM48" s="1800"/>
      <c r="CN48" s="1800"/>
      <c r="CO48" s="1800"/>
      <c r="CP48" s="1800"/>
      <c r="CQ48" s="1800"/>
      <c r="CR48" s="1800"/>
      <c r="CS48" s="1800"/>
      <c r="CT48" s="1800"/>
      <c r="CU48" s="1800"/>
      <c r="CV48" s="1800"/>
      <c r="CW48" s="1800"/>
    </row>
    <row r="49" spans="1:101">
      <c r="A49" s="1292" t="s">
        <v>144</v>
      </c>
      <c r="B49" s="1292">
        <f t="shared" ref="B49:AO49" si="304">+B51</f>
        <v>-43.301000000000023</v>
      </c>
      <c r="C49" s="1292">
        <f t="shared" si="304"/>
        <v>-41.907000000000131</v>
      </c>
      <c r="D49" s="1292">
        <f t="shared" si="304"/>
        <v>64.426999999999737</v>
      </c>
      <c r="E49" s="1292">
        <f t="shared" si="304"/>
        <v>124.52899999999985</v>
      </c>
      <c r="F49" s="1292">
        <f t="shared" si="304"/>
        <v>-0.65799999999988446</v>
      </c>
      <c r="G49" s="1292">
        <f t="shared" si="304"/>
        <v>98.703999999999979</v>
      </c>
      <c r="H49" s="1292">
        <f t="shared" si="304"/>
        <v>16.437999999999942</v>
      </c>
      <c r="I49" s="1292">
        <f t="shared" si="304"/>
        <v>36.741999999999813</v>
      </c>
      <c r="J49" s="1292">
        <f t="shared" si="304"/>
        <v>13.282000000000078</v>
      </c>
      <c r="K49" s="1292">
        <f t="shared" si="304"/>
        <v>50.061000000000277</v>
      </c>
      <c r="L49" s="1292">
        <f t="shared" si="304"/>
        <v>82.179000000000116</v>
      </c>
      <c r="M49" s="1292">
        <f t="shared" si="304"/>
        <v>64.121999999999943</v>
      </c>
      <c r="N49" s="1292">
        <f t="shared" si="304"/>
        <v>17.043999999999834</v>
      </c>
      <c r="O49" s="1292">
        <f t="shared" si="304"/>
        <v>132.85499999999971</v>
      </c>
      <c r="P49" s="1292">
        <f t="shared" si="304"/>
        <v>84.255999999999887</v>
      </c>
      <c r="Q49" s="1292">
        <f t="shared" si="304"/>
        <v>132.40999999999991</v>
      </c>
      <c r="R49" s="1292">
        <f t="shared" si="304"/>
        <v>65.149000000000115</v>
      </c>
      <c r="S49" s="1292">
        <f t="shared" si="304"/>
        <v>157.44300000000004</v>
      </c>
      <c r="T49" s="1292">
        <f t="shared" si="304"/>
        <v>183.82299999999978</v>
      </c>
      <c r="U49" s="1292">
        <f t="shared" si="304"/>
        <v>274.5980000000003</v>
      </c>
      <c r="V49" s="1292">
        <f t="shared" si="304"/>
        <v>86.735000000000156</v>
      </c>
      <c r="W49" s="1292">
        <f t="shared" si="304"/>
        <v>88.162999999999911</v>
      </c>
      <c r="X49" s="1292">
        <f t="shared" si="304"/>
        <v>194.54700000000045</v>
      </c>
      <c r="Y49" s="1292">
        <f t="shared" si="304"/>
        <v>297.22099999999966</v>
      </c>
      <c r="Z49" s="1292">
        <f t="shared" si="304"/>
        <v>298.81400000000133</v>
      </c>
      <c r="AA49" s="1292">
        <f t="shared" si="304"/>
        <v>92.592999999999847</v>
      </c>
      <c r="AB49" s="1292">
        <f t="shared" si="304"/>
        <v>120.26199999999994</v>
      </c>
      <c r="AC49" s="1292">
        <f t="shared" si="304"/>
        <v>469.53699999999924</v>
      </c>
      <c r="AD49" s="1292">
        <f t="shared" si="304"/>
        <v>34.092000000000269</v>
      </c>
      <c r="AE49" s="1292">
        <f t="shared" si="304"/>
        <v>210.31999999999888</v>
      </c>
      <c r="AF49" s="1292">
        <f t="shared" si="304"/>
        <v>164.80799999999996</v>
      </c>
      <c r="AG49" s="1292">
        <f t="shared" si="304"/>
        <v>587.25200000000029</v>
      </c>
      <c r="AH49" s="1292">
        <f t="shared" si="304"/>
        <v>172.08199999999974</v>
      </c>
      <c r="AI49" s="1292">
        <f t="shared" si="304"/>
        <v>59.435000000000365</v>
      </c>
      <c r="AJ49" s="1292">
        <f t="shared" si="304"/>
        <v>206.30399999999892</v>
      </c>
      <c r="AK49" s="1292">
        <f t="shared" si="304"/>
        <v>651.64800000000059</v>
      </c>
      <c r="AL49" s="1292">
        <f t="shared" si="304"/>
        <v>198.39900000000003</v>
      </c>
      <c r="AM49" s="1292">
        <f t="shared" si="304"/>
        <v>204.69599999999988</v>
      </c>
      <c r="AN49" s="1292">
        <f t="shared" si="304"/>
        <v>299.92100000000045</v>
      </c>
      <c r="AO49" s="1292">
        <f t="shared" si="304"/>
        <v>250.23699999999874</v>
      </c>
      <c r="AP49" s="1292">
        <f t="shared" ref="AP49:AU49" si="305">AP18+AP32+AP37+AP42+AP43+AP45+AP47+AP48</f>
        <v>106.47100000000003</v>
      </c>
      <c r="AQ49" s="1292">
        <f t="shared" si="305"/>
        <v>173.29000000000138</v>
      </c>
      <c r="AR49" s="1292">
        <f t="shared" si="305"/>
        <v>190.60599999999855</v>
      </c>
      <c r="AS49" s="1292">
        <f t="shared" si="305"/>
        <v>456.30299999999926</v>
      </c>
      <c r="AT49" s="1292">
        <f t="shared" si="305"/>
        <v>-279.94900000000041</v>
      </c>
      <c r="AU49" s="1292">
        <f t="shared" si="305"/>
        <v>-2595.4480000000008</v>
      </c>
      <c r="AV49" s="1292">
        <f t="shared" ref="AV49:BC49" si="306">AV18+AV32+AV37+AV42+AV43+AV45+AV47+AV48</f>
        <v>-476.11100000000073</v>
      </c>
      <c r="AW49" s="1292">
        <f t="shared" si="306"/>
        <v>165.46099999999987</v>
      </c>
      <c r="AX49" s="1292">
        <f t="shared" si="306"/>
        <v>-312.10800000000006</v>
      </c>
      <c r="AY49" s="1292">
        <f t="shared" si="306"/>
        <v>139.00099999999961</v>
      </c>
      <c r="AZ49" s="1292">
        <f t="shared" si="306"/>
        <v>173.02799999999945</v>
      </c>
      <c r="BA49" s="1292">
        <f t="shared" si="306"/>
        <v>835.20900000000006</v>
      </c>
      <c r="BB49" s="1292">
        <f t="shared" si="306"/>
        <v>525.44199999999989</v>
      </c>
      <c r="BC49" s="1292">
        <f t="shared" si="306"/>
        <v>211.42200000000017</v>
      </c>
      <c r="BD49" s="1877">
        <f t="shared" ref="BD49:BG49" si="307">BD18+BD32+BD37+BD42+BD43+BD45+BD47+BD48</f>
        <v>316.76199999999852</v>
      </c>
      <c r="BE49" s="1877">
        <f t="shared" si="307"/>
        <v>578.70899999999972</v>
      </c>
      <c r="BF49" s="1877">
        <f t="shared" si="307"/>
        <v>588.22499999999991</v>
      </c>
      <c r="BG49" s="1877">
        <f t="shared" si="307"/>
        <v>443.80899999999946</v>
      </c>
      <c r="BH49" s="1877">
        <f t="shared" ref="BH49" si="308">BH18+BH32+BH37+BH42+BH43+BH45+BH47+BH48</f>
        <v>494.62499999999784</v>
      </c>
      <c r="BI49" s="1877">
        <f t="shared" ref="BI49:BJ49" si="309">BI18+BI32+BI37+BI42+BI43+BI45+BI47+BI48</f>
        <v>1404.0699999999995</v>
      </c>
      <c r="BJ49" s="1877">
        <f t="shared" si="309"/>
        <v>404.12800000000078</v>
      </c>
      <c r="BK49" s="2001">
        <f t="shared" ref="BK49" si="310">BK18+BK32+BK37+BK42+BK43+BK45+BK47+BK48</f>
        <v>140.07700000000168</v>
      </c>
      <c r="BL49" s="908">
        <f t="shared" ref="BL49:CW49" si="311">BL18+BL32+BL38+BL40+BL41+BL42+BL43+BL45+BL47+BL48</f>
        <v>49.130671279046084</v>
      </c>
      <c r="BM49" s="908">
        <f t="shared" si="311"/>
        <v>530.22061296978973</v>
      </c>
      <c r="BN49" s="908">
        <f t="shared" si="311"/>
        <v>170.07198532931281</v>
      </c>
      <c r="BO49" s="908">
        <f t="shared" si="311"/>
        <v>439.58833410908449</v>
      </c>
      <c r="BP49" s="908">
        <f t="shared" si="311"/>
        <v>647.73288712515387</v>
      </c>
      <c r="BQ49" s="908">
        <f t="shared" si="311"/>
        <v>643.79855534116416</v>
      </c>
      <c r="BR49" s="908">
        <f t="shared" si="311"/>
        <v>85.492769960986266</v>
      </c>
      <c r="BS49" s="908">
        <f t="shared" si="311"/>
        <v>754.97976189672306</v>
      </c>
      <c r="BT49" s="908">
        <f t="shared" si="311"/>
        <v>840.41966169092984</v>
      </c>
      <c r="BU49" s="908">
        <f t="shared" si="311"/>
        <v>1125.0108136285567</v>
      </c>
      <c r="BV49" s="908">
        <f t="shared" si="311"/>
        <v>726.89887601543739</v>
      </c>
      <c r="BW49" s="908">
        <f t="shared" si="311"/>
        <v>994.42627982835586</v>
      </c>
      <c r="BX49" s="908">
        <f t="shared" si="311"/>
        <v>966.22255717766279</v>
      </c>
      <c r="BY49" s="908">
        <f t="shared" si="311"/>
        <v>1154.2206543945758</v>
      </c>
      <c r="BZ49" s="908">
        <f t="shared" si="311"/>
        <v>795.10462599517405</v>
      </c>
      <c r="CA49" s="908">
        <f t="shared" si="311"/>
        <v>1087.5931040423361</v>
      </c>
      <c r="CB49" s="908">
        <f t="shared" si="311"/>
        <v>1022.5357144567292</v>
      </c>
      <c r="CC49" s="908">
        <f t="shared" si="311"/>
        <v>1155.4831853559367</v>
      </c>
      <c r="CD49" s="908">
        <f t="shared" si="311"/>
        <v>871.86229630464766</v>
      </c>
      <c r="CE49" s="908">
        <f t="shared" si="311"/>
        <v>1162.0664514350742</v>
      </c>
      <c r="CF49" s="908">
        <f t="shared" si="311"/>
        <v>1100.0647078305515</v>
      </c>
      <c r="CG49" s="908">
        <f t="shared" si="311"/>
        <v>1248.4202947863062</v>
      </c>
      <c r="CH49" s="908">
        <f t="shared" si="311"/>
        <v>938.93530942831808</v>
      </c>
      <c r="CI49" s="908">
        <f t="shared" si="311"/>
        <v>1230.0054774886098</v>
      </c>
      <c r="CJ49" s="908">
        <f t="shared" si="311"/>
        <v>1172.7611562460847</v>
      </c>
      <c r="CK49" s="908">
        <f t="shared" si="311"/>
        <v>1337.476469299118</v>
      </c>
      <c r="CL49" s="908">
        <f t="shared" si="311"/>
        <v>1007.6026479626109</v>
      </c>
      <c r="CM49" s="908">
        <f t="shared" si="311"/>
        <v>1299.1739417040503</v>
      </c>
      <c r="CN49" s="908">
        <f t="shared" si="311"/>
        <v>1246.6703456364442</v>
      </c>
      <c r="CO49" s="908">
        <f t="shared" si="311"/>
        <v>1428.6903924614335</v>
      </c>
      <c r="CP49" s="908">
        <f t="shared" si="311"/>
        <v>1074.7217164011254</v>
      </c>
      <c r="CQ49" s="908">
        <f t="shared" si="311"/>
        <v>1365.6224958656776</v>
      </c>
      <c r="CR49" s="908">
        <f t="shared" si="311"/>
        <v>1318.8296739512398</v>
      </c>
      <c r="CS49" s="908">
        <f t="shared" si="311"/>
        <v>1517.4429944047151</v>
      </c>
      <c r="CT49" s="908">
        <f t="shared" si="311"/>
        <v>1139.8230115613362</v>
      </c>
      <c r="CU49" s="908">
        <f t="shared" si="311"/>
        <v>1432.1165726522222</v>
      </c>
      <c r="CV49" s="908">
        <f t="shared" si="311"/>
        <v>1388.4255521582704</v>
      </c>
      <c r="CW49" s="908">
        <f t="shared" si="311"/>
        <v>1603.7250697479922</v>
      </c>
    </row>
    <row r="50" spans="1:101" s="1259" customFormat="1">
      <c r="A50" s="1293" t="s">
        <v>189</v>
      </c>
      <c r="B50" s="1293">
        <f t="shared" ref="B50:AO50" si="312">+B52</f>
        <v>0</v>
      </c>
      <c r="C50" s="1293">
        <f t="shared" si="312"/>
        <v>0</v>
      </c>
      <c r="D50" s="1293">
        <f t="shared" si="312"/>
        <v>0</v>
      </c>
      <c r="E50" s="1293">
        <f t="shared" si="312"/>
        <v>0</v>
      </c>
      <c r="F50" s="1293">
        <f t="shared" si="312"/>
        <v>0</v>
      </c>
      <c r="G50" s="1293">
        <f t="shared" si="312"/>
        <v>0</v>
      </c>
      <c r="H50" s="1293">
        <f t="shared" si="312"/>
        <v>0</v>
      </c>
      <c r="I50" s="1293">
        <f t="shared" si="312"/>
        <v>0</v>
      </c>
      <c r="J50" s="1293">
        <f t="shared" si="312"/>
        <v>0</v>
      </c>
      <c r="K50" s="1293">
        <f t="shared" si="312"/>
        <v>0</v>
      </c>
      <c r="L50" s="1293">
        <f t="shared" si="312"/>
        <v>0</v>
      </c>
      <c r="M50" s="1293">
        <f t="shared" si="312"/>
        <v>0</v>
      </c>
      <c r="N50" s="1293">
        <f t="shared" si="312"/>
        <v>0</v>
      </c>
      <c r="O50" s="1293">
        <f t="shared" si="312"/>
        <v>0</v>
      </c>
      <c r="P50" s="1293">
        <f t="shared" si="312"/>
        <v>0</v>
      </c>
      <c r="Q50" s="1293">
        <f t="shared" si="312"/>
        <v>0</v>
      </c>
      <c r="R50" s="1293">
        <f t="shared" si="312"/>
        <v>0</v>
      </c>
      <c r="S50" s="1293">
        <f t="shared" si="312"/>
        <v>0</v>
      </c>
      <c r="T50" s="1293">
        <f t="shared" si="312"/>
        <v>0</v>
      </c>
      <c r="U50" s="1293">
        <f t="shared" si="312"/>
        <v>0</v>
      </c>
      <c r="V50" s="1293">
        <f t="shared" si="312"/>
        <v>0</v>
      </c>
      <c r="W50" s="1293">
        <f t="shared" si="312"/>
        <v>0</v>
      </c>
      <c r="X50" s="1293">
        <f t="shared" si="312"/>
        <v>0</v>
      </c>
      <c r="Y50" s="1293">
        <f t="shared" si="312"/>
        <v>0</v>
      </c>
      <c r="Z50" s="1293">
        <f t="shared" si="312"/>
        <v>0</v>
      </c>
      <c r="AA50" s="1293">
        <f t="shared" si="312"/>
        <v>0</v>
      </c>
      <c r="AB50" s="1293">
        <f t="shared" si="312"/>
        <v>0</v>
      </c>
      <c r="AC50" s="1293">
        <f t="shared" si="312"/>
        <v>0</v>
      </c>
      <c r="AD50" s="1293">
        <f t="shared" si="312"/>
        <v>0</v>
      </c>
      <c r="AE50" s="1293">
        <f t="shared" si="312"/>
        <v>0</v>
      </c>
      <c r="AF50" s="1293">
        <f t="shared" si="312"/>
        <v>0</v>
      </c>
      <c r="AG50" s="1293">
        <f t="shared" si="312"/>
        <v>0</v>
      </c>
      <c r="AH50" s="1293">
        <f t="shared" si="312"/>
        <v>0</v>
      </c>
      <c r="AI50" s="1293">
        <f t="shared" si="312"/>
        <v>0</v>
      </c>
      <c r="AJ50" s="1293">
        <f t="shared" si="312"/>
        <v>0</v>
      </c>
      <c r="AK50" s="1293">
        <f t="shared" si="312"/>
        <v>0</v>
      </c>
      <c r="AL50" s="1293">
        <f t="shared" si="312"/>
        <v>0</v>
      </c>
      <c r="AM50" s="1293">
        <f t="shared" si="312"/>
        <v>0</v>
      </c>
      <c r="AN50" s="1293">
        <f t="shared" si="312"/>
        <v>0</v>
      </c>
      <c r="AO50" s="1293">
        <f t="shared" si="312"/>
        <v>0</v>
      </c>
      <c r="AP50" s="1293">
        <v>0</v>
      </c>
      <c r="AQ50" s="1293">
        <v>0</v>
      </c>
      <c r="AR50" s="1293">
        <v>0</v>
      </c>
      <c r="AS50" s="1293">
        <v>1</v>
      </c>
      <c r="AT50" s="1293">
        <v>0</v>
      </c>
      <c r="AU50" s="1293">
        <v>0</v>
      </c>
      <c r="AV50" s="1293">
        <v>0</v>
      </c>
      <c r="AW50" s="1293">
        <v>0</v>
      </c>
      <c r="AX50" s="1293">
        <v>0</v>
      </c>
      <c r="AY50" s="1293">
        <v>0</v>
      </c>
      <c r="AZ50" s="1293">
        <v>0</v>
      </c>
      <c r="BA50" s="1293">
        <v>0</v>
      </c>
      <c r="BB50" s="1293">
        <v>0</v>
      </c>
      <c r="BC50" s="1293">
        <v>0</v>
      </c>
      <c r="BD50" s="1293">
        <v>0</v>
      </c>
      <c r="BE50" s="1293">
        <v>0</v>
      </c>
      <c r="BF50" s="1293">
        <v>0</v>
      </c>
      <c r="BG50" s="1293">
        <v>0</v>
      </c>
      <c r="BH50" s="1293">
        <v>0</v>
      </c>
      <c r="BI50" s="1293">
        <v>0</v>
      </c>
      <c r="BJ50" s="1293">
        <v>0</v>
      </c>
      <c r="BK50" s="1293">
        <v>0</v>
      </c>
      <c r="BL50" s="2045"/>
      <c r="BM50" s="2045"/>
      <c r="BN50" s="2045"/>
      <c r="BO50" s="2045"/>
      <c r="BP50" s="2045"/>
      <c r="BQ50" s="2045"/>
      <c r="BR50" s="2045"/>
      <c r="BS50" s="2045"/>
      <c r="BT50" s="2045"/>
      <c r="BU50" s="2045"/>
      <c r="BV50" s="2045"/>
      <c r="BW50" s="2045"/>
      <c r="BX50" s="2045"/>
      <c r="BY50" s="2045"/>
      <c r="BZ50" s="2045"/>
      <c r="CA50" s="2045"/>
      <c r="CB50" s="2045"/>
      <c r="CC50" s="2045"/>
      <c r="CD50" s="2045"/>
      <c r="CE50" s="2045"/>
      <c r="CF50" s="2045"/>
      <c r="CG50" s="2045"/>
      <c r="CH50" s="2045"/>
      <c r="CI50" s="2045"/>
      <c r="CJ50" s="2045"/>
      <c r="CK50" s="2045"/>
      <c r="CL50" s="2045"/>
      <c r="CM50" s="2045"/>
      <c r="CN50" s="2045"/>
      <c r="CO50" s="2045"/>
      <c r="CP50" s="2045"/>
      <c r="CQ50" s="2045"/>
      <c r="CR50" s="2045"/>
      <c r="CS50" s="2045"/>
      <c r="CT50" s="2045"/>
      <c r="CU50" s="2045"/>
      <c r="CV50" s="2045"/>
      <c r="CW50" s="2045"/>
    </row>
    <row r="51" spans="1:101" s="1209" customFormat="1">
      <c r="A51" s="1223" t="s">
        <v>1220</v>
      </c>
      <c r="B51" s="1224">
        <f t="shared" ref="B51:AO51" si="313">B44+B45+B47+B48</f>
        <v>-43.301000000000023</v>
      </c>
      <c r="C51" s="1224">
        <f t="shared" si="313"/>
        <v>-41.907000000000131</v>
      </c>
      <c r="D51" s="1224">
        <f t="shared" si="313"/>
        <v>64.426999999999737</v>
      </c>
      <c r="E51" s="1224">
        <f t="shared" si="313"/>
        <v>124.52899999999985</v>
      </c>
      <c r="F51" s="1224">
        <f t="shared" si="313"/>
        <v>-0.65799999999988446</v>
      </c>
      <c r="G51" s="1224">
        <f t="shared" si="313"/>
        <v>98.703999999999979</v>
      </c>
      <c r="H51" s="1224">
        <f t="shared" si="313"/>
        <v>16.437999999999942</v>
      </c>
      <c r="I51" s="1224">
        <f t="shared" si="313"/>
        <v>36.741999999999813</v>
      </c>
      <c r="J51" s="1224">
        <f t="shared" si="313"/>
        <v>13.282000000000078</v>
      </c>
      <c r="K51" s="1224">
        <f t="shared" si="313"/>
        <v>50.061000000000277</v>
      </c>
      <c r="L51" s="1224">
        <f t="shared" si="313"/>
        <v>82.179000000000116</v>
      </c>
      <c r="M51" s="1224">
        <f t="shared" si="313"/>
        <v>64.121999999999943</v>
      </c>
      <c r="N51" s="1224">
        <f t="shared" si="313"/>
        <v>17.043999999999834</v>
      </c>
      <c r="O51" s="1224">
        <f t="shared" si="313"/>
        <v>132.85499999999971</v>
      </c>
      <c r="P51" s="1224">
        <f t="shared" si="313"/>
        <v>84.255999999999887</v>
      </c>
      <c r="Q51" s="1224">
        <f t="shared" si="313"/>
        <v>132.40999999999991</v>
      </c>
      <c r="R51" s="1224">
        <f t="shared" si="313"/>
        <v>65.149000000000115</v>
      </c>
      <c r="S51" s="1224">
        <f t="shared" si="313"/>
        <v>157.44300000000004</v>
      </c>
      <c r="T51" s="1224">
        <f t="shared" si="313"/>
        <v>183.82299999999978</v>
      </c>
      <c r="U51" s="1224">
        <f t="shared" si="313"/>
        <v>274.5980000000003</v>
      </c>
      <c r="V51" s="1224">
        <f t="shared" si="313"/>
        <v>86.735000000000156</v>
      </c>
      <c r="W51" s="1224">
        <f t="shared" si="313"/>
        <v>88.162999999999911</v>
      </c>
      <c r="X51" s="1224">
        <f t="shared" si="313"/>
        <v>194.54700000000045</v>
      </c>
      <c r="Y51" s="1224">
        <f t="shared" si="313"/>
        <v>297.22099999999966</v>
      </c>
      <c r="Z51" s="1224">
        <f t="shared" si="313"/>
        <v>298.81400000000133</v>
      </c>
      <c r="AA51" s="1224">
        <f t="shared" si="313"/>
        <v>92.592999999999847</v>
      </c>
      <c r="AB51" s="1224">
        <f t="shared" si="313"/>
        <v>120.26199999999994</v>
      </c>
      <c r="AC51" s="1224">
        <f t="shared" si="313"/>
        <v>469.53699999999924</v>
      </c>
      <c r="AD51" s="1224">
        <f t="shared" si="313"/>
        <v>34.092000000000269</v>
      </c>
      <c r="AE51" s="1224">
        <f t="shared" si="313"/>
        <v>210.31999999999888</v>
      </c>
      <c r="AF51" s="1224">
        <f t="shared" si="313"/>
        <v>164.80799999999996</v>
      </c>
      <c r="AG51" s="1224">
        <f t="shared" si="313"/>
        <v>587.25200000000029</v>
      </c>
      <c r="AH51" s="1224">
        <f t="shared" si="313"/>
        <v>172.08199999999974</v>
      </c>
      <c r="AI51" s="1224">
        <f t="shared" si="313"/>
        <v>59.435000000000365</v>
      </c>
      <c r="AJ51" s="1224">
        <f t="shared" si="313"/>
        <v>206.30399999999892</v>
      </c>
      <c r="AK51" s="1224">
        <f t="shared" si="313"/>
        <v>651.64800000000059</v>
      </c>
      <c r="AL51" s="1224">
        <f t="shared" si="313"/>
        <v>198.39900000000003</v>
      </c>
      <c r="AM51" s="1224">
        <f>AM44+AM45+AM47+AM48</f>
        <v>204.69599999999988</v>
      </c>
      <c r="AN51" s="1225">
        <f t="shared" si="313"/>
        <v>299.92100000000045</v>
      </c>
      <c r="AO51" s="1225">
        <f t="shared" si="313"/>
        <v>250.23699999999874</v>
      </c>
      <c r="AP51" s="1225">
        <f>AP20+AP33+AP39+AP40+AP41+AP42+AP43+AP45+AP48</f>
        <v>88.110999999999876</v>
      </c>
      <c r="AQ51" s="1225">
        <f t="shared" ref="AQ51:BC51" si="314">AQ20+AQ33+AQ39+AQ40+AQ41+AQ42+AQ43+AQ45+AQ48</f>
        <v>127.41300000000138</v>
      </c>
      <c r="AR51" s="1225">
        <f t="shared" ref="AR51:BB51" si="315">AR20+AR33+AR39+AR40+AR41+AR42+AR43+AR45+AR48</f>
        <v>159.40299999999874</v>
      </c>
      <c r="AS51" s="1712">
        <f t="shared" si="315"/>
        <v>389.486999999999</v>
      </c>
      <c r="AT51" s="1712">
        <f t="shared" si="315"/>
        <v>-328.43800000000056</v>
      </c>
      <c r="AU51" s="1712">
        <f t="shared" si="315"/>
        <v>-2263.9620000000009</v>
      </c>
      <c r="AV51" s="1712">
        <f t="shared" si="315"/>
        <v>-919.46100000000069</v>
      </c>
      <c r="AW51" s="1712">
        <f t="shared" si="315"/>
        <v>-196.35300000000021</v>
      </c>
      <c r="AX51" s="1712">
        <f t="shared" si="315"/>
        <v>-352.40199999999982</v>
      </c>
      <c r="AY51" s="1712">
        <f t="shared" si="315"/>
        <v>104.16499999999971</v>
      </c>
      <c r="AZ51" s="1712">
        <f t="shared" si="315"/>
        <v>162.20399999999944</v>
      </c>
      <c r="BA51" s="1712">
        <f t="shared" si="315"/>
        <v>573.92000000000053</v>
      </c>
      <c r="BB51" s="1712">
        <f t="shared" si="315"/>
        <v>386.30199999999974</v>
      </c>
      <c r="BC51" s="1712">
        <f t="shared" si="314"/>
        <v>201.23399999999978</v>
      </c>
      <c r="BD51" s="1712">
        <f>BD20+BD33+BD39+BD40+BD41+BD42+BD43+BD45+BD48-42.788</f>
        <v>292.32899999999842</v>
      </c>
      <c r="BE51" s="1712">
        <f t="shared" ref="BE51:BI51" si="316">BE20+BE33+BE39+BE40+BE41+BE42+BE43+BE45+BE48</f>
        <v>782.01499999999976</v>
      </c>
      <c r="BF51" s="1712">
        <f t="shared" si="316"/>
        <v>507.41400000000033</v>
      </c>
      <c r="BG51" s="1712">
        <f t="shared" si="316"/>
        <v>442.04999999999933</v>
      </c>
      <c r="BH51" s="1712">
        <f t="shared" si="316"/>
        <v>493.38399999999785</v>
      </c>
      <c r="BI51" s="1712">
        <f t="shared" si="316"/>
        <v>1347.0479999999993</v>
      </c>
      <c r="BJ51" s="1712">
        <f>BJ20+BJ33+BJ39+BJ40+BJ41+BJ42+BJ43+BJ45+BJ48</f>
        <v>412.63000000000073</v>
      </c>
      <c r="BK51" s="1310">
        <f>BK20+BK33+BK39+BK40+BK41+BK42+BK43+BK45+BK48</f>
        <v>170.74200000000164</v>
      </c>
      <c r="BL51" s="1226">
        <f t="shared" ref="BL51:CW51" si="317">BL20+BL33+BL39+BL40+BL41+BL42+BL43+BL45+BL48</f>
        <v>305.979442247858</v>
      </c>
      <c r="BM51" s="1226">
        <f>BM20+BM33+BM39+BM40+BM41+BM42+BM43+BM45+BM48</f>
        <v>755.15054519544333</v>
      </c>
      <c r="BN51" s="1226">
        <f t="shared" si="317"/>
        <v>406.22825000768034</v>
      </c>
      <c r="BO51" s="1226">
        <f t="shared" si="317"/>
        <v>505.04103605578359</v>
      </c>
      <c r="BP51" s="1226">
        <f t="shared" si="317"/>
        <v>698.42312775256391</v>
      </c>
      <c r="BQ51" s="1226">
        <f t="shared" si="317"/>
        <v>753.96877078573277</v>
      </c>
      <c r="BR51" s="1226">
        <f t="shared" si="317"/>
        <v>214.59109510833594</v>
      </c>
      <c r="BS51" s="1226">
        <f t="shared" si="317"/>
        <v>772.65629372806154</v>
      </c>
      <c r="BT51" s="1226">
        <f t="shared" si="317"/>
        <v>851.38058549894913</v>
      </c>
      <c r="BU51" s="1226">
        <f t="shared" si="317"/>
        <v>1202.4999183068094</v>
      </c>
      <c r="BV51" s="1226">
        <f t="shared" si="317"/>
        <v>827.03941575063607</v>
      </c>
      <c r="BW51" s="1226">
        <f t="shared" si="317"/>
        <v>983.8271010441091</v>
      </c>
      <c r="BX51" s="1226">
        <f t="shared" si="317"/>
        <v>952.01246126746969</v>
      </c>
      <c r="BY51" s="1226">
        <f t="shared" si="317"/>
        <v>1209.5047064185433</v>
      </c>
      <c r="BZ51" s="1226">
        <f t="shared" si="317"/>
        <v>840.2470484611531</v>
      </c>
      <c r="CA51" s="1226">
        <f t="shared" si="317"/>
        <v>1021.7869533576696</v>
      </c>
      <c r="CB51" s="1226">
        <f t="shared" si="317"/>
        <v>958.11950536618792</v>
      </c>
      <c r="CC51" s="1226">
        <f t="shared" si="317"/>
        <v>1159.974094566071</v>
      </c>
      <c r="CD51" s="1226">
        <f t="shared" si="317"/>
        <v>867.7251827760216</v>
      </c>
      <c r="CE51" s="1226">
        <f t="shared" si="317"/>
        <v>1047.0373132664222</v>
      </c>
      <c r="CF51" s="1226">
        <f t="shared" si="317"/>
        <v>991.92829572077153</v>
      </c>
      <c r="CG51" s="1226">
        <f t="shared" si="317"/>
        <v>1214.9321642712132</v>
      </c>
      <c r="CH51" s="1226">
        <f t="shared" si="317"/>
        <v>893.74953651460191</v>
      </c>
      <c r="CI51" s="1226">
        <f t="shared" si="317"/>
        <v>1073.4406619572767</v>
      </c>
      <c r="CJ51" s="1226">
        <f t="shared" si="317"/>
        <v>1028.2301127872811</v>
      </c>
      <c r="CK51" s="1226">
        <f t="shared" si="317"/>
        <v>1273.1571302687516</v>
      </c>
      <c r="CL51" s="1226">
        <f t="shared" si="317"/>
        <v>925.81839909072437</v>
      </c>
      <c r="CM51" s="1226">
        <f t="shared" si="317"/>
        <v>1103.5117948556613</v>
      </c>
      <c r="CN51" s="1226">
        <f t="shared" si="317"/>
        <v>1068.3049993252087</v>
      </c>
      <c r="CO51" s="1226">
        <f t="shared" si="317"/>
        <v>1336.31833470534</v>
      </c>
      <c r="CP51" s="1226">
        <f t="shared" si="317"/>
        <v>959.6304227551326</v>
      </c>
      <c r="CQ51" s="1226">
        <f t="shared" si="317"/>
        <v>1135.0233597026343</v>
      </c>
      <c r="CR51" s="1226">
        <f t="shared" si="317"/>
        <v>1110.7094739664346</v>
      </c>
      <c r="CS51" s="1226">
        <f t="shared" si="317"/>
        <v>1401.0935105192439</v>
      </c>
      <c r="CT51" s="1226">
        <f t="shared" si="317"/>
        <v>994.57873974749373</v>
      </c>
      <c r="CU51" s="1226">
        <f t="shared" si="317"/>
        <v>1169.3167196646837</v>
      </c>
      <c r="CV51" s="1226">
        <f t="shared" si="317"/>
        <v>1153.3661907073961</v>
      </c>
      <c r="CW51" s="1226">
        <f t="shared" si="317"/>
        <v>1467.7044898146255</v>
      </c>
    </row>
    <row r="52" spans="1:101" s="1209" customFormat="1">
      <c r="A52" s="1227" t="s">
        <v>1221</v>
      </c>
      <c r="B52" s="1228">
        <f>IS!C39</f>
        <v>0</v>
      </c>
      <c r="C52" s="1228">
        <f>IS!D39</f>
        <v>0</v>
      </c>
      <c r="D52" s="1228">
        <f>IS!E39</f>
        <v>0</v>
      </c>
      <c r="E52" s="1228">
        <f>IS!F39</f>
        <v>0</v>
      </c>
      <c r="F52" s="1229">
        <f>IS!G39</f>
        <v>0</v>
      </c>
      <c r="G52" s="1228">
        <f>IS!H39</f>
        <v>0</v>
      </c>
      <c r="H52" s="1228">
        <f>IS!I39</f>
        <v>0</v>
      </c>
      <c r="I52" s="1228">
        <f>IS!J39</f>
        <v>0</v>
      </c>
      <c r="J52" s="1228">
        <f>IS!K39</f>
        <v>0</v>
      </c>
      <c r="K52" s="1228">
        <f>IS!L39</f>
        <v>0</v>
      </c>
      <c r="L52" s="1228">
        <f>IS!M39</f>
        <v>0</v>
      </c>
      <c r="M52" s="1228">
        <f>IS!N39</f>
        <v>0</v>
      </c>
      <c r="N52" s="1228">
        <f>IS!O39</f>
        <v>0</v>
      </c>
      <c r="O52" s="1228">
        <f>IS!P39</f>
        <v>0</v>
      </c>
      <c r="P52" s="1228">
        <f>IS!Q39</f>
        <v>0</v>
      </c>
      <c r="Q52" s="1228">
        <f>IS!R39</f>
        <v>0</v>
      </c>
      <c r="R52" s="1228">
        <f>IS!S39</f>
        <v>0</v>
      </c>
      <c r="S52" s="1228">
        <f>IS!T39</f>
        <v>0</v>
      </c>
      <c r="T52" s="1228">
        <f>IS!U39</f>
        <v>0</v>
      </c>
      <c r="U52" s="1228">
        <f>IS!V39</f>
        <v>0</v>
      </c>
      <c r="V52" s="1228">
        <f>IS!W39</f>
        <v>0</v>
      </c>
      <c r="W52" s="1228">
        <f>IS!X39</f>
        <v>0</v>
      </c>
      <c r="X52" s="1228">
        <f>IS!Y39</f>
        <v>0</v>
      </c>
      <c r="Y52" s="1228">
        <f>IS!Z39</f>
        <v>0</v>
      </c>
      <c r="Z52" s="1228">
        <f>IS!AA39</f>
        <v>0</v>
      </c>
      <c r="AA52" s="1228">
        <f>IS!AB39</f>
        <v>0</v>
      </c>
      <c r="AB52" s="1228">
        <f>IS!AC39</f>
        <v>0</v>
      </c>
      <c r="AC52" s="1228">
        <f>IS!AD39</f>
        <v>0</v>
      </c>
      <c r="AD52" s="1228">
        <f>IS!AE39</f>
        <v>0</v>
      </c>
      <c r="AE52" s="1228">
        <f>IS!AF39</f>
        <v>0</v>
      </c>
      <c r="AF52" s="1228">
        <f>IS!AG39</f>
        <v>0</v>
      </c>
      <c r="AG52" s="1228">
        <f>IS!AH39</f>
        <v>0</v>
      </c>
      <c r="AH52" s="1228">
        <f>IS!AI39</f>
        <v>0</v>
      </c>
      <c r="AI52" s="1228">
        <f>IS!AJ39</f>
        <v>0</v>
      </c>
      <c r="AJ52" s="1228">
        <f>IS!AK39</f>
        <v>0</v>
      </c>
      <c r="AK52" s="1228">
        <f>IS!AL39</f>
        <v>0</v>
      </c>
      <c r="AL52" s="1228">
        <f>IS!AM39</f>
        <v>0</v>
      </c>
      <c r="AM52" s="1228">
        <f>IS!AN39</f>
        <v>0</v>
      </c>
      <c r="AN52" s="1228">
        <f>IS!AO39</f>
        <v>0</v>
      </c>
      <c r="AO52" s="1228">
        <f>IS!AP39</f>
        <v>0</v>
      </c>
      <c r="AP52" s="1228">
        <f>IS!AQ39</f>
        <v>0</v>
      </c>
      <c r="AQ52" s="1228">
        <f>IS!AR39</f>
        <v>0</v>
      </c>
      <c r="AR52" s="1228">
        <f>IS!AS39</f>
        <v>0</v>
      </c>
      <c r="AS52" s="1228">
        <f>IS!AT39</f>
        <v>0</v>
      </c>
      <c r="AT52" s="1228">
        <f>IS!AU39</f>
        <v>0</v>
      </c>
      <c r="AU52" s="1228">
        <f>IS!AV39</f>
        <v>0</v>
      </c>
      <c r="AV52" s="1228">
        <f>IS!AW39</f>
        <v>0</v>
      </c>
      <c r="AW52" s="1228">
        <f>IS!AX39</f>
        <v>0</v>
      </c>
      <c r="AX52" s="1228">
        <f>IS!AY39</f>
        <v>0</v>
      </c>
      <c r="AY52" s="1228">
        <f>IS!AZ39</f>
        <v>0</v>
      </c>
      <c r="AZ52" s="1228">
        <f>IS!BA39</f>
        <v>0</v>
      </c>
      <c r="BA52" s="1228">
        <f>IS!BB39</f>
        <v>0</v>
      </c>
      <c r="BB52" s="1228">
        <f>IS!BC39</f>
        <v>0</v>
      </c>
      <c r="BC52" s="1857">
        <f>IS!BD39</f>
        <v>0</v>
      </c>
      <c r="BD52" s="1857">
        <f>AVERAGE($L$52:BC52)*50%</f>
        <v>0</v>
      </c>
      <c r="BE52" s="1857">
        <f>AVERAGE($L$52:BD52)*50%</f>
        <v>0</v>
      </c>
      <c r="BF52" s="1857">
        <f>AVERAGE($L$52:BE52)*50%</f>
        <v>0</v>
      </c>
      <c r="BG52" s="1857">
        <f>AVERAGE($L$52:BF52)*50%</f>
        <v>0</v>
      </c>
      <c r="BH52" s="1857">
        <f>AVERAGE($L$52:BG52)*50%</f>
        <v>0</v>
      </c>
      <c r="BI52" s="1857">
        <f>AVERAGE($L$52:BH52)*50%</f>
        <v>0</v>
      </c>
      <c r="BJ52" s="1857">
        <f>AVERAGE($L$52:BI52)*50%</f>
        <v>0</v>
      </c>
      <c r="BK52" s="1856">
        <f>AVERAGE($L$52:BJ52)*50%</f>
        <v>0</v>
      </c>
      <c r="BL52" s="1228">
        <f t="shared" ref="BL52" si="318">BL50</f>
        <v>0</v>
      </c>
      <c r="BM52" s="1228">
        <f>BM50</f>
        <v>0</v>
      </c>
      <c r="BN52" s="1228">
        <f t="shared" ref="BN52:CW52" si="319">BN50</f>
        <v>0</v>
      </c>
      <c r="BO52" s="1228">
        <f t="shared" si="319"/>
        <v>0</v>
      </c>
      <c r="BP52" s="1228">
        <f t="shared" si="319"/>
        <v>0</v>
      </c>
      <c r="BQ52" s="1228">
        <f t="shared" si="319"/>
        <v>0</v>
      </c>
      <c r="BR52" s="1228">
        <f t="shared" si="319"/>
        <v>0</v>
      </c>
      <c r="BS52" s="1228">
        <f t="shared" si="319"/>
        <v>0</v>
      </c>
      <c r="BT52" s="1228">
        <f t="shared" si="319"/>
        <v>0</v>
      </c>
      <c r="BU52" s="1228">
        <f t="shared" si="319"/>
        <v>0</v>
      </c>
      <c r="BV52" s="1228">
        <f t="shared" si="319"/>
        <v>0</v>
      </c>
      <c r="BW52" s="1228">
        <f t="shared" si="319"/>
        <v>0</v>
      </c>
      <c r="BX52" s="1228">
        <f t="shared" si="319"/>
        <v>0</v>
      </c>
      <c r="BY52" s="1228">
        <f t="shared" si="319"/>
        <v>0</v>
      </c>
      <c r="BZ52" s="1228">
        <f t="shared" si="319"/>
        <v>0</v>
      </c>
      <c r="CA52" s="1228">
        <f t="shared" si="319"/>
        <v>0</v>
      </c>
      <c r="CB52" s="1228">
        <f t="shared" si="319"/>
        <v>0</v>
      </c>
      <c r="CC52" s="1228">
        <f t="shared" si="319"/>
        <v>0</v>
      </c>
      <c r="CD52" s="1228">
        <f t="shared" si="319"/>
        <v>0</v>
      </c>
      <c r="CE52" s="1228">
        <f t="shared" si="319"/>
        <v>0</v>
      </c>
      <c r="CF52" s="1228">
        <f t="shared" si="319"/>
        <v>0</v>
      </c>
      <c r="CG52" s="1228">
        <f t="shared" si="319"/>
        <v>0</v>
      </c>
      <c r="CH52" s="1228">
        <f t="shared" si="319"/>
        <v>0</v>
      </c>
      <c r="CI52" s="1228">
        <f t="shared" si="319"/>
        <v>0</v>
      </c>
      <c r="CJ52" s="1228">
        <f t="shared" si="319"/>
        <v>0</v>
      </c>
      <c r="CK52" s="1228">
        <f t="shared" si="319"/>
        <v>0</v>
      </c>
      <c r="CL52" s="1228">
        <f t="shared" si="319"/>
        <v>0</v>
      </c>
      <c r="CM52" s="1228">
        <f t="shared" si="319"/>
        <v>0</v>
      </c>
      <c r="CN52" s="1228">
        <f t="shared" si="319"/>
        <v>0</v>
      </c>
      <c r="CO52" s="1228">
        <f t="shared" si="319"/>
        <v>0</v>
      </c>
      <c r="CP52" s="1228">
        <f t="shared" si="319"/>
        <v>0</v>
      </c>
      <c r="CQ52" s="1228">
        <f t="shared" si="319"/>
        <v>0</v>
      </c>
      <c r="CR52" s="1228">
        <f t="shared" si="319"/>
        <v>0</v>
      </c>
      <c r="CS52" s="1228">
        <f t="shared" si="319"/>
        <v>0</v>
      </c>
      <c r="CT52" s="1228">
        <f t="shared" si="319"/>
        <v>0</v>
      </c>
      <c r="CU52" s="1228">
        <f t="shared" si="319"/>
        <v>0</v>
      </c>
      <c r="CV52" s="1228">
        <f t="shared" si="319"/>
        <v>0</v>
      </c>
      <c r="CW52" s="1228">
        <f t="shared" si="319"/>
        <v>0</v>
      </c>
    </row>
    <row r="53" spans="1:101" s="1255" customFormat="1">
      <c r="A53" s="1254" t="s">
        <v>192</v>
      </c>
      <c r="B53" s="1254">
        <f t="shared" ref="B53:AO53" si="320">+B55</f>
        <v>-43.301000000000023</v>
      </c>
      <c r="C53" s="1254">
        <f t="shared" si="320"/>
        <v>-41.907000000000131</v>
      </c>
      <c r="D53" s="1254">
        <f t="shared" si="320"/>
        <v>64.426999999999737</v>
      </c>
      <c r="E53" s="1254">
        <f t="shared" si="320"/>
        <v>124.52899999999985</v>
      </c>
      <c r="F53" s="1254">
        <f t="shared" si="320"/>
        <v>-0.65799999999988446</v>
      </c>
      <c r="G53" s="1254">
        <f t="shared" si="320"/>
        <v>98.703999999999979</v>
      </c>
      <c r="H53" s="1254">
        <f t="shared" si="320"/>
        <v>16.437999999999942</v>
      </c>
      <c r="I53" s="1254">
        <f t="shared" si="320"/>
        <v>36.741999999999813</v>
      </c>
      <c r="J53" s="1254">
        <f t="shared" si="320"/>
        <v>13.282000000000078</v>
      </c>
      <c r="K53" s="1254">
        <f t="shared" si="320"/>
        <v>50.061000000000277</v>
      </c>
      <c r="L53" s="1254">
        <f t="shared" si="320"/>
        <v>82.179000000000116</v>
      </c>
      <c r="M53" s="1254">
        <f t="shared" si="320"/>
        <v>64.121999999999943</v>
      </c>
      <c r="N53" s="1254">
        <f t="shared" si="320"/>
        <v>17.043999999999834</v>
      </c>
      <c r="O53" s="1254">
        <f t="shared" si="320"/>
        <v>132.85499999999971</v>
      </c>
      <c r="P53" s="1254">
        <f t="shared" si="320"/>
        <v>84.255999999999887</v>
      </c>
      <c r="Q53" s="1254">
        <f t="shared" si="320"/>
        <v>132.40999999999991</v>
      </c>
      <c r="R53" s="1254">
        <f t="shared" si="320"/>
        <v>65.149000000000115</v>
      </c>
      <c r="S53" s="1254">
        <f t="shared" si="320"/>
        <v>157.44300000000004</v>
      </c>
      <c r="T53" s="1254">
        <f t="shared" si="320"/>
        <v>183.82299999999978</v>
      </c>
      <c r="U53" s="1254">
        <f t="shared" si="320"/>
        <v>274.5980000000003</v>
      </c>
      <c r="V53" s="1254">
        <f t="shared" si="320"/>
        <v>86.735000000000156</v>
      </c>
      <c r="W53" s="1254">
        <f t="shared" si="320"/>
        <v>88.162999999999911</v>
      </c>
      <c r="X53" s="1254">
        <f t="shared" si="320"/>
        <v>194.54700000000045</v>
      </c>
      <c r="Y53" s="1254">
        <f t="shared" si="320"/>
        <v>297.22099999999966</v>
      </c>
      <c r="Z53" s="1254">
        <f t="shared" si="320"/>
        <v>298.81400000000133</v>
      </c>
      <c r="AA53" s="1254">
        <f t="shared" si="320"/>
        <v>92.592999999999847</v>
      </c>
      <c r="AB53" s="1254">
        <f t="shared" si="320"/>
        <v>120.26199999999994</v>
      </c>
      <c r="AC53" s="1254">
        <f t="shared" si="320"/>
        <v>469.53699999999924</v>
      </c>
      <c r="AD53" s="1254">
        <f t="shared" si="320"/>
        <v>34.092000000000269</v>
      </c>
      <c r="AE53" s="1254">
        <f t="shared" si="320"/>
        <v>210.31999999999888</v>
      </c>
      <c r="AF53" s="1254">
        <f t="shared" si="320"/>
        <v>164.80799999999996</v>
      </c>
      <c r="AG53" s="1254">
        <f t="shared" si="320"/>
        <v>587.25200000000029</v>
      </c>
      <c r="AH53" s="1254">
        <f t="shared" si="320"/>
        <v>172.08199999999974</v>
      </c>
      <c r="AI53" s="1254">
        <f t="shared" si="320"/>
        <v>59.435000000000365</v>
      </c>
      <c r="AJ53" s="1254">
        <f t="shared" si="320"/>
        <v>206.30399999999892</v>
      </c>
      <c r="AK53" s="1254">
        <f t="shared" si="320"/>
        <v>651.64800000000059</v>
      </c>
      <c r="AL53" s="1254">
        <f t="shared" si="320"/>
        <v>198.39900000000003</v>
      </c>
      <c r="AM53" s="1254">
        <f t="shared" si="320"/>
        <v>204.69599999999988</v>
      </c>
      <c r="AN53" s="1254">
        <f t="shared" si="320"/>
        <v>299.92100000000045</v>
      </c>
      <c r="AO53" s="1254">
        <f t="shared" si="320"/>
        <v>250.23699999999874</v>
      </c>
      <c r="AP53" s="1254">
        <f t="shared" ref="AP53:BC53" si="321">AP49+AP50</f>
        <v>106.47100000000003</v>
      </c>
      <c r="AQ53" s="1254">
        <f t="shared" si="321"/>
        <v>173.29000000000138</v>
      </c>
      <c r="AR53" s="1254">
        <f t="shared" ref="AR53:BB53" si="322">AR49+AR50</f>
        <v>190.60599999999855</v>
      </c>
      <c r="AS53" s="1254">
        <f t="shared" si="322"/>
        <v>457.30299999999926</v>
      </c>
      <c r="AT53" s="1254">
        <f t="shared" si="322"/>
        <v>-279.94900000000041</v>
      </c>
      <c r="AU53" s="1254">
        <f t="shared" si="322"/>
        <v>-2595.4480000000008</v>
      </c>
      <c r="AV53" s="1254">
        <f t="shared" si="322"/>
        <v>-476.11100000000073</v>
      </c>
      <c r="AW53" s="1254">
        <f t="shared" si="322"/>
        <v>165.46099999999987</v>
      </c>
      <c r="AX53" s="1254">
        <f t="shared" si="322"/>
        <v>-312.10800000000006</v>
      </c>
      <c r="AY53" s="1254">
        <f t="shared" si="322"/>
        <v>139.00099999999961</v>
      </c>
      <c r="AZ53" s="1254">
        <f t="shared" si="322"/>
        <v>173.02799999999945</v>
      </c>
      <c r="BA53" s="1254">
        <f t="shared" si="322"/>
        <v>835.20900000000006</v>
      </c>
      <c r="BB53" s="1254">
        <f t="shared" si="322"/>
        <v>525.44199999999989</v>
      </c>
      <c r="BC53" s="1254">
        <f t="shared" si="321"/>
        <v>211.42200000000017</v>
      </c>
      <c r="BD53" s="1254">
        <f t="shared" ref="BD53:BG53" si="323">BD49+BD50</f>
        <v>316.76199999999852</v>
      </c>
      <c r="BE53" s="1254">
        <f t="shared" si="323"/>
        <v>578.70899999999972</v>
      </c>
      <c r="BF53" s="1254">
        <f t="shared" si="323"/>
        <v>588.22499999999991</v>
      </c>
      <c r="BG53" s="1254">
        <f t="shared" si="323"/>
        <v>443.80899999999946</v>
      </c>
      <c r="BH53" s="1254">
        <f t="shared" ref="BH53" si="324">BH49+BH50</f>
        <v>494.62499999999784</v>
      </c>
      <c r="BI53" s="1254">
        <f t="shared" ref="BI53:BJ53" si="325">BI49+BI50</f>
        <v>1404.0699999999995</v>
      </c>
      <c r="BJ53" s="1254">
        <f t="shared" si="325"/>
        <v>404.12800000000078</v>
      </c>
      <c r="BK53" s="1311">
        <f t="shared" ref="BK53" si="326">BK49+BK50</f>
        <v>140.07700000000168</v>
      </c>
      <c r="BL53" s="1257">
        <f t="shared" ref="BL53:CW53" si="327">BL49-BL50</f>
        <v>49.130671279046084</v>
      </c>
      <c r="BM53" s="1257">
        <f t="shared" si="327"/>
        <v>530.22061296978973</v>
      </c>
      <c r="BN53" s="1257">
        <f t="shared" si="327"/>
        <v>170.07198532931281</v>
      </c>
      <c r="BO53" s="1257">
        <f t="shared" si="327"/>
        <v>439.58833410908449</v>
      </c>
      <c r="BP53" s="1257">
        <f t="shared" si="327"/>
        <v>647.73288712515387</v>
      </c>
      <c r="BQ53" s="1257">
        <f t="shared" si="327"/>
        <v>643.79855534116416</v>
      </c>
      <c r="BR53" s="1257">
        <f t="shared" si="327"/>
        <v>85.492769960986266</v>
      </c>
      <c r="BS53" s="1257">
        <f t="shared" si="327"/>
        <v>754.97976189672306</v>
      </c>
      <c r="BT53" s="1257">
        <f t="shared" si="327"/>
        <v>840.41966169092984</v>
      </c>
      <c r="BU53" s="1257">
        <f t="shared" si="327"/>
        <v>1125.0108136285567</v>
      </c>
      <c r="BV53" s="1257">
        <f t="shared" si="327"/>
        <v>726.89887601543739</v>
      </c>
      <c r="BW53" s="1257">
        <f t="shared" si="327"/>
        <v>994.42627982835586</v>
      </c>
      <c r="BX53" s="1257">
        <f t="shared" si="327"/>
        <v>966.22255717766279</v>
      </c>
      <c r="BY53" s="1257">
        <f t="shared" si="327"/>
        <v>1154.2206543945758</v>
      </c>
      <c r="BZ53" s="1257">
        <f t="shared" si="327"/>
        <v>795.10462599517405</v>
      </c>
      <c r="CA53" s="1257">
        <f t="shared" si="327"/>
        <v>1087.5931040423361</v>
      </c>
      <c r="CB53" s="1257">
        <f t="shared" si="327"/>
        <v>1022.5357144567292</v>
      </c>
      <c r="CC53" s="1257">
        <f t="shared" si="327"/>
        <v>1155.4831853559367</v>
      </c>
      <c r="CD53" s="1257">
        <f t="shared" si="327"/>
        <v>871.86229630464766</v>
      </c>
      <c r="CE53" s="1257">
        <f t="shared" si="327"/>
        <v>1162.0664514350742</v>
      </c>
      <c r="CF53" s="1257">
        <f t="shared" si="327"/>
        <v>1100.0647078305515</v>
      </c>
      <c r="CG53" s="1257">
        <f t="shared" si="327"/>
        <v>1248.4202947863062</v>
      </c>
      <c r="CH53" s="1257">
        <f t="shared" si="327"/>
        <v>938.93530942831808</v>
      </c>
      <c r="CI53" s="1257">
        <f t="shared" si="327"/>
        <v>1230.0054774886098</v>
      </c>
      <c r="CJ53" s="1257">
        <f t="shared" si="327"/>
        <v>1172.7611562460847</v>
      </c>
      <c r="CK53" s="1257">
        <f t="shared" si="327"/>
        <v>1337.476469299118</v>
      </c>
      <c r="CL53" s="1257">
        <f t="shared" si="327"/>
        <v>1007.6026479626109</v>
      </c>
      <c r="CM53" s="1257">
        <f t="shared" si="327"/>
        <v>1299.1739417040503</v>
      </c>
      <c r="CN53" s="1257">
        <f t="shared" si="327"/>
        <v>1246.6703456364442</v>
      </c>
      <c r="CO53" s="1257">
        <f t="shared" si="327"/>
        <v>1428.6903924614335</v>
      </c>
      <c r="CP53" s="1257">
        <f t="shared" si="327"/>
        <v>1074.7217164011254</v>
      </c>
      <c r="CQ53" s="1257">
        <f t="shared" si="327"/>
        <v>1365.6224958656776</v>
      </c>
      <c r="CR53" s="1257">
        <f t="shared" si="327"/>
        <v>1318.8296739512398</v>
      </c>
      <c r="CS53" s="1257">
        <f t="shared" si="327"/>
        <v>1517.4429944047151</v>
      </c>
      <c r="CT53" s="1257">
        <f t="shared" si="327"/>
        <v>1139.8230115613362</v>
      </c>
      <c r="CU53" s="1257">
        <f t="shared" si="327"/>
        <v>1432.1165726522222</v>
      </c>
      <c r="CV53" s="1257">
        <f t="shared" si="327"/>
        <v>1388.4255521582704</v>
      </c>
      <c r="CW53" s="1257">
        <f t="shared" si="327"/>
        <v>1603.7250697479922</v>
      </c>
    </row>
    <row r="54" spans="1:101" s="1256" customFormat="1">
      <c r="A54" s="1294" t="s">
        <v>575</v>
      </c>
      <c r="B54" s="1294">
        <f t="shared" ref="B54:AO54" si="328">+B57</f>
        <v>-2.0776804217449915E-2</v>
      </c>
      <c r="C54" s="1294">
        <f t="shared" si="328"/>
        <v>-2.0218331151823053E-2</v>
      </c>
      <c r="D54" s="1294">
        <f t="shared" si="328"/>
        <v>3.0395929784633059E-2</v>
      </c>
      <c r="E54" s="1294">
        <f t="shared" si="328"/>
        <v>5.3893213286928102E-2</v>
      </c>
      <c r="F54" s="1294">
        <f t="shared" si="328"/>
        <v>-3.139585593786695E-4</v>
      </c>
      <c r="G54" s="1294">
        <f t="shared" si="328"/>
        <v>4.5554991461669816E-2</v>
      </c>
      <c r="H54" s="1294">
        <f t="shared" si="328"/>
        <v>7.2257327164631539E-3</v>
      </c>
      <c r="I54" s="1294">
        <f t="shared" si="328"/>
        <v>1.5033570008473747E-2</v>
      </c>
      <c r="J54" s="1294">
        <f t="shared" si="328"/>
        <v>5.5416848858284729E-3</v>
      </c>
      <c r="K54" s="1294">
        <f t="shared" si="328"/>
        <v>1.9290229304841294E-2</v>
      </c>
      <c r="L54" s="1294">
        <f t="shared" si="328"/>
        <v>2.9680581339073565E-2</v>
      </c>
      <c r="M54" s="1294">
        <f t="shared" si="328"/>
        <v>2.1841168023238367E-2</v>
      </c>
      <c r="N54" s="1294">
        <f t="shared" si="328"/>
        <v>5.7541268743787526E-3</v>
      </c>
      <c r="O54" s="1294">
        <f t="shared" si="328"/>
        <v>3.8772053420246311E-2</v>
      </c>
      <c r="P54" s="1294">
        <f t="shared" si="328"/>
        <v>2.4056289707896035E-2</v>
      </c>
      <c r="Q54" s="1294">
        <f t="shared" si="328"/>
        <v>3.649219624814691E-2</v>
      </c>
      <c r="R54" s="1294">
        <f t="shared" si="328"/>
        <v>1.9168540396958204E-2</v>
      </c>
      <c r="S54" s="1294">
        <f t="shared" si="328"/>
        <v>4.120868119290369E-2</v>
      </c>
      <c r="T54" s="1294">
        <f t="shared" si="328"/>
        <v>4.5028820473350897E-2</v>
      </c>
      <c r="U54" s="1294">
        <f t="shared" si="328"/>
        <v>6.2253695404913885E-2</v>
      </c>
      <c r="V54" s="1294">
        <f t="shared" si="328"/>
        <v>2.1727008473871517E-2</v>
      </c>
      <c r="W54" s="1294">
        <f t="shared" si="328"/>
        <v>1.6943585698839532E-2</v>
      </c>
      <c r="X54" s="1294">
        <f t="shared" si="328"/>
        <v>3.4122976860388732E-2</v>
      </c>
      <c r="Y54" s="1294">
        <f t="shared" si="328"/>
        <v>3.7606041036780419E-2</v>
      </c>
      <c r="Z54" s="1294">
        <f t="shared" si="328"/>
        <v>4.0686884432059395E-2</v>
      </c>
      <c r="AA54" s="1294">
        <f t="shared" si="328"/>
        <v>1.1929102278785367E-2</v>
      </c>
      <c r="AB54" s="1294">
        <f t="shared" si="328"/>
        <v>1.4622632676967262E-2</v>
      </c>
      <c r="AC54" s="1294">
        <f t="shared" si="328"/>
        <v>5.2416401033018423E-2</v>
      </c>
      <c r="AD54" s="1294">
        <f t="shared" si="328"/>
        <v>3.994488421467067E-3</v>
      </c>
      <c r="AE54" s="1294">
        <f t="shared" si="328"/>
        <v>2.3199870101906345E-2</v>
      </c>
      <c r="AF54" s="1294">
        <f t="shared" si="328"/>
        <v>1.7163952783091491E-2</v>
      </c>
      <c r="AG54" s="1294">
        <f t="shared" si="328"/>
        <v>5.5931132319417376E-2</v>
      </c>
      <c r="AH54" s="1294">
        <f t="shared" si="328"/>
        <v>1.7049232951955939E-2</v>
      </c>
      <c r="AI54" s="1294">
        <f t="shared" si="328"/>
        <v>5.7456191526954591E-3</v>
      </c>
      <c r="AJ54" s="1294">
        <f t="shared" si="328"/>
        <v>1.969422703996437E-2</v>
      </c>
      <c r="AK54" s="1294">
        <f t="shared" si="328"/>
        <v>5.6098574705297617E-2</v>
      </c>
      <c r="AL54" s="1294">
        <f t="shared" si="328"/>
        <v>1.7906265103410559E-2</v>
      </c>
      <c r="AM54" s="1294">
        <f t="shared" si="328"/>
        <v>1.8073891255032434E-2</v>
      </c>
      <c r="AN54" s="1294">
        <f t="shared" si="328"/>
        <v>2.6365763442433163E-2</v>
      </c>
      <c r="AO54" s="1294">
        <f t="shared" si="328"/>
        <v>2.0219828630372895E-2</v>
      </c>
      <c r="AP54" s="1294">
        <f t="shared" ref="AP54:BC54" si="329">AP53/AP5</f>
        <v>7.7769486599114689E-3</v>
      </c>
      <c r="AQ54" s="1294">
        <f t="shared" si="329"/>
        <v>1.1885021793093175E-2</v>
      </c>
      <c r="AR54" s="1294">
        <f t="shared" ref="AR54:BB54" si="330">AR53/AR5</f>
        <v>1.3153862148413444E-2</v>
      </c>
      <c r="AS54" s="1294">
        <f t="shared" si="330"/>
        <v>2.9708509655397144E-2</v>
      </c>
      <c r="AT54" s="1294">
        <f t="shared" si="330"/>
        <v>-2.3126552549382152E-2</v>
      </c>
      <c r="AU54" s="1294">
        <f t="shared" si="330"/>
        <v>-0.49933808241484789</v>
      </c>
      <c r="AV54" s="1294">
        <f t="shared" si="330"/>
        <v>-4.8113802632666701E-2</v>
      </c>
      <c r="AW54" s="1294">
        <f t="shared" si="330"/>
        <v>1.4646410730462515E-2</v>
      </c>
      <c r="AX54" s="1294">
        <f t="shared" si="330"/>
        <v>-3.056372319083751E-2</v>
      </c>
      <c r="AY54" s="1294">
        <f t="shared" si="330"/>
        <v>1.11402500912051E-2</v>
      </c>
      <c r="AZ54" s="1294">
        <f t="shared" si="330"/>
        <v>1.2396087625440784E-2</v>
      </c>
      <c r="BA54" s="1294">
        <f t="shared" si="330"/>
        <v>4.9916531756421426E-2</v>
      </c>
      <c r="BB54" s="1294">
        <f t="shared" si="330"/>
        <v>3.4504598811689352E-2</v>
      </c>
      <c r="BC54" s="1294">
        <f t="shared" si="329"/>
        <v>1.2481280028110076E-2</v>
      </c>
      <c r="BD54" s="1294">
        <f t="shared" ref="BD54:BG54" si="331">BD53/BD5</f>
        <v>1.8081905330783212E-2</v>
      </c>
      <c r="BE54" s="1294">
        <f t="shared" si="331"/>
        <v>3.022637621104711E-2</v>
      </c>
      <c r="BF54" s="1294">
        <f t="shared" si="331"/>
        <v>3.3297676558350787E-2</v>
      </c>
      <c r="BG54" s="1294">
        <f t="shared" si="331"/>
        <v>2.3421564733559479E-2</v>
      </c>
      <c r="BH54" s="1294">
        <f t="shared" ref="BH54" si="332">BH53/BH5</f>
        <v>2.5404502337804759E-2</v>
      </c>
      <c r="BI54" s="1294">
        <f t="shared" ref="BI54:BJ54" si="333">BI53/BI5</f>
        <v>6.9692331143379194E-2</v>
      </c>
      <c r="BJ54" s="1294">
        <f t="shared" si="333"/>
        <v>2.2201385411102097E-2</v>
      </c>
      <c r="BK54" s="1312">
        <f t="shared" ref="BK54" si="334">BK53/BK5</f>
        <v>7.2752000476160646E-3</v>
      </c>
      <c r="BL54" s="1258">
        <f t="shared" ref="BL54:CW54" si="335">BL53/BL5</f>
        <v>2.4433430746319176E-3</v>
      </c>
      <c r="BM54" s="1258">
        <f t="shared" si="335"/>
        <v>2.5267619333987006E-2</v>
      </c>
      <c r="BN54" s="1258">
        <f t="shared" si="335"/>
        <v>8.541355766621711E-3</v>
      </c>
      <c r="BO54" s="1258">
        <f t="shared" si="335"/>
        <v>2.0528353438010852E-2</v>
      </c>
      <c r="BP54" s="1258">
        <f t="shared" si="335"/>
        <v>2.9495946022614555E-2</v>
      </c>
      <c r="BQ54" s="1258">
        <f t="shared" si="335"/>
        <v>2.8341677846164374E-2</v>
      </c>
      <c r="BR54" s="1258">
        <f t="shared" si="335"/>
        <v>3.9844231895927919E-3</v>
      </c>
      <c r="BS54" s="1258">
        <f t="shared" si="335"/>
        <v>3.3087829842623616E-2</v>
      </c>
      <c r="BT54" s="1258">
        <f t="shared" si="335"/>
        <v>3.5922599568409493E-2</v>
      </c>
      <c r="BU54" s="1258">
        <f t="shared" si="335"/>
        <v>4.6502386864486447E-2</v>
      </c>
      <c r="BV54" s="1258">
        <f t="shared" si="335"/>
        <v>3.1964669625747989E-2</v>
      </c>
      <c r="BW54" s="1258">
        <f t="shared" si="335"/>
        <v>4.1188399282188204E-2</v>
      </c>
      <c r="BX54" s="1258">
        <f t="shared" si="335"/>
        <v>3.9017242223030185E-2</v>
      </c>
      <c r="BY54" s="1258">
        <f t="shared" si="335"/>
        <v>4.5025932612785868E-2</v>
      </c>
      <c r="BZ54" s="1258">
        <f t="shared" si="335"/>
        <v>3.3209872918914335E-2</v>
      </c>
      <c r="CA54" s="1258">
        <f t="shared" si="335"/>
        <v>4.2832634172975011E-2</v>
      </c>
      <c r="CB54" s="1258">
        <f t="shared" si="335"/>
        <v>3.9233350944976264E-2</v>
      </c>
      <c r="CC54" s="1258">
        <f t="shared" si="335"/>
        <v>4.2774265583252653E-2</v>
      </c>
      <c r="CD54" s="1258">
        <f t="shared" si="335"/>
        <v>3.4596371224278111E-2</v>
      </c>
      <c r="CE54" s="1258">
        <f t="shared" si="335"/>
        <v>4.3524735008284736E-2</v>
      </c>
      <c r="CF54" s="1258">
        <f t="shared" si="335"/>
        <v>4.0113566919867512E-2</v>
      </c>
      <c r="CG54" s="1258">
        <f t="shared" si="335"/>
        <v>4.3867310623454329E-2</v>
      </c>
      <c r="CH54" s="1258">
        <f t="shared" si="335"/>
        <v>3.5414074676579144E-2</v>
      </c>
      <c r="CI54" s="1258">
        <f t="shared" si="335"/>
        <v>4.3854109975820219E-2</v>
      </c>
      <c r="CJ54" s="1258">
        <f t="shared" si="335"/>
        <v>4.0698635124464103E-2</v>
      </c>
      <c r="CK54" s="1258">
        <f t="shared" si="335"/>
        <v>4.4703006529754119E-2</v>
      </c>
      <c r="CL54" s="1258">
        <f t="shared" si="335"/>
        <v>3.6199731284771726E-2</v>
      </c>
      <c r="CM54" s="1258">
        <f t="shared" si="335"/>
        <v>4.4162368392774716E-2</v>
      </c>
      <c r="CN54" s="1258">
        <f t="shared" si="335"/>
        <v>4.1218160046445219E-2</v>
      </c>
      <c r="CO54" s="1258">
        <f t="shared" si="335"/>
        <v>4.5443208522837696E-2</v>
      </c>
      <c r="CP54" s="1258">
        <f t="shared" si="335"/>
        <v>3.6782328158376773E-2</v>
      </c>
      <c r="CQ54" s="1258">
        <f t="shared" si="335"/>
        <v>4.4263324063703424E-2</v>
      </c>
      <c r="CR54" s="1258">
        <f t="shared" si="335"/>
        <v>4.1545831259539742E-2</v>
      </c>
      <c r="CS54" s="1258">
        <f t="shared" si="335"/>
        <v>4.5937152928082828E-2</v>
      </c>
      <c r="CT54" s="1258">
        <f t="shared" si="335"/>
        <v>3.7165682334047878E-2</v>
      </c>
      <c r="CU54" s="1258">
        <f t="shared" si="335"/>
        <v>4.426517749594764E-2</v>
      </c>
      <c r="CV54" s="1258">
        <f t="shared" si="335"/>
        <v>4.1679744039183737E-2</v>
      </c>
      <c r="CW54" s="1258">
        <f t="shared" si="335"/>
        <v>4.6239736597082602E-2</v>
      </c>
    </row>
    <row r="55" spans="1:101" s="1209" customFormat="1">
      <c r="A55" s="1217" t="s">
        <v>1222</v>
      </c>
      <c r="B55" s="1250">
        <f t="shared" ref="B55:AQ55" si="336">+B51+B52</f>
        <v>-43.301000000000023</v>
      </c>
      <c r="C55" s="1250">
        <f t="shared" si="336"/>
        <v>-41.907000000000131</v>
      </c>
      <c r="D55" s="1250">
        <f t="shared" si="336"/>
        <v>64.426999999999737</v>
      </c>
      <c r="E55" s="1250">
        <f t="shared" si="336"/>
        <v>124.52899999999985</v>
      </c>
      <c r="F55" s="1250">
        <f t="shared" si="336"/>
        <v>-0.65799999999988446</v>
      </c>
      <c r="G55" s="1250">
        <f t="shared" si="336"/>
        <v>98.703999999999979</v>
      </c>
      <c r="H55" s="1250">
        <f t="shared" si="336"/>
        <v>16.437999999999942</v>
      </c>
      <c r="I55" s="1250">
        <f t="shared" si="336"/>
        <v>36.741999999999813</v>
      </c>
      <c r="J55" s="1250">
        <f t="shared" si="336"/>
        <v>13.282000000000078</v>
      </c>
      <c r="K55" s="1250">
        <f t="shared" si="336"/>
        <v>50.061000000000277</v>
      </c>
      <c r="L55" s="1250">
        <f t="shared" si="336"/>
        <v>82.179000000000116</v>
      </c>
      <c r="M55" s="1250">
        <f t="shared" si="336"/>
        <v>64.121999999999943</v>
      </c>
      <c r="N55" s="1250">
        <f t="shared" si="336"/>
        <v>17.043999999999834</v>
      </c>
      <c r="O55" s="1250">
        <f t="shared" si="336"/>
        <v>132.85499999999971</v>
      </c>
      <c r="P55" s="1250">
        <f t="shared" si="336"/>
        <v>84.255999999999887</v>
      </c>
      <c r="Q55" s="1250">
        <f t="shared" si="336"/>
        <v>132.40999999999991</v>
      </c>
      <c r="R55" s="1250">
        <f t="shared" si="336"/>
        <v>65.149000000000115</v>
      </c>
      <c r="S55" s="1250">
        <f t="shared" si="336"/>
        <v>157.44300000000004</v>
      </c>
      <c r="T55" s="1250">
        <f t="shared" si="336"/>
        <v>183.82299999999978</v>
      </c>
      <c r="U55" s="1250">
        <f t="shared" si="336"/>
        <v>274.5980000000003</v>
      </c>
      <c r="V55" s="1250">
        <f t="shared" si="336"/>
        <v>86.735000000000156</v>
      </c>
      <c r="W55" s="1250">
        <f t="shared" si="336"/>
        <v>88.162999999999911</v>
      </c>
      <c r="X55" s="1250">
        <f t="shared" si="336"/>
        <v>194.54700000000045</v>
      </c>
      <c r="Y55" s="1250">
        <f t="shared" si="336"/>
        <v>297.22099999999966</v>
      </c>
      <c r="Z55" s="1250">
        <f t="shared" si="336"/>
        <v>298.81400000000133</v>
      </c>
      <c r="AA55" s="1250">
        <f t="shared" si="336"/>
        <v>92.592999999999847</v>
      </c>
      <c r="AB55" s="1250">
        <f t="shared" si="336"/>
        <v>120.26199999999994</v>
      </c>
      <c r="AC55" s="1250">
        <f t="shared" si="336"/>
        <v>469.53699999999924</v>
      </c>
      <c r="AD55" s="1250">
        <f t="shared" si="336"/>
        <v>34.092000000000269</v>
      </c>
      <c r="AE55" s="1250">
        <f t="shared" si="336"/>
        <v>210.31999999999888</v>
      </c>
      <c r="AF55" s="1250">
        <f t="shared" si="336"/>
        <v>164.80799999999996</v>
      </c>
      <c r="AG55" s="1250">
        <f t="shared" si="336"/>
        <v>587.25200000000029</v>
      </c>
      <c r="AH55" s="1250">
        <f t="shared" si="336"/>
        <v>172.08199999999974</v>
      </c>
      <c r="AI55" s="1250">
        <f t="shared" si="336"/>
        <v>59.435000000000365</v>
      </c>
      <c r="AJ55" s="1250">
        <f t="shared" si="336"/>
        <v>206.30399999999892</v>
      </c>
      <c r="AK55" s="1250">
        <f t="shared" si="336"/>
        <v>651.64800000000059</v>
      </c>
      <c r="AL55" s="1250">
        <f t="shared" si="336"/>
        <v>198.39900000000003</v>
      </c>
      <c r="AM55" s="1250">
        <f t="shared" si="336"/>
        <v>204.69599999999988</v>
      </c>
      <c r="AN55" s="1251">
        <f t="shared" si="336"/>
        <v>299.92100000000045</v>
      </c>
      <c r="AO55" s="1251">
        <f t="shared" si="336"/>
        <v>250.23699999999874</v>
      </c>
      <c r="AP55" s="1251">
        <f t="shared" si="336"/>
        <v>88.110999999999876</v>
      </c>
      <c r="AQ55" s="1251">
        <f t="shared" si="336"/>
        <v>127.41300000000138</v>
      </c>
      <c r="AR55" s="1251">
        <f t="shared" ref="AR55:AS55" si="337">+AR51+AR52</f>
        <v>159.40299999999874</v>
      </c>
      <c r="AS55" s="1713">
        <f t="shared" si="337"/>
        <v>389.486999999999</v>
      </c>
      <c r="AT55" s="1713">
        <f t="shared" ref="AT55:BC55" si="338">+AT51+AT52</f>
        <v>-328.43800000000056</v>
      </c>
      <c r="AU55" s="1713">
        <f t="shared" si="338"/>
        <v>-2263.9620000000009</v>
      </c>
      <c r="AV55" s="1713">
        <f t="shared" si="338"/>
        <v>-919.46100000000069</v>
      </c>
      <c r="AW55" s="1713">
        <f t="shared" si="338"/>
        <v>-196.35300000000021</v>
      </c>
      <c r="AX55" s="1713">
        <f t="shared" si="338"/>
        <v>-352.40199999999982</v>
      </c>
      <c r="AY55" s="1713">
        <f t="shared" si="338"/>
        <v>104.16499999999971</v>
      </c>
      <c r="AZ55" s="1713">
        <f t="shared" si="338"/>
        <v>162.20399999999944</v>
      </c>
      <c r="BA55" s="1713">
        <f t="shared" si="338"/>
        <v>573.92000000000053</v>
      </c>
      <c r="BB55" s="1713">
        <f t="shared" si="338"/>
        <v>386.30199999999974</v>
      </c>
      <c r="BC55" s="1713">
        <f t="shared" si="338"/>
        <v>201.23399999999978</v>
      </c>
      <c r="BD55" s="1713">
        <f t="shared" ref="BD55:BG55" si="339">+BD51+BD52</f>
        <v>292.32899999999842</v>
      </c>
      <c r="BE55" s="1713">
        <f t="shared" si="339"/>
        <v>782.01499999999976</v>
      </c>
      <c r="BF55" s="1713">
        <f t="shared" si="339"/>
        <v>507.41400000000033</v>
      </c>
      <c r="BG55" s="1713">
        <f t="shared" si="339"/>
        <v>442.04999999999933</v>
      </c>
      <c r="BH55" s="1713">
        <f t="shared" ref="BH55" si="340">+BH51+BH52</f>
        <v>493.38399999999785</v>
      </c>
      <c r="BI55" s="1713">
        <f t="shared" ref="BI55:BJ55" si="341">+BI51+BI52</f>
        <v>1347.0479999999993</v>
      </c>
      <c r="BJ55" s="1713">
        <f t="shared" si="341"/>
        <v>412.63000000000073</v>
      </c>
      <c r="BK55" s="1313">
        <f t="shared" ref="BK55" si="342">+BK51+BK52</f>
        <v>170.74200000000164</v>
      </c>
      <c r="BL55" s="1252">
        <f t="shared" ref="BL55" si="343">+BL51-BL52</f>
        <v>305.979442247858</v>
      </c>
      <c r="BM55" s="1252">
        <f>+BM51-BM52</f>
        <v>755.15054519544333</v>
      </c>
      <c r="BN55" s="1252">
        <f t="shared" ref="BN55:CW55" si="344">+BN51-BN52</f>
        <v>406.22825000768034</v>
      </c>
      <c r="BO55" s="1252">
        <f t="shared" si="344"/>
        <v>505.04103605578359</v>
      </c>
      <c r="BP55" s="1252">
        <f t="shared" si="344"/>
        <v>698.42312775256391</v>
      </c>
      <c r="BQ55" s="1252">
        <f t="shared" si="344"/>
        <v>753.96877078573277</v>
      </c>
      <c r="BR55" s="1252">
        <f t="shared" si="344"/>
        <v>214.59109510833594</v>
      </c>
      <c r="BS55" s="1252">
        <f t="shared" si="344"/>
        <v>772.65629372806154</v>
      </c>
      <c r="BT55" s="1252">
        <f t="shared" si="344"/>
        <v>851.38058549894913</v>
      </c>
      <c r="BU55" s="1252">
        <f t="shared" si="344"/>
        <v>1202.4999183068094</v>
      </c>
      <c r="BV55" s="1252">
        <f t="shared" si="344"/>
        <v>827.03941575063607</v>
      </c>
      <c r="BW55" s="1252">
        <f t="shared" si="344"/>
        <v>983.8271010441091</v>
      </c>
      <c r="BX55" s="1252">
        <f t="shared" si="344"/>
        <v>952.01246126746969</v>
      </c>
      <c r="BY55" s="1252">
        <f t="shared" si="344"/>
        <v>1209.5047064185433</v>
      </c>
      <c r="BZ55" s="1252">
        <f t="shared" si="344"/>
        <v>840.2470484611531</v>
      </c>
      <c r="CA55" s="1252">
        <f t="shared" si="344"/>
        <v>1021.7869533576696</v>
      </c>
      <c r="CB55" s="1252">
        <f t="shared" si="344"/>
        <v>958.11950536618792</v>
      </c>
      <c r="CC55" s="1252">
        <f t="shared" si="344"/>
        <v>1159.974094566071</v>
      </c>
      <c r="CD55" s="1252">
        <f t="shared" si="344"/>
        <v>867.7251827760216</v>
      </c>
      <c r="CE55" s="1252">
        <f t="shared" si="344"/>
        <v>1047.0373132664222</v>
      </c>
      <c r="CF55" s="1252">
        <f t="shared" si="344"/>
        <v>991.92829572077153</v>
      </c>
      <c r="CG55" s="1252">
        <f t="shared" si="344"/>
        <v>1214.9321642712132</v>
      </c>
      <c r="CH55" s="1252">
        <f t="shared" si="344"/>
        <v>893.74953651460191</v>
      </c>
      <c r="CI55" s="1252">
        <f t="shared" si="344"/>
        <v>1073.4406619572767</v>
      </c>
      <c r="CJ55" s="1252">
        <f t="shared" si="344"/>
        <v>1028.2301127872811</v>
      </c>
      <c r="CK55" s="1252">
        <f t="shared" si="344"/>
        <v>1273.1571302687516</v>
      </c>
      <c r="CL55" s="1252">
        <f t="shared" si="344"/>
        <v>925.81839909072437</v>
      </c>
      <c r="CM55" s="1252">
        <f t="shared" si="344"/>
        <v>1103.5117948556613</v>
      </c>
      <c r="CN55" s="1252">
        <f t="shared" si="344"/>
        <v>1068.3049993252087</v>
      </c>
      <c r="CO55" s="1252">
        <f t="shared" si="344"/>
        <v>1336.31833470534</v>
      </c>
      <c r="CP55" s="1252">
        <f t="shared" si="344"/>
        <v>959.6304227551326</v>
      </c>
      <c r="CQ55" s="1252">
        <f t="shared" si="344"/>
        <v>1135.0233597026343</v>
      </c>
      <c r="CR55" s="1252">
        <f t="shared" si="344"/>
        <v>1110.7094739664346</v>
      </c>
      <c r="CS55" s="1252">
        <f t="shared" si="344"/>
        <v>1401.0935105192439</v>
      </c>
      <c r="CT55" s="1252">
        <f t="shared" si="344"/>
        <v>994.57873974749373</v>
      </c>
      <c r="CU55" s="1252">
        <f t="shared" si="344"/>
        <v>1169.3167196646837</v>
      </c>
      <c r="CV55" s="1252">
        <f t="shared" si="344"/>
        <v>1153.3661907073961</v>
      </c>
      <c r="CW55" s="1252">
        <f t="shared" si="344"/>
        <v>1467.7044898146255</v>
      </c>
    </row>
    <row r="56" spans="1:101" s="1209" customFormat="1">
      <c r="A56" s="1253" t="s">
        <v>1224</v>
      </c>
      <c r="B56" s="1218"/>
      <c r="C56" s="1218"/>
      <c r="D56" s="1218"/>
      <c r="E56" s="1218"/>
      <c r="F56" s="1218">
        <f t="shared" ref="F56:AK56" si="345">F55/B55-1</f>
        <v>-0.98480404609593575</v>
      </c>
      <c r="G56" s="1218">
        <f t="shared" si="345"/>
        <v>-3.3553105686400762</v>
      </c>
      <c r="H56" s="1218">
        <f t="shared" si="345"/>
        <v>-0.74485852204820946</v>
      </c>
      <c r="I56" s="1218">
        <f t="shared" si="345"/>
        <v>-0.70495226011611867</v>
      </c>
      <c r="J56" s="1218">
        <f t="shared" si="345"/>
        <v>-21.185410334350166</v>
      </c>
      <c r="K56" s="1218">
        <f t="shared" si="345"/>
        <v>-0.49281690711622339</v>
      </c>
      <c r="L56" s="1218">
        <f t="shared" si="345"/>
        <v>3.9993308188344328</v>
      </c>
      <c r="M56" s="1218">
        <f t="shared" si="345"/>
        <v>0.74519623319362771</v>
      </c>
      <c r="N56" s="1218">
        <f t="shared" si="345"/>
        <v>0.2832404758319329</v>
      </c>
      <c r="O56" s="1218">
        <f t="shared" si="345"/>
        <v>1.6538622880086087</v>
      </c>
      <c r="P56" s="1218">
        <f t="shared" si="345"/>
        <v>2.5274096788714395E-2</v>
      </c>
      <c r="Q56" s="1218">
        <f t="shared" si="345"/>
        <v>1.0649699011259792</v>
      </c>
      <c r="R56" s="1218">
        <f t="shared" si="345"/>
        <v>2.8224008448721398</v>
      </c>
      <c r="S56" s="1218">
        <f t="shared" si="345"/>
        <v>0.18507395280569328</v>
      </c>
      <c r="T56" s="1218">
        <f t="shared" si="345"/>
        <v>1.1817199962020513</v>
      </c>
      <c r="U56" s="1218">
        <f t="shared" si="345"/>
        <v>1.0738463862246088</v>
      </c>
      <c r="V56" s="1218">
        <f t="shared" si="345"/>
        <v>0.3313327909868149</v>
      </c>
      <c r="W56" s="1218">
        <f t="shared" si="345"/>
        <v>-0.44003226564534537</v>
      </c>
      <c r="X56" s="1218">
        <f t="shared" si="345"/>
        <v>5.8338728015540298E-2</v>
      </c>
      <c r="Y56" s="1218">
        <f t="shared" si="345"/>
        <v>8.2385887734067076E-2</v>
      </c>
      <c r="Z56" s="1218">
        <f t="shared" si="345"/>
        <v>2.4451374877500522</v>
      </c>
      <c r="AA56" s="1219">
        <f t="shared" si="345"/>
        <v>5.0247836393951362E-2</v>
      </c>
      <c r="AB56" s="1219">
        <f t="shared" si="345"/>
        <v>-0.38183575177206708</v>
      </c>
      <c r="AC56" s="1219">
        <f t="shared" si="345"/>
        <v>0.57975715040323461</v>
      </c>
      <c r="AD56" s="1219">
        <f t="shared" si="345"/>
        <v>-0.88590896008888431</v>
      </c>
      <c r="AE56" s="1219">
        <f t="shared" si="345"/>
        <v>1.2714460056375669</v>
      </c>
      <c r="AF56" s="1219">
        <f t="shared" si="345"/>
        <v>0.37040794265852917</v>
      </c>
      <c r="AG56" s="1219">
        <f t="shared" si="345"/>
        <v>0.25070441733026638</v>
      </c>
      <c r="AH56" s="1219">
        <f t="shared" si="345"/>
        <v>4.0475771441980051</v>
      </c>
      <c r="AI56" s="1219">
        <f t="shared" si="345"/>
        <v>-0.71740680867249584</v>
      </c>
      <c r="AJ56" s="1219">
        <f t="shared" si="345"/>
        <v>0.25178389398572265</v>
      </c>
      <c r="AK56" s="1219">
        <f t="shared" si="345"/>
        <v>0.10965650180842346</v>
      </c>
      <c r="AL56" s="1219">
        <f t="shared" ref="AL56:AZ56" si="346">AL55/AH55-1</f>
        <v>0.15293290408061466</v>
      </c>
      <c r="AM56" s="1219">
        <f t="shared" si="346"/>
        <v>2.4440312946916567</v>
      </c>
      <c r="AN56" s="1219">
        <f t="shared" si="346"/>
        <v>0.45378179773539062</v>
      </c>
      <c r="AO56" s="1219">
        <f t="shared" si="346"/>
        <v>-0.61599360390886104</v>
      </c>
      <c r="AP56" s="1219">
        <f t="shared" si="346"/>
        <v>-0.55588989863860272</v>
      </c>
      <c r="AQ56" s="1219">
        <f t="shared" si="346"/>
        <v>-0.37755012310938441</v>
      </c>
      <c r="AR56" s="1561">
        <f t="shared" si="346"/>
        <v>-0.468516709400147</v>
      </c>
      <c r="AS56" s="1561">
        <f t="shared" si="346"/>
        <v>0.55647246410403328</v>
      </c>
      <c r="AT56" s="1561">
        <f t="shared" si="346"/>
        <v>-4.7275482062398684</v>
      </c>
      <c r="AU56" s="1561">
        <f t="shared" si="346"/>
        <v>-18.768689223234492</v>
      </c>
      <c r="AV56" s="1561">
        <f t="shared" si="346"/>
        <v>-6.7681536733939005</v>
      </c>
      <c r="AW56" s="1561">
        <f t="shared" si="346"/>
        <v>-1.5041323587180078</v>
      </c>
      <c r="AX56" s="1561">
        <f t="shared" si="346"/>
        <v>7.2963542586421903E-2</v>
      </c>
      <c r="AY56" s="1561">
        <f t="shared" si="346"/>
        <v>-1.0460100478718282</v>
      </c>
      <c r="AZ56" s="1561">
        <f t="shared" si="346"/>
        <v>-1.1764120501032662</v>
      </c>
      <c r="BA56" s="1561">
        <f t="shared" ref="BA56:BI56" si="347">BA55/AW55-1</f>
        <v>-3.9228990644400641</v>
      </c>
      <c r="BB56" s="1561">
        <f t="shared" si="347"/>
        <v>-2.0961969568844667</v>
      </c>
      <c r="BC56" s="1561">
        <f t="shared" si="347"/>
        <v>0.93187731003696395</v>
      </c>
      <c r="BD56" s="1561">
        <f t="shared" si="347"/>
        <v>0.80223052452466903</v>
      </c>
      <c r="BE56" s="1561">
        <f t="shared" si="347"/>
        <v>0.36258537775299526</v>
      </c>
      <c r="BF56" s="1561">
        <f t="shared" si="347"/>
        <v>0.31351636802294758</v>
      </c>
      <c r="BG56" s="1561">
        <f t="shared" si="347"/>
        <v>1.1966963833149458</v>
      </c>
      <c r="BH56" s="1561">
        <f t="shared" si="347"/>
        <v>0.68776960205795712</v>
      </c>
      <c r="BI56" s="1561">
        <f t="shared" si="347"/>
        <v>0.72253473398847823</v>
      </c>
      <c r="BJ56" s="1561">
        <f t="shared" ref="BJ56" si="348">BJ55/BF55-1</f>
        <v>-0.18679815692905499</v>
      </c>
      <c r="BK56" s="1562">
        <f t="shared" ref="BK56" si="349">BK55/BG55-1</f>
        <v>-0.61374957583983281</v>
      </c>
      <c r="BL56" s="1561">
        <f t="shared" ref="BL56" si="350">BL55/BH55-1</f>
        <v>-0.37983509346095667</v>
      </c>
      <c r="BM56" s="1561">
        <f t="shared" ref="BM56" si="351">BM55/BI55-1</f>
        <v>-0.43940338785593114</v>
      </c>
      <c r="BN56" s="1561">
        <f t="shared" ref="BN56" si="352">BN55/BJ55-1</f>
        <v>-1.5514504501176307E-2</v>
      </c>
      <c r="BO56" s="1561">
        <f t="shared" ref="BO56" si="353">BO55/BK55-1</f>
        <v>1.9579191766277702</v>
      </c>
      <c r="BP56" s="1561">
        <f t="shared" ref="BP56" si="354">BP55/BL55-1</f>
        <v>1.2825818709310797</v>
      </c>
      <c r="BQ56" s="1561">
        <f t="shared" ref="BQ56" si="355">BQ55/BM55-1</f>
        <v>-1.5649520711193965E-3</v>
      </c>
      <c r="BR56" s="1561">
        <f t="shared" ref="BR56" si="356">BR55/BN55-1</f>
        <v>-0.47174748407015321</v>
      </c>
      <c r="BS56" s="1561">
        <f t="shared" ref="BS56" si="357">BS55/BO55-1</f>
        <v>0.52988814485704272</v>
      </c>
      <c r="BT56" s="1561">
        <f t="shared" ref="BT56" si="358">BT55/BP55-1</f>
        <v>0.21900399867710951</v>
      </c>
      <c r="BU56" s="1561">
        <f t="shared" ref="BU56" si="359">BU55/BQ55-1</f>
        <v>0.59489353525033839</v>
      </c>
      <c r="BV56" s="1561">
        <f t="shared" ref="BV56" si="360">BV55/BR55-1</f>
        <v>2.8540248621831519</v>
      </c>
      <c r="BW56" s="1561">
        <f t="shared" ref="BW56" si="361">BW55/BS55-1</f>
        <v>0.27330497276758048</v>
      </c>
      <c r="BX56" s="1561">
        <f t="shared" ref="BX56" si="362">BX55/BT55-1</f>
        <v>0.11819846198342132</v>
      </c>
      <c r="BY56" s="1561">
        <f t="shared" ref="BY56" si="363">BY55/BU55-1</f>
        <v>5.8251880146462653E-3</v>
      </c>
      <c r="BZ56" s="1561">
        <f t="shared" ref="BZ56" si="364">BZ55/BV55-1</f>
        <v>1.5969774183651975E-2</v>
      </c>
      <c r="CA56" s="1561">
        <f t="shared" ref="CA56" si="365">CA55/BW55-1</f>
        <v>3.8583865267865392E-2</v>
      </c>
      <c r="CB56" s="1561">
        <f t="shared" ref="CB56" si="366">CB55/BX55-1</f>
        <v>6.4148783205921767E-3</v>
      </c>
      <c r="CC56" s="1561">
        <f t="shared" ref="CC56" si="367">CC55/BY55-1</f>
        <v>-4.0951152640932742E-2</v>
      </c>
      <c r="CD56" s="1561">
        <f t="shared" ref="CD56" si="368">CD55/BZ55-1</f>
        <v>3.270244669730471E-2</v>
      </c>
      <c r="CE56" s="1561">
        <f t="shared" ref="CE56" si="369">CE55/CA55-1</f>
        <v>2.471196155497779E-2</v>
      </c>
      <c r="CF56" s="1561">
        <f t="shared" ref="CF56" si="370">CF55/CB55-1</f>
        <v>3.5286611080589614E-2</v>
      </c>
      <c r="CG56" s="1561">
        <f t="shared" ref="CG56" si="371">CG55/CC55-1</f>
        <v>4.7378704371584313E-2</v>
      </c>
      <c r="CH56" s="1561">
        <f t="shared" ref="CH56" si="372">CH55/CD55-1</f>
        <v>2.9991469943655868E-2</v>
      </c>
      <c r="CI56" s="1561">
        <f t="shared" ref="CI56" si="373">CI55/CE55-1</f>
        <v>2.5217199383739786E-2</v>
      </c>
      <c r="CJ56" s="1561">
        <f t="shared" ref="CJ56" si="374">CJ55/CF55-1</f>
        <v>3.659721899568491E-2</v>
      </c>
      <c r="CK56" s="1561">
        <f t="shared" ref="CK56" si="375">CK55/CG55-1</f>
        <v>4.792445842642179E-2</v>
      </c>
      <c r="CL56" s="1561">
        <f t="shared" ref="CL56" si="376">CL55/CH55-1</f>
        <v>3.5881263447903988E-2</v>
      </c>
      <c r="CM56" s="1561">
        <f t="shared" ref="CM56" si="377">CM55/CI55-1</f>
        <v>2.8013782190394965E-2</v>
      </c>
      <c r="CN56" s="1561">
        <f t="shared" ref="CN56" si="378">CN55/CJ55-1</f>
        <v>3.8974628382837606E-2</v>
      </c>
      <c r="CO56" s="1561">
        <f t="shared" ref="CO56" si="379">CO55/CK55-1</f>
        <v>4.9609905120867159E-2</v>
      </c>
      <c r="CP56" s="1561">
        <f t="shared" ref="CP56" si="380">CP55/CL55-1</f>
        <v>3.6521226730443113E-2</v>
      </c>
      <c r="CQ56" s="1561">
        <f t="shared" ref="CQ56" si="381">CQ55/CM55-1</f>
        <v>2.8555711859060473E-2</v>
      </c>
      <c r="CR56" s="1561">
        <f t="shared" ref="CR56" si="382">CR55/CN55-1</f>
        <v>3.9693228682829984E-2</v>
      </c>
      <c r="CS56" s="1561">
        <f t="shared" ref="CS56" si="383">CS55/CO55-1</f>
        <v>4.8472863188086635E-2</v>
      </c>
      <c r="CT56" s="1561">
        <f t="shared" ref="CT56" si="384">CT55/CP55-1</f>
        <v>3.6418517132901229E-2</v>
      </c>
      <c r="CU56" s="1561">
        <f t="shared" ref="CU56" si="385">CU55/CQ55-1</f>
        <v>3.0213792226297498E-2</v>
      </c>
      <c r="CV56" s="1561">
        <f t="shared" ref="CV56" si="386">CV55/CR55-1</f>
        <v>3.8404927427719615E-2</v>
      </c>
      <c r="CW56" s="1561">
        <f t="shared" ref="CW56" si="387">CW55/CS55-1</f>
        <v>4.7542136763373932E-2</v>
      </c>
    </row>
    <row r="57" spans="1:101" s="1209" customFormat="1">
      <c r="A57" s="1220" t="s">
        <v>1223</v>
      </c>
      <c r="B57" s="1221">
        <f t="shared" ref="B57:AG57" si="388">B55/B$5</f>
        <v>-2.0776804217449915E-2</v>
      </c>
      <c r="C57" s="1221">
        <f t="shared" si="388"/>
        <v>-2.0218331151823053E-2</v>
      </c>
      <c r="D57" s="1221">
        <f t="shared" si="388"/>
        <v>3.0395929784633059E-2</v>
      </c>
      <c r="E57" s="1221">
        <f t="shared" si="388"/>
        <v>5.3893213286928102E-2</v>
      </c>
      <c r="F57" s="1221">
        <f t="shared" si="388"/>
        <v>-3.139585593786695E-4</v>
      </c>
      <c r="G57" s="1221">
        <f t="shared" si="388"/>
        <v>4.5554991461669816E-2</v>
      </c>
      <c r="H57" s="1221">
        <f t="shared" si="388"/>
        <v>7.2257327164631539E-3</v>
      </c>
      <c r="I57" s="1221">
        <f t="shared" si="388"/>
        <v>1.5033570008473747E-2</v>
      </c>
      <c r="J57" s="1221">
        <f t="shared" si="388"/>
        <v>5.5416848858284729E-3</v>
      </c>
      <c r="K57" s="1221">
        <f t="shared" si="388"/>
        <v>1.9290229304841294E-2</v>
      </c>
      <c r="L57" s="1221">
        <f t="shared" si="388"/>
        <v>2.9680581339073565E-2</v>
      </c>
      <c r="M57" s="1221">
        <f t="shared" si="388"/>
        <v>2.1841168023238367E-2</v>
      </c>
      <c r="N57" s="1221">
        <f t="shared" si="388"/>
        <v>5.7541268743787526E-3</v>
      </c>
      <c r="O57" s="1221">
        <f t="shared" si="388"/>
        <v>3.8772053420246311E-2</v>
      </c>
      <c r="P57" s="1221">
        <f t="shared" si="388"/>
        <v>2.4056289707896035E-2</v>
      </c>
      <c r="Q57" s="1221">
        <f t="shared" si="388"/>
        <v>3.649219624814691E-2</v>
      </c>
      <c r="R57" s="1221">
        <f t="shared" si="388"/>
        <v>1.9168540396958204E-2</v>
      </c>
      <c r="S57" s="1221">
        <f t="shared" si="388"/>
        <v>4.120868119290369E-2</v>
      </c>
      <c r="T57" s="1221">
        <f t="shared" si="388"/>
        <v>4.5028820473350897E-2</v>
      </c>
      <c r="U57" s="1221">
        <f t="shared" si="388"/>
        <v>6.2253695404913885E-2</v>
      </c>
      <c r="V57" s="1221">
        <f t="shared" si="388"/>
        <v>2.1727008473871517E-2</v>
      </c>
      <c r="W57" s="1221">
        <f t="shared" si="388"/>
        <v>1.6943585698839532E-2</v>
      </c>
      <c r="X57" s="1221">
        <f t="shared" si="388"/>
        <v>3.4122976860388732E-2</v>
      </c>
      <c r="Y57" s="1221">
        <f t="shared" si="388"/>
        <v>3.7606041036780419E-2</v>
      </c>
      <c r="Z57" s="1221">
        <f t="shared" si="388"/>
        <v>4.0686884432059395E-2</v>
      </c>
      <c r="AA57" s="1222">
        <f t="shared" si="388"/>
        <v>1.1929102278785367E-2</v>
      </c>
      <c r="AB57" s="1222">
        <f t="shared" si="388"/>
        <v>1.4622632676967262E-2</v>
      </c>
      <c r="AC57" s="1222">
        <f t="shared" si="388"/>
        <v>5.2416401033018423E-2</v>
      </c>
      <c r="AD57" s="1222">
        <f t="shared" si="388"/>
        <v>3.994488421467067E-3</v>
      </c>
      <c r="AE57" s="1222">
        <f t="shared" si="388"/>
        <v>2.3199870101906345E-2</v>
      </c>
      <c r="AF57" s="1222">
        <f t="shared" si="388"/>
        <v>1.7163952783091491E-2</v>
      </c>
      <c r="AG57" s="1222">
        <f t="shared" si="388"/>
        <v>5.5931132319417376E-2</v>
      </c>
      <c r="AH57" s="1222">
        <f t="shared" ref="AH57:AQ57" si="389">AH55/AH$5</f>
        <v>1.7049232951955939E-2</v>
      </c>
      <c r="AI57" s="1222">
        <f t="shared" si="389"/>
        <v>5.7456191526954591E-3</v>
      </c>
      <c r="AJ57" s="1222">
        <f t="shared" si="389"/>
        <v>1.969422703996437E-2</v>
      </c>
      <c r="AK57" s="1222">
        <f t="shared" si="389"/>
        <v>5.6098574705297617E-2</v>
      </c>
      <c r="AL57" s="1222">
        <f t="shared" si="389"/>
        <v>1.7906265103410559E-2</v>
      </c>
      <c r="AM57" s="1222">
        <f t="shared" si="389"/>
        <v>1.8073891255032434E-2</v>
      </c>
      <c r="AN57" s="1222">
        <f t="shared" si="389"/>
        <v>2.6365763442433163E-2</v>
      </c>
      <c r="AO57" s="1222">
        <f t="shared" si="389"/>
        <v>2.0219828630372895E-2</v>
      </c>
      <c r="AP57" s="1222">
        <f t="shared" si="389"/>
        <v>6.4358813514802929E-3</v>
      </c>
      <c r="AQ57" s="1222">
        <f t="shared" si="389"/>
        <v>8.73856703631707E-3</v>
      </c>
      <c r="AR57" s="1563">
        <f t="shared" ref="AR57:BC57" si="390">AR55/AR$5</f>
        <v>1.1000519857945435E-2</v>
      </c>
      <c r="AS57" s="1563">
        <f t="shared" si="390"/>
        <v>2.530286986998042E-2</v>
      </c>
      <c r="AT57" s="1563">
        <f t="shared" si="390"/>
        <v>-2.7132222891362273E-2</v>
      </c>
      <c r="AU57" s="1563">
        <f t="shared" si="390"/>
        <v>-0.43556351109330027</v>
      </c>
      <c r="AV57" s="1563">
        <f t="shared" si="390"/>
        <v>-9.2916914506143158E-2</v>
      </c>
      <c r="AW57" s="1563">
        <f t="shared" si="390"/>
        <v>-1.7380933792002416E-2</v>
      </c>
      <c r="AX57" s="1563">
        <f t="shared" si="390"/>
        <v>-3.4509583797587735E-2</v>
      </c>
      <c r="AY57" s="1563">
        <f t="shared" si="390"/>
        <v>8.3483151254334816E-3</v>
      </c>
      <c r="AZ57" s="1563">
        <f t="shared" si="390"/>
        <v>1.1620633638468898E-2</v>
      </c>
      <c r="BA57" s="1563">
        <f t="shared" si="390"/>
        <v>3.4300511495500417E-2</v>
      </c>
      <c r="BB57" s="1563">
        <f t="shared" si="390"/>
        <v>2.536758677485472E-2</v>
      </c>
      <c r="BC57" s="1563">
        <f t="shared" si="390"/>
        <v>1.1879832303055964E-2</v>
      </c>
      <c r="BD57" s="1563">
        <f t="shared" ref="BD57:BG57" si="391">BD55/BD$5</f>
        <v>1.6687182501191816E-2</v>
      </c>
      <c r="BE57" s="1563">
        <f t="shared" si="391"/>
        <v>4.0845190920967202E-2</v>
      </c>
      <c r="BF57" s="1563">
        <f t="shared" si="391"/>
        <v>2.8723204986491595E-2</v>
      </c>
      <c r="BG57" s="1563">
        <f t="shared" si="391"/>
        <v>2.3328735312871E-2</v>
      </c>
      <c r="BH57" s="1563">
        <f t="shared" ref="BH57" si="392">BH55/BH$5</f>
        <v>2.5340763166915265E-2</v>
      </c>
      <c r="BI57" s="1563">
        <f t="shared" ref="BI57:BJ57" si="393">BI55/BI$5</f>
        <v>6.6861990699912846E-2</v>
      </c>
      <c r="BJ57" s="1563">
        <f t="shared" si="393"/>
        <v>2.2668455692708887E-2</v>
      </c>
      <c r="BK57" s="1564">
        <f t="shared" ref="BK57" si="394">BK55/BK$5</f>
        <v>8.8678527276430767E-3</v>
      </c>
      <c r="BL57" s="1563">
        <f t="shared" ref="BL57:CW57" si="395">BL55/BL$5</f>
        <v>1.5216823457384607E-2</v>
      </c>
      <c r="BM57" s="1563">
        <f t="shared" si="395"/>
        <v>3.5986636598261373E-2</v>
      </c>
      <c r="BN57" s="1563">
        <f t="shared" si="395"/>
        <v>2.0401596412538137E-2</v>
      </c>
      <c r="BO57" s="1563">
        <f t="shared" si="395"/>
        <v>2.3584931820050434E-2</v>
      </c>
      <c r="BP57" s="1563">
        <f t="shared" si="395"/>
        <v>3.1804237960755002E-2</v>
      </c>
      <c r="BQ57" s="1563">
        <f t="shared" si="395"/>
        <v>3.3191655728947674E-2</v>
      </c>
      <c r="BR57" s="1563">
        <f t="shared" si="395"/>
        <v>1.0001099929502181E-2</v>
      </c>
      <c r="BS57" s="1563">
        <f t="shared" si="395"/>
        <v>3.3862523558881218E-2</v>
      </c>
      <c r="BT57" s="1563">
        <f t="shared" si="395"/>
        <v>3.639110940320215E-2</v>
      </c>
      <c r="BU57" s="1563">
        <f t="shared" si="395"/>
        <v>4.9705403475418804E-2</v>
      </c>
      <c r="BV57" s="1563">
        <f t="shared" si="395"/>
        <v>3.6368252262064707E-2</v>
      </c>
      <c r="BW57" s="1563">
        <f t="shared" si="395"/>
        <v>4.0749389154756531E-2</v>
      </c>
      <c r="BX57" s="1563">
        <f t="shared" si="395"/>
        <v>3.8443421264264727E-2</v>
      </c>
      <c r="BY57" s="1563">
        <f t="shared" si="395"/>
        <v>4.7182553178806305E-2</v>
      </c>
      <c r="BZ57" s="1563">
        <f t="shared" si="395"/>
        <v>3.5095378378614941E-2</v>
      </c>
      <c r="CA57" s="1563">
        <f t="shared" si="395"/>
        <v>4.0240993265974308E-2</v>
      </c>
      <c r="CB57" s="1563">
        <f t="shared" si="395"/>
        <v>3.6761785695896526E-2</v>
      </c>
      <c r="CC57" s="1563">
        <f t="shared" si="395"/>
        <v>4.2940512349712856E-2</v>
      </c>
      <c r="CD57" s="1563">
        <f t="shared" si="395"/>
        <v>3.4432206406003509E-2</v>
      </c>
      <c r="CE57" s="1563">
        <f t="shared" si="395"/>
        <v>3.9216364561104951E-2</v>
      </c>
      <c r="CF57" s="1563">
        <f t="shared" si="395"/>
        <v>3.6170401419908398E-2</v>
      </c>
      <c r="CG57" s="1563">
        <f t="shared" si="395"/>
        <v>4.2690596155066249E-2</v>
      </c>
      <c r="CH57" s="1563">
        <f t="shared" si="395"/>
        <v>3.3709790770950335E-2</v>
      </c>
      <c r="CI57" s="1563">
        <f t="shared" si="395"/>
        <v>3.8272012363804772E-2</v>
      </c>
      <c r="CJ57" s="1563">
        <f t="shared" si="395"/>
        <v>3.5682936769722867E-2</v>
      </c>
      <c r="CK57" s="1563">
        <f t="shared" si="395"/>
        <v>4.2553235749733839E-2</v>
      </c>
      <c r="CL57" s="1563">
        <f t="shared" si="395"/>
        <v>3.3261501776864509E-2</v>
      </c>
      <c r="CM57" s="1563">
        <f t="shared" si="395"/>
        <v>3.7511293019213902E-2</v>
      </c>
      <c r="CN57" s="1563">
        <f t="shared" si="395"/>
        <v>3.5320938365726667E-2</v>
      </c>
      <c r="CO57" s="1563">
        <f t="shared" si="395"/>
        <v>4.2505075317460887E-2</v>
      </c>
      <c r="CP57" s="1563">
        <f t="shared" si="395"/>
        <v>3.2843331052004932E-2</v>
      </c>
      <c r="CQ57" s="1563">
        <f t="shared" si="395"/>
        <v>3.6789015223818271E-2</v>
      </c>
      <c r="CR57" s="1563">
        <f t="shared" si="395"/>
        <v>3.498961942942129E-2</v>
      </c>
      <c r="CS57" s="1563">
        <f t="shared" si="395"/>
        <v>4.2414935583472049E-2</v>
      </c>
      <c r="CT57" s="1563">
        <f t="shared" si="395"/>
        <v>3.242976946659399E-2</v>
      </c>
      <c r="CU57" s="1563">
        <f t="shared" si="395"/>
        <v>3.6142317694905945E-2</v>
      </c>
      <c r="CV57" s="1563">
        <f t="shared" si="395"/>
        <v>3.4623395930308255E-2</v>
      </c>
      <c r="CW57" s="1563">
        <f t="shared" si="395"/>
        <v>4.2317894938219199E-2</v>
      </c>
    </row>
    <row r="58" spans="1:101">
      <c r="A58" s="1216"/>
      <c r="B58" s="344"/>
      <c r="C58" s="344"/>
      <c r="D58" s="344"/>
      <c r="E58" s="344"/>
      <c r="F58" s="344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53"/>
      <c r="AB58" s="353"/>
      <c r="AC58" s="353"/>
      <c r="AD58" s="353"/>
      <c r="AE58" s="353"/>
      <c r="AF58" s="353"/>
      <c r="AG58" s="353"/>
      <c r="AH58" s="353"/>
      <c r="AI58" s="353"/>
      <c r="AJ58" s="353"/>
      <c r="AK58" s="353"/>
      <c r="AL58" s="353"/>
      <c r="AM58" s="353"/>
      <c r="AN58" s="353"/>
      <c r="AO58" s="353"/>
      <c r="AP58" s="1295"/>
      <c r="AQ58" s="1295"/>
      <c r="AR58" s="1295"/>
      <c r="AS58" s="1296"/>
      <c r="AT58" s="1296"/>
      <c r="AU58" s="1296"/>
      <c r="AV58" s="1296"/>
      <c r="AW58" s="1296"/>
      <c r="AX58" s="1296"/>
      <c r="AY58" s="1296"/>
      <c r="AZ58" s="1296"/>
      <c r="BA58" s="1296"/>
      <c r="BB58" s="1296"/>
      <c r="BC58" s="1296"/>
      <c r="BD58" s="1296"/>
      <c r="BE58" s="1296"/>
      <c r="BF58" s="1296"/>
      <c r="BG58" s="1296"/>
      <c r="BH58" s="1296"/>
      <c r="BI58" s="1296"/>
      <c r="BJ58" s="1296"/>
      <c r="BK58" s="1314"/>
      <c r="BL58" s="382"/>
      <c r="BM58" s="382"/>
      <c r="BN58" s="382"/>
      <c r="BO58" s="382"/>
      <c r="BP58" s="382"/>
      <c r="BQ58" s="382"/>
      <c r="BR58" s="382"/>
      <c r="BS58" s="382"/>
      <c r="BT58" s="382"/>
      <c r="BU58" s="382"/>
      <c r="BV58" s="382"/>
      <c r="BW58" s="382"/>
      <c r="BX58" s="382"/>
      <c r="BY58" s="382"/>
      <c r="BZ58" s="382"/>
      <c r="CA58" s="382"/>
      <c r="CB58" s="382"/>
      <c r="CC58" s="382"/>
      <c r="CD58" s="382"/>
      <c r="CE58" s="382"/>
      <c r="CF58" s="382"/>
      <c r="CG58" s="382"/>
      <c r="CH58" s="382"/>
      <c r="CI58" s="382"/>
      <c r="CJ58" s="382"/>
      <c r="CK58" s="382"/>
      <c r="CL58" s="382"/>
      <c r="CM58" s="382"/>
      <c r="CN58" s="382"/>
      <c r="CO58" s="382"/>
      <c r="CP58" s="382"/>
      <c r="CQ58" s="382"/>
      <c r="CR58" s="382"/>
      <c r="CS58" s="382"/>
      <c r="CT58" s="382"/>
      <c r="CU58" s="382"/>
      <c r="CV58" s="382"/>
      <c r="CW58" s="382"/>
    </row>
    <row r="59" spans="1:101">
      <c r="A59" s="13"/>
      <c r="B59" s="907"/>
      <c r="C59" s="907"/>
      <c r="D59" s="907"/>
      <c r="E59" s="907"/>
      <c r="F59" s="907"/>
      <c r="G59" s="907"/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N59" s="262"/>
      <c r="AO59" s="262"/>
      <c r="AP59" s="1296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1173"/>
      <c r="BL59" s="907"/>
      <c r="BM59" s="907"/>
      <c r="BN59" s="907"/>
      <c r="BO59" s="907"/>
      <c r="BP59" s="907"/>
      <c r="BQ59" s="907"/>
      <c r="BR59" s="907"/>
      <c r="BS59" s="907"/>
      <c r="BT59" s="907"/>
      <c r="BU59" s="907"/>
      <c r="BV59" s="907"/>
      <c r="BW59" s="907"/>
      <c r="BX59" s="907"/>
      <c r="BY59" s="907"/>
      <c r="BZ59" s="907"/>
      <c r="CA59" s="907"/>
      <c r="CB59" s="907"/>
      <c r="CC59" s="907"/>
      <c r="CD59" s="907"/>
      <c r="CE59" s="907"/>
      <c r="CF59" s="907"/>
      <c r="CG59" s="907"/>
      <c r="CH59" s="907"/>
      <c r="CI59" s="907"/>
      <c r="CJ59" s="907"/>
      <c r="CK59" s="907"/>
      <c r="CL59" s="907"/>
      <c r="CM59" s="907"/>
      <c r="CN59" s="907"/>
      <c r="CO59" s="907"/>
      <c r="CP59" s="907"/>
      <c r="CQ59" s="907"/>
      <c r="CR59" s="907"/>
      <c r="CS59" s="907"/>
      <c r="CT59" s="907"/>
      <c r="CU59" s="907"/>
      <c r="CV59" s="907"/>
      <c r="CW59" s="907"/>
    </row>
    <row r="60" spans="1:101">
      <c r="A60" s="9" t="s">
        <v>343</v>
      </c>
      <c r="B60" s="327">
        <f>Q_BS!B95</f>
        <v>617.5</v>
      </c>
      <c r="C60" s="327">
        <f>Q_BS!C95</f>
        <v>612.4</v>
      </c>
      <c r="D60" s="327">
        <f>Q_BS!D95</f>
        <v>606.5</v>
      </c>
      <c r="E60" s="327">
        <f>Q_BS!E95</f>
        <v>601.79999999999995</v>
      </c>
      <c r="F60" s="327">
        <f>Q_BS!F95</f>
        <v>608.79999999999995</v>
      </c>
      <c r="G60" s="327">
        <f>Q_BS!G95</f>
        <v>611.70000000000005</v>
      </c>
      <c r="H60" s="327">
        <f>Q_BS!H95</f>
        <v>610.79999999999995</v>
      </c>
      <c r="I60" s="327">
        <f>Q_BS!I95</f>
        <v>605.20000000000005</v>
      </c>
      <c r="J60" s="327">
        <f>Q_BS!J95</f>
        <v>611.70000000000005</v>
      </c>
      <c r="K60" s="327">
        <f>Q_BS!K95</f>
        <v>611.29999999999995</v>
      </c>
      <c r="L60" s="327">
        <f>Q_BS!L95</f>
        <v>607.4</v>
      </c>
      <c r="M60" s="327">
        <f>Q_BS!M95</f>
        <v>606</v>
      </c>
      <c r="N60" s="327">
        <f>Q_BS!N95</f>
        <v>617.79999999999995</v>
      </c>
      <c r="O60" s="327">
        <f>Q_BS!O95</f>
        <v>634.27</v>
      </c>
      <c r="P60" s="327">
        <f>Q_BS!P95</f>
        <v>634.27</v>
      </c>
      <c r="Q60" s="327">
        <f>Q_BS!Q95</f>
        <v>687.8</v>
      </c>
      <c r="R60" s="327">
        <f>Q_BS!R95</f>
        <v>687.8</v>
      </c>
      <c r="S60" s="327">
        <f>Q_BS!S95</f>
        <v>686.5</v>
      </c>
      <c r="T60" s="327">
        <f>Q_BS!T95</f>
        <v>687.8</v>
      </c>
      <c r="U60" s="327">
        <f>Q_BS!U95</f>
        <v>687.8</v>
      </c>
      <c r="V60" s="327">
        <f>Q_BS!V95</f>
        <v>687.8</v>
      </c>
      <c r="W60" s="327">
        <f>Q_BS!W95</f>
        <v>838.6</v>
      </c>
      <c r="X60" s="327">
        <f>Q_BS!X95</f>
        <v>838.6</v>
      </c>
      <c r="Y60" s="327">
        <f>Q_BS!Y95</f>
        <v>837.6</v>
      </c>
      <c r="Z60" s="327">
        <f>Q_BS!Z95</f>
        <v>838.1</v>
      </c>
      <c r="AA60" s="428">
        <f>Q_BS!AA95</f>
        <v>838.5</v>
      </c>
      <c r="AB60" s="428">
        <f>Q_BS!AB95</f>
        <v>837.8</v>
      </c>
      <c r="AC60" s="428">
        <f>Q_BS!AC95</f>
        <v>837.5</v>
      </c>
      <c r="AD60" s="428">
        <f>Q_BS!AD95</f>
        <v>837.4</v>
      </c>
      <c r="AE60" s="428">
        <f>Q_BS!AE95</f>
        <v>837.4</v>
      </c>
      <c r="AF60" s="428">
        <f>Q_BS!AF95</f>
        <v>835.9</v>
      </c>
      <c r="AG60" s="428">
        <f>Q_BS!AG95</f>
        <v>834.3</v>
      </c>
      <c r="AH60" s="428">
        <f>Q_BS!AH95</f>
        <v>833.4</v>
      </c>
      <c r="AI60" s="428">
        <f>Q_BS!AI95</f>
        <v>834.9</v>
      </c>
      <c r="AJ60" s="428">
        <f>Q_BS!AJ95</f>
        <v>834.1</v>
      </c>
      <c r="AK60" s="428">
        <f>Q_BS!AK95</f>
        <v>832.8</v>
      </c>
      <c r="AL60" s="428">
        <f>Q_BS!AL95</f>
        <v>837.8</v>
      </c>
      <c r="AM60" s="428">
        <f>Q_BS!AM95</f>
        <v>838.5</v>
      </c>
      <c r="AN60" s="428">
        <f>Q_BS!AN95</f>
        <v>838.5</v>
      </c>
      <c r="AO60" s="428">
        <f>Q_BS!AO95</f>
        <v>835.6</v>
      </c>
      <c r="AP60" s="428">
        <f>Q_BS!AP95</f>
        <v>835.6</v>
      </c>
      <c r="AQ60" s="428">
        <f>Q_BS!AQ95</f>
        <v>831.3</v>
      </c>
      <c r="AR60" s="428">
        <f>Q_BS!AR95</f>
        <v>830.7</v>
      </c>
      <c r="AS60" s="428">
        <f>Q_BS!AS95</f>
        <v>838.5</v>
      </c>
      <c r="AT60" s="428">
        <f>Q_BS!AT95</f>
        <v>834.1</v>
      </c>
      <c r="AU60" s="428">
        <f>Q_BS!AU95</f>
        <v>832.9</v>
      </c>
      <c r="AV60" s="428">
        <f>Q_BS!AV95</f>
        <v>832.9</v>
      </c>
      <c r="AW60" s="428">
        <f>Q_BS!AW95</f>
        <v>838.5</v>
      </c>
      <c r="AX60" s="428">
        <f>Q_BS!AX95</f>
        <v>838.6</v>
      </c>
      <c r="AY60" s="428">
        <f>Q_BS!AY95</f>
        <v>838.6</v>
      </c>
      <c r="AZ60" s="428">
        <f>Q_BS!AZ95</f>
        <v>838.6</v>
      </c>
      <c r="BA60" s="428">
        <f>Q_BS!BA95</f>
        <v>838.6</v>
      </c>
      <c r="BB60" s="428">
        <f>Q_BS!BB95</f>
        <v>838.2</v>
      </c>
      <c r="BC60" s="428">
        <f>Q_BS!BC95</f>
        <v>830.7</v>
      </c>
      <c r="BD60" s="428">
        <f>Q_BS!BD95</f>
        <v>820.9</v>
      </c>
      <c r="BE60" s="428">
        <f>Q_BS!BE95</f>
        <v>820</v>
      </c>
      <c r="BF60" s="428">
        <f>Q_BS!BF95</f>
        <v>815.1</v>
      </c>
      <c r="BG60" s="428">
        <f>Q_BS!BG95</f>
        <v>815.1</v>
      </c>
      <c r="BH60" s="428">
        <f>Q_BS!BH95</f>
        <v>812.6</v>
      </c>
      <c r="BI60" s="428">
        <f>Q_BS!BI95</f>
        <v>809.7</v>
      </c>
      <c r="BJ60" s="428">
        <f>Q_BS!BJ95</f>
        <v>815.1</v>
      </c>
      <c r="BK60" s="1315">
        <f>Q_BS!BK95</f>
        <v>815</v>
      </c>
      <c r="BL60" s="383">
        <f>Q_BS!BL95</f>
        <v>815</v>
      </c>
      <c r="BM60" s="383">
        <f>Q_BS!BM95</f>
        <v>815</v>
      </c>
      <c r="BN60" s="383">
        <f>Q_BS!BN95</f>
        <v>815</v>
      </c>
      <c r="BO60" s="383">
        <f>Q_BS!BO95</f>
        <v>815</v>
      </c>
      <c r="BP60" s="383">
        <f>Q_BS!BP95</f>
        <v>815</v>
      </c>
      <c r="BQ60" s="383">
        <f>Q_BS!BQ95</f>
        <v>815</v>
      </c>
      <c r="BR60" s="383">
        <f>Q_BS!BR95</f>
        <v>815</v>
      </c>
      <c r="BS60" s="383">
        <f>Q_BS!BS95</f>
        <v>815</v>
      </c>
      <c r="BT60" s="383">
        <f>Q_BS!BT95</f>
        <v>815</v>
      </c>
      <c r="BU60" s="383">
        <f>Q_BS!BU95</f>
        <v>815</v>
      </c>
      <c r="BV60" s="383">
        <f>Q_BS!BV95</f>
        <v>815</v>
      </c>
      <c r="BW60" s="383">
        <f>Q_BS!BW95</f>
        <v>815</v>
      </c>
      <c r="BX60" s="383">
        <f>Q_BS!BX95</f>
        <v>815</v>
      </c>
      <c r="BY60" s="383">
        <f>Q_BS!BY95</f>
        <v>815</v>
      </c>
      <c r="BZ60" s="383">
        <f>Q_BS!BZ95</f>
        <v>815</v>
      </c>
      <c r="CA60" s="383">
        <f>Q_BS!CA95</f>
        <v>815</v>
      </c>
      <c r="CB60" s="383">
        <f>Q_BS!CB95</f>
        <v>815</v>
      </c>
      <c r="CC60" s="383">
        <f>Q_BS!CC95</f>
        <v>815</v>
      </c>
      <c r="CD60" s="383">
        <f>Q_BS!CD95</f>
        <v>815</v>
      </c>
      <c r="CE60" s="383">
        <f>Q_BS!CE95</f>
        <v>815</v>
      </c>
      <c r="CF60" s="383">
        <f>Q_BS!CF95</f>
        <v>815</v>
      </c>
      <c r="CG60" s="383">
        <f>Q_BS!CG95</f>
        <v>815</v>
      </c>
      <c r="CH60" s="383">
        <f>Q_BS!CH95</f>
        <v>815</v>
      </c>
      <c r="CI60" s="383">
        <f>Q_BS!CI95</f>
        <v>815</v>
      </c>
      <c r="CJ60" s="383">
        <f>Q_BS!CJ95</f>
        <v>815</v>
      </c>
      <c r="CK60" s="383">
        <f>Q_BS!CK95</f>
        <v>815</v>
      </c>
      <c r="CL60" s="383">
        <f>Q_BS!CL95</f>
        <v>815</v>
      </c>
      <c r="CM60" s="383">
        <f>Q_BS!CM95</f>
        <v>815</v>
      </c>
      <c r="CN60" s="383">
        <f>Q_BS!CN95</f>
        <v>815</v>
      </c>
      <c r="CO60" s="383">
        <f>Q_BS!CO95</f>
        <v>815</v>
      </c>
      <c r="CP60" s="383">
        <f>Q_BS!CP95</f>
        <v>815</v>
      </c>
      <c r="CQ60" s="383">
        <f>Q_BS!CQ95</f>
        <v>815</v>
      </c>
      <c r="CR60" s="383">
        <f>Q_BS!CR95</f>
        <v>815</v>
      </c>
      <c r="CS60" s="383">
        <f>Q_BS!CS95</f>
        <v>815</v>
      </c>
      <c r="CT60" s="383">
        <f>Q_BS!CT95</f>
        <v>815</v>
      </c>
      <c r="CU60" s="383">
        <f>Q_BS!CU95</f>
        <v>815</v>
      </c>
      <c r="CV60" s="383">
        <f>Q_BS!CV95</f>
        <v>815</v>
      </c>
      <c r="CW60" s="383">
        <f>Q_BS!CW95</f>
        <v>815</v>
      </c>
    </row>
    <row r="61" spans="1:101">
      <c r="A61" s="9" t="s">
        <v>344</v>
      </c>
      <c r="B61" s="357">
        <f t="shared" ref="B61:AG61" si="396">B55/B60</f>
        <v>-7.0123076923076955E-2</v>
      </c>
      <c r="C61" s="357">
        <f t="shared" si="396"/>
        <v>-6.8430764206401262E-2</v>
      </c>
      <c r="D61" s="357">
        <f t="shared" si="396"/>
        <v>0.10622753503709767</v>
      </c>
      <c r="E61" s="357">
        <f t="shared" si="396"/>
        <v>0.20692755068128924</v>
      </c>
      <c r="F61" s="357">
        <f t="shared" si="396"/>
        <v>-1.0808147174768143E-3</v>
      </c>
      <c r="G61" s="357">
        <f t="shared" si="396"/>
        <v>0.1613601438613699</v>
      </c>
      <c r="H61" s="357">
        <f t="shared" si="396"/>
        <v>2.6912246234446536E-2</v>
      </c>
      <c r="I61" s="357">
        <f t="shared" si="396"/>
        <v>6.0710508922669874E-2</v>
      </c>
      <c r="J61" s="357">
        <f t="shared" si="396"/>
        <v>2.1713258133071893E-2</v>
      </c>
      <c r="K61" s="357">
        <f t="shared" si="396"/>
        <v>8.1892687714706827E-2</v>
      </c>
      <c r="L61" s="357">
        <f t="shared" si="396"/>
        <v>0.1352963450773792</v>
      </c>
      <c r="M61" s="357">
        <f t="shared" si="396"/>
        <v>0.10581188118811871</v>
      </c>
      <c r="N61" s="357">
        <f t="shared" si="396"/>
        <v>2.7588216251213719E-2</v>
      </c>
      <c r="O61" s="357">
        <f t="shared" si="396"/>
        <v>0.20946127043687973</v>
      </c>
      <c r="P61" s="357">
        <f t="shared" si="396"/>
        <v>0.13283932710044602</v>
      </c>
      <c r="Q61" s="357">
        <f t="shared" si="396"/>
        <v>0.19251235824367538</v>
      </c>
      <c r="R61" s="357">
        <f t="shared" si="396"/>
        <v>9.4720849084036232E-2</v>
      </c>
      <c r="S61" s="357">
        <f t="shared" si="396"/>
        <v>0.22934158776402044</v>
      </c>
      <c r="T61" s="357">
        <f t="shared" si="396"/>
        <v>0.26726228554812415</v>
      </c>
      <c r="U61" s="357">
        <f t="shared" si="396"/>
        <v>0.39924105844722346</v>
      </c>
      <c r="V61" s="357">
        <f t="shared" si="396"/>
        <v>0.12610497237569085</v>
      </c>
      <c r="W61" s="357">
        <f t="shared" si="396"/>
        <v>0.10513117099928442</v>
      </c>
      <c r="X61" s="357">
        <f t="shared" si="396"/>
        <v>0.2319902217982357</v>
      </c>
      <c r="Y61" s="357">
        <f t="shared" si="396"/>
        <v>0.35484837631327559</v>
      </c>
      <c r="Z61" s="357">
        <f t="shared" si="396"/>
        <v>0.35653740603746725</v>
      </c>
      <c r="AA61" s="429">
        <f t="shared" si="396"/>
        <v>0.11042695289206898</v>
      </c>
      <c r="AB61" s="429">
        <f t="shared" si="396"/>
        <v>0.14354499880639765</v>
      </c>
      <c r="AC61" s="429">
        <f t="shared" si="396"/>
        <v>0.5606411940298498</v>
      </c>
      <c r="AD61" s="429">
        <f t="shared" si="396"/>
        <v>4.0711726773346391E-2</v>
      </c>
      <c r="AE61" s="429">
        <f t="shared" si="396"/>
        <v>0.25115834726534381</v>
      </c>
      <c r="AF61" s="429">
        <f t="shared" si="396"/>
        <v>0.19716233999282207</v>
      </c>
      <c r="AG61" s="429">
        <f t="shared" si="396"/>
        <v>0.7038858923648571</v>
      </c>
      <c r="AH61" s="429">
        <f t="shared" ref="AH61:AQ61" si="397">AH55/AH60</f>
        <v>0.20648188144948373</v>
      </c>
      <c r="AI61" s="429">
        <f t="shared" si="397"/>
        <v>7.118816624745522E-2</v>
      </c>
      <c r="AJ61" s="429">
        <f t="shared" si="397"/>
        <v>0.24733724973024687</v>
      </c>
      <c r="AK61" s="429">
        <f t="shared" si="397"/>
        <v>0.78247838616714771</v>
      </c>
      <c r="AL61" s="429">
        <f t="shared" si="397"/>
        <v>0.23680950107424212</v>
      </c>
      <c r="AM61" s="429">
        <f t="shared" si="397"/>
        <v>0.24412164579606427</v>
      </c>
      <c r="AN61" s="429">
        <f t="shared" si="397"/>
        <v>0.35768753726893315</v>
      </c>
      <c r="AO61" s="429">
        <f t="shared" si="397"/>
        <v>0.29946984202967775</v>
      </c>
      <c r="AP61" s="429">
        <f t="shared" si="397"/>
        <v>0.10544638583054078</v>
      </c>
      <c r="AQ61" s="429">
        <f t="shared" si="397"/>
        <v>0.15326957776975988</v>
      </c>
      <c r="AR61" s="429">
        <f t="shared" ref="AR61:BC61" si="398">AR55/AR60</f>
        <v>0.19188997231250599</v>
      </c>
      <c r="AS61" s="429">
        <f t="shared" si="398"/>
        <v>0.46450447227191294</v>
      </c>
      <c r="AT61" s="429">
        <f t="shared" si="398"/>
        <v>-0.39376333772928973</v>
      </c>
      <c r="AU61" s="429">
        <f t="shared" si="398"/>
        <v>-2.7181678472805872</v>
      </c>
      <c r="AV61" s="429">
        <f t="shared" si="398"/>
        <v>-1.1039272421659272</v>
      </c>
      <c r="AW61" s="429">
        <f t="shared" si="398"/>
        <v>-0.23417173524150292</v>
      </c>
      <c r="AX61" s="429">
        <f t="shared" si="398"/>
        <v>-0.42022656808967301</v>
      </c>
      <c r="AY61" s="429">
        <f t="shared" si="398"/>
        <v>0.12421297400429251</v>
      </c>
      <c r="AZ61" s="429">
        <f t="shared" si="398"/>
        <v>0.19342237061769549</v>
      </c>
      <c r="BA61" s="429">
        <f t="shared" si="398"/>
        <v>0.6843787264488439</v>
      </c>
      <c r="BB61" s="429">
        <f t="shared" si="398"/>
        <v>0.46087091386303952</v>
      </c>
      <c r="BC61" s="429">
        <f t="shared" si="398"/>
        <v>0.24224629830263605</v>
      </c>
      <c r="BD61" s="429">
        <f t="shared" ref="BD61:BG61" si="399">BD55/BD60</f>
        <v>0.35610793032037813</v>
      </c>
      <c r="BE61" s="429">
        <f t="shared" si="399"/>
        <v>0.95367682926829234</v>
      </c>
      <c r="BF61" s="429">
        <f t="shared" si="399"/>
        <v>0.62251748251748296</v>
      </c>
      <c r="BG61" s="429">
        <f t="shared" si="399"/>
        <v>0.54232609495767303</v>
      </c>
      <c r="BH61" s="429">
        <f t="shared" ref="BH61" si="400">BH55/BH60</f>
        <v>0.60716711789317968</v>
      </c>
      <c r="BI61" s="429">
        <f t="shared" ref="BI61" si="401">BI55/BI60</f>
        <v>1.6636383845868832</v>
      </c>
      <c r="BJ61" s="429">
        <f t="shared" ref="BJ61:BK61" si="402">BJ55/BJ60</f>
        <v>0.50623236412710182</v>
      </c>
      <c r="BK61" s="1316">
        <f t="shared" si="402"/>
        <v>0.20949938650306948</v>
      </c>
      <c r="BL61" s="384">
        <f t="shared" ref="BL61:CW61" si="403">BL55/BL60</f>
        <v>0.37543489846362943</v>
      </c>
      <c r="BM61" s="384">
        <f t="shared" si="403"/>
        <v>0.92656508612937827</v>
      </c>
      <c r="BN61" s="384">
        <f t="shared" si="403"/>
        <v>0.49843957056157095</v>
      </c>
      <c r="BO61" s="384">
        <f t="shared" si="403"/>
        <v>0.61968225282918232</v>
      </c>
      <c r="BP61" s="384">
        <f t="shared" si="403"/>
        <v>0.85696089294793121</v>
      </c>
      <c r="BQ61" s="384">
        <f t="shared" si="403"/>
        <v>0.92511505617881318</v>
      </c>
      <c r="BR61" s="384">
        <f t="shared" si="403"/>
        <v>0.26330195718814225</v>
      </c>
      <c r="BS61" s="384">
        <f t="shared" si="403"/>
        <v>0.94804453218167062</v>
      </c>
      <c r="BT61" s="384">
        <f t="shared" si="403"/>
        <v>1.0446387552134344</v>
      </c>
      <c r="BU61" s="384">
        <f t="shared" si="403"/>
        <v>1.4754600224623429</v>
      </c>
      <c r="BV61" s="384">
        <f t="shared" si="403"/>
        <v>1.0147722892645841</v>
      </c>
      <c r="BW61" s="384">
        <f t="shared" si="403"/>
        <v>1.2071498172320356</v>
      </c>
      <c r="BX61" s="384">
        <f t="shared" si="403"/>
        <v>1.1681134494079384</v>
      </c>
      <c r="BY61" s="384">
        <f t="shared" si="403"/>
        <v>1.4840548545012802</v>
      </c>
      <c r="BZ61" s="384">
        <f t="shared" si="403"/>
        <v>1.0309779735719671</v>
      </c>
      <c r="CA61" s="384">
        <f t="shared" si="403"/>
        <v>1.2537263231382449</v>
      </c>
      <c r="CB61" s="384">
        <f t="shared" si="403"/>
        <v>1.1756067550505374</v>
      </c>
      <c r="CC61" s="384">
        <f t="shared" si="403"/>
        <v>1.4232810976270811</v>
      </c>
      <c r="CD61" s="384">
        <f t="shared" si="403"/>
        <v>1.0646934757987996</v>
      </c>
      <c r="CE61" s="384">
        <f t="shared" si="403"/>
        <v>1.2847083598361009</v>
      </c>
      <c r="CF61" s="384">
        <f t="shared" si="403"/>
        <v>1.2170899333997196</v>
      </c>
      <c r="CG61" s="384">
        <f t="shared" si="403"/>
        <v>1.4907143119892186</v>
      </c>
      <c r="CH61" s="384">
        <f t="shared" si="403"/>
        <v>1.0966251981774258</v>
      </c>
      <c r="CI61" s="384">
        <f t="shared" si="403"/>
        <v>1.3171051066960451</v>
      </c>
      <c r="CJ61" s="384">
        <f t="shared" si="403"/>
        <v>1.2616320402297927</v>
      </c>
      <c r="CK61" s="384">
        <f t="shared" si="403"/>
        <v>1.5621559880598179</v>
      </c>
      <c r="CL61" s="384">
        <f t="shared" si="403"/>
        <v>1.1359734958168397</v>
      </c>
      <c r="CM61" s="384">
        <f t="shared" si="403"/>
        <v>1.3540022022768849</v>
      </c>
      <c r="CN61" s="384">
        <f t="shared" si="403"/>
        <v>1.3108036801536302</v>
      </c>
      <c r="CO61" s="384">
        <f t="shared" si="403"/>
        <v>1.6396543984114602</v>
      </c>
      <c r="CP61" s="384">
        <f t="shared" si="403"/>
        <v>1.1774606414173405</v>
      </c>
      <c r="CQ61" s="384">
        <f t="shared" si="403"/>
        <v>1.3926666990216372</v>
      </c>
      <c r="CR61" s="384">
        <f t="shared" si="403"/>
        <v>1.3628337103882633</v>
      </c>
      <c r="CS61" s="384">
        <f t="shared" si="403"/>
        <v>1.7191331417414035</v>
      </c>
      <c r="CT61" s="384">
        <f t="shared" si="403"/>
        <v>1.2203420119601149</v>
      </c>
      <c r="CU61" s="384">
        <f t="shared" si="403"/>
        <v>1.4347444413063604</v>
      </c>
      <c r="CV61" s="384">
        <f t="shared" si="403"/>
        <v>1.4151732401317743</v>
      </c>
      <c r="CW61" s="384">
        <f t="shared" si="403"/>
        <v>1.800864404680522</v>
      </c>
    </row>
    <row r="62" spans="1:101">
      <c r="A62" s="9" t="s">
        <v>17</v>
      </c>
      <c r="B62" s="357">
        <f t="shared" ref="B62:AG62" si="404">B51/B60</f>
        <v>-7.0123076923076955E-2</v>
      </c>
      <c r="C62" s="357">
        <f t="shared" si="404"/>
        <v>-6.8430764206401262E-2</v>
      </c>
      <c r="D62" s="357">
        <f t="shared" si="404"/>
        <v>0.10622753503709767</v>
      </c>
      <c r="E62" s="357">
        <f t="shared" si="404"/>
        <v>0.20692755068128924</v>
      </c>
      <c r="F62" s="357">
        <f t="shared" si="404"/>
        <v>-1.0808147174768143E-3</v>
      </c>
      <c r="G62" s="357">
        <f t="shared" si="404"/>
        <v>0.1613601438613699</v>
      </c>
      <c r="H62" s="357">
        <f t="shared" si="404"/>
        <v>2.6912246234446536E-2</v>
      </c>
      <c r="I62" s="357">
        <f t="shared" si="404"/>
        <v>6.0710508922669874E-2</v>
      </c>
      <c r="J62" s="357">
        <f t="shared" si="404"/>
        <v>2.1713258133071893E-2</v>
      </c>
      <c r="K62" s="357">
        <f t="shared" si="404"/>
        <v>8.1892687714706827E-2</v>
      </c>
      <c r="L62" s="357">
        <f t="shared" si="404"/>
        <v>0.1352963450773792</v>
      </c>
      <c r="M62" s="357">
        <f t="shared" si="404"/>
        <v>0.10581188118811871</v>
      </c>
      <c r="N62" s="357">
        <f t="shared" si="404"/>
        <v>2.7588216251213719E-2</v>
      </c>
      <c r="O62" s="357">
        <f t="shared" si="404"/>
        <v>0.20946127043687973</v>
      </c>
      <c r="P62" s="357">
        <f t="shared" si="404"/>
        <v>0.13283932710044602</v>
      </c>
      <c r="Q62" s="357">
        <f t="shared" si="404"/>
        <v>0.19251235824367538</v>
      </c>
      <c r="R62" s="357">
        <f t="shared" si="404"/>
        <v>9.4720849084036232E-2</v>
      </c>
      <c r="S62" s="357">
        <f t="shared" si="404"/>
        <v>0.22934158776402044</v>
      </c>
      <c r="T62" s="357">
        <f t="shared" si="404"/>
        <v>0.26726228554812415</v>
      </c>
      <c r="U62" s="357">
        <f t="shared" si="404"/>
        <v>0.39924105844722346</v>
      </c>
      <c r="V62" s="357">
        <f t="shared" si="404"/>
        <v>0.12610497237569085</v>
      </c>
      <c r="W62" s="357">
        <f t="shared" si="404"/>
        <v>0.10513117099928442</v>
      </c>
      <c r="X62" s="357">
        <f t="shared" si="404"/>
        <v>0.2319902217982357</v>
      </c>
      <c r="Y62" s="357">
        <f t="shared" si="404"/>
        <v>0.35484837631327559</v>
      </c>
      <c r="Z62" s="357">
        <f t="shared" si="404"/>
        <v>0.35653740603746725</v>
      </c>
      <c r="AA62" s="429">
        <f t="shared" si="404"/>
        <v>0.11042695289206898</v>
      </c>
      <c r="AB62" s="429">
        <f t="shared" si="404"/>
        <v>0.14354499880639765</v>
      </c>
      <c r="AC62" s="429">
        <f t="shared" si="404"/>
        <v>0.5606411940298498</v>
      </c>
      <c r="AD62" s="429">
        <f t="shared" si="404"/>
        <v>4.0711726773346391E-2</v>
      </c>
      <c r="AE62" s="429">
        <f t="shared" si="404"/>
        <v>0.25115834726534381</v>
      </c>
      <c r="AF62" s="429">
        <f t="shared" si="404"/>
        <v>0.19716233999282207</v>
      </c>
      <c r="AG62" s="429">
        <f t="shared" si="404"/>
        <v>0.7038858923648571</v>
      </c>
      <c r="AH62" s="429">
        <f t="shared" ref="AH62:AQ62" si="405">AH51/AH60</f>
        <v>0.20648188144948373</v>
      </c>
      <c r="AI62" s="429">
        <f t="shared" si="405"/>
        <v>7.118816624745522E-2</v>
      </c>
      <c r="AJ62" s="429">
        <f t="shared" si="405"/>
        <v>0.24733724973024687</v>
      </c>
      <c r="AK62" s="429">
        <f t="shared" si="405"/>
        <v>0.78247838616714771</v>
      </c>
      <c r="AL62" s="429">
        <f t="shared" si="405"/>
        <v>0.23680950107424212</v>
      </c>
      <c r="AM62" s="429">
        <f t="shared" si="405"/>
        <v>0.24412164579606427</v>
      </c>
      <c r="AN62" s="429">
        <f t="shared" si="405"/>
        <v>0.35768753726893315</v>
      </c>
      <c r="AO62" s="429">
        <f t="shared" si="405"/>
        <v>0.29946984202967775</v>
      </c>
      <c r="AP62" s="429">
        <f t="shared" si="405"/>
        <v>0.10544638583054078</v>
      </c>
      <c r="AQ62" s="429">
        <f t="shared" si="405"/>
        <v>0.15326957776975988</v>
      </c>
      <c r="AR62" s="429">
        <f t="shared" ref="AR62:BC62" si="406">AR51/AR60</f>
        <v>0.19188997231250599</v>
      </c>
      <c r="AS62" s="429">
        <f t="shared" si="406"/>
        <v>0.46450447227191294</v>
      </c>
      <c r="AT62" s="429">
        <f t="shared" si="406"/>
        <v>-0.39376333772928973</v>
      </c>
      <c r="AU62" s="429">
        <f t="shared" si="406"/>
        <v>-2.7181678472805872</v>
      </c>
      <c r="AV62" s="429">
        <f t="shared" si="406"/>
        <v>-1.1039272421659272</v>
      </c>
      <c r="AW62" s="429">
        <f t="shared" si="406"/>
        <v>-0.23417173524150292</v>
      </c>
      <c r="AX62" s="429">
        <f t="shared" si="406"/>
        <v>-0.42022656808967301</v>
      </c>
      <c r="AY62" s="429">
        <f t="shared" si="406"/>
        <v>0.12421297400429251</v>
      </c>
      <c r="AZ62" s="429">
        <f t="shared" si="406"/>
        <v>0.19342237061769549</v>
      </c>
      <c r="BA62" s="429">
        <f t="shared" si="406"/>
        <v>0.6843787264488439</v>
      </c>
      <c r="BB62" s="429">
        <f t="shared" si="406"/>
        <v>0.46087091386303952</v>
      </c>
      <c r="BC62" s="429">
        <f t="shared" si="406"/>
        <v>0.24224629830263605</v>
      </c>
      <c r="BD62" s="429">
        <f t="shared" ref="BD62:BG62" si="407">BD51/BD60</f>
        <v>0.35610793032037813</v>
      </c>
      <c r="BE62" s="429">
        <f t="shared" si="407"/>
        <v>0.95367682926829234</v>
      </c>
      <c r="BF62" s="429">
        <f t="shared" si="407"/>
        <v>0.62251748251748296</v>
      </c>
      <c r="BG62" s="429">
        <f t="shared" si="407"/>
        <v>0.54232609495767303</v>
      </c>
      <c r="BH62" s="429">
        <f t="shared" ref="BH62" si="408">BH51/BH60</f>
        <v>0.60716711789317968</v>
      </c>
      <c r="BI62" s="429">
        <f t="shared" ref="BI62" si="409">BI51/BI60</f>
        <v>1.6636383845868832</v>
      </c>
      <c r="BJ62" s="429">
        <f t="shared" ref="BJ62:BK62" si="410">BJ51/BJ60</f>
        <v>0.50623236412710182</v>
      </c>
      <c r="BK62" s="1316">
        <f t="shared" si="410"/>
        <v>0.20949938650306948</v>
      </c>
      <c r="BL62" s="384">
        <f t="shared" ref="BL62:CW62" si="411">BL51/BL60</f>
        <v>0.37543489846362943</v>
      </c>
      <c r="BM62" s="384">
        <f t="shared" si="411"/>
        <v>0.92656508612937827</v>
      </c>
      <c r="BN62" s="384">
        <f t="shared" si="411"/>
        <v>0.49843957056157095</v>
      </c>
      <c r="BO62" s="384">
        <f t="shared" si="411"/>
        <v>0.61968225282918232</v>
      </c>
      <c r="BP62" s="384">
        <f t="shared" si="411"/>
        <v>0.85696089294793121</v>
      </c>
      <c r="BQ62" s="384">
        <f t="shared" si="411"/>
        <v>0.92511505617881318</v>
      </c>
      <c r="BR62" s="384">
        <f t="shared" si="411"/>
        <v>0.26330195718814225</v>
      </c>
      <c r="BS62" s="384">
        <f t="shared" si="411"/>
        <v>0.94804453218167062</v>
      </c>
      <c r="BT62" s="384">
        <f t="shared" si="411"/>
        <v>1.0446387552134344</v>
      </c>
      <c r="BU62" s="384">
        <f t="shared" si="411"/>
        <v>1.4754600224623429</v>
      </c>
      <c r="BV62" s="384">
        <f t="shared" si="411"/>
        <v>1.0147722892645841</v>
      </c>
      <c r="BW62" s="384">
        <f t="shared" si="411"/>
        <v>1.2071498172320356</v>
      </c>
      <c r="BX62" s="384">
        <f t="shared" si="411"/>
        <v>1.1681134494079384</v>
      </c>
      <c r="BY62" s="384">
        <f t="shared" si="411"/>
        <v>1.4840548545012802</v>
      </c>
      <c r="BZ62" s="384">
        <f t="shared" si="411"/>
        <v>1.0309779735719671</v>
      </c>
      <c r="CA62" s="384">
        <f t="shared" si="411"/>
        <v>1.2537263231382449</v>
      </c>
      <c r="CB62" s="384">
        <f t="shared" si="411"/>
        <v>1.1756067550505374</v>
      </c>
      <c r="CC62" s="384">
        <f t="shared" si="411"/>
        <v>1.4232810976270811</v>
      </c>
      <c r="CD62" s="384">
        <f t="shared" si="411"/>
        <v>1.0646934757987996</v>
      </c>
      <c r="CE62" s="384">
        <f t="shared" si="411"/>
        <v>1.2847083598361009</v>
      </c>
      <c r="CF62" s="384">
        <f t="shared" si="411"/>
        <v>1.2170899333997196</v>
      </c>
      <c r="CG62" s="384">
        <f t="shared" si="411"/>
        <v>1.4907143119892186</v>
      </c>
      <c r="CH62" s="384">
        <f t="shared" si="411"/>
        <v>1.0966251981774258</v>
      </c>
      <c r="CI62" s="384">
        <f t="shared" si="411"/>
        <v>1.3171051066960451</v>
      </c>
      <c r="CJ62" s="384">
        <f t="shared" si="411"/>
        <v>1.2616320402297927</v>
      </c>
      <c r="CK62" s="384">
        <f t="shared" si="411"/>
        <v>1.5621559880598179</v>
      </c>
      <c r="CL62" s="384">
        <f t="shared" si="411"/>
        <v>1.1359734958168397</v>
      </c>
      <c r="CM62" s="384">
        <f t="shared" si="411"/>
        <v>1.3540022022768849</v>
      </c>
      <c r="CN62" s="384">
        <f t="shared" si="411"/>
        <v>1.3108036801536302</v>
      </c>
      <c r="CO62" s="384">
        <f t="shared" si="411"/>
        <v>1.6396543984114602</v>
      </c>
      <c r="CP62" s="384">
        <f t="shared" si="411"/>
        <v>1.1774606414173405</v>
      </c>
      <c r="CQ62" s="384">
        <f t="shared" si="411"/>
        <v>1.3926666990216372</v>
      </c>
      <c r="CR62" s="384">
        <f t="shared" si="411"/>
        <v>1.3628337103882633</v>
      </c>
      <c r="CS62" s="384">
        <f t="shared" si="411"/>
        <v>1.7191331417414035</v>
      </c>
      <c r="CT62" s="384">
        <f t="shared" si="411"/>
        <v>1.2203420119601149</v>
      </c>
      <c r="CU62" s="384">
        <f t="shared" si="411"/>
        <v>1.4347444413063604</v>
      </c>
      <c r="CV62" s="384">
        <f t="shared" si="411"/>
        <v>1.4151732401317743</v>
      </c>
      <c r="CW62" s="384">
        <f t="shared" si="411"/>
        <v>1.800864404680522</v>
      </c>
    </row>
    <row r="63" spans="1:101">
      <c r="B63" s="717"/>
      <c r="C63" s="717"/>
      <c r="D63" s="717"/>
      <c r="E63" s="717"/>
      <c r="F63" s="717"/>
      <c r="G63" s="717"/>
      <c r="H63" s="717"/>
      <c r="I63" s="717"/>
      <c r="J63" s="717"/>
      <c r="K63" s="717"/>
      <c r="L63" s="717"/>
      <c r="M63" s="717"/>
      <c r="N63" s="717"/>
      <c r="O63" s="273"/>
      <c r="P63" s="273"/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718"/>
      <c r="AB63" s="262"/>
      <c r="AC63" s="262"/>
      <c r="AD63" s="262"/>
      <c r="AE63" s="262"/>
      <c r="AF63" s="262"/>
      <c r="AG63" s="262"/>
      <c r="AH63" s="262"/>
      <c r="AI63" s="262"/>
      <c r="AJ63" s="262"/>
      <c r="AK63" s="262"/>
      <c r="AL63" s="262"/>
      <c r="AM63" s="262"/>
      <c r="AN63" s="262"/>
      <c r="AO63" s="262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131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</row>
    <row r="64" spans="1:101">
      <c r="A64" s="9" t="s">
        <v>1265</v>
      </c>
      <c r="B64" s="327">
        <f>IS!C58</f>
        <v>0</v>
      </c>
      <c r="C64" s="327">
        <f>IS!D58</f>
        <v>0</v>
      </c>
      <c r="D64" s="327">
        <f>IS!E58</f>
        <v>0</v>
      </c>
      <c r="E64" s="327">
        <f>IS!F58</f>
        <v>0</v>
      </c>
      <c r="F64" s="327">
        <f>IS!G58</f>
        <v>0</v>
      </c>
      <c r="G64" s="327">
        <f>IS!H58</f>
        <v>0</v>
      </c>
      <c r="H64" s="327">
        <f>IS!I58</f>
        <v>0</v>
      </c>
      <c r="I64" s="327">
        <f>IS!J58</f>
        <v>0</v>
      </c>
      <c r="J64" s="327">
        <f>IS!K58</f>
        <v>0</v>
      </c>
      <c r="K64" s="327">
        <f>IS!L58</f>
        <v>0</v>
      </c>
      <c r="L64" s="327">
        <f>IS!M58</f>
        <v>0</v>
      </c>
      <c r="M64" s="327">
        <f>IS!N58</f>
        <v>0</v>
      </c>
      <c r="N64" s="327">
        <f>IS!O58</f>
        <v>0</v>
      </c>
      <c r="O64" s="327">
        <f>IS!P58</f>
        <v>0</v>
      </c>
      <c r="P64" s="327">
        <f>IS!Q58</f>
        <v>0</v>
      </c>
      <c r="Q64" s="327">
        <f>IS!R58</f>
        <v>0</v>
      </c>
      <c r="R64" s="327">
        <f>IS!S58</f>
        <v>0</v>
      </c>
      <c r="S64" s="327">
        <f>IS!T58</f>
        <v>0</v>
      </c>
      <c r="T64" s="327">
        <f>IS!U58</f>
        <v>0</v>
      </c>
      <c r="U64" s="327">
        <f>IS!V58</f>
        <v>0</v>
      </c>
      <c r="V64" s="327">
        <f>IS!W58</f>
        <v>0</v>
      </c>
      <c r="W64" s="327">
        <f>IS!X58</f>
        <v>0</v>
      </c>
      <c r="X64" s="327">
        <f>IS!Y58</f>
        <v>0</v>
      </c>
      <c r="Y64" s="327">
        <f>IS!Z58</f>
        <v>0</v>
      </c>
      <c r="Z64" s="327">
        <f>IS!AA58</f>
        <v>0</v>
      </c>
      <c r="AA64" s="428">
        <f>IS!AB58</f>
        <v>0</v>
      </c>
      <c r="AB64" s="428">
        <f>IS!AC58</f>
        <v>0</v>
      </c>
      <c r="AC64" s="428">
        <f>IS!AD58</f>
        <v>0</v>
      </c>
      <c r="AD64" s="428">
        <f>IS!AE58</f>
        <v>0</v>
      </c>
      <c r="AE64" s="428">
        <f>IS!AF58</f>
        <v>0</v>
      </c>
      <c r="AF64" s="428">
        <f>IS!AG58</f>
        <v>0</v>
      </c>
      <c r="AG64" s="428">
        <f>IS!AH58</f>
        <v>0</v>
      </c>
      <c r="AH64" s="428">
        <f>IS!AI58</f>
        <v>0</v>
      </c>
      <c r="AI64" s="428">
        <f>IS!AJ58</f>
        <v>0</v>
      </c>
      <c r="AJ64" s="428">
        <f>IS!AK58</f>
        <v>0</v>
      </c>
      <c r="AK64" s="428">
        <f>IS!AL58</f>
        <v>0</v>
      </c>
      <c r="AL64" s="428">
        <f>IS!AM58</f>
        <v>67.777000000000001</v>
      </c>
      <c r="AM64" s="428">
        <f>IS!AN58</f>
        <v>131.20099999999999</v>
      </c>
      <c r="AN64" s="428">
        <f>IS!AO58</f>
        <v>0</v>
      </c>
      <c r="AO64" s="428">
        <f>IS!AP58</f>
        <v>0</v>
      </c>
      <c r="AP64" s="428">
        <f>IS!AQ58</f>
        <v>33.386000000000003</v>
      </c>
      <c r="AQ64" s="428">
        <f>IS!AR58</f>
        <v>124.28100000000001</v>
      </c>
      <c r="AR64" s="428">
        <f>IS!AS58</f>
        <v>154.82300000000001</v>
      </c>
      <c r="AS64" s="428">
        <f>IS!AT58</f>
        <v>397.923</v>
      </c>
      <c r="AT64" s="428">
        <f>IS!AU58</f>
        <v>19.792000000000002</v>
      </c>
      <c r="AU64" s="428">
        <f>IS!AV58</f>
        <v>46.64</v>
      </c>
      <c r="AV64" s="428">
        <f>IS!AW58</f>
        <v>62.350999999999999</v>
      </c>
      <c r="AW64" s="428">
        <f>IS!AX58</f>
        <v>137.18299999999999</v>
      </c>
      <c r="AX64" s="428">
        <f>IS!AY58</f>
        <v>11.93</v>
      </c>
      <c r="AY64" s="428">
        <f>IS!AZ58</f>
        <v>78.269000000000005</v>
      </c>
      <c r="AZ64" s="428">
        <f>IS!BA58</f>
        <v>118.44199999999999</v>
      </c>
      <c r="BA64" s="428">
        <f>IS!BB58</f>
        <v>305.43799999999999</v>
      </c>
      <c r="BB64" s="428">
        <f>IS!BC58</f>
        <v>63.33</v>
      </c>
      <c r="BC64" s="428">
        <f>IS!BD58</f>
        <v>145.74</v>
      </c>
      <c r="BD64" s="428">
        <f>IS!BE58</f>
        <v>443.93700000000001</v>
      </c>
      <c r="BE64" s="428">
        <f>IS!BF58</f>
        <v>707.70500000000004</v>
      </c>
      <c r="BF64" s="428">
        <f>IS!BG58</f>
        <v>81.533000000000001</v>
      </c>
      <c r="BG64" s="428">
        <f>IS!BH58</f>
        <v>324.47000000000003</v>
      </c>
      <c r="BH64" s="428">
        <f>IS!BI58</f>
        <v>893.79300000000001</v>
      </c>
      <c r="BI64" s="428">
        <f>IS!BJ58</f>
        <v>264.97699999999998</v>
      </c>
      <c r="BJ64" s="428">
        <f>IS!BK58</f>
        <v>146.15600000000001</v>
      </c>
      <c r="BK64" s="1315">
        <f>IS!BL58</f>
        <v>202.471</v>
      </c>
      <c r="BL64" s="383">
        <v>0</v>
      </c>
      <c r="BM64" s="383">
        <v>0</v>
      </c>
      <c r="BN64" s="383">
        <v>0</v>
      </c>
      <c r="BO64" s="383">
        <v>0</v>
      </c>
      <c r="BP64" s="383">
        <v>0</v>
      </c>
      <c r="BQ64" s="383">
        <v>0</v>
      </c>
      <c r="BR64" s="383">
        <v>0</v>
      </c>
      <c r="BS64" s="383">
        <v>0</v>
      </c>
      <c r="BT64" s="383">
        <v>0</v>
      </c>
      <c r="BU64" s="383">
        <v>0</v>
      </c>
      <c r="BV64" s="383">
        <v>0</v>
      </c>
      <c r="BW64" s="383">
        <v>0</v>
      </c>
      <c r="BX64" s="383">
        <v>0</v>
      </c>
      <c r="BY64" s="383">
        <v>0</v>
      </c>
      <c r="BZ64" s="383">
        <v>0</v>
      </c>
      <c r="CA64" s="383">
        <v>0</v>
      </c>
      <c r="CB64" s="383">
        <v>0</v>
      </c>
      <c r="CC64" s="383">
        <v>0</v>
      </c>
      <c r="CD64" s="383">
        <v>0</v>
      </c>
      <c r="CE64" s="383">
        <v>0</v>
      </c>
      <c r="CF64" s="383">
        <v>0</v>
      </c>
      <c r="CG64" s="383">
        <v>0</v>
      </c>
      <c r="CH64" s="383">
        <v>0</v>
      </c>
      <c r="CI64" s="383">
        <v>0</v>
      </c>
      <c r="CJ64" s="383">
        <v>0</v>
      </c>
      <c r="CK64" s="383">
        <v>0</v>
      </c>
      <c r="CL64" s="383">
        <v>0</v>
      </c>
      <c r="CM64" s="383">
        <v>0</v>
      </c>
      <c r="CN64" s="383">
        <v>0</v>
      </c>
      <c r="CO64" s="383">
        <v>0</v>
      </c>
      <c r="CP64" s="383">
        <v>0</v>
      </c>
      <c r="CQ64" s="383">
        <v>0</v>
      </c>
      <c r="CR64" s="383">
        <v>0</v>
      </c>
      <c r="CS64" s="383">
        <v>0</v>
      </c>
      <c r="CT64" s="383">
        <v>0</v>
      </c>
      <c r="CU64" s="383">
        <v>0</v>
      </c>
      <c r="CV64" s="383">
        <v>0</v>
      </c>
      <c r="CW64" s="383">
        <v>0</v>
      </c>
    </row>
    <row r="65" spans="1:101">
      <c r="BK65" s="1318"/>
      <c r="BS65" s="47"/>
    </row>
    <row r="66" spans="1:101">
      <c r="A66" s="291" t="s">
        <v>531</v>
      </c>
      <c r="B66" s="292">
        <f>Q_IS!B$4</f>
        <v>39903</v>
      </c>
      <c r="C66" s="292">
        <f>Q_IS!C$4</f>
        <v>39994</v>
      </c>
      <c r="D66" s="292">
        <f>Q_IS!D$4</f>
        <v>40086</v>
      </c>
      <c r="E66" s="292">
        <f>Q_IS!E$4</f>
        <v>40178</v>
      </c>
      <c r="F66" s="292">
        <f>Q_IS!F$4</f>
        <v>40268</v>
      </c>
      <c r="G66" s="292">
        <f>Q_IS!G$4</f>
        <v>40359</v>
      </c>
      <c r="H66" s="292">
        <f>Q_IS!H$4</f>
        <v>40451</v>
      </c>
      <c r="I66" s="292">
        <f>Q_IS!I$4</f>
        <v>40543</v>
      </c>
      <c r="J66" s="292">
        <f>Q_IS!J$4</f>
        <v>40633</v>
      </c>
      <c r="K66" s="292">
        <f>Q_IS!K$4</f>
        <v>40724</v>
      </c>
      <c r="L66" s="292">
        <f>Q_IS!L$4</f>
        <v>40816</v>
      </c>
      <c r="M66" s="292">
        <f>Q_IS!M$4</f>
        <v>40908</v>
      </c>
      <c r="N66" s="292">
        <f>Q_IS!N$4</f>
        <v>40999</v>
      </c>
      <c r="O66" s="292">
        <f>Q_IS!O$4</f>
        <v>41090</v>
      </c>
      <c r="P66" s="292">
        <f>Q_IS!P$4</f>
        <v>41182</v>
      </c>
      <c r="Q66" s="292">
        <f>Q_IS!Q$4</f>
        <v>41274</v>
      </c>
      <c r="R66" s="292">
        <f>Q_IS!R$4</f>
        <v>41364</v>
      </c>
      <c r="S66" s="292">
        <f>Q_IS!S$4</f>
        <v>41455</v>
      </c>
      <c r="T66" s="292">
        <f>Q_IS!T$4</f>
        <v>41547</v>
      </c>
      <c r="U66" s="292">
        <f>Q_IS!U$4</f>
        <v>41639</v>
      </c>
      <c r="V66" s="292">
        <f>Q_IS!V$4</f>
        <v>41729</v>
      </c>
      <c r="W66" s="292">
        <f>Q_IS!W$4</f>
        <v>41820</v>
      </c>
      <c r="X66" s="292">
        <f>Q_IS!X$4</f>
        <v>41912</v>
      </c>
      <c r="Y66" s="292">
        <f>Q_IS!Y$4</f>
        <v>42004</v>
      </c>
      <c r="Z66" s="292">
        <f>Q_IS!Z$4</f>
        <v>42094</v>
      </c>
      <c r="AA66" s="292">
        <f>Q_IS!AA$4</f>
        <v>42185</v>
      </c>
      <c r="AB66" s="292">
        <f>Q_IS!AB$4</f>
        <v>42277</v>
      </c>
      <c r="AC66" s="292">
        <f>Q_IS!AC$4</f>
        <v>42369</v>
      </c>
      <c r="AD66" s="292">
        <f>Q_IS!AD$4</f>
        <v>42460</v>
      </c>
      <c r="AE66" s="292">
        <f>Q_IS!AE$4</f>
        <v>42551</v>
      </c>
      <c r="AF66" s="292">
        <f>Q_IS!AF$4</f>
        <v>42643</v>
      </c>
      <c r="AG66" s="292">
        <f>Q_IS!AG$4</f>
        <v>42735</v>
      </c>
      <c r="AH66" s="292">
        <f>Q_IS!AH$4</f>
        <v>42825</v>
      </c>
      <c r="AI66" s="292">
        <f>Q_IS!AI$4</f>
        <v>42916</v>
      </c>
      <c r="AJ66" s="292">
        <f>Q_IS!AJ$4</f>
        <v>43008</v>
      </c>
      <c r="AK66" s="292">
        <f>Q_IS!AK$4</f>
        <v>43100</v>
      </c>
      <c r="AL66" s="292">
        <f>Q_IS!AL$4</f>
        <v>43190</v>
      </c>
      <c r="AM66" s="292">
        <f>Q_IS!AM$4</f>
        <v>43281</v>
      </c>
      <c r="AN66" s="292">
        <f>Q_IS!AN$4</f>
        <v>43373</v>
      </c>
      <c r="AO66" s="292">
        <f>Q_IS!AO$4</f>
        <v>43465</v>
      </c>
      <c r="AP66" s="292">
        <f>Q_IS!AP$4</f>
        <v>43555</v>
      </c>
      <c r="AQ66" s="292">
        <f>Q_IS!AQ$4</f>
        <v>43646</v>
      </c>
      <c r="AR66" s="292">
        <f>Q_IS!AR$4</f>
        <v>43738</v>
      </c>
      <c r="AS66" s="292">
        <f>Q_IS!AS$4</f>
        <v>43830</v>
      </c>
      <c r="AT66" s="292">
        <f>Q_IS!AT$4</f>
        <v>43921</v>
      </c>
      <c r="AU66" s="292">
        <f>Q_IS!AU$4</f>
        <v>44012</v>
      </c>
      <c r="AV66" s="292">
        <f>Q_IS!AV$4</f>
        <v>44104</v>
      </c>
      <c r="AW66" s="292">
        <f>Q_IS!AW$4</f>
        <v>44196</v>
      </c>
      <c r="AX66" s="292">
        <f>Q_IS!AX$4</f>
        <v>44286</v>
      </c>
      <c r="AY66" s="292">
        <f>Q_IS!AY$4</f>
        <v>44377</v>
      </c>
      <c r="AZ66" s="292">
        <f>Q_IS!AZ$4</f>
        <v>44469</v>
      </c>
      <c r="BA66" s="292">
        <f>Q_IS!BA$4</f>
        <v>44561</v>
      </c>
      <c r="BB66" s="292">
        <f>Q_IS!BB$4</f>
        <v>44651</v>
      </c>
      <c r="BC66" s="292">
        <f>Q_IS!BC$4</f>
        <v>44742</v>
      </c>
      <c r="BD66" s="292">
        <f>Q_IS!BD$4</f>
        <v>44834</v>
      </c>
      <c r="BE66" s="292">
        <f>Q_IS!BE$4</f>
        <v>44926</v>
      </c>
      <c r="BF66" s="292">
        <f>Q_IS!BF$4</f>
        <v>45016</v>
      </c>
      <c r="BG66" s="292">
        <f>Q_IS!BG$4</f>
        <v>45107</v>
      </c>
      <c r="BH66" s="292">
        <f>Q_IS!BH$4</f>
        <v>45199</v>
      </c>
      <c r="BI66" s="292">
        <f>Q_IS!BI$4</f>
        <v>45291</v>
      </c>
      <c r="BJ66" s="292">
        <f>Q_IS!BJ$4</f>
        <v>45382</v>
      </c>
      <c r="BK66" s="1300">
        <f>Q_IS!BK$4</f>
        <v>45473</v>
      </c>
      <c r="BL66" s="600">
        <f>Q_IS!BL$4</f>
        <v>45565</v>
      </c>
      <c r="BM66" s="600">
        <f>Q_IS!BM$4</f>
        <v>45657</v>
      </c>
      <c r="BN66" s="600">
        <f>Q_IS!BN$4</f>
        <v>45747</v>
      </c>
      <c r="BO66" s="600">
        <f>Q_IS!BO$4</f>
        <v>45838</v>
      </c>
      <c r="BP66" s="600">
        <f>Q_IS!BP$4</f>
        <v>45930</v>
      </c>
      <c r="BQ66" s="600">
        <f>Q_IS!BQ$4</f>
        <v>46022</v>
      </c>
      <c r="BR66" s="600">
        <f>Q_IS!BR$4</f>
        <v>46112</v>
      </c>
      <c r="BS66" s="600">
        <f>Q_IS!BS$4</f>
        <v>46203</v>
      </c>
      <c r="BT66" s="600">
        <f>Q_IS!BT$4</f>
        <v>46295</v>
      </c>
      <c r="BU66" s="600">
        <f>Q_IS!BU$4</f>
        <v>46387</v>
      </c>
      <c r="BV66" s="600">
        <f>Q_IS!BV$4</f>
        <v>46477</v>
      </c>
      <c r="BW66" s="600">
        <f>Q_IS!BW$4</f>
        <v>46568</v>
      </c>
      <c r="BX66" s="600">
        <f>Q_IS!BX$4</f>
        <v>46660</v>
      </c>
      <c r="BY66" s="600">
        <f>Q_IS!BY$4</f>
        <v>46752</v>
      </c>
      <c r="BZ66" s="600">
        <f>Q_IS!BZ$4</f>
        <v>46843</v>
      </c>
      <c r="CA66" s="600">
        <f>Q_IS!CA$4</f>
        <v>46934</v>
      </c>
      <c r="CB66" s="600">
        <f>Q_IS!CB$4</f>
        <v>47026</v>
      </c>
      <c r="CC66" s="600">
        <f>Q_IS!CC$4</f>
        <v>47118</v>
      </c>
      <c r="CD66" s="600">
        <f>Q_IS!CD$4</f>
        <v>47208</v>
      </c>
      <c r="CE66" s="600">
        <f>Q_IS!CE$4</f>
        <v>47299</v>
      </c>
      <c r="CF66" s="600">
        <f>Q_IS!CF$4</f>
        <v>47391</v>
      </c>
      <c r="CG66" s="600">
        <f>Q_IS!CG$4</f>
        <v>47483</v>
      </c>
      <c r="CH66" s="600">
        <f>Q_IS!CH$4</f>
        <v>47573</v>
      </c>
      <c r="CI66" s="600">
        <f>Q_IS!CI$4</f>
        <v>47664</v>
      </c>
      <c r="CJ66" s="600">
        <f>Q_IS!CJ$4</f>
        <v>47756</v>
      </c>
      <c r="CK66" s="600">
        <f>Q_IS!CK$4</f>
        <v>47848</v>
      </c>
      <c r="CL66" s="600">
        <f>Q_IS!CL$4</f>
        <v>47938</v>
      </c>
      <c r="CM66" s="600">
        <f>Q_IS!CM$4</f>
        <v>48029</v>
      </c>
      <c r="CN66" s="600">
        <f>Q_IS!CN$4</f>
        <v>48121</v>
      </c>
      <c r="CO66" s="600">
        <f>Q_IS!CO$4</f>
        <v>48213</v>
      </c>
      <c r="CP66" s="600">
        <f>Q_IS!CP$4</f>
        <v>48304</v>
      </c>
      <c r="CQ66" s="600">
        <f>Q_IS!CQ$4</f>
        <v>48395</v>
      </c>
      <c r="CR66" s="600">
        <f>Q_IS!CR$4</f>
        <v>48487</v>
      </c>
      <c r="CS66" s="600">
        <f>Q_IS!CS$4</f>
        <v>48579</v>
      </c>
      <c r="CT66" s="600">
        <f>Q_IS!CT$4</f>
        <v>48669</v>
      </c>
      <c r="CU66" s="600">
        <f>Q_IS!CU$4</f>
        <v>48760</v>
      </c>
      <c r="CV66" s="600">
        <f>Q_IS!CV$4</f>
        <v>48852</v>
      </c>
      <c r="CW66" s="600">
        <f>Q_IS!CW$4</f>
        <v>48944</v>
      </c>
    </row>
    <row r="67" spans="1:101">
      <c r="A67" s="358" t="s">
        <v>383</v>
      </c>
      <c r="B67" s="358"/>
      <c r="C67" s="358"/>
      <c r="D67" s="358"/>
      <c r="E67" s="358"/>
      <c r="BK67" s="1318"/>
      <c r="BS67" s="47"/>
    </row>
    <row r="68" spans="1:101">
      <c r="A68" s="364" t="s">
        <v>271</v>
      </c>
      <c r="B68" s="418">
        <f>BS!B4</f>
        <v>395.62900000000002</v>
      </c>
      <c r="C68" s="418">
        <f>BS!C4</f>
        <v>305.07299999999998</v>
      </c>
      <c r="D68" s="418">
        <f>BS!D4</f>
        <v>476.21</v>
      </c>
      <c r="E68" s="418">
        <f>BS!E4</f>
        <v>463.214</v>
      </c>
      <c r="F68" s="418">
        <f>BS!F4</f>
        <v>669.14</v>
      </c>
      <c r="G68" s="418">
        <f>BS!G4</f>
        <v>480.30399999999997</v>
      </c>
      <c r="H68" s="418">
        <f>BS!H4</f>
        <v>482.51799999999997</v>
      </c>
      <c r="I68" s="418">
        <f>BS!I4</f>
        <v>640.20299999999997</v>
      </c>
      <c r="J68" s="418">
        <f>BS!J4</f>
        <v>370.92599999999999</v>
      </c>
      <c r="K68" s="418">
        <f>BS!K4</f>
        <v>575.827</v>
      </c>
      <c r="L68" s="418">
        <f>BS!L4</f>
        <v>684.85199999999998</v>
      </c>
      <c r="M68" s="418">
        <f>BS!M4</f>
        <v>739.37900000000002</v>
      </c>
      <c r="N68" s="418">
        <f>BS!N4</f>
        <v>983.89700000000005</v>
      </c>
      <c r="O68" s="418">
        <f>BS!O4</f>
        <v>738.50099999999998</v>
      </c>
      <c r="P68" s="418">
        <f>BS!P4</f>
        <v>718.36099999999999</v>
      </c>
      <c r="Q68" s="418">
        <f>BS!Q4</f>
        <v>932.59400000000005</v>
      </c>
      <c r="R68" s="418">
        <f>BS!R4</f>
        <v>849.21799999999996</v>
      </c>
      <c r="S68" s="418">
        <f>BS!S4</f>
        <v>641.95100000000002</v>
      </c>
      <c r="T68" s="418">
        <f>BS!T4</f>
        <v>581.05600000000004</v>
      </c>
      <c r="U68" s="418">
        <f>BS!U4</f>
        <v>663.27</v>
      </c>
      <c r="V68" s="418">
        <f>BS!V4</f>
        <v>530.78399999999999</v>
      </c>
      <c r="W68" s="418">
        <f>BS!W4</f>
        <v>1130.0150000000001</v>
      </c>
      <c r="X68" s="418">
        <f>BS!X4</f>
        <v>499.95400000000001</v>
      </c>
      <c r="Y68" s="418">
        <f>BS!Y4</f>
        <v>1112.8499999999999</v>
      </c>
      <c r="Z68" s="418">
        <f>BS!Z4</f>
        <v>890.928</v>
      </c>
      <c r="AA68" s="418">
        <f>BS!AA4</f>
        <v>752.43499999999995</v>
      </c>
      <c r="AB68" s="418">
        <f>BS!AB4</f>
        <v>624.96699999999998</v>
      </c>
      <c r="AC68" s="418">
        <f>BS!AC4</f>
        <v>1195.8139999999999</v>
      </c>
      <c r="AD68" s="418">
        <f>BS!AD4</f>
        <v>1082.8710000000001</v>
      </c>
      <c r="AE68" s="418">
        <f>BS!AE4</f>
        <v>1157.0650000000001</v>
      </c>
      <c r="AF68" s="418">
        <f>BS!AF4</f>
        <v>1319.8440000000001</v>
      </c>
      <c r="AG68" s="418">
        <f>BS!AG4</f>
        <v>2547.8420000000001</v>
      </c>
      <c r="AH68" s="418">
        <f>BS!AH4</f>
        <v>1710.086</v>
      </c>
      <c r="AI68" s="418">
        <f>BS!AI4</f>
        <v>1255.6289999999999</v>
      </c>
      <c r="AJ68" s="418">
        <f>BS!AJ4</f>
        <v>1020.539</v>
      </c>
      <c r="AK68" s="418">
        <f>BS!AK4</f>
        <v>1540.403</v>
      </c>
      <c r="AL68" s="418">
        <f>BS!AL4</f>
        <v>2064.4929999999999</v>
      </c>
      <c r="AM68" s="418">
        <f>BS!AM4</f>
        <v>2307.886</v>
      </c>
      <c r="AN68" s="418">
        <f>BS!AN4</f>
        <v>2474.4690000000001</v>
      </c>
      <c r="AO68" s="418">
        <f>BS!AO4</f>
        <v>1987.857</v>
      </c>
      <c r="AP68" s="418">
        <f>BS!AP4</f>
        <v>1722.913</v>
      </c>
      <c r="AQ68" s="418">
        <f>BS!AQ4</f>
        <v>1852.7180000000001</v>
      </c>
      <c r="AR68" s="418">
        <f>BS!AR4</f>
        <v>1623.644</v>
      </c>
      <c r="AS68" s="418">
        <f>BS!AS4</f>
        <v>2625.3890000000001</v>
      </c>
      <c r="AT68" s="418">
        <f>BS!AT4</f>
        <v>3844.203</v>
      </c>
      <c r="AU68" s="418">
        <f>BS!AU4</f>
        <v>4329.4210000000003</v>
      </c>
      <c r="AV68" s="418">
        <f>BS!AV4</f>
        <v>4599.5140000000001</v>
      </c>
      <c r="AW68" s="418">
        <f>BS!AW4</f>
        <v>3932</v>
      </c>
      <c r="AX68" s="418">
        <f>BS!AX4</f>
        <v>3367.77</v>
      </c>
      <c r="AY68" s="418">
        <f>BS!AY4</f>
        <v>3830.3429999999998</v>
      </c>
      <c r="AZ68" s="418">
        <f>BS!AZ4</f>
        <v>3585.1289999999999</v>
      </c>
      <c r="BA68" s="418">
        <f>BS!BA4</f>
        <v>6893.433</v>
      </c>
      <c r="BB68" s="418">
        <f>BS!BB4</f>
        <v>5070.4719999999998</v>
      </c>
      <c r="BC68" s="418">
        <f>BS!BC4</f>
        <v>5042.7520000000004</v>
      </c>
      <c r="BD68" s="418">
        <f>BS!BD4</f>
        <v>5128.1019999999999</v>
      </c>
      <c r="BE68" s="418">
        <f>BS!BE4</f>
        <v>6099.7089999999998</v>
      </c>
      <c r="BF68" s="418">
        <f>BS!BF4</f>
        <v>4468.9740000000002</v>
      </c>
      <c r="BG68" s="418">
        <f>BS!BG4</f>
        <v>4349.6880000000001</v>
      </c>
      <c r="BH68" s="418">
        <f>BS!BH4</f>
        <v>5151.4669999999996</v>
      </c>
      <c r="BI68" s="418">
        <f>BS!BI4</f>
        <v>6409.7979999999998</v>
      </c>
      <c r="BJ68" s="418">
        <f>BS!BJ4</f>
        <v>5443.558</v>
      </c>
      <c r="BK68" s="1319">
        <f>BS!BK4</f>
        <v>4030.7370000000001</v>
      </c>
      <c r="BL68" s="385">
        <f t="shared" ref="BL68:CW68" si="412">BL139</f>
        <v>4536.7544559739044</v>
      </c>
      <c r="BM68" s="385">
        <f t="shared" si="412"/>
        <v>5027.6001092946917</v>
      </c>
      <c r="BN68" s="385">
        <f t="shared" si="412"/>
        <v>4894.6821625748435</v>
      </c>
      <c r="BO68" s="385">
        <f t="shared" si="412"/>
        <v>5359.4265845170503</v>
      </c>
      <c r="BP68" s="385">
        <f t="shared" si="412"/>
        <v>7302.3167892004685</v>
      </c>
      <c r="BQ68" s="385">
        <f t="shared" si="412"/>
        <v>10021.567702024999</v>
      </c>
      <c r="BR68" s="385">
        <f t="shared" si="412"/>
        <v>11031.367921651978</v>
      </c>
      <c r="BS68" s="385">
        <f t="shared" si="412"/>
        <v>11535.120497699143</v>
      </c>
      <c r="BT68" s="385">
        <f t="shared" si="412"/>
        <v>13727.217044477242</v>
      </c>
      <c r="BU68" s="385">
        <f t="shared" si="412"/>
        <v>16668.287619622075</v>
      </c>
      <c r="BV68" s="385">
        <f t="shared" si="412"/>
        <v>17484.074447025658</v>
      </c>
      <c r="BW68" s="385">
        <f t="shared" si="412"/>
        <v>18029.834764064031</v>
      </c>
      <c r="BX68" s="385">
        <f t="shared" si="412"/>
        <v>20444.695707435207</v>
      </c>
      <c r="BY68" s="385">
        <f t="shared" si="412"/>
        <v>23837.458151008566</v>
      </c>
      <c r="BZ68" s="385">
        <f t="shared" si="412"/>
        <v>23721.874228444205</v>
      </c>
      <c r="CA68" s="385">
        <f t="shared" si="412"/>
        <v>23204.151342357978</v>
      </c>
      <c r="CB68" s="385">
        <f t="shared" si="412"/>
        <v>24683.35589359916</v>
      </c>
      <c r="CC68" s="385">
        <f t="shared" si="412"/>
        <v>27372.725024565363</v>
      </c>
      <c r="CD68" s="385">
        <f t="shared" si="412"/>
        <v>27070.572967394135</v>
      </c>
      <c r="CE68" s="385">
        <f t="shared" si="412"/>
        <v>26536.978369051285</v>
      </c>
      <c r="CF68" s="385">
        <f t="shared" si="412"/>
        <v>28115.614783937384</v>
      </c>
      <c r="CG68" s="385">
        <f t="shared" si="412"/>
        <v>30976.411823377985</v>
      </c>
      <c r="CH68" s="385">
        <f t="shared" si="412"/>
        <v>30707.907496850185</v>
      </c>
      <c r="CI68" s="385">
        <f t="shared" si="412"/>
        <v>30200.427819707547</v>
      </c>
      <c r="CJ68" s="385">
        <f t="shared" si="412"/>
        <v>31924.02761599157</v>
      </c>
      <c r="CK68" s="385">
        <f t="shared" si="412"/>
        <v>35042.007675271117</v>
      </c>
      <c r="CL68" s="385">
        <f t="shared" si="412"/>
        <v>34765.006206661536</v>
      </c>
      <c r="CM68" s="385">
        <f t="shared" si="412"/>
        <v>34245.28985451172</v>
      </c>
      <c r="CN68" s="385">
        <f t="shared" si="412"/>
        <v>36078.380126999138</v>
      </c>
      <c r="CO68" s="385">
        <f t="shared" si="412"/>
        <v>39381.865596393211</v>
      </c>
      <c r="CP68" s="385">
        <f t="shared" si="412"/>
        <v>39098.835705553778</v>
      </c>
      <c r="CQ68" s="385">
        <f t="shared" si="412"/>
        <v>38566.67847188063</v>
      </c>
      <c r="CR68" s="385">
        <f t="shared" si="412"/>
        <v>41015.168929860825</v>
      </c>
      <c r="CS68" s="385">
        <f t="shared" si="412"/>
        <v>45014.538811507904</v>
      </c>
      <c r="CT68" s="385">
        <f t="shared" si="412"/>
        <v>44724.930938113474</v>
      </c>
      <c r="CU68" s="385">
        <f t="shared" si="412"/>
        <v>44327.922089143045</v>
      </c>
      <c r="CV68" s="385">
        <f t="shared" si="412"/>
        <v>46397.160129130956</v>
      </c>
      <c r="CW68" s="385">
        <f t="shared" si="412"/>
        <v>50215.361753652185</v>
      </c>
    </row>
    <row r="69" spans="1:101">
      <c r="A69" s="364" t="s">
        <v>119</v>
      </c>
      <c r="B69" s="418">
        <f>BS!B6+BS!B5</f>
        <v>167.983</v>
      </c>
      <c r="C69" s="418">
        <f>BS!C6+BS!C5</f>
        <v>166.66399999999999</v>
      </c>
      <c r="D69" s="418">
        <f>BS!D6+BS!D5</f>
        <v>172.02699999999999</v>
      </c>
      <c r="E69" s="418">
        <f>BS!E6+BS!E5</f>
        <v>196.14699999999999</v>
      </c>
      <c r="F69" s="418">
        <f>BS!F6+BS!F5</f>
        <v>208.50600000000003</v>
      </c>
      <c r="G69" s="418">
        <f>BS!G6+BS!G5</f>
        <v>207.13600000000002</v>
      </c>
      <c r="H69" s="418">
        <f>BS!H6+BS!H5</f>
        <v>207.78200000000001</v>
      </c>
      <c r="I69" s="418">
        <f>BS!I6+BS!I5</f>
        <v>246.70599999999999</v>
      </c>
      <c r="J69" s="418">
        <f>BS!J6+BS!J5</f>
        <v>263.93600000000004</v>
      </c>
      <c r="K69" s="418">
        <f>BS!K6+BS!K5</f>
        <v>275.56299999999999</v>
      </c>
      <c r="L69" s="418">
        <f>BS!L6+BS!L5</f>
        <v>286.93799999999999</v>
      </c>
      <c r="M69" s="418">
        <f>BS!M6+BS!M5</f>
        <v>385.57799999999997</v>
      </c>
      <c r="N69" s="418">
        <f>BS!N6+BS!N5</f>
        <v>448.58000000000004</v>
      </c>
      <c r="O69" s="418">
        <f>BS!O6+BS!O5</f>
        <v>399.63499999999999</v>
      </c>
      <c r="P69" s="418">
        <f>BS!P6+BS!P5</f>
        <v>476.51099999999997</v>
      </c>
      <c r="Q69" s="418">
        <f>BS!Q6+BS!Q5</f>
        <v>535.93100000000004</v>
      </c>
      <c r="R69" s="418">
        <f>BS!R6+BS!R5</f>
        <v>487.41800000000001</v>
      </c>
      <c r="S69" s="418">
        <f>BS!S6+BS!S5</f>
        <v>527.06700000000001</v>
      </c>
      <c r="T69" s="418">
        <f>BS!T6+BS!T5</f>
        <v>530.23400000000004</v>
      </c>
      <c r="U69" s="418">
        <f>BS!U6+BS!U5</f>
        <v>628.81799999999998</v>
      </c>
      <c r="V69" s="418">
        <f>BS!V6+BS!V5</f>
        <v>584.34699999999998</v>
      </c>
      <c r="W69" s="418">
        <f>BS!W6+BS!W5</f>
        <v>624.02499999999998</v>
      </c>
      <c r="X69" s="418">
        <f>BS!X6+BS!X5</f>
        <v>791.16800000000001</v>
      </c>
      <c r="Y69" s="418">
        <f>BS!Y6+BS!Y5</f>
        <v>895.54300000000001</v>
      </c>
      <c r="Z69" s="418">
        <f>BS!Z6+BS!Z5</f>
        <v>871.36699999999996</v>
      </c>
      <c r="AA69" s="418">
        <f>BS!AA6+BS!AA5</f>
        <v>774.21299999999997</v>
      </c>
      <c r="AB69" s="418">
        <f>BS!AB6+BS!AB5</f>
        <v>771.38400000000001</v>
      </c>
      <c r="AC69" s="418">
        <f>BS!AC6+BS!AC5</f>
        <v>904.85299999999995</v>
      </c>
      <c r="AD69" s="418">
        <f>BS!AD6+BS!AD5</f>
        <v>871.30300000000011</v>
      </c>
      <c r="AE69" s="418">
        <f>BS!AE6+BS!AE5</f>
        <v>857.072</v>
      </c>
      <c r="AF69" s="418">
        <f>BS!AF6+BS!AF5</f>
        <v>890.53200000000004</v>
      </c>
      <c r="AG69" s="418">
        <f>BS!AG6+BS!AG5</f>
        <v>953.63800000000003</v>
      </c>
      <c r="AH69" s="418">
        <f>BS!AH6+BS!AH5</f>
        <v>857.31100000000004</v>
      </c>
      <c r="AI69" s="418">
        <f>BS!AI6+BS!AI5</f>
        <v>915.72199999999998</v>
      </c>
      <c r="AJ69" s="418">
        <f>BS!AJ6+BS!AJ5</f>
        <v>968.53099999999995</v>
      </c>
      <c r="AK69" s="418">
        <f>BS!AK6+BS!AK5</f>
        <v>1250.588</v>
      </c>
      <c r="AL69" s="418">
        <f>BS!AL6+BS!AL5</f>
        <v>901.28500000000008</v>
      </c>
      <c r="AM69" s="418">
        <f>BS!AM6+BS!AM5</f>
        <v>892.02400000000011</v>
      </c>
      <c r="AN69" s="418">
        <f>BS!AN6+BS!AN5</f>
        <v>793.15899999999999</v>
      </c>
      <c r="AO69" s="418">
        <f>BS!AO6+BS!AO5</f>
        <v>1025.1179999999999</v>
      </c>
      <c r="AP69" s="418">
        <f>BS!AP6+BS!AP5</f>
        <v>1144.451</v>
      </c>
      <c r="AQ69" s="418">
        <f>BS!AQ6+BS!AQ5</f>
        <v>1384.633</v>
      </c>
      <c r="AR69" s="418">
        <f>BS!AR6+BS!AR5</f>
        <v>1668.3879999999999</v>
      </c>
      <c r="AS69" s="418">
        <f>BS!AS6+BS!AS5</f>
        <v>1447.221</v>
      </c>
      <c r="AT69" s="418">
        <f>BS!AT6+BS!AT5</f>
        <v>1748.4580000000001</v>
      </c>
      <c r="AU69" s="418">
        <f>BS!AU6+BS!AU5</f>
        <v>1468.375</v>
      </c>
      <c r="AV69" s="418">
        <f>BS!AV6+BS!AV5</f>
        <v>1557.7670000000001</v>
      </c>
      <c r="AW69" s="418">
        <f>BS!AW6+BS!AW5</f>
        <v>1706</v>
      </c>
      <c r="AX69" s="418">
        <f>BS!AX6+BS!AX5</f>
        <v>1675.6599999999999</v>
      </c>
      <c r="AY69" s="418">
        <f>BS!AY6+BS!AY5</f>
        <v>1645.194</v>
      </c>
      <c r="AZ69" s="418">
        <f>BS!AZ6+BS!AZ5</f>
        <v>1791.5250000000001</v>
      </c>
      <c r="BA69" s="418">
        <f>BS!BA6+BS!BA5</f>
        <v>1751.527</v>
      </c>
      <c r="BB69" s="418">
        <f>BS!BB6+BS!BB5</f>
        <v>1690.9190000000001</v>
      </c>
      <c r="BC69" s="418">
        <f>BS!BC6+BS!BC5</f>
        <v>1794.4059999999999</v>
      </c>
      <c r="BD69" s="418">
        <f>BS!BD6+BS!BD5</f>
        <v>1827.136</v>
      </c>
      <c r="BE69" s="418">
        <f>BS!BE6+BS!BE5</f>
        <v>2029.42</v>
      </c>
      <c r="BF69" s="418">
        <f>BS!BF6+BS!BF5</f>
        <v>2284.6800000000003</v>
      </c>
      <c r="BG69" s="418">
        <f>BS!BG6+BS!BG5</f>
        <v>2204.9180000000001</v>
      </c>
      <c r="BH69" s="418">
        <f>BS!BH6+BS!BH5</f>
        <v>2389.8820000000001</v>
      </c>
      <c r="BI69" s="418">
        <f>BS!BI6+BS!BI5</f>
        <v>2372.241</v>
      </c>
      <c r="BJ69" s="418">
        <f>BS!BJ6+BS!BJ5</f>
        <v>2153.0259999999998</v>
      </c>
      <c r="BK69" s="1319">
        <f>BS!BK6+BS!BK5</f>
        <v>1987.982</v>
      </c>
      <c r="BL69" s="385">
        <f>Q_BS!BL6</f>
        <v>2468.1942333185043</v>
      </c>
      <c r="BM69" s="385">
        <f>Q_BS!BM6</f>
        <v>2470.8553474906266</v>
      </c>
      <c r="BN69" s="385">
        <f>Q_BS!BN6</f>
        <v>2355.1381032501395</v>
      </c>
      <c r="BO69" s="385">
        <f>Q_BS!BO6</f>
        <v>2210.9687163127187</v>
      </c>
      <c r="BP69" s="385">
        <f>Q_BS!BP6</f>
        <v>2695.533321000376</v>
      </c>
      <c r="BQ69" s="385">
        <f>Q_BS!BQ6</f>
        <v>2674.727110579985</v>
      </c>
      <c r="BR69" s="385">
        <f>Q_BS!BR6</f>
        <v>2537.8990218453409</v>
      </c>
      <c r="BS69" s="385">
        <f>Q_BS!BS6</f>
        <v>2355.9039583212334</v>
      </c>
      <c r="BT69" s="385">
        <f>Q_BS!BT6</f>
        <v>2871.7030781668673</v>
      </c>
      <c r="BU69" s="385">
        <f>Q_BS!BU6</f>
        <v>2848.6329347755423</v>
      </c>
      <c r="BV69" s="385">
        <f>Q_BS!BV6</f>
        <v>2689.7640591333038</v>
      </c>
      <c r="BW69" s="385">
        <f>Q_BS!BW6</f>
        <v>2492.8045822122081</v>
      </c>
      <c r="BX69" s="385">
        <f>Q_BS!BX6</f>
        <v>3039.7067585511745</v>
      </c>
      <c r="BY69" s="385">
        <f>Q_BS!BY6</f>
        <v>3018.4303820045948</v>
      </c>
      <c r="BZ69" s="385">
        <f>Q_BS!BZ6</f>
        <v>2831.831937833053</v>
      </c>
      <c r="CA69" s="385">
        <f>Q_BS!CA6</f>
        <v>2621.6953078258971</v>
      </c>
      <c r="CB69" s="385">
        <f>Q_BS!CB6</f>
        <v>3199.1468014951647</v>
      </c>
      <c r="CC69" s="385">
        <f>Q_BS!CC6</f>
        <v>3180.7981301458003</v>
      </c>
      <c r="CD69" s="385">
        <f>Q_BS!CD6</f>
        <v>2980.7651328744369</v>
      </c>
      <c r="CE69" s="385">
        <f>Q_BS!CE6</f>
        <v>2756.6738291734941</v>
      </c>
      <c r="CF69" s="385">
        <f>Q_BS!CF6</f>
        <v>3366.1854402724348</v>
      </c>
      <c r="CG69" s="385">
        <f>Q_BS!CG6</f>
        <v>3351.0032516326623</v>
      </c>
      <c r="CH69" s="385">
        <f>Q_BS!CH6</f>
        <v>3135.9575962305616</v>
      </c>
      <c r="CI69" s="385">
        <f>Q_BS!CI6</f>
        <v>2895.9249298973837</v>
      </c>
      <c r="CJ69" s="385">
        <f>Q_BS!CJ6</f>
        <v>3537.0468702190383</v>
      </c>
      <c r="CK69" s="385">
        <f>Q_BS!CK6</f>
        <v>3522.9335880553758</v>
      </c>
      <c r="CL69" s="385">
        <f>Q_BS!CL6</f>
        <v>3292.2617960871153</v>
      </c>
      <c r="CM69" s="385">
        <f>Q_BS!CM6</f>
        <v>3037.42456105981</v>
      </c>
      <c r="CN69" s="385">
        <f>Q_BS!CN6</f>
        <v>3712.5654145625099</v>
      </c>
      <c r="CO69" s="385">
        <f>Q_BS!CO6</f>
        <v>3701.8956798081135</v>
      </c>
      <c r="CP69" s="385">
        <f>Q_BS!CP6</f>
        <v>3455.9481560705558</v>
      </c>
      <c r="CQ69" s="385">
        <f>Q_BS!CQ6</f>
        <v>3185.4969425237273</v>
      </c>
      <c r="CR69" s="385">
        <f>Q_BS!CR6</f>
        <v>3896.4790374219183</v>
      </c>
      <c r="CS69" s="385">
        <f>Q_BS!CS6</f>
        <v>3889.5857357949376</v>
      </c>
      <c r="CT69" s="385">
        <f>Q_BS!CT6</f>
        <v>3627.4857831379168</v>
      </c>
      <c r="CU69" s="385">
        <f>Q_BS!CU6</f>
        <v>3340.4633866172067</v>
      </c>
      <c r="CV69" s="385">
        <f>Q_BS!CV6</f>
        <v>4088.9202590635582</v>
      </c>
      <c r="CW69" s="385">
        <f>Q_BS!CW6</f>
        <v>4083.8483426410867</v>
      </c>
    </row>
    <row r="70" spans="1:101">
      <c r="A70" s="364" t="s">
        <v>345</v>
      </c>
      <c r="B70" s="418">
        <f>BS!B7</f>
        <v>271.16699999999997</v>
      </c>
      <c r="C70" s="418">
        <f>BS!C7</f>
        <v>300.27300000000002</v>
      </c>
      <c r="D70" s="418">
        <f>BS!D7</f>
        <v>305.875</v>
      </c>
      <c r="E70" s="418">
        <f>BS!E7</f>
        <v>336.87</v>
      </c>
      <c r="F70" s="418">
        <f>BS!F7</f>
        <v>287.654</v>
      </c>
      <c r="G70" s="418">
        <f>BS!G7</f>
        <v>293.36799999999999</v>
      </c>
      <c r="H70" s="418">
        <f>BS!H7</f>
        <v>298.52800000000002</v>
      </c>
      <c r="I70" s="418">
        <f>BS!I7</f>
        <v>352.32499999999999</v>
      </c>
      <c r="J70" s="418">
        <f>BS!J7</f>
        <v>356.12799999999999</v>
      </c>
      <c r="K70" s="418">
        <f>BS!K7</f>
        <v>391.274</v>
      </c>
      <c r="L70" s="418">
        <f>BS!L7</f>
        <v>360.94600000000003</v>
      </c>
      <c r="M70" s="418">
        <f>BS!M7</f>
        <v>403.13</v>
      </c>
      <c r="N70" s="418">
        <f>BS!N7</f>
        <v>429.62900000000002</v>
      </c>
      <c r="O70" s="418">
        <f>BS!O7</f>
        <v>511.29199999999997</v>
      </c>
      <c r="P70" s="418">
        <f>BS!P7</f>
        <v>515.822</v>
      </c>
      <c r="Q70" s="418">
        <f>BS!Q7</f>
        <v>550.39400000000001</v>
      </c>
      <c r="R70" s="418">
        <f>BS!R7</f>
        <v>430.70800000000003</v>
      </c>
      <c r="S70" s="418">
        <f>BS!S7</f>
        <v>472.08800000000002</v>
      </c>
      <c r="T70" s="418">
        <f>BS!T7</f>
        <v>570.65499999999997</v>
      </c>
      <c r="U70" s="418">
        <f>BS!U7</f>
        <v>641.88</v>
      </c>
      <c r="V70" s="418">
        <f>BS!V7</f>
        <v>577.10599999999999</v>
      </c>
      <c r="W70" s="418">
        <f>BS!W7</f>
        <v>740.17499999999995</v>
      </c>
      <c r="X70" s="418">
        <f>BS!X7</f>
        <v>871.73199999999997</v>
      </c>
      <c r="Y70" s="418">
        <f>BS!Y7</f>
        <v>1055.174</v>
      </c>
      <c r="Z70" s="418">
        <f>BS!Z7</f>
        <v>1144.989</v>
      </c>
      <c r="AA70" s="418">
        <f>BS!AA7</f>
        <v>1356.4670000000001</v>
      </c>
      <c r="AB70" s="418">
        <f>BS!AB7</f>
        <v>1365.3109999999999</v>
      </c>
      <c r="AC70" s="418">
        <f>BS!AC7</f>
        <v>1377.981</v>
      </c>
      <c r="AD70" s="418">
        <f>BS!AD7</f>
        <v>1398.3330000000001</v>
      </c>
      <c r="AE70" s="418">
        <f>BS!AE7</f>
        <v>1451.13</v>
      </c>
      <c r="AF70" s="418">
        <f>BS!AF7</f>
        <v>1520.452</v>
      </c>
      <c r="AG70" s="418">
        <f>BS!AG7</f>
        <v>1575.3630000000001</v>
      </c>
      <c r="AH70" s="418">
        <f>BS!AH7</f>
        <v>1562.0930000000001</v>
      </c>
      <c r="AI70" s="418">
        <f>BS!AI7</f>
        <v>1723.0440000000001</v>
      </c>
      <c r="AJ70" s="418">
        <f>BS!AJ7</f>
        <v>1874.7619999999999</v>
      </c>
      <c r="AK70" s="418">
        <f>BS!AK7</f>
        <v>2009.779</v>
      </c>
      <c r="AL70" s="418">
        <f>BS!AL7</f>
        <v>1868.28</v>
      </c>
      <c r="AM70" s="418">
        <f>BS!AM7</f>
        <v>2103.2249999999999</v>
      </c>
      <c r="AN70" s="418">
        <f>BS!AN7</f>
        <v>1747.806</v>
      </c>
      <c r="AO70" s="418">
        <f>BS!AO7</f>
        <v>2120.2080000000001</v>
      </c>
      <c r="AP70" s="418">
        <f>BS!AP7</f>
        <v>1959.8320000000001</v>
      </c>
      <c r="AQ70" s="418">
        <f>BS!AQ7</f>
        <v>2081.0300000000002</v>
      </c>
      <c r="AR70" s="418">
        <f>BS!AR7</f>
        <v>1988.1869999999999</v>
      </c>
      <c r="AS70" s="418">
        <f>BS!AS7</f>
        <v>1779.646</v>
      </c>
      <c r="AT70" s="418">
        <f>BS!AT7</f>
        <v>2049.672</v>
      </c>
      <c r="AU70" s="418">
        <f>BS!AU7</f>
        <v>1926.6110000000001</v>
      </c>
      <c r="AV70" s="418">
        <f>BS!AV7</f>
        <v>1659.6859999999999</v>
      </c>
      <c r="AW70" s="418">
        <f>BS!AW7</f>
        <v>1618</v>
      </c>
      <c r="AX70" s="418">
        <f>BS!AX7</f>
        <v>1539.345</v>
      </c>
      <c r="AY70" s="418">
        <f>BS!AY7</f>
        <v>1740.337</v>
      </c>
      <c r="AZ70" s="418">
        <f>BS!AZ7</f>
        <v>1853.0840000000001</v>
      </c>
      <c r="BA70" s="418">
        <f>BS!BA7</f>
        <v>2009.258</v>
      </c>
      <c r="BB70" s="418">
        <f>BS!BB7</f>
        <v>2080.9679999999998</v>
      </c>
      <c r="BC70" s="418">
        <f>BS!BC7</f>
        <v>2717.7370000000001</v>
      </c>
      <c r="BD70" s="418">
        <f>BS!BD7</f>
        <v>2805.7539999999999</v>
      </c>
      <c r="BE70" s="418">
        <f>BS!BE7</f>
        <v>2895.326</v>
      </c>
      <c r="BF70" s="418">
        <f>BS!BF7</f>
        <v>2812.51</v>
      </c>
      <c r="BG70" s="418">
        <f>BS!BG7</f>
        <v>2873.944</v>
      </c>
      <c r="BH70" s="418">
        <f>BS!BH7</f>
        <v>2928.02</v>
      </c>
      <c r="BI70" s="418">
        <f>BS!BI7</f>
        <v>2750.665</v>
      </c>
      <c r="BJ70" s="418">
        <f>BS!BJ7</f>
        <v>2515.373</v>
      </c>
      <c r="BK70" s="1319">
        <f>BS!BK7</f>
        <v>2937.4140000000002</v>
      </c>
      <c r="BL70" s="385">
        <f>Q_BS!BL8</f>
        <v>3051.7321243461674</v>
      </c>
      <c r="BM70" s="385">
        <f>Q_BS!BM8</f>
        <v>2949.8939755864417</v>
      </c>
      <c r="BN70" s="385">
        <f>Q_BS!BN8</f>
        <v>2846.1905874582144</v>
      </c>
      <c r="BO70" s="385">
        <f>Q_BS!BO8</f>
        <v>3379.9708420040765</v>
      </c>
      <c r="BP70" s="385">
        <f>Q_BS!BP8</f>
        <v>3342.918854422016</v>
      </c>
      <c r="BQ70" s="385">
        <f>Q_BS!BQ8</f>
        <v>3202.9098523431808</v>
      </c>
      <c r="BR70" s="385">
        <f>Q_BS!BR8</f>
        <v>3076.3338912781537</v>
      </c>
      <c r="BS70" s="385">
        <f>Q_BS!BS8</f>
        <v>3612.4908565714941</v>
      </c>
      <c r="BT70" s="385">
        <f>Q_BS!BT8</f>
        <v>3572.1587705069342</v>
      </c>
      <c r="BU70" s="385">
        <f>Q_BS!BU8</f>
        <v>3421.400859520812</v>
      </c>
      <c r="BV70" s="385">
        <f>Q_BS!BV8</f>
        <v>3270.2496025803748</v>
      </c>
      <c r="BW70" s="385">
        <f>Q_BS!BW8</f>
        <v>3834.0011148462931</v>
      </c>
      <c r="BX70" s="385">
        <f>Q_BS!BX8</f>
        <v>3792.530296281941</v>
      </c>
      <c r="BY70" s="385">
        <f>Q_BS!BY8</f>
        <v>3636.1933887556324</v>
      </c>
      <c r="BZ70" s="385">
        <f>Q_BS!BZ8</f>
        <v>3494.7305750941041</v>
      </c>
      <c r="CA70" s="385">
        <f>Q_BS!CA8</f>
        <v>4093.1842251065191</v>
      </c>
      <c r="CB70" s="385">
        <f>Q_BS!CB8</f>
        <v>4051.3895706801964</v>
      </c>
      <c r="CC70" s="385">
        <f>Q_BS!CC8</f>
        <v>3888.9828384477514</v>
      </c>
      <c r="CD70" s="385">
        <f>Q_BS!CD8</f>
        <v>3678.5272840032694</v>
      </c>
      <c r="CE70" s="385">
        <f>Q_BS!CE8</f>
        <v>4303.9226555636997</v>
      </c>
      <c r="CF70" s="385">
        <f>Q_BS!CF8</f>
        <v>4262.9267838917212</v>
      </c>
      <c r="CG70" s="385">
        <f>Q_BS!CG8</f>
        <v>4097.0830602772903</v>
      </c>
      <c r="CH70" s="385">
        <f>Q_BS!CH8</f>
        <v>3870.0484825140243</v>
      </c>
      <c r="CI70" s="385">
        <f>Q_BS!CI8</f>
        <v>4521.3317523074456</v>
      </c>
      <c r="CJ70" s="385">
        <f>Q_BS!CJ8</f>
        <v>4479.3051679638902</v>
      </c>
      <c r="CK70" s="385">
        <f>Q_BS!CK8</f>
        <v>4307.2926053029696</v>
      </c>
      <c r="CL70" s="385">
        <f>Q_BS!CL8</f>
        <v>4062.9416619985054</v>
      </c>
      <c r="CM70" s="385">
        <f>Q_BS!CM8</f>
        <v>4742.2514207386093</v>
      </c>
      <c r="CN70" s="385">
        <f>Q_BS!CN8</f>
        <v>4701.5813072400788</v>
      </c>
      <c r="CO70" s="385">
        <f>Q_BS!CO8</f>
        <v>4526.0994817793471</v>
      </c>
      <c r="CP70" s="385">
        <f>Q_BS!CP8</f>
        <v>4264.945078697634</v>
      </c>
      <c r="CQ70" s="385">
        <f>Q_BS!CQ8</f>
        <v>4973.432952083178</v>
      </c>
      <c r="CR70" s="385">
        <f>Q_BS!CR8</f>
        <v>4934.4889478680052</v>
      </c>
      <c r="CS70" s="385">
        <f>Q_BS!CS8</f>
        <v>4755.5775488601412</v>
      </c>
      <c r="CT70" s="385">
        <f>Q_BS!CT8</f>
        <v>4476.6376520041285</v>
      </c>
      <c r="CU70" s="385">
        <f>Q_BS!CU8</f>
        <v>5215.3780028641904</v>
      </c>
      <c r="CV70" s="385">
        <f>Q_BS!CV8</f>
        <v>5178.19591310121</v>
      </c>
      <c r="CW70" s="385">
        <f>Q_BS!CW8</f>
        <v>4993.0915039322172</v>
      </c>
    </row>
    <row r="71" spans="1:101">
      <c r="A71" s="364" t="s">
        <v>6</v>
      </c>
      <c r="B71" s="418">
        <f>BS!B8+BS!B9</f>
        <v>809.16200000000003</v>
      </c>
      <c r="C71" s="418">
        <f>BS!C8+BS!C9</f>
        <v>733.11299999999994</v>
      </c>
      <c r="D71" s="418">
        <f>BS!D8+BS!D9</f>
        <v>454.51100000000002</v>
      </c>
      <c r="E71" s="418">
        <f>BS!E8+BS!E9</f>
        <v>439.12700000000001</v>
      </c>
      <c r="F71" s="418">
        <f>BS!F8+BS!F9</f>
        <v>551.13599999999997</v>
      </c>
      <c r="G71" s="418">
        <f>BS!G8+BS!G9</f>
        <v>386.17899999999997</v>
      </c>
      <c r="H71" s="418">
        <f>BS!H8+BS!H9</f>
        <v>424.89300000000003</v>
      </c>
      <c r="I71" s="418">
        <f>BS!I8+BS!I9</f>
        <v>396.60400000000004</v>
      </c>
      <c r="J71" s="418">
        <f>BS!J8+BS!J9</f>
        <v>440.17200000000003</v>
      </c>
      <c r="K71" s="418">
        <f>BS!K8+BS!K9</f>
        <v>421.005</v>
      </c>
      <c r="L71" s="418">
        <f>BS!L8+BS!L9</f>
        <v>443.40899999999999</v>
      </c>
      <c r="M71" s="418">
        <f>BS!M8+BS!M9</f>
        <v>2722.1579999999999</v>
      </c>
      <c r="N71" s="418">
        <f>BS!N8+BS!N9</f>
        <v>724.75099999999998</v>
      </c>
      <c r="O71" s="418">
        <f>BS!O8+BS!O9</f>
        <v>793.59400000000005</v>
      </c>
      <c r="P71" s="418">
        <f>BS!P8+BS!P9</f>
        <v>690.20100000000002</v>
      </c>
      <c r="Q71" s="418">
        <f>BS!Q8+BS!Q9</f>
        <v>566.47500000000002</v>
      </c>
      <c r="R71" s="418">
        <f>BS!R8+BS!R9</f>
        <v>684.97</v>
      </c>
      <c r="S71" s="418">
        <f>BS!S8+BS!S9</f>
        <v>699.03899999999999</v>
      </c>
      <c r="T71" s="418">
        <f>BS!T8+BS!T9</f>
        <v>916.80099999999993</v>
      </c>
      <c r="U71" s="418">
        <f>BS!U8+BS!U9</f>
        <v>801.78099999999995</v>
      </c>
      <c r="V71" s="418">
        <f>BS!V8+BS!V9</f>
        <v>878.15000000000009</v>
      </c>
      <c r="W71" s="418">
        <f>BS!W8+BS!W9</f>
        <v>1387.279</v>
      </c>
      <c r="X71" s="418">
        <f>BS!X8+BS!X9</f>
        <v>950.46299999999997</v>
      </c>
      <c r="Y71" s="418">
        <f>BS!Y8+BS!Y9</f>
        <v>1012.6589999999999</v>
      </c>
      <c r="Z71" s="418">
        <f>BS!Z8+BS!Z9</f>
        <v>1104.1210000000001</v>
      </c>
      <c r="AA71" s="418">
        <f>BS!AA8+BS!AA9</f>
        <v>1288.5329999999999</v>
      </c>
      <c r="AB71" s="418">
        <f>BS!AB8+BS!AB9</f>
        <v>1149.838</v>
      </c>
      <c r="AC71" s="418">
        <f>BS!AC8+BS!AC9</f>
        <v>912.16700000000014</v>
      </c>
      <c r="AD71" s="418">
        <f>BS!AD8+BS!AD9</f>
        <v>1045.981</v>
      </c>
      <c r="AE71" s="418">
        <f>BS!AE8+BS!AE9</f>
        <v>1070.674</v>
      </c>
      <c r="AF71" s="418">
        <f>BS!AF8+BS!AF9</f>
        <v>1233.2750000000001</v>
      </c>
      <c r="AG71" s="418">
        <f>BS!AG8+BS!AG9</f>
        <v>1127.9279999999999</v>
      </c>
      <c r="AH71" s="418">
        <f>BS!AH8+BS!AH9</f>
        <v>1179.461</v>
      </c>
      <c r="AI71" s="418">
        <f>BS!AI8+BS!AI9</f>
        <v>2459.62</v>
      </c>
      <c r="AJ71" s="418">
        <f>BS!AJ8+BS!AJ9</f>
        <v>2477.2599999999998</v>
      </c>
      <c r="AK71" s="418">
        <f>BS!AK8+BS!AK9</f>
        <v>1271.9299999999998</v>
      </c>
      <c r="AL71" s="418">
        <f>BS!AL8+BS!AL9</f>
        <v>1518.8450000000003</v>
      </c>
      <c r="AM71" s="418">
        <f>BS!AM8+BS!AM9</f>
        <v>1695.5730000000001</v>
      </c>
      <c r="AN71" s="418">
        <f>BS!AN8+BS!AN9</f>
        <v>1525.155</v>
      </c>
      <c r="AO71" s="418">
        <f>BS!AO8+BS!AO9</f>
        <v>1439.9290000000001</v>
      </c>
      <c r="AP71" s="418">
        <f>BS!AP8+BS!AP9</f>
        <v>1814.191</v>
      </c>
      <c r="AQ71" s="418">
        <f>BS!AQ8+BS!AQ9</f>
        <v>1959.463</v>
      </c>
      <c r="AR71" s="418">
        <f>BS!AR8+BS!AR9</f>
        <v>1940.269</v>
      </c>
      <c r="AS71" s="418">
        <f>BS!AS8+BS!AS9</f>
        <v>1378.26</v>
      </c>
      <c r="AT71" s="418">
        <f>BS!AT8+BS!AT9</f>
        <v>1839.5119999999999</v>
      </c>
      <c r="AU71" s="418">
        <f>BS!AU8+BS!AU9</f>
        <v>2308.7730000000001</v>
      </c>
      <c r="AV71" s="418">
        <f>BS!AV8+BS!AV9</f>
        <v>1494.3130000000001</v>
      </c>
      <c r="AW71" s="418">
        <f>BS!AW8+BS!AW9</f>
        <v>1274</v>
      </c>
      <c r="AX71" s="418">
        <f>BS!AX8+BS!AX9</f>
        <v>1686.3509999999999</v>
      </c>
      <c r="AY71" s="418">
        <f>BS!AY8+BS!AY9</f>
        <v>1388.6970000000001</v>
      </c>
      <c r="AZ71" s="418">
        <f>BS!AZ8+BS!AZ9</f>
        <v>1421.3589999999999</v>
      </c>
      <c r="BA71" s="418">
        <f>BS!BA8+BS!BA9</f>
        <v>1090.8989999999999</v>
      </c>
      <c r="BB71" s="418">
        <f>BS!BB8+BS!BB9</f>
        <v>1403.184</v>
      </c>
      <c r="BC71" s="418">
        <f>BS!BC8+BS!BC9</f>
        <v>1418.77</v>
      </c>
      <c r="BD71" s="418">
        <f>BS!BD8+BS!BD9</f>
        <v>1510.8809999999999</v>
      </c>
      <c r="BE71" s="418">
        <f>BS!BE8+BS!BE9</f>
        <v>1349.377</v>
      </c>
      <c r="BF71" s="418">
        <f>BS!BF8+BS!BF9</f>
        <v>1539.9040000000002</v>
      </c>
      <c r="BG71" s="418">
        <f>BS!BG8+BS!BG9</f>
        <v>2026.2270000000001</v>
      </c>
      <c r="BH71" s="418">
        <f>BS!BH8+BS!BH9</f>
        <v>2040.2339999999999</v>
      </c>
      <c r="BI71" s="418">
        <f>BS!BI8+BS!BI9</f>
        <v>1139.5920000000001</v>
      </c>
      <c r="BJ71" s="418">
        <f>BS!BJ8+BS!BJ9</f>
        <v>1700.2080000000001</v>
      </c>
      <c r="BK71" s="1319">
        <f>BS!BK8+BS!BK9</f>
        <v>2499.0859999999998</v>
      </c>
      <c r="BL71" s="385">
        <f>Q_BS!BL11</f>
        <v>2107.0888828069105</v>
      </c>
      <c r="BM71" s="385">
        <f>Q_BS!BM11</f>
        <v>1186.9649783295788</v>
      </c>
      <c r="BN71" s="385">
        <f>Q_BS!BN11</f>
        <v>1859.8124891435189</v>
      </c>
      <c r="BO71" s="385">
        <f>Q_BS!BO11</f>
        <v>2779.401908757266</v>
      </c>
      <c r="BP71" s="385">
        <f>Q_BS!BP11</f>
        <v>2301.1674758995969</v>
      </c>
      <c r="BQ71" s="385">
        <f>Q_BS!BQ11</f>
        <v>1284.9021736830559</v>
      </c>
      <c r="BR71" s="385">
        <f>Q_BS!BR11</f>
        <v>2004.1356770116217</v>
      </c>
      <c r="BS71" s="385">
        <f>Q_BS!BS11</f>
        <v>2961.5995514975375</v>
      </c>
      <c r="BT71" s="385">
        <f>Q_BS!BT11</f>
        <v>2451.5629884574632</v>
      </c>
      <c r="BU71" s="385">
        <f>Q_BS!BU11</f>
        <v>1368.4441434941602</v>
      </c>
      <c r="BV71" s="385">
        <f>Q_BS!BV11</f>
        <v>2124.0609130827575</v>
      </c>
      <c r="BW71" s="385">
        <f>Q_BS!BW11</f>
        <v>3133.6969007477824</v>
      </c>
      <c r="BX71" s="385">
        <f>Q_BS!BX11</f>
        <v>2594.9871495018988</v>
      </c>
      <c r="BY71" s="385">
        <f>Q_BS!BY11</f>
        <v>1450.0125054281502</v>
      </c>
      <c r="BZ71" s="385">
        <f>Q_BS!BZ11</f>
        <v>2236.2494997084382</v>
      </c>
      <c r="CA71" s="385">
        <f>Q_BS!CA11</f>
        <v>3295.7250317424355</v>
      </c>
      <c r="CB71" s="385">
        <f>Q_BS!CB11</f>
        <v>2731.1005628736839</v>
      </c>
      <c r="CC71" s="385">
        <f>Q_BS!CC11</f>
        <v>1528.01174194743</v>
      </c>
      <c r="CD71" s="385">
        <f>Q_BS!CD11</f>
        <v>2353.8595098406531</v>
      </c>
      <c r="CE71" s="385">
        <f>Q_BS!CE11</f>
        <v>3465.4061118530608</v>
      </c>
      <c r="CF71" s="385">
        <f>Q_BS!CF11</f>
        <v>2873.7008712349775</v>
      </c>
      <c r="CG71" s="385">
        <f>Q_BS!CG11</f>
        <v>1609.7759449965536</v>
      </c>
      <c r="CH71" s="385">
        <f>Q_BS!CH11</f>
        <v>2476.4123576640372</v>
      </c>
      <c r="CI71" s="385">
        <f>Q_BS!CI11</f>
        <v>3640.4582382323042</v>
      </c>
      <c r="CJ71" s="385">
        <f>Q_BS!CJ11</f>
        <v>3019.5646831996178</v>
      </c>
      <c r="CK71" s="385">
        <f>Q_BS!CK11</f>
        <v>1692.3689176096366</v>
      </c>
      <c r="CL71" s="385">
        <f>Q_BS!CL11</f>
        <v>2599.8431248864076</v>
      </c>
      <c r="CM71" s="385">
        <f>Q_BS!CM11</f>
        <v>3818.3369852446936</v>
      </c>
      <c r="CN71" s="385">
        <f>Q_BS!CN11</f>
        <v>3169.404257622145</v>
      </c>
      <c r="CO71" s="385">
        <f>Q_BS!CO11</f>
        <v>1778.3398489208678</v>
      </c>
      <c r="CP71" s="385">
        <f>Q_BS!CP11</f>
        <v>2729.1034583587975</v>
      </c>
      <c r="CQ71" s="385">
        <f>Q_BS!CQ11</f>
        <v>4004.4783162542981</v>
      </c>
      <c r="CR71" s="385">
        <f>Q_BS!CR11</f>
        <v>3326.4106815463983</v>
      </c>
      <c r="CS71" s="385">
        <f>Q_BS!CS11</f>
        <v>1868.5035743948551</v>
      </c>
      <c r="CT71" s="385">
        <f>Q_BS!CT11</f>
        <v>2864.5638038636562</v>
      </c>
      <c r="CU71" s="385">
        <f>Q_BS!CU11</f>
        <v>4199.2861519911394</v>
      </c>
      <c r="CV71" s="385">
        <f>Q_BS!CV11</f>
        <v>3490.6970870655032</v>
      </c>
      <c r="CW71" s="385">
        <f>Q_BS!CW11</f>
        <v>1961.8246630452143</v>
      </c>
    </row>
    <row r="72" spans="1:101" ht="13.5">
      <c r="A72" s="361" t="s">
        <v>370</v>
      </c>
      <c r="B72" s="425">
        <f t="shared" ref="B72:AG72" si="413">SUM(B68:B71)</f>
        <v>1643.941</v>
      </c>
      <c r="C72" s="425">
        <f t="shared" si="413"/>
        <v>1505.123</v>
      </c>
      <c r="D72" s="425">
        <f t="shared" si="413"/>
        <v>1408.623</v>
      </c>
      <c r="E72" s="425">
        <f t="shared" si="413"/>
        <v>1435.3579999999999</v>
      </c>
      <c r="F72" s="425">
        <f t="shared" si="413"/>
        <v>1716.4359999999999</v>
      </c>
      <c r="G72" s="425">
        <f t="shared" si="413"/>
        <v>1366.9870000000001</v>
      </c>
      <c r="H72" s="425">
        <f t="shared" si="413"/>
        <v>1413.721</v>
      </c>
      <c r="I72" s="425">
        <f t="shared" si="413"/>
        <v>1635.838</v>
      </c>
      <c r="J72" s="425">
        <f t="shared" si="413"/>
        <v>1431.162</v>
      </c>
      <c r="K72" s="425">
        <f t="shared" si="413"/>
        <v>1663.6689999999999</v>
      </c>
      <c r="L72" s="425">
        <f t="shared" si="413"/>
        <v>1776.145</v>
      </c>
      <c r="M72" s="425">
        <f t="shared" si="413"/>
        <v>4250.2449999999999</v>
      </c>
      <c r="N72" s="425">
        <f t="shared" si="413"/>
        <v>2586.857</v>
      </c>
      <c r="O72" s="425">
        <f t="shared" si="413"/>
        <v>2443.0219999999999</v>
      </c>
      <c r="P72" s="425">
        <f t="shared" si="413"/>
        <v>2400.895</v>
      </c>
      <c r="Q72" s="425">
        <f t="shared" si="413"/>
        <v>2585.3940000000002</v>
      </c>
      <c r="R72" s="425">
        <f t="shared" si="413"/>
        <v>2452.3140000000003</v>
      </c>
      <c r="S72" s="425">
        <f t="shared" si="413"/>
        <v>2340.145</v>
      </c>
      <c r="T72" s="425">
        <f t="shared" si="413"/>
        <v>2598.7460000000001</v>
      </c>
      <c r="U72" s="425">
        <f t="shared" si="413"/>
        <v>2735.7489999999998</v>
      </c>
      <c r="V72" s="425">
        <f t="shared" si="413"/>
        <v>2570.3869999999997</v>
      </c>
      <c r="W72" s="425">
        <f t="shared" si="413"/>
        <v>3881.4940000000001</v>
      </c>
      <c r="X72" s="425">
        <f t="shared" si="413"/>
        <v>3113.317</v>
      </c>
      <c r="Y72" s="425">
        <f t="shared" si="413"/>
        <v>4076.2259999999997</v>
      </c>
      <c r="Z72" s="425">
        <f t="shared" si="413"/>
        <v>4011.4050000000002</v>
      </c>
      <c r="AA72" s="425">
        <f t="shared" si="413"/>
        <v>4171.6479999999992</v>
      </c>
      <c r="AB72" s="425">
        <f t="shared" si="413"/>
        <v>3911.5</v>
      </c>
      <c r="AC72" s="425">
        <f t="shared" si="413"/>
        <v>4390.8150000000005</v>
      </c>
      <c r="AD72" s="425">
        <f t="shared" si="413"/>
        <v>4398.4880000000003</v>
      </c>
      <c r="AE72" s="425">
        <f t="shared" si="413"/>
        <v>4535.9410000000007</v>
      </c>
      <c r="AF72" s="425">
        <f t="shared" si="413"/>
        <v>4964.103000000001</v>
      </c>
      <c r="AG72" s="425">
        <f t="shared" si="413"/>
        <v>6204.7709999999997</v>
      </c>
      <c r="AH72" s="425">
        <f t="shared" ref="AH72:AQ72" si="414">SUM(AH68:AH71)</f>
        <v>5308.951</v>
      </c>
      <c r="AI72" s="425">
        <f t="shared" si="414"/>
        <v>6354.0149999999994</v>
      </c>
      <c r="AJ72" s="425">
        <f t="shared" si="414"/>
        <v>6341.0919999999996</v>
      </c>
      <c r="AK72" s="425">
        <f t="shared" si="414"/>
        <v>6072.7000000000007</v>
      </c>
      <c r="AL72" s="425">
        <f t="shared" si="414"/>
        <v>6352.9030000000002</v>
      </c>
      <c r="AM72" s="425">
        <f t="shared" si="414"/>
        <v>6998.7080000000005</v>
      </c>
      <c r="AN72" s="425">
        <f t="shared" si="414"/>
        <v>6540.5889999999999</v>
      </c>
      <c r="AO72" s="425">
        <f t="shared" si="414"/>
        <v>6573.1120000000001</v>
      </c>
      <c r="AP72" s="425">
        <f t="shared" si="414"/>
        <v>6641.3869999999997</v>
      </c>
      <c r="AQ72" s="425">
        <f t="shared" si="414"/>
        <v>7277.8440000000001</v>
      </c>
      <c r="AR72" s="425">
        <f t="shared" ref="AR72:BC72" si="415">SUM(AR68:AR71)</f>
        <v>7220.4880000000003</v>
      </c>
      <c r="AS72" s="425">
        <f t="shared" si="415"/>
        <v>7230.5160000000005</v>
      </c>
      <c r="AT72" s="425">
        <f t="shared" si="415"/>
        <v>9481.8450000000012</v>
      </c>
      <c r="AU72" s="425">
        <f t="shared" si="415"/>
        <v>10033.18</v>
      </c>
      <c r="AV72" s="425">
        <f t="shared" si="415"/>
        <v>9311.2799999999988</v>
      </c>
      <c r="AW72" s="425">
        <f t="shared" si="415"/>
        <v>8530</v>
      </c>
      <c r="AX72" s="425">
        <f t="shared" si="415"/>
        <v>8269.1260000000002</v>
      </c>
      <c r="AY72" s="425">
        <f t="shared" si="415"/>
        <v>8604.5709999999999</v>
      </c>
      <c r="AZ72" s="425">
        <f t="shared" si="415"/>
        <v>8651.0969999999998</v>
      </c>
      <c r="BA72" s="425">
        <f t="shared" si="415"/>
        <v>11745.116999999998</v>
      </c>
      <c r="BB72" s="425">
        <f t="shared" si="415"/>
        <v>10245.543</v>
      </c>
      <c r="BC72" s="425">
        <f t="shared" si="415"/>
        <v>10973.665000000001</v>
      </c>
      <c r="BD72" s="425">
        <f t="shared" ref="BD72:BI72" si="416">SUM(BD68:BD71)</f>
        <v>11271.872999999998</v>
      </c>
      <c r="BE72" s="425">
        <f t="shared" si="416"/>
        <v>12373.832</v>
      </c>
      <c r="BF72" s="425">
        <f t="shared" si="416"/>
        <v>11106.068000000001</v>
      </c>
      <c r="BG72" s="425">
        <f t="shared" si="416"/>
        <v>11454.777</v>
      </c>
      <c r="BH72" s="425">
        <f t="shared" si="416"/>
        <v>12509.603000000001</v>
      </c>
      <c r="BI72" s="425">
        <f t="shared" si="416"/>
        <v>12672.296000000002</v>
      </c>
      <c r="BJ72" s="425">
        <f t="shared" ref="BJ72:BK72" si="417">SUM(BJ68:BJ71)</f>
        <v>11812.165000000001</v>
      </c>
      <c r="BK72" s="1320">
        <f t="shared" si="417"/>
        <v>11455.218999999999</v>
      </c>
      <c r="BL72" s="387">
        <f t="shared" ref="BL72:CW72" si="418">SUM(BL68:BL71)</f>
        <v>12163.769696445488</v>
      </c>
      <c r="BM72" s="387">
        <f t="shared" si="418"/>
        <v>11635.31441070134</v>
      </c>
      <c r="BN72" s="387">
        <f t="shared" si="418"/>
        <v>11955.823342426716</v>
      </c>
      <c r="BO72" s="387">
        <f t="shared" si="418"/>
        <v>13729.768051591112</v>
      </c>
      <c r="BP72" s="387">
        <f t="shared" si="418"/>
        <v>15641.936440522459</v>
      </c>
      <c r="BQ72" s="387">
        <f t="shared" si="418"/>
        <v>17184.106838631218</v>
      </c>
      <c r="BR72" s="387">
        <f t="shared" si="418"/>
        <v>18649.736511787094</v>
      </c>
      <c r="BS72" s="387">
        <f t="shared" si="418"/>
        <v>20465.114864089406</v>
      </c>
      <c r="BT72" s="387">
        <f t="shared" si="418"/>
        <v>22622.641881608502</v>
      </c>
      <c r="BU72" s="387">
        <f t="shared" si="418"/>
        <v>24306.765557412589</v>
      </c>
      <c r="BV72" s="387">
        <f t="shared" si="418"/>
        <v>25568.149021822093</v>
      </c>
      <c r="BW72" s="387">
        <f t="shared" si="418"/>
        <v>27490.337361870315</v>
      </c>
      <c r="BX72" s="387">
        <f t="shared" si="418"/>
        <v>29871.919911770223</v>
      </c>
      <c r="BY72" s="387">
        <f t="shared" si="418"/>
        <v>31942.094427196942</v>
      </c>
      <c r="BZ72" s="387">
        <f t="shared" si="418"/>
        <v>32284.686241079802</v>
      </c>
      <c r="CA72" s="387">
        <f t="shared" si="418"/>
        <v>33214.755907032828</v>
      </c>
      <c r="CB72" s="387">
        <f t="shared" si="418"/>
        <v>34664.992828648203</v>
      </c>
      <c r="CC72" s="387">
        <f t="shared" si="418"/>
        <v>35970.517735106347</v>
      </c>
      <c r="CD72" s="387">
        <f t="shared" si="418"/>
        <v>36083.724894112493</v>
      </c>
      <c r="CE72" s="387">
        <f t="shared" si="418"/>
        <v>37062.980965641538</v>
      </c>
      <c r="CF72" s="387">
        <f t="shared" si="418"/>
        <v>38618.427879336516</v>
      </c>
      <c r="CG72" s="387">
        <f t="shared" si="418"/>
        <v>40034.274080284493</v>
      </c>
      <c r="CH72" s="387">
        <f t="shared" si="418"/>
        <v>40190.325933258806</v>
      </c>
      <c r="CI72" s="387">
        <f t="shared" si="418"/>
        <v>41258.142740144678</v>
      </c>
      <c r="CJ72" s="387">
        <f t="shared" si="418"/>
        <v>42959.944337374116</v>
      </c>
      <c r="CK72" s="387">
        <f t="shared" si="418"/>
        <v>44564.602786239106</v>
      </c>
      <c r="CL72" s="387">
        <f t="shared" si="418"/>
        <v>44720.052789633562</v>
      </c>
      <c r="CM72" s="387">
        <f t="shared" si="418"/>
        <v>45843.302821554833</v>
      </c>
      <c r="CN72" s="387">
        <f t="shared" si="418"/>
        <v>47661.931106423872</v>
      </c>
      <c r="CO72" s="387">
        <f t="shared" si="418"/>
        <v>49388.200606901541</v>
      </c>
      <c r="CP72" s="387">
        <f t="shared" si="418"/>
        <v>49548.832398680759</v>
      </c>
      <c r="CQ72" s="387">
        <f t="shared" si="418"/>
        <v>50730.086682741829</v>
      </c>
      <c r="CR72" s="387">
        <f t="shared" si="418"/>
        <v>53172.547596697143</v>
      </c>
      <c r="CS72" s="387">
        <f t="shared" si="418"/>
        <v>55528.205670557836</v>
      </c>
      <c r="CT72" s="387">
        <f t="shared" si="418"/>
        <v>55693.618177119177</v>
      </c>
      <c r="CU72" s="387">
        <f t="shared" si="418"/>
        <v>57083.049630615584</v>
      </c>
      <c r="CV72" s="387">
        <f t="shared" si="418"/>
        <v>59154.973388361235</v>
      </c>
      <c r="CW72" s="387">
        <f t="shared" si="418"/>
        <v>61254.1262632707</v>
      </c>
    </row>
    <row r="73" spans="1:101">
      <c r="A73" s="364" t="s">
        <v>347</v>
      </c>
      <c r="B73" s="418">
        <f>BS!B14</f>
        <v>33.883000000000003</v>
      </c>
      <c r="C73" s="418">
        <f>BS!C14</f>
        <v>32.781999999999996</v>
      </c>
      <c r="D73" s="418">
        <f>BS!D14</f>
        <v>30.231000000000002</v>
      </c>
      <c r="E73" s="418">
        <f>BS!E14</f>
        <v>25.033000000000001</v>
      </c>
      <c r="F73" s="418">
        <f>BS!F14</f>
        <v>30.957000000000001</v>
      </c>
      <c r="G73" s="418">
        <f>BS!G14</f>
        <v>31.346</v>
      </c>
      <c r="H73" s="418">
        <f>BS!H14</f>
        <v>17.067</v>
      </c>
      <c r="I73" s="418">
        <f>BS!I14</f>
        <v>20.783000000000001</v>
      </c>
      <c r="J73" s="418">
        <f>BS!J14</f>
        <v>20.262</v>
      </c>
      <c r="K73" s="418">
        <f>BS!K14</f>
        <v>22.827999999999999</v>
      </c>
      <c r="L73" s="418">
        <f>BS!L14</f>
        <v>25.245000000000001</v>
      </c>
      <c r="M73" s="418">
        <f>BS!M14</f>
        <v>30.393999999999998</v>
      </c>
      <c r="N73" s="418">
        <f>BS!N14</f>
        <v>32.715000000000003</v>
      </c>
      <c r="O73" s="418">
        <f>BS!O14</f>
        <v>37.093000000000004</v>
      </c>
      <c r="P73" s="418">
        <f>BS!P14</f>
        <v>40.174999999999997</v>
      </c>
      <c r="Q73" s="418">
        <f>BS!Q14</f>
        <v>40.295999999999999</v>
      </c>
      <c r="R73" s="418">
        <f>BS!R14</f>
        <v>44.898000000000003</v>
      </c>
      <c r="S73" s="418">
        <f>BS!S14</f>
        <v>45.152999999999999</v>
      </c>
      <c r="T73" s="418">
        <f>BS!T14</f>
        <v>188.387</v>
      </c>
      <c r="U73" s="418">
        <f>BS!U14</f>
        <v>788.66499999999996</v>
      </c>
      <c r="V73" s="418">
        <f>BS!V14</f>
        <v>794.38699999999994</v>
      </c>
      <c r="W73" s="418">
        <f>BS!W14</f>
        <v>797.32</v>
      </c>
      <c r="X73" s="418">
        <f>BS!X14</f>
        <v>800.21100000000001</v>
      </c>
      <c r="Y73" s="418">
        <f>BS!Y14</f>
        <v>829.82399999999996</v>
      </c>
      <c r="Z73" s="418">
        <f>BS!Z14</f>
        <v>827.46900000000005</v>
      </c>
      <c r="AA73" s="418">
        <f>BS!AA14</f>
        <v>869.39599999999996</v>
      </c>
      <c r="AB73" s="418">
        <f>BS!AB14</f>
        <v>882.96600000000001</v>
      </c>
      <c r="AC73" s="418">
        <f>BS!AC14</f>
        <v>922.96199999999999</v>
      </c>
      <c r="AD73" s="418">
        <f>BS!AD14</f>
        <v>918.60599999999999</v>
      </c>
      <c r="AE73" s="418">
        <f>BS!AE14</f>
        <v>939.51199999999994</v>
      </c>
      <c r="AF73" s="418">
        <f>BS!AF14</f>
        <v>958.95600000000002</v>
      </c>
      <c r="AG73" s="418">
        <f>BS!AG14</f>
        <v>1001.398</v>
      </c>
      <c r="AH73" s="418">
        <f>BS!AH14</f>
        <v>995.46900000000005</v>
      </c>
      <c r="AI73" s="418">
        <f>BS!AI14</f>
        <v>0</v>
      </c>
      <c r="AJ73" s="418">
        <f>BS!AJ14</f>
        <v>0</v>
      </c>
      <c r="AK73" s="418">
        <f>BS!AK14</f>
        <v>0</v>
      </c>
      <c r="AL73" s="418">
        <f>BS!AL14</f>
        <v>0</v>
      </c>
      <c r="AM73" s="418">
        <f>BS!AM14</f>
        <v>0</v>
      </c>
      <c r="AN73" s="418">
        <f>BS!AN14</f>
        <v>0</v>
      </c>
      <c r="AO73" s="418">
        <f>BS!AO14</f>
        <v>14.295999999999999</v>
      </c>
      <c r="AP73" s="418">
        <f>BS!AP14</f>
        <v>14.295999999999999</v>
      </c>
      <c r="AQ73" s="418">
        <f>BS!AQ14</f>
        <v>36.683</v>
      </c>
      <c r="AR73" s="418">
        <f>BS!AR14</f>
        <v>85.191000000000003</v>
      </c>
      <c r="AS73" s="418">
        <f>BS!AS14</f>
        <v>85.471000000000004</v>
      </c>
      <c r="AT73" s="418">
        <f>BS!AT14</f>
        <v>87.41</v>
      </c>
      <c r="AU73" s="418">
        <f>BS!AU14</f>
        <v>83.613</v>
      </c>
      <c r="AV73" s="418">
        <f>BS!AV14</f>
        <v>83.527000000000001</v>
      </c>
      <c r="AW73" s="418">
        <f>BS!AW14</f>
        <v>90</v>
      </c>
      <c r="AX73" s="418">
        <f>BS!AX14</f>
        <v>92.599000000000004</v>
      </c>
      <c r="AY73" s="418">
        <f>BS!AY14</f>
        <v>110.679</v>
      </c>
      <c r="AZ73" s="418">
        <f>BS!AZ14</f>
        <v>111.16200000000001</v>
      </c>
      <c r="BA73" s="418">
        <f>BS!BA14</f>
        <v>131.86699999999999</v>
      </c>
      <c r="BB73" s="418">
        <f>BS!BB14</f>
        <v>133.70400000000001</v>
      </c>
      <c r="BC73" s="418">
        <f>BS!BC14</f>
        <v>155.18700000000001</v>
      </c>
      <c r="BD73" s="418">
        <f>BS!BD14</f>
        <v>158.786</v>
      </c>
      <c r="BE73" s="418">
        <f>BS!BE14</f>
        <v>156.90299999999999</v>
      </c>
      <c r="BF73" s="418">
        <f>BS!BF14</f>
        <v>165.18799999999999</v>
      </c>
      <c r="BG73" s="418">
        <f>BS!BG14</f>
        <v>173.94399999999999</v>
      </c>
      <c r="BH73" s="418">
        <f>BS!BH14</f>
        <v>160.96100000000001</v>
      </c>
      <c r="BI73" s="418">
        <f>BS!BI14</f>
        <v>164.00299999999999</v>
      </c>
      <c r="BJ73" s="418">
        <f>BS!BJ14</f>
        <v>164.00299999999999</v>
      </c>
      <c r="BK73" s="1319">
        <f>BS!BK14</f>
        <v>164.00299999999999</v>
      </c>
      <c r="BL73" s="385">
        <f t="shared" ref="BL73" si="419">BK73</f>
        <v>164.00299999999999</v>
      </c>
      <c r="BM73" s="385">
        <f t="shared" ref="BM73" si="420">BL73</f>
        <v>164.00299999999999</v>
      </c>
      <c r="BN73" s="385">
        <f t="shared" ref="BN73" si="421">BM73</f>
        <v>164.00299999999999</v>
      </c>
      <c r="BO73" s="385">
        <f t="shared" ref="BO73" si="422">BN73</f>
        <v>164.00299999999999</v>
      </c>
      <c r="BP73" s="385">
        <f t="shared" ref="BP73" si="423">BO73</f>
        <v>164.00299999999999</v>
      </c>
      <c r="BQ73" s="385">
        <f t="shared" ref="BQ73" si="424">BP73</f>
        <v>164.00299999999999</v>
      </c>
      <c r="BR73" s="385">
        <f t="shared" ref="BR73" si="425">BQ73</f>
        <v>164.00299999999999</v>
      </c>
      <c r="BS73" s="385">
        <f t="shared" ref="BS73" si="426">BR73</f>
        <v>164.00299999999999</v>
      </c>
      <c r="BT73" s="385">
        <f t="shared" ref="BT73" si="427">BS73</f>
        <v>164.00299999999999</v>
      </c>
      <c r="BU73" s="385">
        <f t="shared" ref="BU73" si="428">BT73</f>
        <v>164.00299999999999</v>
      </c>
      <c r="BV73" s="385">
        <f t="shared" ref="BV73" si="429">BU73</f>
        <v>164.00299999999999</v>
      </c>
      <c r="BW73" s="385">
        <f t="shared" ref="BW73" si="430">BV73</f>
        <v>164.00299999999999</v>
      </c>
      <c r="BX73" s="385">
        <f t="shared" ref="BX73" si="431">BW73</f>
        <v>164.00299999999999</v>
      </c>
      <c r="BY73" s="385">
        <f t="shared" ref="BY73" si="432">BX73</f>
        <v>164.00299999999999</v>
      </c>
      <c r="BZ73" s="385">
        <f t="shared" ref="BZ73" si="433">BY73</f>
        <v>164.00299999999999</v>
      </c>
      <c r="CA73" s="385">
        <f t="shared" ref="CA73" si="434">BZ73</f>
        <v>164.00299999999999</v>
      </c>
      <c r="CB73" s="385">
        <f t="shared" ref="CB73" si="435">CA73</f>
        <v>164.00299999999999</v>
      </c>
      <c r="CC73" s="385">
        <f t="shared" ref="CC73" si="436">CB73</f>
        <v>164.00299999999999</v>
      </c>
      <c r="CD73" s="385">
        <f t="shared" ref="CD73" si="437">CC73</f>
        <v>164.00299999999999</v>
      </c>
      <c r="CE73" s="385">
        <f t="shared" ref="CE73" si="438">CD73</f>
        <v>164.00299999999999</v>
      </c>
      <c r="CF73" s="385">
        <f t="shared" ref="CF73" si="439">CE73</f>
        <v>164.00299999999999</v>
      </c>
      <c r="CG73" s="385">
        <f t="shared" ref="CG73" si="440">CF73</f>
        <v>164.00299999999999</v>
      </c>
      <c r="CH73" s="385">
        <f t="shared" ref="CH73" si="441">CG73</f>
        <v>164.00299999999999</v>
      </c>
      <c r="CI73" s="385">
        <f t="shared" ref="CI73" si="442">CH73</f>
        <v>164.00299999999999</v>
      </c>
      <c r="CJ73" s="385">
        <f t="shared" ref="CJ73" si="443">CI73</f>
        <v>164.00299999999999</v>
      </c>
      <c r="CK73" s="385">
        <f t="shared" ref="CK73" si="444">CJ73</f>
        <v>164.00299999999999</v>
      </c>
      <c r="CL73" s="385">
        <f t="shared" ref="CL73" si="445">CK73</f>
        <v>164.00299999999999</v>
      </c>
      <c r="CM73" s="385">
        <f t="shared" ref="CM73" si="446">CL73</f>
        <v>164.00299999999999</v>
      </c>
      <c r="CN73" s="385">
        <f t="shared" ref="CN73" si="447">CM73</f>
        <v>164.00299999999999</v>
      </c>
      <c r="CO73" s="385">
        <f t="shared" ref="CO73" si="448">CN73</f>
        <v>164.00299999999999</v>
      </c>
      <c r="CP73" s="385">
        <f t="shared" ref="CP73" si="449">CO73</f>
        <v>164.00299999999999</v>
      </c>
      <c r="CQ73" s="385">
        <f t="shared" ref="CQ73" si="450">CP73</f>
        <v>164.00299999999999</v>
      </c>
      <c r="CR73" s="385">
        <f t="shared" ref="CR73" si="451">CQ73</f>
        <v>164.00299999999999</v>
      </c>
      <c r="CS73" s="385">
        <f t="shared" ref="CS73" si="452">CR73</f>
        <v>164.00299999999999</v>
      </c>
      <c r="CT73" s="385">
        <f t="shared" ref="CT73" si="453">CS73</f>
        <v>164.00299999999999</v>
      </c>
      <c r="CU73" s="385">
        <f t="shared" ref="CU73" si="454">CT73</f>
        <v>164.00299999999999</v>
      </c>
      <c r="CV73" s="385">
        <f t="shared" ref="CV73" si="455">CU73</f>
        <v>164.00299999999999</v>
      </c>
      <c r="CW73" s="385">
        <f t="shared" ref="CW73" si="456">CV73</f>
        <v>164.00299999999999</v>
      </c>
    </row>
    <row r="74" spans="1:101">
      <c r="A74" s="364" t="s">
        <v>348</v>
      </c>
      <c r="B74" s="418">
        <f>BS!B15</f>
        <v>3025.2759999999998</v>
      </c>
      <c r="C74" s="418">
        <f>BS!C15</f>
        <v>2942.279</v>
      </c>
      <c r="D74" s="418">
        <f>BS!D15</f>
        <v>2912.8110000000001</v>
      </c>
      <c r="E74" s="418">
        <f>BS!E15</f>
        <v>2897.6779999999999</v>
      </c>
      <c r="F74" s="418">
        <f>BS!F15</f>
        <v>2829.375</v>
      </c>
      <c r="G74" s="418">
        <f>BS!G15</f>
        <v>2858.7060000000001</v>
      </c>
      <c r="H74" s="418">
        <f>BS!H15</f>
        <v>2886.7379999999998</v>
      </c>
      <c r="I74" s="418">
        <f>BS!I15</f>
        <v>2994.123</v>
      </c>
      <c r="J74" s="418">
        <f>BS!J15</f>
        <v>3035.6779999999999</v>
      </c>
      <c r="K74" s="418">
        <f>BS!K15</f>
        <v>3150.2159999999999</v>
      </c>
      <c r="L74" s="418">
        <f>BS!L15</f>
        <v>3254.1590000000001</v>
      </c>
      <c r="M74" s="418">
        <f>BS!M15</f>
        <v>3472.42</v>
      </c>
      <c r="N74" s="418">
        <f>BS!N15</f>
        <v>3588.1010000000001</v>
      </c>
      <c r="O74" s="418">
        <f>BS!O15</f>
        <v>3667.4859999999999</v>
      </c>
      <c r="P74" s="418">
        <f>BS!P15</f>
        <v>3706.7950000000001</v>
      </c>
      <c r="Q74" s="418">
        <f>BS!Q15</f>
        <v>3924.1080000000002</v>
      </c>
      <c r="R74" s="418">
        <f>BS!R15</f>
        <v>3873.7</v>
      </c>
      <c r="S74" s="418">
        <f>BS!S15</f>
        <v>4259.6130000000003</v>
      </c>
      <c r="T74" s="418">
        <f>BS!T15</f>
        <v>4454.17</v>
      </c>
      <c r="U74" s="418">
        <f>BS!U15</f>
        <v>4764.3959999999997</v>
      </c>
      <c r="V74" s="418">
        <f>BS!V15</f>
        <v>4666.1360000000004</v>
      </c>
      <c r="W74" s="418">
        <f>BS!W15</f>
        <v>8624.7109999999993</v>
      </c>
      <c r="X74" s="418">
        <f>BS!X15</f>
        <v>8742.6929999999993</v>
      </c>
      <c r="Y74" s="418">
        <f>BS!Y15</f>
        <v>9947.0660000000007</v>
      </c>
      <c r="Z74" s="418">
        <f>BS!Z15</f>
        <v>9988.143</v>
      </c>
      <c r="AA74" s="418">
        <f>BS!AA15</f>
        <v>10401.437</v>
      </c>
      <c r="AB74" s="418">
        <f>BS!AB15</f>
        <v>10684.641</v>
      </c>
      <c r="AC74" s="418">
        <f>BS!AC15</f>
        <v>11063.805</v>
      </c>
      <c r="AD74" s="418">
        <f>BS!AD15</f>
        <v>11346.28</v>
      </c>
      <c r="AE74" s="418">
        <f>BS!AE15</f>
        <v>11956.361999999999</v>
      </c>
      <c r="AF74" s="418">
        <f>BS!AF15</f>
        <v>12822.540999999999</v>
      </c>
      <c r="AG74" s="418">
        <f>BS!AG15</f>
        <v>13673.445</v>
      </c>
      <c r="AH74" s="418">
        <f>BS!AH15</f>
        <v>13720.78</v>
      </c>
      <c r="AI74" s="418">
        <f>BS!AI15</f>
        <v>14062.337</v>
      </c>
      <c r="AJ74" s="418">
        <f>BS!AJ15</f>
        <v>14695.46</v>
      </c>
      <c r="AK74" s="418">
        <f>BS!AK15</f>
        <v>15772.478999999999</v>
      </c>
      <c r="AL74" s="418">
        <f>BS!AL15</f>
        <v>15689.567999999999</v>
      </c>
      <c r="AM74" s="418">
        <f>BS!AM15</f>
        <v>15702.707</v>
      </c>
      <c r="AN74" s="418">
        <f>BS!AN15</f>
        <v>15604.516</v>
      </c>
      <c r="AO74" s="418">
        <f>BS!AO15</f>
        <v>17993.148000000001</v>
      </c>
      <c r="AP74" s="418">
        <f>BS!AP15</f>
        <v>18567.893</v>
      </c>
      <c r="AQ74" s="418">
        <f>BS!AQ15</f>
        <v>19578.465</v>
      </c>
      <c r="AR74" s="418">
        <f>BS!AR15</f>
        <v>19021.768</v>
      </c>
      <c r="AS74" s="418">
        <f>BS!AS15</f>
        <v>17538.350999999999</v>
      </c>
      <c r="AT74" s="418">
        <f>BS!AT15</f>
        <v>18309.967000000001</v>
      </c>
      <c r="AU74" s="418">
        <f>BS!AU15</f>
        <v>17949.008999999998</v>
      </c>
      <c r="AV74" s="418">
        <f>BS!AV15</f>
        <v>17123.440999999999</v>
      </c>
      <c r="AW74" s="418">
        <f>BS!AW15</f>
        <v>15880</v>
      </c>
      <c r="AX74" s="418">
        <f>BS!AX15</f>
        <v>15514.76</v>
      </c>
      <c r="AY74" s="418">
        <f>BS!AY15</f>
        <v>14807.117</v>
      </c>
      <c r="AZ74" s="418">
        <f>BS!AZ15</f>
        <v>14737.663</v>
      </c>
      <c r="BA74" s="418">
        <f>BS!BA15</f>
        <v>15277.931</v>
      </c>
      <c r="BB74" s="418">
        <f>BS!BB15</f>
        <v>15589.303</v>
      </c>
      <c r="BC74" s="418">
        <f>BS!BC15</f>
        <v>15371.686</v>
      </c>
      <c r="BD74" s="418">
        <f>BS!BD15</f>
        <v>14273.255999999999</v>
      </c>
      <c r="BE74" s="418">
        <f>BS!BE15</f>
        <v>15428.754999999999</v>
      </c>
      <c r="BF74" s="418">
        <f>BS!BF15</f>
        <v>14933.611999999999</v>
      </c>
      <c r="BG74" s="418">
        <f>BS!BG15</f>
        <v>14732.118</v>
      </c>
      <c r="BH74" s="418">
        <f>BS!BH15</f>
        <v>14950.329</v>
      </c>
      <c r="BI74" s="418">
        <f>BS!BI15</f>
        <v>15644.915000000001</v>
      </c>
      <c r="BJ74" s="418">
        <f>BS!BJ15</f>
        <v>15533.481</v>
      </c>
      <c r="BK74" s="1319">
        <f>BS!BK15</f>
        <v>17235.226999999999</v>
      </c>
      <c r="BL74" s="385">
        <f>Q_BS!BL41</f>
        <v>17955.486800807295</v>
      </c>
      <c r="BM74" s="385">
        <f>Q_BS!BM41</f>
        <v>18929.715082566101</v>
      </c>
      <c r="BN74" s="385">
        <f>Q_BS!BN41</f>
        <v>19394.903933453978</v>
      </c>
      <c r="BO74" s="385">
        <f>Q_BS!BO41</f>
        <v>19792.321213457031</v>
      </c>
      <c r="BP74" s="385">
        <f>Q_BS!BP41</f>
        <v>20193.312045813305</v>
      </c>
      <c r="BQ74" s="385">
        <f>Q_BS!BQ41</f>
        <v>21064.445705905047</v>
      </c>
      <c r="BR74" s="385">
        <f>Q_BS!BR41</f>
        <v>21452.572144626727</v>
      </c>
      <c r="BS74" s="385">
        <f>Q_BS!BS41</f>
        <v>21764.733389274777</v>
      </c>
      <c r="BT74" s="385">
        <f>Q_BS!BT41</f>
        <v>22085.037876149727</v>
      </c>
      <c r="BU74" s="385">
        <f>Q_BS!BU41</f>
        <v>22825.858942722421</v>
      </c>
      <c r="BV74" s="385">
        <f>Q_BS!BV41</f>
        <v>23210.571245945095</v>
      </c>
      <c r="BW74" s="385">
        <f>Q_BS!BW41</f>
        <v>23515.805604822621</v>
      </c>
      <c r="BX74" s="385">
        <f>Q_BS!BX41</f>
        <v>23831.458206424253</v>
      </c>
      <c r="BY74" s="385">
        <f>Q_BS!BY41</f>
        <v>24487.12058308972</v>
      </c>
      <c r="BZ74" s="385">
        <f>Q_BS!BZ41</f>
        <v>24984.859071025941</v>
      </c>
      <c r="CA74" s="385">
        <f>Q_BS!CA41</f>
        <v>25402.442618661007</v>
      </c>
      <c r="CB74" s="385">
        <f>Q_BS!CB41</f>
        <v>25834.03968083395</v>
      </c>
      <c r="CC74" s="385">
        <f>Q_BS!CC41</f>
        <v>26552.4793142987</v>
      </c>
      <c r="CD74" s="385">
        <f>Q_BS!CD41</f>
        <v>27024.310084722718</v>
      </c>
      <c r="CE74" s="385">
        <f>Q_BS!CE41</f>
        <v>27407.600838203092</v>
      </c>
      <c r="CF74" s="385">
        <f>Q_BS!CF41</f>
        <v>27809.260728915793</v>
      </c>
      <c r="CG74" s="385">
        <f>Q_BS!CG41</f>
        <v>28513.767187325444</v>
      </c>
      <c r="CH74" s="385">
        <f>Q_BS!CH41</f>
        <v>28912.89375040312</v>
      </c>
      <c r="CI74" s="385">
        <f>Q_BS!CI41</f>
        <v>29215.279171319537</v>
      </c>
      <c r="CJ74" s="385">
        <f>Q_BS!CJ41</f>
        <v>29542.497465220724</v>
      </c>
      <c r="CK74" s="385">
        <f>Q_BS!CK41</f>
        <v>30147.610294839385</v>
      </c>
      <c r="CL74" s="385">
        <f>Q_BS!CL41</f>
        <v>30520.660473752796</v>
      </c>
      <c r="CM74" s="385">
        <f>Q_BS!CM41</f>
        <v>30786.47982474219</v>
      </c>
      <c r="CN74" s="385">
        <f>Q_BS!CN41</f>
        <v>31083.060319800963</v>
      </c>
      <c r="CO74" s="385">
        <f>Q_BS!CO41</f>
        <v>31674.379422426977</v>
      </c>
      <c r="CP74" s="385">
        <f>Q_BS!CP41</f>
        <v>32020.640118110608</v>
      </c>
      <c r="CQ74" s="385">
        <f>Q_BS!CQ41</f>
        <v>32247.99594269734</v>
      </c>
      <c r="CR74" s="385">
        <f>Q_BS!CR41</f>
        <v>32512.989146607913</v>
      </c>
      <c r="CS74" s="385">
        <f>Q_BS!CS41</f>
        <v>33090.956080210075</v>
      </c>
      <c r="CT74" s="385">
        <f>Q_BS!CT41</f>
        <v>33410.845003763476</v>
      </c>
      <c r="CU74" s="385">
        <f>Q_BS!CU41</f>
        <v>33598.870150477283</v>
      </c>
      <c r="CV74" s="385">
        <f>Q_BS!CV41</f>
        <v>33832.26217336698</v>
      </c>
      <c r="CW74" s="385">
        <f>Q_BS!CW41</f>
        <v>34276.907320670143</v>
      </c>
    </row>
    <row r="75" spans="1:101">
      <c r="A75" s="364" t="s">
        <v>349</v>
      </c>
      <c r="B75" s="418">
        <f>BS!B17</f>
        <v>1034.0509999999999</v>
      </c>
      <c r="C75" s="418">
        <f>BS!C17</f>
        <v>1009.004</v>
      </c>
      <c r="D75" s="418">
        <f>BS!D17</f>
        <v>985.66800000000001</v>
      </c>
      <c r="E75" s="418">
        <f>BS!E17</f>
        <v>992.6</v>
      </c>
      <c r="F75" s="418">
        <f>BS!F17</f>
        <v>977.39300000000003</v>
      </c>
      <c r="G75" s="418">
        <f>BS!G17</f>
        <v>968.45799999999997</v>
      </c>
      <c r="H75" s="418">
        <f>BS!H17</f>
        <v>955.24199999999996</v>
      </c>
      <c r="I75" s="418">
        <f>BS!I17</f>
        <v>955.31</v>
      </c>
      <c r="J75" s="418">
        <f>BS!J17</f>
        <v>923.16300000000001</v>
      </c>
      <c r="K75" s="418">
        <f>BS!K17</f>
        <v>891.28</v>
      </c>
      <c r="L75" s="418">
        <f>BS!L17</f>
        <v>910.87800000000004</v>
      </c>
      <c r="M75" s="418">
        <f>BS!M17</f>
        <v>928.69399999999996</v>
      </c>
      <c r="N75" s="418">
        <f>BS!N17</f>
        <v>2544.7289999999998</v>
      </c>
      <c r="O75" s="418">
        <f>BS!O17</f>
        <v>2523.5410000000002</v>
      </c>
      <c r="P75" s="418">
        <f>BS!P17</f>
        <v>2478.018</v>
      </c>
      <c r="Q75" s="418">
        <f>BS!Q17</f>
        <v>2418.83</v>
      </c>
      <c r="R75" s="418">
        <f>BS!R17</f>
        <v>2407.8150000000001</v>
      </c>
      <c r="S75" s="418">
        <f>BS!S17</f>
        <v>2551.2040000000002</v>
      </c>
      <c r="T75" s="418">
        <f>BS!T17</f>
        <v>3761.34</v>
      </c>
      <c r="U75" s="418">
        <f>BS!U17</f>
        <v>3386.0430000000001</v>
      </c>
      <c r="V75" s="418">
        <f>BS!V17</f>
        <v>3319.866</v>
      </c>
      <c r="W75" s="418">
        <f>BS!W17</f>
        <v>7768.9129999999996</v>
      </c>
      <c r="X75" s="418">
        <f>BS!X17</f>
        <v>8689.1929999999993</v>
      </c>
      <c r="Y75" s="418">
        <f>BS!Y17</f>
        <v>13597.599</v>
      </c>
      <c r="Z75" s="418">
        <f>BS!Z17</f>
        <v>13210.082</v>
      </c>
      <c r="AA75" s="418">
        <f>BS!AA17</f>
        <v>13397.785</v>
      </c>
      <c r="AB75" s="418">
        <f>BS!AB17</f>
        <v>13637.831</v>
      </c>
      <c r="AC75" s="418">
        <f>BS!AC17</f>
        <v>13753.902</v>
      </c>
      <c r="AD75" s="418">
        <f>BS!AD17</f>
        <v>15135.695</v>
      </c>
      <c r="AE75" s="418">
        <f>BS!AE17</f>
        <v>15036.611999999999</v>
      </c>
      <c r="AF75" s="418">
        <f>BS!AF17</f>
        <v>15059.2</v>
      </c>
      <c r="AG75" s="418">
        <f>BS!AG17</f>
        <v>15215.335999999999</v>
      </c>
      <c r="AH75" s="418">
        <f>BS!AH17</f>
        <v>15139.791999999999</v>
      </c>
      <c r="AI75" s="418">
        <f>BS!AI17</f>
        <v>15164.124</v>
      </c>
      <c r="AJ75" s="418">
        <f>BS!AJ17</f>
        <v>15254.995999999999</v>
      </c>
      <c r="AK75" s="418">
        <f>BS!AK17</f>
        <v>15358.005999999999</v>
      </c>
      <c r="AL75" s="418">
        <f>BS!AL17</f>
        <v>15238.194</v>
      </c>
      <c r="AM75" s="418">
        <f>BS!AM17</f>
        <v>15124.357</v>
      </c>
      <c r="AN75" s="418">
        <f>BS!AN17</f>
        <v>15048.837</v>
      </c>
      <c r="AO75" s="418">
        <f>BS!AO17</f>
        <v>25749.010999999999</v>
      </c>
      <c r="AP75" s="418">
        <f>BS!AP17</f>
        <v>25934.328000000001</v>
      </c>
      <c r="AQ75" s="418">
        <f>BS!AQ17</f>
        <v>25909.170999999998</v>
      </c>
      <c r="AR75" s="418">
        <f>BS!AR17</f>
        <v>25816.252</v>
      </c>
      <c r="AS75" s="418">
        <f>BS!AS17</f>
        <v>27375.208999999999</v>
      </c>
      <c r="AT75" s="418">
        <f>BS!AT17</f>
        <v>28972.52</v>
      </c>
      <c r="AU75" s="418">
        <f>BS!AU17</f>
        <v>29421.368999999999</v>
      </c>
      <c r="AV75" s="418">
        <f>BS!AV17</f>
        <v>29871.771000000001</v>
      </c>
      <c r="AW75" s="418">
        <f>BS!AW17</f>
        <v>28817</v>
      </c>
      <c r="AX75" s="418">
        <f>BS!AX17</f>
        <v>28553.613000000001</v>
      </c>
      <c r="AY75" s="418">
        <f>BS!AY17</f>
        <v>28182.726999999999</v>
      </c>
      <c r="AZ75" s="418">
        <f>BS!AZ17</f>
        <v>28277.452000000001</v>
      </c>
      <c r="BA75" s="418">
        <f>BS!BA17</f>
        <v>27796.563999999998</v>
      </c>
      <c r="BB75" s="418">
        <f>BS!BB17</f>
        <v>27115.330999999998</v>
      </c>
      <c r="BC75" s="418">
        <f>BS!BC17</f>
        <v>26325.57</v>
      </c>
      <c r="BD75" s="418">
        <f>BS!BD17</f>
        <v>26176.780999999999</v>
      </c>
      <c r="BE75" s="418">
        <f>BS!BE17</f>
        <v>26671.732</v>
      </c>
      <c r="BF75" s="418">
        <f>BS!BF17</f>
        <v>25683.412</v>
      </c>
      <c r="BG75" s="418">
        <f>BS!BG17</f>
        <v>24777.38</v>
      </c>
      <c r="BH75" s="418">
        <f>BS!BH17</f>
        <v>24542.161</v>
      </c>
      <c r="BI75" s="418">
        <f>BS!BI17</f>
        <v>24991.065999999999</v>
      </c>
      <c r="BJ75" s="418">
        <f>BS!BJ17</f>
        <v>24091.131000000001</v>
      </c>
      <c r="BK75" s="1319">
        <f>BS!BK17</f>
        <v>24830.120999999999</v>
      </c>
      <c r="BL75" s="385">
        <f>Q_BS!BL48</f>
        <v>24424.833269103867</v>
      </c>
      <c r="BM75" s="385">
        <f>Q_BS!BM48</f>
        <v>24226.096441226942</v>
      </c>
      <c r="BN75" s="385">
        <f>Q_BS!BN48</f>
        <v>23826.108587338127</v>
      </c>
      <c r="BO75" s="385">
        <f>Q_BS!BO48</f>
        <v>23400.62515680437</v>
      </c>
      <c r="BP75" s="385">
        <f>Q_BS!BP48</f>
        <v>23018.670261322699</v>
      </c>
      <c r="BQ75" s="385">
        <f>Q_BS!BQ48</f>
        <v>22831.37491894397</v>
      </c>
      <c r="BR75" s="385">
        <f>Q_BS!BR48</f>
        <v>22454.414781048272</v>
      </c>
      <c r="BS75" s="385">
        <f>Q_BS!BS48</f>
        <v>22053.426873323147</v>
      </c>
      <c r="BT75" s="385">
        <f>Q_BS!BT48</f>
        <v>21693.461517698299</v>
      </c>
      <c r="BU75" s="385">
        <f>Q_BS!BU48</f>
        <v>21516.948962619736</v>
      </c>
      <c r="BV75" s="385">
        <f>Q_BS!BV48</f>
        <v>21161.690811201363</v>
      </c>
      <c r="BW75" s="385">
        <f>Q_BS!BW48</f>
        <v>20783.788193606913</v>
      </c>
      <c r="BX75" s="385">
        <f>Q_BS!BX48</f>
        <v>20444.546417201036</v>
      </c>
      <c r="BY75" s="385">
        <f>Q_BS!BY48</f>
        <v>20278.195873163684</v>
      </c>
      <c r="BZ75" s="385">
        <f>Q_BS!BZ48</f>
        <v>20113.198868742071</v>
      </c>
      <c r="CA75" s="385">
        <f>Q_BS!CA48</f>
        <v>19949.544390629919</v>
      </c>
      <c r="CB75" s="385">
        <f>Q_BS!CB48</f>
        <v>19787.221515132591</v>
      </c>
      <c r="CC75" s="385">
        <f>Q_BS!CC48</f>
        <v>19626.219407437969</v>
      </c>
      <c r="CD75" s="385">
        <f>Q_BS!CD48</f>
        <v>19466.527320893223</v>
      </c>
      <c r="CE75" s="385">
        <f>Q_BS!CE48</f>
        <v>19308.134596287506</v>
      </c>
      <c r="CF75" s="385">
        <f>Q_BS!CF48</f>
        <v>19151.030661140452</v>
      </c>
      <c r="CG75" s="385">
        <f>Q_BS!CG48</f>
        <v>18995.205028996501</v>
      </c>
      <c r="CH75" s="385">
        <f>Q_BS!CH48</f>
        <v>18840.647298724918</v>
      </c>
      <c r="CI75" s="385">
        <f>Q_BS!CI48</f>
        <v>18687.347153825551</v>
      </c>
      <c r="CJ75" s="385">
        <f>Q_BS!CJ48</f>
        <v>18535.294361740212</v>
      </c>
      <c r="CK75" s="385">
        <f>Q_BS!CK48</f>
        <v>18384.478773169671</v>
      </c>
      <c r="CL75" s="385">
        <f>Q_BS!CL48</f>
        <v>18234.8903213962</v>
      </c>
      <c r="CM75" s="385">
        <f>Q_BS!CM48</f>
        <v>18086.51902161165</v>
      </c>
      <c r="CN75" s="385">
        <f>Q_BS!CN48</f>
        <v>17939.354970250959</v>
      </c>
      <c r="CO75" s="385">
        <f>Q_BS!CO48</f>
        <v>17793.388344331117</v>
      </c>
      <c r="CP75" s="385">
        <f>Q_BS!CP48</f>
        <v>17648.609400795493</v>
      </c>
      <c r="CQ75" s="385">
        <f>Q_BS!CQ48</f>
        <v>17505.008475863502</v>
      </c>
      <c r="CR75" s="385">
        <f>Q_BS!CR48</f>
        <v>17362.575984385559</v>
      </c>
      <c r="CS75" s="385">
        <f>Q_BS!CS48</f>
        <v>17221.30241920329</v>
      </c>
      <c r="CT75" s="385">
        <f>Q_BS!CT48</f>
        <v>17081.178350514929</v>
      </c>
      <c r="CU75" s="385">
        <f>Q_BS!CU48</f>
        <v>16942.194425245911</v>
      </c>
      <c r="CV75" s="385">
        <f>Q_BS!CV48</f>
        <v>16804.341366424556</v>
      </c>
      <c r="CW75" s="385">
        <f>Q_BS!CW48</f>
        <v>16667.609972562856</v>
      </c>
    </row>
    <row r="76" spans="1:101">
      <c r="A76" s="364" t="s">
        <v>1183</v>
      </c>
      <c r="B76" s="418">
        <f>BS!B16</f>
        <v>0</v>
      </c>
      <c r="C76" s="418">
        <f>BS!C16</f>
        <v>0</v>
      </c>
      <c r="D76" s="418">
        <f>BS!D16</f>
        <v>0</v>
      </c>
      <c r="E76" s="418">
        <f>BS!E16</f>
        <v>0</v>
      </c>
      <c r="F76" s="418">
        <f>BS!F16</f>
        <v>0</v>
      </c>
      <c r="G76" s="418">
        <f>BS!G16</f>
        <v>0</v>
      </c>
      <c r="H76" s="418">
        <f>BS!H16</f>
        <v>0</v>
      </c>
      <c r="I76" s="418">
        <f>BS!I16</f>
        <v>0</v>
      </c>
      <c r="J76" s="418">
        <f>BS!J16</f>
        <v>0</v>
      </c>
      <c r="K76" s="418">
        <f>BS!K16</f>
        <v>0</v>
      </c>
      <c r="L76" s="418">
        <f>BS!L16</f>
        <v>0</v>
      </c>
      <c r="M76" s="418">
        <f>BS!M16</f>
        <v>0</v>
      </c>
      <c r="N76" s="418">
        <f>BS!N16</f>
        <v>0</v>
      </c>
      <c r="O76" s="418">
        <f>BS!O16</f>
        <v>0</v>
      </c>
      <c r="P76" s="418">
        <f>BS!P16</f>
        <v>0</v>
      </c>
      <c r="Q76" s="418">
        <f>BS!Q16</f>
        <v>0</v>
      </c>
      <c r="R76" s="418">
        <f>BS!R16</f>
        <v>0</v>
      </c>
      <c r="S76" s="418">
        <f>BS!S16</f>
        <v>0</v>
      </c>
      <c r="T76" s="418">
        <f>BS!T16</f>
        <v>0</v>
      </c>
      <c r="U76" s="418">
        <f>BS!U16</f>
        <v>0</v>
      </c>
      <c r="V76" s="418">
        <f>BS!V16</f>
        <v>0</v>
      </c>
      <c r="W76" s="418">
        <f>BS!W16</f>
        <v>0</v>
      </c>
      <c r="X76" s="418">
        <f>BS!X16</f>
        <v>0</v>
      </c>
      <c r="Y76" s="418">
        <f>BS!Y16</f>
        <v>0</v>
      </c>
      <c r="Z76" s="418">
        <f>BS!Z16</f>
        <v>0</v>
      </c>
      <c r="AA76" s="418">
        <f>BS!AA16</f>
        <v>0</v>
      </c>
      <c r="AB76" s="418">
        <f>BS!AB16</f>
        <v>0</v>
      </c>
      <c r="AC76" s="418">
        <f>BS!AC16</f>
        <v>0</v>
      </c>
      <c r="AD76" s="418">
        <f>BS!AD16</f>
        <v>0</v>
      </c>
      <c r="AE76" s="418">
        <f>BS!AE16</f>
        <v>0</v>
      </c>
      <c r="AF76" s="418">
        <f>BS!AF16</f>
        <v>0</v>
      </c>
      <c r="AG76" s="418">
        <f>BS!AG16</f>
        <v>0</v>
      </c>
      <c r="AH76" s="418">
        <f>BS!AH16</f>
        <v>0</v>
      </c>
      <c r="AI76" s="418">
        <f>BS!AI16</f>
        <v>0</v>
      </c>
      <c r="AJ76" s="418">
        <f>BS!AJ16</f>
        <v>0</v>
      </c>
      <c r="AK76" s="418">
        <f>BS!AK16</f>
        <v>0</v>
      </c>
      <c r="AL76" s="418">
        <f>BS!AL16</f>
        <v>0</v>
      </c>
      <c r="AM76" s="418">
        <f>BS!AM16</f>
        <v>0</v>
      </c>
      <c r="AN76" s="418">
        <f>BS!AN16</f>
        <v>0</v>
      </c>
      <c r="AO76" s="418">
        <f>BS!AO16</f>
        <v>0</v>
      </c>
      <c r="AP76" s="418">
        <f>BS!AP16</f>
        <v>23733.628000000001</v>
      </c>
      <c r="AQ76" s="418">
        <f>BS!AQ16</f>
        <v>20767.55</v>
      </c>
      <c r="AR76" s="418">
        <f>BS!AR16</f>
        <v>21106.86</v>
      </c>
      <c r="AS76" s="418">
        <f>BS!AS16</f>
        <v>20347.108</v>
      </c>
      <c r="AT76" s="418">
        <f>BS!AT16</f>
        <v>24554.098000000002</v>
      </c>
      <c r="AU76" s="418">
        <f>BS!AU16</f>
        <v>22971.758999999998</v>
      </c>
      <c r="AV76" s="418">
        <f>BS!AV16</f>
        <v>22666.013999999999</v>
      </c>
      <c r="AW76" s="418">
        <f>BS!AW16</f>
        <v>23423</v>
      </c>
      <c r="AX76" s="418">
        <f>BS!AX16</f>
        <v>24029.966</v>
      </c>
      <c r="AY76" s="418">
        <f>BS!AY16</f>
        <v>22574.755000000001</v>
      </c>
      <c r="AZ76" s="418">
        <f>BS!AZ16</f>
        <v>21995.575000000001</v>
      </c>
      <c r="BA76" s="418">
        <f>BS!BA16</f>
        <v>22274.256000000001</v>
      </c>
      <c r="BB76" s="418">
        <f>BS!BB16</f>
        <v>22737.466</v>
      </c>
      <c r="BC76" s="418">
        <f>BS!BC16</f>
        <v>21487.24</v>
      </c>
      <c r="BD76" s="418">
        <f>BS!BD16</f>
        <v>19969.462</v>
      </c>
      <c r="BE76" s="418">
        <f>BS!BE16</f>
        <v>20604.243999999999</v>
      </c>
      <c r="BF76" s="418">
        <f>BS!BF16</f>
        <v>19063.554</v>
      </c>
      <c r="BG76" s="418">
        <f>BS!BG16</f>
        <v>18258.692999999999</v>
      </c>
      <c r="BH76" s="418">
        <f>BS!BH16</f>
        <v>17955.677</v>
      </c>
      <c r="BI76" s="418">
        <f>BS!BI16</f>
        <v>17151.940999999999</v>
      </c>
      <c r="BJ76" s="418">
        <f>BS!BJ16</f>
        <v>15740.11</v>
      </c>
      <c r="BK76" s="1319">
        <f>BS!BK16</f>
        <v>18248.849999999999</v>
      </c>
      <c r="BL76" s="385">
        <f>Q_BS!BL152</f>
        <v>17238.975579330989</v>
      </c>
      <c r="BM76" s="385">
        <f>Q_BS!BM152</f>
        <v>17104.083384253652</v>
      </c>
      <c r="BN76" s="385">
        <f>Q_BS!BN152</f>
        <v>16955.358223156236</v>
      </c>
      <c r="BO76" s="385">
        <f>Q_BS!BO152</f>
        <v>16832.667031239216</v>
      </c>
      <c r="BP76" s="385">
        <f>Q_BS!BP152</f>
        <v>16879.00890952714</v>
      </c>
      <c r="BQ76" s="385">
        <f>Q_BS!BQ152</f>
        <v>16986.424189142854</v>
      </c>
      <c r="BR76" s="385">
        <f>Q_BS!BR152</f>
        <v>17020.048466236214</v>
      </c>
      <c r="BS76" s="385">
        <f>Q_BS!BS152</f>
        <v>16971.930203388503</v>
      </c>
      <c r="BT76" s="385">
        <f>Q_BS!BT152</f>
        <v>17040.478815816503</v>
      </c>
      <c r="BU76" s="385">
        <f>Q_BS!BU152</f>
        <v>17160.217999624252</v>
      </c>
      <c r="BV76" s="385">
        <f>Q_BS!BV152</f>
        <v>17204.948214931672</v>
      </c>
      <c r="BW76" s="385">
        <f>Q_BS!BW152</f>
        <v>17174.682916002985</v>
      </c>
      <c r="BX76" s="385">
        <f>Q_BS!BX152</f>
        <v>17259.969488715746</v>
      </c>
      <c r="BY76" s="385">
        <f>Q_BS!BY152</f>
        <v>17377.825188298011</v>
      </c>
      <c r="BZ76" s="385">
        <f>Q_BS!BZ152</f>
        <v>17424.096913279252</v>
      </c>
      <c r="CA76" s="385">
        <f>Q_BS!CA152</f>
        <v>17448.730819295964</v>
      </c>
      <c r="CB76" s="385">
        <f>Q_BS!CB152</f>
        <v>17585.701708145472</v>
      </c>
      <c r="CC76" s="385">
        <f>Q_BS!CC152</f>
        <v>17750.447151311993</v>
      </c>
      <c r="CD76" s="385">
        <f>Q_BS!CD152</f>
        <v>17844.503297475152</v>
      </c>
      <c r="CE76" s="385">
        <f>Q_BS!CE152</f>
        <v>17915.350610079717</v>
      </c>
      <c r="CF76" s="385">
        <f>Q_BS!CF152</f>
        <v>18098.579162539441</v>
      </c>
      <c r="CG76" s="385">
        <f>Q_BS!CG152</f>
        <v>18304.076645060672</v>
      </c>
      <c r="CH76" s="385">
        <f>Q_BS!CH152</f>
        <v>18428.300840905988</v>
      </c>
      <c r="CI76" s="385">
        <f>Q_BS!CI152</f>
        <v>18527.868854256947</v>
      </c>
      <c r="CJ76" s="385">
        <f>Q_BS!CJ152</f>
        <v>18740.397995857911</v>
      </c>
      <c r="CK76" s="385">
        <f>Q_BS!CK152</f>
        <v>18959.625613256852</v>
      </c>
      <c r="CL76" s="385">
        <f>Q_BS!CL152</f>
        <v>19098.211712637145</v>
      </c>
      <c r="CM76" s="385">
        <f>Q_BS!CM152</f>
        <v>19233.456657776092</v>
      </c>
      <c r="CN76" s="385">
        <f>Q_BS!CN152</f>
        <v>19482.793888991651</v>
      </c>
      <c r="CO76" s="385">
        <f>Q_BS!CO152</f>
        <v>19733.493985803874</v>
      </c>
      <c r="CP76" s="385">
        <f>Q_BS!CP152</f>
        <v>19898.113344591446</v>
      </c>
      <c r="CQ76" s="385">
        <f>Q_BS!CQ152</f>
        <v>20064.994887520985</v>
      </c>
      <c r="CR76" s="385">
        <f>Q_BS!CR152</f>
        <v>20347.239117932746</v>
      </c>
      <c r="CS76" s="385">
        <f>Q_BS!CS152</f>
        <v>20625.582561876708</v>
      </c>
      <c r="CT76" s="385">
        <f>Q_BS!CT152</f>
        <v>20812.405587115391</v>
      </c>
      <c r="CU76" s="385">
        <f>Q_BS!CU152</f>
        <v>21008.015390429049</v>
      </c>
      <c r="CV76" s="385">
        <f>Q_BS!CV152</f>
        <v>21320.616963574128</v>
      </c>
      <c r="CW76" s="385">
        <f>Q_BS!CW152</f>
        <v>21618.755563790903</v>
      </c>
    </row>
    <row r="77" spans="1:101">
      <c r="A77" s="364" t="s">
        <v>576</v>
      </c>
      <c r="B77" s="418">
        <f>BS!B11+BS!B12</f>
        <v>346.62200000000001</v>
      </c>
      <c r="C77" s="418">
        <f>BS!C11+BS!C12</f>
        <v>354.99400000000003</v>
      </c>
      <c r="D77" s="418">
        <f>BS!D11+BS!D12</f>
        <v>376.28699999999998</v>
      </c>
      <c r="E77" s="418">
        <f>BS!E11+BS!E12</f>
        <v>458.14</v>
      </c>
      <c r="F77" s="418">
        <f>BS!F11+BS!F12</f>
        <v>520.18100000000004</v>
      </c>
      <c r="G77" s="418">
        <f>BS!G11+BS!G12</f>
        <v>525.221</v>
      </c>
      <c r="H77" s="418">
        <f>BS!H11+BS!H12</f>
        <v>531.79999999999995</v>
      </c>
      <c r="I77" s="418">
        <f>BS!I11+BS!I12</f>
        <v>535.17499999999995</v>
      </c>
      <c r="J77" s="418">
        <f>BS!J11+BS!J12</f>
        <v>591.21199999999999</v>
      </c>
      <c r="K77" s="418">
        <f>BS!K11+BS!K12</f>
        <v>603.5630000000001</v>
      </c>
      <c r="L77" s="418">
        <f>BS!L11+BS!L12</f>
        <v>658.45500000000004</v>
      </c>
      <c r="M77" s="418">
        <f>BS!M11+BS!M12</f>
        <v>692.42</v>
      </c>
      <c r="N77" s="418">
        <f>BS!N11+BS!N12</f>
        <v>754.85199999999998</v>
      </c>
      <c r="O77" s="418">
        <f>BS!O11+BS!O12</f>
        <v>743.57500000000005</v>
      </c>
      <c r="P77" s="418">
        <f>BS!P11+BS!P12</f>
        <v>809.25800000000004</v>
      </c>
      <c r="Q77" s="418">
        <f>BS!Q11+BS!Q12</f>
        <v>828.96500000000003</v>
      </c>
      <c r="R77" s="418">
        <f>BS!R11+BS!R12</f>
        <v>894.423</v>
      </c>
      <c r="S77" s="418">
        <f>BS!S11+BS!S12</f>
        <v>951.37300000000005</v>
      </c>
      <c r="T77" s="418">
        <f>BS!T11+BS!T12</f>
        <v>942.68399999999997</v>
      </c>
      <c r="U77" s="418">
        <f>BS!U11+BS!U12</f>
        <v>741.28200000000004</v>
      </c>
      <c r="V77" s="418">
        <f>BS!V11+BS!V12</f>
        <v>994.25300000000004</v>
      </c>
      <c r="W77" s="418">
        <f>BS!W11+BS!W12</f>
        <v>1020.1369999999999</v>
      </c>
      <c r="X77" s="418">
        <f>BS!X11+BS!X12</f>
        <v>863.51700000000005</v>
      </c>
      <c r="Y77" s="418">
        <f>BS!Y11+BS!Y12</f>
        <v>1320.8810000000001</v>
      </c>
      <c r="Z77" s="418">
        <f>BS!Z11+BS!Z12</f>
        <v>1375.825</v>
      </c>
      <c r="AA77" s="418">
        <f>BS!AA11+BS!AA12</f>
        <v>1560.6510000000001</v>
      </c>
      <c r="AB77" s="418">
        <f>BS!AB11+BS!AB12</f>
        <v>1700.4169999999999</v>
      </c>
      <c r="AC77" s="418">
        <f>BS!AC11+BS!AC12</f>
        <v>1710.943</v>
      </c>
      <c r="AD77" s="418">
        <f>BS!AD11+BS!AD12</f>
        <v>1749.4549999999999</v>
      </c>
      <c r="AE77" s="418">
        <f>BS!AE11+BS!AE12</f>
        <v>1722.1310000000001</v>
      </c>
      <c r="AF77" s="418">
        <f>BS!AF11+BS!AF12</f>
        <v>1780.1959999999999</v>
      </c>
      <c r="AG77" s="418">
        <f>BS!AG11+BS!AG12</f>
        <v>1900.191</v>
      </c>
      <c r="AH77" s="418">
        <f>BS!AH11+BS!AH12</f>
        <v>2142.6640000000002</v>
      </c>
      <c r="AI77" s="418">
        <f>BS!AI11+BS!AI12</f>
        <v>2343.4450000000002</v>
      </c>
      <c r="AJ77" s="418">
        <f>BS!AJ11+BS!AJ12</f>
        <v>2473.884</v>
      </c>
      <c r="AK77" s="418">
        <f>BS!AK11+BS!AK12</f>
        <v>2456.0720000000001</v>
      </c>
      <c r="AL77" s="418">
        <f>BS!AL11+BS!AL12</f>
        <v>2412.0230000000001</v>
      </c>
      <c r="AM77" s="418">
        <f>BS!AM11+BS!AM12</f>
        <v>2319.8910000000001</v>
      </c>
      <c r="AN77" s="418">
        <f>BS!AN11+BS!AN12</f>
        <v>2235.8330000000001</v>
      </c>
      <c r="AO77" s="418">
        <f>BS!AO11+BS!AO12</f>
        <v>2730.5549999999998</v>
      </c>
      <c r="AP77" s="418">
        <f>BS!AP11+BS!AP12</f>
        <v>2661.3</v>
      </c>
      <c r="AQ77" s="418">
        <f>BS!AQ11+BS!AQ12</f>
        <v>2855.8789999999999</v>
      </c>
      <c r="AR77" s="418">
        <f>BS!AR11+BS!AR12</f>
        <v>2905.674</v>
      </c>
      <c r="AS77" s="418">
        <f>BS!AS11+BS!AS12</f>
        <v>3835.5929999999998</v>
      </c>
      <c r="AT77" s="418">
        <f>BS!AT11+BS!AT12</f>
        <v>3466.056</v>
      </c>
      <c r="AU77" s="418">
        <f>BS!AU11+BS!AU12</f>
        <v>3618.5059999999999</v>
      </c>
      <c r="AV77" s="418">
        <f>BS!AV11+BS!AV12</f>
        <v>5532.4009999999998</v>
      </c>
      <c r="AW77" s="418">
        <f>BS!AW11+BS!AW12</f>
        <v>6698</v>
      </c>
      <c r="AX77" s="418">
        <f>BS!AX11+BS!AX12</f>
        <v>6203.165</v>
      </c>
      <c r="AY77" s="418">
        <f>BS!AY11+BS!AY12</f>
        <v>6339.9130000000005</v>
      </c>
      <c r="AZ77" s="418">
        <f>BS!AZ11+BS!AZ12</f>
        <v>6297.3089999999993</v>
      </c>
      <c r="BA77" s="418">
        <f>BS!BA11+BS!BA12</f>
        <v>5751.8270000000002</v>
      </c>
      <c r="BB77" s="418">
        <f>BS!BB11+BS!BB12</f>
        <v>5500.3710000000001</v>
      </c>
      <c r="BC77" s="418">
        <f>BS!BC11+BS!BC12</f>
        <v>5417.7479999999996</v>
      </c>
      <c r="BD77" s="418">
        <f>BS!BD11+BS!BD12</f>
        <v>5536.8709999999992</v>
      </c>
      <c r="BE77" s="418">
        <f>BS!BE11+BS!BE12</f>
        <v>5233.857</v>
      </c>
      <c r="BF77" s="418">
        <f>BS!BF11+BS!BF12</f>
        <v>6077.7619999999997</v>
      </c>
      <c r="BG77" s="418">
        <f>BS!BG11+BS!BG12</f>
        <v>6011.4139999999998</v>
      </c>
      <c r="BH77" s="418">
        <f>BS!BH11+BS!BH12</f>
        <v>6082.0550000000003</v>
      </c>
      <c r="BI77" s="418">
        <f>BS!BI11+BS!BI12</f>
        <v>6372.8</v>
      </c>
      <c r="BJ77" s="418">
        <f>BS!BJ11+BS!BJ12</f>
        <v>6750.2939999999999</v>
      </c>
      <c r="BK77" s="1319">
        <f>BS!BK11+BS!BK12</f>
        <v>6446.9470000000001</v>
      </c>
      <c r="BL77" s="385">
        <f t="shared" ref="BL77" si="457">+BK77+IF(BL45&gt;0,BL45,0)</f>
        <v>6446.9470000000001</v>
      </c>
      <c r="BM77" s="385">
        <f t="shared" ref="BM77" si="458">+BL77+IF(BM45&gt;0,BM45,0)</f>
        <v>6446.9470000000001</v>
      </c>
      <c r="BN77" s="385">
        <f t="shared" ref="BN77" si="459">+BM77+IF(BN45&gt;0,BN45,0)</f>
        <v>6446.9470000000001</v>
      </c>
      <c r="BO77" s="385">
        <f t="shared" ref="BO77" si="460">+BN77+IF(BO45&gt;0,BO45,0)</f>
        <v>6446.9470000000001</v>
      </c>
      <c r="BP77" s="385">
        <f t="shared" ref="BP77" si="461">+BO77+IF(BP45&gt;0,BP45,0)</f>
        <v>6446.9470000000001</v>
      </c>
      <c r="BQ77" s="385">
        <f t="shared" ref="BQ77" si="462">+BP77+IF(BQ45&gt;0,BQ45,0)</f>
        <v>6446.9470000000001</v>
      </c>
      <c r="BR77" s="385">
        <f t="shared" ref="BR77" si="463">+BQ77+IF(BR45&gt;0,BR45,0)</f>
        <v>6446.9470000000001</v>
      </c>
      <c r="BS77" s="385">
        <f t="shared" ref="BS77" si="464">+BR77+IF(BS45&gt;0,BS45,0)</f>
        <v>6446.9470000000001</v>
      </c>
      <c r="BT77" s="385">
        <f t="shared" ref="BT77" si="465">+BS77+IF(BT45&gt;0,BT45,0)</f>
        <v>6446.9470000000001</v>
      </c>
      <c r="BU77" s="385">
        <f t="shared" ref="BU77" si="466">+BT77+IF(BU45&gt;0,BU45,0)</f>
        <v>6446.9470000000001</v>
      </c>
      <c r="BV77" s="385">
        <f t="shared" ref="BV77" si="467">+BU77+IF(BV45&gt;0,BV45,0)</f>
        <v>6446.9470000000001</v>
      </c>
      <c r="BW77" s="385">
        <f t="shared" ref="BW77" si="468">+BV77+IF(BW45&gt;0,BW45,0)</f>
        <v>6446.9470000000001</v>
      </c>
      <c r="BX77" s="385">
        <f t="shared" ref="BX77" si="469">+BW77+IF(BX45&gt;0,BX45,0)</f>
        <v>6446.9470000000001</v>
      </c>
      <c r="BY77" s="385">
        <f t="shared" ref="BY77" si="470">+BX77+IF(BY45&gt;0,BY45,0)</f>
        <v>6446.9470000000001</v>
      </c>
      <c r="BZ77" s="385">
        <f t="shared" ref="BZ77" si="471">+BY77+IF(BZ45&gt;0,BZ45,0)</f>
        <v>6446.9470000000001</v>
      </c>
      <c r="CA77" s="385">
        <f t="shared" ref="CA77" si="472">+BZ77+IF(CA45&gt;0,CA45,0)</f>
        <v>6446.9470000000001</v>
      </c>
      <c r="CB77" s="385">
        <f t="shared" ref="CB77" si="473">+CA77+IF(CB45&gt;0,CB45,0)</f>
        <v>6446.9470000000001</v>
      </c>
      <c r="CC77" s="385">
        <f t="shared" ref="CC77" si="474">+CB77+IF(CC45&gt;0,CC45,0)</f>
        <v>6446.9470000000001</v>
      </c>
      <c r="CD77" s="385">
        <f t="shared" ref="CD77" si="475">+CC77+IF(CD45&gt;0,CD45,0)</f>
        <v>6446.9470000000001</v>
      </c>
      <c r="CE77" s="385">
        <f t="shared" ref="CE77" si="476">+CD77+IF(CE45&gt;0,CE45,0)</f>
        <v>6446.9470000000001</v>
      </c>
      <c r="CF77" s="385">
        <f t="shared" ref="CF77" si="477">+CE77+IF(CF45&gt;0,CF45,0)</f>
        <v>6446.9470000000001</v>
      </c>
      <c r="CG77" s="385">
        <f t="shared" ref="CG77" si="478">+CF77+IF(CG45&gt;0,CG45,0)</f>
        <v>6446.9470000000001</v>
      </c>
      <c r="CH77" s="385">
        <f t="shared" ref="CH77" si="479">+CG77+IF(CH45&gt;0,CH45,0)</f>
        <v>6446.9470000000001</v>
      </c>
      <c r="CI77" s="385">
        <f t="shared" ref="CI77" si="480">+CH77+IF(CI45&gt;0,CI45,0)</f>
        <v>6446.9470000000001</v>
      </c>
      <c r="CJ77" s="385">
        <f t="shared" ref="CJ77" si="481">+CI77+IF(CJ45&gt;0,CJ45,0)</f>
        <v>6446.9470000000001</v>
      </c>
      <c r="CK77" s="385">
        <f t="shared" ref="CK77" si="482">+CJ77+IF(CK45&gt;0,CK45,0)</f>
        <v>6446.9470000000001</v>
      </c>
      <c r="CL77" s="385">
        <f t="shared" ref="CL77" si="483">+CK77+IF(CL45&gt;0,CL45,0)</f>
        <v>6446.9470000000001</v>
      </c>
      <c r="CM77" s="385">
        <f t="shared" ref="CM77" si="484">+CL77+IF(CM45&gt;0,CM45,0)</f>
        <v>6446.9470000000001</v>
      </c>
      <c r="CN77" s="385">
        <f t="shared" ref="CN77" si="485">+CM77+IF(CN45&gt;0,CN45,0)</f>
        <v>6446.9470000000001</v>
      </c>
      <c r="CO77" s="385">
        <f t="shared" ref="CO77" si="486">+CN77+IF(CO45&gt;0,CO45,0)</f>
        <v>6446.9470000000001</v>
      </c>
      <c r="CP77" s="385">
        <f t="shared" ref="CP77" si="487">+CO77+IF(CP45&gt;0,CP45,0)</f>
        <v>6446.9470000000001</v>
      </c>
      <c r="CQ77" s="385">
        <f t="shared" ref="CQ77" si="488">+CP77+IF(CQ45&gt;0,CQ45,0)</f>
        <v>6446.9470000000001</v>
      </c>
      <c r="CR77" s="385">
        <f t="shared" ref="CR77" si="489">+CQ77+IF(CR45&gt;0,CR45,0)</f>
        <v>6446.9470000000001</v>
      </c>
      <c r="CS77" s="385">
        <f t="shared" ref="CS77" si="490">+CR77+IF(CS45&gt;0,CS45,0)</f>
        <v>6446.9470000000001</v>
      </c>
      <c r="CT77" s="385">
        <f t="shared" ref="CT77" si="491">+CS77+IF(CT45&gt;0,CT45,0)</f>
        <v>6446.9470000000001</v>
      </c>
      <c r="CU77" s="385">
        <f t="shared" ref="CU77" si="492">+CT77+IF(CU45&gt;0,CU45,0)</f>
        <v>6446.9470000000001</v>
      </c>
      <c r="CV77" s="385">
        <f t="shared" ref="CV77" si="493">+CU77+IF(CV45&gt;0,CV45,0)</f>
        <v>6446.9470000000001</v>
      </c>
      <c r="CW77" s="385">
        <f t="shared" ref="CW77" si="494">+CV77+IF(CW45&gt;0,CW45,0)</f>
        <v>6446.9470000000001</v>
      </c>
    </row>
    <row r="78" spans="1:101" ht="13.5">
      <c r="A78" s="361" t="s">
        <v>372</v>
      </c>
      <c r="B78" s="425">
        <f t="shared" ref="B78:AQ78" si="495">SUM(B73:B77)</f>
        <v>4439.8319999999994</v>
      </c>
      <c r="C78" s="425">
        <f t="shared" si="495"/>
        <v>4339.0590000000002</v>
      </c>
      <c r="D78" s="425">
        <f t="shared" si="495"/>
        <v>4304.9970000000003</v>
      </c>
      <c r="E78" s="425">
        <f t="shared" si="495"/>
        <v>4373.451</v>
      </c>
      <c r="F78" s="425">
        <f t="shared" si="495"/>
        <v>4357.9059999999999</v>
      </c>
      <c r="G78" s="425">
        <f t="shared" si="495"/>
        <v>4383.7309999999998</v>
      </c>
      <c r="H78" s="425">
        <f t="shared" si="495"/>
        <v>4390.8469999999998</v>
      </c>
      <c r="I78" s="425">
        <f t="shared" si="495"/>
        <v>4505.3909999999996</v>
      </c>
      <c r="J78" s="425">
        <f t="shared" si="495"/>
        <v>4570.3150000000005</v>
      </c>
      <c r="K78" s="425">
        <f t="shared" si="495"/>
        <v>4667.8869999999997</v>
      </c>
      <c r="L78" s="425">
        <f t="shared" si="495"/>
        <v>4848.7370000000001</v>
      </c>
      <c r="M78" s="425">
        <f t="shared" si="495"/>
        <v>5123.9279999999999</v>
      </c>
      <c r="N78" s="425">
        <f t="shared" si="495"/>
        <v>6920.3969999999999</v>
      </c>
      <c r="O78" s="425">
        <f t="shared" si="495"/>
        <v>6971.6949999999997</v>
      </c>
      <c r="P78" s="425">
        <f t="shared" si="495"/>
        <v>7034.2460000000001</v>
      </c>
      <c r="Q78" s="425">
        <f t="shared" si="495"/>
        <v>7212.1990000000005</v>
      </c>
      <c r="R78" s="425">
        <f t="shared" si="495"/>
        <v>7220.8360000000002</v>
      </c>
      <c r="S78" s="425">
        <f t="shared" si="495"/>
        <v>7807.3430000000008</v>
      </c>
      <c r="T78" s="425">
        <f t="shared" si="495"/>
        <v>9346.5810000000001</v>
      </c>
      <c r="U78" s="425">
        <f t="shared" si="495"/>
        <v>9680.3859999999986</v>
      </c>
      <c r="V78" s="425">
        <f t="shared" si="495"/>
        <v>9774.6419999999998</v>
      </c>
      <c r="W78" s="425">
        <f t="shared" si="495"/>
        <v>18211.080999999998</v>
      </c>
      <c r="X78" s="425">
        <f t="shared" si="495"/>
        <v>19095.613999999998</v>
      </c>
      <c r="Y78" s="425">
        <f t="shared" si="495"/>
        <v>25695.370000000003</v>
      </c>
      <c r="Z78" s="425">
        <f t="shared" si="495"/>
        <v>25401.519000000004</v>
      </c>
      <c r="AA78" s="425">
        <f t="shared" si="495"/>
        <v>26229.269000000004</v>
      </c>
      <c r="AB78" s="425">
        <f t="shared" si="495"/>
        <v>26905.855000000003</v>
      </c>
      <c r="AC78" s="425">
        <f t="shared" si="495"/>
        <v>27451.612000000001</v>
      </c>
      <c r="AD78" s="425">
        <f t="shared" si="495"/>
        <v>29150.036</v>
      </c>
      <c r="AE78" s="425">
        <f t="shared" si="495"/>
        <v>29654.616999999998</v>
      </c>
      <c r="AF78" s="425">
        <f t="shared" si="495"/>
        <v>30620.893</v>
      </c>
      <c r="AG78" s="425">
        <f t="shared" si="495"/>
        <v>31790.369999999995</v>
      </c>
      <c r="AH78" s="425">
        <f t="shared" si="495"/>
        <v>31998.704999999998</v>
      </c>
      <c r="AI78" s="425">
        <f t="shared" si="495"/>
        <v>31569.905999999999</v>
      </c>
      <c r="AJ78" s="425">
        <f t="shared" si="495"/>
        <v>32424.339999999997</v>
      </c>
      <c r="AK78" s="425">
        <f t="shared" si="495"/>
        <v>33586.557000000001</v>
      </c>
      <c r="AL78" s="425">
        <f t="shared" si="495"/>
        <v>33339.784999999996</v>
      </c>
      <c r="AM78" s="425">
        <f t="shared" si="495"/>
        <v>33146.955000000002</v>
      </c>
      <c r="AN78" s="425">
        <f t="shared" si="495"/>
        <v>32889.186000000002</v>
      </c>
      <c r="AO78" s="425">
        <f t="shared" si="495"/>
        <v>46487.01</v>
      </c>
      <c r="AP78" s="425">
        <f t="shared" si="495"/>
        <v>70911.445000000007</v>
      </c>
      <c r="AQ78" s="425">
        <f t="shared" si="495"/>
        <v>69147.748000000007</v>
      </c>
      <c r="AR78" s="425">
        <f t="shared" ref="AR78:BC78" si="496">SUM(AR73:AR77)</f>
        <v>68935.744999999995</v>
      </c>
      <c r="AS78" s="425">
        <f t="shared" si="496"/>
        <v>69181.732000000004</v>
      </c>
      <c r="AT78" s="425">
        <f t="shared" si="496"/>
        <v>75390.050999999992</v>
      </c>
      <c r="AU78" s="425">
        <f t="shared" si="496"/>
        <v>74044.255999999994</v>
      </c>
      <c r="AV78" s="425">
        <f t="shared" si="496"/>
        <v>75277.153999999995</v>
      </c>
      <c r="AW78" s="425">
        <f t="shared" si="496"/>
        <v>74908</v>
      </c>
      <c r="AX78" s="425">
        <f t="shared" si="496"/>
        <v>74394.102999999988</v>
      </c>
      <c r="AY78" s="425">
        <f t="shared" si="496"/>
        <v>72015.191000000006</v>
      </c>
      <c r="AZ78" s="425">
        <f t="shared" si="496"/>
        <v>71419.160999999993</v>
      </c>
      <c r="BA78" s="425">
        <f t="shared" si="496"/>
        <v>71232.445000000007</v>
      </c>
      <c r="BB78" s="425">
        <f t="shared" si="496"/>
        <v>71076.175000000003</v>
      </c>
      <c r="BC78" s="425">
        <f t="shared" si="496"/>
        <v>68757.431000000011</v>
      </c>
      <c r="BD78" s="425">
        <f t="shared" ref="BD78:BI78" si="497">SUM(BD73:BD77)</f>
        <v>66115.155999999988</v>
      </c>
      <c r="BE78" s="425">
        <f t="shared" si="497"/>
        <v>68095.490999999995</v>
      </c>
      <c r="BF78" s="425">
        <f t="shared" si="497"/>
        <v>65923.528000000006</v>
      </c>
      <c r="BG78" s="425">
        <f t="shared" si="497"/>
        <v>63953.548999999999</v>
      </c>
      <c r="BH78" s="425">
        <f t="shared" si="497"/>
        <v>63691.182999999997</v>
      </c>
      <c r="BI78" s="425">
        <f t="shared" si="497"/>
        <v>64324.724999999999</v>
      </c>
      <c r="BJ78" s="425">
        <f t="shared" ref="BJ78:BK78" si="498">SUM(BJ73:BJ77)</f>
        <v>62279.019000000008</v>
      </c>
      <c r="BK78" s="1320">
        <f t="shared" si="498"/>
        <v>66925.147999999986</v>
      </c>
      <c r="BL78" s="387">
        <f t="shared" ref="BL78:CW78" si="499">SUM(BL73:BL77)</f>
        <v>66230.245649242148</v>
      </c>
      <c r="BM78" s="387">
        <f t="shared" si="499"/>
        <v>66870.844908046696</v>
      </c>
      <c r="BN78" s="387">
        <f t="shared" si="499"/>
        <v>66787.320743948338</v>
      </c>
      <c r="BO78" s="387">
        <f t="shared" si="499"/>
        <v>66636.563401500607</v>
      </c>
      <c r="BP78" s="387">
        <f t="shared" si="499"/>
        <v>66701.941216663137</v>
      </c>
      <c r="BQ78" s="387">
        <f t="shared" si="499"/>
        <v>67493.194813991868</v>
      </c>
      <c r="BR78" s="387">
        <f t="shared" si="499"/>
        <v>67537.985391911207</v>
      </c>
      <c r="BS78" s="387">
        <f t="shared" si="499"/>
        <v>67401.040465986429</v>
      </c>
      <c r="BT78" s="387">
        <f t="shared" si="499"/>
        <v>67429.928209664533</v>
      </c>
      <c r="BU78" s="387">
        <f t="shared" si="499"/>
        <v>68113.975904966414</v>
      </c>
      <c r="BV78" s="387">
        <f t="shared" si="499"/>
        <v>68188.160272078137</v>
      </c>
      <c r="BW78" s="387">
        <f t="shared" si="499"/>
        <v>68085.226714432516</v>
      </c>
      <c r="BX78" s="387">
        <f t="shared" si="499"/>
        <v>68146.924112341047</v>
      </c>
      <c r="BY78" s="387">
        <f t="shared" si="499"/>
        <v>68754.091644551416</v>
      </c>
      <c r="BZ78" s="387">
        <f t="shared" si="499"/>
        <v>69133.104853047262</v>
      </c>
      <c r="CA78" s="387">
        <f t="shared" si="499"/>
        <v>69411.667828586884</v>
      </c>
      <c r="CB78" s="387">
        <f t="shared" si="499"/>
        <v>69817.912904112018</v>
      </c>
      <c r="CC78" s="387">
        <f t="shared" si="499"/>
        <v>70540.09587304866</v>
      </c>
      <c r="CD78" s="387">
        <f t="shared" si="499"/>
        <v>70946.290703091101</v>
      </c>
      <c r="CE78" s="387">
        <f t="shared" si="499"/>
        <v>71242.036044570326</v>
      </c>
      <c r="CF78" s="387">
        <f t="shared" si="499"/>
        <v>71669.820552595687</v>
      </c>
      <c r="CG78" s="387">
        <f t="shared" si="499"/>
        <v>72423.998861382614</v>
      </c>
      <c r="CH78" s="387">
        <f t="shared" si="499"/>
        <v>72792.79189003403</v>
      </c>
      <c r="CI78" s="387">
        <f t="shared" si="499"/>
        <v>73041.445179402028</v>
      </c>
      <c r="CJ78" s="387">
        <f t="shared" si="499"/>
        <v>73429.139822818848</v>
      </c>
      <c r="CK78" s="387">
        <f t="shared" si="499"/>
        <v>74102.664681265902</v>
      </c>
      <c r="CL78" s="387">
        <f t="shared" si="499"/>
        <v>74464.712507786142</v>
      </c>
      <c r="CM78" s="387">
        <f t="shared" si="499"/>
        <v>74717.405504129929</v>
      </c>
      <c r="CN78" s="387">
        <f t="shared" si="499"/>
        <v>75116.159179043578</v>
      </c>
      <c r="CO78" s="387">
        <f t="shared" si="499"/>
        <v>75812.211752561969</v>
      </c>
      <c r="CP78" s="387">
        <f t="shared" si="499"/>
        <v>76178.312863497544</v>
      </c>
      <c r="CQ78" s="387">
        <f t="shared" si="499"/>
        <v>76428.94930608182</v>
      </c>
      <c r="CR78" s="387">
        <f t="shared" si="499"/>
        <v>76833.754248926227</v>
      </c>
      <c r="CS78" s="387">
        <f t="shared" si="499"/>
        <v>77548.791061290074</v>
      </c>
      <c r="CT78" s="387">
        <f t="shared" si="499"/>
        <v>77915.378941393792</v>
      </c>
      <c r="CU78" s="387">
        <f t="shared" si="499"/>
        <v>78160.029966152244</v>
      </c>
      <c r="CV78" s="387">
        <f t="shared" si="499"/>
        <v>78568.170503365662</v>
      </c>
      <c r="CW78" s="387">
        <f t="shared" si="499"/>
        <v>79174.222857023895</v>
      </c>
    </row>
    <row r="79" spans="1:101" ht="13.5">
      <c r="A79" s="361" t="s">
        <v>373</v>
      </c>
      <c r="B79" s="425">
        <f t="shared" ref="B79:AG79" si="500">B72+B78</f>
        <v>6083.7729999999992</v>
      </c>
      <c r="C79" s="425">
        <f t="shared" si="500"/>
        <v>5844.1820000000007</v>
      </c>
      <c r="D79" s="425">
        <f t="shared" si="500"/>
        <v>5713.6200000000008</v>
      </c>
      <c r="E79" s="425">
        <f t="shared" si="500"/>
        <v>5808.8090000000002</v>
      </c>
      <c r="F79" s="425">
        <f t="shared" si="500"/>
        <v>6074.3419999999996</v>
      </c>
      <c r="G79" s="425">
        <f t="shared" si="500"/>
        <v>5750.7179999999998</v>
      </c>
      <c r="H79" s="425">
        <f t="shared" si="500"/>
        <v>5804.5679999999993</v>
      </c>
      <c r="I79" s="425">
        <f t="shared" si="500"/>
        <v>6141.2289999999994</v>
      </c>
      <c r="J79" s="425">
        <f t="shared" si="500"/>
        <v>6001.4770000000008</v>
      </c>
      <c r="K79" s="425">
        <f t="shared" si="500"/>
        <v>6331.5559999999996</v>
      </c>
      <c r="L79" s="425">
        <f t="shared" si="500"/>
        <v>6624.8819999999996</v>
      </c>
      <c r="M79" s="425">
        <f t="shared" si="500"/>
        <v>9374.1729999999989</v>
      </c>
      <c r="N79" s="425">
        <f t="shared" si="500"/>
        <v>9507.2540000000008</v>
      </c>
      <c r="O79" s="425">
        <f t="shared" si="500"/>
        <v>9414.7170000000006</v>
      </c>
      <c r="P79" s="425">
        <f t="shared" si="500"/>
        <v>9435.1409999999996</v>
      </c>
      <c r="Q79" s="425">
        <f t="shared" si="500"/>
        <v>9797.5930000000008</v>
      </c>
      <c r="R79" s="425">
        <f t="shared" si="500"/>
        <v>9673.1500000000015</v>
      </c>
      <c r="S79" s="425">
        <f t="shared" si="500"/>
        <v>10147.488000000001</v>
      </c>
      <c r="T79" s="425">
        <f t="shared" si="500"/>
        <v>11945.327000000001</v>
      </c>
      <c r="U79" s="425">
        <f t="shared" si="500"/>
        <v>12416.134999999998</v>
      </c>
      <c r="V79" s="425">
        <f t="shared" si="500"/>
        <v>12345.028999999999</v>
      </c>
      <c r="W79" s="425">
        <f t="shared" si="500"/>
        <v>22092.574999999997</v>
      </c>
      <c r="X79" s="425">
        <f t="shared" si="500"/>
        <v>22208.930999999997</v>
      </c>
      <c r="Y79" s="425">
        <f t="shared" si="500"/>
        <v>29771.596000000001</v>
      </c>
      <c r="Z79" s="425">
        <f t="shared" si="500"/>
        <v>29412.924000000003</v>
      </c>
      <c r="AA79" s="425">
        <f t="shared" si="500"/>
        <v>30400.917000000001</v>
      </c>
      <c r="AB79" s="425">
        <f t="shared" si="500"/>
        <v>30817.355000000003</v>
      </c>
      <c r="AC79" s="425">
        <f t="shared" si="500"/>
        <v>31842.427000000003</v>
      </c>
      <c r="AD79" s="425">
        <f t="shared" si="500"/>
        <v>33548.523999999998</v>
      </c>
      <c r="AE79" s="425">
        <f t="shared" si="500"/>
        <v>34190.557999999997</v>
      </c>
      <c r="AF79" s="425">
        <f t="shared" si="500"/>
        <v>35584.995999999999</v>
      </c>
      <c r="AG79" s="425">
        <f t="shared" si="500"/>
        <v>37995.140999999996</v>
      </c>
      <c r="AH79" s="425">
        <f t="shared" ref="AH79:AQ79" si="501">AH72+AH78</f>
        <v>37307.655999999995</v>
      </c>
      <c r="AI79" s="425">
        <f t="shared" si="501"/>
        <v>37923.921000000002</v>
      </c>
      <c r="AJ79" s="425">
        <f t="shared" si="501"/>
        <v>38765.431999999993</v>
      </c>
      <c r="AK79" s="425">
        <f t="shared" si="501"/>
        <v>39659.256999999998</v>
      </c>
      <c r="AL79" s="425">
        <f t="shared" si="501"/>
        <v>39692.687999999995</v>
      </c>
      <c r="AM79" s="425">
        <f t="shared" si="501"/>
        <v>40145.663</v>
      </c>
      <c r="AN79" s="425">
        <f t="shared" si="501"/>
        <v>39429.775000000001</v>
      </c>
      <c r="AO79" s="425">
        <f t="shared" si="501"/>
        <v>53060.122000000003</v>
      </c>
      <c r="AP79" s="425">
        <f t="shared" si="501"/>
        <v>77552.832000000009</v>
      </c>
      <c r="AQ79" s="425">
        <f t="shared" si="501"/>
        <v>76425.592000000004</v>
      </c>
      <c r="AR79" s="425">
        <f t="shared" ref="AR79:BC79" si="502">AR72+AR78</f>
        <v>76156.232999999993</v>
      </c>
      <c r="AS79" s="425">
        <f t="shared" si="502"/>
        <v>76412.248000000007</v>
      </c>
      <c r="AT79" s="425">
        <f t="shared" si="502"/>
        <v>84871.895999999993</v>
      </c>
      <c r="AU79" s="425">
        <f t="shared" si="502"/>
        <v>84077.435999999987</v>
      </c>
      <c r="AV79" s="425">
        <f t="shared" si="502"/>
        <v>84588.433999999994</v>
      </c>
      <c r="AW79" s="425">
        <f t="shared" si="502"/>
        <v>83438</v>
      </c>
      <c r="AX79" s="425">
        <f t="shared" si="502"/>
        <v>82663.228999999992</v>
      </c>
      <c r="AY79" s="425">
        <f t="shared" si="502"/>
        <v>80619.762000000002</v>
      </c>
      <c r="AZ79" s="425">
        <f t="shared" si="502"/>
        <v>80070.257999999987</v>
      </c>
      <c r="BA79" s="425">
        <f t="shared" si="502"/>
        <v>82977.562000000005</v>
      </c>
      <c r="BB79" s="425">
        <f t="shared" si="502"/>
        <v>81321.718000000008</v>
      </c>
      <c r="BC79" s="425">
        <f t="shared" si="502"/>
        <v>79731.09600000002</v>
      </c>
      <c r="BD79" s="425">
        <f t="shared" ref="BD79:BG79" si="503">BD72+BD78</f>
        <v>77387.02899999998</v>
      </c>
      <c r="BE79" s="425">
        <f t="shared" si="503"/>
        <v>80469.322999999989</v>
      </c>
      <c r="BF79" s="425">
        <f t="shared" si="503"/>
        <v>77029.596000000005</v>
      </c>
      <c r="BG79" s="425">
        <f t="shared" si="503"/>
        <v>75408.326000000001</v>
      </c>
      <c r="BH79" s="425">
        <f t="shared" ref="BH79" si="504">BH72+BH78</f>
        <v>76200.785999999993</v>
      </c>
      <c r="BI79" s="425">
        <f t="shared" ref="BI79" si="505">BI72+BI78</f>
        <v>76997.021000000008</v>
      </c>
      <c r="BJ79" s="425">
        <f t="shared" ref="BJ79:BK79" si="506">BJ72+BJ78</f>
        <v>74091.184000000008</v>
      </c>
      <c r="BK79" s="1320">
        <f t="shared" si="506"/>
        <v>78380.366999999984</v>
      </c>
      <c r="BL79" s="387">
        <f t="shared" ref="BL79:CW79" si="507">BL72+BL78</f>
        <v>78394.015345687629</v>
      </c>
      <c r="BM79" s="387">
        <f t="shared" si="507"/>
        <v>78506.159318748032</v>
      </c>
      <c r="BN79" s="387">
        <f t="shared" si="507"/>
        <v>78743.144086375047</v>
      </c>
      <c r="BO79" s="387">
        <f t="shared" si="507"/>
        <v>80366.331453091727</v>
      </c>
      <c r="BP79" s="387">
        <f t="shared" si="507"/>
        <v>82343.8776571856</v>
      </c>
      <c r="BQ79" s="387">
        <f t="shared" si="507"/>
        <v>84677.301652623079</v>
      </c>
      <c r="BR79" s="387">
        <f t="shared" si="507"/>
        <v>86187.721903698301</v>
      </c>
      <c r="BS79" s="387">
        <f t="shared" si="507"/>
        <v>87866.155330075839</v>
      </c>
      <c r="BT79" s="387">
        <f t="shared" si="507"/>
        <v>90052.570091273039</v>
      </c>
      <c r="BU79" s="387">
        <f t="shared" si="507"/>
        <v>92420.741462378995</v>
      </c>
      <c r="BV79" s="387">
        <f t="shared" si="507"/>
        <v>93756.309293900238</v>
      </c>
      <c r="BW79" s="387">
        <f t="shared" si="507"/>
        <v>95575.564076302835</v>
      </c>
      <c r="BX79" s="387">
        <f t="shared" si="507"/>
        <v>98018.844024111269</v>
      </c>
      <c r="BY79" s="387">
        <f t="shared" si="507"/>
        <v>100696.18607174835</v>
      </c>
      <c r="BZ79" s="387">
        <f t="shared" si="507"/>
        <v>101417.79109412707</v>
      </c>
      <c r="CA79" s="387">
        <f t="shared" si="507"/>
        <v>102626.42373561971</v>
      </c>
      <c r="CB79" s="387">
        <f t="shared" si="507"/>
        <v>104482.90573276022</v>
      </c>
      <c r="CC79" s="387">
        <f t="shared" si="507"/>
        <v>106510.61360815501</v>
      </c>
      <c r="CD79" s="387">
        <f t="shared" si="507"/>
        <v>107030.0155972036</v>
      </c>
      <c r="CE79" s="387">
        <f t="shared" si="507"/>
        <v>108305.01701021186</v>
      </c>
      <c r="CF79" s="387">
        <f t="shared" si="507"/>
        <v>110288.24843193221</v>
      </c>
      <c r="CG79" s="387">
        <f t="shared" si="507"/>
        <v>112458.27294166711</v>
      </c>
      <c r="CH79" s="387">
        <f t="shared" si="507"/>
        <v>112983.11782329284</v>
      </c>
      <c r="CI79" s="387">
        <f t="shared" si="507"/>
        <v>114299.5879195467</v>
      </c>
      <c r="CJ79" s="387">
        <f t="shared" si="507"/>
        <v>116389.08416019296</v>
      </c>
      <c r="CK79" s="387">
        <f t="shared" si="507"/>
        <v>118667.26746750501</v>
      </c>
      <c r="CL79" s="387">
        <f t="shared" si="507"/>
        <v>119184.76529741971</v>
      </c>
      <c r="CM79" s="387">
        <f t="shared" si="507"/>
        <v>120560.70832568477</v>
      </c>
      <c r="CN79" s="387">
        <f t="shared" si="507"/>
        <v>122778.09028546745</v>
      </c>
      <c r="CO79" s="387">
        <f t="shared" si="507"/>
        <v>125200.41235946352</v>
      </c>
      <c r="CP79" s="387">
        <f t="shared" si="507"/>
        <v>125727.1452621783</v>
      </c>
      <c r="CQ79" s="387">
        <f t="shared" si="507"/>
        <v>127159.03598882366</v>
      </c>
      <c r="CR79" s="387">
        <f t="shared" si="507"/>
        <v>130006.30184562337</v>
      </c>
      <c r="CS79" s="387">
        <f t="shared" si="507"/>
        <v>133076.9967318479</v>
      </c>
      <c r="CT79" s="387">
        <f t="shared" si="507"/>
        <v>133608.99711851298</v>
      </c>
      <c r="CU79" s="387">
        <f t="shared" si="507"/>
        <v>135243.07959676784</v>
      </c>
      <c r="CV79" s="387">
        <f t="shared" si="507"/>
        <v>137723.14389172691</v>
      </c>
      <c r="CW79" s="387">
        <f t="shared" si="507"/>
        <v>140428.34912029459</v>
      </c>
    </row>
    <row r="80" spans="1:101">
      <c r="A80" s="359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  <c r="M80" s="378"/>
      <c r="N80" s="378"/>
      <c r="O80" s="378"/>
      <c r="P80" s="378"/>
      <c r="Q80" s="378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86"/>
      <c r="AQ80" s="386"/>
      <c r="AR80" s="386"/>
      <c r="AS80" s="386"/>
      <c r="AT80" s="386"/>
      <c r="AU80" s="386"/>
      <c r="AV80" s="386"/>
      <c r="AW80" s="386"/>
      <c r="AX80" s="386"/>
      <c r="AY80" s="386"/>
      <c r="AZ80" s="386"/>
      <c r="BA80" s="386"/>
      <c r="BB80" s="386"/>
      <c r="BC80" s="386"/>
      <c r="BD80" s="386"/>
      <c r="BE80" s="386"/>
      <c r="BF80" s="386"/>
      <c r="BG80" s="386"/>
      <c r="BH80" s="386"/>
      <c r="BI80" s="386"/>
      <c r="BJ80" s="386"/>
      <c r="BK80" s="1321"/>
      <c r="BL80" s="386"/>
      <c r="BM80" s="386"/>
      <c r="BN80" s="386"/>
      <c r="BO80" s="386"/>
      <c r="BP80" s="386"/>
      <c r="BQ80" s="386"/>
      <c r="BR80" s="386"/>
      <c r="BS80" s="386"/>
      <c r="BT80" s="386"/>
      <c r="BU80" s="386"/>
      <c r="BV80" s="386"/>
      <c r="BW80" s="386"/>
      <c r="BX80" s="386"/>
      <c r="BY80" s="386"/>
      <c r="BZ80" s="386"/>
      <c r="CA80" s="386"/>
      <c r="CB80" s="386"/>
      <c r="CC80" s="386"/>
      <c r="CD80" s="386"/>
      <c r="CE80" s="386"/>
      <c r="CF80" s="386"/>
      <c r="CG80" s="386"/>
      <c r="CH80" s="386"/>
      <c r="CI80" s="386"/>
      <c r="CJ80" s="386"/>
      <c r="CK80" s="386"/>
      <c r="CL80" s="386"/>
      <c r="CM80" s="386"/>
      <c r="CN80" s="386"/>
      <c r="CO80" s="386"/>
      <c r="CP80" s="386"/>
      <c r="CQ80" s="386"/>
      <c r="CR80" s="386"/>
      <c r="CS80" s="386"/>
      <c r="CT80" s="386"/>
      <c r="CU80" s="386"/>
      <c r="CV80" s="386"/>
      <c r="CW80" s="386"/>
    </row>
    <row r="81" spans="1:101">
      <c r="A81" s="358" t="s">
        <v>374</v>
      </c>
      <c r="B81" s="362"/>
      <c r="C81" s="362"/>
      <c r="D81" s="362"/>
      <c r="E81" s="362"/>
      <c r="F81" s="362"/>
      <c r="G81" s="362"/>
      <c r="H81" s="362"/>
      <c r="I81" s="362"/>
      <c r="J81" s="362"/>
      <c r="K81" s="362"/>
      <c r="L81" s="362"/>
      <c r="M81" s="362"/>
      <c r="N81" s="362"/>
      <c r="O81" s="362"/>
      <c r="P81" s="362"/>
      <c r="Q81" s="362"/>
      <c r="R81" s="362"/>
      <c r="S81" s="362"/>
      <c r="T81" s="362"/>
      <c r="U81" s="362"/>
      <c r="V81" s="362"/>
      <c r="W81" s="362"/>
      <c r="X81" s="362"/>
      <c r="Y81" s="362"/>
      <c r="Z81" s="362"/>
      <c r="AA81" s="362"/>
      <c r="AB81" s="362"/>
      <c r="AC81" s="362"/>
      <c r="AD81" s="362"/>
      <c r="AE81" s="362"/>
      <c r="AF81" s="362"/>
      <c r="AG81" s="362"/>
      <c r="AH81" s="362"/>
      <c r="AI81" s="362"/>
      <c r="AJ81" s="362"/>
      <c r="AK81" s="362"/>
      <c r="AL81" s="362"/>
      <c r="AM81" s="362"/>
      <c r="AN81" s="362"/>
      <c r="AO81" s="362"/>
      <c r="AP81" s="386"/>
      <c r="AQ81" s="386"/>
      <c r="AR81" s="386"/>
      <c r="AS81" s="386"/>
      <c r="AT81" s="386"/>
      <c r="AU81" s="386"/>
      <c r="AV81" s="386"/>
      <c r="AW81" s="386"/>
      <c r="AX81" s="386"/>
      <c r="AY81" s="386"/>
      <c r="AZ81" s="386"/>
      <c r="BA81" s="386"/>
      <c r="BB81" s="386"/>
      <c r="BC81" s="386"/>
      <c r="BD81" s="386"/>
      <c r="BE81" s="386"/>
      <c r="BF81" s="386"/>
      <c r="BG81" s="386"/>
      <c r="BH81" s="386"/>
      <c r="BI81" s="386"/>
      <c r="BJ81" s="386"/>
      <c r="BK81" s="1321"/>
      <c r="BL81" s="386"/>
      <c r="BM81" s="386"/>
      <c r="BN81" s="386"/>
      <c r="BO81" s="386"/>
      <c r="BP81" s="386"/>
      <c r="BQ81" s="386"/>
      <c r="BR81" s="386"/>
      <c r="BS81" s="386"/>
      <c r="BT81" s="386"/>
      <c r="BU81" s="386"/>
      <c r="BV81" s="386"/>
      <c r="BW81" s="386"/>
      <c r="BX81" s="386"/>
      <c r="BY81" s="386"/>
      <c r="BZ81" s="386"/>
      <c r="CA81" s="386"/>
      <c r="CB81" s="386"/>
      <c r="CC81" s="386"/>
      <c r="CD81" s="386"/>
      <c r="CE81" s="386"/>
      <c r="CF81" s="386"/>
      <c r="CG81" s="386"/>
      <c r="CH81" s="386"/>
      <c r="CI81" s="386"/>
      <c r="CJ81" s="386"/>
      <c r="CK81" s="386"/>
      <c r="CL81" s="386"/>
      <c r="CM81" s="386"/>
      <c r="CN81" s="386"/>
      <c r="CO81" s="386"/>
      <c r="CP81" s="386"/>
      <c r="CQ81" s="386"/>
      <c r="CR81" s="386"/>
      <c r="CS81" s="386"/>
      <c r="CT81" s="386"/>
      <c r="CU81" s="386"/>
      <c r="CV81" s="386"/>
      <c r="CW81" s="386"/>
    </row>
    <row r="82" spans="1:101">
      <c r="A82" s="364" t="s">
        <v>350</v>
      </c>
      <c r="B82" s="418">
        <f>BS!B29+BS!B31+BS!B28</f>
        <v>735.83400000000006</v>
      </c>
      <c r="C82" s="418">
        <f>BS!C29+BS!C31+BS!C28</f>
        <v>810.44099999999992</v>
      </c>
      <c r="D82" s="418">
        <f>BS!D29+BS!D31+BS!D28</f>
        <v>687.74800000000005</v>
      </c>
      <c r="E82" s="418">
        <f>BS!E29+BS!E31+BS!E28</f>
        <v>619.34699999999998</v>
      </c>
      <c r="F82" s="418">
        <f>BS!F29+BS!F31+BS!F28</f>
        <v>557.80799999999999</v>
      </c>
      <c r="G82" s="418">
        <f>BS!G29+BS!G31+BS!G28</f>
        <v>390.48</v>
      </c>
      <c r="H82" s="418">
        <f>BS!H29+BS!H31+BS!H28</f>
        <v>369.589</v>
      </c>
      <c r="I82" s="418">
        <f>BS!I29+BS!I31+BS!I28</f>
        <v>288.04700000000003</v>
      </c>
      <c r="J82" s="418">
        <f>BS!J29+BS!J31+BS!J28</f>
        <v>197.81800000000001</v>
      </c>
      <c r="K82" s="418">
        <f>BS!K29+BS!K31+BS!K28</f>
        <v>166.17599999999999</v>
      </c>
      <c r="L82" s="418">
        <f>BS!L29+BS!L31+BS!L28</f>
        <v>229.251</v>
      </c>
      <c r="M82" s="418">
        <f>BS!M29+BS!M31+BS!M28</f>
        <v>185.333</v>
      </c>
      <c r="N82" s="418">
        <f>BS!N29+BS!N31+BS!N28</f>
        <v>277.95800000000003</v>
      </c>
      <c r="O82" s="418">
        <f>BS!O29+BS!O31+BS!O28</f>
        <v>342.44</v>
      </c>
      <c r="P82" s="418">
        <f>BS!P29+BS!P31+BS!P28</f>
        <v>355.78500000000003</v>
      </c>
      <c r="Q82" s="418">
        <f>BS!Q29+BS!Q31+BS!Q28</f>
        <v>396.64699999999999</v>
      </c>
      <c r="R82" s="418">
        <f>BS!R29+BS!R31+BS!R28</f>
        <v>470.16199999999998</v>
      </c>
      <c r="S82" s="418">
        <f>BS!S29+BS!S31+BS!S28</f>
        <v>81.775999999999996</v>
      </c>
      <c r="T82" s="418">
        <f>BS!T29+BS!T31+BS!T28</f>
        <v>252.816</v>
      </c>
      <c r="U82" s="418">
        <f>BS!U29+BS!U31+BS!U28</f>
        <v>388.48599999999999</v>
      </c>
      <c r="V82" s="418">
        <f>BS!V29+BS!V31+BS!V28</f>
        <v>556.13300000000004</v>
      </c>
      <c r="W82" s="418">
        <f>BS!W29+BS!W31+BS!W28</f>
        <v>1593.835</v>
      </c>
      <c r="X82" s="418">
        <f>BS!X29+BS!X31+BS!X28</f>
        <v>901.71799999999996</v>
      </c>
      <c r="Y82" s="418">
        <f>BS!Y29+BS!Y31+BS!Y28</f>
        <v>1377.1569999999999</v>
      </c>
      <c r="Z82" s="418">
        <f>BS!Z29+BS!Z31+BS!Z28</f>
        <v>890.76199999999994</v>
      </c>
      <c r="AA82" s="418">
        <f>BS!AA29+BS!AA31+BS!AA28</f>
        <v>1546.692</v>
      </c>
      <c r="AB82" s="418">
        <f>BS!AB29+BS!AB31+BS!AB28</f>
        <v>738.66200000000003</v>
      </c>
      <c r="AC82" s="418">
        <f>BS!AC29+BS!AC31+BS!AC28</f>
        <v>734.82399999999996</v>
      </c>
      <c r="AD82" s="418">
        <f>BS!AD29+BS!AD31+BS!AD28</f>
        <v>912.33699999999999</v>
      </c>
      <c r="AE82" s="418">
        <f>BS!AE29+BS!AE31+BS!AE28</f>
        <v>433.52</v>
      </c>
      <c r="AF82" s="418">
        <f>BS!AF29+BS!AF31+BS!AF28</f>
        <v>562.63</v>
      </c>
      <c r="AG82" s="418">
        <f>BS!AG29+BS!AG31+BS!AG28</f>
        <v>1107.2380000000001</v>
      </c>
      <c r="AH82" s="418">
        <f>BS!AH29+BS!AH31+BS!AH28</f>
        <v>1427.3889999999999</v>
      </c>
      <c r="AI82" s="418">
        <f>BS!AI29+BS!AI31+BS!AI28</f>
        <v>1388.2660000000001</v>
      </c>
      <c r="AJ82" s="418">
        <f>BS!AJ29+BS!AJ31+BS!AJ28</f>
        <v>1638.116</v>
      </c>
      <c r="AK82" s="418">
        <f>BS!AK29+BS!AK31+BS!AK28</f>
        <v>4367.53</v>
      </c>
      <c r="AL82" s="418">
        <f>BS!AL29+BS!AL31+BS!AL28</f>
        <v>5065.7740000000003</v>
      </c>
      <c r="AM82" s="418">
        <f>BS!AM29+BS!AM31+BS!AM28</f>
        <v>4781.3890000000001</v>
      </c>
      <c r="AN82" s="418">
        <f>BS!AN29+BS!AN31+BS!AN28</f>
        <v>7122.1980000000003</v>
      </c>
      <c r="AO82" s="418">
        <f>BS!AO29+BS!AO31+BS!AO28</f>
        <v>5094.2719999999999</v>
      </c>
      <c r="AP82" s="1297">
        <f>BS!AP29+BS!AP31+BS!AP28</f>
        <v>10507.088</v>
      </c>
      <c r="AQ82" s="1297">
        <f>BS!AQ29+BS!AQ31+BS!AQ28</f>
        <v>3263.317</v>
      </c>
      <c r="AR82" s="1297">
        <f>BS!AR29+BS!AR31+BS!AR28</f>
        <v>2989.527</v>
      </c>
      <c r="AS82" s="1297">
        <f>BS!AS29+BS!AS31+BS!AS28</f>
        <v>2610.5320000000002</v>
      </c>
      <c r="AT82" s="1297">
        <f>BS!AT29+BS!AT31+BS!AT28</f>
        <v>4914.0079999999998</v>
      </c>
      <c r="AU82" s="1297">
        <f>BS!AU29+BS!AU31+BS!AU28</f>
        <v>6954.5599999999995</v>
      </c>
      <c r="AV82" s="1297">
        <f>BS!AV29+BS!AV31+BS!AV28</f>
        <v>7504.9880000000003</v>
      </c>
      <c r="AW82" s="2036">
        <f>BS!AW29+BS!AW31+BS!AW28</f>
        <v>5535</v>
      </c>
      <c r="AX82" s="2036">
        <f>BS!AX29+BS!AX31+BS!AX28</f>
        <v>9734.9709999999995</v>
      </c>
      <c r="AY82" s="2036">
        <f>BS!AY29+BS!AY31+BS!AY28</f>
        <v>29115.600999999999</v>
      </c>
      <c r="AZ82" s="2036">
        <f>BS!AZ29+BS!AZ31+BS!AZ28</f>
        <v>29503.537</v>
      </c>
      <c r="BA82" s="2036">
        <f>BS!BA29+BS!BA31+BS!BA28</f>
        <v>10185.467000000001</v>
      </c>
      <c r="BB82" s="2036">
        <f>BS!BB29+BS!BB31+BS!BB28</f>
        <v>6708.5370000000003</v>
      </c>
      <c r="BC82" s="2036">
        <f>BS!BC29+BS!BC31+BS!BC28</f>
        <v>6626.7039999999997</v>
      </c>
      <c r="BD82" s="2036">
        <f>BS!BD29+BS!BD31+BS!BD28</f>
        <v>6481.8890000000001</v>
      </c>
      <c r="BE82" s="2036">
        <f>BS!BE29+BS!BE31+BS!BE28</f>
        <v>6138.6379999999999</v>
      </c>
      <c r="BF82" s="2036">
        <f>BS!BF29+BS!BF31+BS!BF28</f>
        <v>6116.3850000000002</v>
      </c>
      <c r="BG82" s="2036">
        <f>BS!BG29+BS!BG31+BS!BG28</f>
        <v>8171.5339999999997</v>
      </c>
      <c r="BH82" s="2036">
        <f>BS!BH29+BS!BH31+BS!BH28</f>
        <v>6825.2749999999996</v>
      </c>
      <c r="BI82" s="2036">
        <f>BS!BI29+BS!BI31+BS!BI28</f>
        <v>7034.2170000000006</v>
      </c>
      <c r="BJ82" s="2036">
        <f>BS!BJ29+BS!BJ31+BS!BJ28</f>
        <v>8351.0079999999998</v>
      </c>
      <c r="BK82" s="1322">
        <f>BS!BK29+BS!BK31+BS!BK28</f>
        <v>8716.3770000000004</v>
      </c>
      <c r="BL82" s="385">
        <f>Q_BS!BL108</f>
        <v>8716.3770000000004</v>
      </c>
      <c r="BM82" s="385">
        <f>Q_BS!BM108</f>
        <v>7709.2170000000006</v>
      </c>
      <c r="BN82" s="385">
        <f>Q_BS!BN108</f>
        <v>6884.6570000000011</v>
      </c>
      <c r="BO82" s="385">
        <f>Q_BS!BO108</f>
        <v>6884.6570000000011</v>
      </c>
      <c r="BP82" s="385">
        <f>Q_BS!BP108</f>
        <v>6884.6570000000011</v>
      </c>
      <c r="BQ82" s="385">
        <f>Q_BS!BQ108</f>
        <v>6884.6570000000011</v>
      </c>
      <c r="BR82" s="385">
        <f>Q_BS!BR108</f>
        <v>6884.6570000000011</v>
      </c>
      <c r="BS82" s="385">
        <f>Q_BS!BS108</f>
        <v>6884.6570000000011</v>
      </c>
      <c r="BT82" s="385">
        <f>Q_BS!BT108</f>
        <v>6884.6570000000011</v>
      </c>
      <c r="BU82" s="385">
        <f>Q_BS!BU108</f>
        <v>6884.6570000000011</v>
      </c>
      <c r="BV82" s="385">
        <f>Q_BS!BV108</f>
        <v>6884.6570000000011</v>
      </c>
      <c r="BW82" s="385">
        <f>Q_BS!BW108</f>
        <v>6884.6570000000011</v>
      </c>
      <c r="BX82" s="385">
        <f>Q_BS!BX108</f>
        <v>6884.6570000000011</v>
      </c>
      <c r="BY82" s="385">
        <f>Q_BS!BY108</f>
        <v>6884.6570000000011</v>
      </c>
      <c r="BZ82" s="385">
        <f>Q_BS!BZ108</f>
        <v>6884.6570000000011</v>
      </c>
      <c r="CA82" s="385">
        <f>Q_BS!CA108</f>
        <v>6884.6570000000011</v>
      </c>
      <c r="CB82" s="385">
        <f>Q_BS!CB108</f>
        <v>6884.6570000000011</v>
      </c>
      <c r="CC82" s="385">
        <f>Q_BS!CC108</f>
        <v>6884.6570000000011</v>
      </c>
      <c r="CD82" s="385">
        <f>Q_BS!CD108</f>
        <v>6884.6570000000011</v>
      </c>
      <c r="CE82" s="385">
        <f>Q_BS!CE108</f>
        <v>6884.6570000000011</v>
      </c>
      <c r="CF82" s="385">
        <f>Q_BS!CF108</f>
        <v>6884.6570000000011</v>
      </c>
      <c r="CG82" s="385">
        <f>Q_BS!CG108</f>
        <v>6884.6570000000011</v>
      </c>
      <c r="CH82" s="385">
        <f>Q_BS!CH108</f>
        <v>6884.6570000000011</v>
      </c>
      <c r="CI82" s="385">
        <f>Q_BS!CI108</f>
        <v>6884.6570000000011</v>
      </c>
      <c r="CJ82" s="385">
        <f>Q_BS!CJ108</f>
        <v>6884.6570000000011</v>
      </c>
      <c r="CK82" s="385">
        <f>Q_BS!CK108</f>
        <v>6884.6570000000011</v>
      </c>
      <c r="CL82" s="385">
        <f>Q_BS!CL108</f>
        <v>6884.6570000000011</v>
      </c>
      <c r="CM82" s="385">
        <f>Q_BS!CM108</f>
        <v>6884.6570000000011</v>
      </c>
      <c r="CN82" s="385">
        <f>Q_BS!CN108</f>
        <v>6884.6570000000011</v>
      </c>
      <c r="CO82" s="385">
        <f>Q_BS!CO108</f>
        <v>6884.6570000000011</v>
      </c>
      <c r="CP82" s="385">
        <f>Q_BS!CP108</f>
        <v>6884.6570000000011</v>
      </c>
      <c r="CQ82" s="385">
        <f>Q_BS!CQ108</f>
        <v>6884.6570000000011</v>
      </c>
      <c r="CR82" s="385">
        <f>Q_BS!CR108</f>
        <v>6884.6570000000011</v>
      </c>
      <c r="CS82" s="385">
        <f>Q_BS!CS108</f>
        <v>6884.6570000000011</v>
      </c>
      <c r="CT82" s="385">
        <f>Q_BS!CT108</f>
        <v>6884.6570000000011</v>
      </c>
      <c r="CU82" s="385">
        <f>Q_BS!CU108</f>
        <v>6884.6570000000011</v>
      </c>
      <c r="CV82" s="385">
        <f>Q_BS!CV108</f>
        <v>6884.6570000000011</v>
      </c>
      <c r="CW82" s="385">
        <f>Q_BS!CW108</f>
        <v>6884.6570000000011</v>
      </c>
    </row>
    <row r="83" spans="1:101">
      <c r="A83" s="364" t="s">
        <v>577</v>
      </c>
      <c r="B83" s="418">
        <f>BS!B24</f>
        <v>430.06700000000001</v>
      </c>
      <c r="C83" s="418">
        <f>BS!C24</f>
        <v>411.69799999999998</v>
      </c>
      <c r="D83" s="418">
        <f>BS!D24</f>
        <v>437.00099999999998</v>
      </c>
      <c r="E83" s="418">
        <f>BS!E24</f>
        <v>559.149</v>
      </c>
      <c r="F83" s="418">
        <f>BS!F24</f>
        <v>426.32799999999997</v>
      </c>
      <c r="G83" s="418">
        <f>BS!G24</f>
        <v>462.06799999999998</v>
      </c>
      <c r="H83" s="418">
        <f>BS!H24</f>
        <v>537.52599999999995</v>
      </c>
      <c r="I83" s="418">
        <f>BS!I24</f>
        <v>710.548</v>
      </c>
      <c r="J83" s="418">
        <f>BS!J24</f>
        <v>591.25300000000004</v>
      </c>
      <c r="K83" s="418">
        <f>BS!K24</f>
        <v>687.82799999999997</v>
      </c>
      <c r="L83" s="418">
        <f>BS!L24</f>
        <v>676.72699999999998</v>
      </c>
      <c r="M83" s="418">
        <f>BS!M24</f>
        <v>1021.424</v>
      </c>
      <c r="N83" s="418">
        <f>BS!N24</f>
        <v>840.87699999999995</v>
      </c>
      <c r="O83" s="418">
        <f>BS!O24</f>
        <v>1012.2910000000001</v>
      </c>
      <c r="P83" s="418">
        <f>BS!P24</f>
        <v>930.31799999999998</v>
      </c>
      <c r="Q83" s="418">
        <f>BS!Q24</f>
        <v>1129.6120000000001</v>
      </c>
      <c r="R83" s="418">
        <f>BS!R24</f>
        <v>1024.924</v>
      </c>
      <c r="S83" s="418">
        <f>BS!S24</f>
        <v>1006.899</v>
      </c>
      <c r="T83" s="418">
        <f>BS!T24</f>
        <v>1108.04</v>
      </c>
      <c r="U83" s="418">
        <f>BS!U24</f>
        <v>1408.5650000000001</v>
      </c>
      <c r="V83" s="418">
        <f>BS!V24</f>
        <v>1214.6210000000001</v>
      </c>
      <c r="W83" s="418">
        <f>BS!W24</f>
        <v>1385.3520000000001</v>
      </c>
      <c r="X83" s="418">
        <f>BS!X24</f>
        <v>1390.9760000000001</v>
      </c>
      <c r="Y83" s="418">
        <f>BS!Y24</f>
        <v>2694.0149999999999</v>
      </c>
      <c r="Z83" s="418">
        <f>BS!Z24</f>
        <v>2509.165</v>
      </c>
      <c r="AA83" s="418">
        <f>BS!AA24</f>
        <v>2498.08</v>
      </c>
      <c r="AB83" s="418">
        <f>BS!AB24</f>
        <v>2468.52</v>
      </c>
      <c r="AC83" s="418">
        <f>BS!AC24</f>
        <v>3013.0909999999999</v>
      </c>
      <c r="AD83" s="418">
        <f>BS!AD24</f>
        <v>2953.6080000000002</v>
      </c>
      <c r="AE83" s="418">
        <f>BS!AE24</f>
        <v>3134.134</v>
      </c>
      <c r="AF83" s="418">
        <f>BS!AF24</f>
        <v>3482.9850000000001</v>
      </c>
      <c r="AG83" s="418">
        <f>BS!AG24</f>
        <v>3901.9720000000002</v>
      </c>
      <c r="AH83" s="418">
        <f>BS!AH24</f>
        <v>3030.5630000000001</v>
      </c>
      <c r="AI83" s="418">
        <f>BS!AI24</f>
        <v>3440.826</v>
      </c>
      <c r="AJ83" s="418">
        <f>BS!AJ24</f>
        <v>3120.4560000000001</v>
      </c>
      <c r="AK83" s="418">
        <f>BS!AK24</f>
        <v>3960.806</v>
      </c>
      <c r="AL83" s="418">
        <f>BS!AL24</f>
        <v>3371.9110000000001</v>
      </c>
      <c r="AM83" s="418">
        <f>BS!AM24</f>
        <v>4024.087</v>
      </c>
      <c r="AN83" s="418">
        <f>BS!AN24</f>
        <v>3347.2669999999998</v>
      </c>
      <c r="AO83" s="418">
        <f>BS!AO24</f>
        <v>5215.8770000000004</v>
      </c>
      <c r="AP83" s="1297">
        <f>BS!AP24</f>
        <v>4803</v>
      </c>
      <c r="AQ83" s="1297">
        <f>BS!AQ24</f>
        <v>4952.8999999999996</v>
      </c>
      <c r="AR83" s="1297">
        <f>BS!AR24</f>
        <v>4800.8909999999996</v>
      </c>
      <c r="AS83" s="1297">
        <f>BS!AS24</f>
        <v>5450.5550000000003</v>
      </c>
      <c r="AT83" s="1297">
        <f>BS!AT24</f>
        <v>5743.25</v>
      </c>
      <c r="AU83" s="1297">
        <f>BS!AU24</f>
        <v>5735.4880000000003</v>
      </c>
      <c r="AV83" s="1297">
        <f>BS!AV24</f>
        <v>6237.9560000000001</v>
      </c>
      <c r="AW83" s="1297">
        <f>BS!AW24</f>
        <v>3604</v>
      </c>
      <c r="AX83" s="1297">
        <f>BS!AX24</f>
        <v>3384.3539999999998</v>
      </c>
      <c r="AY83" s="1297">
        <f>BS!AY24</f>
        <v>3385.5160000000001</v>
      </c>
      <c r="AZ83" s="1297">
        <f>BS!AZ24</f>
        <v>3175.5279999999998</v>
      </c>
      <c r="BA83" s="1297">
        <f>BS!BA24</f>
        <v>3979.2370000000001</v>
      </c>
      <c r="BB83" s="1297">
        <f>BS!BB24</f>
        <v>3925.8809999999999</v>
      </c>
      <c r="BC83" s="1297">
        <f>BS!BC24</f>
        <v>4351.8729999999996</v>
      </c>
      <c r="BD83" s="1297">
        <f>BS!BD24</f>
        <v>4163.7060000000001</v>
      </c>
      <c r="BE83" s="1297">
        <f>BS!BE24</f>
        <v>5628.5950000000003</v>
      </c>
      <c r="BF83" s="1297">
        <f>BS!BF24</f>
        <v>4755.6419999999998</v>
      </c>
      <c r="BG83" s="1297">
        <f>BS!BG24</f>
        <v>5057.9849999999997</v>
      </c>
      <c r="BH83" s="1297">
        <f>BS!BH24</f>
        <v>5437.0159999999996</v>
      </c>
      <c r="BI83" s="1297">
        <f>BS!BI24</f>
        <v>5767.8990000000003</v>
      </c>
      <c r="BJ83" s="1297">
        <f>BS!BJ24</f>
        <v>5237.9539999999997</v>
      </c>
      <c r="BK83" s="1322">
        <f>BS!BK24</f>
        <v>5129.6390000000001</v>
      </c>
      <c r="BL83" s="385">
        <f>Q_BS!BL15</f>
        <v>5666.7360153906393</v>
      </c>
      <c r="BM83" s="385">
        <f>Q_BS!BM15</f>
        <v>6185.6643800284883</v>
      </c>
      <c r="BN83" s="385">
        <f>Q_BS!BN15</f>
        <v>5926.8408193691766</v>
      </c>
      <c r="BO83" s="385">
        <f>Q_BS!BO15</f>
        <v>5902.4809747645195</v>
      </c>
      <c r="BP83" s="385">
        <f>Q_BS!BP15</f>
        <v>6207.4382340947705</v>
      </c>
      <c r="BQ83" s="385">
        <f>Q_BS!BQ15</f>
        <v>6716.2160911708188</v>
      </c>
      <c r="BR83" s="385">
        <f>Q_BS!BR15</f>
        <v>6406.0858612841794</v>
      </c>
      <c r="BS83" s="385">
        <f>Q_BS!BS15</f>
        <v>6308.5332830212365</v>
      </c>
      <c r="BT83" s="385">
        <f>Q_BS!BT15</f>
        <v>6633.1119288073596</v>
      </c>
      <c r="BU83" s="385">
        <f>Q_BS!BU15</f>
        <v>7174.3722322526492</v>
      </c>
      <c r="BV83" s="385">
        <f>Q_BS!BV15</f>
        <v>6809.8914104724363</v>
      </c>
      <c r="BW83" s="385">
        <f>Q_BS!BW15</f>
        <v>6695.3591304320817</v>
      </c>
      <c r="BX83" s="385">
        <f>Q_BS!BX15</f>
        <v>7042.3179832684382</v>
      </c>
      <c r="BY83" s="385">
        <f>Q_BS!BY15</f>
        <v>7624.7729951885176</v>
      </c>
      <c r="BZ83" s="385">
        <f>Q_BS!BZ15</f>
        <v>7277.3453458936165</v>
      </c>
      <c r="CA83" s="385">
        <f>Q_BS!CA15</f>
        <v>7147.9735016212144</v>
      </c>
      <c r="CB83" s="385">
        <f>Q_BS!CB15</f>
        <v>7522.9916182339448</v>
      </c>
      <c r="CC83" s="385">
        <f>Q_BS!CC15</f>
        <v>8154.849908985625</v>
      </c>
      <c r="CD83" s="385">
        <f>Q_BS!CD15</f>
        <v>7660.0793207822708</v>
      </c>
      <c r="CE83" s="385">
        <f>Q_BS!CE15</f>
        <v>7515.9883853495357</v>
      </c>
      <c r="CF83" s="385">
        <f>Q_BS!CF15</f>
        <v>7915.793311127597</v>
      </c>
      <c r="CG83" s="385">
        <f>Q_BS!CG15</f>
        <v>8591.2175006008802</v>
      </c>
      <c r="CH83" s="385">
        <f>Q_BS!CH15</f>
        <v>8058.8985924466333</v>
      </c>
      <c r="CI83" s="385">
        <f>Q_BS!CI15</f>
        <v>7895.6523283999504</v>
      </c>
      <c r="CJ83" s="385">
        <f>Q_BS!CJ15</f>
        <v>8317.5845339520747</v>
      </c>
      <c r="CK83" s="385">
        <f>Q_BS!CK15</f>
        <v>9032.0081546950969</v>
      </c>
      <c r="CL83" s="385">
        <f>Q_BS!CL15</f>
        <v>8460.5748452542502</v>
      </c>
      <c r="CM83" s="385">
        <f>Q_BS!CM15</f>
        <v>8281.4468221456609</v>
      </c>
      <c r="CN83" s="385">
        <f>Q_BS!CN15</f>
        <v>8730.3272493921559</v>
      </c>
      <c r="CO83" s="385">
        <f>Q_BS!CO15</f>
        <v>9490.8266455041285</v>
      </c>
      <c r="CP83" s="385">
        <f>Q_BS!CP15</f>
        <v>8881.2220433091188</v>
      </c>
      <c r="CQ83" s="385">
        <f>Q_BS!CQ15</f>
        <v>8685.1617221443757</v>
      </c>
      <c r="CR83" s="385">
        <f>Q_BS!CR15</f>
        <v>9162.8115113221593</v>
      </c>
      <c r="CS83" s="385">
        <f>Q_BS!CS15</f>
        <v>9972.0216705752446</v>
      </c>
      <c r="CT83" s="385">
        <f>Q_BS!CT15</f>
        <v>9322.0457148365804</v>
      </c>
      <c r="CU83" s="385">
        <f>Q_BS!CU15</f>
        <v>9107.6730768064226</v>
      </c>
      <c r="CV83" s="385">
        <f>Q_BS!CV15</f>
        <v>9615.3489493466168</v>
      </c>
      <c r="CW83" s="385">
        <f>Q_BS!CW15</f>
        <v>10470.067235537272</v>
      </c>
    </row>
    <row r="84" spans="1:101">
      <c r="A84" s="364" t="s">
        <v>375</v>
      </c>
      <c r="B84" s="418">
        <f>BS!B25</f>
        <v>59.936</v>
      </c>
      <c r="C84" s="418">
        <f>BS!C25</f>
        <v>62.405999999999999</v>
      </c>
      <c r="D84" s="418">
        <f>BS!D25</f>
        <v>105.825</v>
      </c>
      <c r="E84" s="418">
        <f>BS!E25</f>
        <v>213.63800000000001</v>
      </c>
      <c r="F84" s="418">
        <f>BS!F25</f>
        <v>189.57400000000001</v>
      </c>
      <c r="G84" s="418">
        <f>BS!G25</f>
        <v>177.852</v>
      </c>
      <c r="H84" s="418">
        <f>BS!H25</f>
        <v>171.38200000000001</v>
      </c>
      <c r="I84" s="418">
        <f>BS!I25</f>
        <v>176.59299999999999</v>
      </c>
      <c r="J84" s="418">
        <f>BS!J25</f>
        <v>136.739</v>
      </c>
      <c r="K84" s="418">
        <f>BS!K25</f>
        <v>149.93799999999999</v>
      </c>
      <c r="L84" s="418">
        <f>BS!L25</f>
        <v>235.38499999999999</v>
      </c>
      <c r="M84" s="418">
        <f>BS!M25</f>
        <v>265.23500000000001</v>
      </c>
      <c r="N84" s="418">
        <f>BS!N25</f>
        <v>334.68</v>
      </c>
      <c r="O84" s="418">
        <f>BS!O25</f>
        <v>226.797</v>
      </c>
      <c r="P84" s="418">
        <f>BS!P25</f>
        <v>335.21600000000001</v>
      </c>
      <c r="Q84" s="418">
        <f>BS!Q25</f>
        <v>383.20299999999997</v>
      </c>
      <c r="R84" s="418">
        <f>BS!R25</f>
        <v>381.55399999999997</v>
      </c>
      <c r="S84" s="418">
        <f>BS!S25</f>
        <v>362.13299999999998</v>
      </c>
      <c r="T84" s="418">
        <f>BS!T25</f>
        <v>330.90499999999997</v>
      </c>
      <c r="U84" s="418">
        <f>BS!U25</f>
        <v>386.98099999999999</v>
      </c>
      <c r="V84" s="418">
        <f>BS!V25</f>
        <v>379.17</v>
      </c>
      <c r="W84" s="418">
        <f>BS!W25</f>
        <v>263.98500000000001</v>
      </c>
      <c r="X84" s="418">
        <f>BS!X25</f>
        <v>153.11600000000001</v>
      </c>
      <c r="Y84" s="418">
        <f>BS!Y25</f>
        <v>341.85599999999999</v>
      </c>
      <c r="Z84" s="418">
        <f>BS!Z25</f>
        <v>131.958</v>
      </c>
      <c r="AA84" s="418">
        <f>BS!AA25</f>
        <v>150.602</v>
      </c>
      <c r="AB84" s="418">
        <f>BS!AB25</f>
        <v>130.23500000000001</v>
      </c>
      <c r="AC84" s="418">
        <f>BS!AC25</f>
        <v>210.76599999999999</v>
      </c>
      <c r="AD84" s="418">
        <f>BS!AD25</f>
        <v>149.66999999999999</v>
      </c>
      <c r="AE84" s="418">
        <f>BS!AE25</f>
        <v>165.59899999999999</v>
      </c>
      <c r="AF84" s="418">
        <f>BS!AF25</f>
        <v>269.64600000000002</v>
      </c>
      <c r="AG84" s="418">
        <f>BS!AG25</f>
        <v>331.27600000000001</v>
      </c>
      <c r="AH84" s="418">
        <f>BS!AH25</f>
        <v>255.36099999999999</v>
      </c>
      <c r="AI84" s="418">
        <f>BS!AI25</f>
        <v>201.34299999999999</v>
      </c>
      <c r="AJ84" s="418">
        <f>BS!AJ25</f>
        <v>137.85499999999999</v>
      </c>
      <c r="AK84" s="418">
        <f>BS!AK25</f>
        <v>253.04300000000001</v>
      </c>
      <c r="AL84" s="418">
        <f>BS!AL25</f>
        <v>260.89699999999999</v>
      </c>
      <c r="AM84" s="418">
        <f>BS!AM25</f>
        <v>184.24799999999999</v>
      </c>
      <c r="AN84" s="418">
        <f>BS!AN25</f>
        <v>150.92599999999999</v>
      </c>
      <c r="AO84" s="418">
        <f>BS!AO25</f>
        <v>472.17200000000003</v>
      </c>
      <c r="AP84" s="1297">
        <f>BS!AP25</f>
        <v>272.23899999999998</v>
      </c>
      <c r="AQ84" s="1297">
        <f>BS!AQ25</f>
        <v>304.75400000000002</v>
      </c>
      <c r="AR84" s="1297">
        <f>BS!AR25</f>
        <v>366.63200000000001</v>
      </c>
      <c r="AS84" s="1297">
        <f>BS!AS25</f>
        <v>571.51</v>
      </c>
      <c r="AT84" s="1297">
        <f>BS!AT25</f>
        <v>434.84399999999999</v>
      </c>
      <c r="AU84" s="1297">
        <f>BS!AU25</f>
        <v>216.53</v>
      </c>
      <c r="AV84" s="1297">
        <f>BS!AV25</f>
        <v>300.93900000000002</v>
      </c>
      <c r="AW84" s="1297">
        <f>BS!AW25</f>
        <v>0</v>
      </c>
      <c r="AX84" s="1297">
        <f>BS!AX25</f>
        <v>541.79300000000001</v>
      </c>
      <c r="AY84" s="1297">
        <f>BS!AY25</f>
        <v>195.52500000000001</v>
      </c>
      <c r="AZ84" s="1297">
        <f>BS!AZ25</f>
        <v>173.03100000000001</v>
      </c>
      <c r="BA84" s="1297">
        <f>BS!BA25</f>
        <v>635.35500000000002</v>
      </c>
      <c r="BB84" s="1297">
        <f>BS!BB25</f>
        <v>458.40499999999997</v>
      </c>
      <c r="BC84" s="1297">
        <f>BS!BC25</f>
        <v>476.964</v>
      </c>
      <c r="BD84" s="1297">
        <f>BS!BD25</f>
        <v>409.024</v>
      </c>
      <c r="BE84" s="1297">
        <f>BS!BE25</f>
        <v>463.709</v>
      </c>
      <c r="BF84" s="1297">
        <f>BS!BF25</f>
        <v>466.85899999999998</v>
      </c>
      <c r="BG84" s="1297">
        <f>BS!BG25</f>
        <v>365.44200000000001</v>
      </c>
      <c r="BH84" s="1297">
        <f>BS!BH25</f>
        <v>269.92399999999998</v>
      </c>
      <c r="BI84" s="1297">
        <f>BS!BI25</f>
        <v>283.76799999999997</v>
      </c>
      <c r="BJ84" s="1297">
        <f>BS!BJ25</f>
        <v>443.13299999999998</v>
      </c>
      <c r="BK84" s="1322">
        <f>BS!BK25</f>
        <v>501.89800000000002</v>
      </c>
      <c r="BL84" s="2025">
        <f t="shared" ref="BL84:CW84" si="508">BK84</f>
        <v>501.89800000000002</v>
      </c>
      <c r="BM84" s="2025">
        <f t="shared" si="508"/>
        <v>501.89800000000002</v>
      </c>
      <c r="BN84" s="2025">
        <f t="shared" si="508"/>
        <v>501.89800000000002</v>
      </c>
      <c r="BO84" s="2025">
        <f t="shared" si="508"/>
        <v>501.89800000000002</v>
      </c>
      <c r="BP84" s="2025">
        <f t="shared" si="508"/>
        <v>501.89800000000002</v>
      </c>
      <c r="BQ84" s="2025">
        <f t="shared" si="508"/>
        <v>501.89800000000002</v>
      </c>
      <c r="BR84" s="385">
        <f t="shared" si="508"/>
        <v>501.89800000000002</v>
      </c>
      <c r="BS84" s="385">
        <f t="shared" si="508"/>
        <v>501.89800000000002</v>
      </c>
      <c r="BT84" s="385">
        <f t="shared" si="508"/>
        <v>501.89800000000002</v>
      </c>
      <c r="BU84" s="385">
        <f t="shared" si="508"/>
        <v>501.89800000000002</v>
      </c>
      <c r="BV84" s="385">
        <f t="shared" si="508"/>
        <v>501.89800000000002</v>
      </c>
      <c r="BW84" s="385">
        <f t="shared" si="508"/>
        <v>501.89800000000002</v>
      </c>
      <c r="BX84" s="385">
        <f t="shared" si="508"/>
        <v>501.89800000000002</v>
      </c>
      <c r="BY84" s="385">
        <f t="shared" si="508"/>
        <v>501.89800000000002</v>
      </c>
      <c r="BZ84" s="385">
        <f t="shared" si="508"/>
        <v>501.89800000000002</v>
      </c>
      <c r="CA84" s="385">
        <f t="shared" si="508"/>
        <v>501.89800000000002</v>
      </c>
      <c r="CB84" s="385">
        <f t="shared" si="508"/>
        <v>501.89800000000002</v>
      </c>
      <c r="CC84" s="385">
        <f t="shared" si="508"/>
        <v>501.89800000000002</v>
      </c>
      <c r="CD84" s="385">
        <f t="shared" si="508"/>
        <v>501.89800000000002</v>
      </c>
      <c r="CE84" s="385">
        <f t="shared" si="508"/>
        <v>501.89800000000002</v>
      </c>
      <c r="CF84" s="385">
        <f t="shared" si="508"/>
        <v>501.89800000000002</v>
      </c>
      <c r="CG84" s="385">
        <f t="shared" si="508"/>
        <v>501.89800000000002</v>
      </c>
      <c r="CH84" s="385">
        <f t="shared" si="508"/>
        <v>501.89800000000002</v>
      </c>
      <c r="CI84" s="385">
        <f t="shared" si="508"/>
        <v>501.89800000000002</v>
      </c>
      <c r="CJ84" s="385">
        <f t="shared" si="508"/>
        <v>501.89800000000002</v>
      </c>
      <c r="CK84" s="385">
        <f t="shared" si="508"/>
        <v>501.89800000000002</v>
      </c>
      <c r="CL84" s="385">
        <f t="shared" si="508"/>
        <v>501.89800000000002</v>
      </c>
      <c r="CM84" s="385">
        <f t="shared" si="508"/>
        <v>501.89800000000002</v>
      </c>
      <c r="CN84" s="385">
        <f t="shared" si="508"/>
        <v>501.89800000000002</v>
      </c>
      <c r="CO84" s="385">
        <f t="shared" si="508"/>
        <v>501.89800000000002</v>
      </c>
      <c r="CP84" s="385">
        <f t="shared" si="508"/>
        <v>501.89800000000002</v>
      </c>
      <c r="CQ84" s="385">
        <f t="shared" si="508"/>
        <v>501.89800000000002</v>
      </c>
      <c r="CR84" s="385">
        <f t="shared" si="508"/>
        <v>501.89800000000002</v>
      </c>
      <c r="CS84" s="385">
        <f t="shared" si="508"/>
        <v>501.89800000000002</v>
      </c>
      <c r="CT84" s="385">
        <f t="shared" si="508"/>
        <v>501.89800000000002</v>
      </c>
      <c r="CU84" s="385">
        <f t="shared" si="508"/>
        <v>501.89800000000002</v>
      </c>
      <c r="CV84" s="385">
        <f t="shared" si="508"/>
        <v>501.89800000000002</v>
      </c>
      <c r="CW84" s="385">
        <f t="shared" si="508"/>
        <v>501.89800000000002</v>
      </c>
    </row>
    <row r="85" spans="1:101">
      <c r="A85" s="364" t="s">
        <v>683</v>
      </c>
      <c r="B85" s="418">
        <f>+BS!B27</f>
        <v>557.13599999999997</v>
      </c>
      <c r="C85" s="418">
        <f>+BS!C27</f>
        <v>558.61400000000003</v>
      </c>
      <c r="D85" s="418">
        <f>+BS!D27</f>
        <v>612.32500000000005</v>
      </c>
      <c r="E85" s="418">
        <f>+BS!E27</f>
        <v>502.53</v>
      </c>
      <c r="F85" s="418">
        <f>+BS!F27</f>
        <v>578.11500000000001</v>
      </c>
      <c r="G85" s="418">
        <f>+BS!G27</f>
        <v>435.00900000000001</v>
      </c>
      <c r="H85" s="418">
        <f>+BS!H27</f>
        <v>516.88099999999997</v>
      </c>
      <c r="I85" s="418">
        <f>+BS!I27</f>
        <v>416.92599999999999</v>
      </c>
      <c r="J85" s="418">
        <f>+BS!J27</f>
        <v>514.58399999999995</v>
      </c>
      <c r="K85" s="418">
        <f>+BS!K27</f>
        <v>572.91800000000001</v>
      </c>
      <c r="L85" s="418">
        <f>+BS!L27</f>
        <v>660.91200000000003</v>
      </c>
      <c r="M85" s="418">
        <f>+BS!M27</f>
        <v>681.58</v>
      </c>
      <c r="N85" s="418">
        <f>+BS!N27</f>
        <v>752.96299999999997</v>
      </c>
      <c r="O85" s="418">
        <f>+BS!O27</f>
        <v>808.69899999999996</v>
      </c>
      <c r="P85" s="418">
        <f>+BS!P27</f>
        <v>952.54700000000003</v>
      </c>
      <c r="Q85" s="418">
        <f>+BS!Q27</f>
        <v>871.404</v>
      </c>
      <c r="R85" s="418">
        <f>+BS!R27</f>
        <v>945.28099999999995</v>
      </c>
      <c r="S85" s="418">
        <f>+BS!S27</f>
        <v>1005.133</v>
      </c>
      <c r="T85" s="418">
        <f>+BS!T27</f>
        <v>992.54100000000005</v>
      </c>
      <c r="U85" s="418">
        <f>+BS!U27</f>
        <v>928.43600000000004</v>
      </c>
      <c r="V85" s="418">
        <f>+BS!V27</f>
        <v>982.72500000000002</v>
      </c>
      <c r="W85" s="418">
        <f>+BS!W27</f>
        <v>1402.5889999999999</v>
      </c>
      <c r="X85" s="418">
        <f>+BS!X27</f>
        <v>1555.5609999999999</v>
      </c>
      <c r="Y85" s="418">
        <f>+BS!Y27</f>
        <v>1902.335</v>
      </c>
      <c r="Z85" s="418">
        <f>+BS!Z27</f>
        <v>1950.664</v>
      </c>
      <c r="AA85" s="418">
        <f>+BS!AA27</f>
        <v>2089.5329999999999</v>
      </c>
      <c r="AB85" s="418">
        <f>+BS!AB27</f>
        <v>2457.0030000000002</v>
      </c>
      <c r="AC85" s="418">
        <f>+BS!AC27</f>
        <v>2366.5309999999999</v>
      </c>
      <c r="AD85" s="418">
        <f>+BS!AD27</f>
        <v>2915.61</v>
      </c>
      <c r="AE85" s="418">
        <f>+BS!AE27</f>
        <v>2866.7939999999999</v>
      </c>
      <c r="AF85" s="418">
        <f>+BS!AF27</f>
        <v>3298.9290000000001</v>
      </c>
      <c r="AG85" s="995">
        <f>+BS!AG27</f>
        <v>3447.8380000000002</v>
      </c>
      <c r="AH85" s="418">
        <f>+BS!AH27</f>
        <v>3593.96</v>
      </c>
      <c r="AI85" s="418">
        <f>+BS!AI27</f>
        <v>3671.5630000000001</v>
      </c>
      <c r="AJ85" s="418">
        <f>+BS!AJ27</f>
        <v>4064.8649999999998</v>
      </c>
      <c r="AK85" s="418">
        <f>+BS!AK27</f>
        <v>4220.7070000000003</v>
      </c>
      <c r="AL85" s="418">
        <f>+BS!AL27</f>
        <v>3774.364</v>
      </c>
      <c r="AM85" s="418">
        <f>+BS!AM27</f>
        <v>3390.3980000000001</v>
      </c>
      <c r="AN85" s="418">
        <f>+BS!AN27</f>
        <v>3111.951</v>
      </c>
      <c r="AO85" s="418">
        <f>+BS!AO27</f>
        <v>3655.7190000000001</v>
      </c>
      <c r="AP85" s="1297">
        <f>+BS!AP27</f>
        <v>3469.5010000000002</v>
      </c>
      <c r="AQ85" s="1297">
        <f>+BS!AQ27</f>
        <v>4518.3019999999997</v>
      </c>
      <c r="AR85" s="1297">
        <f>+BS!AR27</f>
        <v>4507.6400000000003</v>
      </c>
      <c r="AS85" s="1297">
        <f>+BS!AS27</f>
        <v>3603.4609999999998</v>
      </c>
      <c r="AT85" s="1297">
        <f>+BS!AT27</f>
        <v>3706.0160000000001</v>
      </c>
      <c r="AU85" s="1297">
        <f>+BS!AU27</f>
        <v>4260.2529999999997</v>
      </c>
      <c r="AV85" s="1297">
        <f>+BS!AV27</f>
        <v>4647.2439999999997</v>
      </c>
      <c r="AW85" s="1297">
        <f>+BS!AW27</f>
        <v>3659</v>
      </c>
      <c r="AX85" s="1297">
        <f>+BS!AX27</f>
        <v>2915.9219999999987</v>
      </c>
      <c r="AY85" s="1297">
        <f>+BS!AY27</f>
        <v>2942.6100000000006</v>
      </c>
      <c r="AZ85" s="1297">
        <f>+BS!AZ27</f>
        <v>2543.0680000000002</v>
      </c>
      <c r="BA85" s="1297">
        <f>+BS!BA27</f>
        <v>3524.3969999999999</v>
      </c>
      <c r="BB85" s="1297">
        <f>+BS!BB27</f>
        <v>3514.8779999999997</v>
      </c>
      <c r="BC85" s="1297">
        <f>+BS!BC27</f>
        <v>4082.116</v>
      </c>
      <c r="BD85" s="1297">
        <f>+BS!BD27</f>
        <v>4988.723</v>
      </c>
      <c r="BE85" s="1297">
        <f>+BS!BE27</f>
        <v>5435.5949999999993</v>
      </c>
      <c r="BF85" s="1297">
        <f>+BS!BF27</f>
        <v>5728.5859999999993</v>
      </c>
      <c r="BG85" s="1297">
        <f>+BS!BG27</f>
        <v>5488.1550000000007</v>
      </c>
      <c r="BH85" s="1297">
        <f>+BS!BH27</f>
        <v>5494.2870000000003</v>
      </c>
      <c r="BI85" s="1297">
        <f>+BS!BI27</f>
        <v>6818.0380000000005</v>
      </c>
      <c r="BJ85" s="1297">
        <f>+BS!BJ27</f>
        <v>7541.02</v>
      </c>
      <c r="BK85" s="1322">
        <f>+BS!BK27</f>
        <v>6898.9840000000004</v>
      </c>
      <c r="BL85" s="385">
        <f>Q_BS!BL19</f>
        <v>6702.6569442426035</v>
      </c>
      <c r="BM85" s="385">
        <f>Q_BS!BM19</f>
        <v>6528.415750397362</v>
      </c>
      <c r="BN85" s="385">
        <f>Q_BS!BN19</f>
        <v>6637.1971061053191</v>
      </c>
      <c r="BO85" s="385">
        <f>Q_BS!BO19</f>
        <v>7040.9575227714586</v>
      </c>
      <c r="BP85" s="385">
        <f>Q_BS!BP19</f>
        <v>7268.7814614945946</v>
      </c>
      <c r="BQ85" s="385">
        <f>Q_BS!BQ19</f>
        <v>7088.3656498139726</v>
      </c>
      <c r="BR85" s="385">
        <f>Q_BS!BR19</f>
        <v>7173.8816404559702</v>
      </c>
      <c r="BS85" s="385">
        <f>Q_BS!BS19</f>
        <v>7525.3296142160907</v>
      </c>
      <c r="BT85" s="385">
        <f>Q_BS!BT19</f>
        <v>7767.2365317002177</v>
      </c>
      <c r="BU85" s="385">
        <f>Q_BS!BU19</f>
        <v>7571.9084972463324</v>
      </c>
      <c r="BV85" s="385">
        <f>Q_BS!BV19</f>
        <v>7626.0849481174082</v>
      </c>
      <c r="BW85" s="385">
        <f>Q_BS!BW19</f>
        <v>7986.7668254454757</v>
      </c>
      <c r="BX85" s="385">
        <f>Q_BS!BX19</f>
        <v>8246.4083366262457</v>
      </c>
      <c r="BY85" s="385">
        <f>Q_BS!BY19</f>
        <v>8047.2662363818608</v>
      </c>
      <c r="BZ85" s="385">
        <f>Q_BS!BZ19</f>
        <v>8149.5651632896497</v>
      </c>
      <c r="CA85" s="385">
        <f>Q_BS!CA19</f>
        <v>8526.681917991069</v>
      </c>
      <c r="CB85" s="385">
        <f>Q_BS!CB19</f>
        <v>8809.2671964496039</v>
      </c>
      <c r="CC85" s="385">
        <f>Q_BS!CC19</f>
        <v>8606.715029647803</v>
      </c>
      <c r="CD85" s="385">
        <f>Q_BS!CD19</f>
        <v>8578.1713816711872</v>
      </c>
      <c r="CE85" s="385">
        <f>Q_BS!CE19</f>
        <v>8965.6798876850189</v>
      </c>
      <c r="CF85" s="385">
        <f>Q_BS!CF19</f>
        <v>9269.2298341230253</v>
      </c>
      <c r="CG85" s="385">
        <f>Q_BS!CG19</f>
        <v>9067.2620110297576</v>
      </c>
      <c r="CH85" s="385">
        <f>Q_BS!CH19</f>
        <v>9024.7907859074348</v>
      </c>
      <c r="CI85" s="385">
        <f>Q_BS!CI19</f>
        <v>9418.5737991393526</v>
      </c>
      <c r="CJ85" s="385">
        <f>Q_BS!CJ19</f>
        <v>9739.7190249484102</v>
      </c>
      <c r="CK85" s="385">
        <f>Q_BS!CK19</f>
        <v>9532.4771394333766</v>
      </c>
      <c r="CL85" s="385">
        <f>Q_BS!CL19</f>
        <v>9474.609592245768</v>
      </c>
      <c r="CM85" s="385">
        <f>Q_BS!CM19</f>
        <v>9878.7807281572041</v>
      </c>
      <c r="CN85" s="385">
        <f>Q_BS!CN19</f>
        <v>10223.032186548528</v>
      </c>
      <c r="CO85" s="385">
        <f>Q_BS!CO19</f>
        <v>10016.719037788267</v>
      </c>
      <c r="CP85" s="385">
        <f>Q_BS!CP19</f>
        <v>9945.6730897665657</v>
      </c>
      <c r="CQ85" s="385">
        <f>Q_BS!CQ19</f>
        <v>10360.364569656036</v>
      </c>
      <c r="CR85" s="385">
        <f>Q_BS!CR19</f>
        <v>10729.462289749292</v>
      </c>
      <c r="CS85" s="385">
        <f>Q_BS!CS19</f>
        <v>10524.577367578973</v>
      </c>
      <c r="CT85" s="385">
        <f>Q_BS!CT19</f>
        <v>10439.331294218935</v>
      </c>
      <c r="CU85" s="385">
        <f>Q_BS!CU19</f>
        <v>10864.3703451567</v>
      </c>
      <c r="CV85" s="385">
        <f>Q_BS!CV19</f>
        <v>11259.374246355999</v>
      </c>
      <c r="CW85" s="385">
        <f>Q_BS!CW19</f>
        <v>11050.219935774481</v>
      </c>
    </row>
    <row r="86" spans="1:101" ht="13.5">
      <c r="A86" s="361" t="s">
        <v>376</v>
      </c>
      <c r="B86" s="425">
        <f t="shared" ref="B86:BI86" si="509">SUM(B82:B85)</f>
        <v>1782.973</v>
      </c>
      <c r="C86" s="425">
        <f t="shared" si="509"/>
        <v>1843.1589999999999</v>
      </c>
      <c r="D86" s="425">
        <f t="shared" si="509"/>
        <v>1842.8990000000001</v>
      </c>
      <c r="E86" s="425">
        <f t="shared" si="509"/>
        <v>1894.664</v>
      </c>
      <c r="F86" s="425">
        <f t="shared" si="509"/>
        <v>1751.825</v>
      </c>
      <c r="G86" s="425">
        <f t="shared" si="509"/>
        <v>1465.4090000000001</v>
      </c>
      <c r="H86" s="425">
        <f t="shared" si="509"/>
        <v>1595.3780000000002</v>
      </c>
      <c r="I86" s="425">
        <f t="shared" si="509"/>
        <v>1592.114</v>
      </c>
      <c r="J86" s="425">
        <f t="shared" si="509"/>
        <v>1440.394</v>
      </c>
      <c r="K86" s="425">
        <f t="shared" si="509"/>
        <v>1576.86</v>
      </c>
      <c r="L86" s="425">
        <f t="shared" si="509"/>
        <v>1802.2749999999999</v>
      </c>
      <c r="M86" s="425">
        <f t="shared" si="509"/>
        <v>2153.5720000000001</v>
      </c>
      <c r="N86" s="425">
        <f t="shared" si="509"/>
        <v>2206.4780000000001</v>
      </c>
      <c r="O86" s="425">
        <f t="shared" si="509"/>
        <v>2390.2269999999999</v>
      </c>
      <c r="P86" s="425">
        <f t="shared" si="509"/>
        <v>2573.866</v>
      </c>
      <c r="Q86" s="425">
        <f t="shared" si="509"/>
        <v>2780.866</v>
      </c>
      <c r="R86" s="425">
        <f t="shared" si="509"/>
        <v>2821.9209999999998</v>
      </c>
      <c r="S86" s="425">
        <f t="shared" si="509"/>
        <v>2455.9409999999998</v>
      </c>
      <c r="T86" s="425">
        <f t="shared" si="509"/>
        <v>2684.3020000000001</v>
      </c>
      <c r="U86" s="425">
        <f t="shared" si="509"/>
        <v>3112.4680000000003</v>
      </c>
      <c r="V86" s="425">
        <f t="shared" si="509"/>
        <v>3132.6489999999999</v>
      </c>
      <c r="W86" s="425">
        <f t="shared" si="509"/>
        <v>4645.7610000000004</v>
      </c>
      <c r="X86" s="425">
        <f t="shared" si="509"/>
        <v>4001.3710000000001</v>
      </c>
      <c r="Y86" s="425">
        <f t="shared" si="509"/>
        <v>6315.3629999999994</v>
      </c>
      <c r="Z86" s="425">
        <f t="shared" si="509"/>
        <v>5482.549</v>
      </c>
      <c r="AA86" s="425">
        <f t="shared" si="509"/>
        <v>6284.9069999999992</v>
      </c>
      <c r="AB86" s="425">
        <f t="shared" si="509"/>
        <v>5794.42</v>
      </c>
      <c r="AC86" s="425">
        <f t="shared" si="509"/>
        <v>6325.2119999999995</v>
      </c>
      <c r="AD86" s="425">
        <f t="shared" si="509"/>
        <v>6931.2250000000004</v>
      </c>
      <c r="AE86" s="425">
        <f t="shared" si="509"/>
        <v>6600.0470000000005</v>
      </c>
      <c r="AF86" s="425">
        <f t="shared" si="509"/>
        <v>7614.1900000000005</v>
      </c>
      <c r="AG86" s="425">
        <f t="shared" si="509"/>
        <v>8788.3240000000005</v>
      </c>
      <c r="AH86" s="425">
        <f t="shared" si="509"/>
        <v>8307.273000000001</v>
      </c>
      <c r="AI86" s="425">
        <f t="shared" si="509"/>
        <v>8701.9979999999996</v>
      </c>
      <c r="AJ86" s="425">
        <f t="shared" si="509"/>
        <v>8961.2919999999995</v>
      </c>
      <c r="AK86" s="425">
        <f t="shared" si="509"/>
        <v>12802.085999999999</v>
      </c>
      <c r="AL86" s="425">
        <f t="shared" si="509"/>
        <v>12472.946000000002</v>
      </c>
      <c r="AM86" s="425">
        <f t="shared" si="509"/>
        <v>12380.121999999999</v>
      </c>
      <c r="AN86" s="425">
        <f t="shared" si="509"/>
        <v>13732.342000000001</v>
      </c>
      <c r="AO86" s="425">
        <f t="shared" si="509"/>
        <v>14438.04</v>
      </c>
      <c r="AP86" s="1298">
        <f t="shared" si="509"/>
        <v>19051.828000000001</v>
      </c>
      <c r="AQ86" s="1298">
        <f t="shared" si="509"/>
        <v>13039.273000000001</v>
      </c>
      <c r="AR86" s="1298">
        <f t="shared" si="509"/>
        <v>12664.689999999999</v>
      </c>
      <c r="AS86" s="1298">
        <f t="shared" si="509"/>
        <v>12236.057999999999</v>
      </c>
      <c r="AT86" s="1298">
        <f t="shared" si="509"/>
        <v>14798.117999999999</v>
      </c>
      <c r="AU86" s="1298">
        <f t="shared" si="509"/>
        <v>17166.830999999998</v>
      </c>
      <c r="AV86" s="1298">
        <f t="shared" si="509"/>
        <v>18691.127</v>
      </c>
      <c r="AW86" s="1298">
        <f t="shared" si="509"/>
        <v>12798</v>
      </c>
      <c r="AX86" s="1298">
        <f t="shared" si="509"/>
        <v>16577.039999999997</v>
      </c>
      <c r="AY86" s="1298">
        <f t="shared" si="509"/>
        <v>35639.252</v>
      </c>
      <c r="AZ86" s="1298">
        <f t="shared" si="509"/>
        <v>35395.163999999997</v>
      </c>
      <c r="BA86" s="1298">
        <f t="shared" si="509"/>
        <v>18324.456000000002</v>
      </c>
      <c r="BB86" s="1298">
        <f t="shared" si="509"/>
        <v>14607.701000000001</v>
      </c>
      <c r="BC86" s="1298">
        <f t="shared" si="509"/>
        <v>15537.656999999999</v>
      </c>
      <c r="BD86" s="1298">
        <f t="shared" si="509"/>
        <v>16043.342000000001</v>
      </c>
      <c r="BE86" s="1298">
        <f t="shared" si="509"/>
        <v>17666.537</v>
      </c>
      <c r="BF86" s="1298">
        <f t="shared" si="509"/>
        <v>17067.472000000002</v>
      </c>
      <c r="BG86" s="1298">
        <f t="shared" si="509"/>
        <v>19083.116000000002</v>
      </c>
      <c r="BH86" s="1298">
        <f t="shared" si="509"/>
        <v>18026.502</v>
      </c>
      <c r="BI86" s="1298">
        <f t="shared" si="509"/>
        <v>19903.922000000002</v>
      </c>
      <c r="BJ86" s="1298">
        <f>SUM(BJ82:BJ85)</f>
        <v>21573.114999999998</v>
      </c>
      <c r="BK86" s="1323">
        <f t="shared" ref="BK86" si="510">SUM(BK82:BK85)</f>
        <v>21246.898000000001</v>
      </c>
      <c r="BL86" s="387">
        <f t="shared" ref="BL86:CW86" si="511">SUM(BL82:BL85)</f>
        <v>21587.667959633243</v>
      </c>
      <c r="BM86" s="387">
        <f t="shared" si="511"/>
        <v>20925.195130425847</v>
      </c>
      <c r="BN86" s="387">
        <f t="shared" si="511"/>
        <v>19950.592925474499</v>
      </c>
      <c r="BO86" s="387">
        <f t="shared" si="511"/>
        <v>20329.993497535979</v>
      </c>
      <c r="BP86" s="387">
        <f t="shared" si="511"/>
        <v>20862.774695589367</v>
      </c>
      <c r="BQ86" s="387">
        <f t="shared" si="511"/>
        <v>21191.136740984792</v>
      </c>
      <c r="BR86" s="387">
        <f t="shared" si="511"/>
        <v>20966.52250174015</v>
      </c>
      <c r="BS86" s="387">
        <f t="shared" si="511"/>
        <v>21220.417897237327</v>
      </c>
      <c r="BT86" s="387">
        <f t="shared" si="511"/>
        <v>21786.903460507576</v>
      </c>
      <c r="BU86" s="387">
        <f t="shared" si="511"/>
        <v>22132.835729498984</v>
      </c>
      <c r="BV86" s="387">
        <f t="shared" si="511"/>
        <v>21822.531358589848</v>
      </c>
      <c r="BW86" s="387">
        <f t="shared" si="511"/>
        <v>22068.680955877557</v>
      </c>
      <c r="BX86" s="387">
        <f t="shared" si="511"/>
        <v>22675.281319894682</v>
      </c>
      <c r="BY86" s="387">
        <f t="shared" si="511"/>
        <v>23058.59423157038</v>
      </c>
      <c r="BZ86" s="387">
        <f t="shared" si="511"/>
        <v>22813.465509183268</v>
      </c>
      <c r="CA86" s="387">
        <f t="shared" si="511"/>
        <v>23061.210419612282</v>
      </c>
      <c r="CB86" s="387">
        <f t="shared" si="511"/>
        <v>23718.813814683548</v>
      </c>
      <c r="CC86" s="387">
        <f t="shared" si="511"/>
        <v>24148.119938633427</v>
      </c>
      <c r="CD86" s="387">
        <f t="shared" si="511"/>
        <v>23624.805702453457</v>
      </c>
      <c r="CE86" s="387">
        <f t="shared" si="511"/>
        <v>23868.223273034557</v>
      </c>
      <c r="CF86" s="387">
        <f t="shared" si="511"/>
        <v>24571.578145250623</v>
      </c>
      <c r="CG86" s="387">
        <f t="shared" si="511"/>
        <v>25045.034511630638</v>
      </c>
      <c r="CH86" s="387">
        <f t="shared" si="511"/>
        <v>24470.244378354069</v>
      </c>
      <c r="CI86" s="387">
        <f t="shared" si="511"/>
        <v>24700.781127539303</v>
      </c>
      <c r="CJ86" s="387">
        <f t="shared" si="511"/>
        <v>25443.858558900487</v>
      </c>
      <c r="CK86" s="387">
        <f t="shared" si="511"/>
        <v>25951.040294128474</v>
      </c>
      <c r="CL86" s="387">
        <f t="shared" si="511"/>
        <v>25321.739437500019</v>
      </c>
      <c r="CM86" s="387">
        <f t="shared" si="511"/>
        <v>25546.782550302865</v>
      </c>
      <c r="CN86" s="387">
        <f t="shared" si="511"/>
        <v>26339.914435940686</v>
      </c>
      <c r="CO86" s="387">
        <f t="shared" si="511"/>
        <v>26894.100683292396</v>
      </c>
      <c r="CP86" s="387">
        <f t="shared" si="511"/>
        <v>26213.450133075683</v>
      </c>
      <c r="CQ86" s="387">
        <f t="shared" si="511"/>
        <v>26432.081291800412</v>
      </c>
      <c r="CR86" s="387">
        <f t="shared" si="511"/>
        <v>27278.828801071453</v>
      </c>
      <c r="CS86" s="387">
        <f t="shared" si="511"/>
        <v>27883.154038154222</v>
      </c>
      <c r="CT86" s="387">
        <f t="shared" si="511"/>
        <v>27147.932009055519</v>
      </c>
      <c r="CU86" s="387">
        <f t="shared" si="511"/>
        <v>27358.598421963121</v>
      </c>
      <c r="CV86" s="387">
        <f t="shared" si="511"/>
        <v>28261.278195702616</v>
      </c>
      <c r="CW86" s="387">
        <f t="shared" si="511"/>
        <v>28906.842171311757</v>
      </c>
    </row>
    <row r="87" spans="1:101">
      <c r="A87" s="364" t="s">
        <v>682</v>
      </c>
      <c r="B87" s="418">
        <f>BS!B33</f>
        <v>1040.8389999999999</v>
      </c>
      <c r="C87" s="418">
        <f>BS!C33</f>
        <v>845.41399999999999</v>
      </c>
      <c r="D87" s="418">
        <f>BS!D33</f>
        <v>670.45699999999999</v>
      </c>
      <c r="E87" s="418">
        <f>BS!E33</f>
        <v>408.78699999999998</v>
      </c>
      <c r="F87" s="418">
        <f>BS!F33</f>
        <v>317.35599999999999</v>
      </c>
      <c r="G87" s="418">
        <f>BS!G33</f>
        <v>370.64600000000002</v>
      </c>
      <c r="H87" s="418">
        <f>BS!H33</f>
        <v>290.14999999999998</v>
      </c>
      <c r="I87" s="418">
        <f>BS!I33</f>
        <v>668</v>
      </c>
      <c r="J87" s="418">
        <f>BS!J33</f>
        <v>626.5</v>
      </c>
      <c r="K87" s="418">
        <f>BS!K33</f>
        <v>604</v>
      </c>
      <c r="L87" s="418">
        <f>BS!L33</f>
        <v>562.5</v>
      </c>
      <c r="M87" s="418">
        <f>BS!M33</f>
        <v>2877.6669999999999</v>
      </c>
      <c r="N87" s="418">
        <f>BS!N33</f>
        <v>2767.0819999999999</v>
      </c>
      <c r="O87" s="418">
        <f>BS!O33</f>
        <v>2387.4169999999999</v>
      </c>
      <c r="P87" s="418">
        <f>BS!P33</f>
        <v>2177.0610000000001</v>
      </c>
      <c r="Q87" s="418">
        <f>BS!Q33</f>
        <v>2077.8330000000001</v>
      </c>
      <c r="R87" s="418">
        <f>BS!R33</f>
        <v>1945.9390000000001</v>
      </c>
      <c r="S87" s="418">
        <f>BS!S33</f>
        <v>895.55600000000004</v>
      </c>
      <c r="T87" s="418">
        <f>BS!T33</f>
        <v>2309.7060000000001</v>
      </c>
      <c r="U87" s="418">
        <f>BS!U33</f>
        <v>2166.2809999999999</v>
      </c>
      <c r="V87" s="418">
        <f>BS!V33</f>
        <v>2064.9270000000001</v>
      </c>
      <c r="W87" s="418">
        <f>BS!W33</f>
        <v>3187.0790000000002</v>
      </c>
      <c r="X87" s="418">
        <f>BS!X33</f>
        <v>3829.864</v>
      </c>
      <c r="Y87" s="418">
        <f>BS!Y33</f>
        <v>7370.6660000000002</v>
      </c>
      <c r="Z87" s="418">
        <f>BS!Z33</f>
        <v>4210.8710000000001</v>
      </c>
      <c r="AA87" s="418">
        <f>BS!AA33</f>
        <v>4306.2550000000001</v>
      </c>
      <c r="AB87" s="418">
        <f>BS!AB33</f>
        <v>5162.3320000000003</v>
      </c>
      <c r="AC87" s="418">
        <f>BS!AC33</f>
        <v>5018.7219999999998</v>
      </c>
      <c r="AD87" s="418">
        <f>BS!AD33</f>
        <v>5047.8209999999999</v>
      </c>
      <c r="AE87" s="418">
        <f>BS!AE33</f>
        <v>6336.0839999999998</v>
      </c>
      <c r="AF87" s="418">
        <f>BS!AF33</f>
        <v>8986.2000000000007</v>
      </c>
      <c r="AG87" s="418">
        <f>BS!AG33</f>
        <v>9743.8060000000005</v>
      </c>
      <c r="AH87" s="418">
        <f>BS!AH33</f>
        <v>9588.8439999999991</v>
      </c>
      <c r="AI87" s="418">
        <f>BS!AI33</f>
        <v>10148.556</v>
      </c>
      <c r="AJ87" s="418">
        <f>BS!AJ33</f>
        <v>10468.618</v>
      </c>
      <c r="AK87" s="418">
        <f>BS!AK33</f>
        <v>6693.4539999999997</v>
      </c>
      <c r="AL87" s="418">
        <f>BS!AL33</f>
        <v>6458.473</v>
      </c>
      <c r="AM87" s="418">
        <f>BS!AM33</f>
        <v>7736.6629999999996</v>
      </c>
      <c r="AN87" s="418">
        <f>BS!AN33</f>
        <v>5739.0469999999996</v>
      </c>
      <c r="AO87" s="418">
        <f>BS!AO33</f>
        <v>16038.415999999999</v>
      </c>
      <c r="AP87" s="1297">
        <f>BS!AP33</f>
        <v>17616.066999999999</v>
      </c>
      <c r="AQ87" s="1297">
        <f>BS!AQ33</f>
        <v>18452.894</v>
      </c>
      <c r="AR87" s="1297">
        <f>BS!AR33</f>
        <v>18216.196</v>
      </c>
      <c r="AS87" s="1297">
        <f>BS!AS33</f>
        <v>17102.448</v>
      </c>
      <c r="AT87" s="1297">
        <f>BS!AT33</f>
        <v>19895.825000000001</v>
      </c>
      <c r="AU87" s="1297">
        <f>BS!AU33</f>
        <v>20853.526000000002</v>
      </c>
      <c r="AV87" s="1297">
        <f>BS!AV33</f>
        <v>20751.552</v>
      </c>
      <c r="AW87" s="1297">
        <f>BS!AW33</f>
        <v>24854</v>
      </c>
      <c r="AX87" s="1297">
        <f>BS!AX33</f>
        <v>19894.120999999999</v>
      </c>
      <c r="AY87" s="1297">
        <f>BS!AY33</f>
        <v>0</v>
      </c>
      <c r="AZ87" s="1297">
        <f>BS!AZ33</f>
        <v>0</v>
      </c>
      <c r="BA87" s="1297">
        <f>BS!BA33</f>
        <v>9184.7459999999992</v>
      </c>
      <c r="BB87" s="1297">
        <f>BS!BB33</f>
        <v>5295.5590000000002</v>
      </c>
      <c r="BC87" s="1297">
        <f>BS!BC33</f>
        <v>4667.2579999999998</v>
      </c>
      <c r="BD87" s="1297">
        <f>BS!BD33</f>
        <v>4280.7839999999997</v>
      </c>
      <c r="BE87" s="1297">
        <f>BS!BE33</f>
        <v>3762.76</v>
      </c>
      <c r="BF87" s="1297">
        <f>BS!BF33</f>
        <v>3340.5889999999999</v>
      </c>
      <c r="BG87" s="1297">
        <f>BS!BG33</f>
        <v>2561.8620000000001</v>
      </c>
      <c r="BH87" s="1297">
        <f>BS!BH33</f>
        <v>4780.2830000000004</v>
      </c>
      <c r="BI87" s="1297">
        <f>BS!BI33</f>
        <v>4828.1120000000001</v>
      </c>
      <c r="BJ87" s="1297">
        <f>BS!BJ33</f>
        <v>6825.1329999999998</v>
      </c>
      <c r="BK87" s="1322">
        <f>BS!BK33</f>
        <v>6787.1769999999997</v>
      </c>
      <c r="BL87" s="385">
        <f>+Q_BS!BL116-BL88-BL90</f>
        <v>7163.950364475545</v>
      </c>
      <c r="BM87" s="385">
        <f>+Q_BS!BM116-BM88-BM90</f>
        <v>7318.3088166252301</v>
      </c>
      <c r="BN87" s="385">
        <f>+Q_BS!BN116-BN88-BN90</f>
        <v>8272.3927002933415</v>
      </c>
      <c r="BO87" s="385">
        <f>+Q_BS!BO116-BO88-BO90</f>
        <v>9133.8296508097665</v>
      </c>
      <c r="BP87" s="385">
        <f>+Q_BS!BP116-BP88-BP90</f>
        <v>9833.8296508097665</v>
      </c>
      <c r="BQ87" s="385">
        <f>+Q_BS!BQ116-BQ88-BQ90</f>
        <v>10977.507550450387</v>
      </c>
      <c r="BR87" s="385">
        <f>+Q_BS!BR116-BR88-BR90</f>
        <v>12464.326668568548</v>
      </c>
      <c r="BS87" s="385">
        <f>+Q_BS!BS116-BS88-BS90</f>
        <v>13164.326668568548</v>
      </c>
      <c r="BT87" s="385">
        <f>+Q_BS!BT116-BT88-BT90</f>
        <v>13864.326668568548</v>
      </c>
      <c r="BU87" s="385">
        <f>+Q_BS!BU116-BU88-BU90</f>
        <v>14564.326668568548</v>
      </c>
      <c r="BV87" s="385">
        <f>+Q_BS!BV116-BV88-BV90</f>
        <v>15338.429239940855</v>
      </c>
      <c r="BW87" s="385">
        <f>+Q_BS!BW116-BW88-BW90</f>
        <v>15957.972622940328</v>
      </c>
      <c r="BX87" s="385">
        <f>+Q_BS!BX116-BX88-BX90</f>
        <v>16757.353172751395</v>
      </c>
      <c r="BY87" s="385">
        <f>+Q_BS!BY116-BY88-BY90</f>
        <v>17724.021902711993</v>
      </c>
      <c r="BZ87" s="385">
        <f>+Q_BS!BZ116-BZ88-BZ90</f>
        <v>17804.236874035418</v>
      </c>
      <c r="CA87" s="385">
        <f>+Q_BS!CA116-CA88-CA90</f>
        <v>17718.703745724673</v>
      </c>
      <c r="CB87" s="385">
        <f>+Q_BS!CB116-CB88-CB90</f>
        <v>17822.491953578214</v>
      </c>
      <c r="CC87" s="385">
        <f>+Q_BS!CC116-CC88-CC90</f>
        <v>18096.174167290523</v>
      </c>
      <c r="CD87" s="385">
        <f>+Q_BS!CD116-CD88-CD90</f>
        <v>18177.109063579894</v>
      </c>
      <c r="CE87" s="385">
        <f>+Q_BS!CE116-CE88-CE90</f>
        <v>18090.808280136076</v>
      </c>
      <c r="CF87" s="385">
        <f>+Q_BS!CF116-CF88-CF90</f>
        <v>18195.527981459865</v>
      </c>
      <c r="CG87" s="385">
        <f>+Q_BS!CG116-CG88-CG90</f>
        <v>18471.666478022311</v>
      </c>
      <c r="CH87" s="385">
        <f>+Q_BS!CH116-CH88-CH90</f>
        <v>18553.327760564684</v>
      </c>
      <c r="CI87" s="385">
        <f>+Q_BS!CI116-CI88-CI90</f>
        <v>18466.252432325087</v>
      </c>
      <c r="CJ87" s="385">
        <f>+Q_BS!CJ116-CJ88-CJ90</f>
        <v>18571.911987221905</v>
      </c>
      <c r="CK87" s="385">
        <f>+Q_BS!CK116-CK88-CK90</f>
        <v>18850.528811638269</v>
      </c>
      <c r="CL87" s="385">
        <f>+Q_BS!CL116-CL88-CL90</f>
        <v>18932.922999710408</v>
      </c>
      <c r="CM87" s="385">
        <f>+Q_BS!CM116-CM88-CM90</f>
        <v>18845.06617517801</v>
      </c>
      <c r="CN87" s="385">
        <f>+Q_BS!CN116-CN88-CN90</f>
        <v>18951.674018782101</v>
      </c>
      <c r="CO87" s="385">
        <f>+Q_BS!CO116-CO88-CO90</f>
        <v>19232.791413908886</v>
      </c>
      <c r="CP87" s="385">
        <f>+Q_BS!CP116-CP88-CP90</f>
        <v>19315.925085297695</v>
      </c>
      <c r="CQ87" s="385">
        <f>+Q_BS!CQ116-CQ88-CQ90</f>
        <v>19227.279750586142</v>
      </c>
      <c r="CR87" s="385">
        <f>+Q_BS!CR116-CR88-CR90</f>
        <v>19834.844393736621</v>
      </c>
      <c r="CS87" s="385">
        <f>+Q_BS!CS116-CS88-CS90</f>
        <v>20621.777088415194</v>
      </c>
      <c r="CT87" s="385">
        <f>+Q_BS!CT116-CT88-CT90</f>
        <v>20707.597739192785</v>
      </c>
      <c r="CU87" s="385">
        <f>+Q_BS!CU116-CU88-CU90</f>
        <v>20766.087281561693</v>
      </c>
      <c r="CV87" s="385">
        <f>+Q_BS!CV116-CV88-CV90</f>
        <v>20877.504038928786</v>
      </c>
      <c r="CW87" s="385">
        <f>+Q_BS!CW116-CW88-CW90</f>
        <v>21171.30220185596</v>
      </c>
    </row>
    <row r="88" spans="1:101">
      <c r="A88" s="364" t="s">
        <v>966</v>
      </c>
      <c r="B88" s="418">
        <f>BS!B35</f>
        <v>0</v>
      </c>
      <c r="C88" s="418">
        <f>BS!C35</f>
        <v>0</v>
      </c>
      <c r="D88" s="418">
        <f>BS!D35</f>
        <v>0</v>
      </c>
      <c r="E88" s="418">
        <f>BS!E35</f>
        <v>300</v>
      </c>
      <c r="F88" s="418">
        <f>BS!F35</f>
        <v>700</v>
      </c>
      <c r="G88" s="418">
        <f>BS!G35</f>
        <v>700</v>
      </c>
      <c r="H88" s="418">
        <f>BS!H35</f>
        <v>700</v>
      </c>
      <c r="I88" s="418">
        <f>BS!I35</f>
        <v>700</v>
      </c>
      <c r="J88" s="418">
        <f>BS!J35</f>
        <v>695.43600000000004</v>
      </c>
      <c r="K88" s="418">
        <f>BS!K35</f>
        <v>992.61400000000003</v>
      </c>
      <c r="L88" s="418">
        <f>BS!L35</f>
        <v>993.07100000000003</v>
      </c>
      <c r="M88" s="418">
        <f>BS!M35</f>
        <v>993.53099999999995</v>
      </c>
      <c r="N88" s="418">
        <f>BS!N35</f>
        <v>993.76199999999994</v>
      </c>
      <c r="O88" s="418">
        <f>BS!O35</f>
        <v>994.48599999999999</v>
      </c>
      <c r="P88" s="418">
        <f>BS!P35</f>
        <v>995.33500000000004</v>
      </c>
      <c r="Q88" s="418">
        <f>BS!Q35</f>
        <v>0</v>
      </c>
      <c r="R88" s="418">
        <f>BS!R35</f>
        <v>0</v>
      </c>
      <c r="S88" s="418">
        <f>BS!S35</f>
        <v>2485.8910000000001</v>
      </c>
      <c r="T88" s="418">
        <f>BS!T35</f>
        <v>2489.7579999999998</v>
      </c>
      <c r="U88" s="418">
        <f>BS!U35</f>
        <v>2488.85</v>
      </c>
      <c r="V88" s="418">
        <f>BS!V35</f>
        <v>2489.6089999999999</v>
      </c>
      <c r="W88" s="418">
        <f>BS!W35</f>
        <v>2490.2359999999999</v>
      </c>
      <c r="X88" s="418">
        <f>BS!X35</f>
        <v>2490.701</v>
      </c>
      <c r="Y88" s="418">
        <f>BS!Y35</f>
        <v>2491.3560000000002</v>
      </c>
      <c r="Z88" s="418">
        <f>BS!Z35</f>
        <v>6477.393</v>
      </c>
      <c r="AA88" s="418">
        <f>BS!AA35</f>
        <v>6477.1980000000003</v>
      </c>
      <c r="AB88" s="418">
        <f>BS!AB35</f>
        <v>6478.4250000000002</v>
      </c>
      <c r="AC88" s="418">
        <f>BS!AC35</f>
        <v>6479.7950000000001</v>
      </c>
      <c r="AD88" s="418">
        <f>BS!AD35</f>
        <v>6481.165</v>
      </c>
      <c r="AE88" s="418">
        <f>BS!AE35</f>
        <v>6481.0510000000004</v>
      </c>
      <c r="AF88" s="418">
        <f>BS!AF35</f>
        <v>3987.6320000000001</v>
      </c>
      <c r="AG88" s="418">
        <f>BS!AG35</f>
        <v>3988.8449999999998</v>
      </c>
      <c r="AH88" s="418">
        <f>BS!AH35</f>
        <v>3990.058</v>
      </c>
      <c r="AI88" s="418">
        <f>BS!AI35</f>
        <v>3991.2710000000002</v>
      </c>
      <c r="AJ88" s="418">
        <f>BS!AJ35</f>
        <v>3992.4830000000002</v>
      </c>
      <c r="AK88" s="418">
        <f>BS!AK35</f>
        <v>6980.4520000000002</v>
      </c>
      <c r="AL88" s="418">
        <f>BS!AL35</f>
        <v>6978.5379999999996</v>
      </c>
      <c r="AM88" s="418">
        <f>BS!AM35</f>
        <v>6980.2020000000002</v>
      </c>
      <c r="AN88" s="418">
        <f>BS!AN35</f>
        <v>6981.58</v>
      </c>
      <c r="AO88" s="418">
        <f>BS!AO35</f>
        <v>6983.2439999999997</v>
      </c>
      <c r="AP88" s="1297">
        <f>BS!AP35</f>
        <v>3982.9580000000001</v>
      </c>
      <c r="AQ88" s="1297">
        <f>BS!AQ35</f>
        <v>7972.884</v>
      </c>
      <c r="AR88" s="1297">
        <f>BS!AR35</f>
        <v>7973.3379999999997</v>
      </c>
      <c r="AS88" s="1297">
        <f>BS!AS35</f>
        <v>7973.7650000000003</v>
      </c>
      <c r="AT88" s="1297">
        <f>BS!AT35</f>
        <v>7975.8789999999999</v>
      </c>
      <c r="AU88" s="1297">
        <f>BS!AU35</f>
        <v>7977.1530000000002</v>
      </c>
      <c r="AV88" s="1297">
        <f>BS!AV35</f>
        <v>7977.9040000000005</v>
      </c>
      <c r="AW88" s="1297">
        <f>BS!AW35</f>
        <v>7979.1490000000003</v>
      </c>
      <c r="AX88" s="1297">
        <f>BS!AX35</f>
        <v>7979.9979999999996</v>
      </c>
      <c r="AY88" s="1297">
        <f>BS!AY35</f>
        <v>7979.74</v>
      </c>
      <c r="AZ88" s="1297">
        <f>BS!AZ35</f>
        <v>7981.4539999999997</v>
      </c>
      <c r="BA88" s="1297">
        <f>BS!BA35</f>
        <v>18078.34</v>
      </c>
      <c r="BB88" s="1297">
        <f>BS!BB35</f>
        <v>23297.613000000001</v>
      </c>
      <c r="BC88" s="1297">
        <f>BS!BC35</f>
        <v>23102.933000000001</v>
      </c>
      <c r="BD88" s="1297">
        <f>BS!BD35</f>
        <v>22786.716</v>
      </c>
      <c r="BE88" s="1297">
        <f>BS!BE35</f>
        <v>22748.44</v>
      </c>
      <c r="BF88" s="1297">
        <f>BS!BF35</f>
        <v>21725.901999999998</v>
      </c>
      <c r="BG88" s="1297">
        <f>BS!BG35</f>
        <v>19658.098999999998</v>
      </c>
      <c r="BH88" s="1297">
        <f>BS!BH35</f>
        <v>19777.746999999999</v>
      </c>
      <c r="BI88" s="1297">
        <f>BS!BI35</f>
        <v>19553.791000000001</v>
      </c>
      <c r="BJ88" s="1297">
        <f>BS!BJ35</f>
        <v>18134.63</v>
      </c>
      <c r="BK88" s="1322">
        <f>BS!BK35</f>
        <v>19497.777999999998</v>
      </c>
      <c r="BL88" s="385">
        <f t="shared" ref="BL88" si="512">+BK88</f>
        <v>19497.777999999998</v>
      </c>
      <c r="BM88" s="385">
        <f t="shared" ref="BM88" si="513">+BL88</f>
        <v>19497.777999999998</v>
      </c>
      <c r="BN88" s="385">
        <f t="shared" ref="BN88" si="514">+BM88</f>
        <v>19497.777999999998</v>
      </c>
      <c r="BO88" s="385">
        <f t="shared" ref="BO88" si="515">+BN88</f>
        <v>19497.777999999998</v>
      </c>
      <c r="BP88" s="385">
        <f t="shared" ref="BP88" si="516">+BO88</f>
        <v>19497.777999999998</v>
      </c>
      <c r="BQ88" s="385">
        <f t="shared" ref="BQ88" si="517">+BP88</f>
        <v>19497.777999999998</v>
      </c>
      <c r="BR88" s="385">
        <f t="shared" ref="BR88" si="518">+BQ88</f>
        <v>19497.777999999998</v>
      </c>
      <c r="BS88" s="385">
        <f t="shared" ref="BS88" si="519">+BR88</f>
        <v>19497.777999999998</v>
      </c>
      <c r="BT88" s="385">
        <f t="shared" ref="BT88" si="520">+BS88</f>
        <v>19497.777999999998</v>
      </c>
      <c r="BU88" s="385">
        <f t="shared" ref="BU88" si="521">+BT88</f>
        <v>19497.777999999998</v>
      </c>
      <c r="BV88" s="385">
        <f t="shared" ref="BV88" si="522">+BU88</f>
        <v>19497.777999999998</v>
      </c>
      <c r="BW88" s="385">
        <f t="shared" ref="BW88" si="523">+BV88</f>
        <v>19497.777999999998</v>
      </c>
      <c r="BX88" s="385">
        <f t="shared" ref="BX88" si="524">+BW88</f>
        <v>19497.777999999998</v>
      </c>
      <c r="BY88" s="385">
        <f t="shared" ref="BY88" si="525">+BX88</f>
        <v>19497.777999999998</v>
      </c>
      <c r="BZ88" s="385">
        <f t="shared" ref="BZ88" si="526">+BY88</f>
        <v>19497.777999999998</v>
      </c>
      <c r="CA88" s="385">
        <f t="shared" ref="CA88" si="527">+BZ88</f>
        <v>19497.777999999998</v>
      </c>
      <c r="CB88" s="385">
        <f t="shared" ref="CB88" si="528">+CA88</f>
        <v>19497.777999999998</v>
      </c>
      <c r="CC88" s="385">
        <f t="shared" ref="CC88" si="529">+CB88</f>
        <v>19497.777999999998</v>
      </c>
      <c r="CD88" s="385">
        <f t="shared" ref="CD88" si="530">+CC88</f>
        <v>19497.777999999998</v>
      </c>
      <c r="CE88" s="385">
        <f t="shared" ref="CE88" si="531">+CD88</f>
        <v>19497.777999999998</v>
      </c>
      <c r="CF88" s="385">
        <f t="shared" ref="CF88" si="532">+CE88</f>
        <v>19497.777999999998</v>
      </c>
      <c r="CG88" s="385">
        <f t="shared" ref="CG88" si="533">+CF88</f>
        <v>19497.777999999998</v>
      </c>
      <c r="CH88" s="385">
        <f t="shared" ref="CH88" si="534">+CG88</f>
        <v>19497.777999999998</v>
      </c>
      <c r="CI88" s="385">
        <f t="shared" ref="CI88" si="535">+CH88</f>
        <v>19497.777999999998</v>
      </c>
      <c r="CJ88" s="385">
        <f t="shared" ref="CJ88" si="536">+CI88</f>
        <v>19497.777999999998</v>
      </c>
      <c r="CK88" s="385">
        <f t="shared" ref="CK88" si="537">+CJ88</f>
        <v>19497.777999999998</v>
      </c>
      <c r="CL88" s="385">
        <f t="shared" ref="CL88" si="538">+CK88</f>
        <v>19497.777999999998</v>
      </c>
      <c r="CM88" s="385">
        <f t="shared" ref="CM88" si="539">+CL88</f>
        <v>19497.777999999998</v>
      </c>
      <c r="CN88" s="385">
        <f t="shared" ref="CN88" si="540">+CM88</f>
        <v>19497.777999999998</v>
      </c>
      <c r="CO88" s="385">
        <f t="shared" ref="CO88" si="541">+CN88</f>
        <v>19497.777999999998</v>
      </c>
      <c r="CP88" s="385">
        <f t="shared" ref="CP88" si="542">+CO88</f>
        <v>19497.777999999998</v>
      </c>
      <c r="CQ88" s="385">
        <f t="shared" ref="CQ88" si="543">+CP88</f>
        <v>19497.777999999998</v>
      </c>
      <c r="CR88" s="385">
        <f t="shared" ref="CR88" si="544">+CQ88</f>
        <v>19497.777999999998</v>
      </c>
      <c r="CS88" s="385">
        <f t="shared" ref="CS88" si="545">+CR88</f>
        <v>19497.777999999998</v>
      </c>
      <c r="CT88" s="385">
        <f t="shared" ref="CT88" si="546">+CS88</f>
        <v>19497.777999999998</v>
      </c>
      <c r="CU88" s="385">
        <f t="shared" ref="CU88" si="547">+CT88</f>
        <v>19497.777999999998</v>
      </c>
      <c r="CV88" s="385">
        <f t="shared" ref="CV88" si="548">+CU88</f>
        <v>19497.777999999998</v>
      </c>
      <c r="CW88" s="385">
        <f t="shared" ref="CW88" si="549">+CV88</f>
        <v>19497.777999999998</v>
      </c>
    </row>
    <row r="89" spans="1:101">
      <c r="A89" s="364" t="s">
        <v>1202</v>
      </c>
      <c r="B89" s="418">
        <f>BS!B34++BS!B30</f>
        <v>0</v>
      </c>
      <c r="C89" s="418">
        <f>BS!C34++BS!C30</f>
        <v>0</v>
      </c>
      <c r="D89" s="418">
        <f>BS!D34++BS!D30</f>
        <v>0</v>
      </c>
      <c r="E89" s="418">
        <f>BS!E34++BS!E30</f>
        <v>0</v>
      </c>
      <c r="F89" s="418">
        <f>BS!F34++BS!F30</f>
        <v>0</v>
      </c>
      <c r="G89" s="418">
        <f>BS!G34++BS!G30</f>
        <v>0</v>
      </c>
      <c r="H89" s="418">
        <f>BS!H34++BS!H30</f>
        <v>0</v>
      </c>
      <c r="I89" s="418">
        <f>BS!I34++BS!I30</f>
        <v>0</v>
      </c>
      <c r="J89" s="418">
        <f>BS!J34++BS!J30</f>
        <v>0</v>
      </c>
      <c r="K89" s="418">
        <f>BS!K34++BS!K30</f>
        <v>0</v>
      </c>
      <c r="L89" s="418">
        <f>BS!L34++BS!L30</f>
        <v>0</v>
      </c>
      <c r="M89" s="418">
        <f>BS!M34++BS!M30</f>
        <v>0</v>
      </c>
      <c r="N89" s="418">
        <f>BS!N34++BS!N30</f>
        <v>0</v>
      </c>
      <c r="O89" s="418">
        <f>BS!O34++BS!O30</f>
        <v>0</v>
      </c>
      <c r="P89" s="418">
        <f>BS!P34++BS!P30</f>
        <v>0</v>
      </c>
      <c r="Q89" s="418">
        <f>BS!Q34++BS!Q30</f>
        <v>0</v>
      </c>
      <c r="R89" s="418">
        <f>BS!R34++BS!R30</f>
        <v>0</v>
      </c>
      <c r="S89" s="418">
        <f>BS!S34++BS!S30</f>
        <v>0</v>
      </c>
      <c r="T89" s="418">
        <f>BS!T34++BS!T30</f>
        <v>0</v>
      </c>
      <c r="U89" s="418">
        <f>BS!U34++BS!U30</f>
        <v>0</v>
      </c>
      <c r="V89" s="418">
        <f>BS!V34++BS!V30</f>
        <v>0</v>
      </c>
      <c r="W89" s="418">
        <f>BS!W34++BS!W30</f>
        <v>0</v>
      </c>
      <c r="X89" s="418">
        <f>BS!X34++BS!X30</f>
        <v>0</v>
      </c>
      <c r="Y89" s="418">
        <f>BS!Y34++BS!Y30</f>
        <v>0</v>
      </c>
      <c r="Z89" s="418">
        <f>BS!Z34++BS!Z30</f>
        <v>0</v>
      </c>
      <c r="AA89" s="418">
        <f>BS!AA34++BS!AA30</f>
        <v>0</v>
      </c>
      <c r="AB89" s="418">
        <f>BS!AB34++BS!AB30</f>
        <v>0</v>
      </c>
      <c r="AC89" s="418">
        <f>BS!AC34++BS!AC30</f>
        <v>0</v>
      </c>
      <c r="AD89" s="418">
        <f>BS!AD34++BS!AD30</f>
        <v>0</v>
      </c>
      <c r="AE89" s="418">
        <f>BS!AE34++BS!AE30</f>
        <v>0</v>
      </c>
      <c r="AF89" s="418">
        <f>BS!AF34++BS!AF30</f>
        <v>0</v>
      </c>
      <c r="AG89" s="418">
        <f>BS!AG34++BS!AG30</f>
        <v>0</v>
      </c>
      <c r="AH89" s="418">
        <f>BS!AH34++BS!AH30</f>
        <v>0</v>
      </c>
      <c r="AI89" s="418">
        <f>BS!AI34++BS!AI30</f>
        <v>0</v>
      </c>
      <c r="AJ89" s="418">
        <f>BS!AJ34++BS!AJ30</f>
        <v>0</v>
      </c>
      <c r="AK89" s="418">
        <f>BS!AK34++BS!AK30</f>
        <v>0</v>
      </c>
      <c r="AL89" s="418">
        <f>BS!AL34++BS!AL30</f>
        <v>0</v>
      </c>
      <c r="AM89" s="418">
        <f>BS!AM34++BS!AM30</f>
        <v>0</v>
      </c>
      <c r="AN89" s="418">
        <f>BS!AN34++BS!AN30</f>
        <v>0</v>
      </c>
      <c r="AO89" s="418">
        <f>BS!AO34++BS!AO30</f>
        <v>0</v>
      </c>
      <c r="AP89" s="1297">
        <f>BS!AP34++BS!AP30</f>
        <v>23193.905000000002</v>
      </c>
      <c r="AQ89" s="1297">
        <f>BS!AQ34++BS!AQ30</f>
        <v>23274.847000000002</v>
      </c>
      <c r="AR89" s="1297">
        <f>BS!AR34++BS!AR30</f>
        <v>23725.017</v>
      </c>
      <c r="AS89" s="1297">
        <f>BS!AS34++BS!AS30</f>
        <v>22561.86</v>
      </c>
      <c r="AT89" s="1297">
        <f>BS!AT34++BS!AT30</f>
        <v>26506.576000000001</v>
      </c>
      <c r="AU89" s="1297">
        <f>BS!AU34++BS!AU30</f>
        <v>25038.143</v>
      </c>
      <c r="AV89" s="1297">
        <f>BS!AV34++BS!AV30</f>
        <v>24722.078999999998</v>
      </c>
      <c r="AW89" s="1297">
        <f>BS!AW34++BS!AW30</f>
        <v>25300</v>
      </c>
      <c r="AX89" s="1297">
        <f>BS!AX34++BS!AX30</f>
        <v>25861.155000000002</v>
      </c>
      <c r="AY89" s="1297">
        <f>BS!AY34++BS!AY30</f>
        <v>24335.841999999997</v>
      </c>
      <c r="AZ89" s="1297">
        <f>BS!AZ34++BS!AZ30</f>
        <v>23740.431</v>
      </c>
      <c r="BA89" s="1297">
        <f>BS!BA34++BS!BA30</f>
        <v>23763.274000000001</v>
      </c>
      <c r="BB89" s="1297">
        <f>BS!BB34++BS!BB30</f>
        <v>24058.278999999999</v>
      </c>
      <c r="BC89" s="1297">
        <f>BS!BC34++BS!BC30</f>
        <v>22759.263999999999</v>
      </c>
      <c r="BD89" s="1297">
        <f>BS!BD34++BS!BD30</f>
        <v>21220.836000000003</v>
      </c>
      <c r="BE89" s="1297">
        <f>BS!BE34++BS!BE30</f>
        <v>21981.811000000002</v>
      </c>
      <c r="BF89" s="1297">
        <f>BS!BF34++BS!BF30</f>
        <v>20384.777999999998</v>
      </c>
      <c r="BG89" s="1297">
        <f>BS!BG34++BS!BG30</f>
        <v>19529.699000000001</v>
      </c>
      <c r="BH89" s="1297">
        <f>BS!BH34++BS!BH30</f>
        <v>19119.918000000001</v>
      </c>
      <c r="BI89" s="1297">
        <f>BS!BI34++BS!BI30</f>
        <v>18330.066999999999</v>
      </c>
      <c r="BJ89" s="1297">
        <f>BS!BJ34++BS!BJ30</f>
        <v>16921.289000000001</v>
      </c>
      <c r="BK89" s="1322">
        <f>BS!BK34++BS!BK30</f>
        <v>19511.353999999999</v>
      </c>
      <c r="BL89" s="385">
        <f>Q_BS!BL142</f>
        <v>18758.328350299802</v>
      </c>
      <c r="BM89" s="385">
        <f>Q_BS!BM142</f>
        <v>18848.366087448117</v>
      </c>
      <c r="BN89" s="385">
        <f>Q_BS!BN142</f>
        <v>18935.797191029069</v>
      </c>
      <c r="BO89" s="385">
        <f>Q_BS!BO142</f>
        <v>18878.558701058748</v>
      </c>
      <c r="BP89" s="385">
        <f>Q_BS!BP142</f>
        <v>18975.590819974081</v>
      </c>
      <c r="BQ89" s="385">
        <f>Q_BS!BQ142</f>
        <v>19193.176315034365</v>
      </c>
      <c r="BR89" s="385">
        <f>Q_BS!BR142</f>
        <v>19355.898917275073</v>
      </c>
      <c r="BS89" s="385">
        <f>Q_BS!BS142</f>
        <v>19325.457186258704</v>
      </c>
      <c r="BT89" s="385">
        <f>Q_BS!BT142</f>
        <v>19404.966722494722</v>
      </c>
      <c r="BU89" s="385">
        <f>Q_BS!BU142</f>
        <v>19602.195010980726</v>
      </c>
      <c r="BV89" s="385">
        <f>Q_BS!BV142</f>
        <v>19747.065766023345</v>
      </c>
      <c r="BW89" s="385">
        <f>Q_BS!BW142</f>
        <v>19706.201288310411</v>
      </c>
      <c r="BX89" s="385">
        <f>Q_BS!BX142</f>
        <v>19777.27776511298</v>
      </c>
      <c r="BY89" s="385">
        <f>Q_BS!BY142</f>
        <v>19950.417516719212</v>
      </c>
      <c r="BZ89" s="385">
        <f>Q_BS!BZ142</f>
        <v>20041.831664166431</v>
      </c>
      <c r="CA89" s="385">
        <f>Q_BS!CA142</f>
        <v>20000.659419498475</v>
      </c>
      <c r="CB89" s="385">
        <f>Q_BS!CB142</f>
        <v>20073.214099257442</v>
      </c>
      <c r="CC89" s="385">
        <f>Q_BS!CC142</f>
        <v>20242.450451634097</v>
      </c>
      <c r="CD89" s="385">
        <f>Q_BS!CD142</f>
        <v>20332.369484268631</v>
      </c>
      <c r="CE89" s="385">
        <f>Q_BS!CE142</f>
        <v>20288.187658704541</v>
      </c>
      <c r="CF89" s="385">
        <f>Q_BS!CF142</f>
        <v>20363.279799054486</v>
      </c>
      <c r="CG89" s="385">
        <f>Q_BS!CG142</f>
        <v>20535.289151060624</v>
      </c>
      <c r="CH89" s="385">
        <f>Q_BS!CH142</f>
        <v>20614.327573992225</v>
      </c>
      <c r="CI89" s="385">
        <f>Q_BS!CI142</f>
        <v>20557.330771811852</v>
      </c>
      <c r="CJ89" s="385">
        <f>Q_BS!CJ142</f>
        <v>20625.32886995401</v>
      </c>
      <c r="CK89" s="385">
        <f>Q_BS!CK142</f>
        <v>20780.237148322587</v>
      </c>
      <c r="CL89" s="385">
        <f>Q_BS!CL142</f>
        <v>20837.038998830991</v>
      </c>
      <c r="CM89" s="385">
        <f>Q_BS!CM142</f>
        <v>20776.621797121552</v>
      </c>
      <c r="CN89" s="385">
        <f>Q_BS!CN142</f>
        <v>20847.593682025876</v>
      </c>
      <c r="CO89" s="385">
        <f>Q_BS!CO142</f>
        <v>21005.921721082006</v>
      </c>
      <c r="CP89" s="385">
        <f>Q_BS!CP142</f>
        <v>21055.449786223588</v>
      </c>
      <c r="CQ89" s="385">
        <f>Q_BS!CQ142</f>
        <v>20991.732192990086</v>
      </c>
      <c r="CR89" s="385">
        <f>Q_BS!CR142</f>
        <v>21065.856223417042</v>
      </c>
      <c r="CS89" s="385">
        <f>Q_BS!CS142</f>
        <v>21227.850183475533</v>
      </c>
      <c r="CT89" s="385">
        <f>Q_BS!CT142</f>
        <v>21269.428936900375</v>
      </c>
      <c r="CU89" s="385">
        <f>Q_BS!CU142</f>
        <v>21202.238887226496</v>
      </c>
      <c r="CV89" s="385">
        <f>Q_BS!CV142</f>
        <v>21279.781098920699</v>
      </c>
      <c r="CW89" s="385">
        <f>Q_BS!CW142</f>
        <v>21441.89911920411</v>
      </c>
    </row>
    <row r="90" spans="1:101">
      <c r="A90" s="364" t="s">
        <v>685</v>
      </c>
      <c r="B90" s="418">
        <f>BS!B36++BS!B26</f>
        <v>93.13900000000001</v>
      </c>
      <c r="C90" s="418">
        <f>BS!C36++BS!C26</f>
        <v>82.674000000000007</v>
      </c>
      <c r="D90" s="418">
        <f>BS!D36++BS!D26</f>
        <v>79.157000000000011</v>
      </c>
      <c r="E90" s="418">
        <f>BS!E36++BS!E26</f>
        <v>72.995000000000005</v>
      </c>
      <c r="F90" s="418">
        <f>BS!F36++BS!F26</f>
        <v>64.564000000000007</v>
      </c>
      <c r="G90" s="418">
        <f>BS!G36++BS!G26</f>
        <v>67.501999999999995</v>
      </c>
      <c r="H90" s="418">
        <f>BS!H36++BS!H26</f>
        <v>64.150999999999996</v>
      </c>
      <c r="I90" s="418">
        <f>BS!I36++BS!I26</f>
        <v>69.682000000000002</v>
      </c>
      <c r="J90" s="418">
        <f>BS!J36++BS!J26</f>
        <v>65.750999999999991</v>
      </c>
      <c r="K90" s="418">
        <f>BS!K36++BS!K26</f>
        <v>63.390999999999998</v>
      </c>
      <c r="L90" s="418">
        <f>BS!L36++BS!L26</f>
        <v>60.566000000000003</v>
      </c>
      <c r="M90" s="418">
        <f>BS!M36++BS!M26</f>
        <v>56.674999999999997</v>
      </c>
      <c r="N90" s="418">
        <f>BS!N36++BS!N26</f>
        <v>126.83</v>
      </c>
      <c r="O90" s="418">
        <f>BS!O36++BS!O26</f>
        <v>126.276</v>
      </c>
      <c r="P90" s="418">
        <f>BS!P36++BS!P26</f>
        <v>117.46599999999999</v>
      </c>
      <c r="Q90" s="418">
        <f>BS!Q36++BS!Q26</f>
        <v>109.995</v>
      </c>
      <c r="R90" s="418">
        <f>BS!R36++BS!R26</f>
        <v>99.888000000000005</v>
      </c>
      <c r="S90" s="418">
        <f>BS!S36++BS!S26</f>
        <v>135.47399999999999</v>
      </c>
      <c r="T90" s="418">
        <f>BS!T36++BS!T26</f>
        <v>125.303</v>
      </c>
      <c r="U90" s="418">
        <f>BS!U36++BS!U26</f>
        <v>137.60400000000001</v>
      </c>
      <c r="V90" s="418">
        <f>BS!V36++BS!V26</f>
        <v>169.55099999999999</v>
      </c>
      <c r="W90" s="418">
        <f>BS!W36++BS!W26</f>
        <v>526.73900000000003</v>
      </c>
      <c r="X90" s="418">
        <f>BS!X36++BS!X26</f>
        <v>487.94799999999998</v>
      </c>
      <c r="Y90" s="418">
        <f>BS!Y36++BS!Y26</f>
        <v>3504.5929999999998</v>
      </c>
      <c r="Z90" s="418">
        <f>BS!Z36++BS!Z26</f>
        <v>3223.0810000000001</v>
      </c>
      <c r="AA90" s="418">
        <f>BS!AA36++BS!AA26</f>
        <v>3514.491</v>
      </c>
      <c r="AB90" s="418">
        <f>BS!AB36++BS!AB26</f>
        <v>3645.7660000000001</v>
      </c>
      <c r="AC90" s="418">
        <f>BS!AC36++BS!AC26</f>
        <v>3593.2239999999997</v>
      </c>
      <c r="AD90" s="418">
        <f>BS!AD36++BS!AD26</f>
        <v>5398.66</v>
      </c>
      <c r="AE90" s="418">
        <f>BS!AE36++BS!AE26</f>
        <v>5489.4619999999995</v>
      </c>
      <c r="AF90" s="418">
        <f>BS!AF36++BS!AF26</f>
        <v>5671.8630000000003</v>
      </c>
      <c r="AG90" s="418">
        <f>BS!AG36++BS!AG26</f>
        <v>5550.0949999999993</v>
      </c>
      <c r="AH90" s="418">
        <f>BS!AH36++BS!AH26</f>
        <v>5336.9070000000002</v>
      </c>
      <c r="AI90" s="418">
        <f>BS!AI36++BS!AI26</f>
        <v>5474.5640000000003</v>
      </c>
      <c r="AJ90" s="418">
        <f>BS!AJ36++BS!AJ26</f>
        <v>5580.5339999999997</v>
      </c>
      <c r="AK90" s="418">
        <f>BS!AK36++BS!AK26</f>
        <v>2580.1390000000001</v>
      </c>
      <c r="AL90" s="418">
        <f>BS!AL36++BS!AL26</f>
        <v>2649.1239999999998</v>
      </c>
      <c r="AM90" s="418">
        <f>BS!AM36++BS!AM26</f>
        <v>2561.8689999999997</v>
      </c>
      <c r="AN90" s="418">
        <f>BS!AN36++BS!AN26</f>
        <v>2503.3470000000002</v>
      </c>
      <c r="AO90" s="418">
        <f>BS!AO36++BS!AO26</f>
        <v>2641.6</v>
      </c>
      <c r="AP90" s="1297">
        <f>BS!AP36++BS!AP26</f>
        <v>2460.855</v>
      </c>
      <c r="AQ90" s="1297">
        <f>BS!AQ36++BS!AQ26</f>
        <v>2715.4669999999996</v>
      </c>
      <c r="AR90" s="1297">
        <f>BS!AR36++BS!AR26</f>
        <v>2699.8409999999999</v>
      </c>
      <c r="AS90" s="1297">
        <f>BS!AS36++BS!AS26</f>
        <v>4995.5560000000005</v>
      </c>
      <c r="AT90" s="1297">
        <f>BS!AT36++BS!AT26</f>
        <v>4967.9659999999994</v>
      </c>
      <c r="AU90" s="1297">
        <f>BS!AU36++BS!AU26</f>
        <v>4968.9970000000003</v>
      </c>
      <c r="AV90" s="1297">
        <f>BS!AV36++BS!AV26</f>
        <v>4744.8090000000002</v>
      </c>
      <c r="AW90" s="1297">
        <f>BS!AW36++BS!AW26</f>
        <v>4873</v>
      </c>
      <c r="AX90" s="1297">
        <f>BS!AX36++BS!AX26</f>
        <v>5091.1120000000001</v>
      </c>
      <c r="AY90" s="1297">
        <f>BS!AY36++BS!AY26</f>
        <v>5211.9690000000001</v>
      </c>
      <c r="AZ90" s="1297">
        <f>BS!AZ36++BS!AZ26</f>
        <v>5211.5349999999999</v>
      </c>
      <c r="BA90" s="1297">
        <f>BS!BA36++BS!BA26</f>
        <v>4952.6570000000002</v>
      </c>
      <c r="BB90" s="1297">
        <f>BS!BB36++BS!BB26</f>
        <v>4775.9859999999999</v>
      </c>
      <c r="BC90" s="1297">
        <f>BS!BC36++BS!BC26</f>
        <v>4627.5860000000002</v>
      </c>
      <c r="BD90" s="1297">
        <f>BS!BD36++BS!BD26</f>
        <v>4508.2449999999999</v>
      </c>
      <c r="BE90" s="1297">
        <f>BS!BE36++BS!BE26</f>
        <v>5729.777</v>
      </c>
      <c r="BF90" s="1297">
        <f>BS!BF36++BS!BF26</f>
        <v>5982.8620000000001</v>
      </c>
      <c r="BG90" s="1297">
        <f>BS!BG36++BS!BG26</f>
        <v>6211.9719999999998</v>
      </c>
      <c r="BH90" s="1297">
        <f>BS!BH36++BS!BH26</f>
        <v>5683.0439999999999</v>
      </c>
      <c r="BI90" s="1297">
        <f>BS!BI36++BS!BI26</f>
        <v>5065.4059999999999</v>
      </c>
      <c r="BJ90" s="1297">
        <f>BS!BJ36++BS!BJ26</f>
        <v>4043.491</v>
      </c>
      <c r="BK90" s="1322">
        <f>BS!BK36++BS!BK26</f>
        <v>4243.8869999999997</v>
      </c>
      <c r="BL90" s="385">
        <f t="shared" ref="BL90:CW90" si="550">BK90</f>
        <v>4243.8869999999997</v>
      </c>
      <c r="BM90" s="385">
        <f t="shared" si="550"/>
        <v>4243.8869999999997</v>
      </c>
      <c r="BN90" s="385">
        <f t="shared" si="550"/>
        <v>4243.8869999999997</v>
      </c>
      <c r="BO90" s="385">
        <f t="shared" si="550"/>
        <v>4243.8869999999997</v>
      </c>
      <c r="BP90" s="385">
        <f t="shared" si="550"/>
        <v>4243.8869999999997</v>
      </c>
      <c r="BQ90" s="385">
        <f t="shared" si="550"/>
        <v>4243.8869999999997</v>
      </c>
      <c r="BR90" s="385">
        <f t="shared" si="550"/>
        <v>4243.8869999999997</v>
      </c>
      <c r="BS90" s="385">
        <f t="shared" si="550"/>
        <v>4243.8869999999997</v>
      </c>
      <c r="BT90" s="385">
        <f t="shared" si="550"/>
        <v>4243.8869999999997</v>
      </c>
      <c r="BU90" s="385">
        <f t="shared" si="550"/>
        <v>4243.8869999999997</v>
      </c>
      <c r="BV90" s="385">
        <f t="shared" si="550"/>
        <v>4243.8869999999997</v>
      </c>
      <c r="BW90" s="385">
        <f t="shared" si="550"/>
        <v>4243.8869999999997</v>
      </c>
      <c r="BX90" s="385">
        <f t="shared" si="550"/>
        <v>4243.8869999999997</v>
      </c>
      <c r="BY90" s="385">
        <f t="shared" si="550"/>
        <v>4243.8869999999997</v>
      </c>
      <c r="BZ90" s="385">
        <f t="shared" si="550"/>
        <v>4243.8869999999997</v>
      </c>
      <c r="CA90" s="385">
        <f t="shared" si="550"/>
        <v>4243.8869999999997</v>
      </c>
      <c r="CB90" s="385">
        <f t="shared" si="550"/>
        <v>4243.8869999999997</v>
      </c>
      <c r="CC90" s="385">
        <f t="shared" si="550"/>
        <v>4243.8869999999997</v>
      </c>
      <c r="CD90" s="385">
        <f t="shared" si="550"/>
        <v>4243.8869999999997</v>
      </c>
      <c r="CE90" s="385">
        <f t="shared" si="550"/>
        <v>4243.8869999999997</v>
      </c>
      <c r="CF90" s="385">
        <f t="shared" si="550"/>
        <v>4243.8869999999997</v>
      </c>
      <c r="CG90" s="385">
        <f t="shared" si="550"/>
        <v>4243.8869999999997</v>
      </c>
      <c r="CH90" s="385">
        <f t="shared" si="550"/>
        <v>4243.8869999999997</v>
      </c>
      <c r="CI90" s="385">
        <f t="shared" si="550"/>
        <v>4243.8869999999997</v>
      </c>
      <c r="CJ90" s="385">
        <f t="shared" si="550"/>
        <v>4243.8869999999997</v>
      </c>
      <c r="CK90" s="385">
        <f t="shared" si="550"/>
        <v>4243.8869999999997</v>
      </c>
      <c r="CL90" s="385">
        <f t="shared" si="550"/>
        <v>4243.8869999999997</v>
      </c>
      <c r="CM90" s="385">
        <f t="shared" si="550"/>
        <v>4243.8869999999997</v>
      </c>
      <c r="CN90" s="385">
        <f t="shared" si="550"/>
        <v>4243.8869999999997</v>
      </c>
      <c r="CO90" s="385">
        <f t="shared" si="550"/>
        <v>4243.8869999999997</v>
      </c>
      <c r="CP90" s="385">
        <f t="shared" si="550"/>
        <v>4243.8869999999997</v>
      </c>
      <c r="CQ90" s="385">
        <f t="shared" si="550"/>
        <v>4243.8869999999997</v>
      </c>
      <c r="CR90" s="385">
        <f t="shared" si="550"/>
        <v>4243.8869999999997</v>
      </c>
      <c r="CS90" s="385">
        <f t="shared" si="550"/>
        <v>4243.8869999999997</v>
      </c>
      <c r="CT90" s="385">
        <f t="shared" si="550"/>
        <v>4243.8869999999997</v>
      </c>
      <c r="CU90" s="385">
        <f t="shared" si="550"/>
        <v>4243.8869999999997</v>
      </c>
      <c r="CV90" s="385">
        <f t="shared" si="550"/>
        <v>4243.8869999999997</v>
      </c>
      <c r="CW90" s="385">
        <f t="shared" si="550"/>
        <v>4243.8869999999997</v>
      </c>
    </row>
    <row r="91" spans="1:101" ht="13.5">
      <c r="A91" s="361" t="s">
        <v>377</v>
      </c>
      <c r="B91" s="425">
        <f t="shared" ref="B91:BI91" si="551">SUM(B87:B90)</f>
        <v>1133.9780000000001</v>
      </c>
      <c r="C91" s="425">
        <f t="shared" si="551"/>
        <v>928.08799999999997</v>
      </c>
      <c r="D91" s="425">
        <f t="shared" si="551"/>
        <v>749.61400000000003</v>
      </c>
      <c r="E91" s="425">
        <f t="shared" si="551"/>
        <v>781.78200000000004</v>
      </c>
      <c r="F91" s="425">
        <f t="shared" si="551"/>
        <v>1081.92</v>
      </c>
      <c r="G91" s="425">
        <f t="shared" si="551"/>
        <v>1138.1479999999999</v>
      </c>
      <c r="H91" s="425">
        <f t="shared" si="551"/>
        <v>1054.3009999999999</v>
      </c>
      <c r="I91" s="425">
        <f t="shared" si="551"/>
        <v>1437.682</v>
      </c>
      <c r="J91" s="425">
        <f t="shared" si="551"/>
        <v>1387.6870000000001</v>
      </c>
      <c r="K91" s="425">
        <f t="shared" si="551"/>
        <v>1660.0050000000001</v>
      </c>
      <c r="L91" s="425">
        <f t="shared" si="551"/>
        <v>1616.1369999999999</v>
      </c>
      <c r="M91" s="425">
        <f t="shared" si="551"/>
        <v>3927.873</v>
      </c>
      <c r="N91" s="425">
        <f t="shared" si="551"/>
        <v>3887.674</v>
      </c>
      <c r="O91" s="425">
        <f t="shared" si="551"/>
        <v>3508.1789999999996</v>
      </c>
      <c r="P91" s="425">
        <f t="shared" si="551"/>
        <v>3289.8620000000001</v>
      </c>
      <c r="Q91" s="425">
        <f t="shared" si="551"/>
        <v>2187.828</v>
      </c>
      <c r="R91" s="425">
        <f t="shared" si="551"/>
        <v>2045.827</v>
      </c>
      <c r="S91" s="425">
        <f t="shared" si="551"/>
        <v>3516.9210000000003</v>
      </c>
      <c r="T91" s="425">
        <f t="shared" si="551"/>
        <v>4924.7669999999998</v>
      </c>
      <c r="U91" s="425">
        <f t="shared" si="551"/>
        <v>4792.7349999999997</v>
      </c>
      <c r="V91" s="425">
        <f t="shared" si="551"/>
        <v>4724.0870000000004</v>
      </c>
      <c r="W91" s="425">
        <f t="shared" si="551"/>
        <v>6204.0540000000001</v>
      </c>
      <c r="X91" s="425">
        <f t="shared" si="551"/>
        <v>6808.5130000000008</v>
      </c>
      <c r="Y91" s="425">
        <f t="shared" si="551"/>
        <v>13366.615000000002</v>
      </c>
      <c r="Z91" s="425">
        <f t="shared" si="551"/>
        <v>13911.344999999999</v>
      </c>
      <c r="AA91" s="425">
        <f t="shared" si="551"/>
        <v>14297.944000000001</v>
      </c>
      <c r="AB91" s="425">
        <f t="shared" si="551"/>
        <v>15286.523000000001</v>
      </c>
      <c r="AC91" s="425">
        <f t="shared" si="551"/>
        <v>15091.741</v>
      </c>
      <c r="AD91" s="425">
        <f t="shared" si="551"/>
        <v>16927.646000000001</v>
      </c>
      <c r="AE91" s="425">
        <f t="shared" si="551"/>
        <v>18306.597000000002</v>
      </c>
      <c r="AF91" s="425">
        <f t="shared" si="551"/>
        <v>18645.695</v>
      </c>
      <c r="AG91" s="425">
        <f t="shared" si="551"/>
        <v>19282.745999999999</v>
      </c>
      <c r="AH91" s="425">
        <f t="shared" si="551"/>
        <v>18915.808999999997</v>
      </c>
      <c r="AI91" s="425">
        <f t="shared" si="551"/>
        <v>19614.391000000003</v>
      </c>
      <c r="AJ91" s="425">
        <f t="shared" si="551"/>
        <v>20041.635000000002</v>
      </c>
      <c r="AK91" s="425">
        <f t="shared" si="551"/>
        <v>16254.044999999998</v>
      </c>
      <c r="AL91" s="425">
        <f t="shared" si="551"/>
        <v>16086.134999999998</v>
      </c>
      <c r="AM91" s="425">
        <f t="shared" si="551"/>
        <v>17278.734</v>
      </c>
      <c r="AN91" s="425">
        <f t="shared" si="551"/>
        <v>15223.974</v>
      </c>
      <c r="AO91" s="425">
        <f t="shared" si="551"/>
        <v>25663.26</v>
      </c>
      <c r="AP91" s="1298">
        <f t="shared" si="551"/>
        <v>47253.785000000003</v>
      </c>
      <c r="AQ91" s="1298">
        <f t="shared" si="551"/>
        <v>52416.091999999997</v>
      </c>
      <c r="AR91" s="1298">
        <f t="shared" si="551"/>
        <v>52614.392</v>
      </c>
      <c r="AS91" s="1298">
        <f t="shared" si="551"/>
        <v>52633.629000000001</v>
      </c>
      <c r="AT91" s="1298">
        <f t="shared" si="551"/>
        <v>59346.245999999999</v>
      </c>
      <c r="AU91" s="1298">
        <f t="shared" si="551"/>
        <v>58837.819000000003</v>
      </c>
      <c r="AV91" s="1298">
        <f t="shared" si="551"/>
        <v>58196.343999999997</v>
      </c>
      <c r="AW91" s="1298">
        <f t="shared" si="551"/>
        <v>63006.148999999998</v>
      </c>
      <c r="AX91" s="1298">
        <f t="shared" si="551"/>
        <v>58826.386000000006</v>
      </c>
      <c r="AY91" s="1298">
        <f t="shared" si="551"/>
        <v>37527.550999999992</v>
      </c>
      <c r="AZ91" s="1298">
        <f t="shared" si="551"/>
        <v>36933.42</v>
      </c>
      <c r="BA91" s="1298">
        <f t="shared" si="551"/>
        <v>55979.017</v>
      </c>
      <c r="BB91" s="1298">
        <f t="shared" si="551"/>
        <v>57427.436999999998</v>
      </c>
      <c r="BC91" s="1298">
        <f t="shared" si="551"/>
        <v>55157.041000000005</v>
      </c>
      <c r="BD91" s="1298">
        <f t="shared" si="551"/>
        <v>52796.581000000006</v>
      </c>
      <c r="BE91" s="1298">
        <f t="shared" si="551"/>
        <v>54222.788</v>
      </c>
      <c r="BF91" s="1298">
        <f t="shared" si="551"/>
        <v>51434.131000000001</v>
      </c>
      <c r="BG91" s="1298">
        <f t="shared" si="551"/>
        <v>47961.632000000005</v>
      </c>
      <c r="BH91" s="1298">
        <f t="shared" si="551"/>
        <v>49360.992000000006</v>
      </c>
      <c r="BI91" s="1298">
        <f t="shared" si="551"/>
        <v>47777.376000000004</v>
      </c>
      <c r="BJ91" s="1298">
        <f t="shared" ref="BJ91:BK91" si="552">SUM(BJ87:BJ90)</f>
        <v>45924.542999999998</v>
      </c>
      <c r="BK91" s="1323">
        <f t="shared" si="552"/>
        <v>50040.195999999996</v>
      </c>
      <c r="BL91" s="387">
        <f t="shared" ref="BL91:CW91" si="553">SUM(BL87:BL90)</f>
        <v>49663.943714775349</v>
      </c>
      <c r="BM91" s="387">
        <f t="shared" si="553"/>
        <v>49908.339904073349</v>
      </c>
      <c r="BN91" s="387">
        <f t="shared" si="553"/>
        <v>50949.854891322408</v>
      </c>
      <c r="BO91" s="387">
        <f t="shared" si="553"/>
        <v>51754.053351868512</v>
      </c>
      <c r="BP91" s="387">
        <f t="shared" si="553"/>
        <v>52551.085470783844</v>
      </c>
      <c r="BQ91" s="387">
        <f t="shared" si="553"/>
        <v>53912.348865484753</v>
      </c>
      <c r="BR91" s="387">
        <f t="shared" si="553"/>
        <v>55561.890585843619</v>
      </c>
      <c r="BS91" s="387">
        <f t="shared" si="553"/>
        <v>56231.448854827249</v>
      </c>
      <c r="BT91" s="387">
        <f t="shared" si="553"/>
        <v>57010.958391063265</v>
      </c>
      <c r="BU91" s="387">
        <f t="shared" si="553"/>
        <v>57908.186679549268</v>
      </c>
      <c r="BV91" s="387">
        <f t="shared" si="553"/>
        <v>58827.160005964193</v>
      </c>
      <c r="BW91" s="387">
        <f t="shared" si="553"/>
        <v>59405.838911250736</v>
      </c>
      <c r="BX91" s="387">
        <f t="shared" si="553"/>
        <v>60276.295937864379</v>
      </c>
      <c r="BY91" s="387">
        <f t="shared" si="553"/>
        <v>61416.104419431213</v>
      </c>
      <c r="BZ91" s="387">
        <f t="shared" si="553"/>
        <v>61587.73353820185</v>
      </c>
      <c r="CA91" s="387">
        <f t="shared" si="553"/>
        <v>61461.02816522315</v>
      </c>
      <c r="CB91" s="387">
        <f t="shared" si="553"/>
        <v>61637.371052835661</v>
      </c>
      <c r="CC91" s="387">
        <f t="shared" si="553"/>
        <v>62080.289618924624</v>
      </c>
      <c r="CD91" s="387">
        <f t="shared" si="553"/>
        <v>62251.143547848529</v>
      </c>
      <c r="CE91" s="387">
        <f t="shared" si="553"/>
        <v>62120.660938840621</v>
      </c>
      <c r="CF91" s="387">
        <f t="shared" si="553"/>
        <v>62300.472780514356</v>
      </c>
      <c r="CG91" s="387">
        <f t="shared" si="553"/>
        <v>62748.620629082943</v>
      </c>
      <c r="CH91" s="387">
        <f t="shared" si="553"/>
        <v>62909.320334556905</v>
      </c>
      <c r="CI91" s="387">
        <f t="shared" si="553"/>
        <v>62765.248204136944</v>
      </c>
      <c r="CJ91" s="387">
        <f t="shared" si="553"/>
        <v>62938.905857175923</v>
      </c>
      <c r="CK91" s="387">
        <f t="shared" si="553"/>
        <v>63372.430959960853</v>
      </c>
      <c r="CL91" s="387">
        <f t="shared" si="553"/>
        <v>63511.626998541396</v>
      </c>
      <c r="CM91" s="387">
        <f t="shared" si="553"/>
        <v>63363.352972299559</v>
      </c>
      <c r="CN91" s="387">
        <f t="shared" si="553"/>
        <v>63540.932700807985</v>
      </c>
      <c r="CO91" s="387">
        <f t="shared" si="553"/>
        <v>63980.378134990897</v>
      </c>
      <c r="CP91" s="387">
        <f t="shared" si="553"/>
        <v>64113.03987152128</v>
      </c>
      <c r="CQ91" s="387">
        <f t="shared" si="553"/>
        <v>63960.676943576233</v>
      </c>
      <c r="CR91" s="387">
        <f t="shared" si="553"/>
        <v>64642.365617153657</v>
      </c>
      <c r="CS91" s="387">
        <f t="shared" si="553"/>
        <v>65591.292271890721</v>
      </c>
      <c r="CT91" s="387">
        <f t="shared" si="553"/>
        <v>65718.691676093149</v>
      </c>
      <c r="CU91" s="387">
        <f t="shared" si="553"/>
        <v>65709.991168788198</v>
      </c>
      <c r="CV91" s="387">
        <f t="shared" si="553"/>
        <v>65898.950137849475</v>
      </c>
      <c r="CW91" s="387">
        <f t="shared" si="553"/>
        <v>66354.866321060079</v>
      </c>
    </row>
    <row r="92" spans="1:101">
      <c r="A92" s="359"/>
      <c r="B92" s="360"/>
      <c r="C92" s="360"/>
      <c r="D92" s="360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360"/>
      <c r="Q92" s="360"/>
      <c r="R92" s="360"/>
      <c r="S92" s="360"/>
      <c r="T92" s="360"/>
      <c r="U92" s="360"/>
      <c r="V92" s="360"/>
      <c r="W92" s="360"/>
      <c r="X92" s="360"/>
      <c r="Y92" s="360"/>
      <c r="Z92" s="360"/>
      <c r="AA92" s="360"/>
      <c r="AB92" s="360"/>
      <c r="AC92" s="360"/>
      <c r="AD92" s="360"/>
      <c r="AE92" s="360"/>
      <c r="AF92" s="360"/>
      <c r="AG92" s="360"/>
      <c r="AH92" s="360"/>
      <c r="AI92" s="360"/>
      <c r="AJ92" s="360"/>
      <c r="AK92" s="360"/>
      <c r="AL92" s="360"/>
      <c r="AM92" s="360"/>
      <c r="AN92" s="360"/>
      <c r="AO92" s="360"/>
      <c r="AP92" s="385"/>
      <c r="AQ92" s="385"/>
      <c r="AR92" s="385"/>
      <c r="AS92" s="385"/>
      <c r="AT92" s="385"/>
      <c r="AU92" s="385"/>
      <c r="AV92" s="385"/>
      <c r="AW92" s="385"/>
      <c r="AX92" s="385"/>
      <c r="AY92" s="385"/>
      <c r="AZ92" s="385"/>
      <c r="BA92" s="385"/>
      <c r="BB92" s="385"/>
      <c r="BC92" s="385"/>
      <c r="BD92" s="385"/>
      <c r="BE92" s="385"/>
      <c r="BF92" s="385"/>
      <c r="BG92" s="385"/>
      <c r="BH92" s="385"/>
      <c r="BI92" s="385"/>
      <c r="BJ92" s="385"/>
      <c r="BK92" s="1324"/>
      <c r="BL92" s="385"/>
      <c r="BM92" s="385"/>
      <c r="BN92" s="385"/>
      <c r="BO92" s="385"/>
      <c r="BP92" s="385"/>
      <c r="BQ92" s="385"/>
      <c r="BR92" s="385"/>
      <c r="BS92" s="385"/>
      <c r="BT92" s="385"/>
      <c r="BU92" s="385"/>
      <c r="BV92" s="385"/>
      <c r="BW92" s="385"/>
      <c r="BX92" s="385"/>
      <c r="BY92" s="385"/>
      <c r="BZ92" s="385"/>
      <c r="CA92" s="385"/>
      <c r="CB92" s="385"/>
      <c r="CC92" s="385"/>
      <c r="CD92" s="385"/>
      <c r="CE92" s="385"/>
      <c r="CF92" s="385"/>
      <c r="CG92" s="385"/>
      <c r="CH92" s="385"/>
      <c r="CI92" s="385"/>
      <c r="CJ92" s="385"/>
      <c r="CK92" s="385"/>
      <c r="CL92" s="385"/>
      <c r="CM92" s="385"/>
      <c r="CN92" s="385"/>
      <c r="CO92" s="385"/>
      <c r="CP92" s="385"/>
      <c r="CQ92" s="385"/>
      <c r="CR92" s="385"/>
      <c r="CS92" s="385"/>
      <c r="CT92" s="385"/>
      <c r="CU92" s="385"/>
      <c r="CV92" s="385"/>
      <c r="CW92" s="385"/>
    </row>
    <row r="93" spans="1:101" s="13" customFormat="1">
      <c r="A93" s="363" t="s">
        <v>5</v>
      </c>
      <c r="B93" s="995">
        <f>BS!B44</f>
        <v>228.87700000000001</v>
      </c>
      <c r="C93" s="995">
        <f>BS!C44</f>
        <v>223.56700000000001</v>
      </c>
      <c r="D93" s="995">
        <f>BS!D44</f>
        <v>228.07300000000001</v>
      </c>
      <c r="E93" s="995">
        <f>BS!E44</f>
        <v>223.774</v>
      </c>
      <c r="F93" s="995">
        <f>BS!F44</f>
        <v>235.654</v>
      </c>
      <c r="G93" s="995">
        <f>BS!G44</f>
        <v>245.57900000000001</v>
      </c>
      <c r="H93" s="995">
        <f>BS!H44</f>
        <v>248.44900000000001</v>
      </c>
      <c r="I93" s="995">
        <f>BS!I44</f>
        <v>245.64099999999999</v>
      </c>
      <c r="J93" s="995">
        <f>BS!J44</f>
        <v>249.631</v>
      </c>
      <c r="K93" s="995">
        <f>BS!K44</f>
        <v>255.58199999999999</v>
      </c>
      <c r="L93" s="995">
        <f>BS!L44</f>
        <v>264.66699999999997</v>
      </c>
      <c r="M93" s="995">
        <f>BS!M44</f>
        <v>298.86399999999998</v>
      </c>
      <c r="N93" s="995">
        <f>BS!N44</f>
        <v>276.34500000000003</v>
      </c>
      <c r="O93" s="995">
        <f>BS!O44</f>
        <v>272.29000000000002</v>
      </c>
      <c r="P93" s="995">
        <f>BS!P44</f>
        <v>278.13499999999999</v>
      </c>
      <c r="Q93" s="995">
        <f>BS!Q44</f>
        <v>308.18900000000002</v>
      </c>
      <c r="R93" s="995">
        <f>BS!R44</f>
        <v>281.37900000000002</v>
      </c>
      <c r="S93" s="995">
        <f>BS!S44</f>
        <v>289.73599999999999</v>
      </c>
      <c r="T93" s="995">
        <f>BS!T44</f>
        <v>250.874</v>
      </c>
      <c r="U93" s="995">
        <f>BS!U44</f>
        <v>239.50399999999999</v>
      </c>
      <c r="V93" s="995">
        <f>BS!V44</f>
        <v>229.28700000000001</v>
      </c>
      <c r="W93" s="995">
        <f>BS!W44</f>
        <v>229.56100000000001</v>
      </c>
      <c r="X93" s="995">
        <f>BS!X44</f>
        <v>240.41399999999999</v>
      </c>
      <c r="Y93" s="995">
        <f>BS!Y44</f>
        <v>1289.49</v>
      </c>
      <c r="Z93" s="995">
        <f>BS!Z44</f>
        <v>961.88699999999994</v>
      </c>
      <c r="AA93" s="995">
        <f>BS!AA44</f>
        <v>978.77</v>
      </c>
      <c r="AB93" s="995">
        <f>BS!AB44</f>
        <v>972.82799999999997</v>
      </c>
      <c r="AC93" s="995">
        <f>BS!AC44</f>
        <v>1356.1969999999999</v>
      </c>
      <c r="AD93" s="995">
        <f>BS!AD44</f>
        <v>887.11599999999999</v>
      </c>
      <c r="AE93" s="995">
        <f>BS!AE44</f>
        <v>921.42100000000005</v>
      </c>
      <c r="AF93" s="995">
        <f>BS!AF44</f>
        <v>961.31100000000004</v>
      </c>
      <c r="AG93" s="995">
        <f>BS!AG44</f>
        <v>1013.448</v>
      </c>
      <c r="AH93" s="995">
        <f>BS!AH44</f>
        <v>942.49099999999999</v>
      </c>
      <c r="AI93" s="995">
        <f>BS!AI44</f>
        <v>1027.963</v>
      </c>
      <c r="AJ93" s="995">
        <f>BS!AJ44</f>
        <v>1010.657</v>
      </c>
      <c r="AK93" s="995">
        <f>BS!AK44</f>
        <v>1142.7370000000001</v>
      </c>
      <c r="AL93" s="995">
        <f>BS!AL44</f>
        <v>1154.8409999999999</v>
      </c>
      <c r="AM93" s="995">
        <f>BS!AM44</f>
        <v>1147.3440000000001</v>
      </c>
      <c r="AN93" s="995">
        <f>BS!AN44</f>
        <v>1159.0840000000001</v>
      </c>
      <c r="AO93" s="995">
        <f>BS!AO44</f>
        <v>1878.742</v>
      </c>
      <c r="AP93" s="1299">
        <f>BS!AP44</f>
        <v>1885.0719999999999</v>
      </c>
      <c r="AQ93" s="1299">
        <f>BS!AQ44</f>
        <v>1919.5650000000001</v>
      </c>
      <c r="AR93" s="1299">
        <f>BS!AR44</f>
        <v>1934.579</v>
      </c>
      <c r="AS93" s="1299">
        <f>BS!AS44</f>
        <v>1961.5630000000001</v>
      </c>
      <c r="AT93" s="1299">
        <f>BS!AT44</f>
        <v>1941.527</v>
      </c>
      <c r="AU93" s="1299">
        <f>BS!AU44</f>
        <v>1529.287</v>
      </c>
      <c r="AV93" s="1299">
        <f>BS!AV44</f>
        <v>1419.3969999999999</v>
      </c>
      <c r="AW93" s="1299">
        <f>BS!AW44</f>
        <v>1330.4459999999999</v>
      </c>
      <c r="AX93" s="1299">
        <f>BS!AX44</f>
        <v>1156.106</v>
      </c>
      <c r="AY93" s="1299">
        <f>BS!AY44</f>
        <v>1100.404</v>
      </c>
      <c r="AZ93" s="1299">
        <f>BS!AZ44</f>
        <v>794.13199999999961</v>
      </c>
      <c r="BA93" s="1299">
        <f>BS!BA44</f>
        <v>1034.923</v>
      </c>
      <c r="BB93" s="1299">
        <f>BS!BB44</f>
        <v>1025.5</v>
      </c>
      <c r="BC93" s="1299">
        <f>BS!BC44</f>
        <v>1018.6130000000001</v>
      </c>
      <c r="BD93" s="1299">
        <f>BS!BD44</f>
        <v>987.42</v>
      </c>
      <c r="BE93" s="1299">
        <f>BS!BE44</f>
        <v>962.13099999999997</v>
      </c>
      <c r="BF93" s="1299">
        <f>BS!BF44</f>
        <v>957.44600000000003</v>
      </c>
      <c r="BG93" s="1299">
        <f>BS!BG44</f>
        <v>956.83799999999997</v>
      </c>
      <c r="BH93" s="1299">
        <f>BS!BH44</f>
        <v>966.48099999999999</v>
      </c>
      <c r="BI93" s="1299">
        <f>BS!BI44</f>
        <v>940.62099999999998</v>
      </c>
      <c r="BJ93" s="1299">
        <f>BS!BJ44</f>
        <v>119.14699999999993</v>
      </c>
      <c r="BK93" s="1325">
        <f>BS!BK44</f>
        <v>124.39</v>
      </c>
      <c r="BL93" s="996">
        <f t="shared" ref="BL93:CW93" si="554">BK93-BL48</f>
        <v>124.39</v>
      </c>
      <c r="BM93" s="996">
        <f t="shared" si="554"/>
        <v>124.39</v>
      </c>
      <c r="BN93" s="996">
        <f t="shared" si="554"/>
        <v>124.39</v>
      </c>
      <c r="BO93" s="996">
        <f t="shared" si="554"/>
        <v>124.39</v>
      </c>
      <c r="BP93" s="996">
        <f t="shared" si="554"/>
        <v>124.39</v>
      </c>
      <c r="BQ93" s="996">
        <f t="shared" si="554"/>
        <v>124.39</v>
      </c>
      <c r="BR93" s="996">
        <f t="shared" si="554"/>
        <v>124.39</v>
      </c>
      <c r="BS93" s="996">
        <f t="shared" si="554"/>
        <v>124.39</v>
      </c>
      <c r="BT93" s="996">
        <f t="shared" si="554"/>
        <v>124.39</v>
      </c>
      <c r="BU93" s="996">
        <f t="shared" si="554"/>
        <v>124.39</v>
      </c>
      <c r="BV93" s="996">
        <f t="shared" si="554"/>
        <v>124.39</v>
      </c>
      <c r="BW93" s="996">
        <f t="shared" si="554"/>
        <v>124.39</v>
      </c>
      <c r="BX93" s="996">
        <f t="shared" si="554"/>
        <v>124.39</v>
      </c>
      <c r="BY93" s="996">
        <f t="shared" si="554"/>
        <v>124.39</v>
      </c>
      <c r="BZ93" s="996">
        <f t="shared" si="554"/>
        <v>124.39</v>
      </c>
      <c r="CA93" s="996">
        <f t="shared" si="554"/>
        <v>124.39</v>
      </c>
      <c r="CB93" s="996">
        <f t="shared" si="554"/>
        <v>124.39</v>
      </c>
      <c r="CC93" s="996">
        <f t="shared" si="554"/>
        <v>124.39</v>
      </c>
      <c r="CD93" s="996">
        <f t="shared" si="554"/>
        <v>124.39</v>
      </c>
      <c r="CE93" s="996">
        <f t="shared" si="554"/>
        <v>124.39</v>
      </c>
      <c r="CF93" s="996">
        <f t="shared" si="554"/>
        <v>124.39</v>
      </c>
      <c r="CG93" s="996">
        <f t="shared" si="554"/>
        <v>124.39</v>
      </c>
      <c r="CH93" s="996">
        <f t="shared" si="554"/>
        <v>124.39</v>
      </c>
      <c r="CI93" s="996">
        <f t="shared" si="554"/>
        <v>124.39</v>
      </c>
      <c r="CJ93" s="996">
        <f t="shared" si="554"/>
        <v>124.39</v>
      </c>
      <c r="CK93" s="996">
        <f t="shared" si="554"/>
        <v>124.39</v>
      </c>
      <c r="CL93" s="996">
        <f t="shared" si="554"/>
        <v>124.39</v>
      </c>
      <c r="CM93" s="996">
        <f t="shared" si="554"/>
        <v>124.39</v>
      </c>
      <c r="CN93" s="996">
        <f t="shared" si="554"/>
        <v>124.39</v>
      </c>
      <c r="CO93" s="996">
        <f t="shared" si="554"/>
        <v>124.39</v>
      </c>
      <c r="CP93" s="996">
        <f t="shared" si="554"/>
        <v>124.39</v>
      </c>
      <c r="CQ93" s="996">
        <f t="shared" si="554"/>
        <v>124.39</v>
      </c>
      <c r="CR93" s="996">
        <f t="shared" si="554"/>
        <v>124.39</v>
      </c>
      <c r="CS93" s="996">
        <f t="shared" si="554"/>
        <v>124.39</v>
      </c>
      <c r="CT93" s="996">
        <f t="shared" si="554"/>
        <v>124.39</v>
      </c>
      <c r="CU93" s="996">
        <f t="shared" si="554"/>
        <v>124.39</v>
      </c>
      <c r="CV93" s="996">
        <f t="shared" si="554"/>
        <v>124.39</v>
      </c>
      <c r="CW93" s="996">
        <f t="shared" si="554"/>
        <v>124.39</v>
      </c>
    </row>
    <row r="94" spans="1:101">
      <c r="A94" s="682"/>
      <c r="B94" s="418"/>
      <c r="C94" s="418"/>
      <c r="D94" s="418"/>
      <c r="E94" s="418"/>
      <c r="F94" s="418"/>
      <c r="G94" s="418"/>
      <c r="H94" s="418"/>
      <c r="I94" s="418"/>
      <c r="J94" s="418"/>
      <c r="K94" s="418"/>
      <c r="L94" s="418"/>
      <c r="M94" s="418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8"/>
      <c r="AB94" s="418"/>
      <c r="AC94" s="418"/>
      <c r="AD94" s="418"/>
      <c r="AE94" s="418"/>
      <c r="AF94" s="418"/>
      <c r="AG94" s="418"/>
      <c r="AH94" s="418"/>
      <c r="AI94" s="418"/>
      <c r="AJ94" s="418"/>
      <c r="AK94" s="418"/>
      <c r="AL94" s="418"/>
      <c r="AM94" s="418"/>
      <c r="AN94" s="418"/>
      <c r="AO94" s="418"/>
      <c r="AP94" s="1297"/>
      <c r="AQ94" s="1297"/>
      <c r="AR94" s="1297"/>
      <c r="AS94" s="1297"/>
      <c r="AT94" s="1297"/>
      <c r="AU94" s="1297"/>
      <c r="AV94" s="1297"/>
      <c r="AW94" s="1297"/>
      <c r="AX94" s="1297"/>
      <c r="AY94" s="1297"/>
      <c r="AZ94" s="1297"/>
      <c r="BA94" s="1297"/>
      <c r="BB94" s="1297"/>
      <c r="BC94" s="1297"/>
      <c r="BD94" s="1297"/>
      <c r="BE94" s="1297"/>
      <c r="BF94" s="1297"/>
      <c r="BG94" s="1297"/>
      <c r="BH94" s="1297"/>
      <c r="BI94" s="1297"/>
      <c r="BJ94" s="1297"/>
      <c r="BK94" s="1322"/>
      <c r="BL94" s="385"/>
      <c r="BM94" s="385"/>
      <c r="BN94" s="385"/>
      <c r="BO94" s="385"/>
      <c r="BP94" s="385"/>
      <c r="BQ94" s="385"/>
      <c r="BR94" s="385"/>
      <c r="BS94" s="385"/>
      <c r="BT94" s="385"/>
      <c r="BU94" s="385"/>
      <c r="BV94" s="385"/>
      <c r="BW94" s="385"/>
      <c r="BX94" s="385"/>
      <c r="BY94" s="385"/>
      <c r="BZ94" s="385"/>
      <c r="CA94" s="385"/>
      <c r="CB94" s="385"/>
      <c r="CC94" s="385"/>
      <c r="CD94" s="385"/>
      <c r="CE94" s="385"/>
      <c r="CF94" s="385"/>
      <c r="CG94" s="385"/>
      <c r="CH94" s="385"/>
      <c r="CI94" s="385"/>
      <c r="CJ94" s="385"/>
      <c r="CK94" s="385"/>
      <c r="CL94" s="385"/>
      <c r="CM94" s="385"/>
      <c r="CN94" s="385"/>
      <c r="CO94" s="385"/>
      <c r="CP94" s="385"/>
      <c r="CQ94" s="385"/>
      <c r="CR94" s="385"/>
      <c r="CS94" s="385"/>
      <c r="CT94" s="385"/>
      <c r="CU94" s="385"/>
      <c r="CV94" s="385"/>
      <c r="CW94" s="385"/>
    </row>
    <row r="95" spans="1:101">
      <c r="A95" s="364" t="s">
        <v>351</v>
      </c>
      <c r="B95" s="418">
        <f>BS!B38</f>
        <v>533.79399999999998</v>
      </c>
      <c r="C95" s="418">
        <f>BS!C38</f>
        <v>531.31700000000001</v>
      </c>
      <c r="D95" s="418">
        <f>BS!D38</f>
        <v>528.28700000000003</v>
      </c>
      <c r="E95" s="418">
        <f>BS!E38</f>
        <v>525.72199999999998</v>
      </c>
      <c r="F95" s="418">
        <f>BS!F38</f>
        <v>529.45600000000002</v>
      </c>
      <c r="G95" s="418">
        <f>BS!G38</f>
        <v>530.81500000000005</v>
      </c>
      <c r="H95" s="418">
        <f>BS!H38</f>
        <v>530.39400000000001</v>
      </c>
      <c r="I95" s="418">
        <f>BS!I38</f>
        <v>527.65700000000004</v>
      </c>
      <c r="J95" s="418">
        <f>BS!J38</f>
        <v>365.32600000000002</v>
      </c>
      <c r="K95" s="418">
        <f>BS!K38</f>
        <v>365.11700000000002</v>
      </c>
      <c r="L95" s="418">
        <f>BS!L38</f>
        <v>363.16</v>
      </c>
      <c r="M95" s="418">
        <f>BS!M38</f>
        <v>362.46100000000001</v>
      </c>
      <c r="N95" s="418">
        <f>BS!N38</f>
        <v>368.36200000000002</v>
      </c>
      <c r="O95" s="418">
        <f>BS!O38</f>
        <v>376.59500000000003</v>
      </c>
      <c r="P95" s="418">
        <f>BS!P38</f>
        <v>376.59500000000003</v>
      </c>
      <c r="Q95" s="418">
        <f>BS!Q38</f>
        <v>403.339</v>
      </c>
      <c r="R95" s="418">
        <f>BS!R38</f>
        <v>403.339</v>
      </c>
      <c r="S95" s="418">
        <f>BS!S38</f>
        <v>402.709</v>
      </c>
      <c r="T95" s="418">
        <f>BS!T38</f>
        <v>403.339</v>
      </c>
      <c r="U95" s="418">
        <f>BS!U38</f>
        <v>403.339</v>
      </c>
      <c r="V95" s="418">
        <f>BS!V38</f>
        <v>403.339</v>
      </c>
      <c r="W95" s="418">
        <f>BS!W38</f>
        <v>478.74900000000002</v>
      </c>
      <c r="X95" s="418">
        <f>BS!X38</f>
        <v>478.74900000000002</v>
      </c>
      <c r="Y95" s="418">
        <f>BS!Y38</f>
        <v>478.27100000000002</v>
      </c>
      <c r="Z95" s="418">
        <f>BS!Z38</f>
        <v>478.50799999999998</v>
      </c>
      <c r="AA95" s="418">
        <f>BS!AA38</f>
        <v>478.72800000000001</v>
      </c>
      <c r="AB95" s="418">
        <f>BS!AB38</f>
        <v>478.34500000000003</v>
      </c>
      <c r="AC95" s="418">
        <f>BS!AC38</f>
        <v>478.20299999999997</v>
      </c>
      <c r="AD95" s="418">
        <f>BS!AD38</f>
        <v>478.142</v>
      </c>
      <c r="AE95" s="418">
        <f>BS!AE38</f>
        <v>478.142</v>
      </c>
      <c r="AF95" s="418">
        <f>BS!AF38</f>
        <v>477.42</v>
      </c>
      <c r="AG95" s="418">
        <f>BS!AG38</f>
        <v>476.59899999999999</v>
      </c>
      <c r="AH95" s="418">
        <f>BS!AH38</f>
        <v>476.18299999999999</v>
      </c>
      <c r="AI95" s="418">
        <f>BS!AI38</f>
        <v>476.93200000000002</v>
      </c>
      <c r="AJ95" s="418">
        <f>BS!AJ38</f>
        <v>476.53300000000002</v>
      </c>
      <c r="AK95" s="418">
        <f>BS!AK38</f>
        <v>475.86900000000003</v>
      </c>
      <c r="AL95" s="418">
        <f>BS!AL38</f>
        <v>478.35300000000001</v>
      </c>
      <c r="AM95" s="418">
        <f>BS!AM38</f>
        <v>478.72399999999999</v>
      </c>
      <c r="AN95" s="418">
        <f>BS!AN38</f>
        <v>478.72399999999999</v>
      </c>
      <c r="AO95" s="418">
        <f>BS!AO38</f>
        <v>477.28</v>
      </c>
      <c r="AP95" s="1297">
        <f>BS!AP38</f>
        <v>477.27199999999999</v>
      </c>
      <c r="AQ95" s="1297">
        <f>BS!AQ38</f>
        <v>475.10899999999998</v>
      </c>
      <c r="AR95" s="1297">
        <f>BS!AR38</f>
        <v>475.52800000000002</v>
      </c>
      <c r="AS95" s="1297">
        <f>BS!AS38</f>
        <v>480.21800000000002</v>
      </c>
      <c r="AT95" s="1297">
        <f>BS!AT38</f>
        <v>477.23899999999998</v>
      </c>
      <c r="AU95" s="1297">
        <f>BS!AU38</f>
        <v>475.91899999999998</v>
      </c>
      <c r="AV95" s="1297">
        <f>BS!AV38</f>
        <v>475.07400000000001</v>
      </c>
      <c r="AW95" s="1297">
        <f>BS!AW38</f>
        <v>478.74900000000002</v>
      </c>
      <c r="AX95" s="1297">
        <f>BS!AX38</f>
        <v>478.74900000000002</v>
      </c>
      <c r="AY95" s="1297">
        <f>BS!AY38</f>
        <v>478.74900000000002</v>
      </c>
      <c r="AZ95" s="1297">
        <f>BS!AZ38</f>
        <v>478.74900000000002</v>
      </c>
      <c r="BA95" s="1297">
        <f>BS!BA38</f>
        <v>478.74900000000002</v>
      </c>
      <c r="BB95" s="1297">
        <f>BS!BB38</f>
        <v>478.55399999999997</v>
      </c>
      <c r="BC95" s="1297">
        <f>BS!BC38</f>
        <v>478.74900000000002</v>
      </c>
      <c r="BD95" s="1297">
        <f>BS!BD38</f>
        <v>478.74900000000002</v>
      </c>
      <c r="BE95" s="1297">
        <f>BS!BE38</f>
        <v>478.74900000000002</v>
      </c>
      <c r="BF95" s="1297">
        <f>BS!BF38</f>
        <v>478.74900000000002</v>
      </c>
      <c r="BG95" s="1297">
        <f>BS!BG38</f>
        <v>478.74900000000002</v>
      </c>
      <c r="BH95" s="1297">
        <f>BS!BH38</f>
        <v>478.74900000000002</v>
      </c>
      <c r="BI95" s="1297">
        <f>BS!BI38</f>
        <v>466.99599999999998</v>
      </c>
      <c r="BJ95" s="1297">
        <f>BS!BJ38</f>
        <v>466.99599999999998</v>
      </c>
      <c r="BK95" s="1322">
        <f>BS!BK38</f>
        <v>466.99599999999998</v>
      </c>
      <c r="BL95" s="385">
        <f>+BK95+Q_BS!BL63+Q_BS!BL64</f>
        <v>466.99599999999998</v>
      </c>
      <c r="BM95" s="385">
        <f>+BL95+Q_BS!BM63+Q_BS!BM64</f>
        <v>466.99599999999998</v>
      </c>
      <c r="BN95" s="385">
        <f>+BM95+Q_BS!BN63+Q_BS!BN64</f>
        <v>466.99599999999998</v>
      </c>
      <c r="BO95" s="385">
        <f>+BN95+Q_BS!BO63+Q_BS!BO64</f>
        <v>466.99599999999998</v>
      </c>
      <c r="BP95" s="385">
        <f>+BO95+Q_BS!BP63+Q_BS!BP64</f>
        <v>466.99599999999998</v>
      </c>
      <c r="BQ95" s="385">
        <f>+BP95+Q_BS!BQ63+Q_BS!BQ64</f>
        <v>466.99599999999998</v>
      </c>
      <c r="BR95" s="385">
        <f>+BQ95+Q_BS!BR63+Q_BS!BR64</f>
        <v>466.99599999999998</v>
      </c>
      <c r="BS95" s="385">
        <f>+BR95+Q_BS!BS63+Q_BS!BS64</f>
        <v>466.99599999999998</v>
      </c>
      <c r="BT95" s="385">
        <f>+BS95+Q_BS!BT63+Q_BS!BT64</f>
        <v>466.99599999999998</v>
      </c>
      <c r="BU95" s="385">
        <f>+BT95+Q_BS!BU63+Q_BS!BU64</f>
        <v>466.99599999999998</v>
      </c>
      <c r="BV95" s="385">
        <f>+BU95+Q_BS!BV63+Q_BS!BV64</f>
        <v>466.99599999999998</v>
      </c>
      <c r="BW95" s="385">
        <f>+BV95+Q_BS!BW63+Q_BS!BW64</f>
        <v>466.99599999999998</v>
      </c>
      <c r="BX95" s="385">
        <f>+BW95+Q_BS!BX63+Q_BS!BX64</f>
        <v>466.99599999999998</v>
      </c>
      <c r="BY95" s="385">
        <f>+BX95+Q_BS!BY63+Q_BS!BY64</f>
        <v>466.99599999999998</v>
      </c>
      <c r="BZ95" s="385">
        <f>+BY95+Q_BS!BZ63+Q_BS!BZ64</f>
        <v>466.99599999999998</v>
      </c>
      <c r="CA95" s="385">
        <f>+BZ95+Q_BS!CA63+Q_BS!CA64</f>
        <v>466.99599999999998</v>
      </c>
      <c r="CB95" s="385">
        <f>+CA95+Q_BS!CB63+Q_BS!CB64</f>
        <v>466.99599999999998</v>
      </c>
      <c r="CC95" s="385">
        <f>+CB95+Q_BS!CC63+Q_BS!CC64</f>
        <v>466.99599999999998</v>
      </c>
      <c r="CD95" s="385">
        <f>+CC95+Q_BS!CD63+Q_BS!CD64</f>
        <v>466.99599999999998</v>
      </c>
      <c r="CE95" s="385">
        <f>+CD95+Q_BS!CE63+Q_BS!CE64</f>
        <v>466.99599999999998</v>
      </c>
      <c r="CF95" s="385">
        <f>+CE95+Q_BS!CF63+Q_BS!CF64</f>
        <v>466.99599999999998</v>
      </c>
      <c r="CG95" s="385">
        <f>+CF95+Q_BS!CG63+Q_BS!CG64</f>
        <v>466.99599999999998</v>
      </c>
      <c r="CH95" s="385">
        <f>+CG95+Q_BS!CH63+Q_BS!CH64</f>
        <v>466.99599999999998</v>
      </c>
      <c r="CI95" s="385">
        <f>+CH95+Q_BS!CI63+Q_BS!CI64</f>
        <v>466.99599999999998</v>
      </c>
      <c r="CJ95" s="385">
        <f>+CI95+Q_BS!CJ63+Q_BS!CJ64</f>
        <v>466.99599999999998</v>
      </c>
      <c r="CK95" s="385">
        <f>+CJ95+Q_BS!CK63+Q_BS!CK64</f>
        <v>466.99599999999998</v>
      </c>
      <c r="CL95" s="385">
        <f>+CK95+Q_BS!CL63+Q_BS!CL64</f>
        <v>466.99599999999998</v>
      </c>
      <c r="CM95" s="385">
        <f>+CL95+Q_BS!CM63+Q_BS!CM64</f>
        <v>466.99599999999998</v>
      </c>
      <c r="CN95" s="385">
        <f>+CM95+Q_BS!CN63+Q_BS!CN64</f>
        <v>466.99599999999998</v>
      </c>
      <c r="CO95" s="385">
        <f>+CN95+Q_BS!CO63+Q_BS!CO64</f>
        <v>466.99599999999998</v>
      </c>
      <c r="CP95" s="385">
        <f>+CO95+Q_BS!CP63+Q_BS!CP64</f>
        <v>466.99599999999998</v>
      </c>
      <c r="CQ95" s="385">
        <f>+CP95+Q_BS!CQ63+Q_BS!CQ64</f>
        <v>466.99599999999998</v>
      </c>
      <c r="CR95" s="385">
        <f>+CQ95+Q_BS!CR63+Q_BS!CR64</f>
        <v>466.99599999999998</v>
      </c>
      <c r="CS95" s="385">
        <f>+CR95+Q_BS!CS63+Q_BS!CS64</f>
        <v>466.99599999999998</v>
      </c>
      <c r="CT95" s="385">
        <f>+CS95+Q_BS!CT63+Q_BS!CT64</f>
        <v>466.99599999999998</v>
      </c>
      <c r="CU95" s="385">
        <f>+CT95+Q_BS!CU63+Q_BS!CU64</f>
        <v>466.99599999999998</v>
      </c>
      <c r="CV95" s="385">
        <f>+CU95+Q_BS!CV63+Q_BS!CV64</f>
        <v>466.99599999999998</v>
      </c>
      <c r="CW95" s="385">
        <f>+CV95+Q_BS!CW63+Q_BS!CW64</f>
        <v>466.99599999999998</v>
      </c>
    </row>
    <row r="96" spans="1:101">
      <c r="A96" s="364" t="s">
        <v>378</v>
      </c>
      <c r="B96" s="418">
        <f>BS!B39</f>
        <v>1228.8800000000001</v>
      </c>
      <c r="C96" s="418">
        <f>BS!C39</f>
        <v>1228.8800000000001</v>
      </c>
      <c r="D96" s="418">
        <f>BS!D39</f>
        <v>1236.069</v>
      </c>
      <c r="E96" s="418">
        <f>BS!E39</f>
        <v>1236.6030000000001</v>
      </c>
      <c r="F96" s="418">
        <f>BS!F39</f>
        <v>1238.366</v>
      </c>
      <c r="G96" s="418">
        <f>BS!G39</f>
        <v>1238.366</v>
      </c>
      <c r="H96" s="418">
        <f>BS!H39</f>
        <v>1241.2080000000001</v>
      </c>
      <c r="I96" s="418">
        <f>BS!I39</f>
        <v>1241.2080000000001</v>
      </c>
      <c r="J96" s="418">
        <f>BS!J39</f>
        <v>1086.9670000000001</v>
      </c>
      <c r="K96" s="418">
        <f>BS!K39</f>
        <v>1092.047</v>
      </c>
      <c r="L96" s="418">
        <f>BS!L39</f>
        <v>1092.047</v>
      </c>
      <c r="M96" s="418">
        <f>BS!M39</f>
        <v>1092.047</v>
      </c>
      <c r="N96" s="418">
        <f>BS!N39</f>
        <v>1093.136</v>
      </c>
      <c r="O96" s="418">
        <f>BS!O39</f>
        <v>1377.454</v>
      </c>
      <c r="P96" s="418">
        <f>BS!P39</f>
        <v>1378.5429999999999</v>
      </c>
      <c r="Q96" s="418">
        <f>BS!Q39</f>
        <v>2466.8220000000001</v>
      </c>
      <c r="R96" s="418">
        <f>BS!R39</f>
        <v>2466.652</v>
      </c>
      <c r="S96" s="418">
        <f>BS!S39</f>
        <v>2057.4169999999999</v>
      </c>
      <c r="T96" s="418">
        <f>BS!T39</f>
        <v>2057.4169999999999</v>
      </c>
      <c r="U96" s="418">
        <f>BS!U39</f>
        <v>2037.39</v>
      </c>
      <c r="V96" s="418">
        <f>BS!V39</f>
        <v>2037.39</v>
      </c>
      <c r="W96" s="418">
        <f>BS!W39</f>
        <v>8619.4419999999991</v>
      </c>
      <c r="X96" s="418">
        <f>BS!X39</f>
        <v>8614.8770000000004</v>
      </c>
      <c r="Y96" s="418">
        <f>BS!Y39</f>
        <v>8613.5869999999995</v>
      </c>
      <c r="Z96" s="418">
        <f>BS!Z39</f>
        <v>8613.5869999999995</v>
      </c>
      <c r="AA96" s="418">
        <f>BS!AA39</f>
        <v>8613.5869999999995</v>
      </c>
      <c r="AB96" s="418">
        <f>BS!AB39</f>
        <v>8613.5869999999995</v>
      </c>
      <c r="AC96" s="418">
        <f>BS!AC39</f>
        <v>8613.5869999999995</v>
      </c>
      <c r="AD96" s="418">
        <f>BS!AD39</f>
        <v>8613.5869999999995</v>
      </c>
      <c r="AE96" s="418">
        <f>BS!AE39</f>
        <v>8625.7199999999993</v>
      </c>
      <c r="AF96" s="418">
        <f>BS!AF39</f>
        <v>8625.7199999999993</v>
      </c>
      <c r="AG96" s="418">
        <f>BS!AG39</f>
        <v>8625.7199999999993</v>
      </c>
      <c r="AH96" s="418">
        <f>BS!AH39</f>
        <v>8625.7199999999993</v>
      </c>
      <c r="AI96" s="418">
        <f>BS!AI39</f>
        <v>8625.7199999999993</v>
      </c>
      <c r="AJ96" s="418">
        <f>BS!AJ39</f>
        <v>8625.7199999999993</v>
      </c>
      <c r="AK96" s="418">
        <f>BS!AK39</f>
        <v>8625.7199999999993</v>
      </c>
      <c r="AL96" s="418">
        <f>BS!AL39</f>
        <v>8625.7199999999993</v>
      </c>
      <c r="AM96" s="418">
        <f>BS!AM39</f>
        <v>8625.7199999999993</v>
      </c>
      <c r="AN96" s="418">
        <f>BS!AN39</f>
        <v>8625.7199999999993</v>
      </c>
      <c r="AO96" s="418">
        <f>BS!AO39</f>
        <v>8625.7199999999993</v>
      </c>
      <c r="AP96" s="1297">
        <f>BS!AP39</f>
        <v>8625.7199999999993</v>
      </c>
      <c r="AQ96" s="1297">
        <f>BS!AQ39</f>
        <v>8625.7199999999993</v>
      </c>
      <c r="AR96" s="1297">
        <f>BS!AR39</f>
        <v>8625.7199999999993</v>
      </c>
      <c r="AS96" s="1297">
        <f>BS!AS39</f>
        <v>8625.7199999999993</v>
      </c>
      <c r="AT96" s="1297">
        <f>BS!AT39</f>
        <v>8625.7199999999993</v>
      </c>
      <c r="AU96" s="1297">
        <f>BS!AU39</f>
        <v>8625.7199999999993</v>
      </c>
      <c r="AV96" s="1297">
        <f>BS!AV39</f>
        <v>8625.7199999999993</v>
      </c>
      <c r="AW96" s="1297">
        <f>BS!AW39</f>
        <v>8677</v>
      </c>
      <c r="AX96" s="1297">
        <f>BS!AX39</f>
        <v>8676.8269999999993</v>
      </c>
      <c r="AY96" s="1297">
        <f>BS!AY39</f>
        <v>8676.8269999999993</v>
      </c>
      <c r="AZ96" s="1297">
        <f>BS!AZ39</f>
        <v>8676.8269999999993</v>
      </c>
      <c r="BA96" s="1297">
        <f>BS!BA39</f>
        <v>8676.8269999999993</v>
      </c>
      <c r="BB96" s="1297">
        <f>BS!BB39</f>
        <v>8676.8269999999993</v>
      </c>
      <c r="BC96" s="1297">
        <f>BS!BC39</f>
        <v>8676.8269999999993</v>
      </c>
      <c r="BD96" s="1297">
        <f>BS!BD39</f>
        <v>8675.41</v>
      </c>
      <c r="BE96" s="1297">
        <f>BS!BE39</f>
        <v>8675.41</v>
      </c>
      <c r="BF96" s="1297">
        <f>BS!BF39</f>
        <v>8675.41</v>
      </c>
      <c r="BG96" s="1297">
        <f>BS!BG39</f>
        <v>8675.41</v>
      </c>
      <c r="BH96" s="1297">
        <f>BS!BH39</f>
        <v>8675.41</v>
      </c>
      <c r="BI96" s="1297">
        <f>BS!BI39</f>
        <v>7725.7280000000001</v>
      </c>
      <c r="BJ96" s="1297">
        <f>BS!BJ39</f>
        <v>7725.7280000000001</v>
      </c>
      <c r="BK96" s="1322">
        <f>BS!BK39</f>
        <v>7725.7280000000001</v>
      </c>
      <c r="BL96" s="385">
        <f t="shared" ref="BL96:BL97" si="555">+BK96</f>
        <v>7725.7280000000001</v>
      </c>
      <c r="BM96" s="385">
        <f t="shared" ref="BM96:BM97" si="556">+BL96</f>
        <v>7725.7280000000001</v>
      </c>
      <c r="BN96" s="385">
        <f t="shared" ref="BN96:BN97" si="557">+BM96</f>
        <v>7725.7280000000001</v>
      </c>
      <c r="BO96" s="385">
        <f t="shared" ref="BO96:BO97" si="558">+BN96</f>
        <v>7725.7280000000001</v>
      </c>
      <c r="BP96" s="385">
        <f t="shared" ref="BP96:BP97" si="559">+BO96</f>
        <v>7725.7280000000001</v>
      </c>
      <c r="BQ96" s="385">
        <f t="shared" ref="BQ96:BQ97" si="560">+BP96</f>
        <v>7725.7280000000001</v>
      </c>
      <c r="BR96" s="385">
        <f t="shared" ref="BR96:BR97" si="561">+BQ96</f>
        <v>7725.7280000000001</v>
      </c>
      <c r="BS96" s="385">
        <f t="shared" ref="BS96:BS97" si="562">+BR96</f>
        <v>7725.7280000000001</v>
      </c>
      <c r="BT96" s="385">
        <f t="shared" ref="BT96:BT97" si="563">+BS96</f>
        <v>7725.7280000000001</v>
      </c>
      <c r="BU96" s="385">
        <f t="shared" ref="BU96:BU97" si="564">+BT96</f>
        <v>7725.7280000000001</v>
      </c>
      <c r="BV96" s="385">
        <f t="shared" ref="BV96:BV97" si="565">+BU96</f>
        <v>7725.7280000000001</v>
      </c>
      <c r="BW96" s="385">
        <f t="shared" ref="BW96:BW97" si="566">+BV96</f>
        <v>7725.7280000000001</v>
      </c>
      <c r="BX96" s="385">
        <f t="shared" ref="BX96:BX97" si="567">+BW96</f>
        <v>7725.7280000000001</v>
      </c>
      <c r="BY96" s="385">
        <f t="shared" ref="BY96:BY97" si="568">+BX96</f>
        <v>7725.7280000000001</v>
      </c>
      <c r="BZ96" s="385">
        <f t="shared" ref="BZ96:BZ97" si="569">+BY96</f>
        <v>7725.7280000000001</v>
      </c>
      <c r="CA96" s="385">
        <f t="shared" ref="CA96:CA97" si="570">+BZ96</f>
        <v>7725.7280000000001</v>
      </c>
      <c r="CB96" s="385">
        <f t="shared" ref="CB96:CB97" si="571">+CA96</f>
        <v>7725.7280000000001</v>
      </c>
      <c r="CC96" s="385">
        <f t="shared" ref="CC96:CC97" si="572">+CB96</f>
        <v>7725.7280000000001</v>
      </c>
      <c r="CD96" s="385">
        <f t="shared" ref="CD96:CD97" si="573">+CC96</f>
        <v>7725.7280000000001</v>
      </c>
      <c r="CE96" s="385">
        <f t="shared" ref="CE96:CE97" si="574">+CD96</f>
        <v>7725.7280000000001</v>
      </c>
      <c r="CF96" s="385">
        <f t="shared" ref="CF96:CF97" si="575">+CE96</f>
        <v>7725.7280000000001</v>
      </c>
      <c r="CG96" s="385">
        <f t="shared" ref="CG96:CG97" si="576">+CF96</f>
        <v>7725.7280000000001</v>
      </c>
      <c r="CH96" s="385">
        <f t="shared" ref="CH96:CH97" si="577">+CG96</f>
        <v>7725.7280000000001</v>
      </c>
      <c r="CI96" s="385">
        <f t="shared" ref="CI96:CI97" si="578">+CH96</f>
        <v>7725.7280000000001</v>
      </c>
      <c r="CJ96" s="385">
        <f t="shared" ref="CJ96:CJ97" si="579">+CI96</f>
        <v>7725.7280000000001</v>
      </c>
      <c r="CK96" s="385">
        <f t="shared" ref="CK96:CK97" si="580">+CJ96</f>
        <v>7725.7280000000001</v>
      </c>
      <c r="CL96" s="385">
        <f t="shared" ref="CL96:CL97" si="581">+CK96</f>
        <v>7725.7280000000001</v>
      </c>
      <c r="CM96" s="385">
        <f t="shared" ref="CM96:CM97" si="582">+CL96</f>
        <v>7725.7280000000001</v>
      </c>
      <c r="CN96" s="385">
        <f t="shared" ref="CN96:CN97" si="583">+CM96</f>
        <v>7725.7280000000001</v>
      </c>
      <c r="CO96" s="385">
        <f t="shared" ref="CO96:CO97" si="584">+CN96</f>
        <v>7725.7280000000001</v>
      </c>
      <c r="CP96" s="385">
        <f t="shared" ref="CP96:CP97" si="585">+CO96</f>
        <v>7725.7280000000001</v>
      </c>
      <c r="CQ96" s="385">
        <f t="shared" ref="CQ96:CQ97" si="586">+CP96</f>
        <v>7725.7280000000001</v>
      </c>
      <c r="CR96" s="385">
        <f t="shared" ref="CR96:CR97" si="587">+CQ96</f>
        <v>7725.7280000000001</v>
      </c>
      <c r="CS96" s="385">
        <f t="shared" ref="CS96:CS97" si="588">+CR96</f>
        <v>7725.7280000000001</v>
      </c>
      <c r="CT96" s="385">
        <f t="shared" ref="CT96:CT97" si="589">+CS96</f>
        <v>7725.7280000000001</v>
      </c>
      <c r="CU96" s="385">
        <f t="shared" ref="CU96:CU97" si="590">+CT96</f>
        <v>7725.7280000000001</v>
      </c>
      <c r="CV96" s="385">
        <f t="shared" ref="CV96:CV97" si="591">+CU96</f>
        <v>7725.7280000000001</v>
      </c>
      <c r="CW96" s="385">
        <f t="shared" ref="CW96:CW97" si="592">+CV96</f>
        <v>7725.7280000000001</v>
      </c>
    </row>
    <row r="97" spans="1:103">
      <c r="A97" s="364" t="s">
        <v>379</v>
      </c>
      <c r="B97" s="418">
        <f>BS!B40+BS!B41</f>
        <v>1180.269</v>
      </c>
      <c r="C97" s="418">
        <f>BS!C40+BS!C41</f>
        <v>1109.538</v>
      </c>
      <c r="D97" s="418">
        <f>BS!D40+BS!D41</f>
        <v>1135.9950000000001</v>
      </c>
      <c r="E97" s="418">
        <f>BS!E40+BS!E41</f>
        <v>1168.451</v>
      </c>
      <c r="F97" s="418">
        <f>BS!F40+BS!F41</f>
        <v>1252.5210000000002</v>
      </c>
      <c r="G97" s="418">
        <f>BS!G40+BS!G41</f>
        <v>1146.3330000000001</v>
      </c>
      <c r="H97" s="418">
        <f>BS!H40+BS!H41</f>
        <v>1148.605</v>
      </c>
      <c r="I97" s="418">
        <f>BS!I40+BS!I41</f>
        <v>1119.8030000000001</v>
      </c>
      <c r="J97" s="418">
        <f>BS!J40+BS!J41</f>
        <v>982.54</v>
      </c>
      <c r="K97" s="418">
        <f>BS!K40+BS!K41</f>
        <v>930.47500000000002</v>
      </c>
      <c r="L97" s="418">
        <f>BS!L40+BS!L41</f>
        <v>978.73599999999999</v>
      </c>
      <c r="M97" s="418">
        <f>BS!M40+BS!M41</f>
        <v>1511.7730000000001</v>
      </c>
      <c r="N97" s="418">
        <f>BS!N40+BS!N41</f>
        <v>1703.8320000000001</v>
      </c>
      <c r="O97" s="418">
        <f>BS!O40+BS!O41</f>
        <v>1519.7849999999999</v>
      </c>
      <c r="P97" s="418">
        <f>BS!P40+BS!P41</f>
        <v>1606.0610000000001</v>
      </c>
      <c r="Q97" s="418">
        <f>BS!Q40+BS!Q41</f>
        <v>1737.0990000000002</v>
      </c>
      <c r="R97" s="418">
        <f>BS!R40+BS!R41</f>
        <v>1807.817</v>
      </c>
      <c r="S97" s="418">
        <f>BS!S40+BS!S41</f>
        <v>1576.6950000000002</v>
      </c>
      <c r="T97" s="418">
        <f>BS!T40+BS!T41</f>
        <v>1807.0719999999999</v>
      </c>
      <c r="U97" s="418">
        <f>BS!U40+BS!U41</f>
        <v>2081.7350000000001</v>
      </c>
      <c r="V97" s="418">
        <f>BS!V40+BS!V41</f>
        <v>2169.9259999999999</v>
      </c>
      <c r="W97" s="418">
        <f>BS!W40+BS!W41</f>
        <v>2260.0910000000003</v>
      </c>
      <c r="X97" s="418">
        <f>BS!X40+BS!X41</f>
        <v>2454.6320000000001</v>
      </c>
      <c r="Y97" s="418">
        <f>BS!Y40+BS!Y41</f>
        <v>38.438000000000102</v>
      </c>
      <c r="Z97" s="418">
        <f>BS!Z40+BS!Z41</f>
        <v>357.25599999999997</v>
      </c>
      <c r="AA97" s="418">
        <f>BS!AA40+BS!AA41</f>
        <v>50.585000000000036</v>
      </c>
      <c r="AB97" s="418">
        <f>BS!AB40+BS!AB41</f>
        <v>55.51600000000002</v>
      </c>
      <c r="AC97" s="418">
        <f>BS!AC40+BS!AC41</f>
        <v>495.30100000000004</v>
      </c>
      <c r="AD97" s="418">
        <f>BS!AD40+BS!AD41</f>
        <v>403.262</v>
      </c>
      <c r="AE97" s="418">
        <f>BS!AE40+BS!AE41</f>
        <v>-153.35699999999997</v>
      </c>
      <c r="AF97" s="418">
        <f>BS!AF40+BS!AF41</f>
        <v>-169.65199999999999</v>
      </c>
      <c r="AG97" s="418">
        <f>BS!AG40+BS!AG41</f>
        <v>408.64</v>
      </c>
      <c r="AH97" s="418">
        <f>BS!AH40+BS!AH41</f>
        <v>672.53499999999997</v>
      </c>
      <c r="AI97" s="418">
        <f>BS!AI40+BS!AI41</f>
        <v>252.60999999999999</v>
      </c>
      <c r="AJ97" s="418">
        <f>BS!AJ40+BS!AJ41</f>
        <v>389.2</v>
      </c>
      <c r="AK97" s="418">
        <f>BS!AK40+BS!AK41</f>
        <v>926.30600000000004</v>
      </c>
      <c r="AL97" s="418">
        <f>BS!AL40+BS!AL41</f>
        <v>1510.0630000000001</v>
      </c>
      <c r="AM97" s="418">
        <f>BS!AM40+BS!AM41</f>
        <v>1133.826</v>
      </c>
      <c r="AN97" s="418">
        <f>BS!AN40+BS!AN41</f>
        <v>1497.355</v>
      </c>
      <c r="AO97" s="418">
        <f>BS!AO40+BS!AO41</f>
        <v>2325.5259999999998</v>
      </c>
      <c r="AP97" s="1297">
        <f>BS!AP40+BS!AP41</f>
        <v>689.827</v>
      </c>
      <c r="AQ97" s="1297">
        <f>BS!AQ40+BS!AQ41</f>
        <v>398.44900000000001</v>
      </c>
      <c r="AR97" s="1297">
        <f>BS!AR40+BS!AR41</f>
        <v>744.96900000000005</v>
      </c>
      <c r="AS97" s="1297">
        <f>BS!AS40+BS!AS41</f>
        <v>1926.703</v>
      </c>
      <c r="AT97" s="1297">
        <f>BS!AT40+BS!AT41</f>
        <v>852.09400000000005</v>
      </c>
      <c r="AU97" s="1297">
        <f>BS!AU40+BS!AU41</f>
        <v>-1654.0340000000001</v>
      </c>
      <c r="AV97" s="1297">
        <f>BS!AV40+BS!AV41</f>
        <v>-1650.9149999999997</v>
      </c>
      <c r="AW97" s="1297">
        <f>BS!AW40+BS!AW41</f>
        <v>-684</v>
      </c>
      <c r="AX97" s="1297">
        <f>BS!AX40+BS!AX41</f>
        <v>-1395.5889999999999</v>
      </c>
      <c r="AY97" s="1297">
        <f>BS!AY40+BS!AY41</f>
        <v>-848.6389999999999</v>
      </c>
      <c r="AZ97" s="1297">
        <f>BS!AZ40+BS!AZ41</f>
        <v>-542.13699999999994</v>
      </c>
      <c r="BA97" s="1297">
        <f>BS!BA40+BS!BA41</f>
        <v>871.55399999999997</v>
      </c>
      <c r="BB97" s="1297">
        <f>BS!BB40+BS!BB41</f>
        <v>-894.30099999999993</v>
      </c>
      <c r="BC97" s="1297">
        <f>BS!BC40+BS!BC41</f>
        <v>-1137.7909999999999</v>
      </c>
      <c r="BD97" s="1297">
        <f>BS!BD40+BS!BD41</f>
        <v>-1594.4739999999999</v>
      </c>
      <c r="BE97" s="1297">
        <f>BS!BE40+BS!BE41</f>
        <v>-1536.2920000000001</v>
      </c>
      <c r="BF97" s="1297">
        <f>BS!BF40+BS!BF41</f>
        <v>-1583.6120000000001</v>
      </c>
      <c r="BG97" s="1297">
        <f>BS!BG40+BS!BG41</f>
        <v>-1747.4179999999997</v>
      </c>
      <c r="BH97" s="1297">
        <f>BS!BH40+BS!BH41</f>
        <v>-1307.328</v>
      </c>
      <c r="BI97" s="1297">
        <f>BS!BI40+BS!BI41</f>
        <v>182.37800000000016</v>
      </c>
      <c r="BJ97" s="1297">
        <f>BS!BJ40+BS!BJ41</f>
        <v>-1718.3430000000001</v>
      </c>
      <c r="BK97" s="1322">
        <f>BS!BK40+BS!BK41</f>
        <v>-1223.8420000000001</v>
      </c>
      <c r="BL97" s="385">
        <f t="shared" si="555"/>
        <v>-1223.8420000000001</v>
      </c>
      <c r="BM97" s="385">
        <f t="shared" si="556"/>
        <v>-1223.8420000000001</v>
      </c>
      <c r="BN97" s="385">
        <f t="shared" si="557"/>
        <v>-1223.8420000000001</v>
      </c>
      <c r="BO97" s="385">
        <f t="shared" si="558"/>
        <v>-1223.8420000000001</v>
      </c>
      <c r="BP97" s="385">
        <f t="shared" si="559"/>
        <v>-1223.8420000000001</v>
      </c>
      <c r="BQ97" s="385">
        <f t="shared" si="560"/>
        <v>-1223.8420000000001</v>
      </c>
      <c r="BR97" s="385">
        <f t="shared" si="561"/>
        <v>-1223.8420000000001</v>
      </c>
      <c r="BS97" s="385">
        <f t="shared" si="562"/>
        <v>-1223.8420000000001</v>
      </c>
      <c r="BT97" s="385">
        <f t="shared" si="563"/>
        <v>-1223.8420000000001</v>
      </c>
      <c r="BU97" s="385">
        <f t="shared" si="564"/>
        <v>-1223.8420000000001</v>
      </c>
      <c r="BV97" s="385">
        <f t="shared" si="565"/>
        <v>-1223.8420000000001</v>
      </c>
      <c r="BW97" s="385">
        <f t="shared" si="566"/>
        <v>-1223.8420000000001</v>
      </c>
      <c r="BX97" s="385">
        <f t="shared" si="567"/>
        <v>-1223.8420000000001</v>
      </c>
      <c r="BY97" s="385">
        <f t="shared" si="568"/>
        <v>-1223.8420000000001</v>
      </c>
      <c r="BZ97" s="385">
        <f t="shared" si="569"/>
        <v>-1223.8420000000001</v>
      </c>
      <c r="CA97" s="385">
        <f t="shared" si="570"/>
        <v>-1223.8420000000001</v>
      </c>
      <c r="CB97" s="385">
        <f t="shared" si="571"/>
        <v>-1223.8420000000001</v>
      </c>
      <c r="CC97" s="385">
        <f t="shared" si="572"/>
        <v>-1223.8420000000001</v>
      </c>
      <c r="CD97" s="385">
        <f t="shared" si="573"/>
        <v>-1223.8420000000001</v>
      </c>
      <c r="CE97" s="385">
        <f t="shared" si="574"/>
        <v>-1223.8420000000001</v>
      </c>
      <c r="CF97" s="385">
        <f t="shared" si="575"/>
        <v>-1223.8420000000001</v>
      </c>
      <c r="CG97" s="385">
        <f t="shared" si="576"/>
        <v>-1223.8420000000001</v>
      </c>
      <c r="CH97" s="385">
        <f t="shared" si="577"/>
        <v>-1223.8420000000001</v>
      </c>
      <c r="CI97" s="385">
        <f t="shared" si="578"/>
        <v>-1223.8420000000001</v>
      </c>
      <c r="CJ97" s="385">
        <f t="shared" si="579"/>
        <v>-1223.8420000000001</v>
      </c>
      <c r="CK97" s="385">
        <f t="shared" si="580"/>
        <v>-1223.8420000000001</v>
      </c>
      <c r="CL97" s="385">
        <f t="shared" si="581"/>
        <v>-1223.8420000000001</v>
      </c>
      <c r="CM97" s="385">
        <f t="shared" si="582"/>
        <v>-1223.8420000000001</v>
      </c>
      <c r="CN97" s="385">
        <f t="shared" si="583"/>
        <v>-1223.8420000000001</v>
      </c>
      <c r="CO97" s="385">
        <f t="shared" si="584"/>
        <v>-1223.8420000000001</v>
      </c>
      <c r="CP97" s="385">
        <f t="shared" si="585"/>
        <v>-1223.8420000000001</v>
      </c>
      <c r="CQ97" s="385">
        <f t="shared" si="586"/>
        <v>-1223.8420000000001</v>
      </c>
      <c r="CR97" s="385">
        <f t="shared" si="587"/>
        <v>-1223.8420000000001</v>
      </c>
      <c r="CS97" s="385">
        <f t="shared" si="588"/>
        <v>-1223.8420000000001</v>
      </c>
      <c r="CT97" s="385">
        <f t="shared" si="589"/>
        <v>-1223.8420000000001</v>
      </c>
      <c r="CU97" s="385">
        <f t="shared" si="590"/>
        <v>-1223.8420000000001</v>
      </c>
      <c r="CV97" s="385">
        <f t="shared" si="591"/>
        <v>-1223.8420000000001</v>
      </c>
      <c r="CW97" s="385">
        <f t="shared" si="592"/>
        <v>-1223.8420000000001</v>
      </c>
    </row>
    <row r="98" spans="1:103">
      <c r="A98" s="364" t="s">
        <v>578</v>
      </c>
      <c r="B98" s="960">
        <f>BS!B42</f>
        <v>-4.9980000000000002</v>
      </c>
      <c r="C98" s="960">
        <f>BS!C42</f>
        <v>-20.367000000000001</v>
      </c>
      <c r="D98" s="960">
        <f>BS!D42</f>
        <v>-7.3170000000000002</v>
      </c>
      <c r="E98" s="960">
        <f>BS!E42</f>
        <v>-22.187000000000001</v>
      </c>
      <c r="F98" s="960">
        <f>BS!F42</f>
        <v>-15.4</v>
      </c>
      <c r="G98" s="960">
        <f>BS!G42</f>
        <v>-13.932</v>
      </c>
      <c r="H98" s="960">
        <f>BS!H42</f>
        <v>-13.766999999999999</v>
      </c>
      <c r="I98" s="960">
        <f>BS!I42</f>
        <v>-23.34</v>
      </c>
      <c r="J98" s="960">
        <f>BS!J42</f>
        <v>488.93199999999996</v>
      </c>
      <c r="K98" s="960">
        <f>BS!K42</f>
        <v>451.41999999999996</v>
      </c>
      <c r="L98" s="960">
        <f>BS!L42</f>
        <v>507.86</v>
      </c>
      <c r="M98" s="960">
        <f>BS!M42</f>
        <v>27.584</v>
      </c>
      <c r="N98" s="960">
        <f>BS!N42</f>
        <v>-28.574000000000002</v>
      </c>
      <c r="O98" s="960">
        <f>BS!O42</f>
        <v>-29.812999999999999</v>
      </c>
      <c r="P98" s="960">
        <f>BS!P42</f>
        <v>-67.921000000000006</v>
      </c>
      <c r="Q98" s="960">
        <f>BS!Q42</f>
        <v>-86.55</v>
      </c>
      <c r="R98" s="960">
        <f>BS!R42</f>
        <v>-153.785</v>
      </c>
      <c r="S98" s="960">
        <f>BS!S42</f>
        <v>-151.93100000000001</v>
      </c>
      <c r="T98" s="960">
        <f>BS!T42</f>
        <v>-182.44399999999999</v>
      </c>
      <c r="U98" s="960">
        <f>BS!U42</f>
        <v>-251.03700000000001</v>
      </c>
      <c r="V98" s="960">
        <f>BS!V42</f>
        <v>-351.64699999999999</v>
      </c>
      <c r="W98" s="960">
        <f>BS!W42</f>
        <v>-345.084</v>
      </c>
      <c r="X98" s="960">
        <f>BS!X42</f>
        <v>-389.63499999999999</v>
      </c>
      <c r="Y98" s="960">
        <f>BS!Y42</f>
        <v>-330.16800000000001</v>
      </c>
      <c r="Z98" s="960">
        <f>BS!Z42</f>
        <v>-392.20800000000003</v>
      </c>
      <c r="AA98" s="960">
        <f>BS!AA42</f>
        <v>-303.60399999999998</v>
      </c>
      <c r="AB98" s="960">
        <f>BS!AB42</f>
        <v>-383.86399999999998</v>
      </c>
      <c r="AC98" s="960">
        <f>BS!AC42</f>
        <v>-517.81399999999996</v>
      </c>
      <c r="AD98" s="960">
        <f>BS!AD42</f>
        <v>-692.45399999999995</v>
      </c>
      <c r="AE98" s="960">
        <f>BS!AE42</f>
        <v>-588.01199999999994</v>
      </c>
      <c r="AF98" s="960">
        <f>BS!AF42</f>
        <v>-569.68799999999999</v>
      </c>
      <c r="AG98" s="960">
        <f>BS!AG42</f>
        <v>-600.33600000000001</v>
      </c>
      <c r="AH98" s="960">
        <f>BS!AH42</f>
        <v>-632.35500000000002</v>
      </c>
      <c r="AI98" s="960">
        <f>BS!AI42</f>
        <v>-775.69299999999998</v>
      </c>
      <c r="AJ98" s="960">
        <f>BS!AJ42</f>
        <v>-739.60500000000002</v>
      </c>
      <c r="AK98" s="960">
        <f>BS!AK42</f>
        <v>-567.50599999999997</v>
      </c>
      <c r="AL98" s="960">
        <f>BS!AL42</f>
        <v>-635.37</v>
      </c>
      <c r="AM98" s="960">
        <f>BS!AM42</f>
        <v>-898.80700000000002</v>
      </c>
      <c r="AN98" s="960">
        <f>BS!AN42</f>
        <v>-1287.424</v>
      </c>
      <c r="AO98" s="960">
        <f>BS!AO42</f>
        <v>-348.44600000000003</v>
      </c>
      <c r="AP98" s="385">
        <f>BS!AP42</f>
        <v>-431.48200000000003</v>
      </c>
      <c r="AQ98" s="385">
        <f>BS!AQ42</f>
        <v>-448.61599999999999</v>
      </c>
      <c r="AR98" s="385">
        <f>BS!AR42</f>
        <v>-903.64499999999998</v>
      </c>
      <c r="AS98" s="385">
        <f>BS!AS42</f>
        <v>-1451.643</v>
      </c>
      <c r="AT98" s="385">
        <f>BS!AT42</f>
        <v>-1169.048</v>
      </c>
      <c r="AU98" s="385">
        <f>BS!AU42</f>
        <v>-903.81100000000004</v>
      </c>
      <c r="AV98" s="385">
        <f>BS!AV42</f>
        <v>-1168.3130000000001</v>
      </c>
      <c r="AW98" s="385">
        <f>BS!AW42</f>
        <v>-2169</v>
      </c>
      <c r="AX98" s="385">
        <f>BS!AX42</f>
        <v>-1656.239</v>
      </c>
      <c r="AY98" s="385">
        <f>BS!AY42</f>
        <v>-1954.384</v>
      </c>
      <c r="AZ98" s="385">
        <f>BS!AZ42</f>
        <v>-1665.8969999999999</v>
      </c>
      <c r="BA98" s="385">
        <f>BS!BA42</f>
        <v>-2387.9639999999999</v>
      </c>
      <c r="BB98" s="385">
        <f>BS!BB42</f>
        <v>0</v>
      </c>
      <c r="BC98" s="385">
        <f>BS!BC42</f>
        <v>0</v>
      </c>
      <c r="BD98" s="385">
        <f>BS!BD42</f>
        <v>0</v>
      </c>
      <c r="BE98" s="385">
        <f>BS!BE42</f>
        <v>0</v>
      </c>
      <c r="BF98" s="385">
        <f>BS!BF42</f>
        <v>0</v>
      </c>
      <c r="BG98" s="385">
        <f>BS!BG42</f>
        <v>0</v>
      </c>
      <c r="BH98" s="385">
        <f>BS!BH42</f>
        <v>0</v>
      </c>
      <c r="BI98" s="385">
        <f>BS!BI42</f>
        <v>0</v>
      </c>
      <c r="BJ98" s="385">
        <f>BS!BJ42</f>
        <v>0</v>
      </c>
      <c r="BK98" s="1324">
        <f>BS!BK42</f>
        <v>0</v>
      </c>
      <c r="BL98" s="385">
        <f>+BK98+Q_BS!BL62+Q_BS!BL65+Q_BS!BL66</f>
        <v>49.130671279046084</v>
      </c>
      <c r="BM98" s="385">
        <f>+BL98+Q_BS!BM62+Q_BS!BM65+Q_BS!BM66</f>
        <v>579.35128424883578</v>
      </c>
      <c r="BN98" s="385">
        <f>+BM98+Q_BS!BN62+Q_BS!BN65+Q_BS!BN66</f>
        <v>749.42326957814862</v>
      </c>
      <c r="BO98" s="385">
        <f>+BN98+Q_BS!BO62+Q_BS!BO65+Q_BS!BO66</f>
        <v>1189.0116036872332</v>
      </c>
      <c r="BP98" s="385">
        <f>+BO98+Q_BS!BP62+Q_BS!BP65+Q_BS!BP66</f>
        <v>1836.7444908123871</v>
      </c>
      <c r="BQ98" s="385">
        <f>+BP98+Q_BS!BQ62+Q_BS!BQ65+Q_BS!BQ66</f>
        <v>2480.5430461535511</v>
      </c>
      <c r="BR98" s="385">
        <f>+BQ98+Q_BS!BR62+Q_BS!BR65+Q_BS!BR66</f>
        <v>2566.0358161145373</v>
      </c>
      <c r="BS98" s="385">
        <f>+BR98+Q_BS!BS62+Q_BS!BS65+Q_BS!BS66</f>
        <v>3321.0155780112605</v>
      </c>
      <c r="BT98" s="385">
        <f>+BS98+Q_BS!BT62+Q_BS!BT65+Q_BS!BT66</f>
        <v>4161.4352397021903</v>
      </c>
      <c r="BU98" s="385">
        <f>+BT98+Q_BS!BU62+Q_BS!BU65+Q_BS!BU66</f>
        <v>5286.4460533307465</v>
      </c>
      <c r="BV98" s="385">
        <f>+BU98+Q_BS!BV62+Q_BS!BV65+Q_BS!BV66</f>
        <v>6013.3449293461836</v>
      </c>
      <c r="BW98" s="385">
        <f>+BV98+Q_BS!BW62+Q_BS!BW65+Q_BS!BW66</f>
        <v>7007.7712091745398</v>
      </c>
      <c r="BX98" s="385">
        <f>+BW98+Q_BS!BX62+Q_BS!BX65+Q_BS!BX66</f>
        <v>7973.9937663522023</v>
      </c>
      <c r="BY98" s="385">
        <f>+BX98+Q_BS!BY62+Q_BS!BY65+Q_BS!BY66</f>
        <v>9128.2144207467791</v>
      </c>
      <c r="BZ98" s="385">
        <f>+BY98+Q_BS!BZ62+Q_BS!BZ65+Q_BS!BZ66</f>
        <v>9923.3190467419536</v>
      </c>
      <c r="CA98" s="385">
        <f>+BZ98+Q_BS!CA62+Q_BS!CA65+Q_BS!CA66</f>
        <v>11010.91215078429</v>
      </c>
      <c r="CB98" s="385">
        <f>+CA98+Q_BS!CB62+Q_BS!CB65+Q_BS!CB66</f>
        <v>12033.44786524102</v>
      </c>
      <c r="CC98" s="385">
        <f>+CB98+Q_BS!CC62+Q_BS!CC65+Q_BS!CC66</f>
        <v>13188.931050596957</v>
      </c>
      <c r="CD98" s="385">
        <f>+CC98+Q_BS!CD62+Q_BS!CD65+Q_BS!CD66</f>
        <v>14060.793346901604</v>
      </c>
      <c r="CE98" s="385">
        <f>+CD98+Q_BS!CE62+Q_BS!CE65+Q_BS!CE66</f>
        <v>15222.859798336678</v>
      </c>
      <c r="CF98" s="385">
        <f>+CE98+Q_BS!CF62+Q_BS!CF65+Q_BS!CF66</f>
        <v>16322.92450616723</v>
      </c>
      <c r="CG98" s="385">
        <f>+CF98+Q_BS!CG62+Q_BS!CG65+Q_BS!CG66</f>
        <v>17571.344800953535</v>
      </c>
      <c r="CH98" s="385">
        <f>+CG98+Q_BS!CH62+Q_BS!CH65+Q_BS!CH66</f>
        <v>18510.280110381853</v>
      </c>
      <c r="CI98" s="385">
        <f>+CH98+Q_BS!CI62+Q_BS!CI65+Q_BS!CI66</f>
        <v>19740.285587870461</v>
      </c>
      <c r="CJ98" s="385">
        <f>+CI98+Q_BS!CJ62+Q_BS!CJ65+Q_BS!CJ66</f>
        <v>20913.046744116546</v>
      </c>
      <c r="CK98" s="385">
        <f>+CJ98+Q_BS!CK62+Q_BS!CK65+Q_BS!CK66</f>
        <v>22250.523213415665</v>
      </c>
      <c r="CL98" s="385">
        <f>+CK98+Q_BS!CL62+Q_BS!CL65+Q_BS!CL66</f>
        <v>23258.125861378277</v>
      </c>
      <c r="CM98" s="385">
        <f>+CL98+Q_BS!CM62+Q_BS!CM65+Q_BS!CM66</f>
        <v>24557.299803082329</v>
      </c>
      <c r="CN98" s="385">
        <f>+CM98+Q_BS!CN62+Q_BS!CN65+Q_BS!CN66</f>
        <v>25803.970148718774</v>
      </c>
      <c r="CO98" s="385">
        <f>+CN98+Q_BS!CO62+Q_BS!CO65+Q_BS!CO66</f>
        <v>27232.660541180208</v>
      </c>
      <c r="CP98" s="385">
        <f>+CO98+Q_BS!CP62+Q_BS!CP65+Q_BS!CP66</f>
        <v>28307.382257581332</v>
      </c>
      <c r="CQ98" s="385">
        <f>+CP98+Q_BS!CQ62+Q_BS!CQ65+Q_BS!CQ66</f>
        <v>29673.00475344701</v>
      </c>
      <c r="CR98" s="385">
        <f>+CQ98+Q_BS!CR62+Q_BS!CR65+Q_BS!CR66</f>
        <v>30991.834427398251</v>
      </c>
      <c r="CS98" s="385">
        <f>+CR98+Q_BS!CS62+Q_BS!CS65+Q_BS!CS66</f>
        <v>32509.277421802966</v>
      </c>
      <c r="CT98" s="385">
        <f>+CS98+Q_BS!CT62+Q_BS!CT65+Q_BS!CT66</f>
        <v>33649.1004333643</v>
      </c>
      <c r="CU98" s="385">
        <f>+CT98+Q_BS!CU62+Q_BS!CU65+Q_BS!CU66</f>
        <v>35081.217006016523</v>
      </c>
      <c r="CV98" s="385">
        <f>+CU98+Q_BS!CV62+Q_BS!CV65+Q_BS!CV66</f>
        <v>36469.64255817479</v>
      </c>
      <c r="CW98" s="385">
        <f>+CV98+Q_BS!CW62+Q_BS!CW65+Q_BS!CW66</f>
        <v>38073.36762792278</v>
      </c>
    </row>
    <row r="99" spans="1:103" s="13" customFormat="1" ht="13.5">
      <c r="A99" s="363" t="s">
        <v>380</v>
      </c>
      <c r="B99" s="683">
        <f t="shared" ref="B99:AQ99" si="593">SUM(B95:B98)</f>
        <v>2937.9450000000002</v>
      </c>
      <c r="C99" s="683">
        <f t="shared" si="593"/>
        <v>2849.3679999999999</v>
      </c>
      <c r="D99" s="683">
        <f t="shared" si="593"/>
        <v>2893.0340000000001</v>
      </c>
      <c r="E99" s="683">
        <f t="shared" si="593"/>
        <v>2908.5889999999999</v>
      </c>
      <c r="F99" s="683">
        <f t="shared" si="593"/>
        <v>3004.9430000000002</v>
      </c>
      <c r="G99" s="683">
        <f t="shared" si="593"/>
        <v>2901.5820000000003</v>
      </c>
      <c r="H99" s="683">
        <f t="shared" si="593"/>
        <v>2906.4400000000005</v>
      </c>
      <c r="I99" s="683">
        <f t="shared" si="593"/>
        <v>2865.3280000000004</v>
      </c>
      <c r="J99" s="683">
        <f t="shared" si="593"/>
        <v>2923.7649999999999</v>
      </c>
      <c r="K99" s="683">
        <f t="shared" si="593"/>
        <v>2839.0590000000002</v>
      </c>
      <c r="L99" s="683">
        <f t="shared" si="593"/>
        <v>2941.8030000000003</v>
      </c>
      <c r="M99" s="683">
        <f t="shared" si="593"/>
        <v>2993.8649999999998</v>
      </c>
      <c r="N99" s="683">
        <f t="shared" si="593"/>
        <v>3136.7559999999999</v>
      </c>
      <c r="O99" s="683">
        <f t="shared" si="593"/>
        <v>3244.0209999999997</v>
      </c>
      <c r="P99" s="683">
        <f t="shared" si="593"/>
        <v>3293.2780000000002</v>
      </c>
      <c r="Q99" s="683">
        <f t="shared" si="593"/>
        <v>4520.71</v>
      </c>
      <c r="R99" s="683">
        <f t="shared" si="593"/>
        <v>4524.0230000000001</v>
      </c>
      <c r="S99" s="683">
        <f t="shared" si="593"/>
        <v>3884.89</v>
      </c>
      <c r="T99" s="683">
        <f t="shared" si="593"/>
        <v>4085.3839999999996</v>
      </c>
      <c r="U99" s="683">
        <f t="shared" si="593"/>
        <v>4271.4269999999997</v>
      </c>
      <c r="V99" s="683">
        <f t="shared" si="593"/>
        <v>4259.0080000000007</v>
      </c>
      <c r="W99" s="683">
        <f t="shared" si="593"/>
        <v>11013.197999999999</v>
      </c>
      <c r="X99" s="683">
        <f t="shared" si="593"/>
        <v>11158.623</v>
      </c>
      <c r="Y99" s="683">
        <f t="shared" si="593"/>
        <v>8800.1280000000006</v>
      </c>
      <c r="Z99" s="683">
        <f t="shared" si="593"/>
        <v>9057.1429999999982</v>
      </c>
      <c r="AA99" s="683">
        <f t="shared" si="593"/>
        <v>8839.2959999999985</v>
      </c>
      <c r="AB99" s="683">
        <f t="shared" si="593"/>
        <v>8763.5839999999989</v>
      </c>
      <c r="AC99" s="683">
        <f t="shared" si="593"/>
        <v>9069.2769999999982</v>
      </c>
      <c r="AD99" s="683">
        <f t="shared" si="593"/>
        <v>8802.5370000000003</v>
      </c>
      <c r="AE99" s="683">
        <f t="shared" si="593"/>
        <v>8362.4929999999986</v>
      </c>
      <c r="AF99" s="683">
        <f t="shared" si="593"/>
        <v>8363.7999999999993</v>
      </c>
      <c r="AG99" s="683">
        <f t="shared" si="593"/>
        <v>8910.6229999999996</v>
      </c>
      <c r="AH99" s="683">
        <f t="shared" si="593"/>
        <v>9142.0829999999987</v>
      </c>
      <c r="AI99" s="683">
        <f t="shared" si="593"/>
        <v>8579.5690000000013</v>
      </c>
      <c r="AJ99" s="683">
        <f t="shared" si="593"/>
        <v>8751.848</v>
      </c>
      <c r="AK99" s="683">
        <f t="shared" si="593"/>
        <v>9460.389000000001</v>
      </c>
      <c r="AL99" s="683">
        <f t="shared" si="593"/>
        <v>9978.7659999999978</v>
      </c>
      <c r="AM99" s="683">
        <f t="shared" si="593"/>
        <v>9339.4629999999997</v>
      </c>
      <c r="AN99" s="683">
        <f t="shared" si="593"/>
        <v>9314.375</v>
      </c>
      <c r="AO99" s="683">
        <f t="shared" si="593"/>
        <v>11080.08</v>
      </c>
      <c r="AP99" s="683">
        <f t="shared" si="593"/>
        <v>9361.3369999999995</v>
      </c>
      <c r="AQ99" s="683">
        <f t="shared" si="593"/>
        <v>9050.6620000000003</v>
      </c>
      <c r="AR99" s="683">
        <f t="shared" ref="AR99:BC99" si="594">SUM(AR95:AR98)</f>
        <v>8942.5720000000001</v>
      </c>
      <c r="AS99" s="683">
        <f t="shared" si="594"/>
        <v>9580.9979999999996</v>
      </c>
      <c r="AT99" s="683">
        <f t="shared" si="594"/>
        <v>8786.0049999999992</v>
      </c>
      <c r="AU99" s="683">
        <f t="shared" si="594"/>
        <v>6543.7939999999999</v>
      </c>
      <c r="AV99" s="683">
        <f t="shared" si="594"/>
        <v>6281.5659999999998</v>
      </c>
      <c r="AW99" s="683">
        <f t="shared" si="594"/>
        <v>6302.7489999999998</v>
      </c>
      <c r="AX99" s="683">
        <f t="shared" si="594"/>
        <v>6103.7479999999996</v>
      </c>
      <c r="AY99" s="683">
        <f t="shared" si="594"/>
        <v>6352.5529999999999</v>
      </c>
      <c r="AZ99" s="683">
        <f t="shared" si="594"/>
        <v>6947.5419999999986</v>
      </c>
      <c r="BA99" s="683">
        <f t="shared" si="594"/>
        <v>7639.1659999999993</v>
      </c>
      <c r="BB99" s="683">
        <f t="shared" si="594"/>
        <v>8261.08</v>
      </c>
      <c r="BC99" s="683">
        <f t="shared" si="594"/>
        <v>8017.7849999999989</v>
      </c>
      <c r="BD99" s="683">
        <f t="shared" ref="BD99:BI99" si="595">SUM(BD95:BD98)</f>
        <v>7559.6849999999995</v>
      </c>
      <c r="BE99" s="683">
        <f t="shared" si="595"/>
        <v>7617.8669999999993</v>
      </c>
      <c r="BF99" s="683">
        <f t="shared" si="595"/>
        <v>7570.5469999999996</v>
      </c>
      <c r="BG99" s="683">
        <f t="shared" si="595"/>
        <v>7406.741</v>
      </c>
      <c r="BH99" s="683">
        <f t="shared" si="595"/>
        <v>7846.8310000000001</v>
      </c>
      <c r="BI99" s="683">
        <f t="shared" si="595"/>
        <v>8375.1020000000008</v>
      </c>
      <c r="BJ99" s="683">
        <f t="shared" ref="BJ99:BK99" si="596">SUM(BJ95:BJ98)</f>
        <v>6474.3810000000003</v>
      </c>
      <c r="BK99" s="1326">
        <f t="shared" si="596"/>
        <v>6968.8819999999996</v>
      </c>
      <c r="BL99" s="684">
        <f t="shared" ref="BL99:CW99" si="597">+SUM(BL95:BL98)</f>
        <v>7018.0126712790461</v>
      </c>
      <c r="BM99" s="684">
        <f t="shared" si="597"/>
        <v>7548.2332842488358</v>
      </c>
      <c r="BN99" s="684">
        <f t="shared" si="597"/>
        <v>7718.305269578148</v>
      </c>
      <c r="BO99" s="684">
        <f t="shared" si="597"/>
        <v>8157.8936036872328</v>
      </c>
      <c r="BP99" s="684">
        <f t="shared" si="597"/>
        <v>8805.6264908123867</v>
      </c>
      <c r="BQ99" s="684">
        <f t="shared" si="597"/>
        <v>9449.4250461535503</v>
      </c>
      <c r="BR99" s="684">
        <f t="shared" si="597"/>
        <v>9534.9178161145373</v>
      </c>
      <c r="BS99" s="684">
        <f t="shared" si="597"/>
        <v>10289.89757801126</v>
      </c>
      <c r="BT99" s="684">
        <f t="shared" si="597"/>
        <v>11130.31723970219</v>
      </c>
      <c r="BU99" s="684">
        <f t="shared" si="597"/>
        <v>12255.328053330746</v>
      </c>
      <c r="BV99" s="684">
        <f t="shared" si="597"/>
        <v>12982.226929346183</v>
      </c>
      <c r="BW99" s="684">
        <f t="shared" si="597"/>
        <v>13976.653209174539</v>
      </c>
      <c r="BX99" s="684">
        <f t="shared" si="597"/>
        <v>14942.875766352201</v>
      </c>
      <c r="BY99" s="684">
        <f t="shared" si="597"/>
        <v>16097.096420746779</v>
      </c>
      <c r="BZ99" s="684">
        <f t="shared" si="597"/>
        <v>16892.201046741953</v>
      </c>
      <c r="CA99" s="684">
        <f t="shared" si="597"/>
        <v>17979.794150784292</v>
      </c>
      <c r="CB99" s="684">
        <f t="shared" si="597"/>
        <v>19002.329865241019</v>
      </c>
      <c r="CC99" s="684">
        <f t="shared" si="597"/>
        <v>20157.813050596957</v>
      </c>
      <c r="CD99" s="684">
        <f t="shared" si="597"/>
        <v>21029.675346901604</v>
      </c>
      <c r="CE99" s="684">
        <f t="shared" si="597"/>
        <v>22191.741798336676</v>
      </c>
      <c r="CF99" s="684">
        <f t="shared" si="597"/>
        <v>23291.806506167231</v>
      </c>
      <c r="CG99" s="684">
        <f t="shared" si="597"/>
        <v>24540.226800953533</v>
      </c>
      <c r="CH99" s="684">
        <f t="shared" si="597"/>
        <v>25479.162110381854</v>
      </c>
      <c r="CI99" s="684">
        <f t="shared" si="597"/>
        <v>26709.167587870463</v>
      </c>
      <c r="CJ99" s="684">
        <f t="shared" si="597"/>
        <v>27881.928744116543</v>
      </c>
      <c r="CK99" s="684">
        <f t="shared" si="597"/>
        <v>29219.405213415666</v>
      </c>
      <c r="CL99" s="684">
        <f t="shared" si="597"/>
        <v>30227.007861378275</v>
      </c>
      <c r="CM99" s="684">
        <f t="shared" si="597"/>
        <v>31526.181803082327</v>
      </c>
      <c r="CN99" s="684">
        <f t="shared" si="597"/>
        <v>32772.852148718775</v>
      </c>
      <c r="CO99" s="684">
        <f t="shared" si="597"/>
        <v>34201.542541180206</v>
      </c>
      <c r="CP99" s="684">
        <f t="shared" si="597"/>
        <v>35276.26425758133</v>
      </c>
      <c r="CQ99" s="684">
        <f t="shared" si="597"/>
        <v>36641.886753447012</v>
      </c>
      <c r="CR99" s="684">
        <f t="shared" si="597"/>
        <v>37960.716427398249</v>
      </c>
      <c r="CS99" s="684">
        <f t="shared" si="597"/>
        <v>39478.159421802964</v>
      </c>
      <c r="CT99" s="684">
        <f t="shared" si="597"/>
        <v>40617.982433364297</v>
      </c>
      <c r="CU99" s="684">
        <f t="shared" si="597"/>
        <v>42050.09900601652</v>
      </c>
      <c r="CV99" s="684">
        <f t="shared" si="597"/>
        <v>43438.524558174788</v>
      </c>
      <c r="CW99" s="684">
        <f t="shared" si="597"/>
        <v>45042.249627922778</v>
      </c>
    </row>
    <row r="100" spans="1:103" ht="13.5">
      <c r="A100" s="361" t="s">
        <v>381</v>
      </c>
      <c r="B100" s="426">
        <f t="shared" ref="B100:AG100" si="598">B86+B91+B99+B93</f>
        <v>6083.773000000001</v>
      </c>
      <c r="C100" s="426">
        <f t="shared" si="598"/>
        <v>5844.1819999999998</v>
      </c>
      <c r="D100" s="426">
        <f t="shared" si="598"/>
        <v>5713.6200000000008</v>
      </c>
      <c r="E100" s="426">
        <f t="shared" si="598"/>
        <v>5808.8090000000002</v>
      </c>
      <c r="F100" s="426">
        <f t="shared" si="598"/>
        <v>6074.3420000000006</v>
      </c>
      <c r="G100" s="426">
        <f t="shared" si="598"/>
        <v>5750.7179999999998</v>
      </c>
      <c r="H100" s="426">
        <f t="shared" si="598"/>
        <v>5804.5680000000002</v>
      </c>
      <c r="I100" s="426">
        <f t="shared" si="598"/>
        <v>6140.7650000000003</v>
      </c>
      <c r="J100" s="426">
        <f t="shared" si="598"/>
        <v>6001.4769999999999</v>
      </c>
      <c r="K100" s="426">
        <f t="shared" si="598"/>
        <v>6331.5060000000003</v>
      </c>
      <c r="L100" s="426">
        <f t="shared" si="598"/>
        <v>6624.8820000000005</v>
      </c>
      <c r="M100" s="426">
        <f t="shared" si="598"/>
        <v>9374.1739999999991</v>
      </c>
      <c r="N100" s="426">
        <f t="shared" si="598"/>
        <v>9507.2529999999988</v>
      </c>
      <c r="O100" s="426">
        <f t="shared" si="598"/>
        <v>9414.7170000000006</v>
      </c>
      <c r="P100" s="426">
        <f t="shared" si="598"/>
        <v>9435.1410000000014</v>
      </c>
      <c r="Q100" s="426">
        <f t="shared" si="598"/>
        <v>9797.5929999999989</v>
      </c>
      <c r="R100" s="426">
        <f t="shared" si="598"/>
        <v>9673.1500000000015</v>
      </c>
      <c r="S100" s="426">
        <f t="shared" si="598"/>
        <v>10147.488000000001</v>
      </c>
      <c r="T100" s="426">
        <f t="shared" si="598"/>
        <v>11945.326999999999</v>
      </c>
      <c r="U100" s="426">
        <f t="shared" si="598"/>
        <v>12416.134</v>
      </c>
      <c r="V100" s="426">
        <f t="shared" si="598"/>
        <v>12345.031000000003</v>
      </c>
      <c r="W100" s="426">
        <f t="shared" si="598"/>
        <v>22092.574000000001</v>
      </c>
      <c r="X100" s="426">
        <f t="shared" si="598"/>
        <v>22208.921000000002</v>
      </c>
      <c r="Y100" s="426">
        <f t="shared" si="598"/>
        <v>29771.596000000005</v>
      </c>
      <c r="Z100" s="426">
        <f t="shared" si="598"/>
        <v>29412.923999999995</v>
      </c>
      <c r="AA100" s="426">
        <f t="shared" si="598"/>
        <v>30400.917000000001</v>
      </c>
      <c r="AB100" s="426">
        <f t="shared" si="598"/>
        <v>30817.355</v>
      </c>
      <c r="AC100" s="426">
        <f t="shared" si="598"/>
        <v>31842.427</v>
      </c>
      <c r="AD100" s="426">
        <f t="shared" si="598"/>
        <v>33548.523999999998</v>
      </c>
      <c r="AE100" s="426">
        <f t="shared" si="598"/>
        <v>34190.558000000005</v>
      </c>
      <c r="AF100" s="426">
        <f t="shared" si="598"/>
        <v>35584.995999999999</v>
      </c>
      <c r="AG100" s="426">
        <f t="shared" si="598"/>
        <v>37995.140999999996</v>
      </c>
      <c r="AH100" s="426">
        <f t="shared" ref="AH100:AQ100" si="599">AH86+AH91+AH99+AH93</f>
        <v>37307.655999999995</v>
      </c>
      <c r="AI100" s="426">
        <f t="shared" si="599"/>
        <v>37923.921000000009</v>
      </c>
      <c r="AJ100" s="426">
        <f t="shared" si="599"/>
        <v>38765.432000000001</v>
      </c>
      <c r="AK100" s="426">
        <f t="shared" si="599"/>
        <v>39659.256999999998</v>
      </c>
      <c r="AL100" s="426">
        <f t="shared" si="599"/>
        <v>39692.687999999995</v>
      </c>
      <c r="AM100" s="426">
        <f t="shared" si="599"/>
        <v>40145.663</v>
      </c>
      <c r="AN100" s="426">
        <f t="shared" si="599"/>
        <v>39429.775000000001</v>
      </c>
      <c r="AO100" s="426">
        <f t="shared" si="599"/>
        <v>53060.122000000003</v>
      </c>
      <c r="AP100" s="426">
        <f t="shared" si="599"/>
        <v>77552.022000000012</v>
      </c>
      <c r="AQ100" s="426">
        <f t="shared" si="599"/>
        <v>76425.592000000004</v>
      </c>
      <c r="AR100" s="426">
        <f t="shared" ref="AR100:BC100" si="600">AR86+AR91+AR99+AR93</f>
        <v>76156.232999999993</v>
      </c>
      <c r="AS100" s="426">
        <f t="shared" si="600"/>
        <v>76412.247999999992</v>
      </c>
      <c r="AT100" s="426">
        <f t="shared" si="600"/>
        <v>84871.896000000008</v>
      </c>
      <c r="AU100" s="426">
        <f t="shared" si="600"/>
        <v>84077.730999999985</v>
      </c>
      <c r="AV100" s="426">
        <f t="shared" si="600"/>
        <v>84588.433999999994</v>
      </c>
      <c r="AW100" s="426">
        <f t="shared" si="600"/>
        <v>83437.343999999997</v>
      </c>
      <c r="AX100" s="426">
        <f t="shared" si="600"/>
        <v>82663.28</v>
      </c>
      <c r="AY100" s="426">
        <f t="shared" si="600"/>
        <v>80619.75999999998</v>
      </c>
      <c r="AZ100" s="426">
        <f t="shared" si="600"/>
        <v>80070.258000000002</v>
      </c>
      <c r="BA100" s="426">
        <f t="shared" si="600"/>
        <v>82977.561999999991</v>
      </c>
      <c r="BB100" s="426">
        <f t="shared" si="600"/>
        <v>81321.718000000008</v>
      </c>
      <c r="BC100" s="426">
        <f t="shared" si="600"/>
        <v>79731.096000000005</v>
      </c>
      <c r="BD100" s="426">
        <f t="shared" ref="BD100:BI100" si="601">BD86+BD91+BD99+BD93</f>
        <v>77387.028000000006</v>
      </c>
      <c r="BE100" s="426">
        <f t="shared" si="601"/>
        <v>80469.322999999989</v>
      </c>
      <c r="BF100" s="426">
        <f t="shared" si="601"/>
        <v>77029.596000000005</v>
      </c>
      <c r="BG100" s="426">
        <f t="shared" si="601"/>
        <v>75408.327000000005</v>
      </c>
      <c r="BH100" s="426">
        <f t="shared" si="601"/>
        <v>76200.806000000011</v>
      </c>
      <c r="BI100" s="426">
        <f t="shared" si="601"/>
        <v>76997.021000000008</v>
      </c>
      <c r="BJ100" s="426">
        <f t="shared" ref="BJ100:BK100" si="602">BJ86+BJ91+BJ99+BJ93</f>
        <v>74091.185999999987</v>
      </c>
      <c r="BK100" s="1327">
        <f t="shared" si="602"/>
        <v>78380.365999999995</v>
      </c>
      <c r="BL100" s="427">
        <f t="shared" ref="BL100:CW100" si="603">BL86+BL91+BL99+BL93</f>
        <v>78394.014345687639</v>
      </c>
      <c r="BM100" s="427">
        <f t="shared" si="603"/>
        <v>78506.158318748028</v>
      </c>
      <c r="BN100" s="427">
        <f t="shared" si="603"/>
        <v>78743.143086375057</v>
      </c>
      <c r="BO100" s="427">
        <f t="shared" si="603"/>
        <v>80366.330453091723</v>
      </c>
      <c r="BP100" s="427">
        <f t="shared" si="603"/>
        <v>82343.876657185596</v>
      </c>
      <c r="BQ100" s="427">
        <f t="shared" si="603"/>
        <v>84677.300652623104</v>
      </c>
      <c r="BR100" s="427">
        <f t="shared" si="603"/>
        <v>86187.720903698311</v>
      </c>
      <c r="BS100" s="427">
        <f t="shared" si="603"/>
        <v>87866.154330075849</v>
      </c>
      <c r="BT100" s="427">
        <f t="shared" si="603"/>
        <v>90052.569091273021</v>
      </c>
      <c r="BU100" s="427">
        <f t="shared" si="603"/>
        <v>92420.740462378992</v>
      </c>
      <c r="BV100" s="427">
        <f t="shared" si="603"/>
        <v>93756.308293900234</v>
      </c>
      <c r="BW100" s="427">
        <f t="shared" si="603"/>
        <v>95575.563076302831</v>
      </c>
      <c r="BX100" s="427">
        <f t="shared" si="603"/>
        <v>98018.843024111251</v>
      </c>
      <c r="BY100" s="427">
        <f t="shared" si="603"/>
        <v>100696.18507174836</v>
      </c>
      <c r="BZ100" s="427">
        <f t="shared" si="603"/>
        <v>101417.79009412708</v>
      </c>
      <c r="CA100" s="427">
        <f t="shared" si="603"/>
        <v>102626.42273561972</v>
      </c>
      <c r="CB100" s="427">
        <f t="shared" si="603"/>
        <v>104482.90473276023</v>
      </c>
      <c r="CC100" s="427">
        <f t="shared" si="603"/>
        <v>106510.612608155</v>
      </c>
      <c r="CD100" s="427">
        <f t="shared" si="603"/>
        <v>107030.0145972036</v>
      </c>
      <c r="CE100" s="427">
        <f t="shared" si="603"/>
        <v>108305.01601021185</v>
      </c>
      <c r="CF100" s="427">
        <f t="shared" si="603"/>
        <v>110288.24743193221</v>
      </c>
      <c r="CG100" s="427">
        <f t="shared" si="603"/>
        <v>112458.27194166712</v>
      </c>
      <c r="CH100" s="427">
        <f t="shared" si="603"/>
        <v>112983.11682329282</v>
      </c>
      <c r="CI100" s="427">
        <f t="shared" si="603"/>
        <v>114299.58691954672</v>
      </c>
      <c r="CJ100" s="427">
        <f t="shared" si="603"/>
        <v>116389.08316019295</v>
      </c>
      <c r="CK100" s="427">
        <f t="shared" si="603"/>
        <v>118667.26646750499</v>
      </c>
      <c r="CL100" s="427">
        <f t="shared" si="603"/>
        <v>119184.76429741968</v>
      </c>
      <c r="CM100" s="427">
        <f t="shared" si="603"/>
        <v>120560.70732568474</v>
      </c>
      <c r="CN100" s="427">
        <f t="shared" si="603"/>
        <v>122778.08928546745</v>
      </c>
      <c r="CO100" s="427">
        <f t="shared" si="603"/>
        <v>125200.41135946351</v>
      </c>
      <c r="CP100" s="427">
        <f t="shared" si="603"/>
        <v>125727.14426217829</v>
      </c>
      <c r="CQ100" s="427">
        <f t="shared" si="603"/>
        <v>127159.03498882365</v>
      </c>
      <c r="CR100" s="427">
        <f t="shared" si="603"/>
        <v>130006.30084562337</v>
      </c>
      <c r="CS100" s="427">
        <f t="shared" si="603"/>
        <v>133076.99573184791</v>
      </c>
      <c r="CT100" s="427">
        <f t="shared" si="603"/>
        <v>133608.99611851297</v>
      </c>
      <c r="CU100" s="427">
        <f t="shared" si="603"/>
        <v>135243.07859676785</v>
      </c>
      <c r="CV100" s="427">
        <f t="shared" si="603"/>
        <v>137723.14289172689</v>
      </c>
      <c r="CW100" s="427">
        <f t="shared" si="603"/>
        <v>140428.34812029463</v>
      </c>
    </row>
    <row r="101" spans="1:103" ht="13.5">
      <c r="A101" s="361"/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6"/>
      <c r="M101" s="426"/>
      <c r="N101" s="426"/>
      <c r="O101" s="426"/>
      <c r="P101" s="426"/>
      <c r="Q101" s="426"/>
      <c r="R101" s="426"/>
      <c r="S101" s="426"/>
      <c r="T101" s="426"/>
      <c r="U101" s="426"/>
      <c r="V101" s="426"/>
      <c r="W101" s="426"/>
      <c r="X101" s="426"/>
      <c r="Y101" s="426"/>
      <c r="Z101" s="426"/>
      <c r="AA101" s="426"/>
      <c r="AB101" s="426"/>
      <c r="AC101" s="426"/>
      <c r="AD101" s="426"/>
      <c r="AE101" s="426"/>
      <c r="AF101" s="426"/>
      <c r="AG101" s="426"/>
      <c r="AH101" s="426"/>
      <c r="AI101" s="426"/>
      <c r="AJ101" s="426"/>
      <c r="AK101" s="426"/>
      <c r="AL101" s="426"/>
      <c r="AM101" s="426"/>
      <c r="AN101" s="426"/>
      <c r="AO101" s="426"/>
      <c r="AP101" s="427"/>
      <c r="AQ101" s="427"/>
      <c r="AR101" s="427"/>
      <c r="AS101" s="427"/>
      <c r="AT101" s="427"/>
      <c r="AU101" s="427"/>
      <c r="AV101" s="427"/>
      <c r="AW101" s="427"/>
      <c r="AX101" s="427"/>
      <c r="AY101" s="427"/>
      <c r="AZ101" s="427"/>
      <c r="BA101" s="427"/>
      <c r="BB101" s="427"/>
      <c r="BC101" s="427"/>
      <c r="BD101" s="427"/>
      <c r="BE101" s="427"/>
      <c r="BF101" s="427"/>
      <c r="BG101" s="427"/>
      <c r="BH101" s="427"/>
      <c r="BI101" s="427"/>
      <c r="BJ101" s="427"/>
      <c r="BK101" s="1328"/>
      <c r="BL101" s="427"/>
      <c r="BM101" s="427"/>
      <c r="BN101" s="427"/>
      <c r="BO101" s="427"/>
      <c r="BP101" s="427"/>
      <c r="BQ101" s="427"/>
      <c r="BR101" s="427"/>
      <c r="BS101" s="427"/>
      <c r="BT101" s="427"/>
      <c r="BU101" s="427"/>
      <c r="BV101" s="427"/>
      <c r="BW101" s="427"/>
      <c r="BX101" s="427"/>
      <c r="BY101" s="427"/>
      <c r="BZ101" s="427"/>
      <c r="CA101" s="427"/>
      <c r="CB101" s="427"/>
      <c r="CC101" s="427"/>
      <c r="CD101" s="427"/>
      <c r="CE101" s="427"/>
      <c r="CF101" s="427"/>
      <c r="CG101" s="427"/>
      <c r="CH101" s="427"/>
      <c r="CI101" s="427"/>
      <c r="CJ101" s="427"/>
      <c r="CK101" s="427"/>
      <c r="CL101" s="427"/>
      <c r="CM101" s="427"/>
      <c r="CN101" s="427"/>
      <c r="CO101" s="427"/>
      <c r="CP101" s="427"/>
      <c r="CQ101" s="427"/>
      <c r="CR101" s="427"/>
      <c r="CS101" s="427"/>
      <c r="CT101" s="427"/>
      <c r="CU101" s="427"/>
      <c r="CV101" s="427"/>
      <c r="CW101" s="427"/>
    </row>
    <row r="102" spans="1:103">
      <c r="A102" s="909"/>
      <c r="B102" s="910"/>
      <c r="C102" s="910"/>
      <c r="D102" s="910"/>
      <c r="E102" s="910"/>
      <c r="F102" s="910"/>
      <c r="G102" s="910"/>
      <c r="H102" s="910"/>
      <c r="I102" s="910"/>
      <c r="J102" s="910"/>
      <c r="K102" s="910"/>
      <c r="L102" s="910"/>
      <c r="M102" s="910"/>
      <c r="N102" s="910"/>
      <c r="O102" s="910"/>
      <c r="P102" s="910"/>
      <c r="Q102" s="910"/>
      <c r="R102" s="910"/>
      <c r="S102" s="910"/>
      <c r="T102" s="910"/>
      <c r="U102" s="910"/>
      <c r="V102" s="910"/>
      <c r="W102" s="910"/>
      <c r="X102" s="910"/>
      <c r="Y102" s="910"/>
      <c r="Z102" s="910"/>
      <c r="AA102" s="910"/>
      <c r="AB102" s="910"/>
      <c r="AC102" s="910"/>
      <c r="AD102" s="910"/>
      <c r="AE102" s="910"/>
      <c r="AF102" s="910"/>
      <c r="AG102" s="910"/>
      <c r="AH102" s="910"/>
      <c r="AI102" s="910"/>
      <c r="AJ102" s="910"/>
      <c r="AK102" s="910"/>
      <c r="AL102" s="910"/>
      <c r="AM102" s="910"/>
      <c r="AN102" s="910"/>
      <c r="AO102" s="910"/>
      <c r="AP102" s="910"/>
      <c r="AQ102" s="910"/>
      <c r="AR102" s="910"/>
      <c r="AS102" s="910"/>
      <c r="AT102" s="910"/>
      <c r="AU102" s="910"/>
      <c r="AV102" s="910"/>
      <c r="AW102" s="910"/>
      <c r="AX102" s="910"/>
      <c r="AY102" s="910"/>
      <c r="AZ102" s="910"/>
      <c r="BA102" s="910"/>
      <c r="BB102" s="910"/>
      <c r="BC102" s="910"/>
      <c r="BD102" s="910"/>
      <c r="BE102" s="910"/>
      <c r="BF102" s="910"/>
      <c r="BG102" s="910"/>
      <c r="BH102" s="910"/>
      <c r="BI102" s="910"/>
      <c r="BJ102" s="910"/>
      <c r="BK102" s="1329"/>
      <c r="BL102" s="910"/>
      <c r="BM102" s="910"/>
      <c r="BN102" s="910"/>
      <c r="BO102" s="910"/>
      <c r="BP102" s="910"/>
      <c r="BQ102" s="910"/>
      <c r="BR102" s="910">
        <f t="shared" ref="BR102:CW102" si="604">IF(ABS(BR100-BR79)&gt;1,BR100-BR79,0)</f>
        <v>0</v>
      </c>
      <c r="BS102" s="910">
        <f t="shared" si="604"/>
        <v>0</v>
      </c>
      <c r="BT102" s="910">
        <f t="shared" si="604"/>
        <v>0</v>
      </c>
      <c r="BU102" s="910">
        <f t="shared" si="604"/>
        <v>0</v>
      </c>
      <c r="BV102" s="910">
        <f t="shared" si="604"/>
        <v>0</v>
      </c>
      <c r="BW102" s="910">
        <f t="shared" si="604"/>
        <v>0</v>
      </c>
      <c r="BX102" s="910">
        <f t="shared" si="604"/>
        <v>0</v>
      </c>
      <c r="BY102" s="910">
        <f t="shared" si="604"/>
        <v>0</v>
      </c>
      <c r="BZ102" s="910">
        <f t="shared" si="604"/>
        <v>0</v>
      </c>
      <c r="CA102" s="910">
        <f t="shared" si="604"/>
        <v>0</v>
      </c>
      <c r="CB102" s="910">
        <f t="shared" si="604"/>
        <v>0</v>
      </c>
      <c r="CC102" s="910">
        <f t="shared" si="604"/>
        <v>0</v>
      </c>
      <c r="CD102" s="910">
        <f t="shared" si="604"/>
        <v>0</v>
      </c>
      <c r="CE102" s="910">
        <f t="shared" si="604"/>
        <v>0</v>
      </c>
      <c r="CF102" s="910">
        <f t="shared" si="604"/>
        <v>0</v>
      </c>
      <c r="CG102" s="910">
        <f t="shared" si="604"/>
        <v>0</v>
      </c>
      <c r="CH102" s="910">
        <f t="shared" si="604"/>
        <v>0</v>
      </c>
      <c r="CI102" s="910">
        <f t="shared" si="604"/>
        <v>0</v>
      </c>
      <c r="CJ102" s="910">
        <f t="shared" si="604"/>
        <v>0</v>
      </c>
      <c r="CK102" s="910">
        <f t="shared" si="604"/>
        <v>0</v>
      </c>
      <c r="CL102" s="910">
        <f t="shared" si="604"/>
        <v>0</v>
      </c>
      <c r="CM102" s="910">
        <f t="shared" si="604"/>
        <v>0</v>
      </c>
      <c r="CN102" s="910">
        <f t="shared" si="604"/>
        <v>0</v>
      </c>
      <c r="CO102" s="910">
        <f t="shared" si="604"/>
        <v>0</v>
      </c>
      <c r="CP102" s="910">
        <f t="shared" si="604"/>
        <v>0</v>
      </c>
      <c r="CQ102" s="910">
        <f t="shared" si="604"/>
        <v>0</v>
      </c>
      <c r="CR102" s="910">
        <f t="shared" si="604"/>
        <v>0</v>
      </c>
      <c r="CS102" s="910">
        <f t="shared" si="604"/>
        <v>0</v>
      </c>
      <c r="CT102" s="910">
        <f t="shared" si="604"/>
        <v>0</v>
      </c>
      <c r="CU102" s="910">
        <f t="shared" si="604"/>
        <v>0</v>
      </c>
      <c r="CV102" s="910">
        <f t="shared" si="604"/>
        <v>0</v>
      </c>
      <c r="CW102" s="910">
        <f t="shared" si="604"/>
        <v>0</v>
      </c>
    </row>
    <row r="103" spans="1:103">
      <c r="E103" s="365"/>
      <c r="F103" s="365"/>
      <c r="G103" s="365"/>
      <c r="H103" s="365"/>
      <c r="I103" s="365"/>
      <c r="J103" s="365"/>
      <c r="K103" s="365"/>
      <c r="L103" s="365"/>
      <c r="M103" s="365"/>
      <c r="N103" s="365"/>
      <c r="AN103" s="99"/>
      <c r="AO103" s="99"/>
      <c r="AP103" s="111"/>
      <c r="AQ103" s="111"/>
      <c r="AR103" s="111"/>
      <c r="AS103" s="111"/>
      <c r="AT103" s="111"/>
      <c r="AU103" s="111"/>
      <c r="AV103" s="111"/>
      <c r="AW103" s="111"/>
      <c r="AX103" s="111"/>
      <c r="AY103" s="111"/>
      <c r="AZ103" s="111"/>
      <c r="BA103" s="111"/>
      <c r="BB103" s="111"/>
      <c r="BC103" s="111"/>
      <c r="BD103" s="111"/>
      <c r="BE103" s="111"/>
      <c r="BF103" s="111"/>
      <c r="BG103" s="111"/>
      <c r="BH103" s="1175"/>
      <c r="BI103" s="1175"/>
      <c r="BJ103" s="1175"/>
      <c r="BK103" s="1175"/>
      <c r="BS103" s="47"/>
    </row>
    <row r="104" spans="1:103">
      <c r="A104" s="291" t="s">
        <v>532</v>
      </c>
      <c r="B104" s="292">
        <f>Q_IS!B$4</f>
        <v>39903</v>
      </c>
      <c r="C104" s="292">
        <f>Q_IS!C$4</f>
        <v>39994</v>
      </c>
      <c r="D104" s="292">
        <f>Q_IS!D$4</f>
        <v>40086</v>
      </c>
      <c r="E104" s="292">
        <f>Q_IS!E$4</f>
        <v>40178</v>
      </c>
      <c r="F104" s="292">
        <f>Q_IS!F$4</f>
        <v>40268</v>
      </c>
      <c r="G104" s="292">
        <f>Q_IS!G$4</f>
        <v>40359</v>
      </c>
      <c r="H104" s="292">
        <f>Q_IS!H$4</f>
        <v>40451</v>
      </c>
      <c r="I104" s="292">
        <f>Q_IS!I$4</f>
        <v>40543</v>
      </c>
      <c r="J104" s="292">
        <f>Q_IS!J$4</f>
        <v>40633</v>
      </c>
      <c r="K104" s="292">
        <f>Q_IS!K$4</f>
        <v>40724</v>
      </c>
      <c r="L104" s="292">
        <f>Q_IS!L$4</f>
        <v>40816</v>
      </c>
      <c r="M104" s="292">
        <f>Q_IS!M$4</f>
        <v>40908</v>
      </c>
      <c r="N104" s="292">
        <f>Q_IS!N$4</f>
        <v>40999</v>
      </c>
      <c r="O104" s="292">
        <f>Q_IS!O$4</f>
        <v>41090</v>
      </c>
      <c r="P104" s="292">
        <f>Q_IS!P$4</f>
        <v>41182</v>
      </c>
      <c r="Q104" s="292">
        <f>Q_IS!Q$4</f>
        <v>41274</v>
      </c>
      <c r="R104" s="292">
        <f>Q_IS!R$4</f>
        <v>41364</v>
      </c>
      <c r="S104" s="292">
        <f>Q_IS!S$4</f>
        <v>41455</v>
      </c>
      <c r="T104" s="292">
        <f>Q_IS!T$4</f>
        <v>41547</v>
      </c>
      <c r="U104" s="292">
        <f>Q_IS!U$4</f>
        <v>41639</v>
      </c>
      <c r="V104" s="292">
        <f>Q_IS!V$4</f>
        <v>41729</v>
      </c>
      <c r="W104" s="292">
        <f>Q_IS!W$4</f>
        <v>41820</v>
      </c>
      <c r="X104" s="292">
        <f>Q_IS!X$4</f>
        <v>41912</v>
      </c>
      <c r="Y104" s="292">
        <f>Q_IS!Y$4</f>
        <v>42004</v>
      </c>
      <c r="Z104" s="292">
        <f>Q_IS!Z$4</f>
        <v>42094</v>
      </c>
      <c r="AA104" s="292">
        <f>Q_IS!AA$4</f>
        <v>42185</v>
      </c>
      <c r="AB104" s="292">
        <f>Q_IS!AB$4</f>
        <v>42277</v>
      </c>
      <c r="AC104" s="292">
        <f>Q_IS!AC$4</f>
        <v>42369</v>
      </c>
      <c r="AD104" s="292">
        <f>Q_IS!AD$4</f>
        <v>42460</v>
      </c>
      <c r="AE104" s="292">
        <f>Q_IS!AE$4</f>
        <v>42551</v>
      </c>
      <c r="AF104" s="292">
        <f>Q_IS!AF$4</f>
        <v>42643</v>
      </c>
      <c r="AG104" s="292">
        <f>Q_IS!AG$4</f>
        <v>42735</v>
      </c>
      <c r="AH104" s="292">
        <f>Q_IS!AH$4</f>
        <v>42825</v>
      </c>
      <c r="AI104" s="292">
        <f>Q_IS!AI$4</f>
        <v>42916</v>
      </c>
      <c r="AJ104" s="292">
        <f>Q_IS!AJ$4</f>
        <v>43008</v>
      </c>
      <c r="AK104" s="292">
        <f>Q_IS!AK$4</f>
        <v>43100</v>
      </c>
      <c r="AL104" s="292">
        <f>Q_IS!AL$4</f>
        <v>43190</v>
      </c>
      <c r="AM104" s="292">
        <f>Q_IS!AM$4</f>
        <v>43281</v>
      </c>
      <c r="AN104" s="292">
        <f>Q_IS!AN$4</f>
        <v>43373</v>
      </c>
      <c r="AO104" s="292">
        <f>Q_IS!AO$4</f>
        <v>43465</v>
      </c>
      <c r="AP104" s="292">
        <f>Q_IS!AP$4</f>
        <v>43555</v>
      </c>
      <c r="AQ104" s="292">
        <f>Q_IS!AQ$4</f>
        <v>43646</v>
      </c>
      <c r="AR104" s="292">
        <f>Q_IS!AR$4</f>
        <v>43738</v>
      </c>
      <c r="AS104" s="292">
        <f>Q_IS!AS$4</f>
        <v>43830</v>
      </c>
      <c r="AT104" s="292">
        <f>Q_IS!AT$4</f>
        <v>43921</v>
      </c>
      <c r="AU104" s="292">
        <f>Q_IS!AU$4</f>
        <v>44012</v>
      </c>
      <c r="AV104" s="292">
        <f>Q_IS!AV$4</f>
        <v>44104</v>
      </c>
      <c r="AW104" s="292">
        <f>Q_IS!AW$4</f>
        <v>44196</v>
      </c>
      <c r="AX104" s="292">
        <f>Q_IS!AX$4</f>
        <v>44286</v>
      </c>
      <c r="AY104" s="292">
        <f>Q_IS!AY$4</f>
        <v>44377</v>
      </c>
      <c r="AZ104" s="292">
        <f>Q_IS!AZ$4</f>
        <v>44469</v>
      </c>
      <c r="BA104" s="292">
        <f>Q_IS!BA$4</f>
        <v>44561</v>
      </c>
      <c r="BB104" s="292">
        <f>Q_IS!BB$4</f>
        <v>44651</v>
      </c>
      <c r="BC104" s="292">
        <f>Q_IS!BC$4</f>
        <v>44742</v>
      </c>
      <c r="BD104" s="292">
        <f>Q_IS!BD$4</f>
        <v>44834</v>
      </c>
      <c r="BE104" s="292">
        <f>Q_IS!BE$4</f>
        <v>44926</v>
      </c>
      <c r="BF104" s="292">
        <f>Q_IS!BF$4</f>
        <v>45016</v>
      </c>
      <c r="BG104" s="292">
        <f>Q_IS!BG$4</f>
        <v>45107</v>
      </c>
      <c r="BH104" s="292">
        <f>Q_IS!BH$4</f>
        <v>45199</v>
      </c>
      <c r="BI104" s="292">
        <f>Q_IS!BI$4</f>
        <v>45291</v>
      </c>
      <c r="BJ104" s="292">
        <f>Q_IS!BJ$4</f>
        <v>45382</v>
      </c>
      <c r="BK104" s="1300">
        <f>Q_IS!BK$4</f>
        <v>45473</v>
      </c>
      <c r="BL104" s="600">
        <f>Q_IS!BL$4</f>
        <v>45565</v>
      </c>
      <c r="BM104" s="600">
        <f>Q_IS!BM$4</f>
        <v>45657</v>
      </c>
      <c r="BN104" s="600">
        <f>Q_IS!BN$4</f>
        <v>45747</v>
      </c>
      <c r="BO104" s="600">
        <f>Q_IS!BO$4</f>
        <v>45838</v>
      </c>
      <c r="BP104" s="600">
        <f>Q_IS!BP$4</f>
        <v>45930</v>
      </c>
      <c r="BQ104" s="600">
        <f>Q_IS!BQ$4</f>
        <v>46022</v>
      </c>
      <c r="BR104" s="600">
        <f>Q_IS!BR$4</f>
        <v>46112</v>
      </c>
      <c r="BS104" s="600">
        <f>Q_IS!BS$4</f>
        <v>46203</v>
      </c>
      <c r="BT104" s="600">
        <f>Q_IS!BT$4</f>
        <v>46295</v>
      </c>
      <c r="BU104" s="600">
        <f>Q_IS!BU$4</f>
        <v>46387</v>
      </c>
      <c r="BV104" s="600">
        <f>Q_IS!BV$4</f>
        <v>46477</v>
      </c>
      <c r="BW104" s="600">
        <f>Q_IS!BW$4</f>
        <v>46568</v>
      </c>
      <c r="BX104" s="600">
        <f>Q_IS!BX$4</f>
        <v>46660</v>
      </c>
      <c r="BY104" s="600">
        <f>Q_IS!BY$4</f>
        <v>46752</v>
      </c>
      <c r="BZ104" s="600">
        <f>Q_IS!BZ$4</f>
        <v>46843</v>
      </c>
      <c r="CA104" s="600">
        <f>Q_IS!CA$4</f>
        <v>46934</v>
      </c>
      <c r="CB104" s="600">
        <f>Q_IS!CB$4</f>
        <v>47026</v>
      </c>
      <c r="CC104" s="600">
        <f>Q_IS!CC$4</f>
        <v>47118</v>
      </c>
      <c r="CD104" s="600">
        <f>Q_IS!CD$4</f>
        <v>47208</v>
      </c>
      <c r="CE104" s="600">
        <f>Q_IS!CE$4</f>
        <v>47299</v>
      </c>
      <c r="CF104" s="600">
        <f>Q_IS!CF$4</f>
        <v>47391</v>
      </c>
      <c r="CG104" s="600">
        <f>Q_IS!CG$4</f>
        <v>47483</v>
      </c>
      <c r="CH104" s="600">
        <f>Q_IS!CH$4</f>
        <v>47573</v>
      </c>
      <c r="CI104" s="600">
        <f>Q_IS!CI$4</f>
        <v>47664</v>
      </c>
      <c r="CJ104" s="600">
        <f>Q_IS!CJ$4</f>
        <v>47756</v>
      </c>
      <c r="CK104" s="600">
        <f>Q_IS!CK$4</f>
        <v>47848</v>
      </c>
      <c r="CL104" s="600">
        <f>Q_IS!CL$4</f>
        <v>47938</v>
      </c>
      <c r="CM104" s="600">
        <f>Q_IS!CM$4</f>
        <v>48029</v>
      </c>
      <c r="CN104" s="600">
        <f>Q_IS!CN$4</f>
        <v>48121</v>
      </c>
      <c r="CO104" s="600">
        <f>Q_IS!CO$4</f>
        <v>48213</v>
      </c>
      <c r="CP104" s="600">
        <f>Q_IS!CP$4</f>
        <v>48304</v>
      </c>
      <c r="CQ104" s="600">
        <f>Q_IS!CQ$4</f>
        <v>48395</v>
      </c>
      <c r="CR104" s="600">
        <f>Q_IS!CR$4</f>
        <v>48487</v>
      </c>
      <c r="CS104" s="600">
        <f>Q_IS!CS$4</f>
        <v>48579</v>
      </c>
      <c r="CT104" s="600">
        <f>Q_IS!CT$4</f>
        <v>48669</v>
      </c>
      <c r="CU104" s="600">
        <f>Q_IS!CU$4</f>
        <v>48760</v>
      </c>
      <c r="CV104" s="600">
        <f>Q_IS!CV$4</f>
        <v>48852</v>
      </c>
      <c r="CW104" s="600">
        <f>Q_IS!CW$4</f>
        <v>48944</v>
      </c>
    </row>
    <row r="105" spans="1:103">
      <c r="A105" s="13" t="s">
        <v>3</v>
      </c>
      <c r="B105" s="464">
        <f t="shared" ref="B105:AO105" si="605">B51</f>
        <v>-43.301000000000023</v>
      </c>
      <c r="C105" s="464">
        <f t="shared" si="605"/>
        <v>-41.907000000000131</v>
      </c>
      <c r="D105" s="464">
        <f t="shared" si="605"/>
        <v>64.426999999999737</v>
      </c>
      <c r="E105" s="464">
        <f t="shared" si="605"/>
        <v>124.52899999999985</v>
      </c>
      <c r="F105" s="464">
        <f t="shared" si="605"/>
        <v>-0.65799999999988446</v>
      </c>
      <c r="G105" s="464">
        <f t="shared" si="605"/>
        <v>98.703999999999979</v>
      </c>
      <c r="H105" s="464">
        <f t="shared" si="605"/>
        <v>16.437999999999942</v>
      </c>
      <c r="I105" s="464">
        <f t="shared" si="605"/>
        <v>36.741999999999813</v>
      </c>
      <c r="J105" s="464">
        <f t="shared" si="605"/>
        <v>13.282000000000078</v>
      </c>
      <c r="K105" s="464">
        <f t="shared" si="605"/>
        <v>50.061000000000277</v>
      </c>
      <c r="L105" s="464">
        <f t="shared" si="605"/>
        <v>82.179000000000116</v>
      </c>
      <c r="M105" s="464">
        <f t="shared" si="605"/>
        <v>64.121999999999943</v>
      </c>
      <c r="N105" s="464">
        <f t="shared" si="605"/>
        <v>17.043999999999834</v>
      </c>
      <c r="O105" s="464">
        <f t="shared" si="605"/>
        <v>132.85499999999971</v>
      </c>
      <c r="P105" s="464">
        <f t="shared" si="605"/>
        <v>84.255999999999887</v>
      </c>
      <c r="Q105" s="464">
        <f t="shared" si="605"/>
        <v>132.40999999999991</v>
      </c>
      <c r="R105" s="464">
        <f t="shared" si="605"/>
        <v>65.149000000000115</v>
      </c>
      <c r="S105" s="464">
        <f t="shared" si="605"/>
        <v>157.44300000000004</v>
      </c>
      <c r="T105" s="464">
        <f t="shared" si="605"/>
        <v>183.82299999999978</v>
      </c>
      <c r="U105" s="464">
        <f t="shared" si="605"/>
        <v>274.5980000000003</v>
      </c>
      <c r="V105" s="464">
        <f t="shared" si="605"/>
        <v>86.735000000000156</v>
      </c>
      <c r="W105" s="464">
        <f t="shared" si="605"/>
        <v>88.162999999999911</v>
      </c>
      <c r="X105" s="464">
        <f t="shared" si="605"/>
        <v>194.54700000000045</v>
      </c>
      <c r="Y105" s="464">
        <f t="shared" si="605"/>
        <v>297.22099999999966</v>
      </c>
      <c r="Z105" s="464">
        <f t="shared" si="605"/>
        <v>298.81400000000133</v>
      </c>
      <c r="AA105" s="464">
        <f t="shared" si="605"/>
        <v>92.592999999999847</v>
      </c>
      <c r="AB105" s="464">
        <f t="shared" si="605"/>
        <v>120.26199999999994</v>
      </c>
      <c r="AC105" s="464">
        <f t="shared" si="605"/>
        <v>469.53699999999924</v>
      </c>
      <c r="AD105" s="464">
        <f t="shared" si="605"/>
        <v>34.092000000000269</v>
      </c>
      <c r="AE105" s="464">
        <f t="shared" si="605"/>
        <v>210.31999999999888</v>
      </c>
      <c r="AF105" s="464">
        <f t="shared" si="605"/>
        <v>164.80799999999996</v>
      </c>
      <c r="AG105" s="464">
        <f t="shared" si="605"/>
        <v>587.25200000000029</v>
      </c>
      <c r="AH105" s="464">
        <f t="shared" si="605"/>
        <v>172.08199999999974</v>
      </c>
      <c r="AI105" s="464">
        <f t="shared" si="605"/>
        <v>59.435000000000365</v>
      </c>
      <c r="AJ105" s="464">
        <f t="shared" si="605"/>
        <v>206.30399999999892</v>
      </c>
      <c r="AK105" s="464">
        <f t="shared" si="605"/>
        <v>651.64800000000059</v>
      </c>
      <c r="AL105" s="464">
        <f t="shared" si="605"/>
        <v>198.39900000000003</v>
      </c>
      <c r="AM105" s="237">
        <f t="shared" si="605"/>
        <v>204.69599999999988</v>
      </c>
      <c r="AN105" s="237">
        <f t="shared" si="605"/>
        <v>299.92100000000045</v>
      </c>
      <c r="AO105" s="237">
        <f t="shared" si="605"/>
        <v>250.23699999999874</v>
      </c>
      <c r="AP105" s="237">
        <f t="shared" ref="AP105:AU105" si="606">AP49</f>
        <v>106.47100000000003</v>
      </c>
      <c r="AQ105" s="237">
        <f t="shared" si="606"/>
        <v>173.29000000000138</v>
      </c>
      <c r="AR105" s="237">
        <f t="shared" si="606"/>
        <v>190.60599999999855</v>
      </c>
      <c r="AS105" s="237">
        <f t="shared" si="606"/>
        <v>456.30299999999926</v>
      </c>
      <c r="AT105" s="237">
        <f t="shared" si="606"/>
        <v>-279.94900000000041</v>
      </c>
      <c r="AU105" s="237">
        <f t="shared" si="606"/>
        <v>-2595.4480000000008</v>
      </c>
      <c r="AV105" s="237">
        <f t="shared" ref="AV105:BC105" si="607">AV49</f>
        <v>-476.11100000000073</v>
      </c>
      <c r="AW105" s="237">
        <f t="shared" si="607"/>
        <v>165.46099999999987</v>
      </c>
      <c r="AX105" s="237">
        <f t="shared" si="607"/>
        <v>-312.10800000000006</v>
      </c>
      <c r="AY105" s="237">
        <f t="shared" si="607"/>
        <v>139.00099999999961</v>
      </c>
      <c r="AZ105" s="237">
        <f t="shared" si="607"/>
        <v>173.02799999999945</v>
      </c>
      <c r="BA105" s="237">
        <f t="shared" si="607"/>
        <v>835.20900000000006</v>
      </c>
      <c r="BB105" s="1873">
        <f t="shared" si="607"/>
        <v>525.44199999999989</v>
      </c>
      <c r="BC105" s="1873">
        <f t="shared" si="607"/>
        <v>211.42200000000017</v>
      </c>
      <c r="BD105" s="1873">
        <f t="shared" ref="BD105:BJ105" si="608">BD49</f>
        <v>316.76199999999852</v>
      </c>
      <c r="BE105" s="1873">
        <f t="shared" si="608"/>
        <v>578.70899999999972</v>
      </c>
      <c r="BF105" s="1873">
        <f t="shared" ref="BF105:BI105" si="609">BF49</f>
        <v>588.22499999999991</v>
      </c>
      <c r="BG105" s="1873">
        <f t="shared" si="609"/>
        <v>443.80899999999946</v>
      </c>
      <c r="BH105" s="1873">
        <f t="shared" si="609"/>
        <v>494.62499999999784</v>
      </c>
      <c r="BI105" s="1873">
        <f t="shared" si="609"/>
        <v>1404.0699999999995</v>
      </c>
      <c r="BJ105" s="1873">
        <f t="shared" si="608"/>
        <v>404.12800000000078</v>
      </c>
      <c r="BK105" s="1874">
        <f t="shared" ref="BK105" si="610">BK49</f>
        <v>140.07700000000168</v>
      </c>
      <c r="BL105" s="419">
        <f t="shared" ref="BL105:CW105" si="611">BL49</f>
        <v>49.130671279046084</v>
      </c>
      <c r="BM105" s="419">
        <f t="shared" si="611"/>
        <v>530.22061296978973</v>
      </c>
      <c r="BN105" s="419">
        <f t="shared" si="611"/>
        <v>170.07198532931281</v>
      </c>
      <c r="BO105" s="419">
        <f t="shared" si="611"/>
        <v>439.58833410908449</v>
      </c>
      <c r="BP105" s="419">
        <f t="shared" si="611"/>
        <v>647.73288712515387</v>
      </c>
      <c r="BQ105" s="419">
        <f t="shared" si="611"/>
        <v>643.79855534116416</v>
      </c>
      <c r="BR105" s="419">
        <f t="shared" si="611"/>
        <v>85.492769960986266</v>
      </c>
      <c r="BS105" s="419">
        <f t="shared" si="611"/>
        <v>754.97976189672306</v>
      </c>
      <c r="BT105" s="419">
        <f t="shared" si="611"/>
        <v>840.41966169092984</v>
      </c>
      <c r="BU105" s="419">
        <f t="shared" si="611"/>
        <v>1125.0108136285567</v>
      </c>
      <c r="BV105" s="419">
        <f t="shared" si="611"/>
        <v>726.89887601543739</v>
      </c>
      <c r="BW105" s="419">
        <f t="shared" si="611"/>
        <v>994.42627982835586</v>
      </c>
      <c r="BX105" s="419">
        <f t="shared" si="611"/>
        <v>966.22255717766279</v>
      </c>
      <c r="BY105" s="419">
        <f t="shared" si="611"/>
        <v>1154.2206543945758</v>
      </c>
      <c r="BZ105" s="419">
        <f t="shared" si="611"/>
        <v>795.10462599517405</v>
      </c>
      <c r="CA105" s="419">
        <f t="shared" si="611"/>
        <v>1087.5931040423361</v>
      </c>
      <c r="CB105" s="419">
        <f t="shared" si="611"/>
        <v>1022.5357144567292</v>
      </c>
      <c r="CC105" s="419">
        <f t="shared" si="611"/>
        <v>1155.4831853559367</v>
      </c>
      <c r="CD105" s="419">
        <f t="shared" si="611"/>
        <v>871.86229630464766</v>
      </c>
      <c r="CE105" s="419">
        <f t="shared" si="611"/>
        <v>1162.0664514350742</v>
      </c>
      <c r="CF105" s="419">
        <f t="shared" si="611"/>
        <v>1100.0647078305515</v>
      </c>
      <c r="CG105" s="419">
        <f t="shared" si="611"/>
        <v>1248.4202947863062</v>
      </c>
      <c r="CH105" s="419">
        <f t="shared" si="611"/>
        <v>938.93530942831808</v>
      </c>
      <c r="CI105" s="419">
        <f t="shared" si="611"/>
        <v>1230.0054774886098</v>
      </c>
      <c r="CJ105" s="419">
        <f t="shared" si="611"/>
        <v>1172.7611562460847</v>
      </c>
      <c r="CK105" s="419">
        <f t="shared" si="611"/>
        <v>1337.476469299118</v>
      </c>
      <c r="CL105" s="419">
        <f t="shared" si="611"/>
        <v>1007.6026479626109</v>
      </c>
      <c r="CM105" s="419">
        <f t="shared" si="611"/>
        <v>1299.1739417040503</v>
      </c>
      <c r="CN105" s="419">
        <f t="shared" si="611"/>
        <v>1246.6703456364442</v>
      </c>
      <c r="CO105" s="419">
        <f t="shared" si="611"/>
        <v>1428.6903924614335</v>
      </c>
      <c r="CP105" s="419">
        <f t="shared" si="611"/>
        <v>1074.7217164011254</v>
      </c>
      <c r="CQ105" s="419">
        <f t="shared" si="611"/>
        <v>1365.6224958656776</v>
      </c>
      <c r="CR105" s="419">
        <f t="shared" si="611"/>
        <v>1318.8296739512398</v>
      </c>
      <c r="CS105" s="419">
        <f t="shared" si="611"/>
        <v>1517.4429944047151</v>
      </c>
      <c r="CT105" s="419">
        <f t="shared" si="611"/>
        <v>1139.8230115613362</v>
      </c>
      <c r="CU105" s="419">
        <f t="shared" si="611"/>
        <v>1432.1165726522222</v>
      </c>
      <c r="CV105" s="419">
        <f t="shared" si="611"/>
        <v>1388.4255521582704</v>
      </c>
      <c r="CW105" s="419">
        <f t="shared" si="611"/>
        <v>1603.7250697479922</v>
      </c>
      <c r="CY105" s="254"/>
    </row>
    <row r="106" spans="1:103">
      <c r="A106" s="13" t="s">
        <v>588</v>
      </c>
      <c r="B106" s="464"/>
      <c r="C106" s="464"/>
      <c r="D106" s="464"/>
      <c r="E106" s="464"/>
      <c r="F106" s="464"/>
      <c r="G106" s="464"/>
      <c r="H106" s="464"/>
      <c r="I106" s="464"/>
      <c r="J106" s="464"/>
      <c r="K106" s="464"/>
      <c r="L106" s="464"/>
      <c r="M106" s="464"/>
      <c r="N106" s="464"/>
      <c r="O106" s="464"/>
      <c r="P106" s="464"/>
      <c r="Q106" s="464"/>
      <c r="R106" s="464"/>
      <c r="S106" s="464"/>
      <c r="T106" s="464"/>
      <c r="U106" s="464"/>
      <c r="V106" s="464"/>
      <c r="W106" s="464"/>
      <c r="X106" s="464"/>
      <c r="Y106" s="464"/>
      <c r="Z106" s="464"/>
      <c r="AA106" s="464"/>
      <c r="AB106" s="464"/>
      <c r="AC106" s="464"/>
      <c r="AD106" s="464"/>
      <c r="AE106" s="464"/>
      <c r="AF106" s="464"/>
      <c r="AG106" s="464"/>
      <c r="AH106" s="464"/>
      <c r="AI106" s="464"/>
      <c r="AJ106" s="464"/>
      <c r="AK106" s="464"/>
      <c r="AL106" s="464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1176"/>
      <c r="BL106" s="419"/>
      <c r="BM106" s="419"/>
      <c r="BN106" s="419"/>
      <c r="BO106" s="419"/>
      <c r="BP106" s="419"/>
      <c r="BQ106" s="419"/>
      <c r="BR106" s="419"/>
      <c r="BS106" s="419"/>
      <c r="BT106" s="419"/>
      <c r="BU106" s="419"/>
      <c r="BV106" s="419"/>
      <c r="BW106" s="419"/>
      <c r="BX106" s="419"/>
      <c r="BY106" s="419"/>
      <c r="BZ106" s="419"/>
      <c r="CA106" s="419"/>
      <c r="CB106" s="419"/>
      <c r="CC106" s="419"/>
      <c r="CD106" s="419"/>
      <c r="CE106" s="419"/>
      <c r="CF106" s="419"/>
      <c r="CG106" s="419"/>
      <c r="CH106" s="419"/>
      <c r="CI106" s="419"/>
      <c r="CJ106" s="419"/>
      <c r="CK106" s="419"/>
      <c r="CL106" s="419"/>
      <c r="CM106" s="419"/>
      <c r="CN106" s="419"/>
      <c r="CO106" s="419"/>
      <c r="CP106" s="419"/>
      <c r="CQ106" s="419"/>
      <c r="CR106" s="419"/>
      <c r="CS106" s="419"/>
      <c r="CT106" s="419"/>
      <c r="CU106" s="419"/>
      <c r="CV106" s="419"/>
      <c r="CW106" s="419"/>
      <c r="CY106" s="254"/>
    </row>
    <row r="107" spans="1:103">
      <c r="A107" s="36" t="s">
        <v>367</v>
      </c>
      <c r="B107" s="96">
        <f>CF!J8</f>
        <v>169.16900000000001</v>
      </c>
      <c r="C107" s="96">
        <f>CF!K8</f>
        <v>341.77100000000002</v>
      </c>
      <c r="D107" s="96">
        <f>CF!L8</f>
        <v>-6.4870000000000516</v>
      </c>
      <c r="E107" s="96">
        <f>CF!M8</f>
        <v>160.71400000000008</v>
      </c>
      <c r="F107" s="96">
        <f>CF!N8</f>
        <v>168.875</v>
      </c>
      <c r="G107" s="96">
        <f>CF!O8</f>
        <v>160.601</v>
      </c>
      <c r="H107" s="96">
        <f>CF!P8</f>
        <v>164.47500000000002</v>
      </c>
      <c r="I107" s="96">
        <f>CF!Q8</f>
        <v>181.08199999999999</v>
      </c>
      <c r="J107" s="96">
        <f>CF!R8</f>
        <v>177.20599999999999</v>
      </c>
      <c r="K107" s="96">
        <f>CF!S8</f>
        <v>184.21799999999999</v>
      </c>
      <c r="L107" s="96">
        <f>CF!T8</f>
        <v>180.29100000000008</v>
      </c>
      <c r="M107" s="96">
        <f>CF!U8</f>
        <v>182.13699999999997</v>
      </c>
      <c r="N107" s="96">
        <f>CF!V8</f>
        <v>185.19900000000001</v>
      </c>
      <c r="O107" s="96">
        <f>CF!W8</f>
        <v>202.31</v>
      </c>
      <c r="P107" s="96">
        <f>CF!X8</f>
        <v>210.16800000000001</v>
      </c>
      <c r="Q107" s="96">
        <f>CF!Y8</f>
        <v>213.62099999999998</v>
      </c>
      <c r="R107" s="96">
        <f>CF!Z8</f>
        <v>204.09899999999999</v>
      </c>
      <c r="S107" s="96">
        <f>CF!AA8</f>
        <v>230.19600000000003</v>
      </c>
      <c r="T107" s="96">
        <f>CF!AB8</f>
        <v>240.52500000000003</v>
      </c>
      <c r="U107" s="96">
        <f>CF!AC8</f>
        <v>248.30099999999999</v>
      </c>
      <c r="V107" s="96">
        <f>CF!AD8</f>
        <v>245.75299999999999</v>
      </c>
      <c r="W107" s="96">
        <f>CF!AE8</f>
        <v>311.56099999999998</v>
      </c>
      <c r="X107" s="96">
        <f>CF!AF8</f>
        <v>355.95</v>
      </c>
      <c r="Y107" s="96">
        <f>CF!AG8</f>
        <v>420.05599999999998</v>
      </c>
      <c r="Z107" s="96">
        <f>CF!AH8</f>
        <v>431.24400000000003</v>
      </c>
      <c r="AA107" s="96">
        <f>CF!AI8</f>
        <v>450.29899999999998</v>
      </c>
      <c r="AB107" s="96">
        <f>CF!AJ8</f>
        <v>492.45300000000009</v>
      </c>
      <c r="AC107" s="96">
        <f>CF!AK8</f>
        <v>573.90099999999995</v>
      </c>
      <c r="AD107" s="99">
        <f>CF!AL8</f>
        <v>548.78200000000004</v>
      </c>
      <c r="AE107" s="99">
        <f>CF!AM8</f>
        <v>580.17299999999989</v>
      </c>
      <c r="AF107" s="99">
        <f>CF!AN8</f>
        <v>584.04300000000023</v>
      </c>
      <c r="AG107" s="99">
        <f>CF!AO8</f>
        <v>675.23700000000019</v>
      </c>
      <c r="AH107" s="99">
        <f>CF!AP8</f>
        <v>673.96199999999999</v>
      </c>
      <c r="AI107" s="99">
        <f>CF!AQ8</f>
        <v>659.40100000000007</v>
      </c>
      <c r="AJ107" s="99">
        <f>CF!AR8</f>
        <v>663.125</v>
      </c>
      <c r="AK107" s="99">
        <f>CF!AS8</f>
        <v>755.18799999999987</v>
      </c>
      <c r="AL107" s="99">
        <f>CF!AT8</f>
        <v>754.327</v>
      </c>
      <c r="AM107" s="99">
        <f>CF!AU8</f>
        <v>741.63799999999992</v>
      </c>
      <c r="AN107" s="99">
        <f>CF!AV8</f>
        <v>711.2650000000001</v>
      </c>
      <c r="AO107" s="99">
        <f>CF!AW8</f>
        <v>815.95800000000008</v>
      </c>
      <c r="AP107" s="99">
        <f>CF!AX8</f>
        <v>986.25599999999997</v>
      </c>
      <c r="AQ107" s="99">
        <f>CF!AY8</f>
        <v>943.774</v>
      </c>
      <c r="AR107" s="99">
        <f>CF!AZ8</f>
        <v>936.52000000000032</v>
      </c>
      <c r="AS107" s="99">
        <f>CF!BA8</f>
        <v>1215.2359999999999</v>
      </c>
      <c r="AT107" s="99">
        <f>CF!BB8</f>
        <v>1029.412</v>
      </c>
      <c r="AU107" s="99">
        <f>CF!BC8</f>
        <v>1186.7009999999998</v>
      </c>
      <c r="AV107" s="99">
        <f>CF!BD8</f>
        <v>1024.1930000000004</v>
      </c>
      <c r="AW107" s="99">
        <f>CF!BE8</f>
        <v>1113.0579999999993</v>
      </c>
      <c r="AX107" s="99">
        <f>CF!BF8</f>
        <v>924.75099999999998</v>
      </c>
      <c r="AY107" s="99">
        <f>CF!BG8</f>
        <v>948.34300000000007</v>
      </c>
      <c r="AZ107" s="99">
        <f>CF!BH8</f>
        <v>906.15499999999975</v>
      </c>
      <c r="BA107" s="99">
        <f>CF!BI8</f>
        <v>727.27800000000025</v>
      </c>
      <c r="BB107" s="99">
        <f>CF!BJ8</f>
        <v>809.755</v>
      </c>
      <c r="BC107" s="99">
        <f>CF!BK8</f>
        <v>797.96500000000003</v>
      </c>
      <c r="BD107" s="99">
        <f>CF!BL8</f>
        <v>816.93</v>
      </c>
      <c r="BE107" s="99">
        <f>CF!BM8</f>
        <v>926.3449999999998</v>
      </c>
      <c r="BF107" s="99">
        <f>CF!BN8</f>
        <v>975.60400000000004</v>
      </c>
      <c r="BG107" s="99">
        <f>CF!BO8</f>
        <v>1052.0419999999999</v>
      </c>
      <c r="BH107" s="99">
        <f>CF!BP8</f>
        <v>990.71699999999987</v>
      </c>
      <c r="BI107" s="99">
        <f>CF!BQ8</f>
        <v>895.24099999999999</v>
      </c>
      <c r="BJ107" s="99">
        <f>CF!BR8</f>
        <v>1009.179</v>
      </c>
      <c r="BK107" s="1173">
        <f>CF!BS8</f>
        <v>1040.1680000000001</v>
      </c>
      <c r="BL107" s="307">
        <f>Q_BS!BL38</f>
        <v>1079.3370951699237</v>
      </c>
      <c r="BM107" s="307">
        <f>Q_BS!BM38</f>
        <v>998.64321553060017</v>
      </c>
      <c r="BN107" s="307">
        <f>Q_BS!BN38</f>
        <v>1110.0173421545605</v>
      </c>
      <c r="BO107" s="307">
        <f>Q_BS!BO38</f>
        <v>1169.8559332582136</v>
      </c>
      <c r="BP107" s="307">
        <f>Q_BS!BP38</f>
        <v>1141.4255824512677</v>
      </c>
      <c r="BQ107" s="307">
        <f>Q_BS!BQ38</f>
        <v>1055.6542329951003</v>
      </c>
      <c r="BR107" s="307">
        <f>Q_BS!BR38</f>
        <v>1158.9711804435926</v>
      </c>
      <c r="BS107" s="307">
        <f>Q_BS!BS38</f>
        <v>1213.6049664882962</v>
      </c>
      <c r="BT107" s="307">
        <f>Q_BS!BT38</f>
        <v>1184.628209643168</v>
      </c>
      <c r="BU107" s="307">
        <f>Q_BS!BU38</f>
        <v>1101.7787747739694</v>
      </c>
      <c r="BV107" s="307">
        <f>Q_BS!BV38</f>
        <v>1196.3420399479401</v>
      </c>
      <c r="BW107" s="307">
        <f>Q_BS!BW38</f>
        <v>1248.4930769401651</v>
      </c>
      <c r="BX107" s="307">
        <f>Q_BS!BX38</f>
        <v>1221.5711017089588</v>
      </c>
      <c r="BY107" s="307">
        <f>Q_BS!BY38</f>
        <v>1143.9739879943038</v>
      </c>
      <c r="BZ107" s="307">
        <f>Q_BS!BZ38</f>
        <v>1242.7023125682226</v>
      </c>
      <c r="CA107" s="307">
        <f>Q_BS!CA38</f>
        <v>1265.6019117942135</v>
      </c>
      <c r="CB107" s="307">
        <f>Q_BS!CB38</f>
        <v>1279.1789205595851</v>
      </c>
      <c r="CC107" s="307">
        <f>Q_BS!CC38</f>
        <v>1293.3149784432658</v>
      </c>
      <c r="CD107" s="307">
        <f>Q_BS!CD38</f>
        <v>1400.8760696827246</v>
      </c>
      <c r="CE107" s="307">
        <f>Q_BS!CE38</f>
        <v>1432.2962822928512</v>
      </c>
      <c r="CF107" s="307">
        <f>Q_BS!CF38</f>
        <v>1446.0253448353528</v>
      </c>
      <c r="CG107" s="307">
        <f>Q_BS!CG38</f>
        <v>1460.5469580103734</v>
      </c>
      <c r="CH107" s="307">
        <f>Q_BS!CH38</f>
        <v>1573.3291085616988</v>
      </c>
      <c r="CI107" s="307">
        <f>Q_BS!CI38</f>
        <v>1612.5068324342103</v>
      </c>
      <c r="CJ107" s="307">
        <f>Q_BS!CJ38</f>
        <v>1624.0611379055249</v>
      </c>
      <c r="CK107" s="307">
        <f>Q_BS!CK38</f>
        <v>1636.7740423295049</v>
      </c>
      <c r="CL107" s="307">
        <f>Q_BS!CL38</f>
        <v>1749.2503709479677</v>
      </c>
      <c r="CM107" s="307">
        <f>Q_BS!CM38</f>
        <v>1799.2881410660655</v>
      </c>
      <c r="CN107" s="307">
        <f>Q_BS!CN38</f>
        <v>1810.3030501289245</v>
      </c>
      <c r="CO107" s="307">
        <f>Q_BS!CO38</f>
        <v>1822.8711631056476</v>
      </c>
      <c r="CP107" s="307">
        <f>Q_BS!CP38</f>
        <v>1937.6831395694323</v>
      </c>
      <c r="CQ107" s="307">
        <f>Q_BS!CQ38</f>
        <v>1999.7948593680294</v>
      </c>
      <c r="CR107" s="307">
        <f>Q_BS!CR38</f>
        <v>2009.9181621549333</v>
      </c>
      <c r="CS107" s="307">
        <f>Q_BS!CS38</f>
        <v>2022.0953363765193</v>
      </c>
      <c r="CT107" s="307">
        <f>Q_BS!CT38</f>
        <v>2138.2751547729204</v>
      </c>
      <c r="CU107" s="307">
        <f>Q_BS!CU38</f>
        <v>2213.7157240830011</v>
      </c>
      <c r="CV107" s="307">
        <f>Q_BS!CV38</f>
        <v>2222.6102600388676</v>
      </c>
      <c r="CW107" s="307">
        <f>Q_BS!CW38</f>
        <v>2234.1762869702638</v>
      </c>
      <c r="CY107" s="254"/>
    </row>
    <row r="108" spans="1:103">
      <c r="A108" s="36" t="s">
        <v>1254</v>
      </c>
      <c r="B108" s="96">
        <f>+CF!J9</f>
        <v>0</v>
      </c>
      <c r="C108" s="96">
        <f>+CF!K9</f>
        <v>0</v>
      </c>
      <c r="D108" s="96">
        <f>+CF!L9</f>
        <v>0</v>
      </c>
      <c r="E108" s="96">
        <f>+CF!M9</f>
        <v>0</v>
      </c>
      <c r="F108" s="96">
        <f>+CF!N9</f>
        <v>0</v>
      </c>
      <c r="G108" s="96">
        <f>+CF!O9</f>
        <v>0</v>
      </c>
      <c r="H108" s="96">
        <f>+CF!P9</f>
        <v>0</v>
      </c>
      <c r="I108" s="96">
        <f>+CF!Q9</f>
        <v>0</v>
      </c>
      <c r="J108" s="96">
        <f>+CF!R9</f>
        <v>0</v>
      </c>
      <c r="K108" s="96">
        <f>+CF!S9</f>
        <v>0</v>
      </c>
      <c r="L108" s="96">
        <f>+CF!T9</f>
        <v>0</v>
      </c>
      <c r="M108" s="96">
        <f>+CF!U9</f>
        <v>0</v>
      </c>
      <c r="N108" s="96">
        <f>+CF!V9</f>
        <v>0</v>
      </c>
      <c r="O108" s="96">
        <f>+CF!W9</f>
        <v>0</v>
      </c>
      <c r="P108" s="96">
        <f>+CF!X9</f>
        <v>0</v>
      </c>
      <c r="Q108" s="96">
        <f>+CF!Y9</f>
        <v>0</v>
      </c>
      <c r="R108" s="96">
        <f>+CF!Z9</f>
        <v>0</v>
      </c>
      <c r="S108" s="96">
        <f>+CF!AA9</f>
        <v>0</v>
      </c>
      <c r="T108" s="96">
        <f>+CF!AB9</f>
        <v>0</v>
      </c>
      <c r="U108" s="96">
        <f>+CF!AC9</f>
        <v>0</v>
      </c>
      <c r="V108" s="96">
        <f>+CF!AD9</f>
        <v>0</v>
      </c>
      <c r="W108" s="96">
        <f>+CF!AE9</f>
        <v>0</v>
      </c>
      <c r="X108" s="96">
        <f>+CF!AF9</f>
        <v>0</v>
      </c>
      <c r="Y108" s="96">
        <f>+CF!AG9</f>
        <v>0</v>
      </c>
      <c r="Z108" s="96">
        <f>+CF!AH9</f>
        <v>0</v>
      </c>
      <c r="AA108" s="96">
        <f>+CF!AI9</f>
        <v>0</v>
      </c>
      <c r="AB108" s="96">
        <f>+CF!AJ9</f>
        <v>0</v>
      </c>
      <c r="AC108" s="96">
        <f>+CF!AK9</f>
        <v>0</v>
      </c>
      <c r="AD108" s="99">
        <f>+CF!AL9</f>
        <v>0</v>
      </c>
      <c r="AE108" s="99">
        <f>+CF!AM9</f>
        <v>0</v>
      </c>
      <c r="AF108" s="99">
        <f>+CF!AN9</f>
        <v>0</v>
      </c>
      <c r="AG108" s="99">
        <f>+CF!AO9</f>
        <v>0</v>
      </c>
      <c r="AH108" s="99">
        <f>+CF!AP9</f>
        <v>0</v>
      </c>
      <c r="AI108" s="99">
        <f>+CF!AQ9</f>
        <v>0</v>
      </c>
      <c r="AJ108" s="99">
        <f>+CF!AR9</f>
        <v>0</v>
      </c>
      <c r="AK108" s="99">
        <f>+CF!AS9</f>
        <v>0</v>
      </c>
      <c r="AL108" s="99">
        <f>+CF!AT9</f>
        <v>0</v>
      </c>
      <c r="AM108" s="99">
        <f>+CF!AU9</f>
        <v>0</v>
      </c>
      <c r="AN108" s="99">
        <f>+CF!AV9</f>
        <v>0</v>
      </c>
      <c r="AO108" s="99">
        <f>+CF!AW9</f>
        <v>0</v>
      </c>
      <c r="AP108" s="99">
        <f>+CF!AX9</f>
        <v>60.994</v>
      </c>
      <c r="AQ108" s="99">
        <f>+CF!AY9</f>
        <v>1758.807</v>
      </c>
      <c r="AR108" s="99">
        <f>+CF!AZ9</f>
        <v>-1819.8009999999999</v>
      </c>
      <c r="AS108" s="99">
        <f>+CF!BA9</f>
        <v>0</v>
      </c>
      <c r="AT108" s="99">
        <f>+CF!BB9</f>
        <v>219.03899999999999</v>
      </c>
      <c r="AU108" s="99">
        <f>+CF!BC9</f>
        <v>1730.777</v>
      </c>
      <c r="AV108" s="99">
        <f>+CF!BD9</f>
        <v>1004.271</v>
      </c>
      <c r="AW108" s="99">
        <f>+CF!BE9</f>
        <v>1127.7390000000003</v>
      </c>
      <c r="AX108" s="99">
        <f>+CF!BF9</f>
        <v>1081.7349999999999</v>
      </c>
      <c r="AY108" s="99">
        <f>+CF!BG9</f>
        <v>-732.19599999999991</v>
      </c>
      <c r="AZ108" s="99">
        <f>+CF!BH9</f>
        <v>2784.777</v>
      </c>
      <c r="BA108" s="99">
        <f>+CF!BI9</f>
        <v>1537.4859999999996</v>
      </c>
      <c r="BB108" s="99">
        <f>+CF!BJ9</f>
        <v>1212.691</v>
      </c>
      <c r="BC108" s="99">
        <f>+CF!BK9</f>
        <v>1149.9460000000001</v>
      </c>
      <c r="BD108" s="99">
        <f>+CF!BL9</f>
        <v>1116.0079999999996</v>
      </c>
      <c r="BE108" s="99">
        <f>+CF!BM9</f>
        <v>878.65700000000015</v>
      </c>
      <c r="BF108" s="99">
        <f>+CF!BN9</f>
        <v>1072.2629999999999</v>
      </c>
      <c r="BG108" s="99">
        <f>+CF!BO9</f>
        <v>1042.6420000000003</v>
      </c>
      <c r="BH108" s="99">
        <f>+CF!BP9</f>
        <v>1009.6009999999997</v>
      </c>
      <c r="BI108" s="99">
        <f>+CF!BQ9</f>
        <v>1021.9190000000003</v>
      </c>
      <c r="BJ108" s="99">
        <f>+CF!BR9</f>
        <v>943.62400000000002</v>
      </c>
      <c r="BK108" s="1173">
        <f>+CF!BS9</f>
        <v>1009.9780000000001</v>
      </c>
      <c r="BL108" s="307">
        <f>+Q_BS!BL57</f>
        <v>1170.95350828552</v>
      </c>
      <c r="BM108" s="307">
        <f>+Q_BS!BM57</f>
        <v>1106.1540279999028</v>
      </c>
      <c r="BN108" s="307">
        <f>+Q_BS!BN57</f>
        <v>1097.4985516785925</v>
      </c>
      <c r="BO108" s="307">
        <f>+Q_BS!BO57</f>
        <v>1087.9554709278959</v>
      </c>
      <c r="BP108" s="307">
        <f>+Q_BS!BP57</f>
        <v>1080.0828827039277</v>
      </c>
      <c r="BQ108" s="307">
        <f>+Q_BS!BQ57</f>
        <v>1083.0564500773119</v>
      </c>
      <c r="BR108" s="307">
        <f>+Q_BS!BR57</f>
        <v>1089.9488459548324</v>
      </c>
      <c r="BS108" s="307">
        <f>+Q_BS!BS57</f>
        <v>1092.1063772637115</v>
      </c>
      <c r="BT108" s="307">
        <f>+Q_BS!BT57</f>
        <v>1089.018826612896</v>
      </c>
      <c r="BU108" s="307">
        <f>+Q_BS!BU57</f>
        <v>1093.4173086109765</v>
      </c>
      <c r="BV108" s="307">
        <f>+Q_BS!BV57</f>
        <v>1101.1004786386181</v>
      </c>
      <c r="BW108" s="307">
        <f>+Q_BS!BW57</f>
        <v>1103.9706322395623</v>
      </c>
      <c r="BX108" s="307">
        <f>+Q_BS!BX57</f>
        <v>1102.0286327185045</v>
      </c>
      <c r="BY108" s="307">
        <f>+Q_BS!BY57</f>
        <v>1107.501120657616</v>
      </c>
      <c r="BZ108" s="307">
        <f>+Q_BS!BZ57</f>
        <v>1115.0634352635939</v>
      </c>
      <c r="CA108" s="307">
        <f>+Q_BS!CA57</f>
        <v>1118.0325011883622</v>
      </c>
      <c r="CB108" s="307">
        <f>+Q_BS!CB57</f>
        <v>1119.613157430977</v>
      </c>
      <c r="CC108" s="307">
        <f>+Q_BS!CC57</f>
        <v>1128.4020149661817</v>
      </c>
      <c r="CD108" s="307">
        <f>+Q_BS!CD57</f>
        <v>1138.9730512040755</v>
      </c>
      <c r="CE108" s="307">
        <f>+Q_BS!CE57</f>
        <v>1145.0082465355931</v>
      </c>
      <c r="CF108" s="307">
        <f>+Q_BS!CF57</f>
        <v>1149.5542266519794</v>
      </c>
      <c r="CG108" s="307">
        <f>+Q_BS!CG57</f>
        <v>1161.3112478517148</v>
      </c>
      <c r="CH108" s="307">
        <f>+Q_BS!CH57</f>
        <v>1174.4971745321402</v>
      </c>
      <c r="CI108" s="307">
        <f>+Q_BS!CI57</f>
        <v>1182.4681293012911</v>
      </c>
      <c r="CJ108" s="307">
        <f>+Q_BS!CJ57</f>
        <v>1188.856998438049</v>
      </c>
      <c r="CK108" s="307">
        <f>+Q_BS!CK57</f>
        <v>1202.494117706965</v>
      </c>
      <c r="CL108" s="307">
        <f>+Q_BS!CL57</f>
        <v>1216.5610505660968</v>
      </c>
      <c r="CM108" s="307">
        <f>+Q_BS!CM57</f>
        <v>1225.4535495054249</v>
      </c>
      <c r="CN108" s="307">
        <f>+Q_BS!CN57</f>
        <v>1234.1316603446469</v>
      </c>
      <c r="CO108" s="307">
        <f>+Q_BS!CO57</f>
        <v>1250.130603052711</v>
      </c>
      <c r="CP108" s="307">
        <f>+Q_BS!CP57</f>
        <v>1266.2169952302888</v>
      </c>
      <c r="CQ108" s="307">
        <f>+Q_BS!CQ57</f>
        <v>1276.7799411531289</v>
      </c>
      <c r="CR108" s="307">
        <f>+Q_BS!CR57</f>
        <v>1287.4880421108026</v>
      </c>
      <c r="CS108" s="307">
        <f>+Q_BS!CS57</f>
        <v>1305.5984913607006</v>
      </c>
      <c r="CT108" s="307">
        <f>+Q_BS!CT57</f>
        <v>1323.4586432165411</v>
      </c>
      <c r="CU108" s="307">
        <f>+Q_BS!CU57</f>
        <v>1335.4463069231172</v>
      </c>
      <c r="CV108" s="307">
        <f>+Q_BS!CV57</f>
        <v>1347.997781971965</v>
      </c>
      <c r="CW108" s="307">
        <f>+Q_BS!CW57</f>
        <v>1368.0561368145882</v>
      </c>
      <c r="CY108" s="254"/>
    </row>
    <row r="109" spans="1:103">
      <c r="A109" s="366" t="s">
        <v>920</v>
      </c>
      <c r="B109" s="96">
        <f>CF!J10+CF!J11+CF!J5-Q_Financials!B105</f>
        <v>22.995000000000022</v>
      </c>
      <c r="C109" s="96">
        <f>CF!K10+CF!K11+CF!K5-Q_Financials!C105</f>
        <v>10.010000000000133</v>
      </c>
      <c r="D109" s="96">
        <f>CF!L10+CF!L11+CF!L5-Q_Financials!D105</f>
        <v>60.760000000000275</v>
      </c>
      <c r="E109" s="96">
        <f>CF!M10+CF!M11+CF!M5-Q_Financials!E105</f>
        <v>39.634000000000157</v>
      </c>
      <c r="F109" s="96">
        <f>CF!N10+CF!N11+CF!N5-Q_Financials!F105</f>
        <v>2.4119999999998849</v>
      </c>
      <c r="G109" s="96">
        <f>CF!O10+CF!O11+CF!O5-Q_Financials!G105</f>
        <v>69.317000000000007</v>
      </c>
      <c r="H109" s="96">
        <f>CF!P10+CF!P11+CF!P5-Q_Financials!H105</f>
        <v>33.988000000000056</v>
      </c>
      <c r="I109" s="96">
        <f>CF!Q10+CF!Q11+CF!Q5-Q_Financials!I105</f>
        <v>38.794000000000217</v>
      </c>
      <c r="J109" s="96">
        <f>CF!R10+CF!R11+CF!R5-Q_Financials!J105</f>
        <v>16.190999999999921</v>
      </c>
      <c r="K109" s="96">
        <f>CF!S10+CF!S11+CF!S5-Q_Financials!K105</f>
        <v>56.375999999999721</v>
      </c>
      <c r="L109" s="96">
        <f>CF!T10+CF!T11+CF!T5-Q_Financials!L105</f>
        <v>57.763999999999868</v>
      </c>
      <c r="M109" s="96">
        <f>CF!U10+CF!U11+CF!U5-Q_Financials!M105</f>
        <v>20.283000000000044</v>
      </c>
      <c r="N109" s="96">
        <f>CF!V10+CF!V11+CF!V5-Q_Financials!N105</f>
        <v>26.060000000000166</v>
      </c>
      <c r="O109" s="96">
        <f>CF!W10+CF!W11+CF!W5-Q_Financials!O105</f>
        <v>90.770000000000294</v>
      </c>
      <c r="P109" s="96">
        <f>CF!X10+CF!X11+CF!X5-Q_Financials!P105</f>
        <v>82.180000000000121</v>
      </c>
      <c r="Q109" s="96">
        <f>CF!Y10+CF!Y11+CF!Y5-Q_Financials!Q105</f>
        <v>106.59200000000013</v>
      </c>
      <c r="R109" s="96">
        <f>CF!Z10+CF!Z11+CF!Z5-Q_Financials!R105</f>
        <v>51.768999999999892</v>
      </c>
      <c r="S109" s="96">
        <f>CF!AA10+CF!AA11+CF!AA5-Q_Financials!S105</f>
        <v>74.606999999999942</v>
      </c>
      <c r="T109" s="96">
        <f>CF!AB10+CF!AB11+CF!AB5-Q_Financials!T105</f>
        <v>91.946000000000282</v>
      </c>
      <c r="U109" s="96">
        <f>CF!AC10+CF!AC11+CF!AC5-Q_Financials!U105</f>
        <v>29.655999999999608</v>
      </c>
      <c r="V109" s="96">
        <f>CF!AD10+CF!AD11+CF!AD5-Q_Financials!V105</f>
        <v>10.711999999999847</v>
      </c>
      <c r="W109" s="96">
        <f>CF!AE10+CF!AE11+CF!AE5-Q_Financials!W105</f>
        <v>58.46400000000007</v>
      </c>
      <c r="X109" s="96">
        <f>CF!AF10+CF!AF11+CF!AF5-Q_Financials!X105</f>
        <v>88.864999999999583</v>
      </c>
      <c r="Y109" s="96">
        <f>CF!AG10+CF!AG11+CF!AG5-Q_Financials!Y105</f>
        <v>212.13900000000024</v>
      </c>
      <c r="Z109" s="96">
        <f>CF!AH10+CF!AH11+CF!AH5-Q_Financials!Z105</f>
        <v>-20.044000000001347</v>
      </c>
      <c r="AA109" s="96">
        <f>CF!AI10+CF!AI11+CF!AI5-Q_Financials!AA105</f>
        <v>323.62900000000013</v>
      </c>
      <c r="AB109" s="96">
        <f>CF!AJ10+CF!AJ11+CF!AJ5-Q_Financials!AB105</f>
        <v>263.50300000000016</v>
      </c>
      <c r="AC109" s="96">
        <f>CF!AK10+CF!AK11+CF!AK5-Q_Financials!AC105</f>
        <v>213.6820000000007</v>
      </c>
      <c r="AD109" s="99">
        <f>CF!AL10+CF!AL11+CF!AL5-(Q_Financials!AD105-AD45)</f>
        <v>197.6689999999997</v>
      </c>
      <c r="AE109" s="99">
        <f>CF!AM10+CF!AM11+CF!AM5-(Q_Financials!AE105-AE45)</f>
        <v>180.35500000000104</v>
      </c>
      <c r="AF109" s="99">
        <f>CF!AN10+CF!AN11+CF!AN5-(Q_Financials!AF105-AF45)</f>
        <v>119.76200000000006</v>
      </c>
      <c r="AG109" s="99">
        <f>CF!AO10+CF!AO11+CF!AO5-(Q_Financials!AG105-AG45)</f>
        <v>67.624999999999773</v>
      </c>
      <c r="AH109" s="99">
        <f>CF!AP10+CF!AP11+CF!AP5-(Q_Financials!AH105-AH45)</f>
        <v>-130.60299999999975</v>
      </c>
      <c r="AI109" s="99">
        <f>CF!AQ10+CF!AQ11+CF!AQ5-(Q_Financials!AI105-AI45)</f>
        <v>133.34799999999962</v>
      </c>
      <c r="AJ109" s="99">
        <f>CF!AR10+CF!AR11+CF!AR5-(Q_Financials!AJ105-AJ45)</f>
        <v>61.784000000001129</v>
      </c>
      <c r="AK109" s="99">
        <f>CF!AS10+CF!AS11+CF!AS5-(Q_Financials!AK105-AK45)</f>
        <v>-261.14700000000039</v>
      </c>
      <c r="AL109" s="99">
        <f>CF!AT10+CF!AT11+CF!AT5-(Q_Financials!AL105-AL45)</f>
        <v>-30.29400000000004</v>
      </c>
      <c r="AM109" s="99">
        <f>CF!AU10+CF!AU11+CF!AU5-(Q_Financials!AM105-AM45)</f>
        <v>508.45900000000017</v>
      </c>
      <c r="AN109" s="99">
        <f>CF!AV10+CF!AV11+CF!AV5-(Q_Financials!AN105-AN45)</f>
        <v>132.34299999999951</v>
      </c>
      <c r="AO109" s="99">
        <f>CF!AW10+CF!AW11+CF!AW5-(Q_Financials!AO105-AO45)</f>
        <v>486.04200000000117</v>
      </c>
      <c r="AP109" s="99">
        <f>CF!AX10+CF!AX11+CF!AX5-(Q_Financials!AP105-AP45)</f>
        <v>873.31499999999983</v>
      </c>
      <c r="AQ109" s="99">
        <f>CF!AY10+CF!AY11+CF!AY5-(Q_Financials!AQ105-AQ45)</f>
        <v>-798.09300000000121</v>
      </c>
      <c r="AR109" s="99">
        <f>CF!AZ10+CF!AZ11+CF!AZ5-(Q_Financials!AR105-AR45)</f>
        <v>150.6350000000013</v>
      </c>
      <c r="AS109" s="99">
        <f>CF!BA10+CF!BA11+CF!BA5-(Q_Financials!AS105-AS45)</f>
        <v>1006.2080000000005</v>
      </c>
      <c r="AT109" s="99">
        <f>CF!BB10+CF!BB11+CF!BB5-(Q_Financials!AT105-AT45)</f>
        <v>1451.2170000000006</v>
      </c>
      <c r="AU109" s="99">
        <f>CF!BC10+CF!BC11+CF!BC5-(Q_Financials!AU105-AU45)</f>
        <v>-1166.864</v>
      </c>
      <c r="AV109" s="99">
        <f>CF!BD10+CF!BD11+CF!BD5-(Q_Financials!AV105-AV45)</f>
        <v>53.288000000000238</v>
      </c>
      <c r="AW109" s="99">
        <f>CF!BE10+CF!BE11+CF!BE5-(Q_Financials!AW105-AW45)</f>
        <v>368.7290000000005</v>
      </c>
      <c r="AX109" s="99">
        <f>CF!BF10+CF!BF11+CF!BF5-(Q_Financials!AX105-AX45)</f>
        <v>115.43600000000004</v>
      </c>
      <c r="AY109" s="99">
        <f>CF!BG10+CF!BG11+CF!BG5-(Q_Financials!AY105-AY45)</f>
        <v>1678.2650000000006</v>
      </c>
      <c r="AZ109" s="99">
        <f>CF!BH10+CF!BH11+CF!BH5-(Q_Financials!AZ105-AZ45)</f>
        <v>-1219.5759999999993</v>
      </c>
      <c r="BA109" s="99">
        <f>CF!BI10+CF!BI11+CF!BI5-(Q_Financials!BA105-BA45)</f>
        <v>145.50099999999998</v>
      </c>
      <c r="BB109" s="99">
        <f>CF!BJ10+CF!BJ11+CF!BJ5-(Q_Financials!BB105-BB45)</f>
        <v>-155.29699999999991</v>
      </c>
      <c r="BC109" s="99">
        <f>CF!BK10+CF!BK11+CF!BK5-(Q_Financials!BC105-BC45)</f>
        <v>12.963999999999828</v>
      </c>
      <c r="BD109" s="99">
        <f>CF!BL10+CF!BL11+CF!BL5-(Q_Financials!BD105-BD45)</f>
        <v>-0.20499999999833562</v>
      </c>
      <c r="BE109" s="99">
        <f>CF!BM10+CF!BM11+CF!BM5-(Q_Financials!BE105-BE45)</f>
        <v>679.45299999999997</v>
      </c>
      <c r="BF109" s="99">
        <f>CF!BN10+CF!BN11+CF!BN5-(Q_Financials!BF105-BF45)</f>
        <v>47.19500000000005</v>
      </c>
      <c r="BG109" s="99">
        <f>CF!BO10+CF!BO11+CF!BO5-(Q_Financials!BG105-BG45)</f>
        <v>113.71200000000067</v>
      </c>
      <c r="BH109" s="99">
        <f>CF!BP10+CF!BP11+CF!BP5-(Q_Financials!BH105-BH45)</f>
        <v>131.19100000000219</v>
      </c>
      <c r="BI109" s="99">
        <f>CF!BQ10+CF!BQ11+CF!BQ5-(Q_Financials!BI105-BI45)</f>
        <v>217.85000000000059</v>
      </c>
      <c r="BJ109" s="99">
        <f>CF!BR10+CF!BR11+CF!BR5-(Q_Financials!BJ105-BJ45)</f>
        <v>-49.468000000000643</v>
      </c>
      <c r="BK109" s="1173">
        <f>CF!BS10+CF!BS11+CF!BS5-(Q_Financials!BK105-BK45)</f>
        <v>61.478999999998251</v>
      </c>
      <c r="BL109" s="587">
        <f t="shared" ref="BL109:CW109" si="612">+BL93-BK93</f>
        <v>0</v>
      </c>
      <c r="BM109" s="587">
        <f t="shared" si="612"/>
        <v>0</v>
      </c>
      <c r="BN109" s="587">
        <f t="shared" si="612"/>
        <v>0</v>
      </c>
      <c r="BO109" s="587">
        <f t="shared" si="612"/>
        <v>0</v>
      </c>
      <c r="BP109" s="587">
        <f t="shared" si="612"/>
        <v>0</v>
      </c>
      <c r="BQ109" s="587">
        <f t="shared" si="612"/>
        <v>0</v>
      </c>
      <c r="BR109" s="587">
        <f t="shared" si="612"/>
        <v>0</v>
      </c>
      <c r="BS109" s="587">
        <f t="shared" si="612"/>
        <v>0</v>
      </c>
      <c r="BT109" s="587">
        <f t="shared" si="612"/>
        <v>0</v>
      </c>
      <c r="BU109" s="587">
        <f t="shared" si="612"/>
        <v>0</v>
      </c>
      <c r="BV109" s="587">
        <f t="shared" si="612"/>
        <v>0</v>
      </c>
      <c r="BW109" s="587">
        <f t="shared" si="612"/>
        <v>0</v>
      </c>
      <c r="BX109" s="587">
        <f t="shared" si="612"/>
        <v>0</v>
      </c>
      <c r="BY109" s="587">
        <f t="shared" si="612"/>
        <v>0</v>
      </c>
      <c r="BZ109" s="587">
        <f t="shared" si="612"/>
        <v>0</v>
      </c>
      <c r="CA109" s="587">
        <f t="shared" si="612"/>
        <v>0</v>
      </c>
      <c r="CB109" s="587">
        <f t="shared" si="612"/>
        <v>0</v>
      </c>
      <c r="CC109" s="587">
        <f t="shared" si="612"/>
        <v>0</v>
      </c>
      <c r="CD109" s="587">
        <f t="shared" si="612"/>
        <v>0</v>
      </c>
      <c r="CE109" s="587">
        <f t="shared" si="612"/>
        <v>0</v>
      </c>
      <c r="CF109" s="587">
        <f t="shared" si="612"/>
        <v>0</v>
      </c>
      <c r="CG109" s="587">
        <f t="shared" si="612"/>
        <v>0</v>
      </c>
      <c r="CH109" s="587">
        <f t="shared" si="612"/>
        <v>0</v>
      </c>
      <c r="CI109" s="587">
        <f t="shared" si="612"/>
        <v>0</v>
      </c>
      <c r="CJ109" s="587">
        <f t="shared" si="612"/>
        <v>0</v>
      </c>
      <c r="CK109" s="587">
        <f t="shared" si="612"/>
        <v>0</v>
      </c>
      <c r="CL109" s="587">
        <f t="shared" si="612"/>
        <v>0</v>
      </c>
      <c r="CM109" s="587">
        <f t="shared" si="612"/>
        <v>0</v>
      </c>
      <c r="CN109" s="587">
        <f t="shared" si="612"/>
        <v>0</v>
      </c>
      <c r="CO109" s="587">
        <f t="shared" si="612"/>
        <v>0</v>
      </c>
      <c r="CP109" s="587">
        <f t="shared" si="612"/>
        <v>0</v>
      </c>
      <c r="CQ109" s="587">
        <f t="shared" si="612"/>
        <v>0</v>
      </c>
      <c r="CR109" s="587">
        <f t="shared" si="612"/>
        <v>0</v>
      </c>
      <c r="CS109" s="587">
        <f t="shared" si="612"/>
        <v>0</v>
      </c>
      <c r="CT109" s="587">
        <f t="shared" si="612"/>
        <v>0</v>
      </c>
      <c r="CU109" s="587">
        <f t="shared" si="612"/>
        <v>0</v>
      </c>
      <c r="CV109" s="587">
        <f t="shared" si="612"/>
        <v>0</v>
      </c>
      <c r="CW109" s="587">
        <f t="shared" si="612"/>
        <v>0</v>
      </c>
      <c r="CY109" s="254"/>
    </row>
    <row r="110" spans="1:103">
      <c r="A110" s="319" t="s">
        <v>589</v>
      </c>
      <c r="B110" s="464"/>
      <c r="C110" s="464"/>
      <c r="D110" s="464"/>
      <c r="E110" s="464"/>
      <c r="F110" s="464"/>
      <c r="G110" s="464"/>
      <c r="H110" s="464"/>
      <c r="I110" s="464"/>
      <c r="J110" s="464"/>
      <c r="K110" s="464"/>
      <c r="L110" s="464"/>
      <c r="M110" s="464"/>
      <c r="N110" s="464"/>
      <c r="O110" s="464"/>
      <c r="P110" s="464"/>
      <c r="Q110" s="464"/>
      <c r="R110" s="464"/>
      <c r="S110" s="464"/>
      <c r="T110" s="464"/>
      <c r="U110" s="464"/>
      <c r="V110" s="464"/>
      <c r="W110" s="464"/>
      <c r="X110" s="464"/>
      <c r="Y110" s="464"/>
      <c r="Z110" s="464"/>
      <c r="AA110" s="464"/>
      <c r="AB110" s="464"/>
      <c r="AC110" s="464"/>
      <c r="AD110" s="237"/>
      <c r="AE110" s="237"/>
      <c r="AF110" s="237"/>
      <c r="AG110" s="237"/>
      <c r="AH110" s="237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1176"/>
      <c r="BL110" s="419"/>
      <c r="BM110" s="419"/>
      <c r="BN110" s="419"/>
      <c r="BO110" s="419"/>
      <c r="BP110" s="419"/>
      <c r="BQ110" s="419"/>
      <c r="BR110" s="419"/>
      <c r="BS110" s="419"/>
      <c r="BT110" s="419"/>
      <c r="BU110" s="419"/>
      <c r="BV110" s="419"/>
      <c r="BW110" s="419"/>
      <c r="BX110" s="419"/>
      <c r="BY110" s="419"/>
      <c r="BZ110" s="419"/>
      <c r="CA110" s="419"/>
      <c r="CB110" s="419"/>
      <c r="CC110" s="419"/>
      <c r="CD110" s="419"/>
      <c r="CE110" s="419"/>
      <c r="CF110" s="419"/>
      <c r="CG110" s="419"/>
      <c r="CH110" s="419"/>
      <c r="CI110" s="419"/>
      <c r="CJ110" s="419"/>
      <c r="CK110" s="419"/>
      <c r="CL110" s="419"/>
      <c r="CM110" s="419"/>
      <c r="CN110" s="419"/>
      <c r="CO110" s="419"/>
      <c r="CP110" s="419"/>
      <c r="CQ110" s="419"/>
      <c r="CR110" s="419"/>
      <c r="CS110" s="419"/>
      <c r="CT110" s="419"/>
      <c r="CU110" s="419"/>
      <c r="CV110" s="419"/>
      <c r="CW110" s="419"/>
    </row>
    <row r="111" spans="1:103">
      <c r="A111" s="366" t="s">
        <v>369</v>
      </c>
      <c r="B111" s="96">
        <f>CF!J13</f>
        <v>137.88499999999999</v>
      </c>
      <c r="C111" s="96">
        <f>CF!K13</f>
        <v>12.8</v>
      </c>
      <c r="D111" s="96">
        <f>CF!L13</f>
        <v>-130.22299999999998</v>
      </c>
      <c r="E111" s="96">
        <f>CF!M13</f>
        <v>-45.391000000000005</v>
      </c>
      <c r="F111" s="96">
        <f>CF!N13</f>
        <v>5.9039999999999999</v>
      </c>
      <c r="G111" s="96">
        <f>CF!O13</f>
        <v>17.46</v>
      </c>
      <c r="H111" s="96">
        <f>CF!P13</f>
        <v>-9.7080000000000002</v>
      </c>
      <c r="I111" s="96">
        <f>CF!Q13</f>
        <v>-57.438000000000002</v>
      </c>
      <c r="J111" s="96">
        <f>CF!R13</f>
        <v>4.032</v>
      </c>
      <c r="K111" s="96">
        <f>CF!S13</f>
        <v>-13.256</v>
      </c>
      <c r="L111" s="96">
        <f>CF!T13</f>
        <v>2.0090000000000003</v>
      </c>
      <c r="M111" s="96">
        <f>CF!U13</f>
        <v>-4.9109999999999996</v>
      </c>
      <c r="N111" s="96">
        <f>CF!V13</f>
        <v>-8.0939999999999994</v>
      </c>
      <c r="O111" s="96">
        <f>CF!W13</f>
        <v>26.811</v>
      </c>
      <c r="P111" s="96">
        <f>CF!X13</f>
        <v>-23.734999999999999</v>
      </c>
      <c r="Q111" s="96">
        <f>CF!Y13</f>
        <v>-86.087999999999994</v>
      </c>
      <c r="R111" s="96">
        <f>CF!Z13</f>
        <v>14.467000000000001</v>
      </c>
      <c r="S111" s="96">
        <f>CF!AA13</f>
        <v>-20.359000000000002</v>
      </c>
      <c r="T111" s="96">
        <f>CF!AB13</f>
        <v>-8.3789999999999996</v>
      </c>
      <c r="U111" s="96">
        <f>CF!AC13</f>
        <v>16.29</v>
      </c>
      <c r="V111" s="96">
        <f>CF!AD13</f>
        <v>-3.7120000000000002</v>
      </c>
      <c r="W111" s="96">
        <f>CF!AE13</f>
        <v>3.0820000000000003</v>
      </c>
      <c r="X111" s="96">
        <f>CF!AF13</f>
        <v>-109.63699999999999</v>
      </c>
      <c r="Y111" s="96">
        <f>CF!AG13</f>
        <v>-78.163000000000011</v>
      </c>
      <c r="Z111" s="96">
        <f>CF!AH13</f>
        <v>49.707000000000001</v>
      </c>
      <c r="AA111" s="96">
        <f>CF!AI13</f>
        <v>138.18600000000001</v>
      </c>
      <c r="AB111" s="96">
        <f>CF!AJ13</f>
        <v>-20.583000000000006</v>
      </c>
      <c r="AC111" s="96">
        <f>CF!AK13</f>
        <v>-148.46299999999999</v>
      </c>
      <c r="AD111" s="99">
        <f>CF!AL13</f>
        <v>2.5830000000000002</v>
      </c>
      <c r="AE111" s="99">
        <f>CF!AM13</f>
        <v>70.882999999999996</v>
      </c>
      <c r="AF111" s="99">
        <f>CF!AN13</f>
        <v>-37.438999999999993</v>
      </c>
      <c r="AG111" s="99">
        <f>CF!AO13</f>
        <v>-72.597000000000008</v>
      </c>
      <c r="AH111" s="99">
        <f>CF!AP13</f>
        <v>75.706000000000003</v>
      </c>
      <c r="AI111" s="99">
        <f>CF!AQ13</f>
        <v>-33.944000000000003</v>
      </c>
      <c r="AJ111" s="99">
        <f>CF!AR13</f>
        <v>-44.209000000000003</v>
      </c>
      <c r="AK111" s="99">
        <f>CF!AS13</f>
        <v>-193.11799999999999</v>
      </c>
      <c r="AL111" s="99">
        <f>CF!AT13</f>
        <v>248.47800000000001</v>
      </c>
      <c r="AM111" s="99">
        <f>CF!AU13</f>
        <v>45.824000000000012</v>
      </c>
      <c r="AN111" s="99">
        <f>CF!AV13</f>
        <v>-55.829000000000008</v>
      </c>
      <c r="AO111" s="99">
        <f>CF!AW13</f>
        <v>-21.174000000000007</v>
      </c>
      <c r="AP111" s="99">
        <f>CF!AX13</f>
        <v>63.707999999999998</v>
      </c>
      <c r="AQ111" s="99">
        <f>CF!AY13</f>
        <v>-71.176000000000002</v>
      </c>
      <c r="AR111" s="99">
        <f>CF!AZ13</f>
        <v>-255.82400000000001</v>
      </c>
      <c r="AS111" s="99">
        <f>CF!BA13</f>
        <v>115.72500000000002</v>
      </c>
      <c r="AT111" s="99">
        <f>CF!BB13</f>
        <v>146.02799999999999</v>
      </c>
      <c r="AU111" s="99">
        <f>CF!BC13</f>
        <v>27.355999999999995</v>
      </c>
      <c r="AV111" s="99">
        <f>CF!BD13</f>
        <v>-86.72999999999999</v>
      </c>
      <c r="AW111" s="99">
        <f>CF!BE13</f>
        <v>-187.96799999999999</v>
      </c>
      <c r="AX111" s="99">
        <f>CF!BF13</f>
        <v>-21.495999999999999</v>
      </c>
      <c r="AY111" s="99">
        <f>CF!BG13</f>
        <v>1.4939999999999998</v>
      </c>
      <c r="AZ111" s="99">
        <f>CF!BH13</f>
        <v>-163.26999999999998</v>
      </c>
      <c r="BA111" s="99">
        <f>CF!BI13</f>
        <v>55.294999999999973</v>
      </c>
      <c r="BB111" s="99">
        <f>CF!BJ13</f>
        <v>93.584000000000003</v>
      </c>
      <c r="BC111" s="99">
        <f>CF!BK13</f>
        <v>-224.483</v>
      </c>
      <c r="BD111" s="99">
        <f>CF!BL13</f>
        <v>-23.137</v>
      </c>
      <c r="BE111" s="99">
        <f>CF!BM13</f>
        <v>-188.02199999999999</v>
      </c>
      <c r="BF111" s="99">
        <f>CF!BN13</f>
        <v>-310.875</v>
      </c>
      <c r="BG111" s="99">
        <f>CF!BO13</f>
        <v>239.179</v>
      </c>
      <c r="BH111" s="99">
        <f>CF!BP13</f>
        <v>-77.842999999999989</v>
      </c>
      <c r="BI111" s="99">
        <f>CF!BQ13</f>
        <v>-246.12</v>
      </c>
      <c r="BJ111" s="99">
        <f>CF!BR13</f>
        <v>42.518999999999998</v>
      </c>
      <c r="BK111" s="1173">
        <f>CF!BS13</f>
        <v>124.441</v>
      </c>
      <c r="BL111" s="307">
        <f t="shared" ref="BL111:BL112" si="613">BK69-BL69</f>
        <v>-480.21223331850433</v>
      </c>
      <c r="BM111" s="307">
        <f t="shared" ref="BM111:BM112" si="614">BL69-BM69</f>
        <v>-2.6611141721223248</v>
      </c>
      <c r="BN111" s="307">
        <f t="shared" ref="BN111:BN112" si="615">BM69-BN69</f>
        <v>115.71724424048716</v>
      </c>
      <c r="BO111" s="307">
        <f t="shared" ref="BO111:BO112" si="616">BN69-BO69</f>
        <v>144.16938693742077</v>
      </c>
      <c r="BP111" s="307">
        <f t="shared" ref="BP111:BP112" si="617">BO69-BP69</f>
        <v>-484.56460468765727</v>
      </c>
      <c r="BQ111" s="307">
        <f t="shared" ref="BQ111:BQ112" si="618">BP69-BQ69</f>
        <v>20.806210420390926</v>
      </c>
      <c r="BR111" s="307">
        <f t="shared" ref="BR111:BR112" si="619">BQ69-BR69</f>
        <v>136.8280887346441</v>
      </c>
      <c r="BS111" s="307">
        <f t="shared" ref="BS111:BS112" si="620">BR69-BS69</f>
        <v>181.99506352410754</v>
      </c>
      <c r="BT111" s="307">
        <f t="shared" ref="BT111:BT112" si="621">BS69-BT69</f>
        <v>-515.79911984563387</v>
      </c>
      <c r="BU111" s="307">
        <f t="shared" ref="BU111:BU112" si="622">BT69-BU69</f>
        <v>23.070143391325018</v>
      </c>
      <c r="BV111" s="307">
        <f t="shared" ref="BV111:BV112" si="623">BU69-BV69</f>
        <v>158.86887564223844</v>
      </c>
      <c r="BW111" s="307">
        <f t="shared" ref="BW111:BW112" si="624">BV69-BW69</f>
        <v>196.95947692109576</v>
      </c>
      <c r="BX111" s="307">
        <f t="shared" ref="BX111:BX112" si="625">BW69-BX69</f>
        <v>-546.90217633896646</v>
      </c>
      <c r="BY111" s="307">
        <f t="shared" ref="BY111:BY112" si="626">BX69-BY69</f>
        <v>21.276376546579741</v>
      </c>
      <c r="BZ111" s="307">
        <f t="shared" ref="BZ111:BZ112" si="627">BY69-BZ69</f>
        <v>186.59844417154181</v>
      </c>
      <c r="CA111" s="307">
        <f t="shared" ref="CA111:CA112" si="628">BZ69-CA69</f>
        <v>210.13663000715587</v>
      </c>
      <c r="CB111" s="307">
        <f t="shared" ref="CB111:CB112" si="629">CA69-CB69</f>
        <v>-577.45149366926762</v>
      </c>
      <c r="CC111" s="307">
        <f t="shared" ref="CC111:CC112" si="630">CB69-CC69</f>
        <v>18.348671349364395</v>
      </c>
      <c r="CD111" s="307">
        <f t="shared" ref="CD111:CD112" si="631">CC69-CD69</f>
        <v>200.03299727136346</v>
      </c>
      <c r="CE111" s="307">
        <f t="shared" ref="CE111:CE112" si="632">CD69-CE69</f>
        <v>224.09130370094272</v>
      </c>
      <c r="CF111" s="307">
        <f t="shared" ref="CF111:CF112" si="633">CE69-CF69</f>
        <v>-609.51161109894065</v>
      </c>
      <c r="CG111" s="307">
        <f t="shared" ref="CG111:CG112" si="634">CF69-CG69</f>
        <v>15.182188639772448</v>
      </c>
      <c r="CH111" s="307">
        <f t="shared" ref="CH111:CH112" si="635">CG69-CH69</f>
        <v>215.04565540210069</v>
      </c>
      <c r="CI111" s="307">
        <f t="shared" ref="CI111:CI112" si="636">CH69-CI69</f>
        <v>240.03266633317799</v>
      </c>
      <c r="CJ111" s="307">
        <f t="shared" ref="CJ111:CJ112" si="637">CI69-CJ69</f>
        <v>-641.12194032165462</v>
      </c>
      <c r="CK111" s="307">
        <f t="shared" ref="CK111:CK112" si="638">CJ69-CK69</f>
        <v>14.113282163662461</v>
      </c>
      <c r="CL111" s="307">
        <f t="shared" ref="CL111:CL112" si="639">CK69-CL69</f>
        <v>230.67179196826055</v>
      </c>
      <c r="CM111" s="307">
        <f t="shared" ref="CM111:CM112" si="640">CL69-CM69</f>
        <v>254.83723502730527</v>
      </c>
      <c r="CN111" s="307">
        <f t="shared" ref="CN111:CN112" si="641">CM69-CN69</f>
        <v>-675.14085350269988</v>
      </c>
      <c r="CO111" s="307">
        <f t="shared" ref="CO111:CO112" si="642">CN69-CO69</f>
        <v>10.669734754396359</v>
      </c>
      <c r="CP111" s="307">
        <f t="shared" ref="CP111:CP112" si="643">CO69-CP69</f>
        <v>245.94752373755773</v>
      </c>
      <c r="CQ111" s="307">
        <f t="shared" ref="CQ111:CQ112" si="644">CP69-CQ69</f>
        <v>270.45121354682851</v>
      </c>
      <c r="CR111" s="307">
        <f t="shared" ref="CR111:CR112" si="645">CQ69-CR69</f>
        <v>-710.98209489819101</v>
      </c>
      <c r="CS111" s="307">
        <f t="shared" ref="CS111:CS112" si="646">CR69-CS69</f>
        <v>6.8933016269807013</v>
      </c>
      <c r="CT111" s="307">
        <f t="shared" ref="CT111:CT112" si="647">CS69-CT69</f>
        <v>262.09995265702082</v>
      </c>
      <c r="CU111" s="307">
        <f t="shared" ref="CU111:CU112" si="648">CT69-CU69</f>
        <v>287.02239652071012</v>
      </c>
      <c r="CV111" s="307">
        <f t="shared" ref="CV111:CV112" si="649">CU69-CV69</f>
        <v>-748.45687244635155</v>
      </c>
      <c r="CW111" s="307">
        <f t="shared" ref="CW111:CW112" si="650">CV69-CW69</f>
        <v>5.0719164224715314</v>
      </c>
      <c r="CY111" s="254"/>
    </row>
    <row r="112" spans="1:103">
      <c r="A112" s="366" t="s">
        <v>345</v>
      </c>
      <c r="B112" s="96">
        <f>CF!J14</f>
        <v>90.356999999999999</v>
      </c>
      <c r="C112" s="96">
        <f>CF!K14</f>
        <v>61.250999999999998</v>
      </c>
      <c r="D112" s="96">
        <f>CF!L14</f>
        <v>-95.959000000000003</v>
      </c>
      <c r="E112" s="96">
        <f>CF!M14</f>
        <v>-30.994999999999997</v>
      </c>
      <c r="F112" s="96">
        <f>CF!N14</f>
        <v>46.655000000000001</v>
      </c>
      <c r="G112" s="96">
        <f>CF!O14</f>
        <v>-3.7010000000000005</v>
      </c>
      <c r="H112" s="96">
        <f>CF!P14</f>
        <v>-6.9410000000000025</v>
      </c>
      <c r="I112" s="96">
        <f>CF!Q14</f>
        <v>-51.580999999999996</v>
      </c>
      <c r="J112" s="96">
        <f>CF!R14</f>
        <v>-3.69</v>
      </c>
      <c r="K112" s="96">
        <f>CF!S14</f>
        <v>-35.146000000000001</v>
      </c>
      <c r="L112" s="96">
        <f>CF!T14</f>
        <v>30.328000000000003</v>
      </c>
      <c r="M112" s="96">
        <f>CF!U14</f>
        <v>-42.297000000000011</v>
      </c>
      <c r="N112" s="96">
        <f>CF!V14</f>
        <v>11.371</v>
      </c>
      <c r="O112" s="96">
        <f>CF!W14</f>
        <v>-81.662999999999997</v>
      </c>
      <c r="P112" s="96">
        <f>CF!X14</f>
        <v>-4.5290000000000017</v>
      </c>
      <c r="Q112" s="96">
        <f>CF!Y14</f>
        <v>-44.146000000000008</v>
      </c>
      <c r="R112" s="96">
        <f>CF!Z14</f>
        <v>119.68600000000001</v>
      </c>
      <c r="S112" s="96">
        <f>CF!AA14</f>
        <v>-28.069000000000003</v>
      </c>
      <c r="T112" s="96">
        <f>CF!AB14</f>
        <v>-66.253</v>
      </c>
      <c r="U112" s="96">
        <f>CF!AC14</f>
        <v>-77.495000000000005</v>
      </c>
      <c r="V112" s="96">
        <f>CF!AD14</f>
        <v>40.47</v>
      </c>
      <c r="W112" s="96">
        <f>CF!AE14</f>
        <v>31.084000000000003</v>
      </c>
      <c r="X112" s="96">
        <f>CF!AF14</f>
        <v>-135.21199999999999</v>
      </c>
      <c r="Y112" s="96">
        <f>CF!AG14</f>
        <v>-95.812000000000012</v>
      </c>
      <c r="Z112" s="96">
        <f>CF!AH14</f>
        <v>-95.831000000000003</v>
      </c>
      <c r="AA112" s="96">
        <f>CF!AI14</f>
        <v>-205.36099999999999</v>
      </c>
      <c r="AB112" s="96">
        <f>CF!AJ14</f>
        <v>-0.2219999999999942</v>
      </c>
      <c r="AC112" s="96">
        <f>CF!AK14</f>
        <v>-51.401000000000025</v>
      </c>
      <c r="AD112" s="99">
        <f>CF!AL14</f>
        <v>-27.131</v>
      </c>
      <c r="AE112" s="99">
        <f>CF!AM14</f>
        <v>-14.024999999999999</v>
      </c>
      <c r="AF112" s="99">
        <f>CF!AN14</f>
        <v>-65.592000000000013</v>
      </c>
      <c r="AG112" s="99">
        <f>CF!AO14</f>
        <v>-44.909999999999968</v>
      </c>
      <c r="AH112" s="99">
        <f>CF!AP14</f>
        <v>-13.706</v>
      </c>
      <c r="AI112" s="99">
        <f>CF!AQ14</f>
        <v>-188.733</v>
      </c>
      <c r="AJ112" s="99">
        <f>CF!AR14</f>
        <v>-142.88500000000002</v>
      </c>
      <c r="AK112" s="99">
        <f>CF!AS14</f>
        <v>-72.361999999999924</v>
      </c>
      <c r="AL112" s="99">
        <f>CF!AT14</f>
        <v>79.122</v>
      </c>
      <c r="AM112" s="99">
        <f>CF!AU14</f>
        <v>-301.65100000000001</v>
      </c>
      <c r="AN112" s="99">
        <f>CF!AV14</f>
        <v>261.51799999999997</v>
      </c>
      <c r="AO112" s="99">
        <f>CF!AW14</f>
        <v>18.257000000000026</v>
      </c>
      <c r="AP112" s="99">
        <f>CF!AX14</f>
        <v>128.79499999999999</v>
      </c>
      <c r="AQ112" s="99">
        <f>CF!AY14</f>
        <v>-122.61999999999999</v>
      </c>
      <c r="AR112" s="99">
        <f>CF!AZ14</f>
        <v>31.147000000000006</v>
      </c>
      <c r="AS112" s="99">
        <f>CF!BA14</f>
        <v>158.78899999999999</v>
      </c>
      <c r="AT112" s="99">
        <f>CF!BB14</f>
        <v>-121.55</v>
      </c>
      <c r="AU112" s="99">
        <f>CF!BC14</f>
        <v>109.50399999999999</v>
      </c>
      <c r="AV112" s="99">
        <f>CF!BD14</f>
        <v>234.98999999999998</v>
      </c>
      <c r="AW112" s="99">
        <f>CF!BE14</f>
        <v>-18.011999999999986</v>
      </c>
      <c r="AX112" s="99">
        <f>CF!BF14</f>
        <v>66.826999999999998</v>
      </c>
      <c r="AY112" s="99">
        <f>CF!BG14</f>
        <v>-231.92500000000001</v>
      </c>
      <c r="AZ112" s="99">
        <f>CF!BH14</f>
        <v>-116.21699999999998</v>
      </c>
      <c r="BA112" s="99">
        <f>CF!BI14</f>
        <v>-179.84199999999998</v>
      </c>
      <c r="BB112" s="99">
        <f>CF!BJ14</f>
        <v>-99.302000000000007</v>
      </c>
      <c r="BC112" s="99">
        <f>CF!BK14</f>
        <v>-702.17499999999995</v>
      </c>
      <c r="BD112" s="99">
        <f>CF!BL14</f>
        <v>-148.15600000000006</v>
      </c>
      <c r="BE112" s="99">
        <f>CF!BM14</f>
        <v>-93.938999999999851</v>
      </c>
      <c r="BF112" s="99">
        <f>CF!BN14</f>
        <v>-391.834</v>
      </c>
      <c r="BG112" s="99">
        <f>CF!BO14</f>
        <v>220.65</v>
      </c>
      <c r="BH112" s="99">
        <f>CF!BP14</f>
        <v>-133.17400000000001</v>
      </c>
      <c r="BI112" s="99">
        <f>CF!BQ14</f>
        <v>92.244</v>
      </c>
      <c r="BJ112" s="99">
        <f>CF!BR14</f>
        <v>150.435</v>
      </c>
      <c r="BK112" s="1173">
        <f>CF!BS14</f>
        <v>-313.90499999999997</v>
      </c>
      <c r="BL112" s="307">
        <f t="shared" si="613"/>
        <v>-114.31812434616722</v>
      </c>
      <c r="BM112" s="307">
        <f t="shared" si="614"/>
        <v>101.83814875972575</v>
      </c>
      <c r="BN112" s="307">
        <f t="shared" si="615"/>
        <v>103.70338812822729</v>
      </c>
      <c r="BO112" s="307">
        <f t="shared" si="616"/>
        <v>-533.78025454586214</v>
      </c>
      <c r="BP112" s="307">
        <f t="shared" si="617"/>
        <v>37.051987582060519</v>
      </c>
      <c r="BQ112" s="307">
        <f t="shared" si="618"/>
        <v>140.00900207883524</v>
      </c>
      <c r="BR112" s="307">
        <f t="shared" si="619"/>
        <v>126.57596106502706</v>
      </c>
      <c r="BS112" s="307">
        <f t="shared" si="620"/>
        <v>-536.15696529334036</v>
      </c>
      <c r="BT112" s="307">
        <f t="shared" si="621"/>
        <v>40.332086064559917</v>
      </c>
      <c r="BU112" s="307">
        <f t="shared" si="622"/>
        <v>150.75791098612217</v>
      </c>
      <c r="BV112" s="307">
        <f t="shared" si="623"/>
        <v>151.15125694043718</v>
      </c>
      <c r="BW112" s="307">
        <f t="shared" si="624"/>
        <v>-563.75151226591834</v>
      </c>
      <c r="BX112" s="307">
        <f t="shared" si="625"/>
        <v>41.470818564352157</v>
      </c>
      <c r="BY112" s="307">
        <f t="shared" si="626"/>
        <v>156.33690752630855</v>
      </c>
      <c r="BZ112" s="307">
        <f t="shared" si="627"/>
        <v>141.46281366152834</v>
      </c>
      <c r="CA112" s="307">
        <f t="shared" si="628"/>
        <v>-598.45365001241498</v>
      </c>
      <c r="CB112" s="307">
        <f t="shared" si="629"/>
        <v>41.794654426322722</v>
      </c>
      <c r="CC112" s="307">
        <f t="shared" si="630"/>
        <v>162.40673223244494</v>
      </c>
      <c r="CD112" s="307">
        <f t="shared" si="631"/>
        <v>210.455554444482</v>
      </c>
      <c r="CE112" s="307">
        <f t="shared" si="632"/>
        <v>-625.39537156043025</v>
      </c>
      <c r="CF112" s="307">
        <f t="shared" si="633"/>
        <v>40.995871671978421</v>
      </c>
      <c r="CG112" s="307">
        <f t="shared" si="634"/>
        <v>165.84372361443093</v>
      </c>
      <c r="CH112" s="307">
        <f t="shared" si="635"/>
        <v>227.03457776326604</v>
      </c>
      <c r="CI112" s="307">
        <f t="shared" si="636"/>
        <v>-651.28326979342137</v>
      </c>
      <c r="CJ112" s="307">
        <f t="shared" si="637"/>
        <v>42.026584343555442</v>
      </c>
      <c r="CK112" s="307">
        <f t="shared" si="638"/>
        <v>172.01256266092059</v>
      </c>
      <c r="CL112" s="307">
        <f t="shared" si="639"/>
        <v>244.35094330446418</v>
      </c>
      <c r="CM112" s="307">
        <f t="shared" si="640"/>
        <v>-679.30975874010392</v>
      </c>
      <c r="CN112" s="307">
        <f t="shared" si="641"/>
        <v>40.670113498530554</v>
      </c>
      <c r="CO112" s="307">
        <f t="shared" si="642"/>
        <v>175.48182546073167</v>
      </c>
      <c r="CP112" s="307">
        <f t="shared" si="643"/>
        <v>261.1544030817131</v>
      </c>
      <c r="CQ112" s="307">
        <f t="shared" si="644"/>
        <v>-708.48787338554394</v>
      </c>
      <c r="CR112" s="307">
        <f t="shared" si="645"/>
        <v>38.944004215172754</v>
      </c>
      <c r="CS112" s="307">
        <f t="shared" si="646"/>
        <v>178.91139900786402</v>
      </c>
      <c r="CT112" s="307">
        <f t="shared" si="647"/>
        <v>278.93989685601264</v>
      </c>
      <c r="CU112" s="307">
        <f t="shared" si="648"/>
        <v>-738.74035086006188</v>
      </c>
      <c r="CV112" s="307">
        <f t="shared" si="649"/>
        <v>37.182089762980468</v>
      </c>
      <c r="CW112" s="307">
        <f t="shared" si="650"/>
        <v>185.10440916899279</v>
      </c>
      <c r="CY112" s="254"/>
    </row>
    <row r="113" spans="1:103">
      <c r="A113" s="366" t="s">
        <v>577</v>
      </c>
      <c r="B113" s="96">
        <f>CF!J15</f>
        <v>-106.66200000000001</v>
      </c>
      <c r="C113" s="96">
        <f>CF!K15</f>
        <v>-125.03100000000001</v>
      </c>
      <c r="D113" s="96">
        <f>CF!L15</f>
        <v>131.96500000000003</v>
      </c>
      <c r="E113" s="96">
        <f>CF!M15</f>
        <v>122.14799999999998</v>
      </c>
      <c r="F113" s="96">
        <f>CF!N15</f>
        <v>-145.809</v>
      </c>
      <c r="G113" s="96">
        <f>CF!O15</f>
        <v>38.591999999999999</v>
      </c>
      <c r="H113" s="96">
        <f>CF!P15</f>
        <v>64.665999999999997</v>
      </c>
      <c r="I113" s="96">
        <f>CF!Q15</f>
        <v>163.17599999999999</v>
      </c>
      <c r="J113" s="96">
        <f>CF!R15</f>
        <v>-150.51599999999999</v>
      </c>
      <c r="K113" s="96">
        <f>CF!S15</f>
        <v>94.949999999999989</v>
      </c>
      <c r="L113" s="96">
        <f>CF!T15</f>
        <v>-10.971000000000004</v>
      </c>
      <c r="M113" s="96">
        <f>CF!U15</f>
        <v>344.41499999999996</v>
      </c>
      <c r="N113" s="96">
        <f>CF!V15</f>
        <v>-202.97</v>
      </c>
      <c r="O113" s="96">
        <f>CF!W15</f>
        <v>171.833</v>
      </c>
      <c r="P113" s="96">
        <f>CF!X15</f>
        <v>-81.974999999999994</v>
      </c>
      <c r="Q113" s="96">
        <f>CF!Y15</f>
        <v>199.29399999999998</v>
      </c>
      <c r="R113" s="96">
        <f>CF!Z15</f>
        <v>-79.632000000000005</v>
      </c>
      <c r="S113" s="96">
        <f>CF!AA15</f>
        <v>-55.213999999999999</v>
      </c>
      <c r="T113" s="96">
        <f>CF!AB15</f>
        <v>57.971000000000004</v>
      </c>
      <c r="U113" s="96">
        <f>CF!AC15</f>
        <v>296.00800000000004</v>
      </c>
      <c r="V113" s="96">
        <f>CF!AD15</f>
        <v>-134.91999999999999</v>
      </c>
      <c r="W113" s="96">
        <f>CF!AE15</f>
        <v>-84.25</v>
      </c>
      <c r="X113" s="96">
        <f>CF!AF15</f>
        <v>13.070999999999998</v>
      </c>
      <c r="Y113" s="96">
        <f>CF!AG15</f>
        <v>366.90300000000002</v>
      </c>
      <c r="Z113" s="96">
        <f>CF!AH15</f>
        <v>-124.036</v>
      </c>
      <c r="AA113" s="96">
        <f>CF!AI15</f>
        <v>-60.47399999999999</v>
      </c>
      <c r="AB113" s="96">
        <f>CF!AJ15</f>
        <v>-99.805000000000007</v>
      </c>
      <c r="AC113" s="96">
        <f>CF!AK15</f>
        <v>619.10899999999992</v>
      </c>
      <c r="AD113" s="99">
        <f>CF!AL15</f>
        <v>-63.82</v>
      </c>
      <c r="AE113" s="99">
        <f>CF!AM15</f>
        <v>97.75</v>
      </c>
      <c r="AF113" s="99">
        <f>CF!AN15</f>
        <v>304.916</v>
      </c>
      <c r="AG113" s="99">
        <f>CF!AO15</f>
        <v>405.6</v>
      </c>
      <c r="AH113" s="99">
        <f>CF!AP15</f>
        <v>-750.68899999999996</v>
      </c>
      <c r="AI113" s="99">
        <f>CF!AQ15</f>
        <v>113.91099999999994</v>
      </c>
      <c r="AJ113" s="99">
        <f>CF!AR15</f>
        <v>-61.76400000000001</v>
      </c>
      <c r="AK113" s="99">
        <f>CF!AS15</f>
        <v>668.86900000000003</v>
      </c>
      <c r="AL113" s="99">
        <f>CF!AT15</f>
        <v>-472.68</v>
      </c>
      <c r="AM113" s="99">
        <f>CF!AU15</f>
        <v>122.78899999999999</v>
      </c>
      <c r="AN113" s="99">
        <f>CF!AV15</f>
        <v>-505.17199999999997</v>
      </c>
      <c r="AO113" s="99">
        <f>CF!AW15</f>
        <v>1038.1199999999999</v>
      </c>
      <c r="AP113" s="99">
        <f>CF!AX15</f>
        <v>-450.15800000000002</v>
      </c>
      <c r="AQ113" s="99">
        <f>CF!AY15</f>
        <v>161.91700000000003</v>
      </c>
      <c r="AR113" s="99">
        <f>CF!AZ15</f>
        <v>-78.859000000000037</v>
      </c>
      <c r="AS113" s="99">
        <f>CF!BA15</f>
        <v>765.0440000000001</v>
      </c>
      <c r="AT113" s="99">
        <f>CF!BB15</f>
        <v>-369.834</v>
      </c>
      <c r="AU113" s="99">
        <f>CF!BC15</f>
        <v>-9.59699999999998</v>
      </c>
      <c r="AV113" s="99">
        <f>CF!BD15</f>
        <v>532.91599999999994</v>
      </c>
      <c r="AW113" s="99">
        <f>CF!BE15</f>
        <v>414.49299999999999</v>
      </c>
      <c r="AX113" s="99">
        <f>CF!BF15</f>
        <v>81.054000000000002</v>
      </c>
      <c r="AY113" s="99">
        <f>CF!BG15</f>
        <v>191.352</v>
      </c>
      <c r="AZ113" s="99">
        <f>CF!BH15</f>
        <v>-241.708</v>
      </c>
      <c r="BA113" s="99">
        <f>CF!BI15</f>
        <v>911.96500000000015</v>
      </c>
      <c r="BB113" s="99">
        <f>CF!BJ15</f>
        <v>138.309</v>
      </c>
      <c r="BC113" s="99">
        <f>CF!BK15</f>
        <v>739.84800000000007</v>
      </c>
      <c r="BD113" s="99">
        <f>CF!BL15</f>
        <v>100.50499999999997</v>
      </c>
      <c r="BE113" s="99">
        <f>CF!BM15</f>
        <v>1322.5220000000002</v>
      </c>
      <c r="BF113" s="99">
        <f>CF!BN15</f>
        <v>185.255</v>
      </c>
      <c r="BG113" s="99">
        <f>CF!BO15</f>
        <v>-75.527999999999992</v>
      </c>
      <c r="BH113" s="99">
        <f>CF!BP15</f>
        <v>691.40200000000004</v>
      </c>
      <c r="BI113" s="99">
        <f>CF!BQ15</f>
        <v>503.60399999999993</v>
      </c>
      <c r="BJ113" s="99">
        <f>CF!BR15</f>
        <v>-262.15499999999997</v>
      </c>
      <c r="BK113" s="1173">
        <f>CF!BS15</f>
        <v>-1619.931</v>
      </c>
      <c r="BL113" s="307">
        <f t="shared" ref="BL113" si="651">BL83-BK83</f>
        <v>537.09701539063917</v>
      </c>
      <c r="BM113" s="307">
        <f t="shared" ref="BM113" si="652">BM83-BL83</f>
        <v>518.92836463784897</v>
      </c>
      <c r="BN113" s="307">
        <f t="shared" ref="BN113" si="653">BN83-BM83</f>
        <v>-258.82356065931162</v>
      </c>
      <c r="BO113" s="307">
        <f t="shared" ref="BO113" si="654">BO83-BN83</f>
        <v>-24.359844604657155</v>
      </c>
      <c r="BP113" s="307">
        <f t="shared" ref="BP113" si="655">BP83-BO83</f>
        <v>304.95725933025096</v>
      </c>
      <c r="BQ113" s="307">
        <f t="shared" ref="BQ113" si="656">BQ83-BP83</f>
        <v>508.77785707604835</v>
      </c>
      <c r="BR113" s="307">
        <f t="shared" ref="BR113" si="657">BR83-BQ83</f>
        <v>-310.13022988663943</v>
      </c>
      <c r="BS113" s="307">
        <f t="shared" ref="BS113" si="658">BS83-BR83</f>
        <v>-97.552578262942916</v>
      </c>
      <c r="BT113" s="307">
        <f t="shared" ref="BT113" si="659">BT83-BS83</f>
        <v>324.57864578612316</v>
      </c>
      <c r="BU113" s="307">
        <f t="shared" ref="BU113" si="660">BU83-BT83</f>
        <v>541.26030344528954</v>
      </c>
      <c r="BV113" s="307">
        <f t="shared" ref="BV113" si="661">BV83-BU83</f>
        <v>-364.48082178021286</v>
      </c>
      <c r="BW113" s="307">
        <f t="shared" ref="BW113" si="662">BW83-BV83</f>
        <v>-114.53228004035464</v>
      </c>
      <c r="BX113" s="307">
        <f t="shared" ref="BX113" si="663">BX83-BW83</f>
        <v>346.95885283635653</v>
      </c>
      <c r="BY113" s="307">
        <f t="shared" ref="BY113" si="664">BY83-BX83</f>
        <v>582.45501192007941</v>
      </c>
      <c r="BZ113" s="307">
        <f t="shared" ref="BZ113" si="665">BZ83-BY83</f>
        <v>-347.42764929490113</v>
      </c>
      <c r="CA113" s="307">
        <f t="shared" ref="CA113" si="666">CA83-BZ83</f>
        <v>-129.37184427240209</v>
      </c>
      <c r="CB113" s="307">
        <f t="shared" ref="CB113" si="667">CB83-CA83</f>
        <v>375.01811661273041</v>
      </c>
      <c r="CC113" s="307">
        <f t="shared" ref="CC113" si="668">CC83-CB83</f>
        <v>631.85829075168022</v>
      </c>
      <c r="CD113" s="307">
        <f t="shared" ref="CD113" si="669">CD83-CC83</f>
        <v>-494.77058820335424</v>
      </c>
      <c r="CE113" s="307">
        <f t="shared" ref="CE113" si="670">CE83-CD83</f>
        <v>-144.09093543273502</v>
      </c>
      <c r="CF113" s="307">
        <f t="shared" ref="CF113" si="671">CF83-CE83</f>
        <v>399.80492577806126</v>
      </c>
      <c r="CG113" s="307">
        <f t="shared" ref="CG113" si="672">CG83-CF83</f>
        <v>675.42418947328315</v>
      </c>
      <c r="CH113" s="307">
        <f t="shared" ref="CH113" si="673">CH83-CG83</f>
        <v>-532.31890815424686</v>
      </c>
      <c r="CI113" s="307">
        <f t="shared" ref="CI113" si="674">CI83-CH83</f>
        <v>-163.24626404668288</v>
      </c>
      <c r="CJ113" s="307">
        <f t="shared" ref="CJ113" si="675">CJ83-CI83</f>
        <v>421.93220555212429</v>
      </c>
      <c r="CK113" s="307">
        <f t="shared" ref="CK113" si="676">CK83-CJ83</f>
        <v>714.42362074302218</v>
      </c>
      <c r="CL113" s="307">
        <f t="shared" ref="CL113" si="677">CL83-CK83</f>
        <v>-571.43330944084664</v>
      </c>
      <c r="CM113" s="307">
        <f t="shared" ref="CM113" si="678">CM83-CL83</f>
        <v>-179.12802310858933</v>
      </c>
      <c r="CN113" s="307">
        <f t="shared" ref="CN113" si="679">CN83-CM83</f>
        <v>448.88042724649495</v>
      </c>
      <c r="CO113" s="307">
        <f t="shared" ref="CO113" si="680">CO83-CN83</f>
        <v>760.4993961119726</v>
      </c>
      <c r="CP113" s="307">
        <f t="shared" ref="CP113" si="681">CP83-CO83</f>
        <v>-609.60460219500965</v>
      </c>
      <c r="CQ113" s="307">
        <f t="shared" ref="CQ113" si="682">CQ83-CP83</f>
        <v>-196.06032116474307</v>
      </c>
      <c r="CR113" s="307">
        <f t="shared" ref="CR113" si="683">CR83-CQ83</f>
        <v>477.64978917778353</v>
      </c>
      <c r="CS113" s="307">
        <f t="shared" ref="CS113" si="684">CS83-CR83</f>
        <v>809.21015925308529</v>
      </c>
      <c r="CT113" s="307">
        <f t="shared" ref="CT113" si="685">CT83-CS83</f>
        <v>-649.9759557386642</v>
      </c>
      <c r="CU113" s="307">
        <f t="shared" ref="CU113" si="686">CU83-CT83</f>
        <v>-214.37263803015776</v>
      </c>
      <c r="CV113" s="307">
        <f t="shared" ref="CV113" si="687">CV83-CU83</f>
        <v>507.67587254019418</v>
      </c>
      <c r="CW113" s="307">
        <f t="shared" ref="CW113" si="688">CW83-CV83</f>
        <v>854.71828619065491</v>
      </c>
      <c r="CY113" s="254"/>
    </row>
    <row r="114" spans="1:103">
      <c r="A114" s="366" t="s">
        <v>375</v>
      </c>
      <c r="B114" s="96">
        <f>CF!J16</f>
        <v>-11.586</v>
      </c>
      <c r="C114" s="96">
        <f>CF!K16</f>
        <v>-1.93</v>
      </c>
      <c r="D114" s="96">
        <f>CF!L16</f>
        <v>-180.74899999999997</v>
      </c>
      <c r="E114" s="96">
        <f>CF!M16</f>
        <v>475.113</v>
      </c>
      <c r="F114" s="96">
        <f>CF!N16</f>
        <v>-156.21299999999999</v>
      </c>
      <c r="G114" s="96">
        <f>CF!O16</f>
        <v>103.76899999999999</v>
      </c>
      <c r="H114" s="96">
        <f>CF!P16</f>
        <v>-44.738</v>
      </c>
      <c r="I114" s="96">
        <f>CF!Q16</f>
        <v>-41.561999999999983</v>
      </c>
      <c r="J114" s="96">
        <f>CF!R16</f>
        <v>-105.601</v>
      </c>
      <c r="K114" s="96">
        <f>CF!S16</f>
        <v>-14.628</v>
      </c>
      <c r="L114" s="96">
        <f>CF!T16</f>
        <v>-15.076000000000008</v>
      </c>
      <c r="M114" s="96">
        <f>CF!U16</f>
        <v>-56.802999999999997</v>
      </c>
      <c r="N114" s="96">
        <f>CF!V16</f>
        <v>-16.204999999999998</v>
      </c>
      <c r="O114" s="96">
        <f>CF!W16</f>
        <v>-137.74599999999998</v>
      </c>
      <c r="P114" s="96">
        <f>CF!X16</f>
        <v>128.524</v>
      </c>
      <c r="Q114" s="96">
        <f>CF!Y16</f>
        <v>-200.00200000000001</v>
      </c>
      <c r="R114" s="96">
        <f>CF!Z16</f>
        <v>-115.809</v>
      </c>
      <c r="S114" s="96">
        <f>CF!AA16</f>
        <v>-109.517</v>
      </c>
      <c r="T114" s="96">
        <f>CF!AB16</f>
        <v>-209.45399999999998</v>
      </c>
      <c r="U114" s="96">
        <f>CF!AC16</f>
        <v>-24.58200000000005</v>
      </c>
      <c r="V114" s="96">
        <f>CF!AD16</f>
        <v>-170.845</v>
      </c>
      <c r="W114" s="96">
        <f>CF!AE16</f>
        <v>-422.57899999999995</v>
      </c>
      <c r="X114" s="96">
        <f>CF!AF16</f>
        <v>195.40899999999996</v>
      </c>
      <c r="Y114" s="96">
        <f>CF!AG16</f>
        <v>237.04399999999995</v>
      </c>
      <c r="Z114" s="96">
        <f>CF!AH16</f>
        <v>-518.86099999999999</v>
      </c>
      <c r="AA114" s="96">
        <f>CF!AI16</f>
        <v>-329.30200000000002</v>
      </c>
      <c r="AB114" s="96">
        <f>CF!AJ16</f>
        <v>-147.01599999999996</v>
      </c>
      <c r="AC114" s="96">
        <f>CF!AK16</f>
        <v>40.740999999999985</v>
      </c>
      <c r="AD114" s="99">
        <f>CF!AL16</f>
        <v>-264.22300000000001</v>
      </c>
      <c r="AE114" s="99">
        <f>CF!AM16</f>
        <v>-14.689999999999998</v>
      </c>
      <c r="AF114" s="99">
        <f>CF!AN16</f>
        <v>-311.66900000000004</v>
      </c>
      <c r="AG114" s="99">
        <f>CF!AO16</f>
        <v>-131.68699999999995</v>
      </c>
      <c r="AH114" s="99">
        <f>CF!AP16</f>
        <v>-268.24099999999999</v>
      </c>
      <c r="AI114" s="99">
        <f>CF!AQ16</f>
        <v>-123.05400000000003</v>
      </c>
      <c r="AJ114" s="99">
        <f>CF!AR16</f>
        <v>-599.19000000000005</v>
      </c>
      <c r="AK114" s="99">
        <f>CF!AS16</f>
        <v>-1.8959999999999013</v>
      </c>
      <c r="AL114" s="99">
        <f>CF!AT16</f>
        <v>-96.820999999999998</v>
      </c>
      <c r="AM114" s="99">
        <f>CF!AU16</f>
        <v>-220.01700000000002</v>
      </c>
      <c r="AN114" s="99">
        <f>CF!AV16</f>
        <v>-315.738</v>
      </c>
      <c r="AO114" s="99">
        <f>CF!AW16</f>
        <v>-105.47399999999993</v>
      </c>
      <c r="AP114" s="99">
        <f>CF!AX16</f>
        <v>-323.32900000000001</v>
      </c>
      <c r="AQ114" s="99">
        <f>CF!AY16</f>
        <v>-166.08100000000002</v>
      </c>
      <c r="AR114" s="99">
        <f>CF!AZ16</f>
        <v>-172.00200000000001</v>
      </c>
      <c r="AS114" s="99">
        <f>CF!BA16</f>
        <v>98.715000000000032</v>
      </c>
      <c r="AT114" s="99">
        <f>CF!BB16</f>
        <v>-428.995</v>
      </c>
      <c r="AU114" s="99">
        <f>CF!BC16</f>
        <v>82.757000000000005</v>
      </c>
      <c r="AV114" s="99">
        <f>CF!BD16</f>
        <v>452.04699999999997</v>
      </c>
      <c r="AW114" s="99">
        <f>CF!BE16</f>
        <v>159.58800000000002</v>
      </c>
      <c r="AX114" s="99">
        <f>CF!BF16</f>
        <v>-307.96499999999997</v>
      </c>
      <c r="AY114" s="99">
        <f>CF!BG16</f>
        <v>-98.662000000000035</v>
      </c>
      <c r="AZ114" s="99">
        <f>CF!BH16</f>
        <v>-67.151999999999987</v>
      </c>
      <c r="BA114" s="99">
        <f>CF!BI16</f>
        <v>585.34100000000001</v>
      </c>
      <c r="BB114" s="99">
        <f>CF!BJ16</f>
        <v>0</v>
      </c>
      <c r="BC114" s="99">
        <f>CF!BK16</f>
        <v>0</v>
      </c>
      <c r="BD114" s="99">
        <f>CF!BL16</f>
        <v>-859.48299999999995</v>
      </c>
      <c r="BE114" s="99">
        <f>CF!BM16</f>
        <v>-312.36800000000017</v>
      </c>
      <c r="BF114" s="99">
        <f>CF!BN16</f>
        <v>-254.79900000000001</v>
      </c>
      <c r="BG114" s="99">
        <f>CF!BO16</f>
        <v>-555.07900000000006</v>
      </c>
      <c r="BH114" s="99">
        <f>CF!BP16</f>
        <v>-810.98500000000001</v>
      </c>
      <c r="BI114" s="99">
        <f>CF!BQ16</f>
        <v>-233.44499999999994</v>
      </c>
      <c r="BJ114" s="99">
        <f>CF!BR16-BJ45</f>
        <v>-455.06899999999996</v>
      </c>
      <c r="BK114" s="1173">
        <f>CF!BS16-BK45</f>
        <v>-194.71000000000004</v>
      </c>
      <c r="BL114" s="307">
        <f t="shared" ref="BL114" si="689">+BL84-BK84</f>
        <v>0</v>
      </c>
      <c r="BM114" s="307">
        <f t="shared" ref="BM114" si="690">+BM84-BL84</f>
        <v>0</v>
      </c>
      <c r="BN114" s="307">
        <f t="shared" ref="BN114" si="691">+BN84-BM84</f>
        <v>0</v>
      </c>
      <c r="BO114" s="307">
        <f t="shared" ref="BO114" si="692">+BO84-BN84</f>
        <v>0</v>
      </c>
      <c r="BP114" s="307">
        <f t="shared" ref="BP114" si="693">+BP84-BO84</f>
        <v>0</v>
      </c>
      <c r="BQ114" s="307">
        <f t="shared" ref="BQ114" si="694">+BQ84-BP84</f>
        <v>0</v>
      </c>
      <c r="BR114" s="307">
        <f t="shared" ref="BR114" si="695">+BR84-BQ84</f>
        <v>0</v>
      </c>
      <c r="BS114" s="307">
        <f t="shared" ref="BS114" si="696">+BS84-BR84</f>
        <v>0</v>
      </c>
      <c r="BT114" s="307">
        <f t="shared" ref="BT114" si="697">+BT84-BS84</f>
        <v>0</v>
      </c>
      <c r="BU114" s="307">
        <f t="shared" ref="BU114" si="698">+BU84-BT84</f>
        <v>0</v>
      </c>
      <c r="BV114" s="307">
        <f t="shared" ref="BV114" si="699">+BV84-BU84</f>
        <v>0</v>
      </c>
      <c r="BW114" s="307">
        <f t="shared" ref="BW114" si="700">+BW84-BV84</f>
        <v>0</v>
      </c>
      <c r="BX114" s="307">
        <f t="shared" ref="BX114" si="701">+BX84-BW84</f>
        <v>0</v>
      </c>
      <c r="BY114" s="307">
        <f t="shared" ref="BY114" si="702">+BY84-BX84</f>
        <v>0</v>
      </c>
      <c r="BZ114" s="307">
        <f t="shared" ref="BZ114" si="703">+BZ84-BY84</f>
        <v>0</v>
      </c>
      <c r="CA114" s="307">
        <f t="shared" ref="CA114" si="704">+CA84-BZ84</f>
        <v>0</v>
      </c>
      <c r="CB114" s="307">
        <f t="shared" ref="CB114" si="705">+CB84-CA84</f>
        <v>0</v>
      </c>
      <c r="CC114" s="307">
        <f t="shared" ref="CC114" si="706">+CC84-CB84</f>
        <v>0</v>
      </c>
      <c r="CD114" s="307">
        <f t="shared" ref="CD114" si="707">+CD84-CC84</f>
        <v>0</v>
      </c>
      <c r="CE114" s="307">
        <f t="shared" ref="CE114" si="708">+CE84-CD84</f>
        <v>0</v>
      </c>
      <c r="CF114" s="307">
        <f t="shared" ref="CF114" si="709">+CF84-CE84</f>
        <v>0</v>
      </c>
      <c r="CG114" s="307">
        <f t="shared" ref="CG114" si="710">+CG84-CF84</f>
        <v>0</v>
      </c>
      <c r="CH114" s="307">
        <f t="shared" ref="CH114" si="711">+CH84-CG84</f>
        <v>0</v>
      </c>
      <c r="CI114" s="307">
        <f t="shared" ref="CI114" si="712">+CI84-CH84</f>
        <v>0</v>
      </c>
      <c r="CJ114" s="307">
        <f t="shared" ref="CJ114" si="713">+CJ84-CI84</f>
        <v>0</v>
      </c>
      <c r="CK114" s="307">
        <f t="shared" ref="CK114" si="714">+CK84-CJ84</f>
        <v>0</v>
      </c>
      <c r="CL114" s="307">
        <f t="shared" ref="CL114" si="715">+CL84-CK84</f>
        <v>0</v>
      </c>
      <c r="CM114" s="307">
        <f t="shared" ref="CM114" si="716">+CM84-CL84</f>
        <v>0</v>
      </c>
      <c r="CN114" s="307">
        <f t="shared" ref="CN114" si="717">+CN84-CM84</f>
        <v>0</v>
      </c>
      <c r="CO114" s="307">
        <f t="shared" ref="CO114" si="718">+CO84-CN84</f>
        <v>0</v>
      </c>
      <c r="CP114" s="307">
        <f t="shared" ref="CP114" si="719">+CP84-CO84</f>
        <v>0</v>
      </c>
      <c r="CQ114" s="307">
        <f t="shared" ref="CQ114" si="720">+CQ84-CP84</f>
        <v>0</v>
      </c>
      <c r="CR114" s="307">
        <f t="shared" ref="CR114" si="721">+CR84-CQ84</f>
        <v>0</v>
      </c>
      <c r="CS114" s="307">
        <f t="shared" ref="CS114" si="722">+CS84-CR84</f>
        <v>0</v>
      </c>
      <c r="CT114" s="307">
        <f t="shared" ref="CT114" si="723">+CT84-CS84</f>
        <v>0</v>
      </c>
      <c r="CU114" s="307">
        <f t="shared" ref="CU114" si="724">+CU84-CT84</f>
        <v>0</v>
      </c>
      <c r="CV114" s="307">
        <f t="shared" ref="CV114" si="725">+CV84-CU84</f>
        <v>0</v>
      </c>
      <c r="CW114" s="307">
        <f t="shared" ref="CW114" si="726">+CW84-CV84</f>
        <v>0</v>
      </c>
      <c r="CY114" s="254"/>
    </row>
    <row r="115" spans="1:103">
      <c r="A115" s="366" t="s">
        <v>6</v>
      </c>
      <c r="B115" s="96">
        <f>CF!J17</f>
        <v>-141.90299999999999</v>
      </c>
      <c r="C115" s="96">
        <f>CF!K17</f>
        <v>-123.289</v>
      </c>
      <c r="D115" s="96">
        <f>CF!L17</f>
        <v>651.34699999999998</v>
      </c>
      <c r="E115" s="96">
        <f>CF!M17</f>
        <v>-548.44399999999996</v>
      </c>
      <c r="F115" s="96">
        <f>CF!N17</f>
        <v>17.707999999999998</v>
      </c>
      <c r="G115" s="96">
        <f>CF!O17</f>
        <v>-182.20699999999999</v>
      </c>
      <c r="H115" s="96">
        <f>CF!P17</f>
        <v>64.73599999999999</v>
      </c>
      <c r="I115" s="96">
        <f>CF!Q17</f>
        <v>-0.95500000000001251</v>
      </c>
      <c r="J115" s="96">
        <f>CF!R17</f>
        <v>19.190000000000001</v>
      </c>
      <c r="K115" s="96">
        <f>CF!S17</f>
        <v>47.486000000000004</v>
      </c>
      <c r="L115" s="96">
        <f>CF!T17</f>
        <v>57.828000000000003</v>
      </c>
      <c r="M115" s="96">
        <f>CF!U17</f>
        <v>-2301.3679999999999</v>
      </c>
      <c r="N115" s="96">
        <f>CF!V17</f>
        <v>2266.826</v>
      </c>
      <c r="O115" s="96">
        <f>CF!W17</f>
        <v>-21.686000000000149</v>
      </c>
      <c r="P115" s="96">
        <f>CF!X17</f>
        <v>23.938000000000102</v>
      </c>
      <c r="Q115" s="96">
        <f>CF!Y17</f>
        <v>82.380000000000109</v>
      </c>
      <c r="R115" s="96">
        <f>CF!Z17</f>
        <v>-35.222000000000001</v>
      </c>
      <c r="S115" s="96">
        <f>CF!AA17</f>
        <v>89.253</v>
      </c>
      <c r="T115" s="96">
        <f>CF!AB17</f>
        <v>-160.22899999999998</v>
      </c>
      <c r="U115" s="96">
        <f>CF!AC17</f>
        <v>-100.10499999999999</v>
      </c>
      <c r="V115" s="96">
        <f>CF!AD17</f>
        <v>122.26</v>
      </c>
      <c r="W115" s="96">
        <f>CF!AE17</f>
        <v>-126.73700000000001</v>
      </c>
      <c r="X115" s="96">
        <f>CF!AF17</f>
        <v>110.66799999999999</v>
      </c>
      <c r="Y115" s="96">
        <f>CF!AG17</f>
        <v>-51.070999999999984</v>
      </c>
      <c r="Z115" s="96">
        <f>CF!AH17</f>
        <v>65.55</v>
      </c>
      <c r="AA115" s="96">
        <f>CF!AI17</f>
        <v>79.570000000000007</v>
      </c>
      <c r="AB115" s="96">
        <f>CF!AJ17</f>
        <v>179.37900000000002</v>
      </c>
      <c r="AC115" s="96">
        <f>CF!AK17</f>
        <v>10.295999999999992</v>
      </c>
      <c r="AD115" s="99">
        <f>CF!AL17</f>
        <v>370.649</v>
      </c>
      <c r="AE115" s="99">
        <f>CF!AM17</f>
        <v>-336.18399999999997</v>
      </c>
      <c r="AF115" s="99">
        <f>CF!AN17</f>
        <v>370.14700000000005</v>
      </c>
      <c r="AG115" s="99">
        <f>CF!AO17</f>
        <v>276.40199999999993</v>
      </c>
      <c r="AH115" s="99">
        <f>CF!AP17</f>
        <v>81.772000000000006</v>
      </c>
      <c r="AI115" s="99">
        <f>CF!AQ17</f>
        <v>13.716999999999999</v>
      </c>
      <c r="AJ115" s="99">
        <f>CF!AR17</f>
        <v>380.33600000000001</v>
      </c>
      <c r="AK115" s="99">
        <f>CF!AS17</f>
        <v>-46.959000000000032</v>
      </c>
      <c r="AL115" s="99">
        <f>CF!AT17</f>
        <v>-453.70299999999997</v>
      </c>
      <c r="AM115" s="99">
        <f>CF!AU17</f>
        <v>-99.558999999999969</v>
      </c>
      <c r="AN115" s="99">
        <f>CF!AV17</f>
        <v>277.35099999999994</v>
      </c>
      <c r="AO115" s="99">
        <f>CF!AW17</f>
        <v>701.93799999999999</v>
      </c>
      <c r="AP115" s="99">
        <f>CF!AX17</f>
        <v>-661.52599999999995</v>
      </c>
      <c r="AQ115" s="99">
        <f>CF!AY17</f>
        <v>-346.37200000000007</v>
      </c>
      <c r="AR115" s="99">
        <f>CF!AZ17</f>
        <v>439.57900000000006</v>
      </c>
      <c r="AS115" s="99">
        <f>CF!BA17</f>
        <v>396.47799999999995</v>
      </c>
      <c r="AT115" s="99">
        <f>CF!BB17</f>
        <v>-355.38099999999997</v>
      </c>
      <c r="AU115" s="99">
        <f>CF!BC17</f>
        <v>-158.34000000000003</v>
      </c>
      <c r="AV115" s="99">
        <f>CF!BD17</f>
        <v>-1160.7259999999997</v>
      </c>
      <c r="AW115" s="99">
        <f>CF!BE17</f>
        <v>-1741.4020000000005</v>
      </c>
      <c r="AX115" s="99">
        <f>CF!BF17</f>
        <v>-292.923</v>
      </c>
      <c r="AY115" s="99">
        <f>CF!BG17</f>
        <v>53.027000000000015</v>
      </c>
      <c r="AZ115" s="99">
        <f>CF!BH17</f>
        <v>773.62899999999991</v>
      </c>
      <c r="BA115" s="99">
        <f>CF!BI17</f>
        <v>765.00500000000011</v>
      </c>
      <c r="BB115" s="99">
        <f>CF!BJ17</f>
        <v>-1605.1780000000001</v>
      </c>
      <c r="BC115" s="99">
        <f>CF!BK17</f>
        <v>1279.181</v>
      </c>
      <c r="BD115" s="99">
        <f>CF!BL17</f>
        <v>1076.924</v>
      </c>
      <c r="BE115" s="99">
        <f>CF!BM17</f>
        <v>599.69400000000019</v>
      </c>
      <c r="BF115" s="99">
        <f>CF!BN17</f>
        <v>-301.98500000000001</v>
      </c>
      <c r="BG115" s="99">
        <f>CF!BO17</f>
        <v>-256.37400000000002</v>
      </c>
      <c r="BH115" s="99">
        <f>CF!BP17</f>
        <v>-589.51899999999989</v>
      </c>
      <c r="BI115" s="99">
        <f>CF!BQ17</f>
        <v>2238.4659999999999</v>
      </c>
      <c r="BJ115" s="99">
        <f>CF!BR17</f>
        <v>-491.959</v>
      </c>
      <c r="BK115" s="1173">
        <f>CF!BS17</f>
        <v>707.76800000000003</v>
      </c>
      <c r="BL115" s="307">
        <f t="shared" ref="BL115:CW115" si="727">BK71-BL71+BL85-BK85</f>
        <v>195.67006143569233</v>
      </c>
      <c r="BM115" s="307">
        <f t="shared" si="727"/>
        <v>745.88271063209049</v>
      </c>
      <c r="BN115" s="307">
        <f t="shared" si="727"/>
        <v>-564.06615510598294</v>
      </c>
      <c r="BO115" s="307">
        <f t="shared" si="727"/>
        <v>-515.82900294760748</v>
      </c>
      <c r="BP115" s="307">
        <f t="shared" si="727"/>
        <v>706.05837158080521</v>
      </c>
      <c r="BQ115" s="307">
        <f t="shared" si="727"/>
        <v>835.84949053591845</v>
      </c>
      <c r="BR115" s="307">
        <f t="shared" si="727"/>
        <v>-633.71751268656863</v>
      </c>
      <c r="BS115" s="307">
        <f t="shared" si="727"/>
        <v>-606.01590072579529</v>
      </c>
      <c r="BT115" s="307">
        <f t="shared" si="727"/>
        <v>751.94348052420173</v>
      </c>
      <c r="BU115" s="307">
        <f t="shared" si="727"/>
        <v>887.79081050941841</v>
      </c>
      <c r="BV115" s="307">
        <f t="shared" si="727"/>
        <v>-701.44031871752122</v>
      </c>
      <c r="BW115" s="307">
        <f t="shared" si="727"/>
        <v>-648.95411033695746</v>
      </c>
      <c r="BX115" s="307">
        <f t="shared" si="727"/>
        <v>798.3512624266541</v>
      </c>
      <c r="BY115" s="307">
        <f t="shared" si="727"/>
        <v>945.8325438293632</v>
      </c>
      <c r="BZ115" s="307">
        <f t="shared" si="727"/>
        <v>-683.93806737249906</v>
      </c>
      <c r="CA115" s="307">
        <f t="shared" si="727"/>
        <v>-682.35877733257803</v>
      </c>
      <c r="CB115" s="307">
        <f t="shared" si="727"/>
        <v>847.2097473272861</v>
      </c>
      <c r="CC115" s="307">
        <f t="shared" si="727"/>
        <v>1000.536654124453</v>
      </c>
      <c r="CD115" s="307">
        <f t="shared" si="727"/>
        <v>-854.39141586983897</v>
      </c>
      <c r="CE115" s="307">
        <f t="shared" si="727"/>
        <v>-724.03809599857595</v>
      </c>
      <c r="CF115" s="307">
        <f t="shared" si="727"/>
        <v>895.2551870560892</v>
      </c>
      <c r="CG115" s="307">
        <f t="shared" si="727"/>
        <v>1061.957103145156</v>
      </c>
      <c r="CH115" s="307">
        <f t="shared" si="727"/>
        <v>-909.10763778980618</v>
      </c>
      <c r="CI115" s="307">
        <f t="shared" si="727"/>
        <v>-770.26286733634879</v>
      </c>
      <c r="CJ115" s="307">
        <f t="shared" si="727"/>
        <v>942.03878084174357</v>
      </c>
      <c r="CK115" s="307">
        <f t="shared" si="727"/>
        <v>1119.9538800749469</v>
      </c>
      <c r="CL115" s="307">
        <f t="shared" si="727"/>
        <v>-965.34175446437985</v>
      </c>
      <c r="CM115" s="307">
        <f t="shared" si="727"/>
        <v>-814.32272444685077</v>
      </c>
      <c r="CN115" s="307">
        <f t="shared" si="727"/>
        <v>993.18418601387202</v>
      </c>
      <c r="CO115" s="307">
        <f t="shared" si="727"/>
        <v>1184.7512599410165</v>
      </c>
      <c r="CP115" s="307">
        <f t="shared" si="727"/>
        <v>-1021.8095574596318</v>
      </c>
      <c r="CQ115" s="307">
        <f t="shared" si="727"/>
        <v>-860.68337800602967</v>
      </c>
      <c r="CR115" s="307">
        <f t="shared" si="727"/>
        <v>1047.1653548011545</v>
      </c>
      <c r="CS115" s="307">
        <f t="shared" si="727"/>
        <v>1253.0221849812242</v>
      </c>
      <c r="CT115" s="307">
        <f t="shared" si="727"/>
        <v>-1081.3063028288398</v>
      </c>
      <c r="CU115" s="307">
        <f t="shared" si="727"/>
        <v>-909.68329718971836</v>
      </c>
      <c r="CV115" s="307">
        <f t="shared" si="727"/>
        <v>1103.5929661249356</v>
      </c>
      <c r="CW115" s="307">
        <f t="shared" si="727"/>
        <v>1319.7181134387702</v>
      </c>
      <c r="CY115" s="254"/>
    </row>
    <row r="116" spans="1:103">
      <c r="A116" s="319" t="s">
        <v>7</v>
      </c>
      <c r="B116" s="464">
        <f t="shared" ref="B116:BH116" si="728">SUM(B105,B107:B109,B111:B115)</f>
        <v>116.95399999999998</v>
      </c>
      <c r="C116" s="464">
        <f t="shared" si="728"/>
        <v>133.67500000000001</v>
      </c>
      <c r="D116" s="464">
        <f t="shared" si="728"/>
        <v>495.08100000000002</v>
      </c>
      <c r="E116" s="464">
        <f t="shared" si="728"/>
        <v>297.30799999999999</v>
      </c>
      <c r="F116" s="464">
        <f t="shared" si="728"/>
        <v>-61.125999999999976</v>
      </c>
      <c r="G116" s="464">
        <f t="shared" si="728"/>
        <v>302.53499999999991</v>
      </c>
      <c r="H116" s="464">
        <f t="shared" si="728"/>
        <v>282.916</v>
      </c>
      <c r="I116" s="464">
        <f t="shared" si="728"/>
        <v>268.25800000000004</v>
      </c>
      <c r="J116" s="464">
        <f t="shared" si="728"/>
        <v>-29.906000000000002</v>
      </c>
      <c r="K116" s="464">
        <f t="shared" si="728"/>
        <v>370.06099999999998</v>
      </c>
      <c r="L116" s="464">
        <f t="shared" si="728"/>
        <v>384.35199999999998</v>
      </c>
      <c r="M116" s="464">
        <f t="shared" si="728"/>
        <v>-1794.422</v>
      </c>
      <c r="N116" s="464">
        <f t="shared" si="728"/>
        <v>2279.2310000000002</v>
      </c>
      <c r="O116" s="464">
        <f t="shared" si="728"/>
        <v>383.48399999999992</v>
      </c>
      <c r="P116" s="464">
        <f t="shared" si="728"/>
        <v>418.82700000000011</v>
      </c>
      <c r="Q116" s="464">
        <f t="shared" si="728"/>
        <v>404.06100000000009</v>
      </c>
      <c r="R116" s="464">
        <f t="shared" si="728"/>
        <v>224.50699999999992</v>
      </c>
      <c r="S116" s="464">
        <f t="shared" si="728"/>
        <v>338.34</v>
      </c>
      <c r="T116" s="464">
        <f t="shared" si="728"/>
        <v>129.9500000000001</v>
      </c>
      <c r="U116" s="464">
        <f t="shared" si="728"/>
        <v>662.67099999999982</v>
      </c>
      <c r="V116" s="464">
        <f t="shared" si="728"/>
        <v>196.45300000000009</v>
      </c>
      <c r="W116" s="464">
        <f t="shared" si="728"/>
        <v>-141.21200000000005</v>
      </c>
      <c r="X116" s="464">
        <f t="shared" si="728"/>
        <v>713.66100000000006</v>
      </c>
      <c r="Y116" s="464">
        <f t="shared" si="728"/>
        <v>1308.3169999999998</v>
      </c>
      <c r="Z116" s="464">
        <f t="shared" si="728"/>
        <v>86.543000000000049</v>
      </c>
      <c r="AA116" s="464">
        <f t="shared" si="728"/>
        <v>489.14000000000004</v>
      </c>
      <c r="AB116" s="464">
        <f t="shared" si="728"/>
        <v>787.97100000000023</v>
      </c>
      <c r="AC116" s="464">
        <f t="shared" si="728"/>
        <v>1727.4019999999998</v>
      </c>
      <c r="AD116" s="237">
        <f t="shared" si="728"/>
        <v>798.60099999999989</v>
      </c>
      <c r="AE116" s="237">
        <f t="shared" si="728"/>
        <v>774.58199999999965</v>
      </c>
      <c r="AF116" s="237">
        <f t="shared" si="728"/>
        <v>1128.9760000000001</v>
      </c>
      <c r="AG116" s="237">
        <f t="shared" si="728"/>
        <v>1762.9220000000005</v>
      </c>
      <c r="AH116" s="237">
        <f t="shared" si="728"/>
        <v>-159.71699999999993</v>
      </c>
      <c r="AI116" s="237">
        <f t="shared" si="728"/>
        <v>634.08100000000002</v>
      </c>
      <c r="AJ116" s="237">
        <f t="shared" si="728"/>
        <v>463.50100000000009</v>
      </c>
      <c r="AK116" s="237">
        <f t="shared" si="728"/>
        <v>1500.2230000000002</v>
      </c>
      <c r="AL116" s="237">
        <f t="shared" si="728"/>
        <v>226.82800000000009</v>
      </c>
      <c r="AM116" s="237">
        <f t="shared" si="728"/>
        <v>1002.1790000000001</v>
      </c>
      <c r="AN116" s="237">
        <f t="shared" si="728"/>
        <v>805.65899999999988</v>
      </c>
      <c r="AO116" s="237">
        <f t="shared" si="728"/>
        <v>3183.9040000000005</v>
      </c>
      <c r="AP116" s="237">
        <f t="shared" si="728"/>
        <v>784.52599999999995</v>
      </c>
      <c r="AQ116" s="237">
        <f t="shared" si="728"/>
        <v>1533.4460000000001</v>
      </c>
      <c r="AR116" s="237">
        <f t="shared" si="728"/>
        <v>-577.99899999999968</v>
      </c>
      <c r="AS116" s="237">
        <f t="shared" si="728"/>
        <v>4212.4979999999996</v>
      </c>
      <c r="AT116" s="237">
        <f t="shared" si="728"/>
        <v>1289.9870000000001</v>
      </c>
      <c r="AU116" s="237">
        <f t="shared" si="728"/>
        <v>-793.15400000000102</v>
      </c>
      <c r="AV116" s="237">
        <f t="shared" si="728"/>
        <v>1578.1380000000004</v>
      </c>
      <c r="AW116" s="237">
        <f t="shared" si="728"/>
        <v>1401.6859999999997</v>
      </c>
      <c r="AX116" s="237">
        <f t="shared" si="728"/>
        <v>1335.3109999999999</v>
      </c>
      <c r="AY116" s="237">
        <f t="shared" si="728"/>
        <v>1948.6990000000003</v>
      </c>
      <c r="AZ116" s="237">
        <f t="shared" si="728"/>
        <v>2829.6659999999997</v>
      </c>
      <c r="BA116" s="237">
        <f t="shared" si="728"/>
        <v>5383.2380000000003</v>
      </c>
      <c r="BB116" s="237">
        <f t="shared" si="728"/>
        <v>920.00399999999968</v>
      </c>
      <c r="BC116" s="237">
        <f t="shared" si="728"/>
        <v>3264.6680000000006</v>
      </c>
      <c r="BD116" s="237">
        <f t="shared" si="728"/>
        <v>2396.1480000000001</v>
      </c>
      <c r="BE116" s="237">
        <f t="shared" si="728"/>
        <v>4391.0510000000004</v>
      </c>
      <c r="BF116" s="237">
        <f t="shared" si="728"/>
        <v>1609.0489999999995</v>
      </c>
      <c r="BG116" s="237">
        <f t="shared" si="728"/>
        <v>2225.0529999999999</v>
      </c>
      <c r="BH116" s="237">
        <f t="shared" si="728"/>
        <v>1706.0149999999999</v>
      </c>
      <c r="BI116" s="237">
        <f t="shared" ref="BI116:BJ116" si="729">SUM(BI105,BI107:BI109,BI111:BI115)</f>
        <v>5893.8290000000015</v>
      </c>
      <c r="BJ116" s="237">
        <f t="shared" si="729"/>
        <v>1291.2339999999997</v>
      </c>
      <c r="BK116" s="1176">
        <f t="shared" ref="BK116" si="730">SUM(BK105,BK107:BK109,BK111:BK115)</f>
        <v>955.36500000000024</v>
      </c>
      <c r="BL116" s="419">
        <f t="shared" ref="BL116:CW116" si="731">SUM(BL105,BL107:BL109,BL111:BL115)</f>
        <v>2437.6579938961499</v>
      </c>
      <c r="BM116" s="419">
        <f t="shared" si="731"/>
        <v>3999.0059663578354</v>
      </c>
      <c r="BN116" s="419">
        <f t="shared" si="731"/>
        <v>1774.1187957658858</v>
      </c>
      <c r="BO116" s="419">
        <f t="shared" si="731"/>
        <v>1767.6000231344879</v>
      </c>
      <c r="BP116" s="419">
        <f t="shared" si="731"/>
        <v>3432.7443660858085</v>
      </c>
      <c r="BQ116" s="419">
        <f t="shared" si="731"/>
        <v>4287.9517985247694</v>
      </c>
      <c r="BR116" s="419">
        <f t="shared" si="731"/>
        <v>1653.9691035858746</v>
      </c>
      <c r="BS116" s="419">
        <f t="shared" si="731"/>
        <v>2002.9607248907596</v>
      </c>
      <c r="BT116" s="419">
        <f t="shared" si="731"/>
        <v>3715.1217904762448</v>
      </c>
      <c r="BU116" s="419">
        <f t="shared" si="731"/>
        <v>4923.0860653456575</v>
      </c>
      <c r="BV116" s="419">
        <f t="shared" si="731"/>
        <v>2268.440386686937</v>
      </c>
      <c r="BW116" s="419">
        <f t="shared" si="731"/>
        <v>2216.6115632859487</v>
      </c>
      <c r="BX116" s="419">
        <f t="shared" si="731"/>
        <v>3929.7010490935222</v>
      </c>
      <c r="BY116" s="419">
        <f t="shared" si="731"/>
        <v>5111.5966028688263</v>
      </c>
      <c r="BZ116" s="419">
        <f t="shared" si="731"/>
        <v>2449.5659149926605</v>
      </c>
      <c r="CA116" s="419">
        <f t="shared" si="731"/>
        <v>2271.179875414673</v>
      </c>
      <c r="CB116" s="419">
        <f t="shared" si="731"/>
        <v>4107.8988171443634</v>
      </c>
      <c r="CC116" s="419">
        <f t="shared" si="731"/>
        <v>5390.3505272233269</v>
      </c>
      <c r="CD116" s="419">
        <f t="shared" si="731"/>
        <v>2473.0379648341</v>
      </c>
      <c r="CE116" s="419">
        <f t="shared" si="731"/>
        <v>2469.93788097272</v>
      </c>
      <c r="CF116" s="419">
        <f t="shared" si="731"/>
        <v>4422.1886527250717</v>
      </c>
      <c r="CG116" s="419">
        <f t="shared" si="731"/>
        <v>5788.6857055210367</v>
      </c>
      <c r="CH116" s="419">
        <f t="shared" si="731"/>
        <v>2687.4152797434708</v>
      </c>
      <c r="CI116" s="419">
        <f t="shared" si="731"/>
        <v>2680.2207043808362</v>
      </c>
      <c r="CJ116" s="419">
        <f t="shared" si="731"/>
        <v>4750.5549230054276</v>
      </c>
      <c r="CK116" s="419">
        <f t="shared" si="731"/>
        <v>6197.2479749781396</v>
      </c>
      <c r="CL116" s="419">
        <f t="shared" si="731"/>
        <v>2911.6617408441743</v>
      </c>
      <c r="CM116" s="419">
        <f t="shared" si="731"/>
        <v>2905.9923610073024</v>
      </c>
      <c r="CN116" s="419">
        <f t="shared" si="731"/>
        <v>5098.6989293662136</v>
      </c>
      <c r="CO116" s="419">
        <f t="shared" si="731"/>
        <v>6633.0943748879099</v>
      </c>
      <c r="CP116" s="419">
        <f t="shared" si="731"/>
        <v>3154.3096183654761</v>
      </c>
      <c r="CQ116" s="419">
        <f t="shared" si="731"/>
        <v>3147.4169373773475</v>
      </c>
      <c r="CR116" s="419">
        <f t="shared" si="731"/>
        <v>5469.0129315128961</v>
      </c>
      <c r="CS116" s="419">
        <f t="shared" si="731"/>
        <v>7093.1738670110899</v>
      </c>
      <c r="CT116" s="419">
        <f t="shared" si="731"/>
        <v>3411.3144004963269</v>
      </c>
      <c r="CU116" s="419">
        <f t="shared" si="731"/>
        <v>3405.5047140991119</v>
      </c>
      <c r="CV116" s="419">
        <f t="shared" si="731"/>
        <v>5859.0276501508615</v>
      </c>
      <c r="CW116" s="419">
        <f t="shared" si="731"/>
        <v>7570.5702187537336</v>
      </c>
      <c r="CY116" s="254"/>
    </row>
    <row r="117" spans="1:103">
      <c r="A117" s="290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9"/>
      <c r="AI117" s="99"/>
      <c r="AJ117" s="99"/>
      <c r="AK117" s="99"/>
      <c r="AL117" s="99"/>
      <c r="AM117" s="99"/>
      <c r="AN117" s="99"/>
      <c r="AO117" s="99"/>
      <c r="AP117" s="99"/>
      <c r="AQ117" s="99"/>
      <c r="AR117" s="99"/>
      <c r="AS117" s="99"/>
      <c r="AT117" s="99"/>
      <c r="AU117" s="99"/>
      <c r="AV117" s="99"/>
      <c r="AW117" s="99"/>
      <c r="AX117" s="99"/>
      <c r="AY117" s="99"/>
      <c r="AZ117" s="99"/>
      <c r="BA117" s="99"/>
      <c r="BB117" s="99"/>
      <c r="BC117" s="99"/>
      <c r="BD117" s="99"/>
      <c r="BE117" s="99"/>
      <c r="BF117" s="99"/>
      <c r="BG117" s="99"/>
      <c r="BH117" s="99"/>
      <c r="BI117" s="99"/>
      <c r="BJ117" s="99"/>
      <c r="BK117" s="1173"/>
      <c r="BL117" s="307"/>
      <c r="BM117" s="307"/>
      <c r="BN117" s="307"/>
      <c r="BO117" s="307"/>
      <c r="BP117" s="307"/>
      <c r="BQ117" s="307"/>
      <c r="BR117" s="307"/>
      <c r="BS117" s="307"/>
      <c r="BT117" s="307"/>
      <c r="BU117" s="307"/>
      <c r="BV117" s="307"/>
      <c r="BW117" s="307"/>
      <c r="BX117" s="307"/>
      <c r="BY117" s="307"/>
      <c r="BZ117" s="307"/>
      <c r="CA117" s="307"/>
      <c r="CB117" s="307"/>
      <c r="CC117" s="307"/>
      <c r="CD117" s="307"/>
      <c r="CE117" s="307"/>
      <c r="CF117" s="307"/>
      <c r="CG117" s="307"/>
      <c r="CH117" s="307"/>
      <c r="CI117" s="307"/>
      <c r="CJ117" s="307"/>
      <c r="CK117" s="307"/>
      <c r="CL117" s="307"/>
      <c r="CM117" s="307"/>
      <c r="CN117" s="307"/>
      <c r="CO117" s="307"/>
      <c r="CP117" s="307"/>
      <c r="CQ117" s="307"/>
      <c r="CR117" s="307"/>
      <c r="CS117" s="307"/>
      <c r="CT117" s="307"/>
      <c r="CU117" s="307"/>
      <c r="CV117" s="307"/>
      <c r="CW117" s="307"/>
    </row>
    <row r="118" spans="1:103">
      <c r="A118" s="319" t="s">
        <v>0</v>
      </c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9"/>
      <c r="AI118" s="99"/>
      <c r="AJ118" s="99"/>
      <c r="AK118" s="99"/>
      <c r="AL118" s="99"/>
      <c r="AM118" s="99"/>
      <c r="AN118" s="99"/>
      <c r="AO118" s="99"/>
      <c r="AP118" s="99"/>
      <c r="AQ118" s="99"/>
      <c r="AR118" s="99"/>
      <c r="AS118" s="99"/>
      <c r="AT118" s="99"/>
      <c r="AU118" s="99"/>
      <c r="AV118" s="99"/>
      <c r="AW118" s="99"/>
      <c r="AX118" s="99"/>
      <c r="AY118" s="99"/>
      <c r="AZ118" s="99"/>
      <c r="BA118" s="99"/>
      <c r="BB118" s="99"/>
      <c r="BC118" s="99"/>
      <c r="BD118" s="99"/>
      <c r="BE118" s="99"/>
      <c r="BF118" s="99"/>
      <c r="BG118" s="99"/>
      <c r="BH118" s="99"/>
      <c r="BI118" s="99"/>
      <c r="BJ118" s="99"/>
      <c r="BK118" s="1173"/>
      <c r="BL118" s="307"/>
      <c r="BM118" s="307"/>
      <c r="BN118" s="307"/>
      <c r="BO118" s="307"/>
      <c r="BP118" s="307"/>
      <c r="BQ118" s="307"/>
      <c r="BR118" s="307"/>
      <c r="BS118" s="307"/>
      <c r="BT118" s="307"/>
      <c r="BU118" s="307"/>
      <c r="BV118" s="307"/>
      <c r="BW118" s="307"/>
      <c r="BX118" s="307"/>
      <c r="BY118" s="307"/>
      <c r="BZ118" s="307"/>
      <c r="CA118" s="307"/>
      <c r="CB118" s="307"/>
      <c r="CC118" s="307"/>
      <c r="CD118" s="307"/>
      <c r="CE118" s="307"/>
      <c r="CF118" s="307"/>
      <c r="CG118" s="307"/>
      <c r="CH118" s="307"/>
      <c r="CI118" s="307"/>
      <c r="CJ118" s="307"/>
      <c r="CK118" s="307"/>
      <c r="CL118" s="307"/>
      <c r="CM118" s="307"/>
      <c r="CN118" s="307"/>
      <c r="CO118" s="307"/>
      <c r="CP118" s="307"/>
      <c r="CQ118" s="307"/>
      <c r="CR118" s="307"/>
      <c r="CS118" s="307"/>
      <c r="CT118" s="307"/>
      <c r="CU118" s="307"/>
      <c r="CV118" s="307"/>
      <c r="CW118" s="307"/>
    </row>
    <row r="119" spans="1:103">
      <c r="A119" s="290" t="s">
        <v>586</v>
      </c>
      <c r="B119" s="96">
        <f>CF!J21</f>
        <v>-62.723999999999997</v>
      </c>
      <c r="C119" s="96">
        <f>CF!K21</f>
        <v>-52.923999999999999</v>
      </c>
      <c r="D119" s="96">
        <f>CF!L21</f>
        <v>12.967999999999989</v>
      </c>
      <c r="E119" s="96">
        <f>CF!M21</f>
        <v>-20.766999999999989</v>
      </c>
      <c r="F119" s="96">
        <f>CF!N21</f>
        <v>-19.079999999999998</v>
      </c>
      <c r="G119" s="96">
        <f>CF!O21</f>
        <v>-173.00799999999998</v>
      </c>
      <c r="H119" s="96">
        <f>CF!P21</f>
        <v>-140.64800000000002</v>
      </c>
      <c r="I119" s="96">
        <f>CF!Q21</f>
        <v>-180.66899999999998</v>
      </c>
      <c r="J119" s="96">
        <f>CF!R21</f>
        <v>-159.255</v>
      </c>
      <c r="K119" s="96">
        <f>CF!S21</f>
        <v>-228.476</v>
      </c>
      <c r="L119" s="96">
        <f>CF!T21</f>
        <v>-221.23699999999997</v>
      </c>
      <c r="M119" s="96">
        <f>CF!U21</f>
        <v>-349.56200000000001</v>
      </c>
      <c r="N119" s="96">
        <f>CF!V21</f>
        <v>-78.176000000000002</v>
      </c>
      <c r="O119" s="96">
        <f>CF!W21</f>
        <v>-235.99099999999999</v>
      </c>
      <c r="P119" s="96">
        <f>CF!X21</f>
        <v>-183.59500000000003</v>
      </c>
      <c r="Q119" s="96">
        <f>CF!Y21</f>
        <v>-302.29500000000002</v>
      </c>
      <c r="R119" s="96">
        <f>CF!Z21</f>
        <v>-92.738</v>
      </c>
      <c r="S119" s="96">
        <f>CF!AA21</f>
        <v>-370.74599999999998</v>
      </c>
      <c r="T119" s="96">
        <f>CF!AB21</f>
        <v>-28.333000000000027</v>
      </c>
      <c r="U119" s="96">
        <f>CF!AC21</f>
        <v>-447.71</v>
      </c>
      <c r="V119" s="96">
        <f>CF!AD21</f>
        <v>-230.23400000000001</v>
      </c>
      <c r="W119" s="96">
        <f>CF!AE21</f>
        <v>-525.05899999999997</v>
      </c>
      <c r="X119" s="96">
        <f>CF!AF21</f>
        <v>-558.54100000000005</v>
      </c>
      <c r="Y119" s="96">
        <f>CF!AG21</f>
        <v>-735.71199999999965</v>
      </c>
      <c r="Z119" s="96">
        <f>CF!AH21</f>
        <v>-703.84699999999998</v>
      </c>
      <c r="AA119" s="96">
        <f>CF!AI21</f>
        <v>-759.02800000000002</v>
      </c>
      <c r="AB119" s="96">
        <f>CF!AJ21</f>
        <v>-617.05799999999999</v>
      </c>
      <c r="AC119" s="96">
        <f>CF!AK21</f>
        <v>-904.88500000000022</v>
      </c>
      <c r="AD119" s="99">
        <f>CF!AL21</f>
        <v>-577.80200000000002</v>
      </c>
      <c r="AE119" s="99">
        <f>CF!AM21</f>
        <v>-872.91099999999994</v>
      </c>
      <c r="AF119" s="99">
        <f>CF!AN21</f>
        <v>-1089.1589999999997</v>
      </c>
      <c r="AG119" s="99">
        <f>CF!AO21</f>
        <v>-1555.0420000000004</v>
      </c>
      <c r="AH119" s="99">
        <f>CF!AP21</f>
        <v>-948.97199999999998</v>
      </c>
      <c r="AI119" s="99">
        <f>CF!AQ21</f>
        <v>-1129.5719999999999</v>
      </c>
      <c r="AJ119" s="99">
        <f>CF!AR21</f>
        <v>-957.92200000000003</v>
      </c>
      <c r="AK119" s="99">
        <f>CF!AS21</f>
        <v>-1348.9110000000007</v>
      </c>
      <c r="AL119" s="99">
        <f>CF!AT21</f>
        <v>-900.43200000000002</v>
      </c>
      <c r="AM119" s="99">
        <f>CF!AU21</f>
        <v>-943.84199999999987</v>
      </c>
      <c r="AN119" s="99">
        <f>CF!AV21</f>
        <v>-1096.806</v>
      </c>
      <c r="AO119" s="99">
        <f>CF!AW21</f>
        <v>-1145.1750000000002</v>
      </c>
      <c r="AP119" s="99">
        <f>CF!AX21</f>
        <v>-648.33199999999999</v>
      </c>
      <c r="AQ119" s="99">
        <f>CF!AY21</f>
        <v>-403.75400000000002</v>
      </c>
      <c r="AR119" s="99">
        <f>CF!AZ21</f>
        <v>-612.72599999999989</v>
      </c>
      <c r="AS119" s="99">
        <f>CF!BA21</f>
        <v>-1675.2460000000001</v>
      </c>
      <c r="AT119" s="99">
        <f>CF!BB21</f>
        <v>-434.79300000000001</v>
      </c>
      <c r="AU119" s="99">
        <f>CF!BC21</f>
        <v>-378.08299999999997</v>
      </c>
      <c r="AV119" s="99">
        <f>CF!BD21</f>
        <v>-166.52499999999998</v>
      </c>
      <c r="AW119" s="99">
        <f>CF!BE21</f>
        <v>-350.55800000000022</v>
      </c>
      <c r="AX119" s="99">
        <f>CF!BF21</f>
        <v>-276.077</v>
      </c>
      <c r="AY119" s="99">
        <f>CF!BG21</f>
        <v>-469.97900000000004</v>
      </c>
      <c r="AZ119" s="99">
        <f>CF!BH21</f>
        <v>-503.75800000000004</v>
      </c>
      <c r="BA119" s="99">
        <f>CF!BI21</f>
        <v>-1063.6969999999999</v>
      </c>
      <c r="BB119" s="99">
        <f>CF!BJ21</f>
        <v>-640.19899999999996</v>
      </c>
      <c r="BC119" s="99">
        <f>CF!BK21</f>
        <v>-850.46500000000003</v>
      </c>
      <c r="BD119" s="99">
        <f>CF!BL21</f>
        <v>-783.2729999999998</v>
      </c>
      <c r="BE119" s="99">
        <f>CF!BM21</f>
        <v>-1561.6420000000003</v>
      </c>
      <c r="BF119" s="99">
        <f>CF!BN21</f>
        <v>-559.61699999999996</v>
      </c>
      <c r="BG119" s="99">
        <f>CF!BO21</f>
        <v>-893.65900000000011</v>
      </c>
      <c r="BH119" s="99">
        <f>CF!BP21</f>
        <v>-1260.9039999999998</v>
      </c>
      <c r="BI119" s="99">
        <f>CF!BQ21</f>
        <v>-1527.8980000000006</v>
      </c>
      <c r="BJ119" s="99">
        <f>CF!BR21</f>
        <v>-890.702</v>
      </c>
      <c r="BK119" s="1173">
        <f>CF!BS21</f>
        <v>-1393.82</v>
      </c>
      <c r="BL119" s="307">
        <f>-Q_BS!BL42</f>
        <v>-1323.4927458072957</v>
      </c>
      <c r="BM119" s="307">
        <f>-Q_BS!BM42</f>
        <v>-1602.6703197870638</v>
      </c>
      <c r="BN119" s="307">
        <f>-Q_BS!BN42</f>
        <v>-1127.7288787776904</v>
      </c>
      <c r="BO119" s="307">
        <f>-Q_BS!BO42</f>
        <v>-1076.2389176739421</v>
      </c>
      <c r="BP119" s="307">
        <f>-Q_BS!BP42</f>
        <v>-1093.7220748272721</v>
      </c>
      <c r="BQ119" s="307">
        <f>-Q_BS!BQ42</f>
        <v>-1577.8995816952088</v>
      </c>
      <c r="BR119" s="307">
        <f>-Q_BS!BR42</f>
        <v>-1125.3820384283586</v>
      </c>
      <c r="BS119" s="307">
        <f>-Q_BS!BS42</f>
        <v>-1063.0012697099855</v>
      </c>
      <c r="BT119" s="307">
        <f>-Q_BS!BT42</f>
        <v>-1082.0701554995662</v>
      </c>
      <c r="BU119" s="307">
        <f>-Q_BS!BU42</f>
        <v>-1513.7973922379365</v>
      </c>
      <c r="BV119" s="307">
        <f>-Q_BS!BV42</f>
        <v>-1183.6173662179554</v>
      </c>
      <c r="BW119" s="307">
        <f>-Q_BS!BW42</f>
        <v>-1117.6043524856022</v>
      </c>
      <c r="BX119" s="307">
        <f>-Q_BS!BX42</f>
        <v>-1138.7057977704239</v>
      </c>
      <c r="BY119" s="307">
        <f>-Q_BS!BY42</f>
        <v>-1489.7634138903152</v>
      </c>
      <c r="BZ119" s="307">
        <f>-Q_BS!BZ42</f>
        <v>-1433.0891839280348</v>
      </c>
      <c r="CA119" s="307">
        <f>-Q_BS!CA42</f>
        <v>-1378.3346617795819</v>
      </c>
      <c r="CB119" s="307">
        <f>-Q_BS!CB42</f>
        <v>-1408.4056556691849</v>
      </c>
      <c r="CC119" s="307">
        <f>-Q_BS!CC42</f>
        <v>-1711.8445726584159</v>
      </c>
      <c r="CD119" s="307">
        <f>-Q_BS!CD42</f>
        <v>-1575.2370701188515</v>
      </c>
      <c r="CE119" s="307">
        <f>-Q_BS!CE42</f>
        <v>-1520.5376793793721</v>
      </c>
      <c r="CF119" s="307">
        <f>-Q_BS!CF42</f>
        <v>-1555.0365986396037</v>
      </c>
      <c r="CG119" s="307">
        <f>-Q_BS!CG42</f>
        <v>-1874.7859651328188</v>
      </c>
      <c r="CH119" s="307">
        <f>-Q_BS!CH42</f>
        <v>-1684.5500310498783</v>
      </c>
      <c r="CI119" s="307">
        <f>-Q_BS!CI42</f>
        <v>-1629.3292061826785</v>
      </c>
      <c r="CJ119" s="307">
        <f>-Q_BS!CJ42</f>
        <v>-1668.0399171488029</v>
      </c>
      <c r="CK119" s="307">
        <f>-Q_BS!CK42</f>
        <v>-1960.9519839811492</v>
      </c>
      <c r="CL119" s="307">
        <f>-Q_BS!CL42</f>
        <v>-1843.6515365965279</v>
      </c>
      <c r="CM119" s="307">
        <f>-Q_BS!CM42</f>
        <v>-1788.7257540828139</v>
      </c>
      <c r="CN119" s="307">
        <f>-Q_BS!CN42</f>
        <v>-1832.7506344345734</v>
      </c>
      <c r="CO119" s="307">
        <f>-Q_BS!CO42</f>
        <v>-2142.2878842312616</v>
      </c>
      <c r="CP119" s="307">
        <f>-Q_BS!CP42</f>
        <v>-2014.2538339231332</v>
      </c>
      <c r="CQ119" s="307">
        <f>-Q_BS!CQ42</f>
        <v>-1959.6550613861486</v>
      </c>
      <c r="CR119" s="307">
        <f>-Q_BS!CR42</f>
        <v>-2009.592267320606</v>
      </c>
      <c r="CS119" s="307">
        <f>-Q_BS!CS42</f>
        <v>-2336.9019853996201</v>
      </c>
      <c r="CT119" s="307">
        <f>-Q_BS!CT42</f>
        <v>-2197.1450423529041</v>
      </c>
      <c r="CU119" s="307">
        <f>-Q_BS!CU42</f>
        <v>-2142.8456607940052</v>
      </c>
      <c r="CV119" s="307">
        <f>-Q_BS!CV42</f>
        <v>-2199.2136180235866</v>
      </c>
      <c r="CW119" s="307">
        <f>-Q_BS!CW42</f>
        <v>-2424.1221742022854</v>
      </c>
    </row>
    <row r="120" spans="1:103">
      <c r="A120" s="290" t="s">
        <v>9</v>
      </c>
      <c r="B120" s="96">
        <f>CF!J22</f>
        <v>-132.685</v>
      </c>
      <c r="C120" s="96">
        <f>CF!K22</f>
        <v>-222.78</v>
      </c>
      <c r="D120" s="96">
        <f>CF!L22</f>
        <v>55.715000000000003</v>
      </c>
      <c r="E120" s="96">
        <f>CF!M22</f>
        <v>-143.77400000000006</v>
      </c>
      <c r="F120" s="96">
        <f>CF!N22</f>
        <v>-74.018000000000001</v>
      </c>
      <c r="G120" s="96">
        <f>CF!O22</f>
        <v>-11.844999999999999</v>
      </c>
      <c r="H120" s="96">
        <f>CF!P22</f>
        <v>-46.884000000000015</v>
      </c>
      <c r="I120" s="96">
        <f>CF!Q22</f>
        <v>-100.226</v>
      </c>
      <c r="J120" s="96">
        <f>CF!R22</f>
        <v>-74.713999999999999</v>
      </c>
      <c r="K120" s="96">
        <f>CF!S22</f>
        <v>-42.097999999999999</v>
      </c>
      <c r="L120" s="96">
        <f>CF!T22</f>
        <v>-87.881000000000029</v>
      </c>
      <c r="M120" s="96">
        <f>CF!U22</f>
        <v>-82.174999999999955</v>
      </c>
      <c r="N120" s="96">
        <f>CF!V22</f>
        <v>-78.031999999999996</v>
      </c>
      <c r="O120" s="96">
        <f>CF!W22</f>
        <v>-24.680999999999997</v>
      </c>
      <c r="P120" s="96">
        <f>CF!X22</f>
        <v>-51.080000000000027</v>
      </c>
      <c r="Q120" s="96">
        <f>CF!Y22</f>
        <v>-32.198000000000008</v>
      </c>
      <c r="R120" s="96">
        <f>CF!Z22</f>
        <v>-53.463999999999999</v>
      </c>
      <c r="S120" s="96">
        <f>CF!AA22</f>
        <v>-448.238</v>
      </c>
      <c r="T120" s="96">
        <f>CF!AB22</f>
        <v>231.34499999999997</v>
      </c>
      <c r="U120" s="96">
        <f>CF!AC22</f>
        <v>-48.808999999999969</v>
      </c>
      <c r="V120" s="96">
        <f>CF!AD22</f>
        <v>-85.765000000000001</v>
      </c>
      <c r="W120" s="96">
        <f>CF!AE22</f>
        <v>-52.26700000000001</v>
      </c>
      <c r="X120" s="96">
        <f>CF!AF22</f>
        <v>-106.11299999999999</v>
      </c>
      <c r="Y120" s="96">
        <f>CF!AG22</f>
        <v>-211.75800000000004</v>
      </c>
      <c r="Z120" s="96">
        <f>CF!AH22</f>
        <v>-104.029</v>
      </c>
      <c r="AA120" s="96">
        <f>CF!AI22</f>
        <v>-142.767</v>
      </c>
      <c r="AB120" s="96">
        <f>CF!AJ22</f>
        <v>-103.52300000000002</v>
      </c>
      <c r="AC120" s="96">
        <f>CF!AK22</f>
        <v>-104.05500000000001</v>
      </c>
      <c r="AD120" s="99">
        <f>CF!AL22</f>
        <v>-196.57400000000001</v>
      </c>
      <c r="AE120" s="99">
        <f>CF!AM22</f>
        <v>-58.620999999999981</v>
      </c>
      <c r="AF120" s="99">
        <f>CF!AN22</f>
        <v>-100.05500000000001</v>
      </c>
      <c r="AG120" s="99">
        <f>CF!AO22</f>
        <v>-98.158999999999992</v>
      </c>
      <c r="AH120" s="99">
        <f>CF!AP22</f>
        <v>-81.988</v>
      </c>
      <c r="AI120" s="99">
        <f>CF!AQ22</f>
        <v>-176.40899999999999</v>
      </c>
      <c r="AJ120" s="99">
        <f>CF!AR22</f>
        <v>-159.89100000000002</v>
      </c>
      <c r="AK120" s="99">
        <f>CF!AS22</f>
        <v>-78.060999999999979</v>
      </c>
      <c r="AL120" s="99">
        <f>CF!AT22</f>
        <v>-68.638000000000005</v>
      </c>
      <c r="AM120" s="99">
        <f>CF!AU22</f>
        <v>-33.262999999999991</v>
      </c>
      <c r="AN120" s="99">
        <f>CF!AV22</f>
        <v>-142.52800000000002</v>
      </c>
      <c r="AO120" s="99">
        <f>CF!AW22</f>
        <v>-51.335999999999956</v>
      </c>
      <c r="AP120" s="99">
        <f>CF!AX22</f>
        <v>-148.66999999999999</v>
      </c>
      <c r="AQ120" s="99">
        <f>CF!AY22</f>
        <v>-74.460000000000008</v>
      </c>
      <c r="AR120" s="99">
        <f>CF!AZ22</f>
        <v>-39.908000000000015</v>
      </c>
      <c r="AS120" s="99">
        <f>CF!BA22</f>
        <v>-162.53499999999997</v>
      </c>
      <c r="AT120" s="99">
        <f>CF!BB22</f>
        <v>-174.90199999999999</v>
      </c>
      <c r="AU120" s="99">
        <f>CF!BC22</f>
        <v>-89.600999999999999</v>
      </c>
      <c r="AV120" s="99">
        <f>CF!BD22</f>
        <v>-57.467000000000041</v>
      </c>
      <c r="AW120" s="99">
        <f>CF!BE22</f>
        <v>-121.80199999999996</v>
      </c>
      <c r="AX120" s="99">
        <f>CF!BF22</f>
        <v>-36.137</v>
      </c>
      <c r="AY120" s="99">
        <f>CF!BG22</f>
        <v>-33.454999999999998</v>
      </c>
      <c r="AZ120" s="99">
        <f>CF!BH22</f>
        <v>-25.024000000000001</v>
      </c>
      <c r="BA120" s="99">
        <f>CF!BI22</f>
        <v>-275.65199999999999</v>
      </c>
      <c r="BB120" s="99">
        <f>CF!BJ22</f>
        <v>-71.626000000000005</v>
      </c>
      <c r="BC120" s="99">
        <f>CF!BK22</f>
        <v>-12.503999999999991</v>
      </c>
      <c r="BD120" s="99">
        <f>CF!BL22</f>
        <v>-132.33700000000002</v>
      </c>
      <c r="BE120" s="99">
        <f>CF!BM22</f>
        <v>-162.03399999999996</v>
      </c>
      <c r="BF120" s="99">
        <f>CF!BN22</f>
        <v>-42.784999999999997</v>
      </c>
      <c r="BG120" s="99">
        <f>CF!BO22</f>
        <v>-211.696</v>
      </c>
      <c r="BH120" s="99">
        <f>CF!BP22</f>
        <v>-70.665999999999997</v>
      </c>
      <c r="BI120" s="99">
        <f>CF!BQ22</f>
        <v>-172.28800000000001</v>
      </c>
      <c r="BJ120" s="99">
        <f>CF!BR22</f>
        <v>-48.988999999999997</v>
      </c>
      <c r="BK120" s="1173">
        <f>CF!BS22</f>
        <v>-66.28</v>
      </c>
      <c r="BL120" s="307">
        <f>-Q_BS!BL49</f>
        <v>-70.816419273789236</v>
      </c>
      <c r="BM120" s="307">
        <f>-Q_BS!BM49</f>
        <v>-171.46434962542079</v>
      </c>
      <c r="BN120" s="307">
        <f>-Q_BS!BN49</f>
        <v>-47.489460375930605</v>
      </c>
      <c r="BO120" s="307">
        <f>-Q_BS!BO49</f>
        <v>-65.550865053565602</v>
      </c>
      <c r="BP120" s="307">
        <f>-Q_BS!BP49</f>
        <v>-66.739444498600633</v>
      </c>
      <c r="BQ120" s="307">
        <f>-Q_BS!BQ49</f>
        <v>-161.59296901290662</v>
      </c>
      <c r="BR120" s="307">
        <f>-Q_BS!BR49</f>
        <v>-44.755442841219576</v>
      </c>
      <c r="BS120" s="307">
        <f>-Q_BS!BS49</f>
        <v>-61.77703370123551</v>
      </c>
      <c r="BT120" s="307">
        <f>-Q_BS!BT49</f>
        <v>-62.897185393703992</v>
      </c>
      <c r="BU120" s="307">
        <f>-Q_BS!BU49</f>
        <v>-152.28989403016323</v>
      </c>
      <c r="BV120" s="307">
        <f>-Q_BS!BV49</f>
        <v>-42.178825534284051</v>
      </c>
      <c r="BW120" s="307">
        <f>-Q_BS!BW49</f>
        <v>-58.22046573763707</v>
      </c>
      <c r="BX120" s="307">
        <f>-Q_BS!BX49</f>
        <v>-59.276129134292091</v>
      </c>
      <c r="BY120" s="307">
        <f>-Q_BS!BY49</f>
        <v>-143.52240673210204</v>
      </c>
      <c r="BZ120" s="307">
        <f>-Q_BS!BZ49</f>
        <v>-142.35461215479864</v>
      </c>
      <c r="CA120" s="307">
        <f>-Q_BS!CA49</f>
        <v>-141.19631953754333</v>
      </c>
      <c r="CB120" s="307">
        <f>-Q_BS!CB49</f>
        <v>-140.04745156601521</v>
      </c>
      <c r="CC120" s="307">
        <f>-Q_BS!CC49</f>
        <v>-138.90793155497448</v>
      </c>
      <c r="CD120" s="307">
        <f>-Q_BS!CD49</f>
        <v>-137.77768344314393</v>
      </c>
      <c r="CE120" s="307">
        <f>-Q_BS!CE49</f>
        <v>-136.65663178813193</v>
      </c>
      <c r="CF120" s="307">
        <f>-Q_BS!CF49</f>
        <v>-135.54470176139671</v>
      </c>
      <c r="CG120" s="307">
        <f>-Q_BS!CG49</f>
        <v>-134.44181914325173</v>
      </c>
      <c r="CH120" s="307">
        <f>-Q_BS!CH49</f>
        <v>-133.34791031791167</v>
      </c>
      <c r="CI120" s="307">
        <f>-Q_BS!CI49</f>
        <v>-132.2629022685785</v>
      </c>
      <c r="CJ120" s="307">
        <f>-Q_BS!CJ49</f>
        <v>-131.18672257256793</v>
      </c>
      <c r="CK120" s="307">
        <f>-Q_BS!CK49</f>
        <v>-130.11929939647524</v>
      </c>
      <c r="CL120" s="307">
        <f>-Q_BS!CL49</f>
        <v>-129.06056149138033</v>
      </c>
      <c r="CM120" s="307">
        <f>-Q_BS!CM49</f>
        <v>-128.01043818809225</v>
      </c>
      <c r="CN120" s="307">
        <f>-Q_BS!CN49</f>
        <v>-126.96885939243199</v>
      </c>
      <c r="CO120" s="307">
        <f>-Q_BS!CO49</f>
        <v>-125.93575558055369</v>
      </c>
      <c r="CP120" s="307">
        <f>-Q_BS!CP49</f>
        <v>-124.91105779430424</v>
      </c>
      <c r="CQ120" s="307">
        <f>-Q_BS!CQ49</f>
        <v>-123.89469763662026</v>
      </c>
      <c r="CR120" s="307">
        <f>-Q_BS!CR49</f>
        <v>-122.8866072669628</v>
      </c>
      <c r="CS120" s="307">
        <f>-Q_BS!CS49</f>
        <v>-121.88671939678902</v>
      </c>
      <c r="CT120" s="307">
        <f>-Q_BS!CT49</f>
        <v>-120.89496728506086</v>
      </c>
      <c r="CU120" s="307">
        <f>-Q_BS!CU49</f>
        <v>-119.91128473378998</v>
      </c>
      <c r="CV120" s="307">
        <f>-Q_BS!CV49</f>
        <v>-118.93560608361943</v>
      </c>
      <c r="CW120" s="307">
        <f>-Q_BS!CW49</f>
        <v>-117.96786620944073</v>
      </c>
    </row>
    <row r="121" spans="1:103">
      <c r="A121" s="290" t="s">
        <v>585</v>
      </c>
      <c r="B121" s="96">
        <f>CF!J23</f>
        <v>-4.9980000000000002</v>
      </c>
      <c r="C121" s="96">
        <f>CF!K23</f>
        <v>-3.8969999999999998</v>
      </c>
      <c r="D121" s="96">
        <f>CF!L23</f>
        <v>7.548</v>
      </c>
      <c r="E121" s="96">
        <f>CF!M23</f>
        <v>0.70500000000000096</v>
      </c>
      <c r="F121" s="96">
        <f>CF!N23</f>
        <v>-5.9240000000000004</v>
      </c>
      <c r="G121" s="96">
        <f>CF!O23</f>
        <v>-0.38899999999999935</v>
      </c>
      <c r="H121" s="96">
        <f>CF!P23</f>
        <v>-2.0930000000000009</v>
      </c>
      <c r="I121" s="96">
        <f>CF!Q23</f>
        <v>-7.1629999999999994</v>
      </c>
      <c r="J121" s="96">
        <f>CF!R23</f>
        <v>0.52100000000000002</v>
      </c>
      <c r="K121" s="96">
        <f>CF!S23</f>
        <v>-2.5659999999999998</v>
      </c>
      <c r="L121" s="96">
        <f>CF!T23</f>
        <v>-2.4169999999999998</v>
      </c>
      <c r="M121" s="96">
        <f>CF!U23</f>
        <v>-5.1490000000000009</v>
      </c>
      <c r="N121" s="96">
        <f>CF!V23</f>
        <v>-1910.0060000000001</v>
      </c>
      <c r="O121" s="96">
        <f>CF!W23</f>
        <v>0</v>
      </c>
      <c r="P121" s="96">
        <f>CF!X23</f>
        <v>23.923000000000002</v>
      </c>
      <c r="Q121" s="96">
        <f>CF!Y23</f>
        <v>121.08300000000008</v>
      </c>
      <c r="R121" s="96">
        <f>CF!Z23</f>
        <v>0</v>
      </c>
      <c r="S121" s="96">
        <f>CF!AA23</f>
        <v>-610.995</v>
      </c>
      <c r="T121" s="96">
        <f>CF!AB23</f>
        <v>-1350.2049999999999</v>
      </c>
      <c r="U121" s="96">
        <f>CF!AC23</f>
        <v>17.141999999999939</v>
      </c>
      <c r="V121" s="96">
        <f>CF!AD23</f>
        <v>-92.7</v>
      </c>
      <c r="W121" s="96">
        <f>CF!AE23</f>
        <v>-7501.9000000000005</v>
      </c>
      <c r="X121" s="96">
        <f>CF!AF23</f>
        <v>-605.39999999999941</v>
      </c>
      <c r="Y121" s="96">
        <f>CF!AG23</f>
        <v>-1704.9580000000003</v>
      </c>
      <c r="Z121" s="96">
        <f>CF!AH23</f>
        <v>0</v>
      </c>
      <c r="AA121" s="96">
        <f>CF!AI23</f>
        <v>0</v>
      </c>
      <c r="AB121" s="96">
        <f>CF!AJ23</f>
        <v>0</v>
      </c>
      <c r="AC121" s="96">
        <f>CF!AK23</f>
        <v>0</v>
      </c>
      <c r="AD121" s="99">
        <f>CF!AL23</f>
        <v>-295.68900000000002</v>
      </c>
      <c r="AE121" s="99">
        <f>CF!AM23</f>
        <v>2.6620000000000346</v>
      </c>
      <c r="AF121" s="99">
        <f>CF!AN23</f>
        <v>-208.8</v>
      </c>
      <c r="AG121" s="99">
        <f>CF!AO23</f>
        <v>11.560999999999979</v>
      </c>
      <c r="AH121" s="99">
        <f>CF!AP23</f>
        <v>0</v>
      </c>
      <c r="AI121" s="99">
        <f>CF!AQ23</f>
        <v>0</v>
      </c>
      <c r="AJ121" s="99">
        <f>CF!AR23</f>
        <v>0</v>
      </c>
      <c r="AK121" s="99">
        <f>CF!AS23</f>
        <v>0</v>
      </c>
      <c r="AL121" s="99">
        <f>CF!AT23</f>
        <v>0</v>
      </c>
      <c r="AM121" s="99">
        <f>CF!AU23</f>
        <v>0</v>
      </c>
      <c r="AN121" s="99">
        <f>CF!AV23</f>
        <v>0</v>
      </c>
      <c r="AO121" s="99">
        <f>CF!AW23</f>
        <v>-13101.41</v>
      </c>
      <c r="AP121" s="99">
        <f>CF!AX23</f>
        <v>-1124.239</v>
      </c>
      <c r="AQ121" s="99">
        <f>CF!AY23</f>
        <v>189.61500000000001</v>
      </c>
      <c r="AR121" s="99">
        <f>CF!AZ23</f>
        <v>0</v>
      </c>
      <c r="AS121" s="99">
        <f>CF!BA23</f>
        <v>-127.64300000000003</v>
      </c>
      <c r="AT121" s="99">
        <f>CF!BB23</f>
        <v>0</v>
      </c>
      <c r="AU121" s="99">
        <f>CF!BC23</f>
        <v>0</v>
      </c>
      <c r="AV121" s="99">
        <f>CF!BD23</f>
        <v>0</v>
      </c>
      <c r="AW121" s="99">
        <f>CF!BE23</f>
        <v>0</v>
      </c>
      <c r="AX121" s="99">
        <f>CF!BF23</f>
        <v>0</v>
      </c>
      <c r="AY121" s="99">
        <f>CF!BG23</f>
        <v>0</v>
      </c>
      <c r="AZ121" s="99">
        <f>CF!BH23</f>
        <v>141.99199999999999</v>
      </c>
      <c r="BA121" s="99">
        <f>CF!BI23</f>
        <v>0</v>
      </c>
      <c r="BB121" s="99">
        <f>CF!BJ23</f>
        <v>0</v>
      </c>
      <c r="BC121" s="99">
        <f>CF!BK23</f>
        <v>0</v>
      </c>
      <c r="BD121" s="99">
        <f>CF!BL23</f>
        <v>0</v>
      </c>
      <c r="BE121" s="99">
        <f>CF!BM23</f>
        <v>0</v>
      </c>
      <c r="BF121" s="99">
        <f>CF!BN23</f>
        <v>0</v>
      </c>
      <c r="BG121" s="99">
        <f>CF!BO23</f>
        <v>0</v>
      </c>
      <c r="BH121" s="99">
        <f>CF!BP23</f>
        <v>0</v>
      </c>
      <c r="BI121" s="99">
        <f>CF!BQ23</f>
        <v>0</v>
      </c>
      <c r="BJ121" s="99">
        <f>CF!BR23</f>
        <v>0</v>
      </c>
      <c r="BK121" s="1173">
        <f>CF!BS23</f>
        <v>0</v>
      </c>
      <c r="BL121" s="587">
        <f>-Q_BS!BL43</f>
        <v>0</v>
      </c>
      <c r="BM121" s="587">
        <f>-Q_BS!BM43</f>
        <v>0</v>
      </c>
      <c r="BN121" s="587">
        <f>-Q_BS!BN43</f>
        <v>0</v>
      </c>
      <c r="BO121" s="587">
        <f>-Q_BS!BO43</f>
        <v>0</v>
      </c>
      <c r="BP121" s="587">
        <f>-Q_BS!BP43</f>
        <v>0</v>
      </c>
      <c r="BQ121" s="587">
        <f>-Q_BS!BQ43</f>
        <v>0</v>
      </c>
      <c r="BR121" s="587">
        <f>-Q_BS!BR43</f>
        <v>0</v>
      </c>
      <c r="BS121" s="587">
        <f>-Q_BS!BS43</f>
        <v>0</v>
      </c>
      <c r="BT121" s="587">
        <f>-Q_BS!BT43</f>
        <v>0</v>
      </c>
      <c r="BU121" s="587">
        <f>-Q_BS!BU43</f>
        <v>0</v>
      </c>
      <c r="BV121" s="587">
        <f>-Q_BS!BV43</f>
        <v>0</v>
      </c>
      <c r="BW121" s="587">
        <f>-Q_BS!BW43</f>
        <v>0</v>
      </c>
      <c r="BX121" s="587">
        <f>-Q_BS!BX43</f>
        <v>0</v>
      </c>
      <c r="BY121" s="587">
        <f>-Q_BS!BY43</f>
        <v>0</v>
      </c>
      <c r="BZ121" s="587">
        <f>-Q_BS!BZ43</f>
        <v>0</v>
      </c>
      <c r="CA121" s="587">
        <f>-Q_BS!CA43</f>
        <v>0</v>
      </c>
      <c r="CB121" s="587">
        <f>-Q_BS!CB43</f>
        <v>0</v>
      </c>
      <c r="CC121" s="587">
        <f>-Q_BS!CC43</f>
        <v>0</v>
      </c>
      <c r="CD121" s="587">
        <f>-Q_BS!CD43</f>
        <v>0</v>
      </c>
      <c r="CE121" s="587">
        <f>-Q_BS!CE43</f>
        <v>0</v>
      </c>
      <c r="CF121" s="587">
        <f>-Q_BS!CF43</f>
        <v>0</v>
      </c>
      <c r="CG121" s="587">
        <f>-Q_BS!CG43</f>
        <v>0</v>
      </c>
      <c r="CH121" s="587">
        <f>-Q_BS!CH43</f>
        <v>0</v>
      </c>
      <c r="CI121" s="587">
        <f>-Q_BS!CI43</f>
        <v>0</v>
      </c>
      <c r="CJ121" s="587">
        <f>-Q_BS!CJ43</f>
        <v>0</v>
      </c>
      <c r="CK121" s="587">
        <f>-Q_BS!CK43</f>
        <v>0</v>
      </c>
      <c r="CL121" s="587">
        <f>-Q_BS!CL43</f>
        <v>0</v>
      </c>
      <c r="CM121" s="587">
        <f>-Q_BS!CM43</f>
        <v>0</v>
      </c>
      <c r="CN121" s="587">
        <f>-Q_BS!CN43</f>
        <v>0</v>
      </c>
      <c r="CO121" s="587">
        <f>-Q_BS!CO43</f>
        <v>0</v>
      </c>
      <c r="CP121" s="587">
        <f>-Q_BS!CP43</f>
        <v>0</v>
      </c>
      <c r="CQ121" s="587">
        <f>-Q_BS!CQ43</f>
        <v>0</v>
      </c>
      <c r="CR121" s="587">
        <f>-Q_BS!CR43</f>
        <v>0</v>
      </c>
      <c r="CS121" s="587">
        <f>-Q_BS!CS43</f>
        <v>0</v>
      </c>
      <c r="CT121" s="587">
        <f>-Q_BS!CT43</f>
        <v>0</v>
      </c>
      <c r="CU121" s="587">
        <f>-Q_BS!CU43</f>
        <v>0</v>
      </c>
      <c r="CV121" s="587">
        <f>-Q_BS!CV43</f>
        <v>0</v>
      </c>
      <c r="CW121" s="587">
        <f>-Q_BS!CW43</f>
        <v>0</v>
      </c>
    </row>
    <row r="122" spans="1:103">
      <c r="A122" s="290" t="s">
        <v>965</v>
      </c>
      <c r="B122" s="96">
        <f>CF!J24</f>
        <v>2.3359999999999999</v>
      </c>
      <c r="C122" s="96">
        <f>CF!K24</f>
        <v>0.41099999999999998</v>
      </c>
      <c r="D122" s="96">
        <f>CF!L24</f>
        <v>4.2040000000000006</v>
      </c>
      <c r="E122" s="96">
        <f>CF!M24</f>
        <v>5.9009999999999998</v>
      </c>
      <c r="F122" s="96">
        <f>CF!N24</f>
        <v>0</v>
      </c>
      <c r="G122" s="96">
        <f>CF!O24</f>
        <v>0</v>
      </c>
      <c r="H122" s="96">
        <f>CF!P24</f>
        <v>16.372</v>
      </c>
      <c r="I122" s="96">
        <f>CF!Q24</f>
        <v>-16.372</v>
      </c>
      <c r="J122" s="96">
        <f>CF!R24</f>
        <v>0</v>
      </c>
      <c r="K122" s="96">
        <f>CF!S24</f>
        <v>0</v>
      </c>
      <c r="L122" s="96">
        <f>CF!T24</f>
        <v>0</v>
      </c>
      <c r="M122" s="96">
        <f>CF!U24</f>
        <v>0</v>
      </c>
      <c r="N122" s="96">
        <f>CF!V24</f>
        <v>-2.3210000000000002</v>
      </c>
      <c r="O122" s="96">
        <f>CF!W24</f>
        <v>-4.3780000000000001</v>
      </c>
      <c r="P122" s="96">
        <f>CF!X24</f>
        <v>10.494999999999999</v>
      </c>
      <c r="Q122" s="96">
        <f>CF!Y24</f>
        <v>-3.7959999999999989</v>
      </c>
      <c r="R122" s="96">
        <f>CF!Z24</f>
        <v>0</v>
      </c>
      <c r="S122" s="96">
        <f>CF!AA24</f>
        <v>0</v>
      </c>
      <c r="T122" s="96">
        <f>CF!AB24</f>
        <v>0</v>
      </c>
      <c r="U122" s="96">
        <f>CF!AC24</f>
        <v>0</v>
      </c>
      <c r="V122" s="96">
        <f>CF!AD24</f>
        <v>0</v>
      </c>
      <c r="W122" s="96">
        <f>CF!AE24</f>
        <v>0</v>
      </c>
      <c r="X122" s="96">
        <f>CF!AF24</f>
        <v>0</v>
      </c>
      <c r="Y122" s="96">
        <f>CF!AG24</f>
        <v>0</v>
      </c>
      <c r="Z122" s="96">
        <f>CF!AH24</f>
        <v>0</v>
      </c>
      <c r="AA122" s="96">
        <f>CF!AI24</f>
        <v>0</v>
      </c>
      <c r="AB122" s="96">
        <f>CF!AJ24</f>
        <v>0</v>
      </c>
      <c r="AC122" s="96">
        <f>CF!AK24</f>
        <v>0</v>
      </c>
      <c r="AD122" s="99">
        <f>CF!AL24</f>
        <v>0</v>
      </c>
      <c r="AE122" s="99">
        <f>CF!AM24</f>
        <v>0</v>
      </c>
      <c r="AF122" s="99">
        <f>CF!AN24</f>
        <v>0</v>
      </c>
      <c r="AG122" s="99">
        <f>CF!AO24</f>
        <v>0</v>
      </c>
      <c r="AH122" s="99">
        <f>CF!AP24</f>
        <v>0</v>
      </c>
      <c r="AI122" s="99">
        <f>CF!AQ24</f>
        <v>0</v>
      </c>
      <c r="AJ122" s="99">
        <f>CF!AR24</f>
        <v>0</v>
      </c>
      <c r="AK122" s="99">
        <f>CF!AS24</f>
        <v>1607.41</v>
      </c>
      <c r="AL122" s="99">
        <f>CF!AT24</f>
        <v>0</v>
      </c>
      <c r="AM122" s="99">
        <f>CF!AU24</f>
        <v>0</v>
      </c>
      <c r="AN122" s="99">
        <f>CF!AV24</f>
        <v>0</v>
      </c>
      <c r="AO122" s="99">
        <f>CF!AW24</f>
        <v>-14.295999999999999</v>
      </c>
      <c r="AP122" s="99">
        <f>CF!AX24</f>
        <v>0</v>
      </c>
      <c r="AQ122" s="99">
        <f>CF!AY24</f>
        <v>0</v>
      </c>
      <c r="AR122" s="99">
        <f>CF!AZ24</f>
        <v>47.009</v>
      </c>
      <c r="AS122" s="99">
        <f>CF!BA24</f>
        <v>-47.996000000000002</v>
      </c>
      <c r="AT122" s="99">
        <f>CF!BB24</f>
        <v>0</v>
      </c>
      <c r="AU122" s="99">
        <f>CF!BC24</f>
        <v>0</v>
      </c>
      <c r="AV122" s="99">
        <f>CF!BD24</f>
        <v>0</v>
      </c>
      <c r="AW122" s="99">
        <f>CF!BE24</f>
        <v>-6.1870000000000003</v>
      </c>
      <c r="AX122" s="99">
        <f>CF!BF24</f>
        <v>0</v>
      </c>
      <c r="AY122" s="99">
        <f>CF!BG24</f>
        <v>0</v>
      </c>
      <c r="AZ122" s="99">
        <f>CF!BH24</f>
        <v>0</v>
      </c>
      <c r="BA122" s="99">
        <f>CF!BI24</f>
        <v>0</v>
      </c>
      <c r="BB122" s="99">
        <f>CF!BJ24</f>
        <v>0</v>
      </c>
      <c r="BC122" s="99">
        <f>CF!BK24</f>
        <v>0</v>
      </c>
      <c r="BD122" s="99">
        <f>CF!BL24</f>
        <v>-26.919</v>
      </c>
      <c r="BE122" s="99">
        <f>CF!BM24</f>
        <v>17.575000000000003</v>
      </c>
      <c r="BF122" s="99">
        <f>CF!BN24</f>
        <v>0</v>
      </c>
      <c r="BG122" s="99">
        <f>CF!BO24</f>
        <v>0</v>
      </c>
      <c r="BH122" s="99">
        <f>CF!BP24</f>
        <v>0</v>
      </c>
      <c r="BI122" s="99">
        <f>CF!BQ24</f>
        <v>0</v>
      </c>
      <c r="BJ122" s="99">
        <f>CF!BR24</f>
        <v>0</v>
      </c>
      <c r="BK122" s="1173">
        <f>CF!BS24</f>
        <v>0</v>
      </c>
      <c r="BL122" s="307">
        <v>0</v>
      </c>
      <c r="BM122" s="307">
        <v>0</v>
      </c>
      <c r="BN122" s="307">
        <v>0</v>
      </c>
      <c r="BO122" s="307">
        <v>0</v>
      </c>
      <c r="BP122" s="307">
        <v>0</v>
      </c>
      <c r="BQ122" s="307">
        <v>0</v>
      </c>
      <c r="BR122" s="307">
        <v>0</v>
      </c>
      <c r="BS122" s="307">
        <v>0</v>
      </c>
      <c r="BT122" s="307">
        <v>0</v>
      </c>
      <c r="BU122" s="307">
        <v>0</v>
      </c>
      <c r="BV122" s="307">
        <v>0</v>
      </c>
      <c r="BW122" s="307">
        <v>0</v>
      </c>
      <c r="BX122" s="307">
        <v>0</v>
      </c>
      <c r="BY122" s="307">
        <v>0</v>
      </c>
      <c r="BZ122" s="307">
        <v>0</v>
      </c>
      <c r="CA122" s="307">
        <v>0</v>
      </c>
      <c r="CB122" s="307">
        <v>0</v>
      </c>
      <c r="CC122" s="307">
        <v>0</v>
      </c>
      <c r="CD122" s="307">
        <v>0</v>
      </c>
      <c r="CE122" s="307">
        <v>0</v>
      </c>
      <c r="CF122" s="307">
        <v>0</v>
      </c>
      <c r="CG122" s="307">
        <v>0</v>
      </c>
      <c r="CH122" s="307">
        <v>0</v>
      </c>
      <c r="CI122" s="307">
        <v>0</v>
      </c>
      <c r="CJ122" s="307">
        <v>0</v>
      </c>
      <c r="CK122" s="307">
        <v>0</v>
      </c>
      <c r="CL122" s="307">
        <v>0</v>
      </c>
      <c r="CM122" s="307">
        <v>0</v>
      </c>
      <c r="CN122" s="307">
        <v>0</v>
      </c>
      <c r="CO122" s="307">
        <v>0</v>
      </c>
      <c r="CP122" s="307">
        <v>0</v>
      </c>
      <c r="CQ122" s="307">
        <v>0</v>
      </c>
      <c r="CR122" s="307">
        <v>0</v>
      </c>
      <c r="CS122" s="307">
        <v>0</v>
      </c>
      <c r="CT122" s="307">
        <v>0</v>
      </c>
      <c r="CU122" s="307">
        <v>0</v>
      </c>
      <c r="CV122" s="307">
        <v>0</v>
      </c>
      <c r="CW122" s="307">
        <v>0</v>
      </c>
    </row>
    <row r="123" spans="1:103">
      <c r="A123" s="319" t="s">
        <v>20</v>
      </c>
      <c r="B123" s="464">
        <f t="shared" ref="B123:AC123" si="732">SUM(B119:B122)</f>
        <v>-198.07099999999997</v>
      </c>
      <c r="C123" s="464">
        <f t="shared" si="732"/>
        <v>-279.19</v>
      </c>
      <c r="D123" s="464">
        <f t="shared" si="732"/>
        <v>80.435000000000002</v>
      </c>
      <c r="E123" s="464">
        <f t="shared" si="732"/>
        <v>-157.93500000000003</v>
      </c>
      <c r="F123" s="464">
        <f t="shared" si="732"/>
        <v>-99.022000000000006</v>
      </c>
      <c r="G123" s="464">
        <f t="shared" si="732"/>
        <v>-185.24199999999999</v>
      </c>
      <c r="H123" s="464">
        <f t="shared" si="732"/>
        <v>-173.25300000000004</v>
      </c>
      <c r="I123" s="464">
        <f t="shared" si="732"/>
        <v>-304.43</v>
      </c>
      <c r="J123" s="464">
        <f t="shared" si="732"/>
        <v>-233.44800000000001</v>
      </c>
      <c r="K123" s="464">
        <f t="shared" si="732"/>
        <v>-273.14</v>
      </c>
      <c r="L123" s="464">
        <f t="shared" si="732"/>
        <v>-311.53499999999997</v>
      </c>
      <c r="M123" s="464">
        <f t="shared" si="732"/>
        <v>-436.88599999999997</v>
      </c>
      <c r="N123" s="464">
        <f t="shared" si="732"/>
        <v>-2068.5349999999999</v>
      </c>
      <c r="O123" s="464">
        <f t="shared" si="732"/>
        <v>-265.04999999999995</v>
      </c>
      <c r="P123" s="464">
        <f t="shared" si="732"/>
        <v>-200.25700000000006</v>
      </c>
      <c r="Q123" s="464">
        <f t="shared" si="732"/>
        <v>-217.20599999999996</v>
      </c>
      <c r="R123" s="464">
        <f t="shared" si="732"/>
        <v>-146.202</v>
      </c>
      <c r="S123" s="464">
        <f t="shared" si="732"/>
        <v>-1429.9789999999998</v>
      </c>
      <c r="T123" s="464">
        <f t="shared" si="732"/>
        <v>-1147.193</v>
      </c>
      <c r="U123" s="464">
        <f t="shared" si="732"/>
        <v>-479.37700000000001</v>
      </c>
      <c r="V123" s="464">
        <f t="shared" si="732"/>
        <v>-408.69900000000001</v>
      </c>
      <c r="W123" s="464">
        <f t="shared" si="732"/>
        <v>-8079.2260000000006</v>
      </c>
      <c r="X123" s="464">
        <f t="shared" si="732"/>
        <v>-1270.0539999999994</v>
      </c>
      <c r="Y123" s="464">
        <f t="shared" si="732"/>
        <v>-2652.4279999999999</v>
      </c>
      <c r="Z123" s="464">
        <f t="shared" si="732"/>
        <v>-807.87599999999998</v>
      </c>
      <c r="AA123" s="464">
        <f t="shared" si="732"/>
        <v>-901.79500000000007</v>
      </c>
      <c r="AB123" s="464">
        <f t="shared" si="732"/>
        <v>-720.58100000000002</v>
      </c>
      <c r="AC123" s="464">
        <f t="shared" si="732"/>
        <v>-1008.9400000000003</v>
      </c>
      <c r="AD123" s="237">
        <f t="shared" ref="AD123:BH123" si="733">SUM(AD119:AD122)</f>
        <v>-1070.0650000000001</v>
      </c>
      <c r="AE123" s="237">
        <f t="shared" si="733"/>
        <v>-928.86999999999989</v>
      </c>
      <c r="AF123" s="237">
        <f t="shared" si="733"/>
        <v>-1398.0139999999997</v>
      </c>
      <c r="AG123" s="237">
        <f t="shared" si="733"/>
        <v>-1641.6400000000006</v>
      </c>
      <c r="AH123" s="237">
        <f t="shared" si="733"/>
        <v>-1030.96</v>
      </c>
      <c r="AI123" s="237">
        <f t="shared" si="733"/>
        <v>-1305.9809999999998</v>
      </c>
      <c r="AJ123" s="237">
        <f t="shared" si="733"/>
        <v>-1117.8130000000001</v>
      </c>
      <c r="AK123" s="237">
        <f t="shared" si="733"/>
        <v>180.43799999999942</v>
      </c>
      <c r="AL123" s="237">
        <f t="shared" si="733"/>
        <v>-969.07</v>
      </c>
      <c r="AM123" s="237">
        <f t="shared" si="733"/>
        <v>-977.1049999999999</v>
      </c>
      <c r="AN123" s="237">
        <f t="shared" si="733"/>
        <v>-1239.3340000000001</v>
      </c>
      <c r="AO123" s="237">
        <f t="shared" si="733"/>
        <v>-14312.217000000001</v>
      </c>
      <c r="AP123" s="237">
        <f t="shared" si="733"/>
        <v>-1921.241</v>
      </c>
      <c r="AQ123" s="237">
        <f t="shared" si="733"/>
        <v>-288.59900000000005</v>
      </c>
      <c r="AR123" s="237">
        <f t="shared" si="733"/>
        <v>-605.62499999999989</v>
      </c>
      <c r="AS123" s="237">
        <f t="shared" si="733"/>
        <v>-2013.42</v>
      </c>
      <c r="AT123" s="237">
        <f t="shared" si="733"/>
        <v>-609.69499999999994</v>
      </c>
      <c r="AU123" s="237">
        <f t="shared" si="733"/>
        <v>-467.68399999999997</v>
      </c>
      <c r="AV123" s="237">
        <f t="shared" si="733"/>
        <v>-223.99200000000002</v>
      </c>
      <c r="AW123" s="237">
        <f t="shared" si="733"/>
        <v>-478.5470000000002</v>
      </c>
      <c r="AX123" s="237">
        <f t="shared" si="733"/>
        <v>-312.214</v>
      </c>
      <c r="AY123" s="237">
        <f t="shared" si="733"/>
        <v>-503.43400000000003</v>
      </c>
      <c r="AZ123" s="237">
        <f t="shared" si="733"/>
        <v>-386.79000000000008</v>
      </c>
      <c r="BA123" s="237">
        <f t="shared" si="733"/>
        <v>-1339.3489999999999</v>
      </c>
      <c r="BB123" s="237">
        <f t="shared" si="733"/>
        <v>-711.82499999999993</v>
      </c>
      <c r="BC123" s="237">
        <f t="shared" si="733"/>
        <v>-862.96900000000005</v>
      </c>
      <c r="BD123" s="237">
        <f t="shared" si="733"/>
        <v>-942.52899999999977</v>
      </c>
      <c r="BE123" s="237">
        <f t="shared" si="733"/>
        <v>-1706.1010000000001</v>
      </c>
      <c r="BF123" s="237">
        <f t="shared" si="733"/>
        <v>-602.40199999999993</v>
      </c>
      <c r="BG123" s="237">
        <f t="shared" si="733"/>
        <v>-1105.355</v>
      </c>
      <c r="BH123" s="237">
        <f t="shared" si="733"/>
        <v>-1331.5699999999997</v>
      </c>
      <c r="BI123" s="237">
        <f t="shared" ref="BI123" si="734">SUM(BI119:BI122)</f>
        <v>-1700.1860000000006</v>
      </c>
      <c r="BJ123" s="237">
        <f>SUM(BJ119:BJ122)</f>
        <v>-939.69100000000003</v>
      </c>
      <c r="BK123" s="1176">
        <f t="shared" ref="BK123" si="735">SUM(BK119:BK122)</f>
        <v>-1460.1</v>
      </c>
      <c r="BL123" s="419">
        <f t="shared" ref="BL123:CW123" si="736">SUM(BL119:BL122)</f>
        <v>-1394.309165081085</v>
      </c>
      <c r="BM123" s="419">
        <f t="shared" si="736"/>
        <v>-1774.1346694124845</v>
      </c>
      <c r="BN123" s="419">
        <f t="shared" si="736"/>
        <v>-1175.2183391536209</v>
      </c>
      <c r="BO123" s="419">
        <f t="shared" si="736"/>
        <v>-1141.7897827275076</v>
      </c>
      <c r="BP123" s="419">
        <f t="shared" si="736"/>
        <v>-1160.4615193258728</v>
      </c>
      <c r="BQ123" s="419">
        <f t="shared" si="736"/>
        <v>-1739.4925507081155</v>
      </c>
      <c r="BR123" s="419">
        <f t="shared" si="736"/>
        <v>-1170.1374812695781</v>
      </c>
      <c r="BS123" s="419">
        <f t="shared" si="736"/>
        <v>-1124.778303411221</v>
      </c>
      <c r="BT123" s="419">
        <f t="shared" si="736"/>
        <v>-1144.9673408932701</v>
      </c>
      <c r="BU123" s="419">
        <f t="shared" si="736"/>
        <v>-1666.0872862680997</v>
      </c>
      <c r="BV123" s="419">
        <f t="shared" si="736"/>
        <v>-1225.7961917522393</v>
      </c>
      <c r="BW123" s="419">
        <f t="shared" si="736"/>
        <v>-1175.8248182232394</v>
      </c>
      <c r="BX123" s="419">
        <f t="shared" si="736"/>
        <v>-1197.9819269047161</v>
      </c>
      <c r="BY123" s="419">
        <f t="shared" si="736"/>
        <v>-1633.2858206224173</v>
      </c>
      <c r="BZ123" s="419">
        <f t="shared" si="736"/>
        <v>-1575.4437960828334</v>
      </c>
      <c r="CA123" s="419">
        <f t="shared" si="736"/>
        <v>-1519.5309813171252</v>
      </c>
      <c r="CB123" s="419">
        <f t="shared" si="736"/>
        <v>-1548.4531072352002</v>
      </c>
      <c r="CC123" s="419">
        <f t="shared" si="736"/>
        <v>-1850.7525042133905</v>
      </c>
      <c r="CD123" s="419">
        <f t="shared" si="736"/>
        <v>-1713.0147535619953</v>
      </c>
      <c r="CE123" s="419">
        <f t="shared" si="736"/>
        <v>-1657.1943111675041</v>
      </c>
      <c r="CF123" s="419">
        <f t="shared" si="736"/>
        <v>-1690.5813004010004</v>
      </c>
      <c r="CG123" s="419">
        <f t="shared" si="736"/>
        <v>-2009.2277842760705</v>
      </c>
      <c r="CH123" s="419">
        <f t="shared" si="736"/>
        <v>-1817.8979413677898</v>
      </c>
      <c r="CI123" s="419">
        <f t="shared" si="736"/>
        <v>-1761.592108451257</v>
      </c>
      <c r="CJ123" s="419">
        <f t="shared" si="736"/>
        <v>-1799.2266397213709</v>
      </c>
      <c r="CK123" s="419">
        <f t="shared" si="736"/>
        <v>-2091.0712833776242</v>
      </c>
      <c r="CL123" s="419">
        <f t="shared" si="736"/>
        <v>-1972.7120980879081</v>
      </c>
      <c r="CM123" s="419">
        <f t="shared" si="736"/>
        <v>-1916.736192270906</v>
      </c>
      <c r="CN123" s="419">
        <f t="shared" si="736"/>
        <v>-1959.7194938270054</v>
      </c>
      <c r="CO123" s="419">
        <f t="shared" si="736"/>
        <v>-2268.2236398118152</v>
      </c>
      <c r="CP123" s="419">
        <f t="shared" si="736"/>
        <v>-2139.1648917174375</v>
      </c>
      <c r="CQ123" s="419">
        <f t="shared" si="736"/>
        <v>-2083.5497590227687</v>
      </c>
      <c r="CR123" s="419">
        <f t="shared" si="736"/>
        <v>-2132.478874587569</v>
      </c>
      <c r="CS123" s="419">
        <f t="shared" si="736"/>
        <v>-2458.7887047964091</v>
      </c>
      <c r="CT123" s="419">
        <f t="shared" si="736"/>
        <v>-2318.0400096379649</v>
      </c>
      <c r="CU123" s="419">
        <f t="shared" si="736"/>
        <v>-2262.7569455277953</v>
      </c>
      <c r="CV123" s="419">
        <f t="shared" si="736"/>
        <v>-2318.149224107206</v>
      </c>
      <c r="CW123" s="419">
        <f t="shared" si="736"/>
        <v>-2542.090040411726</v>
      </c>
      <c r="CY123" s="254"/>
    </row>
    <row r="124" spans="1:103">
      <c r="A124" s="31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9"/>
      <c r="AD124" s="99"/>
      <c r="AE124" s="99"/>
      <c r="AF124" s="99"/>
      <c r="AG124" s="99"/>
      <c r="AH124" s="99"/>
      <c r="AI124" s="99"/>
      <c r="AJ124" s="99"/>
      <c r="AK124" s="99"/>
      <c r="AL124" s="99"/>
      <c r="AM124" s="99"/>
      <c r="AN124" s="99"/>
      <c r="AO124" s="99"/>
      <c r="AP124" s="99"/>
      <c r="AQ124" s="99"/>
      <c r="AR124" s="99"/>
      <c r="AS124" s="99"/>
      <c r="AT124" s="99"/>
      <c r="AU124" s="99"/>
      <c r="AV124" s="99"/>
      <c r="AW124" s="99"/>
      <c r="AX124" s="99"/>
      <c r="AY124" s="99"/>
      <c r="AZ124" s="99"/>
      <c r="BA124" s="99"/>
      <c r="BB124" s="99"/>
      <c r="BC124" s="99"/>
      <c r="BD124" s="99"/>
      <c r="BE124" s="99"/>
      <c r="BF124" s="99"/>
      <c r="BG124" s="99"/>
      <c r="BH124" s="99"/>
      <c r="BI124" s="99"/>
      <c r="BJ124" s="99"/>
      <c r="BK124" s="1173"/>
      <c r="BL124" s="307"/>
      <c r="BM124" s="307"/>
      <c r="BN124" s="307"/>
      <c r="BO124" s="307"/>
      <c r="BP124" s="307"/>
      <c r="BQ124" s="307"/>
      <c r="BR124" s="307"/>
      <c r="BS124" s="307"/>
      <c r="BT124" s="307"/>
      <c r="BU124" s="307"/>
      <c r="BV124" s="307"/>
      <c r="BW124" s="307"/>
      <c r="BX124" s="307"/>
      <c r="BY124" s="307"/>
      <c r="BZ124" s="307"/>
      <c r="CA124" s="307"/>
      <c r="CB124" s="307"/>
      <c r="CC124" s="307"/>
      <c r="CD124" s="307"/>
      <c r="CE124" s="307"/>
      <c r="CF124" s="307"/>
      <c r="CG124" s="307"/>
      <c r="CH124" s="307"/>
      <c r="CI124" s="307"/>
      <c r="CJ124" s="307"/>
      <c r="CK124" s="307"/>
      <c r="CL124" s="307"/>
      <c r="CM124" s="307"/>
      <c r="CN124" s="307"/>
      <c r="CO124" s="307"/>
      <c r="CP124" s="307"/>
      <c r="CQ124" s="307"/>
      <c r="CR124" s="307"/>
      <c r="CS124" s="307"/>
      <c r="CT124" s="307"/>
      <c r="CU124" s="307"/>
      <c r="CV124" s="307"/>
      <c r="CW124" s="307"/>
    </row>
    <row r="125" spans="1:103">
      <c r="A125" s="319" t="s">
        <v>1</v>
      </c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9"/>
      <c r="AD125" s="99"/>
      <c r="AE125" s="99"/>
      <c r="AF125" s="99"/>
      <c r="AG125" s="99"/>
      <c r="AH125" s="99"/>
      <c r="AI125" s="99"/>
      <c r="AJ125" s="99"/>
      <c r="AK125" s="99"/>
      <c r="AL125" s="99"/>
      <c r="AM125" s="99"/>
      <c r="AN125" s="99"/>
      <c r="AO125" s="99"/>
      <c r="AP125" s="99"/>
      <c r="AQ125" s="99"/>
      <c r="AR125" s="99"/>
      <c r="AS125" s="99"/>
      <c r="AT125" s="99"/>
      <c r="AU125" s="99"/>
      <c r="AV125" s="99"/>
      <c r="AW125" s="99"/>
      <c r="AX125" s="99"/>
      <c r="AY125" s="99"/>
      <c r="AZ125" s="99"/>
      <c r="BA125" s="99"/>
      <c r="BB125" s="99"/>
      <c r="BC125" s="99"/>
      <c r="BD125" s="99"/>
      <c r="BE125" s="99"/>
      <c r="BF125" s="99"/>
      <c r="BG125" s="99"/>
      <c r="BH125" s="99"/>
      <c r="BI125" s="99"/>
      <c r="BJ125" s="99"/>
      <c r="BK125" s="1173"/>
      <c r="BL125" s="307"/>
      <c r="BM125" s="307"/>
      <c r="BN125" s="307"/>
      <c r="BO125" s="307"/>
      <c r="BP125" s="307"/>
      <c r="BQ125" s="307"/>
      <c r="BR125" s="307"/>
      <c r="BS125" s="307"/>
      <c r="BT125" s="307"/>
      <c r="BU125" s="307"/>
      <c r="BV125" s="307"/>
      <c r="BW125" s="307"/>
      <c r="BX125" s="307"/>
      <c r="BY125" s="307"/>
      <c r="BZ125" s="307"/>
      <c r="CA125" s="307"/>
      <c r="CB125" s="307"/>
      <c r="CC125" s="307"/>
      <c r="CD125" s="307"/>
      <c r="CE125" s="307"/>
      <c r="CF125" s="307"/>
      <c r="CG125" s="307"/>
      <c r="CH125" s="307"/>
      <c r="CI125" s="307"/>
      <c r="CJ125" s="307"/>
      <c r="CK125" s="307"/>
      <c r="CL125" s="307"/>
      <c r="CM125" s="307"/>
      <c r="CN125" s="307"/>
      <c r="CO125" s="307"/>
      <c r="CP125" s="307"/>
      <c r="CQ125" s="307"/>
      <c r="CR125" s="307"/>
      <c r="CS125" s="307"/>
      <c r="CT125" s="307"/>
      <c r="CU125" s="307"/>
      <c r="CV125" s="307"/>
      <c r="CW125" s="307"/>
    </row>
    <row r="126" spans="1:103">
      <c r="A126" s="290" t="s">
        <v>21</v>
      </c>
      <c r="B126" s="96">
        <f>CF!J31</f>
        <v>0</v>
      </c>
      <c r="C126" s="96">
        <f>CF!K31</f>
        <v>0</v>
      </c>
      <c r="D126" s="96">
        <f>CF!L31</f>
        <v>0</v>
      </c>
      <c r="E126" s="96">
        <f>CF!M31</f>
        <v>0</v>
      </c>
      <c r="F126" s="96">
        <f>CF!N31</f>
        <v>0</v>
      </c>
      <c r="G126" s="96">
        <f>CF!O31</f>
        <v>0</v>
      </c>
      <c r="H126" s="96">
        <f>CF!P31</f>
        <v>0</v>
      </c>
      <c r="I126" s="96">
        <f>CF!Q31</f>
        <v>0</v>
      </c>
      <c r="J126" s="96">
        <f>CF!R31</f>
        <v>0</v>
      </c>
      <c r="K126" s="96">
        <f>CF!S31</f>
        <v>0</v>
      </c>
      <c r="L126" s="96">
        <f>CF!T31</f>
        <v>0</v>
      </c>
      <c r="M126" s="96">
        <f>CF!U31</f>
        <v>0</v>
      </c>
      <c r="N126" s="96">
        <f>CF!V31</f>
        <v>0</v>
      </c>
      <c r="O126" s="96">
        <f>CF!W31</f>
        <v>0</v>
      </c>
      <c r="P126" s="96">
        <f>CF!X31</f>
        <v>0</v>
      </c>
      <c r="Q126" s="96">
        <f>CF!Y31</f>
        <v>0</v>
      </c>
      <c r="R126" s="96">
        <f>CF!Z31</f>
        <v>0</v>
      </c>
      <c r="S126" s="96">
        <f>CF!AA31</f>
        <v>0</v>
      </c>
      <c r="T126" s="96">
        <f>CF!AB31</f>
        <v>0</v>
      </c>
      <c r="U126" s="96">
        <f>CF!AC31</f>
        <v>0</v>
      </c>
      <c r="V126" s="96">
        <f>CF!AD31</f>
        <v>0</v>
      </c>
      <c r="W126" s="96">
        <f>CF!AE31</f>
        <v>6657.4610000000002</v>
      </c>
      <c r="X126" s="96">
        <f>CF!AF31</f>
        <v>-4.5640000000003056</v>
      </c>
      <c r="Y126" s="96">
        <f>CF!AG31</f>
        <v>-1.2899999999999636</v>
      </c>
      <c r="Z126" s="96">
        <f>CF!AH31</f>
        <v>0</v>
      </c>
      <c r="AA126" s="96">
        <f>CF!AI31</f>
        <v>0</v>
      </c>
      <c r="AB126" s="96">
        <f>CF!AJ31</f>
        <v>0</v>
      </c>
      <c r="AC126" s="96">
        <f>CF!AK31</f>
        <v>0</v>
      </c>
      <c r="AD126" s="99">
        <f>CF!AL31</f>
        <v>0</v>
      </c>
      <c r="AE126" s="99">
        <f>CF!AM31</f>
        <v>0</v>
      </c>
      <c r="AF126" s="99">
        <f>CF!AN31</f>
        <v>0</v>
      </c>
      <c r="AG126" s="99">
        <f>CF!AO31</f>
        <v>0</v>
      </c>
      <c r="AH126" s="99">
        <f>CF!AP31</f>
        <v>0</v>
      </c>
      <c r="AI126" s="99">
        <f>CF!AQ31</f>
        <v>0</v>
      </c>
      <c r="AJ126" s="99">
        <f>CF!AR31</f>
        <v>0</v>
      </c>
      <c r="AK126" s="99">
        <f>CF!AS31</f>
        <v>0</v>
      </c>
      <c r="AL126" s="99">
        <f>CF!AT31</f>
        <v>0</v>
      </c>
      <c r="AM126" s="99">
        <f>CF!AU31</f>
        <v>0</v>
      </c>
      <c r="AN126" s="99">
        <f>CF!AV31</f>
        <v>0</v>
      </c>
      <c r="AO126" s="99">
        <f>CF!AW31</f>
        <v>0</v>
      </c>
      <c r="AP126" s="99">
        <f>CF!AX31</f>
        <v>0</v>
      </c>
      <c r="AQ126" s="99">
        <f>CF!AY31</f>
        <v>0</v>
      </c>
      <c r="AR126" s="99">
        <f>CF!AZ31</f>
        <v>0</v>
      </c>
      <c r="AS126" s="99">
        <f>CF!BA31</f>
        <v>0</v>
      </c>
      <c r="AT126" s="99">
        <f>CF!BB31</f>
        <v>0</v>
      </c>
      <c r="AU126" s="99">
        <f>CF!BC31</f>
        <v>0</v>
      </c>
      <c r="AV126" s="99">
        <f>CF!BD31</f>
        <v>0</v>
      </c>
      <c r="AW126" s="99">
        <f>CF!BE31</f>
        <v>0</v>
      </c>
      <c r="AX126" s="99">
        <f>CF!BF31</f>
        <v>0</v>
      </c>
      <c r="AY126" s="99">
        <f>CF!BG31</f>
        <v>0</v>
      </c>
      <c r="AZ126" s="99">
        <f>CF!BH31</f>
        <v>0</v>
      </c>
      <c r="BA126" s="99">
        <f>CF!BI31</f>
        <v>0</v>
      </c>
      <c r="BB126" s="99">
        <f>CF!BJ31</f>
        <v>0</v>
      </c>
      <c r="BC126" s="99">
        <f>CF!BK31</f>
        <v>0</v>
      </c>
      <c r="BD126" s="99">
        <f>CF!BL31</f>
        <v>0</v>
      </c>
      <c r="BE126" s="99">
        <f>CF!BM31</f>
        <v>0</v>
      </c>
      <c r="BF126" s="99">
        <f>CF!BN31</f>
        <v>0</v>
      </c>
      <c r="BG126" s="99">
        <f>CF!BO31</f>
        <v>0</v>
      </c>
      <c r="BH126" s="99">
        <f>CF!BP31</f>
        <v>0</v>
      </c>
      <c r="BI126" s="99">
        <f>CF!BQ31</f>
        <v>0</v>
      </c>
      <c r="BJ126" s="99">
        <f>CF!BR31</f>
        <v>0</v>
      </c>
      <c r="BK126" s="1173">
        <f>CF!BS31</f>
        <v>0</v>
      </c>
      <c r="BL126" s="307">
        <f>Q_BS!BL63</f>
        <v>0</v>
      </c>
      <c r="BM126" s="307">
        <f>Q_BS!BM63</f>
        <v>0</v>
      </c>
      <c r="BN126" s="307">
        <f>Q_BS!BN63</f>
        <v>0</v>
      </c>
      <c r="BO126" s="307">
        <f>Q_BS!BO63</f>
        <v>0</v>
      </c>
      <c r="BP126" s="307">
        <f>Q_BS!BP63</f>
        <v>0</v>
      </c>
      <c r="BQ126" s="307">
        <f>Q_BS!BQ63</f>
        <v>0</v>
      </c>
      <c r="BR126" s="307">
        <f>Q_BS!BR63</f>
        <v>0</v>
      </c>
      <c r="BS126" s="307">
        <f>Q_BS!BS63</f>
        <v>0</v>
      </c>
      <c r="BT126" s="307">
        <f>Q_BS!BT63</f>
        <v>0</v>
      </c>
      <c r="BU126" s="307">
        <f>Q_BS!BU63</f>
        <v>0</v>
      </c>
      <c r="BV126" s="307">
        <f>Q_BS!BV63</f>
        <v>0</v>
      </c>
      <c r="BW126" s="307">
        <f>Q_BS!BW63</f>
        <v>0</v>
      </c>
      <c r="BX126" s="307">
        <f>Q_BS!BX63</f>
        <v>0</v>
      </c>
      <c r="BY126" s="307">
        <f>Q_BS!BY63</f>
        <v>0</v>
      </c>
      <c r="BZ126" s="307">
        <f>Q_BS!BZ63</f>
        <v>0</v>
      </c>
      <c r="CA126" s="307">
        <f>Q_BS!CA63</f>
        <v>0</v>
      </c>
      <c r="CB126" s="307">
        <f>Q_BS!CB63</f>
        <v>0</v>
      </c>
      <c r="CC126" s="307">
        <f>Q_BS!CC63</f>
        <v>0</v>
      </c>
      <c r="CD126" s="307">
        <f>Q_BS!CD63</f>
        <v>0</v>
      </c>
      <c r="CE126" s="307">
        <f>Q_BS!CE63</f>
        <v>0</v>
      </c>
      <c r="CF126" s="307">
        <f>Q_BS!CF63</f>
        <v>0</v>
      </c>
      <c r="CG126" s="307">
        <f>Q_BS!CG63</f>
        <v>0</v>
      </c>
      <c r="CH126" s="307">
        <f>Q_BS!CH63</f>
        <v>0</v>
      </c>
      <c r="CI126" s="307">
        <f>Q_BS!CI63</f>
        <v>0</v>
      </c>
      <c r="CJ126" s="307">
        <f>Q_BS!CJ63</f>
        <v>0</v>
      </c>
      <c r="CK126" s="307">
        <f>Q_BS!CK63</f>
        <v>0</v>
      </c>
      <c r="CL126" s="307">
        <f>Q_BS!CL63</f>
        <v>0</v>
      </c>
      <c r="CM126" s="307">
        <f>Q_BS!CM63</f>
        <v>0</v>
      </c>
      <c r="CN126" s="307">
        <f>Q_BS!CN63</f>
        <v>0</v>
      </c>
      <c r="CO126" s="307">
        <f>Q_BS!CO63</f>
        <v>0</v>
      </c>
      <c r="CP126" s="307">
        <f>Q_BS!CP63</f>
        <v>0</v>
      </c>
      <c r="CQ126" s="307">
        <f>Q_BS!CQ63</f>
        <v>0</v>
      </c>
      <c r="CR126" s="307">
        <f>Q_BS!CR63</f>
        <v>0</v>
      </c>
      <c r="CS126" s="307">
        <f>Q_BS!CS63</f>
        <v>0</v>
      </c>
      <c r="CT126" s="307">
        <f>Q_BS!CT63</f>
        <v>0</v>
      </c>
      <c r="CU126" s="307">
        <f>Q_BS!CU63</f>
        <v>0</v>
      </c>
      <c r="CV126" s="307">
        <f>Q_BS!CV63</f>
        <v>0</v>
      </c>
      <c r="CW126" s="307">
        <f>Q_BS!CW63</f>
        <v>0</v>
      </c>
    </row>
    <row r="127" spans="1:103">
      <c r="A127" s="290" t="s">
        <v>728</v>
      </c>
      <c r="B127" s="96">
        <f>CF!J33</f>
        <v>-1.7230000000000001</v>
      </c>
      <c r="C127" s="96">
        <f>CF!K33</f>
        <v>-35.116999999999997</v>
      </c>
      <c r="D127" s="96">
        <f>CF!L33</f>
        <v>-40.649000000000008</v>
      </c>
      <c r="E127" s="96">
        <f>CF!M33</f>
        <v>-40.545999999999999</v>
      </c>
      <c r="F127" s="96">
        <f>CF!N33</f>
        <v>100.68899999999999</v>
      </c>
      <c r="G127" s="96">
        <f>CF!O33</f>
        <v>37.260000000000019</v>
      </c>
      <c r="H127" s="96">
        <f>CF!P33</f>
        <v>-7.5730000000000075</v>
      </c>
      <c r="I127" s="96">
        <f>CF!Q33</f>
        <v>-68.281000000000006</v>
      </c>
      <c r="J127" s="96">
        <f>CF!R33</f>
        <v>89.372</v>
      </c>
      <c r="K127" s="96">
        <f>CF!S33</f>
        <v>1.5430000000000064</v>
      </c>
      <c r="L127" s="96">
        <f>CF!T33</f>
        <v>-45.452000000000005</v>
      </c>
      <c r="M127" s="96">
        <f>CF!U33</f>
        <v>-18.290000000000006</v>
      </c>
      <c r="N127" s="96">
        <f>CF!V33</f>
        <v>187.27799999999999</v>
      </c>
      <c r="O127" s="96">
        <f>CF!W33</f>
        <v>-1.0900000000000034</v>
      </c>
      <c r="P127" s="96">
        <f>CF!X33</f>
        <v>3.3000000000015461E-2</v>
      </c>
      <c r="Q127" s="96">
        <f>CF!Y33</f>
        <v>4.9999999999954525E-3</v>
      </c>
      <c r="R127" s="96">
        <f>CF!Z33</f>
        <v>0</v>
      </c>
      <c r="S127" s="96">
        <f>CF!AA33</f>
        <v>-42.113</v>
      </c>
      <c r="T127" s="96">
        <f>CF!AB33</f>
        <v>47.183</v>
      </c>
      <c r="U127" s="96">
        <f>CF!AC33</f>
        <v>0</v>
      </c>
      <c r="V127" s="96">
        <f>CF!AD33</f>
        <v>0</v>
      </c>
      <c r="W127" s="96">
        <f>CF!AE33</f>
        <v>0</v>
      </c>
      <c r="X127" s="96">
        <f>CF!AF33</f>
        <v>-5.0000000000000001E-3</v>
      </c>
      <c r="Y127" s="96">
        <f>CF!AG33</f>
        <v>-38.338000000000001</v>
      </c>
      <c r="Z127" s="96">
        <f>CF!AH33</f>
        <v>20.823</v>
      </c>
      <c r="AA127" s="96">
        <f>CF!AI33</f>
        <v>21.058</v>
      </c>
      <c r="AB127" s="96">
        <f>CF!AJ33</f>
        <v>-38.424999999999997</v>
      </c>
      <c r="AC127" s="96">
        <f>CF!AK33</f>
        <v>-17.301000000000002</v>
      </c>
      <c r="AD127" s="99">
        <f>CF!AL33</f>
        <v>-5.6820000000000004</v>
      </c>
      <c r="AE127" s="99">
        <f>CF!AM33</f>
        <v>0</v>
      </c>
      <c r="AF127" s="99">
        <f>CF!AN33</f>
        <v>-96.442999999999998</v>
      </c>
      <c r="AG127" s="99">
        <f>CF!AO33</f>
        <v>-96.87700000000001</v>
      </c>
      <c r="AH127" s="99">
        <f>CF!AP33</f>
        <v>-37.128999999999998</v>
      </c>
      <c r="AI127" s="99">
        <f>CF!AQ33</f>
        <v>101.613</v>
      </c>
      <c r="AJ127" s="99">
        <f>CF!AR33</f>
        <v>-50.395000000000003</v>
      </c>
      <c r="AK127" s="99">
        <f>CF!AS33</f>
        <v>-74.665999999999997</v>
      </c>
      <c r="AL127" s="99">
        <f>CF!AT33</f>
        <v>321.64299999999997</v>
      </c>
      <c r="AM127" s="99">
        <f>CF!AU33</f>
        <v>48.547000000000025</v>
      </c>
      <c r="AN127" s="99">
        <f>CF!AV33</f>
        <v>0</v>
      </c>
      <c r="AO127" s="99">
        <f>CF!AW33</f>
        <v>-148.995</v>
      </c>
      <c r="AP127" s="99">
        <f>CF!AX33</f>
        <v>15.010999999999999</v>
      </c>
      <c r="AQ127" s="99">
        <f>CF!AY33</f>
        <v>-165.94200000000001</v>
      </c>
      <c r="AR127" s="99">
        <f>CF!AZ33</f>
        <v>-13.49199999999999</v>
      </c>
      <c r="AS127" s="99">
        <f>CF!BA33</f>
        <v>392.346</v>
      </c>
      <c r="AT127" s="99">
        <f>CF!BB33</f>
        <v>-126.45399999999999</v>
      </c>
      <c r="AU127" s="99">
        <f>CF!BC33</f>
        <v>-21.058000000000007</v>
      </c>
      <c r="AV127" s="99">
        <f>CF!BD33</f>
        <v>-0.84399999999999409</v>
      </c>
      <c r="AW127" s="99">
        <f>CF!BE33</f>
        <v>152.84100000000001</v>
      </c>
      <c r="AX127" s="99">
        <f>CF!BF33</f>
        <v>0</v>
      </c>
      <c r="AY127" s="99">
        <f>CF!BG33</f>
        <v>0</v>
      </c>
      <c r="AZ127" s="99">
        <f>CF!BH33</f>
        <v>0</v>
      </c>
      <c r="BA127" s="99">
        <f>CF!BI33</f>
        <v>0</v>
      </c>
      <c r="BB127" s="99">
        <f>CF!BJ33</f>
        <v>0</v>
      </c>
      <c r="BC127" s="99">
        <f>CF!BK33</f>
        <v>-332.06599999999997</v>
      </c>
      <c r="BD127" s="99">
        <f>CF!BL33</f>
        <v>-364.16400000000004</v>
      </c>
      <c r="BE127" s="99">
        <f>CF!BM33</f>
        <v>-32.856999999999971</v>
      </c>
      <c r="BF127" s="99">
        <f>CF!BN33</f>
        <v>-202.35</v>
      </c>
      <c r="BG127" s="99">
        <f>CF!BO33</f>
        <v>0</v>
      </c>
      <c r="BH127" s="99">
        <f>CF!BP33</f>
        <v>-145.88700000000003</v>
      </c>
      <c r="BI127" s="99">
        <f>CF!BQ33</f>
        <v>0</v>
      </c>
      <c r="BJ127" s="99">
        <f>CF!BR33</f>
        <v>360.03500000000003</v>
      </c>
      <c r="BK127" s="1173">
        <f>CF!BS33</f>
        <v>-3.6790000000000305</v>
      </c>
      <c r="BL127" s="307">
        <f>Q_BS!BL64</f>
        <v>0</v>
      </c>
      <c r="BM127" s="307">
        <f>Q_BS!BM64</f>
        <v>0</v>
      </c>
      <c r="BN127" s="307">
        <f>Q_BS!BN64</f>
        <v>0</v>
      </c>
      <c r="BO127" s="307">
        <f>Q_BS!BO64</f>
        <v>0</v>
      </c>
      <c r="BP127" s="307">
        <f>Q_BS!BP64</f>
        <v>0</v>
      </c>
      <c r="BQ127" s="307">
        <f>Q_BS!BQ64</f>
        <v>0</v>
      </c>
      <c r="BR127" s="307">
        <f>Q_BS!BR64</f>
        <v>0</v>
      </c>
      <c r="BS127" s="307">
        <f>Q_BS!BS64</f>
        <v>0</v>
      </c>
      <c r="BT127" s="307">
        <f>Q_BS!BT64</f>
        <v>0</v>
      </c>
      <c r="BU127" s="307">
        <f>Q_BS!BU64</f>
        <v>0</v>
      </c>
      <c r="BV127" s="307">
        <f>Q_BS!BV64</f>
        <v>0</v>
      </c>
      <c r="BW127" s="307">
        <f>Q_BS!BW64</f>
        <v>0</v>
      </c>
      <c r="BX127" s="307">
        <f>Q_BS!BX64</f>
        <v>0</v>
      </c>
      <c r="BY127" s="307">
        <f>Q_BS!BY64</f>
        <v>0</v>
      </c>
      <c r="BZ127" s="307">
        <f>Q_BS!BZ64</f>
        <v>0</v>
      </c>
      <c r="CA127" s="307">
        <f>Q_BS!CA64</f>
        <v>0</v>
      </c>
      <c r="CB127" s="307">
        <f>Q_BS!CB64</f>
        <v>0</v>
      </c>
      <c r="CC127" s="307">
        <f>Q_BS!CC64</f>
        <v>0</v>
      </c>
      <c r="CD127" s="307">
        <f>Q_BS!CD64</f>
        <v>0</v>
      </c>
      <c r="CE127" s="307">
        <f>Q_BS!CE64</f>
        <v>0</v>
      </c>
      <c r="CF127" s="307">
        <f>Q_BS!CF64</f>
        <v>0</v>
      </c>
      <c r="CG127" s="307">
        <f>Q_BS!CG64</f>
        <v>0</v>
      </c>
      <c r="CH127" s="307">
        <f>Q_BS!CH64</f>
        <v>0</v>
      </c>
      <c r="CI127" s="307">
        <f>Q_BS!CI64</f>
        <v>0</v>
      </c>
      <c r="CJ127" s="307">
        <f>Q_BS!CJ64</f>
        <v>0</v>
      </c>
      <c r="CK127" s="307">
        <f>Q_BS!CK64</f>
        <v>0</v>
      </c>
      <c r="CL127" s="307">
        <f>Q_BS!CL64</f>
        <v>0</v>
      </c>
      <c r="CM127" s="307">
        <f>Q_BS!CM64</f>
        <v>0</v>
      </c>
      <c r="CN127" s="307">
        <f>Q_BS!CN64</f>
        <v>0</v>
      </c>
      <c r="CO127" s="307">
        <f>Q_BS!CO64</f>
        <v>0</v>
      </c>
      <c r="CP127" s="307">
        <f>Q_BS!CP64</f>
        <v>0</v>
      </c>
      <c r="CQ127" s="307">
        <f>Q_BS!CQ64</f>
        <v>0</v>
      </c>
      <c r="CR127" s="307">
        <f>Q_BS!CR64</f>
        <v>0</v>
      </c>
      <c r="CS127" s="307">
        <f>Q_BS!CS64</f>
        <v>0</v>
      </c>
      <c r="CT127" s="307">
        <f>Q_BS!CT64</f>
        <v>0</v>
      </c>
      <c r="CU127" s="307">
        <f>Q_BS!CU64</f>
        <v>0</v>
      </c>
      <c r="CV127" s="307">
        <f>Q_BS!CV64</f>
        <v>0</v>
      </c>
      <c r="CW127" s="307">
        <f>Q_BS!CW64</f>
        <v>0</v>
      </c>
      <c r="CY127" s="254"/>
    </row>
    <row r="128" spans="1:103">
      <c r="A128" s="290" t="s">
        <v>587</v>
      </c>
      <c r="B128" s="96">
        <f>CF!J28+CF!J29</f>
        <v>-52.223999999999997</v>
      </c>
      <c r="C128" s="96">
        <f>CF!K28+CF!K29</f>
        <v>-155.46899999999999</v>
      </c>
      <c r="D128" s="96">
        <f>CF!L28+CF!L29</f>
        <v>-241.40899999999999</v>
      </c>
      <c r="E128" s="96">
        <f>CF!M28+CF!M29</f>
        <v>-38.974000000000046</v>
      </c>
      <c r="F128" s="96">
        <f>CF!N28+CF!N29</f>
        <v>250.78399999999999</v>
      </c>
      <c r="G128" s="96">
        <f>CF!O28+CF!O29</f>
        <v>-103.83699999999999</v>
      </c>
      <c r="H128" s="96">
        <f>CF!P28+CF!P29</f>
        <v>-102.21300000000002</v>
      </c>
      <c r="I128" s="96">
        <f>CF!Q28+CF!Q29</f>
        <v>250.68700000000001</v>
      </c>
      <c r="J128" s="96">
        <f>CF!R28+CF!R29</f>
        <v>-73.206000000000003</v>
      </c>
      <c r="K128" s="96">
        <f>CF!S28+CF!S29</f>
        <v>245.858</v>
      </c>
      <c r="L128" s="96">
        <f>CF!T28+CF!T29</f>
        <v>21.575000000000003</v>
      </c>
      <c r="M128" s="96">
        <f>CF!U28+CF!U29</f>
        <v>2271.2490000000003</v>
      </c>
      <c r="N128" s="96">
        <f>CF!V28+CF!V29</f>
        <v>-101.41800000000001</v>
      </c>
      <c r="O128" s="96">
        <f>CF!W28+CF!W29</f>
        <v>-307.99200000000002</v>
      </c>
      <c r="P128" s="96">
        <f>CF!X28+CF!X29</f>
        <v>-196.16199999999998</v>
      </c>
      <c r="Q128" s="96">
        <f>CF!Y28+CF!Y29</f>
        <v>-1053.7</v>
      </c>
      <c r="R128" s="96">
        <f>CF!Z28+CF!Z29</f>
        <v>-55.226999999999997</v>
      </c>
      <c r="S128" s="96">
        <f>CF!AA28+CF!AA29</f>
        <v>1043.9690000000003</v>
      </c>
      <c r="T128" s="96">
        <f>CF!AB28+CF!AB29</f>
        <v>1589.0579999999995</v>
      </c>
      <c r="U128" s="96">
        <f>CF!AC28+CF!AC29</f>
        <v>-8.6639999999998523</v>
      </c>
      <c r="V128" s="96">
        <f>CF!AD28+CF!AD29</f>
        <v>75.688000000000002</v>
      </c>
      <c r="W128" s="96">
        <f>CF!AE28+CF!AE29</f>
        <v>2160.6970000000001</v>
      </c>
      <c r="X128" s="96">
        <f>CF!AF28+CF!AF29</f>
        <v>-69.415000000000319</v>
      </c>
      <c r="Y128" s="96">
        <f>CF!AG28+CF!AG29</f>
        <v>2021.1000000000001</v>
      </c>
      <c r="Z128" s="96">
        <f>CF!AH28+CF!AH29</f>
        <v>502.34799999999996</v>
      </c>
      <c r="AA128" s="96">
        <f>CF!AI28+CF!AI29</f>
        <v>636.53099999999995</v>
      </c>
      <c r="AB128" s="96">
        <f>CF!AJ28+CF!AJ29</f>
        <v>-126.74800000000005</v>
      </c>
      <c r="AC128" s="96">
        <f>CF!AK28+CF!AK29</f>
        <v>-129.55099999999993</v>
      </c>
      <c r="AD128" s="99">
        <f>CF!AL28+CF!AL29</f>
        <v>147.62100000000001</v>
      </c>
      <c r="AE128" s="99">
        <f>CF!AM28+CF!AM29</f>
        <v>725.93399999999997</v>
      </c>
      <c r="AF128" s="99">
        <f>CF!AN28+CF!AN29</f>
        <v>183.47999999999956</v>
      </c>
      <c r="AG128" s="99">
        <f>CF!AO28+CF!AO29</f>
        <v>1299.874</v>
      </c>
      <c r="AH128" s="99">
        <f>CF!AP28+CF!AP29</f>
        <v>357.44799999999998</v>
      </c>
      <c r="AI128" s="99">
        <f>CF!AQ28+CF!AQ29</f>
        <v>475.99099999999999</v>
      </c>
      <c r="AJ128" s="99">
        <f>CF!AR28+CF!AR29</f>
        <v>455.3850000000001</v>
      </c>
      <c r="AK128" s="99">
        <f>CF!AS28+CF!AS29</f>
        <v>-1554.1790000000001</v>
      </c>
      <c r="AL128" s="99">
        <f>CF!AT28+CF!AT29</f>
        <v>681.36900000000003</v>
      </c>
      <c r="AM128" s="99">
        <f>CF!AU28+CF!AU29</f>
        <v>867.59800000000007</v>
      </c>
      <c r="AN128" s="99">
        <f>CF!AV28+CF!AV29</f>
        <v>668.57799999999997</v>
      </c>
      <c r="AO128" s="99">
        <f>CF!AW28+CF!AW29</f>
        <v>9014.2430000000004</v>
      </c>
      <c r="AP128" s="99">
        <f>CF!AX28+CF!AX29</f>
        <v>1722.991</v>
      </c>
      <c r="AQ128" s="99">
        <f>CF!AY28+CF!AY29</f>
        <v>-151.35400000000004</v>
      </c>
      <c r="AR128" s="99">
        <f>CF!AZ28+CF!AZ29</f>
        <v>458.88000000000011</v>
      </c>
      <c r="AS128" s="99">
        <f>CF!BA28+CF!BA29</f>
        <v>-1626.2710000000002</v>
      </c>
      <c r="AT128" s="99">
        <f>CF!BB28+CF!BB29</f>
        <v>2042.8989999999999</v>
      </c>
      <c r="AU128" s="99">
        <f>CF!BC28+CF!BC29</f>
        <v>2941.2159999999999</v>
      </c>
      <c r="AV128" s="99">
        <f>CF!BD28+CF!BD29</f>
        <v>391.72500000000036</v>
      </c>
      <c r="AW128" s="99">
        <f>CF!BE28+CF!BE29</f>
        <v>-28.496000000000095</v>
      </c>
      <c r="AX128" s="99">
        <f>CF!BF28+CF!BF29</f>
        <v>-7.9550000000000001</v>
      </c>
      <c r="AY128" s="99">
        <f>CF!BG28+CF!BG29</f>
        <v>-187.46299999999999</v>
      </c>
      <c r="AZ128" s="99">
        <f>CF!BH28+CF!BH29</f>
        <v>128.96600000000001</v>
      </c>
      <c r="BA128" s="99">
        <f>CF!BI28+CF!BI29</f>
        <v>341.71500000000015</v>
      </c>
      <c r="BB128" s="99">
        <f>CF!BJ28+CF!BJ29</f>
        <v>-1159.1310000000003</v>
      </c>
      <c r="BC128" s="99">
        <f>CF!BK28+CF!BK29</f>
        <v>-515.94999999999982</v>
      </c>
      <c r="BD128" s="99">
        <f>CF!BL28+CF!BL29</f>
        <v>-156.51419999999962</v>
      </c>
      <c r="BE128" s="99">
        <f>CF!BM28+CF!BM29</f>
        <v>-321.19180000000051</v>
      </c>
      <c r="BF128" s="99">
        <f>CF!BN28+CF!BN29</f>
        <v>-81.102999999999994</v>
      </c>
      <c r="BG128" s="99">
        <f>CF!BO28+CF!BO29</f>
        <v>36.622999999999998</v>
      </c>
      <c r="BH128" s="99">
        <f>CF!BP28+CF!BP29</f>
        <v>890.30700000000002</v>
      </c>
      <c r="BI128" s="99">
        <f>CF!BQ28+CF!BQ29</f>
        <v>-279.47000000000003</v>
      </c>
      <c r="BJ128" s="99">
        <f>CF!BR28+CF!BR29</f>
        <v>2498.3409999999999</v>
      </c>
      <c r="BK128" s="1173">
        <f>CF!BS28+CF!BS29</f>
        <v>-73.500999999999749</v>
      </c>
      <c r="BL128" s="307">
        <f>Q_BS!BL106+Q_BS!BL107+Q_BS!BL112+Q_BS!BL115</f>
        <v>376.77336447554711</v>
      </c>
      <c r="BM128" s="2046">
        <f>Q_BS!BM106+Q_BS!BM107+Q_BS!BM112+Q_BS!BM115-BM131</f>
        <v>154.35845214968515</v>
      </c>
      <c r="BN128" s="2046">
        <f>Q_BS!BN106+Q_BS!BN107+Q_BS!BN112+Q_BS!BN115-BN131</f>
        <v>954.08388366811221</v>
      </c>
      <c r="BO128" s="307">
        <f>Q_BS!BO106+Q_BS!BO107+Q_BS!BO112+Q_BS!BO115</f>
        <v>861.43695051642317</v>
      </c>
      <c r="BP128" s="307">
        <f>Q_BS!BP106+Q_BS!BP107+Q_BS!BP112+Q_BS!BP115</f>
        <v>700</v>
      </c>
      <c r="BQ128" s="307">
        <f>Q_BS!BQ106+Q_BS!BQ107+Q_BS!BQ112+Q_BS!BQ115</f>
        <v>1143.6778996406194</v>
      </c>
      <c r="BR128" s="307">
        <f>Q_BS!BR106+Q_BS!BR107+Q_BS!BR112+Q_BS!BR115</f>
        <v>1486.8191181181644</v>
      </c>
      <c r="BS128" s="307">
        <f>Q_BS!BS106+Q_BS!BS107+Q_BS!BS112+Q_BS!BS115</f>
        <v>700</v>
      </c>
      <c r="BT128" s="307">
        <f>Q_BS!BT106+Q_BS!BT107+Q_BS!BT112+Q_BS!BT115</f>
        <v>700</v>
      </c>
      <c r="BU128" s="307">
        <f>Q_BS!BU106+Q_BS!BU107+Q_BS!BU112+Q_BS!BU115</f>
        <v>700</v>
      </c>
      <c r="BV128" s="307">
        <f>Q_BS!BV106+Q_BS!BV107+Q_BS!BV112+Q_BS!BV115</f>
        <v>774.10257137230587</v>
      </c>
      <c r="BW128" s="307">
        <f>Q_BS!BW106+Q_BS!BW107+Q_BS!BW112+Q_BS!BW115</f>
        <v>619.54338299947278</v>
      </c>
      <c r="BX128" s="307">
        <f>Q_BS!BX106+Q_BS!BX107+Q_BS!BX112+Q_BS!BX115</f>
        <v>799.38054981106802</v>
      </c>
      <c r="BY128" s="307">
        <f>Q_BS!BY106+Q_BS!BY107+Q_BS!BY112+Q_BS!BY115</f>
        <v>966.66872996059953</v>
      </c>
      <c r="BZ128" s="307">
        <f>Q_BS!BZ106+Q_BS!BZ107+Q_BS!BZ112+Q_BS!BZ115</f>
        <v>80.214971323426909</v>
      </c>
      <c r="CA128" s="307">
        <f>Q_BS!CA106+Q_BS!CA107+Q_BS!CA112+Q_BS!CA115</f>
        <v>-85.533128310745255</v>
      </c>
      <c r="CB128" s="307">
        <f>Q_BS!CB106+Q_BS!CB107+Q_BS!CB112+Q_BS!CB115</f>
        <v>103.788207853538</v>
      </c>
      <c r="CC128" s="307">
        <f>Q_BS!CC106+Q_BS!CC107+Q_BS!CC112+Q_BS!CC115</f>
        <v>273.6822137123113</v>
      </c>
      <c r="CD128" s="307">
        <f>Q_BS!CD106+Q_BS!CD107+Q_BS!CD112+Q_BS!CD115</f>
        <v>80.934896289370201</v>
      </c>
      <c r="CE128" s="307">
        <f>Q_BS!CE106+Q_BS!CE107+Q_BS!CE112+Q_BS!CE115</f>
        <v>-86.300783443819839</v>
      </c>
      <c r="CF128" s="307">
        <f>Q_BS!CF106+Q_BS!CF107+Q_BS!CF112+Q_BS!CF115</f>
        <v>104.71970132378642</v>
      </c>
      <c r="CG128" s="307">
        <f>Q_BS!CG106+Q_BS!CG107+Q_BS!CG112+Q_BS!CG115</f>
        <v>276.13849656244241</v>
      </c>
      <c r="CH128" s="307">
        <f>Q_BS!CH106+Q_BS!CH107+Q_BS!CH112+Q_BS!CH115</f>
        <v>81.661282542374707</v>
      </c>
      <c r="CI128" s="307">
        <f>Q_BS!CI106+Q_BS!CI107+Q_BS!CI112+Q_BS!CI115</f>
        <v>-87.075328239593034</v>
      </c>
      <c r="CJ128" s="307">
        <f>Q_BS!CJ106+Q_BS!CJ107+Q_BS!CJ112+Q_BS!CJ115</f>
        <v>105.65955489681917</v>
      </c>
      <c r="CK128" s="307">
        <f>Q_BS!CK106+Q_BS!CK107+Q_BS!CK112+Q_BS!CK115</f>
        <v>278.61682441636503</v>
      </c>
      <c r="CL128" s="307">
        <f>Q_BS!CL106+Q_BS!CL107+Q_BS!CL112+Q_BS!CL115</f>
        <v>82.394188072137126</v>
      </c>
      <c r="CM128" s="307">
        <f>Q_BS!CM106+Q_BS!CM107+Q_BS!CM112+Q_BS!CM115</f>
        <v>-87.856824532397923</v>
      </c>
      <c r="CN128" s="307">
        <f>Q_BS!CN106+Q_BS!CN107+Q_BS!CN112+Q_BS!CN115</f>
        <v>106.60784360409012</v>
      </c>
      <c r="CO128" s="307">
        <f>Q_BS!CO106+Q_BS!CO107+Q_BS!CO112+Q_BS!CO115</f>
        <v>281.11739512678503</v>
      </c>
      <c r="CP128" s="307">
        <f>Q_BS!CP106+Q_BS!CP107+Q_BS!CP112+Q_BS!CP115</f>
        <v>83.133671388811948</v>
      </c>
      <c r="CQ128" s="307">
        <f>Q_BS!CQ106+Q_BS!CQ107+Q_BS!CQ112+Q_BS!CQ115</f>
        <v>-88.645334711550476</v>
      </c>
      <c r="CR128" s="307">
        <f>Q_BS!CR106+Q_BS!CR107+Q_BS!CR112+Q_BS!CR115</f>
        <v>607.56464315047936</v>
      </c>
      <c r="CS128" s="307">
        <f>Q_BS!CS106+Q_BS!CS107+Q_BS!CS112+Q_BS!CS115</f>
        <v>786.93269467857203</v>
      </c>
      <c r="CT128" s="307">
        <f>Q_BS!CT106+Q_BS!CT107+Q_BS!CT112+Q_BS!CT115</f>
        <v>85.82065077759141</v>
      </c>
      <c r="CU128" s="307">
        <f>Q_BS!CU106+Q_BS!CU107+Q_BS!CU112+Q_BS!CU115</f>
        <v>58.489542368910193</v>
      </c>
      <c r="CV128" s="307">
        <f>Q_BS!CV106+Q_BS!CV107+Q_BS!CV112+Q_BS!CV115</f>
        <v>111.41675736709388</v>
      </c>
      <c r="CW128" s="307">
        <f>Q_BS!CW106+Q_BS!CW107+Q_BS!CW112+Q_BS!CW115</f>
        <v>293.79816292717379</v>
      </c>
      <c r="CY128" s="254"/>
    </row>
    <row r="129" spans="1:103">
      <c r="A129" s="290" t="s">
        <v>244</v>
      </c>
      <c r="B129" s="96">
        <f>CF!J30</f>
        <v>0</v>
      </c>
      <c r="C129" s="96">
        <f>CF!K30</f>
        <v>0</v>
      </c>
      <c r="D129" s="96">
        <f>CF!L30</f>
        <v>0</v>
      </c>
      <c r="E129" s="96">
        <f>CF!M30</f>
        <v>-41.834000000000003</v>
      </c>
      <c r="F129" s="96">
        <f>CF!N30</f>
        <v>0</v>
      </c>
      <c r="G129" s="96">
        <f>CF!O30</f>
        <v>-245.958</v>
      </c>
      <c r="H129" s="96">
        <f>CF!P30</f>
        <v>0</v>
      </c>
      <c r="I129" s="96">
        <f>CF!Q30</f>
        <v>0</v>
      </c>
      <c r="J129" s="96">
        <f>CF!R30</f>
        <v>0</v>
      </c>
      <c r="K129" s="96">
        <f>CF!S30</f>
        <v>-122.648</v>
      </c>
      <c r="L129" s="96">
        <f>CF!T30</f>
        <v>0</v>
      </c>
      <c r="M129" s="96">
        <f>CF!U30</f>
        <v>0</v>
      </c>
      <c r="N129" s="96">
        <f>CF!V30</f>
        <v>0</v>
      </c>
      <c r="O129" s="96">
        <f>CF!W30</f>
        <v>0</v>
      </c>
      <c r="P129" s="96">
        <f>CF!X30</f>
        <v>0</v>
      </c>
      <c r="Q129" s="96">
        <f>CF!Y30</f>
        <v>0</v>
      </c>
      <c r="R129" s="96">
        <f>CF!Z30</f>
        <v>-26.81</v>
      </c>
      <c r="S129" s="96">
        <f>CF!AA30</f>
        <v>-347.66800000000001</v>
      </c>
      <c r="T129" s="96">
        <f>CF!AB30</f>
        <v>0</v>
      </c>
      <c r="U129" s="96">
        <f>CF!AC30</f>
        <v>30.600000000000019</v>
      </c>
      <c r="V129" s="96">
        <f>CF!AD30</f>
        <v>0</v>
      </c>
      <c r="W129" s="96">
        <f>CF!AE30</f>
        <v>0</v>
      </c>
      <c r="X129" s="96">
        <f>CF!AF30</f>
        <v>0</v>
      </c>
      <c r="Y129" s="96">
        <f>CF!AG30</f>
        <v>0</v>
      </c>
      <c r="Z129" s="96">
        <f>CF!AH30</f>
        <v>0</v>
      </c>
      <c r="AA129" s="96">
        <f>CF!AI30</f>
        <v>-419.173</v>
      </c>
      <c r="AB129" s="96">
        <f>CF!AJ30</f>
        <v>0</v>
      </c>
      <c r="AC129" s="96">
        <f>CF!AK30</f>
        <v>0</v>
      </c>
      <c r="AD129" s="99">
        <f>CF!AL30</f>
        <v>0</v>
      </c>
      <c r="AE129" s="99">
        <f>CF!AM30</f>
        <v>-644.77099999999996</v>
      </c>
      <c r="AF129" s="99">
        <f>CF!AN30</f>
        <v>0</v>
      </c>
      <c r="AG129" s="99">
        <f>CF!AO30</f>
        <v>0</v>
      </c>
      <c r="AH129" s="99">
        <f>CF!AP30</f>
        <v>-92.977000000000004</v>
      </c>
      <c r="AI129" s="99">
        <f>CF!AQ30</f>
        <v>-567.76300000000003</v>
      </c>
      <c r="AJ129" s="99">
        <f>CF!AR30</f>
        <v>-58.657999999999987</v>
      </c>
      <c r="AK129" s="99">
        <f>CF!AS30</f>
        <v>0</v>
      </c>
      <c r="AL129" s="99">
        <f>CF!AT30</f>
        <v>0</v>
      </c>
      <c r="AM129" s="99">
        <f>CF!AU30</f>
        <v>-720.14400000000001</v>
      </c>
      <c r="AN129" s="99">
        <f>CF!AV30</f>
        <v>0</v>
      </c>
      <c r="AO129" s="99">
        <f>CF!AW30</f>
        <v>0</v>
      </c>
      <c r="AP129" s="99">
        <f>CF!AX30</f>
        <v>0</v>
      </c>
      <c r="AQ129" s="99">
        <f>CF!AY30</f>
        <v>0</v>
      </c>
      <c r="AR129" s="99">
        <f>CF!AZ30</f>
        <v>0</v>
      </c>
      <c r="AS129" s="99">
        <f>CF!BA30</f>
        <v>0</v>
      </c>
      <c r="AT129" s="99">
        <f>CF!BB30</f>
        <v>0</v>
      </c>
      <c r="AU129" s="99">
        <f>CF!BC30</f>
        <v>0</v>
      </c>
      <c r="AV129" s="99">
        <f>CF!BD30</f>
        <v>0</v>
      </c>
      <c r="AW129" s="99">
        <f>CF!BE30</f>
        <v>0</v>
      </c>
      <c r="AX129" s="99">
        <f>CF!BF30</f>
        <v>0</v>
      </c>
      <c r="AY129" s="99">
        <f>CF!BG30</f>
        <v>0</v>
      </c>
      <c r="AZ129" s="99">
        <f>CF!BH30</f>
        <v>0</v>
      </c>
      <c r="BA129" s="99">
        <f>CF!BI30</f>
        <v>0</v>
      </c>
      <c r="BB129" s="99">
        <f>CF!BJ30</f>
        <v>0</v>
      </c>
      <c r="BC129" s="99">
        <f>CF!BK30</f>
        <v>0</v>
      </c>
      <c r="BD129" s="99">
        <f>CF!BL30</f>
        <v>0</v>
      </c>
      <c r="BE129" s="99">
        <f>CF!BM30</f>
        <v>0</v>
      </c>
      <c r="BF129" s="99">
        <f>CF!BN30</f>
        <v>0</v>
      </c>
      <c r="BG129" s="99">
        <f>CF!BO30</f>
        <v>0</v>
      </c>
      <c r="BH129" s="99">
        <f>CF!BP30</f>
        <v>0</v>
      </c>
      <c r="BI129" s="99">
        <f>CF!BQ30</f>
        <v>0</v>
      </c>
      <c r="BJ129" s="99">
        <f>CF!BR30</f>
        <v>0</v>
      </c>
      <c r="BK129" s="1173">
        <f>CF!BS30</f>
        <v>-978.01700000000005</v>
      </c>
      <c r="BL129" s="307">
        <f>Q_BS!BL65</f>
        <v>0</v>
      </c>
      <c r="BM129" s="307">
        <f>Q_BS!BM65</f>
        <v>0</v>
      </c>
      <c r="BN129" s="307">
        <f>Q_BS!BN65</f>
        <v>0</v>
      </c>
      <c r="BO129" s="307">
        <f>Q_BS!BO65</f>
        <v>0</v>
      </c>
      <c r="BP129" s="307">
        <f>Q_BS!BP65</f>
        <v>0</v>
      </c>
      <c r="BQ129" s="307">
        <f>Q_BS!BQ65</f>
        <v>0</v>
      </c>
      <c r="BR129" s="307">
        <f>Q_BS!BR65</f>
        <v>0</v>
      </c>
      <c r="BS129" s="307">
        <f>Q_BS!BS65</f>
        <v>0</v>
      </c>
      <c r="BT129" s="307">
        <f>Q_BS!BT65</f>
        <v>0</v>
      </c>
      <c r="BU129" s="307">
        <f>Q_BS!BU65</f>
        <v>0</v>
      </c>
      <c r="BV129" s="307">
        <f>Q_BS!BV65</f>
        <v>0</v>
      </c>
      <c r="BW129" s="307">
        <f>Q_BS!BW65</f>
        <v>0</v>
      </c>
      <c r="BX129" s="307">
        <f>Q_BS!BX65</f>
        <v>0</v>
      </c>
      <c r="BY129" s="307">
        <f>Q_BS!BY65</f>
        <v>0</v>
      </c>
      <c r="BZ129" s="307">
        <f>Q_BS!BZ65</f>
        <v>0</v>
      </c>
      <c r="CA129" s="307">
        <f>Q_BS!CA65</f>
        <v>0</v>
      </c>
      <c r="CB129" s="307">
        <f>Q_BS!CB65</f>
        <v>0</v>
      </c>
      <c r="CC129" s="307">
        <f>Q_BS!CC65</f>
        <v>0</v>
      </c>
      <c r="CD129" s="307">
        <f>Q_BS!CD65</f>
        <v>0</v>
      </c>
      <c r="CE129" s="307">
        <f>Q_BS!CE65</f>
        <v>0</v>
      </c>
      <c r="CF129" s="307">
        <f>Q_BS!CF65</f>
        <v>0</v>
      </c>
      <c r="CG129" s="307">
        <f>Q_BS!CG65</f>
        <v>0</v>
      </c>
      <c r="CH129" s="307">
        <f>Q_BS!CH65</f>
        <v>0</v>
      </c>
      <c r="CI129" s="307">
        <f>Q_BS!CI65</f>
        <v>0</v>
      </c>
      <c r="CJ129" s="307">
        <f>Q_BS!CJ65</f>
        <v>0</v>
      </c>
      <c r="CK129" s="307">
        <f>Q_BS!CK65</f>
        <v>0</v>
      </c>
      <c r="CL129" s="307">
        <f>Q_BS!CL65</f>
        <v>0</v>
      </c>
      <c r="CM129" s="307">
        <f>Q_BS!CM65</f>
        <v>0</v>
      </c>
      <c r="CN129" s="307">
        <f>Q_BS!CN65</f>
        <v>0</v>
      </c>
      <c r="CO129" s="307">
        <f>Q_BS!CO65</f>
        <v>0</v>
      </c>
      <c r="CP129" s="307">
        <f>Q_BS!CP65</f>
        <v>0</v>
      </c>
      <c r="CQ129" s="307">
        <f>Q_BS!CQ65</f>
        <v>0</v>
      </c>
      <c r="CR129" s="307">
        <f>Q_BS!CR65</f>
        <v>0</v>
      </c>
      <c r="CS129" s="307">
        <f>Q_BS!CS65</f>
        <v>0</v>
      </c>
      <c r="CT129" s="307">
        <f>Q_BS!CT65</f>
        <v>0</v>
      </c>
      <c r="CU129" s="307">
        <f>Q_BS!CU65</f>
        <v>0</v>
      </c>
      <c r="CV129" s="307">
        <f>Q_BS!CV65</f>
        <v>0</v>
      </c>
      <c r="CW129" s="307">
        <f>Q_BS!CW65</f>
        <v>0</v>
      </c>
      <c r="CY129" s="254"/>
    </row>
    <row r="130" spans="1:103">
      <c r="A130" s="290" t="s">
        <v>1262</v>
      </c>
      <c r="B130" s="96">
        <f>+CF!J34</f>
        <v>0</v>
      </c>
      <c r="C130" s="96">
        <f>+CF!K34</f>
        <v>0</v>
      </c>
      <c r="D130" s="96">
        <f>+CF!L34</f>
        <v>0</v>
      </c>
      <c r="E130" s="96">
        <f>+CF!M34</f>
        <v>0</v>
      </c>
      <c r="F130" s="96">
        <f>+CF!N34</f>
        <v>0</v>
      </c>
      <c r="G130" s="96">
        <f>+CF!O34</f>
        <v>0</v>
      </c>
      <c r="H130" s="96">
        <f>+CF!P34</f>
        <v>0</v>
      </c>
      <c r="I130" s="96">
        <f>+CF!Q34</f>
        <v>0</v>
      </c>
      <c r="J130" s="96">
        <f>+CF!R34</f>
        <v>0</v>
      </c>
      <c r="K130" s="96">
        <f>+CF!S34</f>
        <v>0</v>
      </c>
      <c r="L130" s="96">
        <f>+CF!T34</f>
        <v>0</v>
      </c>
      <c r="M130" s="96">
        <f>+CF!U34</f>
        <v>0</v>
      </c>
      <c r="N130" s="96">
        <f>+CF!V34</f>
        <v>0</v>
      </c>
      <c r="O130" s="96">
        <f>+CF!W34</f>
        <v>0</v>
      </c>
      <c r="P130" s="96">
        <f>+CF!X34</f>
        <v>0</v>
      </c>
      <c r="Q130" s="96">
        <f>+CF!Y34</f>
        <v>0</v>
      </c>
      <c r="R130" s="96">
        <f>+CF!Z34</f>
        <v>0</v>
      </c>
      <c r="S130" s="96">
        <f>+CF!AA34</f>
        <v>0</v>
      </c>
      <c r="T130" s="96">
        <f>+CF!AB34</f>
        <v>0</v>
      </c>
      <c r="U130" s="96">
        <f>+CF!AC34</f>
        <v>0</v>
      </c>
      <c r="V130" s="96">
        <f>+CF!AD34</f>
        <v>0</v>
      </c>
      <c r="W130" s="96">
        <f>+CF!AE34</f>
        <v>0</v>
      </c>
      <c r="X130" s="96">
        <f>+CF!AF34</f>
        <v>0</v>
      </c>
      <c r="Y130" s="96">
        <f>+CF!AG34</f>
        <v>0</v>
      </c>
      <c r="Z130" s="96">
        <f>+CF!AH34</f>
        <v>0</v>
      </c>
      <c r="AA130" s="96">
        <f>+CF!AI34</f>
        <v>0</v>
      </c>
      <c r="AB130" s="96">
        <f>+CF!AJ34</f>
        <v>0</v>
      </c>
      <c r="AC130" s="96">
        <f>+CF!AK34</f>
        <v>0</v>
      </c>
      <c r="AD130" s="99">
        <f>+CF!AL34</f>
        <v>0</v>
      </c>
      <c r="AE130" s="99">
        <f>+CF!AM34</f>
        <v>0</v>
      </c>
      <c r="AF130" s="99">
        <f>+CF!AN34</f>
        <v>0</v>
      </c>
      <c r="AG130" s="99">
        <f>+CF!AO34</f>
        <v>0</v>
      </c>
      <c r="AH130" s="99">
        <f>+CF!AP34</f>
        <v>0</v>
      </c>
      <c r="AI130" s="99">
        <f>+CF!AQ34</f>
        <v>0</v>
      </c>
      <c r="AJ130" s="99">
        <f>+CF!AR34</f>
        <v>0</v>
      </c>
      <c r="AK130" s="99">
        <f>+CF!AS34</f>
        <v>0</v>
      </c>
      <c r="AL130" s="99">
        <f>+CF!AT34</f>
        <v>0</v>
      </c>
      <c r="AM130" s="99">
        <f>+CF!AU34</f>
        <v>0</v>
      </c>
      <c r="AN130" s="99">
        <f>+CF!AV34</f>
        <v>0</v>
      </c>
      <c r="AO130" s="99">
        <f>+CF!AW34</f>
        <v>0</v>
      </c>
      <c r="AP130" s="99">
        <f>+CF!AX34</f>
        <v>-932.37699999999995</v>
      </c>
      <c r="AQ130" s="99">
        <f>+CF!AY34</f>
        <v>-887.42399999999998</v>
      </c>
      <c r="AR130" s="99">
        <f>+CF!AZ34</f>
        <v>1819.8009999999999</v>
      </c>
      <c r="AS130" s="99">
        <f>+CF!BA34</f>
        <v>0</v>
      </c>
      <c r="AT130" s="99">
        <f>+CF!BB34</f>
        <v>-998.07</v>
      </c>
      <c r="AU130" s="99">
        <f>+CF!BC34</f>
        <v>51.157000000000039</v>
      </c>
      <c r="AV130" s="99">
        <f>+CF!BD34</f>
        <v>-2287.777</v>
      </c>
      <c r="AW130" s="99">
        <f>+CF!BE34</f>
        <v>-1075.3510000000001</v>
      </c>
      <c r="AX130" s="99">
        <f>+CF!BF34</f>
        <v>-1148.0239999999999</v>
      </c>
      <c r="AY130" s="99">
        <f>+CF!BG34</f>
        <v>-1113.9770000000003</v>
      </c>
      <c r="AZ130" s="99">
        <f>+CF!BH34</f>
        <v>-1085.4789999999998</v>
      </c>
      <c r="BA130" s="99">
        <f>+CF!BI34</f>
        <v>-2390.9750000000004</v>
      </c>
      <c r="BB130" s="99">
        <f>+CF!BJ34</f>
        <v>-1438.731</v>
      </c>
      <c r="BC130" s="99">
        <f>+CF!BK34</f>
        <v>-1373.4069999999999</v>
      </c>
      <c r="BD130" s="99">
        <f>+CF!BL34</f>
        <v>-615.59600000000023</v>
      </c>
      <c r="BE130" s="99">
        <f>+CF!BM34</f>
        <v>-960.93499999999949</v>
      </c>
      <c r="BF130" s="99">
        <f>+CF!BN34</f>
        <v>-1074.682</v>
      </c>
      <c r="BG130" s="99">
        <f>+CF!BO34</f>
        <v>-1044.5060000000001</v>
      </c>
      <c r="BH130" s="99">
        <f>+CF!BP34</f>
        <v>-1010.7379999999998</v>
      </c>
      <c r="BI130" s="99">
        <f>+CF!BQ34</f>
        <v>-2000.0740000000001</v>
      </c>
      <c r="BJ130" s="99">
        <f>+CF!BR34</f>
        <v>-935.12</v>
      </c>
      <c r="BK130" s="1173">
        <f>+CF!BS34</f>
        <v>-1054.4830000000002</v>
      </c>
      <c r="BL130" s="307">
        <f>-Q_BS!BL141</f>
        <v>-914.104737316708</v>
      </c>
      <c r="BM130" s="307">
        <f>-Q_BS!BM141</f>
        <v>-881.22409577424935</v>
      </c>
      <c r="BN130" s="307">
        <f>-Q_BS!BN141</f>
        <v>-861.34228700022527</v>
      </c>
      <c r="BO130" s="307">
        <f>-Q_BS!BO141</f>
        <v>-1022.5027689811968</v>
      </c>
      <c r="BP130" s="307">
        <f>-Q_BS!BP141</f>
        <v>-1029.3926420765174</v>
      </c>
      <c r="BQ130" s="307">
        <f>-Q_BS!BQ141</f>
        <v>-972.88623463274337</v>
      </c>
      <c r="BR130" s="307">
        <f>-Q_BS!BR141</f>
        <v>-960.85052080748255</v>
      </c>
      <c r="BS130" s="307">
        <f>-Q_BS!BS141</f>
        <v>-1074.4298454323728</v>
      </c>
      <c r="BT130" s="307">
        <f>-Q_BS!BT141</f>
        <v>-1078.0579028048767</v>
      </c>
      <c r="BU130" s="307">
        <f>-Q_BS!BU141</f>
        <v>-1015.928203932724</v>
      </c>
      <c r="BV130" s="307">
        <f>-Q_BS!BV141</f>
        <v>-1000.9599389034196</v>
      </c>
      <c r="BW130" s="307">
        <f>-Q_BS!BW141</f>
        <v>-1114.5698110238093</v>
      </c>
      <c r="BX130" s="307">
        <f>-Q_BS!BX141</f>
        <v>-1116.2387286286976</v>
      </c>
      <c r="BY130" s="307">
        <f>-Q_BS!BY141</f>
        <v>-1052.217068633649</v>
      </c>
      <c r="BZ130" s="307">
        <f>-Q_BS!BZ141</f>
        <v>-1069.921012797615</v>
      </c>
      <c r="CA130" s="307">
        <f>-Q_BS!CA141</f>
        <v>-1183.8386518730288</v>
      </c>
      <c r="CB130" s="307">
        <f>-Q_BS!CB141</f>
        <v>-1184.0293665215183</v>
      </c>
      <c r="CC130" s="307">
        <f>-Q_BS!CC141</f>
        <v>-1123.9111057560472</v>
      </c>
      <c r="CD130" s="307">
        <f>-Q_BS!CD141</f>
        <v>-1143.1101647327014</v>
      </c>
      <c r="CE130" s="307">
        <f>-Q_BS!CE141</f>
        <v>-1260.0373847042451</v>
      </c>
      <c r="CF130" s="307">
        <f>-Q_BS!CF141</f>
        <v>-1257.6906387617591</v>
      </c>
      <c r="CG130" s="307">
        <f>-Q_BS!CG141</f>
        <v>-1194.7993783668076</v>
      </c>
      <c r="CH130" s="307">
        <f>-Q_BS!CH141</f>
        <v>-1219.6829474458564</v>
      </c>
      <c r="CI130" s="307">
        <f>-Q_BS!CI141</f>
        <v>-1339.0329448326243</v>
      </c>
      <c r="CJ130" s="307">
        <f>-Q_BS!CJ141</f>
        <v>-1333.3880418968529</v>
      </c>
      <c r="CK130" s="307">
        <f>-Q_BS!CK141</f>
        <v>-1266.8134567373315</v>
      </c>
      <c r="CL130" s="307">
        <f>-Q_BS!CL141</f>
        <v>-1298.3452994379836</v>
      </c>
      <c r="CM130" s="307">
        <f>-Q_BS!CM141</f>
        <v>-1421.115696353814</v>
      </c>
      <c r="CN130" s="307">
        <f>-Q_BS!CN141</f>
        <v>-1412.4970066558826</v>
      </c>
      <c r="CO130" s="307">
        <f>-Q_BS!CO141</f>
        <v>-1342.5026608088049</v>
      </c>
      <c r="CP130" s="307">
        <f>-Q_BS!CP141</f>
        <v>-1381.3082888762813</v>
      </c>
      <c r="CQ130" s="307">
        <f>-Q_BS!CQ141</f>
        <v>-1507.3790773161722</v>
      </c>
      <c r="CR130" s="307">
        <f>-Q_BS!CR141</f>
        <v>-1495.6082420956077</v>
      </c>
      <c r="CS130" s="307">
        <f>-Q_BS!CS141</f>
        <v>-1421.9479752461718</v>
      </c>
      <c r="CT130" s="307">
        <f>-Q_BS!CT141</f>
        <v>-1468.7029150303838</v>
      </c>
      <c r="CU130" s="307">
        <f>-Q_BS!CU141</f>
        <v>-1598.2461599106553</v>
      </c>
      <c r="CV130" s="307">
        <f>-Q_BS!CV141</f>
        <v>-1583.0571434228395</v>
      </c>
      <c r="CW130" s="307">
        <f>-Q_BS!CW141</f>
        <v>-1504.0767167479546</v>
      </c>
      <c r="CY130" s="254"/>
    </row>
    <row r="131" spans="1:103">
      <c r="A131" s="290" t="s">
        <v>331</v>
      </c>
      <c r="B131" s="96">
        <f>CF!J35+CF!J32</f>
        <v>-0.84299999999999997</v>
      </c>
      <c r="C131" s="96">
        <f>CF!K35+CF!K32</f>
        <v>1.623</v>
      </c>
      <c r="D131" s="96">
        <f>CF!L35+CF!L32</f>
        <v>0.53699999999999992</v>
      </c>
      <c r="E131" s="96">
        <f>CF!M35+CF!M32</f>
        <v>-20.059999999999999</v>
      </c>
      <c r="F131" s="96">
        <f>CF!N35+CF!N32</f>
        <v>7.8140000000000001</v>
      </c>
      <c r="G131" s="96">
        <f>CF!O35+CF!O32</f>
        <v>4.9380000000000006</v>
      </c>
      <c r="H131" s="96">
        <f>CF!P35+CF!P32</f>
        <v>2.1719999999999988</v>
      </c>
      <c r="I131" s="96">
        <f>CF!Q35+CF!Q32</f>
        <v>-0.82399999999999984</v>
      </c>
      <c r="J131" s="96">
        <f>CF!R35+CF!R32</f>
        <v>-1.4059999999999999</v>
      </c>
      <c r="K131" s="96">
        <f>CF!S35+CF!S32</f>
        <v>-1.123</v>
      </c>
      <c r="L131" s="96">
        <f>CF!T35+CF!T32</f>
        <v>3.6289999999999996</v>
      </c>
      <c r="M131" s="96">
        <f>CF!U35+CF!U32</f>
        <v>25.415000000000003</v>
      </c>
      <c r="N131" s="96">
        <f>CF!V35+CF!V32</f>
        <v>-23.465</v>
      </c>
      <c r="O131" s="96">
        <f>CF!W35+CF!W32</f>
        <v>-25.922999999999998</v>
      </c>
      <c r="P131" s="96">
        <f>CF!X35+CF!X32</f>
        <v>-4.4740000000000038</v>
      </c>
      <c r="Q131" s="96">
        <f>CF!Y35+CF!Y32</f>
        <v>1099.702</v>
      </c>
      <c r="R131" s="96">
        <f>CF!Z35+CF!Z32</f>
        <v>-7.8029999999999999</v>
      </c>
      <c r="S131" s="96">
        <f>CF!AA35+CF!AA32</f>
        <v>224.614</v>
      </c>
      <c r="T131" s="96">
        <f>CF!AB35+CF!AB32</f>
        <v>-650.14</v>
      </c>
      <c r="U131" s="96">
        <f>CF!AC35+CF!AC32</f>
        <v>-54.553000000000026</v>
      </c>
      <c r="V131" s="96">
        <f>CF!AD35+CF!AD32</f>
        <v>0</v>
      </c>
      <c r="W131" s="96">
        <f>CF!AE35+CF!AE32</f>
        <v>0</v>
      </c>
      <c r="X131" s="96">
        <f>CF!AF35+CF!AF32</f>
        <v>0</v>
      </c>
      <c r="Y131" s="96">
        <f>CF!AG35+CF!AG32</f>
        <v>-7.242</v>
      </c>
      <c r="Z131" s="96">
        <f>CF!AH35+CF!AH32</f>
        <v>0</v>
      </c>
      <c r="AA131" s="96">
        <f>CF!AI35+CF!AI32</f>
        <v>0</v>
      </c>
      <c r="AB131" s="96">
        <f>CF!AJ35+CF!AJ32</f>
        <v>-27.265000000000001</v>
      </c>
      <c r="AC131" s="96">
        <f>CF!AK35+CF!AK32</f>
        <v>0</v>
      </c>
      <c r="AD131" s="99">
        <f>CF!AL35+CF!AL32</f>
        <v>0</v>
      </c>
      <c r="AE131" s="99">
        <f>CF!AM35+CF!AM32</f>
        <v>0</v>
      </c>
      <c r="AF131" s="99">
        <f>CF!AN35+CF!AN32</f>
        <v>0</v>
      </c>
      <c r="AG131" s="99">
        <f>CF!AO35+CF!AO32</f>
        <v>0</v>
      </c>
      <c r="AH131" s="99">
        <f>CF!AP35+CF!AP32</f>
        <v>0</v>
      </c>
      <c r="AI131" s="99">
        <f>CF!AQ35+CF!AQ32</f>
        <v>0</v>
      </c>
      <c r="AJ131" s="99">
        <f>CF!AR35+CF!AR32</f>
        <v>0</v>
      </c>
      <c r="AK131" s="99">
        <f>CF!AS35+CF!AS32</f>
        <v>0</v>
      </c>
      <c r="AL131" s="99">
        <f>CF!AT35+CF!AT32</f>
        <v>0</v>
      </c>
      <c r="AM131" s="99">
        <f>CF!AU35+CF!AU32</f>
        <v>0</v>
      </c>
      <c r="AN131" s="99">
        <f>CF!AV35+CF!AV32</f>
        <v>0</v>
      </c>
      <c r="AO131" s="99">
        <f>CF!AW35+CF!AW32</f>
        <v>1690.05</v>
      </c>
      <c r="AP131" s="99">
        <f>CF!AX35+CF!AX32</f>
        <v>0</v>
      </c>
      <c r="AQ131" s="99">
        <f>CF!AY35+CF!AY32</f>
        <v>0</v>
      </c>
      <c r="AR131" s="99">
        <f>CF!AZ35+CF!AZ32</f>
        <v>0</v>
      </c>
      <c r="AS131" s="99">
        <f>CF!BA35+CF!BA32</f>
        <v>-75.242999999999995</v>
      </c>
      <c r="AT131" s="99">
        <f>CF!BB35+CF!BB32</f>
        <v>90.453999999999994</v>
      </c>
      <c r="AU131" s="99">
        <f>CF!BC35+CF!BC32</f>
        <v>-26.150999999999996</v>
      </c>
      <c r="AV131" s="99">
        <f>CF!BD35+CF!BD32</f>
        <v>4.4159999999999968</v>
      </c>
      <c r="AW131" s="99">
        <f>CF!BE35+CF!BE32</f>
        <v>-39.952999999999996</v>
      </c>
      <c r="AX131" s="99">
        <f>CF!BF35+CF!BF32</f>
        <v>-17.015000000000001</v>
      </c>
      <c r="AY131" s="99">
        <f>CF!BG35+CF!BG32</f>
        <v>-4.0869999999999997</v>
      </c>
      <c r="AZ131" s="99">
        <f>CF!BH35+CF!BH32</f>
        <v>-1737.9620000000002</v>
      </c>
      <c r="BA131" s="99">
        <f>CF!BI35+CF!BI32</f>
        <v>198.65400000000022</v>
      </c>
      <c r="BB131" s="99">
        <f>CF!BJ35+CF!BJ32</f>
        <v>4.5090000000000003</v>
      </c>
      <c r="BC131" s="99">
        <f>CF!BK35+CF!BK32</f>
        <v>-39.511000000000003</v>
      </c>
      <c r="BD131" s="99">
        <f>CF!BL35+CF!BL32</f>
        <v>-14.396999999999998</v>
      </c>
      <c r="BE131" s="99">
        <f>CF!BM35+CF!BM32</f>
        <v>15.372999999999998</v>
      </c>
      <c r="BF131" s="99">
        <f>CF!BN35+CF!BN32</f>
        <v>-11.577999999999999</v>
      </c>
      <c r="BG131" s="99">
        <f>CF!BO35+CF!BO32</f>
        <v>-46.927999999999997</v>
      </c>
      <c r="BH131" s="99">
        <f>CF!BP35+CF!BP32</f>
        <v>-26.231999999999999</v>
      </c>
      <c r="BI131" s="99">
        <f>CF!BQ35+CF!BQ32</f>
        <v>1054.2809999999997</v>
      </c>
      <c r="BJ131" s="99">
        <f>CF!BR35+CF!BR32-BJ121</f>
        <v>-2548.4609999999998</v>
      </c>
      <c r="BK131" s="99">
        <f>CF!BS35+CF!BS32-BK121</f>
        <v>0</v>
      </c>
      <c r="BL131" s="307">
        <f>Q_BS!BL66++BL90-BK90++(BK77-BL77)</f>
        <v>0</v>
      </c>
      <c r="BM131" s="2046">
        <f>Q_BS!BM66++BM90-BL90++(BL77-BM77)+Q_BS!BM107</f>
        <v>-1007.1600000000001</v>
      </c>
      <c r="BN131" s="2046">
        <f>Q_BS!BN66++BN90-BM90++(BM77-BN77)+Q_BS!BN107</f>
        <v>-824.56</v>
      </c>
      <c r="BO131" s="307">
        <f>Q_BS!BO66++BO90-BN90++(BN77-BO77)</f>
        <v>0</v>
      </c>
      <c r="BP131" s="307">
        <f>Q_BS!BP66++BP90-BO90++(BO77-BP77)</f>
        <v>0</v>
      </c>
      <c r="BQ131" s="307">
        <f>Q_BS!BQ66++BQ90-BP90++(BP77-BQ77)</f>
        <v>0</v>
      </c>
      <c r="BR131" s="307">
        <f>Q_BS!BR66++BR90-BQ90++(BQ77-BR77)</f>
        <v>0</v>
      </c>
      <c r="BS131" s="307">
        <f>Q_BS!BS66++BS90-BR90++(BR77-BS77)</f>
        <v>0</v>
      </c>
      <c r="BT131" s="307">
        <f>Q_BS!BT66++BT90-BS90++(BS77-BT77)</f>
        <v>0</v>
      </c>
      <c r="BU131" s="307">
        <f>Q_BS!BU66++BU90-BT90++(BT77-BU77)</f>
        <v>0</v>
      </c>
      <c r="BV131" s="307">
        <f>Q_BS!BV66++BV90-BU90++(BU77-BV77)</f>
        <v>0</v>
      </c>
      <c r="BW131" s="307">
        <f>Q_BS!BW66++BW90-BV90++(BV77-BW77)</f>
        <v>0</v>
      </c>
      <c r="BX131" s="307">
        <f>Q_BS!BX66++BX90-BW90++(BW77-BX77)</f>
        <v>0</v>
      </c>
      <c r="BY131" s="307">
        <f>Q_BS!BY66++BY90-BX90++(BX77-BY77)</f>
        <v>0</v>
      </c>
      <c r="BZ131" s="307">
        <f>Q_BS!BZ66++BZ90-BY90++(BY77-BZ77)</f>
        <v>0</v>
      </c>
      <c r="CA131" s="307">
        <f>Q_BS!CA66++CA90-BZ90++(BZ77-CA77)</f>
        <v>0</v>
      </c>
      <c r="CB131" s="307">
        <f>Q_BS!CB66++CB90-CA90++(CA77-CB77)</f>
        <v>0</v>
      </c>
      <c r="CC131" s="307">
        <f>Q_BS!CC66++CC90-CB90++(CB77-CC77)</f>
        <v>0</v>
      </c>
      <c r="CD131" s="307">
        <f>Q_BS!CD66++CD90-CC90++(CC77-CD77)</f>
        <v>0</v>
      </c>
      <c r="CE131" s="307">
        <f>Q_BS!CE66++CE90-CD90++(CD77-CE77)</f>
        <v>0</v>
      </c>
      <c r="CF131" s="307">
        <f>Q_BS!CF66++CF90-CE90++(CE77-CF77)</f>
        <v>0</v>
      </c>
      <c r="CG131" s="307">
        <f>Q_BS!CG66++CG90-CF90++(CF77-CG77)</f>
        <v>0</v>
      </c>
      <c r="CH131" s="307">
        <f>Q_BS!CH66++CH90-CG90++(CG77-CH77)</f>
        <v>0</v>
      </c>
      <c r="CI131" s="307">
        <f>Q_BS!CI66++CI90-CH90++(CH77-CI77)</f>
        <v>0</v>
      </c>
      <c r="CJ131" s="307">
        <f>Q_BS!CJ66++CJ90-CI90++(CI77-CJ77)</f>
        <v>0</v>
      </c>
      <c r="CK131" s="307">
        <f>Q_BS!CK66++CK90-CJ90++(CJ77-CK77)</f>
        <v>0</v>
      </c>
      <c r="CL131" s="307">
        <f>Q_BS!CL66++CL90-CK90++(CK77-CL77)</f>
        <v>0</v>
      </c>
      <c r="CM131" s="307">
        <f>Q_BS!CM66++CM90-CL90++(CL77-CM77)</f>
        <v>0</v>
      </c>
      <c r="CN131" s="307">
        <f>Q_BS!CN66++CN90-CM90++(CM77-CN77)</f>
        <v>0</v>
      </c>
      <c r="CO131" s="307">
        <f>Q_BS!CO66++CO90-CN90++(CN77-CO77)</f>
        <v>0</v>
      </c>
      <c r="CP131" s="307">
        <f>Q_BS!CP66++CP90-CO90++(CO77-CP77)</f>
        <v>0</v>
      </c>
      <c r="CQ131" s="307">
        <f>Q_BS!CQ66++CQ90-CP90++(CP77-CQ77)</f>
        <v>0</v>
      </c>
      <c r="CR131" s="307">
        <f>Q_BS!CR66++CR90-CQ90++(CQ77-CR77)</f>
        <v>0</v>
      </c>
      <c r="CS131" s="307">
        <f>Q_BS!CS66++CS90-CR90++(CR77-CS77)</f>
        <v>0</v>
      </c>
      <c r="CT131" s="307">
        <f>Q_BS!CT66++CT90-CS90++(CS77-CT77)</f>
        <v>0</v>
      </c>
      <c r="CU131" s="307">
        <f>Q_BS!CU66++CU90-CT90++(CT77-CU77)</f>
        <v>0</v>
      </c>
      <c r="CV131" s="307">
        <f>Q_BS!CV66++CV90-CU90++(CU77-CV77)</f>
        <v>0</v>
      </c>
      <c r="CW131" s="307">
        <f>Q_BS!CW66++CW90-CV90++(CV77-CW77)</f>
        <v>0</v>
      </c>
      <c r="CY131" s="254"/>
    </row>
    <row r="132" spans="1:103">
      <c r="A132" s="319" t="s">
        <v>22</v>
      </c>
      <c r="B132" s="464">
        <f t="shared" ref="B132:AB132" si="737">SUM(B126:B131)</f>
        <v>-54.789999999999992</v>
      </c>
      <c r="C132" s="464">
        <f t="shared" si="737"/>
        <v>-188.96299999999999</v>
      </c>
      <c r="D132" s="464">
        <f t="shared" si="737"/>
        <v>-281.52100000000002</v>
      </c>
      <c r="E132" s="464">
        <f t="shared" si="737"/>
        <v>-141.41400000000004</v>
      </c>
      <c r="F132" s="464">
        <f t="shared" si="737"/>
        <v>359.28699999999998</v>
      </c>
      <c r="G132" s="464">
        <f t="shared" si="737"/>
        <v>-307.59699999999998</v>
      </c>
      <c r="H132" s="464">
        <f t="shared" si="737"/>
        <v>-107.61400000000003</v>
      </c>
      <c r="I132" s="464">
        <f t="shared" si="737"/>
        <v>181.58199999999999</v>
      </c>
      <c r="J132" s="464">
        <f t="shared" si="737"/>
        <v>14.759999999999996</v>
      </c>
      <c r="K132" s="464">
        <f t="shared" si="737"/>
        <v>123.63000000000001</v>
      </c>
      <c r="L132" s="464">
        <f t="shared" si="737"/>
        <v>-20.248000000000005</v>
      </c>
      <c r="M132" s="464">
        <f t="shared" si="737"/>
        <v>2278.3740000000003</v>
      </c>
      <c r="N132" s="464">
        <f t="shared" si="737"/>
        <v>62.394999999999982</v>
      </c>
      <c r="O132" s="464">
        <f t="shared" si="737"/>
        <v>-335.005</v>
      </c>
      <c r="P132" s="464">
        <f t="shared" si="737"/>
        <v>-200.60299999999995</v>
      </c>
      <c r="Q132" s="464">
        <f t="shared" si="737"/>
        <v>46.006999999999834</v>
      </c>
      <c r="R132" s="464">
        <f t="shared" si="737"/>
        <v>-89.839999999999989</v>
      </c>
      <c r="S132" s="464">
        <f t="shared" si="737"/>
        <v>878.80200000000025</v>
      </c>
      <c r="T132" s="464">
        <f t="shared" si="737"/>
        <v>986.10099999999954</v>
      </c>
      <c r="U132" s="464">
        <f t="shared" si="737"/>
        <v>-32.616999999999862</v>
      </c>
      <c r="V132" s="464">
        <f t="shared" si="737"/>
        <v>75.688000000000002</v>
      </c>
      <c r="W132" s="464">
        <f t="shared" si="737"/>
        <v>8818.1579999999994</v>
      </c>
      <c r="X132" s="464">
        <f t="shared" si="737"/>
        <v>-73.98400000000062</v>
      </c>
      <c r="Y132" s="464">
        <f t="shared" si="737"/>
        <v>1974.2300000000002</v>
      </c>
      <c r="Z132" s="464">
        <f t="shared" si="737"/>
        <v>523.17099999999994</v>
      </c>
      <c r="AA132" s="464">
        <f t="shared" si="737"/>
        <v>238.41599999999994</v>
      </c>
      <c r="AB132" s="464">
        <f t="shared" si="737"/>
        <v>-192.43800000000005</v>
      </c>
      <c r="AC132" s="464">
        <f t="shared" ref="AC132:BH132" si="738">SUM(AC126:AC131)</f>
        <v>-146.85199999999992</v>
      </c>
      <c r="AD132" s="237">
        <f t="shared" si="738"/>
        <v>141.93900000000002</v>
      </c>
      <c r="AE132" s="237">
        <f t="shared" si="738"/>
        <v>81.163000000000011</v>
      </c>
      <c r="AF132" s="237">
        <f t="shared" si="738"/>
        <v>87.036999999999566</v>
      </c>
      <c r="AG132" s="237">
        <f t="shared" si="738"/>
        <v>1202.9970000000001</v>
      </c>
      <c r="AH132" s="237">
        <f t="shared" si="738"/>
        <v>227.34199999999996</v>
      </c>
      <c r="AI132" s="237">
        <f t="shared" si="738"/>
        <v>9.8410000000000082</v>
      </c>
      <c r="AJ132" s="237">
        <f t="shared" si="738"/>
        <v>346.33200000000011</v>
      </c>
      <c r="AK132" s="237">
        <f t="shared" si="738"/>
        <v>-1628.845</v>
      </c>
      <c r="AL132" s="237">
        <f t="shared" si="738"/>
        <v>1003.0119999999999</v>
      </c>
      <c r="AM132" s="237">
        <f t="shared" si="738"/>
        <v>196.00100000000009</v>
      </c>
      <c r="AN132" s="237">
        <f t="shared" si="738"/>
        <v>668.57799999999997</v>
      </c>
      <c r="AO132" s="237">
        <f t="shared" si="738"/>
        <v>10555.297999999999</v>
      </c>
      <c r="AP132" s="237">
        <f t="shared" si="738"/>
        <v>805.625</v>
      </c>
      <c r="AQ132" s="237">
        <f t="shared" si="738"/>
        <v>-1204.72</v>
      </c>
      <c r="AR132" s="237">
        <f t="shared" si="738"/>
        <v>2265.1890000000003</v>
      </c>
      <c r="AS132" s="237">
        <f t="shared" si="738"/>
        <v>-1309.1680000000001</v>
      </c>
      <c r="AT132" s="237">
        <f t="shared" si="738"/>
        <v>1008.8289999999998</v>
      </c>
      <c r="AU132" s="237">
        <f t="shared" si="738"/>
        <v>2945.1640000000002</v>
      </c>
      <c r="AV132" s="237">
        <f t="shared" si="738"/>
        <v>-1892.4799999999998</v>
      </c>
      <c r="AW132" s="237">
        <f t="shared" si="738"/>
        <v>-990.95900000000017</v>
      </c>
      <c r="AX132" s="237">
        <f t="shared" si="738"/>
        <v>-1172.9939999999999</v>
      </c>
      <c r="AY132" s="237">
        <f t="shared" si="738"/>
        <v>-1305.5270000000003</v>
      </c>
      <c r="AZ132" s="237">
        <f t="shared" si="738"/>
        <v>-2694.4749999999999</v>
      </c>
      <c r="BA132" s="237">
        <f t="shared" si="738"/>
        <v>-1850.606</v>
      </c>
      <c r="BB132" s="237">
        <f t="shared" si="738"/>
        <v>-2593.3530000000001</v>
      </c>
      <c r="BC132" s="237">
        <f t="shared" si="738"/>
        <v>-2260.9339999999997</v>
      </c>
      <c r="BD132" s="237">
        <f t="shared" si="738"/>
        <v>-1150.6711999999998</v>
      </c>
      <c r="BE132" s="237">
        <f t="shared" si="738"/>
        <v>-1299.6107999999999</v>
      </c>
      <c r="BF132" s="237">
        <f t="shared" si="738"/>
        <v>-1369.713</v>
      </c>
      <c r="BG132" s="237">
        <f t="shared" si="738"/>
        <v>-1054.8110000000001</v>
      </c>
      <c r="BH132" s="237">
        <f t="shared" si="738"/>
        <v>-292.54999999999984</v>
      </c>
      <c r="BI132" s="237">
        <f t="shared" ref="BI132:BJ132" si="739">SUM(BI126:BI131)</f>
        <v>-1225.2630000000001</v>
      </c>
      <c r="BJ132" s="237">
        <f t="shared" si="739"/>
        <v>-625.20499999999993</v>
      </c>
      <c r="BK132" s="1176">
        <f t="shared" ref="BK132" si="740">SUM(BK126:BK131)</f>
        <v>-2109.6800000000003</v>
      </c>
      <c r="BL132" s="419">
        <f t="shared" ref="BL132:CW132" si="741">SUM(BL126:BL131)</f>
        <v>-537.33137284116083</v>
      </c>
      <c r="BM132" s="419">
        <f t="shared" si="741"/>
        <v>-1734.0256436245643</v>
      </c>
      <c r="BN132" s="419">
        <f t="shared" si="741"/>
        <v>-731.81840333211301</v>
      </c>
      <c r="BO132" s="419">
        <f t="shared" si="741"/>
        <v>-161.06581846477366</v>
      </c>
      <c r="BP132" s="419">
        <f t="shared" si="741"/>
        <v>-329.3926420765174</v>
      </c>
      <c r="BQ132" s="419">
        <f t="shared" si="741"/>
        <v>170.79166500787608</v>
      </c>
      <c r="BR132" s="419">
        <f t="shared" si="741"/>
        <v>525.96859731068184</v>
      </c>
      <c r="BS132" s="419">
        <f t="shared" si="741"/>
        <v>-374.42984543237276</v>
      </c>
      <c r="BT132" s="419">
        <f t="shared" si="741"/>
        <v>-378.05790280487668</v>
      </c>
      <c r="BU132" s="419">
        <f t="shared" si="741"/>
        <v>-315.92820393272405</v>
      </c>
      <c r="BV132" s="419">
        <f t="shared" si="741"/>
        <v>-226.85736753111371</v>
      </c>
      <c r="BW132" s="419">
        <f t="shared" si="741"/>
        <v>-495.0264280243365</v>
      </c>
      <c r="BX132" s="419">
        <f t="shared" si="741"/>
        <v>-316.85817881762955</v>
      </c>
      <c r="BY132" s="419">
        <f t="shared" si="741"/>
        <v>-85.548338673049443</v>
      </c>
      <c r="BZ132" s="419">
        <f t="shared" si="741"/>
        <v>-989.70604147418817</v>
      </c>
      <c r="CA132" s="419">
        <f t="shared" si="741"/>
        <v>-1269.371780183774</v>
      </c>
      <c r="CB132" s="419">
        <f t="shared" si="741"/>
        <v>-1080.2411586679802</v>
      </c>
      <c r="CC132" s="419">
        <f t="shared" si="741"/>
        <v>-850.22889204373587</v>
      </c>
      <c r="CD132" s="419">
        <f t="shared" si="741"/>
        <v>-1062.1752684433311</v>
      </c>
      <c r="CE132" s="419">
        <f t="shared" si="741"/>
        <v>-1346.3381681480651</v>
      </c>
      <c r="CF132" s="419">
        <f t="shared" si="741"/>
        <v>-1152.9709374379727</v>
      </c>
      <c r="CG132" s="419">
        <f t="shared" si="741"/>
        <v>-918.66088180436509</v>
      </c>
      <c r="CH132" s="419">
        <f t="shared" si="741"/>
        <v>-1138.0216649034817</v>
      </c>
      <c r="CI132" s="419">
        <f t="shared" si="741"/>
        <v>-1426.1082730722173</v>
      </c>
      <c r="CJ132" s="419">
        <f t="shared" si="741"/>
        <v>-1227.7284870000337</v>
      </c>
      <c r="CK132" s="419">
        <f t="shared" si="741"/>
        <v>-988.1966323209665</v>
      </c>
      <c r="CL132" s="419">
        <f t="shared" si="741"/>
        <v>-1215.9511113658464</v>
      </c>
      <c r="CM132" s="419">
        <f t="shared" si="741"/>
        <v>-1508.9725208862119</v>
      </c>
      <c r="CN132" s="419">
        <f t="shared" si="741"/>
        <v>-1305.8891630517926</v>
      </c>
      <c r="CO132" s="419">
        <f t="shared" si="741"/>
        <v>-1061.38526568202</v>
      </c>
      <c r="CP132" s="419">
        <f t="shared" si="741"/>
        <v>-1298.1746174874693</v>
      </c>
      <c r="CQ132" s="419">
        <f t="shared" si="741"/>
        <v>-1596.0244120277227</v>
      </c>
      <c r="CR132" s="419">
        <f t="shared" si="741"/>
        <v>-888.04359894512834</v>
      </c>
      <c r="CS132" s="419">
        <f t="shared" si="741"/>
        <v>-635.0152805675998</v>
      </c>
      <c r="CT132" s="419">
        <f t="shared" si="741"/>
        <v>-1382.8822642527923</v>
      </c>
      <c r="CU132" s="419">
        <f t="shared" si="741"/>
        <v>-1539.7566175417451</v>
      </c>
      <c r="CV132" s="419">
        <f t="shared" si="741"/>
        <v>-1471.6403860557457</v>
      </c>
      <c r="CW132" s="419">
        <f t="shared" si="741"/>
        <v>-1210.2785538207809</v>
      </c>
      <c r="CY132" s="254"/>
    </row>
    <row r="133" spans="1:103">
      <c r="A133" s="319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99"/>
      <c r="BB133" s="99"/>
      <c r="BC133" s="99"/>
      <c r="BD133" s="99"/>
      <c r="BE133" s="99"/>
      <c r="BF133" s="99"/>
      <c r="BG133" s="99"/>
      <c r="BH133" s="99"/>
      <c r="BI133" s="99"/>
      <c r="BJ133" s="99"/>
      <c r="BK133" s="1173"/>
      <c r="BL133" s="307"/>
      <c r="BM133" s="307"/>
      <c r="BN133" s="307"/>
      <c r="BO133" s="307"/>
      <c r="BP133" s="307"/>
      <c r="BQ133" s="307"/>
      <c r="BR133" s="307"/>
      <c r="BS133" s="307"/>
      <c r="BT133" s="307"/>
      <c r="BU133" s="307"/>
      <c r="BV133" s="307"/>
      <c r="BW133" s="307"/>
      <c r="BX133" s="307"/>
      <c r="BY133" s="307"/>
      <c r="BZ133" s="307"/>
      <c r="CA133" s="307"/>
      <c r="CB133" s="307"/>
      <c r="CC133" s="307"/>
      <c r="CD133" s="307"/>
      <c r="CE133" s="307"/>
      <c r="CF133" s="307"/>
      <c r="CG133" s="307"/>
      <c r="CH133" s="307"/>
      <c r="CI133" s="307"/>
      <c r="CJ133" s="307"/>
      <c r="CK133" s="307"/>
      <c r="CL133" s="307"/>
      <c r="CM133" s="307"/>
      <c r="CN133" s="307"/>
      <c r="CO133" s="307"/>
      <c r="CP133" s="307"/>
      <c r="CQ133" s="307"/>
      <c r="CR133" s="307"/>
      <c r="CS133" s="307"/>
      <c r="CT133" s="307"/>
      <c r="CU133" s="307"/>
      <c r="CV133" s="307"/>
      <c r="CW133" s="307"/>
    </row>
    <row r="134" spans="1:103" s="13" customFormat="1">
      <c r="A134" s="319" t="s">
        <v>23</v>
      </c>
      <c r="B134" s="464">
        <f t="shared" ref="B134:AB134" si="742">B132+B123+B116</f>
        <v>-135.90699999999998</v>
      </c>
      <c r="C134" s="464">
        <f t="shared" si="742"/>
        <v>-334.47800000000001</v>
      </c>
      <c r="D134" s="464">
        <f t="shared" si="742"/>
        <v>293.995</v>
      </c>
      <c r="E134" s="464">
        <f t="shared" si="742"/>
        <v>-2.0410000000000537</v>
      </c>
      <c r="F134" s="464">
        <f t="shared" si="742"/>
        <v>199.13900000000001</v>
      </c>
      <c r="G134" s="464">
        <f t="shared" si="742"/>
        <v>-190.30400000000003</v>
      </c>
      <c r="H134" s="464">
        <f t="shared" si="742"/>
        <v>2.0489999999999213</v>
      </c>
      <c r="I134" s="464">
        <f t="shared" si="742"/>
        <v>145.41000000000003</v>
      </c>
      <c r="J134" s="464">
        <f t="shared" si="742"/>
        <v>-248.59400000000002</v>
      </c>
      <c r="K134" s="464">
        <f t="shared" si="742"/>
        <v>220.55099999999999</v>
      </c>
      <c r="L134" s="464">
        <f t="shared" si="742"/>
        <v>52.569000000000017</v>
      </c>
      <c r="M134" s="464">
        <f t="shared" si="742"/>
        <v>47.066000000000258</v>
      </c>
      <c r="N134" s="464">
        <f t="shared" si="742"/>
        <v>273.09100000000035</v>
      </c>
      <c r="O134" s="464">
        <f t="shared" si="742"/>
        <v>-216.57100000000003</v>
      </c>
      <c r="P134" s="464">
        <f t="shared" si="742"/>
        <v>17.967000000000098</v>
      </c>
      <c r="Q134" s="464">
        <f t="shared" si="742"/>
        <v>232.86199999999997</v>
      </c>
      <c r="R134" s="464">
        <f t="shared" si="742"/>
        <v>-11.535000000000053</v>
      </c>
      <c r="S134" s="464">
        <f t="shared" si="742"/>
        <v>-212.83699999999959</v>
      </c>
      <c r="T134" s="464">
        <f t="shared" si="742"/>
        <v>-31.142000000000337</v>
      </c>
      <c r="U134" s="464">
        <f t="shared" si="742"/>
        <v>150.67699999999996</v>
      </c>
      <c r="V134" s="464">
        <f t="shared" si="742"/>
        <v>-136.55799999999994</v>
      </c>
      <c r="W134" s="464">
        <f t="shared" si="742"/>
        <v>597.71999999999889</v>
      </c>
      <c r="X134" s="464">
        <f t="shared" si="742"/>
        <v>-630.37699999999995</v>
      </c>
      <c r="Y134" s="464">
        <f t="shared" si="742"/>
        <v>630.11900000000014</v>
      </c>
      <c r="Z134" s="464">
        <f t="shared" si="742"/>
        <v>-198.16199999999998</v>
      </c>
      <c r="AA134" s="464">
        <f t="shared" si="742"/>
        <v>-174.23900000000009</v>
      </c>
      <c r="AB134" s="464">
        <f t="shared" si="742"/>
        <v>-125.04799999999977</v>
      </c>
      <c r="AC134" s="464">
        <f t="shared" ref="AC134:BH134" si="743">AC132+AC123+AC116</f>
        <v>571.60999999999967</v>
      </c>
      <c r="AD134" s="237">
        <f t="shared" si="743"/>
        <v>-129.52500000000009</v>
      </c>
      <c r="AE134" s="237">
        <f t="shared" si="743"/>
        <v>-73.125000000000227</v>
      </c>
      <c r="AF134" s="237">
        <f t="shared" si="743"/>
        <v>-182.00099999999998</v>
      </c>
      <c r="AG134" s="237">
        <f t="shared" si="743"/>
        <v>1324.279</v>
      </c>
      <c r="AH134" s="237">
        <f t="shared" si="743"/>
        <v>-963.33500000000004</v>
      </c>
      <c r="AI134" s="237">
        <f t="shared" si="743"/>
        <v>-662.05899999999986</v>
      </c>
      <c r="AJ134" s="237">
        <f t="shared" si="743"/>
        <v>-307.9799999999999</v>
      </c>
      <c r="AK134" s="237">
        <f t="shared" si="743"/>
        <v>51.815999999999576</v>
      </c>
      <c r="AL134" s="237">
        <f t="shared" si="743"/>
        <v>260.77</v>
      </c>
      <c r="AM134" s="237">
        <f t="shared" si="743"/>
        <v>221.07500000000027</v>
      </c>
      <c r="AN134" s="237">
        <f t="shared" si="743"/>
        <v>234.90299999999979</v>
      </c>
      <c r="AO134" s="237">
        <f t="shared" si="743"/>
        <v>-573.01500000000124</v>
      </c>
      <c r="AP134" s="237">
        <f t="shared" si="743"/>
        <v>-331.09000000000003</v>
      </c>
      <c r="AQ134" s="237">
        <f t="shared" si="743"/>
        <v>40.12700000000018</v>
      </c>
      <c r="AR134" s="237">
        <f t="shared" si="743"/>
        <v>1081.5650000000005</v>
      </c>
      <c r="AS134" s="237">
        <f t="shared" si="743"/>
        <v>889.9099999999994</v>
      </c>
      <c r="AT134" s="237">
        <f t="shared" si="743"/>
        <v>1689.1210000000001</v>
      </c>
      <c r="AU134" s="237">
        <f t="shared" si="743"/>
        <v>1684.3259999999996</v>
      </c>
      <c r="AV134" s="237">
        <f t="shared" si="743"/>
        <v>-538.33399999999938</v>
      </c>
      <c r="AW134" s="237">
        <f t="shared" si="743"/>
        <v>-67.820000000000618</v>
      </c>
      <c r="AX134" s="237">
        <f t="shared" si="743"/>
        <v>-149.89699999999993</v>
      </c>
      <c r="AY134" s="237">
        <f t="shared" si="743"/>
        <v>139.73800000000006</v>
      </c>
      <c r="AZ134" s="237">
        <f t="shared" si="743"/>
        <v>-251.59900000000016</v>
      </c>
      <c r="BA134" s="237">
        <f t="shared" si="743"/>
        <v>2193.2830000000004</v>
      </c>
      <c r="BB134" s="237">
        <f t="shared" si="743"/>
        <v>-2385.174</v>
      </c>
      <c r="BC134" s="237">
        <f t="shared" si="743"/>
        <v>140.76500000000078</v>
      </c>
      <c r="BD134" s="237">
        <f t="shared" si="743"/>
        <v>302.94780000000083</v>
      </c>
      <c r="BE134" s="237">
        <f t="shared" si="743"/>
        <v>1385.3392000000003</v>
      </c>
      <c r="BF134" s="237">
        <f t="shared" si="743"/>
        <v>-363.06600000000026</v>
      </c>
      <c r="BG134" s="237">
        <f t="shared" si="743"/>
        <v>64.886999999999716</v>
      </c>
      <c r="BH134" s="237">
        <f t="shared" si="743"/>
        <v>81.895000000000437</v>
      </c>
      <c r="BI134" s="237">
        <f t="shared" ref="BI134" si="744">BI132+BI123+BI116</f>
        <v>2968.380000000001</v>
      </c>
      <c r="BJ134" s="237">
        <f>BJ132+BJ123+BJ116</f>
        <v>-273.66200000000026</v>
      </c>
      <c r="BK134" s="1176">
        <f t="shared" ref="BK134" si="745">BK132+BK123+BK116</f>
        <v>-2614.415</v>
      </c>
      <c r="BL134" s="419">
        <f t="shared" ref="BL134:CW134" si="746">BL132+BL123+BL116</f>
        <v>506.01745597390413</v>
      </c>
      <c r="BM134" s="419">
        <f t="shared" si="746"/>
        <v>490.84565332078682</v>
      </c>
      <c r="BN134" s="419">
        <f t="shared" si="746"/>
        <v>-132.91794671984826</v>
      </c>
      <c r="BO134" s="419">
        <f t="shared" si="746"/>
        <v>464.7444219422066</v>
      </c>
      <c r="BP134" s="419">
        <f t="shared" si="746"/>
        <v>1942.8902046834182</v>
      </c>
      <c r="BQ134" s="419">
        <f t="shared" si="746"/>
        <v>2719.2509128245301</v>
      </c>
      <c r="BR134" s="419">
        <f t="shared" si="746"/>
        <v>1009.8002196269783</v>
      </c>
      <c r="BS134" s="419">
        <f t="shared" si="746"/>
        <v>503.7525760471658</v>
      </c>
      <c r="BT134" s="419">
        <f t="shared" si="746"/>
        <v>2192.0965467780979</v>
      </c>
      <c r="BU134" s="419">
        <f t="shared" si="746"/>
        <v>2941.070575144834</v>
      </c>
      <c r="BV134" s="419">
        <f t="shared" si="746"/>
        <v>815.78682740358408</v>
      </c>
      <c r="BW134" s="419">
        <f t="shared" si="746"/>
        <v>545.7603170383727</v>
      </c>
      <c r="BX134" s="419">
        <f t="shared" si="746"/>
        <v>2414.8609433711763</v>
      </c>
      <c r="BY134" s="419">
        <f t="shared" si="746"/>
        <v>3392.7624435733596</v>
      </c>
      <c r="BZ134" s="419">
        <f t="shared" si="746"/>
        <v>-115.58392256436127</v>
      </c>
      <c r="CA134" s="419">
        <f t="shared" si="746"/>
        <v>-517.72288608622603</v>
      </c>
      <c r="CB134" s="419">
        <f t="shared" si="746"/>
        <v>1479.2045512411833</v>
      </c>
      <c r="CC134" s="419">
        <f t="shared" si="746"/>
        <v>2689.3691309662008</v>
      </c>
      <c r="CD134" s="419">
        <f t="shared" si="746"/>
        <v>-302.15205717122672</v>
      </c>
      <c r="CE134" s="419">
        <f t="shared" si="746"/>
        <v>-533.59459834284917</v>
      </c>
      <c r="CF134" s="419">
        <f t="shared" si="746"/>
        <v>1578.6364148860985</v>
      </c>
      <c r="CG134" s="419">
        <f t="shared" si="746"/>
        <v>2860.7970394406011</v>
      </c>
      <c r="CH134" s="419">
        <f t="shared" si="746"/>
        <v>-268.50432652780091</v>
      </c>
      <c r="CI134" s="419">
        <f t="shared" si="746"/>
        <v>-507.47967714263814</v>
      </c>
      <c r="CJ134" s="419">
        <f t="shared" si="746"/>
        <v>1723.5997962840229</v>
      </c>
      <c r="CK134" s="419">
        <f t="shared" si="746"/>
        <v>3117.9800592795491</v>
      </c>
      <c r="CL134" s="419">
        <f t="shared" si="746"/>
        <v>-277.00146860958012</v>
      </c>
      <c r="CM134" s="419">
        <f t="shared" si="746"/>
        <v>-519.71635214981552</v>
      </c>
      <c r="CN134" s="419">
        <f t="shared" si="746"/>
        <v>1833.0902724874159</v>
      </c>
      <c r="CO134" s="419">
        <f t="shared" si="746"/>
        <v>3303.4854693940747</v>
      </c>
      <c r="CP134" s="419">
        <f t="shared" si="746"/>
        <v>-283.02989083943066</v>
      </c>
      <c r="CQ134" s="419">
        <f t="shared" si="746"/>
        <v>-532.15723367314422</v>
      </c>
      <c r="CR134" s="419">
        <f t="shared" si="746"/>
        <v>2448.4904579801987</v>
      </c>
      <c r="CS134" s="419">
        <f t="shared" si="746"/>
        <v>3999.369881647081</v>
      </c>
      <c r="CT134" s="419">
        <f t="shared" si="746"/>
        <v>-289.6078733944305</v>
      </c>
      <c r="CU134" s="419">
        <f t="shared" si="746"/>
        <v>-397.00884897042852</v>
      </c>
      <c r="CV134" s="419">
        <f t="shared" si="746"/>
        <v>2069.2380399879098</v>
      </c>
      <c r="CW134" s="419">
        <f t="shared" si="746"/>
        <v>3818.2016245212267</v>
      </c>
      <c r="CY134" s="254"/>
    </row>
    <row r="135" spans="1:103">
      <c r="A135" s="290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9"/>
      <c r="AI135" s="99"/>
      <c r="AJ135" s="99"/>
      <c r="AK135" s="99"/>
      <c r="AL135" s="99"/>
      <c r="AM135" s="99"/>
      <c r="AN135" s="99"/>
      <c r="AO135" s="99"/>
      <c r="AP135" s="99"/>
      <c r="AQ135" s="99"/>
      <c r="AR135" s="99"/>
      <c r="AS135" s="99"/>
      <c r="AT135" s="99"/>
      <c r="AU135" s="99"/>
      <c r="AV135" s="99"/>
      <c r="AW135" s="99"/>
      <c r="AX135" s="99"/>
      <c r="AY135" s="99"/>
      <c r="AZ135" s="99"/>
      <c r="BA135" s="99"/>
      <c r="BB135" s="99"/>
      <c r="BC135" s="99"/>
      <c r="BD135" s="99"/>
      <c r="BE135" s="99"/>
      <c r="BF135" s="99"/>
      <c r="BG135" s="99"/>
      <c r="BH135" s="99"/>
      <c r="BI135" s="99"/>
      <c r="BJ135" s="99"/>
      <c r="BK135" s="1173"/>
      <c r="BL135" s="307"/>
      <c r="BM135" s="307"/>
      <c r="BN135" s="307"/>
      <c r="BO135" s="307"/>
      <c r="BP135" s="307"/>
      <c r="BQ135" s="307"/>
      <c r="BR135" s="307"/>
      <c r="BS135" s="307"/>
      <c r="BT135" s="307"/>
      <c r="BU135" s="307"/>
      <c r="BV135" s="307"/>
      <c r="BW135" s="307"/>
      <c r="BX135" s="307"/>
      <c r="BY135" s="307"/>
      <c r="BZ135" s="307"/>
      <c r="CA135" s="307"/>
      <c r="CB135" s="307"/>
      <c r="CC135" s="307"/>
      <c r="CD135" s="307"/>
      <c r="CE135" s="307"/>
      <c r="CF135" s="307"/>
      <c r="CG135" s="307"/>
      <c r="CH135" s="307"/>
      <c r="CI135" s="307"/>
      <c r="CJ135" s="307"/>
      <c r="CK135" s="307"/>
      <c r="CL135" s="307"/>
      <c r="CM135" s="307"/>
      <c r="CN135" s="307"/>
      <c r="CO135" s="307"/>
      <c r="CP135" s="307"/>
      <c r="CQ135" s="307"/>
      <c r="CR135" s="307"/>
      <c r="CS135" s="307"/>
      <c r="CT135" s="307"/>
      <c r="CU135" s="307"/>
      <c r="CV135" s="307"/>
      <c r="CW135" s="307"/>
    </row>
    <row r="136" spans="1:103">
      <c r="A136" s="319" t="s">
        <v>2</v>
      </c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  <c r="AQ136" s="99"/>
      <c r="AR136" s="99"/>
      <c r="AS136" s="99"/>
      <c r="AT136" s="99"/>
      <c r="AU136" s="99"/>
      <c r="AV136" s="99"/>
      <c r="AW136" s="99"/>
      <c r="AX136" s="99"/>
      <c r="AY136" s="99"/>
      <c r="AZ136" s="99"/>
      <c r="BA136" s="99"/>
      <c r="BB136" s="99"/>
      <c r="BC136" s="99"/>
      <c r="BD136" s="99"/>
      <c r="BE136" s="99"/>
      <c r="BF136" s="99"/>
      <c r="BG136" s="99"/>
      <c r="BH136" s="99"/>
      <c r="BI136" s="99"/>
      <c r="BJ136" s="99"/>
      <c r="BK136" s="1173"/>
      <c r="BL136" s="307"/>
      <c r="BM136" s="307"/>
      <c r="BN136" s="307"/>
      <c r="BO136" s="307"/>
      <c r="BP136" s="307"/>
      <c r="BQ136" s="307"/>
      <c r="BR136" s="307"/>
      <c r="BS136" s="307"/>
      <c r="BT136" s="307"/>
      <c r="BU136" s="307"/>
      <c r="BV136" s="307"/>
      <c r="BW136" s="307"/>
      <c r="BX136" s="307"/>
      <c r="BY136" s="307"/>
      <c r="BZ136" s="307"/>
      <c r="CA136" s="307"/>
      <c r="CB136" s="307"/>
      <c r="CC136" s="307"/>
      <c r="CD136" s="307"/>
      <c r="CE136" s="307"/>
      <c r="CF136" s="307"/>
      <c r="CG136" s="307"/>
      <c r="CH136" s="307"/>
      <c r="CI136" s="307"/>
      <c r="CJ136" s="307"/>
      <c r="CK136" s="307"/>
      <c r="CL136" s="307"/>
      <c r="CM136" s="307"/>
      <c r="CN136" s="307"/>
      <c r="CO136" s="307"/>
      <c r="CP136" s="307"/>
      <c r="CQ136" s="307"/>
      <c r="CR136" s="307"/>
      <c r="CS136" s="307"/>
      <c r="CT136" s="307"/>
      <c r="CU136" s="307"/>
      <c r="CV136" s="307"/>
      <c r="CW136" s="307"/>
    </row>
    <row r="137" spans="1:103">
      <c r="A137" s="366" t="s">
        <v>24</v>
      </c>
      <c r="B137" s="99">
        <f>CF!J42</f>
        <v>538.48</v>
      </c>
      <c r="C137" s="99">
        <f t="shared" ref="C137:AC137" si="747">B68</f>
        <v>395.62900000000002</v>
      </c>
      <c r="D137" s="99">
        <f t="shared" si="747"/>
        <v>305.07299999999998</v>
      </c>
      <c r="E137" s="99">
        <f t="shared" si="747"/>
        <v>476.21</v>
      </c>
      <c r="F137" s="99">
        <f t="shared" si="747"/>
        <v>463.214</v>
      </c>
      <c r="G137" s="99">
        <f t="shared" si="747"/>
        <v>669.14</v>
      </c>
      <c r="H137" s="99">
        <f t="shared" si="747"/>
        <v>480.30399999999997</v>
      </c>
      <c r="I137" s="99">
        <f t="shared" si="747"/>
        <v>482.51799999999997</v>
      </c>
      <c r="J137" s="99">
        <f t="shared" si="747"/>
        <v>640.20299999999997</v>
      </c>
      <c r="K137" s="99">
        <f t="shared" si="747"/>
        <v>370.92599999999999</v>
      </c>
      <c r="L137" s="99">
        <f t="shared" si="747"/>
        <v>575.827</v>
      </c>
      <c r="M137" s="99">
        <f t="shared" si="747"/>
        <v>684.85199999999998</v>
      </c>
      <c r="N137" s="99">
        <f t="shared" si="747"/>
        <v>739.37900000000002</v>
      </c>
      <c r="O137" s="99">
        <f t="shared" si="747"/>
        <v>983.89700000000005</v>
      </c>
      <c r="P137" s="99">
        <f t="shared" si="747"/>
        <v>738.50099999999998</v>
      </c>
      <c r="Q137" s="99">
        <f t="shared" si="747"/>
        <v>718.36099999999999</v>
      </c>
      <c r="R137" s="99">
        <f t="shared" si="747"/>
        <v>932.59400000000005</v>
      </c>
      <c r="S137" s="99">
        <f t="shared" si="747"/>
        <v>849.21799999999996</v>
      </c>
      <c r="T137" s="99">
        <f t="shared" si="747"/>
        <v>641.95100000000002</v>
      </c>
      <c r="U137" s="99">
        <f t="shared" si="747"/>
        <v>581.05600000000004</v>
      </c>
      <c r="V137" s="99">
        <f t="shared" si="747"/>
        <v>663.27</v>
      </c>
      <c r="W137" s="99">
        <f t="shared" si="747"/>
        <v>530.78399999999999</v>
      </c>
      <c r="X137" s="99">
        <f t="shared" si="747"/>
        <v>1130.0150000000001</v>
      </c>
      <c r="Y137" s="99">
        <f t="shared" si="747"/>
        <v>499.95400000000001</v>
      </c>
      <c r="Z137" s="99">
        <f t="shared" si="747"/>
        <v>1112.8499999999999</v>
      </c>
      <c r="AA137" s="99">
        <f t="shared" si="747"/>
        <v>890.928</v>
      </c>
      <c r="AB137" s="99">
        <f t="shared" si="747"/>
        <v>752.43499999999995</v>
      </c>
      <c r="AC137" s="99">
        <f t="shared" si="747"/>
        <v>624.96699999999998</v>
      </c>
      <c r="AD137" s="99">
        <f t="shared" ref="AD137" si="748">AC68</f>
        <v>1195.8139999999999</v>
      </c>
      <c r="AE137" s="99">
        <f t="shared" ref="AE137" si="749">AD68</f>
        <v>1082.8710000000001</v>
      </c>
      <c r="AF137" s="99">
        <f t="shared" ref="AF137" si="750">AE68</f>
        <v>1157.0650000000001</v>
      </c>
      <c r="AG137" s="99">
        <f t="shared" ref="AG137" si="751">AF68</f>
        <v>1319.8440000000001</v>
      </c>
      <c r="AH137" s="99">
        <f t="shared" ref="AH137" si="752">AG68</f>
        <v>2547.8420000000001</v>
      </c>
      <c r="AI137" s="99">
        <f t="shared" ref="AI137" si="753">AH68</f>
        <v>1710.086</v>
      </c>
      <c r="AJ137" s="99">
        <f t="shared" ref="AJ137" si="754">AI68</f>
        <v>1255.6289999999999</v>
      </c>
      <c r="AK137" s="99">
        <f t="shared" ref="AK137" si="755">AJ68</f>
        <v>1020.539</v>
      </c>
      <c r="AL137" s="99">
        <f t="shared" ref="AL137" si="756">AK68</f>
        <v>1540.403</v>
      </c>
      <c r="AM137" s="99">
        <f t="shared" ref="AM137" si="757">AL68</f>
        <v>2064.4929999999999</v>
      </c>
      <c r="AN137" s="99">
        <f t="shared" ref="AN137" si="758">AM68</f>
        <v>2307.886</v>
      </c>
      <c r="AO137" s="99">
        <f t="shared" ref="AO137" si="759">AN68</f>
        <v>2474.4690000000001</v>
      </c>
      <c r="AP137" s="99">
        <f t="shared" ref="AP137" si="760">AO68</f>
        <v>1987.857</v>
      </c>
      <c r="AQ137" s="99">
        <f t="shared" ref="AQ137" si="761">AP68</f>
        <v>1722.913</v>
      </c>
      <c r="AR137" s="99">
        <f t="shared" ref="AR137" si="762">AQ68</f>
        <v>1852.7180000000001</v>
      </c>
      <c r="AS137" s="99">
        <f t="shared" ref="AS137" si="763">AR68</f>
        <v>1623.644</v>
      </c>
      <c r="AT137" s="99">
        <f t="shared" ref="AT137" si="764">AS68</f>
        <v>2625.3890000000001</v>
      </c>
      <c r="AU137" s="99">
        <f t="shared" ref="AU137" si="765">AT68</f>
        <v>3844.203</v>
      </c>
      <c r="AV137" s="99">
        <f t="shared" ref="AV137" si="766">AU68</f>
        <v>4329.4210000000003</v>
      </c>
      <c r="AW137" s="99">
        <f t="shared" ref="AW137" si="767">AV68</f>
        <v>4599.5140000000001</v>
      </c>
      <c r="AX137" s="99">
        <f t="shared" ref="AX137" si="768">AW68</f>
        <v>3932</v>
      </c>
      <c r="AY137" s="99">
        <f t="shared" ref="AY137" si="769">AX68</f>
        <v>3367.77</v>
      </c>
      <c r="AZ137" s="99">
        <f t="shared" ref="AZ137" si="770">AY68</f>
        <v>3830.3429999999998</v>
      </c>
      <c r="BA137" s="99">
        <f t="shared" ref="BA137" si="771">AZ68</f>
        <v>3585.1289999999999</v>
      </c>
      <c r="BB137" s="99">
        <f t="shared" ref="BB137" si="772">BA68</f>
        <v>6893.433</v>
      </c>
      <c r="BC137" s="99">
        <f t="shared" ref="BC137" si="773">BB68</f>
        <v>5070.4719999999998</v>
      </c>
      <c r="BD137" s="99">
        <f t="shared" ref="BD137" si="774">BC68</f>
        <v>5042.7520000000004</v>
      </c>
      <c r="BE137" s="99">
        <f t="shared" ref="BE137" si="775">BD68</f>
        <v>5128.1019999999999</v>
      </c>
      <c r="BF137" s="99">
        <f t="shared" ref="BF137" si="776">BE68</f>
        <v>6099.7089999999998</v>
      </c>
      <c r="BG137" s="99">
        <f t="shared" ref="BG137" si="777">BF68</f>
        <v>4468.9740000000002</v>
      </c>
      <c r="BH137" s="99">
        <f t="shared" ref="BH137" si="778">BG68</f>
        <v>4349.6880000000001</v>
      </c>
      <c r="BI137" s="99">
        <f t="shared" ref="BI137" si="779">BH68</f>
        <v>5151.4669999999996</v>
      </c>
      <c r="BJ137" s="99">
        <f>BI68</f>
        <v>6409.7979999999998</v>
      </c>
      <c r="BK137" s="1173">
        <f t="shared" ref="BK137" si="780">BJ68</f>
        <v>5443.558</v>
      </c>
      <c r="BL137" s="307">
        <f t="shared" ref="BL137:CW137" si="781">BK68</f>
        <v>4030.7370000000001</v>
      </c>
      <c r="BM137" s="307">
        <f t="shared" si="781"/>
        <v>4536.7544559739044</v>
      </c>
      <c r="BN137" s="307">
        <f t="shared" si="781"/>
        <v>5027.6001092946917</v>
      </c>
      <c r="BO137" s="307">
        <f t="shared" si="781"/>
        <v>4894.6821625748435</v>
      </c>
      <c r="BP137" s="307">
        <f t="shared" si="781"/>
        <v>5359.4265845170503</v>
      </c>
      <c r="BQ137" s="307">
        <f t="shared" si="781"/>
        <v>7302.3167892004685</v>
      </c>
      <c r="BR137" s="307">
        <f t="shared" si="781"/>
        <v>10021.567702024999</v>
      </c>
      <c r="BS137" s="307">
        <f t="shared" si="781"/>
        <v>11031.367921651978</v>
      </c>
      <c r="BT137" s="307">
        <f t="shared" si="781"/>
        <v>11535.120497699143</v>
      </c>
      <c r="BU137" s="307">
        <f t="shared" si="781"/>
        <v>13727.217044477242</v>
      </c>
      <c r="BV137" s="307">
        <f t="shared" si="781"/>
        <v>16668.287619622075</v>
      </c>
      <c r="BW137" s="307">
        <f t="shared" si="781"/>
        <v>17484.074447025658</v>
      </c>
      <c r="BX137" s="307">
        <f t="shared" si="781"/>
        <v>18029.834764064031</v>
      </c>
      <c r="BY137" s="307">
        <f t="shared" si="781"/>
        <v>20444.695707435207</v>
      </c>
      <c r="BZ137" s="307">
        <f t="shared" si="781"/>
        <v>23837.458151008566</v>
      </c>
      <c r="CA137" s="307">
        <f t="shared" si="781"/>
        <v>23721.874228444205</v>
      </c>
      <c r="CB137" s="307">
        <f t="shared" si="781"/>
        <v>23204.151342357978</v>
      </c>
      <c r="CC137" s="307">
        <f t="shared" si="781"/>
        <v>24683.35589359916</v>
      </c>
      <c r="CD137" s="307">
        <f t="shared" si="781"/>
        <v>27372.725024565363</v>
      </c>
      <c r="CE137" s="307">
        <f t="shared" si="781"/>
        <v>27070.572967394135</v>
      </c>
      <c r="CF137" s="307">
        <f t="shared" si="781"/>
        <v>26536.978369051285</v>
      </c>
      <c r="CG137" s="307">
        <f t="shared" si="781"/>
        <v>28115.614783937384</v>
      </c>
      <c r="CH137" s="307">
        <f t="shared" si="781"/>
        <v>30976.411823377985</v>
      </c>
      <c r="CI137" s="307">
        <f t="shared" si="781"/>
        <v>30707.907496850185</v>
      </c>
      <c r="CJ137" s="307">
        <f t="shared" si="781"/>
        <v>30200.427819707547</v>
      </c>
      <c r="CK137" s="307">
        <f t="shared" si="781"/>
        <v>31924.02761599157</v>
      </c>
      <c r="CL137" s="307">
        <f t="shared" si="781"/>
        <v>35042.007675271117</v>
      </c>
      <c r="CM137" s="307">
        <f t="shared" si="781"/>
        <v>34765.006206661536</v>
      </c>
      <c r="CN137" s="307">
        <f t="shared" si="781"/>
        <v>34245.28985451172</v>
      </c>
      <c r="CO137" s="307">
        <f t="shared" si="781"/>
        <v>36078.380126999138</v>
      </c>
      <c r="CP137" s="307">
        <f t="shared" si="781"/>
        <v>39381.865596393211</v>
      </c>
      <c r="CQ137" s="307">
        <f t="shared" si="781"/>
        <v>39098.835705553778</v>
      </c>
      <c r="CR137" s="307">
        <f t="shared" si="781"/>
        <v>38566.67847188063</v>
      </c>
      <c r="CS137" s="307">
        <f t="shared" si="781"/>
        <v>41015.168929860825</v>
      </c>
      <c r="CT137" s="307">
        <f t="shared" si="781"/>
        <v>45014.538811507904</v>
      </c>
      <c r="CU137" s="307">
        <f t="shared" si="781"/>
        <v>44724.930938113474</v>
      </c>
      <c r="CV137" s="307">
        <f t="shared" si="781"/>
        <v>44327.922089143045</v>
      </c>
      <c r="CW137" s="307">
        <f t="shared" si="781"/>
        <v>46397.160129130956</v>
      </c>
      <c r="CY137" s="254"/>
    </row>
    <row r="138" spans="1:103">
      <c r="A138" s="366" t="s">
        <v>763</v>
      </c>
      <c r="B138" s="99">
        <f>CF!J41+CF!J43</f>
        <v>-6.944</v>
      </c>
      <c r="C138" s="99">
        <f>CF!K41+CF!K43</f>
        <v>243.92200000000003</v>
      </c>
      <c r="D138" s="99">
        <f>CF!L41+CF!L43</f>
        <v>-122.858</v>
      </c>
      <c r="E138" s="99">
        <f>CF!M41+CF!M43</f>
        <v>-10.954999999999998</v>
      </c>
      <c r="F138" s="99">
        <f>CF!N41+CF!N43</f>
        <v>6.7869999999999999</v>
      </c>
      <c r="G138" s="99">
        <f>CF!O41+CF!O43</f>
        <v>1.4680000000000009</v>
      </c>
      <c r="H138" s="99">
        <f>CF!P41+CF!P43</f>
        <v>0.16499999999999915</v>
      </c>
      <c r="I138" s="99">
        <f>CF!Q41+CF!Q43</f>
        <v>12.275000000000002</v>
      </c>
      <c r="J138" s="99">
        <f>CF!R41+CF!R43</f>
        <v>-20.683</v>
      </c>
      <c r="K138" s="99">
        <f>CF!S41+CF!S43</f>
        <v>-15.649999999999999</v>
      </c>
      <c r="L138" s="99">
        <f>CF!T41+CF!T43</f>
        <v>56.455999999999996</v>
      </c>
      <c r="M138" s="99">
        <f>CF!U41+CF!U43</f>
        <v>7.4610000000000021</v>
      </c>
      <c r="N138" s="99">
        <f>CF!V41+CF!V43</f>
        <v>-28.574000000000002</v>
      </c>
      <c r="O138" s="99">
        <f>CF!W41+CF!W43</f>
        <v>-28.824000000000002</v>
      </c>
      <c r="P138" s="99">
        <f>CF!X41+CF!X43</f>
        <v>-38.106999999999999</v>
      </c>
      <c r="Q138" s="99">
        <f>CF!Y41+CF!Y43</f>
        <v>-18.630000000000006</v>
      </c>
      <c r="R138" s="99">
        <f>CF!Z41+CF!Z43</f>
        <v>-71.840999999999994</v>
      </c>
      <c r="S138" s="99">
        <f>CF!AA41+CF!AA43</f>
        <v>5.9339999999999975</v>
      </c>
      <c r="T138" s="99">
        <f>CF!AB41+CF!AB43</f>
        <v>-30.117000000000004</v>
      </c>
      <c r="U138" s="99">
        <f>CF!AC41+CF!AC43</f>
        <v>-68.463000000000008</v>
      </c>
      <c r="V138" s="99">
        <f>CF!AD41+CF!AD43</f>
        <v>4.0720000000000001</v>
      </c>
      <c r="W138" s="99">
        <f>CF!AE41+CF!AE43</f>
        <v>1.5110000000000001</v>
      </c>
      <c r="X138" s="99">
        <f>CF!AF41+CF!AF43</f>
        <v>0.3069999999999995</v>
      </c>
      <c r="Y138" s="99">
        <f>CF!AG41+CF!AG43</f>
        <v>-17.213999999999999</v>
      </c>
      <c r="Z138" s="99">
        <f>CF!AH41+CF!AH43</f>
        <v>-23.76</v>
      </c>
      <c r="AA138" s="99">
        <f>CF!AI41+CF!AI43</f>
        <v>35.746000000000002</v>
      </c>
      <c r="AB138" s="99">
        <f>CF!AJ41+CF!AJ43</f>
        <v>-2.4199999999999982</v>
      </c>
      <c r="AC138" s="99">
        <f>CF!AK41+CF!AK43</f>
        <v>-0.76300000000000168</v>
      </c>
      <c r="AD138" s="99">
        <f>CF!AL41+CF!AL43</f>
        <v>-30.437000000000001</v>
      </c>
      <c r="AE138" s="99">
        <f>CF!AM41+CF!AM43</f>
        <v>-20.295999999999996</v>
      </c>
      <c r="AF138" s="99">
        <f>CF!AN41+CF!AN43</f>
        <v>34.533000000000001</v>
      </c>
      <c r="AG138" s="99">
        <f>CF!AO41+CF!AO43</f>
        <v>-100.63200000000002</v>
      </c>
      <c r="AH138" s="99">
        <f>CF!AP41+CF!AP43</f>
        <v>-5.9119999999999999</v>
      </c>
      <c r="AI138" s="99">
        <f>CF!AQ41+CF!AQ43</f>
        <v>129.04300000000001</v>
      </c>
      <c r="AJ138" s="99">
        <f>CF!AR41+CF!AR43</f>
        <v>-78.033999999999992</v>
      </c>
      <c r="AK138" s="99">
        <f>CF!AS41+CF!AS43</f>
        <v>-6.4060000000000121</v>
      </c>
      <c r="AL138" s="99">
        <f>CF!AT41+CF!AT43</f>
        <v>113.607</v>
      </c>
      <c r="AM138" s="99">
        <f>CF!AU41+CF!AU43</f>
        <v>-176.88</v>
      </c>
      <c r="AN138" s="99">
        <f>CF!AV41+CF!AV43</f>
        <v>-244.297</v>
      </c>
      <c r="AO138" s="99">
        <f>CF!AW41+CF!AW43</f>
        <v>-87.004000000000019</v>
      </c>
      <c r="AP138" s="99">
        <f>CF!AX41+CF!AX43</f>
        <v>-6.7759999999999998</v>
      </c>
      <c r="AQ138" s="99">
        <f>CF!AY41+CF!AY43</f>
        <v>-41.933000000000007</v>
      </c>
      <c r="AR138" s="99">
        <f>CF!AZ41+CF!AZ43</f>
        <v>-1484.942</v>
      </c>
      <c r="AS138" s="99">
        <f>CF!BA41+CF!BA43</f>
        <v>-144.74699999999984</v>
      </c>
      <c r="AT138" s="99">
        <f>CF!BB41+CF!BB43</f>
        <v>-472.94400000000002</v>
      </c>
      <c r="AU138" s="99">
        <f>CF!BC41+CF!BC43</f>
        <v>-783.05</v>
      </c>
      <c r="AV138" s="99">
        <f>CF!BD41+CF!BD43</f>
        <v>1102.4079999999999</v>
      </c>
      <c r="AW138" s="99">
        <f>CF!BE41+CF!BE43</f>
        <v>-128.5979999999999</v>
      </c>
      <c r="AX138" s="99">
        <f>CF!BF41+CF!BF43</f>
        <v>-264.18700000000001</v>
      </c>
      <c r="AY138" s="99">
        <f>CF!BG41+CF!BG43</f>
        <v>309.13900000000001</v>
      </c>
      <c r="AZ138" s="99">
        <f>CF!BH41+CF!BH43</f>
        <v>-108.14300000000003</v>
      </c>
      <c r="BA138" s="99">
        <f>CF!BI41+CF!BI43</f>
        <v>877.74200000000008</v>
      </c>
      <c r="BB138" s="99">
        <f>CF!BJ41+CF!BJ43</f>
        <v>353.67200000000003</v>
      </c>
      <c r="BC138" s="99">
        <f>CF!BK41+CF!BK43</f>
        <v>-273.78100000000001</v>
      </c>
      <c r="BD138" s="99">
        <f>CF!BL41+CF!BL43</f>
        <v>-380.05100000000004</v>
      </c>
      <c r="BE138" s="99">
        <f>CF!BM41+CF!BM43</f>
        <v>-874.44299999999998</v>
      </c>
      <c r="BF138" s="99">
        <f>CF!BN41+CF!BN43</f>
        <v>-1615.3790000000001</v>
      </c>
      <c r="BG138" s="99">
        <f>CF!BO41+CF!BO43</f>
        <v>-441.19800000000009</v>
      </c>
      <c r="BH138" s="99">
        <f>CF!BP41+CF!BP43</f>
        <v>319.26800000000026</v>
      </c>
      <c r="BI138" s="99">
        <f>CF!BQ41+CF!BQ43</f>
        <v>-2162.5630000000001</v>
      </c>
      <c r="BJ138" s="99">
        <f>CF!BR41+CF!BR43</f>
        <v>-692.57800000000009</v>
      </c>
      <c r="BK138" s="1173">
        <f>CF!BS41+CF!BS43</f>
        <v>1201.5930000000001</v>
      </c>
      <c r="BL138" s="587">
        <v>0</v>
      </c>
      <c r="BM138" s="587">
        <v>0</v>
      </c>
      <c r="BN138" s="587">
        <v>0</v>
      </c>
      <c r="BO138" s="587">
        <v>0</v>
      </c>
      <c r="BP138" s="587">
        <v>0</v>
      </c>
      <c r="BQ138" s="587">
        <v>0</v>
      </c>
      <c r="BR138" s="587">
        <v>0</v>
      </c>
      <c r="BS138" s="587">
        <v>0</v>
      </c>
      <c r="BT138" s="587">
        <v>0</v>
      </c>
      <c r="BU138" s="587">
        <v>0</v>
      </c>
      <c r="BV138" s="587">
        <v>0</v>
      </c>
      <c r="BW138" s="587">
        <v>0</v>
      </c>
      <c r="BX138" s="587">
        <v>0</v>
      </c>
      <c r="BY138" s="587">
        <v>0</v>
      </c>
      <c r="BZ138" s="587">
        <v>0</v>
      </c>
      <c r="CA138" s="587">
        <v>0</v>
      </c>
      <c r="CB138" s="587">
        <v>0</v>
      </c>
      <c r="CC138" s="587">
        <v>0</v>
      </c>
      <c r="CD138" s="587">
        <v>0</v>
      </c>
      <c r="CE138" s="587">
        <v>0</v>
      </c>
      <c r="CF138" s="587">
        <v>0</v>
      </c>
      <c r="CG138" s="587">
        <v>0</v>
      </c>
      <c r="CH138" s="587">
        <v>0</v>
      </c>
      <c r="CI138" s="587">
        <v>0</v>
      </c>
      <c r="CJ138" s="587">
        <v>0</v>
      </c>
      <c r="CK138" s="587">
        <v>0</v>
      </c>
      <c r="CL138" s="587">
        <v>0</v>
      </c>
      <c r="CM138" s="587">
        <v>0</v>
      </c>
      <c r="CN138" s="587">
        <v>0</v>
      </c>
      <c r="CO138" s="587">
        <v>0</v>
      </c>
      <c r="CP138" s="587">
        <v>0</v>
      </c>
      <c r="CQ138" s="587">
        <v>0</v>
      </c>
      <c r="CR138" s="587">
        <v>0</v>
      </c>
      <c r="CS138" s="587">
        <v>0</v>
      </c>
      <c r="CT138" s="587">
        <v>0</v>
      </c>
      <c r="CU138" s="587">
        <v>0</v>
      </c>
      <c r="CV138" s="587">
        <v>0</v>
      </c>
      <c r="CW138" s="587">
        <v>0</v>
      </c>
      <c r="CY138" s="254"/>
    </row>
    <row r="139" spans="1:103">
      <c r="A139" s="366" t="s">
        <v>25</v>
      </c>
      <c r="B139" s="99">
        <f t="shared" ref="B139:Z139" si="782">B134+B137+B138</f>
        <v>395.62900000000002</v>
      </c>
      <c r="C139" s="99">
        <f t="shared" si="782"/>
        <v>305.07300000000004</v>
      </c>
      <c r="D139" s="99">
        <f t="shared" si="782"/>
        <v>476.21</v>
      </c>
      <c r="E139" s="99">
        <f t="shared" si="782"/>
        <v>463.21399999999994</v>
      </c>
      <c r="F139" s="99">
        <f t="shared" si="782"/>
        <v>669.1400000000001</v>
      </c>
      <c r="G139" s="99">
        <f t="shared" si="782"/>
        <v>480.30399999999997</v>
      </c>
      <c r="H139" s="99">
        <f t="shared" si="782"/>
        <v>482.51799999999992</v>
      </c>
      <c r="I139" s="99">
        <f t="shared" si="782"/>
        <v>640.20299999999997</v>
      </c>
      <c r="J139" s="99">
        <f t="shared" si="782"/>
        <v>370.92599999999993</v>
      </c>
      <c r="K139" s="99">
        <f t="shared" si="782"/>
        <v>575.827</v>
      </c>
      <c r="L139" s="99">
        <f t="shared" si="782"/>
        <v>684.85199999999998</v>
      </c>
      <c r="M139" s="99">
        <f t="shared" si="782"/>
        <v>739.37900000000025</v>
      </c>
      <c r="N139" s="99">
        <f t="shared" si="782"/>
        <v>983.89600000000041</v>
      </c>
      <c r="O139" s="99">
        <f t="shared" si="782"/>
        <v>738.50200000000007</v>
      </c>
      <c r="P139" s="99">
        <f t="shared" si="782"/>
        <v>718.3610000000001</v>
      </c>
      <c r="Q139" s="99">
        <f t="shared" si="782"/>
        <v>932.59299999999996</v>
      </c>
      <c r="R139" s="99">
        <f t="shared" si="782"/>
        <v>849.21799999999996</v>
      </c>
      <c r="S139" s="99">
        <f t="shared" si="782"/>
        <v>642.31500000000028</v>
      </c>
      <c r="T139" s="99">
        <f t="shared" si="782"/>
        <v>580.69199999999978</v>
      </c>
      <c r="U139" s="99">
        <f t="shared" si="782"/>
        <v>663.27</v>
      </c>
      <c r="V139" s="99">
        <f t="shared" si="782"/>
        <v>530.78399999999999</v>
      </c>
      <c r="W139" s="99">
        <f t="shared" si="782"/>
        <v>1130.014999999999</v>
      </c>
      <c r="X139" s="99">
        <f t="shared" si="782"/>
        <v>499.94500000000016</v>
      </c>
      <c r="Y139" s="99">
        <f t="shared" si="782"/>
        <v>1112.8590000000002</v>
      </c>
      <c r="Z139" s="99">
        <f t="shared" si="782"/>
        <v>890.92799999999988</v>
      </c>
      <c r="AA139" s="99">
        <f t="shared" ref="AA139:BH139" si="783">AA134+AA137+AA138</f>
        <v>752.43499999999983</v>
      </c>
      <c r="AB139" s="99">
        <f t="shared" si="783"/>
        <v>624.96700000000021</v>
      </c>
      <c r="AC139" s="99">
        <f t="shared" si="783"/>
        <v>1195.8139999999999</v>
      </c>
      <c r="AD139" s="99">
        <f t="shared" si="783"/>
        <v>1035.8519999999999</v>
      </c>
      <c r="AE139" s="99">
        <f t="shared" si="783"/>
        <v>989.44999999999982</v>
      </c>
      <c r="AF139" s="99">
        <f t="shared" si="783"/>
        <v>1009.5970000000001</v>
      </c>
      <c r="AG139" s="99">
        <f t="shared" si="783"/>
        <v>2543.491</v>
      </c>
      <c r="AH139" s="99">
        <f t="shared" si="783"/>
        <v>1578.595</v>
      </c>
      <c r="AI139" s="99">
        <f t="shared" si="783"/>
        <v>1177.0700000000002</v>
      </c>
      <c r="AJ139" s="99">
        <f t="shared" si="783"/>
        <v>869.61500000000001</v>
      </c>
      <c r="AK139" s="99">
        <f t="shared" si="783"/>
        <v>1065.9489999999996</v>
      </c>
      <c r="AL139" s="99">
        <f t="shared" si="783"/>
        <v>1914.78</v>
      </c>
      <c r="AM139" s="99">
        <f t="shared" si="783"/>
        <v>2108.6880000000001</v>
      </c>
      <c r="AN139" s="99">
        <f t="shared" si="783"/>
        <v>2298.4919999999997</v>
      </c>
      <c r="AO139" s="99">
        <f t="shared" si="783"/>
        <v>1814.4499999999989</v>
      </c>
      <c r="AP139" s="99">
        <f t="shared" si="783"/>
        <v>1649.9909999999998</v>
      </c>
      <c r="AQ139" s="99">
        <f t="shared" si="783"/>
        <v>1721.1070000000002</v>
      </c>
      <c r="AR139" s="99">
        <f t="shared" si="783"/>
        <v>1449.3410000000003</v>
      </c>
      <c r="AS139" s="99">
        <f t="shared" si="783"/>
        <v>2368.8069999999993</v>
      </c>
      <c r="AT139" s="99">
        <f t="shared" si="783"/>
        <v>3841.5660000000003</v>
      </c>
      <c r="AU139" s="99">
        <f t="shared" si="783"/>
        <v>4745.4789999999994</v>
      </c>
      <c r="AV139" s="99">
        <f t="shared" si="783"/>
        <v>4893.4950000000008</v>
      </c>
      <c r="AW139" s="99">
        <f t="shared" si="783"/>
        <v>4403.0959999999995</v>
      </c>
      <c r="AX139" s="99">
        <f t="shared" si="783"/>
        <v>3517.9160000000002</v>
      </c>
      <c r="AY139" s="99">
        <f t="shared" si="783"/>
        <v>3816.6469999999999</v>
      </c>
      <c r="AZ139" s="99">
        <f t="shared" si="783"/>
        <v>3470.6009999999997</v>
      </c>
      <c r="BA139" s="99">
        <f t="shared" si="783"/>
        <v>6656.1540000000005</v>
      </c>
      <c r="BB139" s="99">
        <f t="shared" si="783"/>
        <v>4861.9310000000005</v>
      </c>
      <c r="BC139" s="99">
        <f t="shared" si="783"/>
        <v>4937.456000000001</v>
      </c>
      <c r="BD139" s="99">
        <f t="shared" si="783"/>
        <v>4965.6488000000008</v>
      </c>
      <c r="BE139" s="99">
        <f t="shared" si="783"/>
        <v>5638.9982</v>
      </c>
      <c r="BF139" s="99">
        <f t="shared" si="783"/>
        <v>4121.2640000000001</v>
      </c>
      <c r="BG139" s="99">
        <f t="shared" si="783"/>
        <v>4092.6629999999996</v>
      </c>
      <c r="BH139" s="99">
        <f t="shared" si="783"/>
        <v>4750.8510000000006</v>
      </c>
      <c r="BI139" s="99">
        <f t="shared" ref="BI139:BJ139" si="784">BI134+BI137+BI138</f>
        <v>5957.2840000000006</v>
      </c>
      <c r="BJ139" s="99">
        <f t="shared" si="784"/>
        <v>5443.5579999999991</v>
      </c>
      <c r="BK139" s="1173">
        <f t="shared" ref="BK139" si="785">BK134+BK137+BK138</f>
        <v>4030.7359999999999</v>
      </c>
      <c r="BL139" s="307">
        <f t="shared" ref="BL139:CW139" si="786">BL134+BL137</f>
        <v>4536.7544559739044</v>
      </c>
      <c r="BM139" s="307">
        <f t="shared" si="786"/>
        <v>5027.6001092946917</v>
      </c>
      <c r="BN139" s="307">
        <f t="shared" si="786"/>
        <v>4894.6821625748435</v>
      </c>
      <c r="BO139" s="307">
        <f t="shared" si="786"/>
        <v>5359.4265845170503</v>
      </c>
      <c r="BP139" s="307">
        <f t="shared" si="786"/>
        <v>7302.3167892004685</v>
      </c>
      <c r="BQ139" s="307">
        <f t="shared" si="786"/>
        <v>10021.567702024999</v>
      </c>
      <c r="BR139" s="307">
        <f t="shared" si="786"/>
        <v>11031.367921651978</v>
      </c>
      <c r="BS139" s="307">
        <f t="shared" si="786"/>
        <v>11535.120497699143</v>
      </c>
      <c r="BT139" s="307">
        <f t="shared" si="786"/>
        <v>13727.217044477242</v>
      </c>
      <c r="BU139" s="307">
        <f t="shared" si="786"/>
        <v>16668.287619622075</v>
      </c>
      <c r="BV139" s="307">
        <f t="shared" si="786"/>
        <v>17484.074447025658</v>
      </c>
      <c r="BW139" s="307">
        <f t="shared" si="786"/>
        <v>18029.834764064031</v>
      </c>
      <c r="BX139" s="307">
        <f t="shared" si="786"/>
        <v>20444.695707435207</v>
      </c>
      <c r="BY139" s="307">
        <f t="shared" si="786"/>
        <v>23837.458151008566</v>
      </c>
      <c r="BZ139" s="307">
        <f t="shared" si="786"/>
        <v>23721.874228444205</v>
      </c>
      <c r="CA139" s="307">
        <f t="shared" si="786"/>
        <v>23204.151342357978</v>
      </c>
      <c r="CB139" s="307">
        <f t="shared" si="786"/>
        <v>24683.35589359916</v>
      </c>
      <c r="CC139" s="307">
        <f t="shared" si="786"/>
        <v>27372.725024565363</v>
      </c>
      <c r="CD139" s="307">
        <f t="shared" si="786"/>
        <v>27070.572967394135</v>
      </c>
      <c r="CE139" s="307">
        <f t="shared" si="786"/>
        <v>26536.978369051285</v>
      </c>
      <c r="CF139" s="307">
        <f t="shared" si="786"/>
        <v>28115.614783937384</v>
      </c>
      <c r="CG139" s="307">
        <f t="shared" si="786"/>
        <v>30976.411823377985</v>
      </c>
      <c r="CH139" s="307">
        <f t="shared" si="786"/>
        <v>30707.907496850185</v>
      </c>
      <c r="CI139" s="307">
        <f t="shared" si="786"/>
        <v>30200.427819707547</v>
      </c>
      <c r="CJ139" s="307">
        <f t="shared" si="786"/>
        <v>31924.02761599157</v>
      </c>
      <c r="CK139" s="307">
        <f t="shared" si="786"/>
        <v>35042.007675271117</v>
      </c>
      <c r="CL139" s="307">
        <f t="shared" si="786"/>
        <v>34765.006206661536</v>
      </c>
      <c r="CM139" s="307">
        <f t="shared" si="786"/>
        <v>34245.28985451172</v>
      </c>
      <c r="CN139" s="307">
        <f t="shared" si="786"/>
        <v>36078.380126999138</v>
      </c>
      <c r="CO139" s="307">
        <f t="shared" si="786"/>
        <v>39381.865596393211</v>
      </c>
      <c r="CP139" s="307">
        <f t="shared" si="786"/>
        <v>39098.835705553778</v>
      </c>
      <c r="CQ139" s="307">
        <f t="shared" si="786"/>
        <v>38566.67847188063</v>
      </c>
      <c r="CR139" s="307">
        <f t="shared" si="786"/>
        <v>41015.168929860825</v>
      </c>
      <c r="CS139" s="307">
        <f t="shared" si="786"/>
        <v>45014.538811507904</v>
      </c>
      <c r="CT139" s="307">
        <f t="shared" si="786"/>
        <v>44724.930938113474</v>
      </c>
      <c r="CU139" s="307">
        <f t="shared" si="786"/>
        <v>44327.922089143045</v>
      </c>
      <c r="CV139" s="307">
        <f t="shared" si="786"/>
        <v>46397.160129130956</v>
      </c>
      <c r="CW139" s="307">
        <f t="shared" si="786"/>
        <v>50215.361753652185</v>
      </c>
      <c r="CY139" s="254"/>
    </row>
    <row r="140" spans="1:103" s="13" customFormat="1">
      <c r="A140" s="319" t="s">
        <v>23</v>
      </c>
      <c r="B140" s="464">
        <f t="shared" ref="B140:Z140" si="787">B139-B137-B138</f>
        <v>-135.90700000000001</v>
      </c>
      <c r="C140" s="464">
        <f t="shared" si="787"/>
        <v>-334.47800000000001</v>
      </c>
      <c r="D140" s="464">
        <f t="shared" si="787"/>
        <v>293.995</v>
      </c>
      <c r="E140" s="464">
        <f t="shared" si="787"/>
        <v>-2.0410000000000394</v>
      </c>
      <c r="F140" s="464">
        <f t="shared" si="787"/>
        <v>199.1390000000001</v>
      </c>
      <c r="G140" s="464">
        <f t="shared" si="787"/>
        <v>-190.304</v>
      </c>
      <c r="H140" s="464">
        <f t="shared" si="787"/>
        <v>2.0489999999999426</v>
      </c>
      <c r="I140" s="464">
        <f t="shared" si="787"/>
        <v>145.41</v>
      </c>
      <c r="J140" s="464">
        <f t="shared" si="787"/>
        <v>-248.59400000000005</v>
      </c>
      <c r="K140" s="464">
        <f t="shared" si="787"/>
        <v>220.55100000000002</v>
      </c>
      <c r="L140" s="464">
        <f t="shared" si="787"/>
        <v>52.568999999999981</v>
      </c>
      <c r="M140" s="464">
        <f t="shared" si="787"/>
        <v>47.066000000000273</v>
      </c>
      <c r="N140" s="464">
        <f t="shared" si="787"/>
        <v>273.09100000000041</v>
      </c>
      <c r="O140" s="464">
        <f t="shared" si="787"/>
        <v>-216.57099999999997</v>
      </c>
      <c r="P140" s="464">
        <f t="shared" si="787"/>
        <v>17.967000000000127</v>
      </c>
      <c r="Q140" s="464">
        <f t="shared" si="787"/>
        <v>232.86199999999997</v>
      </c>
      <c r="R140" s="464">
        <f t="shared" si="787"/>
        <v>-11.535000000000096</v>
      </c>
      <c r="S140" s="464">
        <f t="shared" si="787"/>
        <v>-212.83699999999968</v>
      </c>
      <c r="T140" s="464">
        <f t="shared" si="787"/>
        <v>-31.142000000000237</v>
      </c>
      <c r="U140" s="464">
        <f t="shared" si="787"/>
        <v>150.67699999999996</v>
      </c>
      <c r="V140" s="464">
        <f t="shared" si="787"/>
        <v>-136.55799999999999</v>
      </c>
      <c r="W140" s="464">
        <f t="shared" si="787"/>
        <v>597.719999999999</v>
      </c>
      <c r="X140" s="464">
        <f t="shared" si="787"/>
        <v>-630.37699999999995</v>
      </c>
      <c r="Y140" s="464">
        <f t="shared" si="787"/>
        <v>630.11900000000014</v>
      </c>
      <c r="Z140" s="464">
        <f t="shared" si="787"/>
        <v>-198.16200000000003</v>
      </c>
      <c r="AA140" s="464">
        <f t="shared" ref="AA140:BH140" si="788">AA139-AA137-AA138</f>
        <v>-174.23900000000017</v>
      </c>
      <c r="AB140" s="237">
        <f t="shared" si="788"/>
        <v>-125.04799999999973</v>
      </c>
      <c r="AC140" s="237">
        <f t="shared" si="788"/>
        <v>571.6099999999999</v>
      </c>
      <c r="AD140" s="237">
        <f t="shared" si="788"/>
        <v>-129.52499999999998</v>
      </c>
      <c r="AE140" s="237">
        <f t="shared" si="788"/>
        <v>-73.125000000000284</v>
      </c>
      <c r="AF140" s="237">
        <f t="shared" si="788"/>
        <v>-182.00099999999998</v>
      </c>
      <c r="AG140" s="237">
        <f t="shared" si="788"/>
        <v>1324.279</v>
      </c>
      <c r="AH140" s="237">
        <f t="shared" si="788"/>
        <v>-963.33500000000004</v>
      </c>
      <c r="AI140" s="237">
        <f t="shared" si="788"/>
        <v>-662.05899999999986</v>
      </c>
      <c r="AJ140" s="237">
        <f t="shared" si="788"/>
        <v>-307.9799999999999</v>
      </c>
      <c r="AK140" s="237">
        <f t="shared" si="788"/>
        <v>51.81599999999964</v>
      </c>
      <c r="AL140" s="237">
        <f t="shared" si="788"/>
        <v>260.77</v>
      </c>
      <c r="AM140" s="237">
        <f t="shared" si="788"/>
        <v>221.07500000000016</v>
      </c>
      <c r="AN140" s="237">
        <f t="shared" si="788"/>
        <v>234.90299999999976</v>
      </c>
      <c r="AO140" s="237">
        <f t="shared" si="788"/>
        <v>-573.01500000000112</v>
      </c>
      <c r="AP140" s="237">
        <f t="shared" si="788"/>
        <v>-331.0900000000002</v>
      </c>
      <c r="AQ140" s="237">
        <f t="shared" si="788"/>
        <v>40.127000000000194</v>
      </c>
      <c r="AR140" s="237">
        <f t="shared" si="788"/>
        <v>1081.5650000000003</v>
      </c>
      <c r="AS140" s="237">
        <f t="shared" si="788"/>
        <v>889.90999999999917</v>
      </c>
      <c r="AT140" s="237">
        <f t="shared" si="788"/>
        <v>1689.1210000000001</v>
      </c>
      <c r="AU140" s="237">
        <f t="shared" si="788"/>
        <v>1684.3259999999993</v>
      </c>
      <c r="AV140" s="237">
        <f t="shared" si="788"/>
        <v>-538.33399999999938</v>
      </c>
      <c r="AW140" s="237">
        <f t="shared" si="788"/>
        <v>-67.820000000000675</v>
      </c>
      <c r="AX140" s="237">
        <f t="shared" si="788"/>
        <v>-149.89699999999982</v>
      </c>
      <c r="AY140" s="237">
        <f t="shared" si="788"/>
        <v>139.73799999999994</v>
      </c>
      <c r="AZ140" s="237">
        <f t="shared" si="788"/>
        <v>-251.59900000000016</v>
      </c>
      <c r="BA140" s="237">
        <f t="shared" si="788"/>
        <v>2193.2830000000004</v>
      </c>
      <c r="BB140" s="237">
        <f t="shared" si="788"/>
        <v>-2385.1739999999995</v>
      </c>
      <c r="BC140" s="237">
        <f t="shared" si="788"/>
        <v>140.76500000000129</v>
      </c>
      <c r="BD140" s="237">
        <f t="shared" si="788"/>
        <v>302.94780000000048</v>
      </c>
      <c r="BE140" s="237">
        <f t="shared" si="788"/>
        <v>1385.3392000000001</v>
      </c>
      <c r="BF140" s="237">
        <f t="shared" si="788"/>
        <v>-363.06599999999958</v>
      </c>
      <c r="BG140" s="237">
        <f t="shared" si="788"/>
        <v>64.886999999999489</v>
      </c>
      <c r="BH140" s="237">
        <f t="shared" si="788"/>
        <v>81.895000000000209</v>
      </c>
      <c r="BI140" s="237">
        <f t="shared" ref="BI140:BJ140" si="789">BI139-BI137-BI138</f>
        <v>2968.380000000001</v>
      </c>
      <c r="BJ140" s="237">
        <f t="shared" si="789"/>
        <v>-273.6620000000006</v>
      </c>
      <c r="BK140" s="1176">
        <f t="shared" ref="BK140" si="790">BK139-BK137-BK138</f>
        <v>-2614.415</v>
      </c>
      <c r="BL140" s="419">
        <f t="shared" ref="BL140:CW140" si="791">BL139-BL137</f>
        <v>506.01745597390436</v>
      </c>
      <c r="BM140" s="419">
        <f t="shared" si="791"/>
        <v>490.84565332078728</v>
      </c>
      <c r="BN140" s="419">
        <f t="shared" si="791"/>
        <v>-132.91794671984826</v>
      </c>
      <c r="BO140" s="419">
        <f t="shared" si="791"/>
        <v>464.74442194220683</v>
      </c>
      <c r="BP140" s="419">
        <f t="shared" si="791"/>
        <v>1942.8902046834182</v>
      </c>
      <c r="BQ140" s="419">
        <f t="shared" si="791"/>
        <v>2719.2509128245301</v>
      </c>
      <c r="BR140" s="419">
        <f t="shared" si="791"/>
        <v>1009.800219626979</v>
      </c>
      <c r="BS140" s="419">
        <f t="shared" si="791"/>
        <v>503.75257604716535</v>
      </c>
      <c r="BT140" s="419">
        <f t="shared" si="791"/>
        <v>2192.0965467780989</v>
      </c>
      <c r="BU140" s="419">
        <f t="shared" si="791"/>
        <v>2941.0705751448331</v>
      </c>
      <c r="BV140" s="419">
        <f t="shared" si="791"/>
        <v>815.78682740358272</v>
      </c>
      <c r="BW140" s="419">
        <f t="shared" si="791"/>
        <v>545.76031703837361</v>
      </c>
      <c r="BX140" s="419">
        <f t="shared" si="791"/>
        <v>2414.8609433711754</v>
      </c>
      <c r="BY140" s="419">
        <f t="shared" si="791"/>
        <v>3392.7624435733596</v>
      </c>
      <c r="BZ140" s="419">
        <f t="shared" si="791"/>
        <v>-115.58392256436127</v>
      </c>
      <c r="CA140" s="419">
        <f t="shared" si="791"/>
        <v>-517.72288608622694</v>
      </c>
      <c r="CB140" s="419">
        <f t="shared" si="791"/>
        <v>1479.2045512411823</v>
      </c>
      <c r="CC140" s="419">
        <f t="shared" si="791"/>
        <v>2689.3691309662026</v>
      </c>
      <c r="CD140" s="419">
        <f t="shared" si="791"/>
        <v>-302.15205717122808</v>
      </c>
      <c r="CE140" s="419">
        <f t="shared" si="791"/>
        <v>-533.59459834285008</v>
      </c>
      <c r="CF140" s="419">
        <f t="shared" si="791"/>
        <v>1578.6364148860994</v>
      </c>
      <c r="CG140" s="419">
        <f t="shared" si="791"/>
        <v>2860.7970394406002</v>
      </c>
      <c r="CH140" s="419">
        <f t="shared" si="791"/>
        <v>-268.5043265278</v>
      </c>
      <c r="CI140" s="419">
        <f t="shared" si="791"/>
        <v>-507.47967714263723</v>
      </c>
      <c r="CJ140" s="419">
        <f t="shared" si="791"/>
        <v>1723.5997962840229</v>
      </c>
      <c r="CK140" s="419">
        <f t="shared" si="791"/>
        <v>3117.9800592795473</v>
      </c>
      <c r="CL140" s="419">
        <f t="shared" si="791"/>
        <v>-277.00146860958193</v>
      </c>
      <c r="CM140" s="419">
        <f t="shared" si="791"/>
        <v>-519.71635214981507</v>
      </c>
      <c r="CN140" s="419">
        <f t="shared" si="791"/>
        <v>1833.0902724874177</v>
      </c>
      <c r="CO140" s="419">
        <f t="shared" si="791"/>
        <v>3303.4854693940724</v>
      </c>
      <c r="CP140" s="419">
        <f t="shared" si="791"/>
        <v>-283.02989083943248</v>
      </c>
      <c r="CQ140" s="419">
        <f t="shared" si="791"/>
        <v>-532.15723367314786</v>
      </c>
      <c r="CR140" s="419">
        <f t="shared" si="791"/>
        <v>2448.4904579801951</v>
      </c>
      <c r="CS140" s="419">
        <f t="shared" si="791"/>
        <v>3999.3698816470787</v>
      </c>
      <c r="CT140" s="419">
        <f t="shared" si="791"/>
        <v>-289.6078733944305</v>
      </c>
      <c r="CU140" s="419">
        <f t="shared" si="791"/>
        <v>-397.00884897042852</v>
      </c>
      <c r="CV140" s="419">
        <f t="shared" si="791"/>
        <v>2069.2380399879112</v>
      </c>
      <c r="CW140" s="419">
        <f t="shared" si="791"/>
        <v>3818.201624521229</v>
      </c>
      <c r="CY140" s="254"/>
    </row>
    <row r="141" spans="1:103">
      <c r="A141" s="627"/>
      <c r="B141" s="628"/>
      <c r="C141" s="628"/>
      <c r="D141" s="628"/>
      <c r="E141" s="628"/>
      <c r="F141" s="628"/>
      <c r="G141" s="628"/>
      <c r="H141" s="628"/>
      <c r="I141" s="628"/>
      <c r="J141" s="628"/>
      <c r="K141" s="628"/>
      <c r="L141" s="628"/>
      <c r="M141" s="628"/>
      <c r="N141" s="628"/>
      <c r="O141" s="628"/>
      <c r="P141" s="628"/>
      <c r="Q141" s="628"/>
      <c r="R141" s="628"/>
      <c r="S141" s="628"/>
      <c r="T141" s="628"/>
      <c r="U141" s="628"/>
      <c r="V141" s="628"/>
      <c r="W141" s="628"/>
      <c r="X141" s="628"/>
      <c r="Y141" s="628"/>
      <c r="Z141" s="628"/>
      <c r="AA141" s="628"/>
      <c r="AB141" s="628"/>
      <c r="AC141" s="628"/>
      <c r="AD141" s="628"/>
      <c r="AE141" s="628"/>
      <c r="AF141" s="628"/>
      <c r="AG141" s="628"/>
      <c r="AH141" s="628"/>
      <c r="AI141" s="628"/>
      <c r="AJ141" s="628"/>
      <c r="AK141" s="628"/>
      <c r="AL141" s="628"/>
      <c r="AM141" s="628"/>
      <c r="AN141" s="628"/>
      <c r="AO141" s="629"/>
      <c r="AP141" s="629"/>
      <c r="AQ141" s="629"/>
      <c r="AR141" s="629"/>
      <c r="AS141" s="629"/>
      <c r="AT141" s="629"/>
      <c r="AU141" s="629"/>
      <c r="AV141" s="629"/>
      <c r="AW141" s="629"/>
      <c r="AX141" s="629"/>
      <c r="AY141" s="629"/>
      <c r="AZ141" s="629"/>
      <c r="BA141" s="629"/>
      <c r="BB141" s="629"/>
      <c r="BC141" s="629"/>
      <c r="BD141" s="1858"/>
      <c r="BE141" s="1858"/>
      <c r="BF141" s="1858"/>
      <c r="BG141" s="1858"/>
      <c r="BH141" s="1858"/>
      <c r="BI141" s="1858"/>
      <c r="BJ141" s="1858"/>
      <c r="BK141" s="629"/>
      <c r="BL141" s="629"/>
      <c r="BM141" s="629"/>
      <c r="BN141" s="629"/>
      <c r="BO141" s="629"/>
      <c r="BP141" s="629"/>
      <c r="BQ141" s="629"/>
      <c r="BR141" s="629"/>
      <c r="BS141" s="629"/>
      <c r="BT141" s="629"/>
      <c r="BU141" s="629"/>
      <c r="BV141" s="629"/>
      <c r="BW141" s="629"/>
      <c r="BX141" s="629"/>
      <c r="BY141" s="629"/>
      <c r="BZ141" s="629"/>
      <c r="CA141" s="629"/>
      <c r="CB141" s="629"/>
      <c r="CC141" s="629"/>
      <c r="CD141" s="629"/>
      <c r="CE141" s="629"/>
      <c r="CF141" s="629"/>
      <c r="CG141" s="629"/>
      <c r="CH141" s="629"/>
      <c r="CI141" s="629"/>
      <c r="CJ141" s="629"/>
      <c r="CK141" s="629"/>
      <c r="CL141" s="629"/>
      <c r="CM141" s="629"/>
      <c r="CN141" s="629"/>
      <c r="CO141" s="629"/>
      <c r="CP141" s="629"/>
      <c r="CQ141" s="629"/>
      <c r="CR141" s="629"/>
      <c r="CS141" s="629"/>
      <c r="CT141" s="629"/>
      <c r="CU141" s="629"/>
      <c r="CV141" s="629"/>
      <c r="CW141" s="629"/>
    </row>
    <row r="142" spans="1:103">
      <c r="A142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142" s="4"/>
      <c r="C142" s="4"/>
      <c r="D142" s="4"/>
      <c r="E142" s="4"/>
      <c r="F142" s="4"/>
      <c r="G142" s="4"/>
      <c r="H142" s="12"/>
      <c r="I142" s="624"/>
      <c r="J142" s="4"/>
      <c r="K142" s="4"/>
      <c r="L142" s="12"/>
      <c r="M142" s="624"/>
      <c r="N142" s="4"/>
      <c r="O142" s="4"/>
      <c r="P142" s="625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961"/>
      <c r="AN142" s="961"/>
      <c r="AO142" s="1169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789"/>
      <c r="BG142" s="12"/>
      <c r="BH142" s="12"/>
      <c r="BI142" s="12"/>
      <c r="BJ142" s="12"/>
      <c r="BK142" s="1789"/>
      <c r="BL142" s="12"/>
      <c r="BM142" s="12"/>
      <c r="BN142" s="12"/>
      <c r="BO142" s="12"/>
      <c r="BP142" s="12"/>
      <c r="BQ142" s="626"/>
      <c r="BR142" s="626"/>
      <c r="BS142" s="626"/>
      <c r="BT142" s="626"/>
      <c r="BU142" s="626"/>
      <c r="BV142" s="626"/>
      <c r="BW142" s="626"/>
      <c r="BX142" s="626"/>
      <c r="BY142" s="626"/>
      <c r="BZ142" s="626"/>
      <c r="CA142" s="626"/>
      <c r="CB142" s="626"/>
      <c r="CC142" s="626"/>
      <c r="CD142" s="626"/>
      <c r="CE142" s="626"/>
      <c r="CF142" s="626"/>
      <c r="CG142" s="626"/>
      <c r="CH142" s="626"/>
      <c r="CI142" s="626"/>
      <c r="CJ142" s="626"/>
      <c r="CK142" s="626" t="s">
        <v>281</v>
      </c>
      <c r="CL142" s="626" t="s">
        <v>281</v>
      </c>
      <c r="CM142" s="626" t="s">
        <v>281</v>
      </c>
      <c r="CN142" s="626" t="s">
        <v>281</v>
      </c>
      <c r="CO142" s="626" t="s">
        <v>281</v>
      </c>
      <c r="CP142" s="626" t="s">
        <v>281</v>
      </c>
      <c r="CQ142" s="626" t="s">
        <v>281</v>
      </c>
      <c r="CR142" s="626" t="s">
        <v>281</v>
      </c>
      <c r="CS142" s="626" t="s">
        <v>281</v>
      </c>
      <c r="CT142" s="626" t="s">
        <v>281</v>
      </c>
      <c r="CU142" s="626" t="s">
        <v>281</v>
      </c>
      <c r="CV142" s="626" t="s">
        <v>281</v>
      </c>
      <c r="CW142" s="626" t="s">
        <v>281</v>
      </c>
      <c r="CY142" s="92"/>
    </row>
    <row r="143" spans="1:103">
      <c r="A143" s="290"/>
      <c r="B143" s="290"/>
      <c r="C143" s="290"/>
      <c r="D143" s="290"/>
      <c r="E143" s="290"/>
      <c r="F143" s="290"/>
      <c r="G143" s="290"/>
      <c r="H143" s="290"/>
      <c r="I143" s="96"/>
      <c r="J143" s="290"/>
      <c r="K143" s="290"/>
      <c r="L143" s="290"/>
      <c r="M143" s="96"/>
      <c r="N143" s="290"/>
      <c r="O143" s="290"/>
      <c r="P143" s="290"/>
      <c r="Q143" s="290"/>
      <c r="R143" s="290"/>
      <c r="S143" s="290"/>
      <c r="T143" s="290"/>
      <c r="U143" s="290"/>
      <c r="V143" s="290"/>
      <c r="W143" s="290"/>
      <c r="X143" s="290"/>
      <c r="Y143" s="290"/>
      <c r="Z143" s="290"/>
      <c r="AA143" s="290"/>
      <c r="AB143" s="290"/>
      <c r="AC143" s="290"/>
      <c r="AD143" s="290"/>
      <c r="AE143" s="290"/>
      <c r="AF143" s="290"/>
      <c r="AG143" s="290"/>
      <c r="AH143" s="290"/>
      <c r="AI143" s="290"/>
      <c r="AJ143" s="290"/>
      <c r="AK143" s="290"/>
      <c r="AL143" s="290"/>
      <c r="AM143" s="290"/>
      <c r="AN143" s="290"/>
      <c r="AO143" s="290"/>
      <c r="AP143" s="318"/>
      <c r="AQ143" s="318"/>
      <c r="AR143" s="318"/>
      <c r="AS143" s="318"/>
      <c r="AT143" s="318"/>
      <c r="AU143" s="318"/>
      <c r="AV143" s="318"/>
      <c r="AW143" s="318"/>
      <c r="AX143" s="318"/>
      <c r="AY143" s="318"/>
      <c r="AZ143" s="318"/>
      <c r="BA143" s="318"/>
      <c r="BB143" s="318"/>
      <c r="BC143" s="318"/>
      <c r="BD143" s="318"/>
      <c r="BE143" s="318"/>
      <c r="BF143" s="318"/>
      <c r="BG143" s="318"/>
      <c r="BH143" s="318"/>
      <c r="BI143" s="318"/>
      <c r="BJ143" s="318"/>
      <c r="BK143" s="318"/>
      <c r="BL143" s="318"/>
      <c r="BM143" s="318"/>
      <c r="BN143" s="318"/>
      <c r="BO143" s="318"/>
      <c r="BP143" s="318"/>
      <c r="BQ143" s="318"/>
      <c r="BR143" s="318"/>
      <c r="BS143" s="318"/>
      <c r="BT143" s="318"/>
      <c r="BU143" s="318"/>
      <c r="BV143" s="318"/>
      <c r="BW143" s="318"/>
      <c r="BX143" s="318"/>
      <c r="BY143" s="318"/>
      <c r="BZ143" s="318"/>
      <c r="CA143" s="318"/>
      <c r="CB143" s="318"/>
      <c r="CC143" s="318"/>
      <c r="CD143" s="318"/>
      <c r="CE143" s="318"/>
      <c r="CF143" s="318"/>
      <c r="CG143" s="318"/>
      <c r="CH143" s="318"/>
      <c r="CI143" s="318"/>
      <c r="CJ143" s="318"/>
      <c r="CK143" s="318"/>
      <c r="CL143" s="318"/>
      <c r="CM143" s="318"/>
      <c r="CN143" s="318"/>
      <c r="CO143" s="318"/>
      <c r="CP143" s="318"/>
      <c r="CQ143" s="318"/>
      <c r="CR143" s="318"/>
      <c r="CS143" s="318"/>
      <c r="CT143" s="318"/>
      <c r="CU143" s="318"/>
      <c r="CV143" s="318"/>
      <c r="CW143" s="318"/>
    </row>
    <row r="144" spans="1:103">
      <c r="A144" s="290"/>
      <c r="B144" s="290"/>
      <c r="C144" s="290"/>
      <c r="D144" s="290"/>
      <c r="E144" s="290"/>
      <c r="F144" s="290"/>
      <c r="G144" s="290"/>
      <c r="H144" s="290"/>
      <c r="I144" s="96"/>
      <c r="J144" s="290"/>
      <c r="K144" s="290"/>
      <c r="L144" s="290"/>
      <c r="M144" s="96"/>
      <c r="N144" s="290"/>
      <c r="O144" s="290"/>
      <c r="P144" s="290"/>
      <c r="Q144" s="290"/>
      <c r="R144" s="290"/>
      <c r="S144" s="290"/>
      <c r="T144" s="290"/>
      <c r="U144" s="290"/>
      <c r="V144" s="290"/>
      <c r="W144" s="290"/>
      <c r="X144" s="290"/>
      <c r="Y144" s="290"/>
      <c r="Z144" s="290"/>
      <c r="AA144" s="290"/>
      <c r="AB144" s="290"/>
      <c r="AC144" s="290"/>
      <c r="AD144" s="290"/>
      <c r="AE144" s="290"/>
      <c r="AF144" s="290"/>
      <c r="AG144" s="290"/>
      <c r="AH144" s="290"/>
      <c r="AI144" s="290"/>
      <c r="AJ144" s="290"/>
      <c r="AK144" s="290"/>
      <c r="AL144" s="290"/>
      <c r="AM144" s="290"/>
      <c r="AN144" s="290"/>
      <c r="AO144" s="290"/>
      <c r="AP144" s="318"/>
      <c r="AQ144" s="318"/>
      <c r="AR144" s="318"/>
      <c r="AS144" s="318"/>
      <c r="AT144" s="318"/>
      <c r="AU144" s="318"/>
      <c r="AV144" s="318"/>
      <c r="AW144" s="318"/>
      <c r="AX144" s="318"/>
      <c r="AY144" s="318"/>
      <c r="AZ144" s="318"/>
      <c r="BA144" s="318"/>
      <c r="BB144" s="318"/>
      <c r="BC144" s="318"/>
      <c r="BD144" s="318"/>
      <c r="BE144" s="318"/>
      <c r="BF144" s="318"/>
      <c r="BG144" s="318"/>
      <c r="BH144" s="318"/>
      <c r="BI144" s="318"/>
      <c r="BJ144" s="318"/>
      <c r="BK144" s="318"/>
      <c r="BL144" s="318"/>
      <c r="BM144" s="318"/>
      <c r="BN144" s="318"/>
      <c r="BO144" s="318"/>
      <c r="BP144" s="318"/>
      <c r="BQ144" s="318"/>
      <c r="BR144" s="318"/>
      <c r="BS144" s="318"/>
      <c r="BT144" s="318"/>
      <c r="BU144" s="318"/>
      <c r="BV144" s="318"/>
      <c r="BW144" s="318"/>
      <c r="BX144" s="318"/>
      <c r="BY144" s="318"/>
      <c r="BZ144" s="318"/>
      <c r="CA144" s="318"/>
      <c r="CB144" s="318"/>
      <c r="CC144" s="318"/>
      <c r="CD144" s="318"/>
      <c r="CE144" s="318"/>
      <c r="CF144" s="318"/>
      <c r="CG144" s="318"/>
      <c r="CH144" s="318"/>
      <c r="CI144" s="318"/>
      <c r="CJ144" s="318"/>
      <c r="CK144" s="318"/>
      <c r="CL144" s="318"/>
      <c r="CM144" s="318"/>
      <c r="CN144" s="318"/>
      <c r="CO144" s="318"/>
      <c r="CP144" s="318"/>
      <c r="CQ144" s="318"/>
      <c r="CR144" s="318"/>
      <c r="CS144" s="318"/>
      <c r="CT144" s="318"/>
      <c r="CU144" s="318"/>
      <c r="CV144" s="318"/>
      <c r="CW144" s="318"/>
    </row>
    <row r="145" spans="1:101">
      <c r="A145" s="290"/>
      <c r="B145" s="290"/>
      <c r="C145" s="290"/>
      <c r="D145" s="290"/>
      <c r="E145" s="290"/>
      <c r="F145" s="290"/>
      <c r="G145" s="290"/>
      <c r="H145" s="290"/>
      <c r="I145" s="96"/>
      <c r="J145" s="290"/>
      <c r="K145" s="290"/>
      <c r="L145" s="290"/>
      <c r="M145" s="96"/>
      <c r="N145" s="290"/>
      <c r="O145" s="290"/>
      <c r="P145" s="290"/>
      <c r="Q145" s="290"/>
      <c r="R145" s="290"/>
      <c r="S145" s="290"/>
      <c r="T145" s="290"/>
      <c r="U145" s="290"/>
      <c r="V145" s="290"/>
      <c r="W145" s="290"/>
      <c r="X145" s="290"/>
      <c r="Y145" s="290"/>
      <c r="Z145" s="290"/>
      <c r="AA145" s="290"/>
      <c r="AB145" s="290"/>
      <c r="AC145" s="290"/>
      <c r="AD145" s="290"/>
      <c r="AE145" s="290"/>
      <c r="AF145" s="290"/>
      <c r="AG145" s="290"/>
      <c r="AH145" s="290"/>
      <c r="AI145" s="290"/>
      <c r="AJ145" s="290"/>
      <c r="AK145" s="290"/>
      <c r="AL145" s="290"/>
      <c r="AM145" s="290"/>
      <c r="AN145" s="290"/>
      <c r="AO145" s="290"/>
      <c r="AP145" s="318"/>
      <c r="AQ145" s="318"/>
      <c r="AR145" s="318"/>
      <c r="AS145" s="318"/>
      <c r="AT145" s="318"/>
      <c r="AU145" s="318"/>
      <c r="AV145" s="318"/>
      <c r="AW145" s="318"/>
      <c r="AX145" s="318"/>
      <c r="AY145" s="318"/>
      <c r="AZ145" s="318"/>
      <c r="BA145" s="318"/>
      <c r="BB145" s="318"/>
      <c r="BC145" s="318"/>
      <c r="BD145" s="318"/>
      <c r="BE145" s="318"/>
      <c r="BF145" s="318"/>
      <c r="BG145" s="318"/>
      <c r="BH145" s="318"/>
      <c r="BI145" s="318"/>
      <c r="BJ145" s="318"/>
      <c r="BK145" s="318"/>
      <c r="BL145" s="318"/>
      <c r="BM145" s="318"/>
      <c r="BN145" s="318"/>
      <c r="BO145" s="318"/>
      <c r="BP145" s="318"/>
      <c r="BQ145" s="318"/>
      <c r="BR145" s="318"/>
      <c r="BS145" s="318"/>
      <c r="BT145" s="318"/>
      <c r="BU145" s="318"/>
      <c r="BV145" s="318"/>
      <c r="BW145" s="318"/>
      <c r="BX145" s="318"/>
      <c r="BY145" s="318"/>
      <c r="BZ145" s="318"/>
      <c r="CA145" s="318"/>
      <c r="CB145" s="318"/>
      <c r="CC145" s="318"/>
      <c r="CD145" s="318"/>
      <c r="CE145" s="318"/>
      <c r="CF145" s="318"/>
      <c r="CG145" s="318"/>
      <c r="CH145" s="318"/>
      <c r="CI145" s="318"/>
      <c r="CJ145" s="318"/>
      <c r="CK145" s="318"/>
      <c r="CL145" s="318"/>
      <c r="CM145" s="318"/>
      <c r="CN145" s="318"/>
      <c r="CO145" s="318"/>
      <c r="CP145" s="318"/>
      <c r="CQ145" s="318"/>
      <c r="CR145" s="318"/>
      <c r="CS145" s="318"/>
      <c r="CT145" s="318"/>
      <c r="CU145" s="318"/>
      <c r="CV145" s="318"/>
      <c r="CW145" s="318"/>
    </row>
    <row r="146" spans="1:101">
      <c r="A146" s="290"/>
      <c r="B146" s="290"/>
      <c r="C146" s="290"/>
      <c r="D146" s="290"/>
      <c r="E146" s="290"/>
      <c r="F146" s="290"/>
      <c r="G146" s="290"/>
      <c r="H146" s="290"/>
      <c r="I146" s="96"/>
      <c r="J146" s="290"/>
      <c r="K146" s="290"/>
      <c r="L146" s="290"/>
      <c r="M146" s="96"/>
      <c r="N146" s="290"/>
      <c r="O146" s="290"/>
      <c r="P146" s="290"/>
      <c r="Q146" s="290"/>
      <c r="R146" s="290"/>
      <c r="S146" s="290"/>
      <c r="T146" s="290"/>
      <c r="U146" s="290"/>
      <c r="V146" s="290"/>
      <c r="W146" s="290"/>
      <c r="X146" s="290"/>
      <c r="Y146" s="290"/>
      <c r="Z146" s="290"/>
      <c r="AA146" s="290"/>
      <c r="AB146" s="290"/>
      <c r="AC146" s="290"/>
      <c r="AD146" s="290"/>
      <c r="AE146" s="290"/>
      <c r="AF146" s="290"/>
      <c r="AG146" s="290"/>
      <c r="AH146" s="290"/>
      <c r="AI146" s="290"/>
      <c r="AJ146" s="290"/>
      <c r="AK146" s="290"/>
      <c r="AL146" s="290"/>
      <c r="AM146" s="290"/>
      <c r="AN146" s="290"/>
      <c r="AO146" s="290"/>
      <c r="AP146" s="318"/>
      <c r="AQ146" s="318"/>
      <c r="AR146" s="318"/>
      <c r="AS146" s="318"/>
      <c r="AT146" s="318"/>
      <c r="AU146" s="318"/>
      <c r="AV146" s="318"/>
      <c r="AW146" s="318"/>
      <c r="AX146" s="318"/>
      <c r="AY146" s="318"/>
      <c r="AZ146" s="318"/>
      <c r="BA146" s="318"/>
      <c r="BB146" s="318"/>
      <c r="BC146" s="318"/>
      <c r="BD146" s="318"/>
      <c r="BE146" s="318"/>
      <c r="BF146" s="318"/>
      <c r="BG146" s="318"/>
      <c r="BH146" s="318"/>
      <c r="BI146" s="318"/>
      <c r="BJ146" s="318"/>
      <c r="BK146" s="318"/>
      <c r="BL146" s="318"/>
      <c r="BM146" s="318"/>
      <c r="BN146" s="318"/>
      <c r="BO146" s="318"/>
      <c r="BP146" s="318"/>
      <c r="BQ146" s="318"/>
      <c r="BR146" s="318"/>
      <c r="BS146" s="318"/>
      <c r="BT146" s="318"/>
      <c r="BU146" s="318"/>
      <c r="BV146" s="318"/>
      <c r="BW146" s="318"/>
      <c r="BX146" s="318"/>
      <c r="BY146" s="318"/>
      <c r="BZ146" s="318"/>
      <c r="CA146" s="318"/>
      <c r="CB146" s="318"/>
      <c r="CC146" s="318"/>
      <c r="CD146" s="318"/>
      <c r="CE146" s="318"/>
      <c r="CF146" s="318"/>
      <c r="CG146" s="318"/>
      <c r="CH146" s="318"/>
      <c r="CI146" s="318"/>
      <c r="CJ146" s="318"/>
      <c r="CK146" s="318"/>
      <c r="CL146" s="318"/>
      <c r="CM146" s="318"/>
      <c r="CN146" s="318"/>
      <c r="CO146" s="318"/>
      <c r="CP146" s="318"/>
      <c r="CQ146" s="318"/>
      <c r="CR146" s="318"/>
      <c r="CS146" s="318"/>
      <c r="CT146" s="318"/>
      <c r="CU146" s="318"/>
      <c r="CV146" s="318"/>
      <c r="CW146" s="318"/>
    </row>
    <row r="147" spans="1:101">
      <c r="A147" s="290"/>
      <c r="B147" s="290"/>
      <c r="C147" s="290"/>
      <c r="D147" s="290"/>
      <c r="E147" s="290"/>
      <c r="F147" s="290"/>
      <c r="G147" s="290"/>
      <c r="H147" s="290"/>
      <c r="I147" s="96"/>
      <c r="J147" s="290"/>
      <c r="K147" s="290"/>
      <c r="L147" s="290"/>
      <c r="M147" s="96"/>
      <c r="N147" s="290"/>
      <c r="O147" s="290"/>
      <c r="P147" s="290"/>
      <c r="Q147" s="290"/>
      <c r="R147" s="290"/>
      <c r="S147" s="290"/>
      <c r="T147" s="290"/>
      <c r="U147" s="290"/>
      <c r="V147" s="290"/>
      <c r="W147" s="290"/>
      <c r="X147" s="290"/>
      <c r="Y147" s="290"/>
      <c r="Z147" s="290"/>
      <c r="AA147" s="290"/>
      <c r="AB147" s="290"/>
      <c r="AC147" s="290"/>
      <c r="AD147" s="290"/>
      <c r="AE147" s="290"/>
      <c r="AF147" s="290"/>
      <c r="AG147" s="290"/>
      <c r="AH147" s="290"/>
      <c r="AI147" s="290"/>
      <c r="AJ147" s="290"/>
      <c r="AK147" s="290"/>
      <c r="AL147" s="290"/>
      <c r="AM147" s="290"/>
      <c r="AN147" s="290"/>
      <c r="AO147" s="290"/>
      <c r="AP147" s="318"/>
      <c r="AQ147" s="318"/>
      <c r="AR147" s="318"/>
      <c r="AS147" s="318"/>
      <c r="AT147" s="318"/>
      <c r="AU147" s="318"/>
      <c r="AV147" s="318"/>
      <c r="AW147" s="318"/>
      <c r="AX147" s="318"/>
      <c r="AY147" s="318"/>
      <c r="AZ147" s="318"/>
      <c r="BA147" s="318"/>
      <c r="BB147" s="318"/>
      <c r="BC147" s="318"/>
      <c r="BD147" s="318"/>
      <c r="BE147" s="318"/>
      <c r="BF147" s="318"/>
      <c r="BG147" s="318"/>
      <c r="BH147" s="318"/>
      <c r="BI147" s="318"/>
      <c r="BJ147" s="318"/>
      <c r="BK147" s="318"/>
      <c r="BL147" s="318"/>
      <c r="BM147" s="318"/>
      <c r="BN147" s="318"/>
      <c r="BO147" s="318"/>
      <c r="BP147" s="318"/>
      <c r="BQ147" s="318"/>
      <c r="BR147" s="318"/>
      <c r="BS147" s="318"/>
      <c r="BT147" s="318"/>
      <c r="BU147" s="318"/>
      <c r="BV147" s="318"/>
      <c r="BW147" s="318"/>
      <c r="BX147" s="318"/>
      <c r="BY147" s="318"/>
      <c r="BZ147" s="318"/>
      <c r="CA147" s="318"/>
      <c r="CB147" s="318"/>
      <c r="CC147" s="318"/>
      <c r="CD147" s="318"/>
      <c r="CE147" s="318"/>
      <c r="CF147" s="318"/>
      <c r="CG147" s="318"/>
      <c r="CH147" s="318"/>
      <c r="CI147" s="318"/>
      <c r="CJ147" s="318"/>
      <c r="CK147" s="318"/>
      <c r="CL147" s="318"/>
      <c r="CM147" s="318"/>
      <c r="CN147" s="318"/>
      <c r="CO147" s="318"/>
      <c r="CP147" s="318"/>
      <c r="CQ147" s="318"/>
      <c r="CR147" s="318"/>
      <c r="CS147" s="318"/>
      <c r="CT147" s="318"/>
      <c r="CU147" s="318"/>
      <c r="CV147" s="318"/>
      <c r="CW147" s="318"/>
    </row>
    <row r="148" spans="1:101">
      <c r="A148" s="290"/>
      <c r="B148" s="290"/>
      <c r="C148" s="290"/>
      <c r="D148" s="290"/>
      <c r="E148" s="290"/>
      <c r="F148" s="290"/>
      <c r="G148" s="290"/>
      <c r="H148" s="290"/>
      <c r="I148" s="96"/>
      <c r="J148" s="290"/>
      <c r="K148" s="290"/>
      <c r="L148" s="290"/>
      <c r="M148" s="96"/>
      <c r="N148" s="290"/>
      <c r="O148" s="290"/>
      <c r="P148" s="290"/>
      <c r="Q148" s="290"/>
      <c r="R148" s="290"/>
      <c r="S148" s="290"/>
      <c r="T148" s="290"/>
      <c r="U148" s="290"/>
      <c r="V148" s="290"/>
      <c r="W148" s="290"/>
      <c r="X148" s="290"/>
      <c r="Y148" s="290"/>
      <c r="Z148" s="290"/>
      <c r="AA148" s="290"/>
      <c r="AB148" s="290"/>
      <c r="AC148" s="290"/>
      <c r="AD148" s="290"/>
      <c r="AE148" s="290"/>
      <c r="AF148" s="290"/>
      <c r="AG148" s="290"/>
      <c r="AH148" s="290"/>
      <c r="AI148" s="290"/>
      <c r="AJ148" s="290"/>
      <c r="AK148" s="290"/>
      <c r="AL148" s="290"/>
      <c r="AM148" s="290"/>
      <c r="AN148" s="290"/>
      <c r="AO148" s="290"/>
      <c r="AP148" s="318"/>
      <c r="AQ148" s="318"/>
      <c r="AR148" s="318"/>
      <c r="AS148" s="318"/>
      <c r="AT148" s="318"/>
      <c r="AU148" s="318"/>
      <c r="AV148" s="318"/>
      <c r="AW148" s="318"/>
      <c r="AX148" s="318"/>
      <c r="AY148" s="318"/>
      <c r="AZ148" s="318"/>
      <c r="BA148" s="318"/>
      <c r="BB148" s="318"/>
      <c r="BC148" s="318"/>
      <c r="BD148" s="318"/>
      <c r="BE148" s="318"/>
      <c r="BF148" s="318"/>
      <c r="BG148" s="318"/>
      <c r="BH148" s="318"/>
      <c r="BI148" s="318"/>
      <c r="BJ148" s="318"/>
      <c r="BK148" s="318"/>
      <c r="BL148" s="318"/>
      <c r="BM148" s="318"/>
      <c r="BN148" s="318"/>
      <c r="BO148" s="318"/>
      <c r="BP148" s="318"/>
      <c r="BQ148" s="318"/>
      <c r="BR148" s="318"/>
      <c r="BS148" s="318"/>
      <c r="BT148" s="318"/>
      <c r="BU148" s="318"/>
      <c r="BV148" s="318"/>
      <c r="BW148" s="318"/>
      <c r="BX148" s="318"/>
      <c r="BY148" s="318"/>
      <c r="BZ148" s="318"/>
      <c r="CA148" s="318"/>
      <c r="CB148" s="318"/>
      <c r="CC148" s="318"/>
      <c r="CD148" s="318"/>
      <c r="CE148" s="318"/>
      <c r="CF148" s="318"/>
      <c r="CG148" s="318"/>
      <c r="CH148" s="318"/>
      <c r="CI148" s="318"/>
      <c r="CJ148" s="318"/>
      <c r="CK148" s="318"/>
      <c r="CL148" s="318"/>
      <c r="CM148" s="318"/>
      <c r="CN148" s="318"/>
      <c r="CO148" s="318"/>
      <c r="CP148" s="318"/>
      <c r="CQ148" s="318"/>
      <c r="CR148" s="318"/>
      <c r="CS148" s="318"/>
      <c r="CT148" s="318"/>
      <c r="CU148" s="318"/>
      <c r="CV148" s="318"/>
      <c r="CW148" s="318"/>
    </row>
    <row r="149" spans="1:101">
      <c r="A149" s="290"/>
      <c r="B149" s="290"/>
      <c r="C149" s="290"/>
      <c r="D149" s="290"/>
      <c r="E149" s="290"/>
      <c r="F149" s="290"/>
      <c r="G149" s="290"/>
      <c r="H149" s="290"/>
      <c r="I149" s="96"/>
      <c r="J149" s="290"/>
      <c r="K149" s="290"/>
      <c r="L149" s="290"/>
      <c r="M149" s="96"/>
      <c r="N149" s="290"/>
      <c r="O149" s="290"/>
      <c r="P149" s="290"/>
      <c r="Q149" s="290"/>
      <c r="R149" s="290"/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  <c r="AC149" s="290"/>
      <c r="AD149" s="290"/>
      <c r="AE149" s="290"/>
      <c r="AF149" s="290"/>
      <c r="AG149" s="290"/>
      <c r="AH149" s="290"/>
      <c r="AI149" s="290"/>
      <c r="AJ149" s="290"/>
      <c r="AK149" s="290"/>
      <c r="AL149" s="290"/>
      <c r="AM149" s="290"/>
      <c r="AN149" s="290"/>
      <c r="AO149" s="290"/>
      <c r="AP149" s="318"/>
      <c r="AQ149" s="318"/>
      <c r="AR149" s="318"/>
      <c r="AS149" s="318"/>
      <c r="AT149" s="318"/>
      <c r="AU149" s="318"/>
      <c r="AV149" s="318"/>
      <c r="AW149" s="318"/>
      <c r="AX149" s="318"/>
      <c r="AY149" s="318"/>
      <c r="AZ149" s="318"/>
      <c r="BA149" s="318"/>
      <c r="BB149" s="318"/>
      <c r="BC149" s="318"/>
      <c r="BD149" s="318"/>
      <c r="BE149" s="318"/>
      <c r="BF149" s="318"/>
      <c r="BG149" s="318"/>
      <c r="BH149" s="318"/>
      <c r="BI149" s="318"/>
      <c r="BJ149" s="318"/>
      <c r="BK149" s="318"/>
      <c r="BL149" s="318"/>
      <c r="BM149" s="318"/>
      <c r="BN149" s="318"/>
      <c r="BO149" s="318"/>
      <c r="BP149" s="318"/>
      <c r="BQ149" s="318"/>
      <c r="BR149" s="318"/>
      <c r="BS149" s="318"/>
      <c r="BT149" s="318"/>
      <c r="BU149" s="318"/>
      <c r="BV149" s="318"/>
      <c r="BW149" s="318"/>
      <c r="BX149" s="318"/>
      <c r="BY149" s="318"/>
      <c r="BZ149" s="318"/>
      <c r="CA149" s="318"/>
      <c r="CB149" s="318"/>
      <c r="CC149" s="318"/>
      <c r="CD149" s="318"/>
      <c r="CE149" s="318"/>
      <c r="CF149" s="318"/>
      <c r="CG149" s="318"/>
      <c r="CH149" s="318"/>
      <c r="CI149" s="318"/>
      <c r="CJ149" s="318"/>
      <c r="CK149" s="318"/>
      <c r="CL149" s="318"/>
      <c r="CM149" s="318"/>
      <c r="CN149" s="318"/>
      <c r="CO149" s="318"/>
      <c r="CP149" s="318"/>
      <c r="CQ149" s="318"/>
      <c r="CR149" s="318"/>
      <c r="CS149" s="318"/>
      <c r="CT149" s="318"/>
      <c r="CU149" s="318"/>
      <c r="CV149" s="318"/>
      <c r="CW149" s="318"/>
    </row>
    <row r="150" spans="1:101">
      <c r="A150" s="290"/>
      <c r="B150" s="290"/>
      <c r="C150" s="290"/>
      <c r="D150" s="290"/>
      <c r="E150" s="290"/>
      <c r="F150" s="290"/>
      <c r="G150" s="290"/>
      <c r="H150" s="290"/>
      <c r="I150" s="96"/>
      <c r="J150" s="290"/>
      <c r="K150" s="290"/>
      <c r="L150" s="290"/>
      <c r="M150" s="96"/>
      <c r="N150" s="290"/>
      <c r="O150" s="290"/>
      <c r="P150" s="290"/>
      <c r="Q150" s="290"/>
      <c r="R150" s="290"/>
      <c r="S150" s="290"/>
      <c r="T150" s="290"/>
      <c r="U150" s="290"/>
      <c r="V150" s="290"/>
      <c r="W150" s="290"/>
      <c r="X150" s="290"/>
      <c r="Y150" s="290"/>
      <c r="Z150" s="290"/>
      <c r="AA150" s="290"/>
      <c r="AB150" s="290"/>
      <c r="AC150" s="290"/>
      <c r="AD150" s="290"/>
      <c r="AE150" s="290"/>
      <c r="AF150" s="290"/>
      <c r="AG150" s="290"/>
      <c r="AH150" s="290"/>
      <c r="AI150" s="290"/>
      <c r="AJ150" s="290"/>
      <c r="AK150" s="290"/>
      <c r="AL150" s="290"/>
      <c r="AM150" s="290"/>
      <c r="AN150" s="290"/>
      <c r="AO150" s="290"/>
      <c r="AP150" s="318"/>
      <c r="AQ150" s="318"/>
      <c r="AR150" s="318"/>
      <c r="AS150" s="318"/>
      <c r="AT150" s="318"/>
      <c r="AU150" s="318"/>
      <c r="AV150" s="318"/>
      <c r="AW150" s="318"/>
      <c r="AX150" s="318"/>
      <c r="AY150" s="318"/>
      <c r="AZ150" s="318"/>
      <c r="BA150" s="318"/>
      <c r="BB150" s="318"/>
      <c r="BC150" s="318"/>
      <c r="BD150" s="318"/>
      <c r="BE150" s="318"/>
      <c r="BF150" s="318"/>
      <c r="BG150" s="318"/>
      <c r="BH150" s="318"/>
      <c r="BI150" s="318"/>
      <c r="BJ150" s="318"/>
      <c r="BK150" s="318"/>
      <c r="BL150" s="318"/>
      <c r="BM150" s="318"/>
      <c r="BN150" s="318"/>
      <c r="BO150" s="318"/>
      <c r="BP150" s="318"/>
      <c r="BQ150" s="318"/>
      <c r="BR150" s="318"/>
      <c r="BS150" s="318"/>
      <c r="BT150" s="318"/>
      <c r="BU150" s="318"/>
      <c r="BV150" s="318"/>
      <c r="BW150" s="318"/>
      <c r="BX150" s="318"/>
      <c r="BY150" s="318"/>
      <c r="BZ150" s="318"/>
      <c r="CA150" s="318"/>
      <c r="CB150" s="318"/>
      <c r="CC150" s="318"/>
      <c r="CD150" s="318"/>
      <c r="CE150" s="318"/>
      <c r="CF150" s="318"/>
      <c r="CG150" s="318"/>
      <c r="CH150" s="318"/>
      <c r="CI150" s="318"/>
      <c r="CJ150" s="318"/>
      <c r="CK150" s="318"/>
      <c r="CL150" s="318"/>
      <c r="CM150" s="318"/>
      <c r="CN150" s="318"/>
      <c r="CO150" s="318"/>
      <c r="CP150" s="318"/>
      <c r="CQ150" s="318"/>
      <c r="CR150" s="318"/>
      <c r="CS150" s="318"/>
      <c r="CT150" s="318"/>
      <c r="CU150" s="318"/>
      <c r="CV150" s="318"/>
      <c r="CW150" s="318"/>
    </row>
    <row r="151" spans="1:101">
      <c r="A151" s="290"/>
      <c r="B151" s="290"/>
      <c r="C151" s="290"/>
      <c r="D151" s="290"/>
      <c r="E151" s="290"/>
      <c r="F151" s="290"/>
      <c r="G151" s="290"/>
      <c r="H151" s="290"/>
      <c r="I151" s="96"/>
      <c r="J151" s="290"/>
      <c r="K151" s="290"/>
      <c r="L151" s="290"/>
      <c r="M151" s="96"/>
      <c r="N151" s="290"/>
      <c r="O151" s="290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  <c r="Z151" s="290"/>
      <c r="AA151" s="290"/>
      <c r="AB151" s="290"/>
      <c r="AC151" s="290"/>
      <c r="AD151" s="290"/>
      <c r="AE151" s="290"/>
      <c r="AF151" s="290"/>
      <c r="AG151" s="290"/>
      <c r="AH151" s="290"/>
      <c r="AI151" s="290"/>
      <c r="AJ151" s="290"/>
      <c r="AK151" s="290"/>
      <c r="AL151" s="290"/>
      <c r="AM151" s="290"/>
      <c r="AN151" s="290"/>
      <c r="AO151" s="290"/>
      <c r="AP151" s="318"/>
      <c r="AQ151" s="318"/>
      <c r="AR151" s="318"/>
      <c r="AS151" s="318"/>
      <c r="AT151" s="318"/>
      <c r="AU151" s="318"/>
      <c r="AV151" s="318"/>
      <c r="AW151" s="318"/>
      <c r="AX151" s="318"/>
      <c r="AY151" s="318"/>
      <c r="AZ151" s="318"/>
      <c r="BA151" s="318"/>
      <c r="BB151" s="318"/>
      <c r="BC151" s="318"/>
      <c r="BD151" s="318"/>
      <c r="BE151" s="318"/>
      <c r="BF151" s="318"/>
      <c r="BG151" s="318"/>
      <c r="BH151" s="318"/>
      <c r="BI151" s="318"/>
      <c r="BJ151" s="318"/>
      <c r="BK151" s="318"/>
      <c r="BL151" s="318"/>
      <c r="BM151" s="318"/>
      <c r="BN151" s="318"/>
      <c r="BO151" s="318"/>
      <c r="BP151" s="318"/>
      <c r="BQ151" s="318"/>
      <c r="BR151" s="318"/>
      <c r="BS151" s="318"/>
      <c r="BT151" s="318"/>
      <c r="BU151" s="318"/>
      <c r="BV151" s="318"/>
      <c r="BW151" s="318"/>
      <c r="BX151" s="318"/>
      <c r="BY151" s="318"/>
      <c r="BZ151" s="318"/>
      <c r="CA151" s="318"/>
      <c r="CB151" s="318"/>
      <c r="CC151" s="318"/>
      <c r="CD151" s="318"/>
      <c r="CE151" s="318"/>
      <c r="CF151" s="318"/>
      <c r="CG151" s="318"/>
      <c r="CH151" s="318"/>
      <c r="CI151" s="318"/>
      <c r="CJ151" s="318"/>
      <c r="CK151" s="318"/>
      <c r="CL151" s="318"/>
      <c r="CM151" s="318"/>
      <c r="CN151" s="318"/>
      <c r="CO151" s="318"/>
      <c r="CP151" s="318"/>
      <c r="CQ151" s="318"/>
      <c r="CR151" s="318"/>
      <c r="CS151" s="318"/>
      <c r="CT151" s="318"/>
      <c r="CU151" s="318"/>
      <c r="CV151" s="318"/>
      <c r="CW151" s="318"/>
    </row>
    <row r="152" spans="1:101">
      <c r="A152" s="290"/>
      <c r="B152" s="290"/>
      <c r="C152" s="290"/>
      <c r="D152" s="290"/>
      <c r="E152" s="290"/>
      <c r="F152" s="290"/>
      <c r="G152" s="290"/>
      <c r="H152" s="290"/>
      <c r="I152" s="96"/>
      <c r="J152" s="290"/>
      <c r="K152" s="290"/>
      <c r="L152" s="290"/>
      <c r="M152" s="96"/>
      <c r="N152" s="290"/>
      <c r="O152" s="290"/>
      <c r="P152" s="290"/>
      <c r="Q152" s="290"/>
      <c r="R152" s="290"/>
      <c r="S152" s="290"/>
      <c r="T152" s="290"/>
      <c r="U152" s="290"/>
      <c r="V152" s="290"/>
      <c r="W152" s="290"/>
      <c r="X152" s="290"/>
      <c r="Y152" s="290"/>
      <c r="Z152" s="290"/>
      <c r="AA152" s="290"/>
      <c r="AB152" s="290"/>
      <c r="AC152" s="290"/>
      <c r="AD152" s="290"/>
      <c r="AE152" s="290"/>
      <c r="AF152" s="290"/>
      <c r="AG152" s="290"/>
      <c r="AH152" s="290"/>
      <c r="AI152" s="290"/>
      <c r="AJ152" s="290"/>
      <c r="AK152" s="290"/>
      <c r="AL152" s="290"/>
      <c r="AM152" s="290"/>
      <c r="AN152" s="290"/>
      <c r="AO152" s="290"/>
      <c r="AP152" s="318"/>
      <c r="AQ152" s="318"/>
      <c r="AR152" s="318"/>
      <c r="AS152" s="318"/>
      <c r="AT152" s="318"/>
      <c r="AU152" s="318"/>
      <c r="AV152" s="318"/>
      <c r="AW152" s="318"/>
      <c r="AX152" s="318"/>
      <c r="AY152" s="318"/>
      <c r="AZ152" s="318"/>
      <c r="BA152" s="318"/>
      <c r="BB152" s="318"/>
      <c r="BC152" s="318"/>
      <c r="BD152" s="318"/>
      <c r="BE152" s="318"/>
      <c r="BF152" s="318"/>
      <c r="BG152" s="318"/>
      <c r="BH152" s="318"/>
      <c r="BI152" s="318"/>
      <c r="BJ152" s="318"/>
      <c r="BK152" s="318"/>
      <c r="BL152" s="318"/>
      <c r="BM152" s="318"/>
      <c r="BN152" s="318"/>
      <c r="BO152" s="318"/>
      <c r="BP152" s="318"/>
      <c r="BQ152" s="318"/>
      <c r="BR152" s="318"/>
      <c r="BS152" s="318"/>
      <c r="BT152" s="318"/>
      <c r="BU152" s="318"/>
      <c r="BV152" s="318"/>
      <c r="BW152" s="318"/>
      <c r="BX152" s="318"/>
      <c r="BY152" s="318"/>
      <c r="BZ152" s="318"/>
      <c r="CA152" s="318"/>
      <c r="CB152" s="318"/>
      <c r="CC152" s="318"/>
      <c r="CD152" s="318"/>
      <c r="CE152" s="318"/>
      <c r="CF152" s="318"/>
      <c r="CG152" s="318"/>
      <c r="CH152" s="318"/>
      <c r="CI152" s="318"/>
      <c r="CJ152" s="318"/>
      <c r="CK152" s="318"/>
      <c r="CL152" s="318"/>
      <c r="CM152" s="318"/>
      <c r="CN152" s="318"/>
      <c r="CO152" s="318"/>
      <c r="CP152" s="318"/>
      <c r="CQ152" s="318"/>
      <c r="CR152" s="318"/>
      <c r="CS152" s="318"/>
      <c r="CT152" s="318"/>
      <c r="CU152" s="318"/>
      <c r="CV152" s="318"/>
      <c r="CW152" s="318"/>
    </row>
    <row r="153" spans="1:101">
      <c r="A153" s="290"/>
      <c r="B153" s="290"/>
      <c r="C153" s="290"/>
      <c r="D153" s="290"/>
      <c r="E153" s="290"/>
      <c r="F153" s="290"/>
      <c r="G153" s="290"/>
      <c r="H153" s="290"/>
      <c r="I153" s="96"/>
      <c r="J153" s="290"/>
      <c r="K153" s="290"/>
      <c r="L153" s="290"/>
      <c r="M153" s="96"/>
      <c r="N153" s="290"/>
      <c r="O153" s="290"/>
      <c r="P153" s="290"/>
      <c r="Q153" s="290"/>
      <c r="R153" s="290"/>
      <c r="S153" s="290"/>
      <c r="T153" s="290"/>
      <c r="U153" s="290"/>
      <c r="V153" s="290"/>
      <c r="W153" s="290"/>
      <c r="X153" s="290"/>
      <c r="Y153" s="290"/>
      <c r="Z153" s="290"/>
      <c r="AA153" s="290"/>
      <c r="AB153" s="290"/>
      <c r="AC153" s="290"/>
      <c r="AD153" s="290"/>
      <c r="AE153" s="290"/>
      <c r="AF153" s="290"/>
      <c r="AG153" s="290"/>
      <c r="AH153" s="290"/>
      <c r="AI153" s="290"/>
      <c r="AJ153" s="290"/>
      <c r="AK153" s="290"/>
      <c r="AL153" s="290"/>
      <c r="AM153" s="290"/>
      <c r="AN153" s="290"/>
      <c r="AO153" s="290"/>
      <c r="AP153" s="318"/>
      <c r="AQ153" s="318"/>
      <c r="AR153" s="318"/>
      <c r="AS153" s="318"/>
      <c r="AT153" s="318"/>
      <c r="AU153" s="318"/>
      <c r="AV153" s="318"/>
      <c r="AW153" s="318"/>
      <c r="AX153" s="318"/>
      <c r="AY153" s="318"/>
      <c r="AZ153" s="318"/>
      <c r="BA153" s="318"/>
      <c r="BB153" s="318"/>
      <c r="BC153" s="318"/>
      <c r="BD153" s="318"/>
      <c r="BE153" s="318"/>
      <c r="BF153" s="318"/>
      <c r="BG153" s="318"/>
      <c r="BH153" s="318"/>
      <c r="BI153" s="318"/>
      <c r="BJ153" s="318"/>
      <c r="BK153" s="318"/>
      <c r="BL153" s="318"/>
      <c r="BM153" s="318"/>
      <c r="BN153" s="318"/>
      <c r="BO153" s="318"/>
      <c r="BP153" s="318"/>
      <c r="BQ153" s="318"/>
      <c r="BR153" s="318"/>
      <c r="BS153" s="318"/>
      <c r="BT153" s="318"/>
      <c r="BU153" s="318"/>
      <c r="BV153" s="318"/>
      <c r="BW153" s="318"/>
      <c r="BX153" s="318"/>
      <c r="BY153" s="318"/>
      <c r="BZ153" s="318"/>
      <c r="CA153" s="318"/>
      <c r="CB153" s="318"/>
      <c r="CC153" s="318"/>
      <c r="CD153" s="318"/>
      <c r="CE153" s="318"/>
      <c r="CF153" s="318"/>
      <c r="CG153" s="318"/>
      <c r="CH153" s="318"/>
      <c r="CI153" s="318"/>
      <c r="CJ153" s="318"/>
      <c r="CK153" s="318"/>
      <c r="CL153" s="318"/>
      <c r="CM153" s="318"/>
      <c r="CN153" s="318"/>
      <c r="CO153" s="318"/>
      <c r="CP153" s="318"/>
      <c r="CQ153" s="318"/>
      <c r="CR153" s="318"/>
      <c r="CS153" s="318"/>
      <c r="CT153" s="318"/>
      <c r="CU153" s="318"/>
      <c r="CV153" s="318"/>
      <c r="CW153" s="318"/>
    </row>
    <row r="154" spans="1:101">
      <c r="A154" s="290"/>
      <c r="B154" s="290"/>
      <c r="C154" s="290"/>
      <c r="D154" s="290"/>
      <c r="E154" s="290"/>
      <c r="F154" s="290"/>
      <c r="G154" s="290"/>
      <c r="H154" s="290"/>
      <c r="I154" s="96"/>
      <c r="J154" s="290"/>
      <c r="K154" s="290"/>
      <c r="L154" s="290"/>
      <c r="M154" s="96"/>
      <c r="N154" s="290"/>
      <c r="O154" s="290"/>
      <c r="P154" s="290"/>
      <c r="Q154" s="290"/>
      <c r="R154" s="290"/>
      <c r="S154" s="290"/>
      <c r="T154" s="290"/>
      <c r="U154" s="290"/>
      <c r="V154" s="290"/>
      <c r="W154" s="290"/>
      <c r="X154" s="290"/>
      <c r="Y154" s="290"/>
      <c r="Z154" s="290"/>
      <c r="AA154" s="290"/>
      <c r="AB154" s="290"/>
      <c r="AC154" s="290"/>
      <c r="AD154" s="290"/>
      <c r="AE154" s="290"/>
      <c r="AF154" s="290"/>
      <c r="AG154" s="290"/>
      <c r="AH154" s="290"/>
      <c r="AI154" s="290"/>
      <c r="AJ154" s="290"/>
      <c r="AK154" s="290"/>
      <c r="AL154" s="290"/>
      <c r="AM154" s="290"/>
      <c r="AN154" s="290"/>
      <c r="AO154" s="290"/>
      <c r="AP154" s="318"/>
      <c r="AQ154" s="318"/>
      <c r="AR154" s="318"/>
      <c r="AS154" s="318"/>
      <c r="AT154" s="318"/>
      <c r="AU154" s="318"/>
      <c r="AV154" s="318"/>
      <c r="AW154" s="318"/>
      <c r="AX154" s="318"/>
      <c r="AY154" s="318"/>
      <c r="AZ154" s="318"/>
      <c r="BA154" s="318"/>
      <c r="BB154" s="318"/>
      <c r="BC154" s="318"/>
      <c r="BD154" s="318"/>
      <c r="BE154" s="318"/>
      <c r="BF154" s="318"/>
      <c r="BG154" s="318"/>
      <c r="BH154" s="318"/>
      <c r="BI154" s="318"/>
      <c r="BJ154" s="318"/>
      <c r="BK154" s="318"/>
      <c r="BL154" s="318"/>
      <c r="BM154" s="318"/>
      <c r="BN154" s="318"/>
      <c r="BO154" s="318"/>
      <c r="BP154" s="318"/>
      <c r="BQ154" s="318"/>
      <c r="BR154" s="318"/>
      <c r="BS154" s="318"/>
      <c r="BT154" s="318"/>
      <c r="BU154" s="318"/>
      <c r="BV154" s="318"/>
      <c r="BW154" s="318"/>
      <c r="BX154" s="318"/>
      <c r="BY154" s="318"/>
      <c r="BZ154" s="318"/>
      <c r="CA154" s="318"/>
      <c r="CB154" s="318"/>
      <c r="CC154" s="318"/>
      <c r="CD154" s="318"/>
      <c r="CE154" s="318"/>
      <c r="CF154" s="318"/>
      <c r="CG154" s="318"/>
      <c r="CH154" s="318"/>
      <c r="CI154" s="318"/>
      <c r="CJ154" s="318"/>
      <c r="CK154" s="318"/>
      <c r="CL154" s="318"/>
      <c r="CM154" s="318"/>
      <c r="CN154" s="318"/>
      <c r="CO154" s="318"/>
      <c r="CP154" s="318"/>
      <c r="CQ154" s="318"/>
      <c r="CR154" s="318"/>
      <c r="CS154" s="318"/>
      <c r="CT154" s="318"/>
      <c r="CU154" s="318"/>
      <c r="CV154" s="318"/>
      <c r="CW154" s="318"/>
    </row>
    <row r="155" spans="1:101">
      <c r="A155" s="290"/>
      <c r="B155" s="290"/>
      <c r="C155" s="290"/>
      <c r="D155" s="290"/>
      <c r="E155" s="290"/>
      <c r="F155" s="290"/>
      <c r="G155" s="290"/>
      <c r="H155" s="290"/>
      <c r="I155" s="96"/>
      <c r="J155" s="290"/>
      <c r="K155" s="290"/>
      <c r="L155" s="290"/>
      <c r="M155" s="96"/>
      <c r="N155" s="290"/>
      <c r="O155" s="290"/>
      <c r="P155" s="290"/>
      <c r="Q155" s="290"/>
      <c r="R155" s="290"/>
      <c r="S155" s="290"/>
      <c r="T155" s="290"/>
      <c r="U155" s="290"/>
      <c r="V155" s="290"/>
      <c r="W155" s="290"/>
      <c r="X155" s="290"/>
      <c r="Y155" s="290"/>
      <c r="Z155" s="290"/>
      <c r="AA155" s="290"/>
      <c r="AB155" s="290"/>
      <c r="AC155" s="290"/>
      <c r="AD155" s="290"/>
      <c r="AE155" s="290"/>
      <c r="AF155" s="290"/>
      <c r="AG155" s="290"/>
      <c r="AH155" s="290"/>
      <c r="AI155" s="290"/>
      <c r="AJ155" s="290"/>
      <c r="AK155" s="290"/>
      <c r="AL155" s="290"/>
      <c r="AM155" s="290"/>
      <c r="AN155" s="290"/>
      <c r="AO155" s="290"/>
      <c r="AP155" s="318"/>
      <c r="AQ155" s="318"/>
      <c r="AR155" s="318"/>
      <c r="AS155" s="318"/>
      <c r="AT155" s="318"/>
      <c r="AU155" s="318"/>
      <c r="AV155" s="318"/>
      <c r="AW155" s="318"/>
      <c r="AX155" s="318"/>
      <c r="AY155" s="318"/>
      <c r="AZ155" s="318"/>
      <c r="BA155" s="318"/>
      <c r="BB155" s="318"/>
      <c r="BC155" s="318"/>
      <c r="BD155" s="318"/>
      <c r="BE155" s="318"/>
      <c r="BF155" s="318"/>
      <c r="BG155" s="318"/>
      <c r="BH155" s="318"/>
      <c r="BI155" s="318"/>
      <c r="BJ155" s="318"/>
      <c r="BK155" s="318"/>
      <c r="BL155" s="318"/>
      <c r="BM155" s="318"/>
      <c r="BN155" s="318"/>
      <c r="BO155" s="318"/>
      <c r="BP155" s="318"/>
      <c r="BQ155" s="318"/>
      <c r="BR155" s="318"/>
      <c r="BS155" s="318"/>
      <c r="BT155" s="318"/>
      <c r="BU155" s="318"/>
      <c r="BV155" s="318"/>
      <c r="BW155" s="318"/>
      <c r="BX155" s="318"/>
      <c r="BY155" s="318"/>
      <c r="BZ155" s="318"/>
      <c r="CA155" s="318"/>
      <c r="CB155" s="318"/>
      <c r="CC155" s="318"/>
      <c r="CD155" s="318"/>
      <c r="CE155" s="318"/>
      <c r="CF155" s="318"/>
      <c r="CG155" s="318"/>
      <c r="CH155" s="318"/>
      <c r="CI155" s="318"/>
      <c r="CJ155" s="318"/>
      <c r="CK155" s="318"/>
      <c r="CL155" s="318"/>
      <c r="CM155" s="318"/>
      <c r="CN155" s="318"/>
      <c r="CO155" s="318"/>
      <c r="CP155" s="318"/>
      <c r="CQ155" s="318"/>
      <c r="CR155" s="318"/>
      <c r="CS155" s="318"/>
      <c r="CT155" s="318"/>
      <c r="CU155" s="318"/>
      <c r="CV155" s="318"/>
      <c r="CW155" s="318"/>
    </row>
    <row r="156" spans="1:101">
      <c r="A156" s="290"/>
      <c r="B156" s="290"/>
      <c r="C156" s="290"/>
      <c r="D156" s="290"/>
      <c r="E156" s="290"/>
      <c r="F156" s="290"/>
      <c r="G156" s="290"/>
      <c r="H156" s="290"/>
      <c r="I156" s="96"/>
      <c r="J156" s="290"/>
      <c r="K156" s="290"/>
      <c r="L156" s="290"/>
      <c r="M156" s="96"/>
      <c r="N156" s="290"/>
      <c r="O156" s="290"/>
      <c r="P156" s="290"/>
      <c r="Q156" s="290"/>
      <c r="R156" s="290"/>
      <c r="S156" s="290"/>
      <c r="T156" s="290"/>
      <c r="U156" s="290"/>
      <c r="V156" s="290"/>
      <c r="W156" s="290"/>
      <c r="X156" s="290"/>
      <c r="Y156" s="290"/>
      <c r="Z156" s="290"/>
      <c r="AA156" s="290"/>
      <c r="AB156" s="290"/>
      <c r="AC156" s="290"/>
      <c r="AD156" s="290"/>
      <c r="AE156" s="290"/>
      <c r="AF156" s="290"/>
      <c r="AG156" s="290"/>
      <c r="AH156" s="290"/>
      <c r="AI156" s="290"/>
      <c r="AJ156" s="290"/>
      <c r="AK156" s="290"/>
      <c r="AL156" s="290"/>
      <c r="AM156" s="290"/>
      <c r="AN156" s="290"/>
      <c r="AO156" s="290"/>
      <c r="AP156" s="318"/>
      <c r="AQ156" s="318"/>
      <c r="AR156" s="318"/>
      <c r="AS156" s="318"/>
      <c r="AT156" s="318"/>
      <c r="AU156" s="318"/>
      <c r="AV156" s="318"/>
      <c r="AW156" s="318"/>
      <c r="AX156" s="318"/>
      <c r="AY156" s="318"/>
      <c r="AZ156" s="318"/>
      <c r="BA156" s="318"/>
      <c r="BB156" s="318"/>
      <c r="BC156" s="318"/>
      <c r="BD156" s="318"/>
      <c r="BE156" s="318"/>
      <c r="BF156" s="318"/>
      <c r="BG156" s="318"/>
      <c r="BH156" s="318"/>
      <c r="BI156" s="318"/>
      <c r="BJ156" s="318"/>
      <c r="BK156" s="318"/>
      <c r="BL156" s="318"/>
      <c r="BM156" s="318"/>
      <c r="BN156" s="318"/>
      <c r="BO156" s="318"/>
      <c r="BP156" s="318"/>
      <c r="BQ156" s="318"/>
      <c r="BR156" s="318"/>
      <c r="BS156" s="318"/>
      <c r="BT156" s="318"/>
      <c r="BU156" s="318"/>
      <c r="BV156" s="318"/>
      <c r="BW156" s="318"/>
      <c r="BX156" s="318"/>
      <c r="BY156" s="318"/>
      <c r="BZ156" s="318"/>
      <c r="CA156" s="318"/>
      <c r="CB156" s="318"/>
      <c r="CC156" s="318"/>
      <c r="CD156" s="318"/>
      <c r="CE156" s="318"/>
      <c r="CF156" s="318"/>
      <c r="CG156" s="318"/>
      <c r="CH156" s="318"/>
      <c r="CI156" s="318"/>
      <c r="CJ156" s="318"/>
      <c r="CK156" s="318"/>
      <c r="CL156" s="318"/>
      <c r="CM156" s="318"/>
      <c r="CN156" s="318"/>
      <c r="CO156" s="318"/>
      <c r="CP156" s="318"/>
      <c r="CQ156" s="318"/>
      <c r="CR156" s="318"/>
      <c r="CS156" s="318"/>
      <c r="CT156" s="318"/>
      <c r="CU156" s="318"/>
      <c r="CV156" s="318"/>
      <c r="CW156" s="318"/>
    </row>
    <row r="157" spans="1:101">
      <c r="A157" s="290"/>
      <c r="B157" s="290"/>
      <c r="C157" s="290"/>
      <c r="D157" s="290"/>
      <c r="E157" s="290"/>
      <c r="F157" s="290"/>
      <c r="G157" s="290"/>
      <c r="H157" s="290"/>
      <c r="I157" s="96"/>
      <c r="J157" s="290"/>
      <c r="K157" s="290"/>
      <c r="L157" s="290"/>
      <c r="M157" s="96"/>
      <c r="N157" s="290"/>
      <c r="O157" s="290"/>
      <c r="P157" s="290"/>
      <c r="Q157" s="290"/>
      <c r="R157" s="290"/>
      <c r="S157" s="290"/>
      <c r="T157" s="290"/>
      <c r="U157" s="290"/>
      <c r="V157" s="290"/>
      <c r="W157" s="290"/>
      <c r="X157" s="290"/>
      <c r="Y157" s="290"/>
      <c r="Z157" s="290"/>
      <c r="AA157" s="290"/>
      <c r="AB157" s="290"/>
      <c r="AC157" s="290"/>
      <c r="AD157" s="290"/>
      <c r="AE157" s="290"/>
      <c r="AF157" s="290"/>
      <c r="AG157" s="290"/>
      <c r="AH157" s="290"/>
      <c r="AI157" s="290"/>
      <c r="AJ157" s="290"/>
      <c r="AK157" s="290"/>
      <c r="AL157" s="290"/>
      <c r="AM157" s="290"/>
      <c r="AN157" s="290"/>
      <c r="AO157" s="290"/>
      <c r="AP157" s="318"/>
      <c r="AQ157" s="318"/>
      <c r="AR157" s="318"/>
      <c r="AS157" s="318"/>
      <c r="AT157" s="318"/>
      <c r="AU157" s="318"/>
      <c r="AV157" s="318"/>
      <c r="AW157" s="318"/>
      <c r="AX157" s="318"/>
      <c r="AY157" s="318"/>
      <c r="AZ157" s="318"/>
      <c r="BA157" s="318"/>
      <c r="BB157" s="318"/>
      <c r="BC157" s="318"/>
      <c r="BD157" s="318"/>
      <c r="BE157" s="318"/>
      <c r="BF157" s="318"/>
      <c r="BG157" s="318"/>
      <c r="BH157" s="318"/>
      <c r="BI157" s="318"/>
      <c r="BJ157" s="318"/>
      <c r="BK157" s="318"/>
      <c r="BL157" s="318"/>
      <c r="BM157" s="318"/>
      <c r="BN157" s="318"/>
      <c r="BO157" s="318"/>
      <c r="BP157" s="318"/>
      <c r="BQ157" s="318"/>
      <c r="BR157" s="318"/>
      <c r="BS157" s="318"/>
      <c r="BT157" s="318"/>
      <c r="BU157" s="318"/>
      <c r="BV157" s="318"/>
      <c r="BW157" s="318"/>
      <c r="BX157" s="318"/>
      <c r="BY157" s="318"/>
      <c r="BZ157" s="318"/>
      <c r="CA157" s="318"/>
      <c r="CB157" s="318"/>
      <c r="CC157" s="318"/>
      <c r="CD157" s="318"/>
      <c r="CE157" s="318"/>
      <c r="CF157" s="318"/>
      <c r="CG157" s="318"/>
      <c r="CH157" s="318"/>
      <c r="CI157" s="318"/>
      <c r="CJ157" s="318"/>
      <c r="CK157" s="318"/>
      <c r="CL157" s="318"/>
      <c r="CM157" s="318"/>
      <c r="CN157" s="318"/>
      <c r="CO157" s="318"/>
      <c r="CP157" s="318"/>
      <c r="CQ157" s="318"/>
      <c r="CR157" s="318"/>
      <c r="CS157" s="318"/>
      <c r="CT157" s="318"/>
      <c r="CU157" s="318"/>
      <c r="CV157" s="318"/>
      <c r="CW157" s="318"/>
    </row>
    <row r="158" spans="1:101">
      <c r="A158" s="290"/>
      <c r="B158" s="290"/>
      <c r="C158" s="290"/>
      <c r="D158" s="290"/>
      <c r="E158" s="290"/>
      <c r="F158" s="290"/>
      <c r="G158" s="290"/>
      <c r="H158" s="290"/>
      <c r="I158" s="96"/>
      <c r="J158" s="290"/>
      <c r="K158" s="290"/>
      <c r="L158" s="290"/>
      <c r="M158" s="96"/>
      <c r="N158" s="290"/>
      <c r="O158" s="290"/>
      <c r="P158" s="290"/>
      <c r="Q158" s="290"/>
      <c r="R158" s="290"/>
      <c r="S158" s="290"/>
      <c r="T158" s="290"/>
      <c r="U158" s="290"/>
      <c r="V158" s="290"/>
      <c r="W158" s="290"/>
      <c r="X158" s="290"/>
      <c r="Y158" s="290"/>
      <c r="Z158" s="290"/>
      <c r="AA158" s="290"/>
      <c r="AB158" s="290"/>
      <c r="AC158" s="290"/>
      <c r="AD158" s="290"/>
      <c r="AE158" s="290"/>
      <c r="AF158" s="290"/>
      <c r="AG158" s="290"/>
      <c r="AH158" s="290"/>
      <c r="AI158" s="290"/>
      <c r="AJ158" s="290"/>
      <c r="AK158" s="290"/>
      <c r="AL158" s="290"/>
      <c r="AM158" s="290"/>
      <c r="AN158" s="290"/>
      <c r="AO158" s="290"/>
      <c r="AP158" s="318"/>
      <c r="AQ158" s="318"/>
      <c r="AR158" s="318"/>
      <c r="AS158" s="318"/>
      <c r="AT158" s="318"/>
      <c r="AU158" s="318"/>
      <c r="AV158" s="318"/>
      <c r="AW158" s="318"/>
      <c r="AX158" s="318"/>
      <c r="AY158" s="318"/>
      <c r="AZ158" s="318"/>
      <c r="BA158" s="318"/>
      <c r="BB158" s="318"/>
      <c r="BC158" s="318"/>
      <c r="BD158" s="318"/>
      <c r="BE158" s="318"/>
      <c r="BF158" s="318"/>
      <c r="BG158" s="318"/>
      <c r="BH158" s="318"/>
      <c r="BI158" s="318"/>
      <c r="BJ158" s="318"/>
      <c r="BK158" s="318"/>
      <c r="BL158" s="318"/>
      <c r="BM158" s="318"/>
      <c r="BN158" s="318"/>
      <c r="BO158" s="318"/>
      <c r="BP158" s="318"/>
      <c r="BQ158" s="318"/>
      <c r="BR158" s="318"/>
      <c r="BS158" s="318"/>
      <c r="BT158" s="318"/>
      <c r="BU158" s="318"/>
      <c r="BV158" s="318"/>
      <c r="BW158" s="318"/>
      <c r="BX158" s="318"/>
      <c r="BY158" s="318"/>
      <c r="BZ158" s="318"/>
      <c r="CA158" s="318"/>
      <c r="CB158" s="318"/>
      <c r="CC158" s="318"/>
      <c r="CD158" s="318"/>
      <c r="CE158" s="318"/>
      <c r="CF158" s="318"/>
      <c r="CG158" s="318"/>
      <c r="CH158" s="318"/>
      <c r="CI158" s="318"/>
      <c r="CJ158" s="318"/>
      <c r="CK158" s="318"/>
      <c r="CL158" s="318"/>
      <c r="CM158" s="318"/>
      <c r="CN158" s="318"/>
      <c r="CO158" s="318"/>
      <c r="CP158" s="318"/>
      <c r="CQ158" s="318"/>
      <c r="CR158" s="318"/>
      <c r="CS158" s="318"/>
      <c r="CT158" s="318"/>
      <c r="CU158" s="318"/>
      <c r="CV158" s="318"/>
      <c r="CW158" s="318"/>
    </row>
    <row r="159" spans="1:101">
      <c r="A159" s="290"/>
      <c r="B159" s="290"/>
      <c r="C159" s="290"/>
      <c r="D159" s="290"/>
      <c r="E159" s="290"/>
      <c r="F159" s="290"/>
      <c r="G159" s="290"/>
      <c r="H159" s="290"/>
      <c r="I159" s="96"/>
      <c r="J159" s="290"/>
      <c r="K159" s="290"/>
      <c r="L159" s="290"/>
      <c r="M159" s="96"/>
      <c r="N159" s="290"/>
      <c r="O159" s="290"/>
      <c r="P159" s="290"/>
      <c r="Q159" s="290"/>
      <c r="R159" s="290"/>
      <c r="S159" s="290"/>
      <c r="T159" s="290"/>
      <c r="U159" s="290"/>
      <c r="V159" s="290"/>
      <c r="W159" s="290"/>
      <c r="X159" s="290"/>
      <c r="Y159" s="290"/>
      <c r="Z159" s="290"/>
      <c r="AA159" s="290"/>
      <c r="AB159" s="290"/>
      <c r="AC159" s="290"/>
      <c r="AD159" s="290"/>
      <c r="AE159" s="290"/>
      <c r="AF159" s="290"/>
      <c r="AG159" s="290"/>
      <c r="AH159" s="290"/>
      <c r="AI159" s="290"/>
      <c r="AJ159" s="290"/>
      <c r="AK159" s="290"/>
      <c r="AL159" s="290"/>
      <c r="AM159" s="290"/>
      <c r="AN159" s="290"/>
      <c r="AO159" s="290"/>
      <c r="AP159" s="318"/>
      <c r="AQ159" s="318"/>
      <c r="AR159" s="318"/>
      <c r="AS159" s="318"/>
      <c r="AT159" s="318"/>
      <c r="AU159" s="318"/>
      <c r="AV159" s="318"/>
      <c r="AW159" s="318"/>
      <c r="AX159" s="318"/>
      <c r="AY159" s="318"/>
      <c r="AZ159" s="318"/>
      <c r="BA159" s="318"/>
      <c r="BB159" s="318"/>
      <c r="BC159" s="318"/>
      <c r="BD159" s="318"/>
      <c r="BE159" s="318"/>
      <c r="BF159" s="318"/>
      <c r="BG159" s="318"/>
      <c r="BH159" s="318"/>
      <c r="BI159" s="318"/>
      <c r="BJ159" s="318"/>
      <c r="BK159" s="318"/>
      <c r="BL159" s="318"/>
      <c r="BM159" s="318"/>
      <c r="BN159" s="318"/>
      <c r="BO159" s="318"/>
      <c r="BP159" s="318"/>
      <c r="BQ159" s="318"/>
      <c r="BR159" s="318"/>
      <c r="BS159" s="318"/>
      <c r="BT159" s="318"/>
      <c r="BU159" s="318"/>
      <c r="BV159" s="318"/>
      <c r="BW159" s="318"/>
      <c r="BX159" s="318"/>
      <c r="BY159" s="318"/>
      <c r="BZ159" s="318"/>
      <c r="CA159" s="318"/>
      <c r="CB159" s="318"/>
      <c r="CC159" s="318"/>
      <c r="CD159" s="318"/>
      <c r="CE159" s="318"/>
      <c r="CF159" s="318"/>
      <c r="CG159" s="318"/>
      <c r="CH159" s="318"/>
      <c r="CI159" s="318"/>
      <c r="CJ159" s="318"/>
      <c r="CK159" s="318"/>
      <c r="CL159" s="318"/>
      <c r="CM159" s="318"/>
      <c r="CN159" s="318"/>
      <c r="CO159" s="318"/>
      <c r="CP159" s="318"/>
      <c r="CQ159" s="318"/>
      <c r="CR159" s="318"/>
      <c r="CS159" s="318"/>
      <c r="CT159" s="318"/>
      <c r="CU159" s="318"/>
      <c r="CV159" s="318"/>
      <c r="CW159" s="318"/>
    </row>
    <row r="160" spans="1:101">
      <c r="A160" s="290"/>
      <c r="B160" s="290"/>
      <c r="C160" s="290"/>
      <c r="D160" s="290"/>
      <c r="E160" s="290"/>
      <c r="F160" s="290"/>
      <c r="G160" s="290"/>
      <c r="H160" s="290"/>
      <c r="I160" s="96"/>
      <c r="J160" s="290"/>
      <c r="K160" s="290"/>
      <c r="L160" s="290"/>
      <c r="M160" s="96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  <c r="Z160" s="290"/>
      <c r="AA160" s="290"/>
      <c r="AB160" s="290"/>
      <c r="AC160" s="290"/>
      <c r="AD160" s="290"/>
      <c r="AE160" s="290"/>
      <c r="AF160" s="290"/>
      <c r="AG160" s="290"/>
      <c r="AH160" s="290"/>
      <c r="AI160" s="290"/>
      <c r="AJ160" s="290"/>
      <c r="AK160" s="290"/>
      <c r="AL160" s="290"/>
      <c r="AM160" s="290"/>
      <c r="AN160" s="290"/>
      <c r="AO160" s="290"/>
      <c r="AP160" s="318"/>
      <c r="AQ160" s="318"/>
      <c r="AR160" s="318"/>
      <c r="AS160" s="318"/>
      <c r="AT160" s="318"/>
      <c r="AU160" s="318"/>
      <c r="AV160" s="318"/>
      <c r="AW160" s="318"/>
      <c r="AX160" s="318"/>
      <c r="AY160" s="318"/>
      <c r="AZ160" s="318"/>
      <c r="BA160" s="318"/>
      <c r="BB160" s="318"/>
      <c r="BC160" s="318"/>
      <c r="BD160" s="318"/>
      <c r="BE160" s="318"/>
      <c r="BF160" s="318"/>
      <c r="BG160" s="318"/>
      <c r="BH160" s="318"/>
      <c r="BI160" s="318"/>
      <c r="BJ160" s="318"/>
      <c r="BK160" s="318"/>
      <c r="BL160" s="318"/>
      <c r="BM160" s="318"/>
      <c r="BN160" s="318"/>
      <c r="BO160" s="318"/>
      <c r="BP160" s="318"/>
      <c r="BQ160" s="318"/>
      <c r="BR160" s="318"/>
      <c r="BS160" s="318"/>
      <c r="BT160" s="318"/>
      <c r="BU160" s="318"/>
      <c r="BV160" s="318"/>
      <c r="BW160" s="318"/>
      <c r="BX160" s="318"/>
      <c r="BY160" s="318"/>
      <c r="BZ160" s="318"/>
      <c r="CA160" s="318"/>
      <c r="CB160" s="318"/>
      <c r="CC160" s="318"/>
      <c r="CD160" s="318"/>
      <c r="CE160" s="318"/>
      <c r="CF160" s="318"/>
      <c r="CG160" s="318"/>
      <c r="CH160" s="318"/>
      <c r="CI160" s="318"/>
      <c r="CJ160" s="318"/>
      <c r="CK160" s="318"/>
      <c r="CL160" s="318"/>
      <c r="CM160" s="318"/>
      <c r="CN160" s="318"/>
      <c r="CO160" s="318"/>
      <c r="CP160" s="318"/>
      <c r="CQ160" s="318"/>
      <c r="CR160" s="318"/>
      <c r="CS160" s="318"/>
      <c r="CT160" s="318"/>
      <c r="CU160" s="318"/>
      <c r="CV160" s="318"/>
      <c r="CW160" s="318"/>
    </row>
  </sheetData>
  <phoneticPr fontId="12" type="noConversion"/>
  <conditionalFormatting sqref="AA80:AA81 AM80:AM81 AP80:AP81 AR80:AT81 BK80:CK81">
    <cfRule type="cellIs" dxfId="1420" priority="1849" stopIfTrue="1" operator="lessThan">
      <formula>0</formula>
    </cfRule>
  </conditionalFormatting>
  <conditionalFormatting sqref="AM79 AR79:AT79 BK79:CW79">
    <cfRule type="cellIs" dxfId="1419" priority="1760" stopIfTrue="1" operator="lessThan">
      <formula>0</formula>
    </cfRule>
  </conditionalFormatting>
  <conditionalFormatting sqref="AM92 AP92 AR92:AS92 BK92:CW92">
    <cfRule type="cellIs" dxfId="1418" priority="1750" stopIfTrue="1" operator="lessThan">
      <formula>0</formula>
    </cfRule>
  </conditionalFormatting>
  <conditionalFormatting sqref="AB80:AC81">
    <cfRule type="cellIs" dxfId="1417" priority="1739" stopIfTrue="1" operator="lessThan">
      <formula>0</formula>
    </cfRule>
  </conditionalFormatting>
  <conditionalFormatting sqref="B80:Z81">
    <cfRule type="cellIs" dxfId="1416" priority="1734" stopIfTrue="1" operator="lessThan">
      <formula>0</formula>
    </cfRule>
  </conditionalFormatting>
  <conditionalFormatting sqref="AM68:AM71 AR68:AT71 BK68:CK71">
    <cfRule type="cellIs" dxfId="1415" priority="1732" stopIfTrue="1" operator="lessThan">
      <formula>0</formula>
    </cfRule>
  </conditionalFormatting>
  <conditionalFormatting sqref="AM73:AM77 AR73:AT77 BK73:CK77">
    <cfRule type="cellIs" dxfId="1414" priority="1729" stopIfTrue="1" operator="lessThan">
      <formula>0</formula>
    </cfRule>
  </conditionalFormatting>
  <conditionalFormatting sqref="AM82:AM85 AP82:AP85 AR85:AS85 AR82:AT84 BK82:CK83 BK84:CW85">
    <cfRule type="cellIs" dxfId="1413" priority="1726" stopIfTrue="1" operator="lessThan">
      <formula>0</formula>
    </cfRule>
  </conditionalFormatting>
  <conditionalFormatting sqref="AM87:AM90 AP87:AP90 AR87:AT90 BK89:CW89 BK87:CK90">
    <cfRule type="cellIs" dxfId="1412" priority="1723" stopIfTrue="1" operator="lessThan">
      <formula>0</formula>
    </cfRule>
  </conditionalFormatting>
  <conditionalFormatting sqref="AM93:AM97 AP93:AP98 AR93:AS94 AR95:AT98 BK93:CK98">
    <cfRule type="cellIs" dxfId="1411" priority="1720" stopIfTrue="1" operator="lessThan">
      <formula>0</formula>
    </cfRule>
  </conditionalFormatting>
  <conditionalFormatting sqref="AM78 AR78:AT78 BK78:CW78">
    <cfRule type="cellIs" dxfId="1410" priority="1717" stopIfTrue="1" operator="lessThan">
      <formula>0</formula>
    </cfRule>
  </conditionalFormatting>
  <conditionalFormatting sqref="AM72 AR72:AT72 BK72:CW72">
    <cfRule type="cellIs" dxfId="1409" priority="1714" stopIfTrue="1" operator="lessThan">
      <formula>0</formula>
    </cfRule>
  </conditionalFormatting>
  <conditionalFormatting sqref="AM86 AP86 AR86:AS86 BK86:CW86">
    <cfRule type="cellIs" dxfId="1408" priority="1711" stopIfTrue="1" operator="lessThan">
      <formula>0</formula>
    </cfRule>
  </conditionalFormatting>
  <conditionalFormatting sqref="AM91 AP91 AR91:AT91 BK91:CW91">
    <cfRule type="cellIs" dxfId="1407" priority="1708" stopIfTrue="1" operator="lessThan">
      <formula>0</formula>
    </cfRule>
  </conditionalFormatting>
  <conditionalFormatting sqref="AE79:AE81 AE92">
    <cfRule type="cellIs" dxfId="1406" priority="1695" stopIfTrue="1" operator="lessThan">
      <formula>0</formula>
    </cfRule>
  </conditionalFormatting>
  <conditionalFormatting sqref="AE68:AE71">
    <cfRule type="cellIs" dxfId="1405" priority="1694" stopIfTrue="1" operator="lessThan">
      <formula>0</formula>
    </cfRule>
  </conditionalFormatting>
  <conditionalFormatting sqref="AE73:AE77">
    <cfRule type="cellIs" dxfId="1404" priority="1693" stopIfTrue="1" operator="lessThan">
      <formula>0</formula>
    </cfRule>
  </conditionalFormatting>
  <conditionalFormatting sqref="AE82:AE85">
    <cfRule type="cellIs" dxfId="1403" priority="1692" stopIfTrue="1" operator="lessThan">
      <formula>0</formula>
    </cfRule>
  </conditionalFormatting>
  <conditionalFormatting sqref="AE87:AE90">
    <cfRule type="cellIs" dxfId="1402" priority="1691" stopIfTrue="1" operator="lessThan">
      <formula>0</formula>
    </cfRule>
  </conditionalFormatting>
  <conditionalFormatting sqref="AE93:AE96">
    <cfRule type="cellIs" dxfId="1401" priority="1690" stopIfTrue="1" operator="lessThan">
      <formula>0</formula>
    </cfRule>
  </conditionalFormatting>
  <conditionalFormatting sqref="AE78">
    <cfRule type="cellIs" dxfId="1400" priority="1689" stopIfTrue="1" operator="lessThan">
      <formula>0</formula>
    </cfRule>
  </conditionalFormatting>
  <conditionalFormatting sqref="AE72">
    <cfRule type="cellIs" dxfId="1399" priority="1688" stopIfTrue="1" operator="lessThan">
      <formula>0</formula>
    </cfRule>
  </conditionalFormatting>
  <conditionalFormatting sqref="AE86">
    <cfRule type="cellIs" dxfId="1398" priority="1687" stopIfTrue="1" operator="lessThan">
      <formula>0</formula>
    </cfRule>
  </conditionalFormatting>
  <conditionalFormatting sqref="AE91">
    <cfRule type="cellIs" dxfId="1397" priority="1686" stopIfTrue="1" operator="lessThan">
      <formula>0</formula>
    </cfRule>
  </conditionalFormatting>
  <conditionalFormatting sqref="AD80:AD81">
    <cfRule type="cellIs" dxfId="1396" priority="1685" stopIfTrue="1" operator="lessThan">
      <formula>0</formula>
    </cfRule>
  </conditionalFormatting>
  <conditionalFormatting sqref="AD80:AD81">
    <cfRule type="cellIs" dxfId="1395" priority="1684" stopIfTrue="1" operator="lessThan">
      <formula>0</formula>
    </cfRule>
  </conditionalFormatting>
  <conditionalFormatting sqref="AE80:AE81">
    <cfRule type="cellIs" dxfId="1394" priority="1683" stopIfTrue="1" operator="lessThan">
      <formula>0</formula>
    </cfRule>
  </conditionalFormatting>
  <conditionalFormatting sqref="AF79:AF81 AF92">
    <cfRule type="cellIs" dxfId="1393" priority="1682" stopIfTrue="1" operator="lessThan">
      <formula>0</formula>
    </cfRule>
  </conditionalFormatting>
  <conditionalFormatting sqref="AF68:AF71">
    <cfRule type="cellIs" dxfId="1392" priority="1681" stopIfTrue="1" operator="lessThan">
      <formula>0</formula>
    </cfRule>
  </conditionalFormatting>
  <conditionalFormatting sqref="AF73:AF77">
    <cfRule type="cellIs" dxfId="1391" priority="1680" stopIfTrue="1" operator="lessThan">
      <formula>0</formula>
    </cfRule>
  </conditionalFormatting>
  <conditionalFormatting sqref="AF82:AF85">
    <cfRule type="cellIs" dxfId="1390" priority="1679" stopIfTrue="1" operator="lessThan">
      <formula>0</formula>
    </cfRule>
  </conditionalFormatting>
  <conditionalFormatting sqref="AF87:AF90">
    <cfRule type="cellIs" dxfId="1389" priority="1678" stopIfTrue="1" operator="lessThan">
      <formula>0</formula>
    </cfRule>
  </conditionalFormatting>
  <conditionalFormatting sqref="AF93:AF96">
    <cfRule type="cellIs" dxfId="1388" priority="1677" stopIfTrue="1" operator="lessThan">
      <formula>0</formula>
    </cfRule>
  </conditionalFormatting>
  <conditionalFormatting sqref="AF78">
    <cfRule type="cellIs" dxfId="1387" priority="1676" stopIfTrue="1" operator="lessThan">
      <formula>0</formula>
    </cfRule>
  </conditionalFormatting>
  <conditionalFormatting sqref="AF72">
    <cfRule type="cellIs" dxfId="1386" priority="1675" stopIfTrue="1" operator="lessThan">
      <formula>0</formula>
    </cfRule>
  </conditionalFormatting>
  <conditionalFormatting sqref="AF86">
    <cfRule type="cellIs" dxfId="1385" priority="1674" stopIfTrue="1" operator="lessThan">
      <formula>0</formula>
    </cfRule>
  </conditionalFormatting>
  <conditionalFormatting sqref="AF91">
    <cfRule type="cellIs" dxfId="1384" priority="1673" stopIfTrue="1" operator="lessThan">
      <formula>0</formula>
    </cfRule>
  </conditionalFormatting>
  <conditionalFormatting sqref="AF80:AF81">
    <cfRule type="cellIs" dxfId="1383" priority="1672" stopIfTrue="1" operator="lessThan">
      <formula>0</formula>
    </cfRule>
  </conditionalFormatting>
  <conditionalFormatting sqref="AG79:AG81 AG92">
    <cfRule type="cellIs" dxfId="1382" priority="1671" stopIfTrue="1" operator="lessThan">
      <formula>0</formula>
    </cfRule>
  </conditionalFormatting>
  <conditionalFormatting sqref="AG68:AG71">
    <cfRule type="cellIs" dxfId="1381" priority="1670" stopIfTrue="1" operator="lessThan">
      <formula>0</formula>
    </cfRule>
  </conditionalFormatting>
  <conditionalFormatting sqref="AG73:AG77">
    <cfRule type="cellIs" dxfId="1380" priority="1669" stopIfTrue="1" operator="lessThan">
      <formula>0</formula>
    </cfRule>
  </conditionalFormatting>
  <conditionalFormatting sqref="AG82:AG85">
    <cfRule type="cellIs" dxfId="1379" priority="1668" stopIfTrue="1" operator="lessThan">
      <formula>0</formula>
    </cfRule>
  </conditionalFormatting>
  <conditionalFormatting sqref="AG87:AG90">
    <cfRule type="cellIs" dxfId="1378" priority="1667" stopIfTrue="1" operator="lessThan">
      <formula>0</formula>
    </cfRule>
  </conditionalFormatting>
  <conditionalFormatting sqref="AG93:AG96">
    <cfRule type="cellIs" dxfId="1377" priority="1666" stopIfTrue="1" operator="lessThan">
      <formula>0</formula>
    </cfRule>
  </conditionalFormatting>
  <conditionalFormatting sqref="AG78">
    <cfRule type="cellIs" dxfId="1376" priority="1665" stopIfTrue="1" operator="lessThan">
      <formula>0</formula>
    </cfRule>
  </conditionalFormatting>
  <conditionalFormatting sqref="AG72">
    <cfRule type="cellIs" dxfId="1375" priority="1664" stopIfTrue="1" operator="lessThan">
      <formula>0</formula>
    </cfRule>
  </conditionalFormatting>
  <conditionalFormatting sqref="AG86">
    <cfRule type="cellIs" dxfId="1374" priority="1663" stopIfTrue="1" operator="lessThan">
      <formula>0</formula>
    </cfRule>
  </conditionalFormatting>
  <conditionalFormatting sqref="AG91">
    <cfRule type="cellIs" dxfId="1373" priority="1662" stopIfTrue="1" operator="lessThan">
      <formula>0</formula>
    </cfRule>
  </conditionalFormatting>
  <conditionalFormatting sqref="AG80:AG81">
    <cfRule type="cellIs" dxfId="1372" priority="1661" stopIfTrue="1" operator="lessThan">
      <formula>0</formula>
    </cfRule>
  </conditionalFormatting>
  <conditionalFormatting sqref="AH79:AH81 AH92">
    <cfRule type="cellIs" dxfId="1371" priority="1660" stopIfTrue="1" operator="lessThan">
      <formula>0</formula>
    </cfRule>
  </conditionalFormatting>
  <conditionalFormatting sqref="AH68:AH71">
    <cfRule type="cellIs" dxfId="1370" priority="1659" stopIfTrue="1" operator="lessThan">
      <formula>0</formula>
    </cfRule>
  </conditionalFormatting>
  <conditionalFormatting sqref="AH73:AH77">
    <cfRule type="cellIs" dxfId="1369" priority="1658" stopIfTrue="1" operator="lessThan">
      <formula>0</formula>
    </cfRule>
  </conditionalFormatting>
  <conditionalFormatting sqref="AH82:AH85">
    <cfRule type="cellIs" dxfId="1368" priority="1657" stopIfTrue="1" operator="lessThan">
      <formula>0</formula>
    </cfRule>
  </conditionalFormatting>
  <conditionalFormatting sqref="AH87:AH90">
    <cfRule type="cellIs" dxfId="1367" priority="1656" stopIfTrue="1" operator="lessThan">
      <formula>0</formula>
    </cfRule>
  </conditionalFormatting>
  <conditionalFormatting sqref="AH93:AH96">
    <cfRule type="cellIs" dxfId="1366" priority="1655" stopIfTrue="1" operator="lessThan">
      <formula>0</formula>
    </cfRule>
  </conditionalFormatting>
  <conditionalFormatting sqref="AH78">
    <cfRule type="cellIs" dxfId="1365" priority="1654" stopIfTrue="1" operator="lessThan">
      <formula>0</formula>
    </cfRule>
  </conditionalFormatting>
  <conditionalFormatting sqref="AH72">
    <cfRule type="cellIs" dxfId="1364" priority="1653" stopIfTrue="1" operator="lessThan">
      <formula>0</formula>
    </cfRule>
  </conditionalFormatting>
  <conditionalFormatting sqref="AH86">
    <cfRule type="cellIs" dxfId="1363" priority="1652" stopIfTrue="1" operator="lessThan">
      <formula>0</formula>
    </cfRule>
  </conditionalFormatting>
  <conditionalFormatting sqref="AH91">
    <cfRule type="cellIs" dxfId="1362" priority="1651" stopIfTrue="1" operator="lessThan">
      <formula>0</formula>
    </cfRule>
  </conditionalFormatting>
  <conditionalFormatting sqref="AH80:AH81">
    <cfRule type="cellIs" dxfId="1361" priority="1650" stopIfTrue="1" operator="lessThan">
      <formula>0</formula>
    </cfRule>
  </conditionalFormatting>
  <conditionalFormatting sqref="AI79:AI81 AI92">
    <cfRule type="cellIs" dxfId="1360" priority="1649" stopIfTrue="1" operator="lessThan">
      <formula>0</formula>
    </cfRule>
  </conditionalFormatting>
  <conditionalFormatting sqref="AI68:AI71">
    <cfRule type="cellIs" dxfId="1359" priority="1648" stopIfTrue="1" operator="lessThan">
      <formula>0</formula>
    </cfRule>
  </conditionalFormatting>
  <conditionalFormatting sqref="AI73:AI77">
    <cfRule type="cellIs" dxfId="1358" priority="1647" stopIfTrue="1" operator="lessThan">
      <formula>0</formula>
    </cfRule>
  </conditionalFormatting>
  <conditionalFormatting sqref="AI82:AI85">
    <cfRule type="cellIs" dxfId="1357" priority="1646" stopIfTrue="1" operator="lessThan">
      <formula>0</formula>
    </cfRule>
  </conditionalFormatting>
  <conditionalFormatting sqref="AI87:AI90">
    <cfRule type="cellIs" dxfId="1356" priority="1645" stopIfTrue="1" operator="lessThan">
      <formula>0</formula>
    </cfRule>
  </conditionalFormatting>
  <conditionalFormatting sqref="AI93:AI96">
    <cfRule type="cellIs" dxfId="1355" priority="1644" stopIfTrue="1" operator="lessThan">
      <formula>0</formula>
    </cfRule>
  </conditionalFormatting>
  <conditionalFormatting sqref="AI78">
    <cfRule type="cellIs" dxfId="1354" priority="1643" stopIfTrue="1" operator="lessThan">
      <formula>0</formula>
    </cfRule>
  </conditionalFormatting>
  <conditionalFormatting sqref="AI72">
    <cfRule type="cellIs" dxfId="1353" priority="1642" stopIfTrue="1" operator="lessThan">
      <formula>0</formula>
    </cfRule>
  </conditionalFormatting>
  <conditionalFormatting sqref="AI86">
    <cfRule type="cellIs" dxfId="1352" priority="1641" stopIfTrue="1" operator="lessThan">
      <formula>0</formula>
    </cfRule>
  </conditionalFormatting>
  <conditionalFormatting sqref="AI91">
    <cfRule type="cellIs" dxfId="1351" priority="1640" stopIfTrue="1" operator="lessThan">
      <formula>0</formula>
    </cfRule>
  </conditionalFormatting>
  <conditionalFormatting sqref="AI80:AI81">
    <cfRule type="cellIs" dxfId="1350" priority="1639" stopIfTrue="1" operator="lessThan">
      <formula>0</formula>
    </cfRule>
  </conditionalFormatting>
  <conditionalFormatting sqref="AJ79:AJ81 AJ92">
    <cfRule type="cellIs" dxfId="1349" priority="1638" stopIfTrue="1" operator="lessThan">
      <formula>0</formula>
    </cfRule>
  </conditionalFormatting>
  <conditionalFormatting sqref="AJ68:AJ71">
    <cfRule type="cellIs" dxfId="1348" priority="1637" stopIfTrue="1" operator="lessThan">
      <formula>0</formula>
    </cfRule>
  </conditionalFormatting>
  <conditionalFormatting sqref="AJ73:AJ77">
    <cfRule type="cellIs" dxfId="1347" priority="1636" stopIfTrue="1" operator="lessThan">
      <formula>0</formula>
    </cfRule>
  </conditionalFormatting>
  <conditionalFormatting sqref="AJ82:AJ85">
    <cfRule type="cellIs" dxfId="1346" priority="1635" stopIfTrue="1" operator="lessThan">
      <formula>0</formula>
    </cfRule>
  </conditionalFormatting>
  <conditionalFormatting sqref="AJ87:AJ90">
    <cfRule type="cellIs" dxfId="1345" priority="1634" stopIfTrue="1" operator="lessThan">
      <formula>0</formula>
    </cfRule>
  </conditionalFormatting>
  <conditionalFormatting sqref="AJ93:AJ96">
    <cfRule type="cellIs" dxfId="1344" priority="1633" stopIfTrue="1" operator="lessThan">
      <formula>0</formula>
    </cfRule>
  </conditionalFormatting>
  <conditionalFormatting sqref="AJ78">
    <cfRule type="cellIs" dxfId="1343" priority="1632" stopIfTrue="1" operator="lessThan">
      <formula>0</formula>
    </cfRule>
  </conditionalFormatting>
  <conditionalFormatting sqref="AJ72">
    <cfRule type="cellIs" dxfId="1342" priority="1631" stopIfTrue="1" operator="lessThan">
      <formula>0</formula>
    </cfRule>
  </conditionalFormatting>
  <conditionalFormatting sqref="AJ86">
    <cfRule type="cellIs" dxfId="1341" priority="1630" stopIfTrue="1" operator="lessThan">
      <formula>0</formula>
    </cfRule>
  </conditionalFormatting>
  <conditionalFormatting sqref="AJ91">
    <cfRule type="cellIs" dxfId="1340" priority="1629" stopIfTrue="1" operator="lessThan">
      <formula>0</formula>
    </cfRule>
  </conditionalFormatting>
  <conditionalFormatting sqref="AJ80:AJ81">
    <cfRule type="cellIs" dxfId="1339" priority="1628" stopIfTrue="1" operator="lessThan">
      <formula>0</formula>
    </cfRule>
  </conditionalFormatting>
  <conditionalFormatting sqref="AK79 AK92">
    <cfRule type="cellIs" dxfId="1338" priority="1627" stopIfTrue="1" operator="lessThan">
      <formula>0</formula>
    </cfRule>
  </conditionalFormatting>
  <conditionalFormatting sqref="AK68:AK71">
    <cfRule type="cellIs" dxfId="1337" priority="1626" stopIfTrue="1" operator="lessThan">
      <formula>0</formula>
    </cfRule>
  </conditionalFormatting>
  <conditionalFormatting sqref="AK73:AK77">
    <cfRule type="cellIs" dxfId="1336" priority="1625" stopIfTrue="1" operator="lessThan">
      <formula>0</formula>
    </cfRule>
  </conditionalFormatting>
  <conditionalFormatting sqref="AK82:AK85">
    <cfRule type="cellIs" dxfId="1335" priority="1624" stopIfTrue="1" operator="lessThan">
      <formula>0</formula>
    </cfRule>
  </conditionalFormatting>
  <conditionalFormatting sqref="AK87:AK90">
    <cfRule type="cellIs" dxfId="1334" priority="1623" stopIfTrue="1" operator="lessThan">
      <formula>0</formula>
    </cfRule>
  </conditionalFormatting>
  <conditionalFormatting sqref="AK93:AK96">
    <cfRule type="cellIs" dxfId="1333" priority="1622" stopIfTrue="1" operator="lessThan">
      <formula>0</formula>
    </cfRule>
  </conditionalFormatting>
  <conditionalFormatting sqref="AK78">
    <cfRule type="cellIs" dxfId="1332" priority="1621" stopIfTrue="1" operator="lessThan">
      <formula>0</formula>
    </cfRule>
  </conditionalFormatting>
  <conditionalFormatting sqref="AK72">
    <cfRule type="cellIs" dxfId="1331" priority="1620" stopIfTrue="1" operator="lessThan">
      <formula>0</formula>
    </cfRule>
  </conditionalFormatting>
  <conditionalFormatting sqref="AK86">
    <cfRule type="cellIs" dxfId="1330" priority="1619" stopIfTrue="1" operator="lessThan">
      <formula>0</formula>
    </cfRule>
  </conditionalFormatting>
  <conditionalFormatting sqref="AK91">
    <cfRule type="cellIs" dxfId="1329" priority="1618" stopIfTrue="1" operator="lessThan">
      <formula>0</formula>
    </cfRule>
  </conditionalFormatting>
  <conditionalFormatting sqref="AL68:AL71">
    <cfRule type="cellIs" dxfId="1328" priority="1615" stopIfTrue="1" operator="lessThan">
      <formula>0</formula>
    </cfRule>
  </conditionalFormatting>
  <conditionalFormatting sqref="AL79:AL81 AL92">
    <cfRule type="cellIs" dxfId="1327" priority="1616" stopIfTrue="1" operator="lessThan">
      <formula>0</formula>
    </cfRule>
  </conditionalFormatting>
  <conditionalFormatting sqref="AL73:AL77">
    <cfRule type="cellIs" dxfId="1326" priority="1614" stopIfTrue="1" operator="lessThan">
      <formula>0</formula>
    </cfRule>
  </conditionalFormatting>
  <conditionalFormatting sqref="AL82:AL85">
    <cfRule type="cellIs" dxfId="1325" priority="1613" stopIfTrue="1" operator="lessThan">
      <formula>0</formula>
    </cfRule>
  </conditionalFormatting>
  <conditionalFormatting sqref="AL87:AL90">
    <cfRule type="cellIs" dxfId="1324" priority="1612" stopIfTrue="1" operator="lessThan">
      <formula>0</formula>
    </cfRule>
  </conditionalFormatting>
  <conditionalFormatting sqref="AL93:AL96">
    <cfRule type="cellIs" dxfId="1323" priority="1611" stopIfTrue="1" operator="lessThan">
      <formula>0</formula>
    </cfRule>
  </conditionalFormatting>
  <conditionalFormatting sqref="AL78">
    <cfRule type="cellIs" dxfId="1322" priority="1610" stopIfTrue="1" operator="lessThan">
      <formula>0</formula>
    </cfRule>
  </conditionalFormatting>
  <conditionalFormatting sqref="AL72">
    <cfRule type="cellIs" dxfId="1321" priority="1609" stopIfTrue="1" operator="lessThan">
      <formula>0</formula>
    </cfRule>
  </conditionalFormatting>
  <conditionalFormatting sqref="AL86">
    <cfRule type="cellIs" dxfId="1320" priority="1608" stopIfTrue="1" operator="lessThan">
      <formula>0</formula>
    </cfRule>
  </conditionalFormatting>
  <conditionalFormatting sqref="AL91">
    <cfRule type="cellIs" dxfId="1319" priority="1607" stopIfTrue="1" operator="lessThan">
      <formula>0</formula>
    </cfRule>
  </conditionalFormatting>
  <conditionalFormatting sqref="AL80:AL81">
    <cfRule type="cellIs" dxfId="1318" priority="1606" stopIfTrue="1" operator="lessThan">
      <formula>0</formula>
    </cfRule>
  </conditionalFormatting>
  <conditionalFormatting sqref="AK80:AK81">
    <cfRule type="cellIs" dxfId="1317" priority="1605" stopIfTrue="1" operator="lessThan">
      <formula>0</formula>
    </cfRule>
  </conditionalFormatting>
  <conditionalFormatting sqref="AK80:AK81">
    <cfRule type="cellIs" dxfId="1316" priority="1604" stopIfTrue="1" operator="lessThan">
      <formula>0</formula>
    </cfRule>
  </conditionalFormatting>
  <conditionalFormatting sqref="AL79 AL92">
    <cfRule type="cellIs" dxfId="1315" priority="1603" stopIfTrue="1" operator="lessThan">
      <formula>0</formula>
    </cfRule>
  </conditionalFormatting>
  <conditionalFormatting sqref="AL68:AL71">
    <cfRule type="cellIs" dxfId="1314" priority="1602" stopIfTrue="1" operator="lessThan">
      <formula>0</formula>
    </cfRule>
  </conditionalFormatting>
  <conditionalFormatting sqref="AL73:AL77">
    <cfRule type="cellIs" dxfId="1313" priority="1601" stopIfTrue="1" operator="lessThan">
      <formula>0</formula>
    </cfRule>
  </conditionalFormatting>
  <conditionalFormatting sqref="AL82:AL85">
    <cfRule type="cellIs" dxfId="1312" priority="1600" stopIfTrue="1" operator="lessThan">
      <formula>0</formula>
    </cfRule>
  </conditionalFormatting>
  <conditionalFormatting sqref="AL87:AL90">
    <cfRule type="cellIs" dxfId="1311" priority="1599" stopIfTrue="1" operator="lessThan">
      <formula>0</formula>
    </cfRule>
  </conditionalFormatting>
  <conditionalFormatting sqref="AL93:AL96">
    <cfRule type="cellIs" dxfId="1310" priority="1598" stopIfTrue="1" operator="lessThan">
      <formula>0</formula>
    </cfRule>
  </conditionalFormatting>
  <conditionalFormatting sqref="AL78">
    <cfRule type="cellIs" dxfId="1309" priority="1597" stopIfTrue="1" operator="lessThan">
      <formula>0</formula>
    </cfRule>
  </conditionalFormatting>
  <conditionalFormatting sqref="AL72">
    <cfRule type="cellIs" dxfId="1308" priority="1596" stopIfTrue="1" operator="lessThan">
      <formula>0</formula>
    </cfRule>
  </conditionalFormatting>
  <conditionalFormatting sqref="AL86">
    <cfRule type="cellIs" dxfId="1307" priority="1595" stopIfTrue="1" operator="lessThan">
      <formula>0</formula>
    </cfRule>
  </conditionalFormatting>
  <conditionalFormatting sqref="AL91">
    <cfRule type="cellIs" dxfId="1306" priority="1594" stopIfTrue="1" operator="lessThan">
      <formula>0</formula>
    </cfRule>
  </conditionalFormatting>
  <conditionalFormatting sqref="AM68:AM71">
    <cfRule type="cellIs" dxfId="1305" priority="1592" stopIfTrue="1" operator="lessThan">
      <formula>0</formula>
    </cfRule>
  </conditionalFormatting>
  <conditionalFormatting sqref="AM79:AM81 AM92">
    <cfRule type="cellIs" dxfId="1304" priority="1593" stopIfTrue="1" operator="lessThan">
      <formula>0</formula>
    </cfRule>
  </conditionalFormatting>
  <conditionalFormatting sqref="AM73:AM77">
    <cfRule type="cellIs" dxfId="1303" priority="1591" stopIfTrue="1" operator="lessThan">
      <formula>0</formula>
    </cfRule>
  </conditionalFormatting>
  <conditionalFormatting sqref="AM82:AM85">
    <cfRule type="cellIs" dxfId="1302" priority="1590" stopIfTrue="1" operator="lessThan">
      <formula>0</formula>
    </cfRule>
  </conditionalFormatting>
  <conditionalFormatting sqref="AM87:AM90">
    <cfRule type="cellIs" dxfId="1301" priority="1589" stopIfTrue="1" operator="lessThan">
      <formula>0</formula>
    </cfRule>
  </conditionalFormatting>
  <conditionalFormatting sqref="AM93:AM96">
    <cfRule type="cellIs" dxfId="1300" priority="1588" stopIfTrue="1" operator="lessThan">
      <formula>0</formula>
    </cfRule>
  </conditionalFormatting>
  <conditionalFormatting sqref="AM78">
    <cfRule type="cellIs" dxfId="1299" priority="1587" stopIfTrue="1" operator="lessThan">
      <formula>0</formula>
    </cfRule>
  </conditionalFormatting>
  <conditionalFormatting sqref="AM72">
    <cfRule type="cellIs" dxfId="1298" priority="1586" stopIfTrue="1" operator="lessThan">
      <formula>0</formula>
    </cfRule>
  </conditionalFormatting>
  <conditionalFormatting sqref="AM86">
    <cfRule type="cellIs" dxfId="1297" priority="1585" stopIfTrue="1" operator="lessThan">
      <formula>0</formula>
    </cfRule>
  </conditionalFormatting>
  <conditionalFormatting sqref="AM91">
    <cfRule type="cellIs" dxfId="1296" priority="1584" stopIfTrue="1" operator="lessThan">
      <formula>0</formula>
    </cfRule>
  </conditionalFormatting>
  <conditionalFormatting sqref="AM80:AM81">
    <cfRule type="cellIs" dxfId="1295" priority="1583" stopIfTrue="1" operator="lessThan">
      <formula>0</formula>
    </cfRule>
  </conditionalFormatting>
  <conditionalFormatting sqref="AL80:AL81">
    <cfRule type="cellIs" dxfId="1294" priority="1582" stopIfTrue="1" operator="lessThan">
      <formula>0</formula>
    </cfRule>
  </conditionalFormatting>
  <conditionalFormatting sqref="AL80:AL81">
    <cfRule type="cellIs" dxfId="1293" priority="1581" stopIfTrue="1" operator="lessThan">
      <formula>0</formula>
    </cfRule>
  </conditionalFormatting>
  <conditionalFormatting sqref="AM98">
    <cfRule type="cellIs" dxfId="1292" priority="1580" stopIfTrue="1" operator="lessThan">
      <formula>0</formula>
    </cfRule>
  </conditionalFormatting>
  <conditionalFormatting sqref="AM98">
    <cfRule type="cellIs" dxfId="1291" priority="1579" stopIfTrue="1" operator="lessThan">
      <formula>0</formula>
    </cfRule>
  </conditionalFormatting>
  <conditionalFormatting sqref="B98:AN98">
    <cfRule type="cellIs" dxfId="1290" priority="1542" stopIfTrue="1" operator="lessThan">
      <formula>0</formula>
    </cfRule>
  </conditionalFormatting>
  <conditionalFormatting sqref="BT80:BT81">
    <cfRule type="cellIs" dxfId="1289" priority="1578" stopIfTrue="1" operator="lessThan">
      <formula>0</formula>
    </cfRule>
  </conditionalFormatting>
  <conditionalFormatting sqref="BT79">
    <cfRule type="cellIs" dxfId="1288" priority="1577" stopIfTrue="1" operator="lessThan">
      <formula>0</formula>
    </cfRule>
  </conditionalFormatting>
  <conditionalFormatting sqref="BT92">
    <cfRule type="cellIs" dxfId="1287" priority="1576" stopIfTrue="1" operator="lessThan">
      <formula>0</formula>
    </cfRule>
  </conditionalFormatting>
  <conditionalFormatting sqref="BT68:BT71">
    <cfRule type="cellIs" dxfId="1286" priority="1575" stopIfTrue="1" operator="lessThan">
      <formula>0</formula>
    </cfRule>
  </conditionalFormatting>
  <conditionalFormatting sqref="BT73:BT77">
    <cfRule type="cellIs" dxfId="1285" priority="1574" stopIfTrue="1" operator="lessThan">
      <formula>0</formula>
    </cfRule>
  </conditionalFormatting>
  <conditionalFormatting sqref="BT82:BT85">
    <cfRule type="cellIs" dxfId="1284" priority="1573" stopIfTrue="1" operator="lessThan">
      <formula>0</formula>
    </cfRule>
  </conditionalFormatting>
  <conditionalFormatting sqref="BT87:BT90">
    <cfRule type="cellIs" dxfId="1283" priority="1572" stopIfTrue="1" operator="lessThan">
      <formula>0</formula>
    </cfRule>
  </conditionalFormatting>
  <conditionalFormatting sqref="BT93:BT98">
    <cfRule type="cellIs" dxfId="1282" priority="1571" stopIfTrue="1" operator="lessThan">
      <formula>0</formula>
    </cfRule>
  </conditionalFormatting>
  <conditionalFormatting sqref="BT78">
    <cfRule type="cellIs" dxfId="1281" priority="1570" stopIfTrue="1" operator="lessThan">
      <formula>0</formula>
    </cfRule>
  </conditionalFormatting>
  <conditionalFormatting sqref="BT72">
    <cfRule type="cellIs" dxfId="1280" priority="1569" stopIfTrue="1" operator="lessThan">
      <formula>0</formula>
    </cfRule>
  </conditionalFormatting>
  <conditionalFormatting sqref="BT86">
    <cfRule type="cellIs" dxfId="1279" priority="1568" stopIfTrue="1" operator="lessThan">
      <formula>0</formula>
    </cfRule>
  </conditionalFormatting>
  <conditionalFormatting sqref="BT91">
    <cfRule type="cellIs" dxfId="1278" priority="1567" stopIfTrue="1" operator="lessThan">
      <formula>0</formula>
    </cfRule>
  </conditionalFormatting>
  <conditionalFormatting sqref="AN80:AN81">
    <cfRule type="cellIs" dxfId="1277" priority="1566" stopIfTrue="1" operator="lessThan">
      <formula>0</formula>
    </cfRule>
  </conditionalFormatting>
  <conditionalFormatting sqref="AN79">
    <cfRule type="cellIs" dxfId="1276" priority="1565" stopIfTrue="1" operator="lessThan">
      <formula>0</formula>
    </cfRule>
  </conditionalFormatting>
  <conditionalFormatting sqref="AN92">
    <cfRule type="cellIs" dxfId="1275" priority="1564" stopIfTrue="1" operator="lessThan">
      <formula>0</formula>
    </cfRule>
  </conditionalFormatting>
  <conditionalFormatting sqref="AN68:AN71">
    <cfRule type="cellIs" dxfId="1274" priority="1563" stopIfTrue="1" operator="lessThan">
      <formula>0</formula>
    </cfRule>
  </conditionalFormatting>
  <conditionalFormatting sqref="AN73:AN77">
    <cfRule type="cellIs" dxfId="1273" priority="1562" stopIfTrue="1" operator="lessThan">
      <formula>0</formula>
    </cfRule>
  </conditionalFormatting>
  <conditionalFormatting sqref="AN82:AN85">
    <cfRule type="cellIs" dxfId="1272" priority="1561" stopIfTrue="1" operator="lessThan">
      <formula>0</formula>
    </cfRule>
  </conditionalFormatting>
  <conditionalFormatting sqref="AN87:AN90">
    <cfRule type="cellIs" dxfId="1271" priority="1560" stopIfTrue="1" operator="lessThan">
      <formula>0</formula>
    </cfRule>
  </conditionalFormatting>
  <conditionalFormatting sqref="AN93:AN97">
    <cfRule type="cellIs" dxfId="1270" priority="1559" stopIfTrue="1" operator="lessThan">
      <formula>0</formula>
    </cfRule>
  </conditionalFormatting>
  <conditionalFormatting sqref="AN78">
    <cfRule type="cellIs" dxfId="1269" priority="1558" stopIfTrue="1" operator="lessThan">
      <formula>0</formula>
    </cfRule>
  </conditionalFormatting>
  <conditionalFormatting sqref="AN72">
    <cfRule type="cellIs" dxfId="1268" priority="1557" stopIfTrue="1" operator="lessThan">
      <formula>0</formula>
    </cfRule>
  </conditionalFormatting>
  <conditionalFormatting sqref="AN86">
    <cfRule type="cellIs" dxfId="1267" priority="1556" stopIfTrue="1" operator="lessThan">
      <formula>0</formula>
    </cfRule>
  </conditionalFormatting>
  <conditionalFormatting sqref="AN91">
    <cfRule type="cellIs" dxfId="1266" priority="1555" stopIfTrue="1" operator="lessThan">
      <formula>0</formula>
    </cfRule>
  </conditionalFormatting>
  <conditionalFormatting sqref="AN68:AN71">
    <cfRule type="cellIs" dxfId="1265" priority="1553" stopIfTrue="1" operator="lessThan">
      <formula>0</formula>
    </cfRule>
  </conditionalFormatting>
  <conditionalFormatting sqref="AN79:AN81 AN92">
    <cfRule type="cellIs" dxfId="1264" priority="1554" stopIfTrue="1" operator="lessThan">
      <formula>0</formula>
    </cfRule>
  </conditionalFormatting>
  <conditionalFormatting sqref="AN73:AN77">
    <cfRule type="cellIs" dxfId="1263" priority="1552" stopIfTrue="1" operator="lessThan">
      <formula>0</formula>
    </cfRule>
  </conditionalFormatting>
  <conditionalFormatting sqref="AN82:AN85">
    <cfRule type="cellIs" dxfId="1262" priority="1551" stopIfTrue="1" operator="lessThan">
      <formula>0</formula>
    </cfRule>
  </conditionalFormatting>
  <conditionalFormatting sqref="AN87:AN90">
    <cfRule type="cellIs" dxfId="1261" priority="1550" stopIfTrue="1" operator="lessThan">
      <formula>0</formula>
    </cfRule>
  </conditionalFormatting>
  <conditionalFormatting sqref="AN93:AN96">
    <cfRule type="cellIs" dxfId="1260" priority="1549" stopIfTrue="1" operator="lessThan">
      <formula>0</formula>
    </cfRule>
  </conditionalFormatting>
  <conditionalFormatting sqref="AN78">
    <cfRule type="cellIs" dxfId="1259" priority="1548" stopIfTrue="1" operator="lessThan">
      <formula>0</formula>
    </cfRule>
  </conditionalFormatting>
  <conditionalFormatting sqref="AN72">
    <cfRule type="cellIs" dxfId="1258" priority="1547" stopIfTrue="1" operator="lessThan">
      <formula>0</formula>
    </cfRule>
  </conditionalFormatting>
  <conditionalFormatting sqref="AN86">
    <cfRule type="cellIs" dxfId="1257" priority="1546" stopIfTrue="1" operator="lessThan">
      <formula>0</formula>
    </cfRule>
  </conditionalFormatting>
  <conditionalFormatting sqref="AN91">
    <cfRule type="cellIs" dxfId="1256" priority="1545" stopIfTrue="1" operator="lessThan">
      <formula>0</formula>
    </cfRule>
  </conditionalFormatting>
  <conditionalFormatting sqref="AN80:AN81">
    <cfRule type="cellIs" dxfId="1255" priority="1544" stopIfTrue="1" operator="lessThan">
      <formula>0</formula>
    </cfRule>
  </conditionalFormatting>
  <conditionalFormatting sqref="B98:AN98">
    <cfRule type="cellIs" dxfId="1254" priority="1543" stopIfTrue="1" operator="lessThan">
      <formula>0</formula>
    </cfRule>
  </conditionalFormatting>
  <conditionalFormatting sqref="AO98">
    <cfRule type="cellIs" dxfId="1253" priority="1515" stopIfTrue="1" operator="lessThan">
      <formula>0</formula>
    </cfRule>
  </conditionalFormatting>
  <conditionalFormatting sqref="AO80:AO81">
    <cfRule type="cellIs" dxfId="1252" priority="1539" stopIfTrue="1" operator="lessThan">
      <formula>0</formula>
    </cfRule>
  </conditionalFormatting>
  <conditionalFormatting sqref="AO79">
    <cfRule type="cellIs" dxfId="1251" priority="1538" stopIfTrue="1" operator="lessThan">
      <formula>0</formula>
    </cfRule>
  </conditionalFormatting>
  <conditionalFormatting sqref="AO92">
    <cfRule type="cellIs" dxfId="1250" priority="1537" stopIfTrue="1" operator="lessThan">
      <formula>0</formula>
    </cfRule>
  </conditionalFormatting>
  <conditionalFormatting sqref="AO68:AO71">
    <cfRule type="cellIs" dxfId="1249" priority="1536" stopIfTrue="1" operator="lessThan">
      <formula>0</formula>
    </cfRule>
  </conditionalFormatting>
  <conditionalFormatting sqref="AO73:AO77">
    <cfRule type="cellIs" dxfId="1248" priority="1535" stopIfTrue="1" operator="lessThan">
      <formula>0</formula>
    </cfRule>
  </conditionalFormatting>
  <conditionalFormatting sqref="AO82:AO85">
    <cfRule type="cellIs" dxfId="1247" priority="1534" stopIfTrue="1" operator="lessThan">
      <formula>0</formula>
    </cfRule>
  </conditionalFormatting>
  <conditionalFormatting sqref="AO87:AO90">
    <cfRule type="cellIs" dxfId="1246" priority="1533" stopIfTrue="1" operator="lessThan">
      <formula>0</formula>
    </cfRule>
  </conditionalFormatting>
  <conditionalFormatting sqref="AO93:AO97">
    <cfRule type="cellIs" dxfId="1245" priority="1532" stopIfTrue="1" operator="lessThan">
      <formula>0</formula>
    </cfRule>
  </conditionalFormatting>
  <conditionalFormatting sqref="AO78">
    <cfRule type="cellIs" dxfId="1244" priority="1531" stopIfTrue="1" operator="lessThan">
      <formula>0</formula>
    </cfRule>
  </conditionalFormatting>
  <conditionalFormatting sqref="AO72">
    <cfRule type="cellIs" dxfId="1243" priority="1530" stopIfTrue="1" operator="lessThan">
      <formula>0</formula>
    </cfRule>
  </conditionalFormatting>
  <conditionalFormatting sqref="AO86">
    <cfRule type="cellIs" dxfId="1242" priority="1529" stopIfTrue="1" operator="lessThan">
      <formula>0</formula>
    </cfRule>
  </conditionalFormatting>
  <conditionalFormatting sqref="AO91">
    <cfRule type="cellIs" dxfId="1241" priority="1528" stopIfTrue="1" operator="lessThan">
      <formula>0</formula>
    </cfRule>
  </conditionalFormatting>
  <conditionalFormatting sqref="AO68:AO71">
    <cfRule type="cellIs" dxfId="1240" priority="1526" stopIfTrue="1" operator="lessThan">
      <formula>0</formula>
    </cfRule>
  </conditionalFormatting>
  <conditionalFormatting sqref="AO79:AO81 AO92">
    <cfRule type="cellIs" dxfId="1239" priority="1527" stopIfTrue="1" operator="lessThan">
      <formula>0</formula>
    </cfRule>
  </conditionalFormatting>
  <conditionalFormatting sqref="AO73:AO77">
    <cfRule type="cellIs" dxfId="1238" priority="1525" stopIfTrue="1" operator="lessThan">
      <formula>0</formula>
    </cfRule>
  </conditionalFormatting>
  <conditionalFormatting sqref="AO82:AO85">
    <cfRule type="cellIs" dxfId="1237" priority="1524" stopIfTrue="1" operator="lessThan">
      <formula>0</formula>
    </cfRule>
  </conditionalFormatting>
  <conditionalFormatting sqref="AO87:AO90">
    <cfRule type="cellIs" dxfId="1236" priority="1523" stopIfTrue="1" operator="lessThan">
      <formula>0</formula>
    </cfRule>
  </conditionalFormatting>
  <conditionalFormatting sqref="AO93:AO96">
    <cfRule type="cellIs" dxfId="1235" priority="1522" stopIfTrue="1" operator="lessThan">
      <formula>0</formula>
    </cfRule>
  </conditionalFormatting>
  <conditionalFormatting sqref="AO78">
    <cfRule type="cellIs" dxfId="1234" priority="1521" stopIfTrue="1" operator="lessThan">
      <formula>0</formula>
    </cfRule>
  </conditionalFormatting>
  <conditionalFormatting sqref="AO72">
    <cfRule type="cellIs" dxfId="1233" priority="1520" stopIfTrue="1" operator="lessThan">
      <formula>0</formula>
    </cfRule>
  </conditionalFormatting>
  <conditionalFormatting sqref="AO86">
    <cfRule type="cellIs" dxfId="1232" priority="1519" stopIfTrue="1" operator="lessThan">
      <formula>0</formula>
    </cfRule>
  </conditionalFormatting>
  <conditionalFormatting sqref="AO91">
    <cfRule type="cellIs" dxfId="1231" priority="1518" stopIfTrue="1" operator="lessThan">
      <formula>0</formula>
    </cfRule>
  </conditionalFormatting>
  <conditionalFormatting sqref="AO80:AO81">
    <cfRule type="cellIs" dxfId="1230" priority="1517" stopIfTrue="1" operator="lessThan">
      <formula>0</formula>
    </cfRule>
  </conditionalFormatting>
  <conditionalFormatting sqref="AO98">
    <cfRule type="cellIs" dxfId="1229" priority="1516" stopIfTrue="1" operator="lessThan">
      <formula>0</formula>
    </cfRule>
  </conditionalFormatting>
  <conditionalFormatting sqref="AP79">
    <cfRule type="cellIs" dxfId="1228" priority="1509" stopIfTrue="1" operator="lessThan">
      <formula>0</formula>
    </cfRule>
  </conditionalFormatting>
  <conditionalFormatting sqref="AP68:AP71">
    <cfRule type="cellIs" dxfId="1227" priority="1508" stopIfTrue="1" operator="lessThan">
      <formula>0</formula>
    </cfRule>
  </conditionalFormatting>
  <conditionalFormatting sqref="AP73:AP77">
    <cfRule type="cellIs" dxfId="1226" priority="1507" stopIfTrue="1" operator="lessThan">
      <formula>0</formula>
    </cfRule>
  </conditionalFormatting>
  <conditionalFormatting sqref="AP78">
    <cfRule type="cellIs" dxfId="1225" priority="1506" stopIfTrue="1" operator="lessThan">
      <formula>0</formula>
    </cfRule>
  </conditionalFormatting>
  <conditionalFormatting sqref="AP72">
    <cfRule type="cellIs" dxfId="1224" priority="1505" stopIfTrue="1" operator="lessThan">
      <formula>0</formula>
    </cfRule>
  </conditionalFormatting>
  <conditionalFormatting sqref="AP68:AP71">
    <cfRule type="cellIs" dxfId="1223" priority="1503" stopIfTrue="1" operator="lessThan">
      <formula>0</formula>
    </cfRule>
  </conditionalFormatting>
  <conditionalFormatting sqref="AP79">
    <cfRule type="cellIs" dxfId="1222" priority="1504" stopIfTrue="1" operator="lessThan">
      <formula>0</formula>
    </cfRule>
  </conditionalFormatting>
  <conditionalFormatting sqref="AP73:AP77">
    <cfRule type="cellIs" dxfId="1221" priority="1502" stopIfTrue="1" operator="lessThan">
      <formula>0</formula>
    </cfRule>
  </conditionalFormatting>
  <conditionalFormatting sqref="AP78">
    <cfRule type="cellIs" dxfId="1220" priority="1501" stopIfTrue="1" operator="lessThan">
      <formula>0</formula>
    </cfRule>
  </conditionalFormatting>
  <conditionalFormatting sqref="AP72">
    <cfRule type="cellIs" dxfId="1219" priority="1500" stopIfTrue="1" operator="lessThan">
      <formula>0</formula>
    </cfRule>
  </conditionalFormatting>
  <conditionalFormatting sqref="AQ82:AQ85">
    <cfRule type="cellIs" dxfId="1218" priority="1478" stopIfTrue="1" operator="lessThan">
      <formula>0</formula>
    </cfRule>
  </conditionalFormatting>
  <conditionalFormatting sqref="AQ87:AQ90">
    <cfRule type="cellIs" dxfId="1217" priority="1477" stopIfTrue="1" operator="lessThan">
      <formula>0</formula>
    </cfRule>
  </conditionalFormatting>
  <conditionalFormatting sqref="AQ93:AQ98">
    <cfRule type="cellIs" dxfId="1216" priority="1476" stopIfTrue="1" operator="lessThan">
      <formula>0</formula>
    </cfRule>
  </conditionalFormatting>
  <conditionalFormatting sqref="AQ86">
    <cfRule type="cellIs" dxfId="1215" priority="1475" stopIfTrue="1" operator="lessThan">
      <formula>0</formula>
    </cfRule>
  </conditionalFormatting>
  <conditionalFormatting sqref="AQ91">
    <cfRule type="cellIs" dxfId="1214" priority="1474" stopIfTrue="1" operator="lessThan">
      <formula>0</formula>
    </cfRule>
  </conditionalFormatting>
  <conditionalFormatting sqref="AQ68:AQ71">
    <cfRule type="cellIs" dxfId="1213" priority="1472" stopIfTrue="1" operator="lessThan">
      <formula>0</formula>
    </cfRule>
  </conditionalFormatting>
  <conditionalFormatting sqref="AQ79">
    <cfRule type="cellIs" dxfId="1212" priority="1473" stopIfTrue="1" operator="lessThan">
      <formula>0</formula>
    </cfRule>
  </conditionalFormatting>
  <conditionalFormatting sqref="AQ73:AQ77">
    <cfRule type="cellIs" dxfId="1211" priority="1471" stopIfTrue="1" operator="lessThan">
      <formula>0</formula>
    </cfRule>
  </conditionalFormatting>
  <conditionalFormatting sqref="AQ78">
    <cfRule type="cellIs" dxfId="1210" priority="1470" stopIfTrue="1" operator="lessThan">
      <formula>0</formula>
    </cfRule>
  </conditionalFormatting>
  <conditionalFormatting sqref="AQ72">
    <cfRule type="cellIs" dxfId="1209" priority="1469" stopIfTrue="1" operator="lessThan">
      <formula>0</formula>
    </cfRule>
  </conditionalFormatting>
  <conditionalFormatting sqref="AQ79">
    <cfRule type="cellIs" dxfId="1208" priority="1468" stopIfTrue="1" operator="lessThan">
      <formula>0</formula>
    </cfRule>
  </conditionalFormatting>
  <conditionalFormatting sqref="AQ68:AQ71">
    <cfRule type="cellIs" dxfId="1207" priority="1467" stopIfTrue="1" operator="lessThan">
      <formula>0</formula>
    </cfRule>
  </conditionalFormatting>
  <conditionalFormatting sqref="AQ73:AQ77">
    <cfRule type="cellIs" dxfId="1206" priority="1466" stopIfTrue="1" operator="lessThan">
      <formula>0</formula>
    </cfRule>
  </conditionalFormatting>
  <conditionalFormatting sqref="AQ78">
    <cfRule type="cellIs" dxfId="1205" priority="1465" stopIfTrue="1" operator="lessThan">
      <formula>0</formula>
    </cfRule>
  </conditionalFormatting>
  <conditionalFormatting sqref="AQ72">
    <cfRule type="cellIs" dxfId="1204" priority="1464" stopIfTrue="1" operator="lessThan">
      <formula>0</formula>
    </cfRule>
  </conditionalFormatting>
  <conditionalFormatting sqref="AQ80:AQ81">
    <cfRule type="cellIs" dxfId="1203" priority="1480" stopIfTrue="1" operator="lessThan">
      <formula>0</formula>
    </cfRule>
  </conditionalFormatting>
  <conditionalFormatting sqref="AQ92">
    <cfRule type="cellIs" dxfId="1202" priority="1479" stopIfTrue="1" operator="lessThan">
      <formula>0</formula>
    </cfRule>
  </conditionalFormatting>
  <conditionalFormatting sqref="AQ80:AQ81">
    <cfRule type="cellIs" dxfId="1201" priority="1463" stopIfTrue="1" operator="lessThan">
      <formula>0</formula>
    </cfRule>
  </conditionalFormatting>
  <conditionalFormatting sqref="AQ92">
    <cfRule type="cellIs" dxfId="1200" priority="1462" stopIfTrue="1" operator="lessThan">
      <formula>0</formula>
    </cfRule>
  </conditionalFormatting>
  <conditionalFormatting sqref="AQ82:AQ85">
    <cfRule type="cellIs" dxfId="1199" priority="1461" stopIfTrue="1" operator="lessThan">
      <formula>0</formula>
    </cfRule>
  </conditionalFormatting>
  <conditionalFormatting sqref="AQ87:AQ90">
    <cfRule type="cellIs" dxfId="1198" priority="1460" stopIfTrue="1" operator="lessThan">
      <formula>0</formula>
    </cfRule>
  </conditionalFormatting>
  <conditionalFormatting sqref="AQ93:AQ98">
    <cfRule type="cellIs" dxfId="1197" priority="1459" stopIfTrue="1" operator="lessThan">
      <formula>0</formula>
    </cfRule>
  </conditionalFormatting>
  <conditionalFormatting sqref="AQ86">
    <cfRule type="cellIs" dxfId="1196" priority="1458" stopIfTrue="1" operator="lessThan">
      <formula>0</formula>
    </cfRule>
  </conditionalFormatting>
  <conditionalFormatting sqref="AQ91">
    <cfRule type="cellIs" dxfId="1195" priority="1457" stopIfTrue="1" operator="lessThan">
      <formula>0</formula>
    </cfRule>
  </conditionalFormatting>
  <conditionalFormatting sqref="AQ79">
    <cfRule type="cellIs" dxfId="1194" priority="1456" stopIfTrue="1" operator="lessThan">
      <formula>0</formula>
    </cfRule>
  </conditionalFormatting>
  <conditionalFormatting sqref="AQ68:AQ71">
    <cfRule type="cellIs" dxfId="1193" priority="1455" stopIfTrue="1" operator="lessThan">
      <formula>0</formula>
    </cfRule>
  </conditionalFormatting>
  <conditionalFormatting sqref="AQ73:AQ77">
    <cfRule type="cellIs" dxfId="1192" priority="1454" stopIfTrue="1" operator="lessThan">
      <formula>0</formula>
    </cfRule>
  </conditionalFormatting>
  <conditionalFormatting sqref="AQ78">
    <cfRule type="cellIs" dxfId="1191" priority="1453" stopIfTrue="1" operator="lessThan">
      <formula>0</formula>
    </cfRule>
  </conditionalFormatting>
  <conditionalFormatting sqref="AQ72">
    <cfRule type="cellIs" dxfId="1190" priority="1452" stopIfTrue="1" operator="lessThan">
      <formula>0</formula>
    </cfRule>
  </conditionalFormatting>
  <conditionalFormatting sqref="AQ68:AQ71">
    <cfRule type="cellIs" dxfId="1189" priority="1450" stopIfTrue="1" operator="lessThan">
      <formula>0</formula>
    </cfRule>
  </conditionalFormatting>
  <conditionalFormatting sqref="AQ79">
    <cfRule type="cellIs" dxfId="1188" priority="1451" stopIfTrue="1" operator="lessThan">
      <formula>0</formula>
    </cfRule>
  </conditionalFormatting>
  <conditionalFormatting sqref="AQ73:AQ77">
    <cfRule type="cellIs" dxfId="1187" priority="1449" stopIfTrue="1" operator="lessThan">
      <formula>0</formula>
    </cfRule>
  </conditionalFormatting>
  <conditionalFormatting sqref="AQ78">
    <cfRule type="cellIs" dxfId="1186" priority="1448" stopIfTrue="1" operator="lessThan">
      <formula>0</formula>
    </cfRule>
  </conditionalFormatting>
  <conditionalFormatting sqref="AQ72">
    <cfRule type="cellIs" dxfId="1185" priority="1447" stopIfTrue="1" operator="lessThan">
      <formula>0</formula>
    </cfRule>
  </conditionalFormatting>
  <conditionalFormatting sqref="AR82:AS85">
    <cfRule type="cellIs" dxfId="1184" priority="1444" stopIfTrue="1" operator="lessThan">
      <formula>0</formula>
    </cfRule>
  </conditionalFormatting>
  <conditionalFormatting sqref="AR87:AS90">
    <cfRule type="cellIs" dxfId="1183" priority="1443" stopIfTrue="1" operator="lessThan">
      <formula>0</formula>
    </cfRule>
  </conditionalFormatting>
  <conditionalFormatting sqref="AR93:AS98">
    <cfRule type="cellIs" dxfId="1182" priority="1442" stopIfTrue="1" operator="lessThan">
      <formula>0</formula>
    </cfRule>
  </conditionalFormatting>
  <conditionalFormatting sqref="AR86:AS86">
    <cfRule type="cellIs" dxfId="1181" priority="1441" stopIfTrue="1" operator="lessThan">
      <formula>0</formula>
    </cfRule>
  </conditionalFormatting>
  <conditionalFormatting sqref="AR91:AS91">
    <cfRule type="cellIs" dxfId="1180" priority="1440" stopIfTrue="1" operator="lessThan">
      <formula>0</formula>
    </cfRule>
  </conditionalFormatting>
  <conditionalFormatting sqref="AR68:AS71">
    <cfRule type="cellIs" dxfId="1179" priority="1438" stopIfTrue="1" operator="lessThan">
      <formula>0</formula>
    </cfRule>
  </conditionalFormatting>
  <conditionalFormatting sqref="AR79:AS79">
    <cfRule type="cellIs" dxfId="1178" priority="1439" stopIfTrue="1" operator="lessThan">
      <formula>0</formula>
    </cfRule>
  </conditionalFormatting>
  <conditionalFormatting sqref="AR73:AS77">
    <cfRule type="cellIs" dxfId="1177" priority="1437" stopIfTrue="1" operator="lessThan">
      <formula>0</formula>
    </cfRule>
  </conditionalFormatting>
  <conditionalFormatting sqref="AR78:AS78">
    <cfRule type="cellIs" dxfId="1176" priority="1436" stopIfTrue="1" operator="lessThan">
      <formula>0</formula>
    </cfRule>
  </conditionalFormatting>
  <conditionalFormatting sqref="AR72:AS72">
    <cfRule type="cellIs" dxfId="1175" priority="1435" stopIfTrue="1" operator="lessThan">
      <formula>0</formula>
    </cfRule>
  </conditionalFormatting>
  <conditionalFormatting sqref="AR79:AS79">
    <cfRule type="cellIs" dxfId="1174" priority="1434" stopIfTrue="1" operator="lessThan">
      <formula>0</formula>
    </cfRule>
  </conditionalFormatting>
  <conditionalFormatting sqref="AR68:AS71">
    <cfRule type="cellIs" dxfId="1173" priority="1433" stopIfTrue="1" operator="lessThan">
      <formula>0</formula>
    </cfRule>
  </conditionalFormatting>
  <conditionalFormatting sqref="AR73:AS77">
    <cfRule type="cellIs" dxfId="1172" priority="1432" stopIfTrue="1" operator="lessThan">
      <formula>0</formula>
    </cfRule>
  </conditionalFormatting>
  <conditionalFormatting sqref="AR78:AS78">
    <cfRule type="cellIs" dxfId="1171" priority="1431" stopIfTrue="1" operator="lessThan">
      <formula>0</formula>
    </cfRule>
  </conditionalFormatting>
  <conditionalFormatting sqref="AR72:AS72">
    <cfRule type="cellIs" dxfId="1170" priority="1430" stopIfTrue="1" operator="lessThan">
      <formula>0</formula>
    </cfRule>
  </conditionalFormatting>
  <conditionalFormatting sqref="AR80:AS81">
    <cfRule type="cellIs" dxfId="1169" priority="1446" stopIfTrue="1" operator="lessThan">
      <formula>0</formula>
    </cfRule>
  </conditionalFormatting>
  <conditionalFormatting sqref="AR92:AS92">
    <cfRule type="cellIs" dxfId="1168" priority="1445" stopIfTrue="1" operator="lessThan">
      <formula>0</formula>
    </cfRule>
  </conditionalFormatting>
  <conditionalFormatting sqref="AR82:AR85">
    <cfRule type="cellIs" dxfId="1167" priority="1427" stopIfTrue="1" operator="lessThan">
      <formula>0</formula>
    </cfRule>
  </conditionalFormatting>
  <conditionalFormatting sqref="AR87:AR90">
    <cfRule type="cellIs" dxfId="1166" priority="1426" stopIfTrue="1" operator="lessThan">
      <formula>0</formula>
    </cfRule>
  </conditionalFormatting>
  <conditionalFormatting sqref="AR93:AR98">
    <cfRule type="cellIs" dxfId="1165" priority="1425" stopIfTrue="1" operator="lessThan">
      <formula>0</formula>
    </cfRule>
  </conditionalFormatting>
  <conditionalFormatting sqref="AR86">
    <cfRule type="cellIs" dxfId="1164" priority="1424" stopIfTrue="1" operator="lessThan">
      <formula>0</formula>
    </cfRule>
  </conditionalFormatting>
  <conditionalFormatting sqref="AR91">
    <cfRule type="cellIs" dxfId="1163" priority="1423" stopIfTrue="1" operator="lessThan">
      <formula>0</formula>
    </cfRule>
  </conditionalFormatting>
  <conditionalFormatting sqref="AR68:AR71">
    <cfRule type="cellIs" dxfId="1162" priority="1421" stopIfTrue="1" operator="lessThan">
      <formula>0</formula>
    </cfRule>
  </conditionalFormatting>
  <conditionalFormatting sqref="AR79">
    <cfRule type="cellIs" dxfId="1161" priority="1422" stopIfTrue="1" operator="lessThan">
      <formula>0</formula>
    </cfRule>
  </conditionalFormatting>
  <conditionalFormatting sqref="AR73:AR77">
    <cfRule type="cellIs" dxfId="1160" priority="1420" stopIfTrue="1" operator="lessThan">
      <formula>0</formula>
    </cfRule>
  </conditionalFormatting>
  <conditionalFormatting sqref="AR78">
    <cfRule type="cellIs" dxfId="1159" priority="1419" stopIfTrue="1" operator="lessThan">
      <formula>0</formula>
    </cfRule>
  </conditionalFormatting>
  <conditionalFormatting sqref="AR72">
    <cfRule type="cellIs" dxfId="1158" priority="1418" stopIfTrue="1" operator="lessThan">
      <formula>0</formula>
    </cfRule>
  </conditionalFormatting>
  <conditionalFormatting sqref="AR79">
    <cfRule type="cellIs" dxfId="1157" priority="1417" stopIfTrue="1" operator="lessThan">
      <formula>0</formula>
    </cfRule>
  </conditionalFormatting>
  <conditionalFormatting sqref="AR68:AR71">
    <cfRule type="cellIs" dxfId="1156" priority="1416" stopIfTrue="1" operator="lessThan">
      <formula>0</formula>
    </cfRule>
  </conditionalFormatting>
  <conditionalFormatting sqref="AR73:AR77">
    <cfRule type="cellIs" dxfId="1155" priority="1415" stopIfTrue="1" operator="lessThan">
      <formula>0</formula>
    </cfRule>
  </conditionalFormatting>
  <conditionalFormatting sqref="AR78">
    <cfRule type="cellIs" dxfId="1154" priority="1414" stopIfTrue="1" operator="lessThan">
      <formula>0</formula>
    </cfRule>
  </conditionalFormatting>
  <conditionalFormatting sqref="AR72">
    <cfRule type="cellIs" dxfId="1153" priority="1413" stopIfTrue="1" operator="lessThan">
      <formula>0</formula>
    </cfRule>
  </conditionalFormatting>
  <conditionalFormatting sqref="AR80:AR81">
    <cfRule type="cellIs" dxfId="1152" priority="1429" stopIfTrue="1" operator="lessThan">
      <formula>0</formula>
    </cfRule>
  </conditionalFormatting>
  <conditionalFormatting sqref="AR92">
    <cfRule type="cellIs" dxfId="1151" priority="1428" stopIfTrue="1" operator="lessThan">
      <formula>0</formula>
    </cfRule>
  </conditionalFormatting>
  <conditionalFormatting sqref="AR80:AR81">
    <cfRule type="cellIs" dxfId="1150" priority="1412" stopIfTrue="1" operator="lessThan">
      <formula>0</formula>
    </cfRule>
  </conditionalFormatting>
  <conditionalFormatting sqref="AR92">
    <cfRule type="cellIs" dxfId="1149" priority="1411" stopIfTrue="1" operator="lessThan">
      <formula>0</formula>
    </cfRule>
  </conditionalFormatting>
  <conditionalFormatting sqref="AR82:AR85">
    <cfRule type="cellIs" dxfId="1148" priority="1410" stopIfTrue="1" operator="lessThan">
      <formula>0</formula>
    </cfRule>
  </conditionalFormatting>
  <conditionalFormatting sqref="AR87:AR90">
    <cfRule type="cellIs" dxfId="1147" priority="1409" stopIfTrue="1" operator="lessThan">
      <formula>0</formula>
    </cfRule>
  </conditionalFormatting>
  <conditionalFormatting sqref="AR93:AR98">
    <cfRule type="cellIs" dxfId="1146" priority="1408" stopIfTrue="1" operator="lessThan">
      <formula>0</formula>
    </cfRule>
  </conditionalFormatting>
  <conditionalFormatting sqref="AR86">
    <cfRule type="cellIs" dxfId="1145" priority="1407" stopIfTrue="1" operator="lessThan">
      <formula>0</formula>
    </cfRule>
  </conditionalFormatting>
  <conditionalFormatting sqref="AR91">
    <cfRule type="cellIs" dxfId="1144" priority="1406" stopIfTrue="1" operator="lessThan">
      <formula>0</formula>
    </cfRule>
  </conditionalFormatting>
  <conditionalFormatting sqref="AR79">
    <cfRule type="cellIs" dxfId="1143" priority="1405" stopIfTrue="1" operator="lessThan">
      <formula>0</formula>
    </cfRule>
  </conditionalFormatting>
  <conditionalFormatting sqref="AR68:AR71">
    <cfRule type="cellIs" dxfId="1142" priority="1404" stopIfTrue="1" operator="lessThan">
      <formula>0</formula>
    </cfRule>
  </conditionalFormatting>
  <conditionalFormatting sqref="AR73:AR77">
    <cfRule type="cellIs" dxfId="1141" priority="1403" stopIfTrue="1" operator="lessThan">
      <formula>0</formula>
    </cfRule>
  </conditionalFormatting>
  <conditionalFormatting sqref="AR78">
    <cfRule type="cellIs" dxfId="1140" priority="1402" stopIfTrue="1" operator="lessThan">
      <formula>0</formula>
    </cfRule>
  </conditionalFormatting>
  <conditionalFormatting sqref="AR72">
    <cfRule type="cellIs" dxfId="1139" priority="1401" stopIfTrue="1" operator="lessThan">
      <formula>0</formula>
    </cfRule>
  </conditionalFormatting>
  <conditionalFormatting sqref="AR68:AR71">
    <cfRule type="cellIs" dxfId="1138" priority="1399" stopIfTrue="1" operator="lessThan">
      <formula>0</formula>
    </cfRule>
  </conditionalFormatting>
  <conditionalFormatting sqref="AR79">
    <cfRule type="cellIs" dxfId="1137" priority="1400" stopIfTrue="1" operator="lessThan">
      <formula>0</formula>
    </cfRule>
  </conditionalFormatting>
  <conditionalFormatting sqref="AR73:AR77">
    <cfRule type="cellIs" dxfId="1136" priority="1398" stopIfTrue="1" operator="lessThan">
      <formula>0</formula>
    </cfRule>
  </conditionalFormatting>
  <conditionalFormatting sqref="AR78">
    <cfRule type="cellIs" dxfId="1135" priority="1397" stopIfTrue="1" operator="lessThan">
      <formula>0</formula>
    </cfRule>
  </conditionalFormatting>
  <conditionalFormatting sqref="AR72">
    <cfRule type="cellIs" dxfId="1134" priority="1396" stopIfTrue="1" operator="lessThan">
      <formula>0</formula>
    </cfRule>
  </conditionalFormatting>
  <conditionalFormatting sqref="AT69">
    <cfRule type="cellIs" dxfId="1133" priority="1395" stopIfTrue="1" operator="lessThan">
      <formula>0</formula>
    </cfRule>
  </conditionalFormatting>
  <conditionalFormatting sqref="AT69">
    <cfRule type="cellIs" dxfId="1132" priority="1394" stopIfTrue="1" operator="lessThan">
      <formula>0</formula>
    </cfRule>
  </conditionalFormatting>
  <conditionalFormatting sqref="AT70">
    <cfRule type="cellIs" dxfId="1131" priority="1393" stopIfTrue="1" operator="lessThan">
      <formula>0</formula>
    </cfRule>
  </conditionalFormatting>
  <conditionalFormatting sqref="AT70">
    <cfRule type="cellIs" dxfId="1130" priority="1392" stopIfTrue="1" operator="lessThan">
      <formula>0</formula>
    </cfRule>
  </conditionalFormatting>
  <conditionalFormatting sqref="AT71">
    <cfRule type="cellIs" dxfId="1129" priority="1391" stopIfTrue="1" operator="lessThan">
      <formula>0</formula>
    </cfRule>
  </conditionalFormatting>
  <conditionalFormatting sqref="AT71">
    <cfRule type="cellIs" dxfId="1128" priority="1390" stopIfTrue="1" operator="lessThan">
      <formula>0</formula>
    </cfRule>
  </conditionalFormatting>
  <conditionalFormatting sqref="AT72">
    <cfRule type="cellIs" dxfId="1127" priority="1389" stopIfTrue="1" operator="lessThan">
      <formula>0</formula>
    </cfRule>
  </conditionalFormatting>
  <conditionalFormatting sqref="AT72">
    <cfRule type="cellIs" dxfId="1126" priority="1388" stopIfTrue="1" operator="lessThan">
      <formula>0</formula>
    </cfRule>
  </conditionalFormatting>
  <conditionalFormatting sqref="AT77">
    <cfRule type="cellIs" dxfId="1125" priority="1387" stopIfTrue="1" operator="lessThan">
      <formula>0</formula>
    </cfRule>
  </conditionalFormatting>
  <conditionalFormatting sqref="AT77">
    <cfRule type="cellIs" dxfId="1124" priority="1386" stopIfTrue="1" operator="lessThan">
      <formula>0</formula>
    </cfRule>
  </conditionalFormatting>
  <conditionalFormatting sqref="AT78">
    <cfRule type="cellIs" dxfId="1123" priority="1385" stopIfTrue="1" operator="lessThan">
      <formula>0</formula>
    </cfRule>
  </conditionalFormatting>
  <conditionalFormatting sqref="AT78">
    <cfRule type="cellIs" dxfId="1122" priority="1384" stopIfTrue="1" operator="lessThan">
      <formula>0</formula>
    </cfRule>
  </conditionalFormatting>
  <conditionalFormatting sqref="AT79">
    <cfRule type="cellIs" dxfId="1121" priority="1383" stopIfTrue="1" operator="lessThan">
      <formula>0</formula>
    </cfRule>
  </conditionalFormatting>
  <conditionalFormatting sqref="AT79">
    <cfRule type="cellIs" dxfId="1120" priority="1382" stopIfTrue="1" operator="lessThan">
      <formula>0</formula>
    </cfRule>
  </conditionalFormatting>
  <conditionalFormatting sqref="AT80:AT81">
    <cfRule type="cellIs" dxfId="1119" priority="1381" stopIfTrue="1" operator="lessThan">
      <formula>0</formula>
    </cfRule>
  </conditionalFormatting>
  <conditionalFormatting sqref="AT83">
    <cfRule type="cellIs" dxfId="1118" priority="1380" stopIfTrue="1" operator="lessThan">
      <formula>0</formula>
    </cfRule>
  </conditionalFormatting>
  <conditionalFormatting sqref="AT84">
    <cfRule type="cellIs" dxfId="1117" priority="1379" stopIfTrue="1" operator="lessThan">
      <formula>0</formula>
    </cfRule>
  </conditionalFormatting>
  <conditionalFormatting sqref="AT85">
    <cfRule type="cellIs" dxfId="1116" priority="1378" stopIfTrue="1" operator="lessThan">
      <formula>0</formula>
    </cfRule>
  </conditionalFormatting>
  <conditionalFormatting sqref="AT86">
    <cfRule type="cellIs" dxfId="1115" priority="1377" stopIfTrue="1" operator="lessThan">
      <formula>0</formula>
    </cfRule>
  </conditionalFormatting>
  <conditionalFormatting sqref="AT85">
    <cfRule type="cellIs" dxfId="1114" priority="1376" stopIfTrue="1" operator="lessThan">
      <formula>0</formula>
    </cfRule>
  </conditionalFormatting>
  <conditionalFormatting sqref="AT86">
    <cfRule type="cellIs" dxfId="1113" priority="1375" stopIfTrue="1" operator="lessThan">
      <formula>0</formula>
    </cfRule>
  </conditionalFormatting>
  <conditionalFormatting sqref="AT88">
    <cfRule type="cellIs" dxfId="1112" priority="1374" stopIfTrue="1" operator="lessThan">
      <formula>0</formula>
    </cfRule>
  </conditionalFormatting>
  <conditionalFormatting sqref="AT89:AT90">
    <cfRule type="cellIs" dxfId="1111" priority="1373" stopIfTrue="1" operator="lessThan">
      <formula>0</formula>
    </cfRule>
  </conditionalFormatting>
  <conditionalFormatting sqref="AT91">
    <cfRule type="cellIs" dxfId="1110" priority="1372" stopIfTrue="1" operator="lessThan">
      <formula>0</formula>
    </cfRule>
  </conditionalFormatting>
  <conditionalFormatting sqref="AT92">
    <cfRule type="cellIs" dxfId="1109" priority="1371" stopIfTrue="1" operator="lessThan">
      <formula>0</formula>
    </cfRule>
  </conditionalFormatting>
  <conditionalFormatting sqref="AT93:AT94">
    <cfRule type="cellIs" dxfId="1108" priority="1370" stopIfTrue="1" operator="lessThan">
      <formula>0</formula>
    </cfRule>
  </conditionalFormatting>
  <conditionalFormatting sqref="AT93:AT94">
    <cfRule type="cellIs" dxfId="1107" priority="1368" stopIfTrue="1" operator="lessThan">
      <formula>0</formula>
    </cfRule>
  </conditionalFormatting>
  <conditionalFormatting sqref="AT92">
    <cfRule type="cellIs" dxfId="1106" priority="1369" stopIfTrue="1" operator="lessThan">
      <formula>0</formula>
    </cfRule>
  </conditionalFormatting>
  <conditionalFormatting sqref="AT96">
    <cfRule type="cellIs" dxfId="1105" priority="1367" stopIfTrue="1" operator="lessThan">
      <formula>0</formula>
    </cfRule>
  </conditionalFormatting>
  <conditionalFormatting sqref="AT68">
    <cfRule type="cellIs" dxfId="1104" priority="1366" stopIfTrue="1" operator="lessThan">
      <formula>0</formula>
    </cfRule>
  </conditionalFormatting>
  <conditionalFormatting sqref="AT68">
    <cfRule type="cellIs" dxfId="1103" priority="1365" stopIfTrue="1" operator="lessThan">
      <formula>0</formula>
    </cfRule>
  </conditionalFormatting>
  <conditionalFormatting sqref="AT73:AT76">
    <cfRule type="cellIs" dxfId="1102" priority="1364" stopIfTrue="1" operator="lessThan">
      <formula>0</formula>
    </cfRule>
  </conditionalFormatting>
  <conditionalFormatting sqref="AT73:AT76">
    <cfRule type="cellIs" dxfId="1101" priority="1363" stopIfTrue="1" operator="lessThan">
      <formula>0</formula>
    </cfRule>
  </conditionalFormatting>
  <conditionalFormatting sqref="AT82">
    <cfRule type="cellIs" dxfId="1100" priority="1362" stopIfTrue="1" operator="lessThan">
      <formula>0</formula>
    </cfRule>
  </conditionalFormatting>
  <conditionalFormatting sqref="AT87">
    <cfRule type="cellIs" dxfId="1099" priority="1361" stopIfTrue="1" operator="lessThan">
      <formula>0</formula>
    </cfRule>
  </conditionalFormatting>
  <conditionalFormatting sqref="AT95">
    <cfRule type="cellIs" dxfId="1098" priority="1360" stopIfTrue="1" operator="lessThan">
      <formula>0</formula>
    </cfRule>
  </conditionalFormatting>
  <conditionalFormatting sqref="AT97:AT98">
    <cfRule type="cellIs" dxfId="1097" priority="1359" stopIfTrue="1" operator="lessThan">
      <formula>0</formula>
    </cfRule>
  </conditionalFormatting>
  <conditionalFormatting sqref="AU80:AU81">
    <cfRule type="cellIs" dxfId="1096" priority="1358" stopIfTrue="1" operator="lessThan">
      <formula>0</formula>
    </cfRule>
  </conditionalFormatting>
  <conditionalFormatting sqref="AU79">
    <cfRule type="cellIs" dxfId="1095" priority="1357" stopIfTrue="1" operator="lessThan">
      <formula>0</formula>
    </cfRule>
  </conditionalFormatting>
  <conditionalFormatting sqref="AU68:AU71">
    <cfRule type="cellIs" dxfId="1094" priority="1356" stopIfTrue="1" operator="lessThan">
      <formula>0</formula>
    </cfRule>
  </conditionalFormatting>
  <conditionalFormatting sqref="AU73:AU77">
    <cfRule type="cellIs" dxfId="1093" priority="1355" stopIfTrue="1" operator="lessThan">
      <formula>0</formula>
    </cfRule>
  </conditionalFormatting>
  <conditionalFormatting sqref="AU82:AU84">
    <cfRule type="cellIs" dxfId="1092" priority="1354" stopIfTrue="1" operator="lessThan">
      <formula>0</formula>
    </cfRule>
  </conditionalFormatting>
  <conditionalFormatting sqref="AU87:AU90">
    <cfRule type="cellIs" dxfId="1091" priority="1353" stopIfTrue="1" operator="lessThan">
      <formula>0</formula>
    </cfRule>
  </conditionalFormatting>
  <conditionalFormatting sqref="AU78">
    <cfRule type="cellIs" dxfId="1090" priority="1352" stopIfTrue="1" operator="lessThan">
      <formula>0</formula>
    </cfRule>
  </conditionalFormatting>
  <conditionalFormatting sqref="AU72">
    <cfRule type="cellIs" dxfId="1089" priority="1351" stopIfTrue="1" operator="lessThan">
      <formula>0</formula>
    </cfRule>
  </conditionalFormatting>
  <conditionalFormatting sqref="AU91">
    <cfRule type="cellIs" dxfId="1088" priority="1350" stopIfTrue="1" operator="lessThan">
      <formula>0</formula>
    </cfRule>
  </conditionalFormatting>
  <conditionalFormatting sqref="AU69">
    <cfRule type="cellIs" dxfId="1087" priority="1349" stopIfTrue="1" operator="lessThan">
      <formula>0</formula>
    </cfRule>
  </conditionalFormatting>
  <conditionalFormatting sqref="AU69">
    <cfRule type="cellIs" dxfId="1086" priority="1348" stopIfTrue="1" operator="lessThan">
      <formula>0</formula>
    </cfRule>
  </conditionalFormatting>
  <conditionalFormatting sqref="AU70">
    <cfRule type="cellIs" dxfId="1085" priority="1347" stopIfTrue="1" operator="lessThan">
      <formula>0</formula>
    </cfRule>
  </conditionalFormatting>
  <conditionalFormatting sqref="AU70">
    <cfRule type="cellIs" dxfId="1084" priority="1346" stopIfTrue="1" operator="lessThan">
      <formula>0</formula>
    </cfRule>
  </conditionalFormatting>
  <conditionalFormatting sqref="AU71">
    <cfRule type="cellIs" dxfId="1083" priority="1345" stopIfTrue="1" operator="lessThan">
      <formula>0</formula>
    </cfRule>
  </conditionalFormatting>
  <conditionalFormatting sqref="AU71">
    <cfRule type="cellIs" dxfId="1082" priority="1344" stopIfTrue="1" operator="lessThan">
      <formula>0</formula>
    </cfRule>
  </conditionalFormatting>
  <conditionalFormatting sqref="AU72">
    <cfRule type="cellIs" dxfId="1081" priority="1343" stopIfTrue="1" operator="lessThan">
      <formula>0</formula>
    </cfRule>
  </conditionalFormatting>
  <conditionalFormatting sqref="AU72">
    <cfRule type="cellIs" dxfId="1080" priority="1342" stopIfTrue="1" operator="lessThan">
      <formula>0</formula>
    </cfRule>
  </conditionalFormatting>
  <conditionalFormatting sqref="AU77">
    <cfRule type="cellIs" dxfId="1079" priority="1341" stopIfTrue="1" operator="lessThan">
      <formula>0</formula>
    </cfRule>
  </conditionalFormatting>
  <conditionalFormatting sqref="AU77">
    <cfRule type="cellIs" dxfId="1078" priority="1340" stopIfTrue="1" operator="lessThan">
      <formula>0</formula>
    </cfRule>
  </conditionalFormatting>
  <conditionalFormatting sqref="AU78">
    <cfRule type="cellIs" dxfId="1077" priority="1339" stopIfTrue="1" operator="lessThan">
      <formula>0</formula>
    </cfRule>
  </conditionalFormatting>
  <conditionalFormatting sqref="AU78">
    <cfRule type="cellIs" dxfId="1076" priority="1338" stopIfTrue="1" operator="lessThan">
      <formula>0</formula>
    </cfRule>
  </conditionalFormatting>
  <conditionalFormatting sqref="AU79">
    <cfRule type="cellIs" dxfId="1075" priority="1337" stopIfTrue="1" operator="lessThan">
      <formula>0</formula>
    </cfRule>
  </conditionalFormatting>
  <conditionalFormatting sqref="AU79">
    <cfRule type="cellIs" dxfId="1074" priority="1336" stopIfTrue="1" operator="lessThan">
      <formula>0</formula>
    </cfRule>
  </conditionalFormatting>
  <conditionalFormatting sqref="AU80:AU81">
    <cfRule type="cellIs" dxfId="1073" priority="1335" stopIfTrue="1" operator="lessThan">
      <formula>0</formula>
    </cfRule>
  </conditionalFormatting>
  <conditionalFormatting sqref="AU83">
    <cfRule type="cellIs" dxfId="1072" priority="1334" stopIfTrue="1" operator="lessThan">
      <formula>0</formula>
    </cfRule>
  </conditionalFormatting>
  <conditionalFormatting sqref="AU84">
    <cfRule type="cellIs" dxfId="1071" priority="1333" stopIfTrue="1" operator="lessThan">
      <formula>0</formula>
    </cfRule>
  </conditionalFormatting>
  <conditionalFormatting sqref="AU85">
    <cfRule type="cellIs" dxfId="1070" priority="1332" stopIfTrue="1" operator="lessThan">
      <formula>0</formula>
    </cfRule>
  </conditionalFormatting>
  <conditionalFormatting sqref="AU86">
    <cfRule type="cellIs" dxfId="1069" priority="1331" stopIfTrue="1" operator="lessThan">
      <formula>0</formula>
    </cfRule>
  </conditionalFormatting>
  <conditionalFormatting sqref="AU85">
    <cfRule type="cellIs" dxfId="1068" priority="1330" stopIfTrue="1" operator="lessThan">
      <formula>0</formula>
    </cfRule>
  </conditionalFormatting>
  <conditionalFormatting sqref="AU86">
    <cfRule type="cellIs" dxfId="1067" priority="1329" stopIfTrue="1" operator="lessThan">
      <formula>0</formula>
    </cfRule>
  </conditionalFormatting>
  <conditionalFormatting sqref="AU88">
    <cfRule type="cellIs" dxfId="1066" priority="1328" stopIfTrue="1" operator="lessThan">
      <formula>0</formula>
    </cfRule>
  </conditionalFormatting>
  <conditionalFormatting sqref="AU89:AU90">
    <cfRule type="cellIs" dxfId="1065" priority="1327" stopIfTrue="1" operator="lessThan">
      <formula>0</formula>
    </cfRule>
  </conditionalFormatting>
  <conditionalFormatting sqref="AU91">
    <cfRule type="cellIs" dxfId="1064" priority="1326" stopIfTrue="1" operator="lessThan">
      <formula>0</formula>
    </cfRule>
  </conditionalFormatting>
  <conditionalFormatting sqref="AU68">
    <cfRule type="cellIs" dxfId="1063" priority="1325" stopIfTrue="1" operator="lessThan">
      <formula>0</formula>
    </cfRule>
  </conditionalFormatting>
  <conditionalFormatting sqref="AU68">
    <cfRule type="cellIs" dxfId="1062" priority="1324" stopIfTrue="1" operator="lessThan">
      <formula>0</formula>
    </cfRule>
  </conditionalFormatting>
  <conditionalFormatting sqref="AU73:AU76">
    <cfRule type="cellIs" dxfId="1061" priority="1323" stopIfTrue="1" operator="lessThan">
      <formula>0</formula>
    </cfRule>
  </conditionalFormatting>
  <conditionalFormatting sqref="AU73:AU76">
    <cfRule type="cellIs" dxfId="1060" priority="1322" stopIfTrue="1" operator="lessThan">
      <formula>0</formula>
    </cfRule>
  </conditionalFormatting>
  <conditionalFormatting sqref="AU82">
    <cfRule type="cellIs" dxfId="1059" priority="1321" stopIfTrue="1" operator="lessThan">
      <formula>0</formula>
    </cfRule>
  </conditionalFormatting>
  <conditionalFormatting sqref="AU87">
    <cfRule type="cellIs" dxfId="1058" priority="1320" stopIfTrue="1" operator="lessThan">
      <formula>0</formula>
    </cfRule>
  </conditionalFormatting>
  <conditionalFormatting sqref="AU95:AU98">
    <cfRule type="cellIs" dxfId="1057" priority="1319" stopIfTrue="1" operator="lessThan">
      <formula>0</formula>
    </cfRule>
  </conditionalFormatting>
  <conditionalFormatting sqref="AU92">
    <cfRule type="cellIs" dxfId="1056" priority="1318" stopIfTrue="1" operator="lessThan">
      <formula>0</formula>
    </cfRule>
  </conditionalFormatting>
  <conditionalFormatting sqref="AU93:AU94">
    <cfRule type="cellIs" dxfId="1055" priority="1317" stopIfTrue="1" operator="lessThan">
      <formula>0</formula>
    </cfRule>
  </conditionalFormatting>
  <conditionalFormatting sqref="AU93:AU94">
    <cfRule type="cellIs" dxfId="1054" priority="1315" stopIfTrue="1" operator="lessThan">
      <formula>0</formula>
    </cfRule>
  </conditionalFormatting>
  <conditionalFormatting sqref="AU92">
    <cfRule type="cellIs" dxfId="1053" priority="1316" stopIfTrue="1" operator="lessThan">
      <formula>0</formula>
    </cfRule>
  </conditionalFormatting>
  <conditionalFormatting sqref="AU96">
    <cfRule type="cellIs" dxfId="1052" priority="1314" stopIfTrue="1" operator="lessThan">
      <formula>0</formula>
    </cfRule>
  </conditionalFormatting>
  <conditionalFormatting sqref="AU95">
    <cfRule type="cellIs" dxfId="1051" priority="1313" stopIfTrue="1" operator="lessThan">
      <formula>0</formula>
    </cfRule>
  </conditionalFormatting>
  <conditionalFormatting sqref="AU97:AU98">
    <cfRule type="cellIs" dxfId="1050" priority="1312" stopIfTrue="1" operator="lessThan">
      <formula>0</formula>
    </cfRule>
  </conditionalFormatting>
  <conditionalFormatting sqref="AV80:AV81">
    <cfRule type="cellIs" dxfId="1049" priority="1311" stopIfTrue="1" operator="lessThan">
      <formula>0</formula>
    </cfRule>
  </conditionalFormatting>
  <conditionalFormatting sqref="AV79">
    <cfRule type="cellIs" dxfId="1048" priority="1310" stopIfTrue="1" operator="lessThan">
      <formula>0</formula>
    </cfRule>
  </conditionalFormatting>
  <conditionalFormatting sqref="AV68:AV71">
    <cfRule type="cellIs" dxfId="1047" priority="1309" stopIfTrue="1" operator="lessThan">
      <formula>0</formula>
    </cfRule>
  </conditionalFormatting>
  <conditionalFormatting sqref="AV73:AV77">
    <cfRule type="cellIs" dxfId="1046" priority="1308" stopIfTrue="1" operator="lessThan">
      <formula>0</formula>
    </cfRule>
  </conditionalFormatting>
  <conditionalFormatting sqref="AV82:AV84">
    <cfRule type="cellIs" dxfId="1045" priority="1307" stopIfTrue="1" operator="lessThan">
      <formula>0</formula>
    </cfRule>
  </conditionalFormatting>
  <conditionalFormatting sqref="AV87:AV90">
    <cfRule type="cellIs" dxfId="1044" priority="1306" stopIfTrue="1" operator="lessThan">
      <formula>0</formula>
    </cfRule>
  </conditionalFormatting>
  <conditionalFormatting sqref="AV78">
    <cfRule type="cellIs" dxfId="1043" priority="1305" stopIfTrue="1" operator="lessThan">
      <formula>0</formula>
    </cfRule>
  </conditionalFormatting>
  <conditionalFormatting sqref="AV72">
    <cfRule type="cellIs" dxfId="1042" priority="1304" stopIfTrue="1" operator="lessThan">
      <formula>0</formula>
    </cfRule>
  </conditionalFormatting>
  <conditionalFormatting sqref="AV91">
    <cfRule type="cellIs" dxfId="1041" priority="1303" stopIfTrue="1" operator="lessThan">
      <formula>0</formula>
    </cfRule>
  </conditionalFormatting>
  <conditionalFormatting sqref="AV69">
    <cfRule type="cellIs" dxfId="1040" priority="1302" stopIfTrue="1" operator="lessThan">
      <formula>0</formula>
    </cfRule>
  </conditionalFormatting>
  <conditionalFormatting sqref="AV69">
    <cfRule type="cellIs" dxfId="1039" priority="1301" stopIfTrue="1" operator="lessThan">
      <formula>0</formula>
    </cfRule>
  </conditionalFormatting>
  <conditionalFormatting sqref="AV70">
    <cfRule type="cellIs" dxfId="1038" priority="1300" stopIfTrue="1" operator="lessThan">
      <formula>0</formula>
    </cfRule>
  </conditionalFormatting>
  <conditionalFormatting sqref="AV70">
    <cfRule type="cellIs" dxfId="1037" priority="1299" stopIfTrue="1" operator="lessThan">
      <formula>0</formula>
    </cfRule>
  </conditionalFormatting>
  <conditionalFormatting sqref="AV71">
    <cfRule type="cellIs" dxfId="1036" priority="1298" stopIfTrue="1" operator="lessThan">
      <formula>0</formula>
    </cfRule>
  </conditionalFormatting>
  <conditionalFormatting sqref="AV71">
    <cfRule type="cellIs" dxfId="1035" priority="1297" stopIfTrue="1" operator="lessThan">
      <formula>0</formula>
    </cfRule>
  </conditionalFormatting>
  <conditionalFormatting sqref="AV72">
    <cfRule type="cellIs" dxfId="1034" priority="1296" stopIfTrue="1" operator="lessThan">
      <formula>0</formula>
    </cfRule>
  </conditionalFormatting>
  <conditionalFormatting sqref="AV72">
    <cfRule type="cellIs" dxfId="1033" priority="1295" stopIfTrue="1" operator="lessThan">
      <formula>0</formula>
    </cfRule>
  </conditionalFormatting>
  <conditionalFormatting sqref="AV77">
    <cfRule type="cellIs" dxfId="1032" priority="1294" stopIfTrue="1" operator="lessThan">
      <formula>0</formula>
    </cfRule>
  </conditionalFormatting>
  <conditionalFormatting sqref="AV77">
    <cfRule type="cellIs" dxfId="1031" priority="1293" stopIfTrue="1" operator="lessThan">
      <formula>0</formula>
    </cfRule>
  </conditionalFormatting>
  <conditionalFormatting sqref="AV78">
    <cfRule type="cellIs" dxfId="1030" priority="1292" stopIfTrue="1" operator="lessThan">
      <formula>0</formula>
    </cfRule>
  </conditionalFormatting>
  <conditionalFormatting sqref="AV78">
    <cfRule type="cellIs" dxfId="1029" priority="1291" stopIfTrue="1" operator="lessThan">
      <formula>0</formula>
    </cfRule>
  </conditionalFormatting>
  <conditionalFormatting sqref="AV79">
    <cfRule type="cellIs" dxfId="1028" priority="1290" stopIfTrue="1" operator="lessThan">
      <formula>0</formula>
    </cfRule>
  </conditionalFormatting>
  <conditionalFormatting sqref="AV79">
    <cfRule type="cellIs" dxfId="1027" priority="1289" stopIfTrue="1" operator="lessThan">
      <formula>0</formula>
    </cfRule>
  </conditionalFormatting>
  <conditionalFormatting sqref="AV80:AV81">
    <cfRule type="cellIs" dxfId="1026" priority="1288" stopIfTrue="1" operator="lessThan">
      <formula>0</formula>
    </cfRule>
  </conditionalFormatting>
  <conditionalFormatting sqref="AV83">
    <cfRule type="cellIs" dxfId="1025" priority="1287" stopIfTrue="1" operator="lessThan">
      <formula>0</formula>
    </cfRule>
  </conditionalFormatting>
  <conditionalFormatting sqref="AV84">
    <cfRule type="cellIs" dxfId="1024" priority="1286" stopIfTrue="1" operator="lessThan">
      <formula>0</formula>
    </cfRule>
  </conditionalFormatting>
  <conditionalFormatting sqref="AV85">
    <cfRule type="cellIs" dxfId="1023" priority="1285" stopIfTrue="1" operator="lessThan">
      <formula>0</formula>
    </cfRule>
  </conditionalFormatting>
  <conditionalFormatting sqref="AV86">
    <cfRule type="cellIs" dxfId="1022" priority="1284" stopIfTrue="1" operator="lessThan">
      <formula>0</formula>
    </cfRule>
  </conditionalFormatting>
  <conditionalFormatting sqref="AV85">
    <cfRule type="cellIs" dxfId="1021" priority="1283" stopIfTrue="1" operator="lessThan">
      <formula>0</formula>
    </cfRule>
  </conditionalFormatting>
  <conditionalFormatting sqref="AV86">
    <cfRule type="cellIs" dxfId="1020" priority="1282" stopIfTrue="1" operator="lessThan">
      <formula>0</formula>
    </cfRule>
  </conditionalFormatting>
  <conditionalFormatting sqref="AV88">
    <cfRule type="cellIs" dxfId="1019" priority="1281" stopIfTrue="1" operator="lessThan">
      <formula>0</formula>
    </cfRule>
  </conditionalFormatting>
  <conditionalFormatting sqref="AV89:AV90">
    <cfRule type="cellIs" dxfId="1018" priority="1280" stopIfTrue="1" operator="lessThan">
      <formula>0</formula>
    </cfRule>
  </conditionalFormatting>
  <conditionalFormatting sqref="AV91">
    <cfRule type="cellIs" dxfId="1017" priority="1279" stopIfTrue="1" operator="lessThan">
      <formula>0</formula>
    </cfRule>
  </conditionalFormatting>
  <conditionalFormatting sqref="AV68">
    <cfRule type="cellIs" dxfId="1016" priority="1278" stopIfTrue="1" operator="lessThan">
      <formula>0</formula>
    </cfRule>
  </conditionalFormatting>
  <conditionalFormatting sqref="AV68">
    <cfRule type="cellIs" dxfId="1015" priority="1277" stopIfTrue="1" operator="lessThan">
      <formula>0</formula>
    </cfRule>
  </conditionalFormatting>
  <conditionalFormatting sqref="AV73:AV76">
    <cfRule type="cellIs" dxfId="1014" priority="1276" stopIfTrue="1" operator="lessThan">
      <formula>0</formula>
    </cfRule>
  </conditionalFormatting>
  <conditionalFormatting sqref="AV73:AV76">
    <cfRule type="cellIs" dxfId="1013" priority="1275" stopIfTrue="1" operator="lessThan">
      <formula>0</formula>
    </cfRule>
  </conditionalFormatting>
  <conditionalFormatting sqref="AV82">
    <cfRule type="cellIs" dxfId="1012" priority="1274" stopIfTrue="1" operator="lessThan">
      <formula>0</formula>
    </cfRule>
  </conditionalFormatting>
  <conditionalFormatting sqref="AV87">
    <cfRule type="cellIs" dxfId="1011" priority="1273" stopIfTrue="1" operator="lessThan">
      <formula>0</formula>
    </cfRule>
  </conditionalFormatting>
  <conditionalFormatting sqref="AV95:AV98">
    <cfRule type="cellIs" dxfId="1010" priority="1272" stopIfTrue="1" operator="lessThan">
      <formula>0</formula>
    </cfRule>
  </conditionalFormatting>
  <conditionalFormatting sqref="AV92">
    <cfRule type="cellIs" dxfId="1009" priority="1271" stopIfTrue="1" operator="lessThan">
      <formula>0</formula>
    </cfRule>
  </conditionalFormatting>
  <conditionalFormatting sqref="AV93:AV94">
    <cfRule type="cellIs" dxfId="1008" priority="1270" stopIfTrue="1" operator="lessThan">
      <formula>0</formula>
    </cfRule>
  </conditionalFormatting>
  <conditionalFormatting sqref="AV93:AV94">
    <cfRule type="cellIs" dxfId="1007" priority="1268" stopIfTrue="1" operator="lessThan">
      <formula>0</formula>
    </cfRule>
  </conditionalFormatting>
  <conditionalFormatting sqref="AV92">
    <cfRule type="cellIs" dxfId="1006" priority="1269" stopIfTrue="1" operator="lessThan">
      <formula>0</formula>
    </cfRule>
  </conditionalFormatting>
  <conditionalFormatting sqref="AV96">
    <cfRule type="cellIs" dxfId="1005" priority="1267" stopIfTrue="1" operator="lessThan">
      <formula>0</formula>
    </cfRule>
  </conditionalFormatting>
  <conditionalFormatting sqref="AV95">
    <cfRule type="cellIs" dxfId="1004" priority="1266" stopIfTrue="1" operator="lessThan">
      <formula>0</formula>
    </cfRule>
  </conditionalFormatting>
  <conditionalFormatting sqref="AV97:AV98">
    <cfRule type="cellIs" dxfId="1003" priority="1265" stopIfTrue="1" operator="lessThan">
      <formula>0</formula>
    </cfRule>
  </conditionalFormatting>
  <conditionalFormatting sqref="AW80:AW81">
    <cfRule type="cellIs" dxfId="1002" priority="1264" stopIfTrue="1" operator="lessThan">
      <formula>0</formula>
    </cfRule>
  </conditionalFormatting>
  <conditionalFormatting sqref="AW79">
    <cfRule type="cellIs" dxfId="1001" priority="1263" stopIfTrue="1" operator="lessThan">
      <formula>0</formula>
    </cfRule>
  </conditionalFormatting>
  <conditionalFormatting sqref="AW68:AW71">
    <cfRule type="cellIs" dxfId="1000" priority="1262" stopIfTrue="1" operator="lessThan">
      <formula>0</formula>
    </cfRule>
  </conditionalFormatting>
  <conditionalFormatting sqref="AW73:AW77">
    <cfRule type="cellIs" dxfId="999" priority="1261" stopIfTrue="1" operator="lessThan">
      <formula>0</formula>
    </cfRule>
  </conditionalFormatting>
  <conditionalFormatting sqref="AW78">
    <cfRule type="cellIs" dxfId="998" priority="1260" stopIfTrue="1" operator="lessThan">
      <formula>0</formula>
    </cfRule>
  </conditionalFormatting>
  <conditionalFormatting sqref="AW72">
    <cfRule type="cellIs" dxfId="997" priority="1259" stopIfTrue="1" operator="lessThan">
      <formula>0</formula>
    </cfRule>
  </conditionalFormatting>
  <conditionalFormatting sqref="AW69">
    <cfRule type="cellIs" dxfId="996" priority="1258" stopIfTrue="1" operator="lessThan">
      <formula>0</formula>
    </cfRule>
  </conditionalFormatting>
  <conditionalFormatting sqref="AW69">
    <cfRule type="cellIs" dxfId="995" priority="1257" stopIfTrue="1" operator="lessThan">
      <formula>0</formula>
    </cfRule>
  </conditionalFormatting>
  <conditionalFormatting sqref="AW70">
    <cfRule type="cellIs" dxfId="994" priority="1256" stopIfTrue="1" operator="lessThan">
      <formula>0</formula>
    </cfRule>
  </conditionalFormatting>
  <conditionalFormatting sqref="AW70">
    <cfRule type="cellIs" dxfId="993" priority="1255" stopIfTrue="1" operator="lessThan">
      <formula>0</formula>
    </cfRule>
  </conditionalFormatting>
  <conditionalFormatting sqref="AW71">
    <cfRule type="cellIs" dxfId="992" priority="1254" stopIfTrue="1" operator="lessThan">
      <formula>0</formula>
    </cfRule>
  </conditionalFormatting>
  <conditionalFormatting sqref="AW71">
    <cfRule type="cellIs" dxfId="991" priority="1253" stopIfTrue="1" operator="lessThan">
      <formula>0</formula>
    </cfRule>
  </conditionalFormatting>
  <conditionalFormatting sqref="AW72">
    <cfRule type="cellIs" dxfId="990" priority="1252" stopIfTrue="1" operator="lessThan">
      <formula>0</formula>
    </cfRule>
  </conditionalFormatting>
  <conditionalFormatting sqref="AW72">
    <cfRule type="cellIs" dxfId="989" priority="1251" stopIfTrue="1" operator="lessThan">
      <formula>0</formula>
    </cfRule>
  </conditionalFormatting>
  <conditionalFormatting sqref="AW77">
    <cfRule type="cellIs" dxfId="988" priority="1250" stopIfTrue="1" operator="lessThan">
      <formula>0</formula>
    </cfRule>
  </conditionalFormatting>
  <conditionalFormatting sqref="AW77">
    <cfRule type="cellIs" dxfId="987" priority="1249" stopIfTrue="1" operator="lessThan">
      <formula>0</formula>
    </cfRule>
  </conditionalFormatting>
  <conditionalFormatting sqref="AW78">
    <cfRule type="cellIs" dxfId="986" priority="1248" stopIfTrue="1" operator="lessThan">
      <formula>0</formula>
    </cfRule>
  </conditionalFormatting>
  <conditionalFormatting sqref="AW78">
    <cfRule type="cellIs" dxfId="985" priority="1247" stopIfTrue="1" operator="lessThan">
      <formula>0</formula>
    </cfRule>
  </conditionalFormatting>
  <conditionalFormatting sqref="AW79">
    <cfRule type="cellIs" dxfId="984" priority="1246" stopIfTrue="1" operator="lessThan">
      <formula>0</formula>
    </cfRule>
  </conditionalFormatting>
  <conditionalFormatting sqref="AW79">
    <cfRule type="cellIs" dxfId="983" priority="1245" stopIfTrue="1" operator="lessThan">
      <formula>0</formula>
    </cfRule>
  </conditionalFormatting>
  <conditionalFormatting sqref="AW80:AW81">
    <cfRule type="cellIs" dxfId="982" priority="1244" stopIfTrue="1" operator="lessThan">
      <formula>0</formula>
    </cfRule>
  </conditionalFormatting>
  <conditionalFormatting sqref="AW68">
    <cfRule type="cellIs" dxfId="981" priority="1243" stopIfTrue="1" operator="lessThan">
      <formula>0</formula>
    </cfRule>
  </conditionalFormatting>
  <conditionalFormatting sqref="AW68">
    <cfRule type="cellIs" dxfId="980" priority="1242" stopIfTrue="1" operator="lessThan">
      <formula>0</formula>
    </cfRule>
  </conditionalFormatting>
  <conditionalFormatting sqref="AW73:AW76">
    <cfRule type="cellIs" dxfId="979" priority="1241" stopIfTrue="1" operator="lessThan">
      <formula>0</formula>
    </cfRule>
  </conditionalFormatting>
  <conditionalFormatting sqref="AW73:AW76">
    <cfRule type="cellIs" dxfId="978" priority="1240" stopIfTrue="1" operator="lessThan">
      <formula>0</formula>
    </cfRule>
  </conditionalFormatting>
  <conditionalFormatting sqref="AW82:AW84">
    <cfRule type="cellIs" dxfId="977" priority="1239" stopIfTrue="1" operator="lessThan">
      <formula>0</formula>
    </cfRule>
  </conditionalFormatting>
  <conditionalFormatting sqref="AW87:AW90">
    <cfRule type="cellIs" dxfId="976" priority="1238" stopIfTrue="1" operator="lessThan">
      <formula>0</formula>
    </cfRule>
  </conditionalFormatting>
  <conditionalFormatting sqref="AW91">
    <cfRule type="cellIs" dxfId="975" priority="1237" stopIfTrue="1" operator="lessThan">
      <formula>0</formula>
    </cfRule>
  </conditionalFormatting>
  <conditionalFormatting sqref="AW83">
    <cfRule type="cellIs" dxfId="974" priority="1236" stopIfTrue="1" operator="lessThan">
      <formula>0</formula>
    </cfRule>
  </conditionalFormatting>
  <conditionalFormatting sqref="AW84">
    <cfRule type="cellIs" dxfId="973" priority="1235" stopIfTrue="1" operator="lessThan">
      <formula>0</formula>
    </cfRule>
  </conditionalFormatting>
  <conditionalFormatting sqref="AW85">
    <cfRule type="cellIs" dxfId="972" priority="1234" stopIfTrue="1" operator="lessThan">
      <formula>0</formula>
    </cfRule>
  </conditionalFormatting>
  <conditionalFormatting sqref="AW86">
    <cfRule type="cellIs" dxfId="971" priority="1233" stopIfTrue="1" operator="lessThan">
      <formula>0</formula>
    </cfRule>
  </conditionalFormatting>
  <conditionalFormatting sqref="AW85">
    <cfRule type="cellIs" dxfId="970" priority="1232" stopIfTrue="1" operator="lessThan">
      <formula>0</formula>
    </cfRule>
  </conditionalFormatting>
  <conditionalFormatting sqref="AW86">
    <cfRule type="cellIs" dxfId="969" priority="1231" stopIfTrue="1" operator="lessThan">
      <formula>0</formula>
    </cfRule>
  </conditionalFormatting>
  <conditionalFormatting sqref="AW88">
    <cfRule type="cellIs" dxfId="968" priority="1230" stopIfTrue="1" operator="lessThan">
      <formula>0</formula>
    </cfRule>
  </conditionalFormatting>
  <conditionalFormatting sqref="AW89:AW90">
    <cfRule type="cellIs" dxfId="967" priority="1229" stopIfTrue="1" operator="lessThan">
      <formula>0</formula>
    </cfRule>
  </conditionalFormatting>
  <conditionalFormatting sqref="AW91">
    <cfRule type="cellIs" dxfId="966" priority="1228" stopIfTrue="1" operator="lessThan">
      <formula>0</formula>
    </cfRule>
  </conditionalFormatting>
  <conditionalFormatting sqref="AW82">
    <cfRule type="cellIs" dxfId="965" priority="1227" stopIfTrue="1" operator="lessThan">
      <formula>0</formula>
    </cfRule>
  </conditionalFormatting>
  <conditionalFormatting sqref="AW87">
    <cfRule type="cellIs" dxfId="964" priority="1226" stopIfTrue="1" operator="lessThan">
      <formula>0</formula>
    </cfRule>
  </conditionalFormatting>
  <conditionalFormatting sqref="AW92">
    <cfRule type="cellIs" dxfId="963" priority="1225" stopIfTrue="1" operator="lessThan">
      <formula>0</formula>
    </cfRule>
  </conditionalFormatting>
  <conditionalFormatting sqref="AW93:AW94">
    <cfRule type="cellIs" dxfId="962" priority="1224" stopIfTrue="1" operator="lessThan">
      <formula>0</formula>
    </cfRule>
  </conditionalFormatting>
  <conditionalFormatting sqref="AW93:AW94">
    <cfRule type="cellIs" dxfId="961" priority="1222" stopIfTrue="1" operator="lessThan">
      <formula>0</formula>
    </cfRule>
  </conditionalFormatting>
  <conditionalFormatting sqref="AW92">
    <cfRule type="cellIs" dxfId="960" priority="1223" stopIfTrue="1" operator="lessThan">
      <formula>0</formula>
    </cfRule>
  </conditionalFormatting>
  <conditionalFormatting sqref="AW95:AW98">
    <cfRule type="cellIs" dxfId="959" priority="1221" stopIfTrue="1" operator="lessThan">
      <formula>0</formula>
    </cfRule>
  </conditionalFormatting>
  <conditionalFormatting sqref="AW96">
    <cfRule type="cellIs" dxfId="958" priority="1220" stopIfTrue="1" operator="lessThan">
      <formula>0</formula>
    </cfRule>
  </conditionalFormatting>
  <conditionalFormatting sqref="AW95">
    <cfRule type="cellIs" dxfId="957" priority="1219" stopIfTrue="1" operator="lessThan">
      <formula>0</formula>
    </cfRule>
  </conditionalFormatting>
  <conditionalFormatting sqref="AW97:AW98">
    <cfRule type="cellIs" dxfId="956" priority="1218" stopIfTrue="1" operator="lessThan">
      <formula>0</formula>
    </cfRule>
  </conditionalFormatting>
  <conditionalFormatting sqref="AW80:AW81">
    <cfRule type="cellIs" dxfId="955" priority="1217" stopIfTrue="1" operator="lessThan">
      <formula>0</formula>
    </cfRule>
  </conditionalFormatting>
  <conditionalFormatting sqref="AW79">
    <cfRule type="cellIs" dxfId="954" priority="1216" stopIfTrue="1" operator="lessThan">
      <formula>0</formula>
    </cfRule>
  </conditionalFormatting>
  <conditionalFormatting sqref="AW68:AW71">
    <cfRule type="cellIs" dxfId="953" priority="1215" stopIfTrue="1" operator="lessThan">
      <formula>0</formula>
    </cfRule>
  </conditionalFormatting>
  <conditionalFormatting sqref="AW73:AW77">
    <cfRule type="cellIs" dxfId="952" priority="1214" stopIfTrue="1" operator="lessThan">
      <formula>0</formula>
    </cfRule>
  </conditionalFormatting>
  <conditionalFormatting sqref="AW82:AW84">
    <cfRule type="cellIs" dxfId="951" priority="1213" stopIfTrue="1" operator="lessThan">
      <formula>0</formula>
    </cfRule>
  </conditionalFormatting>
  <conditionalFormatting sqref="AW87:AW90">
    <cfRule type="cellIs" dxfId="950" priority="1212" stopIfTrue="1" operator="lessThan">
      <formula>0</formula>
    </cfRule>
  </conditionalFormatting>
  <conditionalFormatting sqref="AW78">
    <cfRule type="cellIs" dxfId="949" priority="1211" stopIfTrue="1" operator="lessThan">
      <formula>0</formula>
    </cfRule>
  </conditionalFormatting>
  <conditionalFormatting sqref="AW72">
    <cfRule type="cellIs" dxfId="948" priority="1210" stopIfTrue="1" operator="lessThan">
      <formula>0</formula>
    </cfRule>
  </conditionalFormatting>
  <conditionalFormatting sqref="AW91">
    <cfRule type="cellIs" dxfId="947" priority="1209" stopIfTrue="1" operator="lessThan">
      <formula>0</formula>
    </cfRule>
  </conditionalFormatting>
  <conditionalFormatting sqref="AW69">
    <cfRule type="cellIs" dxfId="946" priority="1208" stopIfTrue="1" operator="lessThan">
      <formula>0</formula>
    </cfRule>
  </conditionalFormatting>
  <conditionalFormatting sqref="AW69">
    <cfRule type="cellIs" dxfId="945" priority="1207" stopIfTrue="1" operator="lessThan">
      <formula>0</formula>
    </cfRule>
  </conditionalFormatting>
  <conditionalFormatting sqref="AW70">
    <cfRule type="cellIs" dxfId="944" priority="1206" stopIfTrue="1" operator="lessThan">
      <formula>0</formula>
    </cfRule>
  </conditionalFormatting>
  <conditionalFormatting sqref="AW70">
    <cfRule type="cellIs" dxfId="943" priority="1205" stopIfTrue="1" operator="lessThan">
      <formula>0</formula>
    </cfRule>
  </conditionalFormatting>
  <conditionalFormatting sqref="AW71">
    <cfRule type="cellIs" dxfId="942" priority="1204" stopIfTrue="1" operator="lessThan">
      <formula>0</formula>
    </cfRule>
  </conditionalFormatting>
  <conditionalFormatting sqref="AW71">
    <cfRule type="cellIs" dxfId="941" priority="1203" stopIfTrue="1" operator="lessThan">
      <formula>0</formula>
    </cfRule>
  </conditionalFormatting>
  <conditionalFormatting sqref="AW72">
    <cfRule type="cellIs" dxfId="940" priority="1202" stopIfTrue="1" operator="lessThan">
      <formula>0</formula>
    </cfRule>
  </conditionalFormatting>
  <conditionalFormatting sqref="AW72">
    <cfRule type="cellIs" dxfId="939" priority="1201" stopIfTrue="1" operator="lessThan">
      <formula>0</formula>
    </cfRule>
  </conditionalFormatting>
  <conditionalFormatting sqref="AW77">
    <cfRule type="cellIs" dxfId="938" priority="1200" stopIfTrue="1" operator="lessThan">
      <formula>0</formula>
    </cfRule>
  </conditionalFormatting>
  <conditionalFormatting sqref="AW77">
    <cfRule type="cellIs" dxfId="937" priority="1199" stopIfTrue="1" operator="lessThan">
      <formula>0</formula>
    </cfRule>
  </conditionalFormatting>
  <conditionalFormatting sqref="AW78">
    <cfRule type="cellIs" dxfId="936" priority="1198" stopIfTrue="1" operator="lessThan">
      <formula>0</formula>
    </cfRule>
  </conditionalFormatting>
  <conditionalFormatting sqref="AW78">
    <cfRule type="cellIs" dxfId="935" priority="1197" stopIfTrue="1" operator="lessThan">
      <formula>0</formula>
    </cfRule>
  </conditionalFormatting>
  <conditionalFormatting sqref="AW79">
    <cfRule type="cellIs" dxfId="934" priority="1196" stopIfTrue="1" operator="lessThan">
      <formula>0</formula>
    </cfRule>
  </conditionalFormatting>
  <conditionalFormatting sqref="AW79">
    <cfRule type="cellIs" dxfId="933" priority="1195" stopIfTrue="1" operator="lessThan">
      <formula>0</formula>
    </cfRule>
  </conditionalFormatting>
  <conditionalFormatting sqref="AW80:AW81">
    <cfRule type="cellIs" dxfId="932" priority="1194" stopIfTrue="1" operator="lessThan">
      <formula>0</formula>
    </cfRule>
  </conditionalFormatting>
  <conditionalFormatting sqref="AW83">
    <cfRule type="cellIs" dxfId="931" priority="1193" stopIfTrue="1" operator="lessThan">
      <formula>0</formula>
    </cfRule>
  </conditionalFormatting>
  <conditionalFormatting sqref="AW84">
    <cfRule type="cellIs" dxfId="930" priority="1192" stopIfTrue="1" operator="lessThan">
      <formula>0</formula>
    </cfRule>
  </conditionalFormatting>
  <conditionalFormatting sqref="AW85">
    <cfRule type="cellIs" dxfId="929" priority="1191" stopIfTrue="1" operator="lessThan">
      <formula>0</formula>
    </cfRule>
  </conditionalFormatting>
  <conditionalFormatting sqref="AW86">
    <cfRule type="cellIs" dxfId="928" priority="1190" stopIfTrue="1" operator="lessThan">
      <formula>0</formula>
    </cfRule>
  </conditionalFormatting>
  <conditionalFormatting sqref="AW85">
    <cfRule type="cellIs" dxfId="927" priority="1189" stopIfTrue="1" operator="lessThan">
      <formula>0</formula>
    </cfRule>
  </conditionalFormatting>
  <conditionalFormatting sqref="AW86">
    <cfRule type="cellIs" dxfId="926" priority="1188" stopIfTrue="1" operator="lessThan">
      <formula>0</formula>
    </cfRule>
  </conditionalFormatting>
  <conditionalFormatting sqref="AW88">
    <cfRule type="cellIs" dxfId="925" priority="1187" stopIfTrue="1" operator="lessThan">
      <formula>0</formula>
    </cfRule>
  </conditionalFormatting>
  <conditionalFormatting sqref="AW89:AW90">
    <cfRule type="cellIs" dxfId="924" priority="1186" stopIfTrue="1" operator="lessThan">
      <formula>0</formula>
    </cfRule>
  </conditionalFormatting>
  <conditionalFormatting sqref="AW91">
    <cfRule type="cellIs" dxfId="923" priority="1185" stopIfTrue="1" operator="lessThan">
      <formula>0</formula>
    </cfRule>
  </conditionalFormatting>
  <conditionalFormatting sqref="AW68">
    <cfRule type="cellIs" dxfId="922" priority="1184" stopIfTrue="1" operator="lessThan">
      <formula>0</formula>
    </cfRule>
  </conditionalFormatting>
  <conditionalFormatting sqref="AW68">
    <cfRule type="cellIs" dxfId="921" priority="1183" stopIfTrue="1" operator="lessThan">
      <formula>0</formula>
    </cfRule>
  </conditionalFormatting>
  <conditionalFormatting sqref="AW73:AW76">
    <cfRule type="cellIs" dxfId="920" priority="1182" stopIfTrue="1" operator="lessThan">
      <formula>0</formula>
    </cfRule>
  </conditionalFormatting>
  <conditionalFormatting sqref="AW73:AW76">
    <cfRule type="cellIs" dxfId="919" priority="1181" stopIfTrue="1" operator="lessThan">
      <formula>0</formula>
    </cfRule>
  </conditionalFormatting>
  <conditionalFormatting sqref="AW82">
    <cfRule type="cellIs" dxfId="918" priority="1180" stopIfTrue="1" operator="lessThan">
      <formula>0</formula>
    </cfRule>
  </conditionalFormatting>
  <conditionalFormatting sqref="AW87">
    <cfRule type="cellIs" dxfId="917" priority="1179" stopIfTrue="1" operator="lessThan">
      <formula>0</formula>
    </cfRule>
  </conditionalFormatting>
  <conditionalFormatting sqref="AW95:AW98">
    <cfRule type="cellIs" dxfId="916" priority="1178" stopIfTrue="1" operator="lessThan">
      <formula>0</formula>
    </cfRule>
  </conditionalFormatting>
  <conditionalFormatting sqref="AW92">
    <cfRule type="cellIs" dxfId="915" priority="1177" stopIfTrue="1" operator="lessThan">
      <formula>0</formula>
    </cfRule>
  </conditionalFormatting>
  <conditionalFormatting sqref="AW93:AW94">
    <cfRule type="cellIs" dxfId="914" priority="1176" stopIfTrue="1" operator="lessThan">
      <formula>0</formula>
    </cfRule>
  </conditionalFormatting>
  <conditionalFormatting sqref="AW93:AW94">
    <cfRule type="cellIs" dxfId="913" priority="1174" stopIfTrue="1" operator="lessThan">
      <formula>0</formula>
    </cfRule>
  </conditionalFormatting>
  <conditionalFormatting sqref="AW92">
    <cfRule type="cellIs" dxfId="912" priority="1175" stopIfTrue="1" operator="lessThan">
      <formula>0</formula>
    </cfRule>
  </conditionalFormatting>
  <conditionalFormatting sqref="AW96">
    <cfRule type="cellIs" dxfId="911" priority="1173" stopIfTrue="1" operator="lessThan">
      <formula>0</formula>
    </cfRule>
  </conditionalFormatting>
  <conditionalFormatting sqref="AW95">
    <cfRule type="cellIs" dxfId="910" priority="1172" stopIfTrue="1" operator="lessThan">
      <formula>0</formula>
    </cfRule>
  </conditionalFormatting>
  <conditionalFormatting sqref="AW97:AW98">
    <cfRule type="cellIs" dxfId="909" priority="1171" stopIfTrue="1" operator="lessThan">
      <formula>0</formula>
    </cfRule>
  </conditionalFormatting>
  <conditionalFormatting sqref="AX80:AX81">
    <cfRule type="cellIs" dxfId="908" priority="1065" stopIfTrue="1" operator="lessThan">
      <formula>0</formula>
    </cfRule>
  </conditionalFormatting>
  <conditionalFormatting sqref="AX79">
    <cfRule type="cellIs" dxfId="907" priority="1064" stopIfTrue="1" operator="lessThan">
      <formula>0</formula>
    </cfRule>
  </conditionalFormatting>
  <conditionalFormatting sqref="AX68:AX71">
    <cfRule type="cellIs" dxfId="906" priority="1063" stopIfTrue="1" operator="lessThan">
      <formula>0</formula>
    </cfRule>
  </conditionalFormatting>
  <conditionalFormatting sqref="AX73:AX77">
    <cfRule type="cellIs" dxfId="905" priority="1062" stopIfTrue="1" operator="lessThan">
      <formula>0</formula>
    </cfRule>
  </conditionalFormatting>
  <conditionalFormatting sqref="AX78">
    <cfRule type="cellIs" dxfId="904" priority="1061" stopIfTrue="1" operator="lessThan">
      <formula>0</formula>
    </cfRule>
  </conditionalFormatting>
  <conditionalFormatting sqref="AX72">
    <cfRule type="cellIs" dxfId="903" priority="1060" stopIfTrue="1" operator="lessThan">
      <formula>0</formula>
    </cfRule>
  </conditionalFormatting>
  <conditionalFormatting sqref="AX69">
    <cfRule type="cellIs" dxfId="902" priority="1059" stopIfTrue="1" operator="lessThan">
      <formula>0</formula>
    </cfRule>
  </conditionalFormatting>
  <conditionalFormatting sqref="AX69">
    <cfRule type="cellIs" dxfId="901" priority="1058" stopIfTrue="1" operator="lessThan">
      <formula>0</formula>
    </cfRule>
  </conditionalFormatting>
  <conditionalFormatting sqref="AX70">
    <cfRule type="cellIs" dxfId="900" priority="1057" stopIfTrue="1" operator="lessThan">
      <formula>0</formula>
    </cfRule>
  </conditionalFormatting>
  <conditionalFormatting sqref="AX70">
    <cfRule type="cellIs" dxfId="899" priority="1056" stopIfTrue="1" operator="lessThan">
      <formula>0</formula>
    </cfRule>
  </conditionalFormatting>
  <conditionalFormatting sqref="AX71">
    <cfRule type="cellIs" dxfId="898" priority="1055" stopIfTrue="1" operator="lessThan">
      <formula>0</formula>
    </cfRule>
  </conditionalFormatting>
  <conditionalFormatting sqref="AX71">
    <cfRule type="cellIs" dxfId="897" priority="1054" stopIfTrue="1" operator="lessThan">
      <formula>0</formula>
    </cfRule>
  </conditionalFormatting>
  <conditionalFormatting sqref="AX72">
    <cfRule type="cellIs" dxfId="896" priority="1053" stopIfTrue="1" operator="lessThan">
      <formula>0</formula>
    </cfRule>
  </conditionalFormatting>
  <conditionalFormatting sqref="AX72">
    <cfRule type="cellIs" dxfId="895" priority="1052" stopIfTrue="1" operator="lessThan">
      <formula>0</formula>
    </cfRule>
  </conditionalFormatting>
  <conditionalFormatting sqref="AX77">
    <cfRule type="cellIs" dxfId="894" priority="1051" stopIfTrue="1" operator="lessThan">
      <formula>0</formula>
    </cfRule>
  </conditionalFormatting>
  <conditionalFormatting sqref="AX77">
    <cfRule type="cellIs" dxfId="893" priority="1050" stopIfTrue="1" operator="lessThan">
      <formula>0</formula>
    </cfRule>
  </conditionalFormatting>
  <conditionalFormatting sqref="AX78">
    <cfRule type="cellIs" dxfId="892" priority="1049" stopIfTrue="1" operator="lessThan">
      <formula>0</formula>
    </cfRule>
  </conditionalFormatting>
  <conditionalFormatting sqref="AX78">
    <cfRule type="cellIs" dxfId="891" priority="1048" stopIfTrue="1" operator="lessThan">
      <formula>0</formula>
    </cfRule>
  </conditionalFormatting>
  <conditionalFormatting sqref="AX79">
    <cfRule type="cellIs" dxfId="890" priority="1047" stopIfTrue="1" operator="lessThan">
      <formula>0</formula>
    </cfRule>
  </conditionalFormatting>
  <conditionalFormatting sqref="AX79">
    <cfRule type="cellIs" dxfId="889" priority="1046" stopIfTrue="1" operator="lessThan">
      <formula>0</formula>
    </cfRule>
  </conditionalFormatting>
  <conditionalFormatting sqref="AX80:AX81">
    <cfRule type="cellIs" dxfId="888" priority="1045" stopIfTrue="1" operator="lessThan">
      <formula>0</formula>
    </cfRule>
  </conditionalFormatting>
  <conditionalFormatting sqref="AX68">
    <cfRule type="cellIs" dxfId="887" priority="1044" stopIfTrue="1" operator="lessThan">
      <formula>0</formula>
    </cfRule>
  </conditionalFormatting>
  <conditionalFormatting sqref="AX68">
    <cfRule type="cellIs" dxfId="886" priority="1043" stopIfTrue="1" operator="lessThan">
      <formula>0</formula>
    </cfRule>
  </conditionalFormatting>
  <conditionalFormatting sqref="AX73:AX76">
    <cfRule type="cellIs" dxfId="885" priority="1042" stopIfTrue="1" operator="lessThan">
      <formula>0</formula>
    </cfRule>
  </conditionalFormatting>
  <conditionalFormatting sqref="AX73:AX76">
    <cfRule type="cellIs" dxfId="884" priority="1041" stopIfTrue="1" operator="lessThan">
      <formula>0</formula>
    </cfRule>
  </conditionalFormatting>
  <conditionalFormatting sqref="AX82:AX84">
    <cfRule type="cellIs" dxfId="883" priority="1040" stopIfTrue="1" operator="lessThan">
      <formula>0</formula>
    </cfRule>
  </conditionalFormatting>
  <conditionalFormatting sqref="AX87:AX90">
    <cfRule type="cellIs" dxfId="882" priority="1039" stopIfTrue="1" operator="lessThan">
      <formula>0</formula>
    </cfRule>
  </conditionalFormatting>
  <conditionalFormatting sqref="AX91">
    <cfRule type="cellIs" dxfId="881" priority="1038" stopIfTrue="1" operator="lessThan">
      <formula>0</formula>
    </cfRule>
  </conditionalFormatting>
  <conditionalFormatting sqref="AX83">
    <cfRule type="cellIs" dxfId="880" priority="1037" stopIfTrue="1" operator="lessThan">
      <formula>0</formula>
    </cfRule>
  </conditionalFormatting>
  <conditionalFormatting sqref="AX84">
    <cfRule type="cellIs" dxfId="879" priority="1036" stopIfTrue="1" operator="lessThan">
      <formula>0</formula>
    </cfRule>
  </conditionalFormatting>
  <conditionalFormatting sqref="AX85">
    <cfRule type="cellIs" dxfId="878" priority="1035" stopIfTrue="1" operator="lessThan">
      <formula>0</formula>
    </cfRule>
  </conditionalFormatting>
  <conditionalFormatting sqref="AX86">
    <cfRule type="cellIs" dxfId="877" priority="1034" stopIfTrue="1" operator="lessThan">
      <formula>0</formula>
    </cfRule>
  </conditionalFormatting>
  <conditionalFormatting sqref="AX85">
    <cfRule type="cellIs" dxfId="876" priority="1033" stopIfTrue="1" operator="lessThan">
      <formula>0</formula>
    </cfRule>
  </conditionalFormatting>
  <conditionalFormatting sqref="AX86">
    <cfRule type="cellIs" dxfId="875" priority="1032" stopIfTrue="1" operator="lessThan">
      <formula>0</formula>
    </cfRule>
  </conditionalFormatting>
  <conditionalFormatting sqref="AX88">
    <cfRule type="cellIs" dxfId="874" priority="1031" stopIfTrue="1" operator="lessThan">
      <formula>0</formula>
    </cfRule>
  </conditionalFormatting>
  <conditionalFormatting sqref="AX89:AX90">
    <cfRule type="cellIs" dxfId="873" priority="1030" stopIfTrue="1" operator="lessThan">
      <formula>0</formula>
    </cfRule>
  </conditionalFormatting>
  <conditionalFormatting sqref="AX91">
    <cfRule type="cellIs" dxfId="872" priority="1029" stopIfTrue="1" operator="lessThan">
      <formula>0</formula>
    </cfRule>
  </conditionalFormatting>
  <conditionalFormatting sqref="AX82">
    <cfRule type="cellIs" dxfId="871" priority="1028" stopIfTrue="1" operator="lessThan">
      <formula>0</formula>
    </cfRule>
  </conditionalFormatting>
  <conditionalFormatting sqref="AX87">
    <cfRule type="cellIs" dxfId="870" priority="1027" stopIfTrue="1" operator="lessThan">
      <formula>0</formula>
    </cfRule>
  </conditionalFormatting>
  <conditionalFormatting sqref="AX92">
    <cfRule type="cellIs" dxfId="869" priority="1026" stopIfTrue="1" operator="lessThan">
      <formula>0</formula>
    </cfRule>
  </conditionalFormatting>
  <conditionalFormatting sqref="AX93:AX94">
    <cfRule type="cellIs" dxfId="868" priority="1025" stopIfTrue="1" operator="lessThan">
      <formula>0</formula>
    </cfRule>
  </conditionalFormatting>
  <conditionalFormatting sqref="AX93:AX94">
    <cfRule type="cellIs" dxfId="867" priority="1023" stopIfTrue="1" operator="lessThan">
      <formula>0</formula>
    </cfRule>
  </conditionalFormatting>
  <conditionalFormatting sqref="AX92">
    <cfRule type="cellIs" dxfId="866" priority="1024" stopIfTrue="1" operator="lessThan">
      <formula>0</formula>
    </cfRule>
  </conditionalFormatting>
  <conditionalFormatting sqref="AX95:AX98">
    <cfRule type="cellIs" dxfId="865" priority="1022" stopIfTrue="1" operator="lessThan">
      <formula>0</formula>
    </cfRule>
  </conditionalFormatting>
  <conditionalFormatting sqref="AX96">
    <cfRule type="cellIs" dxfId="864" priority="1021" stopIfTrue="1" operator="lessThan">
      <formula>0</formula>
    </cfRule>
  </conditionalFormatting>
  <conditionalFormatting sqref="AX95">
    <cfRule type="cellIs" dxfId="863" priority="1020" stopIfTrue="1" operator="lessThan">
      <formula>0</formula>
    </cfRule>
  </conditionalFormatting>
  <conditionalFormatting sqref="AX97:AX98">
    <cfRule type="cellIs" dxfId="862" priority="1019" stopIfTrue="1" operator="lessThan">
      <formula>0</formula>
    </cfRule>
  </conditionalFormatting>
  <conditionalFormatting sqref="AX80:AX81">
    <cfRule type="cellIs" dxfId="861" priority="1018" stopIfTrue="1" operator="lessThan">
      <formula>0</formula>
    </cfRule>
  </conditionalFormatting>
  <conditionalFormatting sqref="AX79">
    <cfRule type="cellIs" dxfId="860" priority="1017" stopIfTrue="1" operator="lessThan">
      <formula>0</formula>
    </cfRule>
  </conditionalFormatting>
  <conditionalFormatting sqref="AX68:AX71">
    <cfRule type="cellIs" dxfId="859" priority="1016" stopIfTrue="1" operator="lessThan">
      <formula>0</formula>
    </cfRule>
  </conditionalFormatting>
  <conditionalFormatting sqref="AX73:AX77">
    <cfRule type="cellIs" dxfId="858" priority="1015" stopIfTrue="1" operator="lessThan">
      <formula>0</formula>
    </cfRule>
  </conditionalFormatting>
  <conditionalFormatting sqref="AX82:AX84">
    <cfRule type="cellIs" dxfId="857" priority="1014" stopIfTrue="1" operator="lessThan">
      <formula>0</formula>
    </cfRule>
  </conditionalFormatting>
  <conditionalFormatting sqref="AX87:AX90">
    <cfRule type="cellIs" dxfId="856" priority="1013" stopIfTrue="1" operator="lessThan">
      <formula>0</formula>
    </cfRule>
  </conditionalFormatting>
  <conditionalFormatting sqref="AX78">
    <cfRule type="cellIs" dxfId="855" priority="1012" stopIfTrue="1" operator="lessThan">
      <formula>0</formula>
    </cfRule>
  </conditionalFormatting>
  <conditionalFormatting sqref="AX72">
    <cfRule type="cellIs" dxfId="854" priority="1011" stopIfTrue="1" operator="lessThan">
      <formula>0</formula>
    </cfRule>
  </conditionalFormatting>
  <conditionalFormatting sqref="AX91">
    <cfRule type="cellIs" dxfId="853" priority="1010" stopIfTrue="1" operator="lessThan">
      <formula>0</formula>
    </cfRule>
  </conditionalFormatting>
  <conditionalFormatting sqref="AX69">
    <cfRule type="cellIs" dxfId="852" priority="1009" stopIfTrue="1" operator="lessThan">
      <formula>0</formula>
    </cfRule>
  </conditionalFormatting>
  <conditionalFormatting sqref="AX69">
    <cfRule type="cellIs" dxfId="851" priority="1008" stopIfTrue="1" operator="lessThan">
      <formula>0</formula>
    </cfRule>
  </conditionalFormatting>
  <conditionalFormatting sqref="AX70">
    <cfRule type="cellIs" dxfId="850" priority="1007" stopIfTrue="1" operator="lessThan">
      <formula>0</formula>
    </cfRule>
  </conditionalFormatting>
  <conditionalFormatting sqref="AX70">
    <cfRule type="cellIs" dxfId="849" priority="1006" stopIfTrue="1" operator="lessThan">
      <formula>0</formula>
    </cfRule>
  </conditionalFormatting>
  <conditionalFormatting sqref="AX71">
    <cfRule type="cellIs" dxfId="848" priority="1005" stopIfTrue="1" operator="lessThan">
      <formula>0</formula>
    </cfRule>
  </conditionalFormatting>
  <conditionalFormatting sqref="AX71">
    <cfRule type="cellIs" dxfId="847" priority="1004" stopIfTrue="1" operator="lessThan">
      <formula>0</formula>
    </cfRule>
  </conditionalFormatting>
  <conditionalFormatting sqref="AX72">
    <cfRule type="cellIs" dxfId="846" priority="1003" stopIfTrue="1" operator="lessThan">
      <formula>0</formula>
    </cfRule>
  </conditionalFormatting>
  <conditionalFormatting sqref="AX72">
    <cfRule type="cellIs" dxfId="845" priority="1002" stopIfTrue="1" operator="lessThan">
      <formula>0</formula>
    </cfRule>
  </conditionalFormatting>
  <conditionalFormatting sqref="AX77">
    <cfRule type="cellIs" dxfId="844" priority="1001" stopIfTrue="1" operator="lessThan">
      <formula>0</formula>
    </cfRule>
  </conditionalFormatting>
  <conditionalFormatting sqref="AX77">
    <cfRule type="cellIs" dxfId="843" priority="1000" stopIfTrue="1" operator="lessThan">
      <formula>0</formula>
    </cfRule>
  </conditionalFormatting>
  <conditionalFormatting sqref="AX78">
    <cfRule type="cellIs" dxfId="842" priority="999" stopIfTrue="1" operator="lessThan">
      <formula>0</formula>
    </cfRule>
  </conditionalFormatting>
  <conditionalFormatting sqref="AX78">
    <cfRule type="cellIs" dxfId="841" priority="998" stopIfTrue="1" operator="lessThan">
      <formula>0</formula>
    </cfRule>
  </conditionalFormatting>
  <conditionalFormatting sqref="AX79">
    <cfRule type="cellIs" dxfId="840" priority="997" stopIfTrue="1" operator="lessThan">
      <formula>0</formula>
    </cfRule>
  </conditionalFormatting>
  <conditionalFormatting sqref="AX79">
    <cfRule type="cellIs" dxfId="839" priority="996" stopIfTrue="1" operator="lessThan">
      <formula>0</formula>
    </cfRule>
  </conditionalFormatting>
  <conditionalFormatting sqref="AX80:AX81">
    <cfRule type="cellIs" dxfId="838" priority="995" stopIfTrue="1" operator="lessThan">
      <formula>0</formula>
    </cfRule>
  </conditionalFormatting>
  <conditionalFormatting sqref="AX83">
    <cfRule type="cellIs" dxfId="837" priority="994" stopIfTrue="1" operator="lessThan">
      <formula>0</formula>
    </cfRule>
  </conditionalFormatting>
  <conditionalFormatting sqref="AX84">
    <cfRule type="cellIs" dxfId="836" priority="993" stopIfTrue="1" operator="lessThan">
      <formula>0</formula>
    </cfRule>
  </conditionalFormatting>
  <conditionalFormatting sqref="AX85">
    <cfRule type="cellIs" dxfId="835" priority="992" stopIfTrue="1" operator="lessThan">
      <formula>0</formula>
    </cfRule>
  </conditionalFormatting>
  <conditionalFormatting sqref="AX86">
    <cfRule type="cellIs" dxfId="834" priority="991" stopIfTrue="1" operator="lessThan">
      <formula>0</formula>
    </cfRule>
  </conditionalFormatting>
  <conditionalFormatting sqref="AX85">
    <cfRule type="cellIs" dxfId="833" priority="990" stopIfTrue="1" operator="lessThan">
      <formula>0</formula>
    </cfRule>
  </conditionalFormatting>
  <conditionalFormatting sqref="AX86">
    <cfRule type="cellIs" dxfId="832" priority="989" stopIfTrue="1" operator="lessThan">
      <formula>0</formula>
    </cfRule>
  </conditionalFormatting>
  <conditionalFormatting sqref="AX88">
    <cfRule type="cellIs" dxfId="831" priority="988" stopIfTrue="1" operator="lessThan">
      <formula>0</formula>
    </cfRule>
  </conditionalFormatting>
  <conditionalFormatting sqref="AX89:AX90">
    <cfRule type="cellIs" dxfId="830" priority="987" stopIfTrue="1" operator="lessThan">
      <formula>0</formula>
    </cfRule>
  </conditionalFormatting>
  <conditionalFormatting sqref="AX91">
    <cfRule type="cellIs" dxfId="829" priority="986" stopIfTrue="1" operator="lessThan">
      <formula>0</formula>
    </cfRule>
  </conditionalFormatting>
  <conditionalFormatting sqref="AX68">
    <cfRule type="cellIs" dxfId="828" priority="985" stopIfTrue="1" operator="lessThan">
      <formula>0</formula>
    </cfRule>
  </conditionalFormatting>
  <conditionalFormatting sqref="AX68">
    <cfRule type="cellIs" dxfId="827" priority="984" stopIfTrue="1" operator="lessThan">
      <formula>0</formula>
    </cfRule>
  </conditionalFormatting>
  <conditionalFormatting sqref="AX73:AX76">
    <cfRule type="cellIs" dxfId="826" priority="983" stopIfTrue="1" operator="lessThan">
      <formula>0</formula>
    </cfRule>
  </conditionalFormatting>
  <conditionalFormatting sqref="AX73:AX76">
    <cfRule type="cellIs" dxfId="825" priority="982" stopIfTrue="1" operator="lessThan">
      <formula>0</formula>
    </cfRule>
  </conditionalFormatting>
  <conditionalFormatting sqref="AX82">
    <cfRule type="cellIs" dxfId="824" priority="981" stopIfTrue="1" operator="lessThan">
      <formula>0</formula>
    </cfRule>
  </conditionalFormatting>
  <conditionalFormatting sqref="AX87">
    <cfRule type="cellIs" dxfId="823" priority="980" stopIfTrue="1" operator="lessThan">
      <formula>0</formula>
    </cfRule>
  </conditionalFormatting>
  <conditionalFormatting sqref="AX95:AX98">
    <cfRule type="cellIs" dxfId="822" priority="979" stopIfTrue="1" operator="lessThan">
      <formula>0</formula>
    </cfRule>
  </conditionalFormatting>
  <conditionalFormatting sqref="AX92">
    <cfRule type="cellIs" dxfId="821" priority="978" stopIfTrue="1" operator="lessThan">
      <formula>0</formula>
    </cfRule>
  </conditionalFormatting>
  <conditionalFormatting sqref="AX93:AX94">
    <cfRule type="cellIs" dxfId="820" priority="977" stopIfTrue="1" operator="lessThan">
      <formula>0</formula>
    </cfRule>
  </conditionalFormatting>
  <conditionalFormatting sqref="AX93:AX94">
    <cfRule type="cellIs" dxfId="819" priority="975" stopIfTrue="1" operator="lessThan">
      <formula>0</formula>
    </cfRule>
  </conditionalFormatting>
  <conditionalFormatting sqref="AX92">
    <cfRule type="cellIs" dxfId="818" priority="976" stopIfTrue="1" operator="lessThan">
      <formula>0</formula>
    </cfRule>
  </conditionalFormatting>
  <conditionalFormatting sqref="AX96">
    <cfRule type="cellIs" dxfId="817" priority="974" stopIfTrue="1" operator="lessThan">
      <formula>0</formula>
    </cfRule>
  </conditionalFormatting>
  <conditionalFormatting sqref="AX95">
    <cfRule type="cellIs" dxfId="816" priority="973" stopIfTrue="1" operator="lessThan">
      <formula>0</formula>
    </cfRule>
  </conditionalFormatting>
  <conditionalFormatting sqref="AX97:AX98">
    <cfRule type="cellIs" dxfId="815" priority="972" stopIfTrue="1" operator="lessThan">
      <formula>0</formula>
    </cfRule>
  </conditionalFormatting>
  <conditionalFormatting sqref="BD80:BD81">
    <cfRule type="cellIs" dxfId="814" priority="971" stopIfTrue="1" operator="lessThan">
      <formula>0</formula>
    </cfRule>
  </conditionalFormatting>
  <conditionalFormatting sqref="BD79">
    <cfRule type="cellIs" dxfId="813" priority="970" stopIfTrue="1" operator="lessThan">
      <formula>0</formula>
    </cfRule>
  </conditionalFormatting>
  <conditionalFormatting sqref="BD68:BD71">
    <cfRule type="cellIs" dxfId="812" priority="969" stopIfTrue="1" operator="lessThan">
      <formula>0</formula>
    </cfRule>
  </conditionalFormatting>
  <conditionalFormatting sqref="BD73:BD77">
    <cfRule type="cellIs" dxfId="811" priority="968" stopIfTrue="1" operator="lessThan">
      <formula>0</formula>
    </cfRule>
  </conditionalFormatting>
  <conditionalFormatting sqref="BD78">
    <cfRule type="cellIs" dxfId="810" priority="967" stopIfTrue="1" operator="lessThan">
      <formula>0</formula>
    </cfRule>
  </conditionalFormatting>
  <conditionalFormatting sqref="BD72">
    <cfRule type="cellIs" dxfId="809" priority="966" stopIfTrue="1" operator="lessThan">
      <formula>0</formula>
    </cfRule>
  </conditionalFormatting>
  <conditionalFormatting sqref="BD79">
    <cfRule type="cellIs" dxfId="808" priority="965" stopIfTrue="1" operator="lessThan">
      <formula>0</formula>
    </cfRule>
  </conditionalFormatting>
  <conditionalFormatting sqref="BD68:BD71">
    <cfRule type="cellIs" dxfId="807" priority="964" stopIfTrue="1" operator="lessThan">
      <formula>0</formula>
    </cfRule>
  </conditionalFormatting>
  <conditionalFormatting sqref="BD73:BD77">
    <cfRule type="cellIs" dxfId="806" priority="963" stopIfTrue="1" operator="lessThan">
      <formula>0</formula>
    </cfRule>
  </conditionalFormatting>
  <conditionalFormatting sqref="BD78">
    <cfRule type="cellIs" dxfId="805" priority="962" stopIfTrue="1" operator="lessThan">
      <formula>0</formula>
    </cfRule>
  </conditionalFormatting>
  <conditionalFormatting sqref="BD72">
    <cfRule type="cellIs" dxfId="804" priority="961" stopIfTrue="1" operator="lessThan">
      <formula>0</formula>
    </cfRule>
  </conditionalFormatting>
  <conditionalFormatting sqref="BD69">
    <cfRule type="cellIs" dxfId="803" priority="960" stopIfTrue="1" operator="lessThan">
      <formula>0</formula>
    </cfRule>
  </conditionalFormatting>
  <conditionalFormatting sqref="BD69">
    <cfRule type="cellIs" dxfId="802" priority="959" stopIfTrue="1" operator="lessThan">
      <formula>0</formula>
    </cfRule>
  </conditionalFormatting>
  <conditionalFormatting sqref="BD70">
    <cfRule type="cellIs" dxfId="801" priority="958" stopIfTrue="1" operator="lessThan">
      <formula>0</formula>
    </cfRule>
  </conditionalFormatting>
  <conditionalFormatting sqref="BD70">
    <cfRule type="cellIs" dxfId="800" priority="957" stopIfTrue="1" operator="lessThan">
      <formula>0</formula>
    </cfRule>
  </conditionalFormatting>
  <conditionalFormatting sqref="BD71">
    <cfRule type="cellIs" dxfId="799" priority="956" stopIfTrue="1" operator="lessThan">
      <formula>0</formula>
    </cfRule>
  </conditionalFormatting>
  <conditionalFormatting sqref="BD71">
    <cfRule type="cellIs" dxfId="798" priority="955" stopIfTrue="1" operator="lessThan">
      <formula>0</formula>
    </cfRule>
  </conditionalFormatting>
  <conditionalFormatting sqref="BD72">
    <cfRule type="cellIs" dxfId="797" priority="954" stopIfTrue="1" operator="lessThan">
      <formula>0</formula>
    </cfRule>
  </conditionalFormatting>
  <conditionalFormatting sqref="BD72">
    <cfRule type="cellIs" dxfId="796" priority="953" stopIfTrue="1" operator="lessThan">
      <formula>0</formula>
    </cfRule>
  </conditionalFormatting>
  <conditionalFormatting sqref="BD77">
    <cfRule type="cellIs" dxfId="795" priority="952" stopIfTrue="1" operator="lessThan">
      <formula>0</formula>
    </cfRule>
  </conditionalFormatting>
  <conditionalFormatting sqref="BD77">
    <cfRule type="cellIs" dxfId="794" priority="951" stopIfTrue="1" operator="lessThan">
      <formula>0</formula>
    </cfRule>
  </conditionalFormatting>
  <conditionalFormatting sqref="BD78">
    <cfRule type="cellIs" dxfId="793" priority="950" stopIfTrue="1" operator="lessThan">
      <formula>0</formula>
    </cfRule>
  </conditionalFormatting>
  <conditionalFormatting sqref="BD78">
    <cfRule type="cellIs" dxfId="792" priority="949" stopIfTrue="1" operator="lessThan">
      <formula>0</formula>
    </cfRule>
  </conditionalFormatting>
  <conditionalFormatting sqref="BD79">
    <cfRule type="cellIs" dxfId="791" priority="948" stopIfTrue="1" operator="lessThan">
      <formula>0</formula>
    </cfRule>
  </conditionalFormatting>
  <conditionalFormatting sqref="BD79">
    <cfRule type="cellIs" dxfId="790" priority="947" stopIfTrue="1" operator="lessThan">
      <formula>0</formula>
    </cfRule>
  </conditionalFormatting>
  <conditionalFormatting sqref="BD68">
    <cfRule type="cellIs" dxfId="789" priority="946" stopIfTrue="1" operator="lessThan">
      <formula>0</formula>
    </cfRule>
  </conditionalFormatting>
  <conditionalFormatting sqref="BD68">
    <cfRule type="cellIs" dxfId="788" priority="945" stopIfTrue="1" operator="lessThan">
      <formula>0</formula>
    </cfRule>
  </conditionalFormatting>
  <conditionalFormatting sqref="BD73:BD76">
    <cfRule type="cellIs" dxfId="787" priority="944" stopIfTrue="1" operator="lessThan">
      <formula>0</formula>
    </cfRule>
  </conditionalFormatting>
  <conditionalFormatting sqref="BD73:BD76">
    <cfRule type="cellIs" dxfId="786" priority="943" stopIfTrue="1" operator="lessThan">
      <formula>0</formula>
    </cfRule>
  </conditionalFormatting>
  <conditionalFormatting sqref="BD80:BD81">
    <cfRule type="cellIs" dxfId="785" priority="942" stopIfTrue="1" operator="lessThan">
      <formula>0</formula>
    </cfRule>
  </conditionalFormatting>
  <conditionalFormatting sqref="BD80:BD81">
    <cfRule type="cellIs" dxfId="784" priority="941" stopIfTrue="1" operator="lessThan">
      <formula>0</formula>
    </cfRule>
  </conditionalFormatting>
  <conditionalFormatting sqref="BD82:BD85">
    <cfRule type="cellIs" dxfId="783" priority="940" stopIfTrue="1" operator="lessThan">
      <formula>0</formula>
    </cfRule>
  </conditionalFormatting>
  <conditionalFormatting sqref="BD87:BD90">
    <cfRule type="cellIs" dxfId="782" priority="939" stopIfTrue="1" operator="lessThan">
      <formula>0</formula>
    </cfRule>
  </conditionalFormatting>
  <conditionalFormatting sqref="BD86">
    <cfRule type="cellIs" dxfId="781" priority="938" stopIfTrue="1" operator="lessThan">
      <formula>0</formula>
    </cfRule>
  </conditionalFormatting>
  <conditionalFormatting sqref="BD91">
    <cfRule type="cellIs" dxfId="780" priority="937" stopIfTrue="1" operator="lessThan">
      <formula>0</formula>
    </cfRule>
  </conditionalFormatting>
  <conditionalFormatting sqref="BD82:BD84">
    <cfRule type="cellIs" dxfId="779" priority="936" stopIfTrue="1" operator="lessThan">
      <formula>0</formula>
    </cfRule>
  </conditionalFormatting>
  <conditionalFormatting sqref="BD87:BD90">
    <cfRule type="cellIs" dxfId="778" priority="935" stopIfTrue="1" operator="lessThan">
      <formula>0</formula>
    </cfRule>
  </conditionalFormatting>
  <conditionalFormatting sqref="BD91">
    <cfRule type="cellIs" dxfId="777" priority="934" stopIfTrue="1" operator="lessThan">
      <formula>0</formula>
    </cfRule>
  </conditionalFormatting>
  <conditionalFormatting sqref="BD83">
    <cfRule type="cellIs" dxfId="776" priority="933" stopIfTrue="1" operator="lessThan">
      <formula>0</formula>
    </cfRule>
  </conditionalFormatting>
  <conditionalFormatting sqref="BD84">
    <cfRule type="cellIs" dxfId="775" priority="932" stopIfTrue="1" operator="lessThan">
      <formula>0</formula>
    </cfRule>
  </conditionalFormatting>
  <conditionalFormatting sqref="BD85">
    <cfRule type="cellIs" dxfId="774" priority="931" stopIfTrue="1" operator="lessThan">
      <formula>0</formula>
    </cfRule>
  </conditionalFormatting>
  <conditionalFormatting sqref="BD86">
    <cfRule type="cellIs" dxfId="773" priority="930" stopIfTrue="1" operator="lessThan">
      <formula>0</formula>
    </cfRule>
  </conditionalFormatting>
  <conditionalFormatting sqref="BD85">
    <cfRule type="cellIs" dxfId="772" priority="929" stopIfTrue="1" operator="lessThan">
      <formula>0</formula>
    </cfRule>
  </conditionalFormatting>
  <conditionalFormatting sqref="BD86">
    <cfRule type="cellIs" dxfId="771" priority="928" stopIfTrue="1" operator="lessThan">
      <formula>0</formula>
    </cfRule>
  </conditionalFormatting>
  <conditionalFormatting sqref="BD88">
    <cfRule type="cellIs" dxfId="770" priority="927" stopIfTrue="1" operator="lessThan">
      <formula>0</formula>
    </cfRule>
  </conditionalFormatting>
  <conditionalFormatting sqref="BD89:BD90">
    <cfRule type="cellIs" dxfId="769" priority="926" stopIfTrue="1" operator="lessThan">
      <formula>0</formula>
    </cfRule>
  </conditionalFormatting>
  <conditionalFormatting sqref="BD91">
    <cfRule type="cellIs" dxfId="768" priority="925" stopIfTrue="1" operator="lessThan">
      <formula>0</formula>
    </cfRule>
  </conditionalFormatting>
  <conditionalFormatting sqref="BD82">
    <cfRule type="cellIs" dxfId="767" priority="924" stopIfTrue="1" operator="lessThan">
      <formula>0</formula>
    </cfRule>
  </conditionalFormatting>
  <conditionalFormatting sqref="BD87">
    <cfRule type="cellIs" dxfId="766" priority="923" stopIfTrue="1" operator="lessThan">
      <formula>0</formula>
    </cfRule>
  </conditionalFormatting>
  <conditionalFormatting sqref="BD92">
    <cfRule type="cellIs" dxfId="765" priority="922" stopIfTrue="1" operator="lessThan">
      <formula>0</formula>
    </cfRule>
  </conditionalFormatting>
  <conditionalFormatting sqref="BD93:BD98">
    <cfRule type="cellIs" dxfId="764" priority="921" stopIfTrue="1" operator="lessThan">
      <formula>0</formula>
    </cfRule>
  </conditionalFormatting>
  <conditionalFormatting sqref="BD92">
    <cfRule type="cellIs" dxfId="763" priority="920" stopIfTrue="1" operator="lessThan">
      <formula>0</formula>
    </cfRule>
  </conditionalFormatting>
  <conditionalFormatting sqref="BD93:BD94">
    <cfRule type="cellIs" dxfId="762" priority="919" stopIfTrue="1" operator="lessThan">
      <formula>0</formula>
    </cfRule>
  </conditionalFormatting>
  <conditionalFormatting sqref="BD93:BD94">
    <cfRule type="cellIs" dxfId="761" priority="917" stopIfTrue="1" operator="lessThan">
      <formula>0</formula>
    </cfRule>
  </conditionalFormatting>
  <conditionalFormatting sqref="BD92">
    <cfRule type="cellIs" dxfId="760" priority="918" stopIfTrue="1" operator="lessThan">
      <formula>0</formula>
    </cfRule>
  </conditionalFormatting>
  <conditionalFormatting sqref="BD95:BD98">
    <cfRule type="cellIs" dxfId="759" priority="916" stopIfTrue="1" operator="lessThan">
      <formula>0</formula>
    </cfRule>
  </conditionalFormatting>
  <conditionalFormatting sqref="BD96">
    <cfRule type="cellIs" dxfId="758" priority="915" stopIfTrue="1" operator="lessThan">
      <formula>0</formula>
    </cfRule>
  </conditionalFormatting>
  <conditionalFormatting sqref="BD95">
    <cfRule type="cellIs" dxfId="757" priority="914" stopIfTrue="1" operator="lessThan">
      <formula>0</formula>
    </cfRule>
  </conditionalFormatting>
  <conditionalFormatting sqref="BD97:BD98">
    <cfRule type="cellIs" dxfId="756" priority="913" stopIfTrue="1" operator="lessThan">
      <formula>0</formula>
    </cfRule>
  </conditionalFormatting>
  <conditionalFormatting sqref="AY80:AY81">
    <cfRule type="cellIs" dxfId="755" priority="912" stopIfTrue="1" operator="lessThan">
      <formula>0</formula>
    </cfRule>
  </conditionalFormatting>
  <conditionalFormatting sqref="AY79">
    <cfRule type="cellIs" dxfId="754" priority="911" stopIfTrue="1" operator="lessThan">
      <formula>0</formula>
    </cfRule>
  </conditionalFormatting>
  <conditionalFormatting sqref="AY68:AY71">
    <cfRule type="cellIs" dxfId="753" priority="910" stopIfTrue="1" operator="lessThan">
      <formula>0</formula>
    </cfRule>
  </conditionalFormatting>
  <conditionalFormatting sqref="AY73:AY77">
    <cfRule type="cellIs" dxfId="752" priority="909" stopIfTrue="1" operator="lessThan">
      <formula>0</formula>
    </cfRule>
  </conditionalFormatting>
  <conditionalFormatting sqref="AY78">
    <cfRule type="cellIs" dxfId="751" priority="908" stopIfTrue="1" operator="lessThan">
      <formula>0</formula>
    </cfRule>
  </conditionalFormatting>
  <conditionalFormatting sqref="AY72">
    <cfRule type="cellIs" dxfId="750" priority="907" stopIfTrue="1" operator="lessThan">
      <formula>0</formula>
    </cfRule>
  </conditionalFormatting>
  <conditionalFormatting sqref="AY69">
    <cfRule type="cellIs" dxfId="749" priority="906" stopIfTrue="1" operator="lessThan">
      <formula>0</formula>
    </cfRule>
  </conditionalFormatting>
  <conditionalFormatting sqref="AY69">
    <cfRule type="cellIs" dxfId="748" priority="905" stopIfTrue="1" operator="lessThan">
      <formula>0</formula>
    </cfRule>
  </conditionalFormatting>
  <conditionalFormatting sqref="AY70">
    <cfRule type="cellIs" dxfId="747" priority="904" stopIfTrue="1" operator="lessThan">
      <formula>0</formula>
    </cfRule>
  </conditionalFormatting>
  <conditionalFormatting sqref="AY70">
    <cfRule type="cellIs" dxfId="746" priority="903" stopIfTrue="1" operator="lessThan">
      <formula>0</formula>
    </cfRule>
  </conditionalFormatting>
  <conditionalFormatting sqref="AY71">
    <cfRule type="cellIs" dxfId="745" priority="902" stopIfTrue="1" operator="lessThan">
      <formula>0</formula>
    </cfRule>
  </conditionalFormatting>
  <conditionalFormatting sqref="AY71">
    <cfRule type="cellIs" dxfId="744" priority="901" stopIfTrue="1" operator="lessThan">
      <formula>0</formula>
    </cfRule>
  </conditionalFormatting>
  <conditionalFormatting sqref="AY72">
    <cfRule type="cellIs" dxfId="743" priority="900" stopIfTrue="1" operator="lessThan">
      <formula>0</formula>
    </cfRule>
  </conditionalFormatting>
  <conditionalFormatting sqref="AY72">
    <cfRule type="cellIs" dxfId="742" priority="899" stopIfTrue="1" operator="lessThan">
      <formula>0</formula>
    </cfRule>
  </conditionalFormatting>
  <conditionalFormatting sqref="AY77">
    <cfRule type="cellIs" dxfId="741" priority="898" stopIfTrue="1" operator="lessThan">
      <formula>0</formula>
    </cfRule>
  </conditionalFormatting>
  <conditionalFormatting sqref="AY77">
    <cfRule type="cellIs" dxfId="740" priority="897" stopIfTrue="1" operator="lessThan">
      <formula>0</formula>
    </cfRule>
  </conditionalFormatting>
  <conditionalFormatting sqref="AY78">
    <cfRule type="cellIs" dxfId="739" priority="896" stopIfTrue="1" operator="lessThan">
      <formula>0</formula>
    </cfRule>
  </conditionalFormatting>
  <conditionalFormatting sqref="AY78">
    <cfRule type="cellIs" dxfId="738" priority="895" stopIfTrue="1" operator="lessThan">
      <formula>0</formula>
    </cfRule>
  </conditionalFormatting>
  <conditionalFormatting sqref="AY79">
    <cfRule type="cellIs" dxfId="737" priority="894" stopIfTrue="1" operator="lessThan">
      <formula>0</formula>
    </cfRule>
  </conditionalFormatting>
  <conditionalFormatting sqref="AY79">
    <cfRule type="cellIs" dxfId="736" priority="893" stopIfTrue="1" operator="lessThan">
      <formula>0</formula>
    </cfRule>
  </conditionalFormatting>
  <conditionalFormatting sqref="AY80:AY81">
    <cfRule type="cellIs" dxfId="735" priority="892" stopIfTrue="1" operator="lessThan">
      <formula>0</formula>
    </cfRule>
  </conditionalFormatting>
  <conditionalFormatting sqref="AY68">
    <cfRule type="cellIs" dxfId="734" priority="891" stopIfTrue="1" operator="lessThan">
      <formula>0</formula>
    </cfRule>
  </conditionalFormatting>
  <conditionalFormatting sqref="AY68">
    <cfRule type="cellIs" dxfId="733" priority="890" stopIfTrue="1" operator="lessThan">
      <formula>0</formula>
    </cfRule>
  </conditionalFormatting>
  <conditionalFormatting sqref="AY73:AY76">
    <cfRule type="cellIs" dxfId="732" priority="889" stopIfTrue="1" operator="lessThan">
      <formula>0</formula>
    </cfRule>
  </conditionalFormatting>
  <conditionalFormatting sqref="AY73:AY76">
    <cfRule type="cellIs" dxfId="731" priority="888" stopIfTrue="1" operator="lessThan">
      <formula>0</formula>
    </cfRule>
  </conditionalFormatting>
  <conditionalFormatting sqref="AY82:AY84">
    <cfRule type="cellIs" dxfId="730" priority="887" stopIfTrue="1" operator="lessThan">
      <formula>0</formula>
    </cfRule>
  </conditionalFormatting>
  <conditionalFormatting sqref="AY87:AY90">
    <cfRule type="cellIs" dxfId="729" priority="886" stopIfTrue="1" operator="lessThan">
      <formula>0</formula>
    </cfRule>
  </conditionalFormatting>
  <conditionalFormatting sqref="AY91">
    <cfRule type="cellIs" dxfId="728" priority="885" stopIfTrue="1" operator="lessThan">
      <formula>0</formula>
    </cfRule>
  </conditionalFormatting>
  <conditionalFormatting sqref="AY83">
    <cfRule type="cellIs" dxfId="727" priority="884" stopIfTrue="1" operator="lessThan">
      <formula>0</formula>
    </cfRule>
  </conditionalFormatting>
  <conditionalFormatting sqref="AY84">
    <cfRule type="cellIs" dxfId="726" priority="883" stopIfTrue="1" operator="lessThan">
      <formula>0</formula>
    </cfRule>
  </conditionalFormatting>
  <conditionalFormatting sqref="AY85">
    <cfRule type="cellIs" dxfId="725" priority="882" stopIfTrue="1" operator="lessThan">
      <formula>0</formula>
    </cfRule>
  </conditionalFormatting>
  <conditionalFormatting sqref="AY86">
    <cfRule type="cellIs" dxfId="724" priority="881" stopIfTrue="1" operator="lessThan">
      <formula>0</formula>
    </cfRule>
  </conditionalFormatting>
  <conditionalFormatting sqref="AY85">
    <cfRule type="cellIs" dxfId="723" priority="880" stopIfTrue="1" operator="lessThan">
      <formula>0</formula>
    </cfRule>
  </conditionalFormatting>
  <conditionalFormatting sqref="AY86">
    <cfRule type="cellIs" dxfId="722" priority="879" stopIfTrue="1" operator="lessThan">
      <formula>0</formula>
    </cfRule>
  </conditionalFormatting>
  <conditionalFormatting sqref="AY88">
    <cfRule type="cellIs" dxfId="721" priority="878" stopIfTrue="1" operator="lessThan">
      <formula>0</formula>
    </cfRule>
  </conditionalFormatting>
  <conditionalFormatting sqref="AY89:AY90">
    <cfRule type="cellIs" dxfId="720" priority="877" stopIfTrue="1" operator="lessThan">
      <formula>0</formula>
    </cfRule>
  </conditionalFormatting>
  <conditionalFormatting sqref="AY91">
    <cfRule type="cellIs" dxfId="719" priority="876" stopIfTrue="1" operator="lessThan">
      <formula>0</formula>
    </cfRule>
  </conditionalFormatting>
  <conditionalFormatting sqref="AY82">
    <cfRule type="cellIs" dxfId="718" priority="875" stopIfTrue="1" operator="lessThan">
      <formula>0</formula>
    </cfRule>
  </conditionalFormatting>
  <conditionalFormatting sqref="AY87">
    <cfRule type="cellIs" dxfId="717" priority="874" stopIfTrue="1" operator="lessThan">
      <formula>0</formula>
    </cfRule>
  </conditionalFormatting>
  <conditionalFormatting sqref="AY92">
    <cfRule type="cellIs" dxfId="716" priority="873" stopIfTrue="1" operator="lessThan">
      <formula>0</formula>
    </cfRule>
  </conditionalFormatting>
  <conditionalFormatting sqref="AY93:AY94">
    <cfRule type="cellIs" dxfId="715" priority="872" stopIfTrue="1" operator="lessThan">
      <formula>0</formula>
    </cfRule>
  </conditionalFormatting>
  <conditionalFormatting sqref="AY93:AY94">
    <cfRule type="cellIs" dxfId="714" priority="870" stopIfTrue="1" operator="lessThan">
      <formula>0</formula>
    </cfRule>
  </conditionalFormatting>
  <conditionalFormatting sqref="AY92">
    <cfRule type="cellIs" dxfId="713" priority="871" stopIfTrue="1" operator="lessThan">
      <formula>0</formula>
    </cfRule>
  </conditionalFormatting>
  <conditionalFormatting sqref="AY95:AY98">
    <cfRule type="cellIs" dxfId="712" priority="869" stopIfTrue="1" operator="lessThan">
      <formula>0</formula>
    </cfRule>
  </conditionalFormatting>
  <conditionalFormatting sqref="AY96">
    <cfRule type="cellIs" dxfId="711" priority="868" stopIfTrue="1" operator="lessThan">
      <formula>0</formula>
    </cfRule>
  </conditionalFormatting>
  <conditionalFormatting sqref="AY95">
    <cfRule type="cellIs" dxfId="710" priority="867" stopIfTrue="1" operator="lessThan">
      <formula>0</formula>
    </cfRule>
  </conditionalFormatting>
  <conditionalFormatting sqref="AY97:AY98">
    <cfRule type="cellIs" dxfId="709" priority="866" stopIfTrue="1" operator="lessThan">
      <formula>0</formula>
    </cfRule>
  </conditionalFormatting>
  <conditionalFormatting sqref="AY80:AY81">
    <cfRule type="cellIs" dxfId="708" priority="865" stopIfTrue="1" operator="lessThan">
      <formula>0</formula>
    </cfRule>
  </conditionalFormatting>
  <conditionalFormatting sqref="AY79">
    <cfRule type="cellIs" dxfId="707" priority="864" stopIfTrue="1" operator="lessThan">
      <formula>0</formula>
    </cfRule>
  </conditionalFormatting>
  <conditionalFormatting sqref="AY68:AY71">
    <cfRule type="cellIs" dxfId="706" priority="863" stopIfTrue="1" operator="lessThan">
      <formula>0</formula>
    </cfRule>
  </conditionalFormatting>
  <conditionalFormatting sqref="AY73:AY77">
    <cfRule type="cellIs" dxfId="705" priority="862" stopIfTrue="1" operator="lessThan">
      <formula>0</formula>
    </cfRule>
  </conditionalFormatting>
  <conditionalFormatting sqref="AY82:AY84">
    <cfRule type="cellIs" dxfId="704" priority="861" stopIfTrue="1" operator="lessThan">
      <formula>0</formula>
    </cfRule>
  </conditionalFormatting>
  <conditionalFormatting sqref="AY87:AY90">
    <cfRule type="cellIs" dxfId="703" priority="860" stopIfTrue="1" operator="lessThan">
      <formula>0</formula>
    </cfRule>
  </conditionalFormatting>
  <conditionalFormatting sqref="AY78">
    <cfRule type="cellIs" dxfId="702" priority="859" stopIfTrue="1" operator="lessThan">
      <formula>0</formula>
    </cfRule>
  </conditionalFormatting>
  <conditionalFormatting sqref="AY72">
    <cfRule type="cellIs" dxfId="701" priority="858" stopIfTrue="1" operator="lessThan">
      <formula>0</formula>
    </cfRule>
  </conditionalFormatting>
  <conditionalFormatting sqref="AY91">
    <cfRule type="cellIs" dxfId="700" priority="857" stopIfTrue="1" operator="lessThan">
      <formula>0</formula>
    </cfRule>
  </conditionalFormatting>
  <conditionalFormatting sqref="AY69">
    <cfRule type="cellIs" dxfId="699" priority="856" stopIfTrue="1" operator="lessThan">
      <formula>0</formula>
    </cfRule>
  </conditionalFormatting>
  <conditionalFormatting sqref="AY69">
    <cfRule type="cellIs" dxfId="698" priority="855" stopIfTrue="1" operator="lessThan">
      <formula>0</formula>
    </cfRule>
  </conditionalFormatting>
  <conditionalFormatting sqref="AY70">
    <cfRule type="cellIs" dxfId="697" priority="854" stopIfTrue="1" operator="lessThan">
      <formula>0</formula>
    </cfRule>
  </conditionalFormatting>
  <conditionalFormatting sqref="AY70">
    <cfRule type="cellIs" dxfId="696" priority="853" stopIfTrue="1" operator="lessThan">
      <formula>0</formula>
    </cfRule>
  </conditionalFormatting>
  <conditionalFormatting sqref="AY71">
    <cfRule type="cellIs" dxfId="695" priority="852" stopIfTrue="1" operator="lessThan">
      <formula>0</formula>
    </cfRule>
  </conditionalFormatting>
  <conditionalFormatting sqref="AY71">
    <cfRule type="cellIs" dxfId="694" priority="851" stopIfTrue="1" operator="lessThan">
      <formula>0</formula>
    </cfRule>
  </conditionalFormatting>
  <conditionalFormatting sqref="AY72">
    <cfRule type="cellIs" dxfId="693" priority="850" stopIfTrue="1" operator="lessThan">
      <formula>0</formula>
    </cfRule>
  </conditionalFormatting>
  <conditionalFormatting sqref="AY72">
    <cfRule type="cellIs" dxfId="692" priority="849" stopIfTrue="1" operator="lessThan">
      <formula>0</formula>
    </cfRule>
  </conditionalFormatting>
  <conditionalFormatting sqref="AY77">
    <cfRule type="cellIs" dxfId="691" priority="848" stopIfTrue="1" operator="lessThan">
      <formula>0</formula>
    </cfRule>
  </conditionalFormatting>
  <conditionalFormatting sqref="AY77">
    <cfRule type="cellIs" dxfId="690" priority="847" stopIfTrue="1" operator="lessThan">
      <formula>0</formula>
    </cfRule>
  </conditionalFormatting>
  <conditionalFormatting sqref="AY78">
    <cfRule type="cellIs" dxfId="689" priority="846" stopIfTrue="1" operator="lessThan">
      <formula>0</formula>
    </cfRule>
  </conditionalFormatting>
  <conditionalFormatting sqref="AY78">
    <cfRule type="cellIs" dxfId="688" priority="845" stopIfTrue="1" operator="lessThan">
      <formula>0</formula>
    </cfRule>
  </conditionalFormatting>
  <conditionalFormatting sqref="AY79">
    <cfRule type="cellIs" dxfId="687" priority="844" stopIfTrue="1" operator="lessThan">
      <formula>0</formula>
    </cfRule>
  </conditionalFormatting>
  <conditionalFormatting sqref="AY79">
    <cfRule type="cellIs" dxfId="686" priority="843" stopIfTrue="1" operator="lessThan">
      <formula>0</formula>
    </cfRule>
  </conditionalFormatting>
  <conditionalFormatting sqref="AY80:AY81">
    <cfRule type="cellIs" dxfId="685" priority="842" stopIfTrue="1" operator="lessThan">
      <formula>0</formula>
    </cfRule>
  </conditionalFormatting>
  <conditionalFormatting sqref="AY83">
    <cfRule type="cellIs" dxfId="684" priority="841" stopIfTrue="1" operator="lessThan">
      <formula>0</formula>
    </cfRule>
  </conditionalFormatting>
  <conditionalFormatting sqref="AY84">
    <cfRule type="cellIs" dxfId="683" priority="840" stopIfTrue="1" operator="lessThan">
      <formula>0</formula>
    </cfRule>
  </conditionalFormatting>
  <conditionalFormatting sqref="AY85">
    <cfRule type="cellIs" dxfId="682" priority="839" stopIfTrue="1" operator="lessThan">
      <formula>0</formula>
    </cfRule>
  </conditionalFormatting>
  <conditionalFormatting sqref="AY86">
    <cfRule type="cellIs" dxfId="681" priority="838" stopIfTrue="1" operator="lessThan">
      <formula>0</formula>
    </cfRule>
  </conditionalFormatting>
  <conditionalFormatting sqref="AY85">
    <cfRule type="cellIs" dxfId="680" priority="837" stopIfTrue="1" operator="lessThan">
      <formula>0</formula>
    </cfRule>
  </conditionalFormatting>
  <conditionalFormatting sqref="AY86">
    <cfRule type="cellIs" dxfId="679" priority="836" stopIfTrue="1" operator="lessThan">
      <formula>0</formula>
    </cfRule>
  </conditionalFormatting>
  <conditionalFormatting sqref="AY88">
    <cfRule type="cellIs" dxfId="678" priority="835" stopIfTrue="1" operator="lessThan">
      <formula>0</formula>
    </cfRule>
  </conditionalFormatting>
  <conditionalFormatting sqref="AY89:AY90">
    <cfRule type="cellIs" dxfId="677" priority="834" stopIfTrue="1" operator="lessThan">
      <formula>0</formula>
    </cfRule>
  </conditionalFormatting>
  <conditionalFormatting sqref="AY91">
    <cfRule type="cellIs" dxfId="676" priority="833" stopIfTrue="1" operator="lessThan">
      <formula>0</formula>
    </cfRule>
  </conditionalFormatting>
  <conditionalFormatting sqref="AY68">
    <cfRule type="cellIs" dxfId="675" priority="832" stopIfTrue="1" operator="lessThan">
      <formula>0</formula>
    </cfRule>
  </conditionalFormatting>
  <conditionalFormatting sqref="AY68">
    <cfRule type="cellIs" dxfId="674" priority="831" stopIfTrue="1" operator="lessThan">
      <formula>0</formula>
    </cfRule>
  </conditionalFormatting>
  <conditionalFormatting sqref="AY73:AY76">
    <cfRule type="cellIs" dxfId="673" priority="830" stopIfTrue="1" operator="lessThan">
      <formula>0</formula>
    </cfRule>
  </conditionalFormatting>
  <conditionalFormatting sqref="AY73:AY76">
    <cfRule type="cellIs" dxfId="672" priority="829" stopIfTrue="1" operator="lessThan">
      <formula>0</formula>
    </cfRule>
  </conditionalFormatting>
  <conditionalFormatting sqref="AY82">
    <cfRule type="cellIs" dxfId="671" priority="828" stopIfTrue="1" operator="lessThan">
      <formula>0</formula>
    </cfRule>
  </conditionalFormatting>
  <conditionalFormatting sqref="AY87">
    <cfRule type="cellIs" dxfId="670" priority="827" stopIfTrue="1" operator="lessThan">
      <formula>0</formula>
    </cfRule>
  </conditionalFormatting>
  <conditionalFormatting sqref="AY95:AY98">
    <cfRule type="cellIs" dxfId="669" priority="826" stopIfTrue="1" operator="lessThan">
      <formula>0</formula>
    </cfRule>
  </conditionalFormatting>
  <conditionalFormatting sqref="AY92">
    <cfRule type="cellIs" dxfId="668" priority="825" stopIfTrue="1" operator="lessThan">
      <formula>0</formula>
    </cfRule>
  </conditionalFormatting>
  <conditionalFormatting sqref="AY93:AY94">
    <cfRule type="cellIs" dxfId="667" priority="824" stopIfTrue="1" operator="lessThan">
      <formula>0</formula>
    </cfRule>
  </conditionalFormatting>
  <conditionalFormatting sqref="AY93:AY94">
    <cfRule type="cellIs" dxfId="666" priority="822" stopIfTrue="1" operator="lessThan">
      <formula>0</formula>
    </cfRule>
  </conditionalFormatting>
  <conditionalFormatting sqref="AY92">
    <cfRule type="cellIs" dxfId="665" priority="823" stopIfTrue="1" operator="lessThan">
      <formula>0</formula>
    </cfRule>
  </conditionalFormatting>
  <conditionalFormatting sqref="AY96">
    <cfRule type="cellIs" dxfId="664" priority="821" stopIfTrue="1" operator="lessThan">
      <formula>0</formula>
    </cfRule>
  </conditionalFormatting>
  <conditionalFormatting sqref="AY95">
    <cfRule type="cellIs" dxfId="663" priority="820" stopIfTrue="1" operator="lessThan">
      <formula>0</formula>
    </cfRule>
  </conditionalFormatting>
  <conditionalFormatting sqref="AY97:AY98">
    <cfRule type="cellIs" dxfId="662" priority="819" stopIfTrue="1" operator="lessThan">
      <formula>0</formula>
    </cfRule>
  </conditionalFormatting>
  <conditionalFormatting sqref="AZ80:AZ81">
    <cfRule type="cellIs" dxfId="661" priority="818" stopIfTrue="1" operator="lessThan">
      <formula>0</formula>
    </cfRule>
  </conditionalFormatting>
  <conditionalFormatting sqref="AZ79">
    <cfRule type="cellIs" dxfId="660" priority="817" stopIfTrue="1" operator="lessThan">
      <formula>0</formula>
    </cfRule>
  </conditionalFormatting>
  <conditionalFormatting sqref="AZ68:AZ71">
    <cfRule type="cellIs" dxfId="659" priority="816" stopIfTrue="1" operator="lessThan">
      <formula>0</formula>
    </cfRule>
  </conditionalFormatting>
  <conditionalFormatting sqref="AZ73:AZ77">
    <cfRule type="cellIs" dxfId="658" priority="815" stopIfTrue="1" operator="lessThan">
      <formula>0</formula>
    </cfRule>
  </conditionalFormatting>
  <conditionalFormatting sqref="AZ78">
    <cfRule type="cellIs" dxfId="657" priority="814" stopIfTrue="1" operator="lessThan">
      <formula>0</formula>
    </cfRule>
  </conditionalFormatting>
  <conditionalFormatting sqref="AZ72">
    <cfRule type="cellIs" dxfId="656" priority="813" stopIfTrue="1" operator="lessThan">
      <formula>0</formula>
    </cfRule>
  </conditionalFormatting>
  <conditionalFormatting sqref="AZ69">
    <cfRule type="cellIs" dxfId="655" priority="812" stopIfTrue="1" operator="lessThan">
      <formula>0</formula>
    </cfRule>
  </conditionalFormatting>
  <conditionalFormatting sqref="AZ69">
    <cfRule type="cellIs" dxfId="654" priority="811" stopIfTrue="1" operator="lessThan">
      <formula>0</formula>
    </cfRule>
  </conditionalFormatting>
  <conditionalFormatting sqref="AZ70">
    <cfRule type="cellIs" dxfId="653" priority="810" stopIfTrue="1" operator="lessThan">
      <formula>0</formula>
    </cfRule>
  </conditionalFormatting>
  <conditionalFormatting sqref="AZ70">
    <cfRule type="cellIs" dxfId="652" priority="809" stopIfTrue="1" operator="lessThan">
      <formula>0</formula>
    </cfRule>
  </conditionalFormatting>
  <conditionalFormatting sqref="AZ71">
    <cfRule type="cellIs" dxfId="651" priority="808" stopIfTrue="1" operator="lessThan">
      <formula>0</formula>
    </cfRule>
  </conditionalFormatting>
  <conditionalFormatting sqref="AZ71">
    <cfRule type="cellIs" dxfId="650" priority="807" stopIfTrue="1" operator="lessThan">
      <formula>0</formula>
    </cfRule>
  </conditionalFormatting>
  <conditionalFormatting sqref="AZ72">
    <cfRule type="cellIs" dxfId="649" priority="806" stopIfTrue="1" operator="lessThan">
      <formula>0</formula>
    </cfRule>
  </conditionalFormatting>
  <conditionalFormatting sqref="AZ72">
    <cfRule type="cellIs" dxfId="648" priority="805" stopIfTrue="1" operator="lessThan">
      <formula>0</formula>
    </cfRule>
  </conditionalFormatting>
  <conditionalFormatting sqref="AZ77">
    <cfRule type="cellIs" dxfId="647" priority="804" stopIfTrue="1" operator="lessThan">
      <formula>0</formula>
    </cfRule>
  </conditionalFormatting>
  <conditionalFormatting sqref="AZ77">
    <cfRule type="cellIs" dxfId="646" priority="803" stopIfTrue="1" operator="lessThan">
      <formula>0</formula>
    </cfRule>
  </conditionalFormatting>
  <conditionalFormatting sqref="AZ78">
    <cfRule type="cellIs" dxfId="645" priority="802" stopIfTrue="1" operator="lessThan">
      <formula>0</formula>
    </cfRule>
  </conditionalFormatting>
  <conditionalFormatting sqref="AZ78">
    <cfRule type="cellIs" dxfId="644" priority="801" stopIfTrue="1" operator="lessThan">
      <formula>0</formula>
    </cfRule>
  </conditionalFormatting>
  <conditionalFormatting sqref="AZ79">
    <cfRule type="cellIs" dxfId="643" priority="800" stopIfTrue="1" operator="lessThan">
      <formula>0</formula>
    </cfRule>
  </conditionalFormatting>
  <conditionalFormatting sqref="AZ79">
    <cfRule type="cellIs" dxfId="642" priority="799" stopIfTrue="1" operator="lessThan">
      <formula>0</formula>
    </cfRule>
  </conditionalFormatting>
  <conditionalFormatting sqref="AZ80:AZ81">
    <cfRule type="cellIs" dxfId="641" priority="798" stopIfTrue="1" operator="lessThan">
      <formula>0</formula>
    </cfRule>
  </conditionalFormatting>
  <conditionalFormatting sqref="AZ68">
    <cfRule type="cellIs" dxfId="640" priority="797" stopIfTrue="1" operator="lessThan">
      <formula>0</formula>
    </cfRule>
  </conditionalFormatting>
  <conditionalFormatting sqref="AZ68">
    <cfRule type="cellIs" dxfId="639" priority="796" stopIfTrue="1" operator="lessThan">
      <formula>0</formula>
    </cfRule>
  </conditionalFormatting>
  <conditionalFormatting sqref="AZ73:AZ76">
    <cfRule type="cellIs" dxfId="638" priority="795" stopIfTrue="1" operator="lessThan">
      <formula>0</formula>
    </cfRule>
  </conditionalFormatting>
  <conditionalFormatting sqref="AZ73:AZ76">
    <cfRule type="cellIs" dxfId="637" priority="794" stopIfTrue="1" operator="lessThan">
      <formula>0</formula>
    </cfRule>
  </conditionalFormatting>
  <conditionalFormatting sqref="AZ82:AZ84 AS84:AZ84">
    <cfRule type="cellIs" dxfId="636" priority="793" stopIfTrue="1" operator="lessThan">
      <formula>0</formula>
    </cfRule>
  </conditionalFormatting>
  <conditionalFormatting sqref="AZ87:AZ90">
    <cfRule type="cellIs" dxfId="635" priority="792" stopIfTrue="1" operator="lessThan">
      <formula>0</formula>
    </cfRule>
  </conditionalFormatting>
  <conditionalFormatting sqref="AZ91">
    <cfRule type="cellIs" dxfId="634" priority="791" stopIfTrue="1" operator="lessThan">
      <formula>0</formula>
    </cfRule>
  </conditionalFormatting>
  <conditionalFormatting sqref="AZ83">
    <cfRule type="cellIs" dxfId="633" priority="790" stopIfTrue="1" operator="lessThan">
      <formula>0</formula>
    </cfRule>
  </conditionalFormatting>
  <conditionalFormatting sqref="AS84:AZ84">
    <cfRule type="cellIs" dxfId="632" priority="789" stopIfTrue="1" operator="lessThan">
      <formula>0</formula>
    </cfRule>
  </conditionalFormatting>
  <conditionalFormatting sqref="AS85:AZ85">
    <cfRule type="cellIs" dxfId="631" priority="788" stopIfTrue="1" operator="lessThan">
      <formula>0</formula>
    </cfRule>
  </conditionalFormatting>
  <conditionalFormatting sqref="AZ86">
    <cfRule type="cellIs" dxfId="630" priority="787" stopIfTrue="1" operator="lessThan">
      <formula>0</formula>
    </cfRule>
  </conditionalFormatting>
  <conditionalFormatting sqref="AS85:AZ85">
    <cfRule type="cellIs" dxfId="629" priority="786" stopIfTrue="1" operator="lessThan">
      <formula>0</formula>
    </cfRule>
  </conditionalFormatting>
  <conditionalFormatting sqref="AZ86">
    <cfRule type="cellIs" dxfId="628" priority="785" stopIfTrue="1" operator="lessThan">
      <formula>0</formula>
    </cfRule>
  </conditionalFormatting>
  <conditionalFormatting sqref="AZ88">
    <cfRule type="cellIs" dxfId="627" priority="784" stopIfTrue="1" operator="lessThan">
      <formula>0</formula>
    </cfRule>
  </conditionalFormatting>
  <conditionalFormatting sqref="AZ89:AZ90">
    <cfRule type="cellIs" dxfId="626" priority="783" stopIfTrue="1" operator="lessThan">
      <formula>0</formula>
    </cfRule>
  </conditionalFormatting>
  <conditionalFormatting sqref="AZ91">
    <cfRule type="cellIs" dxfId="625" priority="782" stopIfTrue="1" operator="lessThan">
      <formula>0</formula>
    </cfRule>
  </conditionalFormatting>
  <conditionalFormatting sqref="AZ82">
    <cfRule type="cellIs" dxfId="624" priority="781" stopIfTrue="1" operator="lessThan">
      <formula>0</formula>
    </cfRule>
  </conditionalFormatting>
  <conditionalFormatting sqref="AZ87">
    <cfRule type="cellIs" dxfId="623" priority="780" stopIfTrue="1" operator="lessThan">
      <formula>0</formula>
    </cfRule>
  </conditionalFormatting>
  <conditionalFormatting sqref="AZ92">
    <cfRule type="cellIs" dxfId="622" priority="779" stopIfTrue="1" operator="lessThan">
      <formula>0</formula>
    </cfRule>
  </conditionalFormatting>
  <conditionalFormatting sqref="AZ93:AZ94">
    <cfRule type="cellIs" dxfId="621" priority="778" stopIfTrue="1" operator="lessThan">
      <formula>0</formula>
    </cfRule>
  </conditionalFormatting>
  <conditionalFormatting sqref="AZ93:AZ94">
    <cfRule type="cellIs" dxfId="620" priority="776" stopIfTrue="1" operator="lessThan">
      <formula>0</formula>
    </cfRule>
  </conditionalFormatting>
  <conditionalFormatting sqref="AZ92">
    <cfRule type="cellIs" dxfId="619" priority="777" stopIfTrue="1" operator="lessThan">
      <formula>0</formula>
    </cfRule>
  </conditionalFormatting>
  <conditionalFormatting sqref="AZ95:AZ98">
    <cfRule type="cellIs" dxfId="618" priority="775" stopIfTrue="1" operator="lessThan">
      <formula>0</formula>
    </cfRule>
  </conditionalFormatting>
  <conditionalFormatting sqref="AZ96">
    <cfRule type="cellIs" dxfId="617" priority="774" stopIfTrue="1" operator="lessThan">
      <formula>0</formula>
    </cfRule>
  </conditionalFormatting>
  <conditionalFormatting sqref="AZ95">
    <cfRule type="cellIs" dxfId="616" priority="773" stopIfTrue="1" operator="lessThan">
      <formula>0</formula>
    </cfRule>
  </conditionalFormatting>
  <conditionalFormatting sqref="AZ97:AZ98">
    <cfRule type="cellIs" dxfId="615" priority="772" stopIfTrue="1" operator="lessThan">
      <formula>0</formula>
    </cfRule>
  </conditionalFormatting>
  <conditionalFormatting sqref="AZ80:AZ81">
    <cfRule type="cellIs" dxfId="614" priority="771" stopIfTrue="1" operator="lessThan">
      <formula>0</formula>
    </cfRule>
  </conditionalFormatting>
  <conditionalFormatting sqref="AZ79">
    <cfRule type="cellIs" dxfId="613" priority="770" stopIfTrue="1" operator="lessThan">
      <formula>0</formula>
    </cfRule>
  </conditionalFormatting>
  <conditionalFormatting sqref="AZ68:AZ71">
    <cfRule type="cellIs" dxfId="612" priority="769" stopIfTrue="1" operator="lessThan">
      <formula>0</formula>
    </cfRule>
  </conditionalFormatting>
  <conditionalFormatting sqref="AZ73:AZ77">
    <cfRule type="cellIs" dxfId="611" priority="768" stopIfTrue="1" operator="lessThan">
      <formula>0</formula>
    </cfRule>
  </conditionalFormatting>
  <conditionalFormatting sqref="AZ82:AZ84 AS84:AZ84">
    <cfRule type="cellIs" dxfId="610" priority="767" stopIfTrue="1" operator="lessThan">
      <formula>0</formula>
    </cfRule>
  </conditionalFormatting>
  <conditionalFormatting sqref="AZ87:AZ90">
    <cfRule type="cellIs" dxfId="609" priority="766" stopIfTrue="1" operator="lessThan">
      <formula>0</formula>
    </cfRule>
  </conditionalFormatting>
  <conditionalFormatting sqref="AZ78">
    <cfRule type="cellIs" dxfId="608" priority="765" stopIfTrue="1" operator="lessThan">
      <formula>0</formula>
    </cfRule>
  </conditionalFormatting>
  <conditionalFormatting sqref="AZ72">
    <cfRule type="cellIs" dxfId="607" priority="764" stopIfTrue="1" operator="lessThan">
      <formula>0</formula>
    </cfRule>
  </conditionalFormatting>
  <conditionalFormatting sqref="AZ91">
    <cfRule type="cellIs" dxfId="606" priority="763" stopIfTrue="1" operator="lessThan">
      <formula>0</formula>
    </cfRule>
  </conditionalFormatting>
  <conditionalFormatting sqref="AZ69">
    <cfRule type="cellIs" dxfId="605" priority="762" stopIfTrue="1" operator="lessThan">
      <formula>0</formula>
    </cfRule>
  </conditionalFormatting>
  <conditionalFormatting sqref="AZ69">
    <cfRule type="cellIs" dxfId="604" priority="761" stopIfTrue="1" operator="lessThan">
      <formula>0</formula>
    </cfRule>
  </conditionalFormatting>
  <conditionalFormatting sqref="AZ70">
    <cfRule type="cellIs" dxfId="603" priority="760" stopIfTrue="1" operator="lessThan">
      <formula>0</formula>
    </cfRule>
  </conditionalFormatting>
  <conditionalFormatting sqref="AZ70">
    <cfRule type="cellIs" dxfId="602" priority="759" stopIfTrue="1" operator="lessThan">
      <formula>0</formula>
    </cfRule>
  </conditionalFormatting>
  <conditionalFormatting sqref="AZ71">
    <cfRule type="cellIs" dxfId="601" priority="758" stopIfTrue="1" operator="lessThan">
      <formula>0</formula>
    </cfRule>
  </conditionalFormatting>
  <conditionalFormatting sqref="AZ71">
    <cfRule type="cellIs" dxfId="600" priority="757" stopIfTrue="1" operator="lessThan">
      <formula>0</formula>
    </cfRule>
  </conditionalFormatting>
  <conditionalFormatting sqref="AZ72">
    <cfRule type="cellIs" dxfId="599" priority="756" stopIfTrue="1" operator="lessThan">
      <formula>0</formula>
    </cfRule>
  </conditionalFormatting>
  <conditionalFormatting sqref="AZ72">
    <cfRule type="cellIs" dxfId="598" priority="755" stopIfTrue="1" operator="lessThan">
      <formula>0</formula>
    </cfRule>
  </conditionalFormatting>
  <conditionalFormatting sqref="AZ77">
    <cfRule type="cellIs" dxfId="597" priority="754" stopIfTrue="1" operator="lessThan">
      <formula>0</formula>
    </cfRule>
  </conditionalFormatting>
  <conditionalFormatting sqref="AZ77">
    <cfRule type="cellIs" dxfId="596" priority="753" stopIfTrue="1" operator="lessThan">
      <formula>0</formula>
    </cfRule>
  </conditionalFormatting>
  <conditionalFormatting sqref="AZ78">
    <cfRule type="cellIs" dxfId="595" priority="752" stopIfTrue="1" operator="lessThan">
      <formula>0</formula>
    </cfRule>
  </conditionalFormatting>
  <conditionalFormatting sqref="AZ78">
    <cfRule type="cellIs" dxfId="594" priority="751" stopIfTrue="1" operator="lessThan">
      <formula>0</formula>
    </cfRule>
  </conditionalFormatting>
  <conditionalFormatting sqref="AZ79">
    <cfRule type="cellIs" dxfId="593" priority="750" stopIfTrue="1" operator="lessThan">
      <formula>0</formula>
    </cfRule>
  </conditionalFormatting>
  <conditionalFormatting sqref="AZ79">
    <cfRule type="cellIs" dxfId="592" priority="749" stopIfTrue="1" operator="lessThan">
      <formula>0</formula>
    </cfRule>
  </conditionalFormatting>
  <conditionalFormatting sqref="AZ80:AZ81">
    <cfRule type="cellIs" dxfId="591" priority="748" stopIfTrue="1" operator="lessThan">
      <formula>0</formula>
    </cfRule>
  </conditionalFormatting>
  <conditionalFormatting sqref="AZ83">
    <cfRule type="cellIs" dxfId="590" priority="747" stopIfTrue="1" operator="lessThan">
      <formula>0</formula>
    </cfRule>
  </conditionalFormatting>
  <conditionalFormatting sqref="AS84:AZ84">
    <cfRule type="cellIs" dxfId="589" priority="746" stopIfTrue="1" operator="lessThan">
      <formula>0</formula>
    </cfRule>
  </conditionalFormatting>
  <conditionalFormatting sqref="AS85:AZ85">
    <cfRule type="cellIs" dxfId="588" priority="745" stopIfTrue="1" operator="lessThan">
      <formula>0</formula>
    </cfRule>
  </conditionalFormatting>
  <conditionalFormatting sqref="AZ86">
    <cfRule type="cellIs" dxfId="587" priority="744" stopIfTrue="1" operator="lessThan">
      <formula>0</formula>
    </cfRule>
  </conditionalFormatting>
  <conditionalFormatting sqref="AS85:AZ85">
    <cfRule type="cellIs" dxfId="586" priority="743" stopIfTrue="1" operator="lessThan">
      <formula>0</formula>
    </cfRule>
  </conditionalFormatting>
  <conditionalFormatting sqref="AZ86">
    <cfRule type="cellIs" dxfId="585" priority="742" stopIfTrue="1" operator="lessThan">
      <formula>0</formula>
    </cfRule>
  </conditionalFormatting>
  <conditionalFormatting sqref="AZ88">
    <cfRule type="cellIs" dxfId="584" priority="741" stopIfTrue="1" operator="lessThan">
      <formula>0</formula>
    </cfRule>
  </conditionalFormatting>
  <conditionalFormatting sqref="AZ89:AZ90">
    <cfRule type="cellIs" dxfId="583" priority="740" stopIfTrue="1" operator="lessThan">
      <formula>0</formula>
    </cfRule>
  </conditionalFormatting>
  <conditionalFormatting sqref="AZ91">
    <cfRule type="cellIs" dxfId="582" priority="739" stopIfTrue="1" operator="lessThan">
      <formula>0</formula>
    </cfRule>
  </conditionalFormatting>
  <conditionalFormatting sqref="AZ68">
    <cfRule type="cellIs" dxfId="581" priority="738" stopIfTrue="1" operator="lessThan">
      <formula>0</formula>
    </cfRule>
  </conditionalFormatting>
  <conditionalFormatting sqref="AZ68">
    <cfRule type="cellIs" dxfId="580" priority="737" stopIfTrue="1" operator="lessThan">
      <formula>0</formula>
    </cfRule>
  </conditionalFormatting>
  <conditionalFormatting sqref="AZ73:AZ76">
    <cfRule type="cellIs" dxfId="579" priority="736" stopIfTrue="1" operator="lessThan">
      <formula>0</formula>
    </cfRule>
  </conditionalFormatting>
  <conditionalFormatting sqref="AZ73:AZ76">
    <cfRule type="cellIs" dxfId="578" priority="735" stopIfTrue="1" operator="lessThan">
      <formula>0</formula>
    </cfRule>
  </conditionalFormatting>
  <conditionalFormatting sqref="AZ82">
    <cfRule type="cellIs" dxfId="577" priority="734" stopIfTrue="1" operator="lessThan">
      <formula>0</formula>
    </cfRule>
  </conditionalFormatting>
  <conditionalFormatting sqref="AZ87">
    <cfRule type="cellIs" dxfId="576" priority="733" stopIfTrue="1" operator="lessThan">
      <formula>0</formula>
    </cfRule>
  </conditionalFormatting>
  <conditionalFormatting sqref="AZ95:AZ98">
    <cfRule type="cellIs" dxfId="575" priority="732" stopIfTrue="1" operator="lessThan">
      <formula>0</formula>
    </cfRule>
  </conditionalFormatting>
  <conditionalFormatting sqref="AZ92">
    <cfRule type="cellIs" dxfId="574" priority="731" stopIfTrue="1" operator="lessThan">
      <formula>0</formula>
    </cfRule>
  </conditionalFormatting>
  <conditionalFormatting sqref="AZ93:AZ94">
    <cfRule type="cellIs" dxfId="573" priority="730" stopIfTrue="1" operator="lessThan">
      <formula>0</formula>
    </cfRule>
  </conditionalFormatting>
  <conditionalFormatting sqref="AZ93:AZ94">
    <cfRule type="cellIs" dxfId="572" priority="728" stopIfTrue="1" operator="lessThan">
      <formula>0</formula>
    </cfRule>
  </conditionalFormatting>
  <conditionalFormatting sqref="AZ92">
    <cfRule type="cellIs" dxfId="571" priority="729" stopIfTrue="1" operator="lessThan">
      <formula>0</formula>
    </cfRule>
  </conditionalFormatting>
  <conditionalFormatting sqref="AZ96">
    <cfRule type="cellIs" dxfId="570" priority="727" stopIfTrue="1" operator="lessThan">
      <formula>0</formula>
    </cfRule>
  </conditionalFormatting>
  <conditionalFormatting sqref="AZ95">
    <cfRule type="cellIs" dxfId="569" priority="726" stopIfTrue="1" operator="lessThan">
      <formula>0</formula>
    </cfRule>
  </conditionalFormatting>
  <conditionalFormatting sqref="AZ97:AZ98">
    <cfRule type="cellIs" dxfId="568" priority="725" stopIfTrue="1" operator="lessThan">
      <formula>0</formula>
    </cfRule>
  </conditionalFormatting>
  <conditionalFormatting sqref="BA80:BA81">
    <cfRule type="cellIs" dxfId="567" priority="724" stopIfTrue="1" operator="lessThan">
      <formula>0</formula>
    </cfRule>
  </conditionalFormatting>
  <conditionalFormatting sqref="BA79">
    <cfRule type="cellIs" dxfId="566" priority="723" stopIfTrue="1" operator="lessThan">
      <formula>0</formula>
    </cfRule>
  </conditionalFormatting>
  <conditionalFormatting sqref="BA68:BA71">
    <cfRule type="cellIs" dxfId="565" priority="722" stopIfTrue="1" operator="lessThan">
      <formula>0</formula>
    </cfRule>
  </conditionalFormatting>
  <conditionalFormatting sqref="BA73:BA77">
    <cfRule type="cellIs" dxfId="564" priority="721" stopIfTrue="1" operator="lessThan">
      <formula>0</formula>
    </cfRule>
  </conditionalFormatting>
  <conditionalFormatting sqref="BA78">
    <cfRule type="cellIs" dxfId="563" priority="720" stopIfTrue="1" operator="lessThan">
      <formula>0</formula>
    </cfRule>
  </conditionalFormatting>
  <conditionalFormatting sqref="BA72">
    <cfRule type="cellIs" dxfId="562" priority="719" stopIfTrue="1" operator="lessThan">
      <formula>0</formula>
    </cfRule>
  </conditionalFormatting>
  <conditionalFormatting sqref="BA69">
    <cfRule type="cellIs" dxfId="561" priority="718" stopIfTrue="1" operator="lessThan">
      <formula>0</formula>
    </cfRule>
  </conditionalFormatting>
  <conditionalFormatting sqref="BA69">
    <cfRule type="cellIs" dxfId="560" priority="717" stopIfTrue="1" operator="lessThan">
      <formula>0</formula>
    </cfRule>
  </conditionalFormatting>
  <conditionalFormatting sqref="BA70">
    <cfRule type="cellIs" dxfId="559" priority="716" stopIfTrue="1" operator="lessThan">
      <formula>0</formula>
    </cfRule>
  </conditionalFormatting>
  <conditionalFormatting sqref="BA70">
    <cfRule type="cellIs" dxfId="558" priority="715" stopIfTrue="1" operator="lessThan">
      <formula>0</formula>
    </cfRule>
  </conditionalFormatting>
  <conditionalFormatting sqref="BA71">
    <cfRule type="cellIs" dxfId="557" priority="714" stopIfTrue="1" operator="lessThan">
      <formula>0</formula>
    </cfRule>
  </conditionalFormatting>
  <conditionalFormatting sqref="BA71">
    <cfRule type="cellIs" dxfId="556" priority="713" stopIfTrue="1" operator="lessThan">
      <formula>0</formula>
    </cfRule>
  </conditionalFormatting>
  <conditionalFormatting sqref="BA72">
    <cfRule type="cellIs" dxfId="555" priority="712" stopIfTrue="1" operator="lessThan">
      <formula>0</formula>
    </cfRule>
  </conditionalFormatting>
  <conditionalFormatting sqref="BA72">
    <cfRule type="cellIs" dxfId="554" priority="711" stopIfTrue="1" operator="lessThan">
      <formula>0</formula>
    </cfRule>
  </conditionalFormatting>
  <conditionalFormatting sqref="BA77">
    <cfRule type="cellIs" dxfId="553" priority="710" stopIfTrue="1" operator="lessThan">
      <formula>0</formula>
    </cfRule>
  </conditionalFormatting>
  <conditionalFormatting sqref="BA77">
    <cfRule type="cellIs" dxfId="552" priority="709" stopIfTrue="1" operator="lessThan">
      <formula>0</formula>
    </cfRule>
  </conditionalFormatting>
  <conditionalFormatting sqref="BA78">
    <cfRule type="cellIs" dxfId="551" priority="708" stopIfTrue="1" operator="lessThan">
      <formula>0</formula>
    </cfRule>
  </conditionalFormatting>
  <conditionalFormatting sqref="BA78">
    <cfRule type="cellIs" dxfId="550" priority="707" stopIfTrue="1" operator="lessThan">
      <formula>0</formula>
    </cfRule>
  </conditionalFormatting>
  <conditionalFormatting sqref="BA79">
    <cfRule type="cellIs" dxfId="549" priority="706" stopIfTrue="1" operator="lessThan">
      <formula>0</formula>
    </cfRule>
  </conditionalFormatting>
  <conditionalFormatting sqref="BA79">
    <cfRule type="cellIs" dxfId="548" priority="705" stopIfTrue="1" operator="lessThan">
      <formula>0</formula>
    </cfRule>
  </conditionalFormatting>
  <conditionalFormatting sqref="BA80:BA81">
    <cfRule type="cellIs" dxfId="547" priority="704" stopIfTrue="1" operator="lessThan">
      <formula>0</formula>
    </cfRule>
  </conditionalFormatting>
  <conditionalFormatting sqref="BA68">
    <cfRule type="cellIs" dxfId="546" priority="703" stopIfTrue="1" operator="lessThan">
      <formula>0</formula>
    </cfRule>
  </conditionalFormatting>
  <conditionalFormatting sqref="BA68">
    <cfRule type="cellIs" dxfId="545" priority="702" stopIfTrue="1" operator="lessThan">
      <formula>0</formula>
    </cfRule>
  </conditionalFormatting>
  <conditionalFormatting sqref="BA73:BA76">
    <cfRule type="cellIs" dxfId="544" priority="701" stopIfTrue="1" operator="lessThan">
      <formula>0</formula>
    </cfRule>
  </conditionalFormatting>
  <conditionalFormatting sqref="BA73:BA76">
    <cfRule type="cellIs" dxfId="543" priority="700" stopIfTrue="1" operator="lessThan">
      <formula>0</formula>
    </cfRule>
  </conditionalFormatting>
  <conditionalFormatting sqref="BA82:BA84">
    <cfRule type="cellIs" dxfId="542" priority="699" stopIfTrue="1" operator="lessThan">
      <formula>0</formula>
    </cfRule>
  </conditionalFormatting>
  <conditionalFormatting sqref="BA87:BA90">
    <cfRule type="cellIs" dxfId="541" priority="698" stopIfTrue="1" operator="lessThan">
      <formula>0</formula>
    </cfRule>
  </conditionalFormatting>
  <conditionalFormatting sqref="BA91">
    <cfRule type="cellIs" dxfId="540" priority="697" stopIfTrue="1" operator="lessThan">
      <formula>0</formula>
    </cfRule>
  </conditionalFormatting>
  <conditionalFormatting sqref="BA83">
    <cfRule type="cellIs" dxfId="539" priority="696" stopIfTrue="1" operator="lessThan">
      <formula>0</formula>
    </cfRule>
  </conditionalFormatting>
  <conditionalFormatting sqref="BA84">
    <cfRule type="cellIs" dxfId="538" priority="695" stopIfTrue="1" operator="lessThan">
      <formula>0</formula>
    </cfRule>
  </conditionalFormatting>
  <conditionalFormatting sqref="BA85">
    <cfRule type="cellIs" dxfId="537" priority="694" stopIfTrue="1" operator="lessThan">
      <formula>0</formula>
    </cfRule>
  </conditionalFormatting>
  <conditionalFormatting sqref="BA86">
    <cfRule type="cellIs" dxfId="536" priority="693" stopIfTrue="1" operator="lessThan">
      <formula>0</formula>
    </cfRule>
  </conditionalFormatting>
  <conditionalFormatting sqref="BA85">
    <cfRule type="cellIs" dxfId="535" priority="692" stopIfTrue="1" operator="lessThan">
      <formula>0</formula>
    </cfRule>
  </conditionalFormatting>
  <conditionalFormatting sqref="BA86">
    <cfRule type="cellIs" dxfId="534" priority="691" stopIfTrue="1" operator="lessThan">
      <formula>0</formula>
    </cfRule>
  </conditionalFormatting>
  <conditionalFormatting sqref="BA88">
    <cfRule type="cellIs" dxfId="533" priority="690" stopIfTrue="1" operator="lessThan">
      <formula>0</formula>
    </cfRule>
  </conditionalFormatting>
  <conditionalFormatting sqref="BA89:BA90">
    <cfRule type="cellIs" dxfId="532" priority="689" stopIfTrue="1" operator="lessThan">
      <formula>0</formula>
    </cfRule>
  </conditionalFormatting>
  <conditionalFormatting sqref="BA91">
    <cfRule type="cellIs" dxfId="531" priority="688" stopIfTrue="1" operator="lessThan">
      <formula>0</formula>
    </cfRule>
  </conditionalFormatting>
  <conditionalFormatting sqref="BA82">
    <cfRule type="cellIs" dxfId="530" priority="687" stopIfTrue="1" operator="lessThan">
      <formula>0</formula>
    </cfRule>
  </conditionalFormatting>
  <conditionalFormatting sqref="BA87">
    <cfRule type="cellIs" dxfId="529" priority="686" stopIfTrue="1" operator="lessThan">
      <formula>0</formula>
    </cfRule>
  </conditionalFormatting>
  <conditionalFormatting sqref="BA92">
    <cfRule type="cellIs" dxfId="528" priority="685" stopIfTrue="1" operator="lessThan">
      <formula>0</formula>
    </cfRule>
  </conditionalFormatting>
  <conditionalFormatting sqref="BA93:BA94">
    <cfRule type="cellIs" dxfId="527" priority="684" stopIfTrue="1" operator="lessThan">
      <formula>0</formula>
    </cfRule>
  </conditionalFormatting>
  <conditionalFormatting sqref="BA93:BA94">
    <cfRule type="cellIs" dxfId="526" priority="682" stopIfTrue="1" operator="lessThan">
      <formula>0</formula>
    </cfRule>
  </conditionalFormatting>
  <conditionalFormatting sqref="BA92">
    <cfRule type="cellIs" dxfId="525" priority="683" stopIfTrue="1" operator="lessThan">
      <formula>0</formula>
    </cfRule>
  </conditionalFormatting>
  <conditionalFormatting sqref="BA95:BA98">
    <cfRule type="cellIs" dxfId="524" priority="681" stopIfTrue="1" operator="lessThan">
      <formula>0</formula>
    </cfRule>
  </conditionalFormatting>
  <conditionalFormatting sqref="BA96">
    <cfRule type="cellIs" dxfId="523" priority="680" stopIfTrue="1" operator="lessThan">
      <formula>0</formula>
    </cfRule>
  </conditionalFormatting>
  <conditionalFormatting sqref="BA95">
    <cfRule type="cellIs" dxfId="522" priority="679" stopIfTrue="1" operator="lessThan">
      <formula>0</formula>
    </cfRule>
  </conditionalFormatting>
  <conditionalFormatting sqref="BA97:BA98">
    <cfRule type="cellIs" dxfId="521" priority="678" stopIfTrue="1" operator="lessThan">
      <formula>0</formula>
    </cfRule>
  </conditionalFormatting>
  <conditionalFormatting sqref="BA80:BA81">
    <cfRule type="cellIs" dxfId="520" priority="677" stopIfTrue="1" operator="lessThan">
      <formula>0</formula>
    </cfRule>
  </conditionalFormatting>
  <conditionalFormatting sqref="BA79">
    <cfRule type="cellIs" dxfId="519" priority="676" stopIfTrue="1" operator="lessThan">
      <formula>0</formula>
    </cfRule>
  </conditionalFormatting>
  <conditionalFormatting sqref="BA68:BA71">
    <cfRule type="cellIs" dxfId="518" priority="675" stopIfTrue="1" operator="lessThan">
      <formula>0</formula>
    </cfRule>
  </conditionalFormatting>
  <conditionalFormatting sqref="BA73:BA77">
    <cfRule type="cellIs" dxfId="517" priority="674" stopIfTrue="1" operator="lessThan">
      <formula>0</formula>
    </cfRule>
  </conditionalFormatting>
  <conditionalFormatting sqref="BA82:BA84">
    <cfRule type="cellIs" dxfId="516" priority="673" stopIfTrue="1" operator="lessThan">
      <formula>0</formula>
    </cfRule>
  </conditionalFormatting>
  <conditionalFormatting sqref="BA87:BA90">
    <cfRule type="cellIs" dxfId="515" priority="672" stopIfTrue="1" operator="lessThan">
      <formula>0</formula>
    </cfRule>
  </conditionalFormatting>
  <conditionalFormatting sqref="BA78">
    <cfRule type="cellIs" dxfId="514" priority="671" stopIfTrue="1" operator="lessThan">
      <formula>0</formula>
    </cfRule>
  </conditionalFormatting>
  <conditionalFormatting sqref="BA72">
    <cfRule type="cellIs" dxfId="513" priority="670" stopIfTrue="1" operator="lessThan">
      <formula>0</formula>
    </cfRule>
  </conditionalFormatting>
  <conditionalFormatting sqref="BA91">
    <cfRule type="cellIs" dxfId="512" priority="669" stopIfTrue="1" operator="lessThan">
      <formula>0</formula>
    </cfRule>
  </conditionalFormatting>
  <conditionalFormatting sqref="BA69">
    <cfRule type="cellIs" dxfId="511" priority="668" stopIfTrue="1" operator="lessThan">
      <formula>0</formula>
    </cfRule>
  </conditionalFormatting>
  <conditionalFormatting sqref="BA69">
    <cfRule type="cellIs" dxfId="510" priority="667" stopIfTrue="1" operator="lessThan">
      <formula>0</formula>
    </cfRule>
  </conditionalFormatting>
  <conditionalFormatting sqref="BA70">
    <cfRule type="cellIs" dxfId="509" priority="666" stopIfTrue="1" operator="lessThan">
      <formula>0</formula>
    </cfRule>
  </conditionalFormatting>
  <conditionalFormatting sqref="BA70">
    <cfRule type="cellIs" dxfId="508" priority="665" stopIfTrue="1" operator="lessThan">
      <formula>0</formula>
    </cfRule>
  </conditionalFormatting>
  <conditionalFormatting sqref="BA71">
    <cfRule type="cellIs" dxfId="507" priority="664" stopIfTrue="1" operator="lessThan">
      <formula>0</formula>
    </cfRule>
  </conditionalFormatting>
  <conditionalFormatting sqref="BA71">
    <cfRule type="cellIs" dxfId="506" priority="663" stopIfTrue="1" operator="lessThan">
      <formula>0</formula>
    </cfRule>
  </conditionalFormatting>
  <conditionalFormatting sqref="BA72">
    <cfRule type="cellIs" dxfId="505" priority="662" stopIfTrue="1" operator="lessThan">
      <formula>0</formula>
    </cfRule>
  </conditionalFormatting>
  <conditionalFormatting sqref="BA72">
    <cfRule type="cellIs" dxfId="504" priority="661" stopIfTrue="1" operator="lessThan">
      <formula>0</formula>
    </cfRule>
  </conditionalFormatting>
  <conditionalFormatting sqref="BA77">
    <cfRule type="cellIs" dxfId="503" priority="660" stopIfTrue="1" operator="lessThan">
      <formula>0</formula>
    </cfRule>
  </conditionalFormatting>
  <conditionalFormatting sqref="BA77">
    <cfRule type="cellIs" dxfId="502" priority="659" stopIfTrue="1" operator="lessThan">
      <formula>0</formula>
    </cfRule>
  </conditionalFormatting>
  <conditionalFormatting sqref="BA78">
    <cfRule type="cellIs" dxfId="501" priority="658" stopIfTrue="1" operator="lessThan">
      <formula>0</formula>
    </cfRule>
  </conditionalFormatting>
  <conditionalFormatting sqref="BA78">
    <cfRule type="cellIs" dxfId="500" priority="657" stopIfTrue="1" operator="lessThan">
      <formula>0</formula>
    </cfRule>
  </conditionalFormatting>
  <conditionalFormatting sqref="BA79">
    <cfRule type="cellIs" dxfId="499" priority="656" stopIfTrue="1" operator="lessThan">
      <formula>0</formula>
    </cfRule>
  </conditionalFormatting>
  <conditionalFormatting sqref="BA79">
    <cfRule type="cellIs" dxfId="498" priority="655" stopIfTrue="1" operator="lessThan">
      <formula>0</formula>
    </cfRule>
  </conditionalFormatting>
  <conditionalFormatting sqref="BA80:BA81">
    <cfRule type="cellIs" dxfId="497" priority="654" stopIfTrue="1" operator="lessThan">
      <formula>0</formula>
    </cfRule>
  </conditionalFormatting>
  <conditionalFormatting sqref="BA83">
    <cfRule type="cellIs" dxfId="496" priority="653" stopIfTrue="1" operator="lessThan">
      <formula>0</formula>
    </cfRule>
  </conditionalFormatting>
  <conditionalFormatting sqref="BA84">
    <cfRule type="cellIs" dxfId="495" priority="652" stopIfTrue="1" operator="lessThan">
      <formula>0</formula>
    </cfRule>
  </conditionalFormatting>
  <conditionalFormatting sqref="BA85">
    <cfRule type="cellIs" dxfId="494" priority="651" stopIfTrue="1" operator="lessThan">
      <formula>0</formula>
    </cfRule>
  </conditionalFormatting>
  <conditionalFormatting sqref="BA86">
    <cfRule type="cellIs" dxfId="493" priority="650" stopIfTrue="1" operator="lessThan">
      <formula>0</formula>
    </cfRule>
  </conditionalFormatting>
  <conditionalFormatting sqref="BA85">
    <cfRule type="cellIs" dxfId="492" priority="649" stopIfTrue="1" operator="lessThan">
      <formula>0</formula>
    </cfRule>
  </conditionalFormatting>
  <conditionalFormatting sqref="BA86">
    <cfRule type="cellIs" dxfId="491" priority="648" stopIfTrue="1" operator="lessThan">
      <formula>0</formula>
    </cfRule>
  </conditionalFormatting>
  <conditionalFormatting sqref="BA88">
    <cfRule type="cellIs" dxfId="490" priority="647" stopIfTrue="1" operator="lessThan">
      <formula>0</formula>
    </cfRule>
  </conditionalFormatting>
  <conditionalFormatting sqref="BA89:BA90">
    <cfRule type="cellIs" dxfId="489" priority="646" stopIfTrue="1" operator="lessThan">
      <formula>0</formula>
    </cfRule>
  </conditionalFormatting>
  <conditionalFormatting sqref="BA91">
    <cfRule type="cellIs" dxfId="488" priority="645" stopIfTrue="1" operator="lessThan">
      <formula>0</formula>
    </cfRule>
  </conditionalFormatting>
  <conditionalFormatting sqref="BA68">
    <cfRule type="cellIs" dxfId="487" priority="644" stopIfTrue="1" operator="lessThan">
      <formula>0</formula>
    </cfRule>
  </conditionalFormatting>
  <conditionalFormatting sqref="BA68">
    <cfRule type="cellIs" dxfId="486" priority="643" stopIfTrue="1" operator="lessThan">
      <formula>0</formula>
    </cfRule>
  </conditionalFormatting>
  <conditionalFormatting sqref="BA73:BA76">
    <cfRule type="cellIs" dxfId="485" priority="642" stopIfTrue="1" operator="lessThan">
      <formula>0</formula>
    </cfRule>
  </conditionalFormatting>
  <conditionalFormatting sqref="BA73:BA76">
    <cfRule type="cellIs" dxfId="484" priority="641" stopIfTrue="1" operator="lessThan">
      <formula>0</formula>
    </cfRule>
  </conditionalFormatting>
  <conditionalFormatting sqref="BA82">
    <cfRule type="cellIs" dxfId="483" priority="640" stopIfTrue="1" operator="lessThan">
      <formula>0</formula>
    </cfRule>
  </conditionalFormatting>
  <conditionalFormatting sqref="BA87">
    <cfRule type="cellIs" dxfId="482" priority="639" stopIfTrue="1" operator="lessThan">
      <formula>0</formula>
    </cfRule>
  </conditionalFormatting>
  <conditionalFormatting sqref="BA95:BA98">
    <cfRule type="cellIs" dxfId="481" priority="638" stopIfTrue="1" operator="lessThan">
      <formula>0</formula>
    </cfRule>
  </conditionalFormatting>
  <conditionalFormatting sqref="BA92">
    <cfRule type="cellIs" dxfId="480" priority="637" stopIfTrue="1" operator="lessThan">
      <formula>0</formula>
    </cfRule>
  </conditionalFormatting>
  <conditionalFormatting sqref="BA93:BA94">
    <cfRule type="cellIs" dxfId="479" priority="636" stopIfTrue="1" operator="lessThan">
      <formula>0</formula>
    </cfRule>
  </conditionalFormatting>
  <conditionalFormatting sqref="BA93:BA94">
    <cfRule type="cellIs" dxfId="478" priority="634" stopIfTrue="1" operator="lessThan">
      <formula>0</formula>
    </cfRule>
  </conditionalFormatting>
  <conditionalFormatting sqref="BA92">
    <cfRule type="cellIs" dxfId="477" priority="635" stopIfTrue="1" operator="lessThan">
      <formula>0</formula>
    </cfRule>
  </conditionalFormatting>
  <conditionalFormatting sqref="BA96">
    <cfRule type="cellIs" dxfId="476" priority="633" stopIfTrue="1" operator="lessThan">
      <formula>0</formula>
    </cfRule>
  </conditionalFormatting>
  <conditionalFormatting sqref="BA95">
    <cfRule type="cellIs" dxfId="475" priority="632" stopIfTrue="1" operator="lessThan">
      <formula>0</formula>
    </cfRule>
  </conditionalFormatting>
  <conditionalFormatting sqref="BA97:BA98">
    <cfRule type="cellIs" dxfId="474" priority="631" stopIfTrue="1" operator="lessThan">
      <formula>0</formula>
    </cfRule>
  </conditionalFormatting>
  <conditionalFormatting sqref="BB80:BB81">
    <cfRule type="cellIs" dxfId="473" priority="571" stopIfTrue="1" operator="lessThan">
      <formula>0</formula>
    </cfRule>
  </conditionalFormatting>
  <conditionalFormatting sqref="BB79">
    <cfRule type="cellIs" dxfId="472" priority="570" stopIfTrue="1" operator="lessThan">
      <formula>0</formula>
    </cfRule>
  </conditionalFormatting>
  <conditionalFormatting sqref="BB68:BB71">
    <cfRule type="cellIs" dxfId="471" priority="569" stopIfTrue="1" operator="lessThan">
      <formula>0</formula>
    </cfRule>
  </conditionalFormatting>
  <conditionalFormatting sqref="BB73:BB77">
    <cfRule type="cellIs" dxfId="470" priority="568" stopIfTrue="1" operator="lessThan">
      <formula>0</formula>
    </cfRule>
  </conditionalFormatting>
  <conditionalFormatting sqref="BB78">
    <cfRule type="cellIs" dxfId="469" priority="567" stopIfTrue="1" operator="lessThan">
      <formula>0</formula>
    </cfRule>
  </conditionalFormatting>
  <conditionalFormatting sqref="BB72">
    <cfRule type="cellIs" dxfId="468" priority="566" stopIfTrue="1" operator="lessThan">
      <formula>0</formula>
    </cfRule>
  </conditionalFormatting>
  <conditionalFormatting sqref="BB69">
    <cfRule type="cellIs" dxfId="467" priority="565" stopIfTrue="1" operator="lessThan">
      <formula>0</formula>
    </cfRule>
  </conditionalFormatting>
  <conditionalFormatting sqref="BB69">
    <cfRule type="cellIs" dxfId="466" priority="564" stopIfTrue="1" operator="lessThan">
      <formula>0</formula>
    </cfRule>
  </conditionalFormatting>
  <conditionalFormatting sqref="BB70">
    <cfRule type="cellIs" dxfId="465" priority="563" stopIfTrue="1" operator="lessThan">
      <formula>0</formula>
    </cfRule>
  </conditionalFormatting>
  <conditionalFormatting sqref="BB70">
    <cfRule type="cellIs" dxfId="464" priority="562" stopIfTrue="1" operator="lessThan">
      <formula>0</formula>
    </cfRule>
  </conditionalFormatting>
  <conditionalFormatting sqref="BB71">
    <cfRule type="cellIs" dxfId="463" priority="561" stopIfTrue="1" operator="lessThan">
      <formula>0</formula>
    </cfRule>
  </conditionalFormatting>
  <conditionalFormatting sqref="BB71">
    <cfRule type="cellIs" dxfId="462" priority="560" stopIfTrue="1" operator="lessThan">
      <formula>0</formula>
    </cfRule>
  </conditionalFormatting>
  <conditionalFormatting sqref="BB72">
    <cfRule type="cellIs" dxfId="461" priority="559" stopIfTrue="1" operator="lessThan">
      <formula>0</formula>
    </cfRule>
  </conditionalFormatting>
  <conditionalFormatting sqref="BB72">
    <cfRule type="cellIs" dxfId="460" priority="558" stopIfTrue="1" operator="lessThan">
      <formula>0</formula>
    </cfRule>
  </conditionalFormatting>
  <conditionalFormatting sqref="BB77">
    <cfRule type="cellIs" dxfId="459" priority="557" stopIfTrue="1" operator="lessThan">
      <formula>0</formula>
    </cfRule>
  </conditionalFormatting>
  <conditionalFormatting sqref="BB77">
    <cfRule type="cellIs" dxfId="458" priority="556" stopIfTrue="1" operator="lessThan">
      <formula>0</formula>
    </cfRule>
  </conditionalFormatting>
  <conditionalFormatting sqref="BB78">
    <cfRule type="cellIs" dxfId="457" priority="555" stopIfTrue="1" operator="lessThan">
      <formula>0</formula>
    </cfRule>
  </conditionalFormatting>
  <conditionalFormatting sqref="BB78">
    <cfRule type="cellIs" dxfId="456" priority="554" stopIfTrue="1" operator="lessThan">
      <formula>0</formula>
    </cfRule>
  </conditionalFormatting>
  <conditionalFormatting sqref="BB79">
    <cfRule type="cellIs" dxfId="455" priority="553" stopIfTrue="1" operator="lessThan">
      <formula>0</formula>
    </cfRule>
  </conditionalFormatting>
  <conditionalFormatting sqref="BB79">
    <cfRule type="cellIs" dxfId="454" priority="552" stopIfTrue="1" operator="lessThan">
      <formula>0</formula>
    </cfRule>
  </conditionalFormatting>
  <conditionalFormatting sqref="BB80:BB81">
    <cfRule type="cellIs" dxfId="453" priority="551" stopIfTrue="1" operator="lessThan">
      <formula>0</formula>
    </cfRule>
  </conditionalFormatting>
  <conditionalFormatting sqref="BB68">
    <cfRule type="cellIs" dxfId="452" priority="550" stopIfTrue="1" operator="lessThan">
      <formula>0</formula>
    </cfRule>
  </conditionalFormatting>
  <conditionalFormatting sqref="BB68">
    <cfRule type="cellIs" dxfId="451" priority="549" stopIfTrue="1" operator="lessThan">
      <formula>0</formula>
    </cfRule>
  </conditionalFormatting>
  <conditionalFormatting sqref="BB73:BB76">
    <cfRule type="cellIs" dxfId="450" priority="548" stopIfTrue="1" operator="lessThan">
      <formula>0</formula>
    </cfRule>
  </conditionalFormatting>
  <conditionalFormatting sqref="BB73:BB76">
    <cfRule type="cellIs" dxfId="449" priority="547" stopIfTrue="1" operator="lessThan">
      <formula>0</formula>
    </cfRule>
  </conditionalFormatting>
  <conditionalFormatting sqref="BB82:BB84">
    <cfRule type="cellIs" dxfId="448" priority="546" stopIfTrue="1" operator="lessThan">
      <formula>0</formula>
    </cfRule>
  </conditionalFormatting>
  <conditionalFormatting sqref="BB87:BB90">
    <cfRule type="cellIs" dxfId="447" priority="545" stopIfTrue="1" operator="lessThan">
      <formula>0</formula>
    </cfRule>
  </conditionalFormatting>
  <conditionalFormatting sqref="BB91">
    <cfRule type="cellIs" dxfId="446" priority="544" stopIfTrue="1" operator="lessThan">
      <formula>0</formula>
    </cfRule>
  </conditionalFormatting>
  <conditionalFormatting sqref="BB83">
    <cfRule type="cellIs" dxfId="445" priority="543" stopIfTrue="1" operator="lessThan">
      <formula>0</formula>
    </cfRule>
  </conditionalFormatting>
  <conditionalFormatting sqref="BB84">
    <cfRule type="cellIs" dxfId="444" priority="542" stopIfTrue="1" operator="lessThan">
      <formula>0</formula>
    </cfRule>
  </conditionalFormatting>
  <conditionalFormatting sqref="BB85">
    <cfRule type="cellIs" dxfId="443" priority="541" stopIfTrue="1" operator="lessThan">
      <formula>0</formula>
    </cfRule>
  </conditionalFormatting>
  <conditionalFormatting sqref="BB86">
    <cfRule type="cellIs" dxfId="442" priority="540" stopIfTrue="1" operator="lessThan">
      <formula>0</formula>
    </cfRule>
  </conditionalFormatting>
  <conditionalFormatting sqref="BB85">
    <cfRule type="cellIs" dxfId="441" priority="539" stopIfTrue="1" operator="lessThan">
      <formula>0</formula>
    </cfRule>
  </conditionalFormatting>
  <conditionalFormatting sqref="BB86">
    <cfRule type="cellIs" dxfId="440" priority="538" stopIfTrue="1" operator="lessThan">
      <formula>0</formula>
    </cfRule>
  </conditionalFormatting>
  <conditionalFormatting sqref="BB88">
    <cfRule type="cellIs" dxfId="439" priority="537" stopIfTrue="1" operator="lessThan">
      <formula>0</formula>
    </cfRule>
  </conditionalFormatting>
  <conditionalFormatting sqref="BB89:BB90">
    <cfRule type="cellIs" dxfId="438" priority="536" stopIfTrue="1" operator="lessThan">
      <formula>0</formula>
    </cfRule>
  </conditionalFormatting>
  <conditionalFormatting sqref="BB91">
    <cfRule type="cellIs" dxfId="437" priority="535" stopIfTrue="1" operator="lessThan">
      <formula>0</formula>
    </cfRule>
  </conditionalFormatting>
  <conditionalFormatting sqref="BB82">
    <cfRule type="cellIs" dxfId="436" priority="534" stopIfTrue="1" operator="lessThan">
      <formula>0</formula>
    </cfRule>
  </conditionalFormatting>
  <conditionalFormatting sqref="BB87">
    <cfRule type="cellIs" dxfId="435" priority="533" stopIfTrue="1" operator="lessThan">
      <formula>0</formula>
    </cfRule>
  </conditionalFormatting>
  <conditionalFormatting sqref="BB92">
    <cfRule type="cellIs" dxfId="434" priority="532" stopIfTrue="1" operator="lessThan">
      <formula>0</formula>
    </cfRule>
  </conditionalFormatting>
  <conditionalFormatting sqref="BB93:BB94">
    <cfRule type="cellIs" dxfId="433" priority="531" stopIfTrue="1" operator="lessThan">
      <formula>0</formula>
    </cfRule>
  </conditionalFormatting>
  <conditionalFormatting sqref="BB93:BB94">
    <cfRule type="cellIs" dxfId="432" priority="529" stopIfTrue="1" operator="lessThan">
      <formula>0</formula>
    </cfRule>
  </conditionalFormatting>
  <conditionalFormatting sqref="BB92">
    <cfRule type="cellIs" dxfId="431" priority="530" stopIfTrue="1" operator="lessThan">
      <formula>0</formula>
    </cfRule>
  </conditionalFormatting>
  <conditionalFormatting sqref="BB95:BB98">
    <cfRule type="cellIs" dxfId="430" priority="528" stopIfTrue="1" operator="lessThan">
      <formula>0</formula>
    </cfRule>
  </conditionalFormatting>
  <conditionalFormatting sqref="BB96">
    <cfRule type="cellIs" dxfId="429" priority="527" stopIfTrue="1" operator="lessThan">
      <formula>0</formula>
    </cfRule>
  </conditionalFormatting>
  <conditionalFormatting sqref="BB95">
    <cfRule type="cellIs" dxfId="428" priority="526" stopIfTrue="1" operator="lessThan">
      <formula>0</formula>
    </cfRule>
  </conditionalFormatting>
  <conditionalFormatting sqref="BB97:BB98">
    <cfRule type="cellIs" dxfId="427" priority="525" stopIfTrue="1" operator="lessThan">
      <formula>0</formula>
    </cfRule>
  </conditionalFormatting>
  <conditionalFormatting sqref="BB80:BB81">
    <cfRule type="cellIs" dxfId="426" priority="524" stopIfTrue="1" operator="lessThan">
      <formula>0</formula>
    </cfRule>
  </conditionalFormatting>
  <conditionalFormatting sqref="BB79">
    <cfRule type="cellIs" dxfId="425" priority="523" stopIfTrue="1" operator="lessThan">
      <formula>0</formula>
    </cfRule>
  </conditionalFormatting>
  <conditionalFormatting sqref="BB68:BB71">
    <cfRule type="cellIs" dxfId="424" priority="522" stopIfTrue="1" operator="lessThan">
      <formula>0</formula>
    </cfRule>
  </conditionalFormatting>
  <conditionalFormatting sqref="BB73:BB77">
    <cfRule type="cellIs" dxfId="423" priority="521" stopIfTrue="1" operator="lessThan">
      <formula>0</formula>
    </cfRule>
  </conditionalFormatting>
  <conditionalFormatting sqref="BB82:BB84">
    <cfRule type="cellIs" dxfId="422" priority="520" stopIfTrue="1" operator="lessThan">
      <formula>0</formula>
    </cfRule>
  </conditionalFormatting>
  <conditionalFormatting sqref="BB87:BB90">
    <cfRule type="cellIs" dxfId="421" priority="519" stopIfTrue="1" operator="lessThan">
      <formula>0</formula>
    </cfRule>
  </conditionalFormatting>
  <conditionalFormatting sqref="BB78">
    <cfRule type="cellIs" dxfId="420" priority="518" stopIfTrue="1" operator="lessThan">
      <formula>0</formula>
    </cfRule>
  </conditionalFormatting>
  <conditionalFormatting sqref="BB72">
    <cfRule type="cellIs" dxfId="419" priority="517" stopIfTrue="1" operator="lessThan">
      <formula>0</formula>
    </cfRule>
  </conditionalFormatting>
  <conditionalFormatting sqref="BB91">
    <cfRule type="cellIs" dxfId="418" priority="516" stopIfTrue="1" operator="lessThan">
      <formula>0</formula>
    </cfRule>
  </conditionalFormatting>
  <conditionalFormatting sqref="BB69">
    <cfRule type="cellIs" dxfId="417" priority="515" stopIfTrue="1" operator="lessThan">
      <formula>0</formula>
    </cfRule>
  </conditionalFormatting>
  <conditionalFormatting sqref="BB69">
    <cfRule type="cellIs" dxfId="416" priority="514" stopIfTrue="1" operator="lessThan">
      <formula>0</formula>
    </cfRule>
  </conditionalFormatting>
  <conditionalFormatting sqref="BB70">
    <cfRule type="cellIs" dxfId="415" priority="513" stopIfTrue="1" operator="lessThan">
      <formula>0</formula>
    </cfRule>
  </conditionalFormatting>
  <conditionalFormatting sqref="BB70">
    <cfRule type="cellIs" dxfId="414" priority="512" stopIfTrue="1" operator="lessThan">
      <formula>0</formula>
    </cfRule>
  </conditionalFormatting>
  <conditionalFormatting sqref="BB71">
    <cfRule type="cellIs" dxfId="413" priority="511" stopIfTrue="1" operator="lessThan">
      <formula>0</formula>
    </cfRule>
  </conditionalFormatting>
  <conditionalFormatting sqref="BB71">
    <cfRule type="cellIs" dxfId="412" priority="510" stopIfTrue="1" operator="lessThan">
      <formula>0</formula>
    </cfRule>
  </conditionalFormatting>
  <conditionalFormatting sqref="BB72">
    <cfRule type="cellIs" dxfId="411" priority="509" stopIfTrue="1" operator="lessThan">
      <formula>0</formula>
    </cfRule>
  </conditionalFormatting>
  <conditionalFormatting sqref="BB72">
    <cfRule type="cellIs" dxfId="410" priority="508" stopIfTrue="1" operator="lessThan">
      <formula>0</formula>
    </cfRule>
  </conditionalFormatting>
  <conditionalFormatting sqref="BB77">
    <cfRule type="cellIs" dxfId="409" priority="507" stopIfTrue="1" operator="lessThan">
      <formula>0</formula>
    </cfRule>
  </conditionalFormatting>
  <conditionalFormatting sqref="BB77">
    <cfRule type="cellIs" dxfId="408" priority="506" stopIfTrue="1" operator="lessThan">
      <formula>0</formula>
    </cfRule>
  </conditionalFormatting>
  <conditionalFormatting sqref="BB78">
    <cfRule type="cellIs" dxfId="407" priority="505" stopIfTrue="1" operator="lessThan">
      <formula>0</formula>
    </cfRule>
  </conditionalFormatting>
  <conditionalFormatting sqref="BB78">
    <cfRule type="cellIs" dxfId="406" priority="504" stopIfTrue="1" operator="lessThan">
      <formula>0</formula>
    </cfRule>
  </conditionalFormatting>
  <conditionalFormatting sqref="BB79">
    <cfRule type="cellIs" dxfId="405" priority="503" stopIfTrue="1" operator="lessThan">
      <formula>0</formula>
    </cfRule>
  </conditionalFormatting>
  <conditionalFormatting sqref="BB79">
    <cfRule type="cellIs" dxfId="404" priority="502" stopIfTrue="1" operator="lessThan">
      <formula>0</formula>
    </cfRule>
  </conditionalFormatting>
  <conditionalFormatting sqref="BB80:BB81">
    <cfRule type="cellIs" dxfId="403" priority="501" stopIfTrue="1" operator="lessThan">
      <formula>0</formula>
    </cfRule>
  </conditionalFormatting>
  <conditionalFormatting sqref="BB83">
    <cfRule type="cellIs" dxfId="402" priority="500" stopIfTrue="1" operator="lessThan">
      <formula>0</formula>
    </cfRule>
  </conditionalFormatting>
  <conditionalFormatting sqref="BB84">
    <cfRule type="cellIs" dxfId="401" priority="499" stopIfTrue="1" operator="lessThan">
      <formula>0</formula>
    </cfRule>
  </conditionalFormatting>
  <conditionalFormatting sqref="BB85">
    <cfRule type="cellIs" dxfId="400" priority="498" stopIfTrue="1" operator="lessThan">
      <formula>0</formula>
    </cfRule>
  </conditionalFormatting>
  <conditionalFormatting sqref="BB86">
    <cfRule type="cellIs" dxfId="399" priority="497" stopIfTrue="1" operator="lessThan">
      <formula>0</formula>
    </cfRule>
  </conditionalFormatting>
  <conditionalFormatting sqref="BB85">
    <cfRule type="cellIs" dxfId="398" priority="496" stopIfTrue="1" operator="lessThan">
      <formula>0</formula>
    </cfRule>
  </conditionalFormatting>
  <conditionalFormatting sqref="BB86">
    <cfRule type="cellIs" dxfId="397" priority="495" stopIfTrue="1" operator="lessThan">
      <formula>0</formula>
    </cfRule>
  </conditionalFormatting>
  <conditionalFormatting sqref="BB88">
    <cfRule type="cellIs" dxfId="396" priority="494" stopIfTrue="1" operator="lessThan">
      <formula>0</formula>
    </cfRule>
  </conditionalFormatting>
  <conditionalFormatting sqref="BB89:BB90">
    <cfRule type="cellIs" dxfId="395" priority="493" stopIfTrue="1" operator="lessThan">
      <formula>0</formula>
    </cfRule>
  </conditionalFormatting>
  <conditionalFormatting sqref="BB91">
    <cfRule type="cellIs" dxfId="394" priority="492" stopIfTrue="1" operator="lessThan">
      <formula>0</formula>
    </cfRule>
  </conditionalFormatting>
  <conditionalFormatting sqref="BB68">
    <cfRule type="cellIs" dxfId="393" priority="491" stopIfTrue="1" operator="lessThan">
      <formula>0</formula>
    </cfRule>
  </conditionalFormatting>
  <conditionalFormatting sqref="BB68">
    <cfRule type="cellIs" dxfId="392" priority="490" stopIfTrue="1" operator="lessThan">
      <formula>0</formula>
    </cfRule>
  </conditionalFormatting>
  <conditionalFormatting sqref="BB73:BB76">
    <cfRule type="cellIs" dxfId="391" priority="489" stopIfTrue="1" operator="lessThan">
      <formula>0</formula>
    </cfRule>
  </conditionalFormatting>
  <conditionalFormatting sqref="BB73:BB76">
    <cfRule type="cellIs" dxfId="390" priority="488" stopIfTrue="1" operator="lessThan">
      <formula>0</formula>
    </cfRule>
  </conditionalFormatting>
  <conditionalFormatting sqref="BB82">
    <cfRule type="cellIs" dxfId="389" priority="487" stopIfTrue="1" operator="lessThan">
      <formula>0</formula>
    </cfRule>
  </conditionalFormatting>
  <conditionalFormatting sqref="BB87">
    <cfRule type="cellIs" dxfId="388" priority="486" stopIfTrue="1" operator="lessThan">
      <formula>0</formula>
    </cfRule>
  </conditionalFormatting>
  <conditionalFormatting sqref="BB95:BB98">
    <cfRule type="cellIs" dxfId="387" priority="485" stopIfTrue="1" operator="lessThan">
      <formula>0</formula>
    </cfRule>
  </conditionalFormatting>
  <conditionalFormatting sqref="BB92">
    <cfRule type="cellIs" dxfId="386" priority="484" stopIfTrue="1" operator="lessThan">
      <formula>0</formula>
    </cfRule>
  </conditionalFormatting>
  <conditionalFormatting sqref="BB93:BB94">
    <cfRule type="cellIs" dxfId="385" priority="483" stopIfTrue="1" operator="lessThan">
      <formula>0</formula>
    </cfRule>
  </conditionalFormatting>
  <conditionalFormatting sqref="BB93:BB94">
    <cfRule type="cellIs" dxfId="384" priority="481" stopIfTrue="1" operator="lessThan">
      <formula>0</formula>
    </cfRule>
  </conditionalFormatting>
  <conditionalFormatting sqref="BB92">
    <cfRule type="cellIs" dxfId="383" priority="482" stopIfTrue="1" operator="lessThan">
      <formula>0</formula>
    </cfRule>
  </conditionalFormatting>
  <conditionalFormatting sqref="BB96">
    <cfRule type="cellIs" dxfId="382" priority="480" stopIfTrue="1" operator="lessThan">
      <formula>0</formula>
    </cfRule>
  </conditionalFormatting>
  <conditionalFormatting sqref="BB95">
    <cfRule type="cellIs" dxfId="381" priority="479" stopIfTrue="1" operator="lessThan">
      <formula>0</formula>
    </cfRule>
  </conditionalFormatting>
  <conditionalFormatting sqref="BB97:BB98">
    <cfRule type="cellIs" dxfId="380" priority="478" stopIfTrue="1" operator="lessThan">
      <formula>0</formula>
    </cfRule>
  </conditionalFormatting>
  <conditionalFormatting sqref="BC80:BC81">
    <cfRule type="cellIs" dxfId="379" priority="477" stopIfTrue="1" operator="lessThan">
      <formula>0</formula>
    </cfRule>
  </conditionalFormatting>
  <conditionalFormatting sqref="BC79">
    <cfRule type="cellIs" dxfId="378" priority="476" stopIfTrue="1" operator="lessThan">
      <formula>0</formula>
    </cfRule>
  </conditionalFormatting>
  <conditionalFormatting sqref="BC68:BC71">
    <cfRule type="cellIs" dxfId="377" priority="475" stopIfTrue="1" operator="lessThan">
      <formula>0</formula>
    </cfRule>
  </conditionalFormatting>
  <conditionalFormatting sqref="BC73:BC77">
    <cfRule type="cellIs" dxfId="376" priority="474" stopIfTrue="1" operator="lessThan">
      <formula>0</formula>
    </cfRule>
  </conditionalFormatting>
  <conditionalFormatting sqref="BC78">
    <cfRule type="cellIs" dxfId="375" priority="473" stopIfTrue="1" operator="lessThan">
      <formula>0</formula>
    </cfRule>
  </conditionalFormatting>
  <conditionalFormatting sqref="BC72">
    <cfRule type="cellIs" dxfId="374" priority="472" stopIfTrue="1" operator="lessThan">
      <formula>0</formula>
    </cfRule>
  </conditionalFormatting>
  <conditionalFormatting sqref="BC69">
    <cfRule type="cellIs" dxfId="373" priority="471" stopIfTrue="1" operator="lessThan">
      <formula>0</formula>
    </cfRule>
  </conditionalFormatting>
  <conditionalFormatting sqref="BC69">
    <cfRule type="cellIs" dxfId="372" priority="470" stopIfTrue="1" operator="lessThan">
      <formula>0</formula>
    </cfRule>
  </conditionalFormatting>
  <conditionalFormatting sqref="BC70">
    <cfRule type="cellIs" dxfId="371" priority="469" stopIfTrue="1" operator="lessThan">
      <formula>0</formula>
    </cfRule>
  </conditionalFormatting>
  <conditionalFormatting sqref="BC70">
    <cfRule type="cellIs" dxfId="370" priority="468" stopIfTrue="1" operator="lessThan">
      <formula>0</formula>
    </cfRule>
  </conditionalFormatting>
  <conditionalFormatting sqref="BC71">
    <cfRule type="cellIs" dxfId="369" priority="467" stopIfTrue="1" operator="lessThan">
      <formula>0</formula>
    </cfRule>
  </conditionalFormatting>
  <conditionalFormatting sqref="BC71">
    <cfRule type="cellIs" dxfId="368" priority="466" stopIfTrue="1" operator="lessThan">
      <formula>0</formula>
    </cfRule>
  </conditionalFormatting>
  <conditionalFormatting sqref="BC72">
    <cfRule type="cellIs" dxfId="367" priority="465" stopIfTrue="1" operator="lessThan">
      <formula>0</formula>
    </cfRule>
  </conditionalFormatting>
  <conditionalFormatting sqref="BC72">
    <cfRule type="cellIs" dxfId="366" priority="464" stopIfTrue="1" operator="lessThan">
      <formula>0</formula>
    </cfRule>
  </conditionalFormatting>
  <conditionalFormatting sqref="BC77">
    <cfRule type="cellIs" dxfId="365" priority="463" stopIfTrue="1" operator="lessThan">
      <formula>0</formula>
    </cfRule>
  </conditionalFormatting>
  <conditionalFormatting sqref="BC77">
    <cfRule type="cellIs" dxfId="364" priority="462" stopIfTrue="1" operator="lessThan">
      <formula>0</formula>
    </cfRule>
  </conditionalFormatting>
  <conditionalFormatting sqref="BC78">
    <cfRule type="cellIs" dxfId="363" priority="461" stopIfTrue="1" operator="lessThan">
      <formula>0</formula>
    </cfRule>
  </conditionalFormatting>
  <conditionalFormatting sqref="BC78">
    <cfRule type="cellIs" dxfId="362" priority="460" stopIfTrue="1" operator="lessThan">
      <formula>0</formula>
    </cfRule>
  </conditionalFormatting>
  <conditionalFormatting sqref="BC79">
    <cfRule type="cellIs" dxfId="361" priority="459" stopIfTrue="1" operator="lessThan">
      <formula>0</formula>
    </cfRule>
  </conditionalFormatting>
  <conditionalFormatting sqref="BC79">
    <cfRule type="cellIs" dxfId="360" priority="458" stopIfTrue="1" operator="lessThan">
      <formula>0</formula>
    </cfRule>
  </conditionalFormatting>
  <conditionalFormatting sqref="BC80:BC81">
    <cfRule type="cellIs" dxfId="359" priority="457" stopIfTrue="1" operator="lessThan">
      <formula>0</formula>
    </cfRule>
  </conditionalFormatting>
  <conditionalFormatting sqref="BC68">
    <cfRule type="cellIs" dxfId="358" priority="456" stopIfTrue="1" operator="lessThan">
      <formula>0</formula>
    </cfRule>
  </conditionalFormatting>
  <conditionalFormatting sqref="BC68">
    <cfRule type="cellIs" dxfId="357" priority="455" stopIfTrue="1" operator="lessThan">
      <formula>0</formula>
    </cfRule>
  </conditionalFormatting>
  <conditionalFormatting sqref="BC73:BC76">
    <cfRule type="cellIs" dxfId="356" priority="454" stopIfTrue="1" operator="lessThan">
      <formula>0</formula>
    </cfRule>
  </conditionalFormatting>
  <conditionalFormatting sqref="BC73:BC76">
    <cfRule type="cellIs" dxfId="355" priority="453" stopIfTrue="1" operator="lessThan">
      <formula>0</formula>
    </cfRule>
  </conditionalFormatting>
  <conditionalFormatting sqref="BC82:BC84">
    <cfRule type="cellIs" dxfId="354" priority="452" stopIfTrue="1" operator="lessThan">
      <formula>0</formula>
    </cfRule>
  </conditionalFormatting>
  <conditionalFormatting sqref="BC87:BC90">
    <cfRule type="cellIs" dxfId="353" priority="451" stopIfTrue="1" operator="lessThan">
      <formula>0</formula>
    </cfRule>
  </conditionalFormatting>
  <conditionalFormatting sqref="BC91">
    <cfRule type="cellIs" dxfId="352" priority="450" stopIfTrue="1" operator="lessThan">
      <formula>0</formula>
    </cfRule>
  </conditionalFormatting>
  <conditionalFormatting sqref="BC83">
    <cfRule type="cellIs" dxfId="351" priority="449" stopIfTrue="1" operator="lessThan">
      <formula>0</formula>
    </cfRule>
  </conditionalFormatting>
  <conditionalFormatting sqref="BC84">
    <cfRule type="cellIs" dxfId="350" priority="448" stopIfTrue="1" operator="lessThan">
      <formula>0</formula>
    </cfRule>
  </conditionalFormatting>
  <conditionalFormatting sqref="BC85">
    <cfRule type="cellIs" dxfId="349" priority="447" stopIfTrue="1" operator="lessThan">
      <formula>0</formula>
    </cfRule>
  </conditionalFormatting>
  <conditionalFormatting sqref="BC86">
    <cfRule type="cellIs" dxfId="348" priority="446" stopIfTrue="1" operator="lessThan">
      <formula>0</formula>
    </cfRule>
  </conditionalFormatting>
  <conditionalFormatting sqref="BC85">
    <cfRule type="cellIs" dxfId="347" priority="445" stopIfTrue="1" operator="lessThan">
      <formula>0</formula>
    </cfRule>
  </conditionalFormatting>
  <conditionalFormatting sqref="BC86">
    <cfRule type="cellIs" dxfId="346" priority="444" stopIfTrue="1" operator="lessThan">
      <formula>0</formula>
    </cfRule>
  </conditionalFormatting>
  <conditionalFormatting sqref="BC88">
    <cfRule type="cellIs" dxfId="345" priority="443" stopIfTrue="1" operator="lessThan">
      <formula>0</formula>
    </cfRule>
  </conditionalFormatting>
  <conditionalFormatting sqref="BC89:BC90">
    <cfRule type="cellIs" dxfId="344" priority="442" stopIfTrue="1" operator="lessThan">
      <formula>0</formula>
    </cfRule>
  </conditionalFormatting>
  <conditionalFormatting sqref="BC91">
    <cfRule type="cellIs" dxfId="343" priority="441" stopIfTrue="1" operator="lessThan">
      <formula>0</formula>
    </cfRule>
  </conditionalFormatting>
  <conditionalFormatting sqref="BC82">
    <cfRule type="cellIs" dxfId="342" priority="440" stopIfTrue="1" operator="lessThan">
      <formula>0</formula>
    </cfRule>
  </conditionalFormatting>
  <conditionalFormatting sqref="BC87">
    <cfRule type="cellIs" dxfId="341" priority="439" stopIfTrue="1" operator="lessThan">
      <formula>0</formula>
    </cfRule>
  </conditionalFormatting>
  <conditionalFormatting sqref="BC92">
    <cfRule type="cellIs" dxfId="340" priority="438" stopIfTrue="1" operator="lessThan">
      <formula>0</formula>
    </cfRule>
  </conditionalFormatting>
  <conditionalFormatting sqref="BC93:BC94">
    <cfRule type="cellIs" dxfId="339" priority="437" stopIfTrue="1" operator="lessThan">
      <formula>0</formula>
    </cfRule>
  </conditionalFormatting>
  <conditionalFormatting sqref="BC93:BC94">
    <cfRule type="cellIs" dxfId="338" priority="435" stopIfTrue="1" operator="lessThan">
      <formula>0</formula>
    </cfRule>
  </conditionalFormatting>
  <conditionalFormatting sqref="BC92">
    <cfRule type="cellIs" dxfId="337" priority="436" stopIfTrue="1" operator="lessThan">
      <formula>0</formula>
    </cfRule>
  </conditionalFormatting>
  <conditionalFormatting sqref="BC95:BC98">
    <cfRule type="cellIs" dxfId="336" priority="434" stopIfTrue="1" operator="lessThan">
      <formula>0</formula>
    </cfRule>
  </conditionalFormatting>
  <conditionalFormatting sqref="BC96">
    <cfRule type="cellIs" dxfId="335" priority="433" stopIfTrue="1" operator="lessThan">
      <formula>0</formula>
    </cfRule>
  </conditionalFormatting>
  <conditionalFormatting sqref="BC95">
    <cfRule type="cellIs" dxfId="334" priority="432" stopIfTrue="1" operator="lessThan">
      <formula>0</formula>
    </cfRule>
  </conditionalFormatting>
  <conditionalFormatting sqref="BC97:BC98">
    <cfRule type="cellIs" dxfId="333" priority="431" stopIfTrue="1" operator="lessThan">
      <formula>0</formula>
    </cfRule>
  </conditionalFormatting>
  <conditionalFormatting sqref="BC80:BC81">
    <cfRule type="cellIs" dxfId="332" priority="430" stopIfTrue="1" operator="lessThan">
      <formula>0</formula>
    </cfRule>
  </conditionalFormatting>
  <conditionalFormatting sqref="BC79">
    <cfRule type="cellIs" dxfId="331" priority="429" stopIfTrue="1" operator="lessThan">
      <formula>0</formula>
    </cfRule>
  </conditionalFormatting>
  <conditionalFormatting sqref="BC68:BC71">
    <cfRule type="cellIs" dxfId="330" priority="428" stopIfTrue="1" operator="lessThan">
      <formula>0</formula>
    </cfRule>
  </conditionalFormatting>
  <conditionalFormatting sqref="BC73:BC77">
    <cfRule type="cellIs" dxfId="329" priority="427" stopIfTrue="1" operator="lessThan">
      <formula>0</formula>
    </cfRule>
  </conditionalFormatting>
  <conditionalFormatting sqref="BC82:BC84">
    <cfRule type="cellIs" dxfId="328" priority="426" stopIfTrue="1" operator="lessThan">
      <formula>0</formula>
    </cfRule>
  </conditionalFormatting>
  <conditionalFormatting sqref="BC87:BC90">
    <cfRule type="cellIs" dxfId="327" priority="425" stopIfTrue="1" operator="lessThan">
      <formula>0</formula>
    </cfRule>
  </conditionalFormatting>
  <conditionalFormatting sqref="BC78">
    <cfRule type="cellIs" dxfId="326" priority="424" stopIfTrue="1" operator="lessThan">
      <formula>0</formula>
    </cfRule>
  </conditionalFormatting>
  <conditionalFormatting sqref="BC72">
    <cfRule type="cellIs" dxfId="325" priority="423" stopIfTrue="1" operator="lessThan">
      <formula>0</formula>
    </cfRule>
  </conditionalFormatting>
  <conditionalFormatting sqref="BC91">
    <cfRule type="cellIs" dxfId="324" priority="422" stopIfTrue="1" operator="lessThan">
      <formula>0</formula>
    </cfRule>
  </conditionalFormatting>
  <conditionalFormatting sqref="BC69">
    <cfRule type="cellIs" dxfId="323" priority="421" stopIfTrue="1" operator="lessThan">
      <formula>0</formula>
    </cfRule>
  </conditionalFormatting>
  <conditionalFormatting sqref="BC69">
    <cfRule type="cellIs" dxfId="322" priority="420" stopIfTrue="1" operator="lessThan">
      <formula>0</formula>
    </cfRule>
  </conditionalFormatting>
  <conditionalFormatting sqref="BC70">
    <cfRule type="cellIs" dxfId="321" priority="419" stopIfTrue="1" operator="lessThan">
      <formula>0</formula>
    </cfRule>
  </conditionalFormatting>
  <conditionalFormatting sqref="BC70">
    <cfRule type="cellIs" dxfId="320" priority="418" stopIfTrue="1" operator="lessThan">
      <formula>0</formula>
    </cfRule>
  </conditionalFormatting>
  <conditionalFormatting sqref="BC71">
    <cfRule type="cellIs" dxfId="319" priority="417" stopIfTrue="1" operator="lessThan">
      <formula>0</formula>
    </cfRule>
  </conditionalFormatting>
  <conditionalFormatting sqref="BC71">
    <cfRule type="cellIs" dxfId="318" priority="416" stopIfTrue="1" operator="lessThan">
      <formula>0</formula>
    </cfRule>
  </conditionalFormatting>
  <conditionalFormatting sqref="BC72">
    <cfRule type="cellIs" dxfId="317" priority="415" stopIfTrue="1" operator="lessThan">
      <formula>0</formula>
    </cfRule>
  </conditionalFormatting>
  <conditionalFormatting sqref="BC72">
    <cfRule type="cellIs" dxfId="316" priority="414" stopIfTrue="1" operator="lessThan">
      <formula>0</formula>
    </cfRule>
  </conditionalFormatting>
  <conditionalFormatting sqref="BC77">
    <cfRule type="cellIs" dxfId="315" priority="413" stopIfTrue="1" operator="lessThan">
      <formula>0</formula>
    </cfRule>
  </conditionalFormatting>
  <conditionalFormatting sqref="BC77">
    <cfRule type="cellIs" dxfId="314" priority="412" stopIfTrue="1" operator="lessThan">
      <formula>0</formula>
    </cfRule>
  </conditionalFormatting>
  <conditionalFormatting sqref="BC78">
    <cfRule type="cellIs" dxfId="313" priority="411" stopIfTrue="1" operator="lessThan">
      <formula>0</formula>
    </cfRule>
  </conditionalFormatting>
  <conditionalFormatting sqref="BC78">
    <cfRule type="cellIs" dxfId="312" priority="410" stopIfTrue="1" operator="lessThan">
      <formula>0</formula>
    </cfRule>
  </conditionalFormatting>
  <conditionalFormatting sqref="BC79">
    <cfRule type="cellIs" dxfId="311" priority="409" stopIfTrue="1" operator="lessThan">
      <formula>0</formula>
    </cfRule>
  </conditionalFormatting>
  <conditionalFormatting sqref="BC79">
    <cfRule type="cellIs" dxfId="310" priority="408" stopIfTrue="1" operator="lessThan">
      <formula>0</formula>
    </cfRule>
  </conditionalFormatting>
  <conditionalFormatting sqref="BC80:BC81">
    <cfRule type="cellIs" dxfId="309" priority="407" stopIfTrue="1" operator="lessThan">
      <formula>0</formula>
    </cfRule>
  </conditionalFormatting>
  <conditionalFormatting sqref="BC83">
    <cfRule type="cellIs" dxfId="308" priority="406" stopIfTrue="1" operator="lessThan">
      <formula>0</formula>
    </cfRule>
  </conditionalFormatting>
  <conditionalFormatting sqref="BC84">
    <cfRule type="cellIs" dxfId="307" priority="405" stopIfTrue="1" operator="lessThan">
      <formula>0</formula>
    </cfRule>
  </conditionalFormatting>
  <conditionalFormatting sqref="BC85">
    <cfRule type="cellIs" dxfId="306" priority="404" stopIfTrue="1" operator="lessThan">
      <formula>0</formula>
    </cfRule>
  </conditionalFormatting>
  <conditionalFormatting sqref="BC86">
    <cfRule type="cellIs" dxfId="305" priority="403" stopIfTrue="1" operator="lessThan">
      <formula>0</formula>
    </cfRule>
  </conditionalFormatting>
  <conditionalFormatting sqref="BC85">
    <cfRule type="cellIs" dxfId="304" priority="402" stopIfTrue="1" operator="lessThan">
      <formula>0</formula>
    </cfRule>
  </conditionalFormatting>
  <conditionalFormatting sqref="BC86">
    <cfRule type="cellIs" dxfId="303" priority="401" stopIfTrue="1" operator="lessThan">
      <formula>0</formula>
    </cfRule>
  </conditionalFormatting>
  <conditionalFormatting sqref="BC88">
    <cfRule type="cellIs" dxfId="302" priority="400" stopIfTrue="1" operator="lessThan">
      <formula>0</formula>
    </cfRule>
  </conditionalFormatting>
  <conditionalFormatting sqref="BC89:BC90">
    <cfRule type="cellIs" dxfId="301" priority="399" stopIfTrue="1" operator="lessThan">
      <formula>0</formula>
    </cfRule>
  </conditionalFormatting>
  <conditionalFormatting sqref="BC91">
    <cfRule type="cellIs" dxfId="300" priority="398" stopIfTrue="1" operator="lessThan">
      <formula>0</formula>
    </cfRule>
  </conditionalFormatting>
  <conditionalFormatting sqref="BC68">
    <cfRule type="cellIs" dxfId="299" priority="397" stopIfTrue="1" operator="lessThan">
      <formula>0</formula>
    </cfRule>
  </conditionalFormatting>
  <conditionalFormatting sqref="BC68">
    <cfRule type="cellIs" dxfId="298" priority="396" stopIfTrue="1" operator="lessThan">
      <formula>0</formula>
    </cfRule>
  </conditionalFormatting>
  <conditionalFormatting sqref="BC73:BC76">
    <cfRule type="cellIs" dxfId="297" priority="395" stopIfTrue="1" operator="lessThan">
      <formula>0</formula>
    </cfRule>
  </conditionalFormatting>
  <conditionalFormatting sqref="BC73:BC76">
    <cfRule type="cellIs" dxfId="296" priority="394" stopIfTrue="1" operator="lessThan">
      <formula>0</formula>
    </cfRule>
  </conditionalFormatting>
  <conditionalFormatting sqref="BC82">
    <cfRule type="cellIs" dxfId="295" priority="393" stopIfTrue="1" operator="lessThan">
      <formula>0</formula>
    </cfRule>
  </conditionalFormatting>
  <conditionalFormatting sqref="BC87">
    <cfRule type="cellIs" dxfId="294" priority="392" stopIfTrue="1" operator="lessThan">
      <formula>0</formula>
    </cfRule>
  </conditionalFormatting>
  <conditionalFormatting sqref="BC95:BC98">
    <cfRule type="cellIs" dxfId="293" priority="391" stopIfTrue="1" operator="lessThan">
      <formula>0</formula>
    </cfRule>
  </conditionalFormatting>
  <conditionalFormatting sqref="BC92">
    <cfRule type="cellIs" dxfId="292" priority="390" stopIfTrue="1" operator="lessThan">
      <formula>0</formula>
    </cfRule>
  </conditionalFormatting>
  <conditionalFormatting sqref="BC93:BC94">
    <cfRule type="cellIs" dxfId="291" priority="389" stopIfTrue="1" operator="lessThan">
      <formula>0</formula>
    </cfRule>
  </conditionalFormatting>
  <conditionalFormatting sqref="BC93:BC94">
    <cfRule type="cellIs" dxfId="290" priority="387" stopIfTrue="1" operator="lessThan">
      <formula>0</formula>
    </cfRule>
  </conditionalFormatting>
  <conditionalFormatting sqref="BC92">
    <cfRule type="cellIs" dxfId="289" priority="388" stopIfTrue="1" operator="lessThan">
      <formula>0</formula>
    </cfRule>
  </conditionalFormatting>
  <conditionalFormatting sqref="BC96">
    <cfRule type="cellIs" dxfId="288" priority="386" stopIfTrue="1" operator="lessThan">
      <formula>0</formula>
    </cfRule>
  </conditionalFormatting>
  <conditionalFormatting sqref="BC95">
    <cfRule type="cellIs" dxfId="287" priority="385" stopIfTrue="1" operator="lessThan">
      <formula>0</formula>
    </cfRule>
  </conditionalFormatting>
  <conditionalFormatting sqref="BC97:BC98">
    <cfRule type="cellIs" dxfId="286" priority="384" stopIfTrue="1" operator="lessThan">
      <formula>0</formula>
    </cfRule>
  </conditionalFormatting>
  <conditionalFormatting sqref="BE80:BE81">
    <cfRule type="cellIs" dxfId="285" priority="324" stopIfTrue="1" operator="lessThan">
      <formula>0</formula>
    </cfRule>
  </conditionalFormatting>
  <conditionalFormatting sqref="BE79">
    <cfRule type="cellIs" dxfId="284" priority="323" stopIfTrue="1" operator="lessThan">
      <formula>0</formula>
    </cfRule>
  </conditionalFormatting>
  <conditionalFormatting sqref="BE68:BE71">
    <cfRule type="cellIs" dxfId="283" priority="322" stopIfTrue="1" operator="lessThan">
      <formula>0</formula>
    </cfRule>
  </conditionalFormatting>
  <conditionalFormatting sqref="BE73:BE77">
    <cfRule type="cellIs" dxfId="282" priority="321" stopIfTrue="1" operator="lessThan">
      <formula>0</formula>
    </cfRule>
  </conditionalFormatting>
  <conditionalFormatting sqref="BE78">
    <cfRule type="cellIs" dxfId="281" priority="320" stopIfTrue="1" operator="lessThan">
      <formula>0</formula>
    </cfRule>
  </conditionalFormatting>
  <conditionalFormatting sqref="BE72">
    <cfRule type="cellIs" dxfId="280" priority="319" stopIfTrue="1" operator="lessThan">
      <formula>0</formula>
    </cfRule>
  </conditionalFormatting>
  <conditionalFormatting sqref="BE79">
    <cfRule type="cellIs" dxfId="279" priority="318" stopIfTrue="1" operator="lessThan">
      <formula>0</formula>
    </cfRule>
  </conditionalFormatting>
  <conditionalFormatting sqref="BE68:BE71">
    <cfRule type="cellIs" dxfId="278" priority="317" stopIfTrue="1" operator="lessThan">
      <formula>0</formula>
    </cfRule>
  </conditionalFormatting>
  <conditionalFormatting sqref="BE73:BE77">
    <cfRule type="cellIs" dxfId="277" priority="316" stopIfTrue="1" operator="lessThan">
      <formula>0</formula>
    </cfRule>
  </conditionalFormatting>
  <conditionalFormatting sqref="BE78">
    <cfRule type="cellIs" dxfId="276" priority="315" stopIfTrue="1" operator="lessThan">
      <formula>0</formula>
    </cfRule>
  </conditionalFormatting>
  <conditionalFormatting sqref="BE72">
    <cfRule type="cellIs" dxfId="275" priority="314" stopIfTrue="1" operator="lessThan">
      <formula>0</formula>
    </cfRule>
  </conditionalFormatting>
  <conditionalFormatting sqref="BE69">
    <cfRule type="cellIs" dxfId="274" priority="313" stopIfTrue="1" operator="lessThan">
      <formula>0</formula>
    </cfRule>
  </conditionalFormatting>
  <conditionalFormatting sqref="BE69">
    <cfRule type="cellIs" dxfId="273" priority="312" stopIfTrue="1" operator="lessThan">
      <formula>0</formula>
    </cfRule>
  </conditionalFormatting>
  <conditionalFormatting sqref="BE70">
    <cfRule type="cellIs" dxfId="272" priority="311" stopIfTrue="1" operator="lessThan">
      <formula>0</formula>
    </cfRule>
  </conditionalFormatting>
  <conditionalFormatting sqref="BE70">
    <cfRule type="cellIs" dxfId="271" priority="310" stopIfTrue="1" operator="lessThan">
      <formula>0</formula>
    </cfRule>
  </conditionalFormatting>
  <conditionalFormatting sqref="BE71">
    <cfRule type="cellIs" dxfId="270" priority="309" stopIfTrue="1" operator="lessThan">
      <formula>0</formula>
    </cfRule>
  </conditionalFormatting>
  <conditionalFormatting sqref="BE71">
    <cfRule type="cellIs" dxfId="269" priority="308" stopIfTrue="1" operator="lessThan">
      <formula>0</formula>
    </cfRule>
  </conditionalFormatting>
  <conditionalFormatting sqref="BE72">
    <cfRule type="cellIs" dxfId="268" priority="307" stopIfTrue="1" operator="lessThan">
      <formula>0</formula>
    </cfRule>
  </conditionalFormatting>
  <conditionalFormatting sqref="BE72">
    <cfRule type="cellIs" dxfId="267" priority="306" stopIfTrue="1" operator="lessThan">
      <formula>0</formula>
    </cfRule>
  </conditionalFormatting>
  <conditionalFormatting sqref="BE77">
    <cfRule type="cellIs" dxfId="266" priority="305" stopIfTrue="1" operator="lessThan">
      <formula>0</formula>
    </cfRule>
  </conditionalFormatting>
  <conditionalFormatting sqref="BE77">
    <cfRule type="cellIs" dxfId="265" priority="304" stopIfTrue="1" operator="lessThan">
      <formula>0</formula>
    </cfRule>
  </conditionalFormatting>
  <conditionalFormatting sqref="BE78">
    <cfRule type="cellIs" dxfId="264" priority="303" stopIfTrue="1" operator="lessThan">
      <formula>0</formula>
    </cfRule>
  </conditionalFormatting>
  <conditionalFormatting sqref="BE78">
    <cfRule type="cellIs" dxfId="263" priority="302" stopIfTrue="1" operator="lessThan">
      <formula>0</formula>
    </cfRule>
  </conditionalFormatting>
  <conditionalFormatting sqref="BE79">
    <cfRule type="cellIs" dxfId="262" priority="301" stopIfTrue="1" operator="lessThan">
      <formula>0</formula>
    </cfRule>
  </conditionalFormatting>
  <conditionalFormatting sqref="BE79">
    <cfRule type="cellIs" dxfId="261" priority="300" stopIfTrue="1" operator="lessThan">
      <formula>0</formula>
    </cfRule>
  </conditionalFormatting>
  <conditionalFormatting sqref="BE68">
    <cfRule type="cellIs" dxfId="260" priority="299" stopIfTrue="1" operator="lessThan">
      <formula>0</formula>
    </cfRule>
  </conditionalFormatting>
  <conditionalFormatting sqref="BE68">
    <cfRule type="cellIs" dxfId="259" priority="298" stopIfTrue="1" operator="lessThan">
      <formula>0</formula>
    </cfRule>
  </conditionalFormatting>
  <conditionalFormatting sqref="BE73:BE76">
    <cfRule type="cellIs" dxfId="258" priority="297" stopIfTrue="1" operator="lessThan">
      <formula>0</formula>
    </cfRule>
  </conditionalFormatting>
  <conditionalFormatting sqref="BE73:BE76">
    <cfRule type="cellIs" dxfId="257" priority="296" stopIfTrue="1" operator="lessThan">
      <formula>0</formula>
    </cfRule>
  </conditionalFormatting>
  <conditionalFormatting sqref="BE80:BE81">
    <cfRule type="cellIs" dxfId="256" priority="295" stopIfTrue="1" operator="lessThan">
      <formula>0</formula>
    </cfRule>
  </conditionalFormatting>
  <conditionalFormatting sqref="BE80:BE81">
    <cfRule type="cellIs" dxfId="255" priority="294" stopIfTrue="1" operator="lessThan">
      <formula>0</formula>
    </cfRule>
  </conditionalFormatting>
  <conditionalFormatting sqref="BE82:BE85">
    <cfRule type="cellIs" dxfId="254" priority="293" stopIfTrue="1" operator="lessThan">
      <formula>0</formula>
    </cfRule>
  </conditionalFormatting>
  <conditionalFormatting sqref="BE87:BE90">
    <cfRule type="cellIs" dxfId="253" priority="292" stopIfTrue="1" operator="lessThan">
      <formula>0</formula>
    </cfRule>
  </conditionalFormatting>
  <conditionalFormatting sqref="BE86">
    <cfRule type="cellIs" dxfId="252" priority="291" stopIfTrue="1" operator="lessThan">
      <formula>0</formula>
    </cfRule>
  </conditionalFormatting>
  <conditionalFormatting sqref="BE91">
    <cfRule type="cellIs" dxfId="251" priority="290" stopIfTrue="1" operator="lessThan">
      <formula>0</formula>
    </cfRule>
  </conditionalFormatting>
  <conditionalFormatting sqref="BE82:BE84">
    <cfRule type="cellIs" dxfId="250" priority="289" stopIfTrue="1" operator="lessThan">
      <formula>0</formula>
    </cfRule>
  </conditionalFormatting>
  <conditionalFormatting sqref="BE87:BE90">
    <cfRule type="cellIs" dxfId="249" priority="288" stopIfTrue="1" operator="lessThan">
      <formula>0</formula>
    </cfRule>
  </conditionalFormatting>
  <conditionalFormatting sqref="BE91">
    <cfRule type="cellIs" dxfId="248" priority="287" stopIfTrue="1" operator="lessThan">
      <formula>0</formula>
    </cfRule>
  </conditionalFormatting>
  <conditionalFormatting sqref="BE83">
    <cfRule type="cellIs" dxfId="247" priority="286" stopIfTrue="1" operator="lessThan">
      <formula>0</formula>
    </cfRule>
  </conditionalFormatting>
  <conditionalFormatting sqref="BE84">
    <cfRule type="cellIs" dxfId="246" priority="285" stopIfTrue="1" operator="lessThan">
      <formula>0</formula>
    </cfRule>
  </conditionalFormatting>
  <conditionalFormatting sqref="BE85">
    <cfRule type="cellIs" dxfId="245" priority="284" stopIfTrue="1" operator="lessThan">
      <formula>0</formula>
    </cfRule>
  </conditionalFormatting>
  <conditionalFormatting sqref="BE86">
    <cfRule type="cellIs" dxfId="244" priority="283" stopIfTrue="1" operator="lessThan">
      <formula>0</formula>
    </cfRule>
  </conditionalFormatting>
  <conditionalFormatting sqref="BE85">
    <cfRule type="cellIs" dxfId="243" priority="282" stopIfTrue="1" operator="lessThan">
      <formula>0</formula>
    </cfRule>
  </conditionalFormatting>
  <conditionalFormatting sqref="BE86">
    <cfRule type="cellIs" dxfId="242" priority="281" stopIfTrue="1" operator="lessThan">
      <formula>0</formula>
    </cfRule>
  </conditionalFormatting>
  <conditionalFormatting sqref="BE88">
    <cfRule type="cellIs" dxfId="241" priority="280" stopIfTrue="1" operator="lessThan">
      <formula>0</formula>
    </cfRule>
  </conditionalFormatting>
  <conditionalFormatting sqref="BE89:BE90">
    <cfRule type="cellIs" dxfId="240" priority="279" stopIfTrue="1" operator="lessThan">
      <formula>0</formula>
    </cfRule>
  </conditionalFormatting>
  <conditionalFormatting sqref="BE91">
    <cfRule type="cellIs" dxfId="239" priority="278" stopIfTrue="1" operator="lessThan">
      <formula>0</formula>
    </cfRule>
  </conditionalFormatting>
  <conditionalFormatting sqref="BE82">
    <cfRule type="cellIs" dxfId="238" priority="277" stopIfTrue="1" operator="lessThan">
      <formula>0</formula>
    </cfRule>
  </conditionalFormatting>
  <conditionalFormatting sqref="BE87">
    <cfRule type="cellIs" dxfId="237" priority="276" stopIfTrue="1" operator="lessThan">
      <formula>0</formula>
    </cfRule>
  </conditionalFormatting>
  <conditionalFormatting sqref="BE92">
    <cfRule type="cellIs" dxfId="236" priority="275" stopIfTrue="1" operator="lessThan">
      <formula>0</formula>
    </cfRule>
  </conditionalFormatting>
  <conditionalFormatting sqref="BE93:BE98">
    <cfRule type="cellIs" dxfId="235" priority="274" stopIfTrue="1" operator="lessThan">
      <formula>0</formula>
    </cfRule>
  </conditionalFormatting>
  <conditionalFormatting sqref="BE92">
    <cfRule type="cellIs" dxfId="234" priority="273" stopIfTrue="1" operator="lessThan">
      <formula>0</formula>
    </cfRule>
  </conditionalFormatting>
  <conditionalFormatting sqref="BE93:BE94">
    <cfRule type="cellIs" dxfId="233" priority="272" stopIfTrue="1" operator="lessThan">
      <formula>0</formula>
    </cfRule>
  </conditionalFormatting>
  <conditionalFormatting sqref="BE93:BE94">
    <cfRule type="cellIs" dxfId="232" priority="270" stopIfTrue="1" operator="lessThan">
      <formula>0</formula>
    </cfRule>
  </conditionalFormatting>
  <conditionalFormatting sqref="BE92">
    <cfRule type="cellIs" dxfId="231" priority="271" stopIfTrue="1" operator="lessThan">
      <formula>0</formula>
    </cfRule>
  </conditionalFormatting>
  <conditionalFormatting sqref="BE95:BE98">
    <cfRule type="cellIs" dxfId="230" priority="269" stopIfTrue="1" operator="lessThan">
      <formula>0</formula>
    </cfRule>
  </conditionalFormatting>
  <conditionalFormatting sqref="BE96">
    <cfRule type="cellIs" dxfId="229" priority="268" stopIfTrue="1" operator="lessThan">
      <formula>0</formula>
    </cfRule>
  </conditionalFormatting>
  <conditionalFormatting sqref="BE95">
    <cfRule type="cellIs" dxfId="228" priority="267" stopIfTrue="1" operator="lessThan">
      <formula>0</formula>
    </cfRule>
  </conditionalFormatting>
  <conditionalFormatting sqref="BE97:BE98">
    <cfRule type="cellIs" dxfId="227" priority="266" stopIfTrue="1" operator="lessThan">
      <formula>0</formula>
    </cfRule>
  </conditionalFormatting>
  <conditionalFormatting sqref="BF80:BF81">
    <cfRule type="cellIs" dxfId="226" priority="265" stopIfTrue="1" operator="lessThan">
      <formula>0</formula>
    </cfRule>
  </conditionalFormatting>
  <conditionalFormatting sqref="BF79">
    <cfRule type="cellIs" dxfId="225" priority="264" stopIfTrue="1" operator="lessThan">
      <formula>0</formula>
    </cfRule>
  </conditionalFormatting>
  <conditionalFormatting sqref="BF68:BF71">
    <cfRule type="cellIs" dxfId="224" priority="263" stopIfTrue="1" operator="lessThan">
      <formula>0</formula>
    </cfRule>
  </conditionalFormatting>
  <conditionalFormatting sqref="BF73:BF77">
    <cfRule type="cellIs" dxfId="223" priority="262" stopIfTrue="1" operator="lessThan">
      <formula>0</formula>
    </cfRule>
  </conditionalFormatting>
  <conditionalFormatting sqref="BF78">
    <cfRule type="cellIs" dxfId="222" priority="261" stopIfTrue="1" operator="lessThan">
      <formula>0</formula>
    </cfRule>
  </conditionalFormatting>
  <conditionalFormatting sqref="BF72">
    <cfRule type="cellIs" dxfId="221" priority="260" stopIfTrue="1" operator="lessThan">
      <formula>0</formula>
    </cfRule>
  </conditionalFormatting>
  <conditionalFormatting sqref="BF79">
    <cfRule type="cellIs" dxfId="220" priority="259" stopIfTrue="1" operator="lessThan">
      <formula>0</formula>
    </cfRule>
  </conditionalFormatting>
  <conditionalFormatting sqref="BF68:BF71">
    <cfRule type="cellIs" dxfId="219" priority="258" stopIfTrue="1" operator="lessThan">
      <formula>0</formula>
    </cfRule>
  </conditionalFormatting>
  <conditionalFormatting sqref="BF73:BF77">
    <cfRule type="cellIs" dxfId="218" priority="257" stopIfTrue="1" operator="lessThan">
      <formula>0</formula>
    </cfRule>
  </conditionalFormatting>
  <conditionalFormatting sqref="BF78">
    <cfRule type="cellIs" dxfId="217" priority="256" stopIfTrue="1" operator="lessThan">
      <formula>0</formula>
    </cfRule>
  </conditionalFormatting>
  <conditionalFormatting sqref="BF72">
    <cfRule type="cellIs" dxfId="216" priority="255" stopIfTrue="1" operator="lessThan">
      <formula>0</formula>
    </cfRule>
  </conditionalFormatting>
  <conditionalFormatting sqref="BF69">
    <cfRule type="cellIs" dxfId="215" priority="254" stopIfTrue="1" operator="lessThan">
      <formula>0</formula>
    </cfRule>
  </conditionalFormatting>
  <conditionalFormatting sqref="BF69">
    <cfRule type="cellIs" dxfId="214" priority="253" stopIfTrue="1" operator="lessThan">
      <formula>0</formula>
    </cfRule>
  </conditionalFormatting>
  <conditionalFormatting sqref="BF70">
    <cfRule type="cellIs" dxfId="213" priority="252" stopIfTrue="1" operator="lessThan">
      <formula>0</formula>
    </cfRule>
  </conditionalFormatting>
  <conditionalFormatting sqref="BF70">
    <cfRule type="cellIs" dxfId="212" priority="251" stopIfTrue="1" operator="lessThan">
      <formula>0</formula>
    </cfRule>
  </conditionalFormatting>
  <conditionalFormatting sqref="BF71">
    <cfRule type="cellIs" dxfId="211" priority="250" stopIfTrue="1" operator="lessThan">
      <formula>0</formula>
    </cfRule>
  </conditionalFormatting>
  <conditionalFormatting sqref="BF71">
    <cfRule type="cellIs" dxfId="210" priority="249" stopIfTrue="1" operator="lessThan">
      <formula>0</formula>
    </cfRule>
  </conditionalFormatting>
  <conditionalFormatting sqref="BF72">
    <cfRule type="cellIs" dxfId="209" priority="248" stopIfTrue="1" operator="lessThan">
      <formula>0</formula>
    </cfRule>
  </conditionalFormatting>
  <conditionalFormatting sqref="BF72">
    <cfRule type="cellIs" dxfId="208" priority="247" stopIfTrue="1" operator="lessThan">
      <formula>0</formula>
    </cfRule>
  </conditionalFormatting>
  <conditionalFormatting sqref="BF77">
    <cfRule type="cellIs" dxfId="207" priority="246" stopIfTrue="1" operator="lessThan">
      <formula>0</formula>
    </cfRule>
  </conditionalFormatting>
  <conditionalFormatting sqref="BF77">
    <cfRule type="cellIs" dxfId="206" priority="245" stopIfTrue="1" operator="lessThan">
      <formula>0</formula>
    </cfRule>
  </conditionalFormatting>
  <conditionalFormatting sqref="BF78">
    <cfRule type="cellIs" dxfId="205" priority="244" stopIfTrue="1" operator="lessThan">
      <formula>0</formula>
    </cfRule>
  </conditionalFormatting>
  <conditionalFormatting sqref="BF78">
    <cfRule type="cellIs" dxfId="204" priority="243" stopIfTrue="1" operator="lessThan">
      <formula>0</formula>
    </cfRule>
  </conditionalFormatting>
  <conditionalFormatting sqref="BF79">
    <cfRule type="cellIs" dxfId="203" priority="242" stopIfTrue="1" operator="lessThan">
      <formula>0</formula>
    </cfRule>
  </conditionalFormatting>
  <conditionalFormatting sqref="BF79">
    <cfRule type="cellIs" dxfId="202" priority="241" stopIfTrue="1" operator="lessThan">
      <formula>0</formula>
    </cfRule>
  </conditionalFormatting>
  <conditionalFormatting sqref="BF68">
    <cfRule type="cellIs" dxfId="201" priority="240" stopIfTrue="1" operator="lessThan">
      <formula>0</formula>
    </cfRule>
  </conditionalFormatting>
  <conditionalFormatting sqref="BF68">
    <cfRule type="cellIs" dxfId="200" priority="239" stopIfTrue="1" operator="lessThan">
      <formula>0</formula>
    </cfRule>
  </conditionalFormatting>
  <conditionalFormatting sqref="BF73:BF76">
    <cfRule type="cellIs" dxfId="199" priority="238" stopIfTrue="1" operator="lessThan">
      <formula>0</formula>
    </cfRule>
  </conditionalFormatting>
  <conditionalFormatting sqref="BF73:BF76">
    <cfRule type="cellIs" dxfId="198" priority="237" stopIfTrue="1" operator="lessThan">
      <formula>0</formula>
    </cfRule>
  </conditionalFormatting>
  <conditionalFormatting sqref="BF80:BF81">
    <cfRule type="cellIs" dxfId="197" priority="236" stopIfTrue="1" operator="lessThan">
      <formula>0</formula>
    </cfRule>
  </conditionalFormatting>
  <conditionalFormatting sqref="BF80:BF81">
    <cfRule type="cellIs" dxfId="196" priority="235" stopIfTrue="1" operator="lessThan">
      <formula>0</formula>
    </cfRule>
  </conditionalFormatting>
  <conditionalFormatting sqref="BF82:BF85">
    <cfRule type="cellIs" dxfId="195" priority="234" stopIfTrue="1" operator="lessThan">
      <formula>0</formula>
    </cfRule>
  </conditionalFormatting>
  <conditionalFormatting sqref="BF87:BF90">
    <cfRule type="cellIs" dxfId="194" priority="233" stopIfTrue="1" operator="lessThan">
      <formula>0</formula>
    </cfRule>
  </conditionalFormatting>
  <conditionalFormatting sqref="BF86">
    <cfRule type="cellIs" dxfId="193" priority="232" stopIfTrue="1" operator="lessThan">
      <formula>0</formula>
    </cfRule>
  </conditionalFormatting>
  <conditionalFormatting sqref="BF91">
    <cfRule type="cellIs" dxfId="192" priority="231" stopIfTrue="1" operator="lessThan">
      <formula>0</formula>
    </cfRule>
  </conditionalFormatting>
  <conditionalFormatting sqref="BF82:BF84">
    <cfRule type="cellIs" dxfId="191" priority="230" stopIfTrue="1" operator="lessThan">
      <formula>0</formula>
    </cfRule>
  </conditionalFormatting>
  <conditionalFormatting sqref="BF87:BF90">
    <cfRule type="cellIs" dxfId="190" priority="229" stopIfTrue="1" operator="lessThan">
      <formula>0</formula>
    </cfRule>
  </conditionalFormatting>
  <conditionalFormatting sqref="BF91">
    <cfRule type="cellIs" dxfId="189" priority="228" stopIfTrue="1" operator="lessThan">
      <formula>0</formula>
    </cfRule>
  </conditionalFormatting>
  <conditionalFormatting sqref="BF83">
    <cfRule type="cellIs" dxfId="188" priority="227" stopIfTrue="1" operator="lessThan">
      <formula>0</formula>
    </cfRule>
  </conditionalFormatting>
  <conditionalFormatting sqref="BF84">
    <cfRule type="cellIs" dxfId="187" priority="226" stopIfTrue="1" operator="lessThan">
      <formula>0</formula>
    </cfRule>
  </conditionalFormatting>
  <conditionalFormatting sqref="BF85">
    <cfRule type="cellIs" dxfId="186" priority="225" stopIfTrue="1" operator="lessThan">
      <formula>0</formula>
    </cfRule>
  </conditionalFormatting>
  <conditionalFormatting sqref="BF86">
    <cfRule type="cellIs" dxfId="185" priority="224" stopIfTrue="1" operator="lessThan">
      <formula>0</formula>
    </cfRule>
  </conditionalFormatting>
  <conditionalFormatting sqref="BF85">
    <cfRule type="cellIs" dxfId="184" priority="223" stopIfTrue="1" operator="lessThan">
      <formula>0</formula>
    </cfRule>
  </conditionalFormatting>
  <conditionalFormatting sqref="BF86">
    <cfRule type="cellIs" dxfId="183" priority="222" stopIfTrue="1" operator="lessThan">
      <formula>0</formula>
    </cfRule>
  </conditionalFormatting>
  <conditionalFormatting sqref="BF88">
    <cfRule type="cellIs" dxfId="182" priority="221" stopIfTrue="1" operator="lessThan">
      <formula>0</formula>
    </cfRule>
  </conditionalFormatting>
  <conditionalFormatting sqref="BF89:BF90">
    <cfRule type="cellIs" dxfId="181" priority="220" stopIfTrue="1" operator="lessThan">
      <formula>0</formula>
    </cfRule>
  </conditionalFormatting>
  <conditionalFormatting sqref="BF91">
    <cfRule type="cellIs" dxfId="180" priority="219" stopIfTrue="1" operator="lessThan">
      <formula>0</formula>
    </cfRule>
  </conditionalFormatting>
  <conditionalFormatting sqref="BF82">
    <cfRule type="cellIs" dxfId="179" priority="218" stopIfTrue="1" operator="lessThan">
      <formula>0</formula>
    </cfRule>
  </conditionalFormatting>
  <conditionalFormatting sqref="BF87">
    <cfRule type="cellIs" dxfId="178" priority="217" stopIfTrue="1" operator="lessThan">
      <formula>0</formula>
    </cfRule>
  </conditionalFormatting>
  <conditionalFormatting sqref="BF92">
    <cfRule type="cellIs" dxfId="177" priority="216" stopIfTrue="1" operator="lessThan">
      <formula>0</formula>
    </cfRule>
  </conditionalFormatting>
  <conditionalFormatting sqref="BF93:BF98">
    <cfRule type="cellIs" dxfId="176" priority="215" stopIfTrue="1" operator="lessThan">
      <formula>0</formula>
    </cfRule>
  </conditionalFormatting>
  <conditionalFormatting sqref="BF92">
    <cfRule type="cellIs" dxfId="175" priority="214" stopIfTrue="1" operator="lessThan">
      <formula>0</formula>
    </cfRule>
  </conditionalFormatting>
  <conditionalFormatting sqref="BF93:BF94">
    <cfRule type="cellIs" dxfId="174" priority="213" stopIfTrue="1" operator="lessThan">
      <formula>0</formula>
    </cfRule>
  </conditionalFormatting>
  <conditionalFormatting sqref="BF93:BF94">
    <cfRule type="cellIs" dxfId="173" priority="211" stopIfTrue="1" operator="lessThan">
      <formula>0</formula>
    </cfRule>
  </conditionalFormatting>
  <conditionalFormatting sqref="BF92">
    <cfRule type="cellIs" dxfId="172" priority="212" stopIfTrue="1" operator="lessThan">
      <formula>0</formula>
    </cfRule>
  </conditionalFormatting>
  <conditionalFormatting sqref="BF95:BF98">
    <cfRule type="cellIs" dxfId="171" priority="210" stopIfTrue="1" operator="lessThan">
      <formula>0</formula>
    </cfRule>
  </conditionalFormatting>
  <conditionalFormatting sqref="BF96">
    <cfRule type="cellIs" dxfId="170" priority="209" stopIfTrue="1" operator="lessThan">
      <formula>0</formula>
    </cfRule>
  </conditionalFormatting>
  <conditionalFormatting sqref="BF95">
    <cfRule type="cellIs" dxfId="169" priority="208" stopIfTrue="1" operator="lessThan">
      <formula>0</formula>
    </cfRule>
  </conditionalFormatting>
  <conditionalFormatting sqref="BF97:BF98">
    <cfRule type="cellIs" dxfId="168" priority="207" stopIfTrue="1" operator="lessThan">
      <formula>0</formula>
    </cfRule>
  </conditionalFormatting>
  <conditionalFormatting sqref="BJ79:BK79">
    <cfRule type="cellIs" dxfId="167" priority="205" stopIfTrue="1" operator="lessThan">
      <formula>0</formula>
    </cfRule>
  </conditionalFormatting>
  <conditionalFormatting sqref="BJ78:BK78">
    <cfRule type="cellIs" dxfId="166" priority="202" stopIfTrue="1" operator="lessThan">
      <formula>0</formula>
    </cfRule>
  </conditionalFormatting>
  <conditionalFormatting sqref="BJ72:BK72">
    <cfRule type="cellIs" dxfId="165" priority="201" stopIfTrue="1" operator="lessThan">
      <formula>0</formula>
    </cfRule>
  </conditionalFormatting>
  <conditionalFormatting sqref="BJ79:BK79">
    <cfRule type="cellIs" dxfId="164" priority="200" stopIfTrue="1" operator="lessThan">
      <formula>0</formula>
    </cfRule>
  </conditionalFormatting>
  <conditionalFormatting sqref="BJ78:BK78">
    <cfRule type="cellIs" dxfId="163" priority="197" stopIfTrue="1" operator="lessThan">
      <formula>0</formula>
    </cfRule>
  </conditionalFormatting>
  <conditionalFormatting sqref="BJ72:BK72">
    <cfRule type="cellIs" dxfId="162" priority="196" stopIfTrue="1" operator="lessThan">
      <formula>0</formula>
    </cfRule>
  </conditionalFormatting>
  <conditionalFormatting sqref="BJ69:BK69">
    <cfRule type="cellIs" dxfId="161" priority="195" stopIfTrue="1" operator="lessThan">
      <formula>0</formula>
    </cfRule>
  </conditionalFormatting>
  <conditionalFormatting sqref="BJ69:BK69">
    <cfRule type="cellIs" dxfId="160" priority="194" stopIfTrue="1" operator="lessThan">
      <formula>0</formula>
    </cfRule>
  </conditionalFormatting>
  <conditionalFormatting sqref="BJ70:BK70">
    <cfRule type="cellIs" dxfId="159" priority="193" stopIfTrue="1" operator="lessThan">
      <formula>0</formula>
    </cfRule>
  </conditionalFormatting>
  <conditionalFormatting sqref="BJ70:BK70">
    <cfRule type="cellIs" dxfId="158" priority="192" stopIfTrue="1" operator="lessThan">
      <formula>0</formula>
    </cfRule>
  </conditionalFormatting>
  <conditionalFormatting sqref="BJ71:BK71">
    <cfRule type="cellIs" dxfId="157" priority="191" stopIfTrue="1" operator="lessThan">
      <formula>0</formula>
    </cfRule>
  </conditionalFormatting>
  <conditionalFormatting sqref="BJ71:BK71">
    <cfRule type="cellIs" dxfId="156" priority="190" stopIfTrue="1" operator="lessThan">
      <formula>0</formula>
    </cfRule>
  </conditionalFormatting>
  <conditionalFormatting sqref="BJ72:BK72">
    <cfRule type="cellIs" dxfId="155" priority="189" stopIfTrue="1" operator="lessThan">
      <formula>0</formula>
    </cfRule>
  </conditionalFormatting>
  <conditionalFormatting sqref="BJ72:BK72">
    <cfRule type="cellIs" dxfId="154" priority="188" stopIfTrue="1" operator="lessThan">
      <formula>0</formula>
    </cfRule>
  </conditionalFormatting>
  <conditionalFormatting sqref="BJ77:BK77">
    <cfRule type="cellIs" dxfId="153" priority="187" stopIfTrue="1" operator="lessThan">
      <formula>0</formula>
    </cfRule>
  </conditionalFormatting>
  <conditionalFormatting sqref="BJ77:BK77">
    <cfRule type="cellIs" dxfId="152" priority="186" stopIfTrue="1" operator="lessThan">
      <formula>0</formula>
    </cfRule>
  </conditionalFormatting>
  <conditionalFormatting sqref="BJ78:BK78">
    <cfRule type="cellIs" dxfId="151" priority="185" stopIfTrue="1" operator="lessThan">
      <formula>0</formula>
    </cfRule>
  </conditionalFormatting>
  <conditionalFormatting sqref="BJ78:BK78">
    <cfRule type="cellIs" dxfId="150" priority="184" stopIfTrue="1" operator="lessThan">
      <formula>0</formula>
    </cfRule>
  </conditionalFormatting>
  <conditionalFormatting sqref="BJ79:BK79">
    <cfRule type="cellIs" dxfId="149" priority="183" stopIfTrue="1" operator="lessThan">
      <formula>0</formula>
    </cfRule>
  </conditionalFormatting>
  <conditionalFormatting sqref="BJ79:BK79">
    <cfRule type="cellIs" dxfId="148" priority="182" stopIfTrue="1" operator="lessThan">
      <formula>0</formula>
    </cfRule>
  </conditionalFormatting>
  <conditionalFormatting sqref="BJ68:BK68">
    <cfRule type="cellIs" dxfId="147" priority="181" stopIfTrue="1" operator="lessThan">
      <formula>0</formula>
    </cfRule>
  </conditionalFormatting>
  <conditionalFormatting sqref="BJ68:BK68">
    <cfRule type="cellIs" dxfId="146" priority="180" stopIfTrue="1" operator="lessThan">
      <formula>0</formula>
    </cfRule>
  </conditionalFormatting>
  <conditionalFormatting sqref="BJ86:BK86">
    <cfRule type="cellIs" dxfId="145" priority="173" stopIfTrue="1" operator="lessThan">
      <formula>0</formula>
    </cfRule>
  </conditionalFormatting>
  <conditionalFormatting sqref="BJ91:BK91">
    <cfRule type="cellIs" dxfId="144" priority="172" stopIfTrue="1" operator="lessThan">
      <formula>0</formula>
    </cfRule>
  </conditionalFormatting>
  <conditionalFormatting sqref="BJ91:BK91">
    <cfRule type="cellIs" dxfId="143" priority="169" stopIfTrue="1" operator="lessThan">
      <formula>0</formula>
    </cfRule>
  </conditionalFormatting>
  <conditionalFormatting sqref="BJ83:BK83">
    <cfRule type="cellIs" dxfId="142" priority="168" stopIfTrue="1" operator="lessThan">
      <formula>0</formula>
    </cfRule>
  </conditionalFormatting>
  <conditionalFormatting sqref="AS84:BK84">
    <cfRule type="cellIs" dxfId="141" priority="167" stopIfTrue="1" operator="lessThan">
      <formula>0</formula>
    </cfRule>
  </conditionalFormatting>
  <conditionalFormatting sqref="AS85:BK85">
    <cfRule type="cellIs" dxfId="140" priority="166" stopIfTrue="1" operator="lessThan">
      <formula>0</formula>
    </cfRule>
  </conditionalFormatting>
  <conditionalFormatting sqref="BJ86:BK86">
    <cfRule type="cellIs" dxfId="139" priority="165" stopIfTrue="1" operator="lessThan">
      <formula>0</formula>
    </cfRule>
  </conditionalFormatting>
  <conditionalFormatting sqref="AS85:BK85">
    <cfRule type="cellIs" dxfId="138" priority="164" stopIfTrue="1" operator="lessThan">
      <formula>0</formula>
    </cfRule>
  </conditionalFormatting>
  <conditionalFormatting sqref="BJ86:BK86">
    <cfRule type="cellIs" dxfId="137" priority="163" stopIfTrue="1" operator="lessThan">
      <formula>0</formula>
    </cfRule>
  </conditionalFormatting>
  <conditionalFormatting sqref="BJ88:BK88">
    <cfRule type="cellIs" dxfId="136" priority="162" stopIfTrue="1" operator="lessThan">
      <formula>0</formula>
    </cfRule>
  </conditionalFormatting>
  <conditionalFormatting sqref="BJ91:BK91">
    <cfRule type="cellIs" dxfId="135" priority="160" stopIfTrue="1" operator="lessThan">
      <formula>0</formula>
    </cfRule>
  </conditionalFormatting>
  <conditionalFormatting sqref="AW82:BK82">
    <cfRule type="cellIs" dxfId="134" priority="159" stopIfTrue="1" operator="lessThan">
      <formula>0</formula>
    </cfRule>
  </conditionalFormatting>
  <conditionalFormatting sqref="BJ87:BK87">
    <cfRule type="cellIs" dxfId="133" priority="158" stopIfTrue="1" operator="lessThan">
      <formula>0</formula>
    </cfRule>
  </conditionalFormatting>
  <conditionalFormatting sqref="BJ92:BK92">
    <cfRule type="cellIs" dxfId="132" priority="157" stopIfTrue="1" operator="lessThan">
      <formula>0</formula>
    </cfRule>
  </conditionalFormatting>
  <conditionalFormatting sqref="BJ92:BK92">
    <cfRule type="cellIs" dxfId="131" priority="155" stopIfTrue="1" operator="lessThan">
      <formula>0</formula>
    </cfRule>
  </conditionalFormatting>
  <conditionalFormatting sqref="BJ92:BK92">
    <cfRule type="cellIs" dxfId="130" priority="153" stopIfTrue="1" operator="lessThan">
      <formula>0</formula>
    </cfRule>
  </conditionalFormatting>
  <conditionalFormatting sqref="BJ96:BK96">
    <cfRule type="cellIs" dxfId="129" priority="150" stopIfTrue="1" operator="lessThan">
      <formula>0</formula>
    </cfRule>
  </conditionalFormatting>
  <conditionalFormatting sqref="BJ95:BK95">
    <cfRule type="cellIs" dxfId="128" priority="149" stopIfTrue="1" operator="lessThan">
      <formula>0</formula>
    </cfRule>
  </conditionalFormatting>
  <conditionalFormatting sqref="BG80:BG81">
    <cfRule type="cellIs" dxfId="127" priority="147" stopIfTrue="1" operator="lessThan">
      <formula>0</formula>
    </cfRule>
  </conditionalFormatting>
  <conditionalFormatting sqref="BG79:BJ79">
    <cfRule type="cellIs" dxfId="126" priority="146" stopIfTrue="1" operator="lessThan">
      <formula>0</formula>
    </cfRule>
  </conditionalFormatting>
  <conditionalFormatting sqref="BG68:BG71">
    <cfRule type="cellIs" dxfId="125" priority="145" stopIfTrue="1" operator="lessThan">
      <formula>0</formula>
    </cfRule>
  </conditionalFormatting>
  <conditionalFormatting sqref="BG73:BG77">
    <cfRule type="cellIs" dxfId="124" priority="144" stopIfTrue="1" operator="lessThan">
      <formula>0</formula>
    </cfRule>
  </conditionalFormatting>
  <conditionalFormatting sqref="BG78:BJ78">
    <cfRule type="cellIs" dxfId="123" priority="143" stopIfTrue="1" operator="lessThan">
      <formula>0</formula>
    </cfRule>
  </conditionalFormatting>
  <conditionalFormatting sqref="BG72:BJ72">
    <cfRule type="cellIs" dxfId="122" priority="142" stopIfTrue="1" operator="lessThan">
      <formula>0</formula>
    </cfRule>
  </conditionalFormatting>
  <conditionalFormatting sqref="BG79:BJ79">
    <cfRule type="cellIs" dxfId="121" priority="141" stopIfTrue="1" operator="lessThan">
      <formula>0</formula>
    </cfRule>
  </conditionalFormatting>
  <conditionalFormatting sqref="BG68:BG71">
    <cfRule type="cellIs" dxfId="120" priority="140" stopIfTrue="1" operator="lessThan">
      <formula>0</formula>
    </cfRule>
  </conditionalFormatting>
  <conditionalFormatting sqref="BG73:BG77">
    <cfRule type="cellIs" dxfId="119" priority="139" stopIfTrue="1" operator="lessThan">
      <formula>0</formula>
    </cfRule>
  </conditionalFormatting>
  <conditionalFormatting sqref="BG78:BJ78">
    <cfRule type="cellIs" dxfId="118" priority="138" stopIfTrue="1" operator="lessThan">
      <formula>0</formula>
    </cfRule>
  </conditionalFormatting>
  <conditionalFormatting sqref="BG72:BJ72">
    <cfRule type="cellIs" dxfId="117" priority="137" stopIfTrue="1" operator="lessThan">
      <formula>0</formula>
    </cfRule>
  </conditionalFormatting>
  <conditionalFormatting sqref="BG69:BJ69">
    <cfRule type="cellIs" dxfId="116" priority="136" stopIfTrue="1" operator="lessThan">
      <formula>0</formula>
    </cfRule>
  </conditionalFormatting>
  <conditionalFormatting sqref="BG69:BJ69">
    <cfRule type="cellIs" dxfId="115" priority="135" stopIfTrue="1" operator="lessThan">
      <formula>0</formula>
    </cfRule>
  </conditionalFormatting>
  <conditionalFormatting sqref="BG70:BJ70">
    <cfRule type="cellIs" dxfId="114" priority="134" stopIfTrue="1" operator="lessThan">
      <formula>0</formula>
    </cfRule>
  </conditionalFormatting>
  <conditionalFormatting sqref="BG70:BJ70">
    <cfRule type="cellIs" dxfId="113" priority="133" stopIfTrue="1" operator="lessThan">
      <formula>0</formula>
    </cfRule>
  </conditionalFormatting>
  <conditionalFormatting sqref="BG71:BJ71">
    <cfRule type="cellIs" dxfId="112" priority="132" stopIfTrue="1" operator="lessThan">
      <formula>0</formula>
    </cfRule>
  </conditionalFormatting>
  <conditionalFormatting sqref="BG71:BJ71">
    <cfRule type="cellIs" dxfId="111" priority="131" stopIfTrue="1" operator="lessThan">
      <formula>0</formula>
    </cfRule>
  </conditionalFormatting>
  <conditionalFormatting sqref="BG72:BJ72">
    <cfRule type="cellIs" dxfId="110" priority="130" stopIfTrue="1" operator="lessThan">
      <formula>0</formula>
    </cfRule>
  </conditionalFormatting>
  <conditionalFormatting sqref="BG72:BJ72">
    <cfRule type="cellIs" dxfId="109" priority="129" stopIfTrue="1" operator="lessThan">
      <formula>0</formula>
    </cfRule>
  </conditionalFormatting>
  <conditionalFormatting sqref="BG77:BJ77">
    <cfRule type="cellIs" dxfId="108" priority="128" stopIfTrue="1" operator="lessThan">
      <formula>0</formula>
    </cfRule>
  </conditionalFormatting>
  <conditionalFormatting sqref="BG77:BJ77">
    <cfRule type="cellIs" dxfId="107" priority="127" stopIfTrue="1" operator="lessThan">
      <formula>0</formula>
    </cfRule>
  </conditionalFormatting>
  <conditionalFormatting sqref="BG78:BJ78">
    <cfRule type="cellIs" dxfId="106" priority="126" stopIfTrue="1" operator="lessThan">
      <formula>0</formula>
    </cfRule>
  </conditionalFormatting>
  <conditionalFormatting sqref="BG78:BJ78">
    <cfRule type="cellIs" dxfId="105" priority="125" stopIfTrue="1" operator="lessThan">
      <formula>0</formula>
    </cfRule>
  </conditionalFormatting>
  <conditionalFormatting sqref="BG79:BJ79">
    <cfRule type="cellIs" dxfId="104" priority="124" stopIfTrue="1" operator="lessThan">
      <formula>0</formula>
    </cfRule>
  </conditionalFormatting>
  <conditionalFormatting sqref="BG79:BJ79">
    <cfRule type="cellIs" dxfId="103" priority="123" stopIfTrue="1" operator="lessThan">
      <formula>0</formula>
    </cfRule>
  </conditionalFormatting>
  <conditionalFormatting sqref="BG68:BJ68">
    <cfRule type="cellIs" dxfId="102" priority="122" stopIfTrue="1" operator="lessThan">
      <formula>0</formula>
    </cfRule>
  </conditionalFormatting>
  <conditionalFormatting sqref="BG68:BJ68">
    <cfRule type="cellIs" dxfId="101" priority="121" stopIfTrue="1" operator="lessThan">
      <formula>0</formula>
    </cfRule>
  </conditionalFormatting>
  <conditionalFormatting sqref="BG73:BG76">
    <cfRule type="cellIs" dxfId="100" priority="120" stopIfTrue="1" operator="lessThan">
      <formula>0</formula>
    </cfRule>
  </conditionalFormatting>
  <conditionalFormatting sqref="BG73:BG76">
    <cfRule type="cellIs" dxfId="99" priority="119" stopIfTrue="1" operator="lessThan">
      <formula>0</formula>
    </cfRule>
  </conditionalFormatting>
  <conditionalFormatting sqref="BG80:BG81">
    <cfRule type="cellIs" dxfId="98" priority="118" stopIfTrue="1" operator="lessThan">
      <formula>0</formula>
    </cfRule>
  </conditionalFormatting>
  <conditionalFormatting sqref="BG80:BG81">
    <cfRule type="cellIs" dxfId="97" priority="117" stopIfTrue="1" operator="lessThan">
      <formula>0</formula>
    </cfRule>
  </conditionalFormatting>
  <conditionalFormatting sqref="BG82:BG85">
    <cfRule type="cellIs" dxfId="96" priority="116" stopIfTrue="1" operator="lessThan">
      <formula>0</formula>
    </cfRule>
  </conditionalFormatting>
  <conditionalFormatting sqref="BG87:BG90">
    <cfRule type="cellIs" dxfId="95" priority="115" stopIfTrue="1" operator="lessThan">
      <formula>0</formula>
    </cfRule>
  </conditionalFormatting>
  <conditionalFormatting sqref="BG86:BJ86">
    <cfRule type="cellIs" dxfId="94" priority="114" stopIfTrue="1" operator="lessThan">
      <formula>0</formula>
    </cfRule>
  </conditionalFormatting>
  <conditionalFormatting sqref="BG91:BJ91">
    <cfRule type="cellIs" dxfId="93" priority="113" stopIfTrue="1" operator="lessThan">
      <formula>0</formula>
    </cfRule>
  </conditionalFormatting>
  <conditionalFormatting sqref="BG82:BG84">
    <cfRule type="cellIs" dxfId="92" priority="112" stopIfTrue="1" operator="lessThan">
      <formula>0</formula>
    </cfRule>
  </conditionalFormatting>
  <conditionalFormatting sqref="BG87:BG90">
    <cfRule type="cellIs" dxfId="91" priority="111" stopIfTrue="1" operator="lessThan">
      <formula>0</formula>
    </cfRule>
  </conditionalFormatting>
  <conditionalFormatting sqref="BG91:BJ91">
    <cfRule type="cellIs" dxfId="90" priority="110" stopIfTrue="1" operator="lessThan">
      <formula>0</formula>
    </cfRule>
  </conditionalFormatting>
  <conditionalFormatting sqref="BG83:BJ83">
    <cfRule type="cellIs" dxfId="89" priority="109" stopIfTrue="1" operator="lessThan">
      <formula>0</formula>
    </cfRule>
  </conditionalFormatting>
  <conditionalFormatting sqref="BG84:BJ84">
    <cfRule type="cellIs" dxfId="88" priority="108" stopIfTrue="1" operator="lessThan">
      <formula>0</formula>
    </cfRule>
  </conditionalFormatting>
  <conditionalFormatting sqref="BG85:BJ85">
    <cfRule type="cellIs" dxfId="87" priority="107" stopIfTrue="1" operator="lessThan">
      <formula>0</formula>
    </cfRule>
  </conditionalFormatting>
  <conditionalFormatting sqref="BG86:BJ86">
    <cfRule type="cellIs" dxfId="86" priority="106" stopIfTrue="1" operator="lessThan">
      <formula>0</formula>
    </cfRule>
  </conditionalFormatting>
  <conditionalFormatting sqref="BG85:BJ85">
    <cfRule type="cellIs" dxfId="85" priority="105" stopIfTrue="1" operator="lessThan">
      <formula>0</formula>
    </cfRule>
  </conditionalFormatting>
  <conditionalFormatting sqref="BG86:BJ86">
    <cfRule type="cellIs" dxfId="84" priority="104" stopIfTrue="1" operator="lessThan">
      <formula>0</formula>
    </cfRule>
  </conditionalFormatting>
  <conditionalFormatting sqref="BG88:BJ88">
    <cfRule type="cellIs" dxfId="83" priority="103" stopIfTrue="1" operator="lessThan">
      <formula>0</formula>
    </cfRule>
  </conditionalFormatting>
  <conditionalFormatting sqref="BG89:BG90">
    <cfRule type="cellIs" dxfId="82" priority="102" stopIfTrue="1" operator="lessThan">
      <formula>0</formula>
    </cfRule>
  </conditionalFormatting>
  <conditionalFormatting sqref="BG91:BJ91">
    <cfRule type="cellIs" dxfId="81" priority="101" stopIfTrue="1" operator="lessThan">
      <formula>0</formula>
    </cfRule>
  </conditionalFormatting>
  <conditionalFormatting sqref="BG82:BJ82">
    <cfRule type="cellIs" dxfId="80" priority="100" stopIfTrue="1" operator="lessThan">
      <formula>0</formula>
    </cfRule>
  </conditionalFormatting>
  <conditionalFormatting sqref="BG87:BJ87">
    <cfRule type="cellIs" dxfId="79" priority="99" stopIfTrue="1" operator="lessThan">
      <formula>0</formula>
    </cfRule>
  </conditionalFormatting>
  <conditionalFormatting sqref="BG92:BJ92">
    <cfRule type="cellIs" dxfId="78" priority="98" stopIfTrue="1" operator="lessThan">
      <formula>0</formula>
    </cfRule>
  </conditionalFormatting>
  <conditionalFormatting sqref="BG93:BG98">
    <cfRule type="cellIs" dxfId="77" priority="97" stopIfTrue="1" operator="lessThan">
      <formula>0</formula>
    </cfRule>
  </conditionalFormatting>
  <conditionalFormatting sqref="BG92:BJ92">
    <cfRule type="cellIs" dxfId="76" priority="96" stopIfTrue="1" operator="lessThan">
      <formula>0</formula>
    </cfRule>
  </conditionalFormatting>
  <conditionalFormatting sqref="BG93:BG94">
    <cfRule type="cellIs" dxfId="75" priority="95" stopIfTrue="1" operator="lessThan">
      <formula>0</formula>
    </cfRule>
  </conditionalFormatting>
  <conditionalFormatting sqref="BG93:BG94">
    <cfRule type="cellIs" dxfId="74" priority="93" stopIfTrue="1" operator="lessThan">
      <formula>0</formula>
    </cfRule>
  </conditionalFormatting>
  <conditionalFormatting sqref="BG92:BJ92">
    <cfRule type="cellIs" dxfId="73" priority="94" stopIfTrue="1" operator="lessThan">
      <formula>0</formula>
    </cfRule>
  </conditionalFormatting>
  <conditionalFormatting sqref="BG95:BG98">
    <cfRule type="cellIs" dxfId="72" priority="92" stopIfTrue="1" operator="lessThan">
      <formula>0</formula>
    </cfRule>
  </conditionalFormatting>
  <conditionalFormatting sqref="BG96:BJ96">
    <cfRule type="cellIs" dxfId="71" priority="91" stopIfTrue="1" operator="lessThan">
      <formula>0</formula>
    </cfRule>
  </conditionalFormatting>
  <conditionalFormatting sqref="BG95:BJ95">
    <cfRule type="cellIs" dxfId="70" priority="90" stopIfTrue="1" operator="lessThan">
      <formula>0</formula>
    </cfRule>
  </conditionalFormatting>
  <conditionalFormatting sqref="BG97:BG98">
    <cfRule type="cellIs" dxfId="69" priority="89" stopIfTrue="1" operator="lessThan">
      <formula>0</formula>
    </cfRule>
  </conditionalFormatting>
  <conditionalFormatting sqref="CL80:CT81">
    <cfRule type="cellIs" dxfId="68" priority="88" stopIfTrue="1" operator="lessThan">
      <formula>0</formula>
    </cfRule>
  </conditionalFormatting>
  <conditionalFormatting sqref="CL68:CT71">
    <cfRule type="cellIs" dxfId="67" priority="87" stopIfTrue="1" operator="lessThan">
      <formula>0</formula>
    </cfRule>
  </conditionalFormatting>
  <conditionalFormatting sqref="CL73:CT77">
    <cfRule type="cellIs" dxfId="66" priority="86" stopIfTrue="1" operator="lessThan">
      <formula>0</formula>
    </cfRule>
  </conditionalFormatting>
  <conditionalFormatting sqref="CL82:CT85">
    <cfRule type="cellIs" dxfId="65" priority="85" stopIfTrue="1" operator="lessThan">
      <formula>0</formula>
    </cfRule>
  </conditionalFormatting>
  <conditionalFormatting sqref="CL87:CT90">
    <cfRule type="cellIs" dxfId="64" priority="84" stopIfTrue="1" operator="lessThan">
      <formula>0</formula>
    </cfRule>
  </conditionalFormatting>
  <conditionalFormatting sqref="CL93:CT98">
    <cfRule type="cellIs" dxfId="63" priority="83" stopIfTrue="1" operator="lessThan">
      <formula>0</formula>
    </cfRule>
  </conditionalFormatting>
  <conditionalFormatting sqref="CU80:CW81">
    <cfRule type="cellIs" dxfId="62" priority="82" stopIfTrue="1" operator="lessThan">
      <formula>0</formula>
    </cfRule>
  </conditionalFormatting>
  <conditionalFormatting sqref="CU68:CW71">
    <cfRule type="cellIs" dxfId="61" priority="81" stopIfTrue="1" operator="lessThan">
      <formula>0</formula>
    </cfRule>
  </conditionalFormatting>
  <conditionalFormatting sqref="CU73:CW77">
    <cfRule type="cellIs" dxfId="60" priority="80" stopIfTrue="1" operator="lessThan">
      <formula>0</formula>
    </cfRule>
  </conditionalFormatting>
  <conditionalFormatting sqref="CU82:CW85">
    <cfRule type="cellIs" dxfId="59" priority="79" stopIfTrue="1" operator="lessThan">
      <formula>0</formula>
    </cfRule>
  </conditionalFormatting>
  <conditionalFormatting sqref="CU87:CW90">
    <cfRule type="cellIs" dxfId="58" priority="78" stopIfTrue="1" operator="lessThan">
      <formula>0</formula>
    </cfRule>
  </conditionalFormatting>
  <conditionalFormatting sqref="CU93:CW98">
    <cfRule type="cellIs" dxfId="57" priority="77" stopIfTrue="1" operator="lessThan">
      <formula>0</formula>
    </cfRule>
  </conditionalFormatting>
  <conditionalFormatting sqref="BH80:BH81">
    <cfRule type="cellIs" dxfId="56" priority="57" stopIfTrue="1" operator="lessThan">
      <formula>0</formula>
    </cfRule>
  </conditionalFormatting>
  <conditionalFormatting sqref="BH68:BH71">
    <cfRule type="cellIs" dxfId="55" priority="56" stopIfTrue="1" operator="lessThan">
      <formula>0</formula>
    </cfRule>
  </conditionalFormatting>
  <conditionalFormatting sqref="BH73:BH77">
    <cfRule type="cellIs" dxfId="54" priority="55" stopIfTrue="1" operator="lessThan">
      <formula>0</formula>
    </cfRule>
  </conditionalFormatting>
  <conditionalFormatting sqref="BH68:BH71">
    <cfRule type="cellIs" dxfId="53" priority="54" stopIfTrue="1" operator="lessThan">
      <formula>0</formula>
    </cfRule>
  </conditionalFormatting>
  <conditionalFormatting sqref="BH73:BH77">
    <cfRule type="cellIs" dxfId="52" priority="53" stopIfTrue="1" operator="lessThan">
      <formula>0</formula>
    </cfRule>
  </conditionalFormatting>
  <conditionalFormatting sqref="BH73:BH76">
    <cfRule type="cellIs" dxfId="51" priority="52" stopIfTrue="1" operator="lessThan">
      <formula>0</formula>
    </cfRule>
  </conditionalFormatting>
  <conditionalFormatting sqref="BH73:BH76">
    <cfRule type="cellIs" dxfId="50" priority="51" stopIfTrue="1" operator="lessThan">
      <formula>0</formula>
    </cfRule>
  </conditionalFormatting>
  <conditionalFormatting sqref="BH80:BH81">
    <cfRule type="cellIs" dxfId="49" priority="50" stopIfTrue="1" operator="lessThan">
      <formula>0</formula>
    </cfRule>
  </conditionalFormatting>
  <conditionalFormatting sqref="BH80:BH81">
    <cfRule type="cellIs" dxfId="48" priority="49" stopIfTrue="1" operator="lessThan">
      <formula>0</formula>
    </cfRule>
  </conditionalFormatting>
  <conditionalFormatting sqref="BH82:BH85">
    <cfRule type="cellIs" dxfId="47" priority="48" stopIfTrue="1" operator="lessThan">
      <formula>0</formula>
    </cfRule>
  </conditionalFormatting>
  <conditionalFormatting sqref="BH87:BH90">
    <cfRule type="cellIs" dxfId="46" priority="47" stopIfTrue="1" operator="lessThan">
      <formula>0</formula>
    </cfRule>
  </conditionalFormatting>
  <conditionalFormatting sqref="BH82:BH84">
    <cfRule type="cellIs" dxfId="45" priority="46" stopIfTrue="1" operator="lessThan">
      <formula>0</formula>
    </cfRule>
  </conditionalFormatting>
  <conditionalFormatting sqref="BH87:BH90">
    <cfRule type="cellIs" dxfId="44" priority="45" stopIfTrue="1" operator="lessThan">
      <formula>0</formula>
    </cfRule>
  </conditionalFormatting>
  <conditionalFormatting sqref="BH89:BH90">
    <cfRule type="cellIs" dxfId="43" priority="44" stopIfTrue="1" operator="lessThan">
      <formula>0</formula>
    </cfRule>
  </conditionalFormatting>
  <conditionalFormatting sqref="BH93:BH98">
    <cfRule type="cellIs" dxfId="42" priority="43" stopIfTrue="1" operator="lessThan">
      <formula>0</formula>
    </cfRule>
  </conditionalFormatting>
  <conditionalFormatting sqref="BH93:BH94">
    <cfRule type="cellIs" dxfId="41" priority="42" stopIfTrue="1" operator="lessThan">
      <formula>0</formula>
    </cfRule>
  </conditionalFormatting>
  <conditionalFormatting sqref="BH93:BH94">
    <cfRule type="cellIs" dxfId="40" priority="41" stopIfTrue="1" operator="lessThan">
      <formula>0</formula>
    </cfRule>
  </conditionalFormatting>
  <conditionalFormatting sqref="BH95:BH98">
    <cfRule type="cellIs" dxfId="39" priority="40" stopIfTrue="1" operator="lessThan">
      <formula>0</formula>
    </cfRule>
  </conditionalFormatting>
  <conditionalFormatting sqref="BH97:BH98">
    <cfRule type="cellIs" dxfId="38" priority="39" stopIfTrue="1" operator="lessThan">
      <formula>0</formula>
    </cfRule>
  </conditionalFormatting>
  <conditionalFormatting sqref="BJ80:BK81">
    <cfRule type="cellIs" dxfId="37" priority="38" stopIfTrue="1" operator="lessThan">
      <formula>0</formula>
    </cfRule>
  </conditionalFormatting>
  <conditionalFormatting sqref="BJ68:BK71">
    <cfRule type="cellIs" dxfId="36" priority="37" stopIfTrue="1" operator="lessThan">
      <formula>0</formula>
    </cfRule>
  </conditionalFormatting>
  <conditionalFormatting sqref="BJ73:BK77">
    <cfRule type="cellIs" dxfId="35" priority="36" stopIfTrue="1" operator="lessThan">
      <formula>0</formula>
    </cfRule>
  </conditionalFormatting>
  <conditionalFormatting sqref="BJ68:BK71">
    <cfRule type="cellIs" dxfId="34" priority="35" stopIfTrue="1" operator="lessThan">
      <formula>0</formula>
    </cfRule>
  </conditionalFormatting>
  <conditionalFormatting sqref="BJ73:BK77">
    <cfRule type="cellIs" dxfId="33" priority="34" stopIfTrue="1" operator="lessThan">
      <formula>0</formula>
    </cfRule>
  </conditionalFormatting>
  <conditionalFormatting sqref="BJ73:BK76">
    <cfRule type="cellIs" dxfId="32" priority="33" stopIfTrue="1" operator="lessThan">
      <formula>0</formula>
    </cfRule>
  </conditionalFormatting>
  <conditionalFormatting sqref="BJ73:BK76">
    <cfRule type="cellIs" dxfId="31" priority="32" stopIfTrue="1" operator="lessThan">
      <formula>0</formula>
    </cfRule>
  </conditionalFormatting>
  <conditionalFormatting sqref="BJ80:BK81">
    <cfRule type="cellIs" dxfId="30" priority="31" stopIfTrue="1" operator="lessThan">
      <formula>0</formula>
    </cfRule>
  </conditionalFormatting>
  <conditionalFormatting sqref="BJ80:BK81">
    <cfRule type="cellIs" dxfId="29" priority="30" stopIfTrue="1" operator="lessThan">
      <formula>0</formula>
    </cfRule>
  </conditionalFormatting>
  <conditionalFormatting sqref="BJ82:BK85 AS84:BK85 AW82:BK82">
    <cfRule type="cellIs" dxfId="28" priority="29" stopIfTrue="1" operator="lessThan">
      <formula>0</formula>
    </cfRule>
  </conditionalFormatting>
  <conditionalFormatting sqref="BJ87:BK90">
    <cfRule type="cellIs" dxfId="27" priority="28" stopIfTrue="1" operator="lessThan">
      <formula>0</formula>
    </cfRule>
  </conditionalFormatting>
  <conditionalFormatting sqref="BJ82:BK84 AS84:BK84 AW82:BK82">
    <cfRule type="cellIs" dxfId="26" priority="27" stopIfTrue="1" operator="lessThan">
      <formula>0</formula>
    </cfRule>
  </conditionalFormatting>
  <conditionalFormatting sqref="BJ87:BK90">
    <cfRule type="cellIs" dxfId="25" priority="26" stopIfTrue="1" operator="lessThan">
      <formula>0</formula>
    </cfRule>
  </conditionalFormatting>
  <conditionalFormatting sqref="BJ89:BK90">
    <cfRule type="cellIs" dxfId="24" priority="25" stopIfTrue="1" operator="lessThan">
      <formula>0</formula>
    </cfRule>
  </conditionalFormatting>
  <conditionalFormatting sqref="BJ93:BK98">
    <cfRule type="cellIs" dxfId="23" priority="24" stopIfTrue="1" operator="lessThan">
      <formula>0</formula>
    </cfRule>
  </conditionalFormatting>
  <conditionalFormatting sqref="BJ93:BK94">
    <cfRule type="cellIs" dxfId="22" priority="23" stopIfTrue="1" operator="lessThan">
      <formula>0</formula>
    </cfRule>
  </conditionalFormatting>
  <conditionalFormatting sqref="BJ93:BK94">
    <cfRule type="cellIs" dxfId="21" priority="22" stopIfTrue="1" operator="lessThan">
      <formula>0</formula>
    </cfRule>
  </conditionalFormatting>
  <conditionalFormatting sqref="BJ95:BK98">
    <cfRule type="cellIs" dxfId="20" priority="21" stopIfTrue="1" operator="lessThan">
      <formula>0</formula>
    </cfRule>
  </conditionalFormatting>
  <conditionalFormatting sqref="BJ97:BK98">
    <cfRule type="cellIs" dxfId="19" priority="20" stopIfTrue="1" operator="lessThan">
      <formula>0</formula>
    </cfRule>
  </conditionalFormatting>
  <conditionalFormatting sqref="BI80:BJ81">
    <cfRule type="cellIs" dxfId="18" priority="19" stopIfTrue="1" operator="lessThan">
      <formula>0</formula>
    </cfRule>
  </conditionalFormatting>
  <conditionalFormatting sqref="BI68:BJ71">
    <cfRule type="cellIs" dxfId="17" priority="18" stopIfTrue="1" operator="lessThan">
      <formula>0</formula>
    </cfRule>
  </conditionalFormatting>
  <conditionalFormatting sqref="BI73:BJ77">
    <cfRule type="cellIs" dxfId="16" priority="17" stopIfTrue="1" operator="lessThan">
      <formula>0</formula>
    </cfRule>
  </conditionalFormatting>
  <conditionalFormatting sqref="BI68:BJ71">
    <cfRule type="cellIs" dxfId="15" priority="16" stopIfTrue="1" operator="lessThan">
      <formula>0</formula>
    </cfRule>
  </conditionalFormatting>
  <conditionalFormatting sqref="BI73:BJ77">
    <cfRule type="cellIs" dxfId="14" priority="15" stopIfTrue="1" operator="lessThan">
      <formula>0</formula>
    </cfRule>
  </conditionalFormatting>
  <conditionalFormatting sqref="BI73:BJ76">
    <cfRule type="cellIs" dxfId="13" priority="14" stopIfTrue="1" operator="lessThan">
      <formula>0</formula>
    </cfRule>
  </conditionalFormatting>
  <conditionalFormatting sqref="BI73:BJ76">
    <cfRule type="cellIs" dxfId="12" priority="13" stopIfTrue="1" operator="lessThan">
      <formula>0</formula>
    </cfRule>
  </conditionalFormatting>
  <conditionalFormatting sqref="BI80:BJ81">
    <cfRule type="cellIs" dxfId="11" priority="12" stopIfTrue="1" operator="lessThan">
      <formula>0</formula>
    </cfRule>
  </conditionalFormatting>
  <conditionalFormatting sqref="BI80:BJ81">
    <cfRule type="cellIs" dxfId="10" priority="11" stopIfTrue="1" operator="lessThan">
      <formula>0</formula>
    </cfRule>
  </conditionalFormatting>
  <conditionalFormatting sqref="BI82:BJ85">
    <cfRule type="cellIs" dxfId="9" priority="10" stopIfTrue="1" operator="lessThan">
      <formula>0</formula>
    </cfRule>
  </conditionalFormatting>
  <conditionalFormatting sqref="BI87:BJ90">
    <cfRule type="cellIs" dxfId="8" priority="9" stopIfTrue="1" operator="lessThan">
      <formula>0</formula>
    </cfRule>
  </conditionalFormatting>
  <conditionalFormatting sqref="BI82:BJ84">
    <cfRule type="cellIs" dxfId="7" priority="8" stopIfTrue="1" operator="lessThan">
      <formula>0</formula>
    </cfRule>
  </conditionalFormatting>
  <conditionalFormatting sqref="BI87:BJ90">
    <cfRule type="cellIs" dxfId="6" priority="7" stopIfTrue="1" operator="lessThan">
      <formula>0</formula>
    </cfRule>
  </conditionalFormatting>
  <conditionalFormatting sqref="BI89:BJ90">
    <cfRule type="cellIs" dxfId="5" priority="6" stopIfTrue="1" operator="lessThan">
      <formula>0</formula>
    </cfRule>
  </conditionalFormatting>
  <conditionalFormatting sqref="BI93:BJ98">
    <cfRule type="cellIs" dxfId="4" priority="5" stopIfTrue="1" operator="lessThan">
      <formula>0</formula>
    </cfRule>
  </conditionalFormatting>
  <conditionalFormatting sqref="BI93:BJ94">
    <cfRule type="cellIs" dxfId="3" priority="4" stopIfTrue="1" operator="lessThan">
      <formula>0</formula>
    </cfRule>
  </conditionalFormatting>
  <conditionalFormatting sqref="BI93:BJ94">
    <cfRule type="cellIs" dxfId="2" priority="3" stopIfTrue="1" operator="lessThan">
      <formula>0</formula>
    </cfRule>
  </conditionalFormatting>
  <conditionalFormatting sqref="BI95:BJ98">
    <cfRule type="cellIs" dxfId="1" priority="2" stopIfTrue="1" operator="lessThan">
      <formula>0</formula>
    </cfRule>
  </conditionalFormatting>
  <conditionalFormatting sqref="BI97:BJ98">
    <cfRule type="cellIs" dxfId="0" priority="1" stopIfTrue="1" operator="lessThan">
      <formula>0</formula>
    </cfRule>
  </conditionalFormatting>
  <pageMargins left="0.8" right="0.25" top="0.5" bottom="0.5" header="0.5" footer="0.5"/>
  <pageSetup scale="68" orientation="landscape" r:id="rId1"/>
  <headerFooter alignWithMargins="0"/>
  <rowBreaks count="1" manualBreakCount="1">
    <brk id="80" max="36" man="1"/>
  </rowBreaks>
  <ignoredErrors>
    <ignoredError sqref="AB60:AB62" formulaRange="1"/>
    <ignoredError sqref="AC103:AC104 AP81:AQ81 AP104:AQ104 AP80 AS104 BA104:BC104" 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5">
    <tabColor theme="3" tint="0.59999389629810485"/>
  </sheetPr>
  <dimension ref="A1:CW348"/>
  <sheetViews>
    <sheetView showGridLines="0" zoomScaleNormal="100" workbookViewId="0">
      <pane xSplit="1" ySplit="4" topLeftCell="Y295" activePane="bottomRight" state="frozen"/>
      <selection pane="topRight" activeCell="B1" sqref="B1"/>
      <selection pane="bottomLeft" activeCell="A5" sqref="A5"/>
      <selection pane="bottomRight" activeCell="AE295" sqref="AE295"/>
    </sheetView>
  </sheetViews>
  <sheetFormatPr baseColWidth="10" defaultColWidth="9.140625" defaultRowHeight="12.75" outlineLevelCol="1"/>
  <cols>
    <col min="1" max="1" width="52.42578125" bestFit="1" customWidth="1"/>
    <col min="2" max="2" width="9.42578125" customWidth="1" outlineLevel="1"/>
    <col min="3" max="30" width="9.140625" customWidth="1" outlineLevel="1"/>
    <col min="31" max="31" width="9.140625" style="2180" customWidth="1" outlineLevel="1"/>
    <col min="32" max="49" width="9.140625" customWidth="1" outlineLevel="1"/>
    <col min="50" max="50" width="8.85546875"/>
    <col min="61" max="62" width="8.85546875"/>
    <col min="63" max="63" width="9.7109375" bestFit="1" customWidth="1"/>
    <col min="70" max="101" width="9.28515625" customWidth="1" outlineLevel="1"/>
    <col min="102" max="111" width="8.85546875"/>
    <col min="113" max="128" width="8.85546875"/>
  </cols>
  <sheetData>
    <row r="1" spans="1:101" ht="18">
      <c r="A1" s="24" t="str">
        <f>Index!$G$12</f>
        <v>Alsea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409"/>
      <c r="AB1" s="552"/>
      <c r="AC1" s="552"/>
      <c r="AD1" s="552"/>
      <c r="AE1" s="2125"/>
      <c r="AF1" s="552"/>
      <c r="AG1" s="552"/>
      <c r="AH1" s="552"/>
      <c r="AI1" s="552"/>
      <c r="AJ1" s="552"/>
      <c r="AK1" s="552"/>
      <c r="AL1" s="552"/>
      <c r="AM1" s="552"/>
      <c r="AN1" s="552"/>
      <c r="AO1" s="552"/>
      <c r="AP1" s="552"/>
      <c r="AQ1" s="552"/>
      <c r="AR1" s="552"/>
      <c r="AS1" s="552"/>
      <c r="AT1" s="552"/>
      <c r="AU1" s="552"/>
      <c r="AV1" s="552"/>
      <c r="AW1" s="552"/>
      <c r="AX1" s="552"/>
      <c r="AY1" s="552"/>
      <c r="AZ1" s="552"/>
      <c r="BA1" s="552"/>
      <c r="BB1" s="552"/>
      <c r="BC1" s="552"/>
      <c r="BD1" s="552"/>
      <c r="BE1" s="552"/>
      <c r="BF1" s="552"/>
      <c r="BG1" s="552"/>
      <c r="BH1" s="552"/>
      <c r="BI1" s="552"/>
      <c r="BJ1" s="552"/>
      <c r="BK1" s="552"/>
      <c r="BL1" s="552"/>
      <c r="BM1" s="552"/>
      <c r="BN1" s="552"/>
      <c r="BO1" s="409"/>
      <c r="BP1" s="409"/>
      <c r="BQ1" s="409"/>
      <c r="BR1" s="409"/>
      <c r="BS1" s="409"/>
      <c r="BT1" s="409"/>
      <c r="BU1" s="409"/>
      <c r="BV1" s="409"/>
      <c r="BW1" s="409"/>
      <c r="BX1" s="409"/>
      <c r="BY1" s="409"/>
      <c r="BZ1" s="409"/>
      <c r="CA1" s="409"/>
      <c r="CB1" s="409"/>
      <c r="CC1" s="409"/>
      <c r="CD1" s="409"/>
      <c r="CE1" s="409"/>
      <c r="CF1" s="409"/>
      <c r="CG1" s="409"/>
      <c r="CH1" s="409"/>
      <c r="CI1" s="409"/>
      <c r="CJ1" s="409"/>
      <c r="CK1" s="409"/>
      <c r="CL1" s="409"/>
      <c r="CM1" s="409"/>
      <c r="CN1" s="409"/>
      <c r="CO1" s="409"/>
      <c r="CP1" s="409"/>
      <c r="CQ1" s="409"/>
      <c r="CR1" s="409"/>
      <c r="CS1" s="409"/>
      <c r="CT1" s="409"/>
      <c r="CU1" s="409"/>
      <c r="CV1" s="409"/>
      <c r="CW1" s="409"/>
    </row>
    <row r="2" spans="1:101">
      <c r="A2" s="551" t="s">
        <v>31</v>
      </c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409"/>
      <c r="AB2" s="553"/>
      <c r="AC2" s="553"/>
      <c r="AD2" s="553"/>
      <c r="AE2" s="2126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409"/>
      <c r="BP2" s="409"/>
      <c r="BQ2" s="409"/>
      <c r="BR2" s="409"/>
      <c r="BS2" s="409"/>
      <c r="BT2" s="409"/>
      <c r="BU2" s="409"/>
      <c r="BV2" s="409"/>
      <c r="BW2" s="409"/>
      <c r="BX2" s="409"/>
      <c r="BY2" s="409"/>
      <c r="BZ2" s="409"/>
      <c r="CA2" s="409"/>
      <c r="CB2" s="409"/>
      <c r="CC2" s="409"/>
      <c r="CD2" s="409"/>
      <c r="CE2" s="409"/>
      <c r="CF2" s="409"/>
      <c r="CG2" s="409"/>
      <c r="CH2" s="409"/>
      <c r="CI2" s="409"/>
      <c r="CJ2" s="409"/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1"/>
      <c r="CV2" s="131"/>
      <c r="CW2" s="131" t="s">
        <v>317</v>
      </c>
    </row>
    <row r="3" spans="1:101" s="9" customFormat="1" ht="11.25">
      <c r="V3" s="9">
        <f t="shared" ref="V3:CG3" si="0">+YEAR(V4)</f>
        <v>2014</v>
      </c>
      <c r="W3" s="9">
        <f t="shared" si="0"/>
        <v>2014</v>
      </c>
      <c r="X3" s="9">
        <f t="shared" si="0"/>
        <v>2014</v>
      </c>
      <c r="Y3" s="9">
        <f t="shared" si="0"/>
        <v>2014</v>
      </c>
      <c r="Z3" s="9">
        <f t="shared" si="0"/>
        <v>2015</v>
      </c>
      <c r="AA3" s="9">
        <f t="shared" si="0"/>
        <v>2015</v>
      </c>
      <c r="AB3" s="9">
        <f t="shared" si="0"/>
        <v>2015</v>
      </c>
      <c r="AC3" s="9">
        <f t="shared" si="0"/>
        <v>2015</v>
      </c>
      <c r="AD3" s="9">
        <f t="shared" si="0"/>
        <v>2016</v>
      </c>
      <c r="AE3" s="2119">
        <f t="shared" si="0"/>
        <v>2016</v>
      </c>
      <c r="AF3" s="9">
        <f t="shared" si="0"/>
        <v>2016</v>
      </c>
      <c r="AG3" s="9">
        <f t="shared" si="0"/>
        <v>2016</v>
      </c>
      <c r="AH3" s="9">
        <f t="shared" si="0"/>
        <v>2017</v>
      </c>
      <c r="AI3" s="9">
        <f t="shared" si="0"/>
        <v>2017</v>
      </c>
      <c r="AJ3" s="9">
        <f t="shared" si="0"/>
        <v>2017</v>
      </c>
      <c r="AK3" s="9">
        <f t="shared" si="0"/>
        <v>2017</v>
      </c>
      <c r="AL3" s="9">
        <f t="shared" si="0"/>
        <v>2018</v>
      </c>
      <c r="AM3" s="9">
        <f t="shared" si="0"/>
        <v>2018</v>
      </c>
      <c r="AN3" s="9">
        <f t="shared" si="0"/>
        <v>2018</v>
      </c>
      <c r="AO3" s="9">
        <f t="shared" si="0"/>
        <v>2018</v>
      </c>
      <c r="AP3" s="9">
        <f t="shared" si="0"/>
        <v>2019</v>
      </c>
      <c r="AQ3" s="9">
        <f t="shared" si="0"/>
        <v>2019</v>
      </c>
      <c r="AR3" s="9">
        <f t="shared" si="0"/>
        <v>2019</v>
      </c>
      <c r="AS3" s="9">
        <f t="shared" si="0"/>
        <v>2019</v>
      </c>
      <c r="AT3" s="9">
        <f t="shared" si="0"/>
        <v>2020</v>
      </c>
      <c r="AU3" s="9">
        <f t="shared" si="0"/>
        <v>2020</v>
      </c>
      <c r="AV3" s="9">
        <f>+YEAR(AV4)</f>
        <v>2020</v>
      </c>
      <c r="AW3" s="9">
        <f>+YEAR(AW4)</f>
        <v>2020</v>
      </c>
      <c r="AX3" s="9">
        <f t="shared" si="0"/>
        <v>2021</v>
      </c>
      <c r="AY3" s="9">
        <f t="shared" si="0"/>
        <v>2021</v>
      </c>
      <c r="AZ3" s="9">
        <f t="shared" si="0"/>
        <v>2021</v>
      </c>
      <c r="BA3" s="9">
        <f t="shared" si="0"/>
        <v>2021</v>
      </c>
      <c r="BB3" s="9">
        <f t="shared" si="0"/>
        <v>2022</v>
      </c>
      <c r="BC3" s="9">
        <f>+YEAR(BC4)</f>
        <v>2022</v>
      </c>
      <c r="BD3" s="9">
        <f t="shared" si="0"/>
        <v>2022</v>
      </c>
      <c r="BE3" s="9">
        <f t="shared" si="0"/>
        <v>2022</v>
      </c>
      <c r="BF3" s="9">
        <f t="shared" si="0"/>
        <v>2023</v>
      </c>
      <c r="BG3" s="9">
        <f t="shared" si="0"/>
        <v>2023</v>
      </c>
      <c r="BH3" s="9">
        <f t="shared" si="0"/>
        <v>2023</v>
      </c>
      <c r="BI3" s="9">
        <f t="shared" si="0"/>
        <v>2023</v>
      </c>
      <c r="BJ3" s="9">
        <f t="shared" si="0"/>
        <v>2024</v>
      </c>
      <c r="BK3" s="9">
        <f t="shared" si="0"/>
        <v>2024</v>
      </c>
      <c r="BL3" s="1546">
        <f t="shared" si="0"/>
        <v>2024</v>
      </c>
      <c r="BM3" s="1546">
        <f t="shared" si="0"/>
        <v>2024</v>
      </c>
      <c r="BN3" s="1546">
        <f t="shared" si="0"/>
        <v>2025</v>
      </c>
      <c r="BO3" s="1546">
        <f t="shared" si="0"/>
        <v>2025</v>
      </c>
      <c r="BP3" s="1546">
        <f t="shared" si="0"/>
        <v>2025</v>
      </c>
      <c r="BQ3" s="1546">
        <f t="shared" si="0"/>
        <v>2025</v>
      </c>
      <c r="BR3" s="1546">
        <f>+YEAR(BR4)</f>
        <v>2026</v>
      </c>
      <c r="BS3" s="1546">
        <f t="shared" si="0"/>
        <v>2026</v>
      </c>
      <c r="BT3" s="1546">
        <f t="shared" si="0"/>
        <v>2026</v>
      </c>
      <c r="BU3" s="1546">
        <f t="shared" si="0"/>
        <v>2026</v>
      </c>
      <c r="BV3" s="1546">
        <f>+YEAR(BV4)</f>
        <v>2027</v>
      </c>
      <c r="BW3" s="1546">
        <f t="shared" si="0"/>
        <v>2027</v>
      </c>
      <c r="BX3" s="1546">
        <f t="shared" si="0"/>
        <v>2027</v>
      </c>
      <c r="BY3" s="1546">
        <f t="shared" si="0"/>
        <v>2027</v>
      </c>
      <c r="BZ3" s="1546">
        <f>+YEAR(BZ4)</f>
        <v>2028</v>
      </c>
      <c r="CA3" s="1546">
        <f t="shared" si="0"/>
        <v>2028</v>
      </c>
      <c r="CB3" s="1546">
        <f t="shared" si="0"/>
        <v>2028</v>
      </c>
      <c r="CC3" s="1546">
        <f t="shared" si="0"/>
        <v>2028</v>
      </c>
      <c r="CD3" s="1546">
        <f>+YEAR(CD4)</f>
        <v>2029</v>
      </c>
      <c r="CE3" s="1546">
        <f>+YEAR(CE4)</f>
        <v>2029</v>
      </c>
      <c r="CF3" s="1546">
        <f t="shared" si="0"/>
        <v>2029</v>
      </c>
      <c r="CG3" s="1546">
        <f t="shared" si="0"/>
        <v>2029</v>
      </c>
      <c r="CH3" s="1546">
        <f>+YEAR(CH4)</f>
        <v>2030</v>
      </c>
      <c r="CI3" s="1546">
        <f>+YEAR(CI4)</f>
        <v>2030</v>
      </c>
      <c r="CJ3" s="1546">
        <f>+YEAR(CJ4)</f>
        <v>2030</v>
      </c>
      <c r="CK3" s="1546">
        <f>+YEAR(CK4)</f>
        <v>2030</v>
      </c>
      <c r="CL3" s="1546">
        <f>+YEAR(CL4)</f>
        <v>2031</v>
      </c>
      <c r="CM3" s="1546">
        <f t="shared" ref="CM3:CT3" si="1">+YEAR(CM4)</f>
        <v>2031</v>
      </c>
      <c r="CN3" s="1546">
        <f t="shared" si="1"/>
        <v>2031</v>
      </c>
      <c r="CO3" s="1546">
        <f t="shared" si="1"/>
        <v>2031</v>
      </c>
      <c r="CP3" s="1546">
        <f t="shared" si="1"/>
        <v>2032</v>
      </c>
      <c r="CQ3" s="1546">
        <f t="shared" si="1"/>
        <v>2032</v>
      </c>
      <c r="CR3" s="1546">
        <f t="shared" si="1"/>
        <v>2032</v>
      </c>
      <c r="CS3" s="1546">
        <f t="shared" si="1"/>
        <v>2032</v>
      </c>
      <c r="CT3" s="1546">
        <f t="shared" si="1"/>
        <v>2033</v>
      </c>
      <c r="CU3" s="1546">
        <f t="shared" ref="CU3" si="2">+YEAR(CU4)</f>
        <v>2033</v>
      </c>
      <c r="CV3" s="1546">
        <f t="shared" ref="CV3" si="3">+YEAR(CV4)</f>
        <v>2033</v>
      </c>
      <c r="CW3" s="1546">
        <f t="shared" ref="CW3" si="4">+YEAR(CW4)</f>
        <v>2033</v>
      </c>
    </row>
    <row r="4" spans="1:101" s="9" customFormat="1" ht="11.25">
      <c r="A4" s="291" t="s">
        <v>1098</v>
      </c>
      <c r="B4" s="601">
        <v>39903</v>
      </c>
      <c r="C4" s="601">
        <v>39994</v>
      </c>
      <c r="D4" s="601">
        <v>40086</v>
      </c>
      <c r="E4" s="601">
        <v>40178</v>
      </c>
      <c r="F4" s="601">
        <v>40268</v>
      </c>
      <c r="G4" s="601">
        <v>40359</v>
      </c>
      <c r="H4" s="601">
        <v>40451</v>
      </c>
      <c r="I4" s="601">
        <v>40543</v>
      </c>
      <c r="J4" s="601">
        <v>40633</v>
      </c>
      <c r="K4" s="601">
        <v>40724</v>
      </c>
      <c r="L4" s="601">
        <v>40816</v>
      </c>
      <c r="M4" s="601">
        <v>40908</v>
      </c>
      <c r="N4" s="601">
        <v>40999</v>
      </c>
      <c r="O4" s="601">
        <v>41090</v>
      </c>
      <c r="P4" s="601">
        <v>41182</v>
      </c>
      <c r="Q4" s="601">
        <v>41274</v>
      </c>
      <c r="R4" s="601">
        <v>41364</v>
      </c>
      <c r="S4" s="601">
        <v>41455</v>
      </c>
      <c r="T4" s="601">
        <v>41547</v>
      </c>
      <c r="U4" s="601">
        <v>41639</v>
      </c>
      <c r="V4" s="601">
        <v>41729</v>
      </c>
      <c r="W4" s="601">
        <v>41820</v>
      </c>
      <c r="X4" s="601">
        <v>41912</v>
      </c>
      <c r="Y4" s="601">
        <v>42004</v>
      </c>
      <c r="Z4" s="601">
        <v>42094</v>
      </c>
      <c r="AA4" s="601">
        <v>42185</v>
      </c>
      <c r="AB4" s="601">
        <v>42277</v>
      </c>
      <c r="AC4" s="601">
        <v>42369</v>
      </c>
      <c r="AD4" s="601">
        <v>42460</v>
      </c>
      <c r="AE4" s="2127">
        <v>42551</v>
      </c>
      <c r="AF4" s="601">
        <v>42643</v>
      </c>
      <c r="AG4" s="601">
        <v>42735</v>
      </c>
      <c r="AH4" s="601">
        <v>42825</v>
      </c>
      <c r="AI4" s="601">
        <v>42916</v>
      </c>
      <c r="AJ4" s="601">
        <v>43008</v>
      </c>
      <c r="AK4" s="601">
        <v>43100</v>
      </c>
      <c r="AL4" s="601">
        <v>43190</v>
      </c>
      <c r="AM4" s="601">
        <v>43281</v>
      </c>
      <c r="AN4" s="601">
        <v>43373</v>
      </c>
      <c r="AO4" s="601">
        <v>43465</v>
      </c>
      <c r="AP4" s="601">
        <v>43555</v>
      </c>
      <c r="AQ4" s="601">
        <v>43646</v>
      </c>
      <c r="AR4" s="601">
        <v>43738</v>
      </c>
      <c r="AS4" s="601">
        <v>43830</v>
      </c>
      <c r="AT4" s="601">
        <v>43921</v>
      </c>
      <c r="AU4" s="601">
        <v>44012</v>
      </c>
      <c r="AV4" s="601">
        <v>44104</v>
      </c>
      <c r="AW4" s="601">
        <v>44196</v>
      </c>
      <c r="AX4" s="601">
        <v>44286</v>
      </c>
      <c r="AY4" s="601">
        <v>44377</v>
      </c>
      <c r="AZ4" s="601">
        <v>44469</v>
      </c>
      <c r="BA4" s="601">
        <v>44561</v>
      </c>
      <c r="BB4" s="601">
        <v>44651</v>
      </c>
      <c r="BC4" s="601">
        <v>44742</v>
      </c>
      <c r="BD4" s="601">
        <v>44834</v>
      </c>
      <c r="BE4" s="601">
        <v>44926</v>
      </c>
      <c r="BF4" s="601">
        <v>45016</v>
      </c>
      <c r="BG4" s="601">
        <v>45107</v>
      </c>
      <c r="BH4" s="601">
        <v>45199</v>
      </c>
      <c r="BI4" s="601">
        <v>45291</v>
      </c>
      <c r="BJ4" s="601">
        <v>45382</v>
      </c>
      <c r="BK4" s="601">
        <v>45473</v>
      </c>
      <c r="BL4" s="600">
        <v>45565</v>
      </c>
      <c r="BM4" s="600">
        <v>45657</v>
      </c>
      <c r="BN4" s="600">
        <v>45747</v>
      </c>
      <c r="BO4" s="600">
        <v>45838</v>
      </c>
      <c r="BP4" s="600">
        <v>45930</v>
      </c>
      <c r="BQ4" s="600">
        <v>46022</v>
      </c>
      <c r="BR4" s="600">
        <v>46112</v>
      </c>
      <c r="BS4" s="600">
        <v>46203</v>
      </c>
      <c r="BT4" s="600">
        <v>46295</v>
      </c>
      <c r="BU4" s="600">
        <v>46387</v>
      </c>
      <c r="BV4" s="600">
        <v>46477</v>
      </c>
      <c r="BW4" s="600">
        <v>46568</v>
      </c>
      <c r="BX4" s="600">
        <v>46660</v>
      </c>
      <c r="BY4" s="600">
        <v>46752</v>
      </c>
      <c r="BZ4" s="600">
        <v>46843</v>
      </c>
      <c r="CA4" s="600">
        <v>46934</v>
      </c>
      <c r="CB4" s="600">
        <v>47026</v>
      </c>
      <c r="CC4" s="600">
        <v>47118</v>
      </c>
      <c r="CD4" s="600">
        <v>47208</v>
      </c>
      <c r="CE4" s="600">
        <v>47299</v>
      </c>
      <c r="CF4" s="600">
        <v>47391</v>
      </c>
      <c r="CG4" s="600">
        <v>47483</v>
      </c>
      <c r="CH4" s="600">
        <v>47573</v>
      </c>
      <c r="CI4" s="600">
        <v>47664</v>
      </c>
      <c r="CJ4" s="600">
        <v>47756</v>
      </c>
      <c r="CK4" s="600">
        <v>47848</v>
      </c>
      <c r="CL4" s="600">
        <v>47938</v>
      </c>
      <c r="CM4" s="600">
        <v>48029</v>
      </c>
      <c r="CN4" s="600">
        <v>48121</v>
      </c>
      <c r="CO4" s="600">
        <v>48213</v>
      </c>
      <c r="CP4" s="600">
        <v>48304</v>
      </c>
      <c r="CQ4" s="600">
        <v>48395</v>
      </c>
      <c r="CR4" s="600">
        <v>48487</v>
      </c>
      <c r="CS4" s="600">
        <v>48579</v>
      </c>
      <c r="CT4" s="600">
        <v>48669</v>
      </c>
      <c r="CU4" s="600">
        <v>48760</v>
      </c>
      <c r="CV4" s="600">
        <v>48852</v>
      </c>
      <c r="CW4" s="600">
        <v>48944</v>
      </c>
    </row>
    <row r="5" spans="1:101" s="9" customFormat="1" ht="11.25">
      <c r="A5" s="280" t="s">
        <v>731</v>
      </c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441"/>
      <c r="AB5" s="276"/>
      <c r="AC5" s="276"/>
      <c r="AD5" s="276"/>
      <c r="AE5" s="2128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6"/>
      <c r="BC5" s="276"/>
      <c r="BD5" s="276"/>
      <c r="BE5" s="276"/>
      <c r="BF5" s="276"/>
      <c r="BG5" s="276"/>
      <c r="BH5" s="276"/>
      <c r="BI5" s="276"/>
      <c r="BJ5" s="276"/>
      <c r="BK5" s="1351"/>
      <c r="BL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W5" s="276"/>
      <c r="BX5" s="276"/>
      <c r="BY5" s="276"/>
      <c r="BZ5" s="276"/>
      <c r="CA5" s="276"/>
      <c r="CB5" s="276"/>
      <c r="CC5" s="276"/>
      <c r="CD5" s="276"/>
      <c r="CE5" s="276"/>
      <c r="CF5" s="276"/>
      <c r="CG5" s="276"/>
      <c r="CH5" s="276"/>
      <c r="CI5" s="276"/>
      <c r="CJ5" s="276"/>
      <c r="CK5" s="276"/>
      <c r="CL5" s="276"/>
      <c r="CM5" s="276"/>
      <c r="CN5" s="276"/>
      <c r="CO5" s="276"/>
      <c r="CP5" s="276"/>
      <c r="CQ5" s="276"/>
      <c r="CR5" s="276"/>
      <c r="CS5" s="276"/>
      <c r="CT5" s="276"/>
      <c r="CU5" s="276"/>
      <c r="CV5" s="276"/>
      <c r="CW5" s="276"/>
    </row>
    <row r="6" spans="1:101" s="9" customFormat="1" ht="11.25">
      <c r="A6" s="331"/>
      <c r="B6" s="62"/>
      <c r="C6" s="62"/>
      <c r="D6" s="62"/>
      <c r="E6" s="62"/>
      <c r="F6" s="316"/>
      <c r="G6" s="333"/>
      <c r="H6" s="333"/>
      <c r="I6" s="316"/>
      <c r="J6" s="316"/>
      <c r="K6" s="333"/>
      <c r="L6" s="333"/>
      <c r="M6" s="316"/>
      <c r="N6" s="355"/>
      <c r="O6" s="355"/>
      <c r="P6" s="355"/>
      <c r="Q6" s="316"/>
      <c r="R6" s="316"/>
      <c r="S6" s="316"/>
      <c r="T6" s="316"/>
      <c r="U6" s="316"/>
      <c r="V6" s="316"/>
      <c r="W6" s="316"/>
      <c r="X6" s="316"/>
      <c r="Y6" s="316"/>
      <c r="Z6" s="316"/>
      <c r="AA6" s="355"/>
      <c r="AB6" s="316"/>
      <c r="AC6" s="316"/>
      <c r="AD6" s="316"/>
      <c r="AE6" s="2129"/>
      <c r="AF6" s="316"/>
      <c r="AG6" s="316"/>
      <c r="AH6" s="316"/>
      <c r="AI6" s="316"/>
      <c r="AJ6" s="316"/>
      <c r="AK6" s="316"/>
      <c r="AL6" s="316"/>
      <c r="AM6" s="316"/>
      <c r="AN6" s="316"/>
      <c r="AO6" s="316"/>
      <c r="BK6" s="1318"/>
    </row>
    <row r="7" spans="1:101" s="9" customFormat="1" ht="11.25">
      <c r="A7" s="331" t="s">
        <v>752</v>
      </c>
      <c r="B7" s="62"/>
      <c r="C7" s="62"/>
      <c r="D7" s="62"/>
      <c r="E7" s="62"/>
      <c r="F7" s="316"/>
      <c r="G7" s="333"/>
      <c r="H7" s="333"/>
      <c r="I7" s="316"/>
      <c r="J7" s="316"/>
      <c r="K7" s="333"/>
      <c r="L7" s="333"/>
      <c r="M7" s="316"/>
      <c r="N7" s="355"/>
      <c r="O7" s="355"/>
      <c r="P7" s="355"/>
      <c r="Q7" s="316"/>
      <c r="R7" s="316"/>
      <c r="S7" s="316"/>
      <c r="T7" s="316"/>
      <c r="U7" s="316"/>
      <c r="V7" s="316"/>
      <c r="W7" s="316"/>
      <c r="X7" s="316"/>
      <c r="Y7" s="316"/>
      <c r="Z7" s="316"/>
      <c r="AA7" s="355"/>
      <c r="AB7" s="316"/>
      <c r="AC7" s="316"/>
      <c r="AD7" s="316"/>
      <c r="AE7" s="2129"/>
      <c r="AF7" s="316"/>
      <c r="AG7" s="316"/>
      <c r="AH7" s="316"/>
      <c r="AI7" s="316"/>
      <c r="AJ7" s="316"/>
      <c r="AK7" s="316"/>
      <c r="AL7" s="316"/>
      <c r="AM7" s="316"/>
      <c r="AN7" s="316"/>
      <c r="AO7" s="316"/>
      <c r="BK7" s="1318"/>
    </row>
    <row r="8" spans="1:101" s="9" customFormat="1" ht="11.25">
      <c r="A8" s="331"/>
      <c r="B8" s="62"/>
      <c r="C8" s="62"/>
      <c r="D8" s="62"/>
      <c r="E8" s="62"/>
      <c r="F8" s="316"/>
      <c r="G8" s="333"/>
      <c r="H8" s="333"/>
      <c r="I8" s="316"/>
      <c r="J8" s="316"/>
      <c r="K8" s="333"/>
      <c r="L8" s="333"/>
      <c r="M8" s="316"/>
      <c r="N8" s="355"/>
      <c r="O8" s="355"/>
      <c r="P8" s="355"/>
      <c r="Q8" s="316"/>
      <c r="R8" s="316"/>
      <c r="S8" s="316"/>
      <c r="T8" s="316"/>
      <c r="U8" s="316"/>
      <c r="V8" s="316"/>
      <c r="W8" s="316"/>
      <c r="X8" s="316"/>
      <c r="Y8" s="316"/>
      <c r="Z8" s="316"/>
      <c r="AA8" s="355"/>
      <c r="AB8" s="316"/>
      <c r="AC8" s="316"/>
      <c r="AD8" s="316"/>
      <c r="AE8" s="2129"/>
      <c r="AF8" s="316"/>
      <c r="AG8" s="316"/>
      <c r="AH8" s="316"/>
      <c r="AI8" s="316"/>
      <c r="AJ8" s="316"/>
      <c r="AK8" s="316"/>
      <c r="AL8" s="316"/>
      <c r="AM8" s="316"/>
      <c r="AN8" s="316"/>
      <c r="AO8" s="316"/>
      <c r="BK8" s="1318"/>
    </row>
    <row r="9" spans="1:101" s="9" customFormat="1" ht="11.25">
      <c r="A9" s="622" t="s">
        <v>947</v>
      </c>
      <c r="B9" s="423">
        <f>IS!C73</f>
        <v>994</v>
      </c>
      <c r="C9" s="423">
        <f>IS!D73</f>
        <v>993</v>
      </c>
      <c r="D9" s="423">
        <f>IS!E73</f>
        <v>990</v>
      </c>
      <c r="E9" s="423">
        <f>IS!F73</f>
        <v>1001</v>
      </c>
      <c r="F9" s="423">
        <f>IS!G73</f>
        <v>1000</v>
      </c>
      <c r="G9" s="423">
        <f>IS!H73</f>
        <v>1010</v>
      </c>
      <c r="H9" s="423">
        <f>IS!I73</f>
        <v>1017</v>
      </c>
      <c r="I9" s="423">
        <f>IS!J73</f>
        <v>1037</v>
      </c>
      <c r="J9" s="423">
        <f>IS!K73</f>
        <v>1039</v>
      </c>
      <c r="K9" s="423">
        <f>IS!L73</f>
        <v>1051</v>
      </c>
      <c r="L9" s="423">
        <f>IS!M73</f>
        <v>1053</v>
      </c>
      <c r="M9" s="423">
        <f>IS!N73</f>
        <v>1075</v>
      </c>
      <c r="N9" s="423">
        <f>IS!O73</f>
        <v>1129</v>
      </c>
      <c r="O9" s="423">
        <f>IS!P73</f>
        <v>1139</v>
      </c>
      <c r="P9" s="423">
        <f>IS!Q73</f>
        <v>1152</v>
      </c>
      <c r="Q9" s="423">
        <f>IS!R73</f>
        <v>1186</v>
      </c>
      <c r="R9" s="423">
        <f>IS!S73</f>
        <v>1178</v>
      </c>
      <c r="S9" s="423">
        <f>IS!T73</f>
        <v>1505</v>
      </c>
      <c r="T9" s="423">
        <f>IS!U73</f>
        <v>1536</v>
      </c>
      <c r="U9" s="423">
        <f>IS!V73</f>
        <v>1575</v>
      </c>
      <c r="V9" s="423">
        <f>IS!W73</f>
        <v>1587</v>
      </c>
      <c r="W9" s="423">
        <f>IS!X73</f>
        <v>1943</v>
      </c>
      <c r="X9" s="423">
        <f>IS!Y73</f>
        <v>1960</v>
      </c>
      <c r="Y9" s="423">
        <f>IS!Z73</f>
        <v>1999</v>
      </c>
      <c r="Z9" s="423">
        <f>IS!AA73</f>
        <v>1996</v>
      </c>
      <c r="AA9" s="423">
        <f>IS!AB73</f>
        <v>2020</v>
      </c>
      <c r="AB9" s="423">
        <f>IS!AC73</f>
        <v>2068</v>
      </c>
      <c r="AC9" s="423">
        <f>IS!AD73</f>
        <v>2092</v>
      </c>
      <c r="AD9" s="423">
        <f>IS!AE73</f>
        <v>2090</v>
      </c>
      <c r="AE9" s="2130">
        <f>IS!AF73</f>
        <v>2106</v>
      </c>
      <c r="AF9" s="423">
        <f>IS!AG73</f>
        <v>2140</v>
      </c>
      <c r="AG9" s="423">
        <f>IS!AH73</f>
        <v>2215</v>
      </c>
      <c r="AH9" s="423">
        <f>IS!AI73</f>
        <v>2236</v>
      </c>
      <c r="AI9" s="423">
        <f>IS!AJ73</f>
        <v>2257</v>
      </c>
      <c r="AJ9" s="423">
        <f>IS!AK73</f>
        <v>2295</v>
      </c>
      <c r="AK9" s="423">
        <f>IS!AL73</f>
        <v>2346</v>
      </c>
      <c r="AL9" s="423">
        <f>IS!AM73</f>
        <v>2358</v>
      </c>
      <c r="AM9" s="962">
        <f>IS!AN73</f>
        <v>2387</v>
      </c>
      <c r="AN9" s="962">
        <f>IS!AO73</f>
        <v>2410</v>
      </c>
      <c r="AO9" s="962">
        <f>IS!AP73</f>
        <v>2467</v>
      </c>
      <c r="AP9" s="962">
        <f>IS!AQ73</f>
        <v>2477</v>
      </c>
      <c r="AQ9" s="962">
        <f>IS!AR73</f>
        <v>2463</v>
      </c>
      <c r="AR9" s="962">
        <f>IS!AS73</f>
        <v>2469</v>
      </c>
      <c r="AS9" s="962">
        <f>IS!AT73</f>
        <v>2272</v>
      </c>
      <c r="AT9" s="962">
        <f>IS!AU73</f>
        <v>2263</v>
      </c>
      <c r="AU9" s="962">
        <f>IS!AV73</f>
        <v>2236</v>
      </c>
      <c r="AV9" s="962">
        <f>IS!AW73</f>
        <v>2219</v>
      </c>
      <c r="AW9" s="962">
        <f>IS!AX73</f>
        <v>2184</v>
      </c>
      <c r="AX9" s="962">
        <f>IS!AY73</f>
        <v>2171</v>
      </c>
      <c r="AY9" s="962">
        <f>IS!AZ73</f>
        <v>2169</v>
      </c>
      <c r="AZ9" s="962">
        <f>IS!BA73</f>
        <v>2159</v>
      </c>
      <c r="BA9" s="962">
        <f>IS!BB73</f>
        <v>2174</v>
      </c>
      <c r="BB9" s="962">
        <f>IS!BC73</f>
        <v>2181</v>
      </c>
      <c r="BC9" s="962">
        <f>IS!BD73</f>
        <v>2192</v>
      </c>
      <c r="BD9" s="962">
        <f>IS!BE73</f>
        <v>2204</v>
      </c>
      <c r="BE9" s="962">
        <f>IS!BF73</f>
        <v>2248</v>
      </c>
      <c r="BF9" s="962">
        <f>IS!BG73</f>
        <v>2244</v>
      </c>
      <c r="BG9" s="962">
        <f>IS!BH73</f>
        <v>2237</v>
      </c>
      <c r="BH9" s="962">
        <f>IS!BI73</f>
        <v>2248</v>
      </c>
      <c r="BI9" s="962">
        <f>IS!BJ73</f>
        <v>2313</v>
      </c>
      <c r="BJ9" s="962">
        <f>IS!BK73</f>
        <v>2331</v>
      </c>
      <c r="BK9" s="1352">
        <f>IS!BL73</f>
        <v>2358</v>
      </c>
      <c r="BL9" s="656">
        <f>+BL14+BL18</f>
        <v>2371</v>
      </c>
      <c r="BM9" s="656">
        <f t="shared" ref="BL9:BQ9" si="5">+BM14+BM18</f>
        <v>2388</v>
      </c>
      <c r="BN9" s="656">
        <f t="shared" si="5"/>
        <v>2404</v>
      </c>
      <c r="BO9" s="656">
        <f t="shared" si="5"/>
        <v>2420</v>
      </c>
      <c r="BP9" s="656">
        <f t="shared" si="5"/>
        <v>2436</v>
      </c>
      <c r="BQ9" s="656">
        <f t="shared" si="5"/>
        <v>2471</v>
      </c>
      <c r="BR9" s="656">
        <f t="shared" ref="BR9:CK9" si="6">+BR14+BR18</f>
        <v>2485</v>
      </c>
      <c r="BS9" s="656">
        <f t="shared" si="6"/>
        <v>2499</v>
      </c>
      <c r="BT9" s="656">
        <f t="shared" si="6"/>
        <v>2513</v>
      </c>
      <c r="BU9" s="656">
        <f t="shared" si="6"/>
        <v>2541</v>
      </c>
      <c r="BV9" s="656">
        <f t="shared" si="6"/>
        <v>2553</v>
      </c>
      <c r="BW9" s="656">
        <f t="shared" si="6"/>
        <v>2565</v>
      </c>
      <c r="BX9" s="656">
        <f t="shared" si="6"/>
        <v>2577</v>
      </c>
      <c r="BY9" s="656">
        <f t="shared" si="6"/>
        <v>2600</v>
      </c>
      <c r="BZ9" s="656">
        <f t="shared" si="6"/>
        <v>2612</v>
      </c>
      <c r="CA9" s="656">
        <f t="shared" si="6"/>
        <v>2624</v>
      </c>
      <c r="CB9" s="656">
        <f t="shared" si="6"/>
        <v>2636</v>
      </c>
      <c r="CC9" s="656">
        <f t="shared" si="6"/>
        <v>2659</v>
      </c>
      <c r="CD9" s="656">
        <f t="shared" si="6"/>
        <v>2671</v>
      </c>
      <c r="CE9" s="656">
        <f t="shared" si="6"/>
        <v>2683</v>
      </c>
      <c r="CF9" s="656">
        <f t="shared" si="6"/>
        <v>2695</v>
      </c>
      <c r="CG9" s="656">
        <f t="shared" si="6"/>
        <v>2718</v>
      </c>
      <c r="CH9" s="656">
        <f t="shared" si="6"/>
        <v>2728</v>
      </c>
      <c r="CI9" s="656">
        <f t="shared" si="6"/>
        <v>2738</v>
      </c>
      <c r="CJ9" s="656">
        <f t="shared" si="6"/>
        <v>2748</v>
      </c>
      <c r="CK9" s="656">
        <f t="shared" si="6"/>
        <v>2767</v>
      </c>
      <c r="CL9" s="656">
        <f t="shared" ref="CL9:CW9" si="7">+CL14+CL18</f>
        <v>2777</v>
      </c>
      <c r="CM9" s="656">
        <f t="shared" si="7"/>
        <v>2787</v>
      </c>
      <c r="CN9" s="656">
        <f t="shared" si="7"/>
        <v>2797</v>
      </c>
      <c r="CO9" s="656">
        <f t="shared" si="7"/>
        <v>2816</v>
      </c>
      <c r="CP9" s="656">
        <f t="shared" si="7"/>
        <v>2826</v>
      </c>
      <c r="CQ9" s="656">
        <f t="shared" si="7"/>
        <v>2836</v>
      </c>
      <c r="CR9" s="656">
        <f t="shared" si="7"/>
        <v>2846</v>
      </c>
      <c r="CS9" s="656">
        <f t="shared" si="7"/>
        <v>2865</v>
      </c>
      <c r="CT9" s="656">
        <f t="shared" si="7"/>
        <v>2874</v>
      </c>
      <c r="CU9" s="656">
        <f t="shared" si="7"/>
        <v>2883</v>
      </c>
      <c r="CV9" s="656">
        <f t="shared" si="7"/>
        <v>2892</v>
      </c>
      <c r="CW9" s="656">
        <f t="shared" si="7"/>
        <v>2910</v>
      </c>
    </row>
    <row r="10" spans="1:101" s="9" customFormat="1" ht="11.25">
      <c r="A10" s="655" t="s">
        <v>940</v>
      </c>
      <c r="B10" s="62"/>
      <c r="C10" s="369">
        <f t="shared" ref="C10:AZ10" si="8">+C9-B9</f>
        <v>-1</v>
      </c>
      <c r="D10" s="369">
        <f t="shared" si="8"/>
        <v>-3</v>
      </c>
      <c r="E10" s="369">
        <f t="shared" si="8"/>
        <v>11</v>
      </c>
      <c r="F10" s="369">
        <f t="shared" si="8"/>
        <v>-1</v>
      </c>
      <c r="G10" s="369">
        <f t="shared" si="8"/>
        <v>10</v>
      </c>
      <c r="H10" s="369">
        <f t="shared" si="8"/>
        <v>7</v>
      </c>
      <c r="I10" s="369">
        <f t="shared" si="8"/>
        <v>20</v>
      </c>
      <c r="J10" s="369">
        <f t="shared" si="8"/>
        <v>2</v>
      </c>
      <c r="K10" s="369">
        <f t="shared" si="8"/>
        <v>12</v>
      </c>
      <c r="L10" s="369">
        <f t="shared" si="8"/>
        <v>2</v>
      </c>
      <c r="M10" s="369">
        <f t="shared" si="8"/>
        <v>22</v>
      </c>
      <c r="N10" s="369">
        <f t="shared" si="8"/>
        <v>54</v>
      </c>
      <c r="O10" s="369">
        <f t="shared" si="8"/>
        <v>10</v>
      </c>
      <c r="P10" s="369">
        <f t="shared" si="8"/>
        <v>13</v>
      </c>
      <c r="Q10" s="369">
        <f t="shared" si="8"/>
        <v>34</v>
      </c>
      <c r="R10" s="369">
        <f t="shared" si="8"/>
        <v>-8</v>
      </c>
      <c r="S10" s="369">
        <f t="shared" si="8"/>
        <v>327</v>
      </c>
      <c r="T10" s="369">
        <f t="shared" si="8"/>
        <v>31</v>
      </c>
      <c r="U10" s="369">
        <f t="shared" si="8"/>
        <v>39</v>
      </c>
      <c r="V10" s="369">
        <f t="shared" si="8"/>
        <v>12</v>
      </c>
      <c r="W10" s="369">
        <f t="shared" si="8"/>
        <v>356</v>
      </c>
      <c r="X10" s="369">
        <f t="shared" si="8"/>
        <v>17</v>
      </c>
      <c r="Y10" s="369">
        <f t="shared" si="8"/>
        <v>39</v>
      </c>
      <c r="Z10" s="369">
        <f t="shared" si="8"/>
        <v>-3</v>
      </c>
      <c r="AA10" s="369">
        <f t="shared" si="8"/>
        <v>24</v>
      </c>
      <c r="AB10" s="369">
        <f t="shared" si="8"/>
        <v>48</v>
      </c>
      <c r="AC10" s="369">
        <f t="shared" si="8"/>
        <v>24</v>
      </c>
      <c r="AD10" s="369">
        <f t="shared" si="8"/>
        <v>-2</v>
      </c>
      <c r="AE10" s="2131">
        <f t="shared" si="8"/>
        <v>16</v>
      </c>
      <c r="AF10" s="369">
        <f t="shared" si="8"/>
        <v>34</v>
      </c>
      <c r="AG10" s="369">
        <f t="shared" si="8"/>
        <v>75</v>
      </c>
      <c r="AH10" s="369">
        <f t="shared" si="8"/>
        <v>21</v>
      </c>
      <c r="AI10" s="369">
        <f t="shared" si="8"/>
        <v>21</v>
      </c>
      <c r="AJ10" s="369">
        <f t="shared" si="8"/>
        <v>38</v>
      </c>
      <c r="AK10" s="369">
        <f t="shared" si="8"/>
        <v>51</v>
      </c>
      <c r="AL10" s="369">
        <f t="shared" si="8"/>
        <v>12</v>
      </c>
      <c r="AM10" s="586">
        <f t="shared" si="8"/>
        <v>29</v>
      </c>
      <c r="AN10" s="586">
        <f t="shared" si="8"/>
        <v>23</v>
      </c>
      <c r="AO10" s="586">
        <f t="shared" si="8"/>
        <v>57</v>
      </c>
      <c r="AP10" s="586">
        <f t="shared" si="8"/>
        <v>10</v>
      </c>
      <c r="AQ10" s="586">
        <f t="shared" si="8"/>
        <v>-14</v>
      </c>
      <c r="AR10" s="586">
        <f t="shared" si="8"/>
        <v>6</v>
      </c>
      <c r="AS10" s="586">
        <f t="shared" si="8"/>
        <v>-197</v>
      </c>
      <c r="AT10" s="586">
        <f t="shared" si="8"/>
        <v>-9</v>
      </c>
      <c r="AU10" s="586">
        <f t="shared" si="8"/>
        <v>-27</v>
      </c>
      <c r="AV10" s="586">
        <f t="shared" si="8"/>
        <v>-17</v>
      </c>
      <c r="AW10" s="586">
        <f t="shared" si="8"/>
        <v>-35</v>
      </c>
      <c r="AX10" s="586">
        <f t="shared" si="8"/>
        <v>-13</v>
      </c>
      <c r="AY10" s="586">
        <f t="shared" si="8"/>
        <v>-2</v>
      </c>
      <c r="AZ10" s="586">
        <f t="shared" si="8"/>
        <v>-10</v>
      </c>
      <c r="BA10" s="586">
        <f t="shared" ref="BA10:BK10" si="9">+BA9-AZ9</f>
        <v>15</v>
      </c>
      <c r="BB10" s="586">
        <f t="shared" si="9"/>
        <v>7</v>
      </c>
      <c r="BC10" s="586">
        <f t="shared" si="9"/>
        <v>11</v>
      </c>
      <c r="BD10" s="586">
        <f t="shared" si="9"/>
        <v>12</v>
      </c>
      <c r="BE10" s="586">
        <f t="shared" si="9"/>
        <v>44</v>
      </c>
      <c r="BF10" s="586">
        <f t="shared" si="9"/>
        <v>-4</v>
      </c>
      <c r="BG10" s="586">
        <f t="shared" si="9"/>
        <v>-7</v>
      </c>
      <c r="BH10" s="586">
        <f t="shared" si="9"/>
        <v>11</v>
      </c>
      <c r="BI10" s="586">
        <f t="shared" si="9"/>
        <v>65</v>
      </c>
      <c r="BJ10" s="586">
        <f t="shared" si="9"/>
        <v>18</v>
      </c>
      <c r="BK10" s="1353">
        <f t="shared" si="9"/>
        <v>27</v>
      </c>
      <c r="BL10" s="587">
        <f>+BL15+BL19</f>
        <v>13</v>
      </c>
      <c r="BM10" s="587">
        <f t="shared" ref="BL10:BQ10" si="10">+BM15+BM19</f>
        <v>17</v>
      </c>
      <c r="BN10" s="587">
        <f t="shared" si="10"/>
        <v>16</v>
      </c>
      <c r="BO10" s="587">
        <f t="shared" si="10"/>
        <v>16</v>
      </c>
      <c r="BP10" s="587">
        <f t="shared" si="10"/>
        <v>16</v>
      </c>
      <c r="BQ10" s="587">
        <f t="shared" si="10"/>
        <v>35</v>
      </c>
      <c r="BR10" s="587">
        <f t="shared" ref="BR10:CK10" si="11">+BR15+BR19</f>
        <v>14</v>
      </c>
      <c r="BS10" s="587">
        <f t="shared" si="11"/>
        <v>14</v>
      </c>
      <c r="BT10" s="587">
        <f t="shared" si="11"/>
        <v>14</v>
      </c>
      <c r="BU10" s="587">
        <f t="shared" si="11"/>
        <v>28</v>
      </c>
      <c r="BV10" s="587">
        <f t="shared" si="11"/>
        <v>12</v>
      </c>
      <c r="BW10" s="587">
        <f t="shared" si="11"/>
        <v>12</v>
      </c>
      <c r="BX10" s="587">
        <f t="shared" si="11"/>
        <v>12</v>
      </c>
      <c r="BY10" s="587">
        <f t="shared" si="11"/>
        <v>23</v>
      </c>
      <c r="BZ10" s="587">
        <f t="shared" si="11"/>
        <v>12</v>
      </c>
      <c r="CA10" s="587">
        <f t="shared" si="11"/>
        <v>12</v>
      </c>
      <c r="CB10" s="587">
        <f t="shared" si="11"/>
        <v>12</v>
      </c>
      <c r="CC10" s="587">
        <f t="shared" si="11"/>
        <v>23</v>
      </c>
      <c r="CD10" s="587">
        <f t="shared" si="11"/>
        <v>12</v>
      </c>
      <c r="CE10" s="587">
        <f t="shared" si="11"/>
        <v>12</v>
      </c>
      <c r="CF10" s="587">
        <f t="shared" si="11"/>
        <v>12</v>
      </c>
      <c r="CG10" s="587">
        <f t="shared" si="11"/>
        <v>23</v>
      </c>
      <c r="CH10" s="587">
        <f t="shared" si="11"/>
        <v>10</v>
      </c>
      <c r="CI10" s="587">
        <f t="shared" si="11"/>
        <v>10</v>
      </c>
      <c r="CJ10" s="587">
        <f t="shared" si="11"/>
        <v>10</v>
      </c>
      <c r="CK10" s="587">
        <f t="shared" si="11"/>
        <v>19</v>
      </c>
      <c r="CL10" s="587">
        <f t="shared" ref="CL10:CW10" si="12">+CL15+CL19</f>
        <v>10</v>
      </c>
      <c r="CM10" s="587">
        <f t="shared" si="12"/>
        <v>10</v>
      </c>
      <c r="CN10" s="587">
        <f t="shared" si="12"/>
        <v>10</v>
      </c>
      <c r="CO10" s="587">
        <f t="shared" si="12"/>
        <v>19</v>
      </c>
      <c r="CP10" s="587">
        <f t="shared" si="12"/>
        <v>10</v>
      </c>
      <c r="CQ10" s="587">
        <f t="shared" si="12"/>
        <v>10</v>
      </c>
      <c r="CR10" s="587">
        <f t="shared" si="12"/>
        <v>10</v>
      </c>
      <c r="CS10" s="587">
        <f t="shared" si="12"/>
        <v>19</v>
      </c>
      <c r="CT10" s="587">
        <f t="shared" si="12"/>
        <v>9</v>
      </c>
      <c r="CU10" s="587">
        <f t="shared" si="12"/>
        <v>9</v>
      </c>
      <c r="CV10" s="587">
        <f t="shared" si="12"/>
        <v>9</v>
      </c>
      <c r="CW10" s="587">
        <f t="shared" si="12"/>
        <v>18</v>
      </c>
    </row>
    <row r="11" spans="1:101" s="9" customFormat="1" ht="11.25">
      <c r="A11" s="869" t="s">
        <v>1473</v>
      </c>
      <c r="B11" s="62"/>
      <c r="C11" s="369">
        <f t="shared" ref="C11:AH11" si="13">+AVERAGE(B9:C9)</f>
        <v>993.5</v>
      </c>
      <c r="D11" s="369">
        <f t="shared" si="13"/>
        <v>991.5</v>
      </c>
      <c r="E11" s="369">
        <f t="shared" si="13"/>
        <v>995.5</v>
      </c>
      <c r="F11" s="369">
        <f t="shared" si="13"/>
        <v>1000.5</v>
      </c>
      <c r="G11" s="369">
        <f t="shared" si="13"/>
        <v>1005</v>
      </c>
      <c r="H11" s="369">
        <f t="shared" si="13"/>
        <v>1013.5</v>
      </c>
      <c r="I11" s="369">
        <f t="shared" si="13"/>
        <v>1027</v>
      </c>
      <c r="J11" s="369">
        <f t="shared" si="13"/>
        <v>1038</v>
      </c>
      <c r="K11" s="369">
        <f t="shared" si="13"/>
        <v>1045</v>
      </c>
      <c r="L11" s="369">
        <f t="shared" si="13"/>
        <v>1052</v>
      </c>
      <c r="M11" s="369">
        <f t="shared" si="13"/>
        <v>1064</v>
      </c>
      <c r="N11" s="369">
        <f t="shared" si="13"/>
        <v>1102</v>
      </c>
      <c r="O11" s="369">
        <f t="shared" si="13"/>
        <v>1134</v>
      </c>
      <c r="P11" s="369">
        <f t="shared" si="13"/>
        <v>1145.5</v>
      </c>
      <c r="Q11" s="369">
        <f t="shared" si="13"/>
        <v>1169</v>
      </c>
      <c r="R11" s="369">
        <f t="shared" si="13"/>
        <v>1182</v>
      </c>
      <c r="S11" s="369">
        <f t="shared" si="13"/>
        <v>1341.5</v>
      </c>
      <c r="T11" s="369">
        <f t="shared" si="13"/>
        <v>1520.5</v>
      </c>
      <c r="U11" s="369">
        <f t="shared" si="13"/>
        <v>1555.5</v>
      </c>
      <c r="V11" s="369">
        <f t="shared" si="13"/>
        <v>1581</v>
      </c>
      <c r="W11" s="369">
        <f t="shared" si="13"/>
        <v>1765</v>
      </c>
      <c r="X11" s="369">
        <f t="shared" si="13"/>
        <v>1951.5</v>
      </c>
      <c r="Y11" s="369">
        <f t="shared" si="13"/>
        <v>1979.5</v>
      </c>
      <c r="Z11" s="369">
        <f t="shared" si="13"/>
        <v>1997.5</v>
      </c>
      <c r="AA11" s="369">
        <f t="shared" si="13"/>
        <v>2008</v>
      </c>
      <c r="AB11" s="369">
        <f t="shared" si="13"/>
        <v>2044</v>
      </c>
      <c r="AC11" s="369">
        <f t="shared" si="13"/>
        <v>2080</v>
      </c>
      <c r="AD11" s="369">
        <f t="shared" si="13"/>
        <v>2091</v>
      </c>
      <c r="AE11" s="2131">
        <f t="shared" si="13"/>
        <v>2098</v>
      </c>
      <c r="AF11" s="369">
        <f t="shared" si="13"/>
        <v>2123</v>
      </c>
      <c r="AG11" s="369">
        <f t="shared" si="13"/>
        <v>2177.5</v>
      </c>
      <c r="AH11" s="369">
        <f t="shared" si="13"/>
        <v>2225.5</v>
      </c>
      <c r="AI11" s="369">
        <f t="shared" ref="AI11:BN11" si="14">+AVERAGE(AH9:AI9)</f>
        <v>2246.5</v>
      </c>
      <c r="AJ11" s="369">
        <f t="shared" si="14"/>
        <v>2276</v>
      </c>
      <c r="AK11" s="369">
        <f t="shared" si="14"/>
        <v>2320.5</v>
      </c>
      <c r="AL11" s="369">
        <f t="shared" si="14"/>
        <v>2352</v>
      </c>
      <c r="AM11" s="586">
        <f t="shared" si="14"/>
        <v>2372.5</v>
      </c>
      <c r="AN11" s="586">
        <f t="shared" si="14"/>
        <v>2398.5</v>
      </c>
      <c r="AO11" s="586">
        <f t="shared" si="14"/>
        <v>2438.5</v>
      </c>
      <c r="AP11" s="586">
        <f t="shared" si="14"/>
        <v>2472</v>
      </c>
      <c r="AQ11" s="586">
        <f t="shared" si="14"/>
        <v>2470</v>
      </c>
      <c r="AR11" s="586">
        <f t="shared" si="14"/>
        <v>2466</v>
      </c>
      <c r="AS11" s="586">
        <f t="shared" si="14"/>
        <v>2370.5</v>
      </c>
      <c r="AT11" s="586">
        <f t="shared" si="14"/>
        <v>2267.5</v>
      </c>
      <c r="AU11" s="586">
        <f t="shared" si="14"/>
        <v>2249.5</v>
      </c>
      <c r="AV11" s="586">
        <f t="shared" si="14"/>
        <v>2227.5</v>
      </c>
      <c r="AW11" s="586">
        <f t="shared" si="14"/>
        <v>2201.5</v>
      </c>
      <c r="AX11" s="586">
        <f t="shared" si="14"/>
        <v>2177.5</v>
      </c>
      <c r="AY11" s="586">
        <f t="shared" si="14"/>
        <v>2170</v>
      </c>
      <c r="AZ11" s="586">
        <f t="shared" si="14"/>
        <v>2164</v>
      </c>
      <c r="BA11" s="586">
        <f t="shared" si="14"/>
        <v>2166.5</v>
      </c>
      <c r="BB11" s="586">
        <f t="shared" si="14"/>
        <v>2177.5</v>
      </c>
      <c r="BC11" s="586">
        <f t="shared" si="14"/>
        <v>2186.5</v>
      </c>
      <c r="BD11" s="586">
        <f t="shared" si="14"/>
        <v>2198</v>
      </c>
      <c r="BE11" s="586">
        <f t="shared" si="14"/>
        <v>2226</v>
      </c>
      <c r="BF11" s="586">
        <f t="shared" si="14"/>
        <v>2246</v>
      </c>
      <c r="BG11" s="586">
        <f t="shared" si="14"/>
        <v>2240.5</v>
      </c>
      <c r="BH11" s="586">
        <f t="shared" si="14"/>
        <v>2242.5</v>
      </c>
      <c r="BI11" s="586">
        <f t="shared" si="14"/>
        <v>2280.5</v>
      </c>
      <c r="BJ11" s="586">
        <f t="shared" si="14"/>
        <v>2322</v>
      </c>
      <c r="BK11" s="1353">
        <f t="shared" si="14"/>
        <v>2344.5</v>
      </c>
      <c r="BL11" s="587">
        <f>+AVERAGE(BK9:BL9)</f>
        <v>2364.5</v>
      </c>
      <c r="BM11" s="587">
        <f t="shared" si="14"/>
        <v>2379.5</v>
      </c>
      <c r="BN11" s="587">
        <f t="shared" si="14"/>
        <v>2396</v>
      </c>
      <c r="BO11" s="587">
        <f t="shared" ref="BO11:CK11" si="15">+AVERAGE(BN9:BO9)</f>
        <v>2412</v>
      </c>
      <c r="BP11" s="587">
        <f t="shared" si="15"/>
        <v>2428</v>
      </c>
      <c r="BQ11" s="587">
        <f t="shared" si="15"/>
        <v>2453.5</v>
      </c>
      <c r="BR11" s="587">
        <f t="shared" si="15"/>
        <v>2478</v>
      </c>
      <c r="BS11" s="587">
        <f t="shared" si="15"/>
        <v>2492</v>
      </c>
      <c r="BT11" s="587">
        <f t="shared" si="15"/>
        <v>2506</v>
      </c>
      <c r="BU11" s="587">
        <f t="shared" si="15"/>
        <v>2527</v>
      </c>
      <c r="BV11" s="587">
        <f t="shared" si="15"/>
        <v>2547</v>
      </c>
      <c r="BW11" s="587">
        <f t="shared" si="15"/>
        <v>2559</v>
      </c>
      <c r="BX11" s="587">
        <f t="shared" si="15"/>
        <v>2571</v>
      </c>
      <c r="BY11" s="587">
        <f t="shared" si="15"/>
        <v>2588.5</v>
      </c>
      <c r="BZ11" s="587">
        <f t="shared" si="15"/>
        <v>2606</v>
      </c>
      <c r="CA11" s="587">
        <f t="shared" si="15"/>
        <v>2618</v>
      </c>
      <c r="CB11" s="587">
        <f t="shared" si="15"/>
        <v>2630</v>
      </c>
      <c r="CC11" s="587">
        <f t="shared" si="15"/>
        <v>2647.5</v>
      </c>
      <c r="CD11" s="587">
        <f t="shared" si="15"/>
        <v>2665</v>
      </c>
      <c r="CE11" s="587">
        <f t="shared" si="15"/>
        <v>2677</v>
      </c>
      <c r="CF11" s="587">
        <f t="shared" si="15"/>
        <v>2689</v>
      </c>
      <c r="CG11" s="587">
        <f t="shared" si="15"/>
        <v>2706.5</v>
      </c>
      <c r="CH11" s="587">
        <f t="shared" si="15"/>
        <v>2723</v>
      </c>
      <c r="CI11" s="587">
        <f t="shared" si="15"/>
        <v>2733</v>
      </c>
      <c r="CJ11" s="587">
        <f t="shared" si="15"/>
        <v>2743</v>
      </c>
      <c r="CK11" s="587">
        <f t="shared" si="15"/>
        <v>2757.5</v>
      </c>
      <c r="CL11" s="587">
        <f t="shared" ref="CL11" si="16">+AVERAGE(CK9:CL9)</f>
        <v>2772</v>
      </c>
      <c r="CM11" s="587">
        <f t="shared" ref="CM11" si="17">+AVERAGE(CL9:CM9)</f>
        <v>2782</v>
      </c>
      <c r="CN11" s="587">
        <f t="shared" ref="CN11" si="18">+AVERAGE(CM9:CN9)</f>
        <v>2792</v>
      </c>
      <c r="CO11" s="587">
        <f t="shared" ref="CO11" si="19">+AVERAGE(CN9:CO9)</f>
        <v>2806.5</v>
      </c>
      <c r="CP11" s="587">
        <f t="shared" ref="CP11" si="20">+AVERAGE(CO9:CP9)</f>
        <v>2821</v>
      </c>
      <c r="CQ11" s="587">
        <f t="shared" ref="CQ11" si="21">+AVERAGE(CP9:CQ9)</f>
        <v>2831</v>
      </c>
      <c r="CR11" s="587">
        <f t="shared" ref="CR11" si="22">+AVERAGE(CQ9:CR9)</f>
        <v>2841</v>
      </c>
      <c r="CS11" s="587">
        <f t="shared" ref="CS11" si="23">+AVERAGE(CR9:CS9)</f>
        <v>2855.5</v>
      </c>
      <c r="CT11" s="587">
        <f t="shared" ref="CT11" si="24">+AVERAGE(CS9:CT9)</f>
        <v>2869.5</v>
      </c>
      <c r="CU11" s="587">
        <f t="shared" ref="CU11" si="25">+AVERAGE(CT9:CU9)</f>
        <v>2878.5</v>
      </c>
      <c r="CV11" s="587">
        <f t="shared" ref="CV11" si="26">+AVERAGE(CU9:CV9)</f>
        <v>2887.5</v>
      </c>
      <c r="CW11" s="587">
        <f t="shared" ref="CW11" si="27">+AVERAGE(CV9:CW9)</f>
        <v>2901</v>
      </c>
    </row>
    <row r="12" spans="1:101" s="9" customFormat="1" ht="11.25">
      <c r="A12" s="665" t="s">
        <v>950</v>
      </c>
      <c r="B12" s="62"/>
      <c r="C12" s="62"/>
      <c r="D12" s="62"/>
      <c r="E12" s="62"/>
      <c r="F12" s="256"/>
      <c r="G12" s="256">
        <f t="shared" ref="G12:AL12" si="28">G11/C11-1</f>
        <v>1.1575239053849939E-2</v>
      </c>
      <c r="H12" s="256">
        <f t="shared" si="28"/>
        <v>2.218860312657589E-2</v>
      </c>
      <c r="I12" s="256">
        <f t="shared" si="28"/>
        <v>3.1642390758412908E-2</v>
      </c>
      <c r="J12" s="256">
        <f t="shared" si="28"/>
        <v>3.7481259370314879E-2</v>
      </c>
      <c r="K12" s="256">
        <f t="shared" si="28"/>
        <v>3.9800995024875663E-2</v>
      </c>
      <c r="L12" s="256">
        <f t="shared" si="28"/>
        <v>3.7987173162308929E-2</v>
      </c>
      <c r="M12" s="256">
        <f t="shared" si="28"/>
        <v>3.6027263875365145E-2</v>
      </c>
      <c r="N12" s="256">
        <f t="shared" si="28"/>
        <v>6.1657032755298546E-2</v>
      </c>
      <c r="O12" s="256">
        <f t="shared" si="28"/>
        <v>8.5167464114832558E-2</v>
      </c>
      <c r="P12" s="256">
        <f t="shared" si="28"/>
        <v>8.8878326996197687E-2</v>
      </c>
      <c r="Q12" s="256">
        <f t="shared" si="28"/>
        <v>9.8684210526315708E-2</v>
      </c>
      <c r="R12" s="256">
        <f t="shared" si="28"/>
        <v>7.2595281306714998E-2</v>
      </c>
      <c r="S12" s="256">
        <f t="shared" si="28"/>
        <v>0.18298059964726621</v>
      </c>
      <c r="T12" s="256">
        <f t="shared" si="28"/>
        <v>0.32736796158882586</v>
      </c>
      <c r="U12" s="256">
        <f t="shared" si="28"/>
        <v>0.33062446535500434</v>
      </c>
      <c r="V12" s="256">
        <f t="shared" si="28"/>
        <v>0.3375634517766497</v>
      </c>
      <c r="W12" s="256">
        <f t="shared" si="28"/>
        <v>0.31569139023481174</v>
      </c>
      <c r="X12" s="256">
        <f t="shared" si="28"/>
        <v>0.28345938835909235</v>
      </c>
      <c r="Y12" s="256">
        <f t="shared" si="28"/>
        <v>0.27258116361298623</v>
      </c>
      <c r="Z12" s="256">
        <f t="shared" si="28"/>
        <v>0.26344086021505375</v>
      </c>
      <c r="AA12" s="256">
        <f t="shared" si="28"/>
        <v>0.13767705382436257</v>
      </c>
      <c r="AB12" s="256">
        <f t="shared" si="28"/>
        <v>4.73994363310275E-2</v>
      </c>
      <c r="AC12" s="256">
        <f t="shared" si="28"/>
        <v>5.0770396564788989E-2</v>
      </c>
      <c r="AD12" s="256">
        <f t="shared" si="28"/>
        <v>4.6808510638297829E-2</v>
      </c>
      <c r="AE12" s="2132">
        <f t="shared" si="28"/>
        <v>4.4820717131474064E-2</v>
      </c>
      <c r="AF12" s="256">
        <f t="shared" si="28"/>
        <v>3.8649706457925648E-2</v>
      </c>
      <c r="AG12" s="256">
        <f t="shared" si="28"/>
        <v>4.6875E-2</v>
      </c>
      <c r="AH12" s="256">
        <f t="shared" si="28"/>
        <v>6.4323290291726343E-2</v>
      </c>
      <c r="AI12" s="256">
        <f t="shared" si="28"/>
        <v>7.0781696854146814E-2</v>
      </c>
      <c r="AJ12" s="256">
        <f t="shared" si="28"/>
        <v>7.2067828544512436E-2</v>
      </c>
      <c r="AK12" s="256">
        <f t="shared" si="28"/>
        <v>6.5671641791044788E-2</v>
      </c>
      <c r="AL12" s="256">
        <f t="shared" si="28"/>
        <v>5.6841159290047072E-2</v>
      </c>
      <c r="AM12" s="257">
        <f t="shared" ref="AM12:BR12" si="29">AM11/AI11-1</f>
        <v>5.6087246828399717E-2</v>
      </c>
      <c r="AN12" s="257">
        <f t="shared" si="29"/>
        <v>5.3822495606326903E-2</v>
      </c>
      <c r="AO12" s="257">
        <f t="shared" si="29"/>
        <v>5.0851109674639128E-2</v>
      </c>
      <c r="AP12" s="257">
        <f t="shared" si="29"/>
        <v>5.1020408163265252E-2</v>
      </c>
      <c r="AQ12" s="257">
        <f t="shared" si="29"/>
        <v>4.1095890410958846E-2</v>
      </c>
      <c r="AR12" s="257">
        <f t="shared" si="29"/>
        <v>2.814258911819878E-2</v>
      </c>
      <c r="AS12" s="257">
        <f t="shared" si="29"/>
        <v>-2.7885995489030146E-2</v>
      </c>
      <c r="AT12" s="257">
        <f t="shared" si="29"/>
        <v>-8.2726537216828433E-2</v>
      </c>
      <c r="AU12" s="257">
        <f t="shared" si="29"/>
        <v>-8.9271255060728749E-2</v>
      </c>
      <c r="AV12" s="257">
        <f t="shared" si="29"/>
        <v>-9.671532846715325E-2</v>
      </c>
      <c r="AW12" s="257">
        <f t="shared" si="29"/>
        <v>-7.1292976165366007E-2</v>
      </c>
      <c r="AX12" s="257">
        <f t="shared" si="29"/>
        <v>-3.9691289966923948E-2</v>
      </c>
      <c r="AY12" s="257">
        <f t="shared" si="29"/>
        <v>-3.5341186930428981E-2</v>
      </c>
      <c r="AZ12" s="257">
        <f t="shared" si="29"/>
        <v>-2.8507295173961889E-2</v>
      </c>
      <c r="BA12" s="257">
        <f t="shared" si="29"/>
        <v>-1.5898251192368873E-2</v>
      </c>
      <c r="BB12" s="257">
        <f t="shared" si="29"/>
        <v>0</v>
      </c>
      <c r="BC12" s="257">
        <f t="shared" si="29"/>
        <v>7.6036866359447952E-3</v>
      </c>
      <c r="BD12" s="257">
        <f t="shared" si="29"/>
        <v>1.5711645101663674E-2</v>
      </c>
      <c r="BE12" s="257">
        <f t="shared" si="29"/>
        <v>2.7463651050080751E-2</v>
      </c>
      <c r="BF12" s="257">
        <f t="shared" si="29"/>
        <v>3.1458094144661386E-2</v>
      </c>
      <c r="BG12" s="257">
        <f t="shared" si="29"/>
        <v>2.4697004344843343E-2</v>
      </c>
      <c r="BH12" s="257">
        <f t="shared" si="29"/>
        <v>2.0245677888989899E-2</v>
      </c>
      <c r="BI12" s="257">
        <f t="shared" si="29"/>
        <v>2.4483378256963118E-2</v>
      </c>
      <c r="BJ12" s="257">
        <f t="shared" si="29"/>
        <v>3.3837934105075629E-2</v>
      </c>
      <c r="BK12" s="1357">
        <f t="shared" si="29"/>
        <v>4.6418210220932732E-2</v>
      </c>
      <c r="BL12" s="461">
        <f>BL11/BH11-1</f>
        <v>5.4403567447045775E-2</v>
      </c>
      <c r="BM12" s="461">
        <f t="shared" si="29"/>
        <v>4.341153255864949E-2</v>
      </c>
      <c r="BN12" s="461">
        <f t="shared" si="29"/>
        <v>3.1869078380706295E-2</v>
      </c>
      <c r="BO12" s="461">
        <f t="shared" si="29"/>
        <v>2.8790786948176494E-2</v>
      </c>
      <c r="BP12" s="461">
        <f t="shared" si="29"/>
        <v>2.6855572002537631E-2</v>
      </c>
      <c r="BQ12" s="461">
        <f t="shared" si="29"/>
        <v>3.1098970371926882E-2</v>
      </c>
      <c r="BR12" s="461">
        <f t="shared" si="29"/>
        <v>3.4223706176961688E-2</v>
      </c>
      <c r="BS12" s="461">
        <f t="shared" ref="BS12:CK12" si="30">BS11/BO11-1</f>
        <v>3.3167495854063089E-2</v>
      </c>
      <c r="BT12" s="461">
        <f t="shared" si="30"/>
        <v>3.2125205930807255E-2</v>
      </c>
      <c r="BU12" s="461">
        <f t="shared" si="30"/>
        <v>2.9957203994293913E-2</v>
      </c>
      <c r="BV12" s="461">
        <f t="shared" si="30"/>
        <v>2.7845036319612548E-2</v>
      </c>
      <c r="BW12" s="461">
        <f t="shared" si="30"/>
        <v>2.6886035313001599E-2</v>
      </c>
      <c r="BX12" s="461">
        <f t="shared" si="30"/>
        <v>2.5937749401436561E-2</v>
      </c>
      <c r="BY12" s="461">
        <f t="shared" si="30"/>
        <v>2.4337158686189131E-2</v>
      </c>
      <c r="BZ12" s="461">
        <f t="shared" si="30"/>
        <v>2.3164507263447209E-2</v>
      </c>
      <c r="CA12" s="461">
        <f t="shared" si="30"/>
        <v>2.3055881203595252E-2</v>
      </c>
      <c r="CB12" s="461">
        <f t="shared" si="30"/>
        <v>2.2948269155970369E-2</v>
      </c>
      <c r="CC12" s="461">
        <f t="shared" si="30"/>
        <v>2.2793123430558282E-2</v>
      </c>
      <c r="CD12" s="461">
        <f t="shared" si="30"/>
        <v>2.2640061396776767E-2</v>
      </c>
      <c r="CE12" s="461">
        <f t="shared" si="30"/>
        <v>2.2536287242169495E-2</v>
      </c>
      <c r="CF12" s="461">
        <f t="shared" si="30"/>
        <v>2.243346007604563E-2</v>
      </c>
      <c r="CG12" s="461">
        <f t="shared" si="30"/>
        <v>2.2285174693106757E-2</v>
      </c>
      <c r="CH12" s="461">
        <f t="shared" si="30"/>
        <v>2.1763602251407166E-2</v>
      </c>
      <c r="CI12" s="461">
        <f t="shared" si="30"/>
        <v>2.0918939110945001E-2</v>
      </c>
      <c r="CJ12" s="461">
        <f t="shared" si="30"/>
        <v>2.008181480104132E-2</v>
      </c>
      <c r="CK12" s="461">
        <f t="shared" si="30"/>
        <v>1.884352484758911E-2</v>
      </c>
      <c r="CL12" s="461">
        <f t="shared" ref="CL12" si="31">CL11/CH11-1</f>
        <v>1.799485861182526E-2</v>
      </c>
      <c r="CM12" s="461">
        <f t="shared" ref="CM12" si="32">CM11/CI11-1</f>
        <v>1.7929015733626041E-2</v>
      </c>
      <c r="CN12" s="461">
        <f t="shared" ref="CN12" si="33">CN11/CJ11-1</f>
        <v>1.7863652934742902E-2</v>
      </c>
      <c r="CO12" s="461">
        <f t="shared" ref="CO12" si="34">CO11/CK11-1</f>
        <v>1.7769718948322799E-2</v>
      </c>
      <c r="CP12" s="461">
        <f t="shared" ref="CP12" si="35">CP11/CL11-1</f>
        <v>1.7676767676767735E-2</v>
      </c>
      <c r="CQ12" s="461">
        <f t="shared" ref="CQ12" si="36">CQ11/CM11-1</f>
        <v>1.7613227893601646E-2</v>
      </c>
      <c r="CR12" s="461">
        <f t="shared" ref="CR12" si="37">CR11/CN11-1</f>
        <v>1.7550143266475748E-2</v>
      </c>
      <c r="CS12" s="461">
        <f t="shared" ref="CS12" si="38">CS11/CO11-1</f>
        <v>1.7459469089613489E-2</v>
      </c>
      <c r="CT12" s="461">
        <f t="shared" ref="CT12" si="39">CT11/CP11-1</f>
        <v>1.7192484934420493E-2</v>
      </c>
      <c r="CU12" s="461">
        <f t="shared" ref="CU12" si="40">CU11/CQ11-1</f>
        <v>1.6778523489932917E-2</v>
      </c>
      <c r="CV12" s="461">
        <f t="shared" ref="CV12" si="41">CV11/CR11-1</f>
        <v>1.6367476240760404E-2</v>
      </c>
      <c r="CW12" s="461">
        <f t="shared" ref="CW12" si="42">CW11/CS11-1</f>
        <v>1.5934162143232289E-2</v>
      </c>
    </row>
    <row r="13" spans="1:101" s="9" customFormat="1" ht="11.25">
      <c r="A13" s="665"/>
      <c r="B13" s="62"/>
      <c r="C13" s="62"/>
      <c r="D13" s="62"/>
      <c r="E13" s="62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132"/>
      <c r="AF13" s="256"/>
      <c r="AG13" s="256"/>
      <c r="AH13" s="256"/>
      <c r="AI13" s="256"/>
      <c r="AJ13" s="256"/>
      <c r="AK13" s="256"/>
      <c r="AL13" s="256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7"/>
      <c r="BI13" s="257"/>
      <c r="BJ13" s="257"/>
      <c r="BK13" s="1357"/>
      <c r="BL13" s="461"/>
      <c r="BM13" s="461"/>
      <c r="BN13" s="461"/>
      <c r="BO13" s="461"/>
      <c r="BP13" s="461"/>
      <c r="BQ13" s="461"/>
      <c r="BR13" s="461"/>
      <c r="BS13" s="461"/>
      <c r="BT13" s="461"/>
      <c r="BU13" s="461"/>
      <c r="BV13" s="461"/>
      <c r="BW13" s="461"/>
      <c r="BX13" s="461"/>
      <c r="BY13" s="461"/>
      <c r="BZ13" s="461"/>
      <c r="CA13" s="461"/>
      <c r="CB13" s="461"/>
      <c r="CC13" s="461"/>
      <c r="CD13" s="461"/>
      <c r="CE13" s="461"/>
      <c r="CF13" s="461"/>
      <c r="CG13" s="461"/>
      <c r="CH13" s="461"/>
      <c r="CI13" s="461"/>
      <c r="CJ13" s="461"/>
      <c r="CK13" s="461"/>
      <c r="CL13" s="461"/>
      <c r="CM13" s="461"/>
      <c r="CN13" s="461"/>
      <c r="CO13" s="461"/>
      <c r="CP13" s="461"/>
      <c r="CQ13" s="461"/>
      <c r="CR13" s="461"/>
      <c r="CS13" s="461"/>
      <c r="CT13" s="461"/>
      <c r="CU13" s="461"/>
      <c r="CV13" s="461"/>
      <c r="CW13" s="461"/>
    </row>
    <row r="14" spans="1:101" s="9" customFormat="1" ht="11.25">
      <c r="A14" s="655" t="s">
        <v>938</v>
      </c>
      <c r="B14" s="251">
        <f>IS!C74</f>
        <v>835</v>
      </c>
      <c r="C14" s="251">
        <f>IS!D74</f>
        <v>833</v>
      </c>
      <c r="D14" s="251">
        <f>IS!E74</f>
        <v>828</v>
      </c>
      <c r="E14" s="251">
        <f>IS!F74</f>
        <v>836</v>
      </c>
      <c r="F14" s="251">
        <f>IS!G74</f>
        <v>837</v>
      </c>
      <c r="G14" s="251">
        <f>IS!H74</f>
        <v>844</v>
      </c>
      <c r="H14" s="251">
        <f>IS!I74</f>
        <v>848</v>
      </c>
      <c r="I14" s="251">
        <f>IS!J74</f>
        <v>873</v>
      </c>
      <c r="J14" s="251">
        <f>IS!K74</f>
        <v>875</v>
      </c>
      <c r="K14" s="251">
        <f>IS!L74</f>
        <v>886</v>
      </c>
      <c r="L14" s="251">
        <f>IS!M74</f>
        <v>886</v>
      </c>
      <c r="M14" s="251">
        <f>IS!N74</f>
        <v>905</v>
      </c>
      <c r="N14" s="251">
        <f>IS!O74</f>
        <v>947</v>
      </c>
      <c r="O14" s="251">
        <f>IS!P74</f>
        <v>937</v>
      </c>
      <c r="P14" s="251">
        <f>IS!Q74</f>
        <v>948</v>
      </c>
      <c r="Q14" s="251">
        <f>IS!R74</f>
        <v>953</v>
      </c>
      <c r="R14" s="251">
        <f>IS!S74</f>
        <v>959</v>
      </c>
      <c r="S14" s="251">
        <f>IS!T74</f>
        <v>1067</v>
      </c>
      <c r="T14" s="251">
        <f>IS!U74</f>
        <v>1098</v>
      </c>
      <c r="U14" s="251">
        <f>IS!V74</f>
        <v>1128</v>
      </c>
      <c r="V14" s="251">
        <f>IS!W74</f>
        <v>1138</v>
      </c>
      <c r="W14" s="251">
        <f>IS!X74</f>
        <v>1488</v>
      </c>
      <c r="X14" s="251">
        <f>IS!Y74</f>
        <v>1508</v>
      </c>
      <c r="Y14" s="251">
        <f>IS!Z74</f>
        <v>1532</v>
      </c>
      <c r="Z14" s="251">
        <f>IS!AA74</f>
        <v>1526</v>
      </c>
      <c r="AA14" s="251">
        <f>IS!AB74</f>
        <v>1547</v>
      </c>
      <c r="AB14" s="251">
        <f>IS!AC74</f>
        <v>1585</v>
      </c>
      <c r="AC14" s="251">
        <f>IS!AD74</f>
        <v>1594</v>
      </c>
      <c r="AD14" s="251">
        <f>IS!AE74</f>
        <v>1587</v>
      </c>
      <c r="AE14" s="2133">
        <f>IS!AF74</f>
        <v>1600</v>
      </c>
      <c r="AF14" s="251">
        <f>IS!AG74</f>
        <v>1644</v>
      </c>
      <c r="AG14" s="251">
        <f>IS!AH74</f>
        <v>1698</v>
      </c>
      <c r="AH14" s="251">
        <f>IS!AI74</f>
        <v>1729</v>
      </c>
      <c r="AI14" s="251">
        <f>IS!AJ74</f>
        <v>1745</v>
      </c>
      <c r="AJ14" s="251">
        <f>IS!AK74</f>
        <v>1777</v>
      </c>
      <c r="AK14" s="251">
        <f>IS!AL74</f>
        <v>1813</v>
      </c>
      <c r="AL14" s="251">
        <f>IS!AM74</f>
        <v>1814</v>
      </c>
      <c r="AM14" s="963">
        <f>IS!AN74</f>
        <v>1843</v>
      </c>
      <c r="AN14" s="963">
        <f>IS!AO74</f>
        <v>1863</v>
      </c>
      <c r="AO14" s="963">
        <f>IS!AP74</f>
        <v>1917</v>
      </c>
      <c r="AP14" s="963">
        <f>IS!AQ74</f>
        <v>1927</v>
      </c>
      <c r="AQ14" s="963">
        <f>IS!AR74</f>
        <v>1916</v>
      </c>
      <c r="AR14" s="963">
        <f>IS!AS74</f>
        <v>1917</v>
      </c>
      <c r="AS14" s="963">
        <f>IS!AT74</f>
        <v>1916</v>
      </c>
      <c r="AT14" s="963">
        <f>IS!AU74</f>
        <v>1899</v>
      </c>
      <c r="AU14" s="963">
        <f>IS!AV74</f>
        <v>1876</v>
      </c>
      <c r="AV14" s="963">
        <f>IS!AW74</f>
        <v>1860</v>
      </c>
      <c r="AW14" s="963">
        <f>IS!AX74</f>
        <v>1821</v>
      </c>
      <c r="AX14" s="963">
        <f>IS!AY74</f>
        <v>1806</v>
      </c>
      <c r="AY14" s="963">
        <f>IS!AZ74</f>
        <v>1800</v>
      </c>
      <c r="AZ14" s="963">
        <f>IS!BA74</f>
        <v>1777</v>
      </c>
      <c r="BA14" s="963">
        <f>IS!BB74</f>
        <v>1789</v>
      </c>
      <c r="BB14" s="963">
        <f>IS!BC74</f>
        <v>1788</v>
      </c>
      <c r="BC14" s="963">
        <f>IS!BD74</f>
        <v>1794</v>
      </c>
      <c r="BD14" s="963">
        <f>IS!BE74</f>
        <v>1799</v>
      </c>
      <c r="BE14" s="963">
        <f>IS!BF74</f>
        <v>1833</v>
      </c>
      <c r="BF14" s="963">
        <f>IS!BG74</f>
        <v>1829</v>
      </c>
      <c r="BG14" s="963">
        <f>IS!BH74</f>
        <v>1817</v>
      </c>
      <c r="BH14" s="963">
        <f>IS!BI74</f>
        <v>1818</v>
      </c>
      <c r="BI14" s="963">
        <f>IS!BJ74</f>
        <v>1851</v>
      </c>
      <c r="BJ14" s="963">
        <f>IS!BK74</f>
        <v>1866</v>
      </c>
      <c r="BK14" s="1355">
        <f>IS!BL74</f>
        <v>1889</v>
      </c>
      <c r="BL14" s="587">
        <f>+BK14+BL15</f>
        <v>1897</v>
      </c>
      <c r="BM14" s="587">
        <f>+BL14+BM15</f>
        <v>1900</v>
      </c>
      <c r="BN14" s="587">
        <f t="shared" ref="BL14:BQ14" si="43">+BM14+BN15</f>
        <v>1910</v>
      </c>
      <c r="BO14" s="587">
        <f t="shared" si="43"/>
        <v>1920</v>
      </c>
      <c r="BP14" s="587">
        <f t="shared" si="43"/>
        <v>1930</v>
      </c>
      <c r="BQ14" s="587">
        <f t="shared" si="43"/>
        <v>1951</v>
      </c>
      <c r="BR14" s="587">
        <f t="shared" ref="BR14:CK14" si="44">+BQ14+BR15</f>
        <v>1959</v>
      </c>
      <c r="BS14" s="587">
        <f t="shared" si="44"/>
        <v>1967</v>
      </c>
      <c r="BT14" s="587">
        <f t="shared" si="44"/>
        <v>1975</v>
      </c>
      <c r="BU14" s="587">
        <f t="shared" si="44"/>
        <v>1993</v>
      </c>
      <c r="BV14" s="587">
        <f t="shared" si="44"/>
        <v>2000</v>
      </c>
      <c r="BW14" s="587">
        <f t="shared" si="44"/>
        <v>2007</v>
      </c>
      <c r="BX14" s="587">
        <f t="shared" si="44"/>
        <v>2014</v>
      </c>
      <c r="BY14" s="587">
        <f t="shared" si="44"/>
        <v>2028</v>
      </c>
      <c r="BZ14" s="587">
        <f t="shared" si="44"/>
        <v>2035</v>
      </c>
      <c r="CA14" s="587">
        <f t="shared" si="44"/>
        <v>2042</v>
      </c>
      <c r="CB14" s="587">
        <f t="shared" si="44"/>
        <v>2049</v>
      </c>
      <c r="CC14" s="587">
        <f t="shared" si="44"/>
        <v>2063</v>
      </c>
      <c r="CD14" s="587">
        <f t="shared" si="44"/>
        <v>2070</v>
      </c>
      <c r="CE14" s="587">
        <f t="shared" si="44"/>
        <v>2077</v>
      </c>
      <c r="CF14" s="587">
        <f t="shared" si="44"/>
        <v>2084</v>
      </c>
      <c r="CG14" s="587">
        <f t="shared" si="44"/>
        <v>2098</v>
      </c>
      <c r="CH14" s="587">
        <f t="shared" si="44"/>
        <v>2104</v>
      </c>
      <c r="CI14" s="587">
        <f t="shared" si="44"/>
        <v>2110</v>
      </c>
      <c r="CJ14" s="587">
        <f t="shared" si="44"/>
        <v>2116</v>
      </c>
      <c r="CK14" s="587">
        <f t="shared" si="44"/>
        <v>2127</v>
      </c>
      <c r="CL14" s="587">
        <f t="shared" ref="CL14" si="45">+CK14+CL15</f>
        <v>2133</v>
      </c>
      <c r="CM14" s="587">
        <f t="shared" ref="CM14" si="46">+CL14+CM15</f>
        <v>2139</v>
      </c>
      <c r="CN14" s="587">
        <f t="shared" ref="CN14" si="47">+CM14+CN15</f>
        <v>2145</v>
      </c>
      <c r="CO14" s="587">
        <f t="shared" ref="CO14" si="48">+CN14+CO15</f>
        <v>2156</v>
      </c>
      <c r="CP14" s="587">
        <f t="shared" ref="CP14" si="49">+CO14+CP15</f>
        <v>2162</v>
      </c>
      <c r="CQ14" s="587">
        <f t="shared" ref="CQ14" si="50">+CP14+CQ15</f>
        <v>2168</v>
      </c>
      <c r="CR14" s="587">
        <f t="shared" ref="CR14" si="51">+CQ14+CR15</f>
        <v>2174</v>
      </c>
      <c r="CS14" s="587">
        <f t="shared" ref="CS14" si="52">+CR14+CS15</f>
        <v>2185</v>
      </c>
      <c r="CT14" s="587">
        <f t="shared" ref="CT14" si="53">+CS14+CT15</f>
        <v>2191</v>
      </c>
      <c r="CU14" s="587">
        <f t="shared" ref="CU14" si="54">+CT14+CU15</f>
        <v>2197</v>
      </c>
      <c r="CV14" s="587">
        <f t="shared" ref="CV14" si="55">+CU14+CV15</f>
        <v>2203</v>
      </c>
      <c r="CW14" s="587">
        <f t="shared" ref="CW14" si="56">+CV14+CW15</f>
        <v>2213</v>
      </c>
    </row>
    <row r="15" spans="1:101" s="9" customFormat="1" ht="11.25">
      <c r="A15" s="869" t="s">
        <v>940</v>
      </c>
      <c r="B15" s="62"/>
      <c r="C15" s="369">
        <f t="shared" ref="C15:AZ15" si="57">+C14-B14</f>
        <v>-2</v>
      </c>
      <c r="D15" s="369">
        <f t="shared" si="57"/>
        <v>-5</v>
      </c>
      <c r="E15" s="369">
        <f t="shared" si="57"/>
        <v>8</v>
      </c>
      <c r="F15" s="369">
        <f t="shared" si="57"/>
        <v>1</v>
      </c>
      <c r="G15" s="369">
        <f t="shared" si="57"/>
        <v>7</v>
      </c>
      <c r="H15" s="369">
        <f t="shared" si="57"/>
        <v>4</v>
      </c>
      <c r="I15" s="369">
        <f t="shared" si="57"/>
        <v>25</v>
      </c>
      <c r="J15" s="369">
        <f t="shared" si="57"/>
        <v>2</v>
      </c>
      <c r="K15" s="369">
        <f t="shared" si="57"/>
        <v>11</v>
      </c>
      <c r="L15" s="369">
        <f t="shared" si="57"/>
        <v>0</v>
      </c>
      <c r="M15" s="369">
        <f t="shared" si="57"/>
        <v>19</v>
      </c>
      <c r="N15" s="369">
        <f t="shared" si="57"/>
        <v>42</v>
      </c>
      <c r="O15" s="369">
        <f t="shared" si="57"/>
        <v>-10</v>
      </c>
      <c r="P15" s="369">
        <f t="shared" si="57"/>
        <v>11</v>
      </c>
      <c r="Q15" s="369">
        <f t="shared" si="57"/>
        <v>5</v>
      </c>
      <c r="R15" s="369">
        <f t="shared" si="57"/>
        <v>6</v>
      </c>
      <c r="S15" s="369">
        <f t="shared" si="57"/>
        <v>108</v>
      </c>
      <c r="T15" s="369">
        <f t="shared" si="57"/>
        <v>31</v>
      </c>
      <c r="U15" s="369">
        <f t="shared" si="57"/>
        <v>30</v>
      </c>
      <c r="V15" s="369">
        <f t="shared" si="57"/>
        <v>10</v>
      </c>
      <c r="W15" s="369">
        <f t="shared" si="57"/>
        <v>350</v>
      </c>
      <c r="X15" s="369">
        <f t="shared" si="57"/>
        <v>20</v>
      </c>
      <c r="Y15" s="369">
        <f t="shared" si="57"/>
        <v>24</v>
      </c>
      <c r="Z15" s="369">
        <f t="shared" si="57"/>
        <v>-6</v>
      </c>
      <c r="AA15" s="369">
        <f t="shared" si="57"/>
        <v>21</v>
      </c>
      <c r="AB15" s="369">
        <f t="shared" si="57"/>
        <v>38</v>
      </c>
      <c r="AC15" s="369">
        <f t="shared" si="57"/>
        <v>9</v>
      </c>
      <c r="AD15" s="369">
        <f t="shared" si="57"/>
        <v>-7</v>
      </c>
      <c r="AE15" s="2131">
        <f t="shared" si="57"/>
        <v>13</v>
      </c>
      <c r="AF15" s="369">
        <f t="shared" si="57"/>
        <v>44</v>
      </c>
      <c r="AG15" s="369">
        <f t="shared" si="57"/>
        <v>54</v>
      </c>
      <c r="AH15" s="369">
        <f t="shared" si="57"/>
        <v>31</v>
      </c>
      <c r="AI15" s="369">
        <f t="shared" si="57"/>
        <v>16</v>
      </c>
      <c r="AJ15" s="369">
        <f t="shared" si="57"/>
        <v>32</v>
      </c>
      <c r="AK15" s="369">
        <f t="shared" si="57"/>
        <v>36</v>
      </c>
      <c r="AL15" s="369">
        <f t="shared" si="57"/>
        <v>1</v>
      </c>
      <c r="AM15" s="586">
        <f t="shared" si="57"/>
        <v>29</v>
      </c>
      <c r="AN15" s="586">
        <f t="shared" si="57"/>
        <v>20</v>
      </c>
      <c r="AO15" s="586">
        <f t="shared" si="57"/>
        <v>54</v>
      </c>
      <c r="AP15" s="586">
        <f t="shared" si="57"/>
        <v>10</v>
      </c>
      <c r="AQ15" s="586">
        <f t="shared" si="57"/>
        <v>-11</v>
      </c>
      <c r="AR15" s="586">
        <f t="shared" si="57"/>
        <v>1</v>
      </c>
      <c r="AS15" s="586">
        <f t="shared" si="57"/>
        <v>-1</v>
      </c>
      <c r="AT15" s="586">
        <f t="shared" si="57"/>
        <v>-17</v>
      </c>
      <c r="AU15" s="586">
        <f t="shared" si="57"/>
        <v>-23</v>
      </c>
      <c r="AV15" s="586">
        <f t="shared" si="57"/>
        <v>-16</v>
      </c>
      <c r="AW15" s="586">
        <f t="shared" si="57"/>
        <v>-39</v>
      </c>
      <c r="AX15" s="586">
        <f t="shared" si="57"/>
        <v>-15</v>
      </c>
      <c r="AY15" s="586">
        <f t="shared" si="57"/>
        <v>-6</v>
      </c>
      <c r="AZ15" s="586">
        <f t="shared" si="57"/>
        <v>-23</v>
      </c>
      <c r="BA15" s="586">
        <f t="shared" ref="BA15:BK15" si="58">+BA14-AZ14</f>
        <v>12</v>
      </c>
      <c r="BB15" s="586">
        <f t="shared" si="58"/>
        <v>-1</v>
      </c>
      <c r="BC15" s="586">
        <f t="shared" si="58"/>
        <v>6</v>
      </c>
      <c r="BD15" s="586">
        <f t="shared" si="58"/>
        <v>5</v>
      </c>
      <c r="BE15" s="586">
        <f t="shared" si="58"/>
        <v>34</v>
      </c>
      <c r="BF15" s="586">
        <f t="shared" si="58"/>
        <v>-4</v>
      </c>
      <c r="BG15" s="586">
        <f t="shared" si="58"/>
        <v>-12</v>
      </c>
      <c r="BH15" s="586">
        <f t="shared" si="58"/>
        <v>1</v>
      </c>
      <c r="BI15" s="586">
        <f t="shared" si="58"/>
        <v>33</v>
      </c>
      <c r="BJ15" s="586">
        <f t="shared" si="58"/>
        <v>15</v>
      </c>
      <c r="BK15" s="1353">
        <f t="shared" si="58"/>
        <v>23</v>
      </c>
      <c r="BL15" s="335">
        <f>Inputs!BL109</f>
        <v>8</v>
      </c>
      <c r="BM15" s="335">
        <f>Inputs!BM109</f>
        <v>3</v>
      </c>
      <c r="BN15" s="335">
        <f>Inputs!BN109</f>
        <v>10</v>
      </c>
      <c r="BO15" s="335">
        <f>Inputs!BO109</f>
        <v>10</v>
      </c>
      <c r="BP15" s="335">
        <f>Inputs!BP109</f>
        <v>10</v>
      </c>
      <c r="BQ15" s="335">
        <f>Inputs!BQ109</f>
        <v>21</v>
      </c>
      <c r="BR15" s="335">
        <f>Inputs!BR109</f>
        <v>8</v>
      </c>
      <c r="BS15" s="335">
        <f>Inputs!BS109</f>
        <v>8</v>
      </c>
      <c r="BT15" s="335">
        <f>Inputs!BT109</f>
        <v>8</v>
      </c>
      <c r="BU15" s="335">
        <f>Inputs!BU109</f>
        <v>18</v>
      </c>
      <c r="BV15" s="335">
        <f>Inputs!BV109</f>
        <v>7</v>
      </c>
      <c r="BW15" s="335">
        <f>Inputs!BW109</f>
        <v>7</v>
      </c>
      <c r="BX15" s="335">
        <f>Inputs!BX109</f>
        <v>7</v>
      </c>
      <c r="BY15" s="335">
        <f>Inputs!BY109</f>
        <v>14</v>
      </c>
      <c r="BZ15" s="335">
        <f>Inputs!BZ109</f>
        <v>7</v>
      </c>
      <c r="CA15" s="335">
        <f>Inputs!CA109</f>
        <v>7</v>
      </c>
      <c r="CB15" s="335">
        <f>Inputs!CB109</f>
        <v>7</v>
      </c>
      <c r="CC15" s="335">
        <f>Inputs!CC109</f>
        <v>14</v>
      </c>
      <c r="CD15" s="335">
        <f>Inputs!CD109</f>
        <v>7</v>
      </c>
      <c r="CE15" s="335">
        <f>Inputs!CE109</f>
        <v>7</v>
      </c>
      <c r="CF15" s="335">
        <f>Inputs!CF109</f>
        <v>7</v>
      </c>
      <c r="CG15" s="335">
        <f>Inputs!CG109</f>
        <v>14</v>
      </c>
      <c r="CH15" s="335">
        <f>Inputs!CH109</f>
        <v>6</v>
      </c>
      <c r="CI15" s="335">
        <f>Inputs!CI109</f>
        <v>6</v>
      </c>
      <c r="CJ15" s="335">
        <f>Inputs!CJ109</f>
        <v>6</v>
      </c>
      <c r="CK15" s="335">
        <f>Inputs!CK109</f>
        <v>11</v>
      </c>
      <c r="CL15" s="335">
        <f>Inputs!CL109</f>
        <v>6</v>
      </c>
      <c r="CM15" s="335">
        <f>Inputs!CM109</f>
        <v>6</v>
      </c>
      <c r="CN15" s="335">
        <f>Inputs!CN109</f>
        <v>6</v>
      </c>
      <c r="CO15" s="335">
        <f>Inputs!CO109</f>
        <v>11</v>
      </c>
      <c r="CP15" s="335">
        <f>Inputs!CP109</f>
        <v>6</v>
      </c>
      <c r="CQ15" s="335">
        <f>Inputs!CQ109</f>
        <v>6</v>
      </c>
      <c r="CR15" s="335">
        <f>Inputs!CR109</f>
        <v>6</v>
      </c>
      <c r="CS15" s="335">
        <f>Inputs!CS109</f>
        <v>11</v>
      </c>
      <c r="CT15" s="335">
        <f>Inputs!CT109</f>
        <v>6</v>
      </c>
      <c r="CU15" s="335">
        <f>Inputs!CU109</f>
        <v>6</v>
      </c>
      <c r="CV15" s="335">
        <f>Inputs!CV109</f>
        <v>6</v>
      </c>
      <c r="CW15" s="335">
        <f>Inputs!CW109</f>
        <v>10</v>
      </c>
    </row>
    <row r="16" spans="1:101" s="9" customFormat="1" ht="11.25">
      <c r="A16" s="869" t="s">
        <v>945</v>
      </c>
      <c r="B16" s="62"/>
      <c r="C16" s="369">
        <f t="shared" ref="C16:AH16" si="59">+AVERAGE(B14:C14)</f>
        <v>834</v>
      </c>
      <c r="D16" s="369">
        <f t="shared" si="59"/>
        <v>830.5</v>
      </c>
      <c r="E16" s="369">
        <f t="shared" si="59"/>
        <v>832</v>
      </c>
      <c r="F16" s="369">
        <f t="shared" si="59"/>
        <v>836.5</v>
      </c>
      <c r="G16" s="369">
        <f t="shared" si="59"/>
        <v>840.5</v>
      </c>
      <c r="H16" s="369">
        <f t="shared" si="59"/>
        <v>846</v>
      </c>
      <c r="I16" s="369">
        <f t="shared" si="59"/>
        <v>860.5</v>
      </c>
      <c r="J16" s="369">
        <f t="shared" si="59"/>
        <v>874</v>
      </c>
      <c r="K16" s="369">
        <f t="shared" si="59"/>
        <v>880.5</v>
      </c>
      <c r="L16" s="369">
        <f t="shared" si="59"/>
        <v>886</v>
      </c>
      <c r="M16" s="369">
        <f t="shared" si="59"/>
        <v>895.5</v>
      </c>
      <c r="N16" s="369">
        <f t="shared" si="59"/>
        <v>926</v>
      </c>
      <c r="O16" s="369">
        <f t="shared" si="59"/>
        <v>942</v>
      </c>
      <c r="P16" s="369">
        <f t="shared" si="59"/>
        <v>942.5</v>
      </c>
      <c r="Q16" s="369">
        <f t="shared" si="59"/>
        <v>950.5</v>
      </c>
      <c r="R16" s="369">
        <f t="shared" si="59"/>
        <v>956</v>
      </c>
      <c r="S16" s="369">
        <f t="shared" si="59"/>
        <v>1013</v>
      </c>
      <c r="T16" s="369">
        <f t="shared" si="59"/>
        <v>1082.5</v>
      </c>
      <c r="U16" s="369">
        <f t="shared" si="59"/>
        <v>1113</v>
      </c>
      <c r="V16" s="369">
        <f t="shared" si="59"/>
        <v>1133</v>
      </c>
      <c r="W16" s="369">
        <f t="shared" si="59"/>
        <v>1313</v>
      </c>
      <c r="X16" s="369">
        <f t="shared" si="59"/>
        <v>1498</v>
      </c>
      <c r="Y16" s="369">
        <f t="shared" si="59"/>
        <v>1520</v>
      </c>
      <c r="Z16" s="369">
        <f t="shared" si="59"/>
        <v>1529</v>
      </c>
      <c r="AA16" s="369">
        <f t="shared" si="59"/>
        <v>1536.5</v>
      </c>
      <c r="AB16" s="369">
        <f t="shared" si="59"/>
        <v>1566</v>
      </c>
      <c r="AC16" s="369">
        <f t="shared" si="59"/>
        <v>1589.5</v>
      </c>
      <c r="AD16" s="369">
        <f t="shared" si="59"/>
        <v>1590.5</v>
      </c>
      <c r="AE16" s="2131">
        <f t="shared" si="59"/>
        <v>1593.5</v>
      </c>
      <c r="AF16" s="369">
        <f t="shared" si="59"/>
        <v>1622</v>
      </c>
      <c r="AG16" s="369">
        <f t="shared" si="59"/>
        <v>1671</v>
      </c>
      <c r="AH16" s="369">
        <f t="shared" si="59"/>
        <v>1713.5</v>
      </c>
      <c r="AI16" s="369">
        <f t="shared" ref="AI16:BQ16" si="60">+AVERAGE(AH14:AI14)</f>
        <v>1737</v>
      </c>
      <c r="AJ16" s="369">
        <f t="shared" si="60"/>
        <v>1761</v>
      </c>
      <c r="AK16" s="369">
        <f t="shared" si="60"/>
        <v>1795</v>
      </c>
      <c r="AL16" s="369">
        <f t="shared" si="60"/>
        <v>1813.5</v>
      </c>
      <c r="AM16" s="586">
        <f t="shared" si="60"/>
        <v>1828.5</v>
      </c>
      <c r="AN16" s="586">
        <f t="shared" si="60"/>
        <v>1853</v>
      </c>
      <c r="AO16" s="586">
        <f t="shared" si="60"/>
        <v>1890</v>
      </c>
      <c r="AP16" s="586">
        <f t="shared" si="60"/>
        <v>1922</v>
      </c>
      <c r="AQ16" s="586">
        <f t="shared" si="60"/>
        <v>1921.5</v>
      </c>
      <c r="AR16" s="586">
        <f t="shared" si="60"/>
        <v>1916.5</v>
      </c>
      <c r="AS16" s="586">
        <f t="shared" si="60"/>
        <v>1916.5</v>
      </c>
      <c r="AT16" s="586">
        <f t="shared" si="60"/>
        <v>1907.5</v>
      </c>
      <c r="AU16" s="586">
        <f t="shared" si="60"/>
        <v>1887.5</v>
      </c>
      <c r="AV16" s="586">
        <f t="shared" si="60"/>
        <v>1868</v>
      </c>
      <c r="AW16" s="586">
        <f t="shared" si="60"/>
        <v>1840.5</v>
      </c>
      <c r="AX16" s="586">
        <f t="shared" si="60"/>
        <v>1813.5</v>
      </c>
      <c r="AY16" s="586">
        <f t="shared" si="60"/>
        <v>1803</v>
      </c>
      <c r="AZ16" s="586">
        <f t="shared" si="60"/>
        <v>1788.5</v>
      </c>
      <c r="BA16" s="586">
        <f t="shared" ref="BA16:BK16" si="61">+AVERAGE(AZ14:BA14)</f>
        <v>1783</v>
      </c>
      <c r="BB16" s="586">
        <f t="shared" si="61"/>
        <v>1788.5</v>
      </c>
      <c r="BC16" s="586">
        <f t="shared" si="61"/>
        <v>1791</v>
      </c>
      <c r="BD16" s="586">
        <f t="shared" si="61"/>
        <v>1796.5</v>
      </c>
      <c r="BE16" s="586">
        <f t="shared" si="61"/>
        <v>1816</v>
      </c>
      <c r="BF16" s="586">
        <f t="shared" si="61"/>
        <v>1831</v>
      </c>
      <c r="BG16" s="586">
        <f t="shared" si="61"/>
        <v>1823</v>
      </c>
      <c r="BH16" s="586">
        <f t="shared" si="61"/>
        <v>1817.5</v>
      </c>
      <c r="BI16" s="586">
        <f t="shared" si="61"/>
        <v>1834.5</v>
      </c>
      <c r="BJ16" s="586">
        <f t="shared" si="61"/>
        <v>1858.5</v>
      </c>
      <c r="BK16" s="1353">
        <f t="shared" si="61"/>
        <v>1877.5</v>
      </c>
      <c r="BL16" s="587">
        <f>+AVERAGE(BK14:BL14)</f>
        <v>1893</v>
      </c>
      <c r="BM16" s="587">
        <f t="shared" si="60"/>
        <v>1898.5</v>
      </c>
      <c r="BN16" s="587">
        <f t="shared" si="60"/>
        <v>1905</v>
      </c>
      <c r="BO16" s="587">
        <f t="shared" si="60"/>
        <v>1915</v>
      </c>
      <c r="BP16" s="587">
        <f t="shared" si="60"/>
        <v>1925</v>
      </c>
      <c r="BQ16" s="587">
        <f t="shared" si="60"/>
        <v>1940.5</v>
      </c>
      <c r="BR16" s="587">
        <f t="shared" ref="BR16:CK16" si="62">+AVERAGE(BQ14:BR14)</f>
        <v>1955</v>
      </c>
      <c r="BS16" s="587">
        <f t="shared" si="62"/>
        <v>1963</v>
      </c>
      <c r="BT16" s="587">
        <f t="shared" si="62"/>
        <v>1971</v>
      </c>
      <c r="BU16" s="587">
        <f t="shared" si="62"/>
        <v>1984</v>
      </c>
      <c r="BV16" s="587">
        <f t="shared" si="62"/>
        <v>1996.5</v>
      </c>
      <c r="BW16" s="587">
        <f t="shared" si="62"/>
        <v>2003.5</v>
      </c>
      <c r="BX16" s="587">
        <f t="shared" si="62"/>
        <v>2010.5</v>
      </c>
      <c r="BY16" s="587">
        <f t="shared" si="62"/>
        <v>2021</v>
      </c>
      <c r="BZ16" s="587">
        <f t="shared" si="62"/>
        <v>2031.5</v>
      </c>
      <c r="CA16" s="587">
        <f t="shared" si="62"/>
        <v>2038.5</v>
      </c>
      <c r="CB16" s="587">
        <f t="shared" si="62"/>
        <v>2045.5</v>
      </c>
      <c r="CC16" s="587">
        <f t="shared" si="62"/>
        <v>2056</v>
      </c>
      <c r="CD16" s="587">
        <f t="shared" si="62"/>
        <v>2066.5</v>
      </c>
      <c r="CE16" s="587">
        <f t="shared" si="62"/>
        <v>2073.5</v>
      </c>
      <c r="CF16" s="587">
        <f t="shared" si="62"/>
        <v>2080.5</v>
      </c>
      <c r="CG16" s="587">
        <f t="shared" si="62"/>
        <v>2091</v>
      </c>
      <c r="CH16" s="587">
        <f t="shared" si="62"/>
        <v>2101</v>
      </c>
      <c r="CI16" s="587">
        <f t="shared" si="62"/>
        <v>2107</v>
      </c>
      <c r="CJ16" s="587">
        <f t="shared" si="62"/>
        <v>2113</v>
      </c>
      <c r="CK16" s="587">
        <f t="shared" si="62"/>
        <v>2121.5</v>
      </c>
      <c r="CL16" s="587">
        <f t="shared" ref="CL16" si="63">+AVERAGE(CK14:CL14)</f>
        <v>2130</v>
      </c>
      <c r="CM16" s="587">
        <f t="shared" ref="CM16" si="64">+AVERAGE(CL14:CM14)</f>
        <v>2136</v>
      </c>
      <c r="CN16" s="587">
        <f t="shared" ref="CN16" si="65">+AVERAGE(CM14:CN14)</f>
        <v>2142</v>
      </c>
      <c r="CO16" s="587">
        <f t="shared" ref="CO16" si="66">+AVERAGE(CN14:CO14)</f>
        <v>2150.5</v>
      </c>
      <c r="CP16" s="587">
        <f t="shared" ref="CP16" si="67">+AVERAGE(CO14:CP14)</f>
        <v>2159</v>
      </c>
      <c r="CQ16" s="587">
        <f t="shared" ref="CQ16" si="68">+AVERAGE(CP14:CQ14)</f>
        <v>2165</v>
      </c>
      <c r="CR16" s="587">
        <f t="shared" ref="CR16" si="69">+AVERAGE(CQ14:CR14)</f>
        <v>2171</v>
      </c>
      <c r="CS16" s="587">
        <f t="shared" ref="CS16" si="70">+AVERAGE(CR14:CS14)</f>
        <v>2179.5</v>
      </c>
      <c r="CT16" s="587">
        <f t="shared" ref="CT16" si="71">+AVERAGE(CS14:CT14)</f>
        <v>2188</v>
      </c>
      <c r="CU16" s="587">
        <f t="shared" ref="CU16" si="72">+AVERAGE(CT14:CU14)</f>
        <v>2194</v>
      </c>
      <c r="CV16" s="587">
        <f t="shared" ref="CV16" si="73">+AVERAGE(CU14:CV14)</f>
        <v>2200</v>
      </c>
      <c r="CW16" s="587">
        <f t="shared" ref="CW16" si="74">+AVERAGE(CV14:CW14)</f>
        <v>2208</v>
      </c>
    </row>
    <row r="17" spans="1:101" s="9" customFormat="1" ht="11.25">
      <c r="A17" s="869"/>
      <c r="B17" s="62"/>
      <c r="C17" s="36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  <c r="Q17" s="369"/>
      <c r="R17" s="369"/>
      <c r="S17" s="369"/>
      <c r="T17" s="369"/>
      <c r="U17" s="369"/>
      <c r="V17" s="369"/>
      <c r="W17" s="369"/>
      <c r="X17" s="369"/>
      <c r="Y17" s="369"/>
      <c r="Z17" s="369"/>
      <c r="AA17" s="369"/>
      <c r="AB17" s="369"/>
      <c r="AC17" s="369"/>
      <c r="AD17" s="369"/>
      <c r="AE17" s="2131"/>
      <c r="AF17" s="369"/>
      <c r="AG17" s="369"/>
      <c r="AH17" s="369"/>
      <c r="AI17" s="369"/>
      <c r="AJ17" s="369"/>
      <c r="AK17" s="369"/>
      <c r="AL17" s="369"/>
      <c r="AM17" s="586"/>
      <c r="AN17" s="586"/>
      <c r="AO17" s="586"/>
      <c r="AP17" s="586"/>
      <c r="AQ17" s="586"/>
      <c r="AR17" s="586"/>
      <c r="AS17" s="586"/>
      <c r="AT17" s="586"/>
      <c r="AU17" s="586"/>
      <c r="AV17" s="586"/>
      <c r="AW17" s="586"/>
      <c r="AX17" s="586"/>
      <c r="AY17" s="586"/>
      <c r="AZ17" s="586"/>
      <c r="BA17" s="586"/>
      <c r="BB17" s="586"/>
      <c r="BC17" s="586"/>
      <c r="BD17" s="586"/>
      <c r="BE17" s="586"/>
      <c r="BF17" s="586"/>
      <c r="BG17" s="586"/>
      <c r="BH17" s="586"/>
      <c r="BI17" s="586"/>
      <c r="BJ17" s="586"/>
      <c r="BK17" s="1353"/>
      <c r="BL17" s="335"/>
      <c r="BM17" s="335"/>
      <c r="BN17" s="335"/>
      <c r="BO17" s="335"/>
      <c r="BP17" s="335"/>
      <c r="BQ17" s="335"/>
      <c r="BR17" s="335"/>
      <c r="BS17" s="335"/>
      <c r="BT17" s="335"/>
      <c r="BU17" s="335"/>
      <c r="BV17" s="335"/>
      <c r="BW17" s="335"/>
      <c r="BX17" s="335"/>
      <c r="BY17" s="335"/>
      <c r="BZ17" s="335"/>
      <c r="CA17" s="335"/>
      <c r="CB17" s="335"/>
      <c r="CC17" s="335"/>
      <c r="CD17" s="335"/>
      <c r="CE17" s="335"/>
      <c r="CF17" s="335"/>
      <c r="CG17" s="335"/>
      <c r="CH17" s="335"/>
      <c r="CI17" s="335"/>
      <c r="CJ17" s="335"/>
      <c r="CK17" s="335"/>
      <c r="CL17" s="335"/>
      <c r="CM17" s="335"/>
      <c r="CN17" s="335"/>
      <c r="CO17" s="335"/>
      <c r="CP17" s="335"/>
      <c r="CQ17" s="335"/>
      <c r="CR17" s="335"/>
      <c r="CS17" s="335"/>
      <c r="CT17" s="335"/>
      <c r="CU17" s="335"/>
      <c r="CV17" s="335"/>
      <c r="CW17" s="335"/>
    </row>
    <row r="18" spans="1:101" s="9" customFormat="1" ht="11.25">
      <c r="A18" s="655" t="s">
        <v>944</v>
      </c>
      <c r="B18" s="251">
        <f>IS!C75</f>
        <v>159</v>
      </c>
      <c r="C18" s="251">
        <f>IS!D75</f>
        <v>160</v>
      </c>
      <c r="D18" s="251">
        <f>IS!E75</f>
        <v>162</v>
      </c>
      <c r="E18" s="251">
        <f>IS!F75</f>
        <v>165</v>
      </c>
      <c r="F18" s="251">
        <f>IS!G75</f>
        <v>163</v>
      </c>
      <c r="G18" s="251">
        <f>IS!H75</f>
        <v>166</v>
      </c>
      <c r="H18" s="251">
        <f>IS!I75</f>
        <v>169</v>
      </c>
      <c r="I18" s="251">
        <f>IS!J75</f>
        <v>164</v>
      </c>
      <c r="J18" s="251">
        <f>IS!K75</f>
        <v>164</v>
      </c>
      <c r="K18" s="251">
        <f>IS!L75</f>
        <v>165</v>
      </c>
      <c r="L18" s="251">
        <f>IS!M75</f>
        <v>167</v>
      </c>
      <c r="M18" s="251">
        <f>IS!N75</f>
        <v>170</v>
      </c>
      <c r="N18" s="251">
        <f>IS!O75</f>
        <v>182</v>
      </c>
      <c r="O18" s="251">
        <f>IS!P75</f>
        <v>202</v>
      </c>
      <c r="P18" s="251">
        <f>IS!Q75</f>
        <v>204</v>
      </c>
      <c r="Q18" s="251">
        <f>IS!R75</f>
        <v>233</v>
      </c>
      <c r="R18" s="251">
        <f>IS!S75</f>
        <v>219</v>
      </c>
      <c r="S18" s="251">
        <f>IS!T75</f>
        <v>438</v>
      </c>
      <c r="T18" s="251">
        <f>IS!U75</f>
        <v>438</v>
      </c>
      <c r="U18" s="251">
        <f>IS!V75</f>
        <v>447</v>
      </c>
      <c r="V18" s="251">
        <f>IS!W75</f>
        <v>449</v>
      </c>
      <c r="W18" s="251">
        <f>IS!X75</f>
        <v>455</v>
      </c>
      <c r="X18" s="251">
        <f>IS!Y75</f>
        <v>452</v>
      </c>
      <c r="Y18" s="251">
        <f>IS!Z75</f>
        <v>467</v>
      </c>
      <c r="Z18" s="251">
        <f>IS!AA75</f>
        <v>470</v>
      </c>
      <c r="AA18" s="251">
        <f>IS!AB75</f>
        <v>473</v>
      </c>
      <c r="AB18" s="251">
        <f>IS!AC75</f>
        <v>483</v>
      </c>
      <c r="AC18" s="251">
        <f>IS!AD75</f>
        <v>498</v>
      </c>
      <c r="AD18" s="251">
        <f>IS!AE75</f>
        <v>503</v>
      </c>
      <c r="AE18" s="2133">
        <f>IS!AF75</f>
        <v>506</v>
      </c>
      <c r="AF18" s="251">
        <f>IS!AG75</f>
        <v>496</v>
      </c>
      <c r="AG18" s="251">
        <f>IS!AH75</f>
        <v>517</v>
      </c>
      <c r="AH18" s="251">
        <f>IS!AI75</f>
        <v>507</v>
      </c>
      <c r="AI18" s="251">
        <f>IS!AJ75</f>
        <v>512</v>
      </c>
      <c r="AJ18" s="251">
        <f>IS!AK75</f>
        <v>518</v>
      </c>
      <c r="AK18" s="251">
        <f>IS!AL75</f>
        <v>533</v>
      </c>
      <c r="AL18" s="251">
        <f>IS!AM75</f>
        <v>544</v>
      </c>
      <c r="AM18" s="963">
        <f>IS!AN75</f>
        <v>544</v>
      </c>
      <c r="AN18" s="963">
        <f>IS!AO75</f>
        <v>547</v>
      </c>
      <c r="AO18" s="963">
        <f>IS!AP75</f>
        <v>550</v>
      </c>
      <c r="AP18" s="963">
        <f>IS!AQ75</f>
        <v>550</v>
      </c>
      <c r="AQ18" s="963">
        <f>IS!AR75</f>
        <v>547</v>
      </c>
      <c r="AR18" s="963">
        <f>IS!AS75</f>
        <v>552</v>
      </c>
      <c r="AS18" s="963">
        <f>IS!AT75</f>
        <v>356</v>
      </c>
      <c r="AT18" s="963">
        <f>IS!AU75</f>
        <v>364</v>
      </c>
      <c r="AU18" s="963">
        <f>IS!AV75</f>
        <v>360</v>
      </c>
      <c r="AV18" s="963">
        <f>IS!AW75</f>
        <v>359</v>
      </c>
      <c r="AW18" s="963">
        <f>IS!AX75</f>
        <v>363</v>
      </c>
      <c r="AX18" s="963">
        <f>IS!AY75</f>
        <v>365</v>
      </c>
      <c r="AY18" s="963">
        <f>IS!AZ75</f>
        <v>369</v>
      </c>
      <c r="AZ18" s="963">
        <f>IS!BA75</f>
        <v>382</v>
      </c>
      <c r="BA18" s="963">
        <f>IS!BB75</f>
        <v>385</v>
      </c>
      <c r="BB18" s="963">
        <f>IS!BC75</f>
        <v>393</v>
      </c>
      <c r="BC18" s="963">
        <f>IS!BD75</f>
        <v>398</v>
      </c>
      <c r="BD18" s="963">
        <f>IS!BE75</f>
        <v>405</v>
      </c>
      <c r="BE18" s="963">
        <f>IS!BF75</f>
        <v>415</v>
      </c>
      <c r="BF18" s="963">
        <f>IS!BG75</f>
        <v>415</v>
      </c>
      <c r="BG18" s="963">
        <f>IS!BH75</f>
        <v>420</v>
      </c>
      <c r="BH18" s="963">
        <f>IS!BI75</f>
        <v>430</v>
      </c>
      <c r="BI18" s="963">
        <f>IS!BJ75</f>
        <v>462</v>
      </c>
      <c r="BJ18" s="963">
        <f>IS!BK75</f>
        <v>465</v>
      </c>
      <c r="BK18" s="1355">
        <f>IS!BL75</f>
        <v>469</v>
      </c>
      <c r="BL18" s="587">
        <f>+BK18+BL19</f>
        <v>474</v>
      </c>
      <c r="BM18" s="587">
        <f t="shared" ref="BL18:BQ18" si="75">+BL18+BM19</f>
        <v>488</v>
      </c>
      <c r="BN18" s="587">
        <f t="shared" si="75"/>
        <v>494</v>
      </c>
      <c r="BO18" s="587">
        <f t="shared" si="75"/>
        <v>500</v>
      </c>
      <c r="BP18" s="587">
        <f t="shared" si="75"/>
        <v>506</v>
      </c>
      <c r="BQ18" s="587">
        <f t="shared" si="75"/>
        <v>520</v>
      </c>
      <c r="BR18" s="587">
        <f t="shared" ref="BR18:CK18" si="76">+BQ18+BR19</f>
        <v>526</v>
      </c>
      <c r="BS18" s="587">
        <f t="shared" si="76"/>
        <v>532</v>
      </c>
      <c r="BT18" s="587">
        <f t="shared" si="76"/>
        <v>538</v>
      </c>
      <c r="BU18" s="587">
        <f t="shared" si="76"/>
        <v>548</v>
      </c>
      <c r="BV18" s="587">
        <f t="shared" si="76"/>
        <v>553</v>
      </c>
      <c r="BW18" s="587">
        <f t="shared" si="76"/>
        <v>558</v>
      </c>
      <c r="BX18" s="587">
        <f t="shared" si="76"/>
        <v>563</v>
      </c>
      <c r="BY18" s="587">
        <f t="shared" si="76"/>
        <v>572</v>
      </c>
      <c r="BZ18" s="587">
        <f t="shared" si="76"/>
        <v>577</v>
      </c>
      <c r="CA18" s="587">
        <f t="shared" si="76"/>
        <v>582</v>
      </c>
      <c r="CB18" s="587">
        <f t="shared" si="76"/>
        <v>587</v>
      </c>
      <c r="CC18" s="587">
        <f t="shared" si="76"/>
        <v>596</v>
      </c>
      <c r="CD18" s="587">
        <f t="shared" si="76"/>
        <v>601</v>
      </c>
      <c r="CE18" s="587">
        <f t="shared" si="76"/>
        <v>606</v>
      </c>
      <c r="CF18" s="587">
        <f t="shared" si="76"/>
        <v>611</v>
      </c>
      <c r="CG18" s="587">
        <f t="shared" si="76"/>
        <v>620</v>
      </c>
      <c r="CH18" s="587">
        <f t="shared" si="76"/>
        <v>624</v>
      </c>
      <c r="CI18" s="587">
        <f t="shared" si="76"/>
        <v>628</v>
      </c>
      <c r="CJ18" s="587">
        <f t="shared" si="76"/>
        <v>632</v>
      </c>
      <c r="CK18" s="587">
        <f t="shared" si="76"/>
        <v>640</v>
      </c>
      <c r="CL18" s="587">
        <f t="shared" ref="CL18" si="77">+CK18+CL19</f>
        <v>644</v>
      </c>
      <c r="CM18" s="587">
        <f t="shared" ref="CM18" si="78">+CL18+CM19</f>
        <v>648</v>
      </c>
      <c r="CN18" s="587">
        <f t="shared" ref="CN18" si="79">+CM18+CN19</f>
        <v>652</v>
      </c>
      <c r="CO18" s="587">
        <f t="shared" ref="CO18" si="80">+CN18+CO19</f>
        <v>660</v>
      </c>
      <c r="CP18" s="587">
        <f t="shared" ref="CP18" si="81">+CO18+CP19</f>
        <v>664</v>
      </c>
      <c r="CQ18" s="587">
        <f t="shared" ref="CQ18" si="82">+CP18+CQ19</f>
        <v>668</v>
      </c>
      <c r="CR18" s="587">
        <f t="shared" ref="CR18" si="83">+CQ18+CR19</f>
        <v>672</v>
      </c>
      <c r="CS18" s="587">
        <f t="shared" ref="CS18" si="84">+CR18+CS19</f>
        <v>680</v>
      </c>
      <c r="CT18" s="587">
        <f t="shared" ref="CT18" si="85">+CS18+CT19</f>
        <v>683</v>
      </c>
      <c r="CU18" s="587">
        <f t="shared" ref="CU18" si="86">+CT18+CU19</f>
        <v>686</v>
      </c>
      <c r="CV18" s="587">
        <f t="shared" ref="CV18" si="87">+CU18+CV19</f>
        <v>689</v>
      </c>
      <c r="CW18" s="587">
        <f t="shared" ref="CW18" si="88">+CV18+CW19</f>
        <v>697</v>
      </c>
    </row>
    <row r="19" spans="1:101" s="9" customFormat="1" ht="11.25">
      <c r="A19" s="869" t="s">
        <v>940</v>
      </c>
      <c r="B19" s="62"/>
      <c r="C19" s="369">
        <f t="shared" ref="C19:AZ19" si="89">+C18-B18</f>
        <v>1</v>
      </c>
      <c r="D19" s="369">
        <f t="shared" si="89"/>
        <v>2</v>
      </c>
      <c r="E19" s="369">
        <f t="shared" si="89"/>
        <v>3</v>
      </c>
      <c r="F19" s="369">
        <f t="shared" si="89"/>
        <v>-2</v>
      </c>
      <c r="G19" s="369">
        <f t="shared" si="89"/>
        <v>3</v>
      </c>
      <c r="H19" s="369">
        <f t="shared" si="89"/>
        <v>3</v>
      </c>
      <c r="I19" s="369">
        <f t="shared" si="89"/>
        <v>-5</v>
      </c>
      <c r="J19" s="369">
        <f t="shared" si="89"/>
        <v>0</v>
      </c>
      <c r="K19" s="369">
        <f t="shared" si="89"/>
        <v>1</v>
      </c>
      <c r="L19" s="369">
        <f t="shared" si="89"/>
        <v>2</v>
      </c>
      <c r="M19" s="369">
        <f t="shared" si="89"/>
        <v>3</v>
      </c>
      <c r="N19" s="369">
        <f t="shared" si="89"/>
        <v>12</v>
      </c>
      <c r="O19" s="369">
        <f t="shared" si="89"/>
        <v>20</v>
      </c>
      <c r="P19" s="369">
        <f t="shared" si="89"/>
        <v>2</v>
      </c>
      <c r="Q19" s="369">
        <f t="shared" si="89"/>
        <v>29</v>
      </c>
      <c r="R19" s="369">
        <f t="shared" si="89"/>
        <v>-14</v>
      </c>
      <c r="S19" s="369">
        <f t="shared" si="89"/>
        <v>219</v>
      </c>
      <c r="T19" s="369">
        <f t="shared" si="89"/>
        <v>0</v>
      </c>
      <c r="U19" s="369">
        <f t="shared" si="89"/>
        <v>9</v>
      </c>
      <c r="V19" s="369">
        <f t="shared" si="89"/>
        <v>2</v>
      </c>
      <c r="W19" s="369">
        <f t="shared" si="89"/>
        <v>6</v>
      </c>
      <c r="X19" s="369">
        <f t="shared" si="89"/>
        <v>-3</v>
      </c>
      <c r="Y19" s="369">
        <f t="shared" si="89"/>
        <v>15</v>
      </c>
      <c r="Z19" s="369">
        <f t="shared" si="89"/>
        <v>3</v>
      </c>
      <c r="AA19" s="369">
        <f t="shared" si="89"/>
        <v>3</v>
      </c>
      <c r="AB19" s="369">
        <f t="shared" si="89"/>
        <v>10</v>
      </c>
      <c r="AC19" s="369">
        <f t="shared" si="89"/>
        <v>15</v>
      </c>
      <c r="AD19" s="369">
        <f t="shared" si="89"/>
        <v>5</v>
      </c>
      <c r="AE19" s="2131">
        <f t="shared" si="89"/>
        <v>3</v>
      </c>
      <c r="AF19" s="369">
        <f t="shared" si="89"/>
        <v>-10</v>
      </c>
      <c r="AG19" s="369">
        <f t="shared" si="89"/>
        <v>21</v>
      </c>
      <c r="AH19" s="369">
        <f t="shared" si="89"/>
        <v>-10</v>
      </c>
      <c r="AI19" s="369">
        <f t="shared" si="89"/>
        <v>5</v>
      </c>
      <c r="AJ19" s="369">
        <f t="shared" si="89"/>
        <v>6</v>
      </c>
      <c r="AK19" s="369">
        <f t="shared" si="89"/>
        <v>15</v>
      </c>
      <c r="AL19" s="369">
        <f t="shared" si="89"/>
        <v>11</v>
      </c>
      <c r="AM19" s="586">
        <f t="shared" si="89"/>
        <v>0</v>
      </c>
      <c r="AN19" s="586">
        <f t="shared" si="89"/>
        <v>3</v>
      </c>
      <c r="AO19" s="586">
        <f t="shared" si="89"/>
        <v>3</v>
      </c>
      <c r="AP19" s="586">
        <f t="shared" si="89"/>
        <v>0</v>
      </c>
      <c r="AQ19" s="586">
        <f t="shared" si="89"/>
        <v>-3</v>
      </c>
      <c r="AR19" s="586">
        <f t="shared" si="89"/>
        <v>5</v>
      </c>
      <c r="AS19" s="586">
        <f t="shared" si="89"/>
        <v>-196</v>
      </c>
      <c r="AT19" s="586">
        <f t="shared" si="89"/>
        <v>8</v>
      </c>
      <c r="AU19" s="586">
        <f t="shared" si="89"/>
        <v>-4</v>
      </c>
      <c r="AV19" s="586">
        <f t="shared" si="89"/>
        <v>-1</v>
      </c>
      <c r="AW19" s="586">
        <f t="shared" si="89"/>
        <v>4</v>
      </c>
      <c r="AX19" s="586">
        <f t="shared" si="89"/>
        <v>2</v>
      </c>
      <c r="AY19" s="586">
        <f t="shared" si="89"/>
        <v>4</v>
      </c>
      <c r="AZ19" s="586">
        <f t="shared" si="89"/>
        <v>13</v>
      </c>
      <c r="BA19" s="586">
        <f t="shared" ref="BA19:BK19" si="90">+BA18-AZ18</f>
        <v>3</v>
      </c>
      <c r="BB19" s="586">
        <f t="shared" si="90"/>
        <v>8</v>
      </c>
      <c r="BC19" s="586">
        <f t="shared" si="90"/>
        <v>5</v>
      </c>
      <c r="BD19" s="586">
        <f t="shared" si="90"/>
        <v>7</v>
      </c>
      <c r="BE19" s="586">
        <f t="shared" si="90"/>
        <v>10</v>
      </c>
      <c r="BF19" s="586">
        <f t="shared" si="90"/>
        <v>0</v>
      </c>
      <c r="BG19" s="586">
        <f t="shared" si="90"/>
        <v>5</v>
      </c>
      <c r="BH19" s="586">
        <f t="shared" si="90"/>
        <v>10</v>
      </c>
      <c r="BI19" s="586">
        <f t="shared" si="90"/>
        <v>32</v>
      </c>
      <c r="BJ19" s="586">
        <f t="shared" si="90"/>
        <v>3</v>
      </c>
      <c r="BK19" s="1353">
        <f t="shared" si="90"/>
        <v>4</v>
      </c>
      <c r="BL19" s="335">
        <f>Inputs!BL114</f>
        <v>5</v>
      </c>
      <c r="BM19" s="335">
        <f>Inputs!BM114</f>
        <v>14</v>
      </c>
      <c r="BN19" s="335">
        <f>Inputs!BN114</f>
        <v>6</v>
      </c>
      <c r="BO19" s="335">
        <f>Inputs!BO114</f>
        <v>6</v>
      </c>
      <c r="BP19" s="335">
        <f>Inputs!BP114</f>
        <v>6</v>
      </c>
      <c r="BQ19" s="335">
        <f>Inputs!BQ114</f>
        <v>14</v>
      </c>
      <c r="BR19" s="335">
        <f>Inputs!BR114</f>
        <v>6</v>
      </c>
      <c r="BS19" s="335">
        <f>Inputs!BS114</f>
        <v>6</v>
      </c>
      <c r="BT19" s="335">
        <f>Inputs!BT114</f>
        <v>6</v>
      </c>
      <c r="BU19" s="335">
        <f>Inputs!BU114</f>
        <v>10</v>
      </c>
      <c r="BV19" s="335">
        <f>Inputs!BV114</f>
        <v>5</v>
      </c>
      <c r="BW19" s="335">
        <f>Inputs!BW114</f>
        <v>5</v>
      </c>
      <c r="BX19" s="335">
        <f>Inputs!BX114</f>
        <v>5</v>
      </c>
      <c r="BY19" s="335">
        <f>Inputs!BY114</f>
        <v>9</v>
      </c>
      <c r="BZ19" s="335">
        <f>Inputs!BZ114</f>
        <v>5</v>
      </c>
      <c r="CA19" s="335">
        <f>Inputs!CA114</f>
        <v>5</v>
      </c>
      <c r="CB19" s="335">
        <f>Inputs!CB114</f>
        <v>5</v>
      </c>
      <c r="CC19" s="335">
        <f>Inputs!CC114</f>
        <v>9</v>
      </c>
      <c r="CD19" s="335">
        <f>Inputs!CD114</f>
        <v>5</v>
      </c>
      <c r="CE19" s="335">
        <f>Inputs!CE114</f>
        <v>5</v>
      </c>
      <c r="CF19" s="335">
        <f>Inputs!CF114</f>
        <v>5</v>
      </c>
      <c r="CG19" s="335">
        <f>Inputs!CG114</f>
        <v>9</v>
      </c>
      <c r="CH19" s="335">
        <f>Inputs!CH114</f>
        <v>4</v>
      </c>
      <c r="CI19" s="335">
        <f>Inputs!CI114</f>
        <v>4</v>
      </c>
      <c r="CJ19" s="335">
        <f>Inputs!CJ114</f>
        <v>4</v>
      </c>
      <c r="CK19" s="335">
        <f>Inputs!CK114</f>
        <v>8</v>
      </c>
      <c r="CL19" s="335">
        <f>Inputs!CL114</f>
        <v>4</v>
      </c>
      <c r="CM19" s="335">
        <f>Inputs!CM114</f>
        <v>4</v>
      </c>
      <c r="CN19" s="335">
        <f>Inputs!CN114</f>
        <v>4</v>
      </c>
      <c r="CO19" s="335">
        <f>Inputs!CO114</f>
        <v>8</v>
      </c>
      <c r="CP19" s="335">
        <f>Inputs!CP114</f>
        <v>4</v>
      </c>
      <c r="CQ19" s="335">
        <f>Inputs!CQ114</f>
        <v>4</v>
      </c>
      <c r="CR19" s="335">
        <f>Inputs!CR114</f>
        <v>4</v>
      </c>
      <c r="CS19" s="335">
        <f>Inputs!CS114</f>
        <v>8</v>
      </c>
      <c r="CT19" s="335">
        <f>Inputs!CT114</f>
        <v>3</v>
      </c>
      <c r="CU19" s="335">
        <f>Inputs!CU114</f>
        <v>3</v>
      </c>
      <c r="CV19" s="335">
        <f>Inputs!CV114</f>
        <v>3</v>
      </c>
      <c r="CW19" s="335">
        <f>Inputs!CW114</f>
        <v>8</v>
      </c>
    </row>
    <row r="20" spans="1:101" s="9" customFormat="1" ht="11.25">
      <c r="A20" s="869" t="s">
        <v>946</v>
      </c>
      <c r="B20" s="62"/>
      <c r="C20" s="369">
        <f t="shared" ref="C20:AH20" si="91">+AVERAGE(B18:C18)</f>
        <v>159.5</v>
      </c>
      <c r="D20" s="369">
        <f t="shared" si="91"/>
        <v>161</v>
      </c>
      <c r="E20" s="369">
        <f t="shared" si="91"/>
        <v>163.5</v>
      </c>
      <c r="F20" s="369">
        <f t="shared" si="91"/>
        <v>164</v>
      </c>
      <c r="G20" s="369">
        <f t="shared" si="91"/>
        <v>164.5</v>
      </c>
      <c r="H20" s="369">
        <f t="shared" si="91"/>
        <v>167.5</v>
      </c>
      <c r="I20" s="369">
        <f t="shared" si="91"/>
        <v>166.5</v>
      </c>
      <c r="J20" s="369">
        <f t="shared" si="91"/>
        <v>164</v>
      </c>
      <c r="K20" s="369">
        <f t="shared" si="91"/>
        <v>164.5</v>
      </c>
      <c r="L20" s="369">
        <f t="shared" si="91"/>
        <v>166</v>
      </c>
      <c r="M20" s="369">
        <f t="shared" si="91"/>
        <v>168.5</v>
      </c>
      <c r="N20" s="369">
        <f t="shared" si="91"/>
        <v>176</v>
      </c>
      <c r="O20" s="369">
        <f t="shared" si="91"/>
        <v>192</v>
      </c>
      <c r="P20" s="369">
        <f t="shared" si="91"/>
        <v>203</v>
      </c>
      <c r="Q20" s="369">
        <f t="shared" si="91"/>
        <v>218.5</v>
      </c>
      <c r="R20" s="369">
        <f t="shared" si="91"/>
        <v>226</v>
      </c>
      <c r="S20" s="369">
        <f t="shared" si="91"/>
        <v>328.5</v>
      </c>
      <c r="T20" s="369">
        <f t="shared" si="91"/>
        <v>438</v>
      </c>
      <c r="U20" s="369">
        <f t="shared" si="91"/>
        <v>442.5</v>
      </c>
      <c r="V20" s="369">
        <f t="shared" si="91"/>
        <v>448</v>
      </c>
      <c r="W20" s="369">
        <f t="shared" si="91"/>
        <v>452</v>
      </c>
      <c r="X20" s="369">
        <f t="shared" si="91"/>
        <v>453.5</v>
      </c>
      <c r="Y20" s="369">
        <f t="shared" si="91"/>
        <v>459.5</v>
      </c>
      <c r="Z20" s="369">
        <f t="shared" si="91"/>
        <v>468.5</v>
      </c>
      <c r="AA20" s="369">
        <f t="shared" si="91"/>
        <v>471.5</v>
      </c>
      <c r="AB20" s="369">
        <f t="shared" si="91"/>
        <v>478</v>
      </c>
      <c r="AC20" s="369">
        <f t="shared" si="91"/>
        <v>490.5</v>
      </c>
      <c r="AD20" s="369">
        <f t="shared" si="91"/>
        <v>500.5</v>
      </c>
      <c r="AE20" s="2131">
        <f t="shared" si="91"/>
        <v>504.5</v>
      </c>
      <c r="AF20" s="369">
        <f t="shared" si="91"/>
        <v>501</v>
      </c>
      <c r="AG20" s="369">
        <f t="shared" si="91"/>
        <v>506.5</v>
      </c>
      <c r="AH20" s="369">
        <f t="shared" si="91"/>
        <v>512</v>
      </c>
      <c r="AI20" s="369">
        <f t="shared" ref="AI20:BQ20" si="92">+AVERAGE(AH18:AI18)</f>
        <v>509.5</v>
      </c>
      <c r="AJ20" s="369">
        <f t="shared" si="92"/>
        <v>515</v>
      </c>
      <c r="AK20" s="369">
        <f t="shared" si="92"/>
        <v>525.5</v>
      </c>
      <c r="AL20" s="369">
        <f t="shared" si="92"/>
        <v>538.5</v>
      </c>
      <c r="AM20" s="586">
        <f t="shared" si="92"/>
        <v>544</v>
      </c>
      <c r="AN20" s="586">
        <f t="shared" si="92"/>
        <v>545.5</v>
      </c>
      <c r="AO20" s="586">
        <f t="shared" si="92"/>
        <v>548.5</v>
      </c>
      <c r="AP20" s="586">
        <f t="shared" si="92"/>
        <v>550</v>
      </c>
      <c r="AQ20" s="586">
        <f t="shared" si="92"/>
        <v>548.5</v>
      </c>
      <c r="AR20" s="586">
        <f t="shared" si="92"/>
        <v>549.5</v>
      </c>
      <c r="AS20" s="586">
        <f t="shared" si="92"/>
        <v>454</v>
      </c>
      <c r="AT20" s="586">
        <f t="shared" si="92"/>
        <v>360</v>
      </c>
      <c r="AU20" s="586">
        <f t="shared" si="92"/>
        <v>362</v>
      </c>
      <c r="AV20" s="586">
        <f t="shared" si="92"/>
        <v>359.5</v>
      </c>
      <c r="AW20" s="586">
        <f t="shared" si="92"/>
        <v>361</v>
      </c>
      <c r="AX20" s="586">
        <f t="shared" si="92"/>
        <v>364</v>
      </c>
      <c r="AY20" s="586">
        <f t="shared" si="92"/>
        <v>367</v>
      </c>
      <c r="AZ20" s="586">
        <f t="shared" si="92"/>
        <v>375.5</v>
      </c>
      <c r="BA20" s="586">
        <f t="shared" ref="BA20:BK20" si="93">+AVERAGE(AZ18:BA18)</f>
        <v>383.5</v>
      </c>
      <c r="BB20" s="586">
        <f t="shared" si="93"/>
        <v>389</v>
      </c>
      <c r="BC20" s="586">
        <f t="shared" si="93"/>
        <v>395.5</v>
      </c>
      <c r="BD20" s="586">
        <f t="shared" si="93"/>
        <v>401.5</v>
      </c>
      <c r="BE20" s="586">
        <f t="shared" si="93"/>
        <v>410</v>
      </c>
      <c r="BF20" s="586">
        <f t="shared" si="93"/>
        <v>415</v>
      </c>
      <c r="BG20" s="586">
        <f t="shared" si="93"/>
        <v>417.5</v>
      </c>
      <c r="BH20" s="586">
        <f t="shared" si="93"/>
        <v>425</v>
      </c>
      <c r="BI20" s="586">
        <f t="shared" si="93"/>
        <v>446</v>
      </c>
      <c r="BJ20" s="586">
        <f t="shared" si="93"/>
        <v>463.5</v>
      </c>
      <c r="BK20" s="1353">
        <f t="shared" si="93"/>
        <v>467</v>
      </c>
      <c r="BL20" s="587">
        <f t="shared" si="92"/>
        <v>471.5</v>
      </c>
      <c r="BM20" s="587">
        <f t="shared" si="92"/>
        <v>481</v>
      </c>
      <c r="BN20" s="587">
        <f t="shared" si="92"/>
        <v>491</v>
      </c>
      <c r="BO20" s="587">
        <f t="shared" si="92"/>
        <v>497</v>
      </c>
      <c r="BP20" s="587">
        <f t="shared" si="92"/>
        <v>503</v>
      </c>
      <c r="BQ20" s="587">
        <f t="shared" si="92"/>
        <v>513</v>
      </c>
      <c r="BR20" s="587">
        <f t="shared" ref="BR20:CK20" si="94">+AVERAGE(BQ18:BR18)</f>
        <v>523</v>
      </c>
      <c r="BS20" s="587">
        <f t="shared" si="94"/>
        <v>529</v>
      </c>
      <c r="BT20" s="587">
        <f t="shared" si="94"/>
        <v>535</v>
      </c>
      <c r="BU20" s="587">
        <f t="shared" si="94"/>
        <v>543</v>
      </c>
      <c r="BV20" s="587">
        <f t="shared" si="94"/>
        <v>550.5</v>
      </c>
      <c r="BW20" s="587">
        <f t="shared" si="94"/>
        <v>555.5</v>
      </c>
      <c r="BX20" s="587">
        <f t="shared" si="94"/>
        <v>560.5</v>
      </c>
      <c r="BY20" s="587">
        <f t="shared" si="94"/>
        <v>567.5</v>
      </c>
      <c r="BZ20" s="587">
        <f t="shared" si="94"/>
        <v>574.5</v>
      </c>
      <c r="CA20" s="587">
        <f t="shared" si="94"/>
        <v>579.5</v>
      </c>
      <c r="CB20" s="587">
        <f t="shared" si="94"/>
        <v>584.5</v>
      </c>
      <c r="CC20" s="587">
        <f t="shared" si="94"/>
        <v>591.5</v>
      </c>
      <c r="CD20" s="587">
        <f t="shared" si="94"/>
        <v>598.5</v>
      </c>
      <c r="CE20" s="587">
        <f t="shared" si="94"/>
        <v>603.5</v>
      </c>
      <c r="CF20" s="587">
        <f t="shared" si="94"/>
        <v>608.5</v>
      </c>
      <c r="CG20" s="587">
        <f t="shared" si="94"/>
        <v>615.5</v>
      </c>
      <c r="CH20" s="587">
        <f t="shared" si="94"/>
        <v>622</v>
      </c>
      <c r="CI20" s="587">
        <f t="shared" si="94"/>
        <v>626</v>
      </c>
      <c r="CJ20" s="587">
        <f t="shared" si="94"/>
        <v>630</v>
      </c>
      <c r="CK20" s="587">
        <f t="shared" si="94"/>
        <v>636</v>
      </c>
      <c r="CL20" s="587">
        <f t="shared" ref="CL20" si="95">+AVERAGE(CK18:CL18)</f>
        <v>642</v>
      </c>
      <c r="CM20" s="587">
        <f t="shared" ref="CM20" si="96">+AVERAGE(CL18:CM18)</f>
        <v>646</v>
      </c>
      <c r="CN20" s="587">
        <f t="shared" ref="CN20" si="97">+AVERAGE(CM18:CN18)</f>
        <v>650</v>
      </c>
      <c r="CO20" s="587">
        <f t="shared" ref="CO20" si="98">+AVERAGE(CN18:CO18)</f>
        <v>656</v>
      </c>
      <c r="CP20" s="587">
        <f t="shared" ref="CP20" si="99">+AVERAGE(CO18:CP18)</f>
        <v>662</v>
      </c>
      <c r="CQ20" s="587">
        <f t="shared" ref="CQ20" si="100">+AVERAGE(CP18:CQ18)</f>
        <v>666</v>
      </c>
      <c r="CR20" s="587">
        <f t="shared" ref="CR20" si="101">+AVERAGE(CQ18:CR18)</f>
        <v>670</v>
      </c>
      <c r="CS20" s="587">
        <f t="shared" ref="CS20" si="102">+AVERAGE(CR18:CS18)</f>
        <v>676</v>
      </c>
      <c r="CT20" s="587">
        <f t="shared" ref="CT20" si="103">+AVERAGE(CS18:CT18)</f>
        <v>681.5</v>
      </c>
      <c r="CU20" s="587">
        <f t="shared" ref="CU20" si="104">+AVERAGE(CT18:CU18)</f>
        <v>684.5</v>
      </c>
      <c r="CV20" s="587">
        <f t="shared" ref="CV20" si="105">+AVERAGE(CU18:CV18)</f>
        <v>687.5</v>
      </c>
      <c r="CW20" s="587">
        <f t="shared" ref="CW20" si="106">+AVERAGE(CV18:CW18)</f>
        <v>693</v>
      </c>
    </row>
    <row r="21" spans="1:101" s="9" customFormat="1" ht="11.25">
      <c r="A21" s="331"/>
      <c r="B21" s="62"/>
      <c r="C21" s="62"/>
      <c r="D21" s="62"/>
      <c r="E21" s="62"/>
      <c r="F21" s="316"/>
      <c r="G21" s="333"/>
      <c r="H21" s="333"/>
      <c r="I21" s="316"/>
      <c r="J21" s="316"/>
      <c r="K21" s="333"/>
      <c r="L21" s="333"/>
      <c r="M21" s="316"/>
      <c r="N21" s="355"/>
      <c r="O21" s="355"/>
      <c r="P21" s="355"/>
      <c r="Q21" s="316"/>
      <c r="R21" s="316"/>
      <c r="S21" s="316"/>
      <c r="T21" s="316"/>
      <c r="U21" s="316"/>
      <c r="V21" s="316"/>
      <c r="W21" s="316"/>
      <c r="X21" s="316"/>
      <c r="Y21" s="316"/>
      <c r="Z21" s="316"/>
      <c r="AA21" s="355"/>
      <c r="AB21" s="316"/>
      <c r="AC21" s="316"/>
      <c r="AD21" s="316"/>
      <c r="AE21" s="2129"/>
      <c r="AF21" s="316"/>
      <c r="AG21" s="316"/>
      <c r="AH21" s="316"/>
      <c r="AI21" s="316"/>
      <c r="AJ21" s="316"/>
      <c r="AK21" s="316"/>
      <c r="AL21" s="316"/>
      <c r="AM21" s="316"/>
      <c r="AN21" s="316"/>
      <c r="AO21" s="316"/>
      <c r="BK21" s="1318"/>
    </row>
    <row r="22" spans="1:101" s="9" customFormat="1" ht="11.25">
      <c r="A22" s="331" t="s">
        <v>754</v>
      </c>
      <c r="B22" s="62"/>
      <c r="C22" s="62"/>
      <c r="D22" s="62"/>
      <c r="E22" s="62"/>
      <c r="F22" s="316"/>
      <c r="G22" s="316"/>
      <c r="H22" s="316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  <c r="AA22" s="316"/>
      <c r="AB22" s="316"/>
      <c r="AC22" s="316"/>
      <c r="AD22" s="316"/>
      <c r="AE22" s="2129"/>
      <c r="AF22" s="316"/>
      <c r="AG22" s="316"/>
      <c r="AH22" s="316"/>
      <c r="AI22" s="316"/>
      <c r="AJ22" s="316"/>
      <c r="AK22" s="316"/>
      <c r="AL22" s="316"/>
      <c r="AM22" s="316"/>
      <c r="AN22" s="316"/>
      <c r="AO22" s="316"/>
      <c r="BK22" s="1318"/>
    </row>
    <row r="23" spans="1:101" s="9" customFormat="1" ht="11.25">
      <c r="A23" s="331"/>
      <c r="B23" s="62"/>
      <c r="C23" s="62"/>
      <c r="D23" s="62"/>
      <c r="E23" s="62"/>
      <c r="F23" s="316"/>
      <c r="G23" s="316"/>
      <c r="H23" s="316"/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  <c r="AA23" s="316"/>
      <c r="AB23" s="316"/>
      <c r="AC23" s="316"/>
      <c r="AD23" s="316"/>
      <c r="AE23" s="2129"/>
      <c r="AF23" s="316"/>
      <c r="AG23" s="316"/>
      <c r="AH23" s="316"/>
      <c r="AI23" s="316"/>
      <c r="AJ23" s="316"/>
      <c r="AK23" s="316"/>
      <c r="AL23" s="316"/>
      <c r="AM23" s="316"/>
      <c r="AN23" s="316"/>
      <c r="AO23" s="316"/>
      <c r="BK23" s="1318"/>
    </row>
    <row r="24" spans="1:101" s="9" customFormat="1" ht="11.25">
      <c r="A24" s="622" t="s">
        <v>739</v>
      </c>
      <c r="B24" s="62"/>
      <c r="C24" s="933"/>
      <c r="D24" s="62"/>
      <c r="E24" s="62"/>
      <c r="F24" s="316"/>
      <c r="G24" s="333"/>
      <c r="H24" s="333"/>
      <c r="I24" s="316"/>
      <c r="J24" s="316"/>
      <c r="K24" s="333"/>
      <c r="L24" s="333"/>
      <c r="M24" s="316"/>
      <c r="N24" s="355"/>
      <c r="O24" s="355"/>
      <c r="P24" s="355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55"/>
      <c r="AB24" s="316"/>
      <c r="AC24" s="316"/>
      <c r="AD24" s="316"/>
      <c r="AE24" s="2129"/>
      <c r="AF24" s="316"/>
      <c r="AG24" s="316"/>
      <c r="AH24" s="316"/>
      <c r="AI24" s="316"/>
      <c r="AJ24" s="316"/>
      <c r="AK24" s="316"/>
      <c r="AL24" s="316"/>
      <c r="AM24" s="316"/>
      <c r="AN24" s="316"/>
      <c r="AO24" s="316"/>
      <c r="BK24" s="1318"/>
    </row>
    <row r="25" spans="1:101" s="9" customFormat="1" ht="11.25">
      <c r="A25" s="655" t="s">
        <v>951</v>
      </c>
      <c r="B25" s="369"/>
      <c r="C25" s="873">
        <f t="shared" ref="C25:AH25" si="107">C41/C16</f>
        <v>1.7534772182254201</v>
      </c>
      <c r="D25" s="873">
        <f t="shared" si="107"/>
        <v>1.7574954846478024</v>
      </c>
      <c r="E25" s="873">
        <f t="shared" si="107"/>
        <v>1.9426682692307684</v>
      </c>
      <c r="F25" s="873">
        <f t="shared" si="107"/>
        <v>1.762104004781829</v>
      </c>
      <c r="G25" s="873">
        <f t="shared" si="107"/>
        <v>1.761094586555622</v>
      </c>
      <c r="H25" s="873">
        <f t="shared" si="107"/>
        <v>1.7719858156028367</v>
      </c>
      <c r="I25" s="873">
        <f t="shared" si="107"/>
        <v>1.9266705403834983</v>
      </c>
      <c r="J25" s="873">
        <f t="shared" si="107"/>
        <v>1.8631315789473686</v>
      </c>
      <c r="K25" s="873">
        <f t="shared" si="107"/>
        <v>1.9494344122657581</v>
      </c>
      <c r="L25" s="873">
        <f t="shared" si="107"/>
        <v>1.9684841986455981</v>
      </c>
      <c r="M25" s="873">
        <f t="shared" si="107"/>
        <v>2.0111535455053042</v>
      </c>
      <c r="N25" s="873">
        <f t="shared" si="107"/>
        <v>2.0798887688984879</v>
      </c>
      <c r="O25" s="873">
        <f t="shared" si="107"/>
        <v>2.3057080679405519</v>
      </c>
      <c r="P25" s="873">
        <f t="shared" si="107"/>
        <v>2.2970578249336864</v>
      </c>
      <c r="Q25" s="873">
        <f t="shared" si="107"/>
        <v>2.3929384534455549</v>
      </c>
      <c r="R25" s="873">
        <f t="shared" si="107"/>
        <v>2.3329027196652721</v>
      </c>
      <c r="S25" s="873">
        <f t="shared" si="107"/>
        <v>2.4662161895360315</v>
      </c>
      <c r="T25" s="873">
        <f t="shared" si="107"/>
        <v>2.3568933025404162</v>
      </c>
      <c r="U25" s="873">
        <f t="shared" si="107"/>
        <v>2.4905417789757411</v>
      </c>
      <c r="V25" s="873">
        <f t="shared" si="107"/>
        <v>2.3444616063548103</v>
      </c>
      <c r="W25" s="873">
        <f t="shared" si="107"/>
        <v>2.8251111957349582</v>
      </c>
      <c r="X25" s="873">
        <f t="shared" si="107"/>
        <v>2.7431662216288384</v>
      </c>
      <c r="Y25" s="873">
        <f t="shared" si="107"/>
        <v>3.0816328947368423</v>
      </c>
      <c r="Z25" s="873">
        <f t="shared" si="107"/>
        <v>2.0102406801831263</v>
      </c>
      <c r="AA25" s="873">
        <f t="shared" si="107"/>
        <v>1.9759785226163358</v>
      </c>
      <c r="AB25" s="873">
        <f t="shared" si="107"/>
        <v>2.1198231162196679</v>
      </c>
      <c r="AC25" s="873">
        <f t="shared" si="107"/>
        <v>2.1726725385341306</v>
      </c>
      <c r="AD25" s="873">
        <f t="shared" si="107"/>
        <v>2.0972668972021378</v>
      </c>
      <c r="AE25" s="2134">
        <f t="shared" si="107"/>
        <v>2.1661744587386256</v>
      </c>
      <c r="AF25" s="873">
        <f t="shared" si="107"/>
        <v>2.1379654747225647</v>
      </c>
      <c r="AG25" s="873">
        <f t="shared" si="107"/>
        <v>2.20525433871933</v>
      </c>
      <c r="AH25" s="873">
        <f t="shared" si="107"/>
        <v>2.1583985993580392</v>
      </c>
      <c r="AI25" s="873">
        <f t="shared" ref="AI25:BQ25" si="108">AI41/AI16</f>
        <v>2.2835480713874499</v>
      </c>
      <c r="AJ25" s="873">
        <f t="shared" si="108"/>
        <v>2.2430255536626915</v>
      </c>
      <c r="AK25" s="873">
        <f t="shared" si="108"/>
        <v>2.3533732590529248</v>
      </c>
      <c r="AL25" s="873">
        <f t="shared" si="108"/>
        <v>3.0933024538185827</v>
      </c>
      <c r="AM25" s="964">
        <f t="shared" si="108"/>
        <v>3.1818162428219852</v>
      </c>
      <c r="AN25" s="964">
        <f t="shared" si="108"/>
        <v>3.1926157582298971</v>
      </c>
      <c r="AO25" s="964">
        <f t="shared" si="108"/>
        <v>3.4292015873015873</v>
      </c>
      <c r="AP25" s="964">
        <f t="shared" si="108"/>
        <v>3.0829927159209154</v>
      </c>
      <c r="AQ25" s="964">
        <f t="shared" si="108"/>
        <v>3.3214488680718186</v>
      </c>
      <c r="AR25" s="964">
        <f t="shared" si="108"/>
        <v>3.6276185755283068</v>
      </c>
      <c r="AS25" s="964">
        <f t="shared" si="108"/>
        <v>3.5621633185494392</v>
      </c>
      <c r="AT25" s="964">
        <f t="shared" si="108"/>
        <v>3.1275989515072085</v>
      </c>
      <c r="AU25" s="964">
        <f t="shared" ref="AU25:BC25" si="109">AU41/AU16</f>
        <v>1.390707284768212</v>
      </c>
      <c r="AV25" s="964">
        <f t="shared" si="109"/>
        <v>2.3431311563169164</v>
      </c>
      <c r="AW25" s="964">
        <f t="shared" si="109"/>
        <v>2.8892963868513992</v>
      </c>
      <c r="AX25" s="964">
        <f t="shared" si="109"/>
        <v>2.6701229666390955</v>
      </c>
      <c r="AY25" s="964">
        <f t="shared" si="109"/>
        <v>3.5122207432057682</v>
      </c>
      <c r="AZ25" s="964">
        <f t="shared" si="109"/>
        <v>3.634882862734135</v>
      </c>
      <c r="BA25" s="964">
        <f t="shared" si="109"/>
        <v>4.3195227145260793</v>
      </c>
      <c r="BB25" s="964">
        <f t="shared" si="109"/>
        <v>4.0183293262510489</v>
      </c>
      <c r="BC25" s="964">
        <f t="shared" si="109"/>
        <v>4.5788029034059186</v>
      </c>
      <c r="BD25" s="964">
        <f t="shared" ref="BD25:BG25" si="110">BD41/BD16</f>
        <v>4.56582298914556</v>
      </c>
      <c r="BE25" s="964">
        <f t="shared" si="110"/>
        <v>5.0571629955947133</v>
      </c>
      <c r="BF25" s="964">
        <f t="shared" si="110"/>
        <v>4.6874543965046422</v>
      </c>
      <c r="BG25" s="964">
        <f t="shared" si="110"/>
        <v>5.1735693911135501</v>
      </c>
      <c r="BH25" s="964">
        <f t="shared" ref="BH25" si="111">BH41/BH16</f>
        <v>5.1887339752407158</v>
      </c>
      <c r="BI25" s="964">
        <f t="shared" ref="BI25" si="112">BI41/BI16</f>
        <v>5.4862305805396563</v>
      </c>
      <c r="BJ25" s="964">
        <f t="shared" ref="BJ25" si="113">BJ41/BJ16</f>
        <v>5.1810228679042227</v>
      </c>
      <c r="BK25" s="1356">
        <f t="shared" ref="BK25" si="114">BK41/BK16</f>
        <v>5.4505363515312917</v>
      </c>
      <c r="BL25" s="874">
        <f t="shared" si="108"/>
        <v>5.3888405141952749</v>
      </c>
      <c r="BM25" s="874">
        <f t="shared" si="108"/>
        <v>5.688552709539473</v>
      </c>
      <c r="BN25" s="874">
        <f t="shared" si="108"/>
        <v>5.3569530842699242</v>
      </c>
      <c r="BO25" s="874">
        <f t="shared" si="108"/>
        <v>5.6470469173220996</v>
      </c>
      <c r="BP25" s="874">
        <f t="shared" si="108"/>
        <v>5.5713158370249465</v>
      </c>
      <c r="BQ25" s="874">
        <f t="shared" si="108"/>
        <v>5.8763245393852834</v>
      </c>
      <c r="BR25" s="874">
        <f t="shared" ref="BR25:CK25" si="115">BR41/BR16</f>
        <v>5.5294090618185399</v>
      </c>
      <c r="BS25" s="874">
        <f t="shared" si="115"/>
        <v>5.8301578443122306</v>
      </c>
      <c r="BT25" s="874">
        <f t="shared" si="115"/>
        <v>5.7532589041861906</v>
      </c>
      <c r="BU25" s="874">
        <f t="shared" si="115"/>
        <v>6.0699512367663173</v>
      </c>
      <c r="BV25" s="874">
        <f t="shared" si="115"/>
        <v>5.7129116529236272</v>
      </c>
      <c r="BW25" s="874">
        <f t="shared" si="115"/>
        <v>6.0243329625136797</v>
      </c>
      <c r="BX25" s="874">
        <f t="shared" si="115"/>
        <v>5.9455506854903195</v>
      </c>
      <c r="BY25" s="874">
        <f t="shared" si="115"/>
        <v>6.2745144573637281</v>
      </c>
      <c r="BZ25" s="874">
        <f t="shared" si="115"/>
        <v>5.8520665398895666</v>
      </c>
      <c r="CA25" s="874">
        <f t="shared" si="115"/>
        <v>6.1711467083697844</v>
      </c>
      <c r="CB25" s="874">
        <f t="shared" si="115"/>
        <v>6.0905163146749866</v>
      </c>
      <c r="CC25" s="874">
        <f t="shared" si="115"/>
        <v>6.427613666933782</v>
      </c>
      <c r="CD25" s="874">
        <f t="shared" si="115"/>
        <v>5.9949620103298846</v>
      </c>
      <c r="CE25" s="874">
        <f t="shared" si="115"/>
        <v>6.3219060018230371</v>
      </c>
      <c r="CF25" s="874">
        <f t="shared" si="115"/>
        <v>6.2393769411599775</v>
      </c>
      <c r="CG25" s="874">
        <f t="shared" si="115"/>
        <v>6.5848250442606719</v>
      </c>
      <c r="CH25" s="874">
        <f t="shared" si="115"/>
        <v>6.141982756863273</v>
      </c>
      <c r="CI25" s="874">
        <f t="shared" si="115"/>
        <v>6.4776223400679926</v>
      </c>
      <c r="CJ25" s="874">
        <f t="shared" si="115"/>
        <v>6.393725444241813</v>
      </c>
      <c r="CK25" s="874">
        <f t="shared" si="115"/>
        <v>6.7490787788382498</v>
      </c>
      <c r="CL25" s="874">
        <f t="shared" ref="CL25:CW25" si="116">CL41/CL16</f>
        <v>6.2961517528447573</v>
      </c>
      <c r="CM25" s="874">
        <f t="shared" si="116"/>
        <v>6.6402671042843302</v>
      </c>
      <c r="CN25" s="874">
        <f t="shared" si="116"/>
        <v>6.5543136530453374</v>
      </c>
      <c r="CO25" s="874">
        <f t="shared" si="116"/>
        <v>6.9186664787404188</v>
      </c>
      <c r="CP25" s="874">
        <f t="shared" si="116"/>
        <v>6.4544272335730941</v>
      </c>
      <c r="CQ25" s="874">
        <f t="shared" si="116"/>
        <v>6.8072439272670406</v>
      </c>
      <c r="CR25" s="874">
        <f t="shared" si="116"/>
        <v>6.7191789634206911</v>
      </c>
      <c r="CS25" s="874">
        <f t="shared" si="116"/>
        <v>7.0927707122119745</v>
      </c>
      <c r="CT25" s="874">
        <f t="shared" si="116"/>
        <v>6.6169177438943736</v>
      </c>
      <c r="CU25" s="874">
        <f t="shared" si="116"/>
        <v>6.9786673389659946</v>
      </c>
      <c r="CV25" s="874">
        <f t="shared" si="116"/>
        <v>6.8884344744156882</v>
      </c>
      <c r="CW25" s="874">
        <f t="shared" si="116"/>
        <v>7.2718367991094528</v>
      </c>
    </row>
    <row r="26" spans="1:101" s="9" customFormat="1" ht="11.25">
      <c r="A26" s="665" t="s">
        <v>950</v>
      </c>
      <c r="B26" s="62"/>
      <c r="C26" s="62"/>
      <c r="D26" s="62"/>
      <c r="E26" s="62"/>
      <c r="F26" s="256"/>
      <c r="G26" s="256">
        <f t="shared" ref="G26:AL26" si="117">G25/C25-1</f>
        <v>4.3441501554899453E-3</v>
      </c>
      <c r="H26" s="256">
        <f t="shared" si="117"/>
        <v>8.2448752111237145E-3</v>
      </c>
      <c r="I26" s="256">
        <f t="shared" si="117"/>
        <v>-8.234925695062012E-3</v>
      </c>
      <c r="J26" s="256">
        <f t="shared" si="117"/>
        <v>5.7333491037634854E-2</v>
      </c>
      <c r="K26" s="256">
        <f t="shared" si="117"/>
        <v>0.10694475308023876</v>
      </c>
      <c r="L26" s="256">
        <f t="shared" si="117"/>
        <v>0.11089162300992328</v>
      </c>
      <c r="M26" s="256">
        <f t="shared" si="117"/>
        <v>4.3849222454499071E-2</v>
      </c>
      <c r="N26" s="256">
        <f t="shared" si="117"/>
        <v>0.11634024799986631</v>
      </c>
      <c r="O26" s="256">
        <f t="shared" si="117"/>
        <v>0.18275744668973481</v>
      </c>
      <c r="P26" s="256">
        <f t="shared" si="117"/>
        <v>0.16691707584656301</v>
      </c>
      <c r="Q26" s="256">
        <f t="shared" si="117"/>
        <v>0.18983379403999057</v>
      </c>
      <c r="R26" s="256">
        <f t="shared" si="117"/>
        <v>0.12164782778301197</v>
      </c>
      <c r="S26" s="256">
        <f t="shared" si="117"/>
        <v>6.9613375529732568E-2</v>
      </c>
      <c r="T26" s="256">
        <f t="shared" si="117"/>
        <v>2.6048746773911668E-2</v>
      </c>
      <c r="U26" s="256">
        <f t="shared" si="117"/>
        <v>4.0788063474699321E-2</v>
      </c>
      <c r="V26" s="256">
        <f t="shared" si="117"/>
        <v>4.9547229689872463E-3</v>
      </c>
      <c r="W26" s="256">
        <f t="shared" si="117"/>
        <v>0.14552455203306636</v>
      </c>
      <c r="X26" s="256">
        <f t="shared" si="117"/>
        <v>0.16389071099318397</v>
      </c>
      <c r="Y26" s="256">
        <f t="shared" si="117"/>
        <v>0.23733435060229868</v>
      </c>
      <c r="Z26" s="256">
        <f t="shared" si="117"/>
        <v>-0.14255764533134485</v>
      </c>
      <c r="AA26" s="256">
        <f t="shared" si="117"/>
        <v>-0.30056610670778172</v>
      </c>
      <c r="AB26" s="256">
        <f t="shared" si="117"/>
        <v>-0.22723490122266143</v>
      </c>
      <c r="AC26" s="256">
        <f t="shared" si="117"/>
        <v>-0.29496062225813335</v>
      </c>
      <c r="AD26" s="256">
        <f t="shared" si="117"/>
        <v>4.3291441605431968E-2</v>
      </c>
      <c r="AE26" s="2132">
        <f t="shared" si="117"/>
        <v>9.6254050307417849E-2</v>
      </c>
      <c r="AF26" s="256">
        <f t="shared" si="117"/>
        <v>8.5584303539676387E-3</v>
      </c>
      <c r="AG26" s="256">
        <f t="shared" si="117"/>
        <v>1.4996185392568195E-2</v>
      </c>
      <c r="AH26" s="256">
        <f t="shared" si="117"/>
        <v>2.9148270178418478E-2</v>
      </c>
      <c r="AI26" s="256">
        <f t="shared" si="117"/>
        <v>5.4184745912465138E-2</v>
      </c>
      <c r="AJ26" s="256">
        <f t="shared" si="117"/>
        <v>4.9140213058753934E-2</v>
      </c>
      <c r="AK26" s="256">
        <f t="shared" si="117"/>
        <v>6.7166366134263189E-2</v>
      </c>
      <c r="AL26" s="256">
        <f t="shared" si="117"/>
        <v>0.43314698904021109</v>
      </c>
      <c r="AM26" s="257">
        <f t="shared" ref="AM26:BQ26" si="118">AM25/AI25-1</f>
        <v>0.39336512451378391</v>
      </c>
      <c r="AN26" s="257">
        <f t="shared" si="118"/>
        <v>0.42335237911872925</v>
      </c>
      <c r="AO26" s="257">
        <f t="shared" si="118"/>
        <v>0.45714309198941572</v>
      </c>
      <c r="AP26" s="257">
        <f t="shared" si="118"/>
        <v>-3.3329226778132659E-3</v>
      </c>
      <c r="AQ26" s="257">
        <f t="shared" si="118"/>
        <v>4.3884566107435408E-2</v>
      </c>
      <c r="AR26" s="257">
        <f t="shared" si="118"/>
        <v>0.13625279402228818</v>
      </c>
      <c r="AS26" s="257">
        <f t="shared" si="118"/>
        <v>3.8773378543918824E-2</v>
      </c>
      <c r="AT26" s="257">
        <f t="shared" si="118"/>
        <v>1.4468485558185584E-2</v>
      </c>
      <c r="AU26" s="257">
        <f t="shared" si="118"/>
        <v>-0.58129498902220011</v>
      </c>
      <c r="AV26" s="257">
        <f t="shared" si="118"/>
        <v>-0.35408557776070071</v>
      </c>
      <c r="AW26" s="257">
        <f t="shared" si="118"/>
        <v>-0.18889277989983921</v>
      </c>
      <c r="AX26" s="257">
        <f t="shared" si="118"/>
        <v>-0.14627066703921632</v>
      </c>
      <c r="AY26" s="257">
        <f t="shared" si="118"/>
        <v>1.5254924466661919</v>
      </c>
      <c r="AZ26" s="257">
        <f t="shared" si="118"/>
        <v>0.55129295811493395</v>
      </c>
      <c r="BA26" s="257">
        <f t="shared" ref="BA26:BK26" si="119">BA25/AW25-1</f>
        <v>0.49500851978473004</v>
      </c>
      <c r="BB26" s="257">
        <f t="shared" si="119"/>
        <v>0.50492294791537295</v>
      </c>
      <c r="BC26" s="257">
        <f t="shared" si="119"/>
        <v>0.30367742752599058</v>
      </c>
      <c r="BD26" s="257">
        <f t="shared" si="119"/>
        <v>0.25611282717132133</v>
      </c>
      <c r="BE26" s="257">
        <f t="shared" si="119"/>
        <v>0.17076893208317467</v>
      </c>
      <c r="BF26" s="257">
        <f t="shared" si="119"/>
        <v>0.16651822584135045</v>
      </c>
      <c r="BG26" s="257">
        <f t="shared" si="119"/>
        <v>0.12989562998337778</v>
      </c>
      <c r="BH26" s="257">
        <f t="shared" si="119"/>
        <v>0.13642907041644348</v>
      </c>
      <c r="BI26" s="257">
        <f t="shared" si="119"/>
        <v>8.484353486702001E-2</v>
      </c>
      <c r="BJ26" s="257">
        <f t="shared" si="119"/>
        <v>0.10529563162633138</v>
      </c>
      <c r="BK26" s="1357">
        <f t="shared" si="119"/>
        <v>5.353498512912136E-2</v>
      </c>
      <c r="BL26" s="461">
        <f t="shared" si="118"/>
        <v>3.8565580719577275E-2</v>
      </c>
      <c r="BM26" s="461">
        <f t="shared" si="118"/>
        <v>3.6878167264328798E-2</v>
      </c>
      <c r="BN26" s="461">
        <f t="shared" si="118"/>
        <v>3.395665698670558E-2</v>
      </c>
      <c r="BO26" s="461">
        <f t="shared" si="118"/>
        <v>3.6053436417426976E-2</v>
      </c>
      <c r="BP26" s="461">
        <f t="shared" si="118"/>
        <v>3.386170408068212E-2</v>
      </c>
      <c r="BQ26" s="461">
        <f t="shared" si="118"/>
        <v>3.300871758310775E-2</v>
      </c>
      <c r="BR26" s="461">
        <f t="shared" ref="BR26:CK26" si="120">BR25/BN25-1</f>
        <v>3.2192922886521647E-2</v>
      </c>
      <c r="BS26" s="461">
        <f t="shared" si="120"/>
        <v>3.2425961687770899E-2</v>
      </c>
      <c r="BT26" s="461">
        <f t="shared" si="120"/>
        <v>3.2657108748370689E-2</v>
      </c>
      <c r="BU26" s="461">
        <f t="shared" si="120"/>
        <v>3.2950306961992526E-2</v>
      </c>
      <c r="BV26" s="461">
        <f t="shared" si="120"/>
        <v>3.3186655039179946E-2</v>
      </c>
      <c r="BW26" s="461">
        <f t="shared" si="120"/>
        <v>3.330529350777045E-2</v>
      </c>
      <c r="BX26" s="461">
        <f t="shared" si="120"/>
        <v>3.3423105844274437E-2</v>
      </c>
      <c r="BY26" s="461">
        <f t="shared" si="120"/>
        <v>3.3700966056918302E-2</v>
      </c>
      <c r="BZ26" s="461">
        <f t="shared" si="120"/>
        <v>2.4357962352651752E-2</v>
      </c>
      <c r="CA26" s="461">
        <f t="shared" si="120"/>
        <v>2.437012475400202E-2</v>
      </c>
      <c r="CB26" s="461">
        <f t="shared" si="120"/>
        <v>2.4382203912321376E-2</v>
      </c>
      <c r="CC26" s="461">
        <f t="shared" si="120"/>
        <v>2.4400168429029145E-2</v>
      </c>
      <c r="CD26" s="461">
        <f t="shared" si="120"/>
        <v>2.4417950388345044E-2</v>
      </c>
      <c r="CE26" s="461">
        <f t="shared" si="120"/>
        <v>2.4429704976675071E-2</v>
      </c>
      <c r="CF26" s="461">
        <f t="shared" si="120"/>
        <v>2.4441380466597495E-2</v>
      </c>
      <c r="CG26" s="461">
        <f t="shared" si="120"/>
        <v>2.4458747129692648E-2</v>
      </c>
      <c r="CH26" s="461">
        <f t="shared" si="120"/>
        <v>2.4524049740441756E-2</v>
      </c>
      <c r="CI26" s="461">
        <f t="shared" si="120"/>
        <v>2.4631232764304345E-2</v>
      </c>
      <c r="CJ26" s="461">
        <f t="shared" si="120"/>
        <v>2.4737807081926411E-2</v>
      </c>
      <c r="CK26" s="461">
        <f t="shared" si="120"/>
        <v>2.4944282266199602E-2</v>
      </c>
      <c r="CL26" s="461">
        <f t="shared" ref="CL26" si="121">CL25/CH25-1</f>
        <v>2.5100851318608841E-2</v>
      </c>
      <c r="CM26" s="461">
        <f t="shared" ref="CM26" si="122">CM25/CI25-1</f>
        <v>2.510871361090028E-2</v>
      </c>
      <c r="CN26" s="461">
        <f t="shared" ref="CN26" si="123">CN25/CJ25-1</f>
        <v>2.5116531856736124E-2</v>
      </c>
      <c r="CO26" s="461">
        <f t="shared" ref="CO26" si="124">CO25/CK25-1</f>
        <v>2.5127533024790205E-2</v>
      </c>
      <c r="CP26" s="461">
        <f t="shared" ref="CP26" si="125">CP25/CL25-1</f>
        <v>2.5138447569473588E-2</v>
      </c>
      <c r="CQ26" s="461">
        <f t="shared" ref="CQ26" si="126">CQ25/CM25-1</f>
        <v>2.5146100354152434E-2</v>
      </c>
      <c r="CR26" s="461">
        <f t="shared" ref="CR26" si="127">CR25/CN25-1</f>
        <v>2.5153710838777377E-2</v>
      </c>
      <c r="CS26" s="461">
        <f t="shared" ref="CS26" si="128">CS25/CO25-1</f>
        <v>2.516442063026747E-2</v>
      </c>
      <c r="CT26" s="461">
        <f t="shared" ref="CT26" si="129">CT25/CP25-1</f>
        <v>2.5175047210397761E-2</v>
      </c>
      <c r="CU26" s="461">
        <f t="shared" ref="CU26" si="130">CU25/CQ25-1</f>
        <v>2.518249875141132E-2</v>
      </c>
      <c r="CV26" s="461">
        <f t="shared" ref="CV26" si="131">CV25/CR25-1</f>
        <v>2.5189909647655773E-2</v>
      </c>
      <c r="CW26" s="461">
        <f t="shared" ref="CW26" si="132">CW25/CS25-1</f>
        <v>2.5246281624354605E-2</v>
      </c>
    </row>
    <row r="27" spans="1:101" s="9" customFormat="1" ht="11.25">
      <c r="A27" s="666"/>
      <c r="B27" s="62"/>
      <c r="C27" s="62"/>
      <c r="D27" s="62"/>
      <c r="E27" s="62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132"/>
      <c r="AF27" s="256"/>
      <c r="AG27" s="256"/>
      <c r="AH27" s="256"/>
      <c r="AI27" s="256"/>
      <c r="AJ27" s="256"/>
      <c r="AK27" s="256"/>
      <c r="AL27" s="256"/>
      <c r="AM27" s="257"/>
      <c r="AN27" s="257"/>
      <c r="AO27" s="257"/>
      <c r="AP27" s="257"/>
      <c r="AQ27" s="257"/>
      <c r="AR27" s="257"/>
      <c r="AS27" s="257"/>
      <c r="AT27" s="257">
        <f t="shared" ref="AT27:BK27" si="133">+AT25/AP25-1</f>
        <v>1.4468485558185584E-2</v>
      </c>
      <c r="AU27" s="257">
        <f t="shared" si="133"/>
        <v>-0.58129498902220011</v>
      </c>
      <c r="AV27" s="257">
        <f t="shared" si="133"/>
        <v>-0.35408557776070071</v>
      </c>
      <c r="AW27" s="257">
        <f t="shared" si="133"/>
        <v>-0.18889277989983921</v>
      </c>
      <c r="AX27" s="257">
        <f t="shared" si="133"/>
        <v>-0.14627066703921632</v>
      </c>
      <c r="AY27" s="257">
        <f t="shared" si="133"/>
        <v>1.5254924466661919</v>
      </c>
      <c r="AZ27" s="257">
        <f t="shared" si="133"/>
        <v>0.55129295811493395</v>
      </c>
      <c r="BA27" s="257">
        <f t="shared" si="133"/>
        <v>0.49500851978473004</v>
      </c>
      <c r="BB27" s="257">
        <f t="shared" si="133"/>
        <v>0.50492294791537295</v>
      </c>
      <c r="BC27" s="257">
        <f t="shared" si="133"/>
        <v>0.30367742752599058</v>
      </c>
      <c r="BD27" s="257">
        <f t="shared" si="133"/>
        <v>0.25611282717132133</v>
      </c>
      <c r="BE27" s="257">
        <f t="shared" si="133"/>
        <v>0.17076893208317467</v>
      </c>
      <c r="BF27" s="257">
        <f t="shared" si="133"/>
        <v>0.16651822584135045</v>
      </c>
      <c r="BG27" s="257">
        <f t="shared" si="133"/>
        <v>0.12989562998337778</v>
      </c>
      <c r="BH27" s="257">
        <f t="shared" si="133"/>
        <v>0.13642907041644348</v>
      </c>
      <c r="BI27" s="257">
        <f t="shared" si="133"/>
        <v>8.484353486702001E-2</v>
      </c>
      <c r="BJ27" s="257">
        <f t="shared" si="133"/>
        <v>0.10529563162633138</v>
      </c>
      <c r="BK27" s="1357">
        <f t="shared" si="133"/>
        <v>5.353498512912136E-2</v>
      </c>
      <c r="BL27" s="461"/>
      <c r="BM27" s="461"/>
      <c r="BN27" s="461"/>
      <c r="BO27" s="461"/>
      <c r="BP27" s="461"/>
      <c r="BQ27" s="461"/>
      <c r="BR27" s="461"/>
      <c r="BS27" s="461"/>
      <c r="BT27" s="461"/>
      <c r="BU27" s="461"/>
      <c r="BV27" s="461"/>
      <c r="BW27" s="461"/>
      <c r="BX27" s="461"/>
      <c r="BY27" s="461"/>
      <c r="BZ27" s="461"/>
      <c r="CA27" s="461"/>
      <c r="CB27" s="461"/>
      <c r="CC27" s="461"/>
      <c r="CD27" s="461"/>
      <c r="CE27" s="461"/>
      <c r="CF27" s="461"/>
      <c r="CG27" s="461"/>
      <c r="CH27" s="461"/>
      <c r="CI27" s="461"/>
      <c r="CJ27" s="461"/>
      <c r="CK27" s="461"/>
      <c r="CL27" s="461"/>
      <c r="CM27" s="461"/>
      <c r="CN27" s="461"/>
      <c r="CO27" s="461"/>
      <c r="CP27" s="461"/>
      <c r="CQ27" s="461"/>
      <c r="CR27" s="461"/>
      <c r="CS27" s="461"/>
      <c r="CT27" s="461"/>
      <c r="CU27" s="461"/>
      <c r="CV27" s="461"/>
      <c r="CW27" s="461"/>
    </row>
    <row r="28" spans="1:101" s="9" customFormat="1" ht="11.25">
      <c r="A28" s="622" t="s">
        <v>744</v>
      </c>
      <c r="B28" s="62"/>
      <c r="C28" s="62"/>
      <c r="D28" s="62"/>
      <c r="E28" s="62"/>
      <c r="F28" s="316"/>
      <c r="G28" s="333"/>
      <c r="H28" s="333"/>
      <c r="I28" s="316"/>
      <c r="J28" s="316"/>
      <c r="K28" s="333"/>
      <c r="L28" s="333"/>
      <c r="M28" s="316"/>
      <c r="N28" s="355"/>
      <c r="O28" s="355"/>
      <c r="P28" s="355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55"/>
      <c r="AB28" s="316"/>
      <c r="AC28" s="316"/>
      <c r="AD28" s="316"/>
      <c r="AE28" s="2129"/>
      <c r="AF28" s="316"/>
      <c r="AG28" s="316"/>
      <c r="AH28" s="316"/>
      <c r="AI28" s="316"/>
      <c r="AJ28" s="316"/>
      <c r="AK28" s="152"/>
      <c r="AL28" s="316"/>
      <c r="AM28" s="316"/>
      <c r="AN28" s="316"/>
      <c r="AO28" s="152"/>
      <c r="AP28" s="316"/>
      <c r="AQ28" s="316"/>
      <c r="AR28" s="316"/>
      <c r="AS28" s="316"/>
      <c r="AT28" s="316"/>
      <c r="AU28" s="316"/>
      <c r="AV28" s="316"/>
      <c r="AW28" s="316"/>
      <c r="AX28" s="31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  <c r="BK28" s="1354"/>
    </row>
    <row r="29" spans="1:101" s="262" customFormat="1" ht="11.25">
      <c r="A29" s="1757" t="s">
        <v>952</v>
      </c>
      <c r="B29" s="1758"/>
      <c r="C29" s="1758">
        <f t="shared" ref="C29:AT29" si="134">+C52/C20</f>
        <v>4.8257053291536049</v>
      </c>
      <c r="D29" s="1758">
        <f t="shared" si="134"/>
        <v>4.6956521739130439</v>
      </c>
      <c r="E29" s="1758">
        <f t="shared" si="134"/>
        <v>4.8385321100917427</v>
      </c>
      <c r="F29" s="1758">
        <f t="shared" si="134"/>
        <v>4.2597560975609756</v>
      </c>
      <c r="G29" s="1758">
        <f t="shared" si="134"/>
        <v>4.3075987841945294</v>
      </c>
      <c r="H29" s="1758">
        <f t="shared" si="134"/>
        <v>4.3850746268656717</v>
      </c>
      <c r="I29" s="1758">
        <f t="shared" si="134"/>
        <v>4.9981981981981987</v>
      </c>
      <c r="J29" s="1758">
        <f t="shared" si="134"/>
        <v>4.6512195121951221</v>
      </c>
      <c r="K29" s="1758">
        <f t="shared" si="134"/>
        <v>4.9914893617021274</v>
      </c>
      <c r="L29" s="1758">
        <f t="shared" si="134"/>
        <v>5.1578313253012054</v>
      </c>
      <c r="M29" s="1758">
        <f t="shared" si="134"/>
        <v>5.6765578635014835</v>
      </c>
      <c r="N29" s="1758">
        <f t="shared" si="134"/>
        <v>5.1085227272727272</v>
      </c>
      <c r="O29" s="1758">
        <f t="shared" si="134"/>
        <v>5.390625</v>
      </c>
      <c r="P29" s="1758">
        <f t="shared" si="134"/>
        <v>4.9965517241379311</v>
      </c>
      <c r="Q29" s="1758">
        <f t="shared" si="134"/>
        <v>4.9679633867276891</v>
      </c>
      <c r="R29" s="1758">
        <f t="shared" si="134"/>
        <v>4.3212389380530976</v>
      </c>
      <c r="S29" s="1758">
        <f t="shared" si="134"/>
        <v>3.2115677321156775</v>
      </c>
      <c r="T29" s="1758">
        <f t="shared" si="134"/>
        <v>2.4856164383561645</v>
      </c>
      <c r="U29" s="1758">
        <f t="shared" si="134"/>
        <v>2.7322033898305085</v>
      </c>
      <c r="V29" s="1758">
        <f t="shared" si="134"/>
        <v>2.453125</v>
      </c>
      <c r="W29" s="1758">
        <f t="shared" si="134"/>
        <v>2.581858407079646</v>
      </c>
      <c r="X29" s="1758">
        <f t="shared" si="134"/>
        <v>2.6372657111356119</v>
      </c>
      <c r="Y29" s="1758">
        <f t="shared" si="134"/>
        <v>3.4863982589771489</v>
      </c>
      <c r="Z29" s="1758">
        <f t="shared" si="134"/>
        <v>3.0800426894343649</v>
      </c>
      <c r="AA29" s="1758">
        <f t="shared" si="134"/>
        <v>3.5270413573700954</v>
      </c>
      <c r="AB29" s="1758">
        <f t="shared" si="134"/>
        <v>3.1485355648535567</v>
      </c>
      <c r="AC29" s="1758">
        <f t="shared" si="134"/>
        <v>3.5942915392456678</v>
      </c>
      <c r="AD29" s="1758">
        <f t="shared" si="134"/>
        <v>3.3166833166833167</v>
      </c>
      <c r="AE29" s="2135">
        <f t="shared" si="134"/>
        <v>3.3478691774033695</v>
      </c>
      <c r="AF29" s="1758">
        <f t="shared" si="134"/>
        <v>3.7165668662674651</v>
      </c>
      <c r="AG29" s="1758">
        <f t="shared" si="134"/>
        <v>4.0414610069101675</v>
      </c>
      <c r="AH29" s="1758">
        <f t="shared" si="134"/>
        <v>3.3125</v>
      </c>
      <c r="AI29" s="1758">
        <f t="shared" si="134"/>
        <v>3.4465161923454368</v>
      </c>
      <c r="AJ29" s="1758">
        <f t="shared" si="134"/>
        <v>3.2174757281553399</v>
      </c>
      <c r="AK29" s="1758">
        <f t="shared" si="134"/>
        <v>3.6479543292102758</v>
      </c>
      <c r="AL29" s="1758">
        <f t="shared" si="134"/>
        <v>0.41364159702878361</v>
      </c>
      <c r="AM29" s="965">
        <f t="shared" si="134"/>
        <v>0.46226838235294115</v>
      </c>
      <c r="AN29" s="965">
        <f t="shared" si="134"/>
        <v>0.41232080659945003</v>
      </c>
      <c r="AO29" s="965">
        <f t="shared" si="134"/>
        <v>0.50187967183226978</v>
      </c>
      <c r="AP29" s="965">
        <f t="shared" si="134"/>
        <v>0.45308727272727273</v>
      </c>
      <c r="AQ29" s="965">
        <f t="shared" si="134"/>
        <v>0.50862898814949875</v>
      </c>
      <c r="AR29" s="965">
        <f t="shared" si="134"/>
        <v>-0.64729754322111022</v>
      </c>
      <c r="AS29" s="965">
        <f t="shared" si="134"/>
        <v>0.1392092511013216</v>
      </c>
      <c r="AT29" s="965">
        <f t="shared" si="134"/>
        <v>0.222775</v>
      </c>
      <c r="AU29" s="965">
        <f t="shared" ref="AU29:BC29" si="135">+AU52/AU20</f>
        <v>0.20711878453038679</v>
      </c>
      <c r="AV29" s="965">
        <f t="shared" si="135"/>
        <v>0.15846175243393601</v>
      </c>
      <c r="AW29" s="965">
        <f t="shared" si="135"/>
        <v>0.17448753462603886</v>
      </c>
      <c r="AX29" s="965">
        <f t="shared" si="135"/>
        <v>0.16485439560439563</v>
      </c>
      <c r="AY29" s="965">
        <f t="shared" si="135"/>
        <v>0.1905313351498637</v>
      </c>
      <c r="AZ29" s="965">
        <f t="shared" si="135"/>
        <v>0.31355792276964051</v>
      </c>
      <c r="BA29" s="965">
        <f t="shared" si="135"/>
        <v>0.18924380704041718</v>
      </c>
      <c r="BB29" s="965">
        <f t="shared" si="135"/>
        <v>0.18941131105398457</v>
      </c>
      <c r="BC29" s="965">
        <f t="shared" si="135"/>
        <v>0.22584323640960813</v>
      </c>
      <c r="BD29" s="965">
        <f t="shared" ref="BD29:BG29" si="136">+BD52/BD20</f>
        <v>0.30669489414694884</v>
      </c>
      <c r="BE29" s="965">
        <f t="shared" si="136"/>
        <v>0.26529512195121957</v>
      </c>
      <c r="BF29" s="965">
        <f t="shared" si="136"/>
        <v>0.71715180722891569</v>
      </c>
      <c r="BG29" s="965">
        <f t="shared" si="136"/>
        <v>0.75792814371257489</v>
      </c>
      <c r="BH29" s="965">
        <f t="shared" ref="BH29" si="137">+BH52/BH20</f>
        <v>0.91106352941176472</v>
      </c>
      <c r="BI29" s="965">
        <f t="shared" ref="BI29" si="138">+BI52/BI20</f>
        <v>1.1693609865470851</v>
      </c>
      <c r="BJ29" s="965">
        <f t="shared" ref="BJ29" si="139">+BJ52/BJ20</f>
        <v>0.86901402373247039</v>
      </c>
      <c r="BK29" s="1358">
        <f t="shared" ref="BK29" si="140">+BK52/BK20</f>
        <v>0.77586723768736621</v>
      </c>
      <c r="BL29" s="1759">
        <f t="shared" ref="BL29:BQ29" si="141">+BH29*(1+BL30)</f>
        <v>0.96449350983903315</v>
      </c>
      <c r="BM29" s="1759">
        <f t="shared" si="141"/>
        <v>1.2335536775211415</v>
      </c>
      <c r="BN29" s="1759">
        <f t="shared" si="141"/>
        <v>0.91141004868717279</v>
      </c>
      <c r="BO29" s="1759">
        <f t="shared" si="141"/>
        <v>0.81478380827511843</v>
      </c>
      <c r="BP29" s="1759">
        <f t="shared" si="141"/>
        <v>1.0094755876317223</v>
      </c>
      <c r="BQ29" s="1759">
        <f t="shared" si="141"/>
        <v>1.2913762399762194</v>
      </c>
      <c r="BR29" s="1759">
        <f t="shared" ref="BR29:CK29" si="142">+BN29*(1+BR30)</f>
        <v>0.95413219805346683</v>
      </c>
      <c r="BS29" s="1759">
        <f t="shared" si="142"/>
        <v>0.85297662347230441</v>
      </c>
      <c r="BT29" s="1759">
        <f t="shared" si="142"/>
        <v>1.0567945379752604</v>
      </c>
      <c r="BU29" s="1759">
        <f t="shared" si="142"/>
        <v>1.3519092225693086</v>
      </c>
      <c r="BV29" s="1759">
        <f t="shared" si="142"/>
        <v>0.9988569389526335</v>
      </c>
      <c r="BW29" s="1759">
        <f t="shared" si="142"/>
        <v>0.89295971864053503</v>
      </c>
      <c r="BX29" s="1759">
        <f t="shared" si="142"/>
        <v>1.1063315539055723</v>
      </c>
      <c r="BY29" s="1759">
        <f t="shared" si="142"/>
        <v>1.4152796756595185</v>
      </c>
      <c r="BZ29" s="1759">
        <f t="shared" si="142"/>
        <v>1.0336918591632214</v>
      </c>
      <c r="CA29" s="1759">
        <f t="shared" si="142"/>
        <v>0.92410149614345627</v>
      </c>
      <c r="CB29" s="1759">
        <f t="shared" si="142"/>
        <v>1.1449146281215523</v>
      </c>
      <c r="CC29" s="1759">
        <f t="shared" si="142"/>
        <v>1.4646372489562123</v>
      </c>
      <c r="CD29" s="1759">
        <f t="shared" si="142"/>
        <v>1.0697416396994033</v>
      </c>
      <c r="CE29" s="1759">
        <f t="shared" si="142"/>
        <v>0.95632933641695572</v>
      </c>
      <c r="CF29" s="1759">
        <f t="shared" si="142"/>
        <v>1.1848432787252805</v>
      </c>
      <c r="CG29" s="1759">
        <f t="shared" si="142"/>
        <v>1.5157161569711506</v>
      </c>
      <c r="CH29" s="1759">
        <f t="shared" si="142"/>
        <v>1.1070486485528894</v>
      </c>
      <c r="CI29" s="1759">
        <f t="shared" si="142"/>
        <v>0.98968111566580441</v>
      </c>
      <c r="CJ29" s="1759">
        <f t="shared" si="142"/>
        <v>1.2261644324029279</v>
      </c>
      <c r="CK29" s="1759">
        <f t="shared" si="142"/>
        <v>1.5685764308811991</v>
      </c>
      <c r="CL29" s="1759">
        <f t="shared" ref="CL29" si="143">+CH29*(1+CL30)</f>
        <v>1.1456567312899586</v>
      </c>
      <c r="CM29" s="1759">
        <f t="shared" ref="CM29" si="144">+CI29*(1+CM30)</f>
        <v>1.0241960310192419</v>
      </c>
      <c r="CN29" s="1759">
        <f t="shared" ref="CN29" si="145">+CJ29*(1+CN30)</f>
        <v>1.2689266523987206</v>
      </c>
      <c r="CO29" s="1759">
        <f t="shared" ref="CO29" si="146">+CK29*(1+CO30)</f>
        <v>1.6232801954375629</v>
      </c>
      <c r="CP29" s="1759">
        <f t="shared" ref="CP29" si="147">+CL29*(1+CP30)</f>
        <v>1.1856112625815522</v>
      </c>
      <c r="CQ29" s="1759">
        <f t="shared" ref="CQ29" si="148">+CM29*(1+CQ30)</f>
        <v>1.0599146465979319</v>
      </c>
      <c r="CR29" s="1759">
        <f t="shared" ref="CR29" si="149">+CN29*(1+CR30)</f>
        <v>1.3131801955895477</v>
      </c>
      <c r="CS29" s="1759">
        <f t="shared" ref="CS29" si="150">+CO29*(1+CS30)</f>
        <v>1.67989174197874</v>
      </c>
      <c r="CT29" s="1759">
        <f t="shared" ref="CT29" si="151">+CP29*(1+CT30)</f>
        <v>1.2269591995304701</v>
      </c>
      <c r="CU29" s="1759">
        <f t="shared" ref="CU29" si="152">+CQ29*(1+CU30)</f>
        <v>1.0968789411874929</v>
      </c>
      <c r="CV29" s="1759">
        <f t="shared" ref="CV29" si="153">+CR29*(1+CV30)</f>
        <v>1.3589770715500351</v>
      </c>
      <c r="CW29" s="1759">
        <f t="shared" ref="CW29" si="154">+CS29*(1+CW30)</f>
        <v>1.738477603989786</v>
      </c>
    </row>
    <row r="30" spans="1:101" s="9" customFormat="1" ht="11.25">
      <c r="A30" s="665" t="s">
        <v>950</v>
      </c>
      <c r="B30" s="62"/>
      <c r="C30" s="62"/>
      <c r="D30" s="62"/>
      <c r="E30" s="62"/>
      <c r="F30" s="256"/>
      <c r="G30" s="256">
        <f t="shared" ref="G30:AZ30" si="155">G29/C29-1</f>
        <v>-0.10736390011819219</v>
      </c>
      <c r="H30" s="256">
        <f t="shared" si="155"/>
        <v>-6.614151464897744E-2</v>
      </c>
      <c r="I30" s="256">
        <f t="shared" si="155"/>
        <v>3.299886917634387E-2</v>
      </c>
      <c r="J30" s="256">
        <f t="shared" si="155"/>
        <v>9.1898081878041937E-2</v>
      </c>
      <c r="K30" s="256">
        <f t="shared" si="155"/>
        <v>0.15876375952582533</v>
      </c>
      <c r="L30" s="256">
        <f t="shared" si="155"/>
        <v>0.17622429814561191</v>
      </c>
      <c r="M30" s="256">
        <f t="shared" si="155"/>
        <v>0.13572084147199814</v>
      </c>
      <c r="N30" s="256">
        <f t="shared" si="155"/>
        <v>9.8318992229584623E-2</v>
      </c>
      <c r="O30" s="256">
        <f t="shared" si="155"/>
        <v>7.9963235294117752E-2</v>
      </c>
      <c r="P30" s="256">
        <f t="shared" si="155"/>
        <v>-3.1268878524998267E-2</v>
      </c>
      <c r="Q30" s="256">
        <f t="shared" si="155"/>
        <v>-0.12482819585612581</v>
      </c>
      <c r="R30" s="256">
        <f t="shared" si="155"/>
        <v>-0.15411183061133893</v>
      </c>
      <c r="S30" s="256">
        <f t="shared" si="155"/>
        <v>-0.40423091346259898</v>
      </c>
      <c r="T30" s="256">
        <f t="shared" si="155"/>
        <v>-0.50253363207502577</v>
      </c>
      <c r="U30" s="256">
        <f t="shared" si="155"/>
        <v>-0.45003552217598708</v>
      </c>
      <c r="V30" s="256">
        <f t="shared" si="155"/>
        <v>-0.43230979930370672</v>
      </c>
      <c r="W30" s="256">
        <f t="shared" si="155"/>
        <v>-0.19607536803254633</v>
      </c>
      <c r="X30" s="256">
        <f t="shared" si="155"/>
        <v>6.1010729748689263E-2</v>
      </c>
      <c r="Y30" s="256">
        <f t="shared" si="155"/>
        <v>0.27603906501024689</v>
      </c>
      <c r="Z30" s="256">
        <f t="shared" si="155"/>
        <v>0.25555880333630165</v>
      </c>
      <c r="AA30" s="256">
        <f t="shared" si="155"/>
        <v>0.36608628408850308</v>
      </c>
      <c r="AB30" s="256">
        <f t="shared" si="155"/>
        <v>0.19386361092064219</v>
      </c>
      <c r="AC30" s="256">
        <f t="shared" si="155"/>
        <v>3.0946917779890448E-2</v>
      </c>
      <c r="AD30" s="256">
        <f t="shared" si="155"/>
        <v>7.6830307599538461E-2</v>
      </c>
      <c r="AE30" s="2132">
        <f t="shared" si="155"/>
        <v>-5.0799568763867264E-2</v>
      </c>
      <c r="AF30" s="256">
        <f t="shared" si="155"/>
        <v>0.18041127048229111</v>
      </c>
      <c r="AG30" s="256">
        <f t="shared" si="155"/>
        <v>0.12441101752095118</v>
      </c>
      <c r="AH30" s="256">
        <f t="shared" si="155"/>
        <v>-1.2612951807229322E-3</v>
      </c>
      <c r="AI30" s="256">
        <f t="shared" si="155"/>
        <v>2.9465612219226056E-2</v>
      </c>
      <c r="AJ30" s="256">
        <f t="shared" si="155"/>
        <v>-0.13428821707528182</v>
      </c>
      <c r="AK30" s="256">
        <f t="shared" si="155"/>
        <v>-9.7367431487540346E-2</v>
      </c>
      <c r="AL30" s="256">
        <f t="shared" si="155"/>
        <v>-0.87512706504791438</v>
      </c>
      <c r="AM30" s="257">
        <f t="shared" si="155"/>
        <v>-0.86587372391297068</v>
      </c>
      <c r="AN30" s="257">
        <f t="shared" si="155"/>
        <v>-0.87184959843167364</v>
      </c>
      <c r="AO30" s="257">
        <f t="shared" si="155"/>
        <v>-0.8624216131727398</v>
      </c>
      <c r="AP30" s="257">
        <f t="shared" si="155"/>
        <v>9.5361965483718558E-2</v>
      </c>
      <c r="AQ30" s="257">
        <f t="shared" si="155"/>
        <v>0.10028937207555177</v>
      </c>
      <c r="AR30" s="257">
        <f t="shared" si="155"/>
        <v>-2.5698881377333178</v>
      </c>
      <c r="AS30" s="257">
        <f t="shared" si="155"/>
        <v>-0.72262424857118757</v>
      </c>
      <c r="AT30" s="257">
        <f t="shared" si="155"/>
        <v>-0.50831768312747294</v>
      </c>
      <c r="AU30" s="257">
        <f t="shared" si="155"/>
        <v>-0.59279005059477774</v>
      </c>
      <c r="AV30" s="257">
        <f t="shared" si="155"/>
        <v>-1.2448051195210657</v>
      </c>
      <c r="AW30" s="257">
        <f t="shared" si="155"/>
        <v>0.25341910286580327</v>
      </c>
      <c r="AX30" s="257">
        <f t="shared" si="155"/>
        <v>-0.25999597978051558</v>
      </c>
      <c r="AY30" s="257">
        <f t="shared" si="155"/>
        <v>-8.0086648915658865E-2</v>
      </c>
      <c r="AZ30" s="257">
        <f t="shared" si="155"/>
        <v>0.97876091835072532</v>
      </c>
      <c r="BA30" s="257">
        <f t="shared" ref="BA30:BK30" si="156">BA29/AW29-1</f>
        <v>8.4569206883482684E-2</v>
      </c>
      <c r="BB30" s="257">
        <f t="shared" si="156"/>
        <v>0.14896124158265489</v>
      </c>
      <c r="BC30" s="257">
        <f t="shared" si="156"/>
        <v>0.18533382570362833</v>
      </c>
      <c r="BD30" s="257">
        <f t="shared" si="156"/>
        <v>-2.1887594362377749E-2</v>
      </c>
      <c r="BE30" s="257">
        <f t="shared" si="156"/>
        <v>0.4018695042134719</v>
      </c>
      <c r="BF30" s="257">
        <f t="shared" si="156"/>
        <v>2.7862142616420544</v>
      </c>
      <c r="BG30" s="257">
        <f t="shared" si="156"/>
        <v>2.3559922172649581</v>
      </c>
      <c r="BH30" s="257">
        <f t="shared" si="156"/>
        <v>1.9705859040980336</v>
      </c>
      <c r="BI30" s="257">
        <f t="shared" si="156"/>
        <v>3.407774172199435</v>
      </c>
      <c r="BJ30" s="257">
        <f t="shared" si="156"/>
        <v>0.21175742007867537</v>
      </c>
      <c r="BK30" s="1357">
        <f t="shared" si="156"/>
        <v>2.3668594607029414E-2</v>
      </c>
      <c r="BL30" s="673">
        <f>Inputs!BL163</f>
        <v>5.864572414809098E-2</v>
      </c>
      <c r="BM30" s="673">
        <f>Inputs!BM163</f>
        <v>5.4895529877053803E-2</v>
      </c>
      <c r="BN30" s="673">
        <f>Inputs!BN163</f>
        <v>4.8786353035603185E-2</v>
      </c>
      <c r="BO30" s="673">
        <f>Inputs!BO163</f>
        <v>5.0158801270886448E-2</v>
      </c>
      <c r="BP30" s="673">
        <f>Inputs!BP163</f>
        <v>4.6638030566111592E-2</v>
      </c>
      <c r="BQ30" s="673">
        <f>Inputs!BQ163</f>
        <v>4.6874784217962644E-2</v>
      </c>
      <c r="BR30" s="673">
        <f>Inputs!BR163</f>
        <v>4.6874784217962644E-2</v>
      </c>
      <c r="BS30" s="673">
        <f>Inputs!BS163</f>
        <v>4.6874784217962644E-2</v>
      </c>
      <c r="BT30" s="673">
        <f>Inputs!BT163</f>
        <v>4.6874784217962644E-2</v>
      </c>
      <c r="BU30" s="673">
        <f>Inputs!BU163</f>
        <v>4.6874784217962644E-2</v>
      </c>
      <c r="BV30" s="673">
        <f>Inputs!BV163</f>
        <v>4.6874784217962644E-2</v>
      </c>
      <c r="BW30" s="673">
        <f>Inputs!BW163</f>
        <v>4.6874784217962644E-2</v>
      </c>
      <c r="BX30" s="673">
        <f>Inputs!BX163</f>
        <v>4.6874784217962644E-2</v>
      </c>
      <c r="BY30" s="673">
        <f>Inputs!BY163</f>
        <v>4.6874784217962644E-2</v>
      </c>
      <c r="BZ30" s="673">
        <f>Inputs!BZ163</f>
        <v>3.487478421796264E-2</v>
      </c>
      <c r="CA30" s="673">
        <f>Inputs!CA163</f>
        <v>3.487478421796264E-2</v>
      </c>
      <c r="CB30" s="673">
        <f>Inputs!CB163</f>
        <v>3.487478421796264E-2</v>
      </c>
      <c r="CC30" s="673">
        <f>Inputs!CC163</f>
        <v>3.487478421796264E-2</v>
      </c>
      <c r="CD30" s="673">
        <f>Inputs!CD163</f>
        <v>3.487478421796264E-2</v>
      </c>
      <c r="CE30" s="673">
        <f>Inputs!CE163</f>
        <v>3.487478421796264E-2</v>
      </c>
      <c r="CF30" s="673">
        <f>Inputs!CF163</f>
        <v>3.487478421796264E-2</v>
      </c>
      <c r="CG30" s="673">
        <f>Inputs!CG163</f>
        <v>3.487478421796264E-2</v>
      </c>
      <c r="CH30" s="673">
        <f>Inputs!CH163</f>
        <v>3.487478421796264E-2</v>
      </c>
      <c r="CI30" s="673">
        <f>Inputs!CI163</f>
        <v>3.487478421796264E-2</v>
      </c>
      <c r="CJ30" s="673">
        <f>Inputs!CJ163</f>
        <v>3.487478421796264E-2</v>
      </c>
      <c r="CK30" s="673">
        <f>Inputs!CK163</f>
        <v>3.487478421796264E-2</v>
      </c>
      <c r="CL30" s="673">
        <f>Inputs!CL163</f>
        <v>3.487478421796264E-2</v>
      </c>
      <c r="CM30" s="673">
        <f>Inputs!CM163</f>
        <v>3.487478421796264E-2</v>
      </c>
      <c r="CN30" s="673">
        <f>Inputs!CN163</f>
        <v>3.487478421796264E-2</v>
      </c>
      <c r="CO30" s="673">
        <f>Inputs!CO163</f>
        <v>3.487478421796264E-2</v>
      </c>
      <c r="CP30" s="673">
        <f>Inputs!CP163</f>
        <v>3.487478421796264E-2</v>
      </c>
      <c r="CQ30" s="673">
        <f>Inputs!CQ163</f>
        <v>3.487478421796264E-2</v>
      </c>
      <c r="CR30" s="673">
        <f>Inputs!CR163</f>
        <v>3.487478421796264E-2</v>
      </c>
      <c r="CS30" s="673">
        <f>Inputs!CS163</f>
        <v>3.487478421796264E-2</v>
      </c>
      <c r="CT30" s="673">
        <f>Inputs!CT163</f>
        <v>3.487478421796264E-2</v>
      </c>
      <c r="CU30" s="673">
        <f>Inputs!CU163</f>
        <v>3.487478421796264E-2</v>
      </c>
      <c r="CV30" s="673">
        <f>Inputs!CV163</f>
        <v>3.487478421796264E-2</v>
      </c>
      <c r="CW30" s="673">
        <f>Inputs!CW163</f>
        <v>3.487478421796264E-2</v>
      </c>
    </row>
    <row r="31" spans="1:101" s="9" customFormat="1" ht="11.25">
      <c r="A31" s="666"/>
      <c r="B31" s="62"/>
      <c r="C31" s="62"/>
      <c r="D31" s="62"/>
      <c r="E31" s="62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132"/>
      <c r="AF31" s="256"/>
      <c r="AG31" s="256"/>
      <c r="AH31" s="256"/>
      <c r="AI31" s="256"/>
      <c r="AJ31" s="256"/>
      <c r="AK31" s="256"/>
      <c r="AL31" s="256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1357"/>
      <c r="BL31" s="673"/>
      <c r="BM31" s="673"/>
      <c r="BN31" s="673"/>
      <c r="BO31" s="673"/>
      <c r="BP31" s="673"/>
      <c r="BQ31" s="673"/>
      <c r="BR31" s="673"/>
      <c r="BS31" s="673"/>
      <c r="BT31" s="673"/>
      <c r="BU31" s="673"/>
      <c r="BV31" s="673"/>
      <c r="BW31" s="673"/>
      <c r="BX31" s="673"/>
      <c r="BY31" s="673"/>
      <c r="BZ31" s="673"/>
      <c r="CA31" s="673"/>
      <c r="CB31" s="673"/>
      <c r="CC31" s="673"/>
      <c r="CD31" s="673"/>
      <c r="CE31" s="673"/>
      <c r="CF31" s="673"/>
      <c r="CG31" s="673"/>
      <c r="CH31" s="673"/>
      <c r="CI31" s="673"/>
      <c r="CJ31" s="673"/>
      <c r="CK31" s="673"/>
      <c r="CL31" s="673"/>
      <c r="CM31" s="673"/>
      <c r="CN31" s="673"/>
      <c r="CO31" s="673"/>
      <c r="CP31" s="673"/>
      <c r="CQ31" s="673"/>
      <c r="CR31" s="673"/>
      <c r="CS31" s="673"/>
      <c r="CT31" s="673"/>
      <c r="CU31" s="673"/>
      <c r="CV31" s="673"/>
      <c r="CW31" s="673"/>
    </row>
    <row r="32" spans="1:101" s="9" customFormat="1" ht="11.25">
      <c r="A32" s="674" t="s">
        <v>939</v>
      </c>
      <c r="B32" s="870"/>
      <c r="C32" s="870"/>
      <c r="D32" s="870"/>
      <c r="E32" s="870"/>
      <c r="F32" s="870"/>
      <c r="G32" s="870"/>
      <c r="H32" s="870"/>
      <c r="I32" s="870"/>
      <c r="J32" s="870"/>
      <c r="K32" s="870"/>
      <c r="L32" s="870"/>
      <c r="M32" s="870"/>
      <c r="N32" s="870"/>
      <c r="O32" s="870"/>
      <c r="P32" s="870"/>
      <c r="Q32" s="870"/>
      <c r="R32" s="870"/>
      <c r="S32" s="870"/>
      <c r="T32" s="870"/>
      <c r="U32" s="870"/>
      <c r="V32" s="870"/>
      <c r="W32" s="870"/>
      <c r="X32" s="870"/>
      <c r="Y32" s="870"/>
      <c r="Z32" s="870"/>
      <c r="AA32" s="870"/>
      <c r="AB32" s="870"/>
      <c r="AC32" s="870"/>
      <c r="AD32" s="870"/>
      <c r="AE32" s="2136"/>
      <c r="AF32" s="870"/>
      <c r="AG32" s="870"/>
      <c r="AH32" s="870"/>
      <c r="AI32" s="870"/>
      <c r="AJ32" s="870"/>
      <c r="AK32" s="870"/>
      <c r="AL32" s="870"/>
      <c r="AM32" s="870"/>
      <c r="AN32" s="870"/>
      <c r="AO32" s="870"/>
      <c r="AP32" s="870"/>
      <c r="AQ32" s="870"/>
      <c r="AR32" s="870"/>
      <c r="AS32" s="870"/>
      <c r="AT32" s="870"/>
      <c r="AU32" s="870"/>
      <c r="AV32" s="870"/>
      <c r="AW32" s="870"/>
      <c r="AX32" s="870"/>
      <c r="AY32" s="870"/>
      <c r="AZ32" s="870"/>
      <c r="BA32" s="870"/>
      <c r="BB32" s="870"/>
      <c r="BC32" s="870"/>
      <c r="BD32" s="870"/>
      <c r="BE32" s="870"/>
      <c r="BF32" s="870"/>
      <c r="BG32" s="870"/>
      <c r="BH32" s="870"/>
      <c r="BI32" s="870"/>
      <c r="BJ32" s="870"/>
      <c r="BK32" s="1359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</row>
    <row r="33" spans="1:101" s="9" customFormat="1" ht="11.25">
      <c r="A33" s="655" t="s">
        <v>953</v>
      </c>
      <c r="B33" s="877"/>
      <c r="C33" s="877">
        <f t="shared" ref="C33:AT33" si="157">+C55/C20</f>
        <v>0</v>
      </c>
      <c r="D33" s="877">
        <f t="shared" si="157"/>
        <v>0</v>
      </c>
      <c r="E33" s="877">
        <f t="shared" si="157"/>
        <v>0</v>
      </c>
      <c r="F33" s="877">
        <f t="shared" si="157"/>
        <v>0</v>
      </c>
      <c r="G33" s="877">
        <f t="shared" si="157"/>
        <v>0</v>
      </c>
      <c r="H33" s="877">
        <f t="shared" si="157"/>
        <v>0</v>
      </c>
      <c r="I33" s="877">
        <f t="shared" si="157"/>
        <v>0</v>
      </c>
      <c r="J33" s="877">
        <f t="shared" si="157"/>
        <v>0.22026219512195119</v>
      </c>
      <c r="K33" s="877">
        <f t="shared" si="157"/>
        <v>0.33448632218844987</v>
      </c>
      <c r="L33" s="877">
        <f t="shared" si="157"/>
        <v>0.24772891566265062</v>
      </c>
      <c r="M33" s="877">
        <f t="shared" si="157"/>
        <v>0.48790504451038569</v>
      </c>
      <c r="N33" s="877">
        <f t="shared" si="157"/>
        <v>0.20524431818181818</v>
      </c>
      <c r="O33" s="877">
        <f t="shared" si="157"/>
        <v>0.28657812500000002</v>
      </c>
      <c r="P33" s="877">
        <f t="shared" si="157"/>
        <v>0.20257635467980298</v>
      </c>
      <c r="Q33" s="877">
        <f t="shared" si="157"/>
        <v>0.37625629290617846</v>
      </c>
      <c r="R33" s="877">
        <f t="shared" si="157"/>
        <v>0.20462389380530974</v>
      </c>
      <c r="S33" s="877">
        <f t="shared" si="157"/>
        <v>0.26399695585996952</v>
      </c>
      <c r="T33" s="877">
        <f t="shared" si="157"/>
        <v>0.19306621004566213</v>
      </c>
      <c r="U33" s="877">
        <f t="shared" si="157"/>
        <v>0.21701016949152541</v>
      </c>
      <c r="V33" s="877">
        <f t="shared" si="157"/>
        <v>0.15786830357142856</v>
      </c>
      <c r="W33" s="877">
        <f t="shared" si="157"/>
        <v>0.24475442477876111</v>
      </c>
      <c r="X33" s="877">
        <f t="shared" si="157"/>
        <v>0.18244101433296581</v>
      </c>
      <c r="Y33" s="877">
        <f t="shared" si="157"/>
        <v>0.393727965179543</v>
      </c>
      <c r="Z33" s="877">
        <f t="shared" si="157"/>
        <v>0.30382497331910358</v>
      </c>
      <c r="AA33" s="877">
        <f t="shared" si="157"/>
        <v>0.32218239660657466</v>
      </c>
      <c r="AB33" s="877">
        <f t="shared" si="157"/>
        <v>0.32919874476987454</v>
      </c>
      <c r="AC33" s="877">
        <f t="shared" si="157"/>
        <v>0.3823384301732925</v>
      </c>
      <c r="AD33" s="877">
        <f t="shared" si="157"/>
        <v>0.31827572427572426</v>
      </c>
      <c r="AE33" s="2137">
        <f t="shared" si="157"/>
        <v>0.41070564915758173</v>
      </c>
      <c r="AF33" s="877">
        <f t="shared" si="157"/>
        <v>0.37169660678642708</v>
      </c>
      <c r="AG33" s="877">
        <f t="shared" si="157"/>
        <v>0.46400789733464975</v>
      </c>
      <c r="AH33" s="877">
        <f t="shared" si="157"/>
        <v>0.35075000000000001</v>
      </c>
      <c r="AI33" s="877">
        <f t="shared" si="157"/>
        <v>0.39151521099116776</v>
      </c>
      <c r="AJ33" s="877">
        <f t="shared" si="157"/>
        <v>0.3728776699029126</v>
      </c>
      <c r="AK33" s="877">
        <f t="shared" si="157"/>
        <v>0.4580304471931495</v>
      </c>
      <c r="AL33" s="877">
        <f t="shared" si="157"/>
        <v>0.30557103064066854</v>
      </c>
      <c r="AM33" s="877">
        <f t="shared" si="157"/>
        <v>0.31907169117647055</v>
      </c>
      <c r="AN33" s="877">
        <f t="shared" si="157"/>
        <v>0.27344087992667276</v>
      </c>
      <c r="AO33" s="877">
        <f t="shared" si="157"/>
        <v>0.3200145852324523</v>
      </c>
      <c r="AP33" s="877">
        <f t="shared" si="157"/>
        <v>0.38598181818181815</v>
      </c>
      <c r="AQ33" s="877">
        <f t="shared" si="157"/>
        <v>0.4336426618049225</v>
      </c>
      <c r="AR33" s="877">
        <f t="shared" si="157"/>
        <v>0.15169972702456774</v>
      </c>
      <c r="AS33" s="877">
        <f t="shared" si="157"/>
        <v>0.79496255506607927</v>
      </c>
      <c r="AT33" s="877">
        <f t="shared" si="157"/>
        <v>0.45529444444444445</v>
      </c>
      <c r="AU33" s="877">
        <f t="shared" ref="AU33:BC33" si="158">+AU55/AU20</f>
        <v>0.18801933701657456</v>
      </c>
      <c r="AV33" s="877">
        <f t="shared" si="158"/>
        <v>0.37569958275382481</v>
      </c>
      <c r="AW33" s="877">
        <f t="shared" si="158"/>
        <v>0.38576177285318558</v>
      </c>
      <c r="AX33" s="877">
        <f t="shared" si="158"/>
        <v>0.19979395604395603</v>
      </c>
      <c r="AY33" s="877">
        <f t="shared" si="158"/>
        <v>0.17041144414168938</v>
      </c>
      <c r="AZ33" s="877">
        <f t="shared" si="158"/>
        <v>0.22974966711051933</v>
      </c>
      <c r="BA33" s="877">
        <f t="shared" si="158"/>
        <v>0.24958539765319421</v>
      </c>
      <c r="BB33" s="877">
        <f t="shared" si="158"/>
        <v>0.19161182519280207</v>
      </c>
      <c r="BC33" s="877">
        <f t="shared" si="158"/>
        <v>0.16951453855878637</v>
      </c>
      <c r="BD33" s="877">
        <f t="shared" ref="BD33:BG33" si="159">+BD55/BD20</f>
        <v>0.19267995018679948</v>
      </c>
      <c r="BE33" s="877">
        <f t="shared" si="159"/>
        <v>0.19614878048780493</v>
      </c>
      <c r="BF33" s="877">
        <f t="shared" si="159"/>
        <v>0.17506746987951807</v>
      </c>
      <c r="BG33" s="877">
        <f t="shared" si="159"/>
        <v>0.19915688622754488</v>
      </c>
      <c r="BH33" s="877">
        <f t="shared" ref="BH33" si="160">+BH55/BH20</f>
        <v>0.19358588235294119</v>
      </c>
      <c r="BI33" s="877">
        <f t="shared" ref="BI33" si="161">+BI55/BI20</f>
        <v>0.1972533632286996</v>
      </c>
      <c r="BJ33" s="877">
        <f t="shared" ref="BJ33" si="162">+BJ55/BJ20</f>
        <v>0.19478101402373249</v>
      </c>
      <c r="BK33" s="1360">
        <f t="shared" ref="BK33" si="163">+BK55/BK20</f>
        <v>0.21046680942184151</v>
      </c>
      <c r="BL33" s="874">
        <f t="shared" ref="BL33:BQ33" si="164">+BH33*(1+BL34)</f>
        <v>0.20493886660837657</v>
      </c>
      <c r="BM33" s="874">
        <f t="shared" si="164"/>
        <v>0.20808169112317002</v>
      </c>
      <c r="BN33" s="874">
        <f t="shared" si="164"/>
        <v>0.20428366933852707</v>
      </c>
      <c r="BO33" s="874">
        <f t="shared" si="164"/>
        <v>0.2210235722897492</v>
      </c>
      <c r="BP33" s="874">
        <f t="shared" si="164"/>
        <v>0.21449681173344232</v>
      </c>
      <c r="BQ33" s="874">
        <f t="shared" si="164"/>
        <v>0.21783547549427737</v>
      </c>
      <c r="BR33" s="874">
        <f t="shared" ref="BR33:CK33" si="165">+BN33*(1+BR34)</f>
        <v>0.21385942225802415</v>
      </c>
      <c r="BS33" s="874">
        <f t="shared" si="165"/>
        <v>0.23138400454791447</v>
      </c>
      <c r="BT33" s="874">
        <f t="shared" si="165"/>
        <v>0.22455130349888838</v>
      </c>
      <c r="BU33" s="874">
        <f t="shared" si="165"/>
        <v>0.2280464664030889</v>
      </c>
      <c r="BV33" s="874">
        <f t="shared" si="165"/>
        <v>0.22388403652934719</v>
      </c>
      <c r="BW33" s="874">
        <f t="shared" si="165"/>
        <v>0.24223007983258604</v>
      </c>
      <c r="BX33" s="874">
        <f t="shared" si="165"/>
        <v>0.23507709739626101</v>
      </c>
      <c r="BY33" s="874">
        <f t="shared" si="165"/>
        <v>0.23873609530740256</v>
      </c>
      <c r="BZ33" s="874">
        <f t="shared" si="165"/>
        <v>0.23169194399315463</v>
      </c>
      <c r="CA33" s="874">
        <f t="shared" si="165"/>
        <v>0.25067780159784736</v>
      </c>
      <c r="CB33" s="874">
        <f t="shared" si="165"/>
        <v>0.24327536044254061</v>
      </c>
      <c r="CC33" s="874">
        <f t="shared" si="165"/>
        <v>0.2470619651162872</v>
      </c>
      <c r="CD33" s="874">
        <f t="shared" si="165"/>
        <v>0.23977215054495618</v>
      </c>
      <c r="CE33" s="874">
        <f t="shared" si="165"/>
        <v>0.25942013583680551</v>
      </c>
      <c r="CF33" s="874">
        <f t="shared" si="165"/>
        <v>0.25175953614352131</v>
      </c>
      <c r="CG33" s="874">
        <f t="shared" si="165"/>
        <v>0.25567819783818352</v>
      </c>
      <c r="CH33" s="874">
        <f t="shared" si="165"/>
        <v>0.24813415255668839</v>
      </c>
      <c r="CI33" s="874">
        <f t="shared" si="165"/>
        <v>0.26846735709590863</v>
      </c>
      <c r="CJ33" s="874">
        <f t="shared" si="165"/>
        <v>0.26053959564134099</v>
      </c>
      <c r="CK33" s="874">
        <f t="shared" si="165"/>
        <v>0.26459491981702771</v>
      </c>
      <c r="CL33" s="874">
        <f t="shared" ref="CL33" si="166">+CH33*(1+CL34)</f>
        <v>0.2567877775842099</v>
      </c>
      <c r="CM33" s="874">
        <f t="shared" ref="CM33" si="167">+CI33*(1+CM34)</f>
        <v>0.27783009824419519</v>
      </c>
      <c r="CN33" s="874">
        <f t="shared" ref="CN33" si="168">+CJ33*(1+CN34)</f>
        <v>0.26962585781956799</v>
      </c>
      <c r="CO33" s="874">
        <f t="shared" ref="CO33" si="169">+CK33*(1+CO34)</f>
        <v>0.27382261055081569</v>
      </c>
      <c r="CP33" s="874">
        <f t="shared" ref="CP33" si="170">+CL33*(1+CP34)</f>
        <v>0.26574319591726941</v>
      </c>
      <c r="CQ33" s="874">
        <f t="shared" ref="CQ33" si="171">+CM33*(1+CQ34)</f>
        <v>0.28751936296971686</v>
      </c>
      <c r="CR33" s="874">
        <f t="shared" ref="CR33" si="172">+CN33*(1+CR34)</f>
        <v>0.27902900143060849</v>
      </c>
      <c r="CS33" s="874">
        <f t="shared" ref="CS33" si="173">+CO33*(1+CS34)</f>
        <v>0.28337211500777459</v>
      </c>
      <c r="CT33" s="874">
        <f t="shared" ref="CT33" si="174">+CP33*(1+CT34)</f>
        <v>0.27501093253227593</v>
      </c>
      <c r="CU33" s="874">
        <f t="shared" ref="CU33" si="175">+CQ33*(1+CU34)</f>
        <v>0.29754653871177184</v>
      </c>
      <c r="CV33" s="874">
        <f t="shared" ref="CV33" si="176">+CR33*(1+CV34)</f>
        <v>0.28876007764605455</v>
      </c>
      <c r="CW33" s="874">
        <f t="shared" ref="CW33" si="177">+CS33*(1+CW34)</f>
        <v>0.29325465637205844</v>
      </c>
    </row>
    <row r="34" spans="1:101" s="9" customFormat="1" ht="11.25">
      <c r="A34" s="665" t="s">
        <v>950</v>
      </c>
      <c r="B34" s="626"/>
      <c r="C34" s="626"/>
      <c r="D34" s="626"/>
      <c r="E34" s="626" t="str">
        <f t="shared" ref="E34:AZ34" si="178">IF(ISERROR(E33/A33-1),"NM",E33/A33-1)</f>
        <v>NM</v>
      </c>
      <c r="F34" s="657" t="str">
        <f t="shared" si="178"/>
        <v>NM</v>
      </c>
      <c r="G34" s="657" t="str">
        <f t="shared" si="178"/>
        <v>NM</v>
      </c>
      <c r="H34" s="657" t="str">
        <f t="shared" si="178"/>
        <v>NM</v>
      </c>
      <c r="I34" s="657" t="str">
        <f t="shared" si="178"/>
        <v>NM</v>
      </c>
      <c r="J34" s="657" t="str">
        <f t="shared" si="178"/>
        <v>NM</v>
      </c>
      <c r="K34" s="657" t="str">
        <f t="shared" si="178"/>
        <v>NM</v>
      </c>
      <c r="L34" s="657" t="str">
        <f t="shared" si="178"/>
        <v>NM</v>
      </c>
      <c r="M34" s="657" t="str">
        <f t="shared" si="178"/>
        <v>NM</v>
      </c>
      <c r="N34" s="657">
        <f t="shared" si="178"/>
        <v>-6.8181818181818121E-2</v>
      </c>
      <c r="O34" s="657">
        <f t="shared" si="178"/>
        <v>-0.14322916666666663</v>
      </c>
      <c r="P34" s="657">
        <f t="shared" si="178"/>
        <v>-0.18226600985221675</v>
      </c>
      <c r="Q34" s="657">
        <f t="shared" si="178"/>
        <v>-0.22883295194508002</v>
      </c>
      <c r="R34" s="657">
        <f t="shared" si="178"/>
        <v>-3.0228577434179282E-3</v>
      </c>
      <c r="S34" s="657">
        <f t="shared" si="178"/>
        <v>-7.8795857639275546E-2</v>
      </c>
      <c r="T34" s="657">
        <f t="shared" si="178"/>
        <v>-4.6945975749108526E-2</v>
      </c>
      <c r="U34" s="657">
        <f t="shared" si="178"/>
        <v>-0.42323843193331501</v>
      </c>
      <c r="V34" s="657">
        <f t="shared" si="178"/>
        <v>-0.22849526203605031</v>
      </c>
      <c r="W34" s="657">
        <f t="shared" si="178"/>
        <v>-7.2889215781015038E-2</v>
      </c>
      <c r="X34" s="657">
        <f t="shared" si="178"/>
        <v>-5.5033947733181043E-2</v>
      </c>
      <c r="Y34" s="657">
        <f t="shared" si="178"/>
        <v>0.8143295593108999</v>
      </c>
      <c r="Z34" s="657">
        <f t="shared" si="178"/>
        <v>0.92454702081242002</v>
      </c>
      <c r="AA34" s="657">
        <f t="shared" si="178"/>
        <v>0.31634963044203346</v>
      </c>
      <c r="AB34" s="657">
        <f t="shared" si="178"/>
        <v>0.80441194088664214</v>
      </c>
      <c r="AC34" s="657">
        <f t="shared" si="178"/>
        <v>-2.8927422010922688E-2</v>
      </c>
      <c r="AD34" s="657">
        <f t="shared" si="178"/>
        <v>4.7562749035258589E-2</v>
      </c>
      <c r="AE34" s="2138">
        <f t="shared" si="178"/>
        <v>0.2747612951029883</v>
      </c>
      <c r="AF34" s="657">
        <f t="shared" si="178"/>
        <v>0.12909484829980311</v>
      </c>
      <c r="AG34" s="657">
        <f t="shared" si="178"/>
        <v>0.21360517467297524</v>
      </c>
      <c r="AH34" s="657">
        <f t="shared" si="178"/>
        <v>0.1020318963947846</v>
      </c>
      <c r="AI34" s="657">
        <f t="shared" si="178"/>
        <v>-4.6725527651680476E-2</v>
      </c>
      <c r="AJ34" s="657">
        <f t="shared" si="178"/>
        <v>3.1774923282099632E-3</v>
      </c>
      <c r="AK34" s="657">
        <f t="shared" si="178"/>
        <v>-1.2882216392944734E-2</v>
      </c>
      <c r="AL34" s="657">
        <f t="shared" si="178"/>
        <v>-0.12880675512282669</v>
      </c>
      <c r="AM34" s="715">
        <f t="shared" si="178"/>
        <v>-0.18503372993171263</v>
      </c>
      <c r="AN34" s="715">
        <f t="shared" si="178"/>
        <v>-0.26667402744211133</v>
      </c>
      <c r="AO34" s="715">
        <f t="shared" si="178"/>
        <v>-0.30132464513324486</v>
      </c>
      <c r="AP34" s="715">
        <f t="shared" si="178"/>
        <v>0.26314925002071754</v>
      </c>
      <c r="AQ34" s="715">
        <f t="shared" si="178"/>
        <v>0.35907595000361736</v>
      </c>
      <c r="AR34" s="715">
        <f t="shared" si="178"/>
        <v>-0.44521928445648551</v>
      </c>
      <c r="AS34" s="715">
        <f t="shared" si="178"/>
        <v>1.4841447601165867</v>
      </c>
      <c r="AT34" s="715">
        <f t="shared" si="178"/>
        <v>0.17957484782347</v>
      </c>
      <c r="AU34" s="715">
        <f t="shared" si="178"/>
        <v>-0.56641872772850821</v>
      </c>
      <c r="AV34" s="715">
        <f t="shared" si="178"/>
        <v>1.4766002557999354</v>
      </c>
      <c r="AW34" s="715">
        <f t="shared" si="178"/>
        <v>-0.51474220968669382</v>
      </c>
      <c r="AX34" s="715">
        <f t="shared" si="178"/>
        <v>-0.56117638051185326</v>
      </c>
      <c r="AY34" s="715">
        <f t="shared" si="178"/>
        <v>-9.3649372209694492E-2</v>
      </c>
      <c r="AZ34" s="715">
        <f t="shared" si="178"/>
        <v>-0.38847505385423442</v>
      </c>
      <c r="BA34" s="715">
        <f t="shared" ref="BA34:BK34" si="179">IF(ISERROR(BA33/AW33-1),"NM",BA33/AW33-1)</f>
        <v>-0.35300640131550254</v>
      </c>
      <c r="BB34" s="715">
        <f t="shared" si="179"/>
        <v>-4.0952844686422019E-2</v>
      </c>
      <c r="BC34" s="715">
        <f t="shared" si="179"/>
        <v>-5.2631769387346816E-3</v>
      </c>
      <c r="BD34" s="715">
        <f t="shared" si="179"/>
        <v>-0.16134829438463449</v>
      </c>
      <c r="BE34" s="715">
        <f t="shared" si="179"/>
        <v>-0.21410153665977261</v>
      </c>
      <c r="BF34" s="715">
        <f t="shared" si="179"/>
        <v>-8.6343080843976461E-2</v>
      </c>
      <c r="BG34" s="715">
        <f t="shared" si="179"/>
        <v>0.17486610836319949</v>
      </c>
      <c r="BH34" s="715">
        <f t="shared" si="179"/>
        <v>4.701745901757981E-3</v>
      </c>
      <c r="BI34" s="715">
        <f t="shared" si="179"/>
        <v>5.6313515595032282E-3</v>
      </c>
      <c r="BJ34" s="715">
        <f t="shared" si="179"/>
        <v>0.11260540954742382</v>
      </c>
      <c r="BK34" s="1361">
        <f t="shared" si="179"/>
        <v>5.6789013970496516E-2</v>
      </c>
      <c r="BL34" s="878">
        <f>Inputs!BL158</f>
        <v>5.864572414809098E-2</v>
      </c>
      <c r="BM34" s="878">
        <f>Inputs!BM158</f>
        <v>5.4895529877053803E-2</v>
      </c>
      <c r="BN34" s="878">
        <f>Inputs!BN158</f>
        <v>4.8786353035603185E-2</v>
      </c>
      <c r="BO34" s="878">
        <f>Inputs!BO158</f>
        <v>5.0158801270886448E-2</v>
      </c>
      <c r="BP34" s="878">
        <f>Inputs!BP158</f>
        <v>4.6638030566111592E-2</v>
      </c>
      <c r="BQ34" s="878">
        <f>Inputs!BQ158</f>
        <v>4.6874784217962644E-2</v>
      </c>
      <c r="BR34" s="878">
        <f>Inputs!BR158</f>
        <v>4.6874784217962644E-2</v>
      </c>
      <c r="BS34" s="878">
        <f>Inputs!BS158</f>
        <v>4.6874784217962644E-2</v>
      </c>
      <c r="BT34" s="878">
        <f>Inputs!BT158</f>
        <v>4.6874784217962644E-2</v>
      </c>
      <c r="BU34" s="878">
        <f>Inputs!BU158</f>
        <v>4.6874784217962644E-2</v>
      </c>
      <c r="BV34" s="878">
        <f>Inputs!BV158</f>
        <v>4.6874784217962644E-2</v>
      </c>
      <c r="BW34" s="878">
        <f>Inputs!BW158</f>
        <v>4.6874784217962644E-2</v>
      </c>
      <c r="BX34" s="878">
        <f>Inputs!BX158</f>
        <v>4.6874784217962644E-2</v>
      </c>
      <c r="BY34" s="878">
        <f>Inputs!BY158</f>
        <v>4.6874784217962644E-2</v>
      </c>
      <c r="BZ34" s="878">
        <f>Inputs!BZ158</f>
        <v>3.487478421796264E-2</v>
      </c>
      <c r="CA34" s="878">
        <f>Inputs!CA158</f>
        <v>3.487478421796264E-2</v>
      </c>
      <c r="CB34" s="878">
        <f>Inputs!CB158</f>
        <v>3.487478421796264E-2</v>
      </c>
      <c r="CC34" s="878">
        <f>Inputs!CC158</f>
        <v>3.487478421796264E-2</v>
      </c>
      <c r="CD34" s="878">
        <f>Inputs!CD158</f>
        <v>3.487478421796264E-2</v>
      </c>
      <c r="CE34" s="878">
        <f>Inputs!CE158</f>
        <v>3.487478421796264E-2</v>
      </c>
      <c r="CF34" s="878">
        <f>Inputs!CF158</f>
        <v>3.487478421796264E-2</v>
      </c>
      <c r="CG34" s="878">
        <f>Inputs!CG158</f>
        <v>3.487478421796264E-2</v>
      </c>
      <c r="CH34" s="878">
        <f>Inputs!CH158</f>
        <v>3.487478421796264E-2</v>
      </c>
      <c r="CI34" s="878">
        <f>Inputs!CI158</f>
        <v>3.487478421796264E-2</v>
      </c>
      <c r="CJ34" s="878">
        <f>Inputs!CJ158</f>
        <v>3.487478421796264E-2</v>
      </c>
      <c r="CK34" s="878">
        <f>Inputs!CK158</f>
        <v>3.487478421796264E-2</v>
      </c>
      <c r="CL34" s="878">
        <f>Inputs!CL158</f>
        <v>3.487478421796264E-2</v>
      </c>
      <c r="CM34" s="878">
        <f>Inputs!CM158</f>
        <v>3.487478421796264E-2</v>
      </c>
      <c r="CN34" s="878">
        <f>Inputs!CN158</f>
        <v>3.487478421796264E-2</v>
      </c>
      <c r="CO34" s="878">
        <f>Inputs!CO158</f>
        <v>3.487478421796264E-2</v>
      </c>
      <c r="CP34" s="878">
        <f>Inputs!CP158</f>
        <v>3.487478421796264E-2</v>
      </c>
      <c r="CQ34" s="878">
        <f>Inputs!CQ158</f>
        <v>3.487478421796264E-2</v>
      </c>
      <c r="CR34" s="878">
        <f>Inputs!CR158</f>
        <v>3.487478421796264E-2</v>
      </c>
      <c r="CS34" s="878">
        <f>Inputs!CS158</f>
        <v>3.487478421796264E-2</v>
      </c>
      <c r="CT34" s="878">
        <f>Inputs!CT158</f>
        <v>3.487478421796264E-2</v>
      </c>
      <c r="CU34" s="878">
        <f>Inputs!CU158</f>
        <v>3.487478421796264E-2</v>
      </c>
      <c r="CV34" s="878">
        <f>Inputs!CV158</f>
        <v>3.487478421796264E-2</v>
      </c>
      <c r="CW34" s="878">
        <f>Inputs!CW158</f>
        <v>3.487478421796264E-2</v>
      </c>
    </row>
    <row r="35" spans="1:101" s="9" customFormat="1" ht="11.25">
      <c r="A35" s="665"/>
      <c r="B35" s="626"/>
      <c r="C35" s="626"/>
      <c r="D35" s="626"/>
      <c r="E35" s="626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2138"/>
      <c r="AF35" s="657"/>
      <c r="AG35" s="657"/>
      <c r="AH35" s="657"/>
      <c r="AI35" s="657"/>
      <c r="AJ35" s="657"/>
      <c r="AK35" s="657"/>
      <c r="AL35" s="657"/>
      <c r="AM35" s="715"/>
      <c r="AN35" s="715"/>
      <c r="AO35" s="715"/>
      <c r="AP35" s="878"/>
      <c r="AQ35" s="878"/>
      <c r="AR35" s="878"/>
      <c r="AS35" s="878"/>
      <c r="AT35" s="878"/>
      <c r="AU35" s="878"/>
      <c r="AV35" s="878"/>
      <c r="AW35" s="878"/>
      <c r="AX35" s="878"/>
      <c r="AY35" s="878"/>
      <c r="AZ35" s="878"/>
      <c r="BA35" s="878"/>
      <c r="BB35" s="878"/>
      <c r="BC35" s="878"/>
      <c r="BD35" s="878"/>
      <c r="BE35" s="878"/>
      <c r="BF35" s="878"/>
      <c r="BG35" s="878"/>
      <c r="BH35" s="878"/>
      <c r="BI35" s="878"/>
      <c r="BJ35" s="878"/>
      <c r="BK35" s="1362"/>
      <c r="BL35" s="878"/>
      <c r="BM35" s="878"/>
      <c r="BN35" s="878"/>
      <c r="BO35" s="878"/>
      <c r="BP35" s="878"/>
      <c r="BQ35" s="878"/>
      <c r="BR35" s="878"/>
      <c r="BS35" s="878"/>
      <c r="BT35" s="878"/>
      <c r="BU35" s="878"/>
      <c r="BV35" s="878"/>
      <c r="BW35" s="878"/>
      <c r="BX35" s="878"/>
      <c r="BY35" s="878"/>
      <c r="BZ35" s="878"/>
      <c r="CA35" s="878"/>
      <c r="CB35" s="878"/>
      <c r="CC35" s="878"/>
      <c r="CD35" s="878"/>
      <c r="CE35" s="878"/>
      <c r="CF35" s="878"/>
      <c r="CG35" s="878"/>
      <c r="CH35" s="878"/>
      <c r="CI35" s="878"/>
      <c r="CJ35" s="878"/>
      <c r="CK35" s="878"/>
      <c r="CL35" s="878"/>
      <c r="CM35" s="878"/>
      <c r="CN35" s="878"/>
      <c r="CO35" s="878"/>
      <c r="CP35" s="878"/>
      <c r="CQ35" s="878"/>
      <c r="CR35" s="878"/>
      <c r="CS35" s="878"/>
      <c r="CT35" s="878"/>
      <c r="CU35" s="878"/>
      <c r="CV35" s="878"/>
      <c r="CW35" s="878"/>
    </row>
    <row r="36" spans="1:101" s="9" customFormat="1" ht="11.25">
      <c r="A36" s="331" t="s">
        <v>941</v>
      </c>
      <c r="B36" s="62"/>
      <c r="C36" s="62"/>
      <c r="D36" s="62"/>
      <c r="E36" s="62"/>
      <c r="F36" s="316"/>
      <c r="G36" s="333"/>
      <c r="H36" s="333"/>
      <c r="I36" s="316"/>
      <c r="J36" s="316"/>
      <c r="K36" s="333"/>
      <c r="L36" s="333"/>
      <c r="M36" s="316"/>
      <c r="N36" s="355"/>
      <c r="O36" s="355"/>
      <c r="P36" s="355"/>
      <c r="Q36" s="316"/>
      <c r="R36" s="316"/>
      <c r="S36" s="316"/>
      <c r="T36" s="316"/>
      <c r="U36" s="316"/>
      <c r="V36" s="96"/>
      <c r="W36" s="316"/>
      <c r="X36" s="316"/>
      <c r="Y36" s="316"/>
      <c r="Z36" s="316"/>
      <c r="AA36" s="355"/>
      <c r="AB36" s="316"/>
      <c r="AC36" s="316"/>
      <c r="AD36" s="316"/>
      <c r="AE36" s="2129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BK36" s="1318"/>
    </row>
    <row r="37" spans="1:101" s="9" customFormat="1" ht="11.25">
      <c r="A37" s="331"/>
      <c r="B37" s="62"/>
      <c r="C37" s="62"/>
      <c r="D37" s="62"/>
      <c r="E37" s="62"/>
      <c r="F37" s="316"/>
      <c r="G37" s="333"/>
      <c r="H37" s="333"/>
      <c r="I37" s="316"/>
      <c r="J37" s="316"/>
      <c r="K37" s="333"/>
      <c r="L37" s="333"/>
      <c r="M37" s="316"/>
      <c r="N37" s="355"/>
      <c r="O37" s="355"/>
      <c r="P37" s="355"/>
      <c r="Q37" s="316"/>
      <c r="R37" s="316"/>
      <c r="S37" s="316"/>
      <c r="T37" s="316"/>
      <c r="U37" s="316"/>
      <c r="V37" s="421"/>
      <c r="W37" s="316"/>
      <c r="X37" s="316"/>
      <c r="Y37" s="316"/>
      <c r="Z37" s="316"/>
      <c r="AA37" s="355"/>
      <c r="AB37" s="316"/>
      <c r="AC37" s="316"/>
      <c r="AD37" s="316"/>
      <c r="AE37" s="2129"/>
      <c r="AF37" s="316"/>
      <c r="AG37" s="421"/>
      <c r="AH37" s="421"/>
      <c r="AI37" s="316"/>
      <c r="AJ37" s="316"/>
      <c r="AK37" s="316"/>
      <c r="AL37" s="316"/>
      <c r="AM37" s="316"/>
      <c r="AN37" s="421"/>
      <c r="AO37" s="421"/>
      <c r="BK37" s="1318"/>
    </row>
    <row r="38" spans="1:101" s="9" customFormat="1" ht="11.25">
      <c r="A38" s="530" t="s">
        <v>353</v>
      </c>
      <c r="B38" s="659">
        <f>IS!C76</f>
        <v>2242.4</v>
      </c>
      <c r="C38" s="659">
        <f>IS!D76</f>
        <v>2232.1000000000004</v>
      </c>
      <c r="D38" s="659">
        <f>IS!E76</f>
        <v>2215.6</v>
      </c>
      <c r="E38" s="659">
        <f>IS!F76</f>
        <v>2407.3999999999992</v>
      </c>
      <c r="F38" s="659">
        <f>IS!G76</f>
        <v>2172.6</v>
      </c>
      <c r="G38" s="659">
        <f>IS!H76</f>
        <v>2188.8000000000002</v>
      </c>
      <c r="H38" s="659">
        <f>IS!I76</f>
        <v>2233.6</v>
      </c>
      <c r="I38" s="659">
        <f>IS!J76</f>
        <v>2490.1000000000004</v>
      </c>
      <c r="J38" s="659">
        <f>IS!K76</f>
        <v>2427.3000000000002</v>
      </c>
      <c r="K38" s="659">
        <f>IS!L76</f>
        <v>2592.6</v>
      </c>
      <c r="L38" s="659">
        <f>IS!M76</f>
        <v>2641.4</v>
      </c>
      <c r="M38" s="659">
        <f>IS!N76</f>
        <v>2839.7</v>
      </c>
      <c r="N38" s="659">
        <f>IS!O76</f>
        <v>2861.2</v>
      </c>
      <c r="O38" s="659">
        <f>IS!P76</f>
        <v>3262</v>
      </c>
      <c r="P38" s="659">
        <f>IS!Q76</f>
        <v>3220.3999999999996</v>
      </c>
      <c r="Q38" s="659">
        <f>IS!R76</f>
        <v>3442.2</v>
      </c>
      <c r="R38" s="659">
        <f>IS!S76</f>
        <v>3253.1</v>
      </c>
      <c r="S38" s="659">
        <f>IS!T76</f>
        <v>3640</v>
      </c>
      <c r="T38" s="659">
        <f>IS!U76</f>
        <v>3724.6000000000004</v>
      </c>
      <c r="U38" s="659">
        <f>IS!V76</f>
        <v>4077</v>
      </c>
      <c r="V38" s="659">
        <f>IS!W76</f>
        <v>3826</v>
      </c>
      <c r="W38" s="659">
        <f>IS!X76</f>
        <v>4987</v>
      </c>
      <c r="X38" s="659">
        <f>IS!Y76</f>
        <v>5388</v>
      </c>
      <c r="Y38" s="659">
        <f>IS!Z76</f>
        <v>6467</v>
      </c>
      <c r="Z38" s="659">
        <f>IS!AA76</f>
        <v>4659</v>
      </c>
      <c r="AA38" s="659">
        <f>IS!AB76</f>
        <v>4851</v>
      </c>
      <c r="AB38" s="659">
        <f>IS!AC76</f>
        <v>4982</v>
      </c>
      <c r="AC38" s="659">
        <f>IS!AD76</f>
        <v>5404</v>
      </c>
      <c r="AD38" s="659">
        <f>IS!AE76</f>
        <v>5155</v>
      </c>
      <c r="AE38" s="2139">
        <f>IS!AF76</f>
        <v>5348</v>
      </c>
      <c r="AF38" s="659">
        <f>IS!AG76</f>
        <v>5516</v>
      </c>
      <c r="AG38" s="659">
        <f>IS!AH76</f>
        <v>5967</v>
      </c>
      <c r="AH38" s="659">
        <f>IS!AI76</f>
        <v>5574</v>
      </c>
      <c r="AI38" s="659">
        <f>IS!AJ76</f>
        <v>5922</v>
      </c>
      <c r="AJ38" s="659">
        <f>IS!AK76</f>
        <v>5799</v>
      </c>
      <c r="AK38" s="659">
        <f>IS!AL76</f>
        <v>6382</v>
      </c>
      <c r="AL38" s="659">
        <f>IS!AM76</f>
        <v>5997</v>
      </c>
      <c r="AM38" s="966">
        <f>IS!AN76</f>
        <v>6243</v>
      </c>
      <c r="AN38" s="966">
        <f>IS!AO76</f>
        <v>6290</v>
      </c>
      <c r="AO38" s="966">
        <f>IS!AP76</f>
        <v>6932</v>
      </c>
      <c r="AP38" s="966">
        <f>IS!AQ76</f>
        <v>6387</v>
      </c>
      <c r="AQ38" s="966">
        <f>IS!AR76</f>
        <v>6899</v>
      </c>
      <c r="AR38" s="966">
        <f>IS!AS76</f>
        <v>6680</v>
      </c>
      <c r="AS38" s="966">
        <f>IS!AT76</f>
        <v>7251</v>
      </c>
      <c r="AT38" s="966">
        <f>IS!AU76</f>
        <v>6210</v>
      </c>
      <c r="AU38" s="966">
        <f>IS!AV76</f>
        <v>2768</v>
      </c>
      <c r="AV38" s="966">
        <f>IS!AW76</f>
        <v>4569</v>
      </c>
      <c r="AW38" s="966">
        <f>IS!AX76</f>
        <v>5520</v>
      </c>
      <c r="AX38" s="966">
        <f>IS!AY76</f>
        <v>4975</v>
      </c>
      <c r="AY38" s="966">
        <f>IS!AZ76</f>
        <v>6465</v>
      </c>
      <c r="AZ38" s="966">
        <f>IS!BA76</f>
        <v>6705</v>
      </c>
      <c r="BA38" s="966">
        <f>IS!BB76</f>
        <v>7870</v>
      </c>
      <c r="BB38" s="966">
        <f>IS!BC76</f>
        <v>7335</v>
      </c>
      <c r="BC38" s="966">
        <f>IS!BD76</f>
        <v>8357</v>
      </c>
      <c r="BD38" s="966">
        <f>IS!BE76</f>
        <v>8403</v>
      </c>
      <c r="BE38" s="966">
        <f>IS!BF76</f>
        <v>9373</v>
      </c>
      <c r="BF38" s="966">
        <f>IS!BG76</f>
        <v>8953</v>
      </c>
      <c r="BG38" s="966">
        <f>IS!BH76</f>
        <v>9831</v>
      </c>
      <c r="BH38" s="966">
        <f>IS!BI76</f>
        <v>9900</v>
      </c>
      <c r="BI38" s="966">
        <f>IS!BJ76</f>
        <v>10674</v>
      </c>
      <c r="BJ38" s="966">
        <f>IS!BK76</f>
        <v>10122</v>
      </c>
      <c r="BK38" s="1363">
        <f>IS!BL76</f>
        <v>10694</v>
      </c>
      <c r="BL38" s="660">
        <f t="shared" ref="BL38:BQ38" si="180">BL41+BL52+BL55</f>
        <v>10752.462458866608</v>
      </c>
      <c r="BM38" s="660">
        <f t="shared" si="180"/>
        <v>11493.143931378603</v>
      </c>
      <c r="BN38" s="660">
        <f t="shared" si="180"/>
        <v>10752.801241084824</v>
      </c>
      <c r="BO38" s="660">
        <f t="shared" si="180"/>
        <v>11328.891114812559</v>
      </c>
      <c r="BP38" s="660">
        <f t="shared" si="180"/>
        <v>11340.4411031537</v>
      </c>
      <c r="BQ38" s="660">
        <f t="shared" si="180"/>
        <v>12177.233378713507</v>
      </c>
      <c r="BR38" s="660">
        <f t="shared" ref="BR38:CK38" si="181">BR41+BR52+BR55</f>
        <v>11420.854333278157</v>
      </c>
      <c r="BS38" s="660">
        <f t="shared" si="181"/>
        <v>12018.226620607606</v>
      </c>
      <c r="BT38" s="660">
        <f t="shared" si="181"/>
        <v>12025.193325339651</v>
      </c>
      <c r="BU38" s="660">
        <f t="shared" si="181"/>
        <v>12900.699192856386</v>
      </c>
      <c r="BV38" s="660">
        <f t="shared" si="181"/>
        <v>12078.947022064853</v>
      </c>
      <c r="BW38" s="660">
        <f t="shared" si="181"/>
        <v>12700.349023447976</v>
      </c>
      <c r="BX38" s="660">
        <f t="shared" si="181"/>
        <v>12705.389202232964</v>
      </c>
      <c r="BY38" s="660">
        <f t="shared" si="181"/>
        <v>13619.44766835582</v>
      </c>
      <c r="BZ38" s="660">
        <f t="shared" si="181"/>
        <v>12615.436170698993</v>
      </c>
      <c r="CA38" s="660">
        <f t="shared" si="181"/>
        <v>13260.667168052891</v>
      </c>
      <c r="CB38" s="660">
        <f t="shared" si="181"/>
        <v>13269.548169983396</v>
      </c>
      <c r="CC38" s="660">
        <f t="shared" si="181"/>
        <v>14227.64378433974</v>
      </c>
      <c r="CD38" s="660">
        <f t="shared" si="181"/>
        <v>13172.332997807955</v>
      </c>
      <c r="CE38" s="660">
        <f t="shared" si="181"/>
        <v>13842.176901285213</v>
      </c>
      <c r="CF38" s="660">
        <f t="shared" si="181"/>
        <v>13855.196538930999</v>
      </c>
      <c r="CG38" s="660">
        <f t="shared" si="181"/>
        <v>14859.162392934209</v>
      </c>
      <c r="CH38" s="660">
        <f t="shared" si="181"/>
        <v>13747.229474459893</v>
      </c>
      <c r="CI38" s="660">
        <f t="shared" si="181"/>
        <v>14435.951214472092</v>
      </c>
      <c r="CJ38" s="660">
        <f t="shared" si="181"/>
        <v>14446.565401350839</v>
      </c>
      <c r="CK38" s="660">
        <f t="shared" si="181"/>
        <v>15484.067608349418</v>
      </c>
      <c r="CL38" s="660">
        <f t="shared" ref="CL38:CW38" si="182">CL41+CL52+CL55</f>
        <v>14311.172608256547</v>
      </c>
      <c r="CM38" s="660">
        <f t="shared" si="182"/>
        <v>15024.719414255509</v>
      </c>
      <c r="CN38" s="660">
        <f t="shared" si="182"/>
        <v>15039.398976465</v>
      </c>
      <c r="CO38" s="660">
        <f t="shared" si="182"/>
        <v>16123.091703259646</v>
      </c>
      <c r="CP38" s="660">
        <f t="shared" si="182"/>
        <v>14895.905048810529</v>
      </c>
      <c r="CQ38" s="660">
        <f>CQ41+CQ52+CQ55</f>
        <v>15635.074152905197</v>
      </c>
      <c r="CR38" s="660">
        <f t="shared" si="182"/>
        <v>15654.117691589825</v>
      </c>
      <c r="CS38" s="660">
        <f t="shared" si="182"/>
        <v>16785.860134588882</v>
      </c>
      <c r="CT38" s="660">
        <f t="shared" si="182"/>
        <v>15501.40866864165</v>
      </c>
      <c r="CU38" s="660">
        <f t="shared" si="182"/>
        <v>16265.68038268244</v>
      </c>
      <c r="CV38" s="660">
        <f t="shared" si="182"/>
        <v>16287.375133786825</v>
      </c>
      <c r="CW38" s="660">
        <f t="shared" si="182"/>
        <v>17464.20610886443</v>
      </c>
    </row>
    <row r="39" spans="1:101" s="9" customFormat="1" ht="11.25">
      <c r="A39" s="545" t="s">
        <v>950</v>
      </c>
      <c r="B39" s="347"/>
      <c r="C39" s="347"/>
      <c r="D39" s="347"/>
      <c r="E39" s="347"/>
      <c r="F39" s="347">
        <f t="shared" ref="F39:AK39" si="183">F38/B38-1</f>
        <v>-3.1127363539065422E-2</v>
      </c>
      <c r="G39" s="347">
        <f t="shared" si="183"/>
        <v>-1.939877245643129E-2</v>
      </c>
      <c r="H39" s="347">
        <f t="shared" si="183"/>
        <v>8.1242101462357663E-3</v>
      </c>
      <c r="I39" s="347">
        <f t="shared" si="183"/>
        <v>3.4352413392041647E-2</v>
      </c>
      <c r="J39" s="347">
        <f t="shared" si="183"/>
        <v>0.1172328086164045</v>
      </c>
      <c r="K39" s="347">
        <f t="shared" si="183"/>
        <v>0.18448464912280693</v>
      </c>
      <c r="L39" s="347">
        <f t="shared" si="183"/>
        <v>0.18257521489971351</v>
      </c>
      <c r="M39" s="347">
        <f t="shared" si="183"/>
        <v>0.14039596803341214</v>
      </c>
      <c r="N39" s="347">
        <f t="shared" si="183"/>
        <v>0.17875829110534314</v>
      </c>
      <c r="O39" s="347">
        <f t="shared" si="183"/>
        <v>0.25819640515312825</v>
      </c>
      <c r="P39" s="347">
        <f t="shared" si="183"/>
        <v>0.21920193836601776</v>
      </c>
      <c r="Q39" s="347">
        <f t="shared" si="183"/>
        <v>0.21217029967954359</v>
      </c>
      <c r="R39" s="347">
        <f t="shared" si="183"/>
        <v>0.13697050188731996</v>
      </c>
      <c r="S39" s="347">
        <f t="shared" si="183"/>
        <v>0.11587982832618016</v>
      </c>
      <c r="T39" s="347">
        <f t="shared" si="183"/>
        <v>0.15656440193764776</v>
      </c>
      <c r="U39" s="347">
        <f t="shared" si="183"/>
        <v>0.1844169426529545</v>
      </c>
      <c r="V39" s="347">
        <f t="shared" si="183"/>
        <v>0.17610894223970974</v>
      </c>
      <c r="W39" s="347">
        <f t="shared" si="183"/>
        <v>0.37005494505494507</v>
      </c>
      <c r="X39" s="347">
        <f t="shared" si="183"/>
        <v>0.44659829243408677</v>
      </c>
      <c r="Y39" s="347">
        <f t="shared" si="183"/>
        <v>0.58621535442727501</v>
      </c>
      <c r="Z39" s="347">
        <f t="shared" si="183"/>
        <v>0.21772085729221113</v>
      </c>
      <c r="AA39" s="347">
        <f t="shared" si="183"/>
        <v>-2.7270904351313408E-2</v>
      </c>
      <c r="AB39" s="347">
        <f t="shared" si="183"/>
        <v>-7.5352635486265807E-2</v>
      </c>
      <c r="AC39" s="347">
        <f t="shared" si="183"/>
        <v>-0.16437297046543997</v>
      </c>
      <c r="AD39" s="347">
        <f t="shared" si="183"/>
        <v>0.10646061386563632</v>
      </c>
      <c r="AE39" s="2140">
        <f t="shared" si="183"/>
        <v>0.10245310245310235</v>
      </c>
      <c r="AF39" s="347">
        <f t="shared" si="183"/>
        <v>0.10718586912886385</v>
      </c>
      <c r="AG39" s="347">
        <f t="shared" si="183"/>
        <v>0.10418208734270906</v>
      </c>
      <c r="AH39" s="347">
        <f t="shared" si="183"/>
        <v>8.1280310378273546E-2</v>
      </c>
      <c r="AI39" s="347">
        <f t="shared" si="183"/>
        <v>0.10732984293193715</v>
      </c>
      <c r="AJ39" s="347">
        <f t="shared" si="183"/>
        <v>5.13052936910805E-2</v>
      </c>
      <c r="AK39" s="347">
        <f t="shared" si="183"/>
        <v>6.9549187196245921E-2</v>
      </c>
      <c r="AL39" s="347">
        <f t="shared" ref="AL39:BQ39" si="184">AL38/AH38-1</f>
        <v>7.5888051668460799E-2</v>
      </c>
      <c r="AM39" s="347">
        <f t="shared" si="184"/>
        <v>5.4204660587639397E-2</v>
      </c>
      <c r="AN39" s="347">
        <f t="shared" si="184"/>
        <v>8.4669770650112053E-2</v>
      </c>
      <c r="AO39" s="347">
        <f t="shared" si="184"/>
        <v>8.6179880915073559E-2</v>
      </c>
      <c r="AP39" s="347">
        <f t="shared" si="184"/>
        <v>6.5032516258129114E-2</v>
      </c>
      <c r="AQ39" s="347">
        <f t="shared" si="184"/>
        <v>0.10507768700945053</v>
      </c>
      <c r="AR39" s="347">
        <f t="shared" si="184"/>
        <v>6.2003179650238494E-2</v>
      </c>
      <c r="AS39" s="347">
        <f t="shared" si="184"/>
        <v>4.6018465089440186E-2</v>
      </c>
      <c r="AT39" s="347">
        <f t="shared" si="184"/>
        <v>-2.771254109910759E-2</v>
      </c>
      <c r="AU39" s="347">
        <f t="shared" si="184"/>
        <v>-0.59878243223655603</v>
      </c>
      <c r="AV39" s="347">
        <f t="shared" si="184"/>
        <v>-0.31601796407185634</v>
      </c>
      <c r="AW39" s="347">
        <f t="shared" si="184"/>
        <v>-0.23872569300786095</v>
      </c>
      <c r="AX39" s="347">
        <f t="shared" si="184"/>
        <v>-0.19887278582930756</v>
      </c>
      <c r="AY39" s="347">
        <f t="shared" si="184"/>
        <v>1.3356213872832372</v>
      </c>
      <c r="AZ39" s="347">
        <f t="shared" si="184"/>
        <v>0.46749835850295463</v>
      </c>
      <c r="BA39" s="347">
        <f t="shared" ref="BA39:BK39" si="185">BA38/AW38-1</f>
        <v>0.42572463768115942</v>
      </c>
      <c r="BB39" s="347">
        <f t="shared" si="185"/>
        <v>0.47437185929648251</v>
      </c>
      <c r="BC39" s="347">
        <f t="shared" si="185"/>
        <v>0.29265274555297749</v>
      </c>
      <c r="BD39" s="347">
        <f t="shared" si="185"/>
        <v>0.25324384787472032</v>
      </c>
      <c r="BE39" s="347">
        <f t="shared" si="185"/>
        <v>0.19097839898348168</v>
      </c>
      <c r="BF39" s="347">
        <f t="shared" si="185"/>
        <v>0.22058623040218128</v>
      </c>
      <c r="BG39" s="347">
        <f t="shared" si="185"/>
        <v>0.17637908340313513</v>
      </c>
      <c r="BH39" s="347">
        <f t="shared" si="185"/>
        <v>0.17815066047840067</v>
      </c>
      <c r="BI39" s="347">
        <f t="shared" si="185"/>
        <v>0.13880294462818732</v>
      </c>
      <c r="BJ39" s="347">
        <f t="shared" si="185"/>
        <v>0.13057075840500398</v>
      </c>
      <c r="BK39" s="1364">
        <f t="shared" si="185"/>
        <v>8.7783541857389791E-2</v>
      </c>
      <c r="BL39" s="380">
        <f t="shared" si="184"/>
        <v>8.6107319077435296E-2</v>
      </c>
      <c r="BM39" s="380">
        <f t="shared" si="184"/>
        <v>7.674198345312E-2</v>
      </c>
      <c r="BN39" s="380">
        <f t="shared" si="184"/>
        <v>6.2319822276706516E-2</v>
      </c>
      <c r="BO39" s="380">
        <f t="shared" si="184"/>
        <v>5.9368909183893592E-2</v>
      </c>
      <c r="BP39" s="380">
        <f t="shared" si="184"/>
        <v>5.468316179074284E-2</v>
      </c>
      <c r="BQ39" s="380">
        <f t="shared" si="184"/>
        <v>5.9521524433989059E-2</v>
      </c>
      <c r="BR39" s="380">
        <f t="shared" ref="BR39:CK39" si="186">BR38/BN38-1</f>
        <v>6.2128284268921918E-2</v>
      </c>
      <c r="BS39" s="380">
        <f t="shared" si="186"/>
        <v>6.0847570941319873E-2</v>
      </c>
      <c r="BT39" s="380">
        <f t="shared" si="186"/>
        <v>6.0381445126991284E-2</v>
      </c>
      <c r="BU39" s="380">
        <f t="shared" si="186"/>
        <v>5.9411345060326859E-2</v>
      </c>
      <c r="BV39" s="380">
        <f t="shared" si="186"/>
        <v>5.7622019297552951E-2</v>
      </c>
      <c r="BW39" s="380">
        <f t="shared" si="186"/>
        <v>5.6757325716486173E-2</v>
      </c>
      <c r="BX39" s="380">
        <f t="shared" si="186"/>
        <v>5.6564236307119931E-2</v>
      </c>
      <c r="BY39" s="380">
        <f t="shared" si="186"/>
        <v>5.5713916335436542E-2</v>
      </c>
      <c r="BZ39" s="380">
        <f t="shared" si="186"/>
        <v>4.4415224907777606E-2</v>
      </c>
      <c r="CA39" s="380">
        <f t="shared" si="186"/>
        <v>4.4118326478306269E-2</v>
      </c>
      <c r="CB39" s="380">
        <f t="shared" si="186"/>
        <v>4.4403123648607545E-2</v>
      </c>
      <c r="CC39" s="380">
        <f t="shared" si="186"/>
        <v>4.4656445018474322E-2</v>
      </c>
      <c r="CD39" s="380">
        <f t="shared" si="186"/>
        <v>4.4144080281776299E-2</v>
      </c>
      <c r="CE39" s="380">
        <f t="shared" si="186"/>
        <v>4.3852222958530529E-2</v>
      </c>
      <c r="CF39" s="380">
        <f t="shared" si="186"/>
        <v>4.413476340305067E-2</v>
      </c>
      <c r="CG39" s="380">
        <f t="shared" si="186"/>
        <v>4.4386731785454048E-2</v>
      </c>
      <c r="CH39" s="380">
        <f t="shared" si="186"/>
        <v>4.3644241057951394E-2</v>
      </c>
      <c r="CI39" s="380">
        <f t="shared" si="186"/>
        <v>4.2896021154862574E-2</v>
      </c>
      <c r="CJ39" s="380">
        <f t="shared" si="186"/>
        <v>4.2682098428425963E-2</v>
      </c>
      <c r="CK39" s="380">
        <f t="shared" si="186"/>
        <v>4.2055211383406288E-2</v>
      </c>
      <c r="CL39" s="380">
        <f t="shared" ref="CL39" si="187">CL38/CH38-1</f>
        <v>4.1022311793395883E-2</v>
      </c>
      <c r="CM39" s="380">
        <f t="shared" ref="CM39" si="188">CM38/CI38-1</f>
        <v>4.0784856573439665E-2</v>
      </c>
      <c r="CN39" s="380">
        <f t="shared" ref="CN39" si="189">CN38/CJ38-1</f>
        <v>4.1036298846418351E-2</v>
      </c>
      <c r="CO39" s="380">
        <f t="shared" ref="CO39" si="190">CO38/CK38-1</f>
        <v>4.1269782015524781E-2</v>
      </c>
      <c r="CP39" s="380">
        <f t="shared" ref="CP39" si="191">CP38/CL38-1</f>
        <v>4.0858457693161432E-2</v>
      </c>
      <c r="CQ39" s="380">
        <f t="shared" ref="CQ39" si="192">CQ38/CM38-1</f>
        <v>4.0623370182246488E-2</v>
      </c>
      <c r="CR39" s="380">
        <f t="shared" ref="CR39" si="193">CR38/CN38-1</f>
        <v>4.0873888383890389E-2</v>
      </c>
      <c r="CS39" s="380">
        <f t="shared" ref="CS39" si="194">CS38/CO38-1</f>
        <v>4.11067829624292E-2</v>
      </c>
      <c r="CT39" s="380">
        <f t="shared" ref="CT39" si="195">CT38/CP38-1</f>
        <v>4.0648998355388377E-2</v>
      </c>
      <c r="CU39" s="380">
        <f t="shared" ref="CU39" si="196">CU38/CQ38-1</f>
        <v>4.0332794306579434E-2</v>
      </c>
      <c r="CV39" s="380">
        <f t="shared" ref="CV39" si="197">CV38/CR38-1</f>
        <v>4.045309066107361E-2</v>
      </c>
      <c r="CW39" s="380">
        <f t="shared" ref="CW39" si="198">CW38/CS38-1</f>
        <v>4.0411749462736735E-2</v>
      </c>
    </row>
    <row r="40" spans="1:101" s="9" customFormat="1" ht="11.25">
      <c r="A40" s="545"/>
      <c r="B40" s="434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434"/>
      <c r="W40" s="347"/>
      <c r="X40" s="347"/>
      <c r="Y40" s="434"/>
      <c r="Z40" s="347"/>
      <c r="AA40" s="347"/>
      <c r="AB40" s="347"/>
      <c r="AC40" s="347"/>
      <c r="AD40" s="347"/>
      <c r="AE40" s="2140"/>
      <c r="AF40" s="347"/>
      <c r="AG40" s="347"/>
      <c r="AH40" s="347"/>
      <c r="AI40" s="347"/>
      <c r="AJ40" s="347"/>
      <c r="AK40" s="347"/>
      <c r="AL40" s="911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4"/>
      <c r="BH40" s="434"/>
      <c r="BI40" s="434"/>
      <c r="BJ40" s="434"/>
      <c r="BK40" s="800"/>
      <c r="BL40" s="380"/>
      <c r="BM40" s="380"/>
      <c r="BN40" s="380"/>
      <c r="BO40" s="380"/>
      <c r="BP40" s="380"/>
      <c r="BQ40" s="380"/>
      <c r="BR40" s="380"/>
      <c r="BS40" s="380"/>
      <c r="BT40" s="380"/>
      <c r="BU40" s="380"/>
      <c r="BV40" s="380"/>
      <c r="BW40" s="380"/>
      <c r="BX40" s="380"/>
      <c r="BY40" s="380"/>
      <c r="BZ40" s="380"/>
      <c r="CA40" s="380"/>
      <c r="CB40" s="380"/>
      <c r="CC40" s="380"/>
      <c r="CD40" s="380"/>
      <c r="CE40" s="380"/>
      <c r="CF40" s="380"/>
      <c r="CG40" s="380"/>
      <c r="CH40" s="380"/>
      <c r="CI40" s="380"/>
      <c r="CJ40" s="380"/>
      <c r="CK40" s="380"/>
      <c r="CL40" s="380"/>
      <c r="CM40" s="380"/>
      <c r="CN40" s="380"/>
      <c r="CO40" s="380"/>
      <c r="CP40" s="380"/>
      <c r="CQ40" s="380"/>
      <c r="CR40" s="380"/>
      <c r="CS40" s="380"/>
      <c r="CT40" s="380"/>
      <c r="CU40" s="380"/>
      <c r="CV40" s="380"/>
      <c r="CW40" s="380"/>
    </row>
    <row r="41" spans="1:101" s="9" customFormat="1" ht="11.25">
      <c r="A41" s="674" t="s">
        <v>739</v>
      </c>
      <c r="B41" s="658">
        <f t="shared" ref="B41:AT41" si="199">+B38-B52-B55</f>
        <v>1493.7</v>
      </c>
      <c r="C41" s="658">
        <f t="shared" si="199"/>
        <v>1462.4000000000003</v>
      </c>
      <c r="D41" s="658">
        <f t="shared" si="199"/>
        <v>1459.6</v>
      </c>
      <c r="E41" s="658">
        <f t="shared" si="199"/>
        <v>1616.2999999999993</v>
      </c>
      <c r="F41" s="658">
        <f t="shared" si="199"/>
        <v>1474</v>
      </c>
      <c r="G41" s="658">
        <f t="shared" si="199"/>
        <v>1480.2000000000003</v>
      </c>
      <c r="H41" s="658">
        <f t="shared" si="199"/>
        <v>1499.1</v>
      </c>
      <c r="I41" s="658">
        <f t="shared" si="199"/>
        <v>1657.9000000000003</v>
      </c>
      <c r="J41" s="658">
        <f t="shared" si="199"/>
        <v>1628.3770000000002</v>
      </c>
      <c r="K41" s="658">
        <f t="shared" si="199"/>
        <v>1716.4770000000001</v>
      </c>
      <c r="L41" s="658">
        <f t="shared" si="199"/>
        <v>1744.077</v>
      </c>
      <c r="M41" s="658">
        <f t="shared" si="199"/>
        <v>1800.9879999999998</v>
      </c>
      <c r="N41" s="658">
        <f t="shared" si="199"/>
        <v>1925.9769999999999</v>
      </c>
      <c r="O41" s="659">
        <f t="shared" si="199"/>
        <v>2171.9769999999999</v>
      </c>
      <c r="P41" s="659">
        <f t="shared" si="199"/>
        <v>2164.9769999999994</v>
      </c>
      <c r="Q41" s="659">
        <f t="shared" si="199"/>
        <v>2274.4879999999998</v>
      </c>
      <c r="R41" s="659">
        <f t="shared" si="199"/>
        <v>2230.2550000000001</v>
      </c>
      <c r="S41" s="659">
        <f t="shared" si="199"/>
        <v>2498.277</v>
      </c>
      <c r="T41" s="659">
        <f t="shared" si="199"/>
        <v>2551.3370000000004</v>
      </c>
      <c r="U41" s="659">
        <f t="shared" si="199"/>
        <v>2771.973</v>
      </c>
      <c r="V41" s="659">
        <f t="shared" si="199"/>
        <v>2656.2750000000001</v>
      </c>
      <c r="W41" s="659">
        <f t="shared" si="199"/>
        <v>3709.3710000000001</v>
      </c>
      <c r="X41" s="659">
        <f t="shared" si="199"/>
        <v>4109.2629999999999</v>
      </c>
      <c r="Y41" s="659">
        <f t="shared" si="199"/>
        <v>4684.0820000000003</v>
      </c>
      <c r="Z41" s="659">
        <f t="shared" si="199"/>
        <v>3073.6579999999999</v>
      </c>
      <c r="AA41" s="659">
        <f t="shared" si="199"/>
        <v>3036.0909999999999</v>
      </c>
      <c r="AB41" s="659">
        <f t="shared" si="199"/>
        <v>3319.643</v>
      </c>
      <c r="AC41" s="659">
        <f t="shared" si="199"/>
        <v>3453.4630000000002</v>
      </c>
      <c r="AD41" s="659">
        <f t="shared" si="199"/>
        <v>3335.703</v>
      </c>
      <c r="AE41" s="2139">
        <f t="shared" si="199"/>
        <v>3451.799</v>
      </c>
      <c r="AF41" s="659">
        <f t="shared" si="199"/>
        <v>3467.78</v>
      </c>
      <c r="AG41" s="659">
        <f t="shared" si="199"/>
        <v>3684.98</v>
      </c>
      <c r="AH41" s="659">
        <f t="shared" si="199"/>
        <v>3698.4160000000002</v>
      </c>
      <c r="AI41" s="659">
        <f t="shared" si="199"/>
        <v>3966.5230000000001</v>
      </c>
      <c r="AJ41" s="659">
        <f t="shared" si="199"/>
        <v>3949.9679999999998</v>
      </c>
      <c r="AK41" s="659">
        <f t="shared" si="199"/>
        <v>4224.3050000000003</v>
      </c>
      <c r="AL41" s="659">
        <f t="shared" si="199"/>
        <v>5609.7039999999997</v>
      </c>
      <c r="AM41" s="966">
        <f t="shared" si="199"/>
        <v>5817.951</v>
      </c>
      <c r="AN41" s="966">
        <f t="shared" si="199"/>
        <v>5915.9169999999995</v>
      </c>
      <c r="AO41" s="966">
        <f t="shared" si="199"/>
        <v>6481.1909999999998</v>
      </c>
      <c r="AP41" s="966">
        <f t="shared" si="199"/>
        <v>5925.5119999999997</v>
      </c>
      <c r="AQ41" s="966">
        <f t="shared" si="199"/>
        <v>6382.1639999999998</v>
      </c>
      <c r="AR41" s="966">
        <f t="shared" si="199"/>
        <v>6952.3310000000001</v>
      </c>
      <c r="AS41" s="966">
        <f t="shared" si="199"/>
        <v>6826.8860000000004</v>
      </c>
      <c r="AT41" s="966">
        <f t="shared" si="199"/>
        <v>5965.8950000000004</v>
      </c>
      <c r="AU41" s="966">
        <f t="shared" ref="AU41:BC41" si="200">+AU38-AU52-AU55</f>
        <v>2624.96</v>
      </c>
      <c r="AV41" s="966">
        <f t="shared" si="200"/>
        <v>4376.9690000000001</v>
      </c>
      <c r="AW41" s="966">
        <f t="shared" si="200"/>
        <v>5317.75</v>
      </c>
      <c r="AX41" s="966">
        <f t="shared" si="200"/>
        <v>4842.268</v>
      </c>
      <c r="AY41" s="966">
        <f t="shared" si="200"/>
        <v>6332.5339999999997</v>
      </c>
      <c r="AZ41" s="966">
        <f t="shared" si="200"/>
        <v>6500.9880000000003</v>
      </c>
      <c r="BA41" s="966">
        <f t="shared" si="200"/>
        <v>7701.7089999999998</v>
      </c>
      <c r="BB41" s="966">
        <f t="shared" si="200"/>
        <v>7186.7820000000002</v>
      </c>
      <c r="BC41" s="966">
        <f t="shared" si="200"/>
        <v>8200.6360000000004</v>
      </c>
      <c r="BD41" s="966">
        <f t="shared" ref="BD41:BG41" si="201">+BD38-BD52-BD55</f>
        <v>8202.5009999999984</v>
      </c>
      <c r="BE41" s="966">
        <f t="shared" si="201"/>
        <v>9183.8079999999991</v>
      </c>
      <c r="BF41" s="966">
        <f t="shared" si="201"/>
        <v>8582.7289999999994</v>
      </c>
      <c r="BG41" s="966">
        <f t="shared" si="201"/>
        <v>9431.4170000000013</v>
      </c>
      <c r="BH41" s="966">
        <f t="shared" ref="BH41" si="202">+BH38-BH52-BH55</f>
        <v>9430.5240000000013</v>
      </c>
      <c r="BI41" s="966">
        <f t="shared" ref="BI41" si="203">+BI38-BI52-BI55</f>
        <v>10064.49</v>
      </c>
      <c r="BJ41" s="966">
        <f t="shared" ref="BJ41" si="204">+BJ38-BJ52-BJ55</f>
        <v>9628.9309999999987</v>
      </c>
      <c r="BK41" s="1363">
        <f t="shared" ref="BK41" si="205">+BK38-BK52-BK55</f>
        <v>10233.382</v>
      </c>
      <c r="BL41" s="660">
        <f t="shared" ref="BL41:BQ41" si="206">BL49+BL44</f>
        <v>10201.075093371655</v>
      </c>
      <c r="BM41" s="660">
        <f t="shared" si="206"/>
        <v>10799.71731906069</v>
      </c>
      <c r="BN41" s="660">
        <f t="shared" si="206"/>
        <v>10204.995625534206</v>
      </c>
      <c r="BO41" s="660">
        <f t="shared" si="206"/>
        <v>10814.09484667182</v>
      </c>
      <c r="BP41" s="660">
        <f t="shared" si="206"/>
        <v>10724.782986273021</v>
      </c>
      <c r="BQ41" s="660">
        <f t="shared" si="206"/>
        <v>11403.007768677142</v>
      </c>
      <c r="BR41" s="660">
        <f t="shared" ref="BR41:CK41" si="207">BR49+BR44</f>
        <v>10809.994715855246</v>
      </c>
      <c r="BS41" s="660">
        <f t="shared" si="207"/>
        <v>11444.599848384909</v>
      </c>
      <c r="BT41" s="660">
        <f t="shared" si="207"/>
        <v>11339.673300150982</v>
      </c>
      <c r="BU41" s="660">
        <f t="shared" si="207"/>
        <v>12042.783253744374</v>
      </c>
      <c r="BV41" s="660">
        <f t="shared" si="207"/>
        <v>11405.828115062022</v>
      </c>
      <c r="BW41" s="660">
        <f t="shared" si="207"/>
        <v>12069.751090396157</v>
      </c>
      <c r="BX41" s="660">
        <f t="shared" si="207"/>
        <v>11953.529653178288</v>
      </c>
      <c r="BY41" s="660">
        <f t="shared" si="207"/>
        <v>12680.793718332094</v>
      </c>
      <c r="BZ41" s="660">
        <f t="shared" si="207"/>
        <v>11888.473175785655</v>
      </c>
      <c r="CA41" s="660">
        <f t="shared" si="207"/>
        <v>12579.882565011805</v>
      </c>
      <c r="CB41" s="660">
        <f t="shared" si="207"/>
        <v>12458.151121667684</v>
      </c>
      <c r="CC41" s="660">
        <f t="shared" si="207"/>
        <v>13215.173699215857</v>
      </c>
      <c r="CD41" s="660">
        <f t="shared" si="207"/>
        <v>12388.588994346706</v>
      </c>
      <c r="CE41" s="660">
        <f t="shared" si="207"/>
        <v>13108.472094780067</v>
      </c>
      <c r="CF41" s="660">
        <f t="shared" si="207"/>
        <v>12981.023726083333</v>
      </c>
      <c r="CG41" s="660">
        <f t="shared" si="207"/>
        <v>13768.869167549065</v>
      </c>
      <c r="CH41" s="660">
        <f t="shared" si="207"/>
        <v>12904.305772169737</v>
      </c>
      <c r="CI41" s="660">
        <f t="shared" si="207"/>
        <v>13648.35027052326</v>
      </c>
      <c r="CJ41" s="660">
        <f t="shared" si="207"/>
        <v>13509.94186368295</v>
      </c>
      <c r="CK41" s="660">
        <f t="shared" si="207"/>
        <v>14318.170629305347</v>
      </c>
      <c r="CL41" s="660">
        <f t="shared" ref="CL41:CW41" si="208">CL49+CL44</f>
        <v>13410.803233559333</v>
      </c>
      <c r="CM41" s="660">
        <f t="shared" si="208"/>
        <v>14183.610534751329</v>
      </c>
      <c r="CN41" s="660">
        <f t="shared" si="208"/>
        <v>14039.339844823113</v>
      </c>
      <c r="CO41" s="660">
        <f t="shared" si="208"/>
        <v>14878.592262531271</v>
      </c>
      <c r="CP41" s="660">
        <f t="shared" si="208"/>
        <v>13935.10839728431</v>
      </c>
      <c r="CQ41" s="660">
        <f t="shared" si="208"/>
        <v>14737.683102533143</v>
      </c>
      <c r="CR41" s="660">
        <f t="shared" si="208"/>
        <v>14587.337529586321</v>
      </c>
      <c r="CS41" s="660">
        <f t="shared" si="208"/>
        <v>15458.693767265999</v>
      </c>
      <c r="CT41" s="660">
        <f t="shared" si="208"/>
        <v>14477.816023640889</v>
      </c>
      <c r="CU41" s="660">
        <f t="shared" si="208"/>
        <v>15311.196141691393</v>
      </c>
      <c r="CV41" s="660">
        <f t="shared" si="208"/>
        <v>15154.555843714514</v>
      </c>
      <c r="CW41" s="660">
        <f t="shared" si="208"/>
        <v>16056.215652433671</v>
      </c>
    </row>
    <row r="42" spans="1:101" s="9" customFormat="1" ht="11.25">
      <c r="A42" s="665" t="s">
        <v>950</v>
      </c>
      <c r="B42" s="347"/>
      <c r="C42" s="347"/>
      <c r="D42" s="347"/>
      <c r="E42" s="347"/>
      <c r="F42" s="347">
        <f t="shared" ref="F42:AK42" si="209">F41/B41-1</f>
        <v>-1.3188725982459681E-2</v>
      </c>
      <c r="G42" s="347">
        <f t="shared" si="209"/>
        <v>1.2171772428883898E-2</v>
      </c>
      <c r="H42" s="347">
        <f t="shared" si="209"/>
        <v>2.7062208824335521E-2</v>
      </c>
      <c r="I42" s="347">
        <f t="shared" si="209"/>
        <v>2.5737796201200869E-2</v>
      </c>
      <c r="J42" s="347">
        <f t="shared" si="209"/>
        <v>0.10473337856173681</v>
      </c>
      <c r="K42" s="347">
        <f t="shared" si="209"/>
        <v>0.15962505066882837</v>
      </c>
      <c r="L42" s="347">
        <f t="shared" si="209"/>
        <v>0.16341604962977785</v>
      </c>
      <c r="M42" s="347">
        <f t="shared" si="209"/>
        <v>8.6306773629289735E-2</v>
      </c>
      <c r="N42" s="347">
        <f t="shared" si="209"/>
        <v>0.18275866092434345</v>
      </c>
      <c r="O42" s="347">
        <f t="shared" si="209"/>
        <v>0.2653691252489836</v>
      </c>
      <c r="P42" s="347">
        <f t="shared" si="209"/>
        <v>0.24133108801962266</v>
      </c>
      <c r="Q42" s="347">
        <f t="shared" si="209"/>
        <v>0.26291124649359121</v>
      </c>
      <c r="R42" s="347">
        <f t="shared" si="209"/>
        <v>0.15798631032457822</v>
      </c>
      <c r="S42" s="347">
        <f t="shared" si="209"/>
        <v>0.15023179343059345</v>
      </c>
      <c r="T42" s="347">
        <f t="shared" si="209"/>
        <v>0.17845917069788775</v>
      </c>
      <c r="U42" s="347">
        <f t="shared" si="209"/>
        <v>0.21872395018131563</v>
      </c>
      <c r="V42" s="347">
        <f t="shared" si="209"/>
        <v>0.19101851581993978</v>
      </c>
      <c r="W42" s="347">
        <f t="shared" si="209"/>
        <v>0.48477170465885089</v>
      </c>
      <c r="X42" s="347">
        <f t="shared" si="209"/>
        <v>0.6106312102242859</v>
      </c>
      <c r="Y42" s="347">
        <f t="shared" si="209"/>
        <v>0.68980073038229461</v>
      </c>
      <c r="Z42" s="347">
        <f t="shared" si="209"/>
        <v>0.15713094464993271</v>
      </c>
      <c r="AA42" s="347">
        <f t="shared" si="209"/>
        <v>-0.1815078621146281</v>
      </c>
      <c r="AB42" s="347">
        <f t="shared" si="209"/>
        <v>-0.19215611169204794</v>
      </c>
      <c r="AC42" s="347">
        <f t="shared" si="209"/>
        <v>-0.26272362439427832</v>
      </c>
      <c r="AD42" s="347">
        <f t="shared" si="209"/>
        <v>8.5255093442406338E-2</v>
      </c>
      <c r="AE42" s="2140">
        <f t="shared" si="209"/>
        <v>0.1369221146533488</v>
      </c>
      <c r="AF42" s="347">
        <f t="shared" si="209"/>
        <v>4.4624376777864461E-2</v>
      </c>
      <c r="AG42" s="347">
        <f t="shared" si="209"/>
        <v>6.7039085115433439E-2</v>
      </c>
      <c r="AH42" s="347">
        <f t="shared" si="209"/>
        <v>0.10873659915166312</v>
      </c>
      <c r="AI42" s="347">
        <f t="shared" si="209"/>
        <v>0.14911760505174265</v>
      </c>
      <c r="AJ42" s="347">
        <f t="shared" si="209"/>
        <v>0.13904803649597142</v>
      </c>
      <c r="AK42" s="347">
        <f t="shared" si="209"/>
        <v>0.14635764644584248</v>
      </c>
      <c r="AL42" s="347">
        <f t="shared" ref="AL42:BQ42" si="210">AL41/AH41-1</f>
        <v>0.51678556441460333</v>
      </c>
      <c r="AM42" s="347">
        <f t="shared" si="210"/>
        <v>0.46676346008834435</v>
      </c>
      <c r="AN42" s="347">
        <f t="shared" si="210"/>
        <v>0.49771263969733415</v>
      </c>
      <c r="AO42" s="347">
        <f t="shared" si="210"/>
        <v>0.53426208571587508</v>
      </c>
      <c r="AP42" s="347">
        <f t="shared" si="210"/>
        <v>5.6296731520950161E-2</v>
      </c>
      <c r="AQ42" s="347">
        <f t="shared" si="210"/>
        <v>9.6977956672374743E-2</v>
      </c>
      <c r="AR42" s="347">
        <f t="shared" si="210"/>
        <v>0.17519076078991658</v>
      </c>
      <c r="AS42" s="347">
        <f t="shared" si="210"/>
        <v>5.333819046530186E-2</v>
      </c>
      <c r="AT42" s="347">
        <f t="shared" si="210"/>
        <v>6.8151072852440375E-3</v>
      </c>
      <c r="AU42" s="347">
        <f t="shared" si="210"/>
        <v>-0.58870376881571829</v>
      </c>
      <c r="AV42" s="347">
        <f t="shared" si="210"/>
        <v>-0.37043144234645908</v>
      </c>
      <c r="AW42" s="347">
        <f t="shared" si="210"/>
        <v>-0.22105774140655055</v>
      </c>
      <c r="AX42" s="347">
        <f t="shared" si="210"/>
        <v>-0.18834173246428243</v>
      </c>
      <c r="AY42" s="347">
        <f t="shared" si="210"/>
        <v>1.4124306656101426</v>
      </c>
      <c r="AZ42" s="347">
        <f t="shared" si="210"/>
        <v>0.48527165716732301</v>
      </c>
      <c r="BA42" s="347">
        <f t="shared" ref="BA42:BK42" si="211">BA41/AW41-1</f>
        <v>0.44830219547741046</v>
      </c>
      <c r="BB42" s="347">
        <f t="shared" si="211"/>
        <v>0.48417683614372442</v>
      </c>
      <c r="BC42" s="347">
        <f t="shared" si="211"/>
        <v>0.29500070587856309</v>
      </c>
      <c r="BD42" s="347">
        <f t="shared" si="211"/>
        <v>0.26173144758919697</v>
      </c>
      <c r="BE42" s="347">
        <f t="shared" si="211"/>
        <v>0.1924376784425379</v>
      </c>
      <c r="BF42" s="347">
        <f t="shared" si="211"/>
        <v>0.19423811658681167</v>
      </c>
      <c r="BG42" s="347">
        <f t="shared" si="211"/>
        <v>0.1500836032717463</v>
      </c>
      <c r="BH42" s="347">
        <f t="shared" si="211"/>
        <v>0.14971323990085494</v>
      </c>
      <c r="BI42" s="347">
        <f t="shared" si="211"/>
        <v>9.5895079688077089E-2</v>
      </c>
      <c r="BJ42" s="347">
        <f t="shared" si="211"/>
        <v>0.12189619408931573</v>
      </c>
      <c r="BK42" s="1364">
        <f t="shared" si="211"/>
        <v>8.5031231256130324E-2</v>
      </c>
      <c r="BL42" s="380">
        <f t="shared" si="210"/>
        <v>8.1708194939290157E-2</v>
      </c>
      <c r="BM42" s="380">
        <f t="shared" si="210"/>
        <v>7.3051621995817939E-2</v>
      </c>
      <c r="BN42" s="380">
        <f t="shared" si="210"/>
        <v>5.9826436136493966E-2</v>
      </c>
      <c r="BO42" s="380">
        <f t="shared" si="210"/>
        <v>5.6746913842542046E-2</v>
      </c>
      <c r="BP42" s="380">
        <f t="shared" si="210"/>
        <v>5.1338499923567316E-2</v>
      </c>
      <c r="BQ42" s="380">
        <f t="shared" si="210"/>
        <v>5.5861688949180976E-2</v>
      </c>
      <c r="BR42" s="380">
        <f t="shared" ref="BR42:CK42" si="212">BR41/BN41-1</f>
        <v>5.9284600652572017E-2</v>
      </c>
      <c r="BS42" s="380">
        <f t="shared" si="212"/>
        <v>5.8304001458534982E-2</v>
      </c>
      <c r="BT42" s="380">
        <f t="shared" si="212"/>
        <v>5.733359030807228E-2</v>
      </c>
      <c r="BU42" s="380">
        <f t="shared" si="212"/>
        <v>5.6105853652457238E-2</v>
      </c>
      <c r="BV42" s="380">
        <f t="shared" si="212"/>
        <v>5.5118750274026906E-2</v>
      </c>
      <c r="BW42" s="380">
        <f t="shared" si="212"/>
        <v>5.4624124066641855E-2</v>
      </c>
      <c r="BX42" s="380">
        <f t="shared" si="212"/>
        <v>5.4133513089758223E-2</v>
      </c>
      <c r="BY42" s="380">
        <f t="shared" si="212"/>
        <v>5.2978655444068323E-2</v>
      </c>
      <c r="BZ42" s="380">
        <f t="shared" si="212"/>
        <v>4.2315652651846891E-2</v>
      </c>
      <c r="CA42" s="380">
        <f t="shared" si="212"/>
        <v>4.2265285406055897E-2</v>
      </c>
      <c r="CB42" s="380">
        <f t="shared" si="212"/>
        <v>4.2215268889655988E-2</v>
      </c>
      <c r="CC42" s="380">
        <f t="shared" si="212"/>
        <v>4.2140893760556297E-2</v>
      </c>
      <c r="CD42" s="380">
        <f t="shared" si="212"/>
        <v>4.2067287461242886E-2</v>
      </c>
      <c r="CE42" s="380">
        <f t="shared" si="212"/>
        <v>4.20186378558427E-2</v>
      </c>
      <c r="CF42" s="380">
        <f t="shared" si="212"/>
        <v>4.1970321222564833E-2</v>
      </c>
      <c r="CG42" s="380">
        <f t="shared" si="212"/>
        <v>4.189846315573309E-2</v>
      </c>
      <c r="CH42" s="380">
        <f t="shared" si="212"/>
        <v>4.1628370919268409E-2</v>
      </c>
      <c r="CI42" s="380">
        <f t="shared" si="212"/>
        <v>4.1185438839830724E-2</v>
      </c>
      <c r="CJ42" s="380">
        <f t="shared" si="212"/>
        <v>4.0745487317524809E-2</v>
      </c>
      <c r="CK42" s="380">
        <f t="shared" si="212"/>
        <v>3.9894449941531462E-2</v>
      </c>
      <c r="CL42" s="380">
        <f t="shared" ref="CL42" si="213">CL41/CH41-1</f>
        <v>3.9250268114534359E-2</v>
      </c>
      <c r="CM42" s="380">
        <f t="shared" ref="CM42" si="214">CM41/CI41-1</f>
        <v>3.9217946024149519E-2</v>
      </c>
      <c r="CN42" s="380">
        <f t="shared" ref="CN42" si="215">CN41/CJ41-1</f>
        <v>3.9185807495091929E-2</v>
      </c>
      <c r="CO42" s="380">
        <f t="shared" ref="CO42" si="216">CO41/CK41-1</f>
        <v>3.9140589097247824E-2</v>
      </c>
      <c r="CP42" s="380">
        <f t="shared" ref="CP42" si="217">CP41/CL41-1</f>
        <v>3.9095731597414751E-2</v>
      </c>
      <c r="CQ42" s="380">
        <f t="shared" ref="CQ42" si="218">CQ41/CM41-1</f>
        <v>3.9064282428248998E-2</v>
      </c>
      <c r="CR42" s="380">
        <f t="shared" ref="CR42" si="219">CR41/CN41-1</f>
        <v>3.9033009444904732E-2</v>
      </c>
      <c r="CS42" s="380">
        <f t="shared" ref="CS42" si="220">CS41/CO41-1</f>
        <v>3.8989004772689295E-2</v>
      </c>
      <c r="CT42" s="380">
        <f t="shared" ref="CT42" si="221">CT41/CP41-1</f>
        <v>3.8945346593955765E-2</v>
      </c>
      <c r="CU42" s="380">
        <f t="shared" ref="CU42" si="222">CU41/CQ41-1</f>
        <v>3.8914735455240823E-2</v>
      </c>
      <c r="CV42" s="380">
        <f t="shared" ref="CV42" si="223">CV41/CR41-1</f>
        <v>3.8884293516740165E-2</v>
      </c>
      <c r="CW42" s="380">
        <f t="shared" ref="CW42" si="224">CW41/CS41-1</f>
        <v>3.8652805609807217E-2</v>
      </c>
    </row>
    <row r="43" spans="1:101" s="9" customFormat="1" ht="11.25">
      <c r="A43" s="665"/>
      <c r="B43" s="347"/>
      <c r="C43" s="347"/>
      <c r="D43" s="347"/>
      <c r="E43" s="347"/>
      <c r="F43" s="347"/>
      <c r="G43" s="347"/>
      <c r="H43" s="347"/>
      <c r="I43" s="347"/>
      <c r="J43" s="347"/>
      <c r="K43" s="347"/>
      <c r="L43" s="347"/>
      <c r="M43" s="347"/>
      <c r="N43" s="347"/>
      <c r="O43" s="347"/>
      <c r="P43" s="347"/>
      <c r="Q43" s="347"/>
      <c r="R43" s="347"/>
      <c r="S43" s="347"/>
      <c r="T43" s="347"/>
      <c r="U43" s="347"/>
      <c r="V43" s="347"/>
      <c r="W43" s="347"/>
      <c r="X43" s="347"/>
      <c r="Y43" s="347"/>
      <c r="Z43" s="347"/>
      <c r="AA43" s="347"/>
      <c r="AB43" s="347"/>
      <c r="AC43" s="347"/>
      <c r="AD43" s="347"/>
      <c r="AE43" s="2140"/>
      <c r="AF43" s="347"/>
      <c r="AG43" s="347"/>
      <c r="AH43" s="347"/>
      <c r="AI43" s="347"/>
      <c r="AJ43" s="347"/>
      <c r="AK43" s="347"/>
      <c r="AL43" s="347"/>
      <c r="AM43" s="347"/>
      <c r="AN43" s="347"/>
      <c r="AO43" s="347"/>
      <c r="AP43" s="380"/>
      <c r="AQ43" s="380"/>
      <c r="AR43" s="380"/>
      <c r="AS43" s="380"/>
      <c r="AT43" s="380"/>
      <c r="AU43" s="380"/>
      <c r="AV43" s="380"/>
      <c r="AW43" s="380"/>
      <c r="AX43" s="380"/>
      <c r="AY43" s="380"/>
      <c r="AZ43" s="380"/>
      <c r="BA43" s="380"/>
      <c r="BB43" s="380"/>
      <c r="BC43" s="380"/>
      <c r="BD43" s="380"/>
      <c r="BE43" s="380"/>
      <c r="BF43" s="380"/>
      <c r="BG43" s="380"/>
      <c r="BH43" s="380"/>
      <c r="BI43" s="380"/>
      <c r="BJ43" s="380"/>
      <c r="BK43" s="1365"/>
      <c r="BL43" s="380"/>
      <c r="BM43" s="380"/>
      <c r="BN43" s="380"/>
      <c r="BO43" s="380"/>
      <c r="BP43" s="380"/>
      <c r="BQ43" s="380"/>
      <c r="BR43" s="380"/>
      <c r="BS43" s="380"/>
      <c r="BT43" s="380"/>
      <c r="BU43" s="380"/>
      <c r="BV43" s="380"/>
      <c r="BW43" s="380"/>
      <c r="BX43" s="380"/>
      <c r="BY43" s="380"/>
      <c r="BZ43" s="380"/>
      <c r="CA43" s="380"/>
      <c r="CB43" s="380"/>
      <c r="CC43" s="380"/>
      <c r="CD43" s="380"/>
      <c r="CE43" s="380"/>
      <c r="CF43" s="380"/>
      <c r="CG43" s="380"/>
      <c r="CH43" s="380"/>
      <c r="CI43" s="380"/>
      <c r="CJ43" s="380"/>
      <c r="CK43" s="380"/>
      <c r="CL43" s="380"/>
      <c r="CM43" s="380"/>
      <c r="CN43" s="380"/>
      <c r="CO43" s="380"/>
      <c r="CP43" s="380"/>
      <c r="CQ43" s="380"/>
      <c r="CR43" s="380"/>
      <c r="CS43" s="380"/>
      <c r="CT43" s="380"/>
      <c r="CU43" s="380"/>
      <c r="CV43" s="380"/>
      <c r="CW43" s="380"/>
    </row>
    <row r="44" spans="1:101" s="9" customFormat="1" ht="11.25">
      <c r="A44" s="879" t="s">
        <v>759</v>
      </c>
      <c r="B44" s="367"/>
      <c r="C44" s="367"/>
      <c r="D44" s="367"/>
      <c r="E44" s="367"/>
      <c r="F44" s="367"/>
      <c r="G44" s="670" t="str">
        <f t="shared" ref="G44:AZ44" si="225">IF(ISERROR(C16*(C25)*(1+G45)),"NM",C16*(C25)*(1+G45))</f>
        <v>NM</v>
      </c>
      <c r="H44" s="670" t="str">
        <f t="shared" si="225"/>
        <v>NM</v>
      </c>
      <c r="I44" s="670" t="str">
        <f t="shared" si="225"/>
        <v>NM</v>
      </c>
      <c r="J44" s="670" t="str">
        <f t="shared" si="225"/>
        <v>NM</v>
      </c>
      <c r="K44" s="670" t="str">
        <f t="shared" si="225"/>
        <v>NM</v>
      </c>
      <c r="L44" s="670" t="str">
        <f t="shared" si="225"/>
        <v>NM</v>
      </c>
      <c r="M44" s="670" t="str">
        <f t="shared" si="225"/>
        <v>NM</v>
      </c>
      <c r="N44" s="670" t="str">
        <f t="shared" si="225"/>
        <v>NM</v>
      </c>
      <c r="O44" s="671" t="str">
        <f t="shared" si="225"/>
        <v>NM</v>
      </c>
      <c r="P44" s="671" t="str">
        <f t="shared" si="225"/>
        <v>NM</v>
      </c>
      <c r="Q44" s="671" t="str">
        <f t="shared" si="225"/>
        <v>NM</v>
      </c>
      <c r="R44" s="671" t="str">
        <f t="shared" si="225"/>
        <v>NM</v>
      </c>
      <c r="S44" s="671" t="str">
        <f t="shared" si="225"/>
        <v>NM</v>
      </c>
      <c r="T44" s="671" t="str">
        <f t="shared" si="225"/>
        <v>NM</v>
      </c>
      <c r="U44" s="671">
        <f t="shared" si="225"/>
        <v>2381.3889359999998</v>
      </c>
      <c r="V44" s="671">
        <f t="shared" si="225"/>
        <v>2288.24163</v>
      </c>
      <c r="W44" s="671">
        <f t="shared" si="225"/>
        <v>2543.2459859999999</v>
      </c>
      <c r="X44" s="671">
        <f t="shared" si="225"/>
        <v>2487.5535750000004</v>
      </c>
      <c r="Y44" s="671">
        <f t="shared" si="225"/>
        <v>2694.3577559999999</v>
      </c>
      <c r="Z44" s="671">
        <f t="shared" si="225"/>
        <v>2725.33815</v>
      </c>
      <c r="AA44" s="671">
        <f t="shared" si="225"/>
        <v>3783.5584200000003</v>
      </c>
      <c r="AB44" s="671">
        <f t="shared" si="225"/>
        <v>4347.6002539999999</v>
      </c>
      <c r="AC44" s="671">
        <f t="shared" si="225"/>
        <v>4969.8110020000004</v>
      </c>
      <c r="AD44" s="671">
        <f t="shared" si="225"/>
        <v>3264.224796</v>
      </c>
      <c r="AE44" s="2141">
        <f t="shared" si="225"/>
        <v>3224.3286419999999</v>
      </c>
      <c r="AF44" s="671">
        <f t="shared" si="225"/>
        <v>3532.1001520000004</v>
      </c>
      <c r="AG44" s="671">
        <f t="shared" si="225"/>
        <v>3622.6826870000004</v>
      </c>
      <c r="AH44" s="671">
        <f t="shared" si="225"/>
        <v>3399.0813569999996</v>
      </c>
      <c r="AI44" s="671">
        <f t="shared" si="225"/>
        <v>3624.38895</v>
      </c>
      <c r="AJ44" s="671">
        <f t="shared" si="225"/>
        <v>3526.7322599999993</v>
      </c>
      <c r="AK44" s="671">
        <f t="shared" si="225"/>
        <v>3828.6942200000003</v>
      </c>
      <c r="AL44" s="671">
        <f t="shared" si="225"/>
        <v>3961.0035360000002</v>
      </c>
      <c r="AM44" s="967">
        <f t="shared" si="225"/>
        <v>4077.5856440000007</v>
      </c>
      <c r="AN44" s="967">
        <f t="shared" si="225"/>
        <v>4060.5671039999997</v>
      </c>
      <c r="AO44" s="967">
        <f t="shared" si="225"/>
        <v>4372.155675</v>
      </c>
      <c r="AP44" s="967">
        <f t="shared" si="225"/>
        <v>5727.5077839999994</v>
      </c>
      <c r="AQ44" s="967">
        <f t="shared" si="225"/>
        <v>6184.4819129999996</v>
      </c>
      <c r="AR44" s="967">
        <f t="shared" si="225"/>
        <v>6128.8900119999998</v>
      </c>
      <c r="AS44" s="967">
        <f t="shared" si="225"/>
        <v>6630.2583929999992</v>
      </c>
      <c r="AT44" s="967">
        <f t="shared" si="225"/>
        <v>5771.4486879999995</v>
      </c>
      <c r="AU44" s="967">
        <f t="shared" si="225"/>
        <v>3554.8653479999994</v>
      </c>
      <c r="AV44" s="967">
        <f t="shared" si="225"/>
        <v>4894.4410239999997</v>
      </c>
      <c r="AW44" s="967">
        <f t="shared" si="225"/>
        <v>5338.6248520000008</v>
      </c>
      <c r="AX44" s="967">
        <f t="shared" si="225"/>
        <v>5464.7598200000002</v>
      </c>
      <c r="AY44" s="967">
        <f t="shared" si="225"/>
        <v>4882.4255999999996</v>
      </c>
      <c r="AZ44" s="967">
        <f t="shared" si="225"/>
        <v>6280.9505150000005</v>
      </c>
      <c r="BA44" s="967">
        <f t="shared" ref="BA44:BK44" si="226">IF(ISERROR(AW16*(AW25)*(1+BA45)),"NM",AW16*(AW25)*(1+BA45))</f>
        <v>7684.1487500000003</v>
      </c>
      <c r="BB44" s="967">
        <f t="shared" si="226"/>
        <v>6992.2349919999997</v>
      </c>
      <c r="BC44" s="967">
        <f t="shared" si="226"/>
        <v>8111.9760540000007</v>
      </c>
      <c r="BD44" s="967">
        <f t="shared" si="226"/>
        <v>8028.7201799999993</v>
      </c>
      <c r="BE44" s="967">
        <f t="shared" si="226"/>
        <v>8933.982439999998</v>
      </c>
      <c r="BF44" s="967">
        <f t="shared" si="226"/>
        <v>8509.1498880000017</v>
      </c>
      <c r="BG44" s="967">
        <f t="shared" si="226"/>
        <v>9356.9256760000007</v>
      </c>
      <c r="BH44" s="967">
        <f t="shared" si="226"/>
        <v>9531.3061619999971</v>
      </c>
      <c r="BI44" s="967">
        <f t="shared" si="226"/>
        <v>10423.622079999999</v>
      </c>
      <c r="BJ44" s="967">
        <f t="shared" si="226"/>
        <v>9449.584628999999</v>
      </c>
      <c r="BK44" s="1366">
        <f t="shared" si="226"/>
        <v>10119.910441000002</v>
      </c>
      <c r="BL44" s="422">
        <f t="shared" ref="BL44:BQ44" si="227">BH16*(BH25)*(1+BL45)</f>
        <v>9872.9719272607617</v>
      </c>
      <c r="BM44" s="422">
        <f t="shared" si="227"/>
        <v>10506.486409193847</v>
      </c>
      <c r="BN44" s="422">
        <f t="shared" si="227"/>
        <v>10004.739341697168</v>
      </c>
      <c r="BO44" s="422">
        <f t="shared" si="227"/>
        <v>10644.017339253653</v>
      </c>
      <c r="BP44" s="422">
        <f t="shared" si="227"/>
        <v>10581.681534981148</v>
      </c>
      <c r="BQ44" s="422">
        <f t="shared" si="227"/>
        <v>11204.70485421746</v>
      </c>
      <c r="BR44" s="422">
        <f t="shared" ref="BR44:CK44" si="228">BN16*(BN25)*(1+BR45)</f>
        <v>10587.681199847941</v>
      </c>
      <c r="BS44" s="422">
        <f t="shared" si="228"/>
        <v>11219.621536632078</v>
      </c>
      <c r="BT44" s="422">
        <f t="shared" si="228"/>
        <v>11126.96049688584</v>
      </c>
      <c r="BU44" s="422">
        <f t="shared" si="228"/>
        <v>11830.618591551136</v>
      </c>
      <c r="BV44" s="422">
        <f t="shared" si="228"/>
        <v>11215.367651617671</v>
      </c>
      <c r="BW44" s="422">
        <f t="shared" si="228"/>
        <v>11873.770367068086</v>
      </c>
      <c r="BX44" s="422">
        <f t="shared" si="228"/>
        <v>11764.909091388397</v>
      </c>
      <c r="BY44" s="422">
        <f t="shared" si="228"/>
        <v>12494.385546866743</v>
      </c>
      <c r="BZ44" s="422">
        <f t="shared" si="228"/>
        <v>11724.04875053399</v>
      </c>
      <c r="CA44" s="422">
        <f t="shared" si="228"/>
        <v>12406.495062269825</v>
      </c>
      <c r="CB44" s="422">
        <f t="shared" si="228"/>
        <v>12287.031067016374</v>
      </c>
      <c r="CC44" s="422">
        <f t="shared" si="228"/>
        <v>13034.585674043556</v>
      </c>
      <c r="CD44" s="422">
        <f t="shared" si="228"/>
        <v>12220.159525134904</v>
      </c>
      <c r="CE44" s="422">
        <f t="shared" si="228"/>
        <v>12930.859116965481</v>
      </c>
      <c r="CF44" s="422">
        <f t="shared" si="228"/>
        <v>12805.731387366028</v>
      </c>
      <c r="CG44" s="422">
        <f t="shared" si="228"/>
        <v>13583.874764146294</v>
      </c>
      <c r="CH44" s="422">
        <f t="shared" si="228"/>
        <v>12734.228488700999</v>
      </c>
      <c r="CI44" s="422">
        <f t="shared" si="228"/>
        <v>13474.196203366177</v>
      </c>
      <c r="CJ44" s="422">
        <f t="shared" si="228"/>
        <v>13343.19204718366</v>
      </c>
      <c r="CK44" s="422">
        <f t="shared" si="228"/>
        <v>14153.018240463969</v>
      </c>
      <c r="CL44" s="422">
        <f t="shared" ref="CL44" si="229">CH16*(CH25)*(1+CL45)</f>
        <v>13264.333675599359</v>
      </c>
      <c r="CM44" s="422">
        <f t="shared" ref="CM44" si="230">CI16*(CI25)*(1+CM45)</f>
        <v>14029.136887015797</v>
      </c>
      <c r="CN44" s="422">
        <f t="shared" ref="CN44" si="231">CJ16*(CJ25)*(1+CN45)</f>
        <v>13886.866909517479</v>
      </c>
      <c r="CO44" s="422">
        <f t="shared" ref="CO44" si="232">CK16*(CK25)*(1+CO45)</f>
        <v>14717.64511817974</v>
      </c>
      <c r="CP44" s="422">
        <f t="shared" ref="CP44" si="233">CL16*(CL25)*(1+CP45)</f>
        <v>13784.962328727281</v>
      </c>
      <c r="CQ44" s="422">
        <f t="shared" ref="CQ44" si="234">CM16*(CM25)*(1+CQ45)</f>
        <v>14579.330820216188</v>
      </c>
      <c r="CR44" s="422">
        <f t="shared" ref="CR44" si="235">CN16*(CN25)*(1+CR45)</f>
        <v>14431.035002943792</v>
      </c>
      <c r="CS44" s="422">
        <f t="shared" ref="CS44" si="236">CO16*(CO25)*(1+CS45)</f>
        <v>15293.70241822953</v>
      </c>
      <c r="CT44" s="422">
        <f t="shared" ref="CT44" si="237">CP16*(CP25)*(1+CT45)</f>
        <v>14323.895516011677</v>
      </c>
      <c r="CU44" s="422">
        <f t="shared" ref="CU44" si="238">CQ16*(CQ25)*(1+CU45)</f>
        <v>15148.861916991988</v>
      </c>
      <c r="CV44" s="422">
        <f t="shared" ref="CV44" si="239">CR16*(CR25)*(1+CV45)</f>
        <v>14994.321728513449</v>
      </c>
      <c r="CW44" s="422">
        <f t="shared" ref="CW44" si="240">CS16*(CS25)*(1+CW45)</f>
        <v>15889.988654805969</v>
      </c>
    </row>
    <row r="45" spans="1:101" s="9" customFormat="1" ht="11.25">
      <c r="A45" s="880" t="s">
        <v>756</v>
      </c>
      <c r="B45" s="663" t="str">
        <f>IS!C82</f>
        <v>ND</v>
      </c>
      <c r="C45" s="663" t="str">
        <f>IS!D82</f>
        <v>ND</v>
      </c>
      <c r="D45" s="663" t="str">
        <f>IS!E82</f>
        <v>ND</v>
      </c>
      <c r="E45" s="663" t="str">
        <f>IS!F82</f>
        <v>ND</v>
      </c>
      <c r="F45" s="664" t="str">
        <f>IS!G82</f>
        <v>ND</v>
      </c>
      <c r="G45" s="664" t="str">
        <f>IS!H82</f>
        <v>ND</v>
      </c>
      <c r="H45" s="664" t="str">
        <f>IS!I82</f>
        <v>ND</v>
      </c>
      <c r="I45" s="664" t="str">
        <f>IS!J82</f>
        <v>ND</v>
      </c>
      <c r="J45" s="664" t="str">
        <f>IS!K82</f>
        <v>ND</v>
      </c>
      <c r="K45" s="664" t="str">
        <f>IS!L82</f>
        <v>ND</v>
      </c>
      <c r="L45" s="664" t="str">
        <f>IS!M82</f>
        <v>ND</v>
      </c>
      <c r="M45" s="664" t="str">
        <f>IS!N82</f>
        <v>ND</v>
      </c>
      <c r="N45" s="664" t="str">
        <f>IS!O82</f>
        <v>ND</v>
      </c>
      <c r="O45" s="664" t="str">
        <f>IS!P82</f>
        <v>ND</v>
      </c>
      <c r="P45" s="664" t="str">
        <f>IS!Q82</f>
        <v>ND</v>
      </c>
      <c r="Q45" s="664" t="str">
        <f>IS!R82</f>
        <v>ND</v>
      </c>
      <c r="R45" s="664" t="str">
        <f>IS!S82</f>
        <v>ND</v>
      </c>
      <c r="S45" s="664" t="str">
        <f>IS!T82</f>
        <v>ND</v>
      </c>
      <c r="T45" s="664" t="str">
        <f>IS!U82</f>
        <v>ND</v>
      </c>
      <c r="U45" s="664">
        <f>IS!V82</f>
        <v>4.7E-2</v>
      </c>
      <c r="V45" s="664">
        <f>IS!W82</f>
        <v>2.5999999999999999E-2</v>
      </c>
      <c r="W45" s="664">
        <f>IS!X82</f>
        <v>1.7999999999999999E-2</v>
      </c>
      <c r="X45" s="664">
        <f>IS!Y82</f>
        <v>-2.5000000000000001E-2</v>
      </c>
      <c r="Y45" s="664">
        <f>IS!Z82</f>
        <v>-2.8000000000000001E-2</v>
      </c>
      <c r="Z45" s="664">
        <f>IS!AA82</f>
        <v>2.5999999999999999E-2</v>
      </c>
      <c r="AA45" s="664">
        <f>IS!AB82</f>
        <v>0.02</v>
      </c>
      <c r="AB45" s="664">
        <f>IS!AC82</f>
        <v>5.8000000000000003E-2</v>
      </c>
      <c r="AC45" s="664">
        <f>IS!AD82</f>
        <v>6.0999999999999999E-2</v>
      </c>
      <c r="AD45" s="664">
        <f>IS!AE82</f>
        <v>6.2E-2</v>
      </c>
      <c r="AE45" s="2142">
        <f>IS!AF82</f>
        <v>6.2E-2</v>
      </c>
      <c r="AF45" s="664">
        <f>IS!AG82</f>
        <v>6.4000000000000001E-2</v>
      </c>
      <c r="AG45" s="664">
        <f>IS!AH82</f>
        <v>4.9000000000000002E-2</v>
      </c>
      <c r="AH45" s="664">
        <f>IS!AI82</f>
        <v>1.9E-2</v>
      </c>
      <c r="AI45" s="664">
        <f>IS!AJ82</f>
        <v>0.05</v>
      </c>
      <c r="AJ45" s="664">
        <f>IS!AK82</f>
        <v>1.7000000000000001E-2</v>
      </c>
      <c r="AK45" s="664">
        <f>IS!AL82</f>
        <v>3.9E-2</v>
      </c>
      <c r="AL45" s="664">
        <f>IS!AM82</f>
        <v>7.0999999999999994E-2</v>
      </c>
      <c r="AM45" s="968">
        <f>IS!AN82</f>
        <v>2.8000000000000001E-2</v>
      </c>
      <c r="AN45" s="968">
        <f>IS!AO82</f>
        <v>2.8000000000000001E-2</v>
      </c>
      <c r="AO45" s="968">
        <f>IS!AP82</f>
        <v>3.5000000000000003E-2</v>
      </c>
      <c r="AP45" s="968">
        <f>IS!AQ82</f>
        <v>2.1000000000000001E-2</v>
      </c>
      <c r="AQ45" s="968">
        <f>IS!AR82</f>
        <v>6.3E-2</v>
      </c>
      <c r="AR45" s="968">
        <f>IS!AS82</f>
        <v>3.5999999999999997E-2</v>
      </c>
      <c r="AS45" s="968">
        <f>IS!AT82</f>
        <v>2.3E-2</v>
      </c>
      <c r="AT45" s="968">
        <f>IS!AU82</f>
        <v>-2.5999999999999999E-2</v>
      </c>
      <c r="AU45" s="968">
        <f>IS!AV82</f>
        <v>-0.443</v>
      </c>
      <c r="AV45" s="968">
        <f>IS!AW82</f>
        <v>-0.29599999999999999</v>
      </c>
      <c r="AW45" s="968">
        <f>IS!AX82</f>
        <v>-0.218</v>
      </c>
      <c r="AX45" s="968">
        <f>IS!AY82</f>
        <v>-8.4000000000000005E-2</v>
      </c>
      <c r="AY45" s="968">
        <f>IS!AZ82</f>
        <v>0.86</v>
      </c>
      <c r="AZ45" s="968">
        <f>IS!BA82</f>
        <v>0.435</v>
      </c>
      <c r="BA45" s="968">
        <f>IS!BB82</f>
        <v>0.44500000000000001</v>
      </c>
      <c r="BB45" s="968">
        <f>IS!BC82</f>
        <v>0.44400000000000001</v>
      </c>
      <c r="BC45" s="968">
        <f>IS!BD82</f>
        <v>0.28100000000000003</v>
      </c>
      <c r="BD45" s="968">
        <f>IS!BE82</f>
        <v>0.23499999999999999</v>
      </c>
      <c r="BE45" s="968">
        <f>IS!BF82</f>
        <v>0.16</v>
      </c>
      <c r="BF45" s="968">
        <f>IS!BG82</f>
        <v>0.184</v>
      </c>
      <c r="BG45" s="968">
        <f>IS!BH82</f>
        <v>0.14099999999999999</v>
      </c>
      <c r="BH45" s="968">
        <f>IS!BI82</f>
        <v>0.16200000000000001</v>
      </c>
      <c r="BI45" s="968">
        <f>IS!BJ82</f>
        <v>0.13500000000000001</v>
      </c>
      <c r="BJ45" s="968">
        <f>IS!BK82</f>
        <v>0.10100000000000001</v>
      </c>
      <c r="BK45" s="1367">
        <f>IS!BL82</f>
        <v>7.2999999999999995E-2</v>
      </c>
      <c r="BL45" s="672">
        <f>Inputs!BL146</f>
        <v>4.691657931847279E-2</v>
      </c>
      <c r="BM45" s="672">
        <f>Inputs!BM146</f>
        <v>4.3916423901643048E-2</v>
      </c>
      <c r="BN45" s="672">
        <f>Inputs!BN146</f>
        <v>3.9029082428482548E-2</v>
      </c>
      <c r="BO45" s="672">
        <f>Inputs!BO146</f>
        <v>4.0127041016709164E-2</v>
      </c>
      <c r="BP45" s="672">
        <f>Inputs!BP146</f>
        <v>3.7310424452889276E-2</v>
      </c>
      <c r="BQ45" s="672">
        <f>Inputs!BQ146</f>
        <v>3.7499827374370118E-2</v>
      </c>
      <c r="BR45" s="672">
        <f>Inputs!BR146</f>
        <v>3.7499827374370118E-2</v>
      </c>
      <c r="BS45" s="672">
        <f>Inputs!BS146</f>
        <v>3.7499827374370118E-2</v>
      </c>
      <c r="BT45" s="672">
        <f>Inputs!BT146</f>
        <v>3.7499827374370118E-2</v>
      </c>
      <c r="BU45" s="672">
        <f>Inputs!BU146</f>
        <v>3.7499827374370118E-2</v>
      </c>
      <c r="BV45" s="672">
        <f>Inputs!BV146</f>
        <v>3.7499827374370118E-2</v>
      </c>
      <c r="BW45" s="672">
        <f>Inputs!BW146</f>
        <v>3.7499827374370118E-2</v>
      </c>
      <c r="BX45" s="672">
        <f>Inputs!BX146</f>
        <v>3.7499827374370118E-2</v>
      </c>
      <c r="BY45" s="672">
        <f>Inputs!BY146</f>
        <v>3.7499827374370118E-2</v>
      </c>
      <c r="BZ45" s="672">
        <f>Inputs!BZ146</f>
        <v>2.7899827374370113E-2</v>
      </c>
      <c r="CA45" s="672">
        <f>Inputs!CA146</f>
        <v>2.7899827374370113E-2</v>
      </c>
      <c r="CB45" s="672">
        <f>Inputs!CB146</f>
        <v>2.7899827374370113E-2</v>
      </c>
      <c r="CC45" s="672">
        <f>Inputs!CC146</f>
        <v>2.7899827374370113E-2</v>
      </c>
      <c r="CD45" s="672">
        <f>Inputs!CD146</f>
        <v>2.7899827374370113E-2</v>
      </c>
      <c r="CE45" s="672">
        <f>Inputs!CE146</f>
        <v>2.7899827374370113E-2</v>
      </c>
      <c r="CF45" s="672">
        <f>Inputs!CF146</f>
        <v>2.7899827374370113E-2</v>
      </c>
      <c r="CG45" s="672">
        <f>Inputs!CG146</f>
        <v>2.7899827374370113E-2</v>
      </c>
      <c r="CH45" s="672">
        <f>Inputs!CH146</f>
        <v>2.7899827374370113E-2</v>
      </c>
      <c r="CI45" s="672">
        <f>Inputs!CI146</f>
        <v>2.7899827374370113E-2</v>
      </c>
      <c r="CJ45" s="672">
        <f>Inputs!CJ146</f>
        <v>2.7899827374370113E-2</v>
      </c>
      <c r="CK45" s="672">
        <f>Inputs!CK146</f>
        <v>2.7899827374370113E-2</v>
      </c>
      <c r="CL45" s="672">
        <f>Inputs!CL146</f>
        <v>2.7899827374370113E-2</v>
      </c>
      <c r="CM45" s="672">
        <f>Inputs!CM146</f>
        <v>2.7899827374370113E-2</v>
      </c>
      <c r="CN45" s="672">
        <f>Inputs!CN146</f>
        <v>2.7899827374370113E-2</v>
      </c>
      <c r="CO45" s="672">
        <f>Inputs!CO146</f>
        <v>2.7899827374370113E-2</v>
      </c>
      <c r="CP45" s="672">
        <f>Inputs!CP146</f>
        <v>2.7899827374370113E-2</v>
      </c>
      <c r="CQ45" s="672">
        <f>Inputs!CQ146</f>
        <v>2.7899827374370113E-2</v>
      </c>
      <c r="CR45" s="672">
        <f>Inputs!CR146</f>
        <v>2.7899827374370113E-2</v>
      </c>
      <c r="CS45" s="672">
        <f>Inputs!CS146</f>
        <v>2.7899827374370113E-2</v>
      </c>
      <c r="CT45" s="672">
        <f>Inputs!CT146</f>
        <v>2.7899827374370113E-2</v>
      </c>
      <c r="CU45" s="672">
        <f>Inputs!CU146</f>
        <v>2.7899827374370113E-2</v>
      </c>
      <c r="CV45" s="672">
        <f>Inputs!CV146</f>
        <v>2.7899827374370113E-2</v>
      </c>
      <c r="CW45" s="672">
        <f>Inputs!CW146</f>
        <v>2.7899827374370113E-2</v>
      </c>
    </row>
    <row r="46" spans="1:101" s="9" customFormat="1" ht="11.25">
      <c r="A46" s="881" t="s">
        <v>757</v>
      </c>
      <c r="B46" s="440"/>
      <c r="C46" s="40"/>
      <c r="D46" s="40"/>
      <c r="E46" s="40"/>
      <c r="F46" s="657"/>
      <c r="G46" s="657"/>
      <c r="H46" s="657"/>
      <c r="I46" s="657"/>
      <c r="J46" s="657"/>
      <c r="K46" s="657" t="str">
        <f t="shared" ref="K46:AK46" si="241">IF(ISERROR(K44/G44-1),"NM",K44/G44-1)</f>
        <v>NM</v>
      </c>
      <c r="L46" s="657" t="str">
        <f t="shared" si="241"/>
        <v>NM</v>
      </c>
      <c r="M46" s="657" t="str">
        <f t="shared" si="241"/>
        <v>NM</v>
      </c>
      <c r="N46" s="657" t="str">
        <f t="shared" si="241"/>
        <v>NM</v>
      </c>
      <c r="O46" s="657" t="str">
        <f t="shared" si="241"/>
        <v>NM</v>
      </c>
      <c r="P46" s="657" t="str">
        <f t="shared" si="241"/>
        <v>NM</v>
      </c>
      <c r="Q46" s="657" t="str">
        <f t="shared" si="241"/>
        <v>NM</v>
      </c>
      <c r="R46" s="657" t="str">
        <f t="shared" si="241"/>
        <v>NM</v>
      </c>
      <c r="S46" s="657" t="str">
        <f t="shared" si="241"/>
        <v>NM</v>
      </c>
      <c r="T46" s="657" t="str">
        <f t="shared" si="241"/>
        <v>NM</v>
      </c>
      <c r="U46" s="657" t="str">
        <f t="shared" si="241"/>
        <v>NM</v>
      </c>
      <c r="V46" s="657" t="str">
        <f t="shared" si="241"/>
        <v>NM</v>
      </c>
      <c r="W46" s="657" t="str">
        <f t="shared" si="241"/>
        <v>NM</v>
      </c>
      <c r="X46" s="657" t="str">
        <f t="shared" si="241"/>
        <v>NM</v>
      </c>
      <c r="Y46" s="657">
        <f t="shared" si="241"/>
        <v>0.13142280761818403</v>
      </c>
      <c r="Z46" s="657">
        <f t="shared" si="241"/>
        <v>0.19101851581994</v>
      </c>
      <c r="AA46" s="657">
        <f t="shared" si="241"/>
        <v>0.48768874140670726</v>
      </c>
      <c r="AB46" s="657">
        <f t="shared" si="241"/>
        <v>0.74774135427414845</v>
      </c>
      <c r="AC46" s="657">
        <f t="shared" si="241"/>
        <v>0.84452528285557071</v>
      </c>
      <c r="AD46" s="657">
        <f t="shared" si="241"/>
        <v>0.19773203042712328</v>
      </c>
      <c r="AE46" s="2138">
        <f t="shared" si="241"/>
        <v>-0.14780524467228928</v>
      </c>
      <c r="AF46" s="657">
        <f t="shared" si="241"/>
        <v>-0.18757476638973436</v>
      </c>
      <c r="AG46" s="657">
        <f t="shared" si="241"/>
        <v>-0.27106228274231658</v>
      </c>
      <c r="AH46" s="657">
        <f t="shared" si="241"/>
        <v>4.1313503029954735E-2</v>
      </c>
      <c r="AI46" s="657">
        <f t="shared" si="241"/>
        <v>0.12407553708664421</v>
      </c>
      <c r="AJ46" s="657">
        <f t="shared" si="241"/>
        <v>-1.5197451286769192E-3</v>
      </c>
      <c r="AK46" s="657">
        <f t="shared" si="241"/>
        <v>5.6867120529013659E-2</v>
      </c>
      <c r="AL46" s="657">
        <v>0.1</v>
      </c>
      <c r="AM46" s="715">
        <f t="shared" ref="AM46:AZ46" si="242">IF(ISERROR(AM44/AI44-1),"NM",AM44/AI44-1)</f>
        <v>0.12504085523161113</v>
      </c>
      <c r="AN46" s="715">
        <f t="shared" si="242"/>
        <v>0.1513681234197235</v>
      </c>
      <c r="AO46" s="715">
        <f t="shared" si="242"/>
        <v>0.14194433500620462</v>
      </c>
      <c r="AP46" s="715">
        <f t="shared" si="242"/>
        <v>0.44597391341485526</v>
      </c>
      <c r="AQ46" s="715">
        <f t="shared" si="242"/>
        <v>0.5167019047411574</v>
      </c>
      <c r="AR46" s="715">
        <f t="shared" si="242"/>
        <v>0.50936799097902563</v>
      </c>
      <c r="AS46" s="715">
        <f t="shared" si="242"/>
        <v>0.51647353979453148</v>
      </c>
      <c r="AT46" s="715">
        <f t="shared" si="242"/>
        <v>7.6719064656272096E-3</v>
      </c>
      <c r="AU46" s="715">
        <f t="shared" si="242"/>
        <v>-0.42519593427421187</v>
      </c>
      <c r="AV46" s="715">
        <f t="shared" si="242"/>
        <v>-0.201414772590636</v>
      </c>
      <c r="AW46" s="715">
        <f t="shared" si="242"/>
        <v>-0.19480892967364005</v>
      </c>
      <c r="AX46" s="715">
        <f t="shared" si="242"/>
        <v>-5.3138975078764417E-2</v>
      </c>
      <c r="AY46" s="715">
        <f t="shared" si="242"/>
        <v>0.37344881508575223</v>
      </c>
      <c r="AZ46" s="715">
        <f t="shared" si="242"/>
        <v>0.28328250033072644</v>
      </c>
      <c r="BA46" s="715">
        <f t="shared" ref="BA46:BK46" si="243">IF(ISERROR(BA44/AW44-1),"NM",BA44/AW44-1)</f>
        <v>0.43934982566180869</v>
      </c>
      <c r="BB46" s="715">
        <f t="shared" si="243"/>
        <v>0.27951368812399147</v>
      </c>
      <c r="BC46" s="715">
        <f t="shared" si="243"/>
        <v>0.66146434550892108</v>
      </c>
      <c r="BD46" s="715">
        <f t="shared" si="243"/>
        <v>0.27826515442623245</v>
      </c>
      <c r="BE46" s="715">
        <f t="shared" si="243"/>
        <v>0.16265089740747118</v>
      </c>
      <c r="BF46" s="715">
        <f t="shared" si="243"/>
        <v>0.21694277977435594</v>
      </c>
      <c r="BG46" s="715">
        <f t="shared" si="243"/>
        <v>0.15347057408855602</v>
      </c>
      <c r="BH46" s="715">
        <f t="shared" si="243"/>
        <v>0.18715137012036176</v>
      </c>
      <c r="BI46" s="715">
        <f t="shared" si="243"/>
        <v>0.16673859054506956</v>
      </c>
      <c r="BJ46" s="715">
        <f t="shared" si="243"/>
        <v>0.11052041077878316</v>
      </c>
      <c r="BK46" s="1361">
        <f t="shared" si="243"/>
        <v>8.1542249176672854E-2</v>
      </c>
      <c r="BL46" s="461">
        <f t="shared" ref="BL46:BQ46" si="244">BL44/BH44-1</f>
        <v>3.5846688738521371E-2</v>
      </c>
      <c r="BM46" s="461">
        <f t="shared" si="244"/>
        <v>7.9496674532013589E-3</v>
      </c>
      <c r="BN46" s="461">
        <f t="shared" si="244"/>
        <v>5.8749112738082143E-2</v>
      </c>
      <c r="BO46" s="461">
        <f t="shared" si="244"/>
        <v>5.17896775183182E-2</v>
      </c>
      <c r="BP46" s="461">
        <f t="shared" si="244"/>
        <v>7.1782803895505065E-2</v>
      </c>
      <c r="BQ46" s="461">
        <f t="shared" si="244"/>
        <v>6.6455941389942375E-2</v>
      </c>
      <c r="BR46" s="461">
        <f t="shared" ref="BR46:CK46" si="245">BR44/BN44-1</f>
        <v>5.8266571295987779E-2</v>
      </c>
      <c r="BS46" s="461">
        <f t="shared" si="245"/>
        <v>5.4077720754519776E-2</v>
      </c>
      <c r="BT46" s="461">
        <f t="shared" si="245"/>
        <v>5.1530464236907658E-2</v>
      </c>
      <c r="BU46" s="461">
        <f t="shared" si="245"/>
        <v>5.5861688949181199E-2</v>
      </c>
      <c r="BV46" s="461">
        <f t="shared" si="245"/>
        <v>5.9284600652572017E-2</v>
      </c>
      <c r="BW46" s="461">
        <f t="shared" si="245"/>
        <v>5.8304001458534982E-2</v>
      </c>
      <c r="BX46" s="461">
        <f t="shared" si="245"/>
        <v>5.733359030807228E-2</v>
      </c>
      <c r="BY46" s="461">
        <f t="shared" si="245"/>
        <v>5.6105853652457238E-2</v>
      </c>
      <c r="BZ46" s="461">
        <f t="shared" si="245"/>
        <v>4.535572214103456E-2</v>
      </c>
      <c r="CA46" s="461">
        <f t="shared" si="245"/>
        <v>4.4865672716667415E-2</v>
      </c>
      <c r="CB46" s="461">
        <f t="shared" si="245"/>
        <v>4.4379601369819E-2</v>
      </c>
      <c r="CC46" s="461">
        <f t="shared" si="245"/>
        <v>4.3235429637616729E-2</v>
      </c>
      <c r="CD46" s="461">
        <f t="shared" si="245"/>
        <v>4.2315652651846891E-2</v>
      </c>
      <c r="CE46" s="461">
        <f t="shared" si="245"/>
        <v>4.2265285406055675E-2</v>
      </c>
      <c r="CF46" s="461">
        <f t="shared" si="245"/>
        <v>4.2215268889655988E-2</v>
      </c>
      <c r="CG46" s="461">
        <f t="shared" si="245"/>
        <v>4.2140893760556297E-2</v>
      </c>
      <c r="CH46" s="461">
        <f t="shared" si="245"/>
        <v>4.2067287461242886E-2</v>
      </c>
      <c r="CI46" s="461">
        <f t="shared" si="245"/>
        <v>4.20186378558427E-2</v>
      </c>
      <c r="CJ46" s="461">
        <f t="shared" si="245"/>
        <v>4.1970321222564833E-2</v>
      </c>
      <c r="CK46" s="461">
        <f t="shared" si="245"/>
        <v>4.189846315573309E-2</v>
      </c>
      <c r="CL46" s="461">
        <f t="shared" ref="CL46" si="246">CL44/CH44-1</f>
        <v>4.1628370919268409E-2</v>
      </c>
      <c r="CM46" s="461">
        <f t="shared" ref="CM46" si="247">CM44/CI44-1</f>
        <v>4.1185438839830946E-2</v>
      </c>
      <c r="CN46" s="461">
        <f t="shared" ref="CN46" si="248">CN44/CJ44-1</f>
        <v>4.0745487317524809E-2</v>
      </c>
      <c r="CO46" s="461">
        <f t="shared" ref="CO46" si="249">CO44/CK44-1</f>
        <v>3.9894449941531462E-2</v>
      </c>
      <c r="CP46" s="461">
        <f t="shared" ref="CP46" si="250">CP44/CL44-1</f>
        <v>3.9250268114534359E-2</v>
      </c>
      <c r="CQ46" s="461">
        <f t="shared" ref="CQ46" si="251">CQ44/CM44-1</f>
        <v>3.9217946024149519E-2</v>
      </c>
      <c r="CR46" s="461">
        <f t="shared" ref="CR46" si="252">CR44/CN44-1</f>
        <v>3.9185807495091929E-2</v>
      </c>
      <c r="CS46" s="461">
        <f t="shared" ref="CS46" si="253">CS44/CO44-1</f>
        <v>3.9140589097247824E-2</v>
      </c>
      <c r="CT46" s="461">
        <f t="shared" ref="CT46" si="254">CT44/CP44-1</f>
        <v>3.9095731597414751E-2</v>
      </c>
      <c r="CU46" s="461">
        <f t="shared" ref="CU46" si="255">CU44/CQ44-1</f>
        <v>3.9064282428248998E-2</v>
      </c>
      <c r="CV46" s="461">
        <f t="shared" ref="CV46" si="256">CV44/CR44-1</f>
        <v>3.9033009444904732E-2</v>
      </c>
      <c r="CW46" s="461">
        <f t="shared" ref="CW46" si="257">CW44/CS44-1</f>
        <v>3.8989004772689295E-2</v>
      </c>
    </row>
    <row r="47" spans="1:101" s="9" customFormat="1" ht="11.25">
      <c r="A47" s="881" t="s">
        <v>999</v>
      </c>
      <c r="B47" s="440">
        <f>Inputs!B10</f>
        <v>6.1800000000000001E-2</v>
      </c>
      <c r="C47" s="40">
        <f>Inputs!C10</f>
        <v>5.96E-2</v>
      </c>
      <c r="D47" s="40">
        <f>Inputs!D10</f>
        <v>5.1400000000000001E-2</v>
      </c>
      <c r="E47" s="40">
        <f>Inputs!E10</f>
        <v>3.9800000000000002E-2</v>
      </c>
      <c r="F47" s="657">
        <f>Inputs!F10</f>
        <v>4.7500000000000001E-2</v>
      </c>
      <c r="G47" s="657">
        <f>Inputs!G10</f>
        <v>3.9600000000000003E-2</v>
      </c>
      <c r="H47" s="657">
        <f>Inputs!H10</f>
        <v>3.6700000000000003E-2</v>
      </c>
      <c r="I47" s="657">
        <f>Inputs!I10</f>
        <v>4.2500000000000003E-2</v>
      </c>
      <c r="J47" s="657">
        <f>Inputs!J10</f>
        <v>3.4599999999999999E-2</v>
      </c>
      <c r="K47" s="657">
        <f>Inputs!K10</f>
        <v>3.3000000000000002E-2</v>
      </c>
      <c r="L47" s="657">
        <f>Inputs!L10</f>
        <v>3.3700000000000001E-2</v>
      </c>
      <c r="M47" s="657">
        <f>Inputs!M10</f>
        <v>3.5000000000000003E-2</v>
      </c>
      <c r="N47" s="657">
        <f>Inputs!N10</f>
        <v>3.7000000000000005E-2</v>
      </c>
      <c r="O47" s="657">
        <f>Inputs!O10</f>
        <v>4.2999999999999997E-2</v>
      </c>
      <c r="P47" s="657">
        <f>Inputs!P10</f>
        <v>4.8000000000000001E-2</v>
      </c>
      <c r="Q47" s="657">
        <f>Inputs!Q10</f>
        <v>3.6000000000000004E-2</v>
      </c>
      <c r="R47" s="657">
        <f>Inputs!R10</f>
        <v>4.2999999999999997E-2</v>
      </c>
      <c r="S47" s="657">
        <f>Inputs!S10</f>
        <v>4.0999999999999995E-2</v>
      </c>
      <c r="T47" s="657">
        <f>Inputs!T10</f>
        <v>3.4000000000000002E-2</v>
      </c>
      <c r="U47" s="657">
        <f>Inputs!U10</f>
        <v>0.04</v>
      </c>
      <c r="V47" s="657">
        <f>Inputs!V10</f>
        <v>3.7999999999999999E-2</v>
      </c>
      <c r="W47" s="657">
        <f>Inputs!W10</f>
        <v>3.7999999999999999E-2</v>
      </c>
      <c r="X47" s="657">
        <f>Inputs!X10</f>
        <v>4.2000000000000003E-2</v>
      </c>
      <c r="Y47" s="657">
        <f>Inputs!Y10</f>
        <v>4.0999999999999995E-2</v>
      </c>
      <c r="Z47" s="657">
        <f>Inputs!Z10</f>
        <v>3.1E-2</v>
      </c>
      <c r="AA47" s="657">
        <f>Inputs!AA10</f>
        <v>2.8999999999999998E-2</v>
      </c>
      <c r="AB47" s="657">
        <f>Inputs!AB10</f>
        <v>2.5000000000000001E-2</v>
      </c>
      <c r="AC47" s="657">
        <f>Inputs!AC10</f>
        <v>2.1000000000000001E-2</v>
      </c>
      <c r="AD47" s="657">
        <f>Inputs!AD10</f>
        <v>2.6000000000000002E-2</v>
      </c>
      <c r="AE47" s="2138">
        <f>Inputs!AE10</f>
        <v>2.5000000000000001E-2</v>
      </c>
      <c r="AF47" s="657">
        <f>Inputs!AF10</f>
        <v>0.03</v>
      </c>
      <c r="AG47" s="657">
        <f>Inputs!AG10</f>
        <v>3.4000000000000002E-2</v>
      </c>
      <c r="AH47" s="657">
        <f>Inputs!AH10</f>
        <v>5.4000000000000006E-2</v>
      </c>
      <c r="AI47" s="657">
        <f>Inputs!AI10</f>
        <v>6.3E-2</v>
      </c>
      <c r="AJ47" s="657">
        <f>Inputs!AJ10</f>
        <v>6.3E-2</v>
      </c>
      <c r="AK47" s="657">
        <f>Inputs!AK10</f>
        <v>6.8000000000000005E-2</v>
      </c>
      <c r="AL47" s="657">
        <f>Inputs!AL10</f>
        <v>0.05</v>
      </c>
      <c r="AM47" s="715">
        <f>Inputs!AM10</f>
        <v>4.5999999999999999E-2</v>
      </c>
      <c r="AN47" s="715">
        <f>Inputs!AN10</f>
        <v>0.05</v>
      </c>
      <c r="AO47" s="715">
        <f>Inputs!AO10</f>
        <v>4.8000000000000001E-2</v>
      </c>
      <c r="AP47" s="715">
        <f>Inputs!AP10</f>
        <v>0.04</v>
      </c>
      <c r="AQ47" s="715">
        <f>Inputs!AQ10</f>
        <v>3.9E-2</v>
      </c>
      <c r="AR47" s="715">
        <f>Inputs!AR10</f>
        <v>0.03</v>
      </c>
      <c r="AS47" s="715">
        <f>Inputs!AS10</f>
        <v>2.7999999999999997E-2</v>
      </c>
      <c r="AT47" s="715">
        <f>Inputs!AT10</f>
        <v>3.249062584560658E-2</v>
      </c>
      <c r="AU47" s="715">
        <f>Inputs!AU10</f>
        <v>3.3340109778410065E-2</v>
      </c>
      <c r="AV47" s="715">
        <f>Inputs!AV10</f>
        <v>4.0137769140482282E-2</v>
      </c>
      <c r="AW47" s="715">
        <f>Inputs!AW10</f>
        <v>3.1500745747352177E-2</v>
      </c>
      <c r="AX47" s="715">
        <f>Inputs!AX10</f>
        <v>4.6668788258859228E-2</v>
      </c>
      <c r="AY47" s="715">
        <f>Inputs!AY10</f>
        <v>5.8786056228511629E-2</v>
      </c>
      <c r="AZ47" s="715">
        <f>Inputs!AZ10</f>
        <v>6.0001479919344236E-2</v>
      </c>
      <c r="BA47" s="715">
        <f>Inputs!BA10</f>
        <v>7.3551079426380284E-2</v>
      </c>
      <c r="BB47" s="715">
        <f>Inputs!BB10</f>
        <v>7.453677207039644E-2</v>
      </c>
      <c r="BC47" s="715">
        <f>Inputs!BC10</f>
        <v>7.9863384593604536E-2</v>
      </c>
      <c r="BD47" s="715">
        <f>Inputs!BD10</f>
        <v>8.6997495658851065E-2</v>
      </c>
      <c r="BE47" s="715">
        <f>Inputs!BE10</f>
        <v>7.8170286766460872E-2</v>
      </c>
      <c r="BF47" s="715">
        <f>Inputs!BF10</f>
        <v>6.8492580663953584E-2</v>
      </c>
      <c r="BG47" s="715">
        <f>Inputs!BG10</f>
        <v>5.0555537347186208E-2</v>
      </c>
      <c r="BH47" s="715">
        <f>Inputs!BH10</f>
        <v>4.4544878021369305E-2</v>
      </c>
      <c r="BI47" s="715">
        <f>Inputs!BI10</f>
        <v>4.6608896408861566E-2</v>
      </c>
      <c r="BJ47" s="715">
        <f>Inputs!BJ10</f>
        <v>4.4209394885854625E-2</v>
      </c>
      <c r="BK47" s="1361">
        <f>Inputs!BK10</f>
        <v>4.7646069366187094E-2</v>
      </c>
      <c r="BL47" s="461">
        <f>Inputs!BL10</f>
        <v>4.3645724148090981E-2</v>
      </c>
      <c r="BM47" s="461">
        <f>Inputs!BM10</f>
        <v>3.9895529877053804E-2</v>
      </c>
      <c r="BN47" s="461">
        <f>Inputs!BN10</f>
        <v>3.8786353035603183E-2</v>
      </c>
      <c r="BO47" s="461">
        <f>Inputs!BO10</f>
        <v>4.0158801270886446E-2</v>
      </c>
      <c r="BP47" s="461">
        <f>Inputs!BP10</f>
        <v>3.663803056611159E-2</v>
      </c>
      <c r="BQ47" s="461">
        <f>Inputs!BQ10</f>
        <v>3.6874784217962642E-2</v>
      </c>
      <c r="BR47" s="461">
        <f>Inputs!BR10</f>
        <v>3.6874784217962642E-2</v>
      </c>
      <c r="BS47" s="461">
        <f>Inputs!BS10</f>
        <v>3.6874784217962642E-2</v>
      </c>
      <c r="BT47" s="461">
        <f>Inputs!BT10</f>
        <v>3.6874784217962642E-2</v>
      </c>
      <c r="BU47" s="461">
        <f>Inputs!BU10</f>
        <v>3.6874784217962642E-2</v>
      </c>
      <c r="BV47" s="461">
        <f>Inputs!BV10</f>
        <v>3.6874784217962642E-2</v>
      </c>
      <c r="BW47" s="461">
        <f>Inputs!BW10</f>
        <v>3.6874784217962642E-2</v>
      </c>
      <c r="BX47" s="461">
        <f>Inputs!BX10</f>
        <v>3.6874784217962642E-2</v>
      </c>
      <c r="BY47" s="461">
        <f>Inputs!BY10</f>
        <v>3.6874784217962642E-2</v>
      </c>
      <c r="BZ47" s="461">
        <f>Inputs!BZ10</f>
        <v>3.6874784217962642E-2</v>
      </c>
      <c r="CA47" s="461">
        <f>Inputs!CA10</f>
        <v>3.6874784217962642E-2</v>
      </c>
      <c r="CB47" s="461">
        <f>Inputs!CB10</f>
        <v>3.6874784217962642E-2</v>
      </c>
      <c r="CC47" s="461">
        <f>Inputs!CC10</f>
        <v>3.6874784217962642E-2</v>
      </c>
      <c r="CD47" s="461">
        <f>Inputs!CD10</f>
        <v>3.6874784217962642E-2</v>
      </c>
      <c r="CE47" s="461">
        <f>Inputs!CE10</f>
        <v>3.6874784217962642E-2</v>
      </c>
      <c r="CF47" s="461">
        <f>Inputs!CF10</f>
        <v>3.6874784217962642E-2</v>
      </c>
      <c r="CG47" s="461">
        <f>Inputs!CG10</f>
        <v>3.6874784217962642E-2</v>
      </c>
      <c r="CH47" s="461">
        <f>Inputs!CH10</f>
        <v>3.6874784217962642E-2</v>
      </c>
      <c r="CI47" s="461">
        <f>Inputs!CI10</f>
        <v>3.6874784217962642E-2</v>
      </c>
      <c r="CJ47" s="461">
        <f>Inputs!CJ10</f>
        <v>3.6874784217962642E-2</v>
      </c>
      <c r="CK47" s="461">
        <f>Inputs!CK10</f>
        <v>3.6874784217962642E-2</v>
      </c>
      <c r="CL47" s="461">
        <f>Inputs!CL10</f>
        <v>3.6874784217962642E-2</v>
      </c>
      <c r="CM47" s="461">
        <f>Inputs!CM10</f>
        <v>3.6874784217962642E-2</v>
      </c>
      <c r="CN47" s="461">
        <f>Inputs!CN10</f>
        <v>3.6874784217962642E-2</v>
      </c>
      <c r="CO47" s="461">
        <f>Inputs!CO10</f>
        <v>3.6874784217962642E-2</v>
      </c>
      <c r="CP47" s="461">
        <f>Inputs!CP10</f>
        <v>3.6874784217962642E-2</v>
      </c>
      <c r="CQ47" s="461">
        <f>Inputs!CQ10</f>
        <v>3.6874784217962642E-2</v>
      </c>
      <c r="CR47" s="461">
        <f>Inputs!CR10</f>
        <v>3.6874784217962642E-2</v>
      </c>
      <c r="CS47" s="461">
        <f>Inputs!CS10</f>
        <v>3.6874784217962642E-2</v>
      </c>
      <c r="CT47" s="461">
        <f>Inputs!CT10</f>
        <v>3.6874784217962642E-2</v>
      </c>
      <c r="CU47" s="461">
        <f>Inputs!CU10</f>
        <v>3.6874784217962642E-2</v>
      </c>
      <c r="CV47" s="461">
        <f>Inputs!CV10</f>
        <v>3.6874784217962642E-2</v>
      </c>
      <c r="CW47" s="461">
        <f>Inputs!CW10</f>
        <v>3.6874784217962642E-2</v>
      </c>
    </row>
    <row r="48" spans="1:101" s="9" customFormat="1" ht="11.25">
      <c r="A48" s="881"/>
      <c r="B48" s="440"/>
      <c r="C48" s="40"/>
      <c r="D48" s="40"/>
      <c r="E48" s="40"/>
      <c r="F48" s="657"/>
      <c r="G48" s="657"/>
      <c r="H48" s="657"/>
      <c r="I48" s="657"/>
      <c r="J48" s="657"/>
      <c r="K48" s="657"/>
      <c r="L48" s="657"/>
      <c r="M48" s="657"/>
      <c r="N48" s="657"/>
      <c r="O48" s="657"/>
      <c r="P48" s="657"/>
      <c r="Q48" s="657"/>
      <c r="R48" s="657"/>
      <c r="S48" s="657"/>
      <c r="T48" s="657"/>
      <c r="U48" s="657"/>
      <c r="V48" s="913"/>
      <c r="W48" s="657"/>
      <c r="X48" s="657"/>
      <c r="Y48" s="657"/>
      <c r="Z48" s="657"/>
      <c r="AA48" s="657"/>
      <c r="AB48" s="657"/>
      <c r="AC48" s="657"/>
      <c r="AD48" s="657"/>
      <c r="AE48" s="2138"/>
      <c r="AF48" s="657"/>
      <c r="AG48" s="657"/>
      <c r="AH48" s="657"/>
      <c r="AI48" s="657"/>
      <c r="AJ48" s="657"/>
      <c r="AK48" s="657"/>
      <c r="AL48" s="657"/>
      <c r="AM48" s="715"/>
      <c r="AN48" s="715"/>
      <c r="AO48" s="715"/>
      <c r="AP48" s="461"/>
      <c r="AQ48" s="461"/>
      <c r="AR48" s="461"/>
      <c r="AS48" s="461"/>
      <c r="AT48" s="461"/>
      <c r="AU48" s="461"/>
      <c r="AV48" s="461"/>
      <c r="AW48" s="461"/>
      <c r="AX48" s="461"/>
      <c r="AY48" s="461"/>
      <c r="AZ48" s="461"/>
      <c r="BA48" s="461"/>
      <c r="BB48" s="461"/>
      <c r="BC48" s="461"/>
      <c r="BD48" s="461"/>
      <c r="BE48" s="461"/>
      <c r="BF48" s="461"/>
      <c r="BG48" s="461"/>
      <c r="BH48" s="461"/>
      <c r="BI48" s="461"/>
      <c r="BJ48" s="461"/>
      <c r="BK48" s="1368"/>
      <c r="BL48" s="461"/>
      <c r="BM48" s="461"/>
      <c r="BN48" s="461"/>
      <c r="BO48" s="461"/>
      <c r="BP48" s="461"/>
      <c r="BQ48" s="461"/>
      <c r="BR48" s="461"/>
      <c r="BS48" s="461"/>
      <c r="BT48" s="461"/>
      <c r="BU48" s="461"/>
      <c r="BV48" s="461"/>
      <c r="BW48" s="461"/>
      <c r="BX48" s="461"/>
      <c r="BY48" s="461"/>
      <c r="BZ48" s="461"/>
      <c r="CA48" s="461"/>
      <c r="CB48" s="461"/>
      <c r="CC48" s="461"/>
      <c r="CD48" s="461"/>
      <c r="CE48" s="461"/>
      <c r="CF48" s="461"/>
      <c r="CG48" s="461"/>
      <c r="CH48" s="461"/>
      <c r="CI48" s="461"/>
      <c r="CJ48" s="461"/>
      <c r="CK48" s="461"/>
      <c r="CL48" s="461"/>
      <c r="CM48" s="461"/>
      <c r="CN48" s="461"/>
      <c r="CO48" s="461"/>
      <c r="CP48" s="461"/>
      <c r="CQ48" s="461"/>
      <c r="CR48" s="461"/>
      <c r="CS48" s="461"/>
      <c r="CT48" s="461"/>
      <c r="CU48" s="461"/>
      <c r="CV48" s="461"/>
      <c r="CW48" s="461"/>
    </row>
    <row r="49" spans="1:101" s="9" customFormat="1" ht="11.25">
      <c r="A49" s="879" t="s">
        <v>758</v>
      </c>
      <c r="B49" s="367"/>
      <c r="C49" s="367"/>
      <c r="D49" s="367"/>
      <c r="E49" s="367"/>
      <c r="F49" s="367"/>
      <c r="G49" s="670" t="str">
        <f t="shared" ref="G49:AT49" si="258">IF(ISERROR(G41-G44),"NM",G41-G44)</f>
        <v>NM</v>
      </c>
      <c r="H49" s="670" t="str">
        <f t="shared" si="258"/>
        <v>NM</v>
      </c>
      <c r="I49" s="670" t="str">
        <f t="shared" si="258"/>
        <v>NM</v>
      </c>
      <c r="J49" s="670" t="str">
        <f t="shared" si="258"/>
        <v>NM</v>
      </c>
      <c r="K49" s="670" t="str">
        <f t="shared" si="258"/>
        <v>NM</v>
      </c>
      <c r="L49" s="670" t="str">
        <f t="shared" si="258"/>
        <v>NM</v>
      </c>
      <c r="M49" s="670" t="str">
        <f t="shared" si="258"/>
        <v>NM</v>
      </c>
      <c r="N49" s="670" t="str">
        <f t="shared" si="258"/>
        <v>NM</v>
      </c>
      <c r="O49" s="671" t="str">
        <f t="shared" si="258"/>
        <v>NM</v>
      </c>
      <c r="P49" s="671" t="str">
        <f t="shared" si="258"/>
        <v>NM</v>
      </c>
      <c r="Q49" s="671" t="str">
        <f t="shared" si="258"/>
        <v>NM</v>
      </c>
      <c r="R49" s="671" t="str">
        <f t="shared" si="258"/>
        <v>NM</v>
      </c>
      <c r="S49" s="671" t="str">
        <f t="shared" si="258"/>
        <v>NM</v>
      </c>
      <c r="T49" s="671" t="str">
        <f t="shared" si="258"/>
        <v>NM</v>
      </c>
      <c r="U49" s="671">
        <f t="shared" si="258"/>
        <v>390.58406400000013</v>
      </c>
      <c r="V49" s="671">
        <f t="shared" si="258"/>
        <v>368.0333700000001</v>
      </c>
      <c r="W49" s="671">
        <f t="shared" si="258"/>
        <v>1166.1250140000002</v>
      </c>
      <c r="X49" s="671">
        <f t="shared" si="258"/>
        <v>1621.7094249999996</v>
      </c>
      <c r="Y49" s="671">
        <f t="shared" si="258"/>
        <v>1989.7242440000005</v>
      </c>
      <c r="Z49" s="671">
        <f t="shared" si="258"/>
        <v>348.31984999999986</v>
      </c>
      <c r="AA49" s="671">
        <f t="shared" si="258"/>
        <v>-747.4674200000004</v>
      </c>
      <c r="AB49" s="671">
        <f t="shared" si="258"/>
        <v>-1027.9572539999999</v>
      </c>
      <c r="AC49" s="671">
        <f t="shared" si="258"/>
        <v>-1516.3480020000002</v>
      </c>
      <c r="AD49" s="671">
        <f t="shared" si="258"/>
        <v>71.478204000000005</v>
      </c>
      <c r="AE49" s="2141">
        <f t="shared" si="258"/>
        <v>227.47035800000003</v>
      </c>
      <c r="AF49" s="671">
        <f t="shared" si="258"/>
        <v>-64.320152000000235</v>
      </c>
      <c r="AG49" s="671">
        <f t="shared" si="258"/>
        <v>62.297312999999576</v>
      </c>
      <c r="AH49" s="671">
        <f t="shared" si="258"/>
        <v>299.3346430000006</v>
      </c>
      <c r="AI49" s="671">
        <f t="shared" si="258"/>
        <v>342.13405000000012</v>
      </c>
      <c r="AJ49" s="671">
        <f t="shared" si="258"/>
        <v>423.23574000000053</v>
      </c>
      <c r="AK49" s="671">
        <f t="shared" si="258"/>
        <v>395.61077999999998</v>
      </c>
      <c r="AL49" s="671">
        <f t="shared" si="258"/>
        <v>1648.7004639999996</v>
      </c>
      <c r="AM49" s="967">
        <f t="shared" si="258"/>
        <v>1740.3653559999993</v>
      </c>
      <c r="AN49" s="967">
        <f t="shared" si="258"/>
        <v>1855.3498959999997</v>
      </c>
      <c r="AO49" s="967">
        <f t="shared" si="258"/>
        <v>2109.0353249999998</v>
      </c>
      <c r="AP49" s="967">
        <f t="shared" si="258"/>
        <v>198.00421600000027</v>
      </c>
      <c r="AQ49" s="967">
        <f t="shared" si="258"/>
        <v>197.68208700000014</v>
      </c>
      <c r="AR49" s="967">
        <f t="shared" si="258"/>
        <v>823.44098800000029</v>
      </c>
      <c r="AS49" s="967">
        <f t="shared" si="258"/>
        <v>196.62760700000126</v>
      </c>
      <c r="AT49" s="967">
        <f t="shared" si="258"/>
        <v>194.44631200000094</v>
      </c>
      <c r="AU49" s="967">
        <f t="shared" ref="AU49:BC49" si="259">IF(ISERROR(AU41-AU44),"NM",AU41-AU44)</f>
        <v>-929.90534799999932</v>
      </c>
      <c r="AV49" s="967">
        <f t="shared" si="259"/>
        <v>-517.47202399999969</v>
      </c>
      <c r="AW49" s="967">
        <f t="shared" si="259"/>
        <v>-20.874852000000828</v>
      </c>
      <c r="AX49" s="967">
        <f t="shared" si="259"/>
        <v>-622.49182000000019</v>
      </c>
      <c r="AY49" s="967">
        <f t="shared" si="259"/>
        <v>1450.1084000000001</v>
      </c>
      <c r="AZ49" s="967">
        <f t="shared" si="259"/>
        <v>220.03748499999983</v>
      </c>
      <c r="BA49" s="967">
        <f t="shared" si="259"/>
        <v>17.560249999999542</v>
      </c>
      <c r="BB49" s="967">
        <f t="shared" si="259"/>
        <v>194.54700800000046</v>
      </c>
      <c r="BC49" s="967">
        <f t="shared" si="259"/>
        <v>88.659945999999763</v>
      </c>
      <c r="BD49" s="967">
        <f t="shared" ref="BD49:BG49" si="260">IF(ISERROR(BD41-BD44),"NM",BD41-BD44)</f>
        <v>173.78081999999904</v>
      </c>
      <c r="BE49" s="967">
        <f t="shared" si="260"/>
        <v>249.82556000000113</v>
      </c>
      <c r="BF49" s="967">
        <f t="shared" si="260"/>
        <v>73.579111999997622</v>
      </c>
      <c r="BG49" s="967">
        <f t="shared" si="260"/>
        <v>74.491324000000532</v>
      </c>
      <c r="BH49" s="967">
        <f t="shared" ref="BH49" si="261">IF(ISERROR(BH41-BH44),"NM",BH41-BH44)</f>
        <v>-100.78216199999588</v>
      </c>
      <c r="BI49" s="967">
        <f t="shared" ref="BI49" si="262">IF(ISERROR(BI41-BI44),"NM",BI41-BI44)</f>
        <v>-359.13207999999941</v>
      </c>
      <c r="BJ49" s="967">
        <f t="shared" ref="BJ49" si="263">IF(ISERROR(BJ41-BJ44),"NM",BJ41-BJ44)</f>
        <v>179.34637099999964</v>
      </c>
      <c r="BK49" s="1366">
        <f t="shared" ref="BK49" si="264">IF(ISERROR(BK41-BK44),"NM",BK41-BK44)</f>
        <v>113.4715589999978</v>
      </c>
      <c r="BL49" s="422">
        <f t="shared" ref="BL49:BQ49" si="265">+(BL16-BH16)*BH25*(1+BL45)*BL50</f>
        <v>328.10316611089411</v>
      </c>
      <c r="BM49" s="422">
        <f t="shared" si="265"/>
        <v>293.23090986684377</v>
      </c>
      <c r="BN49" s="422">
        <f t="shared" si="265"/>
        <v>200.25628383703776</v>
      </c>
      <c r="BO49" s="422">
        <f t="shared" si="265"/>
        <v>170.07750741816758</v>
      </c>
      <c r="BP49" s="422">
        <f t="shared" si="265"/>
        <v>143.10145129187399</v>
      </c>
      <c r="BQ49" s="422">
        <f t="shared" si="265"/>
        <v>198.30291445968223</v>
      </c>
      <c r="BR49" s="422">
        <f t="shared" ref="BR49:CK49" si="266">+(BR16-BN16)*BN25*(1+BR45)*BR50</f>
        <v>222.31351600730582</v>
      </c>
      <c r="BS49" s="422">
        <f t="shared" si="266"/>
        <v>224.97831175283125</v>
      </c>
      <c r="BT49" s="422">
        <f t="shared" si="266"/>
        <v>212.71280326514236</v>
      </c>
      <c r="BU49" s="422">
        <f t="shared" si="266"/>
        <v>212.16466219323863</v>
      </c>
      <c r="BV49" s="422">
        <f t="shared" si="266"/>
        <v>190.46046344435123</v>
      </c>
      <c r="BW49" s="422">
        <f t="shared" si="266"/>
        <v>195.98072332807234</v>
      </c>
      <c r="BX49" s="422">
        <f t="shared" si="266"/>
        <v>188.62056178989008</v>
      </c>
      <c r="BY49" s="422">
        <f t="shared" si="266"/>
        <v>186.40817146535059</v>
      </c>
      <c r="BZ49" s="422">
        <f t="shared" si="266"/>
        <v>164.42442525166626</v>
      </c>
      <c r="CA49" s="422">
        <f t="shared" si="266"/>
        <v>173.38750274197909</v>
      </c>
      <c r="CB49" s="422">
        <f t="shared" si="266"/>
        <v>171.12005465130989</v>
      </c>
      <c r="CC49" s="422">
        <f t="shared" si="266"/>
        <v>180.58802517230063</v>
      </c>
      <c r="CD49" s="422">
        <f t="shared" si="266"/>
        <v>168.42946921180274</v>
      </c>
      <c r="CE49" s="422">
        <f t="shared" si="266"/>
        <v>177.61297781458597</v>
      </c>
      <c r="CF49" s="422">
        <f t="shared" si="266"/>
        <v>175.29233871730571</v>
      </c>
      <c r="CG49" s="422">
        <f t="shared" si="266"/>
        <v>184.99440340277053</v>
      </c>
      <c r="CH49" s="422">
        <f t="shared" si="266"/>
        <v>170.07728346873824</v>
      </c>
      <c r="CI49" s="422">
        <f t="shared" si="266"/>
        <v>174.15406715708397</v>
      </c>
      <c r="CJ49" s="422">
        <f t="shared" si="266"/>
        <v>166.74981649929111</v>
      </c>
      <c r="CK49" s="422">
        <f t="shared" si="266"/>
        <v>165.15238884137773</v>
      </c>
      <c r="CL49" s="422">
        <f t="shared" ref="CL49" si="267">+(CL16-CH16)*CH25*(1+CL45)*CL50</f>
        <v>146.46955795997388</v>
      </c>
      <c r="CM49" s="422">
        <f t="shared" ref="CM49" si="268">+(CM16-CI16)*CI25*(1+CM45)*CM50</f>
        <v>154.47364773553227</v>
      </c>
      <c r="CN49" s="422">
        <f t="shared" ref="CN49" si="269">+(CN16-CJ16)*CJ25*(1+CN45)*CN50</f>
        <v>152.47293530563442</v>
      </c>
      <c r="CO49" s="422">
        <f t="shared" ref="CO49" si="270">+(CO16-CK16)*CK25*(1+CO45)*CO50</f>
        <v>160.94714435152957</v>
      </c>
      <c r="CP49" s="422">
        <f t="shared" ref="CP49" si="271">+(CP16-CL16)*CL25*(1+CP45)*CP50</f>
        <v>150.14606855702957</v>
      </c>
      <c r="CQ49" s="422">
        <f t="shared" ref="CQ49" si="272">+(CQ16-CM16)*CM25*(1+CQ45)*CQ50</f>
        <v>158.35228231695487</v>
      </c>
      <c r="CR49" s="422">
        <f t="shared" ref="CR49" si="273">+(CR16-CN16)*CN25*(1+CR45)*CR50</f>
        <v>156.30252664252848</v>
      </c>
      <c r="CS49" s="422">
        <f t="shared" ref="CS49" si="274">+(CS16-CO16)*CO25*(1+CS45)*CS50</f>
        <v>164.99134903646834</v>
      </c>
      <c r="CT49" s="422">
        <f t="shared" ref="CT49" si="275">+(CT16-CP16)*CP25*(1+CT45)*CT50</f>
        <v>153.92050762921303</v>
      </c>
      <c r="CU49" s="422">
        <f t="shared" ref="CU49" si="276">+(CU16-CQ16)*CQ25*(1+CU45)*CU50</f>
        <v>162.33422469940606</v>
      </c>
      <c r="CV49" s="422">
        <f t="shared" ref="CV49" si="277">+(CV16-CR16)*CR25*(1+CV45)*CV50</f>
        <v>160.23411520106495</v>
      </c>
      <c r="CW49" s="422">
        <f t="shared" ref="CW49" si="278">+(CW16-CS16)*CS25*(1+CW45)*CW50</f>
        <v>166.22699762770185</v>
      </c>
    </row>
    <row r="50" spans="1:101" s="9" customFormat="1" ht="11.25">
      <c r="A50" s="881" t="s">
        <v>925</v>
      </c>
      <c r="B50" s="440"/>
      <c r="C50" s="40"/>
      <c r="D50" s="40"/>
      <c r="E50" s="40"/>
      <c r="F50" s="657"/>
      <c r="G50" s="657" t="str">
        <f t="shared" ref="G50:AZ50" si="279">IF(ISERROR((G49/(G16-C16))/(G44/C16)),"NM",(G49/(G16-C16))/(G44/C16))</f>
        <v>NM</v>
      </c>
      <c r="H50" s="657" t="str">
        <f t="shared" si="279"/>
        <v>NM</v>
      </c>
      <c r="I50" s="657" t="str">
        <f t="shared" si="279"/>
        <v>NM</v>
      </c>
      <c r="J50" s="657" t="str">
        <f t="shared" si="279"/>
        <v>NM</v>
      </c>
      <c r="K50" s="657" t="str">
        <f t="shared" si="279"/>
        <v>NM</v>
      </c>
      <c r="L50" s="657" t="str">
        <f t="shared" si="279"/>
        <v>NM</v>
      </c>
      <c r="M50" s="657" t="str">
        <f t="shared" si="279"/>
        <v>NM</v>
      </c>
      <c r="N50" s="657" t="str">
        <f t="shared" si="279"/>
        <v>NM</v>
      </c>
      <c r="O50" s="657" t="str">
        <f t="shared" si="279"/>
        <v>NM</v>
      </c>
      <c r="P50" s="657" t="str">
        <f t="shared" si="279"/>
        <v>NM</v>
      </c>
      <c r="Q50" s="657" t="str">
        <f t="shared" si="279"/>
        <v>NM</v>
      </c>
      <c r="R50" s="657" t="str">
        <f t="shared" si="279"/>
        <v>NM</v>
      </c>
      <c r="S50" s="657" t="str">
        <f t="shared" si="279"/>
        <v>NM</v>
      </c>
      <c r="T50" s="657" t="str">
        <f t="shared" si="279"/>
        <v>NM</v>
      </c>
      <c r="U50" s="657">
        <f t="shared" si="279"/>
        <v>0.95936295435950614</v>
      </c>
      <c r="V50" s="657">
        <f t="shared" si="279"/>
        <v>0.86870024076751684</v>
      </c>
      <c r="W50" s="657">
        <f t="shared" si="279"/>
        <v>1.5482637092973675</v>
      </c>
      <c r="X50" s="657">
        <f t="shared" si="279"/>
        <v>1.6984684132624632</v>
      </c>
      <c r="Y50" s="657">
        <f t="shared" si="279"/>
        <v>2.0194745576776119</v>
      </c>
      <c r="Z50" s="657">
        <f t="shared" si="279"/>
        <v>0.36567271223042735</v>
      </c>
      <c r="AA50" s="657">
        <f t="shared" si="279"/>
        <v>-1.1605905292648453</v>
      </c>
      <c r="AB50" s="657">
        <f t="shared" si="279"/>
        <v>-5.2086880812116059</v>
      </c>
      <c r="AC50" s="657">
        <f t="shared" si="279"/>
        <v>-6.6729488141267987</v>
      </c>
      <c r="AD50" s="657">
        <f t="shared" si="279"/>
        <v>0.54440980927900107</v>
      </c>
      <c r="AE50" s="2138">
        <f t="shared" si="279"/>
        <v>1.9017053088325608</v>
      </c>
      <c r="AF50" s="657">
        <f t="shared" si="279"/>
        <v>-0.50923445834224801</v>
      </c>
      <c r="AG50" s="657">
        <f t="shared" si="279"/>
        <v>0.3353836933916754</v>
      </c>
      <c r="AH50" s="657">
        <f t="shared" si="279"/>
        <v>1.1387384487479393</v>
      </c>
      <c r="AI50" s="657">
        <f t="shared" si="279"/>
        <v>1.0482422674627634</v>
      </c>
      <c r="AJ50" s="657">
        <f t="shared" si="279"/>
        <v>1.400379980592277</v>
      </c>
      <c r="AK50" s="657">
        <f t="shared" si="279"/>
        <v>1.3924262411981316</v>
      </c>
      <c r="AL50" s="657">
        <f t="shared" si="279"/>
        <v>7.1321527976136574</v>
      </c>
      <c r="AM50" s="715">
        <f t="shared" si="279"/>
        <v>8.1024444533760054</v>
      </c>
      <c r="AN50" s="715">
        <f t="shared" si="279"/>
        <v>8.7460239226337091</v>
      </c>
      <c r="AO50" s="715">
        <f t="shared" si="279"/>
        <v>9.1144209901855664</v>
      </c>
      <c r="AP50" s="715">
        <f t="shared" si="279"/>
        <v>0.57782532362546113</v>
      </c>
      <c r="AQ50" s="715">
        <f t="shared" si="279"/>
        <v>0.62845763942015886</v>
      </c>
      <c r="AR50" s="715">
        <f t="shared" si="279"/>
        <v>3.9205982996946949</v>
      </c>
      <c r="AS50" s="715">
        <f t="shared" si="279"/>
        <v>2.1150954454866677</v>
      </c>
      <c r="AT50" s="715">
        <f t="shared" si="279"/>
        <v>-4.4658101113247213</v>
      </c>
      <c r="AU50" s="715">
        <f t="shared" si="279"/>
        <v>14.783493071042484</v>
      </c>
      <c r="AV50" s="715">
        <f t="shared" si="279"/>
        <v>4.1778309295041209</v>
      </c>
      <c r="AW50" s="715">
        <f t="shared" si="279"/>
        <v>9.8602796568419179E-2</v>
      </c>
      <c r="AX50" s="715">
        <f t="shared" si="279"/>
        <v>2.3115285547200912</v>
      </c>
      <c r="AY50" s="715">
        <f t="shared" si="279"/>
        <v>-6.6342996840309496</v>
      </c>
      <c r="AZ50" s="715">
        <f t="shared" si="279"/>
        <v>-0.82315390694067048</v>
      </c>
      <c r="BA50" s="715">
        <f t="shared" ref="BA50:BK50" si="280">IF(ISERROR((BA49/(BA16-AW16))/(BA44/AW16)),"NM",(BA49/(BA16-AW16))/(BA44/AW16))</f>
        <v>-7.3148076138696852E-2</v>
      </c>
      <c r="BB50" s="715">
        <f t="shared" si="280"/>
        <v>-2.0183017270538604</v>
      </c>
      <c r="BC50" s="715">
        <f t="shared" si="280"/>
        <v>-1.642159296060955</v>
      </c>
      <c r="BD50" s="715">
        <f t="shared" si="280"/>
        <v>4.8389872483075864</v>
      </c>
      <c r="BE50" s="715">
        <f t="shared" si="280"/>
        <v>1.510877237801602</v>
      </c>
      <c r="BF50" s="715">
        <f t="shared" si="280"/>
        <v>0.36388854363100531</v>
      </c>
      <c r="BG50" s="715">
        <f t="shared" si="280"/>
        <v>0.44557223542116653</v>
      </c>
      <c r="BH50" s="715">
        <f t="shared" si="280"/>
        <v>-0.90456374551732477</v>
      </c>
      <c r="BI50" s="715">
        <f t="shared" si="280"/>
        <v>-3.3820471621122454</v>
      </c>
      <c r="BJ50" s="715">
        <f t="shared" si="280"/>
        <v>1.2636753819680391</v>
      </c>
      <c r="BK50" s="1361">
        <f t="shared" si="280"/>
        <v>0.37505980112221349</v>
      </c>
      <c r="BL50" s="673">
        <f>Inputs!BL152</f>
        <v>0.8</v>
      </c>
      <c r="BM50" s="673">
        <f>Inputs!BM152</f>
        <v>0.8</v>
      </c>
      <c r="BN50" s="673">
        <f>Inputs!BN152</f>
        <v>0.8</v>
      </c>
      <c r="BO50" s="673">
        <f>Inputs!BO152</f>
        <v>0.8</v>
      </c>
      <c r="BP50" s="673">
        <f>Inputs!BP152</f>
        <v>0.8</v>
      </c>
      <c r="BQ50" s="673">
        <f>Inputs!BQ152</f>
        <v>0.8</v>
      </c>
      <c r="BR50" s="673">
        <f>Inputs!BR152</f>
        <v>0.8</v>
      </c>
      <c r="BS50" s="673">
        <f>Inputs!BS152</f>
        <v>0.8</v>
      </c>
      <c r="BT50" s="673">
        <f>Inputs!BT152</f>
        <v>0.8</v>
      </c>
      <c r="BU50" s="673">
        <f>Inputs!BU152</f>
        <v>0.8</v>
      </c>
      <c r="BV50" s="673">
        <f>Inputs!BV152</f>
        <v>0.8</v>
      </c>
      <c r="BW50" s="673">
        <f>Inputs!BW152</f>
        <v>0.8</v>
      </c>
      <c r="BX50" s="673">
        <f>Inputs!BX152</f>
        <v>0.8</v>
      </c>
      <c r="BY50" s="673">
        <f>Inputs!BY152</f>
        <v>0.8</v>
      </c>
      <c r="BZ50" s="673">
        <f>Inputs!BZ152</f>
        <v>0.8</v>
      </c>
      <c r="CA50" s="673">
        <f>Inputs!CA152</f>
        <v>0.8</v>
      </c>
      <c r="CB50" s="673">
        <f>Inputs!CB152</f>
        <v>0.8</v>
      </c>
      <c r="CC50" s="673">
        <f>Inputs!CC152</f>
        <v>0.8</v>
      </c>
      <c r="CD50" s="673">
        <f>Inputs!CD152</f>
        <v>0.8</v>
      </c>
      <c r="CE50" s="673">
        <f>Inputs!CE152</f>
        <v>0.8</v>
      </c>
      <c r="CF50" s="673">
        <f>Inputs!CF152</f>
        <v>0.8</v>
      </c>
      <c r="CG50" s="673">
        <f>Inputs!CG152</f>
        <v>0.8</v>
      </c>
      <c r="CH50" s="673">
        <f>Inputs!CH152</f>
        <v>0.8</v>
      </c>
      <c r="CI50" s="673">
        <f>Inputs!CI152</f>
        <v>0.8</v>
      </c>
      <c r="CJ50" s="673">
        <f>Inputs!CJ152</f>
        <v>0.8</v>
      </c>
      <c r="CK50" s="673">
        <f>Inputs!CK152</f>
        <v>0.8</v>
      </c>
      <c r="CL50" s="673">
        <f>Inputs!CL152</f>
        <v>0.8</v>
      </c>
      <c r="CM50" s="673">
        <f>Inputs!CM152</f>
        <v>0.8</v>
      </c>
      <c r="CN50" s="673">
        <f>Inputs!CN152</f>
        <v>0.8</v>
      </c>
      <c r="CO50" s="673">
        <f>Inputs!CO152</f>
        <v>0.8</v>
      </c>
      <c r="CP50" s="673">
        <f>Inputs!CP152</f>
        <v>0.8</v>
      </c>
      <c r="CQ50" s="673">
        <f>Inputs!CQ152</f>
        <v>0.8</v>
      </c>
      <c r="CR50" s="673">
        <f>Inputs!CR152</f>
        <v>0.8</v>
      </c>
      <c r="CS50" s="673">
        <f>Inputs!CS152</f>
        <v>0.8</v>
      </c>
      <c r="CT50" s="673">
        <f>Inputs!CT152</f>
        <v>0.8</v>
      </c>
      <c r="CU50" s="673">
        <f>Inputs!CU152</f>
        <v>0.8</v>
      </c>
      <c r="CV50" s="673">
        <f>Inputs!CV152</f>
        <v>0.8</v>
      </c>
      <c r="CW50" s="673">
        <f>Inputs!CW152</f>
        <v>0.8</v>
      </c>
    </row>
    <row r="51" spans="1:101" s="9" customFormat="1" ht="11.25">
      <c r="A51" s="662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347"/>
      <c r="R51" s="347"/>
      <c r="S51" s="347"/>
      <c r="T51" s="347"/>
      <c r="U51" s="347"/>
      <c r="V51" s="911"/>
      <c r="W51" s="347"/>
      <c r="X51" s="347"/>
      <c r="Y51" s="347"/>
      <c r="Z51" s="347"/>
      <c r="AA51" s="347"/>
      <c r="AB51" s="347"/>
      <c r="AC51" s="347"/>
      <c r="AD51" s="347"/>
      <c r="AE51" s="2140"/>
      <c r="AF51" s="347"/>
      <c r="AG51" s="347"/>
      <c r="AH51" s="911"/>
      <c r="AI51" s="347"/>
      <c r="AJ51" s="347"/>
      <c r="AK51" s="347"/>
      <c r="AL51" s="434"/>
      <c r="AM51" s="911"/>
      <c r="AN51" s="911"/>
      <c r="AO51" s="911"/>
      <c r="AP51" s="911"/>
      <c r="AQ51" s="911"/>
      <c r="AR51" s="911"/>
      <c r="AS51" s="911"/>
      <c r="AT51" s="911"/>
      <c r="AU51" s="911"/>
      <c r="AV51" s="911"/>
      <c r="AW51" s="911"/>
      <c r="AX51" s="911"/>
      <c r="AY51" s="911"/>
      <c r="AZ51" s="911"/>
      <c r="BA51" s="911"/>
      <c r="BB51" s="911"/>
      <c r="BC51" s="911"/>
      <c r="BD51" s="911"/>
      <c r="BE51" s="911"/>
      <c r="BF51" s="911"/>
      <c r="BG51" s="911"/>
      <c r="BH51" s="911"/>
      <c r="BI51" s="911"/>
      <c r="BJ51" s="911"/>
      <c r="BK51" s="1369"/>
      <c r="BL51" s="380"/>
      <c r="BM51" s="380"/>
      <c r="BN51" s="380"/>
      <c r="BO51" s="380"/>
      <c r="BP51" s="380"/>
      <c r="BQ51" s="380"/>
      <c r="BR51" s="380"/>
      <c r="BS51" s="380"/>
      <c r="BT51" s="380"/>
      <c r="BU51" s="380"/>
      <c r="BV51" s="380"/>
      <c r="BW51" s="380"/>
      <c r="BX51" s="380"/>
      <c r="BY51" s="380"/>
      <c r="BZ51" s="380"/>
      <c r="CA51" s="380"/>
      <c r="CB51" s="380"/>
      <c r="CC51" s="380"/>
      <c r="CD51" s="380"/>
      <c r="CE51" s="380"/>
      <c r="CF51" s="380"/>
      <c r="CG51" s="380"/>
      <c r="CH51" s="380"/>
      <c r="CI51" s="380"/>
      <c r="CJ51" s="380"/>
      <c r="CK51" s="380"/>
      <c r="CL51" s="380"/>
      <c r="CM51" s="380"/>
      <c r="CN51" s="380"/>
      <c r="CO51" s="380"/>
      <c r="CP51" s="380"/>
      <c r="CQ51" s="380"/>
      <c r="CR51" s="380"/>
      <c r="CS51" s="380"/>
      <c r="CT51" s="380"/>
      <c r="CU51" s="380"/>
      <c r="CV51" s="380"/>
      <c r="CW51" s="380"/>
    </row>
    <row r="52" spans="1:101" s="9" customFormat="1" ht="11.25">
      <c r="A52" s="674" t="s">
        <v>744</v>
      </c>
      <c r="B52" s="658">
        <f>+IS!C89</f>
        <v>748.7</v>
      </c>
      <c r="C52" s="658">
        <f>+IS!D89</f>
        <v>769.7</v>
      </c>
      <c r="D52" s="658">
        <f>+IS!E89</f>
        <v>756</v>
      </c>
      <c r="E52" s="658">
        <f>+IS!F89</f>
        <v>791.09999999999991</v>
      </c>
      <c r="F52" s="658">
        <f>+IS!G89</f>
        <v>698.6</v>
      </c>
      <c r="G52" s="658">
        <f>+IS!H89</f>
        <v>708.6</v>
      </c>
      <c r="H52" s="658">
        <f>+IS!I89</f>
        <v>734.5</v>
      </c>
      <c r="I52" s="658">
        <f>+IS!J89</f>
        <v>832.2</v>
      </c>
      <c r="J52" s="658">
        <f>+IS!K89</f>
        <v>762.8</v>
      </c>
      <c r="K52" s="658">
        <f>+IS!L89</f>
        <v>821.1</v>
      </c>
      <c r="L52" s="658">
        <f>+IS!M89</f>
        <v>856.2</v>
      </c>
      <c r="M52" s="658">
        <f>+IS!N89</f>
        <v>956.5</v>
      </c>
      <c r="N52" s="658">
        <f>+IS!O89</f>
        <v>899.1</v>
      </c>
      <c r="O52" s="659">
        <f>+IS!P89</f>
        <v>1035</v>
      </c>
      <c r="P52" s="659">
        <f>+IS!Q89</f>
        <v>1014.3</v>
      </c>
      <c r="Q52" s="659">
        <f>+IS!R89</f>
        <v>1085.5</v>
      </c>
      <c r="R52" s="659">
        <f>+IS!S89</f>
        <v>976.6</v>
      </c>
      <c r="S52" s="659">
        <f>+IS!T89</f>
        <v>1055</v>
      </c>
      <c r="T52" s="659">
        <f>+IS!U89</f>
        <v>1088.7</v>
      </c>
      <c r="U52" s="659">
        <f>+IS!V89</f>
        <v>1209</v>
      </c>
      <c r="V52" s="659">
        <f>+IS!W89</f>
        <v>1099</v>
      </c>
      <c r="W52" s="659">
        <f>+IS!X89</f>
        <v>1167</v>
      </c>
      <c r="X52" s="659">
        <f>+IS!Y89</f>
        <v>1196</v>
      </c>
      <c r="Y52" s="659">
        <f>+IS!Z89</f>
        <v>1602</v>
      </c>
      <c r="Z52" s="659">
        <f>+IS!AA89</f>
        <v>1443</v>
      </c>
      <c r="AA52" s="659">
        <f>+IS!AB89</f>
        <v>1663</v>
      </c>
      <c r="AB52" s="659">
        <f>+IS!AC89</f>
        <v>1505</v>
      </c>
      <c r="AC52" s="659">
        <f>+IS!AD89</f>
        <v>1763</v>
      </c>
      <c r="AD52" s="659">
        <f>+IS!AE89</f>
        <v>1660</v>
      </c>
      <c r="AE52" s="2139">
        <f>+IS!AF89</f>
        <v>1689</v>
      </c>
      <c r="AF52" s="659">
        <f>+IS!AG89</f>
        <v>1862</v>
      </c>
      <c r="AG52" s="659">
        <f>+IS!AH89</f>
        <v>2047</v>
      </c>
      <c r="AH52" s="659">
        <f>+IS!AI89</f>
        <v>1696</v>
      </c>
      <c r="AI52" s="659">
        <f>+IS!AJ89</f>
        <v>1756</v>
      </c>
      <c r="AJ52" s="659">
        <f>+IS!AK89</f>
        <v>1657</v>
      </c>
      <c r="AK52" s="659">
        <f>+IS!AL89</f>
        <v>1917</v>
      </c>
      <c r="AL52" s="659">
        <f>+IS!AM89</f>
        <v>222.74599999999998</v>
      </c>
      <c r="AM52" s="966">
        <f>+IS!AN89</f>
        <v>251.47399999999999</v>
      </c>
      <c r="AN52" s="966">
        <f>+IS!AO89</f>
        <v>224.92099999999999</v>
      </c>
      <c r="AO52" s="966">
        <f>+IS!AP89</f>
        <v>275.28099999999995</v>
      </c>
      <c r="AP52" s="966">
        <f>+IS!AQ89</f>
        <v>249.19800000000001</v>
      </c>
      <c r="AQ52" s="966">
        <f>+IS!AR89</f>
        <v>278.98300000000006</v>
      </c>
      <c r="AR52" s="966">
        <f>+IS!AS89</f>
        <v>-355.69000000000005</v>
      </c>
      <c r="AS52" s="966">
        <f>+IS!AT89</f>
        <v>63.201000000000008</v>
      </c>
      <c r="AT52" s="966">
        <f>+IS!AU89</f>
        <v>80.198999999999998</v>
      </c>
      <c r="AU52" s="966">
        <f>+IS!AV89</f>
        <v>74.977000000000018</v>
      </c>
      <c r="AV52" s="966">
        <f>+IS!AW89</f>
        <v>56.966999999999999</v>
      </c>
      <c r="AW52" s="966">
        <f>+IS!AX89</f>
        <v>62.990000000000023</v>
      </c>
      <c r="AX52" s="966">
        <f>+IS!AY89</f>
        <v>60.007000000000005</v>
      </c>
      <c r="AY52" s="966">
        <f>+IS!AZ89</f>
        <v>69.924999999999983</v>
      </c>
      <c r="AZ52" s="966">
        <f>+IS!BA89</f>
        <v>117.74100000000001</v>
      </c>
      <c r="BA52" s="966">
        <f>+IS!BB89</f>
        <v>72.574999999999989</v>
      </c>
      <c r="BB52" s="966">
        <f>+IS!BC89</f>
        <v>73.680999999999997</v>
      </c>
      <c r="BC52" s="966">
        <f>+IS!BD89</f>
        <v>89.321000000000012</v>
      </c>
      <c r="BD52" s="966">
        <f>+IS!BE89</f>
        <v>123.13799999999996</v>
      </c>
      <c r="BE52" s="966">
        <f>+IS!BF89</f>
        <v>108.77100000000002</v>
      </c>
      <c r="BF52" s="966">
        <f>+IS!BG89</f>
        <v>297.61799999999999</v>
      </c>
      <c r="BG52" s="966">
        <f>+IS!BH89</f>
        <v>316.435</v>
      </c>
      <c r="BH52" s="966">
        <f>+IS!BI89</f>
        <v>387.202</v>
      </c>
      <c r="BI52" s="966">
        <f>+IS!BJ89</f>
        <v>521.53499999999997</v>
      </c>
      <c r="BJ52" s="966">
        <f>+IS!BK89</f>
        <v>402.78800000000001</v>
      </c>
      <c r="BK52" s="1363">
        <f>+IS!BL89</f>
        <v>362.33000000000004</v>
      </c>
      <c r="BL52" s="660">
        <f t="shared" ref="BL52:BQ52" si="281">+BL29*BL20</f>
        <v>454.75868988910412</v>
      </c>
      <c r="BM52" s="660">
        <f t="shared" si="281"/>
        <v>593.33931888766904</v>
      </c>
      <c r="BN52" s="660">
        <f t="shared" si="281"/>
        <v>447.50233390540183</v>
      </c>
      <c r="BO52" s="660">
        <f t="shared" si="281"/>
        <v>404.94755271273385</v>
      </c>
      <c r="BP52" s="660">
        <f t="shared" si="281"/>
        <v>507.7662205787563</v>
      </c>
      <c r="BQ52" s="660">
        <f t="shared" si="281"/>
        <v>662.47601110780056</v>
      </c>
      <c r="BR52" s="660">
        <f t="shared" ref="BR52:CK52" si="282">+BR29*BR20</f>
        <v>499.01113958196316</v>
      </c>
      <c r="BS52" s="660">
        <f t="shared" si="282"/>
        <v>451.22463381684901</v>
      </c>
      <c r="BT52" s="660">
        <f t="shared" si="282"/>
        <v>565.38507781676424</v>
      </c>
      <c r="BU52" s="660">
        <f t="shared" si="282"/>
        <v>734.08670785513459</v>
      </c>
      <c r="BV52" s="660">
        <f t="shared" si="282"/>
        <v>549.87074489342479</v>
      </c>
      <c r="BW52" s="660">
        <f t="shared" si="282"/>
        <v>496.0391237048172</v>
      </c>
      <c r="BX52" s="660">
        <f t="shared" si="282"/>
        <v>620.09883596407326</v>
      </c>
      <c r="BY52" s="660">
        <f t="shared" si="282"/>
        <v>803.17121593677678</v>
      </c>
      <c r="BZ52" s="660">
        <f t="shared" si="282"/>
        <v>593.85597308927072</v>
      </c>
      <c r="CA52" s="660">
        <f t="shared" si="282"/>
        <v>535.51681701513292</v>
      </c>
      <c r="CB52" s="660">
        <f t="shared" si="282"/>
        <v>669.20260013704728</v>
      </c>
      <c r="CC52" s="660">
        <f t="shared" si="282"/>
        <v>866.33293275759956</v>
      </c>
      <c r="CD52" s="660">
        <f t="shared" si="282"/>
        <v>640.24037136009281</v>
      </c>
      <c r="CE52" s="660">
        <f t="shared" si="282"/>
        <v>577.14475452763281</v>
      </c>
      <c r="CF52" s="660">
        <f t="shared" si="282"/>
        <v>720.97713510433323</v>
      </c>
      <c r="CG52" s="660">
        <f t="shared" si="282"/>
        <v>932.9232946157432</v>
      </c>
      <c r="CH52" s="660">
        <f t="shared" si="282"/>
        <v>688.58425939989718</v>
      </c>
      <c r="CI52" s="660">
        <f t="shared" si="282"/>
        <v>619.54037840679359</v>
      </c>
      <c r="CJ52" s="660">
        <f t="shared" si="282"/>
        <v>772.48359241384458</v>
      </c>
      <c r="CK52" s="660">
        <f t="shared" si="282"/>
        <v>997.6146100404427</v>
      </c>
      <c r="CL52" s="660">
        <f t="shared" ref="CL52:CW52" si="283">+CL29*CL20</f>
        <v>735.51162148815342</v>
      </c>
      <c r="CM52" s="660">
        <f t="shared" si="283"/>
        <v>661.63063603843034</v>
      </c>
      <c r="CN52" s="660">
        <f t="shared" si="283"/>
        <v>824.80232405916843</v>
      </c>
      <c r="CO52" s="660">
        <f t="shared" si="283"/>
        <v>1064.8718082070413</v>
      </c>
      <c r="CP52" s="660">
        <f t="shared" si="283"/>
        <v>784.87465582898756</v>
      </c>
      <c r="CQ52" s="660">
        <f t="shared" si="283"/>
        <v>705.90315463422269</v>
      </c>
      <c r="CR52" s="660">
        <f t="shared" si="283"/>
        <v>879.83073104499692</v>
      </c>
      <c r="CS52" s="660">
        <f t="shared" si="283"/>
        <v>1135.6068175776284</v>
      </c>
      <c r="CT52" s="660">
        <f t="shared" si="283"/>
        <v>836.17269448001537</v>
      </c>
      <c r="CU52" s="660">
        <f t="shared" si="283"/>
        <v>750.81363524283881</v>
      </c>
      <c r="CV52" s="660">
        <f t="shared" si="283"/>
        <v>934.29673669064914</v>
      </c>
      <c r="CW52" s="660">
        <f t="shared" si="283"/>
        <v>1204.7649795649218</v>
      </c>
    </row>
    <row r="53" spans="1:101" s="9" customFormat="1" ht="11.25">
      <c r="A53" s="665" t="s">
        <v>950</v>
      </c>
      <c r="B53" s="347"/>
      <c r="C53" s="347"/>
      <c r="D53" s="347"/>
      <c r="E53" s="347"/>
      <c r="F53" s="347">
        <f t="shared" ref="F53:AK53" si="284">F52/B52-1</f>
        <v>-6.6915987712034219E-2</v>
      </c>
      <c r="G53" s="347">
        <f t="shared" si="284"/>
        <v>-7.938157723788497E-2</v>
      </c>
      <c r="H53" s="347">
        <f t="shared" si="284"/>
        <v>-2.8439153439153486E-2</v>
      </c>
      <c r="I53" s="347">
        <f t="shared" si="284"/>
        <v>5.1952976867652767E-2</v>
      </c>
      <c r="J53" s="347">
        <f t="shared" si="284"/>
        <v>9.1898081878041715E-2</v>
      </c>
      <c r="K53" s="657">
        <f t="shared" si="284"/>
        <v>0.15876375952582555</v>
      </c>
      <c r="L53" s="657">
        <f t="shared" si="284"/>
        <v>0.16569094622191982</v>
      </c>
      <c r="M53" s="657">
        <f t="shared" si="284"/>
        <v>0.14936313386205224</v>
      </c>
      <c r="N53" s="657">
        <f t="shared" si="284"/>
        <v>0.17868379653906663</v>
      </c>
      <c r="O53" s="657">
        <f t="shared" si="284"/>
        <v>0.26050420168067223</v>
      </c>
      <c r="P53" s="657">
        <f t="shared" si="284"/>
        <v>0.1846531184302731</v>
      </c>
      <c r="Q53" s="657">
        <f t="shared" si="284"/>
        <v>0.13486670151594349</v>
      </c>
      <c r="R53" s="657">
        <f t="shared" si="284"/>
        <v>8.619730841953066E-2</v>
      </c>
      <c r="S53" s="657">
        <f t="shared" si="284"/>
        <v>1.9323671497584627E-2</v>
      </c>
      <c r="T53" s="657">
        <f t="shared" si="284"/>
        <v>7.3351079562259835E-2</v>
      </c>
      <c r="U53" s="657">
        <f t="shared" si="284"/>
        <v>0.11377245508982026</v>
      </c>
      <c r="V53" s="657">
        <f t="shared" si="284"/>
        <v>0.12533278722097063</v>
      </c>
      <c r="W53" s="657">
        <f t="shared" si="284"/>
        <v>0.10616113744075828</v>
      </c>
      <c r="X53" s="657">
        <f t="shared" si="284"/>
        <v>9.8557913107375716E-2</v>
      </c>
      <c r="Y53" s="657">
        <f t="shared" si="284"/>
        <v>0.32506203473945416</v>
      </c>
      <c r="Z53" s="657">
        <f t="shared" si="284"/>
        <v>0.31301182893539581</v>
      </c>
      <c r="AA53" s="657">
        <f t="shared" si="284"/>
        <v>0.42502142245072827</v>
      </c>
      <c r="AB53" s="657">
        <f t="shared" si="284"/>
        <v>0.25836120401337803</v>
      </c>
      <c r="AC53" s="657">
        <f t="shared" si="284"/>
        <v>0.10049937578027457</v>
      </c>
      <c r="AD53" s="657">
        <f t="shared" si="284"/>
        <v>0.1503811503811503</v>
      </c>
      <c r="AE53" s="2138">
        <f t="shared" si="284"/>
        <v>1.5634395670474976E-2</v>
      </c>
      <c r="AF53" s="657">
        <f t="shared" si="284"/>
        <v>0.23720930232558146</v>
      </c>
      <c r="AG53" s="657">
        <f t="shared" si="284"/>
        <v>0.16108905275099272</v>
      </c>
      <c r="AH53" s="657">
        <f t="shared" si="284"/>
        <v>2.168674698795181E-2</v>
      </c>
      <c r="AI53" s="657">
        <f t="shared" si="284"/>
        <v>3.9668442865600895E-2</v>
      </c>
      <c r="AJ53" s="657">
        <f t="shared" si="284"/>
        <v>-0.11009667024704617</v>
      </c>
      <c r="AK53" s="657">
        <f t="shared" si="284"/>
        <v>-6.3507572056668349E-2</v>
      </c>
      <c r="AL53" s="657">
        <f t="shared" ref="AL53:BQ53" si="285">AL52/AH52-1</f>
        <v>-0.8686639150943396</v>
      </c>
      <c r="AM53" s="715">
        <f t="shared" si="285"/>
        <v>-0.85679157175398635</v>
      </c>
      <c r="AN53" s="715">
        <f t="shared" si="285"/>
        <v>-0.86426010863005431</v>
      </c>
      <c r="AO53" s="715">
        <f t="shared" si="285"/>
        <v>-0.85640010432968183</v>
      </c>
      <c r="AP53" s="715">
        <f t="shared" si="285"/>
        <v>0.11875409659432723</v>
      </c>
      <c r="AQ53" s="715">
        <f t="shared" si="285"/>
        <v>0.10939103048426513</v>
      </c>
      <c r="AR53" s="715">
        <f t="shared" si="285"/>
        <v>-2.5813996914472197</v>
      </c>
      <c r="AS53" s="715">
        <f t="shared" si="285"/>
        <v>-0.77041277821571408</v>
      </c>
      <c r="AT53" s="715">
        <f t="shared" si="285"/>
        <v>-0.67817157441070952</v>
      </c>
      <c r="AU53" s="715">
        <f t="shared" si="285"/>
        <v>-0.73124885745726442</v>
      </c>
      <c r="AV53" s="715">
        <f t="shared" si="285"/>
        <v>-1.1601591273299783</v>
      </c>
      <c r="AW53" s="715">
        <f t="shared" si="285"/>
        <v>-3.3385547697027951E-3</v>
      </c>
      <c r="AX53" s="715">
        <f t="shared" si="285"/>
        <v>-0.25177371288918804</v>
      </c>
      <c r="AY53" s="715">
        <f t="shared" si="285"/>
        <v>-6.7380663403444174E-2</v>
      </c>
      <c r="AZ53" s="715">
        <f t="shared" si="285"/>
        <v>1.0668281636737063</v>
      </c>
      <c r="BA53" s="715">
        <f t="shared" ref="BA53:BK53" si="286">BA52/AW52-1</f>
        <v>0.15216701063660842</v>
      </c>
      <c r="BB53" s="715">
        <f t="shared" si="286"/>
        <v>0.22787341476827683</v>
      </c>
      <c r="BC53" s="715">
        <f t="shared" si="286"/>
        <v>0.27738291026099438</v>
      </c>
      <c r="BD53" s="715">
        <f t="shared" si="286"/>
        <v>4.5837898438096714E-2</v>
      </c>
      <c r="BE53" s="715">
        <f t="shared" si="286"/>
        <v>0.49873923527385511</v>
      </c>
      <c r="BF53" s="715">
        <f t="shared" si="286"/>
        <v>3.039277425659261</v>
      </c>
      <c r="BG53" s="715">
        <f t="shared" si="286"/>
        <v>2.5426719360508723</v>
      </c>
      <c r="BH53" s="715">
        <f t="shared" si="286"/>
        <v>2.1444558138024017</v>
      </c>
      <c r="BI53" s="715">
        <f t="shared" si="286"/>
        <v>3.7947982458559713</v>
      </c>
      <c r="BJ53" s="715">
        <f t="shared" si="286"/>
        <v>0.35337244387100242</v>
      </c>
      <c r="BK53" s="1361">
        <f t="shared" si="286"/>
        <v>0.14503768546462958</v>
      </c>
      <c r="BL53" s="461">
        <f t="shared" si="285"/>
        <v>0.17447402102547027</v>
      </c>
      <c r="BM53" s="461">
        <f t="shared" si="285"/>
        <v>0.13767881136964744</v>
      </c>
      <c r="BN53" s="461">
        <f t="shared" si="285"/>
        <v>0.11101208056198741</v>
      </c>
      <c r="BO53" s="461">
        <f t="shared" si="285"/>
        <v>0.11762082276580421</v>
      </c>
      <c r="BP53" s="461">
        <f t="shared" si="285"/>
        <v>0.11656188626671082</v>
      </c>
      <c r="BQ53" s="461">
        <f t="shared" si="285"/>
        <v>0.11652133950897081</v>
      </c>
      <c r="BR53" s="461">
        <f t="shared" ref="BR53:CK53" si="287">BR52/BN52-1</f>
        <v>0.1151028760610886</v>
      </c>
      <c r="BS53" s="461">
        <f t="shared" si="287"/>
        <v>0.11427919688390786</v>
      </c>
      <c r="BT53" s="461">
        <f t="shared" si="287"/>
        <v>0.11347516810459246</v>
      </c>
      <c r="BU53" s="461">
        <f t="shared" si="287"/>
        <v>0.1080955318330481</v>
      </c>
      <c r="BV53" s="461">
        <f t="shared" si="287"/>
        <v>0.10192078147607742</v>
      </c>
      <c r="BW53" s="461">
        <f t="shared" si="287"/>
        <v>9.9317471896178233E-2</v>
      </c>
      <c r="BX53" s="461">
        <f t="shared" si="287"/>
        <v>9.6772554306856273E-2</v>
      </c>
      <c r="BY53" s="461">
        <f t="shared" si="287"/>
        <v>9.4109466010485754E-2</v>
      </c>
      <c r="BZ53" s="461">
        <f t="shared" si="287"/>
        <v>7.9991941023105584E-2</v>
      </c>
      <c r="CA53" s="461">
        <f t="shared" si="287"/>
        <v>7.9585846002357075E-2</v>
      </c>
      <c r="CB53" s="461">
        <f t="shared" si="287"/>
        <v>7.9186996209454241E-2</v>
      </c>
      <c r="CC53" s="461">
        <f t="shared" si="287"/>
        <v>7.8640413858898306E-2</v>
      </c>
      <c r="CD53" s="461">
        <f t="shared" si="287"/>
        <v>7.8107151182681411E-2</v>
      </c>
      <c r="CE53" s="461">
        <f t="shared" si="287"/>
        <v>7.773413679989738E-2</v>
      </c>
      <c r="CF53" s="461">
        <f t="shared" si="287"/>
        <v>7.7367504185851921E-2</v>
      </c>
      <c r="CG53" s="461">
        <f t="shared" si="287"/>
        <v>7.68646317601962E-2</v>
      </c>
      <c r="CH53" s="461">
        <f t="shared" si="287"/>
        <v>7.5508965386086535E-2</v>
      </c>
      <c r="CI53" s="461">
        <f t="shared" si="287"/>
        <v>7.3457522651938056E-2</v>
      </c>
      <c r="CJ53" s="461">
        <f t="shared" si="287"/>
        <v>7.1439793027635812E-2</v>
      </c>
      <c r="CK53" s="461">
        <f t="shared" si="287"/>
        <v>6.9342587754060547E-2</v>
      </c>
      <c r="CL53" s="461">
        <f t="shared" ref="CL53" si="288">CL52/CH52-1</f>
        <v>6.8150500752302445E-2</v>
      </c>
      <c r="CM53" s="461">
        <f t="shared" ref="CM53" si="289">CM52/CI52-1</f>
        <v>6.7937876365501415E-2</v>
      </c>
      <c r="CN53" s="461">
        <f t="shared" ref="CN53" si="290">CN52/CJ52-1</f>
        <v>6.7727951970913747E-2</v>
      </c>
      <c r="CO53" s="461">
        <f t="shared" ref="CO53" si="291">CO52/CK52-1</f>
        <v>6.7418016426074701E-2</v>
      </c>
      <c r="CP53" s="461">
        <f t="shared" ref="CP53" si="292">CP52/CL52-1</f>
        <v>6.7113874068989388E-2</v>
      </c>
      <c r="CQ53" s="461">
        <f t="shared" ref="CQ53" si="293">CQ52/CM52-1</f>
        <v>6.6914251221614762E-2</v>
      </c>
      <c r="CR53" s="461">
        <f t="shared" ref="CR53" si="294">CR52/CN52-1</f>
        <v>6.6717085270822984E-2</v>
      </c>
      <c r="CS53" s="461">
        <f t="shared" ref="CS53" si="295">CS52/CO52-1</f>
        <v>6.6425844712412641E-2</v>
      </c>
      <c r="CT53" s="461">
        <f t="shared" ref="CT53" si="296">CT52/CP52-1</f>
        <v>6.535825595852196E-2</v>
      </c>
      <c r="CU53" s="461">
        <f t="shared" ref="CU53" si="297">CU52/CQ52-1</f>
        <v>6.362130600179472E-2</v>
      </c>
      <c r="CV53" s="461">
        <f t="shared" ref="CV53" si="298">CV52/CR52-1</f>
        <v>6.1905095746043859E-2</v>
      </c>
      <c r="CW53" s="461">
        <f t="shared" ref="CW53" si="299">CW52/CS52-1</f>
        <v>6.0899741809242736E-2</v>
      </c>
    </row>
    <row r="54" spans="1:101" s="9" customFormat="1" ht="11.25">
      <c r="A54" s="665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  <c r="P54" s="347"/>
      <c r="Q54" s="347"/>
      <c r="R54" s="347"/>
      <c r="S54" s="347"/>
      <c r="T54" s="347"/>
      <c r="U54" s="347"/>
      <c r="V54" s="347"/>
      <c r="W54" s="347"/>
      <c r="X54" s="347"/>
      <c r="Y54" s="347"/>
      <c r="Z54" s="347"/>
      <c r="AA54" s="347"/>
      <c r="AB54" s="347"/>
      <c r="AC54" s="347"/>
      <c r="AD54" s="347"/>
      <c r="AE54" s="2140"/>
      <c r="AF54" s="347"/>
      <c r="AG54" s="347"/>
      <c r="AH54" s="347"/>
      <c r="AI54" s="347"/>
      <c r="AJ54" s="347"/>
      <c r="AK54" s="347"/>
      <c r="AL54" s="434"/>
      <c r="AM54" s="911"/>
      <c r="AN54" s="911"/>
      <c r="AO54" s="911"/>
      <c r="AP54" s="673"/>
      <c r="AQ54" s="673"/>
      <c r="AR54" s="673"/>
      <c r="AS54" s="673"/>
      <c r="AT54" s="673"/>
      <c r="AU54" s="673"/>
      <c r="AV54" s="673"/>
      <c r="AW54" s="673"/>
      <c r="AX54" s="673"/>
      <c r="AY54" s="673"/>
      <c r="AZ54" s="673"/>
      <c r="BA54" s="673"/>
      <c r="BB54" s="673"/>
      <c r="BC54" s="673"/>
      <c r="BD54" s="673"/>
      <c r="BE54" s="673"/>
      <c r="BF54" s="673"/>
      <c r="BG54" s="673"/>
      <c r="BH54" s="673"/>
      <c r="BI54" s="673"/>
      <c r="BJ54" s="673"/>
      <c r="BK54" s="1370"/>
      <c r="BL54" s="673"/>
      <c r="BM54" s="673"/>
      <c r="BN54" s="673"/>
      <c r="BO54" s="673"/>
      <c r="BP54" s="673"/>
      <c r="BQ54" s="673"/>
      <c r="BR54" s="673"/>
      <c r="BS54" s="673"/>
      <c r="BT54" s="673"/>
      <c r="BU54" s="673"/>
      <c r="BV54" s="673"/>
      <c r="BW54" s="673"/>
      <c r="BX54" s="673"/>
      <c r="BY54" s="673"/>
      <c r="BZ54" s="673"/>
      <c r="CA54" s="673"/>
      <c r="CB54" s="673"/>
      <c r="CC54" s="673"/>
      <c r="CD54" s="673"/>
      <c r="CE54" s="673"/>
      <c r="CF54" s="673"/>
      <c r="CG54" s="673"/>
      <c r="CH54" s="673"/>
      <c r="CI54" s="673"/>
      <c r="CJ54" s="673"/>
      <c r="CK54" s="673"/>
      <c r="CL54" s="673"/>
      <c r="CM54" s="673"/>
      <c r="CN54" s="673"/>
      <c r="CO54" s="673"/>
      <c r="CP54" s="673"/>
      <c r="CQ54" s="673"/>
      <c r="CR54" s="673"/>
      <c r="CS54" s="673"/>
      <c r="CT54" s="673"/>
      <c r="CU54" s="673"/>
      <c r="CV54" s="673"/>
      <c r="CW54" s="673"/>
    </row>
    <row r="55" spans="1:101" s="9" customFormat="1" ht="11.25">
      <c r="A55" s="674" t="s">
        <v>939</v>
      </c>
      <c r="B55" s="870">
        <f>IS!C93</f>
        <v>0</v>
      </c>
      <c r="C55" s="870">
        <f>IS!D93</f>
        <v>0</v>
      </c>
      <c r="D55" s="870">
        <f>IS!E93</f>
        <v>0</v>
      </c>
      <c r="E55" s="870">
        <f>IS!F93</f>
        <v>0</v>
      </c>
      <c r="F55" s="870">
        <f>IS!G93</f>
        <v>0</v>
      </c>
      <c r="G55" s="870">
        <f>IS!H93</f>
        <v>0</v>
      </c>
      <c r="H55" s="870">
        <f>IS!I93</f>
        <v>0</v>
      </c>
      <c r="I55" s="870">
        <f>IS!J93</f>
        <v>0</v>
      </c>
      <c r="J55" s="870">
        <f>IS!K93</f>
        <v>36.122999999999998</v>
      </c>
      <c r="K55" s="870">
        <f>IS!L93</f>
        <v>55.023000000000003</v>
      </c>
      <c r="L55" s="870">
        <f>IS!M93</f>
        <v>41.123000000000005</v>
      </c>
      <c r="M55" s="870">
        <f>IS!N93</f>
        <v>82.211999999999989</v>
      </c>
      <c r="N55" s="870">
        <f>IS!O93</f>
        <v>36.122999999999998</v>
      </c>
      <c r="O55" s="870">
        <f>IS!P93</f>
        <v>55.023000000000003</v>
      </c>
      <c r="P55" s="870">
        <f>IS!Q93</f>
        <v>41.123000000000005</v>
      </c>
      <c r="Q55" s="870">
        <f>IS!R93</f>
        <v>82.211999999999989</v>
      </c>
      <c r="R55" s="870">
        <f>IS!S93</f>
        <v>46.244999999999997</v>
      </c>
      <c r="S55" s="870">
        <f>IS!T93</f>
        <v>86.722999999999985</v>
      </c>
      <c r="T55" s="870">
        <f>IS!U93</f>
        <v>84.563000000000017</v>
      </c>
      <c r="U55" s="870">
        <f>IS!V93</f>
        <v>96.026999999999987</v>
      </c>
      <c r="V55" s="870">
        <f>IS!W93</f>
        <v>70.724999999999994</v>
      </c>
      <c r="W55" s="870">
        <f>IS!X93</f>
        <v>110.62900000000002</v>
      </c>
      <c r="X55" s="870">
        <f>IS!Y93</f>
        <v>82.736999999999995</v>
      </c>
      <c r="Y55" s="870">
        <f>IS!Z93</f>
        <v>180.91800000000001</v>
      </c>
      <c r="Z55" s="870">
        <f>IS!AA93</f>
        <v>142.34200000000001</v>
      </c>
      <c r="AA55" s="870">
        <f>IS!AB93</f>
        <v>151.90899999999996</v>
      </c>
      <c r="AB55" s="870">
        <f>IS!AC93</f>
        <v>157.35700000000003</v>
      </c>
      <c r="AC55" s="870">
        <f>IS!AD93</f>
        <v>187.53699999999998</v>
      </c>
      <c r="AD55" s="870">
        <f>IS!AE93</f>
        <v>159.297</v>
      </c>
      <c r="AE55" s="2136">
        <f>IS!AF93</f>
        <v>207.20099999999999</v>
      </c>
      <c r="AF55" s="870">
        <f>IS!AG93</f>
        <v>186.21999999999997</v>
      </c>
      <c r="AG55" s="870">
        <f>IS!AH93</f>
        <v>235.0200000000001</v>
      </c>
      <c r="AH55" s="870">
        <f>IS!AI93</f>
        <v>179.584</v>
      </c>
      <c r="AI55" s="870">
        <f>IS!AJ93</f>
        <v>199.47699999999998</v>
      </c>
      <c r="AJ55" s="870">
        <f>IS!AK93</f>
        <v>192.03199999999998</v>
      </c>
      <c r="AK55" s="870">
        <f>IS!AL93</f>
        <v>240.69500000000005</v>
      </c>
      <c r="AL55" s="870">
        <f>IS!AM93</f>
        <v>164.55</v>
      </c>
      <c r="AM55" s="966">
        <f>IS!AN93</f>
        <v>173.57499999999999</v>
      </c>
      <c r="AN55" s="966">
        <f>IS!AO93</f>
        <v>149.16199999999998</v>
      </c>
      <c r="AO55" s="966">
        <f>IS!AP93</f>
        <v>175.52800000000008</v>
      </c>
      <c r="AP55" s="966">
        <f>IS!AQ93</f>
        <v>212.29</v>
      </c>
      <c r="AQ55" s="966">
        <f>IS!AR93</f>
        <v>237.85299999999998</v>
      </c>
      <c r="AR55" s="966">
        <f>IS!AS93</f>
        <v>83.35899999999998</v>
      </c>
      <c r="AS55" s="966">
        <f>IS!AT93</f>
        <v>360.91300000000001</v>
      </c>
      <c r="AT55" s="966">
        <f>IS!AU93</f>
        <v>163.90600000000001</v>
      </c>
      <c r="AU55" s="966">
        <f>IS!AV93</f>
        <v>68.062999999999988</v>
      </c>
      <c r="AV55" s="966">
        <f>IS!AW93</f>
        <v>135.06400000000002</v>
      </c>
      <c r="AW55" s="966">
        <f>IS!AX93</f>
        <v>139.26</v>
      </c>
      <c r="AX55" s="966">
        <f>IS!AY93</f>
        <v>72.724999999999994</v>
      </c>
      <c r="AY55" s="966">
        <f>IS!AZ93</f>
        <v>62.540999999999997</v>
      </c>
      <c r="AZ55" s="966">
        <f>IS!BA93</f>
        <v>86.271000000000015</v>
      </c>
      <c r="BA55" s="966">
        <f>IS!BB93</f>
        <v>95.71599999999998</v>
      </c>
      <c r="BB55" s="966">
        <f>IS!BC93</f>
        <v>74.537000000000006</v>
      </c>
      <c r="BC55" s="966">
        <f>IS!BD93</f>
        <v>67.043000000000006</v>
      </c>
      <c r="BD55" s="966">
        <f>IS!BE93</f>
        <v>77.36099999999999</v>
      </c>
      <c r="BE55" s="966">
        <f>IS!BF93</f>
        <v>80.421000000000021</v>
      </c>
      <c r="BF55" s="966">
        <f>IS!BG93</f>
        <v>72.653000000000006</v>
      </c>
      <c r="BG55" s="966">
        <f>IS!BH93</f>
        <v>83.147999999999982</v>
      </c>
      <c r="BH55" s="966">
        <f>IS!BI93</f>
        <v>82.274000000000001</v>
      </c>
      <c r="BI55" s="966">
        <f>IS!BJ93</f>
        <v>87.975000000000023</v>
      </c>
      <c r="BJ55" s="966">
        <f>IS!BK93</f>
        <v>90.281000000000006</v>
      </c>
      <c r="BK55" s="1363">
        <f>IS!BL93</f>
        <v>98.287999999999982</v>
      </c>
      <c r="BL55" s="660">
        <f t="shared" ref="BL55:BQ55" si="300">+BL33*BL20</f>
        <v>96.628675605849551</v>
      </c>
      <c r="BM55" s="660">
        <f t="shared" si="300"/>
        <v>100.08729343024477</v>
      </c>
      <c r="BN55" s="660">
        <f t="shared" si="300"/>
        <v>100.30328164521679</v>
      </c>
      <c r="BO55" s="660">
        <f t="shared" si="300"/>
        <v>109.84871542800535</v>
      </c>
      <c r="BP55" s="660">
        <f t="shared" si="300"/>
        <v>107.89189630192149</v>
      </c>
      <c r="BQ55" s="660">
        <f t="shared" si="300"/>
        <v>111.7495989285643</v>
      </c>
      <c r="BR55" s="660">
        <f t="shared" ref="BR55:CK55" si="301">+BR33*BR20</f>
        <v>111.84847784094663</v>
      </c>
      <c r="BS55" s="660">
        <f t="shared" si="301"/>
        <v>122.40213840584676</v>
      </c>
      <c r="BT55" s="660">
        <f t="shared" si="301"/>
        <v>120.13494737190528</v>
      </c>
      <c r="BU55" s="660">
        <f t="shared" si="301"/>
        <v>123.82923125687728</v>
      </c>
      <c r="BV55" s="660">
        <f t="shared" si="301"/>
        <v>123.24816210940563</v>
      </c>
      <c r="BW55" s="660">
        <f t="shared" si="301"/>
        <v>134.55880934700156</v>
      </c>
      <c r="BX55" s="660">
        <f t="shared" si="301"/>
        <v>131.7607130906043</v>
      </c>
      <c r="BY55" s="660">
        <f t="shared" si="301"/>
        <v>135.48273408695096</v>
      </c>
      <c r="BZ55" s="660">
        <f t="shared" si="301"/>
        <v>133.10702182406735</v>
      </c>
      <c r="CA55" s="660">
        <f t="shared" si="301"/>
        <v>145.26778602595255</v>
      </c>
      <c r="CB55" s="660">
        <f t="shared" si="301"/>
        <v>142.194448178665</v>
      </c>
      <c r="CC55" s="660">
        <f t="shared" si="301"/>
        <v>146.13715236628389</v>
      </c>
      <c r="CD55" s="660">
        <f t="shared" si="301"/>
        <v>143.50363210115628</v>
      </c>
      <c r="CE55" s="660">
        <f t="shared" si="301"/>
        <v>156.56005197751213</v>
      </c>
      <c r="CF55" s="660">
        <f t="shared" si="301"/>
        <v>153.19567774333271</v>
      </c>
      <c r="CG55" s="660">
        <f t="shared" si="301"/>
        <v>157.36993076940195</v>
      </c>
      <c r="CH55" s="660">
        <f t="shared" si="301"/>
        <v>154.33944289026019</v>
      </c>
      <c r="CI55" s="660">
        <f t="shared" si="301"/>
        <v>168.0605655420388</v>
      </c>
      <c r="CJ55" s="660">
        <f t="shared" si="301"/>
        <v>164.13994525404482</v>
      </c>
      <c r="CK55" s="660">
        <f t="shared" si="301"/>
        <v>168.28236900362961</v>
      </c>
      <c r="CL55" s="660">
        <f t="shared" ref="CL55:CW55" si="302">+CL33*CL20</f>
        <v>164.85775320906276</v>
      </c>
      <c r="CM55" s="660">
        <f t="shared" si="302"/>
        <v>179.4782434657501</v>
      </c>
      <c r="CN55" s="660">
        <f t="shared" si="302"/>
        <v>175.2568075827192</v>
      </c>
      <c r="CO55" s="660">
        <f t="shared" si="302"/>
        <v>179.6276325213351</v>
      </c>
      <c r="CP55" s="660">
        <f t="shared" si="302"/>
        <v>175.92199569723235</v>
      </c>
      <c r="CQ55" s="660">
        <f t="shared" si="302"/>
        <v>191.48789573783142</v>
      </c>
      <c r="CR55" s="660">
        <f t="shared" si="302"/>
        <v>186.94943095850769</v>
      </c>
      <c r="CS55" s="660">
        <f t="shared" si="302"/>
        <v>191.55954974525562</v>
      </c>
      <c r="CT55" s="660">
        <f t="shared" si="302"/>
        <v>187.41995052074606</v>
      </c>
      <c r="CU55" s="660">
        <f t="shared" si="302"/>
        <v>203.67060574820783</v>
      </c>
      <c r="CV55" s="660">
        <f t="shared" si="302"/>
        <v>198.5225533816625</v>
      </c>
      <c r="CW55" s="660">
        <f t="shared" si="302"/>
        <v>203.2254768658365</v>
      </c>
    </row>
    <row r="56" spans="1:101" s="9" customFormat="1" ht="11.25">
      <c r="A56" s="665" t="s">
        <v>950</v>
      </c>
      <c r="B56" s="347"/>
      <c r="C56" s="347"/>
      <c r="D56" s="347"/>
      <c r="E56" s="347"/>
      <c r="F56" s="676" t="str">
        <f t="shared" ref="F56:AZ56" si="303">IFERROR(F55/B55-1,"NM")</f>
        <v>NM</v>
      </c>
      <c r="G56" s="676" t="str">
        <f t="shared" si="303"/>
        <v>NM</v>
      </c>
      <c r="H56" s="676" t="str">
        <f t="shared" si="303"/>
        <v>NM</v>
      </c>
      <c r="I56" s="676" t="str">
        <f t="shared" si="303"/>
        <v>NM</v>
      </c>
      <c r="J56" s="676" t="str">
        <f t="shared" si="303"/>
        <v>NM</v>
      </c>
      <c r="K56" s="657" t="str">
        <f t="shared" si="303"/>
        <v>NM</v>
      </c>
      <c r="L56" s="657" t="str">
        <f t="shared" si="303"/>
        <v>NM</v>
      </c>
      <c r="M56" s="657" t="str">
        <f t="shared" si="303"/>
        <v>NM</v>
      </c>
      <c r="N56" s="657">
        <f t="shared" si="303"/>
        <v>0</v>
      </c>
      <c r="O56" s="657">
        <f t="shared" si="303"/>
        <v>0</v>
      </c>
      <c r="P56" s="657">
        <f t="shared" si="303"/>
        <v>0</v>
      </c>
      <c r="Q56" s="657">
        <f t="shared" si="303"/>
        <v>0</v>
      </c>
      <c r="R56" s="657">
        <f t="shared" si="303"/>
        <v>0.28020928494311104</v>
      </c>
      <c r="S56" s="657">
        <f t="shared" si="303"/>
        <v>0.5761227123203021</v>
      </c>
      <c r="T56" s="657">
        <f t="shared" si="303"/>
        <v>1.0563431656250764</v>
      </c>
      <c r="U56" s="657">
        <f t="shared" si="303"/>
        <v>0.16804116187417906</v>
      </c>
      <c r="V56" s="657">
        <f t="shared" si="303"/>
        <v>0.52935452481349321</v>
      </c>
      <c r="W56" s="657">
        <f t="shared" si="303"/>
        <v>0.27565928300450904</v>
      </c>
      <c r="X56" s="657">
        <f t="shared" si="303"/>
        <v>-2.1593368257985412E-2</v>
      </c>
      <c r="Y56" s="657">
        <f t="shared" si="303"/>
        <v>0.88403261582679904</v>
      </c>
      <c r="Z56" s="657">
        <f t="shared" si="303"/>
        <v>1.0126122304701313</v>
      </c>
      <c r="AA56" s="657">
        <f t="shared" si="303"/>
        <v>0.3731390503394223</v>
      </c>
      <c r="AB56" s="657">
        <f t="shared" si="303"/>
        <v>0.90189395312858855</v>
      </c>
      <c r="AC56" s="657">
        <f t="shared" si="303"/>
        <v>3.6585635481267698E-2</v>
      </c>
      <c r="AD56" s="657">
        <f t="shared" si="303"/>
        <v>0.11911452698430525</v>
      </c>
      <c r="AE56" s="2138">
        <f t="shared" si="303"/>
        <v>0.36398106761284743</v>
      </c>
      <c r="AF56" s="657">
        <f t="shared" si="303"/>
        <v>0.18342367991255504</v>
      </c>
      <c r="AG56" s="657">
        <f t="shared" si="303"/>
        <v>0.25319270330654819</v>
      </c>
      <c r="AH56" s="657">
        <f t="shared" si="303"/>
        <v>0.12735330859965988</v>
      </c>
      <c r="AI56" s="657">
        <f t="shared" si="303"/>
        <v>-3.7277812365770546E-2</v>
      </c>
      <c r="AJ56" s="657">
        <f t="shared" si="303"/>
        <v>3.1210396305445309E-2</v>
      </c>
      <c r="AK56" s="657">
        <f t="shared" si="303"/>
        <v>2.4146881116500429E-2</v>
      </c>
      <c r="AL56" s="657">
        <f t="shared" si="303"/>
        <v>-8.371569850320737E-2</v>
      </c>
      <c r="AM56" s="715">
        <f t="shared" si="303"/>
        <v>-0.12984955659048403</v>
      </c>
      <c r="AN56" s="715">
        <f t="shared" si="303"/>
        <v>-0.22324404265955677</v>
      </c>
      <c r="AO56" s="715">
        <f t="shared" si="303"/>
        <v>-0.27074513388312993</v>
      </c>
      <c r="AP56" s="715">
        <f t="shared" si="303"/>
        <v>0.29012458219386184</v>
      </c>
      <c r="AQ56" s="715">
        <f t="shared" si="303"/>
        <v>0.37031830620769113</v>
      </c>
      <c r="AR56" s="715">
        <f t="shared" si="303"/>
        <v>-0.44115123154690883</v>
      </c>
      <c r="AS56" s="715">
        <f t="shared" si="303"/>
        <v>1.0561562827583053</v>
      </c>
      <c r="AT56" s="715">
        <f t="shared" si="303"/>
        <v>-0.22791464506100145</v>
      </c>
      <c r="AU56" s="715">
        <f t="shared" si="303"/>
        <v>-0.71384426515536914</v>
      </c>
      <c r="AV56" s="715">
        <f t="shared" si="303"/>
        <v>0.62026895716119501</v>
      </c>
      <c r="AW56" s="715">
        <f t="shared" si="303"/>
        <v>-0.61414523721783376</v>
      </c>
      <c r="AX56" s="715">
        <f t="shared" si="303"/>
        <v>-0.55630056251754056</v>
      </c>
      <c r="AY56" s="715">
        <f t="shared" si="303"/>
        <v>-8.1130717129717977E-2</v>
      </c>
      <c r="AZ56" s="715">
        <f t="shared" si="303"/>
        <v>-0.36125836640407505</v>
      </c>
      <c r="BA56" s="715">
        <f t="shared" ref="BA56:BK56" si="304">IFERROR(BA55/AW55-1,"NM")</f>
        <v>-0.31268131552491751</v>
      </c>
      <c r="BB56" s="715">
        <f t="shared" si="304"/>
        <v>2.491577861808203E-2</v>
      </c>
      <c r="BC56" s="715">
        <f t="shared" si="304"/>
        <v>7.1984777985641513E-2</v>
      </c>
      <c r="BD56" s="715">
        <f t="shared" si="304"/>
        <v>-0.10327920158570114</v>
      </c>
      <c r="BE56" s="715">
        <f t="shared" si="304"/>
        <v>-0.1597956454511259</v>
      </c>
      <c r="BF56" s="715">
        <f t="shared" si="304"/>
        <v>-2.5276037404242224E-2</v>
      </c>
      <c r="BG56" s="715">
        <f t="shared" si="304"/>
        <v>0.24021896394851017</v>
      </c>
      <c r="BH56" s="715">
        <f t="shared" si="304"/>
        <v>6.3507452075335369E-2</v>
      </c>
      <c r="BI56" s="715">
        <f t="shared" si="304"/>
        <v>9.3930689745215901E-2</v>
      </c>
      <c r="BJ56" s="715">
        <f t="shared" si="304"/>
        <v>0.24263278873549621</v>
      </c>
      <c r="BK56" s="1361">
        <f t="shared" si="304"/>
        <v>0.18208495694424398</v>
      </c>
      <c r="BL56" s="461">
        <f t="shared" ref="BL56:BQ56" si="305">BL55/BH55-1</f>
        <v>0.17447402102547027</v>
      </c>
      <c r="BM56" s="461">
        <f t="shared" si="305"/>
        <v>0.13767881136964766</v>
      </c>
      <c r="BN56" s="461">
        <f t="shared" si="305"/>
        <v>0.11101208056198741</v>
      </c>
      <c r="BO56" s="461">
        <f t="shared" si="305"/>
        <v>0.11762082276580421</v>
      </c>
      <c r="BP56" s="461">
        <f t="shared" si="305"/>
        <v>0.11656188626671082</v>
      </c>
      <c r="BQ56" s="461">
        <f t="shared" si="305"/>
        <v>0.11652133950897081</v>
      </c>
      <c r="BR56" s="461">
        <f t="shared" ref="BR56:CK56" si="306">BR55/BN55-1</f>
        <v>0.1151028760610886</v>
      </c>
      <c r="BS56" s="461">
        <f t="shared" si="306"/>
        <v>0.11427919688390809</v>
      </c>
      <c r="BT56" s="461">
        <f t="shared" si="306"/>
        <v>0.11347516810459246</v>
      </c>
      <c r="BU56" s="461">
        <f t="shared" si="306"/>
        <v>0.1080955318330481</v>
      </c>
      <c r="BV56" s="461">
        <f t="shared" si="306"/>
        <v>0.10192078147607742</v>
      </c>
      <c r="BW56" s="461">
        <f t="shared" si="306"/>
        <v>9.9317471896178233E-2</v>
      </c>
      <c r="BX56" s="461">
        <f t="shared" si="306"/>
        <v>9.6772554306856273E-2</v>
      </c>
      <c r="BY56" s="461">
        <f t="shared" si="306"/>
        <v>9.4109466010485754E-2</v>
      </c>
      <c r="BZ56" s="461">
        <f t="shared" si="306"/>
        <v>7.9991941023105584E-2</v>
      </c>
      <c r="CA56" s="461">
        <f t="shared" si="306"/>
        <v>7.9585846002357075E-2</v>
      </c>
      <c r="CB56" s="461">
        <f t="shared" si="306"/>
        <v>7.9186996209454463E-2</v>
      </c>
      <c r="CC56" s="461">
        <f t="shared" si="306"/>
        <v>7.8640413858898528E-2</v>
      </c>
      <c r="CD56" s="461">
        <f t="shared" si="306"/>
        <v>7.8107151182681633E-2</v>
      </c>
      <c r="CE56" s="461">
        <f t="shared" si="306"/>
        <v>7.7734136799897158E-2</v>
      </c>
      <c r="CF56" s="461">
        <f t="shared" si="306"/>
        <v>7.7367504185851477E-2</v>
      </c>
      <c r="CG56" s="461">
        <f t="shared" si="306"/>
        <v>7.6864631760195978E-2</v>
      </c>
      <c r="CH56" s="461">
        <f t="shared" si="306"/>
        <v>7.5508965386086535E-2</v>
      </c>
      <c r="CI56" s="461">
        <f t="shared" si="306"/>
        <v>7.3457522651937834E-2</v>
      </c>
      <c r="CJ56" s="461">
        <f t="shared" si="306"/>
        <v>7.1439793027636034E-2</v>
      </c>
      <c r="CK56" s="461">
        <f t="shared" si="306"/>
        <v>6.9342587754060325E-2</v>
      </c>
      <c r="CL56" s="461">
        <f t="shared" ref="CL56" si="307">CL55/CH55-1</f>
        <v>6.8150500752302223E-2</v>
      </c>
      <c r="CM56" s="461">
        <f t="shared" ref="CM56" si="308">CM55/CI55-1</f>
        <v>6.7937876365501415E-2</v>
      </c>
      <c r="CN56" s="461">
        <f t="shared" ref="CN56" si="309">CN55/CJ55-1</f>
        <v>6.7727951970913969E-2</v>
      </c>
      <c r="CO56" s="461">
        <f t="shared" ref="CO56" si="310">CO55/CK55-1</f>
        <v>6.7418016426074923E-2</v>
      </c>
      <c r="CP56" s="461">
        <f t="shared" ref="CP56" si="311">CP55/CL55-1</f>
        <v>6.7113874068989388E-2</v>
      </c>
      <c r="CQ56" s="461">
        <f t="shared" ref="CQ56" si="312">CQ55/CM55-1</f>
        <v>6.6914251221614762E-2</v>
      </c>
      <c r="CR56" s="461">
        <f t="shared" ref="CR56" si="313">CR55/CN55-1</f>
        <v>6.6717085270822984E-2</v>
      </c>
      <c r="CS56" s="461">
        <f t="shared" ref="CS56" si="314">CS55/CO55-1</f>
        <v>6.6425844712412641E-2</v>
      </c>
      <c r="CT56" s="461">
        <f t="shared" ref="CT56" si="315">CT55/CP55-1</f>
        <v>6.535825595852196E-2</v>
      </c>
      <c r="CU56" s="461">
        <f t="shared" ref="CU56" si="316">CU55/CQ55-1</f>
        <v>6.3621306001795164E-2</v>
      </c>
      <c r="CV56" s="461">
        <f t="shared" ref="CV56" si="317">CV55/CR55-1</f>
        <v>6.1905095746043859E-2</v>
      </c>
      <c r="CW56" s="461">
        <f t="shared" ref="CW56" si="318">CW55/CS55-1</f>
        <v>6.0899741809242736E-2</v>
      </c>
    </row>
    <row r="57" spans="1:101" s="9" customFormat="1" ht="11.25">
      <c r="A57" s="665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1483"/>
      <c r="Y57" s="1483"/>
      <c r="Z57" s="1483"/>
      <c r="AA57" s="1483"/>
      <c r="AB57" s="1483"/>
      <c r="AC57" s="1483"/>
      <c r="AD57" s="1483"/>
      <c r="AE57" s="2129"/>
      <c r="AF57" s="316"/>
      <c r="AG57" s="316"/>
      <c r="AH57" s="421"/>
      <c r="AI57" s="421"/>
      <c r="AJ57" s="421"/>
      <c r="AK57" s="421"/>
      <c r="AL57" s="421"/>
      <c r="AM57" s="421"/>
      <c r="AN57" s="421"/>
      <c r="AO57" s="421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1317"/>
    </row>
    <row r="58" spans="1:101" s="9" customFormat="1" ht="11.25">
      <c r="A58" s="958" t="s">
        <v>1030</v>
      </c>
      <c r="B58" s="956"/>
      <c r="C58" s="956"/>
      <c r="D58" s="956"/>
      <c r="E58" s="956"/>
      <c r="F58" s="956"/>
      <c r="G58" s="956"/>
      <c r="H58" s="956"/>
      <c r="I58" s="956"/>
      <c r="J58" s="956"/>
      <c r="K58" s="956"/>
      <c r="L58" s="956"/>
      <c r="M58" s="956"/>
      <c r="N58" s="956"/>
      <c r="O58" s="956"/>
      <c r="P58" s="956"/>
      <c r="Q58" s="956"/>
      <c r="R58" s="956"/>
      <c r="S58" s="956"/>
      <c r="T58" s="956"/>
      <c r="U58" s="956">
        <f>+Q_Financials!U25</f>
        <v>715</v>
      </c>
      <c r="V58" s="956">
        <f>+Q_Financials!V25</f>
        <v>627</v>
      </c>
      <c r="W58" s="956">
        <f>+Q_Financials!W25</f>
        <v>944</v>
      </c>
      <c r="X58" s="956">
        <f>+Q_Financials!X25</f>
        <v>1048</v>
      </c>
      <c r="Y58" s="956">
        <f>+Q_Financials!Y25</f>
        <v>1400</v>
      </c>
      <c r="Z58" s="956">
        <f>+Q_Financials!Z25</f>
        <v>998</v>
      </c>
      <c r="AA58" s="956">
        <f>+Q_Financials!AA25</f>
        <v>1116</v>
      </c>
      <c r="AB58" s="956">
        <f>+Q_Financials!AB25</f>
        <v>1151</v>
      </c>
      <c r="AC58" s="956">
        <f>+Q_Financials!AC25</f>
        <v>1410</v>
      </c>
      <c r="AD58" s="956">
        <f>+Q_Financials!AD25</f>
        <v>1164</v>
      </c>
      <c r="AE58" s="2143">
        <f>+Q_Financials!AE25</f>
        <v>1279</v>
      </c>
      <c r="AF58" s="956">
        <f>+Q_Financials!AF25</f>
        <v>1339</v>
      </c>
      <c r="AG58" s="956">
        <f>+Q_Financials!AG25</f>
        <v>1433</v>
      </c>
      <c r="AH58" s="956">
        <f>+Q_Financials!AH25</f>
        <v>1247</v>
      </c>
      <c r="AI58" s="956">
        <f>+Q_Financials!AI25</f>
        <v>1412</v>
      </c>
      <c r="AJ58" s="956">
        <f>+Q_Financials!AJ25</f>
        <v>1294</v>
      </c>
      <c r="AK58" s="956">
        <f>+Q_Financials!AK25</f>
        <v>1655</v>
      </c>
      <c r="AL58" s="956">
        <f>+Q_Financials!AL25</f>
        <v>1365</v>
      </c>
      <c r="AM58" s="956">
        <f>+Q_Financials!AM25</f>
        <v>1517</v>
      </c>
      <c r="AN58" s="956">
        <f>+Q_Financials!AN25</f>
        <v>1425</v>
      </c>
      <c r="AO58" s="956">
        <f>+Q_Financials!AO25</f>
        <v>1594</v>
      </c>
      <c r="AP58" s="956">
        <f>+Q_Financials!AP25</f>
        <v>1338</v>
      </c>
      <c r="AQ58" s="956">
        <f>+Q_Financials!AQ25</f>
        <v>1673</v>
      </c>
      <c r="AR58" s="956">
        <f>+Q_Financials!AR25</f>
        <v>1526</v>
      </c>
      <c r="AS58" s="956">
        <f>+Q_Financials!AS25</f>
        <v>1663</v>
      </c>
      <c r="AT58" s="956">
        <f>+Q_Financials!AT25</f>
        <v>1273</v>
      </c>
      <c r="AU58" s="956">
        <f>+Q_Financials!AU25</f>
        <v>-334</v>
      </c>
      <c r="AV58" s="956">
        <f>+Q_Financials!AV25</f>
        <v>518</v>
      </c>
      <c r="AW58" s="956">
        <f>+Q_Financials!AW25</f>
        <v>1410</v>
      </c>
      <c r="AX58" s="956">
        <f>+Q_Financials!AX25</f>
        <v>901</v>
      </c>
      <c r="AY58" s="956">
        <f>+Q_Financials!AY25</f>
        <v>1559</v>
      </c>
      <c r="AZ58" s="956">
        <f>+Q_Financials!AZ25</f>
        <v>1386</v>
      </c>
      <c r="BA58" s="956">
        <f>+Q_Financials!BA25</f>
        <v>2105</v>
      </c>
      <c r="BB58" s="956">
        <f>+Q_Financials!BB25</f>
        <v>1646</v>
      </c>
      <c r="BC58" s="956">
        <f>+Q_Financials!BC25</f>
        <v>1905</v>
      </c>
      <c r="BD58" s="956">
        <f>+Q_Financials!BD25</f>
        <v>1869</v>
      </c>
      <c r="BE58" s="956">
        <f>+Q_Financials!BE25</f>
        <v>2147</v>
      </c>
      <c r="BF58" s="956">
        <f>+Q_Financials!BF25</f>
        <v>1972</v>
      </c>
      <c r="BG58" s="956">
        <f>+Q_Financials!BG25</f>
        <v>2357</v>
      </c>
      <c r="BH58" s="956">
        <f>+Q_Financials!BH25</f>
        <v>2256</v>
      </c>
      <c r="BI58" s="956">
        <f>+Q_Financials!BI25</f>
        <v>2420</v>
      </c>
      <c r="BJ58" s="956">
        <f>+Q_Financials!BJ25</f>
        <v>2430</v>
      </c>
      <c r="BK58" s="1371">
        <f>+Q_Financials!BK25</f>
        <v>2643</v>
      </c>
      <c r="BL58" s="957">
        <f t="shared" ref="BL58:BQ58" si="319">+BL60*BL38</f>
        <v>2473.0663655393196</v>
      </c>
      <c r="BM58" s="957">
        <f t="shared" si="319"/>
        <v>2585.9573845601858</v>
      </c>
      <c r="BN58" s="957">
        <f t="shared" si="319"/>
        <v>2527.6731619269731</v>
      </c>
      <c r="BO58" s="957">
        <f t="shared" si="319"/>
        <v>2743.2675713989684</v>
      </c>
      <c r="BP58" s="957">
        <f t="shared" si="319"/>
        <v>2608.3014537253507</v>
      </c>
      <c r="BQ58" s="957">
        <f t="shared" si="319"/>
        <v>2739.8775102105392</v>
      </c>
      <c r="BR58" s="957">
        <f t="shared" ref="BR58:CK58" si="320">+BR60*BR38</f>
        <v>2684.7131586700962</v>
      </c>
      <c r="BS58" s="957">
        <f t="shared" si="320"/>
        <v>2910.1887395606896</v>
      </c>
      <c r="BT58" s="957">
        <f t="shared" si="320"/>
        <v>2765.7944648281195</v>
      </c>
      <c r="BU58" s="957">
        <f t="shared" si="320"/>
        <v>2902.6573183926866</v>
      </c>
      <c r="BV58" s="957">
        <f t="shared" si="320"/>
        <v>2839.411752107379</v>
      </c>
      <c r="BW58" s="957">
        <f t="shared" si="320"/>
        <v>3075.3632697483858</v>
      </c>
      <c r="BX58" s="957">
        <f t="shared" si="320"/>
        <v>2922.2395165135813</v>
      </c>
      <c r="BY58" s="957">
        <f t="shared" si="320"/>
        <v>3064.3757253800595</v>
      </c>
      <c r="BZ58" s="957">
        <f t="shared" si="320"/>
        <v>2902.4476828295201</v>
      </c>
      <c r="CA58" s="957">
        <f t="shared" si="320"/>
        <v>3144.7398146822716</v>
      </c>
      <c r="CB58" s="957">
        <f t="shared" si="320"/>
        <v>2985.6483382462638</v>
      </c>
      <c r="CC58" s="957">
        <f t="shared" si="320"/>
        <v>3130.0816325547426</v>
      </c>
      <c r="CD58" s="957">
        <f t="shared" si="320"/>
        <v>3030.5735663540022</v>
      </c>
      <c r="CE58" s="957">
        <f t="shared" si="320"/>
        <v>3282.6436461822868</v>
      </c>
      <c r="CF58" s="957">
        <f t="shared" si="320"/>
        <v>3117.4192212594744</v>
      </c>
      <c r="CG58" s="957">
        <f t="shared" si="320"/>
        <v>3269.0157264455261</v>
      </c>
      <c r="CH58" s="957">
        <f t="shared" si="320"/>
        <v>3162.8406496278117</v>
      </c>
      <c r="CI58" s="957">
        <f t="shared" si="320"/>
        <v>3423.4559974727972</v>
      </c>
      <c r="CJ58" s="957">
        <f t="shared" si="320"/>
        <v>3250.4772153039385</v>
      </c>
      <c r="CK58" s="957">
        <f t="shared" si="320"/>
        <v>3406.4948738368721</v>
      </c>
      <c r="CL58" s="957">
        <f t="shared" ref="CL58:CW58" si="321">+CL60*CL38</f>
        <v>3292.5876849096703</v>
      </c>
      <c r="CM58" s="957">
        <f t="shared" si="321"/>
        <v>3563.0811593152075</v>
      </c>
      <c r="CN58" s="957">
        <f t="shared" si="321"/>
        <v>3383.8647697046245</v>
      </c>
      <c r="CO58" s="957">
        <f t="shared" si="321"/>
        <v>3547.0801747171222</v>
      </c>
      <c r="CP58" s="957">
        <f t="shared" si="321"/>
        <v>3427.1177395345767</v>
      </c>
      <c r="CQ58" s="957">
        <f t="shared" si="321"/>
        <v>3707.8255242394571</v>
      </c>
      <c r="CR58" s="957">
        <f t="shared" si="321"/>
        <v>3522.1764806077103</v>
      </c>
      <c r="CS58" s="957">
        <f t="shared" si="321"/>
        <v>3692.8892296095541</v>
      </c>
      <c r="CT58" s="957">
        <f t="shared" si="321"/>
        <v>3566.4266428926398</v>
      </c>
      <c r="CU58" s="957">
        <f t="shared" si="321"/>
        <v>3857.3724884332923</v>
      </c>
      <c r="CV58" s="957">
        <f t="shared" si="321"/>
        <v>3664.6594051020352</v>
      </c>
      <c r="CW58" s="957">
        <f t="shared" si="321"/>
        <v>3842.1253439501747</v>
      </c>
    </row>
    <row r="59" spans="1:101" s="9" customFormat="1" ht="11.25">
      <c r="A59" s="903" t="s">
        <v>873</v>
      </c>
      <c r="B59" s="812"/>
      <c r="C59" s="812"/>
      <c r="D59" s="812"/>
      <c r="E59" s="812"/>
      <c r="F59" s="812"/>
      <c r="G59" s="812"/>
      <c r="H59" s="812"/>
      <c r="I59" s="812"/>
      <c r="J59" s="812"/>
      <c r="K59" s="812"/>
      <c r="L59" s="812"/>
      <c r="M59" s="812"/>
      <c r="N59" s="812"/>
      <c r="O59" s="812"/>
      <c r="P59" s="812"/>
      <c r="Q59" s="812"/>
      <c r="R59" s="812"/>
      <c r="S59" s="812"/>
      <c r="T59" s="812"/>
      <c r="U59" s="813">
        <f t="shared" ref="U59:AZ59" si="322">+U58/U$305</f>
        <v>0.78399122807017541</v>
      </c>
      <c r="V59" s="813">
        <f t="shared" si="322"/>
        <v>0.82391590013140603</v>
      </c>
      <c r="W59" s="813">
        <f t="shared" si="322"/>
        <v>0.87326549491211836</v>
      </c>
      <c r="X59" s="813">
        <f t="shared" si="322"/>
        <v>0.85134037367993498</v>
      </c>
      <c r="Y59" s="813">
        <f t="shared" si="322"/>
        <v>0.7310704960835509</v>
      </c>
      <c r="Z59" s="813">
        <f t="shared" si="322"/>
        <v>0.70430486944248416</v>
      </c>
      <c r="AA59" s="813">
        <f t="shared" si="322"/>
        <v>0.70144563167818985</v>
      </c>
      <c r="AB59" s="813">
        <f t="shared" si="322"/>
        <v>0.6727060198714202</v>
      </c>
      <c r="AC59" s="813">
        <f t="shared" si="322"/>
        <v>0.68479844584749883</v>
      </c>
      <c r="AD59" s="813">
        <f t="shared" si="322"/>
        <v>0.68149882903981263</v>
      </c>
      <c r="AE59" s="2144">
        <f t="shared" si="322"/>
        <v>0.68031914893617018</v>
      </c>
      <c r="AF59" s="813">
        <f t="shared" si="322"/>
        <v>0.65960591133004931</v>
      </c>
      <c r="AG59" s="813">
        <f t="shared" si="322"/>
        <v>0.61660929432013767</v>
      </c>
      <c r="AH59" s="813">
        <f t="shared" si="322"/>
        <v>0.61916583912611722</v>
      </c>
      <c r="AI59" s="813">
        <f t="shared" si="322"/>
        <v>0.65009208103130756</v>
      </c>
      <c r="AJ59" s="813">
        <f t="shared" si="322"/>
        <v>0.61943513642891335</v>
      </c>
      <c r="AK59" s="813">
        <f t="shared" si="322"/>
        <v>0.63143838229683324</v>
      </c>
      <c r="AL59" s="813">
        <f t="shared" si="322"/>
        <v>0.62158469945355188</v>
      </c>
      <c r="AM59" s="84">
        <f t="shared" si="322"/>
        <v>0.65107296137339055</v>
      </c>
      <c r="AN59" s="84">
        <f t="shared" si="322"/>
        <v>0.64189189189189189</v>
      </c>
      <c r="AO59" s="84">
        <f t="shared" si="322"/>
        <v>0.64300121016538925</v>
      </c>
      <c r="AP59" s="84">
        <f t="shared" si="322"/>
        <v>0.55061728395061726</v>
      </c>
      <c r="AQ59" s="84">
        <f t="shared" si="322"/>
        <v>0.58660589060308554</v>
      </c>
      <c r="AR59" s="84">
        <f t="shared" si="322"/>
        <v>0.56206261510128919</v>
      </c>
      <c r="AS59" s="84">
        <f t="shared" si="322"/>
        <v>0.51694124961143928</v>
      </c>
      <c r="AT59" s="84">
        <f t="shared" si="322"/>
        <v>0.72867773325701202</v>
      </c>
      <c r="AU59" s="84">
        <f t="shared" si="322"/>
        <v>0.32177263969171482</v>
      </c>
      <c r="AV59" s="84">
        <f t="shared" si="322"/>
        <v>0.45598591549295775</v>
      </c>
      <c r="AW59" s="84">
        <f t="shared" si="322"/>
        <v>0.56264964086193137</v>
      </c>
      <c r="AX59" s="84">
        <f t="shared" si="322"/>
        <v>0.605510752688172</v>
      </c>
      <c r="AY59" s="84">
        <f t="shared" si="322"/>
        <v>0.63710666121781778</v>
      </c>
      <c r="AZ59" s="84">
        <f t="shared" si="322"/>
        <v>0.51428571428571423</v>
      </c>
      <c r="BA59" s="84">
        <f t="shared" ref="BA59:CF59" si="323">+BA58/BA$305</f>
        <v>0.52611847038240445</v>
      </c>
      <c r="BB59" s="84">
        <f t="shared" si="323"/>
        <v>0.58597365610537555</v>
      </c>
      <c r="BC59" s="84">
        <f t="shared" si="323"/>
        <v>0.58381857186638064</v>
      </c>
      <c r="BD59" s="84">
        <f t="shared" si="323"/>
        <v>0.60662122687439146</v>
      </c>
      <c r="BE59" s="84">
        <f t="shared" si="323"/>
        <v>0.59539656128674434</v>
      </c>
      <c r="BF59" s="84">
        <f t="shared" si="323"/>
        <v>0.61586508432229858</v>
      </c>
      <c r="BG59" s="84">
        <f t="shared" si="323"/>
        <v>0.62870098692984799</v>
      </c>
      <c r="BH59" s="84">
        <f t="shared" si="323"/>
        <v>0.60111910471622698</v>
      </c>
      <c r="BI59" s="84">
        <f t="shared" si="323"/>
        <v>0.5970885763631878</v>
      </c>
      <c r="BJ59" s="84">
        <f t="shared" si="323"/>
        <v>0.67839195979899503</v>
      </c>
      <c r="BK59" s="801">
        <f t="shared" ref="BK59" si="324">+BK58/BK$305</f>
        <v>0.6966262519768055</v>
      </c>
      <c r="BL59" s="380">
        <f t="shared" si="323"/>
        <v>0.65826258523088632</v>
      </c>
      <c r="BM59" s="380">
        <f t="shared" si="323"/>
        <v>0.62794104238330417</v>
      </c>
      <c r="BN59" s="380">
        <f t="shared" si="323"/>
        <v>0.66782271321226006</v>
      </c>
      <c r="BO59" s="380">
        <f t="shared" si="323"/>
        <v>0.67726397954142425</v>
      </c>
      <c r="BP59" s="380">
        <f t="shared" si="323"/>
        <v>0.63991879003703944</v>
      </c>
      <c r="BQ59" s="380">
        <f t="shared" si="323"/>
        <v>0.61549247490300174</v>
      </c>
      <c r="BR59" s="380">
        <f t="shared" si="323"/>
        <v>0.65984890544255304</v>
      </c>
      <c r="BS59" s="380">
        <f t="shared" si="323"/>
        <v>0.67383531581000788</v>
      </c>
      <c r="BT59" s="380">
        <f t="shared" si="323"/>
        <v>0.63615425062109754</v>
      </c>
      <c r="BU59" s="380">
        <f t="shared" si="323"/>
        <v>0.61143615275701912</v>
      </c>
      <c r="BV59" s="380">
        <f t="shared" si="323"/>
        <v>0.65783998957685896</v>
      </c>
      <c r="BW59" s="380">
        <f t="shared" si="323"/>
        <v>0.67186397301765621</v>
      </c>
      <c r="BX59" s="380">
        <f t="shared" si="323"/>
        <v>0.6336488430113717</v>
      </c>
      <c r="BY59" s="380">
        <f t="shared" si="323"/>
        <v>0.60814017880745319</v>
      </c>
      <c r="BZ59" s="380">
        <f t="shared" si="323"/>
        <v>0.65707204360921445</v>
      </c>
      <c r="CA59" s="380">
        <f t="shared" si="323"/>
        <v>0.67127304145417344</v>
      </c>
      <c r="CB59" s="380">
        <f t="shared" si="323"/>
        <v>0.63207337016372389</v>
      </c>
      <c r="CC59" s="380">
        <f t="shared" si="323"/>
        <v>0.60547105392214207</v>
      </c>
      <c r="CD59" s="380">
        <f t="shared" si="323"/>
        <v>0.65281146199594453</v>
      </c>
      <c r="CE59" s="380">
        <f t="shared" si="323"/>
        <v>0.66717888416361015</v>
      </c>
      <c r="CF59" s="380">
        <f t="shared" si="323"/>
        <v>0.62749086554613975</v>
      </c>
      <c r="CG59" s="380">
        <f t="shared" ref="CG59:CW59" si="325">+CG58/CG$305</f>
        <v>0.6003049377342573</v>
      </c>
      <c r="CH59" s="380">
        <f t="shared" si="325"/>
        <v>0.64855664223611487</v>
      </c>
      <c r="CI59" s="380">
        <f t="shared" si="325"/>
        <v>0.66308449208050146</v>
      </c>
      <c r="CJ59" s="380">
        <f t="shared" si="325"/>
        <v>0.62292013790769463</v>
      </c>
      <c r="CK59" s="380">
        <f t="shared" si="325"/>
        <v>0.59509302118001917</v>
      </c>
      <c r="CL59" s="380">
        <f t="shared" si="325"/>
        <v>0.64410090485160876</v>
      </c>
      <c r="CM59" s="380">
        <f t="shared" si="325"/>
        <v>0.6587816747551174</v>
      </c>
      <c r="CN59" s="380">
        <f t="shared" si="325"/>
        <v>0.61812683995252804</v>
      </c>
      <c r="CO59" s="380">
        <f t="shared" si="325"/>
        <v>0.5897707210678691</v>
      </c>
      <c r="CP59" s="380">
        <f t="shared" si="325"/>
        <v>0.63962573944948431</v>
      </c>
      <c r="CQ59" s="380">
        <f t="shared" si="325"/>
        <v>0.65445816172541449</v>
      </c>
      <c r="CR59" s="380">
        <f t="shared" si="325"/>
        <v>0.61331299182488419</v>
      </c>
      <c r="CS59" s="380">
        <f t="shared" si="325"/>
        <v>0.58444380289177733</v>
      </c>
      <c r="CT59" s="380">
        <f t="shared" si="325"/>
        <v>0.63508875062182091</v>
      </c>
      <c r="CU59" s="380">
        <f t="shared" si="325"/>
        <v>0.65005175505740642</v>
      </c>
      <c r="CV59" s="380">
        <f t="shared" si="325"/>
        <v>0.60839319397877223</v>
      </c>
      <c r="CW59" s="380">
        <f t="shared" si="325"/>
        <v>0.57916993590802623</v>
      </c>
    </row>
    <row r="60" spans="1:101" s="9" customFormat="1" ht="11.25">
      <c r="A60" s="903" t="s">
        <v>979</v>
      </c>
      <c r="B60" s="812"/>
      <c r="C60" s="812"/>
      <c r="D60" s="812"/>
      <c r="E60" s="812"/>
      <c r="F60" s="812"/>
      <c r="G60" s="812"/>
      <c r="H60" s="812"/>
      <c r="I60" s="812"/>
      <c r="J60" s="812"/>
      <c r="K60" s="812"/>
      <c r="L60" s="812"/>
      <c r="M60" s="812"/>
      <c r="N60" s="812"/>
      <c r="O60" s="812"/>
      <c r="P60" s="812"/>
      <c r="Q60" s="812"/>
      <c r="R60" s="812"/>
      <c r="S60" s="812"/>
      <c r="T60" s="812"/>
      <c r="U60" s="813">
        <f t="shared" ref="U60:AT60" si="326">+U58/U38</f>
        <v>0.17537404954623498</v>
      </c>
      <c r="V60" s="813">
        <f t="shared" si="326"/>
        <v>0.16387872451646629</v>
      </c>
      <c r="W60" s="813">
        <f t="shared" si="326"/>
        <v>0.18929215961499898</v>
      </c>
      <c r="X60" s="813">
        <f t="shared" si="326"/>
        <v>0.19450631031922791</v>
      </c>
      <c r="Y60" s="813">
        <f t="shared" si="326"/>
        <v>0.21648368640791713</v>
      </c>
      <c r="Z60" s="813">
        <f t="shared" si="326"/>
        <v>0.21420905773771196</v>
      </c>
      <c r="AA60" s="813">
        <f t="shared" si="326"/>
        <v>0.23005565862708721</v>
      </c>
      <c r="AB60" s="813">
        <f t="shared" si="326"/>
        <v>0.23103171417101565</v>
      </c>
      <c r="AC60" s="813">
        <f t="shared" si="326"/>
        <v>0.26091783863804591</v>
      </c>
      <c r="AD60" s="813">
        <f t="shared" si="326"/>
        <v>0.22580019398642096</v>
      </c>
      <c r="AE60" s="2144">
        <f t="shared" si="326"/>
        <v>0.23915482423335827</v>
      </c>
      <c r="AF60" s="813">
        <f t="shared" si="326"/>
        <v>0.24274836838288616</v>
      </c>
      <c r="AG60" s="813">
        <f t="shared" si="326"/>
        <v>0.24015418133065192</v>
      </c>
      <c r="AH60" s="813">
        <f t="shared" si="326"/>
        <v>0.22371725870111231</v>
      </c>
      <c r="AI60" s="813">
        <f t="shared" si="326"/>
        <v>0.23843296183721716</v>
      </c>
      <c r="AJ60" s="813">
        <f t="shared" si="326"/>
        <v>0.22314192102086566</v>
      </c>
      <c r="AK60" s="813">
        <f t="shared" si="326"/>
        <v>0.25932309620808525</v>
      </c>
      <c r="AL60" s="813">
        <f t="shared" si="326"/>
        <v>0.22761380690345173</v>
      </c>
      <c r="AM60" s="84">
        <f t="shared" si="326"/>
        <v>0.24299215120935447</v>
      </c>
      <c r="AN60" s="84">
        <f t="shared" si="326"/>
        <v>0.22655007949125597</v>
      </c>
      <c r="AO60" s="84">
        <f t="shared" si="326"/>
        <v>0.22994806693594921</v>
      </c>
      <c r="AP60" s="84">
        <f t="shared" si="326"/>
        <v>0.20948802254579615</v>
      </c>
      <c r="AQ60" s="84">
        <f t="shared" si="326"/>
        <v>0.24249891288592548</v>
      </c>
      <c r="AR60" s="84">
        <f t="shared" si="326"/>
        <v>0.2284431137724551</v>
      </c>
      <c r="AS60" s="84">
        <f t="shared" si="326"/>
        <v>0.22934767618259549</v>
      </c>
      <c r="AT60" s="84">
        <f t="shared" si="326"/>
        <v>0.20499194847020935</v>
      </c>
      <c r="AU60" s="84">
        <f t="shared" ref="AU60:BC60" si="327">+AU58/AU38</f>
        <v>-0.12066473988439307</v>
      </c>
      <c r="AV60" s="84">
        <f t="shared" si="327"/>
        <v>0.11337272926242066</v>
      </c>
      <c r="AW60" s="84">
        <f t="shared" si="327"/>
        <v>0.25543478260869568</v>
      </c>
      <c r="AX60" s="84">
        <f t="shared" si="327"/>
        <v>0.18110552763819096</v>
      </c>
      <c r="AY60" s="84">
        <f t="shared" si="327"/>
        <v>0.24114462490332561</v>
      </c>
      <c r="AZ60" s="84">
        <f t="shared" si="327"/>
        <v>0.20671140939597316</v>
      </c>
      <c r="BA60" s="84">
        <f t="shared" si="327"/>
        <v>0.26747141041931383</v>
      </c>
      <c r="BB60" s="84">
        <f t="shared" si="327"/>
        <v>0.22440354464894341</v>
      </c>
      <c r="BC60" s="84">
        <f t="shared" si="327"/>
        <v>0.22795261457460811</v>
      </c>
      <c r="BD60" s="84">
        <f t="shared" ref="BD60:BG60" si="328">+BD58/BD38</f>
        <v>0.22242056408425562</v>
      </c>
      <c r="BE60" s="84">
        <f t="shared" si="328"/>
        <v>0.22906219993598634</v>
      </c>
      <c r="BF60" s="84">
        <f t="shared" si="328"/>
        <v>0.22026136490561823</v>
      </c>
      <c r="BG60" s="84">
        <f t="shared" si="328"/>
        <v>0.23975180551317263</v>
      </c>
      <c r="BH60" s="84">
        <f t="shared" ref="BH60" si="329">+BH58/BH38</f>
        <v>0.22787878787878788</v>
      </c>
      <c r="BI60" s="84">
        <f t="shared" ref="BI60" si="330">+BI58/BI38</f>
        <v>0.22671913059771406</v>
      </c>
      <c r="BJ60" s="84">
        <f t="shared" ref="BJ60" si="331">+BJ58/BJ38</f>
        <v>0.24007113218731477</v>
      </c>
      <c r="BK60" s="801">
        <f t="shared" ref="BK60" si="332">+BK58/BK38</f>
        <v>0.2471479334206097</v>
      </c>
      <c r="BL60" s="673">
        <f>Inputs!BL233</f>
        <v>0.22999999999999998</v>
      </c>
      <c r="BM60" s="673">
        <f>Inputs!BM233</f>
        <v>0.22500000000000001</v>
      </c>
      <c r="BN60" s="673">
        <f>Inputs!BN233</f>
        <v>0.23507113218731476</v>
      </c>
      <c r="BO60" s="673">
        <f>Inputs!BO233</f>
        <v>0.2421479334206097</v>
      </c>
      <c r="BP60" s="673">
        <f>Inputs!BP233</f>
        <v>0.22999999999999998</v>
      </c>
      <c r="BQ60" s="673">
        <f>Inputs!BQ233</f>
        <v>0.22500000000000001</v>
      </c>
      <c r="BR60" s="673">
        <f>Inputs!BR233</f>
        <v>0.23507113218731476</v>
      </c>
      <c r="BS60" s="673">
        <f>Inputs!BS233</f>
        <v>0.2421479334206097</v>
      </c>
      <c r="BT60" s="673">
        <f>Inputs!BT233</f>
        <v>0.22999999999999998</v>
      </c>
      <c r="BU60" s="673">
        <f>Inputs!BU233</f>
        <v>0.22500000000000001</v>
      </c>
      <c r="BV60" s="673">
        <f>Inputs!BV233</f>
        <v>0.23507113218731476</v>
      </c>
      <c r="BW60" s="673">
        <f>Inputs!BW233</f>
        <v>0.2421479334206097</v>
      </c>
      <c r="BX60" s="673">
        <f>Inputs!BX233</f>
        <v>0.22999999999999998</v>
      </c>
      <c r="BY60" s="673">
        <f>Inputs!BY233</f>
        <v>0.22500000000000001</v>
      </c>
      <c r="BZ60" s="673">
        <f>Inputs!BZ233</f>
        <v>0.23007113218731476</v>
      </c>
      <c r="CA60" s="673">
        <f>Inputs!CA233</f>
        <v>0.23714793342060969</v>
      </c>
      <c r="CB60" s="673">
        <f>Inputs!CB233</f>
        <v>0.22499999999999998</v>
      </c>
      <c r="CC60" s="673">
        <f>Inputs!CC233</f>
        <v>0.22</v>
      </c>
      <c r="CD60" s="673">
        <f>Inputs!CD233</f>
        <v>0.23007113218731476</v>
      </c>
      <c r="CE60" s="673">
        <f>Inputs!CE233</f>
        <v>0.23714793342060969</v>
      </c>
      <c r="CF60" s="673">
        <f>Inputs!CF233</f>
        <v>0.22499999999999998</v>
      </c>
      <c r="CG60" s="673">
        <f>Inputs!CG233</f>
        <v>0.22</v>
      </c>
      <c r="CH60" s="673">
        <f>Inputs!CH233</f>
        <v>0.23007113218731476</v>
      </c>
      <c r="CI60" s="673">
        <f>Inputs!CI233</f>
        <v>0.23714793342060969</v>
      </c>
      <c r="CJ60" s="673">
        <f>Inputs!CJ233</f>
        <v>0.22499999999999998</v>
      </c>
      <c r="CK60" s="673">
        <f>Inputs!CK233</f>
        <v>0.22</v>
      </c>
      <c r="CL60" s="673">
        <f>Inputs!CL233</f>
        <v>0.23007113218731476</v>
      </c>
      <c r="CM60" s="673">
        <f>Inputs!CM233</f>
        <v>0.23714793342060969</v>
      </c>
      <c r="CN60" s="673">
        <f>Inputs!CN233</f>
        <v>0.22499999999999998</v>
      </c>
      <c r="CO60" s="673">
        <f>Inputs!CO233</f>
        <v>0.22</v>
      </c>
      <c r="CP60" s="673">
        <f>Inputs!CP233</f>
        <v>0.23007113218731476</v>
      </c>
      <c r="CQ60" s="673">
        <f>Inputs!CQ233</f>
        <v>0.23714793342060969</v>
      </c>
      <c r="CR60" s="673">
        <f>Inputs!CR233</f>
        <v>0.22499999999999998</v>
      </c>
      <c r="CS60" s="673">
        <f>Inputs!CS233</f>
        <v>0.22</v>
      </c>
      <c r="CT60" s="673">
        <f>Inputs!CT233</f>
        <v>0.23007113218731476</v>
      </c>
      <c r="CU60" s="673">
        <f>Inputs!CU233</f>
        <v>0.23714793342060969</v>
      </c>
      <c r="CV60" s="673">
        <f>Inputs!CV233</f>
        <v>0.22499999999999998</v>
      </c>
      <c r="CW60" s="673">
        <f>Inputs!CW233</f>
        <v>0.22</v>
      </c>
    </row>
    <row r="61" spans="1:101" s="9" customFormat="1" ht="11.25">
      <c r="A61" s="903" t="s">
        <v>1031</v>
      </c>
      <c r="B61" s="812"/>
      <c r="C61" s="812"/>
      <c r="D61" s="812"/>
      <c r="E61" s="812"/>
      <c r="F61" s="812"/>
      <c r="G61" s="812"/>
      <c r="H61" s="812"/>
      <c r="I61" s="812"/>
      <c r="J61" s="812"/>
      <c r="K61" s="812"/>
      <c r="L61" s="812"/>
      <c r="M61" s="812"/>
      <c r="N61" s="812"/>
      <c r="O61" s="812"/>
      <c r="P61" s="812"/>
      <c r="Q61" s="812"/>
      <c r="R61" s="812"/>
      <c r="S61" s="812"/>
      <c r="T61" s="812"/>
      <c r="U61" s="813"/>
      <c r="V61" s="813"/>
      <c r="W61" s="813"/>
      <c r="X61" s="813"/>
      <c r="Y61" s="959">
        <f t="shared" ref="Y61:BQ61" si="333">+(Y60-U60)*10000</f>
        <v>411.09636861682145</v>
      </c>
      <c r="Z61" s="959">
        <f t="shared" si="333"/>
        <v>503.30333221245667</v>
      </c>
      <c r="AA61" s="959">
        <f t="shared" si="333"/>
        <v>407.63499012088226</v>
      </c>
      <c r="AB61" s="959">
        <f t="shared" si="333"/>
        <v>365.25403851787735</v>
      </c>
      <c r="AC61" s="959">
        <f t="shared" si="333"/>
        <v>444.3415223012878</v>
      </c>
      <c r="AD61" s="959">
        <f t="shared" si="333"/>
        <v>115.91136248709</v>
      </c>
      <c r="AE61" s="2145">
        <f t="shared" si="333"/>
        <v>90.991656062710533</v>
      </c>
      <c r="AF61" s="959">
        <f t="shared" si="333"/>
        <v>117.16654211870514</v>
      </c>
      <c r="AG61" s="959">
        <f t="shared" si="333"/>
        <v>-207.6365730739399</v>
      </c>
      <c r="AH61" s="959">
        <f t="shared" si="333"/>
        <v>-20.829352853086458</v>
      </c>
      <c r="AI61" s="959">
        <f t="shared" si="333"/>
        <v>-7.2186239614110974</v>
      </c>
      <c r="AJ61" s="959">
        <f t="shared" si="333"/>
        <v>-196.06447362020495</v>
      </c>
      <c r="AK61" s="959">
        <f t="shared" si="333"/>
        <v>191.68914877433329</v>
      </c>
      <c r="AL61" s="959">
        <f t="shared" si="333"/>
        <v>38.96548202339423</v>
      </c>
      <c r="AM61" s="969">
        <f t="shared" si="333"/>
        <v>45.591893721373125</v>
      </c>
      <c r="AN61" s="969">
        <f t="shared" si="333"/>
        <v>34.081584703903047</v>
      </c>
      <c r="AO61" s="969">
        <f t="shared" si="333"/>
        <v>-293.75029272136032</v>
      </c>
      <c r="AP61" s="969">
        <f t="shared" si="333"/>
        <v>-181.25784357655579</v>
      </c>
      <c r="AQ61" s="969">
        <f t="shared" si="333"/>
        <v>-4.9323832342898495</v>
      </c>
      <c r="AR61" s="969">
        <f t="shared" si="333"/>
        <v>18.930342811991352</v>
      </c>
      <c r="AS61" s="969">
        <f t="shared" si="333"/>
        <v>-6.0039075335371894</v>
      </c>
      <c r="AT61" s="969">
        <f t="shared" si="333"/>
        <v>-44.960740755868031</v>
      </c>
      <c r="AU61" s="969">
        <f t="shared" si="333"/>
        <v>-3631.6365277031855</v>
      </c>
      <c r="AV61" s="969">
        <f t="shared" si="333"/>
        <v>-1150.7038451003443</v>
      </c>
      <c r="AW61" s="969">
        <f t="shared" si="333"/>
        <v>260.87106426100183</v>
      </c>
      <c r="AX61" s="969">
        <f t="shared" si="333"/>
        <v>-238.86420832018391</v>
      </c>
      <c r="AY61" s="969">
        <f t="shared" si="333"/>
        <v>3618.0936478771869</v>
      </c>
      <c r="AZ61" s="969">
        <f t="shared" si="333"/>
        <v>933.38680133552498</v>
      </c>
      <c r="BA61" s="969">
        <f t="shared" ref="BA61:BK61" si="334">+(BA60-AW60)*10000</f>
        <v>120.3662781061815</v>
      </c>
      <c r="BB61" s="969">
        <f t="shared" si="334"/>
        <v>432.98017010752449</v>
      </c>
      <c r="BC61" s="969">
        <f t="shared" si="334"/>
        <v>-131.92010328717501</v>
      </c>
      <c r="BD61" s="969">
        <f t="shared" si="334"/>
        <v>157.09154688282462</v>
      </c>
      <c r="BE61" s="969">
        <f t="shared" si="334"/>
        <v>-384.0921048332749</v>
      </c>
      <c r="BF61" s="969">
        <f t="shared" si="334"/>
        <v>-41.421797433251747</v>
      </c>
      <c r="BG61" s="969">
        <f t="shared" si="334"/>
        <v>117.99190938564519</v>
      </c>
      <c r="BH61" s="969">
        <f t="shared" si="334"/>
        <v>54.582237945322575</v>
      </c>
      <c r="BI61" s="969">
        <f t="shared" si="334"/>
        <v>-23.430693382722744</v>
      </c>
      <c r="BJ61" s="969">
        <f t="shared" si="334"/>
        <v>198.09767281696534</v>
      </c>
      <c r="BK61" s="1372">
        <f t="shared" si="334"/>
        <v>73.961279074370722</v>
      </c>
      <c r="BL61" s="1015">
        <f t="shared" si="333"/>
        <v>21.212121212121072</v>
      </c>
      <c r="BM61" s="1015">
        <f t="shared" si="333"/>
        <v>-17.19130597714058</v>
      </c>
      <c r="BN61" s="1015">
        <f t="shared" si="333"/>
        <v>-50.000000000000043</v>
      </c>
      <c r="BO61" s="1015">
        <f t="shared" si="333"/>
        <v>-50.000000000000043</v>
      </c>
      <c r="BP61" s="1015">
        <f t="shared" si="333"/>
        <v>0</v>
      </c>
      <c r="BQ61" s="1015">
        <f t="shared" si="333"/>
        <v>0</v>
      </c>
      <c r="BR61" s="1015">
        <f t="shared" ref="BR61:CK61" si="335">+(BR60-BN60)*10000</f>
        <v>0</v>
      </c>
      <c r="BS61" s="1015">
        <f t="shared" si="335"/>
        <v>0</v>
      </c>
      <c r="BT61" s="1015">
        <f t="shared" si="335"/>
        <v>0</v>
      </c>
      <c r="BU61" s="1015">
        <f t="shared" si="335"/>
        <v>0</v>
      </c>
      <c r="BV61" s="1015">
        <f t="shared" si="335"/>
        <v>0</v>
      </c>
      <c r="BW61" s="1015">
        <f t="shared" si="335"/>
        <v>0</v>
      </c>
      <c r="BX61" s="1015">
        <f t="shared" si="335"/>
        <v>0</v>
      </c>
      <c r="BY61" s="1015">
        <f t="shared" si="335"/>
        <v>0</v>
      </c>
      <c r="BZ61" s="1015">
        <f t="shared" si="335"/>
        <v>-50.000000000000043</v>
      </c>
      <c r="CA61" s="1015">
        <f t="shared" si="335"/>
        <v>-50.000000000000043</v>
      </c>
      <c r="CB61" s="1015">
        <f t="shared" si="335"/>
        <v>-50.000000000000043</v>
      </c>
      <c r="CC61" s="1015">
        <f t="shared" si="335"/>
        <v>-50.000000000000043</v>
      </c>
      <c r="CD61" s="1015">
        <f t="shared" si="335"/>
        <v>0</v>
      </c>
      <c r="CE61" s="1015">
        <f t="shared" si="335"/>
        <v>0</v>
      </c>
      <c r="CF61" s="1015">
        <f t="shared" si="335"/>
        <v>0</v>
      </c>
      <c r="CG61" s="1015">
        <f t="shared" si="335"/>
        <v>0</v>
      </c>
      <c r="CH61" s="1015">
        <f t="shared" si="335"/>
        <v>0</v>
      </c>
      <c r="CI61" s="1015">
        <f t="shared" si="335"/>
        <v>0</v>
      </c>
      <c r="CJ61" s="1015">
        <f t="shared" si="335"/>
        <v>0</v>
      </c>
      <c r="CK61" s="1015">
        <f t="shared" si="335"/>
        <v>0</v>
      </c>
      <c r="CL61" s="1015">
        <f t="shared" ref="CL61" si="336">+(CL60-CH60)*10000</f>
        <v>0</v>
      </c>
      <c r="CM61" s="1015">
        <f t="shared" ref="CM61" si="337">+(CM60-CI60)*10000</f>
        <v>0</v>
      </c>
      <c r="CN61" s="1015">
        <f t="shared" ref="CN61" si="338">+(CN60-CJ60)*10000</f>
        <v>0</v>
      </c>
      <c r="CO61" s="1015">
        <f t="shared" ref="CO61" si="339">+(CO60-CK60)*10000</f>
        <v>0</v>
      </c>
      <c r="CP61" s="1015">
        <f t="shared" ref="CP61" si="340">+(CP60-CL60)*10000</f>
        <v>0</v>
      </c>
      <c r="CQ61" s="1015">
        <f t="shared" ref="CQ61" si="341">+(CQ60-CM60)*10000</f>
        <v>0</v>
      </c>
      <c r="CR61" s="1015">
        <f t="shared" ref="CR61" si="342">+(CR60-CN60)*10000</f>
        <v>0</v>
      </c>
      <c r="CS61" s="1015">
        <f t="shared" ref="CS61" si="343">+(CS60-CO60)*10000</f>
        <v>0</v>
      </c>
      <c r="CT61" s="1015">
        <f t="shared" ref="CT61" si="344">+(CT60-CP60)*10000</f>
        <v>0</v>
      </c>
      <c r="CU61" s="1015">
        <f t="shared" ref="CU61" si="345">+(CU60-CQ60)*10000</f>
        <v>0</v>
      </c>
      <c r="CV61" s="1015">
        <f t="shared" ref="CV61" si="346">+(CV60-CR60)*10000</f>
        <v>0</v>
      </c>
      <c r="CW61" s="1015">
        <f t="shared" ref="CW61" si="347">+(CW60-CS60)*10000</f>
        <v>0</v>
      </c>
    </row>
    <row r="62" spans="1:101" s="9" customFormat="1" ht="11.25">
      <c r="A62" s="903"/>
      <c r="B62" s="812"/>
      <c r="C62" s="812"/>
      <c r="D62" s="812"/>
      <c r="E62" s="812"/>
      <c r="F62" s="812"/>
      <c r="G62" s="812"/>
      <c r="H62" s="812"/>
      <c r="I62" s="812"/>
      <c r="J62" s="812"/>
      <c r="K62" s="812"/>
      <c r="L62" s="812"/>
      <c r="M62" s="812"/>
      <c r="N62" s="812"/>
      <c r="O62" s="812"/>
      <c r="P62" s="812"/>
      <c r="Q62" s="812"/>
      <c r="R62" s="812"/>
      <c r="S62" s="812"/>
      <c r="T62" s="812"/>
      <c r="U62" s="813"/>
      <c r="V62" s="813"/>
      <c r="W62" s="813"/>
      <c r="X62" s="813"/>
      <c r="Y62" s="959"/>
      <c r="Z62" s="959"/>
      <c r="AA62" s="959"/>
      <c r="AB62" s="959"/>
      <c r="AC62" s="959"/>
      <c r="AD62" s="959"/>
      <c r="AE62" s="2145"/>
      <c r="AF62" s="959"/>
      <c r="AG62" s="959"/>
      <c r="AH62" s="959"/>
      <c r="AI62" s="959"/>
      <c r="AJ62" s="959"/>
      <c r="AK62" s="959"/>
      <c r="AL62" s="959"/>
      <c r="AM62" s="969"/>
      <c r="AN62" s="969"/>
      <c r="AO62" s="969"/>
      <c r="AP62" s="969"/>
      <c r="AQ62" s="969"/>
      <c r="AR62" s="969"/>
      <c r="AS62" s="969"/>
      <c r="AT62" s="969"/>
      <c r="AU62" s="969"/>
      <c r="AV62" s="969"/>
      <c r="AW62" s="969"/>
      <c r="AX62" s="969"/>
      <c r="AY62" s="969"/>
      <c r="AZ62" s="969"/>
      <c r="BA62" s="969"/>
      <c r="BB62" s="969"/>
      <c r="BC62" s="969"/>
      <c r="BD62" s="969"/>
      <c r="BE62" s="969"/>
      <c r="BF62" s="969"/>
      <c r="BG62" s="969"/>
      <c r="BH62" s="969"/>
      <c r="BI62" s="969"/>
      <c r="BJ62" s="969"/>
      <c r="BK62" s="1372"/>
      <c r="BL62" s="1015"/>
      <c r="BM62" s="1015"/>
      <c r="BN62" s="1015"/>
      <c r="BO62" s="1015"/>
      <c r="BP62" s="1015"/>
      <c r="BQ62" s="1015"/>
      <c r="BR62" s="1015"/>
      <c r="BS62" s="1015"/>
      <c r="BT62" s="1015"/>
      <c r="BU62" s="1015"/>
      <c r="BV62" s="1015"/>
      <c r="BW62" s="1015"/>
      <c r="BX62" s="1015"/>
      <c r="BY62" s="1015"/>
      <c r="BZ62" s="1015"/>
      <c r="CA62" s="1015"/>
      <c r="CB62" s="1015"/>
      <c r="CC62" s="1015"/>
      <c r="CD62" s="1015"/>
      <c r="CE62" s="1015"/>
      <c r="CF62" s="1015"/>
      <c r="CG62" s="1015"/>
      <c r="CH62" s="1015"/>
      <c r="CI62" s="1015"/>
      <c r="CJ62" s="1015"/>
      <c r="CK62" s="1015"/>
      <c r="CL62" s="1015"/>
      <c r="CM62" s="1015"/>
      <c r="CN62" s="1015"/>
      <c r="CO62" s="1015"/>
      <c r="CP62" s="1015"/>
      <c r="CQ62" s="1015"/>
      <c r="CR62" s="1015"/>
      <c r="CS62" s="1015"/>
      <c r="CT62" s="1015"/>
      <c r="CU62" s="1015"/>
      <c r="CV62" s="1015"/>
      <c r="CW62" s="1015"/>
    </row>
    <row r="63" spans="1:101" s="9" customFormat="1" ht="11.25">
      <c r="A63" s="531" t="s">
        <v>1624</v>
      </c>
      <c r="B63" s="659"/>
      <c r="C63" s="659"/>
      <c r="D63" s="659"/>
      <c r="E63" s="659"/>
      <c r="F63" s="659"/>
      <c r="G63" s="659"/>
      <c r="H63" s="659"/>
      <c r="I63" s="659"/>
      <c r="J63" s="659"/>
      <c r="K63" s="659"/>
      <c r="L63" s="659"/>
      <c r="M63" s="659"/>
      <c r="N63" s="659"/>
      <c r="O63" s="659"/>
      <c r="P63" s="659"/>
      <c r="Q63" s="659"/>
      <c r="R63" s="659"/>
      <c r="S63" s="659"/>
      <c r="T63" s="659"/>
      <c r="U63" s="659"/>
      <c r="V63" s="659"/>
      <c r="W63" s="659"/>
      <c r="X63" s="659"/>
      <c r="Y63" s="659"/>
      <c r="Z63" s="659"/>
      <c r="AA63" s="659"/>
      <c r="AB63" s="659"/>
      <c r="AC63" s="659"/>
      <c r="AD63" s="659"/>
      <c r="AE63" s="2139"/>
      <c r="AF63" s="659"/>
      <c r="AG63" s="659"/>
      <c r="AH63" s="912"/>
      <c r="AI63" s="659"/>
      <c r="AJ63" s="659"/>
      <c r="AK63" s="659"/>
      <c r="AL63" s="659"/>
      <c r="AM63" s="966"/>
      <c r="AN63" s="966"/>
      <c r="AO63" s="966"/>
      <c r="AP63" s="435"/>
      <c r="AQ63" s="435"/>
      <c r="AR63" s="435"/>
      <c r="AS63" s="435"/>
      <c r="AT63" s="435"/>
      <c r="AU63" s="435"/>
      <c r="AV63" s="435"/>
      <c r="AW63" s="435"/>
      <c r="AX63" s="92">
        <f t="shared" ref="AX63:BI63" si="348">AX66-AX58</f>
        <v>531</v>
      </c>
      <c r="AY63" s="92">
        <f t="shared" si="348"/>
        <v>513</v>
      </c>
      <c r="AZ63" s="92">
        <f t="shared" si="348"/>
        <v>543</v>
      </c>
      <c r="BA63" s="92">
        <f t="shared" si="348"/>
        <v>594</v>
      </c>
      <c r="BB63" s="92">
        <f t="shared" si="348"/>
        <v>641</v>
      </c>
      <c r="BC63" s="92">
        <f t="shared" si="348"/>
        <v>617</v>
      </c>
      <c r="BD63" s="92">
        <f t="shared" si="348"/>
        <v>618</v>
      </c>
      <c r="BE63" s="92">
        <f t="shared" si="348"/>
        <v>399</v>
      </c>
      <c r="BF63" s="92">
        <f t="shared" si="348"/>
        <v>585</v>
      </c>
      <c r="BG63" s="92">
        <f t="shared" si="348"/>
        <v>585</v>
      </c>
      <c r="BH63" s="92">
        <f t="shared" si="348"/>
        <v>584</v>
      </c>
      <c r="BI63" s="92">
        <f t="shared" si="348"/>
        <v>665</v>
      </c>
      <c r="BJ63" s="92">
        <f>BJ66-BJ58</f>
        <v>557</v>
      </c>
      <c r="BK63" s="1385">
        <f>BK66-BK58</f>
        <v>632</v>
      </c>
      <c r="BL63" s="435"/>
      <c r="BM63" s="435"/>
      <c r="BN63" s="435"/>
      <c r="BO63" s="435"/>
      <c r="BP63" s="435"/>
      <c r="BQ63" s="435"/>
      <c r="BR63" s="435"/>
      <c r="BS63" s="435"/>
      <c r="BT63" s="435"/>
      <c r="BU63" s="435"/>
      <c r="BV63" s="435"/>
      <c r="BW63" s="435"/>
      <c r="BX63" s="435"/>
      <c r="BY63" s="435"/>
      <c r="BZ63" s="435"/>
      <c r="CA63" s="435"/>
      <c r="CB63" s="435"/>
      <c r="CC63" s="435"/>
      <c r="CD63" s="435"/>
      <c r="CE63" s="435"/>
      <c r="CF63" s="435"/>
      <c r="CG63" s="435"/>
      <c r="CH63" s="435"/>
      <c r="CI63" s="435"/>
      <c r="CJ63" s="435"/>
      <c r="CK63" s="435"/>
      <c r="CL63" s="435"/>
      <c r="CM63" s="435"/>
      <c r="CN63" s="435"/>
      <c r="CO63" s="435"/>
      <c r="CP63" s="435"/>
      <c r="CQ63" s="435"/>
      <c r="CR63" s="435"/>
      <c r="CS63" s="435"/>
      <c r="CT63" s="435"/>
      <c r="CU63" s="435"/>
      <c r="CV63" s="435"/>
      <c r="CW63" s="435"/>
    </row>
    <row r="64" spans="1:101" s="9" customFormat="1" ht="11.25">
      <c r="A64" s="903" t="s">
        <v>1448</v>
      </c>
      <c r="AE64" s="2119"/>
      <c r="AX64" s="2004">
        <f t="shared" ref="AX64:BI64" si="349">AX63/AX38</f>
        <v>0.10673366834170854</v>
      </c>
      <c r="AY64" s="2004">
        <f t="shared" si="349"/>
        <v>7.935034802784223E-2</v>
      </c>
      <c r="AZ64" s="2004">
        <f t="shared" si="349"/>
        <v>8.0984340044742725E-2</v>
      </c>
      <c r="BA64" s="2004">
        <f t="shared" si="349"/>
        <v>7.547649301143583E-2</v>
      </c>
      <c r="BB64" s="2004">
        <f t="shared" si="349"/>
        <v>8.7389229720518061E-2</v>
      </c>
      <c r="BC64" s="2004">
        <f t="shared" si="349"/>
        <v>7.3830321885844208E-2</v>
      </c>
      <c r="BD64" s="2004">
        <f t="shared" si="349"/>
        <v>7.3545162441985001E-2</v>
      </c>
      <c r="BE64" s="2004">
        <f t="shared" si="349"/>
        <v>4.2569081404032857E-2</v>
      </c>
      <c r="BF64" s="2004">
        <f t="shared" si="349"/>
        <v>6.5341226404557126E-2</v>
      </c>
      <c r="BG64" s="2004">
        <f t="shared" si="349"/>
        <v>5.9505645407384802E-2</v>
      </c>
      <c r="BH64" s="2004">
        <f t="shared" si="349"/>
        <v>5.8989898989898988E-2</v>
      </c>
      <c r="BI64" s="2004">
        <f t="shared" si="349"/>
        <v>6.2300918118793326E-2</v>
      </c>
      <c r="BJ64" s="2004">
        <f>BJ63/BJ38</f>
        <v>5.502865046433511E-2</v>
      </c>
      <c r="BK64" s="2004">
        <f>BK63/BK38</f>
        <v>5.909855994015336E-2</v>
      </c>
      <c r="BL64" s="435"/>
      <c r="BM64" s="435"/>
      <c r="BN64" s="435"/>
      <c r="BO64" s="435"/>
      <c r="BP64" s="435"/>
      <c r="BQ64" s="435"/>
      <c r="BR64" s="435"/>
      <c r="BS64" s="435"/>
      <c r="BT64" s="435"/>
      <c r="BU64" s="435"/>
      <c r="BV64" s="435"/>
      <c r="BW64" s="435"/>
      <c r="BX64" s="435"/>
      <c r="BY64" s="435"/>
      <c r="BZ64" s="435"/>
      <c r="CA64" s="435"/>
      <c r="CB64" s="435"/>
      <c r="CC64" s="435"/>
      <c r="CD64" s="435"/>
      <c r="CE64" s="435"/>
      <c r="CF64" s="435"/>
      <c r="CG64" s="435"/>
      <c r="CH64" s="435"/>
      <c r="CI64" s="435"/>
      <c r="CJ64" s="435"/>
      <c r="CK64" s="435"/>
      <c r="CL64" s="435"/>
      <c r="CM64" s="435"/>
      <c r="CN64" s="435"/>
      <c r="CO64" s="435"/>
      <c r="CP64" s="435"/>
      <c r="CQ64" s="435"/>
      <c r="CR64" s="435"/>
      <c r="CS64" s="435"/>
      <c r="CT64" s="435"/>
      <c r="CU64" s="435"/>
      <c r="CV64" s="435"/>
      <c r="CW64" s="435"/>
    </row>
    <row r="65" spans="1:101" s="9" customFormat="1" ht="11.25">
      <c r="AE65" s="2119"/>
      <c r="BK65" s="2004"/>
      <c r="BL65" s="435"/>
      <c r="BM65" s="435"/>
      <c r="BN65" s="435"/>
      <c r="BO65" s="435"/>
      <c r="BP65" s="435"/>
      <c r="BQ65" s="435"/>
      <c r="BR65" s="435"/>
      <c r="BS65" s="435"/>
      <c r="BT65" s="435"/>
      <c r="BU65" s="435"/>
      <c r="BV65" s="435"/>
      <c r="BW65" s="435"/>
      <c r="BX65" s="435"/>
      <c r="BY65" s="435"/>
      <c r="BZ65" s="435"/>
      <c r="CA65" s="435"/>
      <c r="CB65" s="435"/>
      <c r="CC65" s="435"/>
      <c r="CD65" s="435"/>
      <c r="CE65" s="435"/>
      <c r="CF65" s="435"/>
      <c r="CG65" s="435"/>
      <c r="CH65" s="435"/>
      <c r="CI65" s="435"/>
      <c r="CJ65" s="435"/>
      <c r="CK65" s="435"/>
      <c r="CL65" s="435"/>
      <c r="CM65" s="435"/>
      <c r="CN65" s="435"/>
      <c r="CO65" s="435"/>
      <c r="CP65" s="435"/>
      <c r="CQ65" s="435"/>
      <c r="CR65" s="435"/>
      <c r="CS65" s="435"/>
      <c r="CT65" s="435"/>
      <c r="CU65" s="435"/>
      <c r="CV65" s="435"/>
      <c r="CW65" s="435"/>
    </row>
    <row r="66" spans="1:101" s="9" customFormat="1" ht="11.25">
      <c r="A66" s="958" t="s">
        <v>1591</v>
      </c>
      <c r="B66" s="956"/>
      <c r="C66" s="956"/>
      <c r="D66" s="956"/>
      <c r="E66" s="956"/>
      <c r="F66" s="956"/>
      <c r="G66" s="956"/>
      <c r="H66" s="956"/>
      <c r="I66" s="956"/>
      <c r="J66" s="956"/>
      <c r="K66" s="956"/>
      <c r="L66" s="956"/>
      <c r="M66" s="956"/>
      <c r="N66" s="956"/>
      <c r="O66" s="956"/>
      <c r="P66" s="956"/>
      <c r="Q66" s="956"/>
      <c r="R66" s="956"/>
      <c r="S66" s="956"/>
      <c r="T66" s="956"/>
      <c r="U66" s="956">
        <f>+Q_Financials!U30</f>
        <v>0.15698462028846918</v>
      </c>
      <c r="V66" s="956">
        <f>+Q_Financials!V30</f>
        <v>0.13440320962888666</v>
      </c>
      <c r="W66" s="956">
        <f>+Q_Financials!W30</f>
        <v>0.12557286892758937</v>
      </c>
      <c r="X66" s="956">
        <f>+Q_Financials!X30</f>
        <v>0.14829821717990274</v>
      </c>
      <c r="Y66" s="956">
        <f>+Q_Financials!Y30</f>
        <v>0.17321016166281755</v>
      </c>
      <c r="Z66" s="956">
        <f>+Q_Financials!Z30</f>
        <v>0.12380250552689757</v>
      </c>
      <c r="AA66" s="956">
        <f>+Q_Financials!AA30</f>
        <v>0.14205607476635515</v>
      </c>
      <c r="AB66" s="956">
        <f>+Q_Financials!AB30</f>
        <v>0.16982152514872903</v>
      </c>
      <c r="AC66" s="956">
        <f>+Q_Financials!AC30</f>
        <v>0.16308337703198741</v>
      </c>
      <c r="AD66" s="956">
        <f>+Q_Financials!AD30</f>
        <v>0.12199747155499367</v>
      </c>
      <c r="AE66" s="2143">
        <f>+Q_Financials!AE30</f>
        <v>0.13582166925868325</v>
      </c>
      <c r="AF66" s="956">
        <f>+Q_Financials!AF30</f>
        <v>0.1584553928095872</v>
      </c>
      <c r="AG66" s="956">
        <f>+Q_Financials!AG30</f>
        <v>0.17584745762711865</v>
      </c>
      <c r="AH66" s="956">
        <f>+Q_Financials!AH30</f>
        <v>0.14512195121951219</v>
      </c>
      <c r="AI66" s="956">
        <f>+Q_Financials!AI30</f>
        <v>0.15108207431604737</v>
      </c>
      <c r="AJ66" s="956">
        <f>+Q_Financials!AJ30</f>
        <v>0.16059225512528474</v>
      </c>
      <c r="AK66" s="956">
        <f>+Q_Financials!AK30</f>
        <v>0.15036496350364964</v>
      </c>
      <c r="AL66" s="956">
        <f>+Q_Financials!AL30</f>
        <v>0.12842315969419907</v>
      </c>
      <c r="AM66" s="956">
        <f>+Q_Financials!AM30</f>
        <v>0.13356812947008312</v>
      </c>
      <c r="AN66" s="956">
        <f>+Q_Financials!AN30</f>
        <v>0.15306536743808363</v>
      </c>
      <c r="AO66" s="956">
        <f>+Q_Financials!AO30</f>
        <v>0.13840399002493767</v>
      </c>
      <c r="AP66" s="956">
        <f>+Q_Financials!AP30</f>
        <v>0.12195197117530882</v>
      </c>
      <c r="AQ66" s="956">
        <f>+Q_Financials!AQ30</f>
        <v>0.12867370601992148</v>
      </c>
      <c r="AR66" s="956">
        <f>+Q_Financials!AR30</f>
        <v>0.15098316109708723</v>
      </c>
      <c r="AS66" s="956">
        <f>+Q_Financials!AS30</f>
        <v>0.11587471332228716</v>
      </c>
      <c r="AT66" s="956">
        <f>+Q_Financials!AT30</f>
        <v>4.7597677233351017E-2</v>
      </c>
      <c r="AU66" s="956">
        <f>+Q_Financials!AU30</f>
        <v>-0.17655186530883782</v>
      </c>
      <c r="AV66" s="956">
        <f>+Q_Financials!AV30</f>
        <v>8.6142106024336321E-2</v>
      </c>
      <c r="AW66" s="956">
        <f>+Q_Financials!AW30</f>
        <v>0.13632397335936633</v>
      </c>
      <c r="AX66" s="956">
        <f>Segment!AY563</f>
        <v>1432</v>
      </c>
      <c r="AY66" s="956">
        <f>Segment!AZ563</f>
        <v>2072</v>
      </c>
      <c r="AZ66" s="956">
        <f>Segment!BA563</f>
        <v>1929</v>
      </c>
      <c r="BA66" s="956">
        <f>Segment!BB563</f>
        <v>2699</v>
      </c>
      <c r="BB66" s="956">
        <f>Segment!BC563</f>
        <v>2287</v>
      </c>
      <c r="BC66" s="956">
        <f>Segment!BD563</f>
        <v>2522</v>
      </c>
      <c r="BD66" s="956">
        <f>Segment!BE563</f>
        <v>2487</v>
      </c>
      <c r="BE66" s="956">
        <f>Segment!BF563</f>
        <v>2546</v>
      </c>
      <c r="BF66" s="956">
        <f>Segment!BG563</f>
        <v>2557</v>
      </c>
      <c r="BG66" s="956">
        <f>Segment!BH563</f>
        <v>2942</v>
      </c>
      <c r="BH66" s="956">
        <f>Segment!BI563</f>
        <v>2840</v>
      </c>
      <c r="BI66" s="956">
        <f>Segment!BJ563</f>
        <v>3085</v>
      </c>
      <c r="BJ66" s="956">
        <f>Segment!BK563</f>
        <v>2987</v>
      </c>
      <c r="BK66" s="1371">
        <f>Segment!BL563</f>
        <v>3275</v>
      </c>
      <c r="BL66" s="435"/>
      <c r="BM66" s="435"/>
      <c r="BN66" s="435"/>
      <c r="BO66" s="435"/>
      <c r="BP66" s="435"/>
      <c r="BQ66" s="435"/>
      <c r="BR66" s="435"/>
      <c r="BS66" s="435"/>
      <c r="BT66" s="435"/>
      <c r="BU66" s="435"/>
      <c r="BV66" s="435"/>
      <c r="BW66" s="435"/>
      <c r="BX66" s="435"/>
      <c r="BY66" s="435"/>
      <c r="BZ66" s="435"/>
      <c r="CA66" s="435"/>
      <c r="CB66" s="435"/>
      <c r="CC66" s="435"/>
      <c r="CD66" s="435"/>
      <c r="CE66" s="435"/>
      <c r="CF66" s="435"/>
      <c r="CG66" s="435"/>
      <c r="CH66" s="435"/>
      <c r="CI66" s="435"/>
      <c r="CJ66" s="435"/>
      <c r="CK66" s="435"/>
      <c r="CL66" s="435"/>
      <c r="CM66" s="435"/>
      <c r="CN66" s="435"/>
      <c r="CO66" s="435"/>
      <c r="CP66" s="435"/>
      <c r="CQ66" s="435"/>
      <c r="CR66" s="435"/>
      <c r="CS66" s="435"/>
      <c r="CT66" s="435"/>
      <c r="CU66" s="435"/>
      <c r="CV66" s="435"/>
      <c r="CW66" s="435"/>
    </row>
    <row r="67" spans="1:101" s="9" customFormat="1" ht="11.25">
      <c r="A67" s="903" t="s">
        <v>979</v>
      </c>
      <c r="B67" s="659"/>
      <c r="C67" s="659"/>
      <c r="D67" s="659"/>
      <c r="E67" s="659"/>
      <c r="F67" s="659"/>
      <c r="G67" s="659"/>
      <c r="H67" s="659"/>
      <c r="I67" s="659"/>
      <c r="J67" s="659"/>
      <c r="K67" s="659"/>
      <c r="L67" s="659"/>
      <c r="M67" s="659"/>
      <c r="N67" s="659"/>
      <c r="O67" s="659"/>
      <c r="P67" s="659"/>
      <c r="Q67" s="659"/>
      <c r="R67" s="659"/>
      <c r="S67" s="659"/>
      <c r="T67" s="659"/>
      <c r="U67" s="659"/>
      <c r="V67" s="659"/>
      <c r="W67" s="659"/>
      <c r="X67" s="659"/>
      <c r="Y67" s="659"/>
      <c r="Z67" s="659"/>
      <c r="AA67" s="659"/>
      <c r="AB67" s="659"/>
      <c r="AC67" s="659"/>
      <c r="AD67" s="659"/>
      <c r="AE67" s="2139"/>
      <c r="AF67" s="659"/>
      <c r="AG67" s="659"/>
      <c r="AH67" s="912"/>
      <c r="AI67" s="659"/>
      <c r="AJ67" s="659"/>
      <c r="AK67" s="659"/>
      <c r="AL67" s="659"/>
      <c r="AM67" s="966"/>
      <c r="AN67" s="966"/>
      <c r="AO67" s="966"/>
      <c r="AP67" s="435"/>
      <c r="AQ67" s="435"/>
      <c r="AR67" s="435"/>
      <c r="AS67" s="435"/>
      <c r="AT67" s="435"/>
      <c r="AU67" s="435"/>
      <c r="AV67" s="435"/>
      <c r="AW67" s="435"/>
      <c r="AX67" s="84">
        <f t="shared" ref="AX67:BJ67" si="350">AX66/AX38</f>
        <v>0.28783919597989949</v>
      </c>
      <c r="AY67" s="84">
        <f t="shared" si="350"/>
        <v>0.32049497293116785</v>
      </c>
      <c r="AZ67" s="84">
        <f t="shared" si="350"/>
        <v>0.28769574944071591</v>
      </c>
      <c r="BA67" s="84">
        <f t="shared" si="350"/>
        <v>0.34294790343074966</v>
      </c>
      <c r="BB67" s="84">
        <f t="shared" si="350"/>
        <v>0.31179277436946151</v>
      </c>
      <c r="BC67" s="84">
        <f t="shared" si="350"/>
        <v>0.30178293646045229</v>
      </c>
      <c r="BD67" s="84">
        <f t="shared" si="350"/>
        <v>0.29596572652624065</v>
      </c>
      <c r="BE67" s="84">
        <f t="shared" si="350"/>
        <v>0.27163128134001918</v>
      </c>
      <c r="BF67" s="84">
        <f t="shared" si="350"/>
        <v>0.28560259131017535</v>
      </c>
      <c r="BG67" s="84">
        <f t="shared" si="350"/>
        <v>0.29925745092055744</v>
      </c>
      <c r="BH67" s="84">
        <f t="shared" si="350"/>
        <v>0.28686868686868688</v>
      </c>
      <c r="BI67" s="84">
        <f t="shared" si="350"/>
        <v>0.28902004871650738</v>
      </c>
      <c r="BJ67" s="84">
        <f t="shared" si="350"/>
        <v>0.29509978265164988</v>
      </c>
      <c r="BK67" s="801">
        <f t="shared" ref="BK67" si="351">BK66/BK38</f>
        <v>0.30624649336076304</v>
      </c>
      <c r="BL67" s="435"/>
      <c r="BM67" s="435"/>
      <c r="BN67" s="435"/>
      <c r="BO67" s="435"/>
      <c r="BP67" s="435"/>
      <c r="BQ67" s="435"/>
      <c r="BR67" s="435"/>
      <c r="BS67" s="435"/>
      <c r="BT67" s="435"/>
      <c r="BU67" s="435"/>
      <c r="BV67" s="435"/>
      <c r="BW67" s="435"/>
      <c r="BX67" s="435"/>
      <c r="BY67" s="435"/>
      <c r="BZ67" s="435"/>
      <c r="CA67" s="435"/>
      <c r="CB67" s="435"/>
      <c r="CC67" s="435"/>
      <c r="CD67" s="435"/>
      <c r="CE67" s="435"/>
      <c r="CF67" s="435"/>
      <c r="CG67" s="435"/>
      <c r="CH67" s="435"/>
      <c r="CI67" s="435"/>
      <c r="CJ67" s="435"/>
      <c r="CK67" s="435"/>
      <c r="CL67" s="435"/>
      <c r="CM67" s="435"/>
      <c r="CN67" s="435"/>
      <c r="CO67" s="435"/>
      <c r="CP67" s="435"/>
      <c r="CQ67" s="435"/>
      <c r="CR67" s="435"/>
      <c r="CS67" s="435"/>
      <c r="CT67" s="435"/>
      <c r="CU67" s="435"/>
      <c r="CV67" s="435"/>
      <c r="CW67" s="435"/>
    </row>
    <row r="68" spans="1:101" s="9" customFormat="1" ht="11.25">
      <c r="A68" s="903" t="s">
        <v>1031</v>
      </c>
      <c r="B68" s="812"/>
      <c r="C68" s="812"/>
      <c r="D68" s="812"/>
      <c r="E68" s="812"/>
      <c r="F68" s="812"/>
      <c r="G68" s="812"/>
      <c r="H68" s="812"/>
      <c r="I68" s="812"/>
      <c r="J68" s="812"/>
      <c r="K68" s="812"/>
      <c r="L68" s="812"/>
      <c r="M68" s="812"/>
      <c r="N68" s="812"/>
      <c r="O68" s="812"/>
      <c r="P68" s="812"/>
      <c r="Q68" s="812"/>
      <c r="R68" s="812"/>
      <c r="S68" s="812"/>
      <c r="T68" s="812"/>
      <c r="U68" s="813"/>
      <c r="V68" s="813"/>
      <c r="W68" s="813"/>
      <c r="X68" s="813"/>
      <c r="Y68" s="959"/>
      <c r="Z68" s="959"/>
      <c r="AA68" s="959"/>
      <c r="AB68" s="959"/>
      <c r="AC68" s="959"/>
      <c r="AD68" s="959"/>
      <c r="AE68" s="2145"/>
      <c r="AF68" s="959"/>
      <c r="AG68" s="959"/>
      <c r="AH68" s="959"/>
      <c r="AI68" s="959"/>
      <c r="AJ68" s="959"/>
      <c r="AK68" s="959"/>
      <c r="AL68" s="959"/>
      <c r="AM68" s="969"/>
      <c r="AN68" s="969"/>
      <c r="AO68" s="969"/>
      <c r="AP68" s="969"/>
      <c r="AQ68" s="969"/>
      <c r="AR68" s="969"/>
      <c r="AS68" s="969"/>
      <c r="AT68" s="969"/>
      <c r="AU68" s="969"/>
      <c r="AV68" s="969"/>
      <c r="AW68" s="969"/>
      <c r="AX68" s="969">
        <f t="shared" ref="AX68" si="352">+(AX67-AT67)*10000</f>
        <v>2878.3919597989948</v>
      </c>
      <c r="AY68" s="969">
        <f t="shared" ref="AY68" si="353">+(AY67-AU67)*10000</f>
        <v>3204.9497293116788</v>
      </c>
      <c r="AZ68" s="969">
        <f t="shared" ref="AZ68" si="354">+(AZ67-AV67)*10000</f>
        <v>2876.9574944071592</v>
      </c>
      <c r="BA68" s="969">
        <f t="shared" ref="BA68" si="355">+(BA67-AW67)*10000</f>
        <v>3429.4790343074965</v>
      </c>
      <c r="BB68" s="969">
        <f t="shared" ref="BB68" si="356">+(BB67-AX67)*10000</f>
        <v>239.53578389562026</v>
      </c>
      <c r="BC68" s="969">
        <f t="shared" ref="BC68" si="357">+(BC67-AY67)*10000</f>
        <v>-187.12036470715566</v>
      </c>
      <c r="BD68" s="969">
        <f t="shared" ref="BD68" si="358">+(BD67-AZ67)*10000</f>
        <v>82.69977085524738</v>
      </c>
      <c r="BE68" s="969">
        <f t="shared" ref="BE68" si="359">+(BE67-BA67)*10000</f>
        <v>-713.16622090730471</v>
      </c>
      <c r="BF68" s="969">
        <f t="shared" ref="BF68" si="360">+(BF67-BB67)*10000</f>
        <v>-261.90183059286164</v>
      </c>
      <c r="BG68" s="969">
        <f t="shared" ref="BG68" si="361">+(BG67-BC67)*10000</f>
        <v>-25.25485539894845</v>
      </c>
      <c r="BH68" s="969">
        <f t="shared" ref="BH68" si="362">+(BH67-BD67)*10000</f>
        <v>-90.97039657553762</v>
      </c>
      <c r="BI68" s="969">
        <f t="shared" ref="BI68" si="363">+(BI67-BE67)*10000</f>
        <v>173.88767376488201</v>
      </c>
      <c r="BJ68" s="969">
        <f t="shared" ref="BJ68:BK68" si="364">+(BJ67-BF67)*10000</f>
        <v>94.971913414745316</v>
      </c>
      <c r="BK68" s="1372">
        <f t="shared" si="364"/>
        <v>69.890424402055956</v>
      </c>
      <c r="BL68" s="435"/>
      <c r="BM68" s="435"/>
      <c r="BN68" s="435"/>
      <c r="BO68" s="435"/>
      <c r="BP68" s="435"/>
      <c r="BQ68" s="435"/>
      <c r="BR68" s="435"/>
      <c r="BS68" s="435"/>
      <c r="BT68" s="435"/>
      <c r="BU68" s="435"/>
      <c r="BV68" s="435"/>
      <c r="BW68" s="435"/>
      <c r="BX68" s="435"/>
      <c r="BY68" s="435"/>
      <c r="BZ68" s="435"/>
      <c r="CA68" s="435"/>
      <c r="CB68" s="435"/>
      <c r="CC68" s="435"/>
      <c r="CD68" s="435"/>
      <c r="CE68" s="435"/>
      <c r="CF68" s="435"/>
      <c r="CG68" s="435"/>
      <c r="CH68" s="435"/>
      <c r="CI68" s="435"/>
      <c r="CJ68" s="435"/>
      <c r="CK68" s="435"/>
      <c r="CL68" s="435"/>
      <c r="CM68" s="435"/>
      <c r="CN68" s="435"/>
      <c r="CO68" s="435"/>
      <c r="CP68" s="435"/>
      <c r="CQ68" s="435"/>
      <c r="CR68" s="435"/>
      <c r="CS68" s="435"/>
      <c r="CT68" s="435"/>
      <c r="CU68" s="435"/>
      <c r="CV68" s="435"/>
      <c r="CW68" s="435"/>
    </row>
    <row r="69" spans="1:101" s="9" customFormat="1" ht="11.25">
      <c r="A69" s="903" t="s">
        <v>1625</v>
      </c>
      <c r="B69" s="812"/>
      <c r="C69" s="812"/>
      <c r="D69" s="812"/>
      <c r="E69" s="812"/>
      <c r="F69" s="812"/>
      <c r="G69" s="812"/>
      <c r="H69" s="812"/>
      <c r="I69" s="812"/>
      <c r="J69" s="812"/>
      <c r="K69" s="812"/>
      <c r="L69" s="812"/>
      <c r="M69" s="812"/>
      <c r="N69" s="812"/>
      <c r="O69" s="812"/>
      <c r="P69" s="812"/>
      <c r="Q69" s="812"/>
      <c r="R69" s="812"/>
      <c r="S69" s="812"/>
      <c r="T69" s="812"/>
      <c r="U69" s="813"/>
      <c r="V69" s="813"/>
      <c r="W69" s="813"/>
      <c r="X69" s="813"/>
      <c r="Y69" s="813"/>
      <c r="Z69" s="813"/>
      <c r="AA69" s="813"/>
      <c r="AB69" s="813"/>
      <c r="AC69" s="813"/>
      <c r="AD69" s="813"/>
      <c r="AE69" s="2144"/>
      <c r="AF69" s="813"/>
      <c r="AG69" s="813"/>
      <c r="AH69" s="813"/>
      <c r="AI69" s="813"/>
      <c r="AJ69" s="813"/>
      <c r="AK69" s="813"/>
      <c r="AL69" s="813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>
        <f t="shared" ref="AX69:BI69" si="365">AX66/AX$277</f>
        <v>0.50924608819345663</v>
      </c>
      <c r="AY69" s="84">
        <f t="shared" si="365"/>
        <v>0.5546038543897216</v>
      </c>
      <c r="AZ69" s="84">
        <f t="shared" si="365"/>
        <v>0.48200899550224885</v>
      </c>
      <c r="BA69" s="84">
        <f t="shared" si="365"/>
        <v>0.48490837226015093</v>
      </c>
      <c r="BB69" s="84">
        <f t="shared" si="365"/>
        <v>0.53761165961448054</v>
      </c>
      <c r="BC69" s="84">
        <f t="shared" si="365"/>
        <v>0.54213241616509034</v>
      </c>
      <c r="BD69" s="84">
        <f t="shared" si="365"/>
        <v>0.55476243586883778</v>
      </c>
      <c r="BE69" s="84">
        <f t="shared" si="365"/>
        <v>0.52097401268671983</v>
      </c>
      <c r="BF69" s="84">
        <f t="shared" si="365"/>
        <v>0.56658541989807221</v>
      </c>
      <c r="BG69" s="84">
        <f t="shared" si="365"/>
        <v>0.58142292490118574</v>
      </c>
      <c r="BH69" s="84">
        <f t="shared" si="365"/>
        <v>0.5546875</v>
      </c>
      <c r="BI69" s="84">
        <f t="shared" si="365"/>
        <v>0.59349749903809157</v>
      </c>
      <c r="BJ69" s="84">
        <f>BJ66/BJ$277</f>
        <v>0.63030175142435108</v>
      </c>
      <c r="BK69" s="801">
        <f>BK66/BK$277</f>
        <v>0.64812982386700968</v>
      </c>
      <c r="BL69" s="435"/>
      <c r="BM69" s="435"/>
      <c r="BN69" s="435"/>
      <c r="BO69" s="435"/>
      <c r="BP69" s="435"/>
      <c r="BQ69" s="435"/>
      <c r="BR69" s="435"/>
      <c r="BS69" s="435"/>
      <c r="BT69" s="435"/>
      <c r="BU69" s="435"/>
      <c r="BV69" s="435"/>
      <c r="BW69" s="435"/>
      <c r="BX69" s="435"/>
      <c r="BY69" s="435"/>
      <c r="BZ69" s="435"/>
      <c r="CA69" s="435"/>
      <c r="CB69" s="435"/>
      <c r="CC69" s="435"/>
      <c r="CD69" s="435"/>
      <c r="CE69" s="435"/>
      <c r="CF69" s="435"/>
      <c r="CG69" s="435"/>
      <c r="CH69" s="435"/>
      <c r="CI69" s="435"/>
      <c r="CJ69" s="435"/>
      <c r="CK69" s="435"/>
      <c r="CL69" s="435"/>
      <c r="CM69" s="435"/>
      <c r="CN69" s="435"/>
      <c r="CO69" s="435"/>
      <c r="CP69" s="435"/>
      <c r="CQ69" s="435"/>
      <c r="CR69" s="435"/>
      <c r="CS69" s="435"/>
      <c r="CT69" s="435"/>
      <c r="CU69" s="435"/>
      <c r="CV69" s="435"/>
      <c r="CW69" s="435"/>
    </row>
    <row r="70" spans="1:101" s="9" customFormat="1" ht="11.25">
      <c r="A70" s="903" t="s">
        <v>950</v>
      </c>
      <c r="B70" s="659"/>
      <c r="C70" s="659"/>
      <c r="D70" s="659"/>
      <c r="E70" s="659"/>
      <c r="F70" s="659"/>
      <c r="G70" s="659"/>
      <c r="H70" s="659"/>
      <c r="I70" s="659"/>
      <c r="J70" s="659"/>
      <c r="K70" s="659"/>
      <c r="L70" s="659"/>
      <c r="M70" s="659"/>
      <c r="N70" s="659"/>
      <c r="O70" s="659"/>
      <c r="P70" s="659"/>
      <c r="Q70" s="659"/>
      <c r="R70" s="659"/>
      <c r="S70" s="659"/>
      <c r="T70" s="659"/>
      <c r="U70" s="659"/>
      <c r="V70" s="659"/>
      <c r="W70" s="659"/>
      <c r="X70" s="659"/>
      <c r="Y70" s="659"/>
      <c r="Z70" s="659"/>
      <c r="AA70" s="659"/>
      <c r="AB70" s="659"/>
      <c r="AC70" s="659"/>
      <c r="AD70" s="659"/>
      <c r="AE70" s="2139"/>
      <c r="AF70" s="659"/>
      <c r="AG70" s="659"/>
      <c r="AH70" s="912"/>
      <c r="AI70" s="659"/>
      <c r="AJ70" s="659"/>
      <c r="AK70" s="659"/>
      <c r="AL70" s="659"/>
      <c r="AM70" s="966"/>
      <c r="AN70" s="966"/>
      <c r="AO70" s="966"/>
      <c r="AP70" s="435"/>
      <c r="AQ70" s="435"/>
      <c r="AR70" s="435"/>
      <c r="AS70" s="435"/>
      <c r="AT70" s="435"/>
      <c r="AU70" s="435"/>
      <c r="AV70" s="435"/>
      <c r="AW70" s="435"/>
      <c r="AX70" s="84">
        <f t="shared" ref="AX70:BI70" si="366">AX66/AT66-1</f>
        <v>30084.50171428571</v>
      </c>
      <c r="AY70" s="84">
        <f t="shared" si="366"/>
        <v>-11736.92811594203</v>
      </c>
      <c r="AZ70" s="84">
        <f t="shared" si="366"/>
        <v>22392.230082568811</v>
      </c>
      <c r="BA70" s="84">
        <f t="shared" si="366"/>
        <v>19797.425276859503</v>
      </c>
      <c r="BB70" s="84">
        <f t="shared" si="366"/>
        <v>0.59706703910614523</v>
      </c>
      <c r="BC70" s="84">
        <f t="shared" si="366"/>
        <v>0.21718146718146714</v>
      </c>
      <c r="BD70" s="84">
        <f t="shared" si="366"/>
        <v>0.28926905132192848</v>
      </c>
      <c r="BE70" s="84">
        <f t="shared" si="366"/>
        <v>-5.6687662097072988E-2</v>
      </c>
      <c r="BF70" s="84">
        <f t="shared" si="366"/>
        <v>0.11805859204197633</v>
      </c>
      <c r="BG70" s="84">
        <f t="shared" si="366"/>
        <v>0.16653449643140372</v>
      </c>
      <c r="BH70" s="84">
        <f t="shared" si="366"/>
        <v>0.14193807800562919</v>
      </c>
      <c r="BI70" s="84">
        <f t="shared" si="366"/>
        <v>0.2117046347211311</v>
      </c>
      <c r="BJ70" s="84">
        <f>BJ66/BF66-1</f>
        <v>0.16816581931951502</v>
      </c>
      <c r="BK70" s="801">
        <f>BK66/BG66-1</f>
        <v>0.11318830727396323</v>
      </c>
      <c r="BL70" s="435"/>
      <c r="BM70" s="435"/>
      <c r="BN70" s="435"/>
      <c r="BO70" s="435"/>
      <c r="BP70" s="435"/>
      <c r="BQ70" s="435"/>
      <c r="BR70" s="435"/>
      <c r="BS70" s="435"/>
      <c r="BT70" s="435"/>
      <c r="BU70" s="435"/>
      <c r="BV70" s="435"/>
      <c r="BW70" s="435"/>
      <c r="BX70" s="435"/>
      <c r="BY70" s="435"/>
      <c r="BZ70" s="435"/>
      <c r="CA70" s="435"/>
      <c r="CB70" s="435"/>
      <c r="CC70" s="435"/>
      <c r="CD70" s="435"/>
      <c r="CE70" s="435"/>
      <c r="CF70" s="435"/>
      <c r="CG70" s="435"/>
      <c r="CH70" s="435"/>
      <c r="CI70" s="435"/>
      <c r="CJ70" s="435"/>
      <c r="CK70" s="435"/>
      <c r="CL70" s="435"/>
      <c r="CM70" s="435"/>
      <c r="CN70" s="435"/>
      <c r="CO70" s="435"/>
      <c r="CP70" s="435"/>
      <c r="CQ70" s="435"/>
      <c r="CR70" s="435"/>
      <c r="CS70" s="435"/>
      <c r="CT70" s="435"/>
      <c r="CU70" s="435"/>
      <c r="CV70" s="435"/>
      <c r="CW70" s="435"/>
    </row>
    <row r="71" spans="1:101" s="9" customFormat="1" ht="11.25">
      <c r="A71" s="665"/>
      <c r="B71" s="812"/>
      <c r="C71" s="812"/>
      <c r="D71" s="812"/>
      <c r="E71" s="812"/>
      <c r="F71" s="812"/>
      <c r="G71" s="812"/>
      <c r="H71" s="812"/>
      <c r="I71" s="812"/>
      <c r="J71" s="812"/>
      <c r="K71" s="812"/>
      <c r="L71" s="812"/>
      <c r="M71" s="812"/>
      <c r="N71" s="812"/>
      <c r="O71" s="812"/>
      <c r="P71" s="812"/>
      <c r="Q71" s="812"/>
      <c r="R71" s="812"/>
      <c r="S71" s="812"/>
      <c r="T71" s="812"/>
      <c r="U71" s="813"/>
      <c r="V71" s="813"/>
      <c r="W71" s="813"/>
      <c r="X71" s="813"/>
      <c r="Y71" s="813"/>
      <c r="Z71" s="813"/>
      <c r="AA71" s="813"/>
      <c r="AB71" s="813"/>
      <c r="AC71" s="813"/>
      <c r="AD71" s="813"/>
      <c r="AE71" s="2144"/>
      <c r="AF71" s="813"/>
      <c r="AG71" s="813"/>
      <c r="AH71" s="813"/>
      <c r="AI71" s="813"/>
      <c r="AJ71" s="813"/>
      <c r="AK71" s="813"/>
      <c r="AL71" s="813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01"/>
      <c r="BL71" s="435"/>
      <c r="BM71" s="435"/>
      <c r="BN71" s="435"/>
      <c r="BO71" s="435"/>
      <c r="BP71" s="435"/>
      <c r="BQ71" s="435"/>
      <c r="BR71" s="435"/>
      <c r="BS71" s="435"/>
      <c r="BT71" s="435"/>
      <c r="BU71" s="435"/>
      <c r="BV71" s="435"/>
      <c r="BW71" s="435"/>
      <c r="BX71" s="435"/>
      <c r="BY71" s="435"/>
      <c r="BZ71" s="435"/>
      <c r="CA71" s="435"/>
      <c r="CB71" s="435"/>
      <c r="CC71" s="435"/>
      <c r="CD71" s="435"/>
      <c r="CE71" s="435"/>
      <c r="CF71" s="435"/>
      <c r="CG71" s="435"/>
      <c r="CH71" s="435"/>
      <c r="CI71" s="435"/>
      <c r="CJ71" s="435"/>
      <c r="CK71" s="435"/>
      <c r="CL71" s="435"/>
      <c r="CM71" s="435"/>
      <c r="CN71" s="435"/>
      <c r="CO71" s="435"/>
      <c r="CP71" s="435"/>
      <c r="CQ71" s="435"/>
      <c r="CR71" s="435"/>
      <c r="CS71" s="435"/>
      <c r="CT71" s="435"/>
      <c r="CU71" s="435"/>
      <c r="CV71" s="435"/>
      <c r="CW71" s="435"/>
    </row>
    <row r="72" spans="1:101" s="9" customFormat="1" ht="11.25">
      <c r="A72" s="280" t="s">
        <v>949</v>
      </c>
      <c r="B72" s="276"/>
      <c r="C72" s="276"/>
      <c r="D72" s="276"/>
      <c r="E72" s="276"/>
      <c r="F72" s="276"/>
      <c r="G72" s="276"/>
      <c r="H72" s="276"/>
      <c r="I72" s="276"/>
      <c r="J72" s="276"/>
      <c r="K72" s="276"/>
      <c r="L72" s="276"/>
      <c r="M72" s="276"/>
      <c r="N72" s="276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441"/>
      <c r="AB72" s="276"/>
      <c r="AC72" s="276"/>
      <c r="AD72" s="276"/>
      <c r="AE72" s="2128"/>
      <c r="AF72" s="276"/>
      <c r="AG72" s="276"/>
      <c r="AH72" s="276"/>
      <c r="AI72" s="276"/>
      <c r="AJ72" s="276"/>
      <c r="AK72" s="276"/>
      <c r="AL72" s="276"/>
      <c r="AM72" s="276"/>
      <c r="AN72" s="276"/>
      <c r="AO72" s="276"/>
      <c r="AP72" s="276"/>
      <c r="AQ72" s="276"/>
      <c r="AR72" s="276"/>
      <c r="AS72" s="276"/>
      <c r="AT72" s="276"/>
      <c r="AU72" s="276"/>
      <c r="AV72" s="276"/>
      <c r="AW72" s="276"/>
      <c r="AX72" s="276"/>
      <c r="AY72" s="276"/>
      <c r="AZ72" s="276"/>
      <c r="BA72" s="276"/>
      <c r="BB72" s="276"/>
      <c r="BC72" s="276"/>
      <c r="BD72" s="276"/>
      <c r="BE72" s="276"/>
      <c r="BF72" s="276"/>
      <c r="BG72" s="276"/>
      <c r="BH72" s="276"/>
      <c r="BI72" s="276"/>
      <c r="BJ72" s="276"/>
      <c r="BK72" s="1351"/>
      <c r="BL72" s="276"/>
      <c r="BM72" s="276"/>
      <c r="BN72" s="276"/>
      <c r="BO72" s="276"/>
      <c r="BP72" s="276"/>
      <c r="BQ72" s="276"/>
      <c r="BR72" s="276"/>
      <c r="BS72" s="276"/>
      <c r="BT72" s="276"/>
      <c r="BU72" s="276"/>
      <c r="BV72" s="276"/>
      <c r="BW72" s="276"/>
      <c r="BX72" s="276"/>
      <c r="BY72" s="276"/>
      <c r="BZ72" s="276"/>
      <c r="CA72" s="276"/>
      <c r="CB72" s="276"/>
      <c r="CC72" s="276"/>
      <c r="CD72" s="276"/>
      <c r="CE72" s="276"/>
      <c r="CF72" s="276"/>
      <c r="CG72" s="276"/>
      <c r="CH72" s="276"/>
      <c r="CI72" s="276"/>
      <c r="CJ72" s="276"/>
      <c r="CK72" s="276"/>
      <c r="CL72" s="276"/>
      <c r="CM72" s="276"/>
      <c r="CN72" s="276"/>
      <c r="CO72" s="276"/>
      <c r="CP72" s="276"/>
      <c r="CQ72" s="276"/>
      <c r="CR72" s="276"/>
      <c r="CS72" s="276"/>
      <c r="CT72" s="276"/>
      <c r="CU72" s="276"/>
      <c r="CV72" s="276"/>
      <c r="CW72" s="276"/>
    </row>
    <row r="73" spans="1:101" s="9" customFormat="1" ht="11.25">
      <c r="A73" s="331"/>
      <c r="B73" s="62"/>
      <c r="C73" s="62"/>
      <c r="D73" s="62"/>
      <c r="E73" s="62"/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  <c r="Q73" s="256"/>
      <c r="R73" s="256"/>
      <c r="S73" s="256"/>
      <c r="T73" s="256"/>
      <c r="U73" s="256"/>
      <c r="V73" s="256"/>
      <c r="W73" s="256"/>
      <c r="X73" s="256"/>
      <c r="Y73" s="256"/>
      <c r="Z73" s="256"/>
      <c r="AA73" s="256"/>
      <c r="AB73" s="256"/>
      <c r="AC73" s="256"/>
      <c r="AD73" s="256"/>
      <c r="AE73" s="2132"/>
      <c r="AF73" s="256"/>
      <c r="AG73" s="256"/>
      <c r="AH73" s="256"/>
      <c r="AI73" s="256"/>
      <c r="AJ73" s="256"/>
      <c r="AK73" s="256"/>
      <c r="AL73" s="256"/>
      <c r="AM73" s="257"/>
      <c r="AN73" s="257"/>
      <c r="AO73" s="257"/>
      <c r="AP73" s="461"/>
      <c r="AQ73" s="461"/>
      <c r="AR73" s="461"/>
      <c r="AS73" s="461"/>
      <c r="AT73" s="461"/>
      <c r="AU73" s="461"/>
      <c r="AV73" s="461"/>
      <c r="AW73" s="461"/>
      <c r="AX73" s="461"/>
      <c r="AY73" s="461"/>
      <c r="AZ73" s="461"/>
      <c r="BA73" s="461"/>
      <c r="BB73" s="461"/>
      <c r="BC73" s="461"/>
      <c r="BD73" s="461"/>
      <c r="BE73" s="461"/>
      <c r="BF73" s="461"/>
      <c r="BG73" s="461"/>
      <c r="BH73" s="461"/>
      <c r="BI73" s="461"/>
      <c r="BJ73" s="461"/>
      <c r="BK73" s="1368"/>
      <c r="BL73" s="461"/>
      <c r="BM73" s="461"/>
      <c r="BN73" s="461"/>
      <c r="BO73" s="461"/>
      <c r="BP73" s="461"/>
      <c r="BQ73" s="461"/>
      <c r="BR73" s="461"/>
      <c r="BS73" s="461"/>
      <c r="BT73" s="461"/>
      <c r="BU73" s="461"/>
      <c r="BV73" s="461"/>
      <c r="BW73" s="461"/>
      <c r="BX73" s="461"/>
      <c r="BY73" s="461"/>
      <c r="BZ73" s="461"/>
      <c r="CA73" s="461"/>
      <c r="CB73" s="461"/>
      <c r="CC73" s="461"/>
      <c r="CD73" s="461"/>
      <c r="CE73" s="461"/>
      <c r="CF73" s="461"/>
      <c r="CG73" s="461"/>
      <c r="CH73" s="461"/>
      <c r="CI73" s="461"/>
      <c r="CJ73" s="461"/>
      <c r="CK73" s="461"/>
      <c r="CL73" s="461"/>
      <c r="CM73" s="461"/>
      <c r="CN73" s="461"/>
      <c r="CO73" s="461"/>
      <c r="CP73" s="461"/>
      <c r="CQ73" s="461"/>
      <c r="CR73" s="461"/>
      <c r="CS73" s="461"/>
      <c r="CT73" s="461"/>
      <c r="CU73" s="461"/>
      <c r="CV73" s="461"/>
      <c r="CW73" s="461"/>
    </row>
    <row r="74" spans="1:101" s="9" customFormat="1" ht="11.25">
      <c r="A74" s="331" t="s">
        <v>752</v>
      </c>
      <c r="B74" s="62"/>
      <c r="C74" s="62"/>
      <c r="D74" s="62"/>
      <c r="E74" s="62"/>
      <c r="F74" s="316"/>
      <c r="G74" s="333"/>
      <c r="H74" s="333"/>
      <c r="I74" s="316"/>
      <c r="J74" s="316"/>
      <c r="K74" s="333"/>
      <c r="L74" s="333"/>
      <c r="M74" s="316"/>
      <c r="N74" s="355"/>
      <c r="O74" s="355"/>
      <c r="P74" s="355"/>
      <c r="Q74" s="316"/>
      <c r="R74" s="316"/>
      <c r="S74" s="316"/>
      <c r="T74" s="316"/>
      <c r="U74" s="316"/>
      <c r="V74" s="316"/>
      <c r="W74" s="316"/>
      <c r="X74" s="316"/>
      <c r="Y74" s="316"/>
      <c r="Z74" s="316"/>
      <c r="AA74" s="355"/>
      <c r="AB74" s="316"/>
      <c r="AC74" s="316"/>
      <c r="AD74" s="316"/>
      <c r="AE74" s="2129"/>
      <c r="AF74" s="316"/>
      <c r="AG74" s="316"/>
      <c r="AH74" s="316"/>
      <c r="AI74" s="316"/>
      <c r="AJ74" s="316"/>
      <c r="AK74" s="316"/>
      <c r="AL74" s="316"/>
      <c r="AM74" s="316"/>
      <c r="AN74" s="316"/>
      <c r="AO74" s="316"/>
      <c r="BK74" s="1318"/>
    </row>
    <row r="75" spans="1:101" s="9" customFormat="1" ht="11.25">
      <c r="A75" s="331"/>
      <c r="B75" s="62"/>
      <c r="C75" s="62"/>
      <c r="D75" s="62"/>
      <c r="E75" s="62"/>
      <c r="F75" s="316"/>
      <c r="G75" s="333"/>
      <c r="H75" s="333"/>
      <c r="I75" s="316"/>
      <c r="J75" s="316"/>
      <c r="K75" s="333"/>
      <c r="L75" s="333"/>
      <c r="M75" s="316"/>
      <c r="N75" s="355"/>
      <c r="O75" s="355"/>
      <c r="P75" s="355"/>
      <c r="Q75" s="316"/>
      <c r="R75" s="316"/>
      <c r="S75" s="316"/>
      <c r="T75" s="316"/>
      <c r="U75" s="316"/>
      <c r="V75" s="316"/>
      <c r="W75" s="316"/>
      <c r="X75" s="316"/>
      <c r="Y75" s="316"/>
      <c r="Z75" s="316"/>
      <c r="AA75" s="355"/>
      <c r="AB75" s="316"/>
      <c r="AC75" s="316"/>
      <c r="AD75" s="316"/>
      <c r="AE75" s="2129"/>
      <c r="AF75" s="316"/>
      <c r="AG75" s="316"/>
      <c r="AH75" s="316"/>
      <c r="AI75" s="316"/>
      <c r="AJ75" s="316"/>
      <c r="AK75" s="316"/>
      <c r="AL75" s="316"/>
      <c r="AM75" s="316"/>
      <c r="AN75" s="316"/>
      <c r="AO75" s="316"/>
      <c r="BK75" s="1318"/>
    </row>
    <row r="76" spans="1:101" s="9" customFormat="1" ht="11.25">
      <c r="A76" s="622" t="s">
        <v>947</v>
      </c>
      <c r="B76" s="423">
        <f>IS!C99</f>
        <v>0</v>
      </c>
      <c r="C76" s="423">
        <f>IS!D99</f>
        <v>0</v>
      </c>
      <c r="D76" s="423">
        <f>IS!E99</f>
        <v>0</v>
      </c>
      <c r="E76" s="423">
        <f>IS!F99</f>
        <v>0</v>
      </c>
      <c r="F76" s="423">
        <f>IS!G99</f>
        <v>0</v>
      </c>
      <c r="G76" s="423">
        <f>IS!H99</f>
        <v>0</v>
      </c>
      <c r="H76" s="423">
        <f>IS!I99</f>
        <v>0</v>
      </c>
      <c r="I76" s="423">
        <f>IS!J99</f>
        <v>0</v>
      </c>
      <c r="J76" s="423">
        <f>IS!K99</f>
        <v>0</v>
      </c>
      <c r="K76" s="423">
        <f>IS!L99</f>
        <v>0</v>
      </c>
      <c r="L76" s="423">
        <f>IS!M99</f>
        <v>0</v>
      </c>
      <c r="M76" s="423">
        <f>IS!N99</f>
        <v>0</v>
      </c>
      <c r="N76" s="423">
        <f>IS!O99</f>
        <v>0</v>
      </c>
      <c r="O76" s="423">
        <f>IS!P99</f>
        <v>0</v>
      </c>
      <c r="P76" s="423">
        <f>IS!Q99</f>
        <v>0</v>
      </c>
      <c r="Q76" s="423">
        <f>IS!R99</f>
        <v>0</v>
      </c>
      <c r="R76" s="423">
        <f>IS!S99</f>
        <v>0</v>
      </c>
      <c r="S76" s="423">
        <f>IS!T99</f>
        <v>0</v>
      </c>
      <c r="T76" s="423">
        <f>IS!U99</f>
        <v>0</v>
      </c>
      <c r="U76" s="423">
        <f>IS!V99</f>
        <v>0</v>
      </c>
      <c r="V76" s="423">
        <f>IS!W99</f>
        <v>0</v>
      </c>
      <c r="W76" s="423">
        <f>IS!X99</f>
        <v>0</v>
      </c>
      <c r="X76" s="423">
        <f>IS!Y99</f>
        <v>0</v>
      </c>
      <c r="Y76" s="423">
        <f>IS!Z99</f>
        <v>442</v>
      </c>
      <c r="Z76" s="423">
        <f>IS!AA99</f>
        <v>442</v>
      </c>
      <c r="AA76" s="423">
        <f>IS!AB99</f>
        <v>445</v>
      </c>
      <c r="AB76" s="423">
        <f>IS!AC99</f>
        <v>455</v>
      </c>
      <c r="AC76" s="423">
        <f>IS!AD99</f>
        <v>467</v>
      </c>
      <c r="AD76" s="423">
        <f>IS!AE99</f>
        <v>468</v>
      </c>
      <c r="AE76" s="2130">
        <f>IS!AF99</f>
        <v>475</v>
      </c>
      <c r="AF76" s="423">
        <f>IS!AG99</f>
        <v>483</v>
      </c>
      <c r="AG76" s="423">
        <f>IS!AH99</f>
        <v>499</v>
      </c>
      <c r="AH76" s="423">
        <f>IS!AI99</f>
        <v>506</v>
      </c>
      <c r="AI76" s="423">
        <f>IS!AJ99</f>
        <v>519</v>
      </c>
      <c r="AJ76" s="423">
        <f>IS!AK99</f>
        <v>530</v>
      </c>
      <c r="AK76" s="423">
        <f>IS!AL99</f>
        <v>549</v>
      </c>
      <c r="AL76" s="423">
        <f>IS!AM99</f>
        <v>555</v>
      </c>
      <c r="AM76" s="962">
        <f>IS!AN99</f>
        <v>561</v>
      </c>
      <c r="AN76" s="962">
        <f>IS!AO99</f>
        <v>571</v>
      </c>
      <c r="AO76" s="962">
        <f>IS!AP99</f>
        <v>593</v>
      </c>
      <c r="AP76" s="962">
        <f>IS!AQ99</f>
        <v>1353</v>
      </c>
      <c r="AQ76" s="962">
        <f>IS!AR99</f>
        <v>1372</v>
      </c>
      <c r="AR76" s="962">
        <f>IS!AS99</f>
        <v>1394</v>
      </c>
      <c r="AS76" s="962">
        <f>IS!AT99</f>
        <v>1398</v>
      </c>
      <c r="AT76" s="962">
        <f>IS!AU99</f>
        <v>1405</v>
      </c>
      <c r="AU76" s="962">
        <f>IS!AV99</f>
        <v>1390</v>
      </c>
      <c r="AV76" s="962">
        <f>IS!AW99</f>
        <v>1392</v>
      </c>
      <c r="AW76" s="962">
        <f>IS!AX99</f>
        <v>1376</v>
      </c>
      <c r="AX76" s="962">
        <f>IS!AY99</f>
        <v>1375</v>
      </c>
      <c r="AY76" s="962">
        <f>IS!AZ99</f>
        <v>1388</v>
      </c>
      <c r="AZ76" s="962">
        <f>IS!BA99</f>
        <v>1404</v>
      </c>
      <c r="BA76" s="962">
        <f>IS!BB99</f>
        <v>1424</v>
      </c>
      <c r="BB76" s="962">
        <f>IS!BC99</f>
        <v>1441</v>
      </c>
      <c r="BC76" s="962">
        <f>IS!BD99</f>
        <v>1452</v>
      </c>
      <c r="BD76" s="962">
        <f>IS!BE99</f>
        <v>1460</v>
      </c>
      <c r="BE76" s="962">
        <f>IS!BF99</f>
        <v>1476</v>
      </c>
      <c r="BF76" s="962">
        <f>IS!BG99</f>
        <v>1477</v>
      </c>
      <c r="BG76" s="962">
        <f>IS!BH99</f>
        <v>1494</v>
      </c>
      <c r="BH76" s="962">
        <f>IS!BI99</f>
        <v>1514</v>
      </c>
      <c r="BI76" s="962">
        <f>IS!BJ99</f>
        <v>1534</v>
      </c>
      <c r="BJ76" s="962">
        <f>IS!BK99</f>
        <v>1534</v>
      </c>
      <c r="BK76" s="1352">
        <f>IS!BL99</f>
        <v>1548</v>
      </c>
      <c r="BL76" s="656">
        <f t="shared" ref="BL76:BQ76" si="367">+BL81+BL85</f>
        <v>1560</v>
      </c>
      <c r="BM76" s="656">
        <f t="shared" si="367"/>
        <v>1598</v>
      </c>
      <c r="BN76" s="656">
        <f t="shared" si="367"/>
        <v>1605</v>
      </c>
      <c r="BO76" s="656">
        <f t="shared" si="367"/>
        <v>1612</v>
      </c>
      <c r="BP76" s="656">
        <f t="shared" si="367"/>
        <v>1619</v>
      </c>
      <c r="BQ76" s="656">
        <f t="shared" si="367"/>
        <v>1634</v>
      </c>
      <c r="BR76" s="656">
        <f t="shared" ref="BR76:CK76" si="368">+BR81+BR85</f>
        <v>1639</v>
      </c>
      <c r="BS76" s="656">
        <f t="shared" si="368"/>
        <v>1644</v>
      </c>
      <c r="BT76" s="656">
        <f t="shared" si="368"/>
        <v>1649</v>
      </c>
      <c r="BU76" s="656">
        <f t="shared" si="368"/>
        <v>1662</v>
      </c>
      <c r="BV76" s="656">
        <f t="shared" si="368"/>
        <v>1667</v>
      </c>
      <c r="BW76" s="656">
        <f t="shared" si="368"/>
        <v>1672</v>
      </c>
      <c r="BX76" s="656">
        <f t="shared" si="368"/>
        <v>1677</v>
      </c>
      <c r="BY76" s="656">
        <f t="shared" si="368"/>
        <v>1686</v>
      </c>
      <c r="BZ76" s="656">
        <f t="shared" si="368"/>
        <v>1691</v>
      </c>
      <c r="CA76" s="656">
        <f t="shared" si="368"/>
        <v>1696</v>
      </c>
      <c r="CB76" s="656">
        <f t="shared" si="368"/>
        <v>1701</v>
      </c>
      <c r="CC76" s="656">
        <f t="shared" si="368"/>
        <v>1710</v>
      </c>
      <c r="CD76" s="656">
        <f t="shared" si="368"/>
        <v>1715</v>
      </c>
      <c r="CE76" s="656">
        <f t="shared" si="368"/>
        <v>1720</v>
      </c>
      <c r="CF76" s="656">
        <f t="shared" si="368"/>
        <v>1725</v>
      </c>
      <c r="CG76" s="656">
        <f t="shared" si="368"/>
        <v>1734</v>
      </c>
      <c r="CH76" s="656">
        <f t="shared" si="368"/>
        <v>1738</v>
      </c>
      <c r="CI76" s="656">
        <f t="shared" si="368"/>
        <v>1742</v>
      </c>
      <c r="CJ76" s="656">
        <f t="shared" si="368"/>
        <v>1746</v>
      </c>
      <c r="CK76" s="656">
        <f t="shared" si="368"/>
        <v>1756</v>
      </c>
      <c r="CL76" s="656">
        <f t="shared" ref="CL76:CW76" si="369">+CL81+CL85</f>
        <v>1760</v>
      </c>
      <c r="CM76" s="656">
        <f t="shared" si="369"/>
        <v>1764</v>
      </c>
      <c r="CN76" s="656">
        <f t="shared" si="369"/>
        <v>1768</v>
      </c>
      <c r="CO76" s="656">
        <f t="shared" si="369"/>
        <v>1778</v>
      </c>
      <c r="CP76" s="656">
        <f t="shared" si="369"/>
        <v>1782</v>
      </c>
      <c r="CQ76" s="656">
        <f t="shared" si="369"/>
        <v>1786</v>
      </c>
      <c r="CR76" s="656">
        <f t="shared" si="369"/>
        <v>1790</v>
      </c>
      <c r="CS76" s="656">
        <f t="shared" si="369"/>
        <v>1800</v>
      </c>
      <c r="CT76" s="656">
        <f t="shared" si="369"/>
        <v>1804</v>
      </c>
      <c r="CU76" s="656">
        <f t="shared" si="369"/>
        <v>1808</v>
      </c>
      <c r="CV76" s="656">
        <f t="shared" si="369"/>
        <v>1812</v>
      </c>
      <c r="CW76" s="656">
        <f t="shared" si="369"/>
        <v>1819</v>
      </c>
    </row>
    <row r="77" spans="1:101" s="9" customFormat="1" ht="11.25">
      <c r="A77" s="655" t="s">
        <v>940</v>
      </c>
      <c r="B77" s="369"/>
      <c r="C77" s="369">
        <f t="shared" ref="C77:AZ77" si="370">+C76-B76</f>
        <v>0</v>
      </c>
      <c r="D77" s="369">
        <f t="shared" si="370"/>
        <v>0</v>
      </c>
      <c r="E77" s="369">
        <f t="shared" si="370"/>
        <v>0</v>
      </c>
      <c r="F77" s="369">
        <f t="shared" si="370"/>
        <v>0</v>
      </c>
      <c r="G77" s="369">
        <f t="shared" si="370"/>
        <v>0</v>
      </c>
      <c r="H77" s="369">
        <f t="shared" si="370"/>
        <v>0</v>
      </c>
      <c r="I77" s="369">
        <f t="shared" si="370"/>
        <v>0</v>
      </c>
      <c r="J77" s="369">
        <f t="shared" si="370"/>
        <v>0</v>
      </c>
      <c r="K77" s="369">
        <f t="shared" si="370"/>
        <v>0</v>
      </c>
      <c r="L77" s="369">
        <f t="shared" si="370"/>
        <v>0</v>
      </c>
      <c r="M77" s="369">
        <f t="shared" si="370"/>
        <v>0</v>
      </c>
      <c r="N77" s="369">
        <f t="shared" si="370"/>
        <v>0</v>
      </c>
      <c r="O77" s="369">
        <f t="shared" si="370"/>
        <v>0</v>
      </c>
      <c r="P77" s="369">
        <f t="shared" si="370"/>
        <v>0</v>
      </c>
      <c r="Q77" s="369">
        <f t="shared" si="370"/>
        <v>0</v>
      </c>
      <c r="R77" s="369">
        <f t="shared" si="370"/>
        <v>0</v>
      </c>
      <c r="S77" s="369">
        <f t="shared" si="370"/>
        <v>0</v>
      </c>
      <c r="T77" s="369">
        <f t="shared" si="370"/>
        <v>0</v>
      </c>
      <c r="U77" s="369">
        <f t="shared" si="370"/>
        <v>0</v>
      </c>
      <c r="V77" s="369">
        <f t="shared" si="370"/>
        <v>0</v>
      </c>
      <c r="W77" s="369">
        <f t="shared" si="370"/>
        <v>0</v>
      </c>
      <c r="X77" s="369">
        <f t="shared" si="370"/>
        <v>0</v>
      </c>
      <c r="Y77" s="369">
        <f t="shared" si="370"/>
        <v>442</v>
      </c>
      <c r="Z77" s="369">
        <f t="shared" si="370"/>
        <v>0</v>
      </c>
      <c r="AA77" s="369">
        <f t="shared" si="370"/>
        <v>3</v>
      </c>
      <c r="AB77" s="369">
        <f t="shared" si="370"/>
        <v>10</v>
      </c>
      <c r="AC77" s="369">
        <f t="shared" si="370"/>
        <v>12</v>
      </c>
      <c r="AD77" s="369">
        <f t="shared" si="370"/>
        <v>1</v>
      </c>
      <c r="AE77" s="2131">
        <f t="shared" si="370"/>
        <v>7</v>
      </c>
      <c r="AF77" s="369">
        <f t="shared" si="370"/>
        <v>8</v>
      </c>
      <c r="AG77" s="369">
        <f t="shared" si="370"/>
        <v>16</v>
      </c>
      <c r="AH77" s="369">
        <f t="shared" si="370"/>
        <v>7</v>
      </c>
      <c r="AI77" s="369">
        <f t="shared" si="370"/>
        <v>13</v>
      </c>
      <c r="AJ77" s="369">
        <f t="shared" si="370"/>
        <v>11</v>
      </c>
      <c r="AK77" s="369">
        <f t="shared" si="370"/>
        <v>19</v>
      </c>
      <c r="AL77" s="369">
        <f t="shared" si="370"/>
        <v>6</v>
      </c>
      <c r="AM77" s="586">
        <f t="shared" si="370"/>
        <v>6</v>
      </c>
      <c r="AN77" s="586">
        <f t="shared" si="370"/>
        <v>10</v>
      </c>
      <c r="AO77" s="586">
        <f t="shared" si="370"/>
        <v>22</v>
      </c>
      <c r="AP77" s="586">
        <f t="shared" si="370"/>
        <v>760</v>
      </c>
      <c r="AQ77" s="586">
        <f t="shared" si="370"/>
        <v>19</v>
      </c>
      <c r="AR77" s="586">
        <f t="shared" si="370"/>
        <v>22</v>
      </c>
      <c r="AS77" s="586">
        <f t="shared" si="370"/>
        <v>4</v>
      </c>
      <c r="AT77" s="586">
        <f t="shared" si="370"/>
        <v>7</v>
      </c>
      <c r="AU77" s="586">
        <f t="shared" si="370"/>
        <v>-15</v>
      </c>
      <c r="AV77" s="586">
        <f t="shared" si="370"/>
        <v>2</v>
      </c>
      <c r="AW77" s="586">
        <f t="shared" si="370"/>
        <v>-16</v>
      </c>
      <c r="AX77" s="586">
        <f t="shared" si="370"/>
        <v>-1</v>
      </c>
      <c r="AY77" s="586">
        <f t="shared" si="370"/>
        <v>13</v>
      </c>
      <c r="AZ77" s="586">
        <f t="shared" si="370"/>
        <v>16</v>
      </c>
      <c r="BA77" s="586">
        <f t="shared" ref="BA77:BK77" si="371">+BA76-AZ76</f>
        <v>20</v>
      </c>
      <c r="BB77" s="586">
        <f t="shared" si="371"/>
        <v>17</v>
      </c>
      <c r="BC77" s="586">
        <f t="shared" si="371"/>
        <v>11</v>
      </c>
      <c r="BD77" s="586">
        <f t="shared" si="371"/>
        <v>8</v>
      </c>
      <c r="BE77" s="586">
        <f t="shared" si="371"/>
        <v>16</v>
      </c>
      <c r="BF77" s="586">
        <f t="shared" si="371"/>
        <v>1</v>
      </c>
      <c r="BG77" s="586">
        <f t="shared" si="371"/>
        <v>17</v>
      </c>
      <c r="BH77" s="586">
        <f t="shared" si="371"/>
        <v>20</v>
      </c>
      <c r="BI77" s="586">
        <f t="shared" si="371"/>
        <v>20</v>
      </c>
      <c r="BJ77" s="586">
        <f t="shared" si="371"/>
        <v>0</v>
      </c>
      <c r="BK77" s="1353">
        <f t="shared" si="371"/>
        <v>14</v>
      </c>
      <c r="BL77" s="587">
        <f t="shared" ref="BL77:BQ77" si="372">+BL82+BL86</f>
        <v>12</v>
      </c>
      <c r="BM77" s="587">
        <f t="shared" si="372"/>
        <v>38</v>
      </c>
      <c r="BN77" s="587">
        <f t="shared" si="372"/>
        <v>7</v>
      </c>
      <c r="BO77" s="587">
        <f t="shared" si="372"/>
        <v>7</v>
      </c>
      <c r="BP77" s="587">
        <f t="shared" si="372"/>
        <v>7</v>
      </c>
      <c r="BQ77" s="587">
        <f t="shared" si="372"/>
        <v>15</v>
      </c>
      <c r="BR77" s="587">
        <f t="shared" ref="BR77:CK77" si="373">+BR82+BR86</f>
        <v>5</v>
      </c>
      <c r="BS77" s="587">
        <f t="shared" si="373"/>
        <v>5</v>
      </c>
      <c r="BT77" s="587">
        <f t="shared" si="373"/>
        <v>5</v>
      </c>
      <c r="BU77" s="587">
        <f t="shared" si="373"/>
        <v>13</v>
      </c>
      <c r="BV77" s="587">
        <f t="shared" si="373"/>
        <v>5</v>
      </c>
      <c r="BW77" s="587">
        <f t="shared" si="373"/>
        <v>5</v>
      </c>
      <c r="BX77" s="587">
        <f t="shared" si="373"/>
        <v>5</v>
      </c>
      <c r="BY77" s="587">
        <f t="shared" si="373"/>
        <v>9</v>
      </c>
      <c r="BZ77" s="587">
        <f t="shared" si="373"/>
        <v>5</v>
      </c>
      <c r="CA77" s="587">
        <f t="shared" si="373"/>
        <v>5</v>
      </c>
      <c r="CB77" s="587">
        <f t="shared" si="373"/>
        <v>5</v>
      </c>
      <c r="CC77" s="587">
        <f t="shared" si="373"/>
        <v>9</v>
      </c>
      <c r="CD77" s="587">
        <f t="shared" si="373"/>
        <v>5</v>
      </c>
      <c r="CE77" s="587">
        <f t="shared" si="373"/>
        <v>5</v>
      </c>
      <c r="CF77" s="587">
        <f t="shared" si="373"/>
        <v>5</v>
      </c>
      <c r="CG77" s="587">
        <f t="shared" si="373"/>
        <v>9</v>
      </c>
      <c r="CH77" s="587">
        <f t="shared" si="373"/>
        <v>4</v>
      </c>
      <c r="CI77" s="587">
        <f t="shared" si="373"/>
        <v>4</v>
      </c>
      <c r="CJ77" s="587">
        <f t="shared" si="373"/>
        <v>4</v>
      </c>
      <c r="CK77" s="587">
        <f t="shared" si="373"/>
        <v>10</v>
      </c>
      <c r="CL77" s="587">
        <f t="shared" ref="CL77:CW77" si="374">+CL82+CL86</f>
        <v>4</v>
      </c>
      <c r="CM77" s="587">
        <f t="shared" si="374"/>
        <v>4</v>
      </c>
      <c r="CN77" s="587">
        <f t="shared" si="374"/>
        <v>4</v>
      </c>
      <c r="CO77" s="587">
        <f t="shared" si="374"/>
        <v>10</v>
      </c>
      <c r="CP77" s="587">
        <f t="shared" si="374"/>
        <v>4</v>
      </c>
      <c r="CQ77" s="587">
        <f t="shared" si="374"/>
        <v>4</v>
      </c>
      <c r="CR77" s="587">
        <f t="shared" si="374"/>
        <v>4</v>
      </c>
      <c r="CS77" s="587">
        <f t="shared" si="374"/>
        <v>10</v>
      </c>
      <c r="CT77" s="587">
        <f t="shared" si="374"/>
        <v>4</v>
      </c>
      <c r="CU77" s="587">
        <f t="shared" si="374"/>
        <v>4</v>
      </c>
      <c r="CV77" s="587">
        <f t="shared" si="374"/>
        <v>4</v>
      </c>
      <c r="CW77" s="587">
        <f t="shared" si="374"/>
        <v>7</v>
      </c>
    </row>
    <row r="78" spans="1:101" s="9" customFormat="1" ht="11.25">
      <c r="A78" s="869" t="s">
        <v>1472</v>
      </c>
      <c r="B78" s="62"/>
      <c r="C78" s="369">
        <f t="shared" ref="C78:AH78" si="375">+AVERAGE(B76:C76)</f>
        <v>0</v>
      </c>
      <c r="D78" s="369">
        <f t="shared" si="375"/>
        <v>0</v>
      </c>
      <c r="E78" s="369">
        <f t="shared" si="375"/>
        <v>0</v>
      </c>
      <c r="F78" s="369">
        <f t="shared" si="375"/>
        <v>0</v>
      </c>
      <c r="G78" s="369">
        <f t="shared" si="375"/>
        <v>0</v>
      </c>
      <c r="H78" s="369">
        <f t="shared" si="375"/>
        <v>0</v>
      </c>
      <c r="I78" s="369">
        <f t="shared" si="375"/>
        <v>0</v>
      </c>
      <c r="J78" s="369">
        <f t="shared" si="375"/>
        <v>0</v>
      </c>
      <c r="K78" s="369">
        <f t="shared" si="375"/>
        <v>0</v>
      </c>
      <c r="L78" s="369">
        <f t="shared" si="375"/>
        <v>0</v>
      </c>
      <c r="M78" s="369">
        <f t="shared" si="375"/>
        <v>0</v>
      </c>
      <c r="N78" s="369">
        <f t="shared" si="375"/>
        <v>0</v>
      </c>
      <c r="O78" s="369">
        <f t="shared" si="375"/>
        <v>0</v>
      </c>
      <c r="P78" s="369">
        <f t="shared" si="375"/>
        <v>0</v>
      </c>
      <c r="Q78" s="369">
        <f t="shared" si="375"/>
        <v>0</v>
      </c>
      <c r="R78" s="369">
        <f t="shared" si="375"/>
        <v>0</v>
      </c>
      <c r="S78" s="369">
        <f t="shared" si="375"/>
        <v>0</v>
      </c>
      <c r="T78" s="369">
        <f t="shared" si="375"/>
        <v>0</v>
      </c>
      <c r="U78" s="369">
        <f t="shared" si="375"/>
        <v>0</v>
      </c>
      <c r="V78" s="369">
        <f t="shared" si="375"/>
        <v>0</v>
      </c>
      <c r="W78" s="369">
        <f t="shared" si="375"/>
        <v>0</v>
      </c>
      <c r="X78" s="369">
        <f t="shared" si="375"/>
        <v>0</v>
      </c>
      <c r="Y78" s="369">
        <f t="shared" si="375"/>
        <v>221</v>
      </c>
      <c r="Z78" s="369">
        <f t="shared" si="375"/>
        <v>442</v>
      </c>
      <c r="AA78" s="369">
        <f t="shared" si="375"/>
        <v>443.5</v>
      </c>
      <c r="AB78" s="369">
        <f t="shared" si="375"/>
        <v>450</v>
      </c>
      <c r="AC78" s="369">
        <f t="shared" si="375"/>
        <v>461</v>
      </c>
      <c r="AD78" s="369">
        <f t="shared" si="375"/>
        <v>467.5</v>
      </c>
      <c r="AE78" s="2131">
        <f t="shared" si="375"/>
        <v>471.5</v>
      </c>
      <c r="AF78" s="369">
        <f t="shared" si="375"/>
        <v>479</v>
      </c>
      <c r="AG78" s="369">
        <f t="shared" si="375"/>
        <v>491</v>
      </c>
      <c r="AH78" s="369">
        <f t="shared" si="375"/>
        <v>502.5</v>
      </c>
      <c r="AI78" s="369">
        <f t="shared" ref="AI78:BN78" si="376">+AVERAGE(AH76:AI76)</f>
        <v>512.5</v>
      </c>
      <c r="AJ78" s="369">
        <f t="shared" si="376"/>
        <v>524.5</v>
      </c>
      <c r="AK78" s="369">
        <f t="shared" si="376"/>
        <v>539.5</v>
      </c>
      <c r="AL78" s="369">
        <f t="shared" si="376"/>
        <v>552</v>
      </c>
      <c r="AM78" s="586">
        <f t="shared" si="376"/>
        <v>558</v>
      </c>
      <c r="AN78" s="586">
        <f t="shared" si="376"/>
        <v>566</v>
      </c>
      <c r="AO78" s="586">
        <f t="shared" si="376"/>
        <v>582</v>
      </c>
      <c r="AP78" s="586">
        <f t="shared" si="376"/>
        <v>973</v>
      </c>
      <c r="AQ78" s="586">
        <f t="shared" si="376"/>
        <v>1362.5</v>
      </c>
      <c r="AR78" s="586">
        <f t="shared" si="376"/>
        <v>1383</v>
      </c>
      <c r="AS78" s="586">
        <f t="shared" si="376"/>
        <v>1396</v>
      </c>
      <c r="AT78" s="586">
        <f t="shared" si="376"/>
        <v>1401.5</v>
      </c>
      <c r="AU78" s="586">
        <f t="shared" si="376"/>
        <v>1397.5</v>
      </c>
      <c r="AV78" s="586">
        <f t="shared" si="376"/>
        <v>1391</v>
      </c>
      <c r="AW78" s="586">
        <f t="shared" si="376"/>
        <v>1384</v>
      </c>
      <c r="AX78" s="586">
        <f t="shared" si="376"/>
        <v>1375.5</v>
      </c>
      <c r="AY78" s="586">
        <f t="shared" si="376"/>
        <v>1381.5</v>
      </c>
      <c r="AZ78" s="586">
        <f t="shared" si="376"/>
        <v>1396</v>
      </c>
      <c r="BA78" s="586">
        <f t="shared" si="376"/>
        <v>1414</v>
      </c>
      <c r="BB78" s="586">
        <f t="shared" si="376"/>
        <v>1432.5</v>
      </c>
      <c r="BC78" s="586">
        <f t="shared" si="376"/>
        <v>1446.5</v>
      </c>
      <c r="BD78" s="586">
        <f t="shared" si="376"/>
        <v>1456</v>
      </c>
      <c r="BE78" s="586">
        <f t="shared" si="376"/>
        <v>1468</v>
      </c>
      <c r="BF78" s="586">
        <f t="shared" si="376"/>
        <v>1476.5</v>
      </c>
      <c r="BG78" s="586">
        <f t="shared" si="376"/>
        <v>1485.5</v>
      </c>
      <c r="BH78" s="586">
        <f t="shared" si="376"/>
        <v>1504</v>
      </c>
      <c r="BI78" s="586">
        <f t="shared" si="376"/>
        <v>1524</v>
      </c>
      <c r="BJ78" s="586">
        <f t="shared" si="376"/>
        <v>1534</v>
      </c>
      <c r="BK78" s="1353">
        <f t="shared" si="376"/>
        <v>1541</v>
      </c>
      <c r="BL78" s="587">
        <f t="shared" si="376"/>
        <v>1554</v>
      </c>
      <c r="BM78" s="587">
        <f t="shared" si="376"/>
        <v>1579</v>
      </c>
      <c r="BN78" s="587">
        <f t="shared" si="376"/>
        <v>1601.5</v>
      </c>
      <c r="BO78" s="587">
        <f t="shared" ref="BO78:CK78" si="377">+AVERAGE(BN76:BO76)</f>
        <v>1608.5</v>
      </c>
      <c r="BP78" s="587">
        <f t="shared" si="377"/>
        <v>1615.5</v>
      </c>
      <c r="BQ78" s="587">
        <f t="shared" si="377"/>
        <v>1626.5</v>
      </c>
      <c r="BR78" s="587">
        <f t="shared" si="377"/>
        <v>1636.5</v>
      </c>
      <c r="BS78" s="587">
        <f t="shared" si="377"/>
        <v>1641.5</v>
      </c>
      <c r="BT78" s="587">
        <f t="shared" si="377"/>
        <v>1646.5</v>
      </c>
      <c r="BU78" s="587">
        <f t="shared" si="377"/>
        <v>1655.5</v>
      </c>
      <c r="BV78" s="587">
        <f t="shared" si="377"/>
        <v>1664.5</v>
      </c>
      <c r="BW78" s="587">
        <f t="shared" si="377"/>
        <v>1669.5</v>
      </c>
      <c r="BX78" s="587">
        <f t="shared" si="377"/>
        <v>1674.5</v>
      </c>
      <c r="BY78" s="587">
        <f t="shared" si="377"/>
        <v>1681.5</v>
      </c>
      <c r="BZ78" s="587">
        <f t="shared" si="377"/>
        <v>1688.5</v>
      </c>
      <c r="CA78" s="587">
        <f t="shared" si="377"/>
        <v>1693.5</v>
      </c>
      <c r="CB78" s="587">
        <f t="shared" si="377"/>
        <v>1698.5</v>
      </c>
      <c r="CC78" s="587">
        <f t="shared" si="377"/>
        <v>1705.5</v>
      </c>
      <c r="CD78" s="587">
        <f t="shared" si="377"/>
        <v>1712.5</v>
      </c>
      <c r="CE78" s="587">
        <f t="shared" si="377"/>
        <v>1717.5</v>
      </c>
      <c r="CF78" s="587">
        <f t="shared" si="377"/>
        <v>1722.5</v>
      </c>
      <c r="CG78" s="587">
        <f t="shared" si="377"/>
        <v>1729.5</v>
      </c>
      <c r="CH78" s="587">
        <f t="shared" si="377"/>
        <v>1736</v>
      </c>
      <c r="CI78" s="587">
        <f t="shared" si="377"/>
        <v>1740</v>
      </c>
      <c r="CJ78" s="587">
        <f t="shared" si="377"/>
        <v>1744</v>
      </c>
      <c r="CK78" s="587">
        <f t="shared" si="377"/>
        <v>1751</v>
      </c>
      <c r="CL78" s="587">
        <f t="shared" ref="CL78" si="378">+AVERAGE(CK76:CL76)</f>
        <v>1758</v>
      </c>
      <c r="CM78" s="587">
        <f t="shared" ref="CM78" si="379">+AVERAGE(CL76:CM76)</f>
        <v>1762</v>
      </c>
      <c r="CN78" s="587">
        <f t="shared" ref="CN78" si="380">+AVERAGE(CM76:CN76)</f>
        <v>1766</v>
      </c>
      <c r="CO78" s="587">
        <f t="shared" ref="CO78" si="381">+AVERAGE(CN76:CO76)</f>
        <v>1773</v>
      </c>
      <c r="CP78" s="587">
        <f t="shared" ref="CP78" si="382">+AVERAGE(CO76:CP76)</f>
        <v>1780</v>
      </c>
      <c r="CQ78" s="587">
        <f t="shared" ref="CQ78" si="383">+AVERAGE(CP76:CQ76)</f>
        <v>1784</v>
      </c>
      <c r="CR78" s="587">
        <f t="shared" ref="CR78" si="384">+AVERAGE(CQ76:CR76)</f>
        <v>1788</v>
      </c>
      <c r="CS78" s="587">
        <f t="shared" ref="CS78" si="385">+AVERAGE(CR76:CS76)</f>
        <v>1795</v>
      </c>
      <c r="CT78" s="587">
        <f t="shared" ref="CT78" si="386">+AVERAGE(CS76:CT76)</f>
        <v>1802</v>
      </c>
      <c r="CU78" s="587">
        <f t="shared" ref="CU78" si="387">+AVERAGE(CT76:CU76)</f>
        <v>1806</v>
      </c>
      <c r="CV78" s="587">
        <f t="shared" ref="CV78" si="388">+AVERAGE(CU76:CV76)</f>
        <v>1810</v>
      </c>
      <c r="CW78" s="587">
        <f t="shared" ref="CW78" si="389">+AVERAGE(CV76:CW76)</f>
        <v>1815.5</v>
      </c>
    </row>
    <row r="79" spans="1:101" s="9" customFormat="1" ht="11.25">
      <c r="A79" s="665" t="s">
        <v>950</v>
      </c>
      <c r="B79" s="62"/>
      <c r="C79" s="62"/>
      <c r="D79" s="62"/>
      <c r="E79" s="62"/>
      <c r="F79" s="256"/>
      <c r="G79" s="256" t="e">
        <f t="shared" ref="G79:AL79" si="390">G78/C78-1</f>
        <v>#DIV/0!</v>
      </c>
      <c r="H79" s="256" t="e">
        <f t="shared" si="390"/>
        <v>#DIV/0!</v>
      </c>
      <c r="I79" s="256" t="e">
        <f t="shared" si="390"/>
        <v>#DIV/0!</v>
      </c>
      <c r="J79" s="256" t="e">
        <f t="shared" si="390"/>
        <v>#DIV/0!</v>
      </c>
      <c r="K79" s="256" t="e">
        <f t="shared" si="390"/>
        <v>#DIV/0!</v>
      </c>
      <c r="L79" s="256" t="e">
        <f t="shared" si="390"/>
        <v>#DIV/0!</v>
      </c>
      <c r="M79" s="256" t="e">
        <f t="shared" si="390"/>
        <v>#DIV/0!</v>
      </c>
      <c r="N79" s="256" t="e">
        <f t="shared" si="390"/>
        <v>#DIV/0!</v>
      </c>
      <c r="O79" s="256" t="e">
        <f t="shared" si="390"/>
        <v>#DIV/0!</v>
      </c>
      <c r="P79" s="256" t="e">
        <f t="shared" si="390"/>
        <v>#DIV/0!</v>
      </c>
      <c r="Q79" s="256" t="e">
        <f t="shared" si="390"/>
        <v>#DIV/0!</v>
      </c>
      <c r="R79" s="256" t="e">
        <f t="shared" si="390"/>
        <v>#DIV/0!</v>
      </c>
      <c r="S79" s="256" t="e">
        <f t="shared" si="390"/>
        <v>#DIV/0!</v>
      </c>
      <c r="T79" s="256" t="e">
        <f t="shared" si="390"/>
        <v>#DIV/0!</v>
      </c>
      <c r="U79" s="256" t="e">
        <f t="shared" si="390"/>
        <v>#DIV/0!</v>
      </c>
      <c r="V79" s="256" t="e">
        <f t="shared" si="390"/>
        <v>#DIV/0!</v>
      </c>
      <c r="W79" s="256" t="e">
        <f t="shared" si="390"/>
        <v>#DIV/0!</v>
      </c>
      <c r="X79" s="256" t="e">
        <f t="shared" si="390"/>
        <v>#DIV/0!</v>
      </c>
      <c r="Y79" s="256" t="e">
        <f t="shared" si="390"/>
        <v>#DIV/0!</v>
      </c>
      <c r="Z79" s="256" t="e">
        <f t="shared" si="390"/>
        <v>#DIV/0!</v>
      </c>
      <c r="AA79" s="256" t="e">
        <f t="shared" si="390"/>
        <v>#DIV/0!</v>
      </c>
      <c r="AB79" s="256" t="e">
        <f t="shared" si="390"/>
        <v>#DIV/0!</v>
      </c>
      <c r="AC79" s="256">
        <f t="shared" si="390"/>
        <v>1.0859728506787332</v>
      </c>
      <c r="AD79" s="256">
        <f t="shared" si="390"/>
        <v>5.7692307692307709E-2</v>
      </c>
      <c r="AE79" s="2132">
        <f t="shared" si="390"/>
        <v>6.3134160090191571E-2</v>
      </c>
      <c r="AF79" s="256">
        <f t="shared" si="390"/>
        <v>6.4444444444444526E-2</v>
      </c>
      <c r="AG79" s="256">
        <f t="shared" si="390"/>
        <v>6.5075921908893664E-2</v>
      </c>
      <c r="AH79" s="256">
        <f t="shared" si="390"/>
        <v>7.4866310160427885E-2</v>
      </c>
      <c r="AI79" s="256">
        <f t="shared" si="390"/>
        <v>8.6956521739130377E-2</v>
      </c>
      <c r="AJ79" s="256">
        <f t="shared" si="390"/>
        <v>9.4989561586638738E-2</v>
      </c>
      <c r="AK79" s="256">
        <f t="shared" si="390"/>
        <v>9.8778004073319714E-2</v>
      </c>
      <c r="AL79" s="256">
        <f t="shared" si="390"/>
        <v>9.8507462686567182E-2</v>
      </c>
      <c r="AM79" s="257">
        <f t="shared" ref="AM79:BR79" si="391">AM78/AI78-1</f>
        <v>8.8780487804878128E-2</v>
      </c>
      <c r="AN79" s="257">
        <f t="shared" si="391"/>
        <v>7.9122974261201184E-2</v>
      </c>
      <c r="AO79" s="257">
        <f t="shared" si="391"/>
        <v>7.877664504170534E-2</v>
      </c>
      <c r="AP79" s="257">
        <f t="shared" si="391"/>
        <v>0.7626811594202898</v>
      </c>
      <c r="AQ79" s="257">
        <f t="shared" si="391"/>
        <v>1.4417562724014337</v>
      </c>
      <c r="AR79" s="257">
        <f t="shared" si="391"/>
        <v>1.4434628975265018</v>
      </c>
      <c r="AS79" s="257">
        <f t="shared" si="391"/>
        <v>1.3986254295532645</v>
      </c>
      <c r="AT79" s="257">
        <f t="shared" si="391"/>
        <v>0.44039054470709149</v>
      </c>
      <c r="AU79" s="257">
        <f t="shared" si="391"/>
        <v>2.5688073394495303E-2</v>
      </c>
      <c r="AV79" s="257">
        <f t="shared" si="391"/>
        <v>5.7845263919016343E-3</v>
      </c>
      <c r="AW79" s="257">
        <f t="shared" si="391"/>
        <v>-8.5959885386819312E-3</v>
      </c>
      <c r="AX79" s="257">
        <f t="shared" si="391"/>
        <v>-1.8551551908669306E-2</v>
      </c>
      <c r="AY79" s="257">
        <f t="shared" si="391"/>
        <v>-1.1449016100178899E-2</v>
      </c>
      <c r="AZ79" s="257">
        <f t="shared" si="391"/>
        <v>3.5945363048166534E-3</v>
      </c>
      <c r="BA79" s="257">
        <f t="shared" si="391"/>
        <v>2.1676300578034713E-2</v>
      </c>
      <c r="BB79" s="257">
        <f t="shared" si="391"/>
        <v>4.1439476553980281E-2</v>
      </c>
      <c r="BC79" s="257">
        <f t="shared" si="391"/>
        <v>4.7050307636626876E-2</v>
      </c>
      <c r="BD79" s="257">
        <f t="shared" si="391"/>
        <v>4.2979942693409656E-2</v>
      </c>
      <c r="BE79" s="257">
        <f t="shared" si="391"/>
        <v>3.8189533239038287E-2</v>
      </c>
      <c r="BF79" s="257">
        <f t="shared" si="391"/>
        <v>3.0715532286212932E-2</v>
      </c>
      <c r="BG79" s="257">
        <f t="shared" si="391"/>
        <v>2.6961631524369256E-2</v>
      </c>
      <c r="BH79" s="257">
        <f t="shared" si="391"/>
        <v>3.2967032967033072E-2</v>
      </c>
      <c r="BI79" s="257">
        <f t="shared" si="391"/>
        <v>3.8147138964577554E-2</v>
      </c>
      <c r="BJ79" s="257">
        <f t="shared" si="391"/>
        <v>3.894344734168631E-2</v>
      </c>
      <c r="BK79" s="1357">
        <f t="shared" si="391"/>
        <v>3.7361157859306715E-2</v>
      </c>
      <c r="BL79" s="461">
        <f t="shared" si="391"/>
        <v>3.3244680851063801E-2</v>
      </c>
      <c r="BM79" s="461">
        <f t="shared" si="391"/>
        <v>3.6089238845144367E-2</v>
      </c>
      <c r="BN79" s="461">
        <f t="shared" si="391"/>
        <v>4.400260756192953E-2</v>
      </c>
      <c r="BO79" s="461">
        <f t="shared" si="391"/>
        <v>4.3802725502920081E-2</v>
      </c>
      <c r="BP79" s="461">
        <f t="shared" si="391"/>
        <v>3.9575289575289663E-2</v>
      </c>
      <c r="BQ79" s="461">
        <f t="shared" si="391"/>
        <v>3.0082330588980355E-2</v>
      </c>
      <c r="BR79" s="461">
        <f t="shared" si="391"/>
        <v>2.18545113955666E-2</v>
      </c>
      <c r="BS79" s="461">
        <f t="shared" ref="BS79:CK79" si="392">BS78/BO78-1</f>
        <v>2.0516008703761246E-2</v>
      </c>
      <c r="BT79" s="461">
        <f t="shared" si="392"/>
        <v>1.9189105540080575E-2</v>
      </c>
      <c r="BU79" s="461">
        <f t="shared" si="392"/>
        <v>1.7829695665539491E-2</v>
      </c>
      <c r="BV79" s="461">
        <f t="shared" si="392"/>
        <v>1.7109685304002475E-2</v>
      </c>
      <c r="BW79" s="461">
        <f t="shared" si="392"/>
        <v>1.7057569296375252E-2</v>
      </c>
      <c r="BX79" s="461">
        <f t="shared" si="392"/>
        <v>1.7005769814758542E-2</v>
      </c>
      <c r="BY79" s="461">
        <f t="shared" si="392"/>
        <v>1.5705225007550672E-2</v>
      </c>
      <c r="BZ79" s="461">
        <f t="shared" si="392"/>
        <v>1.4418744367677983E-2</v>
      </c>
      <c r="CA79" s="461">
        <f t="shared" si="392"/>
        <v>1.4375561545372895E-2</v>
      </c>
      <c r="CB79" s="461">
        <f t="shared" si="392"/>
        <v>1.4332636607942595E-2</v>
      </c>
      <c r="CC79" s="461">
        <f t="shared" si="392"/>
        <v>1.4272970561998166E-2</v>
      </c>
      <c r="CD79" s="461">
        <f t="shared" si="392"/>
        <v>1.4213799230085922E-2</v>
      </c>
      <c r="CE79" s="461">
        <f t="shared" si="392"/>
        <v>1.417183348095663E-2</v>
      </c>
      <c r="CF79" s="461">
        <f t="shared" si="392"/>
        <v>1.4130114807182848E-2</v>
      </c>
      <c r="CG79" s="461">
        <f t="shared" si="392"/>
        <v>1.4072119613016687E-2</v>
      </c>
      <c r="CH79" s="461">
        <f t="shared" si="392"/>
        <v>1.3722627737226212E-2</v>
      </c>
      <c r="CI79" s="461">
        <f t="shared" si="392"/>
        <v>1.3100436681222627E-2</v>
      </c>
      <c r="CJ79" s="461">
        <f t="shared" si="392"/>
        <v>1.2481857764876647E-2</v>
      </c>
      <c r="CK79" s="461">
        <f t="shared" si="392"/>
        <v>1.2431338537149506E-2</v>
      </c>
      <c r="CL79" s="461">
        <f t="shared" ref="CL79" si="393">CL78/CH78-1</f>
        <v>1.2672811059907918E-2</v>
      </c>
      <c r="CM79" s="461">
        <f t="shared" ref="CM79" si="394">CM78/CI78-1</f>
        <v>1.2643678160919603E-2</v>
      </c>
      <c r="CN79" s="461">
        <f t="shared" ref="CN79" si="395">CN78/CJ78-1</f>
        <v>1.2614678899082632E-2</v>
      </c>
      <c r="CO79" s="461">
        <f t="shared" ref="CO79" si="396">CO78/CK78-1</f>
        <v>1.2564249000571071E-2</v>
      </c>
      <c r="CP79" s="461">
        <f t="shared" ref="CP79" si="397">CP78/CL78-1</f>
        <v>1.2514220705347023E-2</v>
      </c>
      <c r="CQ79" s="461">
        <f t="shared" ref="CQ79" si="398">CQ78/CM78-1</f>
        <v>1.2485811577752637E-2</v>
      </c>
      <c r="CR79" s="461">
        <f t="shared" ref="CR79" si="399">CR78/CN78-1</f>
        <v>1.2457531143827749E-2</v>
      </c>
      <c r="CS79" s="461">
        <f t="shared" ref="CS79" si="400">CS78/CO78-1</f>
        <v>1.2408347433728206E-2</v>
      </c>
      <c r="CT79" s="461">
        <f t="shared" ref="CT79" si="401">CT78/CP78-1</f>
        <v>1.2359550561797716E-2</v>
      </c>
      <c r="CU79" s="461">
        <f t="shared" ref="CU79" si="402">CU78/CQ78-1</f>
        <v>1.2331838565022402E-2</v>
      </c>
      <c r="CV79" s="461">
        <f t="shared" ref="CV79" si="403">CV78/CR78-1</f>
        <v>1.230425055928408E-2</v>
      </c>
      <c r="CW79" s="461">
        <f t="shared" ref="CW79" si="404">CW78/CS78-1</f>
        <v>1.1420612813370479E-2</v>
      </c>
    </row>
    <row r="80" spans="1:101" s="9" customFormat="1" ht="11.25">
      <c r="A80" s="655"/>
      <c r="B80" s="369"/>
      <c r="C80" s="369"/>
      <c r="D80" s="369"/>
      <c r="E80" s="369"/>
      <c r="F80" s="369"/>
      <c r="G80" s="369"/>
      <c r="H80" s="369"/>
      <c r="I80" s="369"/>
      <c r="J80" s="369"/>
      <c r="K80" s="369"/>
      <c r="L80" s="369"/>
      <c r="M80" s="369"/>
      <c r="N80" s="369"/>
      <c r="O80" s="369"/>
      <c r="P80" s="369"/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2131"/>
      <c r="AF80" s="369"/>
      <c r="AG80" s="369"/>
      <c r="AH80" s="369"/>
      <c r="AI80" s="369"/>
      <c r="AJ80" s="369"/>
      <c r="AK80" s="369"/>
      <c r="AL80" s="369"/>
      <c r="AM80" s="586"/>
      <c r="AN80" s="586"/>
      <c r="AO80" s="586"/>
      <c r="AP80" s="586"/>
      <c r="AQ80" s="586"/>
      <c r="AR80" s="586"/>
      <c r="AS80" s="586"/>
      <c r="AT80" s="586"/>
      <c r="AU80" s="586"/>
      <c r="AV80" s="586"/>
      <c r="AW80" s="586"/>
      <c r="AX80" s="586"/>
      <c r="AY80" s="586"/>
      <c r="AZ80" s="586"/>
      <c r="BA80" s="586"/>
      <c r="BB80" s="586"/>
      <c r="BC80" s="586"/>
      <c r="BD80" s="586"/>
      <c r="BE80" s="586"/>
      <c r="BF80" s="586"/>
      <c r="BG80" s="586"/>
      <c r="BH80" s="586"/>
      <c r="BI80" s="586"/>
      <c r="BJ80" s="586"/>
      <c r="BK80" s="1353"/>
      <c r="BL80" s="587"/>
      <c r="BM80" s="587"/>
      <c r="BN80" s="587"/>
      <c r="BO80" s="587"/>
      <c r="BP80" s="587"/>
      <c r="BQ80" s="587"/>
      <c r="BR80" s="587"/>
      <c r="BS80" s="587"/>
      <c r="BT80" s="587"/>
      <c r="BU80" s="587"/>
      <c r="BV80" s="587"/>
      <c r="BW80" s="587"/>
      <c r="BX80" s="587"/>
      <c r="BY80" s="587"/>
      <c r="BZ80" s="587"/>
      <c r="CA80" s="587"/>
      <c r="CB80" s="587"/>
      <c r="CC80" s="587"/>
      <c r="CD80" s="587"/>
      <c r="CE80" s="587"/>
      <c r="CF80" s="587"/>
      <c r="CG80" s="587"/>
      <c r="CH80" s="587"/>
      <c r="CI80" s="587"/>
      <c r="CJ80" s="587"/>
      <c r="CK80" s="587"/>
      <c r="CL80" s="587"/>
      <c r="CM80" s="587"/>
      <c r="CN80" s="587"/>
      <c r="CO80" s="587"/>
      <c r="CP80" s="587"/>
      <c r="CQ80" s="587"/>
      <c r="CR80" s="587"/>
      <c r="CS80" s="587"/>
      <c r="CT80" s="587"/>
      <c r="CU80" s="587"/>
      <c r="CV80" s="587"/>
      <c r="CW80" s="587"/>
    </row>
    <row r="81" spans="1:101" s="9" customFormat="1" ht="11.25">
      <c r="A81" s="655" t="s">
        <v>938</v>
      </c>
      <c r="B81" s="251">
        <f>IS!C100</f>
        <v>0</v>
      </c>
      <c r="C81" s="251">
        <f>IS!D100</f>
        <v>0</v>
      </c>
      <c r="D81" s="251">
        <f>IS!E100</f>
        <v>0</v>
      </c>
      <c r="E81" s="251">
        <f>IS!F100</f>
        <v>0</v>
      </c>
      <c r="F81" s="251">
        <f>IS!G100</f>
        <v>0</v>
      </c>
      <c r="G81" s="251">
        <f>IS!H100</f>
        <v>0</v>
      </c>
      <c r="H81" s="251">
        <f>IS!I100</f>
        <v>0</v>
      </c>
      <c r="I81" s="251">
        <f>IS!J100</f>
        <v>0</v>
      </c>
      <c r="J81" s="251">
        <f>IS!K100</f>
        <v>0</v>
      </c>
      <c r="K81" s="251">
        <f>IS!L100</f>
        <v>0</v>
      </c>
      <c r="L81" s="251">
        <f>IS!M100</f>
        <v>0</v>
      </c>
      <c r="M81" s="251">
        <f>IS!N100</f>
        <v>0</v>
      </c>
      <c r="N81" s="251">
        <f>IS!O100</f>
        <v>0</v>
      </c>
      <c r="O81" s="251">
        <f>IS!P100</f>
        <v>0</v>
      </c>
      <c r="P81" s="251">
        <f>IS!Q100</f>
        <v>0</v>
      </c>
      <c r="Q81" s="251">
        <f>IS!R100</f>
        <v>0</v>
      </c>
      <c r="R81" s="251">
        <f>IS!S100</f>
        <v>0</v>
      </c>
      <c r="S81" s="251">
        <f>IS!T100</f>
        <v>0</v>
      </c>
      <c r="T81" s="251">
        <f>IS!U100</f>
        <v>0</v>
      </c>
      <c r="U81" s="251">
        <f>IS!V100</f>
        <v>0</v>
      </c>
      <c r="V81" s="251">
        <f>IS!W100</f>
        <v>0</v>
      </c>
      <c r="W81" s="251">
        <f>IS!X100</f>
        <v>0</v>
      </c>
      <c r="X81" s="251">
        <f>IS!Y100</f>
        <v>0</v>
      </c>
      <c r="Y81" s="251">
        <f>IS!Z100</f>
        <v>302</v>
      </c>
      <c r="Z81" s="251">
        <f>IS!AA100</f>
        <v>300</v>
      </c>
      <c r="AA81" s="251">
        <f>IS!AB100</f>
        <v>302</v>
      </c>
      <c r="AB81" s="251">
        <f>IS!AC100</f>
        <v>305</v>
      </c>
      <c r="AC81" s="251">
        <f>IS!AD100</f>
        <v>313</v>
      </c>
      <c r="AD81" s="251">
        <f>IS!AE100</f>
        <v>322</v>
      </c>
      <c r="AE81" s="2133">
        <f>IS!AF100</f>
        <v>326</v>
      </c>
      <c r="AF81" s="251">
        <f>IS!AG100</f>
        <v>331</v>
      </c>
      <c r="AG81" s="251">
        <f>IS!AH100</f>
        <v>344</v>
      </c>
      <c r="AH81" s="251">
        <f>IS!AI100</f>
        <v>352</v>
      </c>
      <c r="AI81" s="251">
        <f>IS!AJ100</f>
        <v>357</v>
      </c>
      <c r="AJ81" s="251">
        <f>IS!AK100</f>
        <v>366</v>
      </c>
      <c r="AK81" s="251">
        <f>IS!AL100</f>
        <v>381</v>
      </c>
      <c r="AL81" s="251">
        <f>IS!AM100</f>
        <v>389</v>
      </c>
      <c r="AM81" s="963">
        <f>IS!AN100</f>
        <v>396</v>
      </c>
      <c r="AN81" s="963">
        <f>IS!AO100</f>
        <v>404</v>
      </c>
      <c r="AO81" s="963">
        <f>IS!AP100</f>
        <v>420</v>
      </c>
      <c r="AP81" s="963">
        <f>IS!AQ100</f>
        <v>872</v>
      </c>
      <c r="AQ81" s="963">
        <f>IS!AR100</f>
        <v>882</v>
      </c>
      <c r="AR81" s="963">
        <f>IS!AS100</f>
        <v>895</v>
      </c>
      <c r="AS81" s="963">
        <f>IS!AT100</f>
        <v>888</v>
      </c>
      <c r="AT81" s="963">
        <f>IS!AU100</f>
        <v>895</v>
      </c>
      <c r="AU81" s="963">
        <f>IS!AV100</f>
        <v>877</v>
      </c>
      <c r="AV81" s="963">
        <f>IS!AW100</f>
        <v>875</v>
      </c>
      <c r="AW81" s="963">
        <f>IS!AX100</f>
        <v>862</v>
      </c>
      <c r="AX81" s="963">
        <f>IS!AY100</f>
        <v>863</v>
      </c>
      <c r="AY81" s="963">
        <f>IS!AZ100</f>
        <v>866</v>
      </c>
      <c r="AZ81" s="963">
        <f>IS!BA100</f>
        <v>869</v>
      </c>
      <c r="BA81" s="963">
        <f>IS!BB100</f>
        <v>878</v>
      </c>
      <c r="BB81" s="963">
        <f>IS!BC100</f>
        <v>888</v>
      </c>
      <c r="BC81" s="963">
        <f>IS!BD100</f>
        <v>899</v>
      </c>
      <c r="BD81" s="963">
        <f>IS!BE100</f>
        <v>913</v>
      </c>
      <c r="BE81" s="963">
        <f>IS!BF100</f>
        <v>928</v>
      </c>
      <c r="BF81" s="963">
        <f>IS!BG100</f>
        <v>932</v>
      </c>
      <c r="BG81" s="963">
        <f>IS!BH100</f>
        <v>946</v>
      </c>
      <c r="BH81" s="963">
        <f>IS!BI100</f>
        <v>958</v>
      </c>
      <c r="BI81" s="963">
        <f>IS!BJ100</f>
        <v>976</v>
      </c>
      <c r="BJ81" s="963">
        <f>IS!BK100</f>
        <v>979</v>
      </c>
      <c r="BK81" s="1355">
        <f>IS!BL100</f>
        <v>989</v>
      </c>
      <c r="BL81" s="587">
        <f t="shared" ref="BL81:BQ81" si="405">+BK81+BL82</f>
        <v>995</v>
      </c>
      <c r="BM81" s="587">
        <f t="shared" si="405"/>
        <v>1007</v>
      </c>
      <c r="BN81" s="587">
        <f t="shared" si="405"/>
        <v>1011</v>
      </c>
      <c r="BO81" s="587">
        <f t="shared" si="405"/>
        <v>1015</v>
      </c>
      <c r="BP81" s="587">
        <f t="shared" si="405"/>
        <v>1019</v>
      </c>
      <c r="BQ81" s="587">
        <f t="shared" si="405"/>
        <v>1029</v>
      </c>
      <c r="BR81" s="587">
        <f t="shared" ref="BR81:CK81" si="406">+BQ81+BR82</f>
        <v>1032</v>
      </c>
      <c r="BS81" s="587">
        <f t="shared" si="406"/>
        <v>1035</v>
      </c>
      <c r="BT81" s="587">
        <f t="shared" si="406"/>
        <v>1038</v>
      </c>
      <c r="BU81" s="587">
        <f t="shared" si="406"/>
        <v>1046</v>
      </c>
      <c r="BV81" s="587">
        <f t="shared" si="406"/>
        <v>1049</v>
      </c>
      <c r="BW81" s="587">
        <f t="shared" si="406"/>
        <v>1052</v>
      </c>
      <c r="BX81" s="587">
        <f t="shared" si="406"/>
        <v>1055</v>
      </c>
      <c r="BY81" s="587">
        <f t="shared" si="406"/>
        <v>1061</v>
      </c>
      <c r="BZ81" s="587">
        <f t="shared" si="406"/>
        <v>1064</v>
      </c>
      <c r="CA81" s="587">
        <f t="shared" si="406"/>
        <v>1067</v>
      </c>
      <c r="CB81" s="587">
        <f t="shared" si="406"/>
        <v>1070</v>
      </c>
      <c r="CC81" s="587">
        <f t="shared" si="406"/>
        <v>1076</v>
      </c>
      <c r="CD81" s="587">
        <f t="shared" si="406"/>
        <v>1079</v>
      </c>
      <c r="CE81" s="587">
        <f t="shared" si="406"/>
        <v>1082</v>
      </c>
      <c r="CF81" s="587">
        <f t="shared" si="406"/>
        <v>1085</v>
      </c>
      <c r="CG81" s="587">
        <f t="shared" si="406"/>
        <v>1091</v>
      </c>
      <c r="CH81" s="587">
        <f t="shared" si="406"/>
        <v>1093</v>
      </c>
      <c r="CI81" s="587">
        <f t="shared" si="406"/>
        <v>1095</v>
      </c>
      <c r="CJ81" s="587">
        <f t="shared" si="406"/>
        <v>1097</v>
      </c>
      <c r="CK81" s="587">
        <f t="shared" si="406"/>
        <v>1103</v>
      </c>
      <c r="CL81" s="587">
        <f t="shared" ref="CL81" si="407">+CK81+CL82</f>
        <v>1105</v>
      </c>
      <c r="CM81" s="587">
        <f t="shared" ref="CM81" si="408">+CL81+CM82</f>
        <v>1107</v>
      </c>
      <c r="CN81" s="587">
        <f t="shared" ref="CN81" si="409">+CM81+CN82</f>
        <v>1109</v>
      </c>
      <c r="CO81" s="587">
        <f t="shared" ref="CO81" si="410">+CN81+CO82</f>
        <v>1115</v>
      </c>
      <c r="CP81" s="587">
        <f t="shared" ref="CP81" si="411">+CO81+CP82</f>
        <v>1117</v>
      </c>
      <c r="CQ81" s="587">
        <f t="shared" ref="CQ81" si="412">+CP81+CQ82</f>
        <v>1119</v>
      </c>
      <c r="CR81" s="587">
        <f t="shared" ref="CR81" si="413">+CQ81+CR82</f>
        <v>1121</v>
      </c>
      <c r="CS81" s="587">
        <f t="shared" ref="CS81" si="414">+CR81+CS82</f>
        <v>1127</v>
      </c>
      <c r="CT81" s="587">
        <f t="shared" ref="CT81" si="415">+CS81+CT82</f>
        <v>1129</v>
      </c>
      <c r="CU81" s="587">
        <f t="shared" ref="CU81" si="416">+CT81+CU82</f>
        <v>1131</v>
      </c>
      <c r="CV81" s="587">
        <f t="shared" ref="CV81" si="417">+CU81+CV82</f>
        <v>1133</v>
      </c>
      <c r="CW81" s="587">
        <f t="shared" ref="CW81" si="418">+CV81+CW82</f>
        <v>1137</v>
      </c>
    </row>
    <row r="82" spans="1:101" s="9" customFormat="1" ht="11.25">
      <c r="A82" s="869" t="s">
        <v>940</v>
      </c>
      <c r="B82" s="369"/>
      <c r="C82" s="369">
        <f t="shared" ref="C82:AZ82" si="419">+C81-B81</f>
        <v>0</v>
      </c>
      <c r="D82" s="369">
        <f t="shared" si="419"/>
        <v>0</v>
      </c>
      <c r="E82" s="369">
        <f t="shared" si="419"/>
        <v>0</v>
      </c>
      <c r="F82" s="369">
        <f t="shared" si="419"/>
        <v>0</v>
      </c>
      <c r="G82" s="369">
        <f t="shared" si="419"/>
        <v>0</v>
      </c>
      <c r="H82" s="369">
        <f t="shared" si="419"/>
        <v>0</v>
      </c>
      <c r="I82" s="369">
        <f t="shared" si="419"/>
        <v>0</v>
      </c>
      <c r="J82" s="369">
        <f t="shared" si="419"/>
        <v>0</v>
      </c>
      <c r="K82" s="369">
        <f t="shared" si="419"/>
        <v>0</v>
      </c>
      <c r="L82" s="369">
        <f t="shared" si="419"/>
        <v>0</v>
      </c>
      <c r="M82" s="369">
        <f t="shared" si="419"/>
        <v>0</v>
      </c>
      <c r="N82" s="369">
        <f t="shared" si="419"/>
        <v>0</v>
      </c>
      <c r="O82" s="369">
        <f t="shared" si="419"/>
        <v>0</v>
      </c>
      <c r="P82" s="369">
        <f t="shared" si="419"/>
        <v>0</v>
      </c>
      <c r="Q82" s="369">
        <f t="shared" si="419"/>
        <v>0</v>
      </c>
      <c r="R82" s="369">
        <f t="shared" si="419"/>
        <v>0</v>
      </c>
      <c r="S82" s="369">
        <f t="shared" si="419"/>
        <v>0</v>
      </c>
      <c r="T82" s="369">
        <f t="shared" si="419"/>
        <v>0</v>
      </c>
      <c r="U82" s="369">
        <f t="shared" si="419"/>
        <v>0</v>
      </c>
      <c r="V82" s="369">
        <f t="shared" si="419"/>
        <v>0</v>
      </c>
      <c r="W82" s="369">
        <f t="shared" si="419"/>
        <v>0</v>
      </c>
      <c r="X82" s="369">
        <f t="shared" si="419"/>
        <v>0</v>
      </c>
      <c r="Y82" s="369">
        <f t="shared" si="419"/>
        <v>302</v>
      </c>
      <c r="Z82" s="369">
        <f t="shared" si="419"/>
        <v>-2</v>
      </c>
      <c r="AA82" s="369">
        <f t="shared" si="419"/>
        <v>2</v>
      </c>
      <c r="AB82" s="369">
        <f t="shared" si="419"/>
        <v>3</v>
      </c>
      <c r="AC82" s="369">
        <f t="shared" si="419"/>
        <v>8</v>
      </c>
      <c r="AD82" s="369">
        <f t="shared" si="419"/>
        <v>9</v>
      </c>
      <c r="AE82" s="2131">
        <f t="shared" si="419"/>
        <v>4</v>
      </c>
      <c r="AF82" s="369">
        <f t="shared" si="419"/>
        <v>5</v>
      </c>
      <c r="AG82" s="369">
        <f t="shared" si="419"/>
        <v>13</v>
      </c>
      <c r="AH82" s="369">
        <f t="shared" si="419"/>
        <v>8</v>
      </c>
      <c r="AI82" s="369">
        <f t="shared" si="419"/>
        <v>5</v>
      </c>
      <c r="AJ82" s="369">
        <f t="shared" si="419"/>
        <v>9</v>
      </c>
      <c r="AK82" s="369">
        <f t="shared" si="419"/>
        <v>15</v>
      </c>
      <c r="AL82" s="369">
        <f t="shared" si="419"/>
        <v>8</v>
      </c>
      <c r="AM82" s="586">
        <f t="shared" si="419"/>
        <v>7</v>
      </c>
      <c r="AN82" s="586">
        <f t="shared" si="419"/>
        <v>8</v>
      </c>
      <c r="AO82" s="586">
        <f t="shared" si="419"/>
        <v>16</v>
      </c>
      <c r="AP82" s="586">
        <f t="shared" si="419"/>
        <v>452</v>
      </c>
      <c r="AQ82" s="586">
        <f t="shared" si="419"/>
        <v>10</v>
      </c>
      <c r="AR82" s="586">
        <f t="shared" si="419"/>
        <v>13</v>
      </c>
      <c r="AS82" s="586">
        <f t="shared" si="419"/>
        <v>-7</v>
      </c>
      <c r="AT82" s="586">
        <f t="shared" si="419"/>
        <v>7</v>
      </c>
      <c r="AU82" s="586">
        <f t="shared" si="419"/>
        <v>-18</v>
      </c>
      <c r="AV82" s="586">
        <f t="shared" si="419"/>
        <v>-2</v>
      </c>
      <c r="AW82" s="586">
        <f t="shared" si="419"/>
        <v>-13</v>
      </c>
      <c r="AX82" s="586">
        <f t="shared" si="419"/>
        <v>1</v>
      </c>
      <c r="AY82" s="586">
        <f t="shared" si="419"/>
        <v>3</v>
      </c>
      <c r="AZ82" s="586">
        <f t="shared" si="419"/>
        <v>3</v>
      </c>
      <c r="BA82" s="586">
        <f t="shared" ref="BA82:BK82" si="420">+BA81-AZ81</f>
        <v>9</v>
      </c>
      <c r="BB82" s="586">
        <f t="shared" si="420"/>
        <v>10</v>
      </c>
      <c r="BC82" s="586">
        <f t="shared" si="420"/>
        <v>11</v>
      </c>
      <c r="BD82" s="586">
        <f t="shared" si="420"/>
        <v>14</v>
      </c>
      <c r="BE82" s="586">
        <f t="shared" si="420"/>
        <v>15</v>
      </c>
      <c r="BF82" s="586">
        <f t="shared" si="420"/>
        <v>4</v>
      </c>
      <c r="BG82" s="586">
        <f t="shared" si="420"/>
        <v>14</v>
      </c>
      <c r="BH82" s="586">
        <f t="shared" si="420"/>
        <v>12</v>
      </c>
      <c r="BI82" s="586">
        <f t="shared" si="420"/>
        <v>18</v>
      </c>
      <c r="BJ82" s="586">
        <f t="shared" si="420"/>
        <v>3</v>
      </c>
      <c r="BK82" s="1353">
        <f t="shared" si="420"/>
        <v>10</v>
      </c>
      <c r="BL82" s="335">
        <f>Inputs!BL120</f>
        <v>6</v>
      </c>
      <c r="BM82" s="335">
        <f>Inputs!BM120</f>
        <v>12</v>
      </c>
      <c r="BN82" s="335">
        <f>Inputs!BN120</f>
        <v>4</v>
      </c>
      <c r="BO82" s="335">
        <f>Inputs!BO120</f>
        <v>4</v>
      </c>
      <c r="BP82" s="335">
        <f>Inputs!BP120</f>
        <v>4</v>
      </c>
      <c r="BQ82" s="335">
        <f>Inputs!BQ120</f>
        <v>10</v>
      </c>
      <c r="BR82" s="335">
        <f>Inputs!BR120</f>
        <v>3</v>
      </c>
      <c r="BS82" s="335">
        <f>Inputs!BS120</f>
        <v>3</v>
      </c>
      <c r="BT82" s="335">
        <f>Inputs!BT120</f>
        <v>3</v>
      </c>
      <c r="BU82" s="335">
        <f>Inputs!BU120</f>
        <v>8</v>
      </c>
      <c r="BV82" s="335">
        <f>Inputs!BV120</f>
        <v>3</v>
      </c>
      <c r="BW82" s="335">
        <f>Inputs!BW120</f>
        <v>3</v>
      </c>
      <c r="BX82" s="335">
        <f>Inputs!BX120</f>
        <v>3</v>
      </c>
      <c r="BY82" s="335">
        <f>Inputs!BY120</f>
        <v>6</v>
      </c>
      <c r="BZ82" s="335">
        <f>Inputs!BZ120</f>
        <v>3</v>
      </c>
      <c r="CA82" s="335">
        <f>Inputs!CA120</f>
        <v>3</v>
      </c>
      <c r="CB82" s="335">
        <f>Inputs!CB120</f>
        <v>3</v>
      </c>
      <c r="CC82" s="335">
        <f>Inputs!CC120</f>
        <v>6</v>
      </c>
      <c r="CD82" s="335">
        <f>Inputs!CD120</f>
        <v>3</v>
      </c>
      <c r="CE82" s="335">
        <f>Inputs!CE120</f>
        <v>3</v>
      </c>
      <c r="CF82" s="335">
        <f>Inputs!CF120</f>
        <v>3</v>
      </c>
      <c r="CG82" s="335">
        <f>Inputs!CG120</f>
        <v>6</v>
      </c>
      <c r="CH82" s="335">
        <f>Inputs!CH120</f>
        <v>2</v>
      </c>
      <c r="CI82" s="335">
        <f>Inputs!CI120</f>
        <v>2</v>
      </c>
      <c r="CJ82" s="335">
        <f>Inputs!CJ120</f>
        <v>2</v>
      </c>
      <c r="CK82" s="335">
        <f>Inputs!CK120</f>
        <v>6</v>
      </c>
      <c r="CL82" s="335">
        <f>Inputs!CL120</f>
        <v>2</v>
      </c>
      <c r="CM82" s="335">
        <f>Inputs!CM120</f>
        <v>2</v>
      </c>
      <c r="CN82" s="335">
        <f>Inputs!CN120</f>
        <v>2</v>
      </c>
      <c r="CO82" s="335">
        <f>Inputs!CO120</f>
        <v>6</v>
      </c>
      <c r="CP82" s="335">
        <f>Inputs!CP120</f>
        <v>2</v>
      </c>
      <c r="CQ82" s="335">
        <f>Inputs!CQ120</f>
        <v>2</v>
      </c>
      <c r="CR82" s="335">
        <f>Inputs!CR120</f>
        <v>2</v>
      </c>
      <c r="CS82" s="335">
        <f>Inputs!CS120</f>
        <v>6</v>
      </c>
      <c r="CT82" s="335">
        <f>Inputs!CT120</f>
        <v>2</v>
      </c>
      <c r="CU82" s="335">
        <f>Inputs!CU120</f>
        <v>2</v>
      </c>
      <c r="CV82" s="335">
        <f>Inputs!CV120</f>
        <v>2</v>
      </c>
      <c r="CW82" s="335">
        <f>Inputs!CW120</f>
        <v>4</v>
      </c>
    </row>
    <row r="83" spans="1:101" s="9" customFormat="1" ht="11.25">
      <c r="A83" s="869" t="s">
        <v>945</v>
      </c>
      <c r="B83" s="62"/>
      <c r="C83" s="369">
        <f t="shared" ref="C83:AH83" si="421">AVERAGE(B81:C81)</f>
        <v>0</v>
      </c>
      <c r="D83" s="369">
        <f t="shared" si="421"/>
        <v>0</v>
      </c>
      <c r="E83" s="369">
        <f t="shared" si="421"/>
        <v>0</v>
      </c>
      <c r="F83" s="369">
        <f t="shared" si="421"/>
        <v>0</v>
      </c>
      <c r="G83" s="369">
        <f t="shared" si="421"/>
        <v>0</v>
      </c>
      <c r="H83" s="369">
        <f t="shared" si="421"/>
        <v>0</v>
      </c>
      <c r="I83" s="369">
        <f t="shared" si="421"/>
        <v>0</v>
      </c>
      <c r="J83" s="369">
        <f t="shared" si="421"/>
        <v>0</v>
      </c>
      <c r="K83" s="369">
        <f t="shared" si="421"/>
        <v>0</v>
      </c>
      <c r="L83" s="369">
        <f t="shared" si="421"/>
        <v>0</v>
      </c>
      <c r="M83" s="369">
        <f t="shared" si="421"/>
        <v>0</v>
      </c>
      <c r="N83" s="369">
        <f t="shared" si="421"/>
        <v>0</v>
      </c>
      <c r="O83" s="369">
        <f t="shared" si="421"/>
        <v>0</v>
      </c>
      <c r="P83" s="369">
        <f t="shared" si="421"/>
        <v>0</v>
      </c>
      <c r="Q83" s="369">
        <f t="shared" si="421"/>
        <v>0</v>
      </c>
      <c r="R83" s="369">
        <f t="shared" si="421"/>
        <v>0</v>
      </c>
      <c r="S83" s="369">
        <f t="shared" si="421"/>
        <v>0</v>
      </c>
      <c r="T83" s="369">
        <f t="shared" si="421"/>
        <v>0</v>
      </c>
      <c r="U83" s="369">
        <f t="shared" si="421"/>
        <v>0</v>
      </c>
      <c r="V83" s="369">
        <f t="shared" si="421"/>
        <v>0</v>
      </c>
      <c r="W83" s="369">
        <f t="shared" si="421"/>
        <v>0</v>
      </c>
      <c r="X83" s="369">
        <f t="shared" si="421"/>
        <v>0</v>
      </c>
      <c r="Y83" s="369">
        <f t="shared" si="421"/>
        <v>151</v>
      </c>
      <c r="Z83" s="369">
        <f t="shared" si="421"/>
        <v>301</v>
      </c>
      <c r="AA83" s="369">
        <f t="shared" si="421"/>
        <v>301</v>
      </c>
      <c r="AB83" s="369">
        <f t="shared" si="421"/>
        <v>303.5</v>
      </c>
      <c r="AC83" s="369">
        <f t="shared" si="421"/>
        <v>309</v>
      </c>
      <c r="AD83" s="369">
        <f t="shared" si="421"/>
        <v>317.5</v>
      </c>
      <c r="AE83" s="2131">
        <f t="shared" si="421"/>
        <v>324</v>
      </c>
      <c r="AF83" s="369">
        <f t="shared" si="421"/>
        <v>328.5</v>
      </c>
      <c r="AG83" s="369">
        <f t="shared" si="421"/>
        <v>337.5</v>
      </c>
      <c r="AH83" s="369">
        <f t="shared" si="421"/>
        <v>348</v>
      </c>
      <c r="AI83" s="369">
        <f t="shared" ref="AI83:BQ83" si="422">AVERAGE(AH81:AI81)</f>
        <v>354.5</v>
      </c>
      <c r="AJ83" s="369">
        <f t="shared" si="422"/>
        <v>361.5</v>
      </c>
      <c r="AK83" s="369">
        <f t="shared" si="422"/>
        <v>373.5</v>
      </c>
      <c r="AL83" s="369">
        <f t="shared" si="422"/>
        <v>385</v>
      </c>
      <c r="AM83" s="586">
        <f t="shared" si="422"/>
        <v>392.5</v>
      </c>
      <c r="AN83" s="586">
        <f t="shared" si="422"/>
        <v>400</v>
      </c>
      <c r="AO83" s="586">
        <f t="shared" si="422"/>
        <v>412</v>
      </c>
      <c r="AP83" s="586">
        <f t="shared" si="422"/>
        <v>646</v>
      </c>
      <c r="AQ83" s="586">
        <f t="shared" si="422"/>
        <v>877</v>
      </c>
      <c r="AR83" s="586">
        <f t="shared" si="422"/>
        <v>888.5</v>
      </c>
      <c r="AS83" s="586">
        <f t="shared" si="422"/>
        <v>891.5</v>
      </c>
      <c r="AT83" s="586">
        <f t="shared" si="422"/>
        <v>891.5</v>
      </c>
      <c r="AU83" s="586">
        <f t="shared" si="422"/>
        <v>886</v>
      </c>
      <c r="AV83" s="586">
        <f t="shared" si="422"/>
        <v>876</v>
      </c>
      <c r="AW83" s="586">
        <f t="shared" si="422"/>
        <v>868.5</v>
      </c>
      <c r="AX83" s="586">
        <f t="shared" si="422"/>
        <v>862.5</v>
      </c>
      <c r="AY83" s="586">
        <f t="shared" si="422"/>
        <v>864.5</v>
      </c>
      <c r="AZ83" s="586">
        <f t="shared" si="422"/>
        <v>867.5</v>
      </c>
      <c r="BA83" s="586">
        <f t="shared" ref="BA83:BK83" si="423">AVERAGE(AZ81:BA81)</f>
        <v>873.5</v>
      </c>
      <c r="BB83" s="586">
        <f t="shared" si="423"/>
        <v>883</v>
      </c>
      <c r="BC83" s="586">
        <f t="shared" si="423"/>
        <v>893.5</v>
      </c>
      <c r="BD83" s="586">
        <f t="shared" si="423"/>
        <v>906</v>
      </c>
      <c r="BE83" s="586">
        <f t="shared" si="423"/>
        <v>920.5</v>
      </c>
      <c r="BF83" s="586">
        <f t="shared" si="423"/>
        <v>930</v>
      </c>
      <c r="BG83" s="586">
        <f t="shared" si="423"/>
        <v>939</v>
      </c>
      <c r="BH83" s="586">
        <f t="shared" si="423"/>
        <v>952</v>
      </c>
      <c r="BI83" s="586">
        <f t="shared" si="423"/>
        <v>967</v>
      </c>
      <c r="BJ83" s="586">
        <f t="shared" si="423"/>
        <v>977.5</v>
      </c>
      <c r="BK83" s="1353">
        <f t="shared" si="423"/>
        <v>984</v>
      </c>
      <c r="BL83" s="587">
        <f t="shared" si="422"/>
        <v>992</v>
      </c>
      <c r="BM83" s="587">
        <f t="shared" si="422"/>
        <v>1001</v>
      </c>
      <c r="BN83" s="587">
        <f t="shared" si="422"/>
        <v>1009</v>
      </c>
      <c r="BO83" s="587">
        <f t="shared" si="422"/>
        <v>1013</v>
      </c>
      <c r="BP83" s="587">
        <f t="shared" si="422"/>
        <v>1017</v>
      </c>
      <c r="BQ83" s="587">
        <f t="shared" si="422"/>
        <v>1024</v>
      </c>
      <c r="BR83" s="587">
        <f t="shared" ref="BR83:CK83" si="424">AVERAGE(BQ81:BR81)</f>
        <v>1030.5</v>
      </c>
      <c r="BS83" s="587">
        <f t="shared" si="424"/>
        <v>1033.5</v>
      </c>
      <c r="BT83" s="587">
        <f t="shared" si="424"/>
        <v>1036.5</v>
      </c>
      <c r="BU83" s="587">
        <f t="shared" si="424"/>
        <v>1042</v>
      </c>
      <c r="BV83" s="587">
        <f t="shared" si="424"/>
        <v>1047.5</v>
      </c>
      <c r="BW83" s="587">
        <f t="shared" si="424"/>
        <v>1050.5</v>
      </c>
      <c r="BX83" s="587">
        <f t="shared" si="424"/>
        <v>1053.5</v>
      </c>
      <c r="BY83" s="587">
        <f t="shared" si="424"/>
        <v>1058</v>
      </c>
      <c r="BZ83" s="587">
        <f t="shared" si="424"/>
        <v>1062.5</v>
      </c>
      <c r="CA83" s="587">
        <f t="shared" si="424"/>
        <v>1065.5</v>
      </c>
      <c r="CB83" s="587">
        <f t="shared" si="424"/>
        <v>1068.5</v>
      </c>
      <c r="CC83" s="587">
        <f t="shared" si="424"/>
        <v>1073</v>
      </c>
      <c r="CD83" s="587">
        <f t="shared" si="424"/>
        <v>1077.5</v>
      </c>
      <c r="CE83" s="587">
        <f t="shared" si="424"/>
        <v>1080.5</v>
      </c>
      <c r="CF83" s="587">
        <f t="shared" si="424"/>
        <v>1083.5</v>
      </c>
      <c r="CG83" s="587">
        <f t="shared" si="424"/>
        <v>1088</v>
      </c>
      <c r="CH83" s="587">
        <f t="shared" si="424"/>
        <v>1092</v>
      </c>
      <c r="CI83" s="587">
        <f t="shared" si="424"/>
        <v>1094</v>
      </c>
      <c r="CJ83" s="587">
        <f t="shared" si="424"/>
        <v>1096</v>
      </c>
      <c r="CK83" s="587">
        <f t="shared" si="424"/>
        <v>1100</v>
      </c>
      <c r="CL83" s="587">
        <f t="shared" ref="CL83" si="425">AVERAGE(CK81:CL81)</f>
        <v>1104</v>
      </c>
      <c r="CM83" s="587">
        <f t="shared" ref="CM83" si="426">AVERAGE(CL81:CM81)</f>
        <v>1106</v>
      </c>
      <c r="CN83" s="587">
        <f t="shared" ref="CN83" si="427">AVERAGE(CM81:CN81)</f>
        <v>1108</v>
      </c>
      <c r="CO83" s="587">
        <f t="shared" ref="CO83" si="428">AVERAGE(CN81:CO81)</f>
        <v>1112</v>
      </c>
      <c r="CP83" s="587">
        <f t="shared" ref="CP83" si="429">AVERAGE(CO81:CP81)</f>
        <v>1116</v>
      </c>
      <c r="CQ83" s="587">
        <f t="shared" ref="CQ83" si="430">AVERAGE(CP81:CQ81)</f>
        <v>1118</v>
      </c>
      <c r="CR83" s="587">
        <f t="shared" ref="CR83" si="431">AVERAGE(CQ81:CR81)</f>
        <v>1120</v>
      </c>
      <c r="CS83" s="587">
        <f t="shared" ref="CS83" si="432">AVERAGE(CR81:CS81)</f>
        <v>1124</v>
      </c>
      <c r="CT83" s="587">
        <f t="shared" ref="CT83" si="433">AVERAGE(CS81:CT81)</f>
        <v>1128</v>
      </c>
      <c r="CU83" s="587">
        <f t="shared" ref="CU83" si="434">AVERAGE(CT81:CU81)</f>
        <v>1130</v>
      </c>
      <c r="CV83" s="587">
        <f t="shared" ref="CV83" si="435">AVERAGE(CU81:CV81)</f>
        <v>1132</v>
      </c>
      <c r="CW83" s="587">
        <f t="shared" ref="CW83" si="436">AVERAGE(CV81:CW81)</f>
        <v>1135</v>
      </c>
    </row>
    <row r="84" spans="1:101" s="9" customFormat="1" ht="11.25">
      <c r="A84" s="869"/>
      <c r="B84" s="369"/>
      <c r="C84" s="369"/>
      <c r="D84" s="369"/>
      <c r="E84" s="369"/>
      <c r="F84" s="369"/>
      <c r="G84" s="369"/>
      <c r="H84" s="369"/>
      <c r="I84" s="369"/>
      <c r="J84" s="369"/>
      <c r="K84" s="369"/>
      <c r="L84" s="369"/>
      <c r="M84" s="369"/>
      <c r="N84" s="369"/>
      <c r="O84" s="369"/>
      <c r="P84" s="369"/>
      <c r="Q84" s="369"/>
      <c r="R84" s="369"/>
      <c r="S84" s="369"/>
      <c r="T84" s="369"/>
      <c r="U84" s="369"/>
      <c r="V84" s="369"/>
      <c r="W84" s="369"/>
      <c r="X84" s="369"/>
      <c r="Y84" s="369"/>
      <c r="Z84" s="369"/>
      <c r="AA84" s="369"/>
      <c r="AB84" s="369"/>
      <c r="AC84" s="369"/>
      <c r="AD84" s="369"/>
      <c r="AE84" s="2131"/>
      <c r="AF84" s="369"/>
      <c r="AG84" s="369"/>
      <c r="AH84" s="369"/>
      <c r="AI84" s="369"/>
      <c r="AJ84" s="369"/>
      <c r="AK84" s="369"/>
      <c r="AL84" s="369"/>
      <c r="AM84" s="586"/>
      <c r="AN84" s="586"/>
      <c r="AO84" s="586"/>
      <c r="AP84" s="586"/>
      <c r="AQ84" s="586"/>
      <c r="AR84" s="586"/>
      <c r="AS84" s="586"/>
      <c r="AT84" s="586"/>
      <c r="AU84" s="586"/>
      <c r="AV84" s="586"/>
      <c r="AW84" s="586"/>
      <c r="AX84" s="586"/>
      <c r="AY84" s="586"/>
      <c r="AZ84" s="586"/>
      <c r="BA84" s="586"/>
      <c r="BB84" s="586"/>
      <c r="BC84" s="586"/>
      <c r="BD84" s="586"/>
      <c r="BE84" s="586"/>
      <c r="BF84" s="586"/>
      <c r="BG84" s="586"/>
      <c r="BH84" s="586"/>
      <c r="BI84" s="586"/>
      <c r="BJ84" s="586"/>
      <c r="BK84" s="1353"/>
      <c r="BL84" s="335"/>
      <c r="BM84" s="335"/>
      <c r="BN84" s="335"/>
      <c r="BO84" s="335"/>
      <c r="BP84" s="335"/>
      <c r="BQ84" s="335"/>
      <c r="BR84" s="335"/>
      <c r="BS84" s="335"/>
      <c r="BT84" s="335"/>
      <c r="BU84" s="335"/>
      <c r="BV84" s="335"/>
      <c r="BW84" s="335"/>
      <c r="BX84" s="335"/>
      <c r="BY84" s="335"/>
      <c r="BZ84" s="335"/>
      <c r="CA84" s="335"/>
      <c r="CB84" s="335"/>
      <c r="CC84" s="335"/>
      <c r="CD84" s="335"/>
      <c r="CE84" s="335"/>
      <c r="CF84" s="335"/>
      <c r="CG84" s="335"/>
      <c r="CH84" s="335"/>
      <c r="CI84" s="335"/>
      <c r="CJ84" s="335"/>
      <c r="CK84" s="335"/>
      <c r="CL84" s="335"/>
      <c r="CM84" s="335"/>
      <c r="CN84" s="335"/>
      <c r="CO84" s="335"/>
      <c r="CP84" s="335"/>
      <c r="CQ84" s="335"/>
      <c r="CR84" s="335"/>
      <c r="CS84" s="335"/>
      <c r="CT84" s="335"/>
      <c r="CU84" s="335"/>
      <c r="CV84" s="335"/>
      <c r="CW84" s="335"/>
    </row>
    <row r="85" spans="1:101" s="9" customFormat="1" ht="11.25">
      <c r="A85" s="655" t="s">
        <v>944</v>
      </c>
      <c r="B85" s="251">
        <f>IS!C101</f>
        <v>0</v>
      </c>
      <c r="C85" s="251">
        <f>IS!D101</f>
        <v>0</v>
      </c>
      <c r="D85" s="251">
        <f>IS!E101</f>
        <v>0</v>
      </c>
      <c r="E85" s="251">
        <f>IS!F101</f>
        <v>0</v>
      </c>
      <c r="F85" s="251">
        <f>IS!G101</f>
        <v>0</v>
      </c>
      <c r="G85" s="251">
        <f>IS!H101</f>
        <v>0</v>
      </c>
      <c r="H85" s="251">
        <f>IS!I101</f>
        <v>0</v>
      </c>
      <c r="I85" s="251">
        <f>IS!J101</f>
        <v>0</v>
      </c>
      <c r="J85" s="251">
        <f>IS!K101</f>
        <v>0</v>
      </c>
      <c r="K85" s="251">
        <f>IS!L101</f>
        <v>0</v>
      </c>
      <c r="L85" s="251">
        <f>IS!M101</f>
        <v>0</v>
      </c>
      <c r="M85" s="251">
        <f>IS!N101</f>
        <v>0</v>
      </c>
      <c r="N85" s="251">
        <f>IS!O101</f>
        <v>0</v>
      </c>
      <c r="O85" s="251">
        <f>IS!P101</f>
        <v>0</v>
      </c>
      <c r="P85" s="251">
        <f>IS!Q101</f>
        <v>0</v>
      </c>
      <c r="Q85" s="251">
        <f>IS!R101</f>
        <v>0</v>
      </c>
      <c r="R85" s="251">
        <f>IS!S101</f>
        <v>0</v>
      </c>
      <c r="S85" s="251">
        <f>IS!T101</f>
        <v>0</v>
      </c>
      <c r="T85" s="251">
        <f>IS!U101</f>
        <v>0</v>
      </c>
      <c r="U85" s="251">
        <f>IS!V101</f>
        <v>0</v>
      </c>
      <c r="V85" s="251">
        <f>IS!W101</f>
        <v>0</v>
      </c>
      <c r="W85" s="251">
        <f>IS!X101</f>
        <v>0</v>
      </c>
      <c r="X85" s="251">
        <f>IS!Y101</f>
        <v>0</v>
      </c>
      <c r="Y85" s="251">
        <f>IS!Z101</f>
        <v>140</v>
      </c>
      <c r="Z85" s="251">
        <f>IS!AA101</f>
        <v>142</v>
      </c>
      <c r="AA85" s="251">
        <f>IS!AB101</f>
        <v>143</v>
      </c>
      <c r="AB85" s="251">
        <f>IS!AC101</f>
        <v>150</v>
      </c>
      <c r="AC85" s="251">
        <f>IS!AD101</f>
        <v>154</v>
      </c>
      <c r="AD85" s="251">
        <f>IS!AE101</f>
        <v>146</v>
      </c>
      <c r="AE85" s="2133">
        <f>IS!AF101</f>
        <v>149</v>
      </c>
      <c r="AF85" s="251">
        <f>IS!AG101</f>
        <v>152</v>
      </c>
      <c r="AG85" s="251">
        <f>IS!AH101</f>
        <v>155</v>
      </c>
      <c r="AH85" s="251">
        <f>IS!AI101</f>
        <v>154</v>
      </c>
      <c r="AI85" s="251">
        <f>IS!AJ101</f>
        <v>162</v>
      </c>
      <c r="AJ85" s="251">
        <f>IS!AK101</f>
        <v>164</v>
      </c>
      <c r="AK85" s="251">
        <f>IS!AL101</f>
        <v>168</v>
      </c>
      <c r="AL85" s="251">
        <f>IS!AM101</f>
        <v>166</v>
      </c>
      <c r="AM85" s="963">
        <f>IS!AN101</f>
        <v>165</v>
      </c>
      <c r="AN85" s="963">
        <f>IS!AO101</f>
        <v>167</v>
      </c>
      <c r="AO85" s="963">
        <f>IS!AP101</f>
        <v>173</v>
      </c>
      <c r="AP85" s="963">
        <f>IS!AQ101</f>
        <v>481</v>
      </c>
      <c r="AQ85" s="963">
        <f>IS!AR101</f>
        <v>490</v>
      </c>
      <c r="AR85" s="963">
        <f>IS!AS101</f>
        <v>499</v>
      </c>
      <c r="AS85" s="963">
        <f>IS!AT101</f>
        <v>510</v>
      </c>
      <c r="AT85" s="963">
        <f>IS!AU101</f>
        <v>510</v>
      </c>
      <c r="AU85" s="963">
        <f>IS!AV101</f>
        <v>513</v>
      </c>
      <c r="AV85" s="963">
        <f>IS!AW101</f>
        <v>517</v>
      </c>
      <c r="AW85" s="963">
        <f>IS!AX101</f>
        <v>514</v>
      </c>
      <c r="AX85" s="963">
        <f>IS!AY101</f>
        <v>512</v>
      </c>
      <c r="AY85" s="963">
        <f>IS!AZ101</f>
        <v>522</v>
      </c>
      <c r="AZ85" s="963">
        <f>IS!BA101</f>
        <v>535</v>
      </c>
      <c r="BA85" s="963">
        <f>IS!BB101</f>
        <v>546</v>
      </c>
      <c r="BB85" s="963">
        <f>IS!BC101</f>
        <v>553</v>
      </c>
      <c r="BC85" s="963">
        <f>IS!BD101</f>
        <v>553</v>
      </c>
      <c r="BD85" s="963">
        <f>IS!BE101</f>
        <v>547</v>
      </c>
      <c r="BE85" s="963">
        <f>IS!BF101</f>
        <v>548</v>
      </c>
      <c r="BF85" s="963">
        <f>IS!BG101</f>
        <v>545</v>
      </c>
      <c r="BG85" s="963">
        <f>IS!BH101</f>
        <v>548</v>
      </c>
      <c r="BH85" s="963">
        <f>IS!BI101</f>
        <v>556</v>
      </c>
      <c r="BI85" s="963">
        <f>IS!BJ101</f>
        <v>558</v>
      </c>
      <c r="BJ85" s="963">
        <f>IS!BK101</f>
        <v>555</v>
      </c>
      <c r="BK85" s="1355">
        <f>IS!BL101</f>
        <v>559</v>
      </c>
      <c r="BL85" s="587">
        <f t="shared" ref="BL85:BQ85" si="437">+BK85+BL86</f>
        <v>565</v>
      </c>
      <c r="BM85" s="587">
        <f t="shared" si="437"/>
        <v>591</v>
      </c>
      <c r="BN85" s="587">
        <f t="shared" si="437"/>
        <v>594</v>
      </c>
      <c r="BO85" s="587">
        <f t="shared" si="437"/>
        <v>597</v>
      </c>
      <c r="BP85" s="587">
        <f t="shared" si="437"/>
        <v>600</v>
      </c>
      <c r="BQ85" s="587">
        <f t="shared" si="437"/>
        <v>605</v>
      </c>
      <c r="BR85" s="587">
        <f t="shared" ref="BR85:CK85" si="438">+BQ85+BR86</f>
        <v>607</v>
      </c>
      <c r="BS85" s="587">
        <f t="shared" si="438"/>
        <v>609</v>
      </c>
      <c r="BT85" s="587">
        <f t="shared" si="438"/>
        <v>611</v>
      </c>
      <c r="BU85" s="587">
        <f t="shared" si="438"/>
        <v>616</v>
      </c>
      <c r="BV85" s="587">
        <f t="shared" si="438"/>
        <v>618</v>
      </c>
      <c r="BW85" s="587">
        <f t="shared" si="438"/>
        <v>620</v>
      </c>
      <c r="BX85" s="587">
        <f t="shared" si="438"/>
        <v>622</v>
      </c>
      <c r="BY85" s="587">
        <f t="shared" si="438"/>
        <v>625</v>
      </c>
      <c r="BZ85" s="587">
        <f t="shared" si="438"/>
        <v>627</v>
      </c>
      <c r="CA85" s="587">
        <f t="shared" si="438"/>
        <v>629</v>
      </c>
      <c r="CB85" s="587">
        <f t="shared" si="438"/>
        <v>631</v>
      </c>
      <c r="CC85" s="587">
        <f t="shared" si="438"/>
        <v>634</v>
      </c>
      <c r="CD85" s="587">
        <f t="shared" si="438"/>
        <v>636</v>
      </c>
      <c r="CE85" s="587">
        <f t="shared" si="438"/>
        <v>638</v>
      </c>
      <c r="CF85" s="587">
        <f t="shared" si="438"/>
        <v>640</v>
      </c>
      <c r="CG85" s="587">
        <f t="shared" si="438"/>
        <v>643</v>
      </c>
      <c r="CH85" s="587">
        <f t="shared" si="438"/>
        <v>645</v>
      </c>
      <c r="CI85" s="587">
        <f t="shared" si="438"/>
        <v>647</v>
      </c>
      <c r="CJ85" s="587">
        <f t="shared" si="438"/>
        <v>649</v>
      </c>
      <c r="CK85" s="587">
        <f t="shared" si="438"/>
        <v>653</v>
      </c>
      <c r="CL85" s="587">
        <f t="shared" ref="CL85" si="439">+CK85+CL86</f>
        <v>655</v>
      </c>
      <c r="CM85" s="587">
        <f t="shared" ref="CM85" si="440">+CL85+CM86</f>
        <v>657</v>
      </c>
      <c r="CN85" s="587">
        <f t="shared" ref="CN85" si="441">+CM85+CN86</f>
        <v>659</v>
      </c>
      <c r="CO85" s="587">
        <f t="shared" ref="CO85" si="442">+CN85+CO86</f>
        <v>663</v>
      </c>
      <c r="CP85" s="587">
        <f t="shared" ref="CP85" si="443">+CO85+CP86</f>
        <v>665</v>
      </c>
      <c r="CQ85" s="587">
        <f t="shared" ref="CQ85" si="444">+CP85+CQ86</f>
        <v>667</v>
      </c>
      <c r="CR85" s="587">
        <f t="shared" ref="CR85" si="445">+CQ85+CR86</f>
        <v>669</v>
      </c>
      <c r="CS85" s="587">
        <f t="shared" ref="CS85" si="446">+CR85+CS86</f>
        <v>673</v>
      </c>
      <c r="CT85" s="587">
        <f t="shared" ref="CT85" si="447">+CS85+CT86</f>
        <v>675</v>
      </c>
      <c r="CU85" s="587">
        <f t="shared" ref="CU85" si="448">+CT85+CU86</f>
        <v>677</v>
      </c>
      <c r="CV85" s="587">
        <f t="shared" ref="CV85" si="449">+CU85+CV86</f>
        <v>679</v>
      </c>
      <c r="CW85" s="587">
        <f t="shared" ref="CW85" si="450">+CV85+CW86</f>
        <v>682</v>
      </c>
    </row>
    <row r="86" spans="1:101" s="9" customFormat="1" ht="11.25">
      <c r="A86" s="869" t="s">
        <v>940</v>
      </c>
      <c r="B86" s="369"/>
      <c r="C86" s="369">
        <f t="shared" ref="C86:AZ86" si="451">+C85-B85</f>
        <v>0</v>
      </c>
      <c r="D86" s="369">
        <f t="shared" si="451"/>
        <v>0</v>
      </c>
      <c r="E86" s="369">
        <f t="shared" si="451"/>
        <v>0</v>
      </c>
      <c r="F86" s="369">
        <f t="shared" si="451"/>
        <v>0</v>
      </c>
      <c r="G86" s="369">
        <f t="shared" si="451"/>
        <v>0</v>
      </c>
      <c r="H86" s="369">
        <f t="shared" si="451"/>
        <v>0</v>
      </c>
      <c r="I86" s="369">
        <f t="shared" si="451"/>
        <v>0</v>
      </c>
      <c r="J86" s="369">
        <f t="shared" si="451"/>
        <v>0</v>
      </c>
      <c r="K86" s="369">
        <f t="shared" si="451"/>
        <v>0</v>
      </c>
      <c r="L86" s="369">
        <f t="shared" si="451"/>
        <v>0</v>
      </c>
      <c r="M86" s="369">
        <f t="shared" si="451"/>
        <v>0</v>
      </c>
      <c r="N86" s="369">
        <f t="shared" si="451"/>
        <v>0</v>
      </c>
      <c r="O86" s="369">
        <f t="shared" si="451"/>
        <v>0</v>
      </c>
      <c r="P86" s="369">
        <f t="shared" si="451"/>
        <v>0</v>
      </c>
      <c r="Q86" s="369">
        <f t="shared" si="451"/>
        <v>0</v>
      </c>
      <c r="R86" s="369">
        <f t="shared" si="451"/>
        <v>0</v>
      </c>
      <c r="S86" s="369">
        <f t="shared" si="451"/>
        <v>0</v>
      </c>
      <c r="T86" s="369">
        <f t="shared" si="451"/>
        <v>0</v>
      </c>
      <c r="U86" s="369">
        <f t="shared" si="451"/>
        <v>0</v>
      </c>
      <c r="V86" s="369">
        <f t="shared" si="451"/>
        <v>0</v>
      </c>
      <c r="W86" s="369">
        <f t="shared" si="451"/>
        <v>0</v>
      </c>
      <c r="X86" s="369">
        <f t="shared" si="451"/>
        <v>0</v>
      </c>
      <c r="Y86" s="369">
        <f t="shared" si="451"/>
        <v>140</v>
      </c>
      <c r="Z86" s="369">
        <f t="shared" si="451"/>
        <v>2</v>
      </c>
      <c r="AA86" s="369">
        <f t="shared" si="451"/>
        <v>1</v>
      </c>
      <c r="AB86" s="369">
        <f t="shared" si="451"/>
        <v>7</v>
      </c>
      <c r="AC86" s="369">
        <f t="shared" si="451"/>
        <v>4</v>
      </c>
      <c r="AD86" s="369">
        <f t="shared" si="451"/>
        <v>-8</v>
      </c>
      <c r="AE86" s="2131">
        <f t="shared" si="451"/>
        <v>3</v>
      </c>
      <c r="AF86" s="369">
        <f t="shared" si="451"/>
        <v>3</v>
      </c>
      <c r="AG86" s="369">
        <f t="shared" si="451"/>
        <v>3</v>
      </c>
      <c r="AH86" s="369">
        <f t="shared" si="451"/>
        <v>-1</v>
      </c>
      <c r="AI86" s="369">
        <f t="shared" si="451"/>
        <v>8</v>
      </c>
      <c r="AJ86" s="369">
        <f t="shared" si="451"/>
        <v>2</v>
      </c>
      <c r="AK86" s="369">
        <f t="shared" si="451"/>
        <v>4</v>
      </c>
      <c r="AL86" s="369">
        <f t="shared" si="451"/>
        <v>-2</v>
      </c>
      <c r="AM86" s="586">
        <f t="shared" si="451"/>
        <v>-1</v>
      </c>
      <c r="AN86" s="586">
        <f t="shared" si="451"/>
        <v>2</v>
      </c>
      <c r="AO86" s="586">
        <f t="shared" si="451"/>
        <v>6</v>
      </c>
      <c r="AP86" s="586">
        <f t="shared" si="451"/>
        <v>308</v>
      </c>
      <c r="AQ86" s="586">
        <f t="shared" si="451"/>
        <v>9</v>
      </c>
      <c r="AR86" s="586">
        <f t="shared" si="451"/>
        <v>9</v>
      </c>
      <c r="AS86" s="586">
        <f t="shared" si="451"/>
        <v>11</v>
      </c>
      <c r="AT86" s="586">
        <f t="shared" si="451"/>
        <v>0</v>
      </c>
      <c r="AU86" s="586">
        <f t="shared" si="451"/>
        <v>3</v>
      </c>
      <c r="AV86" s="586">
        <f t="shared" si="451"/>
        <v>4</v>
      </c>
      <c r="AW86" s="586">
        <f t="shared" si="451"/>
        <v>-3</v>
      </c>
      <c r="AX86" s="586">
        <f t="shared" si="451"/>
        <v>-2</v>
      </c>
      <c r="AY86" s="586">
        <f t="shared" si="451"/>
        <v>10</v>
      </c>
      <c r="AZ86" s="586">
        <f t="shared" si="451"/>
        <v>13</v>
      </c>
      <c r="BA86" s="586">
        <f t="shared" ref="BA86:BK86" si="452">+BA85-AZ85</f>
        <v>11</v>
      </c>
      <c r="BB86" s="586">
        <f t="shared" si="452"/>
        <v>7</v>
      </c>
      <c r="BC86" s="586">
        <f t="shared" si="452"/>
        <v>0</v>
      </c>
      <c r="BD86" s="586">
        <f t="shared" si="452"/>
        <v>-6</v>
      </c>
      <c r="BE86" s="586">
        <f t="shared" si="452"/>
        <v>1</v>
      </c>
      <c r="BF86" s="586">
        <f t="shared" si="452"/>
        <v>-3</v>
      </c>
      <c r="BG86" s="586">
        <f t="shared" si="452"/>
        <v>3</v>
      </c>
      <c r="BH86" s="586">
        <f t="shared" si="452"/>
        <v>8</v>
      </c>
      <c r="BI86" s="586">
        <f t="shared" si="452"/>
        <v>2</v>
      </c>
      <c r="BJ86" s="586">
        <f t="shared" si="452"/>
        <v>-3</v>
      </c>
      <c r="BK86" s="1353">
        <f t="shared" si="452"/>
        <v>4</v>
      </c>
      <c r="BL86" s="335">
        <f>Inputs!BL125</f>
        <v>6</v>
      </c>
      <c r="BM86" s="335">
        <f>Inputs!BM125</f>
        <v>26</v>
      </c>
      <c r="BN86" s="335">
        <f>Inputs!BN125</f>
        <v>3</v>
      </c>
      <c r="BO86" s="335">
        <f>Inputs!BO125</f>
        <v>3</v>
      </c>
      <c r="BP86" s="335">
        <f>Inputs!BP125</f>
        <v>3</v>
      </c>
      <c r="BQ86" s="335">
        <f>Inputs!BQ125</f>
        <v>5</v>
      </c>
      <c r="BR86" s="335">
        <f>Inputs!BR125</f>
        <v>2</v>
      </c>
      <c r="BS86" s="335">
        <f>Inputs!BS125</f>
        <v>2</v>
      </c>
      <c r="BT86" s="335">
        <f>Inputs!BT125</f>
        <v>2</v>
      </c>
      <c r="BU86" s="335">
        <f>Inputs!BU125</f>
        <v>5</v>
      </c>
      <c r="BV86" s="335">
        <f>Inputs!BV125</f>
        <v>2</v>
      </c>
      <c r="BW86" s="335">
        <f>Inputs!BW125</f>
        <v>2</v>
      </c>
      <c r="BX86" s="335">
        <f>Inputs!BX125</f>
        <v>2</v>
      </c>
      <c r="BY86" s="335">
        <f>Inputs!BY125</f>
        <v>3</v>
      </c>
      <c r="BZ86" s="335">
        <f>Inputs!BZ125</f>
        <v>2</v>
      </c>
      <c r="CA86" s="335">
        <f>Inputs!CA125</f>
        <v>2</v>
      </c>
      <c r="CB86" s="335">
        <f>Inputs!CB125</f>
        <v>2</v>
      </c>
      <c r="CC86" s="335">
        <f>Inputs!CC125</f>
        <v>3</v>
      </c>
      <c r="CD86" s="335">
        <f>Inputs!CD125</f>
        <v>2</v>
      </c>
      <c r="CE86" s="335">
        <f>Inputs!CE125</f>
        <v>2</v>
      </c>
      <c r="CF86" s="335">
        <f>Inputs!CF125</f>
        <v>2</v>
      </c>
      <c r="CG86" s="335">
        <f>Inputs!CG125</f>
        <v>3</v>
      </c>
      <c r="CH86" s="335">
        <f>Inputs!CH125</f>
        <v>2</v>
      </c>
      <c r="CI86" s="335">
        <f>Inputs!CI125</f>
        <v>2</v>
      </c>
      <c r="CJ86" s="335">
        <f>Inputs!CJ125</f>
        <v>2</v>
      </c>
      <c r="CK86" s="335">
        <f>Inputs!CK125</f>
        <v>4</v>
      </c>
      <c r="CL86" s="335">
        <f>Inputs!CL125</f>
        <v>2</v>
      </c>
      <c r="CM86" s="335">
        <f>Inputs!CM125</f>
        <v>2</v>
      </c>
      <c r="CN86" s="335">
        <f>Inputs!CN125</f>
        <v>2</v>
      </c>
      <c r="CO86" s="335">
        <f>Inputs!CO125</f>
        <v>4</v>
      </c>
      <c r="CP86" s="335">
        <f>Inputs!CP125</f>
        <v>2</v>
      </c>
      <c r="CQ86" s="335">
        <f>Inputs!CQ125</f>
        <v>2</v>
      </c>
      <c r="CR86" s="335">
        <f>Inputs!CR125</f>
        <v>2</v>
      </c>
      <c r="CS86" s="335">
        <f>Inputs!CS125</f>
        <v>4</v>
      </c>
      <c r="CT86" s="335">
        <f>Inputs!CT125</f>
        <v>2</v>
      </c>
      <c r="CU86" s="335">
        <f>Inputs!CU125</f>
        <v>2</v>
      </c>
      <c r="CV86" s="335">
        <f>Inputs!CV125</f>
        <v>2</v>
      </c>
      <c r="CW86" s="335">
        <f>Inputs!CW125</f>
        <v>3</v>
      </c>
    </row>
    <row r="87" spans="1:101" s="9" customFormat="1" ht="11.25">
      <c r="A87" s="869" t="s">
        <v>946</v>
      </c>
      <c r="B87" s="62"/>
      <c r="C87" s="369">
        <f t="shared" ref="C87:AH87" si="453">AVERAGE(B85:C85)</f>
        <v>0</v>
      </c>
      <c r="D87" s="369">
        <f t="shared" si="453"/>
        <v>0</v>
      </c>
      <c r="E87" s="369">
        <f t="shared" si="453"/>
        <v>0</v>
      </c>
      <c r="F87" s="369">
        <f t="shared" si="453"/>
        <v>0</v>
      </c>
      <c r="G87" s="369">
        <f t="shared" si="453"/>
        <v>0</v>
      </c>
      <c r="H87" s="369">
        <f t="shared" si="453"/>
        <v>0</v>
      </c>
      <c r="I87" s="369">
        <f t="shared" si="453"/>
        <v>0</v>
      </c>
      <c r="J87" s="369">
        <f t="shared" si="453"/>
        <v>0</v>
      </c>
      <c r="K87" s="369">
        <f t="shared" si="453"/>
        <v>0</v>
      </c>
      <c r="L87" s="369">
        <f t="shared" si="453"/>
        <v>0</v>
      </c>
      <c r="M87" s="369">
        <f t="shared" si="453"/>
        <v>0</v>
      </c>
      <c r="N87" s="369">
        <f t="shared" si="453"/>
        <v>0</v>
      </c>
      <c r="O87" s="369">
        <f t="shared" si="453"/>
        <v>0</v>
      </c>
      <c r="P87" s="369">
        <f t="shared" si="453"/>
        <v>0</v>
      </c>
      <c r="Q87" s="369">
        <f t="shared" si="453"/>
        <v>0</v>
      </c>
      <c r="R87" s="369">
        <f t="shared" si="453"/>
        <v>0</v>
      </c>
      <c r="S87" s="369">
        <f t="shared" si="453"/>
        <v>0</v>
      </c>
      <c r="T87" s="369">
        <f t="shared" si="453"/>
        <v>0</v>
      </c>
      <c r="U87" s="369">
        <f t="shared" si="453"/>
        <v>0</v>
      </c>
      <c r="V87" s="369">
        <f t="shared" si="453"/>
        <v>0</v>
      </c>
      <c r="W87" s="369">
        <f t="shared" si="453"/>
        <v>0</v>
      </c>
      <c r="X87" s="369">
        <f t="shared" si="453"/>
        <v>0</v>
      </c>
      <c r="Y87" s="369">
        <f t="shared" si="453"/>
        <v>70</v>
      </c>
      <c r="Z87" s="369">
        <f t="shared" si="453"/>
        <v>141</v>
      </c>
      <c r="AA87" s="369">
        <f t="shared" si="453"/>
        <v>142.5</v>
      </c>
      <c r="AB87" s="369">
        <f t="shared" si="453"/>
        <v>146.5</v>
      </c>
      <c r="AC87" s="369">
        <f t="shared" si="453"/>
        <v>152</v>
      </c>
      <c r="AD87" s="369">
        <f t="shared" si="453"/>
        <v>150</v>
      </c>
      <c r="AE87" s="2131">
        <f t="shared" si="453"/>
        <v>147.5</v>
      </c>
      <c r="AF87" s="369">
        <f t="shared" si="453"/>
        <v>150.5</v>
      </c>
      <c r="AG87" s="369">
        <f t="shared" si="453"/>
        <v>153.5</v>
      </c>
      <c r="AH87" s="369">
        <f t="shared" si="453"/>
        <v>154.5</v>
      </c>
      <c r="AI87" s="369">
        <f t="shared" ref="AI87:BQ87" si="454">AVERAGE(AH85:AI85)</f>
        <v>158</v>
      </c>
      <c r="AJ87" s="369">
        <f t="shared" si="454"/>
        <v>163</v>
      </c>
      <c r="AK87" s="369">
        <f t="shared" si="454"/>
        <v>166</v>
      </c>
      <c r="AL87" s="369">
        <f t="shared" si="454"/>
        <v>167</v>
      </c>
      <c r="AM87" s="586">
        <f t="shared" si="454"/>
        <v>165.5</v>
      </c>
      <c r="AN87" s="586">
        <f t="shared" si="454"/>
        <v>166</v>
      </c>
      <c r="AO87" s="586">
        <f t="shared" si="454"/>
        <v>170</v>
      </c>
      <c r="AP87" s="586">
        <f t="shared" si="454"/>
        <v>327</v>
      </c>
      <c r="AQ87" s="586">
        <f t="shared" si="454"/>
        <v>485.5</v>
      </c>
      <c r="AR87" s="586">
        <f t="shared" si="454"/>
        <v>494.5</v>
      </c>
      <c r="AS87" s="586">
        <f t="shared" si="454"/>
        <v>504.5</v>
      </c>
      <c r="AT87" s="586">
        <f t="shared" si="454"/>
        <v>510</v>
      </c>
      <c r="AU87" s="586">
        <f t="shared" si="454"/>
        <v>511.5</v>
      </c>
      <c r="AV87" s="586">
        <f t="shared" si="454"/>
        <v>515</v>
      </c>
      <c r="AW87" s="586">
        <f t="shared" si="454"/>
        <v>515.5</v>
      </c>
      <c r="AX87" s="586">
        <f t="shared" si="454"/>
        <v>513</v>
      </c>
      <c r="AY87" s="586">
        <f t="shared" si="454"/>
        <v>517</v>
      </c>
      <c r="AZ87" s="586">
        <f t="shared" si="454"/>
        <v>528.5</v>
      </c>
      <c r="BA87" s="586">
        <f t="shared" ref="BA87:BK87" si="455">AVERAGE(AZ85:BA85)</f>
        <v>540.5</v>
      </c>
      <c r="BB87" s="586">
        <f t="shared" si="455"/>
        <v>549.5</v>
      </c>
      <c r="BC87" s="586">
        <f t="shared" si="455"/>
        <v>553</v>
      </c>
      <c r="BD87" s="586">
        <f t="shared" si="455"/>
        <v>550</v>
      </c>
      <c r="BE87" s="586">
        <f t="shared" si="455"/>
        <v>547.5</v>
      </c>
      <c r="BF87" s="586">
        <f t="shared" si="455"/>
        <v>546.5</v>
      </c>
      <c r="BG87" s="586">
        <f t="shared" si="455"/>
        <v>546.5</v>
      </c>
      <c r="BH87" s="586">
        <f t="shared" si="455"/>
        <v>552</v>
      </c>
      <c r="BI87" s="586">
        <f t="shared" si="455"/>
        <v>557</v>
      </c>
      <c r="BJ87" s="586">
        <f t="shared" si="455"/>
        <v>556.5</v>
      </c>
      <c r="BK87" s="1353">
        <f t="shared" si="455"/>
        <v>557</v>
      </c>
      <c r="BL87" s="587">
        <f t="shared" si="454"/>
        <v>562</v>
      </c>
      <c r="BM87" s="587">
        <f t="shared" si="454"/>
        <v>578</v>
      </c>
      <c r="BN87" s="587">
        <f t="shared" si="454"/>
        <v>592.5</v>
      </c>
      <c r="BO87" s="587">
        <f t="shared" si="454"/>
        <v>595.5</v>
      </c>
      <c r="BP87" s="587">
        <f t="shared" si="454"/>
        <v>598.5</v>
      </c>
      <c r="BQ87" s="587">
        <f t="shared" si="454"/>
        <v>602.5</v>
      </c>
      <c r="BR87" s="587">
        <f t="shared" ref="BR87:CK87" si="456">AVERAGE(BQ85:BR85)</f>
        <v>606</v>
      </c>
      <c r="BS87" s="587">
        <f t="shared" si="456"/>
        <v>608</v>
      </c>
      <c r="BT87" s="587">
        <f t="shared" si="456"/>
        <v>610</v>
      </c>
      <c r="BU87" s="587">
        <f t="shared" si="456"/>
        <v>613.5</v>
      </c>
      <c r="BV87" s="587">
        <f t="shared" si="456"/>
        <v>617</v>
      </c>
      <c r="BW87" s="587">
        <f t="shared" si="456"/>
        <v>619</v>
      </c>
      <c r="BX87" s="587">
        <f t="shared" si="456"/>
        <v>621</v>
      </c>
      <c r="BY87" s="587">
        <f t="shared" si="456"/>
        <v>623.5</v>
      </c>
      <c r="BZ87" s="587">
        <f t="shared" si="456"/>
        <v>626</v>
      </c>
      <c r="CA87" s="587">
        <f t="shared" si="456"/>
        <v>628</v>
      </c>
      <c r="CB87" s="587">
        <f t="shared" si="456"/>
        <v>630</v>
      </c>
      <c r="CC87" s="587">
        <f t="shared" si="456"/>
        <v>632.5</v>
      </c>
      <c r="CD87" s="587">
        <f t="shared" si="456"/>
        <v>635</v>
      </c>
      <c r="CE87" s="587">
        <f t="shared" si="456"/>
        <v>637</v>
      </c>
      <c r="CF87" s="587">
        <f t="shared" si="456"/>
        <v>639</v>
      </c>
      <c r="CG87" s="587">
        <f t="shared" si="456"/>
        <v>641.5</v>
      </c>
      <c r="CH87" s="587">
        <f t="shared" si="456"/>
        <v>644</v>
      </c>
      <c r="CI87" s="587">
        <f t="shared" si="456"/>
        <v>646</v>
      </c>
      <c r="CJ87" s="587">
        <f t="shared" si="456"/>
        <v>648</v>
      </c>
      <c r="CK87" s="587">
        <f t="shared" si="456"/>
        <v>651</v>
      </c>
      <c r="CL87" s="587">
        <f t="shared" ref="CL87" si="457">AVERAGE(CK85:CL85)</f>
        <v>654</v>
      </c>
      <c r="CM87" s="587">
        <f t="shared" ref="CM87" si="458">AVERAGE(CL85:CM85)</f>
        <v>656</v>
      </c>
      <c r="CN87" s="587">
        <f t="shared" ref="CN87" si="459">AVERAGE(CM85:CN85)</f>
        <v>658</v>
      </c>
      <c r="CO87" s="587">
        <f t="shared" ref="CO87" si="460">AVERAGE(CN85:CO85)</f>
        <v>661</v>
      </c>
      <c r="CP87" s="587">
        <f t="shared" ref="CP87" si="461">AVERAGE(CO85:CP85)</f>
        <v>664</v>
      </c>
      <c r="CQ87" s="587">
        <f t="shared" ref="CQ87" si="462">AVERAGE(CP85:CQ85)</f>
        <v>666</v>
      </c>
      <c r="CR87" s="587">
        <f t="shared" ref="CR87" si="463">AVERAGE(CQ85:CR85)</f>
        <v>668</v>
      </c>
      <c r="CS87" s="587">
        <f t="shared" ref="CS87" si="464">AVERAGE(CR85:CS85)</f>
        <v>671</v>
      </c>
      <c r="CT87" s="587">
        <f t="shared" ref="CT87" si="465">AVERAGE(CS85:CT85)</f>
        <v>674</v>
      </c>
      <c r="CU87" s="587">
        <f t="shared" ref="CU87" si="466">AVERAGE(CT85:CU85)</f>
        <v>676</v>
      </c>
      <c r="CV87" s="587">
        <f t="shared" ref="CV87" si="467">AVERAGE(CU85:CV85)</f>
        <v>678</v>
      </c>
      <c r="CW87" s="587">
        <f t="shared" ref="CW87" si="468">AVERAGE(CV85:CW85)</f>
        <v>680.5</v>
      </c>
    </row>
    <row r="88" spans="1:101" s="9" customFormat="1" ht="11.25">
      <c r="A88" s="665"/>
      <c r="B88" s="62"/>
      <c r="C88" s="62"/>
      <c r="D88" s="62"/>
      <c r="E88" s="62"/>
      <c r="F88" s="256"/>
      <c r="G88" s="657"/>
      <c r="H88" s="657"/>
      <c r="I88" s="657"/>
      <c r="J88" s="657"/>
      <c r="K88" s="657"/>
      <c r="L88" s="657"/>
      <c r="M88" s="657"/>
      <c r="N88" s="657"/>
      <c r="O88" s="657"/>
      <c r="P88" s="657"/>
      <c r="Q88" s="657"/>
      <c r="R88" s="657"/>
      <c r="S88" s="657"/>
      <c r="T88" s="657"/>
      <c r="U88" s="657"/>
      <c r="V88" s="657"/>
      <c r="W88" s="657"/>
      <c r="X88" s="657"/>
      <c r="Y88" s="657"/>
      <c r="Z88" s="657"/>
      <c r="AA88" s="657"/>
      <c r="AB88" s="657"/>
      <c r="AC88" s="657"/>
      <c r="AD88" s="657"/>
      <c r="AE88" s="2138"/>
      <c r="AF88" s="657"/>
      <c r="AG88" s="657"/>
      <c r="AH88" s="657"/>
      <c r="AI88" s="657"/>
      <c r="AJ88" s="657"/>
      <c r="AK88" s="657"/>
      <c r="AL88" s="657"/>
      <c r="AM88" s="715"/>
      <c r="AN88" s="715"/>
      <c r="AO88" s="715"/>
      <c r="AP88" s="1285"/>
      <c r="AQ88" s="1285"/>
      <c r="AR88" s="1285"/>
      <c r="AS88" s="1285"/>
      <c r="AT88" s="1285"/>
      <c r="AU88" s="1285"/>
      <c r="AV88" s="1285"/>
      <c r="AW88" s="1285"/>
      <c r="AX88" s="1285"/>
      <c r="AY88" s="1285"/>
      <c r="AZ88" s="1285"/>
      <c r="BA88" s="1285"/>
      <c r="BB88" s="1285"/>
      <c r="BC88" s="1285"/>
      <c r="BD88" s="1285"/>
      <c r="BE88" s="1285"/>
      <c r="BF88" s="1285"/>
      <c r="BG88" s="1285"/>
      <c r="BH88" s="1285"/>
      <c r="BI88" s="1285"/>
      <c r="BJ88" s="1285"/>
      <c r="BK88" s="1374"/>
      <c r="BL88" s="461"/>
      <c r="BM88" s="461"/>
      <c r="BN88" s="461"/>
      <c r="BO88" s="461"/>
      <c r="BP88" s="461"/>
      <c r="BQ88" s="461"/>
    </row>
    <row r="89" spans="1:101" s="9" customFormat="1" ht="11.25">
      <c r="A89" s="331" t="s">
        <v>754</v>
      </c>
      <c r="B89" s="62"/>
      <c r="C89" s="62"/>
      <c r="D89" s="62"/>
      <c r="E89" s="62"/>
      <c r="F89" s="316"/>
      <c r="G89" s="333"/>
      <c r="H89" s="333"/>
      <c r="I89" s="316"/>
      <c r="J89" s="316"/>
      <c r="K89" s="333"/>
      <c r="L89" s="333"/>
      <c r="M89" s="316"/>
      <c r="N89" s="355"/>
      <c r="O89" s="355"/>
      <c r="P89" s="355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55"/>
      <c r="AB89" s="316"/>
      <c r="AC89" s="316"/>
      <c r="AD89" s="316"/>
      <c r="AE89" s="2129"/>
      <c r="AF89" s="316"/>
      <c r="AG89" s="316"/>
      <c r="AH89" s="316"/>
      <c r="AI89" s="316"/>
      <c r="AJ89" s="316"/>
      <c r="AK89" s="316"/>
      <c r="AL89" s="316"/>
      <c r="AM89" s="316"/>
      <c r="AN89" s="316"/>
      <c r="AO89" s="316"/>
      <c r="BK89" s="1318"/>
    </row>
    <row r="90" spans="1:101" s="9" customFormat="1" ht="11.25">
      <c r="A90" s="331"/>
      <c r="B90" s="62"/>
      <c r="C90" s="62"/>
      <c r="D90" s="62"/>
      <c r="E90" s="62"/>
      <c r="F90" s="316"/>
      <c r="G90" s="333"/>
      <c r="H90" s="333"/>
      <c r="I90" s="316"/>
      <c r="J90" s="316"/>
      <c r="K90" s="333"/>
      <c r="L90" s="333"/>
      <c r="M90" s="316"/>
      <c r="N90" s="355"/>
      <c r="O90" s="355"/>
      <c r="P90" s="355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55"/>
      <c r="AB90" s="316"/>
      <c r="AC90" s="316"/>
      <c r="AD90" s="316"/>
      <c r="AE90" s="2129"/>
      <c r="AF90" s="316"/>
      <c r="AG90" s="316"/>
      <c r="AH90" s="316"/>
      <c r="AI90" s="316"/>
      <c r="AJ90" s="316"/>
      <c r="AK90" s="316"/>
      <c r="AL90" s="316"/>
      <c r="AM90" s="316"/>
      <c r="AN90" s="316"/>
      <c r="AO90" s="316"/>
      <c r="BK90" s="1318"/>
    </row>
    <row r="91" spans="1:101" s="9" customFormat="1" ht="11.25">
      <c r="A91" s="622" t="s">
        <v>739</v>
      </c>
      <c r="B91" s="62"/>
      <c r="C91" s="62"/>
      <c r="D91" s="62"/>
      <c r="E91" s="62"/>
      <c r="F91" s="316"/>
      <c r="G91" s="333"/>
      <c r="H91" s="333"/>
      <c r="I91" s="316"/>
      <c r="J91" s="316"/>
      <c r="K91" s="333"/>
      <c r="L91" s="333"/>
      <c r="M91" s="316"/>
      <c r="N91" s="355"/>
      <c r="O91" s="355"/>
      <c r="P91" s="355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55"/>
      <c r="AB91" s="316"/>
      <c r="AC91" s="316"/>
      <c r="AD91" s="316"/>
      <c r="AE91" s="2129"/>
      <c r="AF91" s="316"/>
      <c r="AG91" s="316"/>
      <c r="AH91" s="316"/>
      <c r="AI91" s="316"/>
      <c r="AJ91" s="316"/>
      <c r="AK91" s="316"/>
      <c r="AL91" s="316"/>
      <c r="AM91" s="316"/>
      <c r="AN91" s="316"/>
      <c r="AO91" s="316"/>
      <c r="BK91" s="1318"/>
    </row>
    <row r="92" spans="1:101" s="9" customFormat="1" ht="11.25">
      <c r="A92" s="655" t="s">
        <v>951</v>
      </c>
      <c r="B92" s="667"/>
      <c r="C92" s="891" t="str">
        <f t="shared" ref="C92:X92" si="469">IF(ISERROR(C105/C83),"NM",C105/C83)</f>
        <v>NM</v>
      </c>
      <c r="D92" s="891" t="str">
        <f t="shared" si="469"/>
        <v>NM</v>
      </c>
      <c r="E92" s="891" t="str">
        <f t="shared" si="469"/>
        <v>NM</v>
      </c>
      <c r="F92" s="891" t="str">
        <f t="shared" si="469"/>
        <v>NM</v>
      </c>
      <c r="G92" s="891" t="str">
        <f t="shared" si="469"/>
        <v>NM</v>
      </c>
      <c r="H92" s="891" t="str">
        <f t="shared" si="469"/>
        <v>NM</v>
      </c>
      <c r="I92" s="891" t="str">
        <f t="shared" si="469"/>
        <v>NM</v>
      </c>
      <c r="J92" s="891" t="str">
        <f t="shared" si="469"/>
        <v>NM</v>
      </c>
      <c r="K92" s="891" t="str">
        <f t="shared" si="469"/>
        <v>NM</v>
      </c>
      <c r="L92" s="891" t="str">
        <f t="shared" si="469"/>
        <v>NM</v>
      </c>
      <c r="M92" s="891" t="str">
        <f t="shared" si="469"/>
        <v>NM</v>
      </c>
      <c r="N92" s="891" t="str">
        <f t="shared" si="469"/>
        <v>NM</v>
      </c>
      <c r="O92" s="891" t="str">
        <f t="shared" si="469"/>
        <v>NM</v>
      </c>
      <c r="P92" s="891" t="str">
        <f t="shared" si="469"/>
        <v>NM</v>
      </c>
      <c r="Q92" s="891" t="str">
        <f t="shared" si="469"/>
        <v>NM</v>
      </c>
      <c r="R92" s="891" t="str">
        <f t="shared" si="469"/>
        <v>NM</v>
      </c>
      <c r="S92" s="891" t="str">
        <f t="shared" si="469"/>
        <v>NM</v>
      </c>
      <c r="T92" s="891" t="str">
        <f t="shared" si="469"/>
        <v>NM</v>
      </c>
      <c r="U92" s="891" t="str">
        <f t="shared" si="469"/>
        <v>NM</v>
      </c>
      <c r="V92" s="891" t="str">
        <f t="shared" si="469"/>
        <v>NM</v>
      </c>
      <c r="W92" s="891" t="str">
        <f t="shared" si="469"/>
        <v>NM</v>
      </c>
      <c r="X92" s="891" t="str">
        <f t="shared" si="469"/>
        <v>NM</v>
      </c>
      <c r="Y92" s="891" t="s">
        <v>628</v>
      </c>
      <c r="Z92" s="891">
        <f t="shared" ref="Z92:BQ92" si="470">Z105/Z83</f>
        <v>4.411960132890365</v>
      </c>
      <c r="AA92" s="891">
        <f t="shared" si="470"/>
        <v>4.3388704318936879</v>
      </c>
      <c r="AB92" s="891">
        <f t="shared" si="470"/>
        <v>4.5864909390444808</v>
      </c>
      <c r="AC92" s="891">
        <f t="shared" si="470"/>
        <v>5.3300970873786406</v>
      </c>
      <c r="AD92" s="891">
        <f t="shared" si="470"/>
        <v>5.6629921259842524</v>
      </c>
      <c r="AE92" s="2146">
        <f t="shared" si="470"/>
        <v>5.5216049382716053</v>
      </c>
      <c r="AF92" s="891">
        <f t="shared" si="470"/>
        <v>5.576864535768645</v>
      </c>
      <c r="AG92" s="891">
        <f t="shared" si="470"/>
        <v>6.4355555555555553</v>
      </c>
      <c r="AH92" s="891">
        <f t="shared" si="470"/>
        <v>5.9195402298850572</v>
      </c>
      <c r="AI92" s="891">
        <f t="shared" si="470"/>
        <v>5.5684062059238366</v>
      </c>
      <c r="AJ92" s="891">
        <f t="shared" si="470"/>
        <v>5.6514522821576767</v>
      </c>
      <c r="AK92" s="891">
        <f t="shared" si="470"/>
        <v>6.6746987951807233</v>
      </c>
      <c r="AL92" s="891">
        <f t="shared" si="470"/>
        <v>6.4441558441558442</v>
      </c>
      <c r="AM92" s="971">
        <f t="shared" si="470"/>
        <v>6.0076433121019113</v>
      </c>
      <c r="AN92" s="971">
        <f t="shared" si="470"/>
        <v>5.8949999999999996</v>
      </c>
      <c r="AO92" s="971">
        <f t="shared" si="470"/>
        <v>6.5291262135922334</v>
      </c>
      <c r="AP92" s="971">
        <f t="shared" si="470"/>
        <v>7.7910216718266252</v>
      </c>
      <c r="AQ92" s="971">
        <f t="shared" si="470"/>
        <v>5.9771949828962372</v>
      </c>
      <c r="AR92" s="971">
        <f t="shared" si="470"/>
        <v>5.898705683736635</v>
      </c>
      <c r="AS92" s="971">
        <f t="shared" si="470"/>
        <v>6.3836231071228271</v>
      </c>
      <c r="AT92" s="971">
        <f t="shared" si="470"/>
        <v>4.655075715086932</v>
      </c>
      <c r="AU92" s="971">
        <f t="shared" ref="AU92:BC92" si="471">AU105/AU83</f>
        <v>1.8600451467268624</v>
      </c>
      <c r="AV92" s="971">
        <f t="shared" si="471"/>
        <v>4.634703196347032</v>
      </c>
      <c r="AW92" s="971">
        <f t="shared" si="471"/>
        <v>4.6079447322970637</v>
      </c>
      <c r="AX92" s="971">
        <f t="shared" si="471"/>
        <v>4.0486956521739135</v>
      </c>
      <c r="AY92" s="971">
        <f t="shared" si="471"/>
        <v>4.9508386350491618</v>
      </c>
      <c r="AZ92" s="971">
        <f t="shared" si="471"/>
        <v>5.5677233429394812</v>
      </c>
      <c r="BA92" s="971">
        <f t="shared" si="471"/>
        <v>6.6536920435031481</v>
      </c>
      <c r="BB92" s="971">
        <f t="shared" si="471"/>
        <v>5.87202718006795</v>
      </c>
      <c r="BC92" s="971">
        <f t="shared" si="471"/>
        <v>6.0671516508114154</v>
      </c>
      <c r="BD92" s="971">
        <f t="shared" ref="BD92:BG92" si="472">BD105/BD83</f>
        <v>5.9988962472406184</v>
      </c>
      <c r="BE92" s="971">
        <f t="shared" si="472"/>
        <v>6.4475828354155347</v>
      </c>
      <c r="BF92" s="971">
        <f t="shared" si="472"/>
        <v>5.9967741935483874</v>
      </c>
      <c r="BG92" s="971">
        <f t="shared" si="472"/>
        <v>6.0255591054313102</v>
      </c>
      <c r="BH92" s="971">
        <f t="shared" ref="BH92" si="473">BH105/BH83</f>
        <v>5.9212184873949578</v>
      </c>
      <c r="BI92" s="971">
        <f t="shared" ref="BI92" si="474">BI105/BI83</f>
        <v>6.3019648397104451</v>
      </c>
      <c r="BJ92" s="971">
        <f t="shared" ref="BJ92" si="475">BJ105/BJ83</f>
        <v>5.5662404092071611</v>
      </c>
      <c r="BK92" s="1340">
        <f t="shared" ref="BK92" si="476">BK105/BK83</f>
        <v>5.5924796747967482</v>
      </c>
      <c r="BL92" s="874">
        <f t="shared" si="470"/>
        <v>6.16898628614448</v>
      </c>
      <c r="BM92" s="874">
        <f t="shared" si="470"/>
        <v>6.9643508586395031</v>
      </c>
      <c r="BN92" s="874">
        <f>BN105/BN83</f>
        <v>6.3094702246536221</v>
      </c>
      <c r="BO92" s="874">
        <f t="shared" si="470"/>
        <v>6.5201394328863973</v>
      </c>
      <c r="BP92" s="874">
        <f t="shared" si="470"/>
        <v>6.9688133954482012</v>
      </c>
      <c r="BQ92" s="874">
        <f t="shared" si="470"/>
        <v>7.6890192661582812</v>
      </c>
      <c r="BR92" s="874">
        <f t="shared" ref="BR92:CK92" si="477">BR105/BR83</f>
        <v>6.873607976345502</v>
      </c>
      <c r="BS92" s="874">
        <f t="shared" si="477"/>
        <v>6.9276185468752685</v>
      </c>
      <c r="BT92" s="874">
        <f t="shared" si="477"/>
        <v>7.4057066709721324</v>
      </c>
      <c r="BU92" s="874">
        <f t="shared" si="477"/>
        <v>8.1687939784101182</v>
      </c>
      <c r="BV92" s="874">
        <f t="shared" si="477"/>
        <v>7.3026480384119843</v>
      </c>
      <c r="BW92" s="874">
        <f t="shared" si="477"/>
        <v>7.3596846693579696</v>
      </c>
      <c r="BX92" s="874">
        <f t="shared" si="477"/>
        <v>7.8675140886998589</v>
      </c>
      <c r="BY92" s="874">
        <f t="shared" si="477"/>
        <v>8.6749977901602158</v>
      </c>
      <c r="BZ92" s="874">
        <f t="shared" si="477"/>
        <v>7.748776556024727</v>
      </c>
      <c r="CA92" s="874">
        <f t="shared" si="477"/>
        <v>7.8089446912971985</v>
      </c>
      <c r="CB92" s="874">
        <f t="shared" si="477"/>
        <v>8.3476885966933239</v>
      </c>
      <c r="CC92" s="874">
        <f t="shared" si="477"/>
        <v>9.1996165525563534</v>
      </c>
      <c r="CD92" s="874">
        <f t="shared" si="477"/>
        <v>8.2159208480646182</v>
      </c>
      <c r="CE92" s="874">
        <f t="shared" si="477"/>
        <v>8.2793633972380789</v>
      </c>
      <c r="CF92" s="874">
        <f t="shared" si="477"/>
        <v>8.8504764346555262</v>
      </c>
      <c r="CG92" s="874">
        <f t="shared" si="477"/>
        <v>9.748883867247315</v>
      </c>
      <c r="CH92" s="874">
        <f t="shared" si="477"/>
        <v>8.7058463122008529</v>
      </c>
      <c r="CI92" s="874">
        <f t="shared" si="477"/>
        <v>8.7744262279603404</v>
      </c>
      <c r="CJ92" s="874">
        <f t="shared" si="477"/>
        <v>9.3814216599658273</v>
      </c>
      <c r="CK92" s="874">
        <f t="shared" si="477"/>
        <v>10.330011748602555</v>
      </c>
      <c r="CL92" s="874">
        <f t="shared" ref="CL92:CW92" si="478">CL105/CL83</f>
        <v>9.2234952782435577</v>
      </c>
      <c r="CM92" s="874">
        <f t="shared" si="478"/>
        <v>9.2958861001376452</v>
      </c>
      <c r="CN92" s="874">
        <f t="shared" si="478"/>
        <v>9.9389627321706513</v>
      </c>
      <c r="CO92" s="874">
        <f t="shared" si="478"/>
        <v>10.939241813529764</v>
      </c>
      <c r="CP92" s="874">
        <f t="shared" si="478"/>
        <v>9.7661515475407583</v>
      </c>
      <c r="CQ92" s="874">
        <f t="shared" si="478"/>
        <v>9.8425289033249523</v>
      </c>
      <c r="CR92" s="874">
        <f t="shared" si="478"/>
        <v>10.523424858771547</v>
      </c>
      <c r="CS92" s="874">
        <f t="shared" si="478"/>
        <v>11.577809249170336</v>
      </c>
      <c r="CT92" s="874">
        <f t="shared" si="478"/>
        <v>10.334913948790623</v>
      </c>
      <c r="CU92" s="874">
        <f t="shared" si="478"/>
        <v>10.4154610919618</v>
      </c>
      <c r="CV92" s="874">
        <f t="shared" si="478"/>
        <v>11.135990841398799</v>
      </c>
      <c r="CW92" s="874">
        <f t="shared" si="478"/>
        <v>12.249135664479535</v>
      </c>
    </row>
    <row r="93" spans="1:101" s="9" customFormat="1" ht="11.25">
      <c r="A93" s="665" t="s">
        <v>950</v>
      </c>
      <c r="B93" s="663"/>
      <c r="C93" s="663"/>
      <c r="D93" s="663"/>
      <c r="E93" s="663"/>
      <c r="F93" s="657"/>
      <c r="G93" s="657" t="str">
        <f t="shared" ref="G93:AL93" si="479">IF(ISERROR(G92/C92-1),"NM",G92/C92-1)</f>
        <v>NM</v>
      </c>
      <c r="H93" s="657" t="str">
        <f t="shared" si="479"/>
        <v>NM</v>
      </c>
      <c r="I93" s="657" t="str">
        <f t="shared" si="479"/>
        <v>NM</v>
      </c>
      <c r="J93" s="657" t="str">
        <f t="shared" si="479"/>
        <v>NM</v>
      </c>
      <c r="K93" s="657" t="str">
        <f t="shared" si="479"/>
        <v>NM</v>
      </c>
      <c r="L93" s="657" t="str">
        <f t="shared" si="479"/>
        <v>NM</v>
      </c>
      <c r="M93" s="657" t="str">
        <f t="shared" si="479"/>
        <v>NM</v>
      </c>
      <c r="N93" s="657" t="str">
        <f t="shared" si="479"/>
        <v>NM</v>
      </c>
      <c r="O93" s="657" t="str">
        <f t="shared" si="479"/>
        <v>NM</v>
      </c>
      <c r="P93" s="657" t="str">
        <f t="shared" si="479"/>
        <v>NM</v>
      </c>
      <c r="Q93" s="657" t="str">
        <f t="shared" si="479"/>
        <v>NM</v>
      </c>
      <c r="R93" s="657" t="str">
        <f t="shared" si="479"/>
        <v>NM</v>
      </c>
      <c r="S93" s="657" t="str">
        <f t="shared" si="479"/>
        <v>NM</v>
      </c>
      <c r="T93" s="657" t="str">
        <f t="shared" si="479"/>
        <v>NM</v>
      </c>
      <c r="U93" s="657" t="str">
        <f t="shared" si="479"/>
        <v>NM</v>
      </c>
      <c r="V93" s="657" t="str">
        <f t="shared" si="479"/>
        <v>NM</v>
      </c>
      <c r="W93" s="657" t="str">
        <f t="shared" si="479"/>
        <v>NM</v>
      </c>
      <c r="X93" s="657" t="str">
        <f t="shared" si="479"/>
        <v>NM</v>
      </c>
      <c r="Y93" s="657" t="str">
        <f t="shared" si="479"/>
        <v>NM</v>
      </c>
      <c r="Z93" s="657" t="str">
        <f t="shared" si="479"/>
        <v>NM</v>
      </c>
      <c r="AA93" s="657" t="str">
        <f t="shared" si="479"/>
        <v>NM</v>
      </c>
      <c r="AB93" s="657" t="str">
        <f t="shared" si="479"/>
        <v>NM</v>
      </c>
      <c r="AC93" s="657" t="str">
        <f t="shared" si="479"/>
        <v>NM</v>
      </c>
      <c r="AD93" s="657">
        <f t="shared" si="479"/>
        <v>0.28355469120576826</v>
      </c>
      <c r="AE93" s="2138">
        <f t="shared" si="479"/>
        <v>0.27259041839184772</v>
      </c>
      <c r="AF93" s="657">
        <f t="shared" si="479"/>
        <v>0.21593274899840798</v>
      </c>
      <c r="AG93" s="657">
        <f t="shared" si="479"/>
        <v>0.20739931188018623</v>
      </c>
      <c r="AH93" s="657">
        <f t="shared" si="479"/>
        <v>4.5302571183818419E-2</v>
      </c>
      <c r="AI93" s="657">
        <f t="shared" si="479"/>
        <v>8.4760261147696081E-3</v>
      </c>
      <c r="AJ93" s="657">
        <f t="shared" si="479"/>
        <v>1.3374494917465451E-2</v>
      </c>
      <c r="AK93" s="657">
        <f t="shared" si="479"/>
        <v>3.7159688477667707E-2</v>
      </c>
      <c r="AL93" s="657">
        <f t="shared" si="479"/>
        <v>8.8624385323414545E-2</v>
      </c>
      <c r="AM93" s="715">
        <f t="shared" ref="AM93:BQ93" si="480">IF(ISERROR(AM92/AI92-1),"NM",AM92/AI92-1)</f>
        <v>7.8880219929142514E-2</v>
      </c>
      <c r="AN93" s="715">
        <f t="shared" si="480"/>
        <v>4.3094713656387507E-2</v>
      </c>
      <c r="AO93" s="715">
        <f t="shared" si="480"/>
        <v>-2.1809610598997553E-2</v>
      </c>
      <c r="AP93" s="715">
        <f t="shared" si="480"/>
        <v>0.20900578139993975</v>
      </c>
      <c r="AQ93" s="715">
        <f t="shared" si="480"/>
        <v>-5.0682651455585814E-3</v>
      </c>
      <c r="AR93" s="715">
        <f t="shared" si="480"/>
        <v>6.2861471359387799E-4</v>
      </c>
      <c r="AS93" s="715">
        <f t="shared" si="480"/>
        <v>-2.2285234150704603E-2</v>
      </c>
      <c r="AT93" s="715">
        <f t="shared" si="480"/>
        <v>-0.40250766700851215</v>
      </c>
      <c r="AU93" s="715">
        <f t="shared" si="480"/>
        <v>-0.68880969216339971</v>
      </c>
      <c r="AV93" s="715">
        <f t="shared" si="480"/>
        <v>-0.21428471857387177</v>
      </c>
      <c r="AW93" s="715">
        <f t="shared" si="480"/>
        <v>-0.27816153069006644</v>
      </c>
      <c r="AX93" s="715">
        <f t="shared" si="480"/>
        <v>-0.13026212676794124</v>
      </c>
      <c r="AY93" s="715">
        <f t="shared" si="480"/>
        <v>1.6616765962703623</v>
      </c>
      <c r="AZ93" s="715">
        <f t="shared" si="480"/>
        <v>0.20131173606280428</v>
      </c>
      <c r="BA93" s="715">
        <f t="shared" ref="BA93:BK93" si="481">IF(ISERROR(BA92/AW92-1),"NM",BA92/AW92-1)</f>
        <v>0.44396090449337433</v>
      </c>
      <c r="BB93" s="715">
        <f t="shared" si="481"/>
        <v>0.45035035590166284</v>
      </c>
      <c r="BC93" s="715">
        <f t="shared" si="481"/>
        <v>0.22547957993609069</v>
      </c>
      <c r="BD93" s="715">
        <f t="shared" si="481"/>
        <v>7.7441510244562473E-2</v>
      </c>
      <c r="BE93" s="715">
        <f t="shared" si="481"/>
        <v>-3.0976667801880686E-2</v>
      </c>
      <c r="BF93" s="715">
        <f t="shared" si="481"/>
        <v>2.1244284070053299E-2</v>
      </c>
      <c r="BG93" s="715">
        <f t="shared" si="481"/>
        <v>-6.8553660389455429E-3</v>
      </c>
      <c r="BH93" s="715">
        <f t="shared" si="481"/>
        <v>-1.2948675330297754E-2</v>
      </c>
      <c r="BI93" s="715">
        <f t="shared" si="481"/>
        <v>-2.2584897227722833E-2</v>
      </c>
      <c r="BJ93" s="715">
        <f t="shared" si="481"/>
        <v>-7.1794229771802165E-2</v>
      </c>
      <c r="BK93" s="1361">
        <f t="shared" si="481"/>
        <v>-7.1873733716128263E-2</v>
      </c>
      <c r="BL93" s="461">
        <f t="shared" si="480"/>
        <v>4.1844056130839968E-2</v>
      </c>
      <c r="BM93" s="461">
        <f t="shared" si="480"/>
        <v>0.1051078569583852</v>
      </c>
      <c r="BN93" s="461">
        <f t="shared" si="480"/>
        <v>0.13352456250669276</v>
      </c>
      <c r="BO93" s="461">
        <f t="shared" si="480"/>
        <v>0.16587628601857429</v>
      </c>
      <c r="BP93" s="461">
        <f t="shared" si="480"/>
        <v>0.12965292386856664</v>
      </c>
      <c r="BQ93" s="461">
        <f t="shared" si="480"/>
        <v>0.10405397749595036</v>
      </c>
      <c r="BR93" s="461">
        <f t="shared" ref="BR93:CK93" si="482">IF(ISERROR(BR92/BN92-1),"NM",BR92/BN92-1)</f>
        <v>8.9411270931681219E-2</v>
      </c>
      <c r="BS93" s="461">
        <f t="shared" si="482"/>
        <v>6.2495460132895309E-2</v>
      </c>
      <c r="BT93" s="461">
        <f t="shared" si="482"/>
        <v>6.2692635134884656E-2</v>
      </c>
      <c r="BU93" s="461">
        <f t="shared" si="482"/>
        <v>6.2397387188698028E-2</v>
      </c>
      <c r="BV93" s="461">
        <f t="shared" si="482"/>
        <v>6.2418465461364647E-2</v>
      </c>
      <c r="BW93" s="461">
        <f t="shared" si="482"/>
        <v>6.2368636430997881E-2</v>
      </c>
      <c r="BX93" s="461">
        <f t="shared" si="482"/>
        <v>6.2358318827000714E-2</v>
      </c>
      <c r="BY93" s="461">
        <f t="shared" si="482"/>
        <v>6.1967998346877051E-2</v>
      </c>
      <c r="BZ93" s="461">
        <f t="shared" si="482"/>
        <v>6.1091334987815937E-2</v>
      </c>
      <c r="CA93" s="461">
        <f t="shared" si="482"/>
        <v>6.104337918304048E-2</v>
      </c>
      <c r="CB93" s="461">
        <f t="shared" si="482"/>
        <v>6.1032557753298633E-2</v>
      </c>
      <c r="CC93" s="461">
        <f t="shared" si="482"/>
        <v>6.0474800695764719E-2</v>
      </c>
      <c r="CD93" s="461">
        <f t="shared" si="482"/>
        <v>6.0286199848759825E-2</v>
      </c>
      <c r="CE93" s="461">
        <f t="shared" si="482"/>
        <v>6.0241008809442054E-2</v>
      </c>
      <c r="CF93" s="461">
        <f t="shared" si="482"/>
        <v>6.0230785101562878E-2</v>
      </c>
      <c r="CG93" s="461">
        <f t="shared" si="482"/>
        <v>5.9705457456086464E-2</v>
      </c>
      <c r="CH93" s="461">
        <f t="shared" si="482"/>
        <v>5.9631229803247754E-2</v>
      </c>
      <c r="CI93" s="461">
        <f t="shared" si="482"/>
        <v>5.9794794233504645E-2</v>
      </c>
      <c r="CJ93" s="461">
        <f t="shared" si="482"/>
        <v>5.9990581211119443E-2</v>
      </c>
      <c r="CK93" s="461">
        <f t="shared" si="482"/>
        <v>5.960968345387907E-2</v>
      </c>
      <c r="CL93" s="461">
        <f t="shared" ref="CL93" si="483">IF(ISERROR(CL92/CH92-1),"NM",CL92/CH92-1)</f>
        <v>5.9459924685006493E-2</v>
      </c>
      <c r="CM93" s="461">
        <f t="shared" ref="CM93" si="484">IF(ISERROR(CM92/CI92-1),"NM",CM92/CI92-1)</f>
        <v>5.9429512384027605E-2</v>
      </c>
      <c r="CN93" s="461">
        <f t="shared" ref="CN93" si="485">IF(ISERROR(CN92/CJ92-1),"NM",CN92/CJ92-1)</f>
        <v>5.9430339282591671E-2</v>
      </c>
      <c r="CO93" s="461">
        <f t="shared" ref="CO93" si="486">IF(ISERROR(CO92/CK92-1),"NM",CO92/CK92-1)</f>
        <v>5.8976705908357241E-2</v>
      </c>
      <c r="CP93" s="461">
        <f t="shared" ref="CP93" si="487">IF(ISERROR(CP92/CL92-1),"NM",CP92/CL92-1)</f>
        <v>5.8834124475265037E-2</v>
      </c>
      <c r="CQ93" s="461">
        <f t="shared" ref="CQ93" si="488">IF(ISERROR(CQ92/CM92-1),"NM",CQ92/CM92-1)</f>
        <v>5.8804808632413552E-2</v>
      </c>
      <c r="CR93" s="461">
        <f t="shared" ref="CR93" si="489">IF(ISERROR(CR92/CN92-1),"NM",CR92/CN92-1)</f>
        <v>5.8805143187537601E-2</v>
      </c>
      <c r="CS93" s="461">
        <f t="shared" ref="CS93" si="490">IF(ISERROR(CS92/CO92-1),"NM",CS92/CO92-1)</f>
        <v>5.8374012251085405E-2</v>
      </c>
      <c r="CT93" s="461">
        <f t="shared" ref="CT93" si="491">IF(ISERROR(CT92/CP92-1),"NM",CT92/CP92-1)</f>
        <v>5.8238129777239189E-2</v>
      </c>
      <c r="CU93" s="461">
        <f t="shared" ref="CU93" si="492">IF(ISERROR(CU92/CQ92-1),"NM",CU92/CQ92-1)</f>
        <v>5.8209855847444203E-2</v>
      </c>
      <c r="CV93" s="461">
        <f t="shared" ref="CV93" si="493">IF(ISERROR(CV92/CR92-1),"NM",CV92/CR92-1)</f>
        <v>5.8209754984534623E-2</v>
      </c>
      <c r="CW93" s="461">
        <f t="shared" ref="CW93" si="494">IF(ISERROR(CW92/CS92-1),"NM",CW92/CS92-1)</f>
        <v>5.7983889772351027E-2</v>
      </c>
    </row>
    <row r="94" spans="1:101" s="9" customFormat="1" ht="11.25">
      <c r="A94" s="655" t="s">
        <v>1421</v>
      </c>
      <c r="B94" s="347"/>
      <c r="C94" s="676"/>
      <c r="D94" s="676"/>
      <c r="E94" s="676"/>
      <c r="F94" s="676"/>
      <c r="G94" s="676"/>
      <c r="H94" s="676"/>
      <c r="I94" s="676"/>
      <c r="J94" s="676"/>
      <c r="K94" s="676"/>
      <c r="L94" s="676"/>
      <c r="M94" s="676"/>
      <c r="N94" s="676"/>
      <c r="O94" s="676"/>
      <c r="P94" s="676"/>
      <c r="Q94" s="676"/>
      <c r="R94" s="676"/>
      <c r="S94" s="676"/>
      <c r="T94" s="676"/>
      <c r="U94" s="676"/>
      <c r="V94" s="676"/>
      <c r="W94" s="676"/>
      <c r="X94" s="676"/>
      <c r="Y94" s="676"/>
      <c r="Z94" s="1764">
        <f t="shared" ref="Z94:AS94" si="495">+Z92/Z101</f>
        <v>0.25865373595654817</v>
      </c>
      <c r="AA94" s="1764">
        <f t="shared" si="495"/>
        <v>0.25816835137159533</v>
      </c>
      <c r="AB94" s="1764">
        <f t="shared" si="495"/>
        <v>0.25250207297737243</v>
      </c>
      <c r="AC94" s="1764">
        <f t="shared" si="495"/>
        <v>0.28292284893819569</v>
      </c>
      <c r="AD94" s="1764">
        <f t="shared" si="495"/>
        <v>0.29405837511788974</v>
      </c>
      <c r="AE94" s="2147">
        <f t="shared" si="495"/>
        <v>0.26799446777478425</v>
      </c>
      <c r="AF94" s="1764">
        <f t="shared" si="495"/>
        <v>0.2536023872385218</v>
      </c>
      <c r="AG94" s="1764">
        <f t="shared" si="495"/>
        <v>0.28952525760712244</v>
      </c>
      <c r="AH94" s="1764">
        <f t="shared" si="495"/>
        <v>0.28515790664761248</v>
      </c>
      <c r="AI94" s="1764">
        <f t="shared" si="495"/>
        <v>0.27333481358881678</v>
      </c>
      <c r="AJ94" s="1764">
        <f t="shared" si="495"/>
        <v>0.2658742864889454</v>
      </c>
      <c r="AK94" s="1764">
        <f t="shared" si="495"/>
        <v>0.29217569696895063</v>
      </c>
      <c r="AL94" s="1764">
        <f t="shared" si="495"/>
        <v>0.2738105896746329</v>
      </c>
      <c r="AM94" s="1764">
        <f t="shared" si="495"/>
        <v>0.25450732791417918</v>
      </c>
      <c r="AN94" s="1764">
        <f t="shared" si="495"/>
        <v>0.25327653422663404</v>
      </c>
      <c r="AO94" s="1764">
        <f t="shared" si="495"/>
        <v>0.28928111945917284</v>
      </c>
      <c r="AP94" s="1764">
        <f t="shared" si="495"/>
        <v>0.34440417367658832</v>
      </c>
      <c r="AQ94" s="1764">
        <f t="shared" si="495"/>
        <v>0.26677409807521257</v>
      </c>
      <c r="AR94" s="1764">
        <f t="shared" si="495"/>
        <v>0.26802632862963038</v>
      </c>
      <c r="AS94" s="1764">
        <f t="shared" si="495"/>
        <v>0.29755713876012879</v>
      </c>
      <c r="AT94" s="1764">
        <f>+AT92/AT101</f>
        <v>0.19196496055563331</v>
      </c>
      <c r="AU94" s="1764">
        <f t="shared" ref="AU94:BQ94" si="496">+AU92/AU101</f>
        <v>6.8401705401662349E-2</v>
      </c>
      <c r="AV94" s="1764">
        <f t="shared" si="496"/>
        <v>0.17365320026988346</v>
      </c>
      <c r="AW94" s="1764">
        <f t="shared" si="496"/>
        <v>0.18522909979224136</v>
      </c>
      <c r="AX94" s="1764">
        <f t="shared" ref="AX94:BC94" si="497">+AX92/AX101</f>
        <v>0.17268448387167812</v>
      </c>
      <c r="AY94" s="1764">
        <f t="shared" si="497"/>
        <v>0.21199897808319712</v>
      </c>
      <c r="AZ94" s="1764">
        <f t="shared" si="497"/>
        <v>0.23640255151402936</v>
      </c>
      <c r="BA94" s="1764">
        <f t="shared" si="497"/>
        <v>0.27617053171993888</v>
      </c>
      <c r="BB94" s="1764">
        <f t="shared" si="497"/>
        <v>0.24791219413121815</v>
      </c>
      <c r="BC94" s="1764">
        <f t="shared" si="497"/>
        <v>0.27406917595746677</v>
      </c>
      <c r="BD94" s="1764">
        <f t="shared" ref="BD94:BG94" si="498">+BD92/BD101</f>
        <v>0.28792628721962366</v>
      </c>
      <c r="BE94" s="1764">
        <f t="shared" si="498"/>
        <v>0.31884267190864507</v>
      </c>
      <c r="BF94" s="1764">
        <f t="shared" si="498"/>
        <v>0.29903743561890234</v>
      </c>
      <c r="BG94" s="1764">
        <f t="shared" si="498"/>
        <v>0.30718432093086134</v>
      </c>
      <c r="BH94" s="1764">
        <f t="shared" ref="BH94" si="499">+BH92/BH101</f>
        <v>0.3134376331586709</v>
      </c>
      <c r="BI94" s="1764">
        <f t="shared" ref="BI94" si="500">+BI92/BI101</f>
        <v>0.33665225013907968</v>
      </c>
      <c r="BJ94" s="1764">
        <f t="shared" ref="BJ94" si="501">+BJ92/BJ101</f>
        <v>0.29840888957683837</v>
      </c>
      <c r="BK94" s="1766">
        <f t="shared" ref="BK94" si="502">+BK92/BK101</f>
        <v>0.302497842164207</v>
      </c>
      <c r="BL94" s="1767">
        <f t="shared" si="496"/>
        <v>0.32126263251142118</v>
      </c>
      <c r="BM94" s="1767">
        <f t="shared" si="496"/>
        <v>0.34819142857483198</v>
      </c>
      <c r="BN94" s="1767">
        <f t="shared" si="496"/>
        <v>0.30962242152196967</v>
      </c>
      <c r="BO94" s="1767">
        <f t="shared" si="496"/>
        <v>0.31403440977177105</v>
      </c>
      <c r="BP94" s="1767">
        <f t="shared" si="496"/>
        <v>0.33326064728842236</v>
      </c>
      <c r="BQ94" s="1767">
        <f t="shared" si="496"/>
        <v>0.36091226536106535</v>
      </c>
      <c r="BR94" s="1767">
        <f t="shared" ref="BR94:CK94" si="503">+BR92/BR101</f>
        <v>0.32086449654616228</v>
      </c>
      <c r="BS94" s="1767">
        <f t="shared" si="503"/>
        <v>0.32529921284113245</v>
      </c>
      <c r="BT94" s="1767">
        <f t="shared" si="503"/>
        <v>0.34527918337839675</v>
      </c>
      <c r="BU94" s="1767">
        <f t="shared" si="503"/>
        <v>0.37382412637235229</v>
      </c>
      <c r="BV94" s="1767">
        <f t="shared" si="503"/>
        <v>0.33235021748680149</v>
      </c>
      <c r="BW94" s="1767">
        <f t="shared" si="503"/>
        <v>0.33692787648487832</v>
      </c>
      <c r="BX94" s="1767">
        <f t="shared" si="503"/>
        <v>0.35761860967833475</v>
      </c>
      <c r="BY94" s="1767">
        <f t="shared" si="503"/>
        <v>0.38704142358156846</v>
      </c>
      <c r="BZ94" s="1767">
        <f t="shared" si="503"/>
        <v>0.34381706364886572</v>
      </c>
      <c r="CA94" s="1767">
        <f t="shared" si="503"/>
        <v>0.34853690963477535</v>
      </c>
      <c r="CB94" s="1767">
        <f t="shared" si="503"/>
        <v>0.36993678031779037</v>
      </c>
      <c r="CC94" s="1767">
        <f t="shared" si="503"/>
        <v>0.4001625972060272</v>
      </c>
      <c r="CD94" s="1767">
        <f t="shared" si="503"/>
        <v>0.35540965974258187</v>
      </c>
      <c r="CE94" s="1767">
        <f t="shared" si="503"/>
        <v>0.36027329031031086</v>
      </c>
      <c r="CF94" s="1767">
        <f t="shared" si="503"/>
        <v>0.3823900774617186</v>
      </c>
      <c r="CG94" s="1767">
        <f t="shared" si="503"/>
        <v>0.41342844661630057</v>
      </c>
      <c r="CH94" s="1767">
        <f t="shared" si="503"/>
        <v>0.36716617774894805</v>
      </c>
      <c r="CI94" s="1767">
        <f t="shared" si="503"/>
        <v>0.37224814255164312</v>
      </c>
      <c r="CJ94" s="1767">
        <f t="shared" si="503"/>
        <v>0.39517304388000746</v>
      </c>
      <c r="CK94" s="1767">
        <f t="shared" si="503"/>
        <v>0.42709547066114706</v>
      </c>
      <c r="CL94" s="1767">
        <f t="shared" ref="CL94:CW94" si="504">+CL92/CL101</f>
        <v>0.37925026568123643</v>
      </c>
      <c r="CM94" s="1767">
        <f t="shared" si="504"/>
        <v>0.38448844968811446</v>
      </c>
      <c r="CN94" s="1767">
        <f t="shared" si="504"/>
        <v>0.40816748889383325</v>
      </c>
      <c r="CO94" s="1767">
        <f t="shared" si="504"/>
        <v>0.44095072853135059</v>
      </c>
      <c r="CP94" s="1767">
        <f t="shared" si="504"/>
        <v>0.39150067459696442</v>
      </c>
      <c r="CQ94" s="1767">
        <f t="shared" si="504"/>
        <v>0.39689707142744146</v>
      </c>
      <c r="CR94" s="1767">
        <f t="shared" si="504"/>
        <v>0.42134043899954898</v>
      </c>
      <c r="CS94" s="1767">
        <f t="shared" si="504"/>
        <v>0.45499636129090282</v>
      </c>
      <c r="CT94" s="1767">
        <f t="shared" si="504"/>
        <v>0.40391930648139918</v>
      </c>
      <c r="CU94" s="1767">
        <f t="shared" si="504"/>
        <v>0.409475939555491</v>
      </c>
      <c r="CV94" s="1767">
        <f t="shared" si="504"/>
        <v>0.4346939499126119</v>
      </c>
      <c r="CW94" s="1767">
        <f t="shared" si="504"/>
        <v>0.46931633415086932</v>
      </c>
    </row>
    <row r="95" spans="1:101" s="9" customFormat="1" ht="11.25">
      <c r="A95" s="665" t="s">
        <v>950</v>
      </c>
      <c r="B95" s="663"/>
      <c r="C95" s="663"/>
      <c r="D95" s="663"/>
      <c r="E95" s="663"/>
      <c r="F95" s="657"/>
      <c r="G95" s="657" t="str">
        <f t="shared" ref="G95:AL95" si="505">IF(ISERROR(G94/C94-1),"NM",G94/C94-1)</f>
        <v>NM</v>
      </c>
      <c r="H95" s="657" t="str">
        <f t="shared" si="505"/>
        <v>NM</v>
      </c>
      <c r="I95" s="657" t="str">
        <f t="shared" si="505"/>
        <v>NM</v>
      </c>
      <c r="J95" s="657" t="str">
        <f t="shared" si="505"/>
        <v>NM</v>
      </c>
      <c r="K95" s="657" t="str">
        <f t="shared" si="505"/>
        <v>NM</v>
      </c>
      <c r="L95" s="657" t="str">
        <f t="shared" si="505"/>
        <v>NM</v>
      </c>
      <c r="M95" s="657" t="str">
        <f t="shared" si="505"/>
        <v>NM</v>
      </c>
      <c r="N95" s="657" t="str">
        <f t="shared" si="505"/>
        <v>NM</v>
      </c>
      <c r="O95" s="657" t="str">
        <f t="shared" si="505"/>
        <v>NM</v>
      </c>
      <c r="P95" s="657" t="str">
        <f t="shared" si="505"/>
        <v>NM</v>
      </c>
      <c r="Q95" s="657" t="str">
        <f t="shared" si="505"/>
        <v>NM</v>
      </c>
      <c r="R95" s="657" t="str">
        <f t="shared" si="505"/>
        <v>NM</v>
      </c>
      <c r="S95" s="657" t="str">
        <f t="shared" si="505"/>
        <v>NM</v>
      </c>
      <c r="T95" s="657" t="str">
        <f t="shared" si="505"/>
        <v>NM</v>
      </c>
      <c r="U95" s="657" t="str">
        <f t="shared" si="505"/>
        <v>NM</v>
      </c>
      <c r="V95" s="657" t="str">
        <f t="shared" si="505"/>
        <v>NM</v>
      </c>
      <c r="W95" s="657" t="str">
        <f t="shared" si="505"/>
        <v>NM</v>
      </c>
      <c r="X95" s="657" t="str">
        <f t="shared" si="505"/>
        <v>NM</v>
      </c>
      <c r="Y95" s="657" t="str">
        <f t="shared" si="505"/>
        <v>NM</v>
      </c>
      <c r="Z95" s="657" t="str">
        <f t="shared" si="505"/>
        <v>NM</v>
      </c>
      <c r="AA95" s="657" t="str">
        <f t="shared" si="505"/>
        <v>NM</v>
      </c>
      <c r="AB95" s="657" t="str">
        <f t="shared" si="505"/>
        <v>NM</v>
      </c>
      <c r="AC95" s="657" t="str">
        <f t="shared" si="505"/>
        <v>NM</v>
      </c>
      <c r="AD95" s="657">
        <f t="shared" si="505"/>
        <v>0.13688044763942342</v>
      </c>
      <c r="AE95" s="2138">
        <f t="shared" si="505"/>
        <v>3.8060886824371698E-2</v>
      </c>
      <c r="AF95" s="657">
        <f t="shared" si="505"/>
        <v>4.3576444667365877E-3</v>
      </c>
      <c r="AG95" s="657">
        <f t="shared" si="505"/>
        <v>2.3336427912080904E-2</v>
      </c>
      <c r="AH95" s="657">
        <f t="shared" si="505"/>
        <v>-3.0267692483538333E-2</v>
      </c>
      <c r="AI95" s="657">
        <f t="shared" si="505"/>
        <v>1.9927074832456704E-2</v>
      </c>
      <c r="AJ95" s="657">
        <f t="shared" si="505"/>
        <v>4.8390314397480205E-2</v>
      </c>
      <c r="AK95" s="657">
        <f t="shared" si="505"/>
        <v>9.1544322721051063E-3</v>
      </c>
      <c r="AL95" s="657">
        <f t="shared" si="505"/>
        <v>-3.9793099572028257E-2</v>
      </c>
      <c r="AM95" s="715">
        <f t="shared" ref="AM95:BR95" si="506">IF(ISERROR(AM94/AI94-1),"NM",AM94/AI94-1)</f>
        <v>-6.8880672123091458E-2</v>
      </c>
      <c r="AN95" s="715">
        <f t="shared" si="506"/>
        <v>-4.7382364156659973E-2</v>
      </c>
      <c r="AO95" s="715">
        <f t="shared" si="506"/>
        <v>-9.906975630780801E-3</v>
      </c>
      <c r="AP95" s="715">
        <f t="shared" si="506"/>
        <v>0.25781904230161889</v>
      </c>
      <c r="AQ95" s="715">
        <f t="shared" si="506"/>
        <v>4.8198102041171031E-2</v>
      </c>
      <c r="AR95" s="715">
        <f t="shared" si="506"/>
        <v>5.8235929546469833E-2</v>
      </c>
      <c r="AS95" s="715">
        <f t="shared" si="506"/>
        <v>2.8608916186539934E-2</v>
      </c>
      <c r="AT95" s="715">
        <f t="shared" si="506"/>
        <v>-0.4426172060972251</v>
      </c>
      <c r="AU95" s="715">
        <f t="shared" si="506"/>
        <v>-0.74359690129145295</v>
      </c>
      <c r="AV95" s="715">
        <f t="shared" si="506"/>
        <v>-0.35210394755716534</v>
      </c>
      <c r="AW95" s="715">
        <f t="shared" si="506"/>
        <v>-0.37750073628191116</v>
      </c>
      <c r="AX95" s="715">
        <f t="shared" si="506"/>
        <v>-0.100437478944849</v>
      </c>
      <c r="AY95" s="715">
        <f t="shared" si="506"/>
        <v>2.0993229896581638</v>
      </c>
      <c r="AZ95" s="715">
        <f t="shared" si="506"/>
        <v>0.36134866012618194</v>
      </c>
      <c r="BA95" s="715">
        <f t="shared" si="506"/>
        <v>0.4909673049736798</v>
      </c>
      <c r="BB95" s="715">
        <f t="shared" si="506"/>
        <v>0.43563676696883635</v>
      </c>
      <c r="BC95" s="715">
        <f t="shared" si="506"/>
        <v>0.29278536356864304</v>
      </c>
      <c r="BD95" s="715">
        <f t="shared" si="506"/>
        <v>0.21794915230657574</v>
      </c>
      <c r="BE95" s="715">
        <f t="shared" si="506"/>
        <v>0.15451373440515903</v>
      </c>
      <c r="BF95" s="715">
        <f t="shared" si="506"/>
        <v>0.20622318182793364</v>
      </c>
      <c r="BG95" s="715">
        <f t="shared" si="506"/>
        <v>0.12082768832980251</v>
      </c>
      <c r="BH95" s="715">
        <f t="shared" si="506"/>
        <v>8.8603740163494482E-2</v>
      </c>
      <c r="BI95" s="715">
        <f t="shared" si="506"/>
        <v>5.5856947013470659E-2</v>
      </c>
      <c r="BJ95" s="715">
        <f t="shared" si="506"/>
        <v>-2.1018975124740269E-3</v>
      </c>
      <c r="BK95" s="1361">
        <f t="shared" si="506"/>
        <v>-1.5256243393064084E-2</v>
      </c>
      <c r="BL95" s="461">
        <f t="shared" si="506"/>
        <v>2.4965092014936907E-2</v>
      </c>
      <c r="BM95" s="461">
        <f t="shared" si="506"/>
        <v>3.4276255189101379E-2</v>
      </c>
      <c r="BN95" s="461">
        <f t="shared" si="506"/>
        <v>3.7577740934704673E-2</v>
      </c>
      <c r="BO95" s="461">
        <f t="shared" si="506"/>
        <v>3.8137685627858353E-2</v>
      </c>
      <c r="BP95" s="461">
        <f t="shared" si="506"/>
        <v>3.7346437346941208E-2</v>
      </c>
      <c r="BQ95" s="461">
        <f t="shared" si="506"/>
        <v>3.6534031978617376E-2</v>
      </c>
      <c r="BR95" s="461">
        <f t="shared" si="506"/>
        <v>3.6308982304742221E-2</v>
      </c>
      <c r="BS95" s="461">
        <f t="shared" ref="BS95:CK95" si="507">IF(ISERROR(BS94/BO94-1),"NM",BS94/BO94-1)</f>
        <v>3.5871238051741638E-2</v>
      </c>
      <c r="BT95" s="461">
        <f t="shared" si="507"/>
        <v>3.606347220340389E-2</v>
      </c>
      <c r="BU95" s="461">
        <f t="shared" si="507"/>
        <v>3.5775622638841709E-2</v>
      </c>
      <c r="BV95" s="461">
        <f t="shared" si="507"/>
        <v>3.5796172727968978E-2</v>
      </c>
      <c r="BW95" s="461">
        <f t="shared" si="507"/>
        <v>3.57475923233328E-2</v>
      </c>
      <c r="BX95" s="461">
        <f t="shared" si="507"/>
        <v>3.5737533259904142E-2</v>
      </c>
      <c r="BY95" s="461">
        <f t="shared" si="507"/>
        <v>3.5356993507826395E-2</v>
      </c>
      <c r="BZ95" s="461">
        <f t="shared" si="507"/>
        <v>3.4502297753181477E-2</v>
      </c>
      <c r="CA95" s="461">
        <f t="shared" si="507"/>
        <v>3.4455543634478891E-2</v>
      </c>
      <c r="CB95" s="461">
        <f t="shared" si="507"/>
        <v>3.4444993370270627E-2</v>
      </c>
      <c r="CC95" s="461">
        <f t="shared" si="507"/>
        <v>3.3901212699765315E-2</v>
      </c>
      <c r="CD95" s="461">
        <f t="shared" si="507"/>
        <v>3.3717337850210471E-2</v>
      </c>
      <c r="CE95" s="461">
        <f t="shared" si="507"/>
        <v>3.3673279216923646E-2</v>
      </c>
      <c r="CF95" s="461">
        <f t="shared" si="507"/>
        <v>3.3663311696745524E-2</v>
      </c>
      <c r="CG95" s="461">
        <f t="shared" si="507"/>
        <v>3.3151147815654758E-2</v>
      </c>
      <c r="CH95" s="461">
        <f t="shared" si="507"/>
        <v>3.3078780174070843E-2</v>
      </c>
      <c r="CI95" s="461">
        <f t="shared" si="507"/>
        <v>3.3238245974376968E-2</v>
      </c>
      <c r="CJ95" s="461">
        <f t="shared" si="507"/>
        <v>3.3429126883054661E-2</v>
      </c>
      <c r="CK95" s="461">
        <f t="shared" si="507"/>
        <v>3.3057773737400264E-2</v>
      </c>
      <c r="CL95" s="461">
        <f t="shared" ref="CL95" si="508">IF(ISERROR(CL94/CH94-1),"NM",CL94/CH94-1)</f>
        <v>3.2911767653476254E-2</v>
      </c>
      <c r="CM95" s="461">
        <f t="shared" ref="CM95" si="509">IF(ISERROR(CM94/CI94-1),"NM",CM94/CI94-1)</f>
        <v>3.2882117429970048E-2</v>
      </c>
      <c r="CN95" s="461">
        <f t="shared" ref="CN95" si="510">IF(ISERROR(CN94/CJ94-1),"NM",CN94/CJ94-1)</f>
        <v>3.288292360794598E-2</v>
      </c>
      <c r="CO95" s="461">
        <f t="shared" ref="CO95" si="511">IF(ISERROR(CO94/CK94-1),"NM",CO94/CK94-1)</f>
        <v>3.2440657468821854E-2</v>
      </c>
      <c r="CP95" s="461">
        <f t="shared" ref="CP95" si="512">IF(ISERROR(CP94/CL94-1),"NM",CP94/CL94-1)</f>
        <v>3.2301648869573985E-2</v>
      </c>
      <c r="CQ95" s="461">
        <f t="shared" ref="CQ95" si="513">IF(ISERROR(CQ94/CM94-1),"NM",CQ94/CM94-1)</f>
        <v>3.2273067628930008E-2</v>
      </c>
      <c r="CR95" s="461">
        <f t="shared" ref="CR95" si="514">IF(ISERROR(CR94/CN94-1),"NM",CR94/CN94-1)</f>
        <v>3.2273393800705374E-2</v>
      </c>
      <c r="CS95" s="461">
        <f t="shared" ref="CS95" si="515">IF(ISERROR(CS94/CO94-1),"NM",CS94/CO94-1)</f>
        <v>3.1853066228812565E-2</v>
      </c>
      <c r="CT95" s="461">
        <f t="shared" ref="CT95" si="516">IF(ISERROR(CT94/CP94-1),"NM",CT94/CP94-1)</f>
        <v>3.1720588724960086E-2</v>
      </c>
      <c r="CU95" s="461">
        <f t="shared" ref="CU95" si="517">IF(ISERROR(CU94/CQ94-1),"NM",CU94/CQ94-1)</f>
        <v>3.1693023288908551E-2</v>
      </c>
      <c r="CV95" s="461">
        <f t="shared" ref="CV95" si="518">IF(ISERROR(CV94/CR94-1),"NM",CV94/CR94-1)</f>
        <v>3.169292495344167E-2</v>
      </c>
      <c r="CW95" s="461">
        <f t="shared" ref="CW95" si="519">IF(ISERROR(CW94/CS94-1),"NM",CW94/CS94-1)</f>
        <v>3.1472719516565606E-2</v>
      </c>
    </row>
    <row r="96" spans="1:101" s="9" customFormat="1" ht="11.25">
      <c r="A96" s="312"/>
      <c r="B96" s="347"/>
      <c r="C96" s="676"/>
      <c r="D96" s="676"/>
      <c r="E96" s="676"/>
      <c r="F96" s="676"/>
      <c r="G96" s="676"/>
      <c r="H96" s="676"/>
      <c r="I96" s="676"/>
      <c r="J96" s="676"/>
      <c r="K96" s="676"/>
      <c r="L96" s="676"/>
      <c r="M96" s="676"/>
      <c r="N96" s="676"/>
      <c r="O96" s="676"/>
      <c r="P96" s="676"/>
      <c r="Q96" s="676"/>
      <c r="R96" s="676"/>
      <c r="S96" s="676"/>
      <c r="T96" s="676"/>
      <c r="U96" s="676"/>
      <c r="V96" s="676"/>
      <c r="W96" s="676"/>
      <c r="X96" s="676"/>
      <c r="Y96" s="676"/>
      <c r="Z96" s="676"/>
      <c r="AA96" s="676"/>
      <c r="AB96" s="676"/>
      <c r="AC96" s="676"/>
      <c r="AD96" s="676"/>
      <c r="AE96" s="2148"/>
      <c r="AF96" s="676"/>
      <c r="AG96" s="676"/>
      <c r="AH96" s="676"/>
      <c r="AI96" s="676"/>
      <c r="AJ96" s="676"/>
      <c r="AK96" s="676"/>
      <c r="AL96" s="676"/>
      <c r="AM96" s="676"/>
      <c r="AN96" s="1765"/>
      <c r="AO96" s="1765"/>
      <c r="AP96" s="888"/>
      <c r="AQ96" s="888"/>
      <c r="AR96" s="888"/>
      <c r="AS96" s="888"/>
      <c r="AT96" s="1764"/>
      <c r="AU96" s="1764"/>
      <c r="AV96" s="1764"/>
      <c r="AW96" s="1764"/>
      <c r="AX96" s="1764"/>
      <c r="AY96" s="1764"/>
      <c r="AZ96" s="1764"/>
      <c r="BA96" s="1764"/>
      <c r="BB96" s="1764"/>
      <c r="BC96" s="1764"/>
      <c r="BD96" s="1764"/>
      <c r="BE96" s="1764"/>
      <c r="BF96" s="1764"/>
      <c r="BG96" s="1764"/>
      <c r="BH96" s="1764"/>
      <c r="BI96" s="1764"/>
      <c r="BJ96" s="1764"/>
      <c r="BK96" s="1766"/>
      <c r="BL96" s="380"/>
      <c r="BM96" s="380"/>
      <c r="BN96" s="380"/>
      <c r="BO96" s="380"/>
      <c r="BP96" s="380"/>
      <c r="BQ96" s="380"/>
      <c r="BR96" s="380"/>
      <c r="BS96" s="380"/>
      <c r="BT96" s="380"/>
      <c r="BU96" s="380"/>
      <c r="BV96" s="380"/>
      <c r="BW96" s="380"/>
      <c r="BX96" s="380"/>
      <c r="BY96" s="380"/>
      <c r="BZ96" s="380"/>
      <c r="CA96" s="380"/>
      <c r="CB96" s="380"/>
      <c r="CC96" s="380"/>
      <c r="CD96" s="380"/>
      <c r="CE96" s="380"/>
      <c r="CF96" s="380"/>
      <c r="CG96" s="380"/>
      <c r="CH96" s="380"/>
      <c r="CI96" s="380"/>
      <c r="CJ96" s="380"/>
      <c r="CK96" s="380"/>
      <c r="CL96" s="380"/>
      <c r="CM96" s="380"/>
      <c r="CN96" s="380"/>
      <c r="CO96" s="380"/>
      <c r="CP96" s="380"/>
      <c r="CQ96" s="380"/>
      <c r="CR96" s="380"/>
      <c r="CS96" s="380"/>
      <c r="CT96" s="380"/>
      <c r="CU96" s="380"/>
      <c r="CV96" s="380"/>
      <c r="CW96" s="380"/>
    </row>
    <row r="97" spans="1:101" s="9" customFormat="1" ht="11.25">
      <c r="A97" s="674" t="s">
        <v>939</v>
      </c>
      <c r="B97" s="663"/>
      <c r="C97" s="663"/>
      <c r="D97" s="663"/>
      <c r="E97" s="663"/>
      <c r="F97" s="657"/>
      <c r="G97" s="657"/>
      <c r="H97" s="657"/>
      <c r="I97" s="657"/>
      <c r="J97" s="657"/>
      <c r="K97" s="657"/>
      <c r="L97" s="657"/>
      <c r="M97" s="657"/>
      <c r="N97" s="657"/>
      <c r="O97" s="657"/>
      <c r="P97" s="657"/>
      <c r="Q97" s="657"/>
      <c r="R97" s="657"/>
      <c r="S97" s="657"/>
      <c r="T97" s="657"/>
      <c r="U97" s="657"/>
      <c r="V97" s="657"/>
      <c r="W97" s="657"/>
      <c r="X97" s="657"/>
      <c r="Y97" s="657"/>
      <c r="Z97" s="657"/>
      <c r="AA97" s="657"/>
      <c r="AB97" s="657"/>
      <c r="AC97" s="657"/>
      <c r="AD97" s="657"/>
      <c r="AE97" s="2138"/>
      <c r="AF97" s="657"/>
      <c r="AG97" s="657"/>
      <c r="AH97" s="657"/>
      <c r="AI97" s="657"/>
      <c r="AJ97" s="657"/>
      <c r="AK97" s="657"/>
      <c r="AL97" s="657"/>
      <c r="AM97" s="715"/>
      <c r="AN97" s="715"/>
      <c r="AO97" s="715"/>
      <c r="AP97" s="461"/>
      <c r="AQ97" s="461"/>
      <c r="AR97" s="461"/>
      <c r="AS97" s="461"/>
      <c r="AT97" s="461"/>
      <c r="AU97" s="461"/>
      <c r="AV97" s="461"/>
      <c r="AW97" s="461"/>
      <c r="AX97" s="461"/>
      <c r="AY97" s="461"/>
      <c r="AZ97" s="461"/>
      <c r="BA97" s="461"/>
      <c r="BB97" s="461"/>
      <c r="BC97" s="461"/>
      <c r="BD97" s="461"/>
      <c r="BE97" s="461"/>
      <c r="BF97" s="461"/>
      <c r="BG97" s="461"/>
      <c r="BH97" s="461"/>
      <c r="BI97" s="461"/>
      <c r="BJ97" s="461"/>
      <c r="BK97" s="1368"/>
      <c r="BL97" s="461"/>
      <c r="BM97" s="461"/>
      <c r="BN97" s="461"/>
      <c r="BO97" s="461"/>
      <c r="BP97" s="461"/>
      <c r="BQ97" s="461"/>
      <c r="BR97" s="461"/>
      <c r="BS97" s="461"/>
      <c r="BT97" s="461"/>
      <c r="BU97" s="461"/>
      <c r="BV97" s="461"/>
      <c r="BW97" s="461"/>
      <c r="BX97" s="461"/>
      <c r="BY97" s="461"/>
      <c r="BZ97" s="461"/>
      <c r="CA97" s="461"/>
      <c r="CB97" s="461"/>
      <c r="CC97" s="461"/>
      <c r="CD97" s="461"/>
      <c r="CE97" s="461"/>
      <c r="CF97" s="461"/>
      <c r="CG97" s="461"/>
      <c r="CH97" s="461"/>
      <c r="CI97" s="461"/>
      <c r="CJ97" s="461"/>
      <c r="CK97" s="461"/>
      <c r="CL97" s="461"/>
      <c r="CM97" s="461"/>
      <c r="CN97" s="461"/>
      <c r="CO97" s="461"/>
      <c r="CP97" s="461"/>
      <c r="CQ97" s="461"/>
      <c r="CR97" s="461"/>
      <c r="CS97" s="461"/>
      <c r="CT97" s="461"/>
      <c r="CU97" s="461"/>
      <c r="CV97" s="461"/>
      <c r="CW97" s="461"/>
    </row>
    <row r="98" spans="1:101" s="9" customFormat="1" ht="11.25">
      <c r="A98" s="655" t="s">
        <v>953</v>
      </c>
      <c r="B98" s="892" t="str">
        <f t="shared" ref="B98:AT98" si="520">IFERROR(B119/B87,"NM")</f>
        <v>NM</v>
      </c>
      <c r="C98" s="892" t="str">
        <f t="shared" si="520"/>
        <v>NM</v>
      </c>
      <c r="D98" s="892" t="str">
        <f t="shared" si="520"/>
        <v>NM</v>
      </c>
      <c r="E98" s="892" t="str">
        <f t="shared" si="520"/>
        <v>NM</v>
      </c>
      <c r="F98" s="892" t="str">
        <f t="shared" si="520"/>
        <v>NM</v>
      </c>
      <c r="G98" s="892" t="str">
        <f t="shared" si="520"/>
        <v>NM</v>
      </c>
      <c r="H98" s="892" t="str">
        <f t="shared" si="520"/>
        <v>NM</v>
      </c>
      <c r="I98" s="892" t="str">
        <f t="shared" si="520"/>
        <v>NM</v>
      </c>
      <c r="J98" s="892" t="str">
        <f t="shared" si="520"/>
        <v>NM</v>
      </c>
      <c r="K98" s="892" t="str">
        <f t="shared" si="520"/>
        <v>NM</v>
      </c>
      <c r="L98" s="892" t="str">
        <f t="shared" si="520"/>
        <v>NM</v>
      </c>
      <c r="M98" s="892" t="str">
        <f t="shared" si="520"/>
        <v>NM</v>
      </c>
      <c r="N98" s="892" t="str">
        <f t="shared" si="520"/>
        <v>NM</v>
      </c>
      <c r="O98" s="892" t="str">
        <f t="shared" si="520"/>
        <v>NM</v>
      </c>
      <c r="P98" s="892" t="str">
        <f t="shared" si="520"/>
        <v>NM</v>
      </c>
      <c r="Q98" s="892" t="str">
        <f t="shared" si="520"/>
        <v>NM</v>
      </c>
      <c r="R98" s="892" t="str">
        <f t="shared" si="520"/>
        <v>NM</v>
      </c>
      <c r="S98" s="892" t="str">
        <f t="shared" si="520"/>
        <v>NM</v>
      </c>
      <c r="T98" s="892" t="str">
        <f t="shared" si="520"/>
        <v>NM</v>
      </c>
      <c r="U98" s="892" t="str">
        <f t="shared" si="520"/>
        <v>NM</v>
      </c>
      <c r="V98" s="892" t="str">
        <f t="shared" si="520"/>
        <v>NM</v>
      </c>
      <c r="W98" s="892" t="str">
        <f t="shared" si="520"/>
        <v>NM</v>
      </c>
      <c r="X98" s="892" t="str">
        <f t="shared" si="520"/>
        <v>NM</v>
      </c>
      <c r="Y98" s="892">
        <f t="shared" si="520"/>
        <v>0.42854362633798243</v>
      </c>
      <c r="Z98" s="892">
        <f t="shared" si="520"/>
        <v>0.19443947355577604</v>
      </c>
      <c r="AA98" s="892">
        <f t="shared" si="520"/>
        <v>0.19117635099418534</v>
      </c>
      <c r="AB98" s="892">
        <f t="shared" si="520"/>
        <v>0.20200424067012263</v>
      </c>
      <c r="AC98" s="892">
        <f t="shared" si="520"/>
        <v>0.23465995440729487</v>
      </c>
      <c r="AD98" s="892">
        <f t="shared" si="520"/>
        <v>0.2495296838858905</v>
      </c>
      <c r="AE98" s="2149">
        <f t="shared" si="520"/>
        <v>0.24348417829193603</v>
      </c>
      <c r="AF98" s="892">
        <f t="shared" si="520"/>
        <v>0.24588953761492516</v>
      </c>
      <c r="AG98" s="892">
        <f t="shared" si="520"/>
        <v>0.28379172927418828</v>
      </c>
      <c r="AH98" s="892">
        <f t="shared" si="520"/>
        <v>0.26116170473514061</v>
      </c>
      <c r="AI98" s="892">
        <f t="shared" si="520"/>
        <v>0.24565139238406017</v>
      </c>
      <c r="AJ98" s="892">
        <f t="shared" si="520"/>
        <v>0.24925779820244823</v>
      </c>
      <c r="AK98" s="892">
        <f t="shared" si="520"/>
        <v>0.29447200566973775</v>
      </c>
      <c r="AL98" s="892">
        <f t="shared" si="520"/>
        <v>0.28443498974561482</v>
      </c>
      <c r="AM98" s="892">
        <f t="shared" si="520"/>
        <v>0.26530982191412616</v>
      </c>
      <c r="AN98" s="892">
        <f t="shared" si="520"/>
        <v>0.26041180945836501</v>
      </c>
      <c r="AO98" s="892">
        <f t="shared" si="520"/>
        <v>0.28845466460145364</v>
      </c>
      <c r="AP98" s="892">
        <f t="shared" si="520"/>
        <v>0.34278773752677022</v>
      </c>
      <c r="AQ98" s="892">
        <f t="shared" si="520"/>
        <v>0.26243606395968172</v>
      </c>
      <c r="AR98" s="892">
        <f t="shared" si="520"/>
        <v>0.25895619281857585</v>
      </c>
      <c r="AS98" s="892">
        <f t="shared" si="520"/>
        <v>0.28012940240264056</v>
      </c>
      <c r="AT98" s="892">
        <f t="shared" si="520"/>
        <v>0.20422111651812563</v>
      </c>
      <c r="AU98" s="892">
        <f t="shared" ref="AU98:BC98" si="521">IFERROR(AU119/AU87,"NM")</f>
        <v>8.1582587793964351E-2</v>
      </c>
      <c r="AV98" s="892">
        <f t="shared" si="521"/>
        <v>0.20318625406622737</v>
      </c>
      <c r="AW98" s="892">
        <f t="shared" si="521"/>
        <v>0.20196310968686126</v>
      </c>
      <c r="AX98" s="892">
        <f t="shared" si="521"/>
        <v>0.17744202984467891</v>
      </c>
      <c r="AY98" s="892">
        <f t="shared" si="521"/>
        <v>0.21694930527786069</v>
      </c>
      <c r="AZ98" s="892">
        <f t="shared" si="521"/>
        <v>0.24386207515574465</v>
      </c>
      <c r="BA98" s="892">
        <f t="shared" si="521"/>
        <v>0.2913047957697652</v>
      </c>
      <c r="BB98" s="892">
        <f t="shared" si="521"/>
        <v>0.25704300023960935</v>
      </c>
      <c r="BC98" s="892">
        <f t="shared" si="521"/>
        <v>0.2656238941184797</v>
      </c>
      <c r="BD98" s="892">
        <f t="shared" ref="BD98:BG98" si="522">IFERROR(BD119/BD87,"NM")</f>
        <v>0.26277195809830778</v>
      </c>
      <c r="BE98" s="892">
        <f t="shared" si="522"/>
        <v>0.28257793178241258</v>
      </c>
      <c r="BF98" s="892">
        <f t="shared" si="522"/>
        <v>0.26290275693555104</v>
      </c>
      <c r="BG98" s="892">
        <f t="shared" si="522"/>
        <v>0.26422995197658761</v>
      </c>
      <c r="BH98" s="892">
        <f t="shared" ref="BH98" si="523">IFERROR(BH119/BH87,"NM")</f>
        <v>0.25967916956717579</v>
      </c>
      <c r="BI98" s="892">
        <f t="shared" ref="BI98" si="524">IFERROR(BI119/BI87,"NM")</f>
        <v>0.27642341983640184</v>
      </c>
      <c r="BJ98" s="892">
        <f t="shared" ref="BJ98" si="525">IFERROR(BJ119/BJ87,"NM")</f>
        <v>0.24422406032661956</v>
      </c>
      <c r="BK98" s="1375">
        <f t="shared" ref="BK98" si="526">IFERROR(BK119/BK87,"NM")</f>
        <v>0.24541035513073983</v>
      </c>
      <c r="BL98" s="874">
        <f t="shared" ref="BL98:BQ98" si="527">+BH98*(1+BL99)</f>
        <v>0.26227596126284758</v>
      </c>
      <c r="BM98" s="874">
        <f t="shared" si="527"/>
        <v>0.28173074949726079</v>
      </c>
      <c r="BN98" s="874">
        <f t="shared" si="527"/>
        <v>0.2495969896538052</v>
      </c>
      <c r="BO98" s="874">
        <f t="shared" si="527"/>
        <v>0.2508093829436161</v>
      </c>
      <c r="BP98" s="874">
        <f t="shared" si="527"/>
        <v>0.26778375644936736</v>
      </c>
      <c r="BQ98" s="874">
        <f t="shared" si="527"/>
        <v>0.28764709523670323</v>
      </c>
      <c r="BR98" s="874">
        <f t="shared" ref="BR98:CK98" si="528">+BN98*(1+BR99)</f>
        <v>0.2548385264365351</v>
      </c>
      <c r="BS98" s="874">
        <f t="shared" si="528"/>
        <v>0.25607637998543203</v>
      </c>
      <c r="BT98" s="874">
        <f t="shared" si="528"/>
        <v>0.27340721533480405</v>
      </c>
      <c r="BU98" s="874">
        <f t="shared" si="528"/>
        <v>0.29368768423667396</v>
      </c>
      <c r="BV98" s="874">
        <f t="shared" si="528"/>
        <v>0.26019013549170233</v>
      </c>
      <c r="BW98" s="874">
        <f t="shared" si="528"/>
        <v>0.26145398396512609</v>
      </c>
      <c r="BX98" s="874">
        <f t="shared" si="528"/>
        <v>0.27914876685683493</v>
      </c>
      <c r="BY98" s="874">
        <f t="shared" si="528"/>
        <v>0.29985512560564409</v>
      </c>
      <c r="BZ98" s="874">
        <f t="shared" si="528"/>
        <v>0.26538092869476176</v>
      </c>
      <c r="CA98" s="874">
        <f t="shared" si="528"/>
        <v>0.26666999094523031</v>
      </c>
      <c r="CB98" s="874">
        <f t="shared" si="528"/>
        <v>0.28471778475562876</v>
      </c>
      <c r="CC98" s="874">
        <f t="shared" si="528"/>
        <v>0.30583723536147667</v>
      </c>
      <c r="CD98" s="874">
        <f t="shared" si="528"/>
        <v>0.27067527822222226</v>
      </c>
      <c r="CE98" s="874">
        <f t="shared" si="528"/>
        <v>0.27199005726458764</v>
      </c>
      <c r="CF98" s="874">
        <f t="shared" si="528"/>
        <v>0.29039790456150355</v>
      </c>
      <c r="CG98" s="874">
        <f t="shared" si="528"/>
        <v>0.3119386882069381</v>
      </c>
      <c r="CH98" s="874">
        <f t="shared" si="528"/>
        <v>0.27607525002275557</v>
      </c>
      <c r="CI98" s="874">
        <f t="shared" si="528"/>
        <v>0.27741625890701616</v>
      </c>
      <c r="CJ98" s="874">
        <f t="shared" si="528"/>
        <v>0.29619134275750553</v>
      </c>
      <c r="CK98" s="874">
        <f t="shared" si="528"/>
        <v>0.31816186503666649</v>
      </c>
      <c r="CL98" s="874">
        <f t="shared" ref="CL98" si="529">+CH98*(1+CL99)</f>
        <v>0.28158295126070954</v>
      </c>
      <c r="CM98" s="874">
        <f t="shared" ref="CM98" si="530">+CI98*(1+CM99)</f>
        <v>0.28295071327221111</v>
      </c>
      <c r="CN98" s="874">
        <f t="shared" ref="CN98" si="531">+CJ98*(1+CN99)</f>
        <v>0.30210036004551771</v>
      </c>
      <c r="CO98" s="874">
        <f t="shared" ref="CO98" si="532">+CK98*(1+CO99)</f>
        <v>0.32450919424414798</v>
      </c>
      <c r="CP98" s="874">
        <f t="shared" ref="CP98" si="533">+CL98*(1+CP99)</f>
        <v>0.28720053113836069</v>
      </c>
      <c r="CQ98" s="874">
        <f t="shared" ref="CQ98" si="534">+CM98*(1+CQ99)</f>
        <v>0.2885955800019917</v>
      </c>
      <c r="CR98" s="874">
        <f t="shared" ref="CR98" si="535">+CN98*(1+CR99)</f>
        <v>0.30812726222842579</v>
      </c>
      <c r="CS98" s="874">
        <f t="shared" ref="CS98" si="536">+CO98*(1+CS99)</f>
        <v>0.33098315266931871</v>
      </c>
      <c r="CT98" s="874">
        <f t="shared" ref="CT98" si="537">+CP98*(1+CT99)</f>
        <v>0.29293018173457097</v>
      </c>
      <c r="CU98" s="874">
        <f t="shared" ref="CU98" si="538">+CQ98*(1+CU99)</f>
        <v>0.29435306182303139</v>
      </c>
      <c r="CV98" s="874">
        <f t="shared" ref="CV98" si="539">+CR98*(1+CV99)</f>
        <v>0.31427440110988286</v>
      </c>
      <c r="CW98" s="874">
        <f t="shared" ref="CW98" si="540">+CS98*(1+CW99)</f>
        <v>0.33758626656507157</v>
      </c>
    </row>
    <row r="99" spans="1:101" s="9" customFormat="1" ht="11.25">
      <c r="A99" s="665" t="s">
        <v>950</v>
      </c>
      <c r="B99" s="626"/>
      <c r="C99" s="626"/>
      <c r="D99" s="626"/>
      <c r="E99" s="626"/>
      <c r="F99" s="657" t="str">
        <f t="shared" ref="F99:AZ99" si="541">IF(ISERROR(F98/B98-1),"NM",F98/B98-1)</f>
        <v>NM</v>
      </c>
      <c r="G99" s="657" t="str">
        <f t="shared" si="541"/>
        <v>NM</v>
      </c>
      <c r="H99" s="657" t="str">
        <f t="shared" si="541"/>
        <v>NM</v>
      </c>
      <c r="I99" s="657" t="str">
        <f t="shared" si="541"/>
        <v>NM</v>
      </c>
      <c r="J99" s="657" t="str">
        <f t="shared" si="541"/>
        <v>NM</v>
      </c>
      <c r="K99" s="657" t="str">
        <f t="shared" si="541"/>
        <v>NM</v>
      </c>
      <c r="L99" s="657" t="str">
        <f t="shared" si="541"/>
        <v>NM</v>
      </c>
      <c r="M99" s="657" t="str">
        <f t="shared" si="541"/>
        <v>NM</v>
      </c>
      <c r="N99" s="657" t="str">
        <f t="shared" si="541"/>
        <v>NM</v>
      </c>
      <c r="O99" s="657" t="str">
        <f t="shared" si="541"/>
        <v>NM</v>
      </c>
      <c r="P99" s="657" t="str">
        <f t="shared" si="541"/>
        <v>NM</v>
      </c>
      <c r="Q99" s="657" t="str">
        <f t="shared" si="541"/>
        <v>NM</v>
      </c>
      <c r="R99" s="657" t="str">
        <f t="shared" si="541"/>
        <v>NM</v>
      </c>
      <c r="S99" s="657" t="str">
        <f t="shared" si="541"/>
        <v>NM</v>
      </c>
      <c r="T99" s="657" t="str">
        <f t="shared" si="541"/>
        <v>NM</v>
      </c>
      <c r="U99" s="657" t="str">
        <f t="shared" si="541"/>
        <v>NM</v>
      </c>
      <c r="V99" s="657" t="str">
        <f t="shared" si="541"/>
        <v>NM</v>
      </c>
      <c r="W99" s="657" t="str">
        <f t="shared" si="541"/>
        <v>NM</v>
      </c>
      <c r="X99" s="657" t="str">
        <f t="shared" si="541"/>
        <v>NM</v>
      </c>
      <c r="Y99" s="657" t="str">
        <f t="shared" si="541"/>
        <v>NM</v>
      </c>
      <c r="Z99" s="657" t="str">
        <f t="shared" si="541"/>
        <v>NM</v>
      </c>
      <c r="AA99" s="657" t="str">
        <f t="shared" si="541"/>
        <v>NM</v>
      </c>
      <c r="AB99" s="657" t="str">
        <f t="shared" si="541"/>
        <v>NM</v>
      </c>
      <c r="AC99" s="657">
        <f t="shared" si="541"/>
        <v>-0.45242458413738251</v>
      </c>
      <c r="AD99" s="657">
        <f t="shared" si="541"/>
        <v>0.28332832486460902</v>
      </c>
      <c r="AE99" s="2138">
        <f t="shared" si="541"/>
        <v>0.27361034471958123</v>
      </c>
      <c r="AF99" s="657">
        <f t="shared" si="541"/>
        <v>0.21724938446449849</v>
      </c>
      <c r="AG99" s="657">
        <f t="shared" si="541"/>
        <v>0.20937434762139384</v>
      </c>
      <c r="AH99" s="657">
        <f t="shared" si="541"/>
        <v>4.6615780007036811E-2</v>
      </c>
      <c r="AI99" s="657">
        <f t="shared" si="541"/>
        <v>8.9008415549927111E-3</v>
      </c>
      <c r="AJ99" s="657">
        <f t="shared" si="541"/>
        <v>1.3698267198330116E-2</v>
      </c>
      <c r="AK99" s="657">
        <f t="shared" si="541"/>
        <v>3.7634205982199687E-2</v>
      </c>
      <c r="AL99" s="657">
        <f t="shared" si="541"/>
        <v>8.9114462758148383E-2</v>
      </c>
      <c r="AM99" s="715">
        <f t="shared" si="541"/>
        <v>8.0025719941091644E-2</v>
      </c>
      <c r="AN99" s="715">
        <f t="shared" si="541"/>
        <v>4.4748895867472216E-2</v>
      </c>
      <c r="AO99" s="715">
        <f t="shared" si="541"/>
        <v>-2.0434339945484714E-2</v>
      </c>
      <c r="AP99" s="715">
        <f t="shared" si="541"/>
        <v>0.20515319804129351</v>
      </c>
      <c r="AQ99" s="715">
        <f t="shared" si="541"/>
        <v>-1.0831705866413799E-2</v>
      </c>
      <c r="AR99" s="715">
        <f t="shared" si="541"/>
        <v>-5.5896721535659832E-3</v>
      </c>
      <c r="AS99" s="715">
        <f t="shared" si="541"/>
        <v>-2.8861596709887749E-2</v>
      </c>
      <c r="AT99" s="715">
        <f t="shared" si="541"/>
        <v>-0.40423447468806595</v>
      </c>
      <c r="AU99" s="715">
        <f t="shared" si="541"/>
        <v>-0.68913347288085391</v>
      </c>
      <c r="AV99" s="715">
        <f t="shared" si="541"/>
        <v>-0.21536437551590348</v>
      </c>
      <c r="AW99" s="715">
        <f t="shared" si="541"/>
        <v>-0.27903637406625359</v>
      </c>
      <c r="AX99" s="715">
        <f t="shared" si="541"/>
        <v>-0.13112790258920137</v>
      </c>
      <c r="AY99" s="715">
        <f t="shared" si="541"/>
        <v>1.659259912492149</v>
      </c>
      <c r="AZ99" s="715">
        <f t="shared" si="541"/>
        <v>0.20018982719303069</v>
      </c>
      <c r="BA99" s="715">
        <f t="shared" ref="BA99:BK99" si="542">IF(ISERROR(BA98/AW98-1),"NM",BA98/AW98-1)</f>
        <v>0.44236636196296431</v>
      </c>
      <c r="BB99" s="715">
        <f t="shared" si="542"/>
        <v>0.44860268147635529</v>
      </c>
      <c r="BC99" s="715">
        <f t="shared" si="542"/>
        <v>0.22435927498490216</v>
      </c>
      <c r="BD99" s="715">
        <f t="shared" si="542"/>
        <v>7.7543352858316261E-2</v>
      </c>
      <c r="BE99" s="715">
        <f t="shared" si="542"/>
        <v>-2.9957845233176128E-2</v>
      </c>
      <c r="BF99" s="715">
        <f t="shared" si="542"/>
        <v>2.2796795440760409E-2</v>
      </c>
      <c r="BG99" s="715">
        <f t="shared" si="542"/>
        <v>-5.2478040295212969E-3</v>
      </c>
      <c r="BH99" s="715">
        <f t="shared" si="542"/>
        <v>-1.1769857611575563E-2</v>
      </c>
      <c r="BI99" s="715">
        <f t="shared" si="542"/>
        <v>-2.1779874695769808E-2</v>
      </c>
      <c r="BJ99" s="715">
        <f t="shared" si="542"/>
        <v>-7.1047929761765327E-2</v>
      </c>
      <c r="BK99" s="1361">
        <f t="shared" si="542"/>
        <v>-7.1224313160058839E-2</v>
      </c>
      <c r="BL99" s="878">
        <f>Inputs!BL183</f>
        <v>0.01</v>
      </c>
      <c r="BM99" s="878">
        <f>Inputs!BM183</f>
        <v>1.9200000000000002E-2</v>
      </c>
      <c r="BN99" s="878">
        <f>Inputs!BN183</f>
        <v>2.2000000000000002E-2</v>
      </c>
      <c r="BO99" s="878">
        <f>Inputs!BO183</f>
        <v>2.2000000000000002E-2</v>
      </c>
      <c r="BP99" s="878">
        <f>Inputs!BP183</f>
        <v>2.1000000000000001E-2</v>
      </c>
      <c r="BQ99" s="878">
        <f>Inputs!BQ183</f>
        <v>2.1000000000000001E-2</v>
      </c>
      <c r="BR99" s="878">
        <f>Inputs!BR183</f>
        <v>2.1000000000000001E-2</v>
      </c>
      <c r="BS99" s="878">
        <f>Inputs!BS183</f>
        <v>2.1000000000000001E-2</v>
      </c>
      <c r="BT99" s="878">
        <f>Inputs!BT183</f>
        <v>2.1000000000000001E-2</v>
      </c>
      <c r="BU99" s="878">
        <f>Inputs!BU183</f>
        <v>2.1000000000000001E-2</v>
      </c>
      <c r="BV99" s="878">
        <f>Inputs!BV183</f>
        <v>2.1000000000000001E-2</v>
      </c>
      <c r="BW99" s="878">
        <f>Inputs!BW183</f>
        <v>2.1000000000000001E-2</v>
      </c>
      <c r="BX99" s="878">
        <f>Inputs!BX183</f>
        <v>2.1000000000000001E-2</v>
      </c>
      <c r="BY99" s="878">
        <f>Inputs!BY183</f>
        <v>2.1000000000000001E-2</v>
      </c>
      <c r="BZ99" s="878">
        <f>Inputs!BZ183</f>
        <v>1.9949999999999999E-2</v>
      </c>
      <c r="CA99" s="878">
        <f>Inputs!CA183</f>
        <v>1.9949999999999999E-2</v>
      </c>
      <c r="CB99" s="878">
        <f>Inputs!CB183</f>
        <v>1.9949999999999999E-2</v>
      </c>
      <c r="CC99" s="878">
        <f>Inputs!CC183</f>
        <v>1.9949999999999999E-2</v>
      </c>
      <c r="CD99" s="878">
        <f>Inputs!CD183</f>
        <v>1.9949999999999999E-2</v>
      </c>
      <c r="CE99" s="878">
        <f>Inputs!CE183</f>
        <v>1.9949999999999999E-2</v>
      </c>
      <c r="CF99" s="878">
        <f>Inputs!CF183</f>
        <v>1.9949999999999999E-2</v>
      </c>
      <c r="CG99" s="878">
        <f>Inputs!CG183</f>
        <v>1.9949999999999999E-2</v>
      </c>
      <c r="CH99" s="878">
        <f>Inputs!CH183</f>
        <v>1.9949999999999999E-2</v>
      </c>
      <c r="CI99" s="878">
        <f>Inputs!CI183</f>
        <v>1.9949999999999999E-2</v>
      </c>
      <c r="CJ99" s="878">
        <f>Inputs!CJ183</f>
        <v>1.9949999999999999E-2</v>
      </c>
      <c r="CK99" s="878">
        <f>Inputs!CK183</f>
        <v>1.9949999999999999E-2</v>
      </c>
      <c r="CL99" s="878">
        <f>Inputs!CL183</f>
        <v>1.9949999999999999E-2</v>
      </c>
      <c r="CM99" s="878">
        <f>Inputs!CM183</f>
        <v>1.9949999999999999E-2</v>
      </c>
      <c r="CN99" s="878">
        <f>Inputs!CN183</f>
        <v>1.9949999999999999E-2</v>
      </c>
      <c r="CO99" s="878">
        <f>Inputs!CO183</f>
        <v>1.9949999999999999E-2</v>
      </c>
      <c r="CP99" s="878">
        <f>Inputs!CP183</f>
        <v>1.9949999999999999E-2</v>
      </c>
      <c r="CQ99" s="878">
        <f>Inputs!CQ183</f>
        <v>1.9949999999999999E-2</v>
      </c>
      <c r="CR99" s="878">
        <f>Inputs!CR183</f>
        <v>1.9949999999999999E-2</v>
      </c>
      <c r="CS99" s="878">
        <f>Inputs!CS183</f>
        <v>1.9949999999999999E-2</v>
      </c>
      <c r="CT99" s="878">
        <f>Inputs!CT183</f>
        <v>1.9949999999999999E-2</v>
      </c>
      <c r="CU99" s="878">
        <f>Inputs!CU183</f>
        <v>1.9949999999999999E-2</v>
      </c>
      <c r="CV99" s="878">
        <f>Inputs!CV183</f>
        <v>1.9949999999999999E-2</v>
      </c>
      <c r="CW99" s="878">
        <f>Inputs!CW183</f>
        <v>1.9949999999999999E-2</v>
      </c>
    </row>
    <row r="100" spans="1:101" s="9" customFormat="1" ht="11.25">
      <c r="A100" s="665"/>
      <c r="B100" s="626"/>
      <c r="C100" s="626"/>
      <c r="D100" s="626"/>
      <c r="E100" s="626"/>
      <c r="F100" s="657"/>
      <c r="G100" s="657"/>
      <c r="H100" s="657"/>
      <c r="I100" s="657"/>
      <c r="J100" s="657"/>
      <c r="K100" s="657"/>
      <c r="L100" s="657"/>
      <c r="M100" s="657"/>
      <c r="N100" s="657"/>
      <c r="O100" s="657"/>
      <c r="P100" s="657"/>
      <c r="Q100" s="657"/>
      <c r="R100" s="657"/>
      <c r="S100" s="657"/>
      <c r="T100" s="657"/>
      <c r="U100" s="657"/>
      <c r="V100" s="657"/>
      <c r="W100" s="657"/>
      <c r="X100" s="657"/>
      <c r="Y100" s="657"/>
      <c r="Z100" s="657"/>
      <c r="AA100" s="657"/>
      <c r="AB100" s="657"/>
      <c r="AC100" s="657"/>
      <c r="AD100" s="657"/>
      <c r="AE100" s="2138"/>
      <c r="AF100" s="657"/>
      <c r="AG100" s="657"/>
      <c r="AH100" s="657"/>
      <c r="AI100" s="657"/>
      <c r="AJ100" s="657"/>
      <c r="AK100" s="657"/>
      <c r="AL100" s="657"/>
      <c r="AM100" s="715"/>
      <c r="AN100" s="715"/>
      <c r="AO100" s="715"/>
      <c r="AP100" s="715"/>
      <c r="AQ100" s="715"/>
      <c r="AR100" s="715"/>
      <c r="AS100" s="715"/>
      <c r="AT100" s="715"/>
      <c r="AU100" s="715"/>
      <c r="AV100" s="715"/>
      <c r="AW100" s="715"/>
      <c r="AX100" s="715"/>
      <c r="AY100" s="715"/>
      <c r="AZ100" s="715"/>
      <c r="BA100" s="715"/>
      <c r="BB100" s="715"/>
      <c r="BC100" s="715"/>
      <c r="BD100" s="715"/>
      <c r="BE100" s="715"/>
      <c r="BF100" s="715"/>
      <c r="BG100" s="715"/>
      <c r="BH100" s="715"/>
      <c r="BI100" s="715"/>
      <c r="BJ100" s="715"/>
      <c r="BK100" s="1361"/>
      <c r="BL100" s="878"/>
      <c r="BM100" s="878"/>
      <c r="BN100" s="878"/>
      <c r="BO100" s="878"/>
      <c r="BP100" s="878"/>
      <c r="BQ100" s="878"/>
      <c r="BR100" s="878"/>
      <c r="BS100" s="878"/>
      <c r="BT100" s="878"/>
      <c r="BU100" s="878"/>
      <c r="BV100" s="878"/>
      <c r="BW100" s="878"/>
      <c r="BX100" s="878"/>
      <c r="BY100" s="878"/>
      <c r="BZ100" s="878"/>
      <c r="CA100" s="878"/>
      <c r="CB100" s="878"/>
      <c r="CC100" s="878"/>
      <c r="CD100" s="878"/>
      <c r="CE100" s="878"/>
      <c r="CF100" s="878"/>
      <c r="CG100" s="878"/>
      <c r="CH100" s="878"/>
      <c r="CI100" s="878"/>
      <c r="CJ100" s="878"/>
      <c r="CK100" s="878"/>
      <c r="CL100" s="878"/>
      <c r="CM100" s="878"/>
      <c r="CN100" s="878"/>
      <c r="CO100" s="878"/>
      <c r="CP100" s="878"/>
      <c r="CQ100" s="878"/>
      <c r="CR100" s="878"/>
      <c r="CS100" s="878"/>
      <c r="CT100" s="878"/>
      <c r="CU100" s="878"/>
      <c r="CV100" s="878"/>
      <c r="CW100" s="878"/>
    </row>
    <row r="101" spans="1:101" s="9" customFormat="1" ht="11.25">
      <c r="A101" s="655" t="s">
        <v>958</v>
      </c>
      <c r="B101" s="890">
        <f>+AVERAGE(Inputs!A20:B20)*AVERAGE(Inputs!A31:B31)</f>
        <v>19.321695000000002</v>
      </c>
      <c r="C101" s="893">
        <f>+AVERAGE(Inputs!B20:C20)*AVERAGE(Inputs!B31:C31)</f>
        <v>18.379897500000002</v>
      </c>
      <c r="D101" s="893">
        <f>+AVERAGE(Inputs!C20:D20)*AVERAGE(Inputs!C31:D31)</f>
        <v>18.228266874999999</v>
      </c>
      <c r="E101" s="893">
        <f>+AVERAGE(Inputs!D20:E20)*AVERAGE(Inputs!D31:E31)</f>
        <v>19.073339375</v>
      </c>
      <c r="F101" s="893">
        <f>+AVERAGE(Inputs!E20:F20)*AVERAGE(Inputs!E31:F31)</f>
        <v>18.675214</v>
      </c>
      <c r="G101" s="893">
        <f>+AVERAGE(Inputs!F20:G20)*AVERAGE(Inputs!F31:G31)</f>
        <v>17.3584125</v>
      </c>
      <c r="H101" s="893">
        <f>+AVERAGE(Inputs!G20:H20)*AVERAGE(Inputs!G31:H31)</f>
        <v>16.290799374999999</v>
      </c>
      <c r="I101" s="893">
        <f>+AVERAGE(Inputs!H20:I20)*AVERAGE(Inputs!H31:I31)</f>
        <v>16.559348</v>
      </c>
      <c r="J101" s="893">
        <f>+AVERAGE(Inputs!I20:J20)*AVERAGE(Inputs!I31:J31)</f>
        <v>16.521139782500001</v>
      </c>
      <c r="K101" s="893">
        <f>+AVERAGE(Inputs!J20:K20)*AVERAGE(Inputs!J31:K31)</f>
        <v>16.371867589999997</v>
      </c>
      <c r="L101" s="893">
        <f>+AVERAGE(Inputs!K20:L20)*AVERAGE(Inputs!K31:L31)</f>
        <v>18.079327177499998</v>
      </c>
      <c r="M101" s="893">
        <f>+AVERAGE(Inputs!L20:M20)*AVERAGE(Inputs!L31:M31)</f>
        <v>19.021598841249997</v>
      </c>
      <c r="N101" s="893">
        <f>+AVERAGE(Inputs!M20:N20)*AVERAGE(Inputs!M31:N31)</f>
        <v>17.587443591249997</v>
      </c>
      <c r="O101" s="893">
        <f>+AVERAGE(Inputs!N20:O20)*AVERAGE(Inputs!N31:O31)</f>
        <v>17.391853018750002</v>
      </c>
      <c r="P101" s="893">
        <f>+AVERAGE(Inputs!O20:P20)*AVERAGE(Inputs!O31:P31)</f>
        <v>17.202006174999998</v>
      </c>
      <c r="Q101" s="893">
        <f>+AVERAGE(Inputs!P20:Q20)*AVERAGE(Inputs!P31:Q31)</f>
        <v>16.521396297499997</v>
      </c>
      <c r="R101" s="893">
        <f>+AVERAGE(Inputs!Q20:R20)*AVERAGE(Inputs!Q31:R31)</f>
        <v>16.545643800000004</v>
      </c>
      <c r="S101" s="893">
        <f>+AVERAGE(Inputs!R20:S20)*AVERAGE(Inputs!R31:S31)</f>
        <v>16.624893382500002</v>
      </c>
      <c r="T101" s="893">
        <f>+AVERAGE(Inputs!S20:T20)*AVERAGE(Inputs!S31:T31)</f>
        <v>16.953231618749999</v>
      </c>
      <c r="U101" s="893">
        <f>+AVERAGE(Inputs!T20:U20)*AVERAGE(Inputs!T31:U31)</f>
        <v>17.32334981</v>
      </c>
      <c r="V101" s="893">
        <f>+AVERAGE(Inputs!U20:V20)*AVERAGE(Inputs!U31:V31)</f>
        <v>17.859568539999998</v>
      </c>
      <c r="W101" s="893">
        <f>+AVERAGE(Inputs!V20:W20)*AVERAGE(Inputs!V31:W31)</f>
        <v>17.937774599999997</v>
      </c>
      <c r="X101" s="893">
        <f>+AVERAGE(Inputs!W20:X20)*AVERAGE(Inputs!W31:X31)</f>
        <v>17.430699839999999</v>
      </c>
      <c r="Y101" s="893">
        <f>+AVERAGE(Inputs!X20:Y20)*AVERAGE(Inputs!X31:Y31)</f>
        <v>17.4195137325</v>
      </c>
      <c r="Z101" s="893">
        <f>+AVERAGE(Inputs!Y20:Z20)*AVERAGE(Inputs!Y31:Z31)</f>
        <v>17.057399602500002</v>
      </c>
      <c r="AA101" s="893">
        <f>+AVERAGE(Inputs!Z20:AA20)*AVERAGE(Inputs!Z31:AA31)</f>
        <v>16.806360690000002</v>
      </c>
      <c r="AB101" s="893">
        <f>+AVERAGE(Inputs!AA20:AB20)*AVERAGE(Inputs!AA31:AB31)</f>
        <v>18.16417142625</v>
      </c>
      <c r="AC101" s="893">
        <f>+AVERAGE(Inputs!AB20:AC20)*AVERAGE(Inputs!AB31:AC31)</f>
        <v>18.8394012975</v>
      </c>
      <c r="AD101" s="893">
        <f>+AVERAGE(Inputs!AC20:AD20)*AVERAGE(Inputs!AC31:AD31)</f>
        <v>19.2580542</v>
      </c>
      <c r="AE101" s="2150">
        <f>+AVERAGE(Inputs!AD20:AE20)*AVERAGE(Inputs!AD31:AE31)</f>
        <v>20.603428809999997</v>
      </c>
      <c r="AF101" s="893">
        <f>+AVERAGE(Inputs!AE20:AF20)*AVERAGE(Inputs!AE31:AF31)</f>
        <v>21.990583750000003</v>
      </c>
      <c r="AG101" s="893">
        <f>+AVERAGE(Inputs!AF20:AG20)*AVERAGE(Inputs!AF31:AG31)</f>
        <v>22.227958999999998</v>
      </c>
      <c r="AH101" s="893">
        <f>+AVERAGE(Inputs!AG20:AH20)*AVERAGE(Inputs!AG31:AH31)</f>
        <v>20.758814999999998</v>
      </c>
      <c r="AI101" s="893">
        <f>+AVERAGE(Inputs!AH20:AI20)*AVERAGE(Inputs!AH31:AI31)</f>
        <v>20.372107500000002</v>
      </c>
      <c r="AJ101" s="893">
        <f>+AVERAGE(Inputs!AI20:AJ20)*AVERAGE(Inputs!AI31:AJ31)</f>
        <v>21.256106999999997</v>
      </c>
      <c r="AK101" s="893">
        <f>+AVERAGE(Inputs!AJ20:AK20)*AVERAGE(Inputs!AJ31:AK31)</f>
        <v>22.844811750000002</v>
      </c>
      <c r="AL101" s="893">
        <f>+AVERAGE(Inputs!AK20:AL20)*AVERAGE(Inputs!AK31:AL31)</f>
        <v>23.535086249999999</v>
      </c>
      <c r="AM101" s="893">
        <f>+AVERAGE(Inputs!AL20:AM20)*AVERAGE(Inputs!AL31:AM31)</f>
        <v>23.604991499999997</v>
      </c>
      <c r="AN101" s="893">
        <f>+AVERAGE(Inputs!AM20:AN20)*AVERAGE(Inputs!AM31:AN31)</f>
        <v>23.274955249999994</v>
      </c>
      <c r="AO101" s="893">
        <f>+AVERAGE(Inputs!AN20:AO20)*AVERAGE(Inputs!AN31:AO31)</f>
        <v>22.570177499999996</v>
      </c>
      <c r="AP101" s="893">
        <f>+AVERAGE(Inputs!AO20:AP20)*AVERAGE(Inputs!AO31:AP31)</f>
        <v>22.621739999999999</v>
      </c>
      <c r="AQ101" s="893">
        <f>+AVERAGE(Inputs!AP20:AQ20)*AVERAGE(Inputs!AP31:AQ31)</f>
        <v>22.405454750000001</v>
      </c>
      <c r="AR101" s="893">
        <f>+AVERAGE(Inputs!AQ20:AR20)*AVERAGE(Inputs!AQ31:AR31)</f>
        <v>22.007933750000003</v>
      </c>
      <c r="AS101" s="893">
        <f>+AVERAGE(Inputs!AR20:AS20)*AVERAGE(Inputs!AR31:AS31)</f>
        <v>21.453436249999999</v>
      </c>
      <c r="AT101" s="893">
        <f>+AVERAGE(Inputs!AS20:AT20)*AVERAGE(Inputs!AS31:AT31)</f>
        <v>24.2496115</v>
      </c>
      <c r="AU101" s="893">
        <f>+AVERAGE(Inputs!AT20:AU20)*AVERAGE(Inputs!AT31:AU31)</f>
        <v>27.192964499999999</v>
      </c>
      <c r="AV101" s="893">
        <f>+AVERAGE(Inputs!AU20:AV20)*AVERAGE(Inputs!AU31:AV31)</f>
        <v>26.689419999999995</v>
      </c>
      <c r="AW101" s="893">
        <f>+AVERAGE(Inputs!AV20:AW20)*AVERAGE(Inputs!AV31:AW31)</f>
        <v>24.877002250000004</v>
      </c>
      <c r="AX101" s="893">
        <f>+AVERAGE(Inputs!AW20:AX20)*AVERAGE(Inputs!AW31:AX31)</f>
        <v>23.445625</v>
      </c>
      <c r="AY101" s="893">
        <f>+AVERAGE(Inputs!AX20:AY20)*AVERAGE(Inputs!AX31:AY31)</f>
        <v>23.353124999999995</v>
      </c>
      <c r="AZ101" s="893">
        <f>+AVERAGE(Inputs!AY20:AZ20)*AVERAGE(Inputs!AY31:AZ31)</f>
        <v>23.551875000000003</v>
      </c>
      <c r="BA101" s="893">
        <f>+AVERAGE(Inputs!AZ20:BA20)*AVERAGE(Inputs!AZ31:BA31)</f>
        <v>24.092693749999999</v>
      </c>
      <c r="BB101" s="893">
        <f>+AVERAGE(Inputs!BA20:BB20)*AVERAGE(Inputs!BA31:BB31)</f>
        <v>23.685915090404663</v>
      </c>
      <c r="BC101" s="893">
        <f>+AVERAGE(Inputs!BB20:BC20)*AVERAGE(Inputs!BB31:BC31)</f>
        <v>22.13730029878656</v>
      </c>
      <c r="BD101" s="893">
        <f>+AVERAGE(Inputs!BC20:BD20)*AVERAGE(Inputs!BC31:BD31)</f>
        <v>20.834833474808072</v>
      </c>
      <c r="BE101" s="893">
        <f>+AVERAGE(Inputs!BD20:BE20)*AVERAGE(Inputs!BD31:BE31)</f>
        <v>20.221831653897627</v>
      </c>
      <c r="BF101" s="893">
        <f>+AVERAGE(Inputs!BE20:BF20)*AVERAGE(Inputs!BE31:BF31)</f>
        <v>20.053590217349122</v>
      </c>
      <c r="BG101" s="893">
        <f>+AVERAGE(Inputs!BF20:BG20)*AVERAGE(Inputs!BF31:BG31)</f>
        <v>19.615451358884609</v>
      </c>
      <c r="BH101" s="893">
        <f>+AVERAGE(Inputs!BG20:BH20)*AVERAGE(Inputs!BG31:BH31)</f>
        <v>18.891217457596966</v>
      </c>
      <c r="BI101" s="893">
        <f>+AVERAGE(Inputs!BH20:BI20)*AVERAGE(Inputs!BH31:BI31)</f>
        <v>18.719509039689893</v>
      </c>
      <c r="BJ101" s="893">
        <f>+AVERAGE(Inputs!BI20:BJ20)*AVERAGE(Inputs!BI31:BJ31)</f>
        <v>18.653064984425974</v>
      </c>
      <c r="BK101" s="1813">
        <f>+AVERAGE(Inputs!BJ20:BK20)*AVERAGE(Inputs!BJ31:BK31)</f>
        <v>18.487667993879256</v>
      </c>
      <c r="BL101" s="889">
        <f>+AVERAGE(Inputs!BK20:BL20)*AVERAGE(Inputs!BK31:BL31)</f>
        <v>19.202315058926647</v>
      </c>
      <c r="BM101" s="889">
        <f>+AVERAGE(Inputs!BL20:BM20)*AVERAGE(Inputs!BL31:BM31)</f>
        <v>20.001500000000004</v>
      </c>
      <c r="BN101" s="889">
        <f>+AVERAGE(Inputs!BM20:BN20)*AVERAGE(Inputs!BM31:BN31)</f>
        <v>20.377950000000002</v>
      </c>
      <c r="BO101" s="889">
        <f>+AVERAGE(Inputs!BN20:BO20)*AVERAGE(Inputs!BN31:BO31)</f>
        <v>20.762500000000003</v>
      </c>
      <c r="BP101" s="889">
        <f>+AVERAGE(Inputs!BO20:BP20)*AVERAGE(Inputs!BO31:BP31)</f>
        <v>20.911000000000005</v>
      </c>
      <c r="BQ101" s="889">
        <f>+AVERAGE(Inputs!BP20:BQ20)*AVERAGE(Inputs!BP31:BQ31)</f>
        <v>21.304400000000001</v>
      </c>
      <c r="BR101" s="889">
        <f>+AVERAGE(Inputs!BQ20:BR20)*AVERAGE(Inputs!BQ31:BR31)</f>
        <v>21.422151875119056</v>
      </c>
      <c r="BS101" s="889">
        <f>+AVERAGE(Inputs!BR20:BS20)*AVERAGE(Inputs!BR31:BS31)</f>
        <v>21.296142976707831</v>
      </c>
      <c r="BT101" s="889">
        <f>+AVERAGE(Inputs!BS20:BT20)*AVERAGE(Inputs!BS31:BT31)</f>
        <v>21.448459760912101</v>
      </c>
      <c r="BU101" s="889">
        <f>+AVERAGE(Inputs!BT20:BU20)*AVERAGE(Inputs!BT31:BU31)</f>
        <v>21.851971026272089</v>
      </c>
      <c r="BV101" s="889">
        <f>+AVERAGE(Inputs!BU20:BV20)*AVERAGE(Inputs!BU31:BV31)</f>
        <v>21.97274938958628</v>
      </c>
      <c r="BW101" s="889">
        <f>+AVERAGE(Inputs!BV20:BW20)*AVERAGE(Inputs!BV31:BW31)</f>
        <v>21.843501778898606</v>
      </c>
      <c r="BX101" s="889">
        <f>+AVERAGE(Inputs!BW20:BX20)*AVERAGE(Inputs!BW31:BX31)</f>
        <v>21.999733447250993</v>
      </c>
      <c r="BY101" s="889">
        <f>+AVERAGE(Inputs!BX20:BY20)*AVERAGE(Inputs!BX31:BY31)</f>
        <v>22.413615860246473</v>
      </c>
      <c r="BZ101" s="889">
        <f>+AVERAGE(Inputs!BY20:BZ20)*AVERAGE(Inputs!BY31:BZ31)</f>
        <v>22.537498499313621</v>
      </c>
      <c r="CA101" s="889">
        <f>+AVERAGE(Inputs!BZ20:CA20)*AVERAGE(Inputs!BZ31:CA31)</f>
        <v>22.404928934155155</v>
      </c>
      <c r="CB101" s="889">
        <f>+AVERAGE(Inputs!CA20:CB20)*AVERAGE(Inputs!CA31:CB31)</f>
        <v>22.565176107988851</v>
      </c>
      <c r="CC101" s="889">
        <f>+AVERAGE(Inputs!CB20:CC20)*AVERAGE(Inputs!CB31:CC31)</f>
        <v>22.989696230454669</v>
      </c>
      <c r="CD101" s="889">
        <f>+AVERAGE(Inputs!CC20:CD20)*AVERAGE(Inputs!CC31:CD31)</f>
        <v>23.11676293214791</v>
      </c>
      <c r="CE101" s="889">
        <f>+AVERAGE(Inputs!CD20:CE20)*AVERAGE(Inputs!CD31:CE31)</f>
        <v>22.980786030812585</v>
      </c>
      <c r="CF101" s="889">
        <f>+AVERAGE(Inputs!CE20:CF20)*AVERAGE(Inputs!CE31:CF31)</f>
        <v>23.145151917655486</v>
      </c>
      <c r="CG101" s="889">
        <f>+AVERAGE(Inputs!CF20:CG20)*AVERAGE(Inputs!CF31:CG31)</f>
        <v>23.580583162665562</v>
      </c>
      <c r="CH101" s="889">
        <f>+AVERAGE(Inputs!CG20:CH20)*AVERAGE(Inputs!CG31:CH31)</f>
        <v>23.710915764560223</v>
      </c>
      <c r="CI101" s="889">
        <f>+AVERAGE(Inputs!CH20:CI20)*AVERAGE(Inputs!CH31:CI31)</f>
        <v>23.571443950839964</v>
      </c>
      <c r="CJ101" s="889">
        <f>+AVERAGE(Inputs!CI20:CJ20)*AVERAGE(Inputs!CI31:CJ31)</f>
        <v>23.740034410885713</v>
      </c>
      <c r="CK101" s="889">
        <f>+AVERAGE(Inputs!CJ20:CK20)*AVERAGE(Inputs!CJ31:CK31)</f>
        <v>24.18665721884528</v>
      </c>
      <c r="CL101" s="889">
        <f>+AVERAGE(Inputs!CK20:CL20)*AVERAGE(Inputs!CK31:CL31)</f>
        <v>24.320339661926553</v>
      </c>
      <c r="CM101" s="889">
        <f>+AVERAGE(Inputs!CL20:CM20)*AVERAGE(Inputs!CL31:CM31)</f>
        <v>24.177283108707663</v>
      </c>
      <c r="CN101" s="889">
        <f>+AVERAGE(Inputs!CM20:CN20)*AVERAGE(Inputs!CM31:CN31)</f>
        <v>24.350206722995111</v>
      </c>
      <c r="CO101" s="889">
        <f>+AVERAGE(Inputs!CN20:CO20)*AVERAGE(Inputs!CN31:CO31)</f>
        <v>24.808308742258962</v>
      </c>
      <c r="CP101" s="889">
        <f>+AVERAGE(Inputs!CO20:CP20)*AVERAGE(Inputs!CO31:CP31)</f>
        <v>24.945427124984274</v>
      </c>
      <c r="CQ101" s="889">
        <f>+AVERAGE(Inputs!CP20:CQ20)*AVERAGE(Inputs!CP31:CQ31)</f>
        <v>24.798693696394054</v>
      </c>
      <c r="CR101" s="889">
        <f>+AVERAGE(Inputs!CQ20:CR20)*AVERAGE(Inputs!CQ31:CR31)</f>
        <v>24.976061836739131</v>
      </c>
      <c r="CS101" s="889">
        <f>+AVERAGE(Inputs!CR20:CS20)*AVERAGE(Inputs!CR31:CS31)</f>
        <v>25.445938108872131</v>
      </c>
      <c r="CT101" s="889">
        <f>+AVERAGE(Inputs!CS20:CT20)*AVERAGE(Inputs!CS31:CT31)</f>
        <v>25.586580742623042</v>
      </c>
      <c r="CU101" s="889">
        <f>+AVERAGE(Inputs!CT20:CU20)*AVERAGE(Inputs!CT31:CU31)</f>
        <v>25.436075934689509</v>
      </c>
      <c r="CV101" s="889">
        <f>+AVERAGE(Inputs!CU20:CV20)*AVERAGE(Inputs!CU31:CV31)</f>
        <v>25.618002835414451</v>
      </c>
      <c r="CW101" s="889">
        <f>+AVERAGE(Inputs!CV20:CW20)*AVERAGE(Inputs!CV31:CW31)</f>
        <v>26.0999559852137</v>
      </c>
    </row>
    <row r="102" spans="1:101" s="9" customFormat="1" ht="11.25">
      <c r="A102" s="674"/>
      <c r="B102" s="663"/>
      <c r="C102" s="663"/>
      <c r="D102" s="663"/>
      <c r="E102" s="663"/>
      <c r="F102" s="657"/>
      <c r="G102" s="657"/>
      <c r="H102" s="657"/>
      <c r="I102" s="657"/>
      <c r="J102" s="657"/>
      <c r="K102" s="657"/>
      <c r="L102" s="657"/>
      <c r="M102" s="657"/>
      <c r="N102" s="657"/>
      <c r="O102" s="657"/>
      <c r="P102" s="657"/>
      <c r="Q102" s="657"/>
      <c r="R102" s="657"/>
      <c r="S102" s="657"/>
      <c r="T102" s="657"/>
      <c r="U102" s="657"/>
      <c r="V102" s="657"/>
      <c r="W102" s="657"/>
      <c r="X102" s="657"/>
      <c r="Y102" s="657"/>
      <c r="Z102" s="657"/>
      <c r="AA102" s="657"/>
      <c r="AB102" s="657"/>
      <c r="AC102" s="657"/>
      <c r="AD102" s="657"/>
      <c r="AE102" s="2138"/>
      <c r="AF102" s="657"/>
      <c r="AG102" s="657"/>
      <c r="AH102" s="657"/>
      <c r="AI102" s="657"/>
      <c r="AJ102" s="657"/>
      <c r="AK102" s="657"/>
      <c r="AL102" s="657"/>
      <c r="AM102" s="715"/>
      <c r="AN102" s="715"/>
      <c r="AO102" s="715"/>
      <c r="AP102" s="461"/>
      <c r="AQ102" s="461"/>
      <c r="AR102" s="461"/>
      <c r="AS102" s="461"/>
      <c r="AT102" s="461"/>
      <c r="AU102" s="461"/>
      <c r="AV102" s="461"/>
      <c r="AW102" s="461"/>
      <c r="AX102" s="461"/>
      <c r="AY102" s="461"/>
      <c r="AZ102" s="461"/>
      <c r="BA102" s="461"/>
      <c r="BB102" s="461"/>
      <c r="BC102" s="461"/>
      <c r="BD102" s="461"/>
      <c r="BE102" s="461"/>
      <c r="BF102" s="461"/>
      <c r="BG102" s="461"/>
      <c r="BH102" s="461"/>
      <c r="BI102" s="461"/>
      <c r="BJ102" s="461"/>
      <c r="BK102" s="1368"/>
      <c r="BL102" s="461"/>
      <c r="BM102" s="461"/>
      <c r="BN102" s="461"/>
      <c r="BO102" s="461"/>
      <c r="BP102" s="461"/>
      <c r="BQ102" s="461"/>
      <c r="BR102" s="461"/>
      <c r="BS102" s="461"/>
      <c r="BT102" s="461"/>
      <c r="BU102" s="461"/>
      <c r="BV102" s="461"/>
      <c r="BW102" s="461"/>
      <c r="BX102" s="461"/>
      <c r="BY102" s="461"/>
      <c r="BZ102" s="461"/>
      <c r="CA102" s="461"/>
      <c r="CB102" s="461"/>
      <c r="CC102" s="461"/>
      <c r="CD102" s="461"/>
      <c r="CE102" s="461"/>
      <c r="CF102" s="461"/>
      <c r="CG102" s="461"/>
      <c r="CH102" s="461"/>
      <c r="CI102" s="461"/>
      <c r="CJ102" s="461"/>
      <c r="CK102" s="461"/>
      <c r="CL102" s="461"/>
      <c r="CM102" s="461"/>
      <c r="CN102" s="461"/>
      <c r="CO102" s="461"/>
      <c r="CP102" s="461"/>
      <c r="CQ102" s="461"/>
      <c r="CR102" s="461"/>
      <c r="CS102" s="461"/>
      <c r="CT102" s="461"/>
      <c r="CU102" s="461"/>
      <c r="CV102" s="461"/>
      <c r="CW102" s="461"/>
    </row>
    <row r="103" spans="1:101" s="9" customFormat="1" ht="11.25">
      <c r="A103" s="331" t="s">
        <v>941</v>
      </c>
      <c r="B103" s="62"/>
      <c r="C103" s="663"/>
      <c r="D103" s="663"/>
      <c r="E103" s="663"/>
      <c r="F103" s="894"/>
      <c r="G103" s="895"/>
      <c r="H103" s="895"/>
      <c r="I103" s="894"/>
      <c r="J103" s="894"/>
      <c r="K103" s="895"/>
      <c r="L103" s="895"/>
      <c r="M103" s="894"/>
      <c r="N103" s="896"/>
      <c r="O103" s="896"/>
      <c r="P103" s="896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6"/>
      <c r="AB103" s="894"/>
      <c r="AC103" s="894"/>
      <c r="AD103" s="894"/>
      <c r="AE103" s="2151"/>
      <c r="AF103" s="894"/>
      <c r="AG103" s="894"/>
      <c r="AH103" s="894"/>
      <c r="AI103" s="894"/>
      <c r="AJ103" s="894"/>
      <c r="AK103" s="894"/>
      <c r="AL103" s="894"/>
      <c r="AM103" s="894"/>
      <c r="AN103" s="894"/>
      <c r="AO103" s="894"/>
      <c r="BK103" s="1318"/>
    </row>
    <row r="104" spans="1:101" s="9" customFormat="1" ht="11.25">
      <c r="A104" s="331"/>
      <c r="B104" s="62"/>
      <c r="C104" s="663"/>
      <c r="D104" s="663"/>
      <c r="E104" s="663"/>
      <c r="F104" s="894"/>
      <c r="G104" s="895"/>
      <c r="H104" s="895"/>
      <c r="I104" s="894"/>
      <c r="J104" s="894"/>
      <c r="K104" s="895"/>
      <c r="L104" s="895"/>
      <c r="M104" s="894"/>
      <c r="N104" s="896"/>
      <c r="O104" s="896"/>
      <c r="P104" s="896"/>
      <c r="Q104" s="894"/>
      <c r="R104" s="894"/>
      <c r="S104" s="894"/>
      <c r="T104" s="894"/>
      <c r="U104" s="894"/>
      <c r="V104" s="894"/>
      <c r="W104" s="894"/>
      <c r="X104" s="894"/>
      <c r="Y104" s="894"/>
      <c r="Z104" s="894"/>
      <c r="AA104" s="896"/>
      <c r="AB104" s="894"/>
      <c r="AC104" s="894"/>
      <c r="AD104" s="894"/>
      <c r="AE104" s="2151"/>
      <c r="AF104" s="894"/>
      <c r="AG104" s="894"/>
      <c r="AH104" s="894"/>
      <c r="AI104" s="894"/>
      <c r="AJ104" s="894"/>
      <c r="AK104" s="894"/>
      <c r="AL104" s="894"/>
      <c r="AM104" s="894"/>
      <c r="AN104" s="1504"/>
      <c r="AO104" s="966"/>
      <c r="AP104" s="872"/>
      <c r="AS104" s="1714"/>
      <c r="AT104" s="1714"/>
      <c r="AU104" s="1714"/>
      <c r="AV104" s="1714"/>
      <c r="AW104" s="1714"/>
      <c r="AX104" s="1714"/>
      <c r="AY104" s="1714"/>
      <c r="AZ104" s="1714"/>
      <c r="BA104" s="1714"/>
      <c r="BB104" s="1714"/>
      <c r="BC104" s="1714"/>
      <c r="BD104" s="1714"/>
      <c r="BE104" s="1714"/>
      <c r="BF104" s="1714"/>
      <c r="BG104" s="1714"/>
      <c r="BH104" s="1714"/>
      <c r="BI104" s="1714"/>
      <c r="BJ104" s="1714"/>
      <c r="BK104" s="1503"/>
    </row>
    <row r="105" spans="1:101" s="9" customFormat="1" ht="11.25">
      <c r="A105" s="530" t="s">
        <v>353</v>
      </c>
      <c r="B105" s="658">
        <f>IS!C102</f>
        <v>0</v>
      </c>
      <c r="C105" s="875">
        <f>IS!D102</f>
        <v>0</v>
      </c>
      <c r="D105" s="875">
        <f>IS!E102</f>
        <v>0</v>
      </c>
      <c r="E105" s="875">
        <f>IS!F102</f>
        <v>0</v>
      </c>
      <c r="F105" s="875">
        <f>IS!G102</f>
        <v>0</v>
      </c>
      <c r="G105" s="875">
        <f>IS!H102</f>
        <v>0</v>
      </c>
      <c r="H105" s="875">
        <f>IS!I102</f>
        <v>0</v>
      </c>
      <c r="I105" s="875">
        <f>IS!J102</f>
        <v>0</v>
      </c>
      <c r="J105" s="875">
        <f>IS!K102</f>
        <v>0</v>
      </c>
      <c r="K105" s="875">
        <f>IS!L102</f>
        <v>0</v>
      </c>
      <c r="L105" s="875">
        <f>IS!M102</f>
        <v>0</v>
      </c>
      <c r="M105" s="875">
        <f>IS!N102</f>
        <v>0</v>
      </c>
      <c r="N105" s="875">
        <f>IS!O102</f>
        <v>0</v>
      </c>
      <c r="O105" s="876">
        <f>IS!P102</f>
        <v>0</v>
      </c>
      <c r="P105" s="876">
        <f>IS!Q102</f>
        <v>0</v>
      </c>
      <c r="Q105" s="876">
        <f>IS!R102</f>
        <v>0</v>
      </c>
      <c r="R105" s="876">
        <f>IS!S102</f>
        <v>0</v>
      </c>
      <c r="S105" s="876">
        <f>IS!T102</f>
        <v>0</v>
      </c>
      <c r="T105" s="876">
        <f>IS!U102</f>
        <v>0</v>
      </c>
      <c r="U105" s="876">
        <f>IS!V102</f>
        <v>0</v>
      </c>
      <c r="V105" s="876">
        <f>IS!W102</f>
        <v>0</v>
      </c>
      <c r="W105" s="876">
        <f>IS!X102</f>
        <v>0</v>
      </c>
      <c r="X105" s="876">
        <f>IS!Y102</f>
        <v>0</v>
      </c>
      <c r="Y105" s="876">
        <f>IS!Z102</f>
        <v>1468</v>
      </c>
      <c r="Z105" s="876">
        <f>IS!AA102</f>
        <v>1328</v>
      </c>
      <c r="AA105" s="876">
        <f>IS!AB102</f>
        <v>1306</v>
      </c>
      <c r="AB105" s="876">
        <f>IS!AC102</f>
        <v>1392</v>
      </c>
      <c r="AC105" s="876">
        <f>IS!AD102</f>
        <v>1647</v>
      </c>
      <c r="AD105" s="876">
        <f>IS!AE102</f>
        <v>1798</v>
      </c>
      <c r="AE105" s="2152">
        <f>IS!AF102</f>
        <v>1789</v>
      </c>
      <c r="AF105" s="876">
        <f>IS!AG102</f>
        <v>1832</v>
      </c>
      <c r="AG105" s="876">
        <f>IS!AH102</f>
        <v>2172</v>
      </c>
      <c r="AH105" s="876">
        <f>IS!AI102</f>
        <v>2060</v>
      </c>
      <c r="AI105" s="876">
        <f>IS!AJ102</f>
        <v>1974</v>
      </c>
      <c r="AJ105" s="876">
        <f>IS!AK102</f>
        <v>2043</v>
      </c>
      <c r="AK105" s="876">
        <f>IS!AL102</f>
        <v>2493</v>
      </c>
      <c r="AL105" s="876">
        <f>IS!AM102</f>
        <v>2481</v>
      </c>
      <c r="AM105" s="972">
        <f>IS!AN102</f>
        <v>2358</v>
      </c>
      <c r="AN105" s="972">
        <f>IS!AO102</f>
        <v>2358</v>
      </c>
      <c r="AO105" s="972">
        <f>IS!AP102</f>
        <v>2690</v>
      </c>
      <c r="AP105" s="972">
        <f>IS!AQ102</f>
        <v>5033</v>
      </c>
      <c r="AQ105" s="972">
        <f>IS!AR102</f>
        <v>5242</v>
      </c>
      <c r="AR105" s="972">
        <f>IS!AS102</f>
        <v>5241</v>
      </c>
      <c r="AS105" s="972">
        <f>IS!AT102</f>
        <v>5691</v>
      </c>
      <c r="AT105" s="972">
        <f>IS!AU102</f>
        <v>4150</v>
      </c>
      <c r="AU105" s="972">
        <f>IS!AV102</f>
        <v>1648</v>
      </c>
      <c r="AV105" s="972">
        <f>IS!AW102</f>
        <v>4060</v>
      </c>
      <c r="AW105" s="972">
        <f>IS!AX102</f>
        <v>4002</v>
      </c>
      <c r="AX105" s="972">
        <f>IS!AY102</f>
        <v>3492</v>
      </c>
      <c r="AY105" s="972">
        <f>IS!AZ102</f>
        <v>4280</v>
      </c>
      <c r="AZ105" s="972">
        <f>IS!BA102</f>
        <v>4830</v>
      </c>
      <c r="BA105" s="972">
        <f>IS!BB102</f>
        <v>5812</v>
      </c>
      <c r="BB105" s="972">
        <f>IS!BC102</f>
        <v>5185</v>
      </c>
      <c r="BC105" s="972">
        <f>IS!BD102</f>
        <v>5421</v>
      </c>
      <c r="BD105" s="972">
        <f>IS!BE102</f>
        <v>5435</v>
      </c>
      <c r="BE105" s="972">
        <f>IS!BF102</f>
        <v>5935</v>
      </c>
      <c r="BF105" s="972">
        <f>IS!BG102</f>
        <v>5577</v>
      </c>
      <c r="BG105" s="972">
        <f>IS!BH102</f>
        <v>5658</v>
      </c>
      <c r="BH105" s="972">
        <f>IS!BI102</f>
        <v>5637</v>
      </c>
      <c r="BI105" s="972">
        <f>IS!BJ102</f>
        <v>6094</v>
      </c>
      <c r="BJ105" s="972">
        <f>IS!BK102</f>
        <v>5441</v>
      </c>
      <c r="BK105" s="1376">
        <f>IS!BL102</f>
        <v>5503</v>
      </c>
      <c r="BL105" s="660">
        <f t="shared" ref="BL105:BQ105" si="543">+BL108+BL119</f>
        <v>6119.6343958553243</v>
      </c>
      <c r="BM105" s="660">
        <f t="shared" si="543"/>
        <v>6971.3152094981424</v>
      </c>
      <c r="BN105" s="1910">
        <f t="shared" si="543"/>
        <v>6366.2554566755043</v>
      </c>
      <c r="BO105" s="660">
        <f t="shared" si="543"/>
        <v>6604.9012455139209</v>
      </c>
      <c r="BP105" s="660">
        <f t="shared" si="543"/>
        <v>7087.2832231708207</v>
      </c>
      <c r="BQ105" s="660">
        <f t="shared" si="543"/>
        <v>7873.55572854608</v>
      </c>
      <c r="BR105" s="660">
        <f t="shared" ref="BR105:CK105" si="544">+BR108+BR119</f>
        <v>7083.2530196240396</v>
      </c>
      <c r="BS105" s="660">
        <f t="shared" si="544"/>
        <v>7159.6937681955897</v>
      </c>
      <c r="BT105" s="660">
        <f t="shared" si="544"/>
        <v>7676.0149644626154</v>
      </c>
      <c r="BU105" s="660">
        <f t="shared" si="544"/>
        <v>8511.8833255033423</v>
      </c>
      <c r="BV105" s="660">
        <f t="shared" si="544"/>
        <v>7649.5238202365535</v>
      </c>
      <c r="BW105" s="660">
        <f t="shared" si="544"/>
        <v>7731.348745160547</v>
      </c>
      <c r="BX105" s="660">
        <f t="shared" si="544"/>
        <v>8288.426092445301</v>
      </c>
      <c r="BY105" s="660">
        <f t="shared" si="544"/>
        <v>9178.1476619895075</v>
      </c>
      <c r="BZ105" s="660">
        <f t="shared" si="544"/>
        <v>8233.0750907762722</v>
      </c>
      <c r="CA105" s="660">
        <f t="shared" si="544"/>
        <v>8320.4305685771651</v>
      </c>
      <c r="CB105" s="660">
        <f t="shared" si="544"/>
        <v>8919.5052655668169</v>
      </c>
      <c r="CC105" s="660">
        <f t="shared" si="544"/>
        <v>9871.1885608929679</v>
      </c>
      <c r="CD105" s="660">
        <f t="shared" si="544"/>
        <v>8852.6547137896268</v>
      </c>
      <c r="CE105" s="660">
        <f t="shared" si="544"/>
        <v>8945.8521507157438</v>
      </c>
      <c r="CF105" s="660">
        <f t="shared" si="544"/>
        <v>9589.4912169492636</v>
      </c>
      <c r="CG105" s="660">
        <f t="shared" si="544"/>
        <v>10606.785647565079</v>
      </c>
      <c r="CH105" s="660">
        <f t="shared" si="544"/>
        <v>9506.7841729233314</v>
      </c>
      <c r="CI105" s="660">
        <f t="shared" si="544"/>
        <v>9599.2222933886133</v>
      </c>
      <c r="CJ105" s="660">
        <f t="shared" si="544"/>
        <v>10282.038139322547</v>
      </c>
      <c r="CK105" s="660">
        <f t="shared" si="544"/>
        <v>11363.012923462811</v>
      </c>
      <c r="CL105" s="660">
        <f t="shared" ref="CL105:CW105" si="545">+CL108+CL119</f>
        <v>10182.738787180888</v>
      </c>
      <c r="CM105" s="660">
        <f t="shared" si="545"/>
        <v>10281.250026752235</v>
      </c>
      <c r="CN105" s="660">
        <f t="shared" si="545"/>
        <v>11012.370707245082</v>
      </c>
      <c r="CO105" s="660">
        <f t="shared" si="545"/>
        <v>12164.436896645097</v>
      </c>
      <c r="CP105" s="660">
        <f t="shared" si="545"/>
        <v>10899.025127055487</v>
      </c>
      <c r="CQ105" s="660">
        <f t="shared" si="545"/>
        <v>11003.947313917297</v>
      </c>
      <c r="CR105" s="660">
        <f t="shared" si="545"/>
        <v>11786.235841824133</v>
      </c>
      <c r="CS105" s="660">
        <f t="shared" si="545"/>
        <v>13013.457596067457</v>
      </c>
      <c r="CT105" s="660">
        <f t="shared" si="545"/>
        <v>11657.782934235824</v>
      </c>
      <c r="CU105" s="660">
        <f t="shared" si="545"/>
        <v>11769.471033916834</v>
      </c>
      <c r="CV105" s="660">
        <f t="shared" si="545"/>
        <v>12605.94163246344</v>
      </c>
      <c r="CW105" s="660">
        <f t="shared" si="545"/>
        <v>13902.768979184273</v>
      </c>
    </row>
    <row r="106" spans="1:101" s="9" customFormat="1" ht="11.25">
      <c r="A106" s="312" t="s">
        <v>950</v>
      </c>
      <c r="B106" s="347"/>
      <c r="C106" s="676"/>
      <c r="D106" s="676"/>
      <c r="E106" s="676"/>
      <c r="F106" s="676" t="str">
        <f t="shared" ref="F106:AK106" si="546">IF(ISERROR(F105/B105-1),"NM",F105/B105-1)</f>
        <v>NM</v>
      </c>
      <c r="G106" s="676" t="str">
        <f t="shared" si="546"/>
        <v>NM</v>
      </c>
      <c r="H106" s="676" t="str">
        <f t="shared" si="546"/>
        <v>NM</v>
      </c>
      <c r="I106" s="676" t="str">
        <f t="shared" si="546"/>
        <v>NM</v>
      </c>
      <c r="J106" s="676" t="str">
        <f t="shared" si="546"/>
        <v>NM</v>
      </c>
      <c r="K106" s="676" t="str">
        <f t="shared" si="546"/>
        <v>NM</v>
      </c>
      <c r="L106" s="676" t="str">
        <f t="shared" si="546"/>
        <v>NM</v>
      </c>
      <c r="M106" s="676" t="str">
        <f t="shared" si="546"/>
        <v>NM</v>
      </c>
      <c r="N106" s="676" t="str">
        <f t="shared" si="546"/>
        <v>NM</v>
      </c>
      <c r="O106" s="676" t="str">
        <f t="shared" si="546"/>
        <v>NM</v>
      </c>
      <c r="P106" s="676" t="str">
        <f t="shared" si="546"/>
        <v>NM</v>
      </c>
      <c r="Q106" s="676" t="str">
        <f t="shared" si="546"/>
        <v>NM</v>
      </c>
      <c r="R106" s="676" t="str">
        <f t="shared" si="546"/>
        <v>NM</v>
      </c>
      <c r="S106" s="676" t="str">
        <f t="shared" si="546"/>
        <v>NM</v>
      </c>
      <c r="T106" s="676" t="str">
        <f t="shared" si="546"/>
        <v>NM</v>
      </c>
      <c r="U106" s="676" t="str">
        <f t="shared" si="546"/>
        <v>NM</v>
      </c>
      <c r="V106" s="676" t="str">
        <f t="shared" si="546"/>
        <v>NM</v>
      </c>
      <c r="W106" s="676" t="str">
        <f t="shared" si="546"/>
        <v>NM</v>
      </c>
      <c r="X106" s="676" t="str">
        <f t="shared" si="546"/>
        <v>NM</v>
      </c>
      <c r="Y106" s="676" t="str">
        <f t="shared" si="546"/>
        <v>NM</v>
      </c>
      <c r="Z106" s="676" t="str">
        <f t="shared" si="546"/>
        <v>NM</v>
      </c>
      <c r="AA106" s="676" t="str">
        <f t="shared" si="546"/>
        <v>NM</v>
      </c>
      <c r="AB106" s="676" t="str">
        <f t="shared" si="546"/>
        <v>NM</v>
      </c>
      <c r="AC106" s="676">
        <f t="shared" si="546"/>
        <v>0.12193460490463215</v>
      </c>
      <c r="AD106" s="676">
        <f t="shared" si="546"/>
        <v>0.35391566265060237</v>
      </c>
      <c r="AE106" s="2148">
        <f t="shared" si="546"/>
        <v>0.36983154670750373</v>
      </c>
      <c r="AF106" s="676">
        <f t="shared" si="546"/>
        <v>0.31609195402298851</v>
      </c>
      <c r="AG106" s="676">
        <f t="shared" si="546"/>
        <v>0.31876138433515488</v>
      </c>
      <c r="AH106" s="676">
        <f t="shared" si="546"/>
        <v>0.14571746384872086</v>
      </c>
      <c r="AI106" s="676">
        <f t="shared" si="546"/>
        <v>0.10340972610396859</v>
      </c>
      <c r="AJ106" s="676">
        <f t="shared" si="546"/>
        <v>0.11517467248908297</v>
      </c>
      <c r="AK106" s="676">
        <f t="shared" si="546"/>
        <v>0.14779005524861888</v>
      </c>
      <c r="AL106" s="676">
        <f t="shared" ref="AL106:BQ106" si="547">IF(ISERROR(AL105/AH105-1),"NM",AL105/AH105-1)</f>
        <v>0.20436893203883488</v>
      </c>
      <c r="AM106" s="676">
        <f t="shared" si="547"/>
        <v>0.19452887537993924</v>
      </c>
      <c r="AN106" s="676">
        <f t="shared" si="547"/>
        <v>0.15418502202643181</v>
      </c>
      <c r="AO106" s="676">
        <f t="shared" si="547"/>
        <v>7.9021259526674603E-2</v>
      </c>
      <c r="AP106" s="676">
        <f t="shared" si="547"/>
        <v>1.0286174929463927</v>
      </c>
      <c r="AQ106" s="676">
        <f t="shared" si="547"/>
        <v>1.2230703986429177</v>
      </c>
      <c r="AR106" s="676">
        <f t="shared" si="547"/>
        <v>1.22264631043257</v>
      </c>
      <c r="AS106" s="676">
        <f t="shared" si="547"/>
        <v>1.1156133828996282</v>
      </c>
      <c r="AT106" s="676">
        <f t="shared" si="547"/>
        <v>-0.17544208225710312</v>
      </c>
      <c r="AU106" s="676">
        <f t="shared" si="547"/>
        <v>-0.68561617703166733</v>
      </c>
      <c r="AV106" s="676">
        <f t="shared" si="547"/>
        <v>-0.22533867582522416</v>
      </c>
      <c r="AW106" s="676">
        <f t="shared" si="547"/>
        <v>-0.29678439641539267</v>
      </c>
      <c r="AX106" s="676">
        <f t="shared" si="547"/>
        <v>-0.15855421686746984</v>
      </c>
      <c r="AY106" s="676">
        <f t="shared" si="547"/>
        <v>1.5970873786407767</v>
      </c>
      <c r="AZ106" s="676">
        <f t="shared" si="547"/>
        <v>0.18965517241379315</v>
      </c>
      <c r="BA106" s="676">
        <f t="shared" ref="BA106:BK106" si="548">IF(ISERROR(BA105/AW105-1),"NM",BA105/AW105-1)</f>
        <v>0.45227386306846573</v>
      </c>
      <c r="BB106" s="676">
        <f t="shared" si="548"/>
        <v>0.48482245131729673</v>
      </c>
      <c r="BC106" s="676">
        <f t="shared" si="548"/>
        <v>0.266588785046729</v>
      </c>
      <c r="BD106" s="676">
        <f t="shared" si="548"/>
        <v>0.12525879917184257</v>
      </c>
      <c r="BE106" s="676">
        <f t="shared" si="548"/>
        <v>2.1163110805230589E-2</v>
      </c>
      <c r="BF106" s="676">
        <f t="shared" si="548"/>
        <v>7.5602700096432107E-2</v>
      </c>
      <c r="BG106" s="676">
        <f t="shared" si="548"/>
        <v>4.3718871057000452E-2</v>
      </c>
      <c r="BH106" s="676">
        <f t="shared" si="548"/>
        <v>3.7166513339466523E-2</v>
      </c>
      <c r="BI106" s="676">
        <f t="shared" si="548"/>
        <v>2.6790227464195349E-2</v>
      </c>
      <c r="BJ106" s="676">
        <f t="shared" si="548"/>
        <v>-2.4385870539716747E-2</v>
      </c>
      <c r="BK106" s="1377">
        <f t="shared" si="548"/>
        <v>-2.7394839165783003E-2</v>
      </c>
      <c r="BL106" s="380">
        <f t="shared" si="547"/>
        <v>8.5619016472471943E-2</v>
      </c>
      <c r="BM106" s="380">
        <f t="shared" si="547"/>
        <v>0.14396376919890752</v>
      </c>
      <c r="BN106" s="380">
        <f t="shared" si="547"/>
        <v>0.17005246400946605</v>
      </c>
      <c r="BO106" s="380">
        <f t="shared" si="547"/>
        <v>0.20023646111465032</v>
      </c>
      <c r="BP106" s="380">
        <f t="shared" si="547"/>
        <v>0.15812199957089934</v>
      </c>
      <c r="BQ106" s="380">
        <f t="shared" si="547"/>
        <v>0.12942185110474846</v>
      </c>
      <c r="BR106" s="380">
        <f t="shared" ref="BR106:CK106" si="549">IF(ISERROR(BR105/BN105-1),"NM",BR105/BN105-1)</f>
        <v>0.11262469246293105</v>
      </c>
      <c r="BS106" s="380">
        <f t="shared" si="549"/>
        <v>8.3997095801922272E-2</v>
      </c>
      <c r="BT106" s="380">
        <f t="shared" si="549"/>
        <v>8.306874760797256E-2</v>
      </c>
      <c r="BU106" s="380">
        <f t="shared" si="549"/>
        <v>8.1072341260374214E-2</v>
      </c>
      <c r="BV106" s="380">
        <f t="shared" si="549"/>
        <v>7.9945019476739043E-2</v>
      </c>
      <c r="BW106" s="380">
        <f t="shared" si="549"/>
        <v>7.9843495472436521E-2</v>
      </c>
      <c r="BX106" s="380">
        <f t="shared" si="549"/>
        <v>7.978243018258091E-2</v>
      </c>
      <c r="BY106" s="380">
        <f t="shared" si="549"/>
        <v>7.8274608686176528E-2</v>
      </c>
      <c r="BZ106" s="380">
        <f t="shared" si="549"/>
        <v>7.628596030983692E-2</v>
      </c>
      <c r="CA106" s="380">
        <f t="shared" si="549"/>
        <v>7.6193927196125388E-2</v>
      </c>
      <c r="CB106" s="380">
        <f t="shared" si="549"/>
        <v>7.6139808219648497E-2</v>
      </c>
      <c r="CC106" s="380">
        <f t="shared" si="549"/>
        <v>7.5509887662150943E-2</v>
      </c>
      <c r="CD106" s="380">
        <f t="shared" si="549"/>
        <v>7.5254946199565964E-2</v>
      </c>
      <c r="CE106" s="380">
        <f t="shared" si="549"/>
        <v>7.5166973269452875E-2</v>
      </c>
      <c r="CF106" s="380">
        <f t="shared" si="549"/>
        <v>7.5114698790401002E-2</v>
      </c>
      <c r="CG106" s="380">
        <f t="shared" si="549"/>
        <v>7.4519606441958874E-2</v>
      </c>
      <c r="CH106" s="380">
        <f t="shared" si="549"/>
        <v>7.3890768394567319E-2</v>
      </c>
      <c r="CI106" s="380">
        <f t="shared" si="549"/>
        <v>7.3036098927768967E-2</v>
      </c>
      <c r="CJ106" s="380">
        <f t="shared" si="549"/>
        <v>7.2219360412908884E-2</v>
      </c>
      <c r="CK106" s="380">
        <f t="shared" si="549"/>
        <v>7.1296554962561487E-2</v>
      </c>
      <c r="CL106" s="380">
        <f t="shared" ref="CL106" si="550">IF(ISERROR(CL105/CH105-1),"NM",CL105/CH105-1)</f>
        <v>7.1102341439786887E-2</v>
      </c>
      <c r="CM106" s="380">
        <f t="shared" ref="CM106" si="551">IF(ISERROR(CM105/CI105-1),"NM",CM105/CI105-1)</f>
        <v>7.1050311422974577E-2</v>
      </c>
      <c r="CN106" s="380">
        <f t="shared" ref="CN106" si="552">IF(ISERROR(CN105/CJ105-1),"NM",CN105/CJ105-1)</f>
        <v>7.1029941537510632E-2</v>
      </c>
      <c r="CO106" s="380">
        <f t="shared" ref="CO106" si="553">IF(ISERROR(CO105/CK105-1),"NM",CO105/CK105-1)</f>
        <v>7.0529179063721026E-2</v>
      </c>
      <c r="CP106" s="380">
        <f t="shared" ref="CP106" si="554">IF(ISERROR(CP105/CL105-1),"NM",CP105/CL105-1)</f>
        <v>7.0343191045648457E-2</v>
      </c>
      <c r="CQ106" s="380">
        <f t="shared" ref="CQ106" si="555">IF(ISERROR(CQ105/CM105-1),"NM",CQ105/CM105-1)</f>
        <v>7.0292745073271545E-2</v>
      </c>
      <c r="CR106" s="380">
        <f t="shared" ref="CR106" si="556">IF(ISERROR(CR105/CN105-1),"NM",CR105/CN105-1)</f>
        <v>7.0272346904370231E-2</v>
      </c>
      <c r="CS106" s="380">
        <f t="shared" ref="CS106" si="557">IF(ISERROR(CS105/CO105-1),"NM",CS105/CO105-1)</f>
        <v>6.9795314541564846E-2</v>
      </c>
      <c r="CT106" s="380">
        <f t="shared" ref="CT106" si="558">IF(ISERROR(CT105/CP105-1),"NM",CT105/CP105-1)</f>
        <v>6.9617034398499866E-2</v>
      </c>
      <c r="CU106" s="380">
        <f t="shared" ref="CU106" si="559">IF(ISERROR(CU105/CQ105-1),"NM",CU105/CQ105-1)</f>
        <v>6.9568101169599217E-2</v>
      </c>
      <c r="CV106" s="380">
        <f t="shared" ref="CV106" si="560">IF(ISERROR(CV105/CR105-1),"NM",CV105/CR105-1)</f>
        <v>6.954771664508308E-2</v>
      </c>
      <c r="CW106" s="380">
        <f t="shared" ref="CW106" si="561">IF(ISERROR(CW105/CS105-1),"NM",CW105/CS105-1)</f>
        <v>6.8337824636671263E-2</v>
      </c>
    </row>
    <row r="107" spans="1:101" s="9" customFormat="1" ht="11.25">
      <c r="A107" s="661"/>
      <c r="B107" s="347"/>
      <c r="C107" s="676"/>
      <c r="D107" s="676"/>
      <c r="E107" s="676"/>
      <c r="F107" s="676"/>
      <c r="G107" s="676"/>
      <c r="H107" s="676"/>
      <c r="I107" s="676"/>
      <c r="J107" s="676"/>
      <c r="K107" s="676"/>
      <c r="L107" s="676"/>
      <c r="M107" s="676"/>
      <c r="N107" s="676"/>
      <c r="O107" s="676"/>
      <c r="P107" s="676"/>
      <c r="Q107" s="676"/>
      <c r="R107" s="676"/>
      <c r="S107" s="676"/>
      <c r="T107" s="676"/>
      <c r="U107" s="676"/>
      <c r="V107" s="676"/>
      <c r="W107" s="676"/>
      <c r="X107" s="676"/>
      <c r="Y107" s="676"/>
      <c r="Z107" s="676"/>
      <c r="AA107" s="676"/>
      <c r="AB107" s="676"/>
      <c r="AC107" s="676"/>
      <c r="AD107" s="676"/>
      <c r="AE107" s="2148"/>
      <c r="AF107" s="676"/>
      <c r="AG107" s="676"/>
      <c r="AH107" s="676"/>
      <c r="AI107" s="676"/>
      <c r="AJ107" s="676"/>
      <c r="AK107" s="676"/>
      <c r="AL107" s="676"/>
      <c r="AM107" s="676"/>
      <c r="AN107" s="676"/>
      <c r="AO107" s="676"/>
      <c r="AP107" s="380"/>
      <c r="AQ107" s="380"/>
      <c r="AR107" s="380"/>
      <c r="AS107" s="380"/>
      <c r="AT107" s="380"/>
      <c r="AU107" s="380"/>
      <c r="AV107" s="380"/>
      <c r="AW107" s="380"/>
      <c r="AX107" s="380"/>
      <c r="AY107" s="380"/>
      <c r="AZ107" s="380"/>
      <c r="BA107" s="380"/>
      <c r="BB107" s="380"/>
      <c r="BC107" s="380"/>
      <c r="BD107" s="380"/>
      <c r="BE107" s="380"/>
      <c r="BF107" s="380"/>
      <c r="BG107" s="380"/>
      <c r="BH107" s="380"/>
      <c r="BI107" s="380"/>
      <c r="BJ107" s="380"/>
      <c r="BK107" s="1365"/>
      <c r="BL107" s="380"/>
      <c r="BM107" s="380"/>
      <c r="BN107" s="380"/>
      <c r="BO107" s="380"/>
      <c r="BP107" s="380"/>
      <c r="BQ107" s="380"/>
      <c r="BR107" s="380"/>
      <c r="BS107" s="380"/>
      <c r="BT107" s="380"/>
      <c r="BU107" s="380"/>
      <c r="BV107" s="380"/>
      <c r="BW107" s="380"/>
      <c r="BX107" s="380"/>
      <c r="BY107" s="380"/>
      <c r="BZ107" s="380"/>
      <c r="CA107" s="380"/>
      <c r="CB107" s="380"/>
      <c r="CC107" s="380"/>
      <c r="CD107" s="380"/>
      <c r="CE107" s="380"/>
      <c r="CF107" s="380"/>
      <c r="CG107" s="380"/>
      <c r="CH107" s="380"/>
      <c r="CI107" s="380"/>
      <c r="CJ107" s="380"/>
      <c r="CK107" s="380"/>
      <c r="CL107" s="380"/>
      <c r="CM107" s="380"/>
      <c r="CN107" s="380"/>
      <c r="CO107" s="380"/>
      <c r="CP107" s="380"/>
      <c r="CQ107" s="380"/>
      <c r="CR107" s="380"/>
      <c r="CS107" s="380"/>
      <c r="CT107" s="380"/>
      <c r="CU107" s="380"/>
      <c r="CV107" s="380"/>
      <c r="CW107" s="380"/>
    </row>
    <row r="108" spans="1:101" s="9" customFormat="1" ht="11.25">
      <c r="A108" s="674" t="s">
        <v>739</v>
      </c>
      <c r="B108" s="875">
        <f t="shared" ref="B108:AT108" si="562">IFERROR(B105-B119,"NM")</f>
        <v>0</v>
      </c>
      <c r="C108" s="875">
        <f t="shared" si="562"/>
        <v>0</v>
      </c>
      <c r="D108" s="875">
        <f t="shared" si="562"/>
        <v>0</v>
      </c>
      <c r="E108" s="875">
        <f t="shared" si="562"/>
        <v>0</v>
      </c>
      <c r="F108" s="875">
        <f t="shared" si="562"/>
        <v>0</v>
      </c>
      <c r="G108" s="875">
        <f t="shared" si="562"/>
        <v>0</v>
      </c>
      <c r="H108" s="875">
        <f t="shared" si="562"/>
        <v>0</v>
      </c>
      <c r="I108" s="875">
        <f t="shared" si="562"/>
        <v>0</v>
      </c>
      <c r="J108" s="875">
        <f t="shared" si="562"/>
        <v>0</v>
      </c>
      <c r="K108" s="875">
        <f t="shared" si="562"/>
        <v>0</v>
      </c>
      <c r="L108" s="875">
        <f t="shared" si="562"/>
        <v>0</v>
      </c>
      <c r="M108" s="875">
        <f t="shared" si="562"/>
        <v>0</v>
      </c>
      <c r="N108" s="875">
        <f t="shared" si="562"/>
        <v>0</v>
      </c>
      <c r="O108" s="876">
        <f t="shared" si="562"/>
        <v>0</v>
      </c>
      <c r="P108" s="876">
        <f t="shared" si="562"/>
        <v>0</v>
      </c>
      <c r="Q108" s="876">
        <f t="shared" si="562"/>
        <v>0</v>
      </c>
      <c r="R108" s="876">
        <f t="shared" si="562"/>
        <v>0</v>
      </c>
      <c r="S108" s="876">
        <f t="shared" si="562"/>
        <v>0</v>
      </c>
      <c r="T108" s="876">
        <f t="shared" si="562"/>
        <v>0</v>
      </c>
      <c r="U108" s="876">
        <f t="shared" si="562"/>
        <v>0</v>
      </c>
      <c r="V108" s="876">
        <f t="shared" si="562"/>
        <v>0</v>
      </c>
      <c r="W108" s="876">
        <f t="shared" si="562"/>
        <v>0</v>
      </c>
      <c r="X108" s="876">
        <f t="shared" si="562"/>
        <v>0</v>
      </c>
      <c r="Y108" s="876">
        <f t="shared" si="562"/>
        <v>1438.0019461563413</v>
      </c>
      <c r="Z108" s="876">
        <f t="shared" si="562"/>
        <v>1300.5840342286356</v>
      </c>
      <c r="AA108" s="876">
        <f t="shared" si="562"/>
        <v>1278.7573699833285</v>
      </c>
      <c r="AB108" s="876">
        <f t="shared" si="562"/>
        <v>1362.406378741827</v>
      </c>
      <c r="AC108" s="876">
        <f t="shared" si="562"/>
        <v>1611.3316869300911</v>
      </c>
      <c r="AD108" s="876">
        <f t="shared" si="562"/>
        <v>1760.5705474171164</v>
      </c>
      <c r="AE108" s="2152">
        <f t="shared" si="562"/>
        <v>1753.0860837019395</v>
      </c>
      <c r="AF108" s="876">
        <f t="shared" si="562"/>
        <v>1794.9936245889537</v>
      </c>
      <c r="AG108" s="876">
        <f t="shared" si="562"/>
        <v>2128.4379695564121</v>
      </c>
      <c r="AH108" s="876">
        <f t="shared" si="562"/>
        <v>2019.6505166184209</v>
      </c>
      <c r="AI108" s="876">
        <f t="shared" si="562"/>
        <v>1935.1870800033184</v>
      </c>
      <c r="AJ108" s="876">
        <f t="shared" si="562"/>
        <v>2002.3709788930009</v>
      </c>
      <c r="AK108" s="876">
        <f t="shared" si="562"/>
        <v>2444.1176470588234</v>
      </c>
      <c r="AL108" s="876">
        <f t="shared" si="562"/>
        <v>2433.4993567124825</v>
      </c>
      <c r="AM108" s="972">
        <f t="shared" si="562"/>
        <v>2314.0912244732122</v>
      </c>
      <c r="AN108" s="972">
        <f t="shared" si="562"/>
        <v>2314.7716396299115</v>
      </c>
      <c r="AO108" s="972">
        <f t="shared" si="562"/>
        <v>2640.962707017753</v>
      </c>
      <c r="AP108" s="972">
        <f t="shared" si="562"/>
        <v>4920.9084098287458</v>
      </c>
      <c r="AQ108" s="972">
        <f t="shared" si="562"/>
        <v>5114.5872909475747</v>
      </c>
      <c r="AR108" s="972">
        <f t="shared" si="562"/>
        <v>5112.9461626512139</v>
      </c>
      <c r="AS108" s="972">
        <f t="shared" si="562"/>
        <v>5549.674716487868</v>
      </c>
      <c r="AT108" s="972">
        <f t="shared" si="562"/>
        <v>4045.8472305757559</v>
      </c>
      <c r="AU108" s="972">
        <f t="shared" ref="AU108:BC108" si="563">IFERROR(AU105-AU119,"NM")</f>
        <v>1606.2705063433873</v>
      </c>
      <c r="AV108" s="972">
        <f t="shared" si="563"/>
        <v>3955.3590791558927</v>
      </c>
      <c r="AW108" s="972">
        <f t="shared" si="563"/>
        <v>3897.8880169564231</v>
      </c>
      <c r="AX108" s="972">
        <f t="shared" si="563"/>
        <v>3400.9722386896797</v>
      </c>
      <c r="AY108" s="972">
        <f t="shared" si="563"/>
        <v>4167.8372091713463</v>
      </c>
      <c r="AZ108" s="972">
        <f t="shared" si="563"/>
        <v>4701.1188932801888</v>
      </c>
      <c r="BA108" s="972">
        <f t="shared" si="563"/>
        <v>5654.5497578864415</v>
      </c>
      <c r="BB108" s="972">
        <f t="shared" si="563"/>
        <v>5043.7548713683345</v>
      </c>
      <c r="BC108" s="972">
        <f t="shared" si="563"/>
        <v>5274.1099865524811</v>
      </c>
      <c r="BD108" s="972">
        <f t="shared" ref="BD108:BG108" si="564">IFERROR(BD105-BD119,"NM")</f>
        <v>5290.4754230459312</v>
      </c>
      <c r="BE108" s="972">
        <f t="shared" si="564"/>
        <v>5780.2885823491288</v>
      </c>
      <c r="BF108" s="972">
        <f t="shared" si="564"/>
        <v>5433.3236433347211</v>
      </c>
      <c r="BG108" s="972">
        <f t="shared" si="564"/>
        <v>5513.5983312447952</v>
      </c>
      <c r="BH108" s="972">
        <f t="shared" ref="BH108" si="565">IFERROR(BH105-BH119,"NM")</f>
        <v>5493.6570983989186</v>
      </c>
      <c r="BI108" s="972">
        <f t="shared" ref="BI108" si="566">IFERROR(BI105-BI119,"NM")</f>
        <v>5940.0321551511242</v>
      </c>
      <c r="BJ108" s="972">
        <f t="shared" ref="BJ108" si="567">IFERROR(BJ105-BJ119,"NM")</f>
        <v>5305.0893104282359</v>
      </c>
      <c r="BK108" s="1376">
        <f t="shared" ref="BK108" si="568">IFERROR(BK105-BK119,"NM")</f>
        <v>5366.3064321921775</v>
      </c>
      <c r="BL108" s="660">
        <f t="shared" ref="BL108:BQ108" si="569">+BL111+BL116</f>
        <v>5969.8079605637213</v>
      </c>
      <c r="BM108" s="660">
        <f t="shared" si="569"/>
        <v>6797.3228404759411</v>
      </c>
      <c r="BN108" s="660">
        <f t="shared" si="569"/>
        <v>6204.6939156960061</v>
      </c>
      <c r="BO108" s="660">
        <f t="shared" si="569"/>
        <v>6437.1664909258025</v>
      </c>
      <c r="BP108" s="660">
        <f t="shared" si="569"/>
        <v>6912.7534214679263</v>
      </c>
      <c r="BQ108" s="660">
        <f t="shared" si="569"/>
        <v>7688.9590914240698</v>
      </c>
      <c r="BR108" s="660">
        <f t="shared" ref="BR108:CK108" si="570">+BR111+BR116</f>
        <v>6920.9074987117428</v>
      </c>
      <c r="BS108" s="660">
        <f t="shared" si="570"/>
        <v>6999.997631685751</v>
      </c>
      <c r="BT108" s="660">
        <f t="shared" si="570"/>
        <v>7504.9499828531534</v>
      </c>
      <c r="BU108" s="660">
        <f t="shared" si="570"/>
        <v>8327.0749666958527</v>
      </c>
      <c r="BV108" s="660">
        <f t="shared" si="570"/>
        <v>7484.8603363840457</v>
      </c>
      <c r="BW108" s="660">
        <f t="shared" si="570"/>
        <v>7565.3490764465969</v>
      </c>
      <c r="BX108" s="660">
        <f t="shared" si="570"/>
        <v>8110.6191875196537</v>
      </c>
      <c r="BY108" s="660">
        <f t="shared" si="570"/>
        <v>8986.3827068753835</v>
      </c>
      <c r="BZ108" s="660">
        <f t="shared" si="570"/>
        <v>8062.6767540786086</v>
      </c>
      <c r="CA108" s="660">
        <f t="shared" si="570"/>
        <v>8148.6574903836099</v>
      </c>
      <c r="CB108" s="660">
        <f t="shared" si="570"/>
        <v>8735.5227918345845</v>
      </c>
      <c r="CC108" s="660">
        <f t="shared" si="570"/>
        <v>9672.7746134588506</v>
      </c>
      <c r="CD108" s="660">
        <f t="shared" si="570"/>
        <v>8676.358240096517</v>
      </c>
      <c r="CE108" s="660">
        <f t="shared" si="570"/>
        <v>8768.141372287495</v>
      </c>
      <c r="CF108" s="660">
        <f t="shared" si="570"/>
        <v>9399.1575368077429</v>
      </c>
      <c r="CG108" s="660">
        <f t="shared" si="570"/>
        <v>10401.533735948949</v>
      </c>
      <c r="CH108" s="660">
        <f t="shared" si="570"/>
        <v>9324.4220455326595</v>
      </c>
      <c r="CI108" s="660">
        <f t="shared" si="570"/>
        <v>9415.4052666008611</v>
      </c>
      <c r="CJ108" s="660">
        <f t="shared" si="570"/>
        <v>10085.173065120507</v>
      </c>
      <c r="CK108" s="660">
        <f t="shared" si="570"/>
        <v>11150.566012470419</v>
      </c>
      <c r="CL108" s="660">
        <f t="shared" ref="CL108:CW108" si="571">+CL111+CL116</f>
        <v>9993.8503326805712</v>
      </c>
      <c r="CM108" s="660">
        <f t="shared" si="571"/>
        <v>10090.863618446134</v>
      </c>
      <c r="CN108" s="660">
        <f t="shared" si="571"/>
        <v>10808.479524620854</v>
      </c>
      <c r="CO108" s="660">
        <f t="shared" si="571"/>
        <v>11944.423171669856</v>
      </c>
      <c r="CP108" s="660">
        <f t="shared" si="571"/>
        <v>10703.422525576458</v>
      </c>
      <c r="CQ108" s="660">
        <f t="shared" si="571"/>
        <v>10806.802565406466</v>
      </c>
      <c r="CR108" s="660">
        <f t="shared" si="571"/>
        <v>11575.116561843366</v>
      </c>
      <c r="CS108" s="660">
        <f t="shared" si="571"/>
        <v>12785.659695633143</v>
      </c>
      <c r="CT108" s="660">
        <f t="shared" si="571"/>
        <v>11455.273469390744</v>
      </c>
      <c r="CU108" s="660">
        <f t="shared" si="571"/>
        <v>11565.374061693579</v>
      </c>
      <c r="CV108" s="660">
        <f t="shared" si="571"/>
        <v>12387.387003242022</v>
      </c>
      <c r="CW108" s="660">
        <f t="shared" si="571"/>
        <v>13667.137012199326</v>
      </c>
    </row>
    <row r="109" spans="1:101" s="9" customFormat="1" ht="11.25">
      <c r="A109" s="665" t="s">
        <v>950</v>
      </c>
      <c r="B109" s="347"/>
      <c r="C109" s="676"/>
      <c r="D109" s="676"/>
      <c r="E109" s="676"/>
      <c r="F109" s="676" t="str">
        <f t="shared" ref="F109:AZ109" si="572">IFERROR(F108/B108-1,"NM")</f>
        <v>NM</v>
      </c>
      <c r="G109" s="676" t="str">
        <f t="shared" si="572"/>
        <v>NM</v>
      </c>
      <c r="H109" s="676" t="str">
        <f t="shared" si="572"/>
        <v>NM</v>
      </c>
      <c r="I109" s="676" t="str">
        <f t="shared" si="572"/>
        <v>NM</v>
      </c>
      <c r="J109" s="676" t="str">
        <f t="shared" si="572"/>
        <v>NM</v>
      </c>
      <c r="K109" s="676" t="str">
        <f t="shared" si="572"/>
        <v>NM</v>
      </c>
      <c r="L109" s="676" t="str">
        <f t="shared" si="572"/>
        <v>NM</v>
      </c>
      <c r="M109" s="676" t="str">
        <f t="shared" si="572"/>
        <v>NM</v>
      </c>
      <c r="N109" s="676" t="str">
        <f t="shared" si="572"/>
        <v>NM</v>
      </c>
      <c r="O109" s="676" t="str">
        <f t="shared" si="572"/>
        <v>NM</v>
      </c>
      <c r="P109" s="676" t="str">
        <f t="shared" si="572"/>
        <v>NM</v>
      </c>
      <c r="Q109" s="676" t="str">
        <f t="shared" si="572"/>
        <v>NM</v>
      </c>
      <c r="R109" s="676" t="str">
        <f t="shared" si="572"/>
        <v>NM</v>
      </c>
      <c r="S109" s="676" t="str">
        <f t="shared" si="572"/>
        <v>NM</v>
      </c>
      <c r="T109" s="676" t="str">
        <f t="shared" si="572"/>
        <v>NM</v>
      </c>
      <c r="U109" s="676" t="str">
        <f t="shared" si="572"/>
        <v>NM</v>
      </c>
      <c r="V109" s="676" t="str">
        <f t="shared" si="572"/>
        <v>NM</v>
      </c>
      <c r="W109" s="676" t="str">
        <f t="shared" si="572"/>
        <v>NM</v>
      </c>
      <c r="X109" s="676" t="str">
        <f t="shared" si="572"/>
        <v>NM</v>
      </c>
      <c r="Y109" s="676" t="str">
        <f t="shared" si="572"/>
        <v>NM</v>
      </c>
      <c r="Z109" s="676" t="str">
        <f t="shared" si="572"/>
        <v>NM</v>
      </c>
      <c r="AA109" s="676" t="str">
        <f t="shared" si="572"/>
        <v>NM</v>
      </c>
      <c r="AB109" s="676" t="str">
        <f t="shared" si="572"/>
        <v>NM</v>
      </c>
      <c r="AC109" s="676">
        <f t="shared" si="572"/>
        <v>0.12053512252681275</v>
      </c>
      <c r="AD109" s="676">
        <f t="shared" si="572"/>
        <v>0.35367688752329984</v>
      </c>
      <c r="AE109" s="2148">
        <f t="shared" si="572"/>
        <v>0.3709294076051306</v>
      </c>
      <c r="AF109" s="676">
        <f t="shared" si="572"/>
        <v>0.31751704381083279</v>
      </c>
      <c r="AG109" s="676">
        <f t="shared" si="572"/>
        <v>0.32091858356705671</v>
      </c>
      <c r="AH109" s="676">
        <f t="shared" si="572"/>
        <v>0.14715682344078362</v>
      </c>
      <c r="AI109" s="676">
        <f t="shared" si="572"/>
        <v>0.10387453188655837</v>
      </c>
      <c r="AJ109" s="676">
        <f t="shared" si="572"/>
        <v>0.11553096983925815</v>
      </c>
      <c r="AK109" s="676">
        <f t="shared" si="572"/>
        <v>0.14831518795363441</v>
      </c>
      <c r="AL109" s="676">
        <f t="shared" si="572"/>
        <v>0.20491111540772144</v>
      </c>
      <c r="AM109" s="715">
        <f t="shared" si="572"/>
        <v>0.19579716523802126</v>
      </c>
      <c r="AN109" s="715">
        <f t="shared" si="572"/>
        <v>0.156015375786968</v>
      </c>
      <c r="AO109" s="715">
        <f t="shared" si="572"/>
        <v>8.0538291679947083E-2</v>
      </c>
      <c r="AP109" s="715">
        <f t="shared" si="572"/>
        <v>1.0221531582718844</v>
      </c>
      <c r="AQ109" s="715">
        <f t="shared" si="572"/>
        <v>1.2101925960640889</v>
      </c>
      <c r="AR109" s="715">
        <f t="shared" si="572"/>
        <v>1.2088339407288911</v>
      </c>
      <c r="AS109" s="715">
        <f t="shared" si="572"/>
        <v>1.1013832197406193</v>
      </c>
      <c r="AT109" s="715">
        <f t="shared" si="572"/>
        <v>-0.17782513031642533</v>
      </c>
      <c r="AU109" s="715">
        <f t="shared" si="572"/>
        <v>-0.68594328047028108</v>
      </c>
      <c r="AV109" s="715">
        <f t="shared" si="572"/>
        <v>-0.22640314344618051</v>
      </c>
      <c r="AW109" s="715">
        <f t="shared" si="572"/>
        <v>-0.2976366695193956</v>
      </c>
      <c r="AX109" s="715">
        <f t="shared" si="572"/>
        <v>-0.15939182948198105</v>
      </c>
      <c r="AY109" s="715">
        <f t="shared" si="572"/>
        <v>1.5947293389948785</v>
      </c>
      <c r="AZ109" s="715">
        <f t="shared" si="572"/>
        <v>0.18854414964606647</v>
      </c>
      <c r="BA109" s="715">
        <f t="shared" ref="BA109:BK109" si="573">IFERROR(BA108/AW108-1,"NM")</f>
        <v>0.45067014067317079</v>
      </c>
      <c r="BB109" s="715">
        <f t="shared" si="573"/>
        <v>0.4830332379636193</v>
      </c>
      <c r="BC109" s="715">
        <f t="shared" si="573"/>
        <v>0.26543089901562755</v>
      </c>
      <c r="BD109" s="715">
        <f t="shared" si="573"/>
        <v>0.12536516160188427</v>
      </c>
      <c r="BE109" s="715">
        <f t="shared" si="573"/>
        <v>2.2236752676429772E-2</v>
      </c>
      <c r="BF109" s="715">
        <f t="shared" si="573"/>
        <v>7.7237847972714713E-2</v>
      </c>
      <c r="BG109" s="715">
        <f t="shared" si="573"/>
        <v>4.540829548548353E-2</v>
      </c>
      <c r="BH109" s="715">
        <f t="shared" si="573"/>
        <v>3.8405182730441245E-2</v>
      </c>
      <c r="BI109" s="715">
        <f t="shared" si="573"/>
        <v>2.7635916533612859E-2</v>
      </c>
      <c r="BJ109" s="715">
        <f t="shared" si="573"/>
        <v>-2.3601453056048882E-2</v>
      </c>
      <c r="BK109" s="1361">
        <f t="shared" si="573"/>
        <v>-2.6714296218847688E-2</v>
      </c>
      <c r="BL109" s="380">
        <f t="shared" ref="BL109:BQ109" si="574">BL108/BH108-1</f>
        <v>8.6672839901779319E-2</v>
      </c>
      <c r="BM109" s="380">
        <f t="shared" si="574"/>
        <v>0.14432424992537873</v>
      </c>
      <c r="BN109" s="380">
        <f t="shared" si="574"/>
        <v>0.16957388511809102</v>
      </c>
      <c r="BO109" s="380">
        <f t="shared" si="574"/>
        <v>0.19955253623043112</v>
      </c>
      <c r="BP109" s="380">
        <f t="shared" si="574"/>
        <v>0.15795239430367936</v>
      </c>
      <c r="BQ109" s="380">
        <f t="shared" si="574"/>
        <v>0.13117462151991854</v>
      </c>
      <c r="BR109" s="380">
        <f t="shared" ref="BR109:CK109" si="575">BR108/BN108-1</f>
        <v>0.11543092902680208</v>
      </c>
      <c r="BS109" s="380">
        <f t="shared" si="575"/>
        <v>8.7434609863415336E-2</v>
      </c>
      <c r="BT109" s="380">
        <f t="shared" si="575"/>
        <v>8.5667247951609182E-2</v>
      </c>
      <c r="BU109" s="380">
        <f t="shared" si="575"/>
        <v>8.2991191354303107E-2</v>
      </c>
      <c r="BV109" s="380">
        <f t="shared" si="575"/>
        <v>8.1485388697548178E-2</v>
      </c>
      <c r="BW109" s="380">
        <f t="shared" si="575"/>
        <v>8.0764519433801141E-2</v>
      </c>
      <c r="BX109" s="380">
        <f t="shared" si="575"/>
        <v>8.0702630403972853E-2</v>
      </c>
      <c r="BY109" s="380">
        <f t="shared" si="575"/>
        <v>7.9176390607317959E-2</v>
      </c>
      <c r="BZ109" s="380">
        <f t="shared" si="575"/>
        <v>7.7198022638550245E-2</v>
      </c>
      <c r="CA109" s="380">
        <f t="shared" si="575"/>
        <v>7.7102643651043579E-2</v>
      </c>
      <c r="CB109" s="380">
        <f t="shared" si="575"/>
        <v>7.7047582911611956E-2</v>
      </c>
      <c r="CC109" s="380">
        <f t="shared" si="575"/>
        <v>7.638133484547871E-2</v>
      </c>
      <c r="CD109" s="380">
        <f t="shared" si="575"/>
        <v>7.6113864506284434E-2</v>
      </c>
      <c r="CE109" s="380">
        <f t="shared" si="575"/>
        <v>7.6022815124448417E-2</v>
      </c>
      <c r="CF109" s="380">
        <f t="shared" si="575"/>
        <v>7.5969665558366151E-2</v>
      </c>
      <c r="CG109" s="380">
        <f t="shared" si="575"/>
        <v>7.534126986439782E-2</v>
      </c>
      <c r="CH109" s="380">
        <f t="shared" si="575"/>
        <v>7.4693066780162631E-2</v>
      </c>
      <c r="CI109" s="380">
        <f t="shared" si="575"/>
        <v>7.3819965581200853E-2</v>
      </c>
      <c r="CJ109" s="380">
        <f t="shared" si="575"/>
        <v>7.2986916713150052E-2</v>
      </c>
      <c r="CK109" s="380">
        <f t="shared" si="575"/>
        <v>7.2011714381382541E-2</v>
      </c>
      <c r="CL109" s="380">
        <f t="shared" ref="CL109" si="576">CL108/CH108-1</f>
        <v>7.1793005923475484E-2</v>
      </c>
      <c r="CM109" s="380">
        <f t="shared" ref="CM109" si="577">CM108/CI108-1</f>
        <v>7.1739700280487817E-2</v>
      </c>
      <c r="CN109" s="380">
        <f t="shared" ref="CN109" si="578">CN108/CJ108-1</f>
        <v>7.1719786545051623E-2</v>
      </c>
      <c r="CO109" s="380">
        <f t="shared" ref="CO109" si="579">CO108/CK108-1</f>
        <v>7.1194337427500365E-2</v>
      </c>
      <c r="CP109" s="380">
        <f t="shared" ref="CP109" si="580">CP108/CL108-1</f>
        <v>7.1000882470246385E-2</v>
      </c>
      <c r="CQ109" s="380">
        <f t="shared" ref="CQ109" si="581">CQ108/CM108-1</f>
        <v>7.0949224370805419E-2</v>
      </c>
      <c r="CR109" s="380">
        <f t="shared" ref="CR109" si="582">CR108/CN108-1</f>
        <v>7.092922140215685E-2</v>
      </c>
      <c r="CS109" s="380">
        <f t="shared" ref="CS109" si="583">CS108/CO108-1</f>
        <v>7.0429229764611634E-2</v>
      </c>
      <c r="CT109" s="380">
        <f t="shared" ref="CT109" si="584">CT108/CP108-1</f>
        <v>7.0243974954524502E-2</v>
      </c>
      <c r="CU109" s="380">
        <f t="shared" ref="CU109" si="585">CU108/CQ108-1</f>
        <v>7.0193888682242411E-2</v>
      </c>
      <c r="CV109" s="380">
        <f t="shared" ref="CV109" si="586">CV108/CR108-1</f>
        <v>7.0173845512385924E-2</v>
      </c>
      <c r="CW109" s="380">
        <f t="shared" ref="CW109" si="587">CW108/CS108-1</f>
        <v>6.8942654313507656E-2</v>
      </c>
    </row>
    <row r="110" spans="1:101" s="9" customFormat="1" ht="11.25">
      <c r="A110" s="662"/>
      <c r="B110" s="347"/>
      <c r="C110" s="676"/>
      <c r="D110" s="676"/>
      <c r="E110" s="676"/>
      <c r="F110" s="676"/>
      <c r="G110" s="676"/>
      <c r="H110" s="676"/>
      <c r="I110" s="676"/>
      <c r="J110" s="676"/>
      <c r="K110" s="676"/>
      <c r="L110" s="676"/>
      <c r="M110" s="676"/>
      <c r="N110" s="676"/>
      <c r="O110" s="676"/>
      <c r="P110" s="676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2148"/>
      <c r="AF110" s="676"/>
      <c r="AG110" s="676"/>
      <c r="AH110" s="897"/>
      <c r="AI110" s="676"/>
      <c r="AJ110" s="676"/>
      <c r="AK110" s="676"/>
      <c r="AL110" s="676"/>
      <c r="AM110" s="676"/>
      <c r="AN110" s="676"/>
      <c r="AO110" s="676"/>
      <c r="AP110" s="380"/>
      <c r="AQ110" s="380"/>
      <c r="AR110" s="380"/>
      <c r="AS110" s="380"/>
      <c r="AT110" s="380"/>
      <c r="AU110" s="380"/>
      <c r="AV110" s="380"/>
      <c r="AW110" s="380"/>
      <c r="AX110" s="380"/>
      <c r="AY110" s="380"/>
      <c r="AZ110" s="380"/>
      <c r="BA110" s="380"/>
      <c r="BB110" s="380"/>
      <c r="BC110" s="380"/>
      <c r="BD110" s="380"/>
      <c r="BE110" s="380"/>
      <c r="BF110" s="380"/>
      <c r="BG110" s="380"/>
      <c r="BH110" s="380"/>
      <c r="BI110" s="380"/>
      <c r="BJ110" s="380"/>
      <c r="BK110" s="1365"/>
      <c r="BL110" s="380"/>
      <c r="BM110" s="380"/>
      <c r="BN110" s="380"/>
      <c r="BO110" s="380"/>
      <c r="BP110" s="380"/>
      <c r="BQ110" s="380"/>
      <c r="BR110" s="380"/>
      <c r="BS110" s="380"/>
      <c r="BT110" s="380"/>
      <c r="BU110" s="380"/>
      <c r="BV110" s="380"/>
      <c r="BW110" s="380"/>
      <c r="BX110" s="380"/>
      <c r="BY110" s="380"/>
      <c r="BZ110" s="380"/>
      <c r="CA110" s="380"/>
      <c r="CB110" s="380"/>
      <c r="CC110" s="380"/>
      <c r="CD110" s="380"/>
      <c r="CE110" s="380"/>
      <c r="CF110" s="380"/>
      <c r="CG110" s="380"/>
      <c r="CH110" s="380"/>
      <c r="CI110" s="380"/>
      <c r="CJ110" s="380"/>
      <c r="CK110" s="380"/>
      <c r="CL110" s="380"/>
      <c r="CM110" s="380"/>
      <c r="CN110" s="380"/>
      <c r="CO110" s="380"/>
      <c r="CP110" s="380"/>
      <c r="CQ110" s="380"/>
      <c r="CR110" s="380"/>
      <c r="CS110" s="380"/>
      <c r="CT110" s="380"/>
      <c r="CU110" s="380"/>
      <c r="CV110" s="380"/>
      <c r="CW110" s="380"/>
    </row>
    <row r="111" spans="1:101" s="9" customFormat="1" ht="11.25">
      <c r="A111" s="334" t="s">
        <v>759</v>
      </c>
      <c r="B111" s="367"/>
      <c r="C111" s="670"/>
      <c r="D111" s="670"/>
      <c r="E111" s="670"/>
      <c r="F111" s="670"/>
      <c r="G111" s="670" t="str">
        <f t="shared" ref="G111:AL111" si="588">IF(ISERROR(C83*(C92)*(1+G112)*(1+G113)),"NM",C83*(C92)*(1+G112)*(1+G113))</f>
        <v>NM</v>
      </c>
      <c r="H111" s="670" t="str">
        <f t="shared" si="588"/>
        <v>NM</v>
      </c>
      <c r="I111" s="670" t="str">
        <f t="shared" si="588"/>
        <v>NM</v>
      </c>
      <c r="J111" s="670" t="str">
        <f t="shared" si="588"/>
        <v>NM</v>
      </c>
      <c r="K111" s="670" t="str">
        <f t="shared" si="588"/>
        <v>NM</v>
      </c>
      <c r="L111" s="670" t="str">
        <f t="shared" si="588"/>
        <v>NM</v>
      </c>
      <c r="M111" s="670" t="str">
        <f t="shared" si="588"/>
        <v>NM</v>
      </c>
      <c r="N111" s="670" t="str">
        <f t="shared" si="588"/>
        <v>NM</v>
      </c>
      <c r="O111" s="671" t="str">
        <f t="shared" si="588"/>
        <v>NM</v>
      </c>
      <c r="P111" s="671" t="str">
        <f t="shared" si="588"/>
        <v>NM</v>
      </c>
      <c r="Q111" s="671" t="str">
        <f t="shared" si="588"/>
        <v>NM</v>
      </c>
      <c r="R111" s="671" t="str">
        <f t="shared" si="588"/>
        <v>NM</v>
      </c>
      <c r="S111" s="671" t="str">
        <f t="shared" si="588"/>
        <v>NM</v>
      </c>
      <c r="T111" s="671" t="str">
        <f t="shared" si="588"/>
        <v>NM</v>
      </c>
      <c r="U111" s="671" t="str">
        <f t="shared" si="588"/>
        <v>NM</v>
      </c>
      <c r="V111" s="671" t="str">
        <f t="shared" si="588"/>
        <v>NM</v>
      </c>
      <c r="W111" s="671" t="str">
        <f t="shared" si="588"/>
        <v>NM</v>
      </c>
      <c r="X111" s="671" t="str">
        <f t="shared" si="588"/>
        <v>NM</v>
      </c>
      <c r="Y111" s="671" t="str">
        <f t="shared" si="588"/>
        <v>NM</v>
      </c>
      <c r="Z111" s="671" t="str">
        <f t="shared" si="588"/>
        <v>NM</v>
      </c>
      <c r="AA111" s="671" t="str">
        <f t="shared" si="588"/>
        <v>NM</v>
      </c>
      <c r="AB111" s="671" t="str">
        <f t="shared" si="588"/>
        <v>NM</v>
      </c>
      <c r="AC111" s="671" t="str">
        <f t="shared" si="588"/>
        <v>NM</v>
      </c>
      <c r="AD111" s="671">
        <f t="shared" si="588"/>
        <v>1626.7746422279429</v>
      </c>
      <c r="AE111" s="2141">
        <f t="shared" si="588"/>
        <v>1717.9428821212437</v>
      </c>
      <c r="AF111" s="671">
        <f t="shared" si="588"/>
        <v>1717.2541927204054</v>
      </c>
      <c r="AG111" s="671">
        <f t="shared" si="588"/>
        <v>1949.0681385555317</v>
      </c>
      <c r="AH111" s="671">
        <f t="shared" si="588"/>
        <v>1976.8786587691709</v>
      </c>
      <c r="AI111" s="671">
        <f t="shared" si="588"/>
        <v>1798.9858661247513</v>
      </c>
      <c r="AJ111" s="671">
        <f t="shared" si="588"/>
        <v>1832.7903462244374</v>
      </c>
      <c r="AK111" s="671">
        <f t="shared" si="588"/>
        <v>2279.1534155043655</v>
      </c>
      <c r="AL111" s="671">
        <f t="shared" si="588"/>
        <v>2421.916759168334</v>
      </c>
      <c r="AM111" s="967">
        <f t="shared" ref="AM111:BQ111" si="589">IF(ISERROR(AI83*(AI92)*(1+AM112)*(1+AM113)),"NM",AI83*(AI92)*(1+AM112)*(1+AM113))</f>
        <v>2294.1191519170507</v>
      </c>
      <c r="AN111" s="967">
        <f t="shared" si="589"/>
        <v>2219.1423719848603</v>
      </c>
      <c r="AO111" s="967">
        <f t="shared" si="589"/>
        <v>2487.6601153246529</v>
      </c>
      <c r="AP111" s="967">
        <f t="shared" si="589"/>
        <v>2348.9469423932956</v>
      </c>
      <c r="AQ111" s="967">
        <f t="shared" si="589"/>
        <v>2356.7965107052255</v>
      </c>
      <c r="AR111" s="967">
        <f t="shared" si="589"/>
        <v>2287.6078434069177</v>
      </c>
      <c r="AS111" s="967">
        <f t="shared" si="589"/>
        <v>2600.3698531928912</v>
      </c>
      <c r="AT111" s="967">
        <f t="shared" si="589"/>
        <v>5136.2086442017289</v>
      </c>
      <c r="AU111" s="967">
        <f t="shared" si="589"/>
        <v>4090.8238785685435</v>
      </c>
      <c r="AV111" s="967">
        <f t="shared" si="589"/>
        <v>4461.8106710921902</v>
      </c>
      <c r="AW111" s="967">
        <f t="shared" si="589"/>
        <v>4315.8616584001329</v>
      </c>
      <c r="AX111" s="967">
        <f t="shared" si="589"/>
        <v>2840.7851142274999</v>
      </c>
      <c r="AY111" s="967">
        <f t="shared" si="589"/>
        <v>1760.6216416750001</v>
      </c>
      <c r="AZ111" s="967">
        <f t="shared" si="589"/>
        <v>4338.6690957503033</v>
      </c>
      <c r="BA111" s="967">
        <f t="shared" ref="BA111:BK111" si="590">IF(ISERROR(AW83*(AW92)*(1+BA112)*(1+BA113)),"NM",AW83*(AW92)*(1+BA112)*(1+BA113))</f>
        <v>5364.1447564808568</v>
      </c>
      <c r="BB111" s="967">
        <f t="shared" si="590"/>
        <v>4995.3490743753437</v>
      </c>
      <c r="BC111" s="967">
        <f t="shared" si="590"/>
        <v>5314.8953433528277</v>
      </c>
      <c r="BD111" s="967">
        <f t="shared" si="590"/>
        <v>5281.1699987617631</v>
      </c>
      <c r="BE111" s="967">
        <f t="shared" si="590"/>
        <v>5668.4832029291201</v>
      </c>
      <c r="BF111" s="967">
        <f t="shared" si="590"/>
        <v>5101.0180096764725</v>
      </c>
      <c r="BG111" s="967">
        <f t="shared" si="590"/>
        <v>5355.8440652273903</v>
      </c>
      <c r="BH111" s="967">
        <f t="shared" si="590"/>
        <v>5337.0087967200852</v>
      </c>
      <c r="BI111" s="967">
        <f t="shared" si="590"/>
        <v>5702.8512054719431</v>
      </c>
      <c r="BJ111" s="967">
        <f t="shared" si="590"/>
        <v>5270.5073040435063</v>
      </c>
      <c r="BK111" s="1366">
        <f t="shared" si="590"/>
        <v>5194.0452341402879</v>
      </c>
      <c r="BL111" s="422">
        <f t="shared" si="589"/>
        <v>5775.6678642852266</v>
      </c>
      <c r="BM111" s="422">
        <f t="shared" si="589"/>
        <v>6611.3570576747488</v>
      </c>
      <c r="BN111" s="422">
        <f t="shared" si="589"/>
        <v>6048.7566596118941</v>
      </c>
      <c r="BO111" s="422">
        <f t="shared" si="589"/>
        <v>6288.891806067305</v>
      </c>
      <c r="BP111" s="422">
        <f t="shared" si="589"/>
        <v>6776.1377412017619</v>
      </c>
      <c r="BQ111" s="422">
        <f t="shared" si="589"/>
        <v>7550.1746620713102</v>
      </c>
      <c r="BR111" s="422">
        <f t="shared" ref="BR111:CK111" si="591">IF(ISERROR(BN83*(BN92)*(1+BR112)*(1+BR113)),"NM",BN83*(BN92)*(1+BR112)*(1+BR113))</f>
        <v>6804.9071001755492</v>
      </c>
      <c r="BS111" s="422">
        <f t="shared" si="591"/>
        <v>6888.4763948879599</v>
      </c>
      <c r="BT111" s="422">
        <f t="shared" si="591"/>
        <v>7391.568983693257</v>
      </c>
      <c r="BU111" s="422">
        <f t="shared" si="591"/>
        <v>8211.5993508248775</v>
      </c>
      <c r="BV111" s="422">
        <f t="shared" si="591"/>
        <v>7387.3657471925671</v>
      </c>
      <c r="BW111" s="422">
        <f t="shared" si="591"/>
        <v>7467.0884065586461</v>
      </c>
      <c r="BX111" s="422">
        <f t="shared" si="591"/>
        <v>8005.5773620265891</v>
      </c>
      <c r="BY111" s="422">
        <f t="shared" si="591"/>
        <v>8877.3329356884242</v>
      </c>
      <c r="BZ111" s="422">
        <f t="shared" si="591"/>
        <v>7971.3580933434096</v>
      </c>
      <c r="CA111" s="422">
        <f t="shared" si="591"/>
        <v>8056.6255940216306</v>
      </c>
      <c r="CB111" s="422">
        <f t="shared" si="591"/>
        <v>8637.1405548547482</v>
      </c>
      <c r="CC111" s="422">
        <f t="shared" si="591"/>
        <v>9564.2948981677237</v>
      </c>
      <c r="CD111" s="422">
        <f t="shared" si="591"/>
        <v>8579.4608004677048</v>
      </c>
      <c r="CE111" s="422">
        <f t="shared" si="591"/>
        <v>8670.4915379789563</v>
      </c>
      <c r="CF111" s="422">
        <f t="shared" si="591"/>
        <v>9294.7707802675359</v>
      </c>
      <c r="CG111" s="422">
        <f t="shared" si="591"/>
        <v>10286.493731496057</v>
      </c>
      <c r="CH111" s="422">
        <f t="shared" si="591"/>
        <v>9225.1076614281883</v>
      </c>
      <c r="CI111" s="422">
        <f t="shared" si="591"/>
        <v>9322.2261436472381</v>
      </c>
      <c r="CJ111" s="422">
        <f t="shared" si="591"/>
        <v>9992.94468775315</v>
      </c>
      <c r="CK111" s="422">
        <f t="shared" si="591"/>
        <v>11053.039196034817</v>
      </c>
      <c r="CL111" s="422">
        <f t="shared" ref="CL111" si="592">IF(ISERROR(CH83*(CH92)*(1+CL112)*(1+CL113)),"NM",CH83*(CH92)*(1+CL112)*(1+CL113))</f>
        <v>9906.7579550537248</v>
      </c>
      <c r="CM111" s="422">
        <f t="shared" ref="CM111" si="593">IF(ISERROR(CI83*(CI92)*(1+CM112)*(1+CM113)),"NM",CI83*(CI92)*(1+CM112)*(1+CM113))</f>
        <v>10003.085174501695</v>
      </c>
      <c r="CN111" s="422">
        <f t="shared" ref="CN111" si="594">IF(ISERROR(CJ83*(CJ92)*(1+CN112)*(1+CN113)),"NM",CJ83*(CJ92)*(1+CN112)*(1+CN113))</f>
        <v>10714.628761744261</v>
      </c>
      <c r="CO111" s="422">
        <f t="shared" ref="CO111" si="595">IF(ISERROR(CK83*(CK92)*(1+CO112)*(1+CO113)),"NM",CK83*(CK92)*(1+CO112)*(1+CO113))</f>
        <v>11841.082812578265</v>
      </c>
      <c r="CP111" s="422">
        <f t="shared" ref="CP111" si="596">IF(ISERROR(CL83*(CL92)*(1+CP112)*(1+CP113)),"NM",CL83*(CL92)*(1+CP112)*(1+CP113))</f>
        <v>10611.151641735281</v>
      </c>
      <c r="CQ111" s="422">
        <f t="shared" ref="CQ111" si="597">IF(ISERROR(CM83*(CM92)*(1+CQ112)*(1+CQ113)),"NM",CM83*(CM92)*(1+CQ112)*(1+CQ113))</f>
        <v>10713.80749134058</v>
      </c>
      <c r="CR111" s="422">
        <f t="shared" ref="CR111" si="598">IF(ISERROR(CN83*(CN92)*(1+CR112)*(1+CR113)),"NM",CN83*(CN92)*(1+CR112)*(1+CR113))</f>
        <v>11475.688216287088</v>
      </c>
      <c r="CS111" s="422">
        <f t="shared" ref="CS111" si="599">IF(ISERROR(CO83*(CO92)*(1+CS112)*(1+CS113)),"NM",CO83*(CO92)*(1+CS112)*(1+CS113))</f>
        <v>12676.224662574943</v>
      </c>
      <c r="CT111" s="422">
        <f t="shared" ref="CT111" si="600">IF(ISERROR(CP83*(CP92)*(1+CT112)*(1+CT113)),"NM",CP83*(CP92)*(1+CT112)*(1+CT113))</f>
        <v>11357.573908884213</v>
      </c>
      <c r="CU111" s="422">
        <f t="shared" ref="CU111" si="601">IF(ISERROR(CQ83*(CQ92)*(1+CU112)*(1+CU113)),"NM",CQ83*(CQ92)*(1+CU112)*(1+CU113))</f>
        <v>11466.910430093492</v>
      </c>
      <c r="CV111" s="422">
        <f t="shared" ref="CV111" si="602">IF(ISERROR(CR83*(CR92)*(1+CV112)*(1+CV113)),"NM",CR83*(CR92)*(1+CV112)*(1+CV113))</f>
        <v>12282.111759588406</v>
      </c>
      <c r="CW111" s="422">
        <f t="shared" ref="CW111" si="603">IF(ISERROR(CS83*(CS92)*(1+CW112)*(1+CW113)),"NM",CS83*(CS92)*(1+CW112)*(1+CW113))</f>
        <v>13560.965750098907</v>
      </c>
    </row>
    <row r="112" spans="1:101" s="9" customFormat="1" ht="11.25">
      <c r="A112" s="675" t="s">
        <v>756</v>
      </c>
      <c r="B112" s="663" t="str">
        <f>IS!C98</f>
        <v>ND</v>
      </c>
      <c r="C112" s="663" t="str">
        <f>IS!D98</f>
        <v>ND</v>
      </c>
      <c r="D112" s="663" t="str">
        <f>IS!E98</f>
        <v>ND</v>
      </c>
      <c r="E112" s="663" t="str">
        <f>IS!F98</f>
        <v>ND</v>
      </c>
      <c r="F112" s="664" t="str">
        <f>IS!G98</f>
        <v>ND</v>
      </c>
      <c r="G112" s="664" t="str">
        <f>IS!H98</f>
        <v>ND</v>
      </c>
      <c r="H112" s="664" t="str">
        <f>IS!I98</f>
        <v>ND</v>
      </c>
      <c r="I112" s="664" t="str">
        <f>IS!J98</f>
        <v>ND</v>
      </c>
      <c r="J112" s="664" t="str">
        <f>IS!K98</f>
        <v>ND</v>
      </c>
      <c r="K112" s="664" t="str">
        <f>IS!L98</f>
        <v>ND</v>
      </c>
      <c r="L112" s="664" t="str">
        <f>IS!M98</f>
        <v>ND</v>
      </c>
      <c r="M112" s="664" t="str">
        <f>IS!N98</f>
        <v>ND</v>
      </c>
      <c r="N112" s="664" t="str">
        <f>IS!O98</f>
        <v>ND</v>
      </c>
      <c r="O112" s="664" t="str">
        <f>IS!P98</f>
        <v>ND</v>
      </c>
      <c r="P112" s="664" t="str">
        <f>IS!Q98</f>
        <v>ND</v>
      </c>
      <c r="Q112" s="664" t="str">
        <f>IS!R98</f>
        <v>ND</v>
      </c>
      <c r="R112" s="664" t="str">
        <f>IS!S98</f>
        <v>ND</v>
      </c>
      <c r="S112" s="664" t="str">
        <f>IS!T98</f>
        <v>ND</v>
      </c>
      <c r="T112" s="664" t="str">
        <f>IS!U98</f>
        <v>ND</v>
      </c>
      <c r="U112" s="664" t="str">
        <f>IS!V98</f>
        <v>ND</v>
      </c>
      <c r="V112" s="664" t="str">
        <f>IS!W98</f>
        <v>ND</v>
      </c>
      <c r="W112" s="664" t="str">
        <f>IS!X98</f>
        <v>ND</v>
      </c>
      <c r="X112" s="664" t="str">
        <f>IS!Y98</f>
        <v>ND</v>
      </c>
      <c r="Y112" s="664">
        <f>IS!Z98</f>
        <v>8.8999999999999996E-2</v>
      </c>
      <c r="Z112" s="664">
        <f>IS!AA98</f>
        <v>9.7000000000000003E-2</v>
      </c>
      <c r="AA112" s="664">
        <f>IS!AB98</f>
        <v>3.6999999999999998E-2</v>
      </c>
      <c r="AB112" s="664">
        <f>IS!AC98</f>
        <v>7.0999999999999994E-2</v>
      </c>
      <c r="AC112" s="664">
        <f>IS!AD98</f>
        <v>7.1999999999999995E-2</v>
      </c>
      <c r="AD112" s="664">
        <f>IS!AE98</f>
        <v>8.5000000000000006E-2</v>
      </c>
      <c r="AE112" s="2142">
        <f>IS!AF98</f>
        <v>7.2999999999999995E-2</v>
      </c>
      <c r="AF112" s="664">
        <f>IS!AG98</f>
        <v>1.9E-2</v>
      </c>
      <c r="AG112" s="664">
        <f>IS!AH98</f>
        <v>3.0000000000000001E-3</v>
      </c>
      <c r="AH112" s="664">
        <f>IS!AI98</f>
        <v>0.02</v>
      </c>
      <c r="AI112" s="664">
        <f>IS!AJ98</f>
        <v>1.7000000000000001E-2</v>
      </c>
      <c r="AJ112" s="664">
        <f>IS!AK98</f>
        <v>3.5000000000000003E-2</v>
      </c>
      <c r="AK112" s="664">
        <f>IS!AL98</f>
        <v>2.1000000000000001E-2</v>
      </c>
      <c r="AL112" s="664">
        <f>IS!AM98</f>
        <v>3.6999999999999998E-2</v>
      </c>
      <c r="AM112" s="968">
        <f>IS!AN98</f>
        <v>3.0000000000000001E-3</v>
      </c>
      <c r="AN112" s="968">
        <f>IS!AO98</f>
        <v>-8.0000000000000002E-3</v>
      </c>
      <c r="AO112" s="968">
        <f>IS!AP98</f>
        <v>0.01</v>
      </c>
      <c r="AP112" s="968">
        <f>IS!AQ98</f>
        <v>-1.4999999999999999E-2</v>
      </c>
      <c r="AQ112" s="968">
        <f>IS!AR98</f>
        <v>5.2999999999999999E-2</v>
      </c>
      <c r="AR112" s="968">
        <f>IS!AS98</f>
        <v>2.5999999999999999E-2</v>
      </c>
      <c r="AS112" s="968">
        <f>IS!AT98</f>
        <v>1.7000000000000001E-2</v>
      </c>
      <c r="AT112" s="968">
        <f>IS!AU98</f>
        <v>-4.8000000000000001E-2</v>
      </c>
      <c r="AU112" s="968">
        <f>IS!AV98</f>
        <v>-0.35699999999999998</v>
      </c>
      <c r="AV112" s="968">
        <f>IS!AW98</f>
        <v>-0.29799999999999999</v>
      </c>
      <c r="AW112" s="968">
        <f>IS!AX98</f>
        <v>-0.34599999999999997</v>
      </c>
      <c r="AX112" s="968">
        <f>IS!AY98</f>
        <v>-0.29199999999999998</v>
      </c>
      <c r="AY112" s="968">
        <f>IS!AZ98</f>
        <v>0.24399999999999999</v>
      </c>
      <c r="AZ112" s="968">
        <f>IS!BA98</f>
        <v>0.21099999999999999</v>
      </c>
      <c r="BA112" s="968">
        <f>IS!BB98</f>
        <v>0.38400000000000001</v>
      </c>
      <c r="BB112" s="968">
        <f>IS!BC98</f>
        <v>0.41599999999999998</v>
      </c>
      <c r="BC112" s="968">
        <f>IS!BD98</f>
        <v>0.31</v>
      </c>
      <c r="BD112" s="968">
        <f>IS!BE98</f>
        <v>0.23599999999999999</v>
      </c>
      <c r="BE112" s="968">
        <f>IS!BF98</f>
        <v>0.16200000000000001</v>
      </c>
      <c r="BF112" s="968">
        <f>IS!BG98</f>
        <v>0.16200000000000001</v>
      </c>
      <c r="BG112" s="968">
        <f>IS!BH98</f>
        <v>0.115</v>
      </c>
      <c r="BH112" s="968">
        <f>IS!BI98</f>
        <v>8.3000000000000004E-2</v>
      </c>
      <c r="BI112" s="968">
        <f>IS!BJ98</f>
        <v>3.7999999999999999E-2</v>
      </c>
      <c r="BJ112" s="968">
        <f>IS!BK98</f>
        <v>1.6E-2</v>
      </c>
      <c r="BK112" s="1367">
        <f>IS!BL98</f>
        <v>-2.5999999999999999E-2</v>
      </c>
      <c r="BL112" s="672">
        <f>Inputs!BL171</f>
        <v>8.0000000000000002E-3</v>
      </c>
      <c r="BM112" s="672">
        <f>Inputs!BM171</f>
        <v>1.5360000000000002E-2</v>
      </c>
      <c r="BN112" s="672">
        <f>Inputs!BN171</f>
        <v>1.7600000000000001E-2</v>
      </c>
      <c r="BO112" s="672">
        <f>Inputs!BO171</f>
        <v>1.7600000000000001E-2</v>
      </c>
      <c r="BP112" s="672">
        <f>Inputs!BP171</f>
        <v>1.6800000000000002E-2</v>
      </c>
      <c r="BQ112" s="672">
        <f>Inputs!BQ171</f>
        <v>1.6800000000000002E-2</v>
      </c>
      <c r="BR112" s="672">
        <f>Inputs!BR171</f>
        <v>1.6800000000000002E-2</v>
      </c>
      <c r="BS112" s="672">
        <f>Inputs!BS171</f>
        <v>1.6800000000000002E-2</v>
      </c>
      <c r="BT112" s="672">
        <f>Inputs!BT171</f>
        <v>1.6800000000000002E-2</v>
      </c>
      <c r="BU112" s="672">
        <f>Inputs!BU171</f>
        <v>1.6800000000000002E-2</v>
      </c>
      <c r="BV112" s="672">
        <f>Inputs!BV171</f>
        <v>1.6800000000000002E-2</v>
      </c>
      <c r="BW112" s="672">
        <f>Inputs!BW171</f>
        <v>1.6800000000000002E-2</v>
      </c>
      <c r="BX112" s="672">
        <f>Inputs!BX171</f>
        <v>1.6800000000000002E-2</v>
      </c>
      <c r="BY112" s="672">
        <f>Inputs!BY171</f>
        <v>1.6800000000000002E-2</v>
      </c>
      <c r="BZ112" s="672">
        <f>Inputs!BZ171</f>
        <v>1.5959999999999998E-2</v>
      </c>
      <c r="CA112" s="672">
        <f>Inputs!CA171</f>
        <v>1.5959999999999998E-2</v>
      </c>
      <c r="CB112" s="672">
        <f>Inputs!CB171</f>
        <v>1.5959999999999998E-2</v>
      </c>
      <c r="CC112" s="672">
        <f>Inputs!CC171</f>
        <v>1.5959999999999998E-2</v>
      </c>
      <c r="CD112" s="672">
        <f>Inputs!CD171</f>
        <v>1.5959999999999998E-2</v>
      </c>
      <c r="CE112" s="672">
        <f>Inputs!CE171</f>
        <v>1.5959999999999998E-2</v>
      </c>
      <c r="CF112" s="672">
        <f>Inputs!CF171</f>
        <v>1.5959999999999998E-2</v>
      </c>
      <c r="CG112" s="672">
        <f>Inputs!CG171</f>
        <v>1.5959999999999998E-2</v>
      </c>
      <c r="CH112" s="672">
        <f>Inputs!CH171</f>
        <v>1.5959999999999998E-2</v>
      </c>
      <c r="CI112" s="672">
        <f>Inputs!CI171</f>
        <v>1.5959999999999998E-2</v>
      </c>
      <c r="CJ112" s="672">
        <f>Inputs!CJ171</f>
        <v>1.5959999999999998E-2</v>
      </c>
      <c r="CK112" s="672">
        <f>Inputs!CK171</f>
        <v>1.5959999999999998E-2</v>
      </c>
      <c r="CL112" s="672">
        <f>Inputs!CL171</f>
        <v>1.5959999999999998E-2</v>
      </c>
      <c r="CM112" s="672">
        <f>Inputs!CM171</f>
        <v>1.5959999999999998E-2</v>
      </c>
      <c r="CN112" s="672">
        <f>Inputs!CN171</f>
        <v>1.5959999999999998E-2</v>
      </c>
      <c r="CO112" s="672">
        <f>Inputs!CO171</f>
        <v>1.5959999999999998E-2</v>
      </c>
      <c r="CP112" s="672">
        <f>Inputs!CP171</f>
        <v>1.5959999999999998E-2</v>
      </c>
      <c r="CQ112" s="672">
        <f>Inputs!CQ171</f>
        <v>1.5959999999999998E-2</v>
      </c>
      <c r="CR112" s="672">
        <f>Inputs!CR171</f>
        <v>1.5959999999999998E-2</v>
      </c>
      <c r="CS112" s="672">
        <f>Inputs!CS171</f>
        <v>1.5959999999999998E-2</v>
      </c>
      <c r="CT112" s="672">
        <f>Inputs!CT171</f>
        <v>1.5959999999999998E-2</v>
      </c>
      <c r="CU112" s="672">
        <f>Inputs!CU171</f>
        <v>1.5959999999999998E-2</v>
      </c>
      <c r="CV112" s="672">
        <f>Inputs!CV171</f>
        <v>1.5959999999999998E-2</v>
      </c>
      <c r="CW112" s="672">
        <f>Inputs!CW171</f>
        <v>1.5959999999999998E-2</v>
      </c>
    </row>
    <row r="113" spans="1:101" s="9" customFormat="1" ht="11.25">
      <c r="A113" s="675" t="s">
        <v>960</v>
      </c>
      <c r="B113" s="663" t="s">
        <v>750</v>
      </c>
      <c r="C113" s="663" t="s">
        <v>750</v>
      </c>
      <c r="D113" s="663" t="s">
        <v>750</v>
      </c>
      <c r="E113" s="663" t="s">
        <v>750</v>
      </c>
      <c r="F113" s="899" t="s">
        <v>750</v>
      </c>
      <c r="G113" s="899">
        <f t="shared" ref="G113:AL113" si="604">+G$101/C$101-1</f>
        <v>-5.557620764751281E-2</v>
      </c>
      <c r="H113" s="899">
        <f t="shared" si="604"/>
        <v>-0.10628917786239078</v>
      </c>
      <c r="I113" s="899">
        <f t="shared" si="604"/>
        <v>-0.13180656651530898</v>
      </c>
      <c r="J113" s="899">
        <f t="shared" si="604"/>
        <v>-0.11534401787845638</v>
      </c>
      <c r="K113" s="899">
        <f t="shared" si="604"/>
        <v>-5.6833821065146561E-2</v>
      </c>
      <c r="L113" s="899">
        <f t="shared" si="604"/>
        <v>0.10978760227350715</v>
      </c>
      <c r="M113" s="899">
        <f t="shared" si="604"/>
        <v>0.14869249932122908</v>
      </c>
      <c r="N113" s="899">
        <f t="shared" si="604"/>
        <v>6.4541782394425207E-2</v>
      </c>
      <c r="O113" s="899">
        <f t="shared" si="604"/>
        <v>6.2301104204691704E-2</v>
      </c>
      <c r="P113" s="899">
        <f t="shared" si="604"/>
        <v>-4.852619756734311E-2</v>
      </c>
      <c r="Q113" s="899">
        <f t="shared" si="604"/>
        <v>-0.13144018884091346</v>
      </c>
      <c r="R113" s="899">
        <f t="shared" si="604"/>
        <v>-5.9235430427666214E-2</v>
      </c>
      <c r="S113" s="899">
        <f t="shared" si="604"/>
        <v>-4.409878783032195E-2</v>
      </c>
      <c r="T113" s="899">
        <f t="shared" si="604"/>
        <v>-1.4461950177157012E-2</v>
      </c>
      <c r="U113" s="899">
        <f t="shared" si="604"/>
        <v>4.8540298777371094E-2</v>
      </c>
      <c r="V113" s="899">
        <f t="shared" si="604"/>
        <v>7.9412125383721444E-2</v>
      </c>
      <c r="W113" s="899">
        <f t="shared" si="604"/>
        <v>7.8970805243297582E-2</v>
      </c>
      <c r="X113" s="899">
        <f t="shared" si="604"/>
        <v>2.8163846987256935E-2</v>
      </c>
      <c r="Y113" s="899">
        <f t="shared" si="604"/>
        <v>5.5511158958696516E-3</v>
      </c>
      <c r="Z113" s="899">
        <f t="shared" si="604"/>
        <v>-4.4915359276646694E-2</v>
      </c>
      <c r="AA113" s="899">
        <f t="shared" si="604"/>
        <v>-6.3074374342957595E-2</v>
      </c>
      <c r="AB113" s="899">
        <f t="shared" si="604"/>
        <v>4.2079296470175498E-2</v>
      </c>
      <c r="AC113" s="899">
        <f t="shared" si="604"/>
        <v>8.1511320396440379E-2</v>
      </c>
      <c r="AD113" s="899">
        <f t="shared" si="604"/>
        <v>0.12901465925541555</v>
      </c>
      <c r="AE113" s="2153">
        <f t="shared" si="604"/>
        <v>0.22593041944287795</v>
      </c>
      <c r="AF113" s="899">
        <f t="shared" si="604"/>
        <v>0.21065713563021382</v>
      </c>
      <c r="AG113" s="899">
        <f t="shared" si="604"/>
        <v>0.17986546647581969</v>
      </c>
      <c r="AH113" s="899">
        <f t="shared" si="604"/>
        <v>7.7928994508697391E-2</v>
      </c>
      <c r="AI113" s="899">
        <f t="shared" si="604"/>
        <v>-1.1227321050937045E-2</v>
      </c>
      <c r="AJ113" s="899">
        <f t="shared" si="604"/>
        <v>-3.3399602227476399E-2</v>
      </c>
      <c r="AK113" s="899">
        <f t="shared" si="604"/>
        <v>2.7751209636476482E-2</v>
      </c>
      <c r="AL113" s="899">
        <f t="shared" si="604"/>
        <v>0.13373938974840338</v>
      </c>
      <c r="AM113" s="973">
        <f t="shared" ref="AM113:BQ113" si="605">+AM$101/AI$101-1</f>
        <v>0.15869168175162995</v>
      </c>
      <c r="AN113" s="973">
        <f t="shared" si="605"/>
        <v>9.497732816267801E-2</v>
      </c>
      <c r="AO113" s="973">
        <f t="shared" si="605"/>
        <v>-1.2021733993934358E-2</v>
      </c>
      <c r="AP113" s="973">
        <f t="shared" si="605"/>
        <v>-3.8807856504031291E-2</v>
      </c>
      <c r="AQ113" s="973">
        <f t="shared" si="605"/>
        <v>-5.0817080362007161E-2</v>
      </c>
      <c r="AR113" s="973">
        <f t="shared" si="605"/>
        <v>-5.4437118627757242E-2</v>
      </c>
      <c r="AS113" s="973">
        <f t="shared" si="605"/>
        <v>-4.9478620626709602E-2</v>
      </c>
      <c r="AT113" s="973">
        <f t="shared" si="605"/>
        <v>7.1960490218701212E-2</v>
      </c>
      <c r="AU113" s="973">
        <f t="shared" si="605"/>
        <v>0.2136760803750255</v>
      </c>
      <c r="AV113" s="973">
        <f t="shared" si="605"/>
        <v>0.21271811807412377</v>
      </c>
      <c r="AW113" s="973">
        <f t="shared" si="605"/>
        <v>0.15958124190944023</v>
      </c>
      <c r="AX113" s="973">
        <f t="shared" si="605"/>
        <v>-3.315461363164518E-2</v>
      </c>
      <c r="AY113" s="973">
        <f t="shared" si="605"/>
        <v>-0.1412070942099749</v>
      </c>
      <c r="AZ113" s="973">
        <f t="shared" si="605"/>
        <v>-0.11755763145096421</v>
      </c>
      <c r="BA113" s="973">
        <f t="shared" ref="BA113:BK113" si="606">+BA$101/AW$101-1</f>
        <v>-3.1527452227488761E-2</v>
      </c>
      <c r="BB113" s="973">
        <f t="shared" si="606"/>
        <v>1.024882426485374E-2</v>
      </c>
      <c r="BC113" s="973">
        <f t="shared" si="606"/>
        <v>-5.2062612657339691E-2</v>
      </c>
      <c r="BD113" s="973">
        <f t="shared" si="606"/>
        <v>-0.1153641281295833</v>
      </c>
      <c r="BE113" s="973">
        <f t="shared" si="606"/>
        <v>-0.16066539243260713</v>
      </c>
      <c r="BF113" s="973">
        <f t="shared" si="606"/>
        <v>-0.1533537910269307</v>
      </c>
      <c r="BG113" s="973">
        <f t="shared" si="606"/>
        <v>-0.1139185404662999</v>
      </c>
      <c r="BH113" s="973">
        <f t="shared" si="606"/>
        <v>-9.3286851539331028E-2</v>
      </c>
      <c r="BI113" s="973">
        <f t="shared" si="606"/>
        <v>-7.4292113588937503E-2</v>
      </c>
      <c r="BJ113" s="973">
        <f t="shared" si="606"/>
        <v>-6.9839126946530494E-2</v>
      </c>
      <c r="BK113" s="1378">
        <f t="shared" si="606"/>
        <v>-5.7494642584124622E-2</v>
      </c>
      <c r="BL113" s="901">
        <f t="shared" si="605"/>
        <v>1.646784290255332E-2</v>
      </c>
      <c r="BM113" s="901">
        <f t="shared" si="605"/>
        <v>6.8484219195705354E-2</v>
      </c>
      <c r="BN113" s="901">
        <f t="shared" si="605"/>
        <v>9.2471935149220252E-2</v>
      </c>
      <c r="BO113" s="901">
        <f t="shared" si="605"/>
        <v>0.1230459140046154</v>
      </c>
      <c r="BP113" s="901">
        <f t="shared" si="605"/>
        <v>8.8983278101097296E-2</v>
      </c>
      <c r="BQ113" s="901">
        <f t="shared" si="605"/>
        <v>6.5140114491412993E-2</v>
      </c>
      <c r="BR113" s="901">
        <f t="shared" ref="BR113:CK113" si="607">+BR$101/BN$101-1</f>
        <v>5.1241752733668156E-2</v>
      </c>
      <c r="BS113" s="901">
        <f t="shared" si="607"/>
        <v>2.5702250533790716E-2</v>
      </c>
      <c r="BT113" s="901">
        <f t="shared" si="607"/>
        <v>2.5702250533790716E-2</v>
      </c>
      <c r="BU113" s="901">
        <f t="shared" si="607"/>
        <v>2.5702250533790494E-2</v>
      </c>
      <c r="BV113" s="901">
        <f t="shared" si="607"/>
        <v>2.5702250533790716E-2</v>
      </c>
      <c r="BW113" s="901">
        <f t="shared" si="607"/>
        <v>2.5702250533790938E-2</v>
      </c>
      <c r="BX113" s="901">
        <f t="shared" si="607"/>
        <v>2.5702250533790716E-2</v>
      </c>
      <c r="BY113" s="901">
        <f t="shared" si="607"/>
        <v>2.5702250533790938E-2</v>
      </c>
      <c r="BZ113" s="901">
        <f t="shared" si="607"/>
        <v>2.5702250533790494E-2</v>
      </c>
      <c r="CA113" s="901">
        <f t="shared" si="607"/>
        <v>2.5702250533790494E-2</v>
      </c>
      <c r="CB113" s="901">
        <f t="shared" si="607"/>
        <v>2.5702250533790716E-2</v>
      </c>
      <c r="CC113" s="901">
        <f t="shared" si="607"/>
        <v>2.5702250533790494E-2</v>
      </c>
      <c r="CD113" s="901">
        <f t="shared" si="607"/>
        <v>2.5702250533790716E-2</v>
      </c>
      <c r="CE113" s="901">
        <f t="shared" si="607"/>
        <v>2.5702250533790494E-2</v>
      </c>
      <c r="CF113" s="901">
        <f t="shared" si="607"/>
        <v>2.5702250533790494E-2</v>
      </c>
      <c r="CG113" s="901">
        <f t="shared" si="607"/>
        <v>2.5702250533790938E-2</v>
      </c>
      <c r="CH113" s="901">
        <f t="shared" si="607"/>
        <v>2.5702250533790716E-2</v>
      </c>
      <c r="CI113" s="901">
        <f t="shared" si="607"/>
        <v>2.5702250533790494E-2</v>
      </c>
      <c r="CJ113" s="901">
        <f t="shared" si="607"/>
        <v>2.5702250533790716E-2</v>
      </c>
      <c r="CK113" s="901">
        <f t="shared" si="607"/>
        <v>2.5702250533790716E-2</v>
      </c>
      <c r="CL113" s="901">
        <f t="shared" ref="CL113" si="608">+CL$101/CH$101-1</f>
        <v>2.5702250533790494E-2</v>
      </c>
      <c r="CM113" s="901">
        <f t="shared" ref="CM113" si="609">+CM$101/CI$101-1</f>
        <v>2.5702250533790938E-2</v>
      </c>
      <c r="CN113" s="901">
        <f t="shared" ref="CN113" si="610">+CN$101/CJ$101-1</f>
        <v>2.5702250533790716E-2</v>
      </c>
      <c r="CO113" s="901">
        <f t="shared" ref="CO113" si="611">+CO$101/CK$101-1</f>
        <v>2.5702250533790938E-2</v>
      </c>
      <c r="CP113" s="901">
        <f t="shared" ref="CP113" si="612">+CP$101/CL$101-1</f>
        <v>2.5702250533790716E-2</v>
      </c>
      <c r="CQ113" s="901">
        <f t="shared" ref="CQ113" si="613">+CQ$101/CM$101-1</f>
        <v>2.5702250533790716E-2</v>
      </c>
      <c r="CR113" s="901">
        <f t="shared" ref="CR113" si="614">+CR$101/CN$101-1</f>
        <v>2.5702250533790938E-2</v>
      </c>
      <c r="CS113" s="901">
        <f t="shared" ref="CS113" si="615">+CS$101/CO$101-1</f>
        <v>2.5702250533790716E-2</v>
      </c>
      <c r="CT113" s="901">
        <f t="shared" ref="CT113" si="616">+CT$101/CP$101-1</f>
        <v>2.5702250533790938E-2</v>
      </c>
      <c r="CU113" s="901">
        <f t="shared" ref="CU113" si="617">+CU$101/CQ$101-1</f>
        <v>2.5702250533790716E-2</v>
      </c>
      <c r="CV113" s="901">
        <f t="shared" ref="CV113" si="618">+CV$101/CR$101-1</f>
        <v>2.5702250533790716E-2</v>
      </c>
      <c r="CW113" s="901">
        <f t="shared" ref="CW113" si="619">+CW$101/CS$101-1</f>
        <v>2.5702250533790938E-2</v>
      </c>
    </row>
    <row r="114" spans="1:101" s="9" customFormat="1" ht="11.25">
      <c r="A114" s="666" t="s">
        <v>757</v>
      </c>
      <c r="B114" s="440"/>
      <c r="C114" s="40"/>
      <c r="D114" s="40"/>
      <c r="E114" s="40"/>
      <c r="F114" s="657"/>
      <c r="G114" s="657"/>
      <c r="H114" s="657"/>
      <c r="I114" s="657"/>
      <c r="J114" s="657"/>
      <c r="K114" s="657" t="str">
        <f t="shared" ref="K114:AP114" si="620">IF(ISERROR(K111/G111-1),"NM",K111/G111-1)</f>
        <v>NM</v>
      </c>
      <c r="L114" s="657" t="str">
        <f t="shared" si="620"/>
        <v>NM</v>
      </c>
      <c r="M114" s="657" t="str">
        <f t="shared" si="620"/>
        <v>NM</v>
      </c>
      <c r="N114" s="657" t="str">
        <f t="shared" si="620"/>
        <v>NM</v>
      </c>
      <c r="O114" s="657" t="str">
        <f t="shared" si="620"/>
        <v>NM</v>
      </c>
      <c r="P114" s="657" t="str">
        <f t="shared" si="620"/>
        <v>NM</v>
      </c>
      <c r="Q114" s="657" t="str">
        <f t="shared" si="620"/>
        <v>NM</v>
      </c>
      <c r="R114" s="657" t="str">
        <f t="shared" si="620"/>
        <v>NM</v>
      </c>
      <c r="S114" s="657" t="str">
        <f t="shared" si="620"/>
        <v>NM</v>
      </c>
      <c r="T114" s="657" t="str">
        <f t="shared" si="620"/>
        <v>NM</v>
      </c>
      <c r="U114" s="657" t="str">
        <f t="shared" si="620"/>
        <v>NM</v>
      </c>
      <c r="V114" s="657" t="str">
        <f t="shared" si="620"/>
        <v>NM</v>
      </c>
      <c r="W114" s="657" t="str">
        <f t="shared" si="620"/>
        <v>NM</v>
      </c>
      <c r="X114" s="657" t="str">
        <f t="shared" si="620"/>
        <v>NM</v>
      </c>
      <c r="Y114" s="657" t="str">
        <f t="shared" si="620"/>
        <v>NM</v>
      </c>
      <c r="Z114" s="657" t="str">
        <f t="shared" si="620"/>
        <v>NM</v>
      </c>
      <c r="AA114" s="657" t="str">
        <f t="shared" si="620"/>
        <v>NM</v>
      </c>
      <c r="AB114" s="657" t="str">
        <f t="shared" si="620"/>
        <v>NM</v>
      </c>
      <c r="AC114" s="657" t="str">
        <f t="shared" si="620"/>
        <v>NM</v>
      </c>
      <c r="AD114" s="657" t="str">
        <f t="shared" si="620"/>
        <v>NM</v>
      </c>
      <c r="AE114" s="2138" t="str">
        <f t="shared" si="620"/>
        <v>NM</v>
      </c>
      <c r="AF114" s="657" t="str">
        <f t="shared" si="620"/>
        <v>NM</v>
      </c>
      <c r="AG114" s="657" t="str">
        <f t="shared" si="620"/>
        <v>NM</v>
      </c>
      <c r="AH114" s="657">
        <f t="shared" si="620"/>
        <v>0.21521359348320335</v>
      </c>
      <c r="AI114" s="657">
        <f t="shared" si="620"/>
        <v>4.7174434521035424E-2</v>
      </c>
      <c r="AJ114" s="657">
        <f t="shared" si="620"/>
        <v>6.7279587374891925E-2</v>
      </c>
      <c r="AK114" s="657">
        <f t="shared" si="620"/>
        <v>0.169355432177688</v>
      </c>
      <c r="AL114" s="657">
        <f t="shared" si="620"/>
        <v>0.22512160694589589</v>
      </c>
      <c r="AM114" s="715">
        <f t="shared" si="620"/>
        <v>0.27522911386673687</v>
      </c>
      <c r="AN114" s="715">
        <f t="shared" si="620"/>
        <v>0.21079990221266232</v>
      </c>
      <c r="AO114" s="715">
        <f t="shared" si="620"/>
        <v>9.1484275872734999E-2</v>
      </c>
      <c r="AP114" s="715">
        <f t="shared" si="620"/>
        <v>-3.0128953234584199E-2</v>
      </c>
      <c r="AQ114" s="715">
        <f t="shared" ref="AQ114:BQ114" si="621">IF(ISERROR(AQ111/AM111-1),"NM",AQ111/AM111-1)</f>
        <v>2.7320882063078145E-2</v>
      </c>
      <c r="AR114" s="715">
        <f t="shared" si="621"/>
        <v>3.0852221239334066E-2</v>
      </c>
      <c r="AS114" s="715">
        <f t="shared" si="621"/>
        <v>4.5307531030431392E-2</v>
      </c>
      <c r="AT114" s="715">
        <f t="shared" si="621"/>
        <v>1.186600536395491</v>
      </c>
      <c r="AU114" s="715">
        <f t="shared" si="621"/>
        <v>0.73575608245636959</v>
      </c>
      <c r="AV114" s="715">
        <f t="shared" si="621"/>
        <v>0.95042637397467922</v>
      </c>
      <c r="AW114" s="715">
        <f t="shared" si="621"/>
        <v>0.65971069580769726</v>
      </c>
      <c r="AX114" s="715">
        <f t="shared" si="621"/>
        <v>-0.44691010217537308</v>
      </c>
      <c r="AY114" s="715">
        <f t="shared" si="621"/>
        <v>-0.56961685617932911</v>
      </c>
      <c r="AZ114" s="715">
        <f t="shared" si="621"/>
        <v>-2.7599014036994829E-2</v>
      </c>
      <c r="BA114" s="715">
        <f t="shared" ref="BA114:BK114" si="622">IF(ISERROR(BA111/AW111-1),"NM",BA111/AW111-1)</f>
        <v>0.2428908016642306</v>
      </c>
      <c r="BB114" s="715">
        <f t="shared" si="622"/>
        <v>0.75843961211889788</v>
      </c>
      <c r="BC114" s="715">
        <f t="shared" si="622"/>
        <v>2.0187606567737082</v>
      </c>
      <c r="BD114" s="715">
        <f t="shared" si="622"/>
        <v>0.21723272326406118</v>
      </c>
      <c r="BE114" s="715">
        <f t="shared" si="622"/>
        <v>5.6735688588673394E-2</v>
      </c>
      <c r="BF114" s="715">
        <f t="shared" si="622"/>
        <v>2.1153463697497932E-2</v>
      </c>
      <c r="BG114" s="715">
        <f t="shared" si="622"/>
        <v>7.704520828575756E-3</v>
      </c>
      <c r="BH114" s="715">
        <f t="shared" si="622"/>
        <v>1.0573186996709838E-2</v>
      </c>
      <c r="BI114" s="715">
        <f t="shared" si="622"/>
        <v>6.0629980388868798E-3</v>
      </c>
      <c r="BJ114" s="715">
        <f t="shared" si="622"/>
        <v>3.3226562628384748E-2</v>
      </c>
      <c r="BK114" s="1361">
        <f t="shared" si="622"/>
        <v>-3.0209772561821779E-2</v>
      </c>
      <c r="BL114" s="461">
        <f t="shared" si="621"/>
        <v>8.2191932648626009E-2</v>
      </c>
      <c r="BM114" s="461">
        <f t="shared" si="621"/>
        <v>0.15930730427107842</v>
      </c>
      <c r="BN114" s="461">
        <f t="shared" si="621"/>
        <v>0.14766118528501404</v>
      </c>
      <c r="BO114" s="461">
        <f t="shared" si="621"/>
        <v>0.21078880190157512</v>
      </c>
      <c r="BP114" s="461">
        <f t="shared" si="621"/>
        <v>0.1732215044952814</v>
      </c>
      <c r="BQ114" s="461">
        <f t="shared" si="621"/>
        <v>0.1420007414826796</v>
      </c>
      <c r="BR114" s="461">
        <f t="shared" ref="BR114:CK114" si="623">IF(ISERROR(BR111/BN111-1),"NM",BR111/BN111-1)</f>
        <v>0.12500923464363201</v>
      </c>
      <c r="BS114" s="461">
        <f t="shared" si="623"/>
        <v>9.534026141810803E-2</v>
      </c>
      <c r="BT114" s="461">
        <f t="shared" si="623"/>
        <v>9.0823307612154069E-2</v>
      </c>
      <c r="BU114" s="461">
        <f t="shared" si="623"/>
        <v>8.7603892407452255E-2</v>
      </c>
      <c r="BV114" s="461">
        <f t="shared" si="623"/>
        <v>8.5593916043613882E-2</v>
      </c>
      <c r="BW114" s="461">
        <f t="shared" si="623"/>
        <v>8.3997095801922494E-2</v>
      </c>
      <c r="BX114" s="461">
        <f t="shared" si="623"/>
        <v>8.3068747607972337E-2</v>
      </c>
      <c r="BY114" s="461">
        <f t="shared" si="623"/>
        <v>8.1072341260374881E-2</v>
      </c>
      <c r="BZ114" s="461">
        <f t="shared" si="623"/>
        <v>7.9052854039720177E-2</v>
      </c>
      <c r="CA114" s="461">
        <f t="shared" si="623"/>
        <v>7.8951413906546142E-2</v>
      </c>
      <c r="CB114" s="461">
        <f t="shared" si="623"/>
        <v>7.8890399064019734E-2</v>
      </c>
      <c r="CC114" s="461">
        <f t="shared" si="623"/>
        <v>7.7383823210864788E-2</v>
      </c>
      <c r="CD114" s="461">
        <f t="shared" si="623"/>
        <v>7.6285960309837142E-2</v>
      </c>
      <c r="CE114" s="461">
        <f t="shared" si="623"/>
        <v>7.619392719612561E-2</v>
      </c>
      <c r="CF114" s="461">
        <f t="shared" si="623"/>
        <v>7.6139808219648275E-2</v>
      </c>
      <c r="CG114" s="461">
        <f t="shared" si="623"/>
        <v>7.5509887662151387E-2</v>
      </c>
      <c r="CH114" s="461">
        <f t="shared" si="623"/>
        <v>7.5254946199566186E-2</v>
      </c>
      <c r="CI114" s="461">
        <f t="shared" si="623"/>
        <v>7.5166973269452875E-2</v>
      </c>
      <c r="CJ114" s="461">
        <f t="shared" si="623"/>
        <v>7.511469879040078E-2</v>
      </c>
      <c r="CK114" s="461">
        <f t="shared" si="623"/>
        <v>7.4519606441958652E-2</v>
      </c>
      <c r="CL114" s="461">
        <f t="shared" ref="CL114" si="624">IF(ISERROR(CL111/CH111-1),"NM",CL111/CH111-1)</f>
        <v>7.3890768394567097E-2</v>
      </c>
      <c r="CM114" s="461">
        <f t="shared" ref="CM114" si="625">IF(ISERROR(CM111/CI111-1),"NM",CM111/CI111-1)</f>
        <v>7.3036098927769411E-2</v>
      </c>
      <c r="CN114" s="461">
        <f t="shared" ref="CN114" si="626">IF(ISERROR(CN111/CJ111-1),"NM",CN111/CJ111-1)</f>
        <v>7.2219360412909106E-2</v>
      </c>
      <c r="CO114" s="461">
        <f t="shared" ref="CO114" si="627">IF(ISERROR(CO111/CK111-1),"NM",CO111/CK111-1)</f>
        <v>7.1296554962561931E-2</v>
      </c>
      <c r="CP114" s="461">
        <f t="shared" ref="CP114" si="628">IF(ISERROR(CP111/CL111-1),"NM",CP111/CL111-1)</f>
        <v>7.1102341439787109E-2</v>
      </c>
      <c r="CQ114" s="461">
        <f t="shared" ref="CQ114" si="629">IF(ISERROR(CQ111/CM111-1),"NM",CQ111/CM111-1)</f>
        <v>7.1050311422974577E-2</v>
      </c>
      <c r="CR114" s="461">
        <f t="shared" ref="CR114" si="630">IF(ISERROR(CR111/CN111-1),"NM",CR111/CN111-1)</f>
        <v>7.1029941537510854E-2</v>
      </c>
      <c r="CS114" s="461">
        <f t="shared" ref="CS114" si="631">IF(ISERROR(CS111/CO111-1),"NM",CS111/CO111-1)</f>
        <v>7.0529179063720804E-2</v>
      </c>
      <c r="CT114" s="461">
        <f t="shared" ref="CT114" si="632">IF(ISERROR(CT111/CP111-1),"NM",CT111/CP111-1)</f>
        <v>7.0343191045648457E-2</v>
      </c>
      <c r="CU114" s="461">
        <f t="shared" ref="CU114" si="633">IF(ISERROR(CU111/CQ111-1),"NM",CU111/CQ111-1)</f>
        <v>7.0292745073271767E-2</v>
      </c>
      <c r="CV114" s="461">
        <f t="shared" ref="CV114" si="634">IF(ISERROR(CV111/CR111-1),"NM",CV111/CR111-1)</f>
        <v>7.0272346904370009E-2</v>
      </c>
      <c r="CW114" s="461">
        <f t="shared" ref="CW114" si="635">IF(ISERROR(CW111/CS111-1),"NM",CW111/CS111-1)</f>
        <v>6.9795314541565068E-2</v>
      </c>
    </row>
    <row r="115" spans="1:101" s="9" customFormat="1" ht="11.25">
      <c r="A115" s="662"/>
      <c r="B115" s="347"/>
      <c r="C115" s="676"/>
      <c r="D115" s="676"/>
      <c r="E115" s="676"/>
      <c r="F115" s="676"/>
      <c r="G115" s="676"/>
      <c r="H115" s="676"/>
      <c r="I115" s="676"/>
      <c r="J115" s="676"/>
      <c r="K115" s="676"/>
      <c r="L115" s="676"/>
      <c r="M115" s="676"/>
      <c r="N115" s="676"/>
      <c r="O115" s="676"/>
      <c r="P115" s="676"/>
      <c r="Q115" s="676"/>
      <c r="R115" s="676"/>
      <c r="S115" s="676"/>
      <c r="T115" s="676"/>
      <c r="U115" s="676"/>
      <c r="V115" s="676"/>
      <c r="W115" s="676"/>
      <c r="X115" s="676"/>
      <c r="Y115" s="676"/>
      <c r="Z115" s="676"/>
      <c r="AA115" s="676"/>
      <c r="AB115" s="676"/>
      <c r="AC115" s="676"/>
      <c r="AD115" s="676"/>
      <c r="AE115" s="2148"/>
      <c r="AF115" s="676"/>
      <c r="AG115" s="676"/>
      <c r="AH115" s="676"/>
      <c r="AI115" s="676"/>
      <c r="AJ115" s="676"/>
      <c r="AK115" s="676"/>
      <c r="AL115" s="676"/>
      <c r="AM115" s="676"/>
      <c r="AN115" s="676"/>
      <c r="AO115" s="676"/>
      <c r="AP115" s="380"/>
      <c r="AQ115" s="380"/>
      <c r="AR115" s="380"/>
      <c r="AS115" s="380"/>
      <c r="AT115" s="380"/>
      <c r="AU115" s="380"/>
      <c r="AV115" s="380"/>
      <c r="AW115" s="380"/>
      <c r="AX115" s="380"/>
      <c r="AY115" s="380"/>
      <c r="AZ115" s="380"/>
      <c r="BA115" s="380"/>
      <c r="BB115" s="380"/>
      <c r="BC115" s="380"/>
      <c r="BD115" s="380"/>
      <c r="BE115" s="380"/>
      <c r="BF115" s="380"/>
      <c r="BG115" s="380"/>
      <c r="BH115" s="380"/>
      <c r="BI115" s="380"/>
      <c r="BJ115" s="380"/>
      <c r="BK115" s="1365"/>
      <c r="BL115" s="380"/>
      <c r="BM115" s="380"/>
      <c r="BN115" s="380"/>
      <c r="BO115" s="380"/>
      <c r="BP115" s="380"/>
      <c r="BQ115" s="380"/>
      <c r="BR115" s="380"/>
      <c r="BS115" s="380"/>
      <c r="BT115" s="380"/>
      <c r="BU115" s="380"/>
      <c r="BV115" s="380"/>
      <c r="BW115" s="380"/>
      <c r="BX115" s="380"/>
      <c r="BY115" s="380"/>
      <c r="BZ115" s="380"/>
      <c r="CA115" s="380"/>
      <c r="CB115" s="380"/>
      <c r="CC115" s="380"/>
      <c r="CD115" s="380"/>
      <c r="CE115" s="380"/>
      <c r="CF115" s="380"/>
      <c r="CG115" s="380"/>
      <c r="CH115" s="380"/>
      <c r="CI115" s="380"/>
      <c r="CJ115" s="380"/>
      <c r="CK115" s="380"/>
      <c r="CL115" s="380"/>
      <c r="CM115" s="380"/>
      <c r="CN115" s="380"/>
      <c r="CO115" s="380"/>
      <c r="CP115" s="380"/>
      <c r="CQ115" s="380"/>
      <c r="CR115" s="380"/>
      <c r="CS115" s="380"/>
      <c r="CT115" s="380"/>
      <c r="CU115" s="380"/>
      <c r="CV115" s="380"/>
      <c r="CW115" s="380"/>
    </row>
    <row r="116" spans="1:101" s="9" customFormat="1" ht="11.25">
      <c r="A116" s="334" t="s">
        <v>758</v>
      </c>
      <c r="B116" s="367"/>
      <c r="C116" s="670"/>
      <c r="D116" s="670"/>
      <c r="E116" s="670"/>
      <c r="F116" s="670"/>
      <c r="G116" s="670" t="str">
        <f t="shared" ref="G116:AT116" si="636">IF(ISERROR(G108-G111),"NM",G108-G111)</f>
        <v>NM</v>
      </c>
      <c r="H116" s="670" t="str">
        <f t="shared" si="636"/>
        <v>NM</v>
      </c>
      <c r="I116" s="670" t="str">
        <f t="shared" si="636"/>
        <v>NM</v>
      </c>
      <c r="J116" s="670" t="str">
        <f t="shared" si="636"/>
        <v>NM</v>
      </c>
      <c r="K116" s="670" t="str">
        <f t="shared" si="636"/>
        <v>NM</v>
      </c>
      <c r="L116" s="670" t="str">
        <f t="shared" si="636"/>
        <v>NM</v>
      </c>
      <c r="M116" s="670" t="str">
        <f t="shared" si="636"/>
        <v>NM</v>
      </c>
      <c r="N116" s="670" t="str">
        <f t="shared" si="636"/>
        <v>NM</v>
      </c>
      <c r="O116" s="671" t="str">
        <f t="shared" si="636"/>
        <v>NM</v>
      </c>
      <c r="P116" s="671" t="str">
        <f t="shared" si="636"/>
        <v>NM</v>
      </c>
      <c r="Q116" s="671" t="str">
        <f t="shared" si="636"/>
        <v>NM</v>
      </c>
      <c r="R116" s="671" t="str">
        <f t="shared" si="636"/>
        <v>NM</v>
      </c>
      <c r="S116" s="671" t="str">
        <f t="shared" si="636"/>
        <v>NM</v>
      </c>
      <c r="T116" s="671" t="str">
        <f t="shared" si="636"/>
        <v>NM</v>
      </c>
      <c r="U116" s="671" t="str">
        <f t="shared" si="636"/>
        <v>NM</v>
      </c>
      <c r="V116" s="671" t="str">
        <f t="shared" si="636"/>
        <v>NM</v>
      </c>
      <c r="W116" s="671" t="str">
        <f t="shared" si="636"/>
        <v>NM</v>
      </c>
      <c r="X116" s="671" t="str">
        <f t="shared" si="636"/>
        <v>NM</v>
      </c>
      <c r="Y116" s="671" t="str">
        <f t="shared" si="636"/>
        <v>NM</v>
      </c>
      <c r="Z116" s="671" t="str">
        <f t="shared" si="636"/>
        <v>NM</v>
      </c>
      <c r="AA116" s="671" t="str">
        <f t="shared" si="636"/>
        <v>NM</v>
      </c>
      <c r="AB116" s="671" t="str">
        <f t="shared" si="636"/>
        <v>NM</v>
      </c>
      <c r="AC116" s="671" t="str">
        <f t="shared" si="636"/>
        <v>NM</v>
      </c>
      <c r="AD116" s="671">
        <f t="shared" si="636"/>
        <v>133.79590518917348</v>
      </c>
      <c r="AE116" s="2141">
        <f t="shared" si="636"/>
        <v>35.143201580695859</v>
      </c>
      <c r="AF116" s="671">
        <f t="shared" si="636"/>
        <v>77.739431868548309</v>
      </c>
      <c r="AG116" s="671">
        <f t="shared" si="636"/>
        <v>179.36983100088037</v>
      </c>
      <c r="AH116" s="671">
        <f t="shared" si="636"/>
        <v>42.771857849249955</v>
      </c>
      <c r="AI116" s="671">
        <f t="shared" si="636"/>
        <v>136.20121387856716</v>
      </c>
      <c r="AJ116" s="671">
        <f t="shared" si="636"/>
        <v>169.58063266856357</v>
      </c>
      <c r="AK116" s="671">
        <f t="shared" si="636"/>
        <v>164.96423155445791</v>
      </c>
      <c r="AL116" s="671">
        <f t="shared" si="636"/>
        <v>11.582597544148484</v>
      </c>
      <c r="AM116" s="967">
        <f t="shared" si="636"/>
        <v>19.972072556161493</v>
      </c>
      <c r="AN116" s="967">
        <f t="shared" si="636"/>
        <v>95.629267645051186</v>
      </c>
      <c r="AO116" s="967">
        <f t="shared" si="636"/>
        <v>153.30259169310011</v>
      </c>
      <c r="AP116" s="967">
        <f t="shared" si="636"/>
        <v>2571.9614674354502</v>
      </c>
      <c r="AQ116" s="967">
        <f t="shared" si="636"/>
        <v>2757.7907802423492</v>
      </c>
      <c r="AR116" s="967">
        <f t="shared" si="636"/>
        <v>2825.3383192442961</v>
      </c>
      <c r="AS116" s="967">
        <f t="shared" si="636"/>
        <v>2949.3048632949767</v>
      </c>
      <c r="AT116" s="967">
        <f t="shared" si="636"/>
        <v>-1090.361413625973</v>
      </c>
      <c r="AU116" s="967">
        <f t="shared" ref="AU116:BC116" si="637">IF(ISERROR(AU108-AU111),"NM",AU108-AU111)</f>
        <v>-2484.5533722251562</v>
      </c>
      <c r="AV116" s="967">
        <f t="shared" si="637"/>
        <v>-506.45159193629752</v>
      </c>
      <c r="AW116" s="967">
        <f t="shared" si="637"/>
        <v>-417.97364144370977</v>
      </c>
      <c r="AX116" s="967">
        <f t="shared" si="637"/>
        <v>560.18712446217978</v>
      </c>
      <c r="AY116" s="967">
        <f t="shared" si="637"/>
        <v>2407.215567496346</v>
      </c>
      <c r="AZ116" s="967">
        <f t="shared" si="637"/>
        <v>362.44979752988547</v>
      </c>
      <c r="BA116" s="967">
        <f t="shared" si="637"/>
        <v>290.4050014055847</v>
      </c>
      <c r="BB116" s="967">
        <f t="shared" si="637"/>
        <v>48.405796992990872</v>
      </c>
      <c r="BC116" s="967">
        <f t="shared" si="637"/>
        <v>-40.785356800346563</v>
      </c>
      <c r="BD116" s="967">
        <f t="shared" ref="BD116:BG116" si="638">IF(ISERROR(BD108-BD111),"NM",BD108-BD111)</f>
        <v>9.3054242841681116</v>
      </c>
      <c r="BE116" s="967">
        <f t="shared" si="638"/>
        <v>111.80537942000865</v>
      </c>
      <c r="BF116" s="967">
        <f t="shared" si="638"/>
        <v>332.30563365824855</v>
      </c>
      <c r="BG116" s="967">
        <f t="shared" si="638"/>
        <v>157.75426601740492</v>
      </c>
      <c r="BH116" s="967">
        <f t="shared" ref="BH116" si="639">IF(ISERROR(BH108-BH111),"NM",BH108-BH111)</f>
        <v>156.64830167883338</v>
      </c>
      <c r="BI116" s="967">
        <f t="shared" ref="BI116" si="640">IF(ISERROR(BI108-BI111),"NM",BI108-BI111)</f>
        <v>237.18094967918114</v>
      </c>
      <c r="BJ116" s="967">
        <f t="shared" ref="BJ116" si="641">IF(ISERROR(BJ108-BJ111),"NM",BJ108-BJ111)</f>
        <v>34.582006384729539</v>
      </c>
      <c r="BK116" s="1366">
        <f t="shared" ref="BK116" si="642">IF(ISERROR(BK108-BK111),"NM",BK108-BK111)</f>
        <v>172.26119805188955</v>
      </c>
      <c r="BL116" s="422">
        <f t="shared" ref="BL116:BQ116" si="643">+(BL83-BH83)*BH92*(1+BL112)*BL117*(1+BL113)</f>
        <v>194.14009627849504</v>
      </c>
      <c r="BM116" s="422">
        <f t="shared" si="643"/>
        <v>185.96578280119257</v>
      </c>
      <c r="BN116" s="422">
        <f t="shared" si="643"/>
        <v>155.93725608411222</v>
      </c>
      <c r="BO116" s="422">
        <f t="shared" si="643"/>
        <v>148.27468485849744</v>
      </c>
      <c r="BP116" s="422">
        <f t="shared" si="643"/>
        <v>136.61568026616453</v>
      </c>
      <c r="BQ116" s="422">
        <f t="shared" si="643"/>
        <v>138.78442935275933</v>
      </c>
      <c r="BR116" s="422">
        <f t="shared" ref="BR116:CK116" si="644">+(BR83-BN83)*BN92*(1+BR112)*BR117*(1+BR113)</f>
        <v>116.00039853619374</v>
      </c>
      <c r="BS116" s="422">
        <f t="shared" si="644"/>
        <v>111.52123679779127</v>
      </c>
      <c r="BT116" s="422">
        <f t="shared" si="644"/>
        <v>113.38099915989658</v>
      </c>
      <c r="BU116" s="422">
        <f t="shared" si="644"/>
        <v>115.47561587097485</v>
      </c>
      <c r="BV116" s="422">
        <f t="shared" si="644"/>
        <v>97.494589191478795</v>
      </c>
      <c r="BW116" s="422">
        <f t="shared" si="644"/>
        <v>98.260669887951224</v>
      </c>
      <c r="BX116" s="422">
        <f t="shared" si="644"/>
        <v>105.04182549306476</v>
      </c>
      <c r="BY116" s="422">
        <f t="shared" si="644"/>
        <v>109.04977118695953</v>
      </c>
      <c r="BZ116" s="422">
        <f t="shared" si="644"/>
        <v>91.318660735198975</v>
      </c>
      <c r="CA116" s="422">
        <f t="shared" si="644"/>
        <v>92.031896361979605</v>
      </c>
      <c r="CB116" s="422">
        <f t="shared" si="644"/>
        <v>98.382236979835767</v>
      </c>
      <c r="CC116" s="422">
        <f t="shared" si="644"/>
        <v>108.47971529112733</v>
      </c>
      <c r="CD116" s="422">
        <f t="shared" si="644"/>
        <v>96.897439628811753</v>
      </c>
      <c r="CE116" s="422">
        <f t="shared" si="644"/>
        <v>97.649834308538217</v>
      </c>
      <c r="CF116" s="422">
        <f t="shared" si="644"/>
        <v>104.38675654020629</v>
      </c>
      <c r="CG116" s="422">
        <f t="shared" si="644"/>
        <v>115.04000445289159</v>
      </c>
      <c r="CH116" s="422">
        <f t="shared" si="644"/>
        <v>99.31438410447052</v>
      </c>
      <c r="CI116" s="422">
        <f t="shared" si="644"/>
        <v>93.179122953623477</v>
      </c>
      <c r="CJ116" s="422">
        <f t="shared" si="644"/>
        <v>92.228377367357197</v>
      </c>
      <c r="CK116" s="422">
        <f t="shared" si="644"/>
        <v>97.526816435601333</v>
      </c>
      <c r="CL116" s="422">
        <f t="shared" ref="CL116" si="645">+(CL83-CH83)*CH92*(1+CL112)*CL117*(1+CL113)</f>
        <v>87.092377626845931</v>
      </c>
      <c r="CM116" s="422">
        <f t="shared" ref="CM116" si="646">+(CM83-CI83)*CI92*(1+CM112)*CM117*(1+CM113)</f>
        <v>87.778443944439005</v>
      </c>
      <c r="CN116" s="422">
        <f t="shared" ref="CN116" si="647">+(CN83-CJ83)*CJ92*(1+CN112)*CN117*(1+CN113)</f>
        <v>93.850762876592071</v>
      </c>
      <c r="CO116" s="422">
        <f t="shared" ref="CO116" si="648">+(CO83-CK83)*CK92*(1+CO112)*CO117*(1+CO113)</f>
        <v>103.34035909159212</v>
      </c>
      <c r="CP116" s="422">
        <f t="shared" ref="CP116" si="649">+(CP83-CL83)*CL92*(1+CP112)*CP117*(1+CP113)</f>
        <v>92.270883841176357</v>
      </c>
      <c r="CQ116" s="422">
        <f t="shared" ref="CQ116" si="650">+(CQ83-CM83)*CM92*(1+CQ112)*CQ117*(1+CQ113)</f>
        <v>92.995074065885703</v>
      </c>
      <c r="CR116" s="422">
        <f t="shared" ref="CR116" si="651">+(CR83-CN83)*CN92*(1+CR112)*CR117*(1+CR113)</f>
        <v>99.428345556278032</v>
      </c>
      <c r="CS116" s="422">
        <f t="shared" ref="CS116" si="652">+(CS83-CO83)*CO92*(1+CS112)*CS117*(1+CS113)</f>
        <v>109.43503305820097</v>
      </c>
      <c r="CT116" s="422">
        <f t="shared" ref="CT116" si="653">+(CT83-CP83)*CP92*(1+CT112)*CT117*(1+CT113)</f>
        <v>97.699560506530872</v>
      </c>
      <c r="CU116" s="422">
        <f t="shared" ref="CU116" si="654">+(CU83-CQ83)*CQ92*(1+CU112)*CU117*(1+CU113)</f>
        <v>98.463631600087211</v>
      </c>
      <c r="CV116" s="422">
        <f t="shared" ref="CV116" si="655">+(CV83-CR83)*CR92*(1+CV112)*CV117*(1+CV113)</f>
        <v>105.27524365361491</v>
      </c>
      <c r="CW116" s="422">
        <f t="shared" ref="CW116" si="656">+(CW83-CS83)*CS92*(1+CW112)*CW117*(1+CW113)</f>
        <v>106.1712621004185</v>
      </c>
    </row>
    <row r="117" spans="1:101" s="9" customFormat="1" ht="11.25">
      <c r="A117" s="666" t="s">
        <v>925</v>
      </c>
      <c r="B117" s="440"/>
      <c r="C117" s="40"/>
      <c r="D117" s="40"/>
      <c r="E117" s="40"/>
      <c r="F117" s="657"/>
      <c r="G117" s="657" t="str">
        <f t="shared" ref="G117:AZ117" si="657">IF(ISERROR((G116/(G83-C83))/(G111/C83)),"NM",(G116/(G83-C83))/(G111/C83))</f>
        <v>NM</v>
      </c>
      <c r="H117" s="657" t="str">
        <f t="shared" si="657"/>
        <v>NM</v>
      </c>
      <c r="I117" s="657" t="str">
        <f t="shared" si="657"/>
        <v>NM</v>
      </c>
      <c r="J117" s="657" t="str">
        <f t="shared" si="657"/>
        <v>NM</v>
      </c>
      <c r="K117" s="657" t="str">
        <f t="shared" si="657"/>
        <v>NM</v>
      </c>
      <c r="L117" s="657" t="str">
        <f t="shared" si="657"/>
        <v>NM</v>
      </c>
      <c r="M117" s="657" t="str">
        <f t="shared" si="657"/>
        <v>NM</v>
      </c>
      <c r="N117" s="657" t="str">
        <f t="shared" si="657"/>
        <v>NM</v>
      </c>
      <c r="O117" s="657" t="str">
        <f t="shared" si="657"/>
        <v>NM</v>
      </c>
      <c r="P117" s="657" t="str">
        <f t="shared" si="657"/>
        <v>NM</v>
      </c>
      <c r="Q117" s="657" t="str">
        <f t="shared" si="657"/>
        <v>NM</v>
      </c>
      <c r="R117" s="657" t="str">
        <f t="shared" si="657"/>
        <v>NM</v>
      </c>
      <c r="S117" s="657" t="str">
        <f t="shared" si="657"/>
        <v>NM</v>
      </c>
      <c r="T117" s="657" t="str">
        <f t="shared" si="657"/>
        <v>NM</v>
      </c>
      <c r="U117" s="657" t="str">
        <f t="shared" si="657"/>
        <v>NM</v>
      </c>
      <c r="V117" s="657" t="str">
        <f t="shared" si="657"/>
        <v>NM</v>
      </c>
      <c r="W117" s="657" t="str">
        <f t="shared" si="657"/>
        <v>NM</v>
      </c>
      <c r="X117" s="657" t="str">
        <f t="shared" si="657"/>
        <v>NM</v>
      </c>
      <c r="Y117" s="657" t="str">
        <f t="shared" si="657"/>
        <v>NM</v>
      </c>
      <c r="Z117" s="657" t="str">
        <f t="shared" si="657"/>
        <v>NM</v>
      </c>
      <c r="AA117" s="657" t="str">
        <f t="shared" si="657"/>
        <v>NM</v>
      </c>
      <c r="AB117" s="657" t="str">
        <f t="shared" si="657"/>
        <v>NM</v>
      </c>
      <c r="AC117" s="657" t="str">
        <f t="shared" si="657"/>
        <v>NM</v>
      </c>
      <c r="AD117" s="657">
        <f t="shared" si="657"/>
        <v>1.5003686441886863</v>
      </c>
      <c r="AE117" s="2138">
        <f t="shared" si="657"/>
        <v>0.26771411081688218</v>
      </c>
      <c r="AF117" s="657">
        <f t="shared" si="657"/>
        <v>0.54957309575067326</v>
      </c>
      <c r="AG117" s="657">
        <f t="shared" si="657"/>
        <v>0.99778276104172148</v>
      </c>
      <c r="AH117" s="657">
        <f t="shared" si="657"/>
        <v>0.22522779860850625</v>
      </c>
      <c r="AI117" s="657">
        <f t="shared" si="657"/>
        <v>0.80426357085749955</v>
      </c>
      <c r="AJ117" s="657">
        <f t="shared" si="657"/>
        <v>0.92105358345393273</v>
      </c>
      <c r="AK117" s="657">
        <f t="shared" si="657"/>
        <v>0.67855882816067536</v>
      </c>
      <c r="AL117" s="657">
        <f t="shared" si="657"/>
        <v>4.4980499489907441E-2</v>
      </c>
      <c r="AM117" s="715">
        <f t="shared" si="657"/>
        <v>8.1215665524182787E-2</v>
      </c>
      <c r="AN117" s="715">
        <f t="shared" si="657"/>
        <v>0.40462548792111985</v>
      </c>
      <c r="AO117" s="715">
        <f t="shared" si="657"/>
        <v>0.59784462697947993</v>
      </c>
      <c r="AP117" s="715">
        <f t="shared" si="657"/>
        <v>1.6151448346739445</v>
      </c>
      <c r="AQ117" s="715">
        <f t="shared" si="657"/>
        <v>0.94794929632370462</v>
      </c>
      <c r="AR117" s="715">
        <f t="shared" si="657"/>
        <v>1.0113100103384005</v>
      </c>
      <c r="AS117" s="715">
        <f t="shared" si="657"/>
        <v>0.9745253684607621</v>
      </c>
      <c r="AT117" s="715">
        <f t="shared" si="657"/>
        <v>-0.55861016996561907</v>
      </c>
      <c r="AU117" s="715">
        <f t="shared" si="657"/>
        <v>-59.182680612925516</v>
      </c>
      <c r="AV117" s="715">
        <f t="shared" si="657"/>
        <v>8.0681547937622522</v>
      </c>
      <c r="AW117" s="715">
        <f t="shared" si="657"/>
        <v>3.7538325090114708</v>
      </c>
      <c r="AX117" s="715">
        <f t="shared" si="657"/>
        <v>-6.0620301027401489</v>
      </c>
      <c r="AY117" s="715">
        <f t="shared" si="657"/>
        <v>-56.343550332272102</v>
      </c>
      <c r="AZ117" s="715">
        <f t="shared" si="657"/>
        <v>-8.6094719135163214</v>
      </c>
      <c r="BA117" s="715">
        <f t="shared" ref="BA117:BK117" si="658">IF(ISERROR((BA116/(BA83-AW83))/(BA111/AW83)),"NM",(BA116/(BA83-AW83))/(BA111/AW83))</f>
        <v>9.4038007984787093</v>
      </c>
      <c r="BB117" s="715">
        <f t="shared" si="658"/>
        <v>0.40769630529677037</v>
      </c>
      <c r="BC117" s="715">
        <f t="shared" si="658"/>
        <v>-0.22875813569030365</v>
      </c>
      <c r="BD117" s="715">
        <f t="shared" si="658"/>
        <v>3.9702219509694568E-2</v>
      </c>
      <c r="BE117" s="715">
        <f t="shared" si="658"/>
        <v>0.36657334886983933</v>
      </c>
      <c r="BF117" s="715">
        <f t="shared" si="658"/>
        <v>1.2238936818794763</v>
      </c>
      <c r="BG117" s="715">
        <f t="shared" si="658"/>
        <v>0.57841074005264737</v>
      </c>
      <c r="BH117" s="715">
        <f t="shared" si="658"/>
        <v>0.57809356907873155</v>
      </c>
      <c r="BI117" s="715">
        <f t="shared" si="658"/>
        <v>0.82330092463675564</v>
      </c>
      <c r="BJ117" s="715">
        <f t="shared" si="658"/>
        <v>0.12846567585279101</v>
      </c>
      <c r="BK117" s="1361">
        <f t="shared" si="658"/>
        <v>0.69204576342978052</v>
      </c>
      <c r="BL117" s="673">
        <f>Inputs!BL177</f>
        <v>0.8</v>
      </c>
      <c r="BM117" s="673">
        <f>Inputs!BM177</f>
        <v>0.8</v>
      </c>
      <c r="BN117" s="673">
        <f>Inputs!BN177</f>
        <v>0.8</v>
      </c>
      <c r="BO117" s="673">
        <f>Inputs!BO177</f>
        <v>0.8</v>
      </c>
      <c r="BP117" s="673">
        <f>Inputs!BP177</f>
        <v>0.8</v>
      </c>
      <c r="BQ117" s="673">
        <f>Inputs!BQ177</f>
        <v>0.8</v>
      </c>
      <c r="BR117" s="673">
        <f>Inputs!BR177</f>
        <v>0.8</v>
      </c>
      <c r="BS117" s="673">
        <f>Inputs!BS177</f>
        <v>0.8</v>
      </c>
      <c r="BT117" s="673">
        <f>Inputs!BT177</f>
        <v>0.8</v>
      </c>
      <c r="BU117" s="673">
        <f>Inputs!BU177</f>
        <v>0.8</v>
      </c>
      <c r="BV117" s="673">
        <f>Inputs!BV177</f>
        <v>0.8</v>
      </c>
      <c r="BW117" s="673">
        <f>Inputs!BW177</f>
        <v>0.8</v>
      </c>
      <c r="BX117" s="673">
        <f>Inputs!BX177</f>
        <v>0.8</v>
      </c>
      <c r="BY117" s="673">
        <f>Inputs!BY177</f>
        <v>0.8</v>
      </c>
      <c r="BZ117" s="673">
        <f>Inputs!BZ177</f>
        <v>0.8</v>
      </c>
      <c r="CA117" s="673">
        <f>Inputs!CA177</f>
        <v>0.8</v>
      </c>
      <c r="CB117" s="673">
        <f>Inputs!CB177</f>
        <v>0.8</v>
      </c>
      <c r="CC117" s="673">
        <f>Inputs!CC177</f>
        <v>0.8</v>
      </c>
      <c r="CD117" s="673">
        <f>Inputs!CD177</f>
        <v>0.8</v>
      </c>
      <c r="CE117" s="673">
        <f>Inputs!CE177</f>
        <v>0.8</v>
      </c>
      <c r="CF117" s="673">
        <f>Inputs!CF177</f>
        <v>0.8</v>
      </c>
      <c r="CG117" s="673">
        <f>Inputs!CG177</f>
        <v>0.8</v>
      </c>
      <c r="CH117" s="673">
        <f>Inputs!CH177</f>
        <v>0.8</v>
      </c>
      <c r="CI117" s="673">
        <f>Inputs!CI177</f>
        <v>0.8</v>
      </c>
      <c r="CJ117" s="673">
        <f>Inputs!CJ177</f>
        <v>0.8</v>
      </c>
      <c r="CK117" s="673">
        <f>Inputs!CK177</f>
        <v>0.8</v>
      </c>
      <c r="CL117" s="673">
        <f>Inputs!CL177</f>
        <v>0.8</v>
      </c>
      <c r="CM117" s="673">
        <f>Inputs!CM177</f>
        <v>0.8</v>
      </c>
      <c r="CN117" s="673">
        <f>Inputs!CN177</f>
        <v>0.8</v>
      </c>
      <c r="CO117" s="673">
        <f>Inputs!CO177</f>
        <v>0.8</v>
      </c>
      <c r="CP117" s="673">
        <f>Inputs!CP177</f>
        <v>0.8</v>
      </c>
      <c r="CQ117" s="673">
        <f>Inputs!CQ177</f>
        <v>0.8</v>
      </c>
      <c r="CR117" s="673">
        <f>Inputs!CR177</f>
        <v>0.8</v>
      </c>
      <c r="CS117" s="673">
        <f>Inputs!CS177</f>
        <v>0.8</v>
      </c>
      <c r="CT117" s="673">
        <f>Inputs!CT177</f>
        <v>0.8</v>
      </c>
      <c r="CU117" s="673">
        <f>Inputs!CU177</f>
        <v>0.8</v>
      </c>
      <c r="CV117" s="673">
        <f>Inputs!CV177</f>
        <v>0.8</v>
      </c>
      <c r="CW117" s="673">
        <f>Inputs!CW177</f>
        <v>0.8</v>
      </c>
    </row>
    <row r="118" spans="1:101" s="9" customFormat="1" ht="11.25">
      <c r="A118" s="665"/>
      <c r="B118" s="440"/>
      <c r="C118" s="40"/>
      <c r="D118" s="40"/>
      <c r="E118" s="40"/>
      <c r="F118" s="657"/>
      <c r="G118" s="657"/>
      <c r="H118" s="657"/>
      <c r="I118" s="657"/>
      <c r="J118" s="657"/>
      <c r="K118" s="657"/>
      <c r="L118" s="657"/>
      <c r="M118" s="657"/>
      <c r="N118" s="657"/>
      <c r="O118" s="657"/>
      <c r="P118" s="657"/>
      <c r="Q118" s="657"/>
      <c r="R118" s="657"/>
      <c r="S118" s="657"/>
      <c r="T118" s="657"/>
      <c r="U118" s="657"/>
      <c r="V118" s="657"/>
      <c r="W118" s="657"/>
      <c r="X118" s="657"/>
      <c r="Y118" s="657"/>
      <c r="Z118" s="657"/>
      <c r="AA118" s="657"/>
      <c r="AB118" s="657"/>
      <c r="AC118" s="657"/>
      <c r="AD118" s="657"/>
      <c r="AE118" s="2138"/>
      <c r="AF118" s="657"/>
      <c r="AG118" s="657"/>
      <c r="AH118" s="657"/>
      <c r="AI118" s="657"/>
      <c r="AJ118" s="673"/>
      <c r="AK118" s="673"/>
      <c r="AL118" s="673"/>
      <c r="AM118" s="673"/>
      <c r="AN118" s="673"/>
      <c r="AO118" s="673"/>
      <c r="AP118" s="673"/>
      <c r="AQ118" s="673"/>
      <c r="AR118" s="673"/>
      <c r="AS118" s="673"/>
      <c r="AT118" s="673"/>
      <c r="AU118" s="673"/>
      <c r="AV118" s="673"/>
      <c r="AW118" s="673"/>
      <c r="AX118" s="673"/>
      <c r="AY118" s="673"/>
      <c r="AZ118" s="673"/>
      <c r="BA118" s="673"/>
      <c r="BB118" s="673"/>
      <c r="BC118" s="673"/>
      <c r="BD118" s="673"/>
      <c r="BE118" s="673"/>
      <c r="BF118" s="673"/>
      <c r="BG118" s="673"/>
      <c r="BH118" s="673"/>
      <c r="BI118" s="673"/>
      <c r="BJ118" s="673"/>
      <c r="BK118" s="1370"/>
      <c r="BL118" s="673"/>
      <c r="BM118" s="673"/>
      <c r="BN118" s="673"/>
      <c r="BO118" s="673"/>
      <c r="BP118" s="673"/>
      <c r="BQ118" s="673"/>
      <c r="BR118" s="673"/>
      <c r="BS118" s="673"/>
      <c r="BT118" s="673"/>
      <c r="BU118" s="673"/>
      <c r="BV118" s="673"/>
      <c r="BW118" s="673"/>
      <c r="BX118" s="673"/>
      <c r="BY118" s="673"/>
      <c r="BZ118" s="673"/>
      <c r="CA118" s="673"/>
      <c r="CB118" s="673"/>
      <c r="CC118" s="673"/>
      <c r="CD118" s="673"/>
      <c r="CE118" s="673"/>
      <c r="CF118" s="673"/>
      <c r="CG118" s="673"/>
      <c r="CH118" s="673"/>
      <c r="CI118" s="673"/>
      <c r="CJ118" s="673"/>
      <c r="CK118" s="673"/>
      <c r="CL118" s="673"/>
      <c r="CM118" s="673"/>
      <c r="CN118" s="673"/>
      <c r="CO118" s="673"/>
      <c r="CP118" s="673"/>
      <c r="CQ118" s="673"/>
      <c r="CR118" s="673"/>
      <c r="CS118" s="673"/>
      <c r="CT118" s="673"/>
      <c r="CU118" s="673"/>
      <c r="CV118" s="673"/>
      <c r="CW118" s="673"/>
    </row>
    <row r="119" spans="1:101" s="9" customFormat="1" ht="11.25">
      <c r="A119" s="674" t="s">
        <v>939</v>
      </c>
      <c r="B119" s="898" t="str">
        <f t="shared" ref="B119:X119" si="659">IFERROR(B105*B$87*B$121/(B$83+B$121*B$87),"0")</f>
        <v>0</v>
      </c>
      <c r="C119" s="898" t="str">
        <f t="shared" si="659"/>
        <v>0</v>
      </c>
      <c r="D119" s="898" t="str">
        <f t="shared" si="659"/>
        <v>0</v>
      </c>
      <c r="E119" s="898" t="str">
        <f t="shared" si="659"/>
        <v>0</v>
      </c>
      <c r="F119" s="898" t="str">
        <f t="shared" si="659"/>
        <v>0</v>
      </c>
      <c r="G119" s="898" t="str">
        <f t="shared" si="659"/>
        <v>0</v>
      </c>
      <c r="H119" s="898" t="str">
        <f t="shared" si="659"/>
        <v>0</v>
      </c>
      <c r="I119" s="898" t="str">
        <f t="shared" si="659"/>
        <v>0</v>
      </c>
      <c r="J119" s="898" t="str">
        <f t="shared" si="659"/>
        <v>0</v>
      </c>
      <c r="K119" s="898" t="str">
        <f t="shared" si="659"/>
        <v>0</v>
      </c>
      <c r="L119" s="898" t="str">
        <f t="shared" si="659"/>
        <v>0</v>
      </c>
      <c r="M119" s="898" t="str">
        <f t="shared" si="659"/>
        <v>0</v>
      </c>
      <c r="N119" s="898" t="str">
        <f t="shared" si="659"/>
        <v>0</v>
      </c>
      <c r="O119" s="898" t="str">
        <f t="shared" si="659"/>
        <v>0</v>
      </c>
      <c r="P119" s="898" t="str">
        <f t="shared" si="659"/>
        <v>0</v>
      </c>
      <c r="Q119" s="898" t="str">
        <f t="shared" si="659"/>
        <v>0</v>
      </c>
      <c r="R119" s="898" t="str">
        <f t="shared" si="659"/>
        <v>0</v>
      </c>
      <c r="S119" s="898" t="str">
        <f t="shared" si="659"/>
        <v>0</v>
      </c>
      <c r="T119" s="898" t="str">
        <f t="shared" si="659"/>
        <v>0</v>
      </c>
      <c r="U119" s="898" t="str">
        <f t="shared" si="659"/>
        <v>0</v>
      </c>
      <c r="V119" s="898" t="str">
        <f t="shared" si="659"/>
        <v>0</v>
      </c>
      <c r="W119" s="898" t="str">
        <f t="shared" si="659"/>
        <v>0</v>
      </c>
      <c r="X119" s="898" t="str">
        <f t="shared" si="659"/>
        <v>0</v>
      </c>
      <c r="Y119" s="898">
        <f t="shared" ref="Y119:AT119" si="660">IFERROR(Y105*Y$87*Y$121/(Y$83+Y$121*Y$87),"NM")</f>
        <v>29.99805384365877</v>
      </c>
      <c r="Z119" s="898">
        <f t="shared" si="660"/>
        <v>27.415965771364423</v>
      </c>
      <c r="AA119" s="898">
        <f t="shared" si="660"/>
        <v>27.242630016671409</v>
      </c>
      <c r="AB119" s="898">
        <f t="shared" si="660"/>
        <v>29.593621258172966</v>
      </c>
      <c r="AC119" s="898">
        <f t="shared" si="660"/>
        <v>35.66831306990882</v>
      </c>
      <c r="AD119" s="898">
        <f t="shared" si="660"/>
        <v>37.429452582883577</v>
      </c>
      <c r="AE119" s="2154">
        <f t="shared" si="660"/>
        <v>35.913916298060563</v>
      </c>
      <c r="AF119" s="898">
        <f t="shared" si="660"/>
        <v>37.006375411046236</v>
      </c>
      <c r="AG119" s="898">
        <f t="shared" si="660"/>
        <v>43.562030443587901</v>
      </c>
      <c r="AH119" s="898">
        <f t="shared" si="660"/>
        <v>40.349483381579226</v>
      </c>
      <c r="AI119" s="898">
        <f t="shared" si="660"/>
        <v>38.812919996681508</v>
      </c>
      <c r="AJ119" s="898">
        <f t="shared" si="660"/>
        <v>40.629021106999062</v>
      </c>
      <c r="AK119" s="898">
        <f t="shared" si="660"/>
        <v>48.882352941176464</v>
      </c>
      <c r="AL119" s="898">
        <f t="shared" si="660"/>
        <v>47.500643287517676</v>
      </c>
      <c r="AM119" s="972">
        <f t="shared" si="660"/>
        <v>43.908775526787885</v>
      </c>
      <c r="AN119" s="972">
        <f t="shared" si="660"/>
        <v>43.228360370088588</v>
      </c>
      <c r="AO119" s="972">
        <f t="shared" si="660"/>
        <v>49.037292982247116</v>
      </c>
      <c r="AP119" s="972">
        <f t="shared" si="660"/>
        <v>112.09159017125387</v>
      </c>
      <c r="AQ119" s="972">
        <f t="shared" si="660"/>
        <v>127.41270905242547</v>
      </c>
      <c r="AR119" s="972">
        <f t="shared" si="660"/>
        <v>128.05383734878575</v>
      </c>
      <c r="AS119" s="972">
        <f t="shared" si="660"/>
        <v>141.32528351213216</v>
      </c>
      <c r="AT119" s="972">
        <f t="shared" si="660"/>
        <v>104.15276942424407</v>
      </c>
      <c r="AU119" s="972">
        <f t="shared" ref="AU119:BC119" si="661">IFERROR(AU105*AU$87*AU$121/(AU$83+AU$121*AU$87),"NM")</f>
        <v>41.729493656612767</v>
      </c>
      <c r="AV119" s="972">
        <f t="shared" si="661"/>
        <v>104.6409208441071</v>
      </c>
      <c r="AW119" s="972">
        <f t="shared" si="661"/>
        <v>104.11198304357698</v>
      </c>
      <c r="AX119" s="972">
        <f t="shared" si="661"/>
        <v>91.027761310320287</v>
      </c>
      <c r="AY119" s="972">
        <f t="shared" si="661"/>
        <v>112.16279082865398</v>
      </c>
      <c r="AZ119" s="972">
        <f t="shared" si="661"/>
        <v>128.88110671981104</v>
      </c>
      <c r="BA119" s="972">
        <f t="shared" si="661"/>
        <v>157.45024211355809</v>
      </c>
      <c r="BB119" s="972">
        <f t="shared" si="661"/>
        <v>141.24512863166535</v>
      </c>
      <c r="BC119" s="972">
        <f t="shared" si="661"/>
        <v>146.89001344751927</v>
      </c>
      <c r="BD119" s="972">
        <f t="shared" ref="BD119:BG119" si="662">IFERROR(BD105*BD$87*BD$121/(BD$83+BD$121*BD$87),"NM")</f>
        <v>144.52457695406929</v>
      </c>
      <c r="BE119" s="972">
        <f t="shared" si="662"/>
        <v>154.71141765087089</v>
      </c>
      <c r="BF119" s="972">
        <f t="shared" si="662"/>
        <v>143.67635666527863</v>
      </c>
      <c r="BG119" s="972">
        <f t="shared" si="662"/>
        <v>144.40166875520512</v>
      </c>
      <c r="BH119" s="972">
        <f t="shared" ref="BH119" si="663">IFERROR(BH105*BH$87*BH$121/(BH$83+BH$121*BH$87),"NM")</f>
        <v>143.34290160108102</v>
      </c>
      <c r="BI119" s="972">
        <f t="shared" ref="BI119" si="664">IFERROR(BI105*BI$87*BI$121/(BI$83+BI$121*BI$87),"NM")</f>
        <v>153.96784484887581</v>
      </c>
      <c r="BJ119" s="972">
        <f t="shared" ref="BJ119" si="665">IFERROR(BJ105*BJ$87*BJ$121/(BJ$83+BJ$121*BJ$87),"NM")</f>
        <v>135.91068957176378</v>
      </c>
      <c r="BK119" s="1376">
        <f t="shared" ref="BK119" si="666">IFERROR(BK105*BK$87*BK$121/(BK$83+BK$121*BK$87),"NM")</f>
        <v>136.69356780782209</v>
      </c>
      <c r="BL119" s="660">
        <f t="shared" ref="BL119:BQ119" si="667">+BL98*BL87*(1+BL113)</f>
        <v>149.82643529160265</v>
      </c>
      <c r="BM119" s="660">
        <f t="shared" si="667"/>
        <v>173.99236902220088</v>
      </c>
      <c r="BN119" s="660">
        <f>+BN98*BN87*(1+BN113)</f>
        <v>161.56154097949863</v>
      </c>
      <c r="BO119" s="660">
        <f t="shared" si="667"/>
        <v>167.73475458811834</v>
      </c>
      <c r="BP119" s="660">
        <f t="shared" si="667"/>
        <v>174.52980170289408</v>
      </c>
      <c r="BQ119" s="660">
        <f t="shared" si="667"/>
        <v>184.59663712201052</v>
      </c>
      <c r="BR119" s="660">
        <f t="shared" ref="BR119:CK119" si="668">+BR98*BR87*(1+BR113)</f>
        <v>162.34552091229628</v>
      </c>
      <c r="BS119" s="660">
        <f t="shared" si="668"/>
        <v>159.69613650983911</v>
      </c>
      <c r="BT119" s="660">
        <f t="shared" si="668"/>
        <v>171.06498160946202</v>
      </c>
      <c r="BU119" s="660">
        <f t="shared" si="668"/>
        <v>184.80835880748901</v>
      </c>
      <c r="BV119" s="660">
        <f t="shared" si="668"/>
        <v>164.66348385250762</v>
      </c>
      <c r="BW119" s="660">
        <f t="shared" si="668"/>
        <v>165.99966871395037</v>
      </c>
      <c r="BX119" s="660">
        <f t="shared" si="668"/>
        <v>177.80690492564739</v>
      </c>
      <c r="BY119" s="660">
        <f t="shared" si="668"/>
        <v>191.76495511412438</v>
      </c>
      <c r="BZ119" s="660">
        <f t="shared" si="668"/>
        <v>170.39833669766378</v>
      </c>
      <c r="CA119" s="660">
        <f t="shared" si="668"/>
        <v>171.77307819355468</v>
      </c>
      <c r="CB119" s="660">
        <f t="shared" si="668"/>
        <v>183.98247373223163</v>
      </c>
      <c r="CC119" s="660">
        <f t="shared" si="668"/>
        <v>198.41394743411675</v>
      </c>
      <c r="CD119" s="660">
        <f t="shared" si="668"/>
        <v>176.29647369310976</v>
      </c>
      <c r="CE119" s="660">
        <f t="shared" si="668"/>
        <v>177.71077842824803</v>
      </c>
      <c r="CF119" s="660">
        <f t="shared" si="668"/>
        <v>190.33368014152086</v>
      </c>
      <c r="CG119" s="660">
        <f t="shared" si="668"/>
        <v>205.25191161612915</v>
      </c>
      <c r="CH119" s="660">
        <f t="shared" si="668"/>
        <v>182.36212739067244</v>
      </c>
      <c r="CI119" s="660">
        <f t="shared" si="668"/>
        <v>183.8170267877519</v>
      </c>
      <c r="CJ119" s="660">
        <f t="shared" si="668"/>
        <v>196.86507420203924</v>
      </c>
      <c r="CK119" s="660">
        <f t="shared" si="668"/>
        <v>212.44691099239117</v>
      </c>
      <c r="CL119" s="660">
        <f t="shared" ref="CL119:CW119" si="669">+CL98*CL87*(1+CL113)</f>
        <v>188.8884545003169</v>
      </c>
      <c r="CM119" s="660">
        <f t="shared" si="669"/>
        <v>190.38640830610208</v>
      </c>
      <c r="CN119" s="660">
        <f t="shared" si="669"/>
        <v>203.89118262422744</v>
      </c>
      <c r="CO119" s="660">
        <f t="shared" si="669"/>
        <v>220.01372497524073</v>
      </c>
      <c r="CP119" s="660">
        <f t="shared" si="669"/>
        <v>195.60260147902943</v>
      </c>
      <c r="CQ119" s="660">
        <f t="shared" si="669"/>
        <v>197.14474851083025</v>
      </c>
      <c r="CR119" s="660">
        <f t="shared" si="669"/>
        <v>211.11927998076595</v>
      </c>
      <c r="CS119" s="660">
        <f t="shared" si="669"/>
        <v>227.79790043431362</v>
      </c>
      <c r="CT119" s="660">
        <f t="shared" si="669"/>
        <v>202.50946484508032</v>
      </c>
      <c r="CU119" s="660">
        <f t="shared" si="669"/>
        <v>204.09697222325525</v>
      </c>
      <c r="CV119" s="660">
        <f t="shared" si="669"/>
        <v>218.55462922141783</v>
      </c>
      <c r="CW119" s="660">
        <f t="shared" si="669"/>
        <v>235.63196698494659</v>
      </c>
    </row>
    <row r="120" spans="1:101" s="9" customFormat="1" ht="11.25">
      <c r="A120" s="665" t="s">
        <v>950</v>
      </c>
      <c r="B120" s="347"/>
      <c r="C120" s="676"/>
      <c r="D120" s="676"/>
      <c r="E120" s="676"/>
      <c r="F120" s="676"/>
      <c r="G120" s="676"/>
      <c r="H120" s="676"/>
      <c r="I120" s="676"/>
      <c r="J120" s="676" t="str">
        <f t="shared" ref="J120:AZ120" si="670">IFERROR(J119/F119-1,"NM")</f>
        <v>NM</v>
      </c>
      <c r="K120" s="657" t="str">
        <f t="shared" si="670"/>
        <v>NM</v>
      </c>
      <c r="L120" s="657" t="str">
        <f t="shared" si="670"/>
        <v>NM</v>
      </c>
      <c r="M120" s="657" t="str">
        <f t="shared" si="670"/>
        <v>NM</v>
      </c>
      <c r="N120" s="657" t="str">
        <f t="shared" si="670"/>
        <v>NM</v>
      </c>
      <c r="O120" s="657" t="str">
        <f t="shared" si="670"/>
        <v>NM</v>
      </c>
      <c r="P120" s="657" t="str">
        <f t="shared" si="670"/>
        <v>NM</v>
      </c>
      <c r="Q120" s="657" t="str">
        <f t="shared" si="670"/>
        <v>NM</v>
      </c>
      <c r="R120" s="657" t="str">
        <f t="shared" si="670"/>
        <v>NM</v>
      </c>
      <c r="S120" s="657" t="str">
        <f t="shared" si="670"/>
        <v>NM</v>
      </c>
      <c r="T120" s="657" t="str">
        <f t="shared" si="670"/>
        <v>NM</v>
      </c>
      <c r="U120" s="657" t="str">
        <f t="shared" si="670"/>
        <v>NM</v>
      </c>
      <c r="V120" s="657" t="str">
        <f t="shared" si="670"/>
        <v>NM</v>
      </c>
      <c r="W120" s="657" t="str">
        <f t="shared" si="670"/>
        <v>NM</v>
      </c>
      <c r="X120" s="657" t="str">
        <f t="shared" si="670"/>
        <v>NM</v>
      </c>
      <c r="Y120" s="657" t="str">
        <f t="shared" si="670"/>
        <v>NM</v>
      </c>
      <c r="Z120" s="657" t="str">
        <f t="shared" si="670"/>
        <v>NM</v>
      </c>
      <c r="AA120" s="657" t="str">
        <f t="shared" si="670"/>
        <v>NM</v>
      </c>
      <c r="AB120" s="657" t="str">
        <f t="shared" si="670"/>
        <v>NM</v>
      </c>
      <c r="AC120" s="657">
        <f t="shared" si="670"/>
        <v>0.1890209030159693</v>
      </c>
      <c r="AD120" s="657">
        <f t="shared" si="670"/>
        <v>0.36524289879213723</v>
      </c>
      <c r="AE120" s="2138">
        <f t="shared" si="670"/>
        <v>0.31829842699044364</v>
      </c>
      <c r="AF120" s="657">
        <f t="shared" si="670"/>
        <v>0.25048486253861424</v>
      </c>
      <c r="AG120" s="657">
        <f t="shared" si="670"/>
        <v>0.2213089628939735</v>
      </c>
      <c r="AH120" s="657">
        <f t="shared" si="670"/>
        <v>7.801425340724788E-2</v>
      </c>
      <c r="AI120" s="657">
        <f t="shared" si="670"/>
        <v>8.0720901462297379E-2</v>
      </c>
      <c r="AJ120" s="657">
        <f t="shared" si="670"/>
        <v>9.7892475437393989E-2</v>
      </c>
      <c r="AK120" s="657">
        <f t="shared" si="670"/>
        <v>0.12213210549215092</v>
      </c>
      <c r="AL120" s="657">
        <f t="shared" si="670"/>
        <v>0.17723051961560365</v>
      </c>
      <c r="AM120" s="715">
        <f t="shared" si="670"/>
        <v>0.13129276360918141</v>
      </c>
      <c r="AN120" s="715">
        <f t="shared" si="670"/>
        <v>6.3977403153376633E-2</v>
      </c>
      <c r="AO120" s="715">
        <f t="shared" si="670"/>
        <v>3.169651863057954E-3</v>
      </c>
      <c r="AP120" s="715">
        <f t="shared" si="670"/>
        <v>1.3597909925718743</v>
      </c>
      <c r="AQ120" s="715">
        <f t="shared" si="670"/>
        <v>1.9017595577151423</v>
      </c>
      <c r="AR120" s="715">
        <f t="shared" si="670"/>
        <v>1.9622645007232626</v>
      </c>
      <c r="AS120" s="715">
        <f t="shared" si="670"/>
        <v>1.8819960262344804</v>
      </c>
      <c r="AT120" s="715">
        <f t="shared" si="670"/>
        <v>-7.0824410063956122E-2</v>
      </c>
      <c r="AU120" s="715">
        <f t="shared" si="670"/>
        <v>-0.67248562590845884</v>
      </c>
      <c r="AV120" s="715">
        <f t="shared" si="670"/>
        <v>-0.18283650837348886</v>
      </c>
      <c r="AW120" s="715">
        <f t="shared" si="670"/>
        <v>-0.26331665179614216</v>
      </c>
      <c r="AX120" s="715">
        <f t="shared" si="670"/>
        <v>-0.12601689025149077</v>
      </c>
      <c r="AY120" s="715">
        <f t="shared" si="670"/>
        <v>1.6878541050995914</v>
      </c>
      <c r="AZ120" s="715">
        <f t="shared" si="670"/>
        <v>0.23165111392527504</v>
      </c>
      <c r="BA120" s="715">
        <f t="shared" ref="BA120:BK120" si="671">IFERROR(BA119/AW119-1,"NM")</f>
        <v>0.51231623402712345</v>
      </c>
      <c r="BB120" s="715">
        <f t="shared" si="671"/>
        <v>0.55167090345274339</v>
      </c>
      <c r="BC120" s="715">
        <f t="shared" si="671"/>
        <v>0.30961446627978861</v>
      </c>
      <c r="BD120" s="715">
        <f t="shared" si="671"/>
        <v>0.12137908055264712</v>
      </c>
      <c r="BE120" s="715">
        <f t="shared" si="671"/>
        <v>-1.7394857104836237E-2</v>
      </c>
      <c r="BF120" s="715">
        <f t="shared" si="671"/>
        <v>1.7212827494768712E-2</v>
      </c>
      <c r="BG120" s="715">
        <f t="shared" si="671"/>
        <v>-1.694018969644373E-2</v>
      </c>
      <c r="BH120" s="715">
        <f t="shared" si="671"/>
        <v>-8.1762934574359791E-3</v>
      </c>
      <c r="BI120" s="715">
        <f t="shared" si="671"/>
        <v>-4.8061921562444487E-3</v>
      </c>
      <c r="BJ120" s="715">
        <f t="shared" si="671"/>
        <v>-5.4049721706170839E-2</v>
      </c>
      <c r="BK120" s="1361">
        <f t="shared" si="671"/>
        <v>-5.3379583586738777E-2</v>
      </c>
      <c r="BL120" s="461">
        <f t="shared" ref="BL120:BQ120" si="672">BL119/BH119-1</f>
        <v>4.5230936573093183E-2</v>
      </c>
      <c r="BM120" s="461">
        <f t="shared" si="672"/>
        <v>0.13005653351178448</v>
      </c>
      <c r="BN120" s="461">
        <f t="shared" si="672"/>
        <v>0.18873314151048182</v>
      </c>
      <c r="BO120" s="461">
        <f t="shared" si="672"/>
        <v>0.22708593592302129</v>
      </c>
      <c r="BP120" s="461">
        <f t="shared" si="672"/>
        <v>0.16487989161066285</v>
      </c>
      <c r="BQ120" s="461">
        <f t="shared" si="672"/>
        <v>6.0946742431310819E-2</v>
      </c>
      <c r="BR120" s="461">
        <f t="shared" ref="BR120:CK120" si="673">BR119/BN119-1</f>
        <v>4.8525158156118575E-3</v>
      </c>
      <c r="BS120" s="461">
        <f t="shared" si="673"/>
        <v>-4.7924582463655052E-2</v>
      </c>
      <c r="BT120" s="461">
        <f t="shared" si="673"/>
        <v>-1.985231209584648E-2</v>
      </c>
      <c r="BU120" s="461">
        <f t="shared" si="673"/>
        <v>1.1469422670931095E-3</v>
      </c>
      <c r="BV120" s="461">
        <f t="shared" si="673"/>
        <v>1.4277960532484091E-2</v>
      </c>
      <c r="BW120" s="461">
        <f t="shared" si="673"/>
        <v>3.9472039473684495E-2</v>
      </c>
      <c r="BX120" s="461">
        <f t="shared" si="673"/>
        <v>3.9411475409836028E-2</v>
      </c>
      <c r="BY120" s="461">
        <f t="shared" si="673"/>
        <v>3.7642216788916549E-2</v>
      </c>
      <c r="BZ120" s="461">
        <f t="shared" si="673"/>
        <v>3.48277147487841E-2</v>
      </c>
      <c r="CA120" s="461">
        <f t="shared" si="673"/>
        <v>3.4779644588044389E-2</v>
      </c>
      <c r="CB120" s="461">
        <f t="shared" si="673"/>
        <v>3.4731884057970897E-2</v>
      </c>
      <c r="CC120" s="461">
        <f t="shared" si="673"/>
        <v>3.4672614274257718E-2</v>
      </c>
      <c r="CD120" s="461">
        <f t="shared" si="673"/>
        <v>3.4613817891374188E-2</v>
      </c>
      <c r="CE120" s="461">
        <f t="shared" si="673"/>
        <v>3.4567117834394923E-2</v>
      </c>
      <c r="CF120" s="461">
        <f t="shared" si="673"/>
        <v>3.4520714285714016E-2</v>
      </c>
      <c r="CG120" s="461">
        <f t="shared" si="673"/>
        <v>3.4463122529644563E-2</v>
      </c>
      <c r="CH120" s="461">
        <f t="shared" si="673"/>
        <v>3.4405984251968391E-2</v>
      </c>
      <c r="CI120" s="461">
        <f t="shared" si="673"/>
        <v>3.436059654631074E-2</v>
      </c>
      <c r="CJ120" s="461">
        <f t="shared" si="673"/>
        <v>3.4315492957746718E-2</v>
      </c>
      <c r="CK120" s="461">
        <f t="shared" si="673"/>
        <v>3.5054481683553851E-2</v>
      </c>
      <c r="CL120" s="461">
        <f t="shared" ref="CL120" si="674">CL119/CH119-1</f>
        <v>3.5787732919254633E-2</v>
      </c>
      <c r="CM120" s="461">
        <f t="shared" ref="CM120" si="675">CM119/CI119-1</f>
        <v>3.5738699690402775E-2</v>
      </c>
      <c r="CN120" s="461">
        <f t="shared" ref="CN120" si="676">CN119/CJ119-1</f>
        <v>3.5689969135802357E-2</v>
      </c>
      <c r="CO120" s="461">
        <f t="shared" ref="CO120" si="677">CO119/CK119-1</f>
        <v>3.5617434715822238E-2</v>
      </c>
      <c r="CP120" s="461">
        <f t="shared" ref="CP120" si="678">CP119/CL119-1</f>
        <v>3.5545565749235619E-2</v>
      </c>
      <c r="CQ120" s="461">
        <f t="shared" ref="CQ120" si="679">CQ119/CM119-1</f>
        <v>3.5498018292682731E-2</v>
      </c>
      <c r="CR120" s="461">
        <f t="shared" ref="CR120" si="680">CR119/CN119-1</f>
        <v>3.5450759878419724E-2</v>
      </c>
      <c r="CS120" s="461">
        <f t="shared" ref="CS120" si="681">CS119/CO119-1</f>
        <v>3.5380408472011737E-2</v>
      </c>
      <c r="CT120" s="461">
        <f t="shared" ref="CT120" si="682">CT119/CP119-1</f>
        <v>3.5310692771084451E-2</v>
      </c>
      <c r="CU120" s="461">
        <f t="shared" ref="CU120" si="683">CU119/CQ119-1</f>
        <v>3.5264564564564393E-2</v>
      </c>
      <c r="CV120" s="461">
        <f t="shared" ref="CV120" si="684">CV119/CR119-1</f>
        <v>3.5218712574849986E-2</v>
      </c>
      <c r="CW120" s="461">
        <f t="shared" ref="CW120" si="685">CW119/CS119-1</f>
        <v>3.4390424739195291E-2</v>
      </c>
    </row>
    <row r="121" spans="1:101" s="9" customFormat="1" ht="11.25">
      <c r="A121" s="665" t="s">
        <v>948</v>
      </c>
      <c r="B121" s="348"/>
      <c r="C121" s="878">
        <v>4.4999999999999998E-2</v>
      </c>
      <c r="D121" s="878">
        <v>4.4999999999999998E-2</v>
      </c>
      <c r="E121" s="878">
        <v>4.4999999999999998E-2</v>
      </c>
      <c r="F121" s="878">
        <v>4.4999999999999998E-2</v>
      </c>
      <c r="G121" s="878">
        <v>4.4999999999999998E-2</v>
      </c>
      <c r="H121" s="878">
        <v>4.4999999999999998E-2</v>
      </c>
      <c r="I121" s="878">
        <v>4.4999999999999998E-2</v>
      </c>
      <c r="J121" s="878">
        <v>4.4999999999999998E-2</v>
      </c>
      <c r="K121" s="878">
        <v>4.4999999999999998E-2</v>
      </c>
      <c r="L121" s="878">
        <v>4.4999999999999998E-2</v>
      </c>
      <c r="M121" s="878">
        <v>4.4999999999999998E-2</v>
      </c>
      <c r="N121" s="878">
        <v>4.4999999999999998E-2</v>
      </c>
      <c r="O121" s="878">
        <v>4.4999999999999998E-2</v>
      </c>
      <c r="P121" s="878">
        <v>4.4999999999999998E-2</v>
      </c>
      <c r="Q121" s="878">
        <v>4.4999999999999998E-2</v>
      </c>
      <c r="R121" s="878">
        <v>4.4999999999999998E-2</v>
      </c>
      <c r="S121" s="878">
        <v>4.4999999999999998E-2</v>
      </c>
      <c r="T121" s="878">
        <v>4.4999999999999998E-2</v>
      </c>
      <c r="U121" s="878">
        <v>4.4999999999999998E-2</v>
      </c>
      <c r="V121" s="878">
        <v>4.4999999999999998E-2</v>
      </c>
      <c r="W121" s="878">
        <v>4.4999999999999998E-2</v>
      </c>
      <c r="X121" s="878">
        <v>4.4999999999999998E-2</v>
      </c>
      <c r="Y121" s="878">
        <v>4.4999999999999998E-2</v>
      </c>
      <c r="Z121" s="878">
        <v>4.4999999999999998E-2</v>
      </c>
      <c r="AA121" s="878">
        <v>4.4999999999999998E-2</v>
      </c>
      <c r="AB121" s="878">
        <v>4.4999999999999998E-2</v>
      </c>
      <c r="AC121" s="878">
        <v>4.4999999999999998E-2</v>
      </c>
      <c r="AD121" s="878">
        <v>4.4999999999999998E-2</v>
      </c>
      <c r="AE121" s="2155">
        <v>4.4999999999999998E-2</v>
      </c>
      <c r="AF121" s="878">
        <v>4.4999999999999998E-2</v>
      </c>
      <c r="AG121" s="878">
        <v>4.4999999999999998E-2</v>
      </c>
      <c r="AH121" s="878">
        <v>4.4999999999999998E-2</v>
      </c>
      <c r="AI121" s="878">
        <v>4.4999999999999998E-2</v>
      </c>
      <c r="AJ121" s="878">
        <v>4.4999999999999998E-2</v>
      </c>
      <c r="AK121" s="878">
        <v>4.4999999999999998E-2</v>
      </c>
      <c r="AL121" s="878">
        <v>4.4999999999999998E-2</v>
      </c>
      <c r="AM121" s="878">
        <v>4.4999999999999998E-2</v>
      </c>
      <c r="AN121" s="878">
        <v>4.4999999999999998E-2</v>
      </c>
      <c r="AO121" s="878">
        <v>4.4999999999999998E-2</v>
      </c>
      <c r="AP121" s="878">
        <v>4.4999999999999998E-2</v>
      </c>
      <c r="AQ121" s="878">
        <v>4.4999999999999998E-2</v>
      </c>
      <c r="AR121" s="878">
        <v>4.4999999999999998E-2</v>
      </c>
      <c r="AS121" s="878">
        <v>4.4999999999999998E-2</v>
      </c>
      <c r="AT121" s="878">
        <v>4.4999999999999998E-2</v>
      </c>
      <c r="AU121" s="878">
        <v>4.4999999999999998E-2</v>
      </c>
      <c r="AV121" s="878">
        <v>4.4999999999999998E-2</v>
      </c>
      <c r="AW121" s="878">
        <v>4.4999999999999998E-2</v>
      </c>
      <c r="AX121" s="878">
        <v>4.4999999999999998E-2</v>
      </c>
      <c r="AY121" s="878">
        <v>4.4999999999999998E-2</v>
      </c>
      <c r="AZ121" s="878">
        <v>4.4999999999999998E-2</v>
      </c>
      <c r="BA121" s="878">
        <v>4.4999999999999998E-2</v>
      </c>
      <c r="BB121" s="878">
        <v>4.4999999999999998E-2</v>
      </c>
      <c r="BC121" s="878">
        <v>4.4999999999999998E-2</v>
      </c>
      <c r="BD121" s="878">
        <v>4.4999999999999998E-2</v>
      </c>
      <c r="BE121" s="878">
        <v>4.4999999999999998E-2</v>
      </c>
      <c r="BF121" s="878">
        <v>4.4999999999999998E-2</v>
      </c>
      <c r="BG121" s="878">
        <v>4.4999999999999998E-2</v>
      </c>
      <c r="BH121" s="878">
        <v>4.4999999999999998E-2</v>
      </c>
      <c r="BI121" s="878">
        <v>4.4999999999999998E-2</v>
      </c>
      <c r="BJ121" s="878">
        <v>4.4999999999999998E-2</v>
      </c>
      <c r="BK121" s="878">
        <f>BJ121</f>
        <v>4.4999999999999998E-2</v>
      </c>
      <c r="BL121" s="461"/>
      <c r="BM121" s="461"/>
      <c r="BN121" s="461"/>
      <c r="BO121" s="461"/>
      <c r="BP121" s="461"/>
      <c r="BQ121" s="461"/>
      <c r="BR121" s="461"/>
      <c r="BS121" s="461"/>
      <c r="BT121" s="461"/>
      <c r="BU121" s="461"/>
      <c r="BV121" s="461"/>
      <c r="BW121" s="461"/>
      <c r="BX121" s="461"/>
      <c r="BY121" s="461"/>
      <c r="BZ121" s="461"/>
      <c r="CA121" s="461"/>
      <c r="CB121" s="461"/>
      <c r="CC121" s="461"/>
      <c r="CD121" s="461"/>
      <c r="CE121" s="461"/>
      <c r="CF121" s="461"/>
      <c r="CG121" s="461"/>
      <c r="CH121" s="461"/>
      <c r="CI121" s="461"/>
      <c r="CJ121" s="461"/>
      <c r="CK121" s="461"/>
      <c r="CL121" s="461"/>
      <c r="CM121" s="461"/>
      <c r="CN121" s="461"/>
      <c r="CO121" s="461"/>
      <c r="CP121" s="461"/>
      <c r="CQ121" s="461"/>
      <c r="CR121" s="461"/>
      <c r="CS121" s="461"/>
      <c r="CT121" s="461"/>
      <c r="CU121" s="461"/>
      <c r="CV121" s="461"/>
      <c r="CW121" s="461"/>
    </row>
    <row r="122" spans="1:101" s="9" customFormat="1" ht="11.25">
      <c r="A122" s="871"/>
      <c r="B122" s="868"/>
      <c r="C122" s="868"/>
      <c r="D122" s="868"/>
      <c r="E122" s="868"/>
      <c r="F122" s="868"/>
      <c r="G122" s="868"/>
      <c r="H122" s="868"/>
      <c r="I122" s="868"/>
      <c r="J122" s="868"/>
      <c r="K122" s="868"/>
      <c r="L122" s="868"/>
      <c r="M122" s="868"/>
      <c r="N122" s="868"/>
      <c r="O122" s="868"/>
      <c r="P122" s="868"/>
      <c r="Q122" s="868"/>
      <c r="R122" s="868"/>
      <c r="S122" s="868"/>
      <c r="T122" s="868"/>
      <c r="U122" s="868"/>
      <c r="V122" s="868"/>
      <c r="W122" s="868"/>
      <c r="X122" s="868"/>
      <c r="Y122" s="868"/>
      <c r="Z122" s="868"/>
      <c r="AA122" s="868"/>
      <c r="AB122" s="868"/>
      <c r="AC122" s="1483">
        <f>+(AC119/AC87)/(AC108/AC83)</f>
        <v>4.5000000000000012E-2</v>
      </c>
      <c r="AD122" s="868"/>
      <c r="AE122" s="2156"/>
      <c r="AF122" s="868"/>
      <c r="AG122" s="868"/>
      <c r="AH122" s="868"/>
      <c r="AI122" s="868"/>
      <c r="AJ122" s="868"/>
      <c r="AK122" s="868"/>
      <c r="AL122" s="868"/>
      <c r="AM122" s="966"/>
      <c r="AN122" s="1504"/>
      <c r="AO122" s="966"/>
      <c r="AP122" s="872"/>
      <c r="AQ122" s="872"/>
      <c r="AR122" s="872"/>
      <c r="AS122" s="1714"/>
      <c r="AT122" s="1714"/>
      <c r="AU122" s="1714"/>
      <c r="AV122" s="1714"/>
      <c r="AW122" s="1714"/>
      <c r="AX122" s="1714"/>
      <c r="AY122" s="1714"/>
      <c r="AZ122" s="1714"/>
      <c r="BA122" s="1714"/>
      <c r="BB122" s="1714"/>
      <c r="BC122" s="1714"/>
      <c r="BD122" s="1714"/>
      <c r="BE122" s="1714"/>
      <c r="BF122" s="1714"/>
      <c r="BG122" s="1714"/>
      <c r="BH122" s="1714"/>
      <c r="BI122" s="1714"/>
      <c r="BJ122" s="1714"/>
      <c r="BK122" s="1503"/>
      <c r="BL122" s="872"/>
      <c r="BM122" s="872"/>
      <c r="BN122" s="872"/>
      <c r="BO122" s="872"/>
      <c r="BP122" s="872"/>
      <c r="BQ122" s="872"/>
      <c r="BR122" s="872"/>
      <c r="BS122" s="872"/>
      <c r="BT122" s="872"/>
      <c r="BU122" s="872"/>
      <c r="BV122" s="872"/>
      <c r="BW122" s="872"/>
      <c r="BX122" s="872"/>
      <c r="BY122" s="872"/>
      <c r="BZ122" s="872"/>
      <c r="CA122" s="872"/>
      <c r="CB122" s="872"/>
      <c r="CC122" s="872"/>
      <c r="CD122" s="872"/>
      <c r="CE122" s="872"/>
      <c r="CF122" s="872"/>
      <c r="CG122" s="872"/>
      <c r="CH122" s="872"/>
      <c r="CI122" s="872"/>
      <c r="CJ122" s="872"/>
      <c r="CK122" s="872"/>
      <c r="CL122" s="872"/>
      <c r="CM122" s="872"/>
      <c r="CN122" s="872"/>
      <c r="CO122" s="872"/>
      <c r="CP122" s="872"/>
      <c r="CQ122" s="872"/>
      <c r="CR122" s="872"/>
      <c r="CS122" s="872"/>
      <c r="CT122" s="872"/>
      <c r="CU122" s="872"/>
      <c r="CV122" s="872"/>
      <c r="CW122" s="872"/>
    </row>
    <row r="123" spans="1:101" s="9" customFormat="1" ht="11.25">
      <c r="A123" s="958" t="s">
        <v>1030</v>
      </c>
      <c r="B123" s="812"/>
      <c r="C123" s="337"/>
      <c r="D123" s="337"/>
      <c r="E123" s="337"/>
      <c r="F123" s="337"/>
      <c r="G123" s="337"/>
      <c r="H123" s="337"/>
      <c r="I123" s="337"/>
      <c r="J123" s="337"/>
      <c r="K123" s="337"/>
      <c r="L123" s="337"/>
      <c r="M123" s="337"/>
      <c r="N123" s="337"/>
      <c r="O123" s="337"/>
      <c r="P123" s="337"/>
      <c r="Q123" s="337"/>
      <c r="R123" s="337"/>
      <c r="S123" s="337"/>
      <c r="T123" s="337"/>
      <c r="U123" s="337">
        <f>+Q_Financials!U27</f>
        <v>0</v>
      </c>
      <c r="V123" s="337">
        <f>+Q_Financials!V27</f>
        <v>0</v>
      </c>
      <c r="W123" s="337">
        <f>+Q_Financials!W27</f>
        <v>0</v>
      </c>
      <c r="X123" s="337">
        <f>+Q_Financials!X27</f>
        <v>0</v>
      </c>
      <c r="Y123" s="337">
        <f>+Q_Financials!Y27</f>
        <v>290</v>
      </c>
      <c r="Z123" s="337">
        <f>+Q_Financials!Z27</f>
        <v>251</v>
      </c>
      <c r="AA123" s="337">
        <f>+Q_Financials!AA27</f>
        <v>247</v>
      </c>
      <c r="AB123" s="337">
        <f>+Q_Financials!AB27</f>
        <v>246</v>
      </c>
      <c r="AC123" s="337">
        <f>+Q_Financials!AC27</f>
        <v>338</v>
      </c>
      <c r="AD123" s="337">
        <f>+Q_Financials!AD27</f>
        <v>351</v>
      </c>
      <c r="AE123" s="2157">
        <f>+Q_Financials!AE27</f>
        <v>339</v>
      </c>
      <c r="AF123" s="337">
        <f>+Q_Financials!AF27</f>
        <v>334</v>
      </c>
      <c r="AG123" s="337">
        <f>+Q_Financials!AG27</f>
        <v>476</v>
      </c>
      <c r="AH123" s="337">
        <f>+Q_Financials!AH27</f>
        <v>410</v>
      </c>
      <c r="AI123" s="337">
        <f>+Q_Financials!AI27</f>
        <v>390</v>
      </c>
      <c r="AJ123" s="337">
        <f>+Q_Financials!AJ27</f>
        <v>372</v>
      </c>
      <c r="AK123" s="337">
        <f>+Q_Financials!AK27</f>
        <v>554</v>
      </c>
      <c r="AL123" s="337">
        <f>+Q_Financials!AL27</f>
        <v>497</v>
      </c>
      <c r="AM123" s="337">
        <f>+Q_Financials!AM27</f>
        <v>449</v>
      </c>
      <c r="AN123" s="337">
        <f>+Q_Financials!AN27</f>
        <v>418</v>
      </c>
      <c r="AO123" s="337">
        <f>+Q_Financials!AO27</f>
        <v>552</v>
      </c>
      <c r="AP123" s="337">
        <f>+Q_Financials!AP27</f>
        <v>815</v>
      </c>
      <c r="AQ123" s="337">
        <f>+Q_Financials!AQ27</f>
        <v>865</v>
      </c>
      <c r="AR123" s="337">
        <f>+Q_Financials!AR27</f>
        <v>801</v>
      </c>
      <c r="AS123" s="337">
        <f>+Q_Financials!AS27</f>
        <v>1270</v>
      </c>
      <c r="AT123" s="337">
        <f>+Q_Financials!AT27</f>
        <v>390</v>
      </c>
      <c r="AU123" s="337">
        <f>+Q_Financials!AU27</f>
        <v>-566</v>
      </c>
      <c r="AV123" s="337">
        <f>+Q_Financials!AV27</f>
        <v>509</v>
      </c>
      <c r="AW123" s="337">
        <f>+Q_Financials!AW27</f>
        <v>854</v>
      </c>
      <c r="AX123" s="337">
        <f>+Q_Financials!AX27</f>
        <v>378</v>
      </c>
      <c r="AY123" s="337">
        <f>+Q_Financials!AY27</f>
        <v>699</v>
      </c>
      <c r="AZ123" s="337">
        <f>+Q_Financials!AZ27</f>
        <v>916</v>
      </c>
      <c r="BA123" s="337">
        <f>+Q_Financials!BA27</f>
        <v>1429</v>
      </c>
      <c r="BB123" s="337">
        <f>+Q_Financials!BB27</f>
        <v>791</v>
      </c>
      <c r="BC123" s="337">
        <f>+Q_Financials!BC27</f>
        <v>901</v>
      </c>
      <c r="BD123" s="337">
        <f>+Q_Financials!BD27</f>
        <v>602</v>
      </c>
      <c r="BE123" s="337">
        <f>+Q_Financials!BE27</f>
        <v>930</v>
      </c>
      <c r="BF123" s="337">
        <f>+Q_Financials!BF27</f>
        <v>726</v>
      </c>
      <c r="BG123" s="337">
        <f>+Q_Financials!BG27</f>
        <v>866</v>
      </c>
      <c r="BH123" s="337">
        <f>+Q_Financials!BH27</f>
        <v>884</v>
      </c>
      <c r="BI123" s="337">
        <f>+Q_Financials!BI27</f>
        <v>1065</v>
      </c>
      <c r="BJ123" s="337">
        <f>+Q_Financials!BJ27</f>
        <v>739</v>
      </c>
      <c r="BK123" s="1379">
        <f>+Q_Financials!BK27</f>
        <v>737</v>
      </c>
      <c r="BL123" s="338">
        <f t="shared" ref="BL123:BQ123" si="686">+BL125*BL105</f>
        <v>861.77306022797984</v>
      </c>
      <c r="BM123" s="338">
        <f t="shared" si="686"/>
        <v>1141.6369468923569</v>
      </c>
      <c r="BN123" s="338">
        <f t="shared" si="686"/>
        <v>832.83749361961782</v>
      </c>
      <c r="BO123" s="338">
        <f t="shared" si="686"/>
        <v>851.54976561392766</v>
      </c>
      <c r="BP123" s="338">
        <f t="shared" si="686"/>
        <v>1005.1256229107319</v>
      </c>
      <c r="BQ123" s="338">
        <f t="shared" si="686"/>
        <v>1297.2632695772854</v>
      </c>
      <c r="BR123" s="338">
        <f t="shared" ref="BR123:CK123" si="687">+BR125*BR105</f>
        <v>933.71881322974957</v>
      </c>
      <c r="BS123" s="338">
        <f t="shared" si="687"/>
        <v>930.23716662450079</v>
      </c>
      <c r="BT123" s="338">
        <f t="shared" si="687"/>
        <v>1096.2961645590722</v>
      </c>
      <c r="BU123" s="338">
        <f t="shared" si="687"/>
        <v>1410.9473233985073</v>
      </c>
      <c r="BV123" s="338">
        <f t="shared" si="687"/>
        <v>1016.0145057594361</v>
      </c>
      <c r="BW123" s="338">
        <f t="shared" si="687"/>
        <v>1012.241902371337</v>
      </c>
      <c r="BX123" s="338">
        <f t="shared" si="687"/>
        <v>1192.049762859883</v>
      </c>
      <c r="BY123" s="338">
        <f t="shared" si="687"/>
        <v>1530.566820676323</v>
      </c>
      <c r="BZ123" s="338">
        <f t="shared" si="687"/>
        <v>1040.0071599299733</v>
      </c>
      <c r="CA123" s="338">
        <f t="shared" si="687"/>
        <v>1035.2857894897347</v>
      </c>
      <c r="CB123" s="338">
        <f t="shared" si="687"/>
        <v>1224.8354189661277</v>
      </c>
      <c r="CC123" s="338">
        <f t="shared" si="687"/>
        <v>1581.9770237192033</v>
      </c>
      <c r="CD123" s="338">
        <f t="shared" si="687"/>
        <v>1122.6991701545617</v>
      </c>
      <c r="CE123" s="338">
        <f t="shared" si="687"/>
        <v>1117.5780148299118</v>
      </c>
      <c r="CF123" s="338">
        <f t="shared" si="687"/>
        <v>1321.6333081380576</v>
      </c>
      <c r="CG123" s="338">
        <f t="shared" si="687"/>
        <v>1705.1687217507624</v>
      </c>
      <c r="CH123" s="338">
        <f t="shared" si="687"/>
        <v>1210.4096665996869</v>
      </c>
      <c r="CI123" s="338">
        <f t="shared" si="687"/>
        <v>1204.0011644272231</v>
      </c>
      <c r="CJ123" s="338">
        <f t="shared" si="687"/>
        <v>1422.2218394218464</v>
      </c>
      <c r="CK123" s="338">
        <f t="shared" si="687"/>
        <v>1832.4228837032379</v>
      </c>
      <c r="CL123" s="338">
        <f t="shared" ref="CL123:CW123" si="688">+CL125*CL105</f>
        <v>1301.5639973898669</v>
      </c>
      <c r="CM123" s="338">
        <f t="shared" si="688"/>
        <v>1294.6864471267775</v>
      </c>
      <c r="CN123" s="338">
        <f t="shared" si="688"/>
        <v>1528.7483588829734</v>
      </c>
      <c r="CO123" s="338">
        <f t="shared" si="688"/>
        <v>1967.7443838367262</v>
      </c>
      <c r="CP123" s="338">
        <f t="shared" si="688"/>
        <v>1398.569674879928</v>
      </c>
      <c r="CQ123" s="338">
        <f t="shared" si="688"/>
        <v>1391.1954851614385</v>
      </c>
      <c r="CR123" s="338">
        <f t="shared" si="688"/>
        <v>1642.0702118087963</v>
      </c>
      <c r="CS123" s="338">
        <f t="shared" si="688"/>
        <v>2111.5904508420417</v>
      </c>
      <c r="CT123" s="338">
        <f t="shared" si="688"/>
        <v>1501.7628395118606</v>
      </c>
      <c r="CU123" s="338">
        <f t="shared" si="688"/>
        <v>1493.8630489367974</v>
      </c>
      <c r="CV123" s="338">
        <f t="shared" si="688"/>
        <v>1762.575416427238</v>
      </c>
      <c r="CW123" s="338">
        <f t="shared" si="688"/>
        <v>2262.8433332657473</v>
      </c>
    </row>
    <row r="124" spans="1:101" s="9" customFormat="1" ht="11.25">
      <c r="A124" s="903" t="s">
        <v>873</v>
      </c>
      <c r="B124" s="812"/>
      <c r="C124" s="812"/>
      <c r="D124" s="812"/>
      <c r="E124" s="812"/>
      <c r="F124" s="812"/>
      <c r="G124" s="812"/>
      <c r="H124" s="812"/>
      <c r="I124" s="812"/>
      <c r="J124" s="812"/>
      <c r="K124" s="812"/>
      <c r="L124" s="812"/>
      <c r="M124" s="812"/>
      <c r="N124" s="812"/>
      <c r="O124" s="812"/>
      <c r="P124" s="812"/>
      <c r="Q124" s="812"/>
      <c r="R124" s="812"/>
      <c r="S124" s="812"/>
      <c r="T124" s="812"/>
      <c r="U124" s="813">
        <f t="shared" ref="U124:AZ124" si="689">+U123/U$305</f>
        <v>0</v>
      </c>
      <c r="V124" s="813">
        <f t="shared" si="689"/>
        <v>0</v>
      </c>
      <c r="W124" s="813">
        <f t="shared" si="689"/>
        <v>0</v>
      </c>
      <c r="X124" s="813">
        <f t="shared" si="689"/>
        <v>0</v>
      </c>
      <c r="Y124" s="813">
        <f t="shared" si="689"/>
        <v>0.1514360313315927</v>
      </c>
      <c r="Z124" s="813">
        <f t="shared" si="689"/>
        <v>0.17713479181369091</v>
      </c>
      <c r="AA124" s="813">
        <f t="shared" si="689"/>
        <v>0.1552482715273413</v>
      </c>
      <c r="AB124" s="813">
        <f t="shared" si="689"/>
        <v>0.14377556984219755</v>
      </c>
      <c r="AC124" s="813">
        <f t="shared" si="689"/>
        <v>0.16415735794074793</v>
      </c>
      <c r="AD124" s="813">
        <f t="shared" si="689"/>
        <v>0.20550351288056207</v>
      </c>
      <c r="AE124" s="2144">
        <f t="shared" si="689"/>
        <v>0.18031914893617021</v>
      </c>
      <c r="AF124" s="813">
        <f t="shared" si="689"/>
        <v>0.16453201970443349</v>
      </c>
      <c r="AG124" s="813">
        <f t="shared" si="689"/>
        <v>0.20481927710843373</v>
      </c>
      <c r="AH124" s="813">
        <f t="shared" si="689"/>
        <v>0.20357497517378351</v>
      </c>
      <c r="AI124" s="813">
        <f t="shared" si="689"/>
        <v>0.17955801104972377</v>
      </c>
      <c r="AJ124" s="813">
        <f t="shared" si="689"/>
        <v>0.17807563427477263</v>
      </c>
      <c r="AK124" s="813">
        <f t="shared" si="689"/>
        <v>0.21136970621900039</v>
      </c>
      <c r="AL124" s="813">
        <f t="shared" si="689"/>
        <v>0.22632058287795992</v>
      </c>
      <c r="AM124" s="84">
        <f t="shared" si="689"/>
        <v>0.19270386266094422</v>
      </c>
      <c r="AN124" s="84">
        <f t="shared" si="689"/>
        <v>0.18828828828828828</v>
      </c>
      <c r="AO124" s="84">
        <f t="shared" si="689"/>
        <v>0.2226704316256555</v>
      </c>
      <c r="AP124" s="84">
        <f t="shared" si="689"/>
        <v>0.33539094650205764</v>
      </c>
      <c r="AQ124" s="84">
        <f t="shared" si="689"/>
        <v>0.30329593267882188</v>
      </c>
      <c r="AR124" s="84">
        <f t="shared" si="689"/>
        <v>0.29502762430939228</v>
      </c>
      <c r="AS124" s="84">
        <f t="shared" si="689"/>
        <v>0.39477774323904258</v>
      </c>
      <c r="AT124" s="84">
        <f t="shared" si="689"/>
        <v>0.22323983972524328</v>
      </c>
      <c r="AU124" s="84">
        <f t="shared" si="689"/>
        <v>0.54527938342967242</v>
      </c>
      <c r="AV124" s="84">
        <f t="shared" si="689"/>
        <v>0.44806338028169013</v>
      </c>
      <c r="AW124" s="84">
        <f t="shared" si="689"/>
        <v>0.34078212290502791</v>
      </c>
      <c r="AX124" s="84">
        <f t="shared" si="689"/>
        <v>0.25403225806451613</v>
      </c>
      <c r="AY124" s="84">
        <f t="shared" si="689"/>
        <v>0.28565590519002859</v>
      </c>
      <c r="AZ124" s="84">
        <f t="shared" si="689"/>
        <v>0.33988868274582562</v>
      </c>
      <c r="BA124" s="84">
        <f t="shared" ref="BA124:CF124" si="690">+BA123/BA$305</f>
        <v>0.35716070982254439</v>
      </c>
      <c r="BB124" s="84">
        <f t="shared" si="690"/>
        <v>0.2815948736205055</v>
      </c>
      <c r="BC124" s="84">
        <f t="shared" si="690"/>
        <v>0.27612626417407293</v>
      </c>
      <c r="BD124" s="84">
        <f t="shared" si="690"/>
        <v>0.19539110678351185</v>
      </c>
      <c r="BE124" s="84">
        <f t="shared" si="690"/>
        <v>0.25790349417637271</v>
      </c>
      <c r="BF124" s="84">
        <f t="shared" si="690"/>
        <v>0.22673329169269207</v>
      </c>
      <c r="BG124" s="84">
        <f t="shared" si="690"/>
        <v>0.23099493198186183</v>
      </c>
      <c r="BH124" s="84">
        <f t="shared" si="690"/>
        <v>0.23554489741540102</v>
      </c>
      <c r="BI124" s="84">
        <f t="shared" si="690"/>
        <v>0.26276831976313841</v>
      </c>
      <c r="BJ124" s="84">
        <f t="shared" si="690"/>
        <v>0.20630932439977667</v>
      </c>
      <c r="BK124" s="801">
        <f t="shared" ref="BK124" si="691">+BK123/BK$305</f>
        <v>0.19425408539799685</v>
      </c>
      <c r="BL124" s="380">
        <f t="shared" si="690"/>
        <v>0.22938040418672428</v>
      </c>
      <c r="BM124" s="380">
        <f t="shared" si="690"/>
        <v>0.27722061420467109</v>
      </c>
      <c r="BN124" s="380">
        <f t="shared" si="690"/>
        <v>0.22003944300691999</v>
      </c>
      <c r="BO124" s="380">
        <f t="shared" si="690"/>
        <v>0.21023249392444324</v>
      </c>
      <c r="BP124" s="380">
        <f t="shared" si="690"/>
        <v>0.2465967925331643</v>
      </c>
      <c r="BQ124" s="380">
        <f t="shared" si="690"/>
        <v>0.2914202468604255</v>
      </c>
      <c r="BR124" s="380">
        <f t="shared" si="690"/>
        <v>0.2294894465395956</v>
      </c>
      <c r="BS124" s="380">
        <f t="shared" si="690"/>
        <v>0.21539037878527792</v>
      </c>
      <c r="BT124" s="380">
        <f t="shared" si="690"/>
        <v>0.2521566493435009</v>
      </c>
      <c r="BU124" s="380">
        <f t="shared" si="690"/>
        <v>0.2972118677926851</v>
      </c>
      <c r="BV124" s="380">
        <f t="shared" si="690"/>
        <v>0.23539205660562076</v>
      </c>
      <c r="BW124" s="380">
        <f t="shared" si="690"/>
        <v>0.22114098613065611</v>
      </c>
      <c r="BX124" s="380">
        <f t="shared" si="690"/>
        <v>0.25848016522249861</v>
      </c>
      <c r="BY124" s="380">
        <f t="shared" si="690"/>
        <v>0.30374838577844815</v>
      </c>
      <c r="BZ124" s="380">
        <f t="shared" si="690"/>
        <v>0.2354425314833628</v>
      </c>
      <c r="CA124" s="380">
        <f t="shared" si="690"/>
        <v>0.22099107768484005</v>
      </c>
      <c r="CB124" s="380">
        <f t="shared" si="690"/>
        <v>0.25930242394741138</v>
      </c>
      <c r="CC124" s="380">
        <f t="shared" si="690"/>
        <v>0.3060116023396165</v>
      </c>
      <c r="CD124" s="380">
        <f t="shared" si="690"/>
        <v>0.2418390019589518</v>
      </c>
      <c r="CE124" s="380">
        <f t="shared" si="690"/>
        <v>0.22714145465261332</v>
      </c>
      <c r="CF124" s="380">
        <f t="shared" si="690"/>
        <v>0.2660254427131894</v>
      </c>
      <c r="CG124" s="380">
        <f t="shared" ref="CG124:CW124" si="692">+CG123/CG$305</f>
        <v>0.31312825908304848</v>
      </c>
      <c r="CH124" s="380">
        <f t="shared" si="692"/>
        <v>0.24820068921031654</v>
      </c>
      <c r="CI124" s="380">
        <f t="shared" si="692"/>
        <v>0.23320133256215492</v>
      </c>
      <c r="CJ124" s="380">
        <f t="shared" si="692"/>
        <v>0.27255401766141962</v>
      </c>
      <c r="CK124" s="380">
        <f t="shared" si="692"/>
        <v>0.32011264080198992</v>
      </c>
      <c r="CL124" s="380">
        <f t="shared" si="692"/>
        <v>0.25461388690825082</v>
      </c>
      <c r="CM124" s="380">
        <f t="shared" si="692"/>
        <v>0.23937588502330215</v>
      </c>
      <c r="CN124" s="380">
        <f t="shared" si="692"/>
        <v>0.27925477419165029</v>
      </c>
      <c r="CO124" s="380">
        <f t="shared" si="692"/>
        <v>0.3271755830061514</v>
      </c>
      <c r="CP124" s="380">
        <f t="shared" si="692"/>
        <v>0.26102434478606085</v>
      </c>
      <c r="CQ124" s="380">
        <f t="shared" si="692"/>
        <v>0.24555611742443223</v>
      </c>
      <c r="CR124" s="380">
        <f t="shared" si="692"/>
        <v>0.28593200821590015</v>
      </c>
      <c r="CS124" s="380">
        <f t="shared" si="692"/>
        <v>0.33418439506526071</v>
      </c>
      <c r="CT124" s="380">
        <f t="shared" si="692"/>
        <v>0.26742529174869012</v>
      </c>
      <c r="CU124" s="380">
        <f t="shared" si="692"/>
        <v>0.25174864488422533</v>
      </c>
      <c r="CV124" s="380">
        <f t="shared" si="692"/>
        <v>0.29261624852112955</v>
      </c>
      <c r="CW124" s="380">
        <f t="shared" si="692"/>
        <v>0.34110569306674421</v>
      </c>
    </row>
    <row r="125" spans="1:101" s="9" customFormat="1" ht="11.25">
      <c r="A125" s="903" t="s">
        <v>979</v>
      </c>
      <c r="B125" s="812"/>
      <c r="C125" s="812"/>
      <c r="D125" s="812"/>
      <c r="E125" s="812"/>
      <c r="F125" s="812"/>
      <c r="G125" s="812"/>
      <c r="H125" s="812"/>
      <c r="I125" s="812"/>
      <c r="J125" s="812"/>
      <c r="K125" s="812"/>
      <c r="L125" s="812"/>
      <c r="M125" s="812"/>
      <c r="N125" s="812"/>
      <c r="O125" s="812"/>
      <c r="P125" s="812"/>
      <c r="Q125" s="812"/>
      <c r="R125" s="812"/>
      <c r="S125" s="812"/>
      <c r="T125" s="812"/>
      <c r="U125" s="813" t="e">
        <f t="shared" ref="U125:AT125" si="693">+U123/U105</f>
        <v>#DIV/0!</v>
      </c>
      <c r="V125" s="813" t="e">
        <f t="shared" si="693"/>
        <v>#DIV/0!</v>
      </c>
      <c r="W125" s="813" t="e">
        <f t="shared" si="693"/>
        <v>#DIV/0!</v>
      </c>
      <c r="X125" s="813" t="e">
        <f t="shared" si="693"/>
        <v>#DIV/0!</v>
      </c>
      <c r="Y125" s="813">
        <f t="shared" si="693"/>
        <v>0.19754768392370572</v>
      </c>
      <c r="Z125" s="813">
        <f t="shared" si="693"/>
        <v>0.18900602409638553</v>
      </c>
      <c r="AA125" s="813">
        <f t="shared" si="693"/>
        <v>0.1891271056661562</v>
      </c>
      <c r="AB125" s="813">
        <f t="shared" si="693"/>
        <v>0.17672413793103448</v>
      </c>
      <c r="AC125" s="813">
        <f t="shared" si="693"/>
        <v>0.20522161505768063</v>
      </c>
      <c r="AD125" s="813">
        <f t="shared" si="693"/>
        <v>0.19521690767519467</v>
      </c>
      <c r="AE125" s="2144">
        <f t="shared" si="693"/>
        <v>0.18949133594186696</v>
      </c>
      <c r="AF125" s="813">
        <f t="shared" si="693"/>
        <v>0.18231441048034935</v>
      </c>
      <c r="AG125" s="813">
        <f t="shared" si="693"/>
        <v>0.21915285451197053</v>
      </c>
      <c r="AH125" s="813">
        <f t="shared" si="693"/>
        <v>0.19902912621359223</v>
      </c>
      <c r="AI125" s="813">
        <f t="shared" si="693"/>
        <v>0.19756838905775076</v>
      </c>
      <c r="AJ125" s="813">
        <f t="shared" si="693"/>
        <v>0.18208516886930984</v>
      </c>
      <c r="AK125" s="813">
        <f t="shared" si="693"/>
        <v>0.22222222222222221</v>
      </c>
      <c r="AL125" s="813">
        <f t="shared" si="693"/>
        <v>0.20032245062474807</v>
      </c>
      <c r="AM125" s="84">
        <f t="shared" si="693"/>
        <v>0.19041560644614081</v>
      </c>
      <c r="AN125" s="84">
        <f t="shared" si="693"/>
        <v>0.17726887192536048</v>
      </c>
      <c r="AO125" s="84">
        <f t="shared" si="693"/>
        <v>0.20520446096654274</v>
      </c>
      <c r="AP125" s="84">
        <f t="shared" si="693"/>
        <v>0.16193125372541228</v>
      </c>
      <c r="AQ125" s="84">
        <f t="shared" si="693"/>
        <v>0.16501335368180084</v>
      </c>
      <c r="AR125" s="84">
        <f t="shared" si="693"/>
        <v>0.15283342873497424</v>
      </c>
      <c r="AS125" s="84">
        <f t="shared" si="693"/>
        <v>0.22315937445088738</v>
      </c>
      <c r="AT125" s="84">
        <f t="shared" si="693"/>
        <v>9.3975903614457831E-2</v>
      </c>
      <c r="AU125" s="84">
        <f t="shared" ref="AU125:BC125" si="694">+AU123/AU105</f>
        <v>-0.34344660194174759</v>
      </c>
      <c r="AV125" s="84">
        <f t="shared" si="694"/>
        <v>0.12536945812807881</v>
      </c>
      <c r="AW125" s="84">
        <f t="shared" si="694"/>
        <v>0.21339330334832585</v>
      </c>
      <c r="AX125" s="84">
        <f t="shared" si="694"/>
        <v>0.10824742268041238</v>
      </c>
      <c r="AY125" s="84">
        <f t="shared" si="694"/>
        <v>0.16331775700934578</v>
      </c>
      <c r="AZ125" s="84">
        <f t="shared" si="694"/>
        <v>0.189648033126294</v>
      </c>
      <c r="BA125" s="84">
        <f t="shared" si="694"/>
        <v>0.24587061252580866</v>
      </c>
      <c r="BB125" s="84">
        <f t="shared" si="694"/>
        <v>0.15255544840887175</v>
      </c>
      <c r="BC125" s="84">
        <f t="shared" si="694"/>
        <v>0.16620549714074895</v>
      </c>
      <c r="BD125" s="84">
        <f t="shared" ref="BD125:BG125" si="695">+BD123/BD105</f>
        <v>0.11076356945722171</v>
      </c>
      <c r="BE125" s="84">
        <f t="shared" si="695"/>
        <v>0.15669755686604886</v>
      </c>
      <c r="BF125" s="84">
        <f t="shared" si="695"/>
        <v>0.13017751479289941</v>
      </c>
      <c r="BG125" s="84">
        <f t="shared" si="695"/>
        <v>0.15305761753269706</v>
      </c>
      <c r="BH125" s="84">
        <f t="shared" ref="BH125" si="696">+BH123/BH105</f>
        <v>0.15682100408018448</v>
      </c>
      <c r="BI125" s="84">
        <f t="shared" ref="BI125" si="697">+BI123/BI105</f>
        <v>0.1747620610436495</v>
      </c>
      <c r="BJ125" s="84">
        <f t="shared" ref="BJ125" si="698">+BJ123/BJ105</f>
        <v>0.13582062120933652</v>
      </c>
      <c r="BK125" s="801">
        <f t="shared" ref="BK125" si="699">+BK123/BK105</f>
        <v>0.13392694893694349</v>
      </c>
      <c r="BL125" s="673">
        <f>Inputs!BL239</f>
        <v>0.14082100408018447</v>
      </c>
      <c r="BM125" s="673">
        <f>Inputs!BM239</f>
        <v>0.16376206104364949</v>
      </c>
      <c r="BN125" s="673">
        <f>Inputs!BN239</f>
        <v>0.13082062120933652</v>
      </c>
      <c r="BO125" s="673">
        <f>Inputs!BO239</f>
        <v>0.12892694893694348</v>
      </c>
      <c r="BP125" s="673">
        <f>Inputs!BP239</f>
        <v>0.14182100408018447</v>
      </c>
      <c r="BQ125" s="673">
        <f>Inputs!BQ239</f>
        <v>0.16476206104364949</v>
      </c>
      <c r="BR125" s="673">
        <f>Inputs!BR239</f>
        <v>0.13182062120933652</v>
      </c>
      <c r="BS125" s="673">
        <f>Inputs!BS239</f>
        <v>0.12992694893694348</v>
      </c>
      <c r="BT125" s="673">
        <f>Inputs!BT239</f>
        <v>0.14282100408018447</v>
      </c>
      <c r="BU125" s="673">
        <f>Inputs!BU239</f>
        <v>0.16576206104364949</v>
      </c>
      <c r="BV125" s="673">
        <f>Inputs!BV239</f>
        <v>0.13282062120933652</v>
      </c>
      <c r="BW125" s="673">
        <f>Inputs!BW239</f>
        <v>0.13092694893694348</v>
      </c>
      <c r="BX125" s="673">
        <f>Inputs!BX239</f>
        <v>0.14382100408018447</v>
      </c>
      <c r="BY125" s="673">
        <f>Inputs!BY239</f>
        <v>0.16676206104364949</v>
      </c>
      <c r="BZ125" s="673">
        <f>Inputs!BZ239</f>
        <v>0.12632062120933651</v>
      </c>
      <c r="CA125" s="673">
        <f>Inputs!CA239</f>
        <v>0.12442694893694349</v>
      </c>
      <c r="CB125" s="673">
        <f>Inputs!CB239</f>
        <v>0.13732100408018447</v>
      </c>
      <c r="CC125" s="673">
        <f>Inputs!CC239</f>
        <v>0.16026206104364948</v>
      </c>
      <c r="CD125" s="673">
        <f>Inputs!CD239</f>
        <v>0.12682062120933651</v>
      </c>
      <c r="CE125" s="673">
        <f>Inputs!CE239</f>
        <v>0.12492694893694349</v>
      </c>
      <c r="CF125" s="673">
        <f>Inputs!CF239</f>
        <v>0.13782100408018447</v>
      </c>
      <c r="CG125" s="673">
        <f>Inputs!CG239</f>
        <v>0.16076206104364948</v>
      </c>
      <c r="CH125" s="673">
        <f>Inputs!CH239</f>
        <v>0.12732062120933652</v>
      </c>
      <c r="CI125" s="673">
        <f>Inputs!CI239</f>
        <v>0.12542694893694348</v>
      </c>
      <c r="CJ125" s="673">
        <f>Inputs!CJ239</f>
        <v>0.13832100408018447</v>
      </c>
      <c r="CK125" s="673">
        <f>Inputs!CK239</f>
        <v>0.16126206104364949</v>
      </c>
      <c r="CL125" s="673">
        <f>Inputs!CL239</f>
        <v>0.12782062120933652</v>
      </c>
      <c r="CM125" s="673">
        <f>Inputs!CM239</f>
        <v>0.12592694893694348</v>
      </c>
      <c r="CN125" s="673">
        <f>Inputs!CN239</f>
        <v>0.13882100408018447</v>
      </c>
      <c r="CO125" s="673">
        <f>Inputs!CO239</f>
        <v>0.16176206104364949</v>
      </c>
      <c r="CP125" s="673">
        <f>Inputs!CP239</f>
        <v>0.12832062120933652</v>
      </c>
      <c r="CQ125" s="673">
        <f>Inputs!CQ239</f>
        <v>0.12642694893694348</v>
      </c>
      <c r="CR125" s="673">
        <f>Inputs!CR239</f>
        <v>0.13932100408018447</v>
      </c>
      <c r="CS125" s="673">
        <f>Inputs!CS239</f>
        <v>0.16226206104364949</v>
      </c>
      <c r="CT125" s="673">
        <f>Inputs!CT239</f>
        <v>0.12882062120933652</v>
      </c>
      <c r="CU125" s="673">
        <f>Inputs!CU239</f>
        <v>0.12692694893694348</v>
      </c>
      <c r="CV125" s="673">
        <f>Inputs!CV239</f>
        <v>0.13982100408018447</v>
      </c>
      <c r="CW125" s="673">
        <f>Inputs!CW239</f>
        <v>0.16276206104364949</v>
      </c>
    </row>
    <row r="126" spans="1:101" s="9" customFormat="1" ht="11.25">
      <c r="A126" s="903" t="s">
        <v>1031</v>
      </c>
      <c r="B126" s="812"/>
      <c r="C126" s="812"/>
      <c r="D126" s="812"/>
      <c r="E126" s="812"/>
      <c r="F126" s="812"/>
      <c r="G126" s="812"/>
      <c r="H126" s="812"/>
      <c r="I126" s="812"/>
      <c r="J126" s="812"/>
      <c r="K126" s="812"/>
      <c r="L126" s="812"/>
      <c r="M126" s="812"/>
      <c r="N126" s="812"/>
      <c r="O126" s="812"/>
      <c r="P126" s="812"/>
      <c r="Q126" s="812"/>
      <c r="R126" s="812"/>
      <c r="S126" s="812"/>
      <c r="T126" s="812"/>
      <c r="U126" s="813"/>
      <c r="V126" s="813"/>
      <c r="W126" s="813"/>
      <c r="X126" s="813"/>
      <c r="Y126" s="959" t="e">
        <f t="shared" ref="Y126:BQ126" si="700">+(Y125-U125)*10000</f>
        <v>#DIV/0!</v>
      </c>
      <c r="Z126" s="959" t="e">
        <f t="shared" si="700"/>
        <v>#DIV/0!</v>
      </c>
      <c r="AA126" s="959" t="e">
        <f t="shared" si="700"/>
        <v>#DIV/0!</v>
      </c>
      <c r="AB126" s="959" t="e">
        <f t="shared" si="700"/>
        <v>#DIV/0!</v>
      </c>
      <c r="AC126" s="959">
        <f t="shared" si="700"/>
        <v>76.739311339749094</v>
      </c>
      <c r="AD126" s="959">
        <f t="shared" si="700"/>
        <v>62.108835788091397</v>
      </c>
      <c r="AE126" s="2145">
        <f t="shared" si="700"/>
        <v>3.6423027571075295</v>
      </c>
      <c r="AF126" s="959">
        <f t="shared" si="700"/>
        <v>55.902725493148786</v>
      </c>
      <c r="AG126" s="959">
        <f t="shared" si="700"/>
        <v>139.31239454289894</v>
      </c>
      <c r="AH126" s="959">
        <f t="shared" si="700"/>
        <v>38.122185383975548</v>
      </c>
      <c r="AI126" s="959">
        <f t="shared" si="700"/>
        <v>80.770531158838025</v>
      </c>
      <c r="AJ126" s="959">
        <f t="shared" si="700"/>
        <v>-2.2924161103951568</v>
      </c>
      <c r="AK126" s="959">
        <f t="shared" si="700"/>
        <v>30.693677102516801</v>
      </c>
      <c r="AL126" s="959">
        <f t="shared" si="700"/>
        <v>12.933244111558439</v>
      </c>
      <c r="AM126" s="969">
        <f t="shared" si="700"/>
        <v>-71.527826116099533</v>
      </c>
      <c r="AN126" s="969">
        <f t="shared" si="700"/>
        <v>-48.162969439493608</v>
      </c>
      <c r="AO126" s="969">
        <f t="shared" si="700"/>
        <v>-170.17761255679471</v>
      </c>
      <c r="AP126" s="969">
        <f t="shared" si="700"/>
        <v>-383.9119689933579</v>
      </c>
      <c r="AQ126" s="969">
        <f t="shared" si="700"/>
        <v>-254.02252764339966</v>
      </c>
      <c r="AR126" s="969">
        <f t="shared" si="700"/>
        <v>-244.35443190386235</v>
      </c>
      <c r="AS126" s="969">
        <f t="shared" si="700"/>
        <v>179.54913484344638</v>
      </c>
      <c r="AT126" s="969">
        <f t="shared" si="700"/>
        <v>-679.55350110954453</v>
      </c>
      <c r="AU126" s="969">
        <f t="shared" si="700"/>
        <v>-5084.5995562354838</v>
      </c>
      <c r="AV126" s="969">
        <f t="shared" si="700"/>
        <v>-274.6397060689543</v>
      </c>
      <c r="AW126" s="969">
        <f t="shared" si="700"/>
        <v>-97.660711025615299</v>
      </c>
      <c r="AX126" s="969">
        <f t="shared" si="700"/>
        <v>142.71519065954544</v>
      </c>
      <c r="AY126" s="969">
        <f t="shared" si="700"/>
        <v>5067.6435895109344</v>
      </c>
      <c r="AZ126" s="969">
        <f t="shared" si="700"/>
        <v>642.78574998215186</v>
      </c>
      <c r="BA126" s="969">
        <f t="shared" ref="BA126:BK126" si="701">+(BA125-AW125)*10000</f>
        <v>324.77309177482817</v>
      </c>
      <c r="BB126" s="969">
        <f t="shared" si="701"/>
        <v>443.08025728459376</v>
      </c>
      <c r="BC126" s="969">
        <f t="shared" si="701"/>
        <v>28.877401314031658</v>
      </c>
      <c r="BD126" s="969">
        <f t="shared" si="701"/>
        <v>-788.84463669072284</v>
      </c>
      <c r="BE126" s="969">
        <f t="shared" si="701"/>
        <v>-891.73055659759802</v>
      </c>
      <c r="BF126" s="969">
        <f t="shared" si="701"/>
        <v>-223.77933615972344</v>
      </c>
      <c r="BG126" s="969">
        <f t="shared" si="701"/>
        <v>-131.47879608051889</v>
      </c>
      <c r="BH126" s="969">
        <f t="shared" si="701"/>
        <v>460.57434622962774</v>
      </c>
      <c r="BI126" s="969">
        <f t="shared" si="701"/>
        <v>180.64504177600637</v>
      </c>
      <c r="BJ126" s="969">
        <f t="shared" si="701"/>
        <v>56.431064164371158</v>
      </c>
      <c r="BK126" s="1372">
        <f t="shared" si="701"/>
        <v>-191.30668595753576</v>
      </c>
      <c r="BL126" s="1015">
        <f t="shared" si="700"/>
        <v>-160.00000000000014</v>
      </c>
      <c r="BM126" s="1015">
        <f t="shared" si="700"/>
        <v>-110.0000000000001</v>
      </c>
      <c r="BN126" s="1015">
        <f t="shared" si="700"/>
        <v>-50.000000000000043</v>
      </c>
      <c r="BO126" s="1015">
        <f t="shared" si="700"/>
        <v>-50.000000000000043</v>
      </c>
      <c r="BP126" s="1015">
        <f t="shared" si="700"/>
        <v>10.000000000000009</v>
      </c>
      <c r="BQ126" s="1015">
        <f t="shared" si="700"/>
        <v>10.000000000000009</v>
      </c>
      <c r="BR126" s="1015">
        <f t="shared" ref="BR126:CK126" si="702">+(BR125-BN125)*10000</f>
        <v>10.000000000000009</v>
      </c>
      <c r="BS126" s="1015">
        <f t="shared" si="702"/>
        <v>10.000000000000009</v>
      </c>
      <c r="BT126" s="1015">
        <f t="shared" si="702"/>
        <v>10.000000000000009</v>
      </c>
      <c r="BU126" s="1015">
        <f t="shared" si="702"/>
        <v>10.000000000000009</v>
      </c>
      <c r="BV126" s="1015">
        <f t="shared" si="702"/>
        <v>10.000000000000009</v>
      </c>
      <c r="BW126" s="1015">
        <f t="shared" si="702"/>
        <v>10.000000000000009</v>
      </c>
      <c r="BX126" s="1015">
        <f t="shared" si="702"/>
        <v>10.000000000000009</v>
      </c>
      <c r="BY126" s="1015">
        <f t="shared" si="702"/>
        <v>10.000000000000009</v>
      </c>
      <c r="BZ126" s="1015">
        <f t="shared" si="702"/>
        <v>-65.000000000000057</v>
      </c>
      <c r="CA126" s="1015">
        <f t="shared" si="702"/>
        <v>-64.999999999999915</v>
      </c>
      <c r="CB126" s="1015">
        <f t="shared" si="702"/>
        <v>-65.000000000000057</v>
      </c>
      <c r="CC126" s="1015">
        <f t="shared" si="702"/>
        <v>-65.000000000000057</v>
      </c>
      <c r="CD126" s="1015">
        <f t="shared" si="702"/>
        <v>5.0000000000000044</v>
      </c>
      <c r="CE126" s="1015">
        <f t="shared" si="702"/>
        <v>5.0000000000000044</v>
      </c>
      <c r="CF126" s="1015">
        <f t="shared" si="702"/>
        <v>5.0000000000000044</v>
      </c>
      <c r="CG126" s="1015">
        <f t="shared" si="702"/>
        <v>5.0000000000000044</v>
      </c>
      <c r="CH126" s="1015">
        <f t="shared" si="702"/>
        <v>5.0000000000000044</v>
      </c>
      <c r="CI126" s="1015">
        <f t="shared" si="702"/>
        <v>4.9999999999998659</v>
      </c>
      <c r="CJ126" s="1015">
        <f t="shared" si="702"/>
        <v>5.0000000000000044</v>
      </c>
      <c r="CK126" s="1015">
        <f t="shared" si="702"/>
        <v>5.0000000000000044</v>
      </c>
      <c r="CL126" s="1015">
        <f t="shared" ref="CL126" si="703">+(CL125-CH125)*10000</f>
        <v>5.0000000000000044</v>
      </c>
      <c r="CM126" s="1015">
        <f t="shared" ref="CM126" si="704">+(CM125-CI125)*10000</f>
        <v>5.0000000000000044</v>
      </c>
      <c r="CN126" s="1015">
        <f t="shared" ref="CN126" si="705">+(CN125-CJ125)*10000</f>
        <v>5.0000000000000044</v>
      </c>
      <c r="CO126" s="1015">
        <f t="shared" ref="CO126" si="706">+(CO125-CK125)*10000</f>
        <v>5.0000000000000044</v>
      </c>
      <c r="CP126" s="1015">
        <f t="shared" ref="CP126" si="707">+(CP125-CL125)*10000</f>
        <v>5.0000000000000044</v>
      </c>
      <c r="CQ126" s="1015">
        <f t="shared" ref="CQ126" si="708">+(CQ125-CM125)*10000</f>
        <v>5.0000000000000044</v>
      </c>
      <c r="CR126" s="1015">
        <f t="shared" ref="CR126" si="709">+(CR125-CN125)*10000</f>
        <v>5.0000000000000044</v>
      </c>
      <c r="CS126" s="1015">
        <f t="shared" ref="CS126" si="710">+(CS125-CO125)*10000</f>
        <v>5.0000000000000044</v>
      </c>
      <c r="CT126" s="1015">
        <f t="shared" ref="CT126" si="711">+(CT125-CP125)*10000</f>
        <v>5.0000000000000044</v>
      </c>
      <c r="CU126" s="1015">
        <f t="shared" ref="CU126" si="712">+(CU125-CQ125)*10000</f>
        <v>5.0000000000000044</v>
      </c>
      <c r="CV126" s="1015">
        <f t="shared" ref="CV126" si="713">+(CV125-CR125)*10000</f>
        <v>5.0000000000000044</v>
      </c>
      <c r="CW126" s="1015">
        <f t="shared" ref="CW126" si="714">+(CW125-CS125)*10000</f>
        <v>5.0000000000000044</v>
      </c>
    </row>
    <row r="127" spans="1:101" s="9" customFormat="1" ht="11.25">
      <c r="A127" s="903"/>
      <c r="B127" s="812"/>
      <c r="C127" s="812"/>
      <c r="D127" s="812"/>
      <c r="E127" s="812"/>
      <c r="F127" s="812"/>
      <c r="G127" s="812"/>
      <c r="H127" s="812"/>
      <c r="I127" s="812"/>
      <c r="J127" s="812"/>
      <c r="K127" s="812"/>
      <c r="L127" s="812"/>
      <c r="M127" s="812"/>
      <c r="N127" s="812"/>
      <c r="O127" s="812"/>
      <c r="P127" s="812"/>
      <c r="Q127" s="812"/>
      <c r="R127" s="812"/>
      <c r="S127" s="812"/>
      <c r="T127" s="812"/>
      <c r="U127" s="813"/>
      <c r="V127" s="813"/>
      <c r="W127" s="813"/>
      <c r="X127" s="813"/>
      <c r="Y127" s="959"/>
      <c r="Z127" s="959"/>
      <c r="AA127" s="959"/>
      <c r="AB127" s="959"/>
      <c r="AC127" s="959"/>
      <c r="AD127" s="959"/>
      <c r="AE127" s="2145"/>
      <c r="AF127" s="959"/>
      <c r="AG127" s="959"/>
      <c r="AH127" s="959"/>
      <c r="AI127" s="959"/>
      <c r="AJ127" s="959"/>
      <c r="AK127" s="959"/>
      <c r="AL127" s="959"/>
      <c r="AM127" s="969"/>
      <c r="AN127" s="969"/>
      <c r="AO127" s="969"/>
      <c r="AP127" s="969"/>
      <c r="AQ127" s="969"/>
      <c r="AR127" s="969"/>
      <c r="AS127" s="969"/>
      <c r="AT127" s="969"/>
      <c r="AU127" s="969"/>
      <c r="AV127" s="969"/>
      <c r="AW127" s="969"/>
      <c r="AX127" s="969"/>
      <c r="AY127" s="969"/>
      <c r="AZ127" s="969"/>
      <c r="BA127" s="969"/>
      <c r="BB127" s="969"/>
      <c r="BC127" s="969"/>
      <c r="BD127" s="969"/>
      <c r="BE127" s="969"/>
      <c r="BF127" s="969"/>
      <c r="BG127" s="969"/>
      <c r="BH127" s="969"/>
      <c r="BI127" s="969"/>
      <c r="BJ127" s="969"/>
      <c r="BK127" s="1372"/>
      <c r="BL127" s="1015"/>
      <c r="BM127" s="1015"/>
      <c r="BN127" s="1015"/>
      <c r="BO127" s="1015"/>
      <c r="BP127" s="1015"/>
      <c r="BQ127" s="1015"/>
      <c r="BR127" s="1015"/>
      <c r="BS127" s="1015"/>
      <c r="BT127" s="1015"/>
      <c r="BU127" s="1015"/>
      <c r="BV127" s="1015"/>
      <c r="BW127" s="1015"/>
      <c r="BX127" s="1015"/>
      <c r="BY127" s="1015"/>
      <c r="BZ127" s="1015"/>
      <c r="CA127" s="1015"/>
      <c r="CB127" s="1015"/>
      <c r="CC127" s="1015"/>
      <c r="CD127" s="1015"/>
      <c r="CE127" s="1015"/>
      <c r="CF127" s="1015"/>
      <c r="CG127" s="1015"/>
      <c r="CH127" s="1015"/>
      <c r="CI127" s="1015"/>
      <c r="CJ127" s="1015"/>
      <c r="CK127" s="1015"/>
      <c r="CL127" s="1015"/>
      <c r="CM127" s="1015"/>
      <c r="CN127" s="1015"/>
      <c r="CO127" s="1015"/>
      <c r="CP127" s="1015"/>
      <c r="CQ127" s="1015"/>
      <c r="CR127" s="1015"/>
      <c r="CS127" s="1015"/>
      <c r="CT127" s="1015"/>
      <c r="CU127" s="1015"/>
      <c r="CV127" s="1015"/>
      <c r="CW127" s="1015"/>
    </row>
    <row r="128" spans="1:101" s="9" customFormat="1" ht="11.25">
      <c r="A128" s="531" t="s">
        <v>1624</v>
      </c>
      <c r="B128" s="659"/>
      <c r="C128" s="659"/>
      <c r="D128" s="659"/>
      <c r="E128" s="659"/>
      <c r="F128" s="659"/>
      <c r="G128" s="659"/>
      <c r="H128" s="659"/>
      <c r="I128" s="659"/>
      <c r="J128" s="659"/>
      <c r="K128" s="659"/>
      <c r="L128" s="659"/>
      <c r="M128" s="659"/>
      <c r="N128" s="659"/>
      <c r="O128" s="659"/>
      <c r="P128" s="659"/>
      <c r="Q128" s="659"/>
      <c r="R128" s="659"/>
      <c r="S128" s="659"/>
      <c r="T128" s="659"/>
      <c r="U128" s="659"/>
      <c r="V128" s="659"/>
      <c r="W128" s="659"/>
      <c r="X128" s="659"/>
      <c r="Y128" s="659"/>
      <c r="Z128" s="659"/>
      <c r="AA128" s="659"/>
      <c r="AB128" s="659"/>
      <c r="AC128" s="659"/>
      <c r="AD128" s="659"/>
      <c r="AE128" s="2139"/>
      <c r="AF128" s="659"/>
      <c r="AG128" s="659"/>
      <c r="AH128" s="912"/>
      <c r="AI128" s="659"/>
      <c r="AJ128" s="659"/>
      <c r="AK128" s="659"/>
      <c r="AL128" s="659"/>
      <c r="AM128" s="966"/>
      <c r="AN128" s="966"/>
      <c r="AO128" s="966"/>
      <c r="AP128" s="435"/>
      <c r="AQ128" s="435"/>
      <c r="AR128" s="435"/>
      <c r="AS128" s="435"/>
      <c r="AT128" s="435"/>
      <c r="AU128" s="435"/>
      <c r="AV128" s="435"/>
      <c r="AW128" s="435"/>
      <c r="AX128" s="92">
        <f t="shared" ref="AX128:BI128" si="715">AX131-AX123</f>
        <v>636</v>
      </c>
      <c r="AY128" s="92">
        <f t="shared" si="715"/>
        <v>621</v>
      </c>
      <c r="AZ128" s="92">
        <f t="shared" si="715"/>
        <v>601</v>
      </c>
      <c r="BA128" s="92">
        <f t="shared" si="715"/>
        <v>609</v>
      </c>
      <c r="BB128" s="92">
        <f t="shared" si="715"/>
        <v>587</v>
      </c>
      <c r="BC128" s="92">
        <f t="shared" si="715"/>
        <v>550</v>
      </c>
      <c r="BD128" s="92">
        <f t="shared" si="715"/>
        <v>529</v>
      </c>
      <c r="BE128" s="92">
        <f t="shared" si="715"/>
        <v>512</v>
      </c>
      <c r="BF128" s="92">
        <f t="shared" si="715"/>
        <v>520</v>
      </c>
      <c r="BG128" s="92">
        <f t="shared" si="715"/>
        <v>502</v>
      </c>
      <c r="BH128" s="92">
        <f t="shared" si="715"/>
        <v>483</v>
      </c>
      <c r="BI128" s="92">
        <f t="shared" si="715"/>
        <v>460</v>
      </c>
      <c r="BJ128" s="92">
        <f>BJ131-BJ123</f>
        <v>447</v>
      </c>
      <c r="BK128" s="1385">
        <f>BK131-BK123</f>
        <v>461</v>
      </c>
      <c r="BL128" s="435"/>
      <c r="BM128" s="435"/>
      <c r="BN128" s="435"/>
      <c r="BO128" s="435"/>
      <c r="BP128" s="435"/>
      <c r="BQ128" s="435"/>
      <c r="BR128" s="435"/>
      <c r="BS128" s="435"/>
      <c r="BT128" s="435"/>
      <c r="BU128" s="435"/>
      <c r="BV128" s="435"/>
      <c r="BW128" s="435"/>
      <c r="BX128" s="435"/>
      <c r="BY128" s="435"/>
      <c r="BZ128" s="435"/>
      <c r="CA128" s="435"/>
      <c r="CB128" s="435"/>
      <c r="CC128" s="435"/>
      <c r="CD128" s="435"/>
      <c r="CE128" s="435"/>
      <c r="CF128" s="435"/>
      <c r="CG128" s="435"/>
      <c r="CH128" s="435"/>
      <c r="CI128" s="435"/>
      <c r="CJ128" s="435"/>
      <c r="CK128" s="435"/>
      <c r="CL128" s="435"/>
      <c r="CM128" s="435"/>
      <c r="CN128" s="435"/>
      <c r="CO128" s="435"/>
      <c r="CP128" s="435"/>
      <c r="CQ128" s="435"/>
      <c r="CR128" s="435"/>
      <c r="CS128" s="435"/>
      <c r="CT128" s="435"/>
      <c r="CU128" s="435"/>
      <c r="CV128" s="435"/>
      <c r="CW128" s="435"/>
    </row>
    <row r="129" spans="1:101" s="9" customFormat="1" ht="11.25">
      <c r="A129" s="903" t="s">
        <v>1448</v>
      </c>
      <c r="AE129" s="2119"/>
      <c r="AX129" s="2004">
        <f t="shared" ref="AX129:BI129" si="716">AX128/AX105</f>
        <v>0.18213058419243985</v>
      </c>
      <c r="AY129" s="2004">
        <f t="shared" si="716"/>
        <v>0.14509345794392522</v>
      </c>
      <c r="AZ129" s="2004">
        <f t="shared" si="716"/>
        <v>0.12443064182194617</v>
      </c>
      <c r="BA129" s="2004">
        <f t="shared" si="716"/>
        <v>0.10478320715760496</v>
      </c>
      <c r="BB129" s="2004">
        <f t="shared" si="716"/>
        <v>0.11321118611378977</v>
      </c>
      <c r="BC129" s="2004">
        <f t="shared" si="716"/>
        <v>0.10145729570190001</v>
      </c>
      <c r="BD129" s="2004">
        <f t="shared" si="716"/>
        <v>9.7332106715731365E-2</v>
      </c>
      <c r="BE129" s="2004">
        <f t="shared" si="716"/>
        <v>8.6267902274641955E-2</v>
      </c>
      <c r="BF129" s="2004">
        <f t="shared" si="716"/>
        <v>9.3240093240093247E-2</v>
      </c>
      <c r="BG129" s="2004">
        <f t="shared" si="716"/>
        <v>8.8723930717568039E-2</v>
      </c>
      <c r="BH129" s="2004">
        <f t="shared" si="716"/>
        <v>8.5683874401277269E-2</v>
      </c>
      <c r="BI129" s="2004">
        <f t="shared" si="716"/>
        <v>7.5484082704299307E-2</v>
      </c>
      <c r="BJ129" s="2004">
        <f>BJ128/BJ105</f>
        <v>8.2154015805918024E-2</v>
      </c>
      <c r="BK129" s="2004">
        <f>BK128/BK105</f>
        <v>8.37724877339633E-2</v>
      </c>
      <c r="BL129" s="435"/>
      <c r="BM129" s="435"/>
      <c r="BN129" s="435"/>
      <c r="BO129" s="435"/>
      <c r="BP129" s="435"/>
      <c r="BQ129" s="435"/>
      <c r="BR129" s="435"/>
      <c r="BS129" s="435"/>
      <c r="BT129" s="435"/>
      <c r="BU129" s="435"/>
      <c r="BV129" s="435"/>
      <c r="BW129" s="435"/>
      <c r="BX129" s="435"/>
      <c r="BY129" s="435"/>
      <c r="BZ129" s="435"/>
      <c r="CA129" s="435"/>
      <c r="CB129" s="435"/>
      <c r="CC129" s="435"/>
      <c r="CD129" s="435"/>
      <c r="CE129" s="435"/>
      <c r="CF129" s="435"/>
      <c r="CG129" s="435"/>
      <c r="CH129" s="435"/>
      <c r="CI129" s="435"/>
      <c r="CJ129" s="435"/>
      <c r="CK129" s="435"/>
      <c r="CL129" s="435"/>
      <c r="CM129" s="435"/>
      <c r="CN129" s="435"/>
      <c r="CO129" s="435"/>
      <c r="CP129" s="435"/>
      <c r="CQ129" s="435"/>
      <c r="CR129" s="435"/>
      <c r="CS129" s="435"/>
      <c r="CT129" s="435"/>
      <c r="CU129" s="435"/>
      <c r="CV129" s="435"/>
      <c r="CW129" s="435"/>
    </row>
    <row r="130" spans="1:101" s="9" customFormat="1" ht="11.25">
      <c r="AE130" s="2119"/>
      <c r="BK130" s="2004"/>
      <c r="BL130" s="435"/>
      <c r="BM130" s="435"/>
      <c r="BN130" s="435"/>
      <c r="BO130" s="435"/>
      <c r="BP130" s="435"/>
      <c r="BQ130" s="435"/>
      <c r="BR130" s="435"/>
      <c r="BS130" s="435"/>
      <c r="BT130" s="435"/>
      <c r="BU130" s="435"/>
      <c r="BV130" s="435"/>
      <c r="BW130" s="435"/>
      <c r="BX130" s="435"/>
      <c r="BY130" s="435"/>
      <c r="BZ130" s="435"/>
      <c r="CA130" s="435"/>
      <c r="CB130" s="435"/>
      <c r="CC130" s="435"/>
      <c r="CD130" s="435"/>
      <c r="CE130" s="435"/>
      <c r="CF130" s="435"/>
      <c r="CG130" s="435"/>
      <c r="CH130" s="435"/>
      <c r="CI130" s="435"/>
      <c r="CJ130" s="435"/>
      <c r="CK130" s="435"/>
      <c r="CL130" s="435"/>
      <c r="CM130" s="435"/>
      <c r="CN130" s="435"/>
      <c r="CO130" s="435"/>
      <c r="CP130" s="435"/>
      <c r="CQ130" s="435"/>
      <c r="CR130" s="435"/>
      <c r="CS130" s="435"/>
      <c r="CT130" s="435"/>
      <c r="CU130" s="435"/>
      <c r="CV130" s="435"/>
      <c r="CW130" s="435"/>
    </row>
    <row r="131" spans="1:101" s="9" customFormat="1" ht="11.25">
      <c r="A131" s="958" t="s">
        <v>1591</v>
      </c>
      <c r="B131" s="956"/>
      <c r="C131" s="956"/>
      <c r="D131" s="956"/>
      <c r="E131" s="956"/>
      <c r="F131" s="956"/>
      <c r="G131" s="956"/>
      <c r="H131" s="956"/>
      <c r="I131" s="956"/>
      <c r="J131" s="956"/>
      <c r="K131" s="956"/>
      <c r="L131" s="956"/>
      <c r="M131" s="956"/>
      <c r="N131" s="956"/>
      <c r="O131" s="956"/>
      <c r="P131" s="956"/>
      <c r="Q131" s="956"/>
      <c r="R131" s="956"/>
      <c r="S131" s="956"/>
      <c r="T131" s="956"/>
      <c r="U131" s="956">
        <f>+Q_Financials!U92</f>
        <v>0</v>
      </c>
      <c r="V131" s="956">
        <f>+Q_Financials!V92</f>
        <v>0</v>
      </c>
      <c r="W131" s="956">
        <f>+Q_Financials!W92</f>
        <v>0</v>
      </c>
      <c r="X131" s="956">
        <f>+Q_Financials!X92</f>
        <v>0</v>
      </c>
      <c r="Y131" s="956">
        <f>+Q_Financials!Y92</f>
        <v>0</v>
      </c>
      <c r="Z131" s="956">
        <f>+Q_Financials!Z92</f>
        <v>0</v>
      </c>
      <c r="AA131" s="956">
        <f>+Q_Financials!AA92</f>
        <v>0</v>
      </c>
      <c r="AB131" s="956">
        <f>+Q_Financials!AB92</f>
        <v>0</v>
      </c>
      <c r="AC131" s="956">
        <f>+Q_Financials!AC92</f>
        <v>0</v>
      </c>
      <c r="AD131" s="956">
        <f>+Q_Financials!AD92</f>
        <v>0</v>
      </c>
      <c r="AE131" s="2143">
        <f>+Q_Financials!AE92</f>
        <v>0</v>
      </c>
      <c r="AF131" s="956">
        <f>+Q_Financials!AF92</f>
        <v>0</v>
      </c>
      <c r="AG131" s="956">
        <f>+Q_Financials!AG92</f>
        <v>0</v>
      </c>
      <c r="AH131" s="956">
        <f>+Q_Financials!AH92</f>
        <v>0</v>
      </c>
      <c r="AI131" s="956">
        <f>+Q_Financials!AI92</f>
        <v>0</v>
      </c>
      <c r="AJ131" s="956">
        <f>+Q_Financials!AJ92</f>
        <v>0</v>
      </c>
      <c r="AK131" s="956">
        <f>+Q_Financials!AK92</f>
        <v>0</v>
      </c>
      <c r="AL131" s="956">
        <f>+Q_Financials!AL92</f>
        <v>0</v>
      </c>
      <c r="AM131" s="956">
        <f>+Q_Financials!AM92</f>
        <v>0</v>
      </c>
      <c r="AN131" s="956">
        <f>+Q_Financials!AN92</f>
        <v>0</v>
      </c>
      <c r="AO131" s="956">
        <f>+Q_Financials!AO92</f>
        <v>0</v>
      </c>
      <c r="AP131" s="956">
        <f>+Q_Financials!AP92</f>
        <v>0</v>
      </c>
      <c r="AQ131" s="956">
        <f>+Q_Financials!AQ92</f>
        <v>0</v>
      </c>
      <c r="AR131" s="956">
        <f>+Q_Financials!AR92</f>
        <v>0</v>
      </c>
      <c r="AS131" s="956">
        <f>+Q_Financials!AS92</f>
        <v>0</v>
      </c>
      <c r="AT131" s="956">
        <f>+Q_Financials!AT92</f>
        <v>0</v>
      </c>
      <c r="AU131" s="956">
        <f>+Q_Financials!AU92</f>
        <v>0</v>
      </c>
      <c r="AV131" s="956">
        <f>+Q_Financials!AV92</f>
        <v>0</v>
      </c>
      <c r="AW131" s="956">
        <f>+Q_Financials!AW92</f>
        <v>0</v>
      </c>
      <c r="AX131" s="956">
        <f>Segment!AY589</f>
        <v>1014</v>
      </c>
      <c r="AY131" s="956">
        <f>Segment!AZ589</f>
        <v>1320</v>
      </c>
      <c r="AZ131" s="956">
        <f>Segment!BA589</f>
        <v>1517</v>
      </c>
      <c r="BA131" s="956">
        <f>Segment!BB589</f>
        <v>2038</v>
      </c>
      <c r="BB131" s="956">
        <f>Segment!BC589</f>
        <v>1378</v>
      </c>
      <c r="BC131" s="956">
        <f>Segment!BD589</f>
        <v>1451</v>
      </c>
      <c r="BD131" s="956">
        <f>Segment!BE589</f>
        <v>1131</v>
      </c>
      <c r="BE131" s="956">
        <f>Segment!BF589</f>
        <v>1442</v>
      </c>
      <c r="BF131" s="956">
        <f>Segment!BG589</f>
        <v>1246</v>
      </c>
      <c r="BG131" s="956">
        <f>Segment!BH589</f>
        <v>1368</v>
      </c>
      <c r="BH131" s="956">
        <f>Segment!BI589</f>
        <v>1367</v>
      </c>
      <c r="BI131" s="956">
        <f>Segment!BJ589</f>
        <v>1525</v>
      </c>
      <c r="BJ131" s="956">
        <f>Segment!BK589</f>
        <v>1186</v>
      </c>
      <c r="BK131" s="1371">
        <f>Segment!BL589</f>
        <v>1198</v>
      </c>
      <c r="BL131" s="435"/>
      <c r="BM131" s="435"/>
      <c r="BN131" s="435"/>
      <c r="BO131" s="435"/>
      <c r="BP131" s="435"/>
      <c r="BQ131" s="435"/>
      <c r="BR131" s="435"/>
      <c r="BS131" s="435"/>
      <c r="BT131" s="435"/>
      <c r="BU131" s="435"/>
      <c r="BV131" s="435"/>
      <c r="BW131" s="435"/>
      <c r="BX131" s="435"/>
      <c r="BY131" s="435"/>
      <c r="BZ131" s="435"/>
      <c r="CA131" s="435"/>
      <c r="CB131" s="435"/>
      <c r="CC131" s="435"/>
      <c r="CD131" s="435"/>
      <c r="CE131" s="435"/>
      <c r="CF131" s="435"/>
      <c r="CG131" s="435"/>
      <c r="CH131" s="435"/>
      <c r="CI131" s="435"/>
      <c r="CJ131" s="435"/>
      <c r="CK131" s="435"/>
      <c r="CL131" s="435"/>
      <c r="CM131" s="435"/>
      <c r="CN131" s="435"/>
      <c r="CO131" s="435"/>
      <c r="CP131" s="435"/>
      <c r="CQ131" s="435"/>
      <c r="CR131" s="435"/>
      <c r="CS131" s="435"/>
      <c r="CT131" s="435"/>
      <c r="CU131" s="435"/>
      <c r="CV131" s="435"/>
      <c r="CW131" s="435"/>
    </row>
    <row r="132" spans="1:101" s="9" customFormat="1" ht="11.25">
      <c r="A132" s="903" t="s">
        <v>979</v>
      </c>
      <c r="B132" s="659"/>
      <c r="C132" s="659"/>
      <c r="D132" s="659"/>
      <c r="E132" s="659"/>
      <c r="F132" s="659"/>
      <c r="G132" s="659"/>
      <c r="H132" s="659"/>
      <c r="I132" s="659"/>
      <c r="J132" s="659"/>
      <c r="K132" s="659"/>
      <c r="L132" s="659"/>
      <c r="M132" s="659"/>
      <c r="N132" s="659"/>
      <c r="O132" s="659"/>
      <c r="P132" s="659"/>
      <c r="Q132" s="659"/>
      <c r="R132" s="659"/>
      <c r="S132" s="659"/>
      <c r="T132" s="659"/>
      <c r="U132" s="659"/>
      <c r="V132" s="659"/>
      <c r="W132" s="659"/>
      <c r="X132" s="659"/>
      <c r="Y132" s="659"/>
      <c r="Z132" s="659"/>
      <c r="AA132" s="659"/>
      <c r="AB132" s="659"/>
      <c r="AC132" s="659"/>
      <c r="AD132" s="659"/>
      <c r="AE132" s="2139"/>
      <c r="AF132" s="659"/>
      <c r="AG132" s="659"/>
      <c r="AH132" s="912"/>
      <c r="AI132" s="659"/>
      <c r="AJ132" s="659"/>
      <c r="AK132" s="659"/>
      <c r="AL132" s="659"/>
      <c r="AM132" s="966"/>
      <c r="AN132" s="966"/>
      <c r="AO132" s="966"/>
      <c r="AP132" s="435"/>
      <c r="AQ132" s="435"/>
      <c r="AR132" s="435"/>
      <c r="AS132" s="435"/>
      <c r="AT132" s="435"/>
      <c r="AU132" s="435"/>
      <c r="AV132" s="435"/>
      <c r="AW132" s="435"/>
      <c r="AX132" s="84">
        <f t="shared" ref="AX132:BI132" si="717">AX131/AX105</f>
        <v>0.29037800687285226</v>
      </c>
      <c r="AY132" s="84">
        <f t="shared" si="717"/>
        <v>0.30841121495327101</v>
      </c>
      <c r="AZ132" s="84">
        <f t="shared" si="717"/>
        <v>0.31407867494824016</v>
      </c>
      <c r="BA132" s="84">
        <f t="shared" si="717"/>
        <v>0.35065381968341364</v>
      </c>
      <c r="BB132" s="84">
        <f t="shared" si="717"/>
        <v>0.26576663452266153</v>
      </c>
      <c r="BC132" s="84">
        <f t="shared" si="717"/>
        <v>0.26766279284264893</v>
      </c>
      <c r="BD132" s="84">
        <f t="shared" si="717"/>
        <v>0.20809567617295308</v>
      </c>
      <c r="BE132" s="84">
        <f t="shared" si="717"/>
        <v>0.24296545914069081</v>
      </c>
      <c r="BF132" s="84">
        <f t="shared" si="717"/>
        <v>0.22341760803299265</v>
      </c>
      <c r="BG132" s="84">
        <f t="shared" si="717"/>
        <v>0.2417815482502651</v>
      </c>
      <c r="BH132" s="84">
        <f t="shared" si="717"/>
        <v>0.24250487848146177</v>
      </c>
      <c r="BI132" s="84">
        <f t="shared" si="717"/>
        <v>0.25024614374794879</v>
      </c>
      <c r="BJ132" s="84">
        <f>BJ131/BJ105</f>
        <v>0.21797463701525455</v>
      </c>
      <c r="BK132" s="801">
        <f>BK131/BK105</f>
        <v>0.21769943667090677</v>
      </c>
      <c r="BL132" s="435"/>
      <c r="BM132" s="435"/>
      <c r="BN132" s="435"/>
      <c r="BO132" s="435"/>
      <c r="BP132" s="435"/>
      <c r="BQ132" s="435"/>
      <c r="BR132" s="435"/>
      <c r="BS132" s="435"/>
      <c r="BT132" s="435"/>
      <c r="BU132" s="435"/>
      <c r="BV132" s="435"/>
      <c r="BW132" s="435"/>
      <c r="BX132" s="435"/>
      <c r="BY132" s="435"/>
      <c r="BZ132" s="435"/>
      <c r="CA132" s="435"/>
      <c r="CB132" s="435"/>
      <c r="CC132" s="435"/>
      <c r="CD132" s="435"/>
      <c r="CE132" s="435"/>
      <c r="CF132" s="435"/>
      <c r="CG132" s="435"/>
      <c r="CH132" s="435"/>
      <c r="CI132" s="435"/>
      <c r="CJ132" s="435"/>
      <c r="CK132" s="435"/>
      <c r="CL132" s="435"/>
      <c r="CM132" s="435"/>
      <c r="CN132" s="435"/>
      <c r="CO132" s="435"/>
      <c r="CP132" s="435"/>
      <c r="CQ132" s="435"/>
      <c r="CR132" s="435"/>
      <c r="CS132" s="435"/>
      <c r="CT132" s="435"/>
      <c r="CU132" s="435"/>
      <c r="CV132" s="435"/>
      <c r="CW132" s="435"/>
    </row>
    <row r="133" spans="1:101" s="9" customFormat="1" ht="11.25">
      <c r="A133" s="903" t="s">
        <v>1031</v>
      </c>
      <c r="B133" s="812"/>
      <c r="C133" s="812"/>
      <c r="D133" s="812"/>
      <c r="E133" s="812"/>
      <c r="F133" s="812"/>
      <c r="G133" s="812"/>
      <c r="H133" s="812"/>
      <c r="I133" s="812"/>
      <c r="J133" s="812"/>
      <c r="K133" s="812"/>
      <c r="L133" s="812"/>
      <c r="M133" s="812"/>
      <c r="N133" s="812"/>
      <c r="O133" s="812"/>
      <c r="P133" s="812"/>
      <c r="Q133" s="812"/>
      <c r="R133" s="812"/>
      <c r="S133" s="812"/>
      <c r="T133" s="812"/>
      <c r="U133" s="813"/>
      <c r="V133" s="813"/>
      <c r="W133" s="813"/>
      <c r="X133" s="813"/>
      <c r="Y133" s="959"/>
      <c r="Z133" s="959"/>
      <c r="AA133" s="959"/>
      <c r="AB133" s="959"/>
      <c r="AC133" s="959"/>
      <c r="AD133" s="959"/>
      <c r="AE133" s="2145"/>
      <c r="AF133" s="959"/>
      <c r="AG133" s="959"/>
      <c r="AH133" s="959"/>
      <c r="AI133" s="959"/>
      <c r="AJ133" s="959"/>
      <c r="AK133" s="959"/>
      <c r="AL133" s="959"/>
      <c r="AM133" s="969"/>
      <c r="AN133" s="969"/>
      <c r="AO133" s="969"/>
      <c r="AP133" s="969"/>
      <c r="AQ133" s="969"/>
      <c r="AR133" s="969"/>
      <c r="AS133" s="969"/>
      <c r="AT133" s="969"/>
      <c r="AU133" s="969"/>
      <c r="AV133" s="969"/>
      <c r="AW133" s="969"/>
      <c r="AX133" s="969">
        <f t="shared" ref="AX133" si="718">+(AX132-AT132)*10000</f>
        <v>2903.7800687285226</v>
      </c>
      <c r="AY133" s="969">
        <f t="shared" ref="AY133" si="719">+(AY132-AU132)*10000</f>
        <v>3084.1121495327102</v>
      </c>
      <c r="AZ133" s="969">
        <f t="shared" ref="AZ133" si="720">+(AZ132-AV132)*10000</f>
        <v>3140.7867494824018</v>
      </c>
      <c r="BA133" s="969">
        <f t="shared" ref="BA133" si="721">+(BA132-AW132)*10000</f>
        <v>3506.5381968341362</v>
      </c>
      <c r="BB133" s="969">
        <f t="shared" ref="BB133" si="722">+(BB132-AX132)*10000</f>
        <v>-246.11372350190729</v>
      </c>
      <c r="BC133" s="969">
        <f t="shared" ref="BC133" si="723">+(BC132-AY132)*10000</f>
        <v>-407.48422110622073</v>
      </c>
      <c r="BD133" s="969">
        <f t="shared" ref="BD133" si="724">+(BD132-AZ132)*10000</f>
        <v>-1059.8299877528707</v>
      </c>
      <c r="BE133" s="969">
        <f t="shared" ref="BE133" si="725">+(BE132-BA132)*10000</f>
        <v>-1076.8836054272283</v>
      </c>
      <c r="BF133" s="969">
        <f t="shared" ref="BF133" si="726">+(BF132-BB132)*10000</f>
        <v>-423.4902648966887</v>
      </c>
      <c r="BG133" s="969">
        <f t="shared" ref="BG133" si="727">+(BG132-BC132)*10000</f>
        <v>-258.81244592383837</v>
      </c>
      <c r="BH133" s="969">
        <f t="shared" ref="BH133" si="728">+(BH132-BD132)*10000</f>
        <v>344.09202308508691</v>
      </c>
      <c r="BI133" s="969">
        <f t="shared" ref="BI133" si="729">+(BI132-BE132)*10000</f>
        <v>72.806846072579759</v>
      </c>
      <c r="BJ133" s="969">
        <f t="shared" ref="BJ133:BK133" si="730">+(BJ132-BF132)*10000</f>
        <v>-54.429710177381075</v>
      </c>
      <c r="BK133" s="1372">
        <f t="shared" si="730"/>
        <v>-240.82111579358329</v>
      </c>
      <c r="BL133" s="435"/>
      <c r="BM133" s="435"/>
      <c r="BN133" s="435"/>
      <c r="BO133" s="435"/>
      <c r="BP133" s="435"/>
      <c r="BQ133" s="435"/>
      <c r="BR133" s="435"/>
      <c r="BS133" s="435"/>
      <c r="BT133" s="435"/>
      <c r="BU133" s="435"/>
      <c r="BV133" s="435"/>
      <c r="BW133" s="435"/>
      <c r="BX133" s="435"/>
      <c r="BY133" s="435"/>
      <c r="BZ133" s="435"/>
      <c r="CA133" s="435"/>
      <c r="CB133" s="435"/>
      <c r="CC133" s="435"/>
      <c r="CD133" s="435"/>
      <c r="CE133" s="435"/>
      <c r="CF133" s="435"/>
      <c r="CG133" s="435"/>
      <c r="CH133" s="435"/>
      <c r="CI133" s="435"/>
      <c r="CJ133" s="435"/>
      <c r="CK133" s="435"/>
      <c r="CL133" s="435"/>
      <c r="CM133" s="435"/>
      <c r="CN133" s="435"/>
      <c r="CO133" s="435"/>
      <c r="CP133" s="435"/>
      <c r="CQ133" s="435"/>
      <c r="CR133" s="435"/>
      <c r="CS133" s="435"/>
      <c r="CT133" s="435"/>
      <c r="CU133" s="435"/>
      <c r="CV133" s="435"/>
      <c r="CW133" s="435"/>
    </row>
    <row r="134" spans="1:101" s="9" customFormat="1" ht="11.25">
      <c r="A134" s="903" t="s">
        <v>1625</v>
      </c>
      <c r="B134" s="812"/>
      <c r="C134" s="812"/>
      <c r="D134" s="812"/>
      <c r="E134" s="812"/>
      <c r="F134" s="812"/>
      <c r="G134" s="812"/>
      <c r="H134" s="812"/>
      <c r="I134" s="812"/>
      <c r="J134" s="812"/>
      <c r="K134" s="812"/>
      <c r="L134" s="812"/>
      <c r="M134" s="812"/>
      <c r="N134" s="812"/>
      <c r="O134" s="812"/>
      <c r="P134" s="812"/>
      <c r="Q134" s="812"/>
      <c r="R134" s="812"/>
      <c r="S134" s="812"/>
      <c r="T134" s="812"/>
      <c r="U134" s="813"/>
      <c r="V134" s="813"/>
      <c r="W134" s="813"/>
      <c r="X134" s="813"/>
      <c r="Y134" s="813"/>
      <c r="Z134" s="813"/>
      <c r="AA134" s="813"/>
      <c r="AB134" s="813"/>
      <c r="AC134" s="813"/>
      <c r="AD134" s="813"/>
      <c r="AE134" s="2144"/>
      <c r="AF134" s="813"/>
      <c r="AG134" s="813"/>
      <c r="AH134" s="813"/>
      <c r="AI134" s="813"/>
      <c r="AJ134" s="813"/>
      <c r="AK134" s="813"/>
      <c r="AL134" s="813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>
        <f t="shared" ref="AX134:BI134" si="731">AX131/AX$277</f>
        <v>0.36059743954480794</v>
      </c>
      <c r="AY134" s="84">
        <f t="shared" si="731"/>
        <v>0.35331905781584583</v>
      </c>
      <c r="AZ134" s="84">
        <f t="shared" si="731"/>
        <v>0.37906046976511742</v>
      </c>
      <c r="BA134" s="84">
        <f t="shared" si="731"/>
        <v>0.36615163492633851</v>
      </c>
      <c r="BB134" s="84">
        <f t="shared" si="731"/>
        <v>0.32393041842971321</v>
      </c>
      <c r="BC134" s="84">
        <f t="shared" si="731"/>
        <v>0.31190885640584692</v>
      </c>
      <c r="BD134" s="84">
        <f t="shared" si="731"/>
        <v>0.25228641534686591</v>
      </c>
      <c r="BE134" s="84">
        <f t="shared" si="731"/>
        <v>0.29506854921219561</v>
      </c>
      <c r="BF134" s="84">
        <f t="shared" si="731"/>
        <v>0.27609129182362063</v>
      </c>
      <c r="BG134" s="84">
        <f t="shared" si="731"/>
        <v>0.27035573122529644</v>
      </c>
      <c r="BH134" s="84">
        <f t="shared" si="731"/>
        <v>0.26699218749999998</v>
      </c>
      <c r="BI134" s="84">
        <f t="shared" si="731"/>
        <v>0.29338207002693345</v>
      </c>
      <c r="BJ134" s="84">
        <f>BJ131/BJ$277</f>
        <v>0.25026376872757966</v>
      </c>
      <c r="BK134" s="801">
        <f>BK131/BK$277</f>
        <v>0.23708687908173362</v>
      </c>
      <c r="BL134" s="673"/>
      <c r="BM134" s="673"/>
      <c r="BN134" s="673"/>
      <c r="BO134" s="673"/>
      <c r="BP134" s="673"/>
      <c r="BQ134" s="673"/>
      <c r="BR134" s="673"/>
      <c r="BS134" s="673"/>
      <c r="BT134" s="673"/>
      <c r="BU134" s="673"/>
      <c r="BV134" s="673"/>
      <c r="BW134" s="673"/>
      <c r="BX134" s="673"/>
      <c r="BY134" s="673"/>
      <c r="BZ134" s="673"/>
      <c r="CA134" s="673"/>
      <c r="CB134" s="673"/>
      <c r="CC134" s="673"/>
      <c r="CD134" s="673"/>
      <c r="CE134" s="673"/>
      <c r="CF134" s="673"/>
      <c r="CG134" s="673"/>
      <c r="CH134" s="673"/>
      <c r="CI134" s="673"/>
      <c r="CJ134" s="673"/>
      <c r="CK134" s="673"/>
      <c r="CL134" s="673"/>
      <c r="CM134" s="673"/>
      <c r="CN134" s="673"/>
      <c r="CO134" s="673"/>
      <c r="CP134" s="673"/>
      <c r="CQ134" s="673"/>
      <c r="CR134" s="673"/>
      <c r="CS134" s="673"/>
      <c r="CT134" s="673"/>
      <c r="CU134" s="673"/>
      <c r="CV134" s="673"/>
      <c r="CW134" s="673"/>
    </row>
    <row r="135" spans="1:101" s="9" customFormat="1" ht="11.25">
      <c r="A135" s="903" t="s">
        <v>950</v>
      </c>
      <c r="B135" s="659"/>
      <c r="C135" s="659"/>
      <c r="D135" s="659"/>
      <c r="E135" s="659"/>
      <c r="F135" s="659"/>
      <c r="G135" s="659"/>
      <c r="H135" s="659"/>
      <c r="I135" s="659"/>
      <c r="J135" s="659"/>
      <c r="K135" s="659"/>
      <c r="L135" s="659"/>
      <c r="M135" s="659"/>
      <c r="N135" s="659"/>
      <c r="O135" s="659"/>
      <c r="P135" s="659"/>
      <c r="Q135" s="659"/>
      <c r="R135" s="659"/>
      <c r="S135" s="659"/>
      <c r="T135" s="659"/>
      <c r="U135" s="659"/>
      <c r="V135" s="659"/>
      <c r="W135" s="659"/>
      <c r="X135" s="659"/>
      <c r="Y135" s="659"/>
      <c r="Z135" s="659"/>
      <c r="AA135" s="659"/>
      <c r="AB135" s="659"/>
      <c r="AC135" s="659"/>
      <c r="AD135" s="659"/>
      <c r="AE135" s="2139"/>
      <c r="AF135" s="659"/>
      <c r="AG135" s="659"/>
      <c r="AH135" s="912"/>
      <c r="AI135" s="659"/>
      <c r="AJ135" s="659"/>
      <c r="AK135" s="659"/>
      <c r="AL135" s="659"/>
      <c r="AM135" s="966"/>
      <c r="AN135" s="966"/>
      <c r="AO135" s="966"/>
      <c r="AP135" s="435"/>
      <c r="AQ135" s="435"/>
      <c r="AR135" s="435"/>
      <c r="AS135" s="435"/>
      <c r="AT135" s="435"/>
      <c r="AU135" s="435"/>
      <c r="AV135" s="435"/>
      <c r="AW135" s="435"/>
      <c r="AX135" s="84" t="e">
        <f t="shared" ref="AX135" si="732">AX131/AT131-1</f>
        <v>#DIV/0!</v>
      </c>
      <c r="AY135" s="84" t="e">
        <f t="shared" ref="AY135" si="733">AY131/AU131-1</f>
        <v>#DIV/0!</v>
      </c>
      <c r="AZ135" s="84" t="e">
        <f t="shared" ref="AZ135" si="734">AZ131/AV131-1</f>
        <v>#DIV/0!</v>
      </c>
      <c r="BA135" s="84" t="e">
        <f t="shared" ref="BA135" si="735">BA131/AW131-1</f>
        <v>#DIV/0!</v>
      </c>
      <c r="BB135" s="84">
        <f t="shared" ref="BB135" si="736">BB131/AX131-1</f>
        <v>0.35897435897435903</v>
      </c>
      <c r="BC135" s="84">
        <f t="shared" ref="BC135" si="737">BC131/AY131-1</f>
        <v>9.9242424242424132E-2</v>
      </c>
      <c r="BD135" s="84">
        <f t="shared" ref="BD135" si="738">BD131/AZ131-1</f>
        <v>-0.25444957152274228</v>
      </c>
      <c r="BE135" s="84">
        <f t="shared" ref="BE135" si="739">BE131/BA131-1</f>
        <v>-0.29244357212953875</v>
      </c>
      <c r="BF135" s="84">
        <f t="shared" ref="BF135" si="740">BF131/BB131-1</f>
        <v>-9.5791001451378754E-2</v>
      </c>
      <c r="BG135" s="84">
        <f t="shared" ref="BG135" si="741">BG131/BC131-1</f>
        <v>-5.7201929703652676E-2</v>
      </c>
      <c r="BH135" s="84">
        <f t="shared" ref="BH135" si="742">BH131/BD131-1</f>
        <v>0.20866489832007074</v>
      </c>
      <c r="BI135" s="84">
        <f t="shared" ref="BI135" si="743">BI131/BE131-1</f>
        <v>5.7558945908460446E-2</v>
      </c>
      <c r="BJ135" s="84">
        <f>BJ131/BF131-1</f>
        <v>-4.8154093097913298E-2</v>
      </c>
      <c r="BK135" s="801">
        <f>BK131/BG131-1</f>
        <v>-0.1242690058479532</v>
      </c>
      <c r="BL135" s="673"/>
      <c r="BM135" s="673"/>
      <c r="BN135" s="673"/>
      <c r="BO135" s="673"/>
      <c r="BP135" s="673"/>
      <c r="BQ135" s="673"/>
      <c r="BR135" s="673"/>
      <c r="BS135" s="673"/>
      <c r="BT135" s="673"/>
      <c r="BU135" s="673"/>
      <c r="BV135" s="673"/>
      <c r="BW135" s="673"/>
      <c r="BX135" s="673"/>
      <c r="BY135" s="673"/>
      <c r="BZ135" s="673"/>
      <c r="CA135" s="673"/>
      <c r="CB135" s="673"/>
      <c r="CC135" s="673"/>
      <c r="CD135" s="673"/>
      <c r="CE135" s="673"/>
      <c r="CF135" s="673"/>
      <c r="CG135" s="673"/>
      <c r="CH135" s="673"/>
      <c r="CI135" s="673"/>
      <c r="CJ135" s="673"/>
      <c r="CK135" s="673"/>
      <c r="CL135" s="673"/>
      <c r="CM135" s="673"/>
      <c r="CN135" s="673"/>
      <c r="CO135" s="673"/>
      <c r="CP135" s="673"/>
      <c r="CQ135" s="673"/>
      <c r="CR135" s="673"/>
      <c r="CS135" s="673"/>
      <c r="CT135" s="673"/>
      <c r="CU135" s="673"/>
      <c r="CV135" s="673"/>
      <c r="CW135" s="673"/>
    </row>
    <row r="136" spans="1:101" s="9" customFormat="1" ht="11.25">
      <c r="A136" s="930"/>
      <c r="B136" s="812"/>
      <c r="C136" s="812"/>
      <c r="D136" s="812"/>
      <c r="E136" s="812"/>
      <c r="F136" s="812"/>
      <c r="G136" s="812"/>
      <c r="H136" s="812"/>
      <c r="I136" s="812"/>
      <c r="J136" s="812"/>
      <c r="K136" s="812"/>
      <c r="L136" s="812"/>
      <c r="M136" s="812"/>
      <c r="N136" s="812"/>
      <c r="O136" s="812"/>
      <c r="P136" s="812"/>
      <c r="Q136" s="812"/>
      <c r="R136" s="812"/>
      <c r="S136" s="812"/>
      <c r="T136" s="812"/>
      <c r="U136" s="813"/>
      <c r="V136" s="813"/>
      <c r="W136" s="813"/>
      <c r="X136" s="813"/>
      <c r="Y136" s="813"/>
      <c r="Z136" s="813"/>
      <c r="AA136" s="813"/>
      <c r="AB136" s="813"/>
      <c r="AC136" s="813"/>
      <c r="AD136" s="813"/>
      <c r="AE136" s="2144"/>
      <c r="AF136" s="813"/>
      <c r="AG136" s="813"/>
      <c r="AH136" s="813"/>
      <c r="AI136" s="813"/>
      <c r="AJ136" s="813"/>
      <c r="AK136" s="813"/>
      <c r="AL136" s="813"/>
      <c r="AM136" s="84"/>
      <c r="AN136" s="84"/>
      <c r="AO136" s="84"/>
      <c r="AP136" s="673"/>
      <c r="AQ136" s="673"/>
      <c r="AR136" s="673"/>
      <c r="AS136" s="673"/>
      <c r="AT136" s="673"/>
      <c r="AU136" s="673"/>
      <c r="AV136" s="673"/>
      <c r="AW136" s="673"/>
      <c r="AX136" s="673"/>
      <c r="AY136" s="673"/>
      <c r="AZ136" s="673"/>
      <c r="BA136" s="673"/>
      <c r="BB136" s="673"/>
      <c r="BC136" s="673"/>
      <c r="BD136" s="673"/>
      <c r="BE136" s="673"/>
      <c r="BF136" s="673"/>
      <c r="BG136" s="673"/>
      <c r="BH136" s="673"/>
      <c r="BI136" s="673"/>
      <c r="BJ136" s="673"/>
      <c r="BK136" s="1370"/>
      <c r="BL136" s="673"/>
      <c r="BM136" s="673"/>
      <c r="BN136" s="673"/>
      <c r="BO136" s="673"/>
      <c r="BP136" s="673"/>
      <c r="BQ136" s="673"/>
      <c r="BR136" s="673"/>
      <c r="BS136" s="673"/>
      <c r="BT136" s="673"/>
      <c r="BU136" s="673"/>
      <c r="BV136" s="673"/>
      <c r="BW136" s="673"/>
      <c r="BX136" s="673"/>
      <c r="BY136" s="673"/>
      <c r="BZ136" s="673"/>
      <c r="CA136" s="673"/>
      <c r="CB136" s="673"/>
      <c r="CC136" s="673"/>
      <c r="CD136" s="673"/>
      <c r="CE136" s="673"/>
      <c r="CF136" s="673"/>
      <c r="CG136" s="673"/>
      <c r="CH136" s="673"/>
      <c r="CI136" s="673"/>
      <c r="CJ136" s="673"/>
      <c r="CK136" s="673"/>
      <c r="CL136" s="673"/>
      <c r="CM136" s="673"/>
      <c r="CN136" s="673"/>
      <c r="CO136" s="673"/>
      <c r="CP136" s="673"/>
      <c r="CQ136" s="673"/>
      <c r="CR136" s="673"/>
      <c r="CS136" s="673"/>
      <c r="CT136" s="673"/>
      <c r="CU136" s="673"/>
      <c r="CV136" s="673"/>
      <c r="CW136" s="673"/>
    </row>
    <row r="137" spans="1:101" s="9" customFormat="1" ht="11.25">
      <c r="A137" s="280" t="s">
        <v>733</v>
      </c>
      <c r="B137" s="276"/>
      <c r="C137" s="276"/>
      <c r="D137" s="276"/>
      <c r="E137" s="276"/>
      <c r="F137" s="276"/>
      <c r="G137" s="276"/>
      <c r="H137" s="276"/>
      <c r="I137" s="276"/>
      <c r="J137" s="276"/>
      <c r="K137" s="276"/>
      <c r="L137" s="276"/>
      <c r="M137" s="276"/>
      <c r="N137" s="276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441"/>
      <c r="AB137" s="276"/>
      <c r="AC137" s="276"/>
      <c r="AD137" s="276"/>
      <c r="AE137" s="2128"/>
      <c r="AF137" s="276"/>
      <c r="AG137" s="276"/>
      <c r="AH137" s="276"/>
      <c r="AI137" s="276"/>
      <c r="AJ137" s="276"/>
      <c r="AK137" s="276"/>
      <c r="AL137" s="276"/>
      <c r="AM137" s="276"/>
      <c r="AN137" s="276"/>
      <c r="AO137" s="276"/>
      <c r="AP137" s="276"/>
      <c r="AQ137" s="276"/>
      <c r="AR137" s="276"/>
      <c r="AS137" s="276"/>
      <c r="AT137" s="276"/>
      <c r="AU137" s="276"/>
      <c r="AV137" s="276"/>
      <c r="AW137" s="276"/>
      <c r="AX137" s="276"/>
      <c r="AY137" s="276"/>
      <c r="AZ137" s="276"/>
      <c r="BA137" s="276"/>
      <c r="BB137" s="276"/>
      <c r="BC137" s="276"/>
      <c r="BD137" s="1855"/>
      <c r="BE137" s="1855"/>
      <c r="BF137" s="1855"/>
      <c r="BG137" s="1855"/>
      <c r="BH137" s="1855"/>
      <c r="BI137" s="1855"/>
      <c r="BJ137" s="1855"/>
      <c r="BK137" s="1850"/>
      <c r="BL137" s="276"/>
      <c r="BM137" s="276"/>
      <c r="BN137" s="276"/>
      <c r="BO137" s="276"/>
      <c r="BP137" s="276"/>
      <c r="BQ137" s="276"/>
      <c r="BR137" s="276"/>
      <c r="BS137" s="276"/>
      <c r="BT137" s="276"/>
      <c r="BU137" s="276"/>
      <c r="BV137" s="276"/>
      <c r="BW137" s="276"/>
      <c r="BX137" s="276"/>
      <c r="BY137" s="276"/>
      <c r="BZ137" s="276"/>
      <c r="CA137" s="276"/>
      <c r="CB137" s="276"/>
      <c r="CC137" s="276"/>
      <c r="CD137" s="276"/>
      <c r="CE137" s="276"/>
      <c r="CF137" s="276"/>
      <c r="CG137" s="276"/>
      <c r="CH137" s="276"/>
      <c r="CI137" s="276"/>
      <c r="CJ137" s="276"/>
      <c r="CK137" s="276"/>
      <c r="CL137" s="276"/>
      <c r="CM137" s="276"/>
      <c r="CN137" s="276"/>
      <c r="CO137" s="276"/>
      <c r="CP137" s="276"/>
      <c r="CQ137" s="276"/>
      <c r="CR137" s="276"/>
      <c r="CS137" s="276"/>
      <c r="CT137" s="276"/>
      <c r="CU137" s="276"/>
      <c r="CV137" s="276"/>
      <c r="CW137" s="276"/>
    </row>
    <row r="138" spans="1:101" s="9" customFormat="1" ht="11.25">
      <c r="A138" s="674"/>
      <c r="B138" s="658"/>
      <c r="C138" s="658"/>
      <c r="D138" s="658"/>
      <c r="E138" s="658"/>
      <c r="F138" s="658"/>
      <c r="G138" s="658"/>
      <c r="H138" s="658"/>
      <c r="I138" s="658"/>
      <c r="J138" s="658"/>
      <c r="K138" s="658"/>
      <c r="L138" s="658"/>
      <c r="M138" s="658"/>
      <c r="N138" s="658"/>
      <c r="O138" s="659"/>
      <c r="P138" s="659"/>
      <c r="Q138" s="659"/>
      <c r="R138" s="659"/>
      <c r="S138" s="659"/>
      <c r="T138" s="659"/>
      <c r="U138" s="659"/>
      <c r="V138" s="659"/>
      <c r="W138" s="659"/>
      <c r="X138" s="659"/>
      <c r="Y138" s="659"/>
      <c r="Z138" s="659"/>
      <c r="AA138" s="659"/>
      <c r="AB138" s="659"/>
      <c r="AC138" s="659"/>
      <c r="AD138" s="659"/>
      <c r="AE138" s="2139"/>
      <c r="AF138" s="659"/>
      <c r="AG138" s="659"/>
      <c r="AH138" s="659"/>
      <c r="AI138" s="659"/>
      <c r="AJ138" s="659"/>
      <c r="AK138" s="659"/>
      <c r="AL138" s="659"/>
      <c r="AM138" s="966"/>
      <c r="AN138" s="1023"/>
      <c r="AO138" s="1023"/>
      <c r="AP138" s="435"/>
      <c r="AQ138" s="435"/>
      <c r="AR138" s="435"/>
      <c r="AS138" s="435"/>
      <c r="AT138" s="435"/>
      <c r="AU138" s="435"/>
      <c r="AV138" s="435"/>
      <c r="AW138" s="435"/>
      <c r="AX138" s="435"/>
      <c r="AY138" s="435"/>
      <c r="AZ138" s="435"/>
      <c r="BA138" s="435"/>
      <c r="BB138" s="435"/>
      <c r="BC138" s="435"/>
      <c r="BD138" s="435"/>
      <c r="BE138" s="435"/>
      <c r="BF138" s="435"/>
      <c r="BG138" s="435"/>
      <c r="BH138" s="435"/>
      <c r="BI138" s="435"/>
      <c r="BJ138" s="435"/>
      <c r="BK138" s="1373"/>
      <c r="BL138" s="435"/>
      <c r="BM138" s="435"/>
      <c r="BN138" s="435"/>
      <c r="BO138" s="435"/>
      <c r="BP138" s="435"/>
      <c r="BQ138" s="435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</row>
    <row r="139" spans="1:101" s="9" customFormat="1" ht="11.25">
      <c r="A139" s="331" t="s">
        <v>752</v>
      </c>
      <c r="B139" s="658"/>
      <c r="C139" s="658"/>
      <c r="D139" s="658"/>
      <c r="E139" s="658"/>
      <c r="F139" s="658"/>
      <c r="G139" s="658"/>
      <c r="H139" s="658"/>
      <c r="I139" s="658"/>
      <c r="J139" s="658"/>
      <c r="K139" s="658"/>
      <c r="L139" s="658"/>
      <c r="M139" s="658"/>
      <c r="N139" s="658"/>
      <c r="O139" s="659"/>
      <c r="P139" s="659"/>
      <c r="Q139" s="659"/>
      <c r="R139" s="659"/>
      <c r="S139" s="659"/>
      <c r="T139" s="659"/>
      <c r="U139" s="659"/>
      <c r="V139" s="659"/>
      <c r="W139" s="659"/>
      <c r="X139" s="659"/>
      <c r="Y139" s="659"/>
      <c r="Z139" s="659"/>
      <c r="AA139" s="659"/>
      <c r="AB139" s="659"/>
      <c r="AC139" s="659"/>
      <c r="AD139" s="659"/>
      <c r="AE139" s="2139"/>
      <c r="AF139" s="659"/>
      <c r="AG139" s="659"/>
      <c r="AH139" s="659"/>
      <c r="AI139" s="659"/>
      <c r="AJ139" s="659"/>
      <c r="AK139" s="659"/>
      <c r="AL139" s="659"/>
      <c r="AM139" s="966"/>
      <c r="AN139" s="966"/>
      <c r="AO139" s="966"/>
      <c r="AP139" s="435"/>
      <c r="AQ139" s="435"/>
      <c r="AR139" s="435"/>
      <c r="AS139" s="435"/>
      <c r="AT139" s="435"/>
      <c r="AU139" s="435"/>
      <c r="AV139" s="435"/>
      <c r="AW139" s="435"/>
      <c r="AX139" s="435"/>
      <c r="AY139" s="435"/>
      <c r="AZ139" s="435"/>
      <c r="BA139" s="435"/>
      <c r="BB139" s="435"/>
      <c r="BC139" s="435"/>
      <c r="BD139" s="435"/>
      <c r="BE139" s="435"/>
      <c r="BF139" s="435"/>
      <c r="BG139" s="435"/>
      <c r="BH139" s="435"/>
      <c r="BI139" s="435"/>
      <c r="BJ139" s="435"/>
      <c r="BK139" s="1373"/>
      <c r="BL139" s="435"/>
      <c r="BM139" s="435"/>
      <c r="BN139" s="435"/>
      <c r="BO139" s="435"/>
      <c r="BP139" s="435"/>
      <c r="BQ139" s="435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</row>
    <row r="140" spans="1:101" s="9" customFormat="1" ht="11.25">
      <c r="A140" s="331"/>
      <c r="B140" s="658"/>
      <c r="C140" s="658"/>
      <c r="D140" s="658"/>
      <c r="E140" s="658"/>
      <c r="F140" s="658"/>
      <c r="G140" s="658"/>
      <c r="H140" s="658"/>
      <c r="I140" s="658"/>
      <c r="J140" s="658"/>
      <c r="K140" s="658"/>
      <c r="L140" s="658"/>
      <c r="M140" s="658"/>
      <c r="N140" s="658"/>
      <c r="O140" s="659"/>
      <c r="P140" s="659"/>
      <c r="Q140" s="659"/>
      <c r="R140" s="659"/>
      <c r="S140" s="659"/>
      <c r="T140" s="659"/>
      <c r="U140" s="659"/>
      <c r="V140" s="659"/>
      <c r="W140" s="659"/>
      <c r="X140" s="659"/>
      <c r="Y140" s="659"/>
      <c r="Z140" s="659"/>
      <c r="AA140" s="659"/>
      <c r="AB140" s="659"/>
      <c r="AC140" s="659"/>
      <c r="AD140" s="659"/>
      <c r="AE140" s="2139"/>
      <c r="AF140" s="659"/>
      <c r="AG140" s="659"/>
      <c r="AH140" s="659"/>
      <c r="AI140" s="659"/>
      <c r="AJ140" s="659"/>
      <c r="AK140" s="659"/>
      <c r="AL140" s="1023"/>
      <c r="AM140" s="1023"/>
      <c r="AN140" s="966"/>
      <c r="AO140" s="966"/>
      <c r="AP140" s="435"/>
      <c r="AQ140" s="435"/>
      <c r="AR140" s="435"/>
      <c r="AS140" s="435"/>
      <c r="AT140" s="435"/>
      <c r="AU140" s="435"/>
      <c r="AV140" s="435"/>
      <c r="AW140" s="435"/>
      <c r="AX140" s="435"/>
      <c r="AY140" s="435"/>
      <c r="AZ140" s="435"/>
      <c r="BA140" s="435"/>
      <c r="BB140" s="435"/>
      <c r="BC140" s="435"/>
      <c r="BD140" s="435"/>
      <c r="BE140" s="435"/>
      <c r="BF140" s="435"/>
      <c r="BG140" s="435"/>
      <c r="BH140" s="435"/>
      <c r="BI140" s="435"/>
      <c r="BJ140" s="435"/>
      <c r="BK140" s="1373"/>
      <c r="BL140" s="435"/>
      <c r="BM140" s="435"/>
      <c r="BN140" s="435"/>
      <c r="BO140" s="435"/>
      <c r="BP140" s="435"/>
      <c r="BQ140" s="435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</row>
    <row r="141" spans="1:101" s="9" customFormat="1" ht="11.25">
      <c r="A141" s="622" t="s">
        <v>947</v>
      </c>
      <c r="B141" s="423">
        <f>IS!C110</f>
        <v>155</v>
      </c>
      <c r="C141" s="423">
        <f>IS!D110</f>
        <v>162</v>
      </c>
      <c r="D141" s="423">
        <f>IS!E110</f>
        <v>165</v>
      </c>
      <c r="E141" s="423">
        <f>IS!F110</f>
        <v>170</v>
      </c>
      <c r="F141" s="423">
        <f>IS!G110</f>
        <v>171</v>
      </c>
      <c r="G141" s="423">
        <f>IS!H110</f>
        <v>178</v>
      </c>
      <c r="H141" s="423">
        <f>IS!I110</f>
        <v>157</v>
      </c>
      <c r="I141" s="423">
        <f>IS!J110</f>
        <v>169</v>
      </c>
      <c r="J141" s="423">
        <f>IS!K110</f>
        <v>172</v>
      </c>
      <c r="K141" s="423">
        <f>IS!L110</f>
        <v>176</v>
      </c>
      <c r="L141" s="423">
        <f>IS!M110</f>
        <v>189</v>
      </c>
      <c r="M141" s="423">
        <f>IS!N110</f>
        <v>208</v>
      </c>
      <c r="N141" s="423">
        <f>IS!O110</f>
        <v>212</v>
      </c>
      <c r="O141" s="423">
        <f>IS!P110</f>
        <v>224</v>
      </c>
      <c r="P141" s="423">
        <f>IS!Q110</f>
        <v>236</v>
      </c>
      <c r="Q141" s="423">
        <f>IS!R110</f>
        <v>249</v>
      </c>
      <c r="R141" s="423">
        <f>IS!S110</f>
        <v>253</v>
      </c>
      <c r="S141" s="423">
        <f>IS!T110</f>
        <v>263</v>
      </c>
      <c r="T141" s="423">
        <f>IS!U110</f>
        <v>275</v>
      </c>
      <c r="U141" s="423">
        <f>IS!V110</f>
        <v>287</v>
      </c>
      <c r="V141" s="423">
        <f>IS!W110</f>
        <v>294</v>
      </c>
      <c r="W141" s="423">
        <f>IS!X110</f>
        <v>298</v>
      </c>
      <c r="X141" s="423">
        <f>IS!Y110</f>
        <v>317</v>
      </c>
      <c r="Y141" s="423">
        <f>IS!Z110</f>
        <v>343</v>
      </c>
      <c r="Z141" s="423">
        <f>IS!AA110</f>
        <v>350</v>
      </c>
      <c r="AA141" s="423">
        <f>IS!AB110</f>
        <v>365</v>
      </c>
      <c r="AB141" s="423">
        <f>IS!AC110</f>
        <v>382</v>
      </c>
      <c r="AC141" s="423">
        <f>IS!AD110</f>
        <v>395</v>
      </c>
      <c r="AD141" s="423">
        <f>IS!AE110</f>
        <v>444</v>
      </c>
      <c r="AE141" s="2130">
        <f>IS!AF110</f>
        <v>456</v>
      </c>
      <c r="AF141" s="423">
        <f>IS!AG110</f>
        <v>470</v>
      </c>
      <c r="AG141" s="423">
        <f>IS!AH110</f>
        <v>481</v>
      </c>
      <c r="AH141" s="423">
        <f>IS!AI110</f>
        <v>493</v>
      </c>
      <c r="AI141" s="423">
        <f>IS!AJ110</f>
        <v>515</v>
      </c>
      <c r="AJ141" s="423">
        <f>IS!AK110</f>
        <v>528</v>
      </c>
      <c r="AK141" s="423">
        <f>IS!AL110</f>
        <v>543</v>
      </c>
      <c r="AL141" s="423">
        <f>IS!AM110</f>
        <v>555</v>
      </c>
      <c r="AM141" s="962">
        <f>IS!AN110</f>
        <v>573</v>
      </c>
      <c r="AN141" s="962">
        <f>IS!AO110</f>
        <v>607</v>
      </c>
      <c r="AO141" s="962">
        <f>IS!AP110</f>
        <v>628</v>
      </c>
      <c r="AP141" s="962">
        <f>IS!AQ110</f>
        <v>631</v>
      </c>
      <c r="AQ141" s="962">
        <f>IS!AR110</f>
        <v>639</v>
      </c>
      <c r="AR141" s="962">
        <f>IS!AS110</f>
        <v>632</v>
      </c>
      <c r="AS141" s="962">
        <f>IS!AT110</f>
        <v>640</v>
      </c>
      <c r="AT141" s="962">
        <f>IS!AU110</f>
        <v>643</v>
      </c>
      <c r="AU141" s="962">
        <f>IS!AV110</f>
        <v>630</v>
      </c>
      <c r="AV141" s="962">
        <f>IS!AW110</f>
        <v>625</v>
      </c>
      <c r="AW141" s="962">
        <f>IS!AX110</f>
        <v>633</v>
      </c>
      <c r="AX141" s="962">
        <f>IS!AY110</f>
        <v>639</v>
      </c>
      <c r="AY141" s="962">
        <f>IS!AZ110</f>
        <v>647</v>
      </c>
      <c r="AZ141" s="962">
        <f>IS!BA110</f>
        <v>656</v>
      </c>
      <c r="BA141" s="962">
        <f>IS!BB110</f>
        <v>664</v>
      </c>
      <c r="BB141" s="962">
        <f>IS!BC110</f>
        <v>677</v>
      </c>
      <c r="BC141" s="962">
        <f>IS!BD110</f>
        <v>692</v>
      </c>
      <c r="BD141" s="962">
        <f>IS!BE110</f>
        <v>697</v>
      </c>
      <c r="BE141" s="962">
        <f>IS!BF110</f>
        <v>723</v>
      </c>
      <c r="BF141" s="962">
        <f>IS!BG110</f>
        <v>728</v>
      </c>
      <c r="BG141" s="962">
        <f>IS!BH110</f>
        <v>745</v>
      </c>
      <c r="BH141" s="962">
        <f>IS!BI110</f>
        <v>754</v>
      </c>
      <c r="BI141" s="962">
        <f>IS!BJ110</f>
        <v>775</v>
      </c>
      <c r="BJ141" s="962">
        <f>IS!BK110</f>
        <v>776</v>
      </c>
      <c r="BK141" s="1352">
        <f>IS!BL110</f>
        <v>780</v>
      </c>
      <c r="BL141" s="656">
        <f t="shared" ref="BL141:BQ141" si="744">+BL146+BL150</f>
        <v>785</v>
      </c>
      <c r="BM141" s="656">
        <f t="shared" si="744"/>
        <v>799</v>
      </c>
      <c r="BN141" s="656">
        <f t="shared" si="744"/>
        <v>804</v>
      </c>
      <c r="BO141" s="656">
        <f t="shared" si="744"/>
        <v>809</v>
      </c>
      <c r="BP141" s="656">
        <f t="shared" si="744"/>
        <v>814</v>
      </c>
      <c r="BQ141" s="656">
        <f t="shared" si="744"/>
        <v>823</v>
      </c>
      <c r="BR141" s="656">
        <f t="shared" ref="BR141:CK141" si="745">+BR146+BR150</f>
        <v>827</v>
      </c>
      <c r="BS141" s="656">
        <f t="shared" si="745"/>
        <v>831</v>
      </c>
      <c r="BT141" s="656">
        <f t="shared" si="745"/>
        <v>835</v>
      </c>
      <c r="BU141" s="656">
        <f t="shared" si="745"/>
        <v>841</v>
      </c>
      <c r="BV141" s="656">
        <f t="shared" si="745"/>
        <v>845</v>
      </c>
      <c r="BW141" s="656">
        <f t="shared" si="745"/>
        <v>849</v>
      </c>
      <c r="BX141" s="656">
        <f t="shared" si="745"/>
        <v>853</v>
      </c>
      <c r="BY141" s="656">
        <f t="shared" si="745"/>
        <v>860</v>
      </c>
      <c r="BZ141" s="656">
        <f t="shared" si="745"/>
        <v>863</v>
      </c>
      <c r="CA141" s="656">
        <f t="shared" si="745"/>
        <v>866</v>
      </c>
      <c r="CB141" s="656">
        <f t="shared" si="745"/>
        <v>869</v>
      </c>
      <c r="CC141" s="656">
        <f t="shared" si="745"/>
        <v>876</v>
      </c>
      <c r="CD141" s="656">
        <f t="shared" si="745"/>
        <v>879</v>
      </c>
      <c r="CE141" s="656">
        <f t="shared" si="745"/>
        <v>882</v>
      </c>
      <c r="CF141" s="656">
        <f t="shared" si="745"/>
        <v>885</v>
      </c>
      <c r="CG141" s="656">
        <f t="shared" si="745"/>
        <v>892</v>
      </c>
      <c r="CH141" s="656">
        <f t="shared" si="745"/>
        <v>895</v>
      </c>
      <c r="CI141" s="656">
        <f t="shared" si="745"/>
        <v>898</v>
      </c>
      <c r="CJ141" s="656">
        <f t="shared" si="745"/>
        <v>901</v>
      </c>
      <c r="CK141" s="656">
        <f t="shared" si="745"/>
        <v>906</v>
      </c>
      <c r="CL141" s="656">
        <f t="shared" ref="CL141:CW141" si="746">+CL146+CL150</f>
        <v>909</v>
      </c>
      <c r="CM141" s="656">
        <f t="shared" si="746"/>
        <v>912</v>
      </c>
      <c r="CN141" s="656">
        <f t="shared" si="746"/>
        <v>915</v>
      </c>
      <c r="CO141" s="656">
        <f t="shared" si="746"/>
        <v>921</v>
      </c>
      <c r="CP141" s="656">
        <f t="shared" si="746"/>
        <v>924</v>
      </c>
      <c r="CQ141" s="656">
        <f t="shared" si="746"/>
        <v>927</v>
      </c>
      <c r="CR141" s="656">
        <f t="shared" si="746"/>
        <v>930</v>
      </c>
      <c r="CS141" s="656">
        <f t="shared" si="746"/>
        <v>936</v>
      </c>
      <c r="CT141" s="656">
        <f t="shared" si="746"/>
        <v>939</v>
      </c>
      <c r="CU141" s="656">
        <f t="shared" si="746"/>
        <v>942</v>
      </c>
      <c r="CV141" s="656">
        <f t="shared" si="746"/>
        <v>945</v>
      </c>
      <c r="CW141" s="656">
        <f t="shared" si="746"/>
        <v>948</v>
      </c>
    </row>
    <row r="142" spans="1:101" s="9" customFormat="1" ht="11.25">
      <c r="A142" s="655" t="s">
        <v>940</v>
      </c>
      <c r="B142" s="369"/>
      <c r="C142" s="369">
        <f t="shared" ref="C142:AZ142" si="747">+C141-B141</f>
        <v>7</v>
      </c>
      <c r="D142" s="369">
        <f t="shared" si="747"/>
        <v>3</v>
      </c>
      <c r="E142" s="369">
        <f t="shared" si="747"/>
        <v>5</v>
      </c>
      <c r="F142" s="369">
        <f t="shared" si="747"/>
        <v>1</v>
      </c>
      <c r="G142" s="369">
        <f t="shared" si="747"/>
        <v>7</v>
      </c>
      <c r="H142" s="369">
        <f t="shared" si="747"/>
        <v>-21</v>
      </c>
      <c r="I142" s="369">
        <f t="shared" si="747"/>
        <v>12</v>
      </c>
      <c r="J142" s="369">
        <f t="shared" si="747"/>
        <v>3</v>
      </c>
      <c r="K142" s="369">
        <f t="shared" si="747"/>
        <v>4</v>
      </c>
      <c r="L142" s="369">
        <f t="shared" si="747"/>
        <v>13</v>
      </c>
      <c r="M142" s="369">
        <f t="shared" si="747"/>
        <v>19</v>
      </c>
      <c r="N142" s="369">
        <f t="shared" si="747"/>
        <v>4</v>
      </c>
      <c r="O142" s="369">
        <f t="shared" si="747"/>
        <v>12</v>
      </c>
      <c r="P142" s="369">
        <f t="shared" si="747"/>
        <v>12</v>
      </c>
      <c r="Q142" s="369">
        <f t="shared" si="747"/>
        <v>13</v>
      </c>
      <c r="R142" s="369">
        <f t="shared" si="747"/>
        <v>4</v>
      </c>
      <c r="S142" s="369">
        <f t="shared" si="747"/>
        <v>10</v>
      </c>
      <c r="T142" s="369">
        <f t="shared" si="747"/>
        <v>12</v>
      </c>
      <c r="U142" s="369">
        <f t="shared" si="747"/>
        <v>12</v>
      </c>
      <c r="V142" s="369">
        <f t="shared" si="747"/>
        <v>7</v>
      </c>
      <c r="W142" s="369">
        <f t="shared" si="747"/>
        <v>4</v>
      </c>
      <c r="X142" s="369">
        <f t="shared" si="747"/>
        <v>19</v>
      </c>
      <c r="Y142" s="369">
        <f t="shared" si="747"/>
        <v>26</v>
      </c>
      <c r="Z142" s="369">
        <f t="shared" si="747"/>
        <v>7</v>
      </c>
      <c r="AA142" s="369">
        <f t="shared" si="747"/>
        <v>15</v>
      </c>
      <c r="AB142" s="369">
        <f t="shared" si="747"/>
        <v>17</v>
      </c>
      <c r="AC142" s="369">
        <f t="shared" si="747"/>
        <v>13</v>
      </c>
      <c r="AD142" s="369">
        <f t="shared" si="747"/>
        <v>49</v>
      </c>
      <c r="AE142" s="2131">
        <f t="shared" si="747"/>
        <v>12</v>
      </c>
      <c r="AF142" s="369">
        <f t="shared" si="747"/>
        <v>14</v>
      </c>
      <c r="AG142" s="369">
        <f t="shared" si="747"/>
        <v>11</v>
      </c>
      <c r="AH142" s="369">
        <f t="shared" si="747"/>
        <v>12</v>
      </c>
      <c r="AI142" s="369">
        <f t="shared" si="747"/>
        <v>22</v>
      </c>
      <c r="AJ142" s="369">
        <f t="shared" si="747"/>
        <v>13</v>
      </c>
      <c r="AK142" s="369">
        <f t="shared" si="747"/>
        <v>15</v>
      </c>
      <c r="AL142" s="369">
        <f t="shared" si="747"/>
        <v>12</v>
      </c>
      <c r="AM142" s="586">
        <f t="shared" si="747"/>
        <v>18</v>
      </c>
      <c r="AN142" s="586">
        <f t="shared" si="747"/>
        <v>34</v>
      </c>
      <c r="AO142" s="586">
        <f t="shared" si="747"/>
        <v>21</v>
      </c>
      <c r="AP142" s="586">
        <f t="shared" si="747"/>
        <v>3</v>
      </c>
      <c r="AQ142" s="586">
        <f t="shared" si="747"/>
        <v>8</v>
      </c>
      <c r="AR142" s="586">
        <f t="shared" si="747"/>
        <v>-7</v>
      </c>
      <c r="AS142" s="586">
        <f t="shared" si="747"/>
        <v>8</v>
      </c>
      <c r="AT142" s="586">
        <f t="shared" si="747"/>
        <v>3</v>
      </c>
      <c r="AU142" s="586">
        <f t="shared" si="747"/>
        <v>-13</v>
      </c>
      <c r="AV142" s="586">
        <f t="shared" si="747"/>
        <v>-5</v>
      </c>
      <c r="AW142" s="586">
        <f t="shared" si="747"/>
        <v>8</v>
      </c>
      <c r="AX142" s="586">
        <f t="shared" si="747"/>
        <v>6</v>
      </c>
      <c r="AY142" s="586">
        <f t="shared" si="747"/>
        <v>8</v>
      </c>
      <c r="AZ142" s="586">
        <f t="shared" si="747"/>
        <v>9</v>
      </c>
      <c r="BA142" s="586">
        <f t="shared" ref="BA142:BK142" si="748">+BA141-AZ141</f>
        <v>8</v>
      </c>
      <c r="BB142" s="586">
        <f t="shared" si="748"/>
        <v>13</v>
      </c>
      <c r="BC142" s="586">
        <f t="shared" si="748"/>
        <v>15</v>
      </c>
      <c r="BD142" s="586">
        <f t="shared" si="748"/>
        <v>5</v>
      </c>
      <c r="BE142" s="586">
        <f t="shared" si="748"/>
        <v>26</v>
      </c>
      <c r="BF142" s="586">
        <f t="shared" si="748"/>
        <v>5</v>
      </c>
      <c r="BG142" s="586">
        <f t="shared" si="748"/>
        <v>17</v>
      </c>
      <c r="BH142" s="586">
        <f t="shared" si="748"/>
        <v>9</v>
      </c>
      <c r="BI142" s="586">
        <f t="shared" si="748"/>
        <v>21</v>
      </c>
      <c r="BJ142" s="586">
        <f t="shared" si="748"/>
        <v>1</v>
      </c>
      <c r="BK142" s="1353">
        <f t="shared" si="748"/>
        <v>4</v>
      </c>
      <c r="BL142" s="587">
        <f t="shared" ref="BL142:BQ142" si="749">+BL147+BL151</f>
        <v>5</v>
      </c>
      <c r="BM142" s="587">
        <f t="shared" si="749"/>
        <v>14</v>
      </c>
      <c r="BN142" s="587">
        <f t="shared" si="749"/>
        <v>5</v>
      </c>
      <c r="BO142" s="587">
        <f t="shared" si="749"/>
        <v>5</v>
      </c>
      <c r="BP142" s="587">
        <f t="shared" si="749"/>
        <v>5</v>
      </c>
      <c r="BQ142" s="587">
        <f t="shared" si="749"/>
        <v>9</v>
      </c>
      <c r="BR142" s="587">
        <f t="shared" ref="BR142:CK142" si="750">+BR147+BR151</f>
        <v>4</v>
      </c>
      <c r="BS142" s="587">
        <f t="shared" si="750"/>
        <v>4</v>
      </c>
      <c r="BT142" s="587">
        <f t="shared" si="750"/>
        <v>4</v>
      </c>
      <c r="BU142" s="587">
        <f t="shared" si="750"/>
        <v>6</v>
      </c>
      <c r="BV142" s="587">
        <f t="shared" si="750"/>
        <v>4</v>
      </c>
      <c r="BW142" s="587">
        <f t="shared" si="750"/>
        <v>4</v>
      </c>
      <c r="BX142" s="587">
        <f t="shared" si="750"/>
        <v>4</v>
      </c>
      <c r="BY142" s="587">
        <f t="shared" si="750"/>
        <v>7</v>
      </c>
      <c r="BZ142" s="587">
        <f t="shared" si="750"/>
        <v>3</v>
      </c>
      <c r="CA142" s="587">
        <f t="shared" si="750"/>
        <v>3</v>
      </c>
      <c r="CB142" s="587">
        <f t="shared" si="750"/>
        <v>3</v>
      </c>
      <c r="CC142" s="587">
        <f t="shared" si="750"/>
        <v>7</v>
      </c>
      <c r="CD142" s="587">
        <f t="shared" si="750"/>
        <v>3</v>
      </c>
      <c r="CE142" s="587">
        <f t="shared" si="750"/>
        <v>3</v>
      </c>
      <c r="CF142" s="587">
        <f t="shared" si="750"/>
        <v>3</v>
      </c>
      <c r="CG142" s="587">
        <f t="shared" si="750"/>
        <v>7</v>
      </c>
      <c r="CH142" s="587">
        <f t="shared" si="750"/>
        <v>3</v>
      </c>
      <c r="CI142" s="587">
        <f t="shared" si="750"/>
        <v>3</v>
      </c>
      <c r="CJ142" s="587">
        <f t="shared" si="750"/>
        <v>3</v>
      </c>
      <c r="CK142" s="587">
        <f t="shared" si="750"/>
        <v>5</v>
      </c>
      <c r="CL142" s="587">
        <f t="shared" ref="CL142:CW142" si="751">+CL147+CL151</f>
        <v>3</v>
      </c>
      <c r="CM142" s="587">
        <f t="shared" si="751"/>
        <v>3</v>
      </c>
      <c r="CN142" s="587">
        <f t="shared" si="751"/>
        <v>3</v>
      </c>
      <c r="CO142" s="587">
        <f t="shared" si="751"/>
        <v>6</v>
      </c>
      <c r="CP142" s="587">
        <f t="shared" si="751"/>
        <v>3</v>
      </c>
      <c r="CQ142" s="587">
        <f t="shared" si="751"/>
        <v>3</v>
      </c>
      <c r="CR142" s="587">
        <f t="shared" si="751"/>
        <v>3</v>
      </c>
      <c r="CS142" s="587">
        <f t="shared" si="751"/>
        <v>6</v>
      </c>
      <c r="CT142" s="587">
        <f t="shared" si="751"/>
        <v>3</v>
      </c>
      <c r="CU142" s="587">
        <f t="shared" si="751"/>
        <v>3</v>
      </c>
      <c r="CV142" s="587">
        <f t="shared" si="751"/>
        <v>3</v>
      </c>
      <c r="CW142" s="587">
        <f t="shared" si="751"/>
        <v>3</v>
      </c>
    </row>
    <row r="143" spans="1:101" s="9" customFormat="1" ht="11.25">
      <c r="A143" s="869" t="s">
        <v>1472</v>
      </c>
      <c r="B143" s="62"/>
      <c r="C143" s="369">
        <f t="shared" ref="C143:AH143" si="752">+AVERAGE(B141:C141)</f>
        <v>158.5</v>
      </c>
      <c r="D143" s="369">
        <f t="shared" si="752"/>
        <v>163.5</v>
      </c>
      <c r="E143" s="369">
        <f t="shared" si="752"/>
        <v>167.5</v>
      </c>
      <c r="F143" s="369">
        <f t="shared" si="752"/>
        <v>170.5</v>
      </c>
      <c r="G143" s="369">
        <f t="shared" si="752"/>
        <v>174.5</v>
      </c>
      <c r="H143" s="369">
        <f t="shared" si="752"/>
        <v>167.5</v>
      </c>
      <c r="I143" s="369">
        <f t="shared" si="752"/>
        <v>163</v>
      </c>
      <c r="J143" s="369">
        <f t="shared" si="752"/>
        <v>170.5</v>
      </c>
      <c r="K143" s="369">
        <f t="shared" si="752"/>
        <v>174</v>
      </c>
      <c r="L143" s="369">
        <f t="shared" si="752"/>
        <v>182.5</v>
      </c>
      <c r="M143" s="369">
        <f t="shared" si="752"/>
        <v>198.5</v>
      </c>
      <c r="N143" s="369">
        <f t="shared" si="752"/>
        <v>210</v>
      </c>
      <c r="O143" s="369">
        <f t="shared" si="752"/>
        <v>218</v>
      </c>
      <c r="P143" s="369">
        <f t="shared" si="752"/>
        <v>230</v>
      </c>
      <c r="Q143" s="369">
        <f t="shared" si="752"/>
        <v>242.5</v>
      </c>
      <c r="R143" s="369">
        <f t="shared" si="752"/>
        <v>251</v>
      </c>
      <c r="S143" s="369">
        <f t="shared" si="752"/>
        <v>258</v>
      </c>
      <c r="T143" s="369">
        <f t="shared" si="752"/>
        <v>269</v>
      </c>
      <c r="U143" s="369">
        <f t="shared" si="752"/>
        <v>281</v>
      </c>
      <c r="V143" s="369">
        <f t="shared" si="752"/>
        <v>290.5</v>
      </c>
      <c r="W143" s="369">
        <f t="shared" si="752"/>
        <v>296</v>
      </c>
      <c r="X143" s="369">
        <f t="shared" si="752"/>
        <v>307.5</v>
      </c>
      <c r="Y143" s="369">
        <f t="shared" si="752"/>
        <v>330</v>
      </c>
      <c r="Z143" s="369">
        <f t="shared" si="752"/>
        <v>346.5</v>
      </c>
      <c r="AA143" s="369">
        <f t="shared" si="752"/>
        <v>357.5</v>
      </c>
      <c r="AB143" s="369">
        <f t="shared" si="752"/>
        <v>373.5</v>
      </c>
      <c r="AC143" s="369">
        <f t="shared" si="752"/>
        <v>388.5</v>
      </c>
      <c r="AD143" s="369">
        <f t="shared" si="752"/>
        <v>419.5</v>
      </c>
      <c r="AE143" s="2131">
        <f t="shared" si="752"/>
        <v>450</v>
      </c>
      <c r="AF143" s="369">
        <f t="shared" si="752"/>
        <v>463</v>
      </c>
      <c r="AG143" s="369">
        <f t="shared" si="752"/>
        <v>475.5</v>
      </c>
      <c r="AH143" s="369">
        <f t="shared" si="752"/>
        <v>487</v>
      </c>
      <c r="AI143" s="369">
        <f t="shared" ref="AI143:BN143" si="753">+AVERAGE(AH141:AI141)</f>
        <v>504</v>
      </c>
      <c r="AJ143" s="369">
        <f t="shared" si="753"/>
        <v>521.5</v>
      </c>
      <c r="AK143" s="369">
        <f t="shared" si="753"/>
        <v>535.5</v>
      </c>
      <c r="AL143" s="369">
        <f t="shared" si="753"/>
        <v>549</v>
      </c>
      <c r="AM143" s="586">
        <f t="shared" si="753"/>
        <v>564</v>
      </c>
      <c r="AN143" s="586">
        <f t="shared" si="753"/>
        <v>590</v>
      </c>
      <c r="AO143" s="586">
        <f t="shared" si="753"/>
        <v>617.5</v>
      </c>
      <c r="AP143" s="586">
        <f t="shared" si="753"/>
        <v>629.5</v>
      </c>
      <c r="AQ143" s="586">
        <f t="shared" si="753"/>
        <v>635</v>
      </c>
      <c r="AR143" s="586">
        <f t="shared" si="753"/>
        <v>635.5</v>
      </c>
      <c r="AS143" s="586">
        <f t="shared" si="753"/>
        <v>636</v>
      </c>
      <c r="AT143" s="586">
        <f t="shared" si="753"/>
        <v>641.5</v>
      </c>
      <c r="AU143" s="586">
        <f t="shared" si="753"/>
        <v>636.5</v>
      </c>
      <c r="AV143" s="586">
        <f t="shared" si="753"/>
        <v>627.5</v>
      </c>
      <c r="AW143" s="586">
        <f t="shared" si="753"/>
        <v>629</v>
      </c>
      <c r="AX143" s="586">
        <f t="shared" si="753"/>
        <v>636</v>
      </c>
      <c r="AY143" s="586">
        <f t="shared" si="753"/>
        <v>643</v>
      </c>
      <c r="AZ143" s="586">
        <f t="shared" si="753"/>
        <v>651.5</v>
      </c>
      <c r="BA143" s="586">
        <f t="shared" si="753"/>
        <v>660</v>
      </c>
      <c r="BB143" s="586">
        <f t="shared" si="753"/>
        <v>670.5</v>
      </c>
      <c r="BC143" s="586">
        <f t="shared" si="753"/>
        <v>684.5</v>
      </c>
      <c r="BD143" s="586">
        <f t="shared" si="753"/>
        <v>694.5</v>
      </c>
      <c r="BE143" s="586">
        <f t="shared" si="753"/>
        <v>710</v>
      </c>
      <c r="BF143" s="586">
        <f t="shared" si="753"/>
        <v>725.5</v>
      </c>
      <c r="BG143" s="586">
        <f t="shared" si="753"/>
        <v>736.5</v>
      </c>
      <c r="BH143" s="586">
        <f t="shared" si="753"/>
        <v>749.5</v>
      </c>
      <c r="BI143" s="586">
        <f t="shared" si="753"/>
        <v>764.5</v>
      </c>
      <c r="BJ143" s="586">
        <f t="shared" si="753"/>
        <v>775.5</v>
      </c>
      <c r="BK143" s="1353">
        <f t="shared" si="753"/>
        <v>778</v>
      </c>
      <c r="BL143" s="587">
        <f t="shared" si="753"/>
        <v>782.5</v>
      </c>
      <c r="BM143" s="587">
        <f t="shared" si="753"/>
        <v>792</v>
      </c>
      <c r="BN143" s="587">
        <f t="shared" si="753"/>
        <v>801.5</v>
      </c>
      <c r="BO143" s="587">
        <f t="shared" ref="BO143:CK143" si="754">+AVERAGE(BN141:BO141)</f>
        <v>806.5</v>
      </c>
      <c r="BP143" s="587">
        <f t="shared" si="754"/>
        <v>811.5</v>
      </c>
      <c r="BQ143" s="587">
        <f t="shared" si="754"/>
        <v>818.5</v>
      </c>
      <c r="BR143" s="587">
        <f t="shared" si="754"/>
        <v>825</v>
      </c>
      <c r="BS143" s="587">
        <f t="shared" si="754"/>
        <v>829</v>
      </c>
      <c r="BT143" s="587">
        <f t="shared" si="754"/>
        <v>833</v>
      </c>
      <c r="BU143" s="587">
        <f t="shared" si="754"/>
        <v>838</v>
      </c>
      <c r="BV143" s="587">
        <f t="shared" si="754"/>
        <v>843</v>
      </c>
      <c r="BW143" s="587">
        <f t="shared" si="754"/>
        <v>847</v>
      </c>
      <c r="BX143" s="587">
        <f t="shared" si="754"/>
        <v>851</v>
      </c>
      <c r="BY143" s="587">
        <f t="shared" si="754"/>
        <v>856.5</v>
      </c>
      <c r="BZ143" s="587">
        <f t="shared" si="754"/>
        <v>861.5</v>
      </c>
      <c r="CA143" s="587">
        <f t="shared" si="754"/>
        <v>864.5</v>
      </c>
      <c r="CB143" s="587">
        <f t="shared" si="754"/>
        <v>867.5</v>
      </c>
      <c r="CC143" s="587">
        <f t="shared" si="754"/>
        <v>872.5</v>
      </c>
      <c r="CD143" s="587">
        <f t="shared" si="754"/>
        <v>877.5</v>
      </c>
      <c r="CE143" s="587">
        <f t="shared" si="754"/>
        <v>880.5</v>
      </c>
      <c r="CF143" s="587">
        <f t="shared" si="754"/>
        <v>883.5</v>
      </c>
      <c r="CG143" s="587">
        <f t="shared" si="754"/>
        <v>888.5</v>
      </c>
      <c r="CH143" s="587">
        <f t="shared" si="754"/>
        <v>893.5</v>
      </c>
      <c r="CI143" s="587">
        <f t="shared" si="754"/>
        <v>896.5</v>
      </c>
      <c r="CJ143" s="587">
        <f t="shared" si="754"/>
        <v>899.5</v>
      </c>
      <c r="CK143" s="587">
        <f t="shared" si="754"/>
        <v>903.5</v>
      </c>
      <c r="CL143" s="587">
        <f t="shared" ref="CL143" si="755">+AVERAGE(CK141:CL141)</f>
        <v>907.5</v>
      </c>
      <c r="CM143" s="587">
        <f t="shared" ref="CM143" si="756">+AVERAGE(CL141:CM141)</f>
        <v>910.5</v>
      </c>
      <c r="CN143" s="587">
        <f t="shared" ref="CN143" si="757">+AVERAGE(CM141:CN141)</f>
        <v>913.5</v>
      </c>
      <c r="CO143" s="587">
        <f t="shared" ref="CO143" si="758">+AVERAGE(CN141:CO141)</f>
        <v>918</v>
      </c>
      <c r="CP143" s="587">
        <f t="shared" ref="CP143" si="759">+AVERAGE(CO141:CP141)</f>
        <v>922.5</v>
      </c>
      <c r="CQ143" s="587">
        <f t="shared" ref="CQ143" si="760">+AVERAGE(CP141:CQ141)</f>
        <v>925.5</v>
      </c>
      <c r="CR143" s="587">
        <f t="shared" ref="CR143" si="761">+AVERAGE(CQ141:CR141)</f>
        <v>928.5</v>
      </c>
      <c r="CS143" s="587">
        <f t="shared" ref="CS143" si="762">+AVERAGE(CR141:CS141)</f>
        <v>933</v>
      </c>
      <c r="CT143" s="587">
        <f t="shared" ref="CT143" si="763">+AVERAGE(CS141:CT141)</f>
        <v>937.5</v>
      </c>
      <c r="CU143" s="587">
        <f t="shared" ref="CU143" si="764">+AVERAGE(CT141:CU141)</f>
        <v>940.5</v>
      </c>
      <c r="CV143" s="587">
        <f t="shared" ref="CV143" si="765">+AVERAGE(CU141:CV141)</f>
        <v>943.5</v>
      </c>
      <c r="CW143" s="587">
        <f t="shared" ref="CW143" si="766">+AVERAGE(CV141:CW141)</f>
        <v>946.5</v>
      </c>
    </row>
    <row r="144" spans="1:101" s="9" customFormat="1" ht="11.25">
      <c r="A144" s="665" t="s">
        <v>950</v>
      </c>
      <c r="B144" s="62"/>
      <c r="C144" s="62"/>
      <c r="D144" s="62"/>
      <c r="E144" s="62"/>
      <c r="F144" s="256"/>
      <c r="G144" s="256">
        <f t="shared" ref="G144:AL144" si="767">G143/C143-1</f>
        <v>0.10094637223974767</v>
      </c>
      <c r="H144" s="256">
        <f t="shared" si="767"/>
        <v>2.4464831804281273E-2</v>
      </c>
      <c r="I144" s="256">
        <f t="shared" si="767"/>
        <v>-2.68656716417911E-2</v>
      </c>
      <c r="J144" s="256">
        <f t="shared" si="767"/>
        <v>0</v>
      </c>
      <c r="K144" s="256">
        <f t="shared" si="767"/>
        <v>-2.8653295128939771E-3</v>
      </c>
      <c r="L144" s="256">
        <f t="shared" si="767"/>
        <v>8.9552238805970186E-2</v>
      </c>
      <c r="M144" s="256">
        <f t="shared" si="767"/>
        <v>0.21779141104294486</v>
      </c>
      <c r="N144" s="256">
        <f t="shared" si="767"/>
        <v>0.23167155425219943</v>
      </c>
      <c r="O144" s="256">
        <f t="shared" si="767"/>
        <v>0.25287356321839072</v>
      </c>
      <c r="P144" s="256">
        <f t="shared" si="767"/>
        <v>0.26027397260273966</v>
      </c>
      <c r="Q144" s="256">
        <f t="shared" si="767"/>
        <v>0.22166246851385396</v>
      </c>
      <c r="R144" s="256">
        <f t="shared" si="767"/>
        <v>0.19523809523809521</v>
      </c>
      <c r="S144" s="256">
        <f t="shared" si="767"/>
        <v>0.1834862385321101</v>
      </c>
      <c r="T144" s="256">
        <f t="shared" si="767"/>
        <v>0.16956521739130426</v>
      </c>
      <c r="U144" s="256">
        <f t="shared" si="767"/>
        <v>0.15876288659793825</v>
      </c>
      <c r="V144" s="256">
        <f t="shared" si="767"/>
        <v>0.15737051792828693</v>
      </c>
      <c r="W144" s="256">
        <f t="shared" si="767"/>
        <v>0.1472868217054264</v>
      </c>
      <c r="X144" s="256">
        <f t="shared" si="767"/>
        <v>0.14312267657992561</v>
      </c>
      <c r="Y144" s="256">
        <f t="shared" si="767"/>
        <v>0.17437722419928825</v>
      </c>
      <c r="Z144" s="256">
        <f t="shared" si="767"/>
        <v>0.19277108433734935</v>
      </c>
      <c r="AA144" s="256">
        <f t="shared" si="767"/>
        <v>0.20777027027027017</v>
      </c>
      <c r="AB144" s="256">
        <f t="shared" si="767"/>
        <v>0.21463414634146338</v>
      </c>
      <c r="AC144" s="256">
        <f t="shared" si="767"/>
        <v>0.17727272727272725</v>
      </c>
      <c r="AD144" s="256">
        <f t="shared" si="767"/>
        <v>0.21067821067821058</v>
      </c>
      <c r="AE144" s="2132">
        <f t="shared" si="767"/>
        <v>0.25874125874125875</v>
      </c>
      <c r="AF144" s="256">
        <f t="shared" si="767"/>
        <v>0.2396251673360108</v>
      </c>
      <c r="AG144" s="256">
        <f t="shared" si="767"/>
        <v>0.22393822393822393</v>
      </c>
      <c r="AH144" s="256">
        <f t="shared" si="767"/>
        <v>0.16090584028605481</v>
      </c>
      <c r="AI144" s="256">
        <f t="shared" si="767"/>
        <v>0.12000000000000011</v>
      </c>
      <c r="AJ144" s="256">
        <f t="shared" si="767"/>
        <v>0.12634989200863922</v>
      </c>
      <c r="AK144" s="256">
        <f t="shared" si="767"/>
        <v>0.12618296529968465</v>
      </c>
      <c r="AL144" s="256">
        <f t="shared" si="767"/>
        <v>0.12731006160164271</v>
      </c>
      <c r="AM144" s="257">
        <f t="shared" ref="AM144:BR144" si="768">AM143/AI143-1</f>
        <v>0.11904761904761907</v>
      </c>
      <c r="AN144" s="257">
        <f t="shared" si="768"/>
        <v>0.13135186960690315</v>
      </c>
      <c r="AO144" s="257">
        <f t="shared" si="768"/>
        <v>0.15312791783380009</v>
      </c>
      <c r="AP144" s="257">
        <f t="shared" si="768"/>
        <v>0.1466302367941712</v>
      </c>
      <c r="AQ144" s="257">
        <f t="shared" si="768"/>
        <v>0.12588652482269502</v>
      </c>
      <c r="AR144" s="257">
        <f t="shared" si="768"/>
        <v>7.7118644067796671E-2</v>
      </c>
      <c r="AS144" s="257">
        <f t="shared" si="768"/>
        <v>2.9959514170040391E-2</v>
      </c>
      <c r="AT144" s="257">
        <f t="shared" si="768"/>
        <v>1.9062748212867353E-2</v>
      </c>
      <c r="AU144" s="257">
        <f t="shared" si="768"/>
        <v>2.3622047244094002E-3</v>
      </c>
      <c r="AV144" s="257">
        <f t="shared" si="768"/>
        <v>-1.2588512981903999E-2</v>
      </c>
      <c r="AW144" s="257">
        <f t="shared" si="768"/>
        <v>-1.1006289308176154E-2</v>
      </c>
      <c r="AX144" s="257">
        <f t="shared" si="768"/>
        <v>-8.5736554949337185E-3</v>
      </c>
      <c r="AY144" s="257">
        <f t="shared" si="768"/>
        <v>1.021209740769824E-2</v>
      </c>
      <c r="AZ144" s="257">
        <f t="shared" si="768"/>
        <v>3.8247011952191157E-2</v>
      </c>
      <c r="BA144" s="257">
        <f t="shared" si="768"/>
        <v>4.9284578696343395E-2</v>
      </c>
      <c r="BB144" s="257">
        <f t="shared" si="768"/>
        <v>5.4245283018867996E-2</v>
      </c>
      <c r="BC144" s="257">
        <f t="shared" si="768"/>
        <v>6.4541213063763703E-2</v>
      </c>
      <c r="BD144" s="257">
        <f t="shared" si="768"/>
        <v>6.6001534919416738E-2</v>
      </c>
      <c r="BE144" s="257">
        <f t="shared" si="768"/>
        <v>7.575757575757569E-2</v>
      </c>
      <c r="BF144" s="257">
        <f t="shared" si="768"/>
        <v>8.2028337061894163E-2</v>
      </c>
      <c r="BG144" s="257">
        <f t="shared" si="768"/>
        <v>7.5967859751643552E-2</v>
      </c>
      <c r="BH144" s="257">
        <f t="shared" si="768"/>
        <v>7.9193664506839401E-2</v>
      </c>
      <c r="BI144" s="257">
        <f t="shared" si="768"/>
        <v>7.6760563380281699E-2</v>
      </c>
      <c r="BJ144" s="257">
        <f t="shared" si="768"/>
        <v>6.8917987594762309E-2</v>
      </c>
      <c r="BK144" s="1357">
        <f t="shared" si="768"/>
        <v>5.6347589952477906E-2</v>
      </c>
      <c r="BL144" s="461">
        <f t="shared" si="768"/>
        <v>4.402935290193466E-2</v>
      </c>
      <c r="BM144" s="461">
        <f t="shared" si="768"/>
        <v>3.5971223021582732E-2</v>
      </c>
      <c r="BN144" s="461">
        <f t="shared" si="768"/>
        <v>3.3526756931012258E-2</v>
      </c>
      <c r="BO144" s="461">
        <f t="shared" si="768"/>
        <v>3.6632390745501286E-2</v>
      </c>
      <c r="BP144" s="461">
        <f t="shared" si="768"/>
        <v>3.706070287539931E-2</v>
      </c>
      <c r="BQ144" s="461">
        <f t="shared" si="768"/>
        <v>3.3459595959596022E-2</v>
      </c>
      <c r="BR144" s="461">
        <f t="shared" si="768"/>
        <v>2.932002495321262E-2</v>
      </c>
      <c r="BS144" s="461">
        <f t="shared" ref="BS144:CK144" si="769">BS143/BO143-1</f>
        <v>2.7898326100433968E-2</v>
      </c>
      <c r="BT144" s="461">
        <f t="shared" si="769"/>
        <v>2.6494146642020988E-2</v>
      </c>
      <c r="BU144" s="461">
        <f t="shared" si="769"/>
        <v>2.3824068417837463E-2</v>
      </c>
      <c r="BV144" s="461">
        <f t="shared" si="769"/>
        <v>2.1818181818181737E-2</v>
      </c>
      <c r="BW144" s="461">
        <f t="shared" si="769"/>
        <v>2.1712907117008351E-2</v>
      </c>
      <c r="BX144" s="461">
        <f t="shared" si="769"/>
        <v>2.1608643457383003E-2</v>
      </c>
      <c r="BY144" s="461">
        <f t="shared" si="769"/>
        <v>2.2076372315035897E-2</v>
      </c>
      <c r="BZ144" s="461">
        <f t="shared" si="769"/>
        <v>2.1945432977461543E-2</v>
      </c>
      <c r="CA144" s="461">
        <f t="shared" si="769"/>
        <v>2.0661157024793431E-2</v>
      </c>
      <c r="CB144" s="461">
        <f t="shared" si="769"/>
        <v>1.9388954171562833E-2</v>
      </c>
      <c r="CC144" s="461">
        <f t="shared" si="769"/>
        <v>1.8680677174547577E-2</v>
      </c>
      <c r="CD144" s="461">
        <f t="shared" si="769"/>
        <v>1.8572257690075533E-2</v>
      </c>
      <c r="CE144" s="461">
        <f t="shared" si="769"/>
        <v>1.8507807981492208E-2</v>
      </c>
      <c r="CF144" s="461">
        <f t="shared" si="769"/>
        <v>1.8443804034582234E-2</v>
      </c>
      <c r="CG144" s="461">
        <f t="shared" si="769"/>
        <v>1.8338108882521409E-2</v>
      </c>
      <c r="CH144" s="461">
        <f t="shared" si="769"/>
        <v>1.8233618233618243E-2</v>
      </c>
      <c r="CI144" s="461">
        <f t="shared" si="769"/>
        <v>1.8171493469619548E-2</v>
      </c>
      <c r="CJ144" s="461">
        <f t="shared" si="769"/>
        <v>1.8109790605546072E-2</v>
      </c>
      <c r="CK144" s="461">
        <f t="shared" si="769"/>
        <v>1.6882386043894249E-2</v>
      </c>
      <c r="CL144" s="461">
        <f t="shared" ref="CL144" si="770">CL143/CH143-1</f>
        <v>1.5668718522663605E-2</v>
      </c>
      <c r="CM144" s="461">
        <f t="shared" ref="CM144" si="771">CM143/CI143-1</f>
        <v>1.5616285554935772E-2</v>
      </c>
      <c r="CN144" s="461">
        <f t="shared" ref="CN144" si="772">CN143/CJ143-1</f>
        <v>1.5564202334630295E-2</v>
      </c>
      <c r="CO144" s="461">
        <f t="shared" ref="CO144" si="773">CO143/CK143-1</f>
        <v>1.6048699501936881E-2</v>
      </c>
      <c r="CP144" s="461">
        <f t="shared" ref="CP144" si="774">CP143/CL143-1</f>
        <v>1.6528925619834656E-2</v>
      </c>
      <c r="CQ144" s="461">
        <f t="shared" ref="CQ144" si="775">CQ143/CM143-1</f>
        <v>1.6474464579901094E-2</v>
      </c>
      <c r="CR144" s="461">
        <f t="shared" ref="CR144" si="776">CR143/CN143-1</f>
        <v>1.6420361247947435E-2</v>
      </c>
      <c r="CS144" s="461">
        <f t="shared" ref="CS144" si="777">CS143/CO143-1</f>
        <v>1.6339869281045694E-2</v>
      </c>
      <c r="CT144" s="461">
        <f t="shared" ref="CT144" si="778">CT143/CP143-1</f>
        <v>1.6260162601626105E-2</v>
      </c>
      <c r="CU144" s="461">
        <f t="shared" ref="CU144" si="779">CU143/CQ143-1</f>
        <v>1.620745542949753E-2</v>
      </c>
      <c r="CV144" s="461">
        <f t="shared" ref="CV144" si="780">CV143/CR143-1</f>
        <v>1.6155088852988664E-2</v>
      </c>
      <c r="CW144" s="461">
        <f t="shared" ref="CW144" si="781">CW143/CS143-1</f>
        <v>1.4469453376205754E-2</v>
      </c>
    </row>
    <row r="145" spans="1:101" s="9" customFormat="1" ht="11.25">
      <c r="A145" s="655"/>
      <c r="B145" s="423"/>
      <c r="C145" s="423"/>
      <c r="D145" s="423"/>
      <c r="E145" s="423"/>
      <c r="F145" s="423"/>
      <c r="G145" s="423"/>
      <c r="H145" s="423"/>
      <c r="I145" s="423"/>
      <c r="J145" s="423"/>
      <c r="K145" s="423"/>
      <c r="L145" s="423"/>
      <c r="M145" s="423"/>
      <c r="N145" s="423"/>
      <c r="O145" s="423"/>
      <c r="P145" s="423"/>
      <c r="Q145" s="423"/>
      <c r="R145" s="423"/>
      <c r="S145" s="423"/>
      <c r="T145" s="423"/>
      <c r="U145" s="423"/>
      <c r="V145" s="423"/>
      <c r="W145" s="423"/>
      <c r="X145" s="423"/>
      <c r="Y145" s="423"/>
      <c r="Z145" s="423"/>
      <c r="AA145" s="423"/>
      <c r="AB145" s="423"/>
      <c r="AC145" s="423"/>
      <c r="AD145" s="423"/>
      <c r="AE145" s="2130"/>
      <c r="AF145" s="423"/>
      <c r="AG145" s="423"/>
      <c r="AH145" s="423"/>
      <c r="AI145" s="423"/>
      <c r="AJ145" s="423"/>
      <c r="AK145" s="423"/>
      <c r="AL145" s="423"/>
      <c r="AM145" s="962"/>
      <c r="AN145" s="962"/>
      <c r="AO145" s="962"/>
      <c r="AP145" s="962"/>
      <c r="AQ145" s="962"/>
      <c r="AR145" s="962"/>
      <c r="AS145" s="962"/>
      <c r="AT145" s="962"/>
      <c r="AU145" s="962"/>
      <c r="AV145" s="962"/>
      <c r="AW145" s="962"/>
      <c r="AX145" s="962"/>
      <c r="AY145" s="962"/>
      <c r="AZ145" s="962"/>
      <c r="BA145" s="962"/>
      <c r="BB145" s="962"/>
      <c r="BC145" s="962"/>
      <c r="BD145" s="962"/>
      <c r="BE145" s="962"/>
      <c r="BF145" s="962"/>
      <c r="BG145" s="962"/>
      <c r="BH145" s="962"/>
      <c r="BI145" s="962"/>
      <c r="BJ145" s="962"/>
      <c r="BK145" s="1352"/>
      <c r="BL145" s="656"/>
      <c r="BM145" s="656"/>
      <c r="BN145" s="656"/>
      <c r="BO145" s="656"/>
      <c r="BP145" s="656"/>
      <c r="BQ145" s="656"/>
      <c r="BR145" s="656"/>
      <c r="BS145" s="656"/>
      <c r="BT145" s="656"/>
      <c r="BU145" s="656"/>
      <c r="BV145" s="656"/>
      <c r="BW145" s="656"/>
      <c r="BX145" s="656"/>
      <c r="BY145" s="656"/>
      <c r="BZ145" s="656"/>
      <c r="CA145" s="656"/>
      <c r="CB145" s="656"/>
      <c r="CC145" s="656"/>
      <c r="CD145" s="656"/>
      <c r="CE145" s="656"/>
      <c r="CF145" s="656"/>
      <c r="CG145" s="656"/>
      <c r="CH145" s="656"/>
      <c r="CI145" s="656"/>
      <c r="CJ145" s="656"/>
      <c r="CK145" s="656"/>
      <c r="CL145" s="656"/>
      <c r="CM145" s="656"/>
      <c r="CN145" s="656"/>
      <c r="CO145" s="656"/>
      <c r="CP145" s="656"/>
      <c r="CQ145" s="656"/>
      <c r="CR145" s="656"/>
      <c r="CS145" s="656"/>
      <c r="CT145" s="656"/>
      <c r="CU145" s="656"/>
      <c r="CV145" s="656"/>
      <c r="CW145" s="656"/>
    </row>
    <row r="146" spans="1:101" s="9" customFormat="1" ht="11.25">
      <c r="A146" s="655" t="s">
        <v>938</v>
      </c>
      <c r="B146" s="251">
        <f>IS!C111</f>
        <v>105</v>
      </c>
      <c r="C146" s="251">
        <f>IS!D111</f>
        <v>110</v>
      </c>
      <c r="D146" s="251">
        <f>IS!E111</f>
        <v>112</v>
      </c>
      <c r="E146" s="251">
        <f>IS!F111</f>
        <v>116</v>
      </c>
      <c r="F146" s="251">
        <f>IS!G111</f>
        <v>117</v>
      </c>
      <c r="G146" s="251">
        <f>IS!H111</f>
        <v>125</v>
      </c>
      <c r="H146" s="251">
        <f>IS!I111</f>
        <v>127</v>
      </c>
      <c r="I146" s="251">
        <f>IS!J111</f>
        <v>138</v>
      </c>
      <c r="J146" s="251">
        <f>IS!K111</f>
        <v>141</v>
      </c>
      <c r="K146" s="251">
        <f>IS!L111</f>
        <v>145</v>
      </c>
      <c r="L146" s="251">
        <f>IS!M111</f>
        <v>154</v>
      </c>
      <c r="M146" s="251">
        <f>IS!N111</f>
        <v>172</v>
      </c>
      <c r="N146" s="251">
        <f>IS!O111</f>
        <v>175</v>
      </c>
      <c r="O146" s="251">
        <f>IS!P111</f>
        <v>184</v>
      </c>
      <c r="P146" s="251">
        <f>IS!Q111</f>
        <v>194</v>
      </c>
      <c r="Q146" s="251">
        <f>IS!R111</f>
        <v>208</v>
      </c>
      <c r="R146" s="251">
        <f>IS!S111</f>
        <v>210</v>
      </c>
      <c r="S146" s="251">
        <f>IS!T111</f>
        <v>218</v>
      </c>
      <c r="T146" s="251">
        <f>IS!U111</f>
        <v>273</v>
      </c>
      <c r="U146" s="251">
        <f>IS!V111</f>
        <v>283</v>
      </c>
      <c r="V146" s="251">
        <f>IS!W111</f>
        <v>289</v>
      </c>
      <c r="W146" s="251">
        <f>IS!X111</f>
        <v>291</v>
      </c>
      <c r="X146" s="251">
        <f>IS!Y111</f>
        <v>308</v>
      </c>
      <c r="Y146" s="251">
        <f>IS!Z111</f>
        <v>327</v>
      </c>
      <c r="Z146" s="251">
        <f>IS!AA111</f>
        <v>334</v>
      </c>
      <c r="AA146" s="251">
        <f>IS!AB111</f>
        <v>349</v>
      </c>
      <c r="AB146" s="251">
        <f>IS!AC111</f>
        <v>362</v>
      </c>
      <c r="AC146" s="251">
        <f>IS!AD111</f>
        <v>376</v>
      </c>
      <c r="AD146" s="251">
        <f>IS!AE111</f>
        <v>424</v>
      </c>
      <c r="AE146" s="2133">
        <f>IS!AF111</f>
        <v>437</v>
      </c>
      <c r="AF146" s="251">
        <f>IS!AG111</f>
        <v>450</v>
      </c>
      <c r="AG146" s="251">
        <f>IS!AH111</f>
        <v>460</v>
      </c>
      <c r="AH146" s="251">
        <f>IS!AI111</f>
        <v>472</v>
      </c>
      <c r="AI146" s="251">
        <f>IS!AJ111</f>
        <v>495</v>
      </c>
      <c r="AJ146" s="251">
        <f>IS!AK111</f>
        <v>508</v>
      </c>
      <c r="AK146" s="251">
        <f>IS!AL111</f>
        <v>522</v>
      </c>
      <c r="AL146" s="251">
        <f>IS!AM111</f>
        <v>534</v>
      </c>
      <c r="AM146" s="963">
        <f>IS!AN111</f>
        <v>554</v>
      </c>
      <c r="AN146" s="963">
        <f>IS!AO111</f>
        <v>589</v>
      </c>
      <c r="AO146" s="963">
        <f>IS!AP111</f>
        <v>610</v>
      </c>
      <c r="AP146" s="963">
        <f>IS!AQ111</f>
        <v>610</v>
      </c>
      <c r="AQ146" s="963">
        <f>IS!AR111</f>
        <v>617</v>
      </c>
      <c r="AR146" s="963">
        <f>IS!AS111</f>
        <v>610</v>
      </c>
      <c r="AS146" s="963">
        <f>IS!AT111</f>
        <v>615</v>
      </c>
      <c r="AT146" s="963">
        <f>IS!AU111</f>
        <v>618</v>
      </c>
      <c r="AU146" s="963">
        <f>IS!AV111</f>
        <v>605</v>
      </c>
      <c r="AV146" s="963">
        <f>IS!AW111</f>
        <v>600</v>
      </c>
      <c r="AW146" s="963">
        <f>IS!AX111</f>
        <v>601</v>
      </c>
      <c r="AX146" s="963">
        <f>IS!AY111</f>
        <v>605</v>
      </c>
      <c r="AY146" s="963">
        <f>IS!AZ111</f>
        <v>610</v>
      </c>
      <c r="AZ146" s="963">
        <f>IS!BA111</f>
        <v>618</v>
      </c>
      <c r="BA146" s="963">
        <f>IS!BB111</f>
        <v>622</v>
      </c>
      <c r="BB146" s="963">
        <f>IS!BC111</f>
        <v>633</v>
      </c>
      <c r="BC146" s="963">
        <f>IS!BD111</f>
        <v>645</v>
      </c>
      <c r="BD146" s="963">
        <f>IS!BE111</f>
        <v>650</v>
      </c>
      <c r="BE146" s="963">
        <f>IS!BF111</f>
        <v>675</v>
      </c>
      <c r="BF146" s="963">
        <f>IS!BG111</f>
        <v>680</v>
      </c>
      <c r="BG146" s="963">
        <f>IS!BH111</f>
        <v>697</v>
      </c>
      <c r="BH146" s="963">
        <f>IS!BI111</f>
        <v>704</v>
      </c>
      <c r="BI146" s="963">
        <f>IS!BJ111</f>
        <v>725</v>
      </c>
      <c r="BJ146" s="963">
        <f>IS!BK111</f>
        <v>726</v>
      </c>
      <c r="BK146" s="1355">
        <f>IS!BL111</f>
        <v>731</v>
      </c>
      <c r="BL146" s="587">
        <f t="shared" ref="BL146:BQ146" si="782">+BK146+BL147</f>
        <v>736</v>
      </c>
      <c r="BM146" s="587">
        <f t="shared" si="782"/>
        <v>750</v>
      </c>
      <c r="BN146" s="587">
        <f t="shared" si="782"/>
        <v>753</v>
      </c>
      <c r="BO146" s="587">
        <f t="shared" si="782"/>
        <v>756</v>
      </c>
      <c r="BP146" s="587">
        <f t="shared" si="782"/>
        <v>759</v>
      </c>
      <c r="BQ146" s="587">
        <f t="shared" si="782"/>
        <v>765</v>
      </c>
      <c r="BR146" s="587">
        <f t="shared" ref="BR146:CK146" si="783">+BQ146+BR147</f>
        <v>767</v>
      </c>
      <c r="BS146" s="587">
        <f t="shared" si="783"/>
        <v>769</v>
      </c>
      <c r="BT146" s="587">
        <f t="shared" si="783"/>
        <v>771</v>
      </c>
      <c r="BU146" s="587">
        <f>+BT146+BU147</f>
        <v>775</v>
      </c>
      <c r="BV146" s="587">
        <f t="shared" si="783"/>
        <v>777</v>
      </c>
      <c r="BW146" s="587">
        <f t="shared" si="783"/>
        <v>779</v>
      </c>
      <c r="BX146" s="587">
        <f t="shared" si="783"/>
        <v>781</v>
      </c>
      <c r="BY146" s="587">
        <f t="shared" si="783"/>
        <v>786</v>
      </c>
      <c r="BZ146" s="587">
        <f t="shared" si="783"/>
        <v>788</v>
      </c>
      <c r="CA146" s="587">
        <f t="shared" si="783"/>
        <v>790</v>
      </c>
      <c r="CB146" s="587">
        <f t="shared" si="783"/>
        <v>792</v>
      </c>
      <c r="CC146" s="587">
        <f t="shared" si="783"/>
        <v>797</v>
      </c>
      <c r="CD146" s="587">
        <f t="shared" si="783"/>
        <v>799</v>
      </c>
      <c r="CE146" s="587">
        <f t="shared" si="783"/>
        <v>801</v>
      </c>
      <c r="CF146" s="587">
        <f t="shared" si="783"/>
        <v>803</v>
      </c>
      <c r="CG146" s="587">
        <f t="shared" si="783"/>
        <v>808</v>
      </c>
      <c r="CH146" s="587">
        <f t="shared" si="783"/>
        <v>810</v>
      </c>
      <c r="CI146" s="587">
        <f t="shared" si="783"/>
        <v>812</v>
      </c>
      <c r="CJ146" s="587">
        <f t="shared" si="783"/>
        <v>814</v>
      </c>
      <c r="CK146" s="587">
        <f t="shared" si="783"/>
        <v>818</v>
      </c>
      <c r="CL146" s="587">
        <f t="shared" ref="CL146" si="784">+CK146+CL147</f>
        <v>820</v>
      </c>
      <c r="CM146" s="587">
        <f t="shared" ref="CM146" si="785">+CL146+CM147</f>
        <v>822</v>
      </c>
      <c r="CN146" s="587">
        <f t="shared" ref="CN146" si="786">+CM146+CN147</f>
        <v>824</v>
      </c>
      <c r="CO146" s="587">
        <f t="shared" ref="CO146" si="787">+CN146+CO147</f>
        <v>828</v>
      </c>
      <c r="CP146" s="587">
        <f t="shared" ref="CP146" si="788">+CO146+CP147</f>
        <v>830</v>
      </c>
      <c r="CQ146" s="587">
        <f t="shared" ref="CQ146" si="789">+CP146+CQ147</f>
        <v>832</v>
      </c>
      <c r="CR146" s="587">
        <f t="shared" ref="CR146" si="790">+CQ146+CR147</f>
        <v>834</v>
      </c>
      <c r="CS146" s="587">
        <f t="shared" ref="CS146" si="791">+CR146+CS147</f>
        <v>838</v>
      </c>
      <c r="CT146" s="587">
        <f t="shared" ref="CT146" si="792">+CS146+CT147</f>
        <v>840</v>
      </c>
      <c r="CU146" s="587">
        <f t="shared" ref="CU146" si="793">+CT146+CU147</f>
        <v>842</v>
      </c>
      <c r="CV146" s="587">
        <f t="shared" ref="CV146" si="794">+CU146+CV147</f>
        <v>844</v>
      </c>
      <c r="CW146" s="587">
        <f t="shared" ref="CW146" si="795">+CV146+CW147</f>
        <v>846</v>
      </c>
    </row>
    <row r="147" spans="1:101" s="9" customFormat="1" ht="11.25">
      <c r="A147" s="869" t="s">
        <v>940</v>
      </c>
      <c r="B147" s="62"/>
      <c r="C147" s="369">
        <f t="shared" ref="C147:AZ147" si="796">+C146-B146</f>
        <v>5</v>
      </c>
      <c r="D147" s="369">
        <f t="shared" si="796"/>
        <v>2</v>
      </c>
      <c r="E147" s="369">
        <f t="shared" si="796"/>
        <v>4</v>
      </c>
      <c r="F147" s="369">
        <f t="shared" si="796"/>
        <v>1</v>
      </c>
      <c r="G147" s="369">
        <f t="shared" si="796"/>
        <v>8</v>
      </c>
      <c r="H147" s="369">
        <f t="shared" si="796"/>
        <v>2</v>
      </c>
      <c r="I147" s="369">
        <f t="shared" si="796"/>
        <v>11</v>
      </c>
      <c r="J147" s="369">
        <f t="shared" si="796"/>
        <v>3</v>
      </c>
      <c r="K147" s="369">
        <f t="shared" si="796"/>
        <v>4</v>
      </c>
      <c r="L147" s="369">
        <f t="shared" si="796"/>
        <v>9</v>
      </c>
      <c r="M147" s="369">
        <f t="shared" si="796"/>
        <v>18</v>
      </c>
      <c r="N147" s="369">
        <f t="shared" si="796"/>
        <v>3</v>
      </c>
      <c r="O147" s="369">
        <f t="shared" si="796"/>
        <v>9</v>
      </c>
      <c r="P147" s="369">
        <f t="shared" si="796"/>
        <v>10</v>
      </c>
      <c r="Q147" s="369">
        <f t="shared" si="796"/>
        <v>14</v>
      </c>
      <c r="R147" s="369">
        <f t="shared" si="796"/>
        <v>2</v>
      </c>
      <c r="S147" s="369">
        <f t="shared" si="796"/>
        <v>8</v>
      </c>
      <c r="T147" s="369">
        <f t="shared" si="796"/>
        <v>55</v>
      </c>
      <c r="U147" s="369">
        <f t="shared" si="796"/>
        <v>10</v>
      </c>
      <c r="V147" s="369">
        <f t="shared" si="796"/>
        <v>6</v>
      </c>
      <c r="W147" s="369">
        <f t="shared" si="796"/>
        <v>2</v>
      </c>
      <c r="X147" s="369">
        <f t="shared" si="796"/>
        <v>17</v>
      </c>
      <c r="Y147" s="369">
        <f t="shared" si="796"/>
        <v>19</v>
      </c>
      <c r="Z147" s="369">
        <f t="shared" si="796"/>
        <v>7</v>
      </c>
      <c r="AA147" s="369">
        <f t="shared" si="796"/>
        <v>15</v>
      </c>
      <c r="AB147" s="369">
        <f t="shared" si="796"/>
        <v>13</v>
      </c>
      <c r="AC147" s="369">
        <f t="shared" si="796"/>
        <v>14</v>
      </c>
      <c r="AD147" s="369">
        <f t="shared" si="796"/>
        <v>48</v>
      </c>
      <c r="AE147" s="2131">
        <f t="shared" si="796"/>
        <v>13</v>
      </c>
      <c r="AF147" s="369">
        <f t="shared" si="796"/>
        <v>13</v>
      </c>
      <c r="AG147" s="369">
        <f t="shared" si="796"/>
        <v>10</v>
      </c>
      <c r="AH147" s="369">
        <f t="shared" si="796"/>
        <v>12</v>
      </c>
      <c r="AI147" s="369">
        <f t="shared" si="796"/>
        <v>23</v>
      </c>
      <c r="AJ147" s="369">
        <f t="shared" si="796"/>
        <v>13</v>
      </c>
      <c r="AK147" s="369">
        <f t="shared" si="796"/>
        <v>14</v>
      </c>
      <c r="AL147" s="369">
        <f t="shared" si="796"/>
        <v>12</v>
      </c>
      <c r="AM147" s="586">
        <f t="shared" si="796"/>
        <v>20</v>
      </c>
      <c r="AN147" s="586">
        <f t="shared" si="796"/>
        <v>35</v>
      </c>
      <c r="AO147" s="586">
        <f t="shared" si="796"/>
        <v>21</v>
      </c>
      <c r="AP147" s="586">
        <f t="shared" si="796"/>
        <v>0</v>
      </c>
      <c r="AQ147" s="586">
        <f t="shared" si="796"/>
        <v>7</v>
      </c>
      <c r="AR147" s="586">
        <f t="shared" si="796"/>
        <v>-7</v>
      </c>
      <c r="AS147" s="586">
        <f t="shared" si="796"/>
        <v>5</v>
      </c>
      <c r="AT147" s="586">
        <f t="shared" si="796"/>
        <v>3</v>
      </c>
      <c r="AU147" s="586">
        <f t="shared" si="796"/>
        <v>-13</v>
      </c>
      <c r="AV147" s="586">
        <f t="shared" si="796"/>
        <v>-5</v>
      </c>
      <c r="AW147" s="586">
        <f t="shared" si="796"/>
        <v>1</v>
      </c>
      <c r="AX147" s="586">
        <f t="shared" si="796"/>
        <v>4</v>
      </c>
      <c r="AY147" s="586">
        <f t="shared" si="796"/>
        <v>5</v>
      </c>
      <c r="AZ147" s="586">
        <f t="shared" si="796"/>
        <v>8</v>
      </c>
      <c r="BA147" s="586">
        <f t="shared" ref="BA147:BK147" si="797">+BA146-AZ146</f>
        <v>4</v>
      </c>
      <c r="BB147" s="586">
        <f t="shared" si="797"/>
        <v>11</v>
      </c>
      <c r="BC147" s="586">
        <f t="shared" si="797"/>
        <v>12</v>
      </c>
      <c r="BD147" s="586">
        <f t="shared" si="797"/>
        <v>5</v>
      </c>
      <c r="BE147" s="586">
        <f t="shared" si="797"/>
        <v>25</v>
      </c>
      <c r="BF147" s="586">
        <f t="shared" si="797"/>
        <v>5</v>
      </c>
      <c r="BG147" s="586">
        <f t="shared" si="797"/>
        <v>17</v>
      </c>
      <c r="BH147" s="586">
        <f t="shared" si="797"/>
        <v>7</v>
      </c>
      <c r="BI147" s="586">
        <f t="shared" si="797"/>
        <v>21</v>
      </c>
      <c r="BJ147" s="586">
        <f t="shared" si="797"/>
        <v>1</v>
      </c>
      <c r="BK147" s="1353">
        <f t="shared" si="797"/>
        <v>5</v>
      </c>
      <c r="BL147" s="335">
        <f>Inputs!BL131</f>
        <v>5</v>
      </c>
      <c r="BM147" s="335">
        <f>Inputs!BM131</f>
        <v>14</v>
      </c>
      <c r="BN147" s="335">
        <f>Inputs!BN131</f>
        <v>3</v>
      </c>
      <c r="BO147" s="335">
        <f>Inputs!BO131</f>
        <v>3</v>
      </c>
      <c r="BP147" s="335">
        <f>Inputs!BP131</f>
        <v>3</v>
      </c>
      <c r="BQ147" s="335">
        <f>Inputs!BQ131</f>
        <v>6</v>
      </c>
      <c r="BR147" s="335">
        <f>Inputs!BR131</f>
        <v>2</v>
      </c>
      <c r="BS147" s="335">
        <f>Inputs!BS131</f>
        <v>2</v>
      </c>
      <c r="BT147" s="335">
        <f>Inputs!BT131</f>
        <v>2</v>
      </c>
      <c r="BU147" s="335">
        <f>Inputs!BU131</f>
        <v>4</v>
      </c>
      <c r="BV147" s="335">
        <f>Inputs!BV131</f>
        <v>2</v>
      </c>
      <c r="BW147" s="335">
        <f>Inputs!BW131</f>
        <v>2</v>
      </c>
      <c r="BX147" s="335">
        <f>Inputs!BX131</f>
        <v>2</v>
      </c>
      <c r="BY147" s="335">
        <f>Inputs!BY131</f>
        <v>5</v>
      </c>
      <c r="BZ147" s="335">
        <f>Inputs!BZ131</f>
        <v>2</v>
      </c>
      <c r="CA147" s="335">
        <f>Inputs!CA131</f>
        <v>2</v>
      </c>
      <c r="CB147" s="335">
        <f>Inputs!CB131</f>
        <v>2</v>
      </c>
      <c r="CC147" s="335">
        <f>Inputs!CC131</f>
        <v>5</v>
      </c>
      <c r="CD147" s="335">
        <f>Inputs!CD131</f>
        <v>2</v>
      </c>
      <c r="CE147" s="335">
        <f>Inputs!CE131</f>
        <v>2</v>
      </c>
      <c r="CF147" s="335">
        <f>Inputs!CF131</f>
        <v>2</v>
      </c>
      <c r="CG147" s="335">
        <f>Inputs!CG131</f>
        <v>5</v>
      </c>
      <c r="CH147" s="335">
        <f>Inputs!CH131</f>
        <v>2</v>
      </c>
      <c r="CI147" s="335">
        <f>Inputs!CI131</f>
        <v>2</v>
      </c>
      <c r="CJ147" s="335">
        <f>Inputs!CJ131</f>
        <v>2</v>
      </c>
      <c r="CK147" s="335">
        <f>Inputs!CK131</f>
        <v>4</v>
      </c>
      <c r="CL147" s="335">
        <f>Inputs!CL131</f>
        <v>2</v>
      </c>
      <c r="CM147" s="335">
        <f>Inputs!CM131</f>
        <v>2</v>
      </c>
      <c r="CN147" s="335">
        <f>Inputs!CN131</f>
        <v>2</v>
      </c>
      <c r="CO147" s="335">
        <f>Inputs!CO131</f>
        <v>4</v>
      </c>
      <c r="CP147" s="335">
        <f>Inputs!CP131</f>
        <v>2</v>
      </c>
      <c r="CQ147" s="335">
        <f>Inputs!CQ131</f>
        <v>2</v>
      </c>
      <c r="CR147" s="335">
        <f>Inputs!CR131</f>
        <v>2</v>
      </c>
      <c r="CS147" s="335">
        <f>Inputs!CS131</f>
        <v>4</v>
      </c>
      <c r="CT147" s="335">
        <f>Inputs!CT131</f>
        <v>2</v>
      </c>
      <c r="CU147" s="335">
        <f>Inputs!CU131</f>
        <v>2</v>
      </c>
      <c r="CV147" s="335">
        <f>Inputs!CV131</f>
        <v>2</v>
      </c>
      <c r="CW147" s="335">
        <f>Inputs!CW131</f>
        <v>2</v>
      </c>
    </row>
    <row r="148" spans="1:101" s="9" customFormat="1" ht="11.25">
      <c r="A148" s="869" t="s">
        <v>945</v>
      </c>
      <c r="B148" s="62"/>
      <c r="C148" s="369">
        <f t="shared" ref="C148:AH148" si="798">+AVERAGE(B146:C146)</f>
        <v>107.5</v>
      </c>
      <c r="D148" s="369">
        <f t="shared" si="798"/>
        <v>111</v>
      </c>
      <c r="E148" s="369">
        <f t="shared" si="798"/>
        <v>114</v>
      </c>
      <c r="F148" s="369">
        <f t="shared" si="798"/>
        <v>116.5</v>
      </c>
      <c r="G148" s="369">
        <f t="shared" si="798"/>
        <v>121</v>
      </c>
      <c r="H148" s="369">
        <f t="shared" si="798"/>
        <v>126</v>
      </c>
      <c r="I148" s="369">
        <f t="shared" si="798"/>
        <v>132.5</v>
      </c>
      <c r="J148" s="369">
        <f t="shared" si="798"/>
        <v>139.5</v>
      </c>
      <c r="K148" s="369">
        <f t="shared" si="798"/>
        <v>143</v>
      </c>
      <c r="L148" s="369">
        <f t="shared" si="798"/>
        <v>149.5</v>
      </c>
      <c r="M148" s="369">
        <f t="shared" si="798"/>
        <v>163</v>
      </c>
      <c r="N148" s="369">
        <f t="shared" si="798"/>
        <v>173.5</v>
      </c>
      <c r="O148" s="369">
        <f t="shared" si="798"/>
        <v>179.5</v>
      </c>
      <c r="P148" s="369">
        <f t="shared" si="798"/>
        <v>189</v>
      </c>
      <c r="Q148" s="369">
        <f t="shared" si="798"/>
        <v>201</v>
      </c>
      <c r="R148" s="369">
        <f t="shared" si="798"/>
        <v>209</v>
      </c>
      <c r="S148" s="369">
        <f t="shared" si="798"/>
        <v>214</v>
      </c>
      <c r="T148" s="369">
        <f t="shared" si="798"/>
        <v>245.5</v>
      </c>
      <c r="U148" s="369">
        <f t="shared" si="798"/>
        <v>278</v>
      </c>
      <c r="V148" s="369">
        <f t="shared" si="798"/>
        <v>286</v>
      </c>
      <c r="W148" s="369">
        <f t="shared" si="798"/>
        <v>290</v>
      </c>
      <c r="X148" s="369">
        <f t="shared" si="798"/>
        <v>299.5</v>
      </c>
      <c r="Y148" s="369">
        <f t="shared" si="798"/>
        <v>317.5</v>
      </c>
      <c r="Z148" s="369">
        <f t="shared" si="798"/>
        <v>330.5</v>
      </c>
      <c r="AA148" s="369">
        <f t="shared" si="798"/>
        <v>341.5</v>
      </c>
      <c r="AB148" s="369">
        <f t="shared" si="798"/>
        <v>355.5</v>
      </c>
      <c r="AC148" s="369">
        <f t="shared" si="798"/>
        <v>369</v>
      </c>
      <c r="AD148" s="369">
        <f t="shared" si="798"/>
        <v>400</v>
      </c>
      <c r="AE148" s="2131">
        <f t="shared" si="798"/>
        <v>430.5</v>
      </c>
      <c r="AF148" s="369">
        <f t="shared" si="798"/>
        <v>443.5</v>
      </c>
      <c r="AG148" s="369">
        <f t="shared" si="798"/>
        <v>455</v>
      </c>
      <c r="AH148" s="369">
        <f t="shared" si="798"/>
        <v>466</v>
      </c>
      <c r="AI148" s="369">
        <f t="shared" ref="AI148:BQ148" si="799">+AVERAGE(AH146:AI146)</f>
        <v>483.5</v>
      </c>
      <c r="AJ148" s="369">
        <f t="shared" si="799"/>
        <v>501.5</v>
      </c>
      <c r="AK148" s="369">
        <f t="shared" si="799"/>
        <v>515</v>
      </c>
      <c r="AL148" s="369">
        <f t="shared" si="799"/>
        <v>528</v>
      </c>
      <c r="AM148" s="586">
        <f t="shared" si="799"/>
        <v>544</v>
      </c>
      <c r="AN148" s="586">
        <f t="shared" si="799"/>
        <v>571.5</v>
      </c>
      <c r="AO148" s="586">
        <f t="shared" si="799"/>
        <v>599.5</v>
      </c>
      <c r="AP148" s="586">
        <f t="shared" si="799"/>
        <v>610</v>
      </c>
      <c r="AQ148" s="586">
        <f t="shared" si="799"/>
        <v>613.5</v>
      </c>
      <c r="AR148" s="586">
        <f t="shared" si="799"/>
        <v>613.5</v>
      </c>
      <c r="AS148" s="586">
        <f t="shared" si="799"/>
        <v>612.5</v>
      </c>
      <c r="AT148" s="586">
        <f t="shared" si="799"/>
        <v>616.5</v>
      </c>
      <c r="AU148" s="586">
        <f t="shared" si="799"/>
        <v>611.5</v>
      </c>
      <c r="AV148" s="586">
        <f t="shared" si="799"/>
        <v>602.5</v>
      </c>
      <c r="AW148" s="586">
        <f t="shared" si="799"/>
        <v>600.5</v>
      </c>
      <c r="AX148" s="586">
        <f t="shared" si="799"/>
        <v>603</v>
      </c>
      <c r="AY148" s="586">
        <f t="shared" si="799"/>
        <v>607.5</v>
      </c>
      <c r="AZ148" s="586">
        <f t="shared" si="799"/>
        <v>614</v>
      </c>
      <c r="BA148" s="586">
        <f t="shared" ref="BA148:BK148" si="800">+AVERAGE(AZ146:BA146)</f>
        <v>620</v>
      </c>
      <c r="BB148" s="586">
        <f t="shared" si="800"/>
        <v>627.5</v>
      </c>
      <c r="BC148" s="586">
        <f t="shared" si="800"/>
        <v>639</v>
      </c>
      <c r="BD148" s="586">
        <f t="shared" si="800"/>
        <v>647.5</v>
      </c>
      <c r="BE148" s="586">
        <f t="shared" si="800"/>
        <v>662.5</v>
      </c>
      <c r="BF148" s="586">
        <f t="shared" si="800"/>
        <v>677.5</v>
      </c>
      <c r="BG148" s="586">
        <f t="shared" si="800"/>
        <v>688.5</v>
      </c>
      <c r="BH148" s="586">
        <f t="shared" si="800"/>
        <v>700.5</v>
      </c>
      <c r="BI148" s="586">
        <f t="shared" si="800"/>
        <v>714.5</v>
      </c>
      <c r="BJ148" s="586">
        <f t="shared" si="800"/>
        <v>725.5</v>
      </c>
      <c r="BK148" s="1353">
        <f t="shared" si="800"/>
        <v>728.5</v>
      </c>
      <c r="BL148" s="587">
        <f t="shared" si="799"/>
        <v>733.5</v>
      </c>
      <c r="BM148" s="587">
        <f t="shared" si="799"/>
        <v>743</v>
      </c>
      <c r="BN148" s="587">
        <f t="shared" si="799"/>
        <v>751.5</v>
      </c>
      <c r="BO148" s="587">
        <f t="shared" si="799"/>
        <v>754.5</v>
      </c>
      <c r="BP148" s="587">
        <f t="shared" si="799"/>
        <v>757.5</v>
      </c>
      <c r="BQ148" s="587">
        <f t="shared" si="799"/>
        <v>762</v>
      </c>
      <c r="BR148" s="587">
        <f t="shared" ref="BR148:CK148" si="801">+AVERAGE(BQ146:BR146)</f>
        <v>766</v>
      </c>
      <c r="BS148" s="587">
        <f t="shared" si="801"/>
        <v>768</v>
      </c>
      <c r="BT148" s="587">
        <f t="shared" si="801"/>
        <v>770</v>
      </c>
      <c r="BU148" s="587">
        <f t="shared" si="801"/>
        <v>773</v>
      </c>
      <c r="BV148" s="587">
        <f t="shared" si="801"/>
        <v>776</v>
      </c>
      <c r="BW148" s="587">
        <f t="shared" si="801"/>
        <v>778</v>
      </c>
      <c r="BX148" s="587">
        <f t="shared" si="801"/>
        <v>780</v>
      </c>
      <c r="BY148" s="587">
        <f t="shared" si="801"/>
        <v>783.5</v>
      </c>
      <c r="BZ148" s="587">
        <f t="shared" si="801"/>
        <v>787</v>
      </c>
      <c r="CA148" s="587">
        <f t="shared" si="801"/>
        <v>789</v>
      </c>
      <c r="CB148" s="587">
        <f t="shared" si="801"/>
        <v>791</v>
      </c>
      <c r="CC148" s="587">
        <f t="shared" si="801"/>
        <v>794.5</v>
      </c>
      <c r="CD148" s="587">
        <f t="shared" si="801"/>
        <v>798</v>
      </c>
      <c r="CE148" s="587">
        <f t="shared" si="801"/>
        <v>800</v>
      </c>
      <c r="CF148" s="587">
        <f t="shared" si="801"/>
        <v>802</v>
      </c>
      <c r="CG148" s="587">
        <f t="shared" si="801"/>
        <v>805.5</v>
      </c>
      <c r="CH148" s="587">
        <f t="shared" si="801"/>
        <v>809</v>
      </c>
      <c r="CI148" s="587">
        <f t="shared" si="801"/>
        <v>811</v>
      </c>
      <c r="CJ148" s="587">
        <f t="shared" si="801"/>
        <v>813</v>
      </c>
      <c r="CK148" s="587">
        <f t="shared" si="801"/>
        <v>816</v>
      </c>
      <c r="CL148" s="587">
        <f t="shared" ref="CL148" si="802">+AVERAGE(CK146:CL146)</f>
        <v>819</v>
      </c>
      <c r="CM148" s="587">
        <f t="shared" ref="CM148" si="803">+AVERAGE(CL146:CM146)</f>
        <v>821</v>
      </c>
      <c r="CN148" s="587">
        <f t="shared" ref="CN148" si="804">+AVERAGE(CM146:CN146)</f>
        <v>823</v>
      </c>
      <c r="CO148" s="587">
        <f t="shared" ref="CO148" si="805">+AVERAGE(CN146:CO146)</f>
        <v>826</v>
      </c>
      <c r="CP148" s="587">
        <f t="shared" ref="CP148" si="806">+AVERAGE(CO146:CP146)</f>
        <v>829</v>
      </c>
      <c r="CQ148" s="587">
        <f t="shared" ref="CQ148" si="807">+AVERAGE(CP146:CQ146)</f>
        <v>831</v>
      </c>
      <c r="CR148" s="587">
        <f t="shared" ref="CR148" si="808">+AVERAGE(CQ146:CR146)</f>
        <v>833</v>
      </c>
      <c r="CS148" s="587">
        <f t="shared" ref="CS148" si="809">+AVERAGE(CR146:CS146)</f>
        <v>836</v>
      </c>
      <c r="CT148" s="587">
        <f t="shared" ref="CT148" si="810">+AVERAGE(CS146:CT146)</f>
        <v>839</v>
      </c>
      <c r="CU148" s="587">
        <f t="shared" ref="CU148" si="811">+AVERAGE(CT146:CU146)</f>
        <v>841</v>
      </c>
      <c r="CV148" s="587">
        <f t="shared" ref="CV148" si="812">+AVERAGE(CU146:CV146)</f>
        <v>843</v>
      </c>
      <c r="CW148" s="587">
        <f t="shared" ref="CW148" si="813">+AVERAGE(CV146:CW146)</f>
        <v>845</v>
      </c>
    </row>
    <row r="149" spans="1:101" s="9" customFormat="1" ht="11.25">
      <c r="A149" s="869"/>
      <c r="B149" s="62"/>
      <c r="C149" s="369"/>
      <c r="D149" s="369"/>
      <c r="E149" s="369"/>
      <c r="F149" s="369"/>
      <c r="G149" s="369"/>
      <c r="H149" s="369"/>
      <c r="I149" s="369"/>
      <c r="J149" s="369"/>
      <c r="K149" s="369"/>
      <c r="L149" s="369"/>
      <c r="M149" s="369"/>
      <c r="N149" s="369"/>
      <c r="O149" s="369"/>
      <c r="P149" s="369"/>
      <c r="Q149" s="369"/>
      <c r="R149" s="369"/>
      <c r="S149" s="369"/>
      <c r="T149" s="369"/>
      <c r="U149" s="369"/>
      <c r="V149" s="369"/>
      <c r="W149" s="369"/>
      <c r="X149" s="369"/>
      <c r="Y149" s="369"/>
      <c r="Z149" s="369"/>
      <c r="AA149" s="369"/>
      <c r="AB149" s="369"/>
      <c r="AC149" s="369"/>
      <c r="AD149" s="369"/>
      <c r="AE149" s="2131"/>
      <c r="AF149" s="369"/>
      <c r="AG149" s="369"/>
      <c r="AH149" s="369"/>
      <c r="AI149" s="369"/>
      <c r="AJ149" s="369"/>
      <c r="AK149" s="369"/>
      <c r="AL149" s="369"/>
      <c r="AM149" s="586"/>
      <c r="AN149" s="586"/>
      <c r="AO149" s="586"/>
      <c r="AP149" s="586"/>
      <c r="AQ149" s="586"/>
      <c r="AR149" s="586"/>
      <c r="AS149" s="586"/>
      <c r="AT149" s="586"/>
      <c r="AU149" s="586"/>
      <c r="AV149" s="586"/>
      <c r="AW149" s="586"/>
      <c r="AX149" s="586"/>
      <c r="AY149" s="586"/>
      <c r="AZ149" s="586"/>
      <c r="BA149" s="586"/>
      <c r="BB149" s="586"/>
      <c r="BC149" s="586"/>
      <c r="BD149" s="586"/>
      <c r="BE149" s="586"/>
      <c r="BF149" s="586"/>
      <c r="BG149" s="586"/>
      <c r="BH149" s="586"/>
      <c r="BI149" s="586"/>
      <c r="BJ149" s="586"/>
      <c r="BK149" s="1353"/>
      <c r="BL149" s="335"/>
      <c r="BM149" s="335"/>
      <c r="BN149" s="335"/>
      <c r="BO149" s="335"/>
      <c r="BP149" s="335"/>
      <c r="BQ149" s="335"/>
      <c r="BR149" s="335"/>
      <c r="BS149" s="335"/>
      <c r="BT149" s="335"/>
      <c r="BU149" s="335"/>
      <c r="BV149" s="335"/>
      <c r="BW149" s="335"/>
      <c r="BX149" s="335"/>
      <c r="BY149" s="335"/>
      <c r="BZ149" s="335"/>
      <c r="CA149" s="335"/>
      <c r="CB149" s="335"/>
      <c r="CC149" s="335"/>
      <c r="CD149" s="335"/>
      <c r="CE149" s="335"/>
      <c r="CF149" s="335"/>
      <c r="CG149" s="335"/>
      <c r="CH149" s="335"/>
      <c r="CI149" s="335"/>
      <c r="CJ149" s="335"/>
      <c r="CK149" s="335"/>
      <c r="CL149" s="335"/>
      <c r="CM149" s="335"/>
      <c r="CN149" s="335"/>
      <c r="CO149" s="335"/>
      <c r="CP149" s="335"/>
      <c r="CQ149" s="335"/>
      <c r="CR149" s="335"/>
      <c r="CS149" s="335"/>
      <c r="CT149" s="335"/>
      <c r="CU149" s="335"/>
      <c r="CV149" s="335"/>
      <c r="CW149" s="335"/>
    </row>
    <row r="150" spans="1:101" s="9" customFormat="1" ht="11.25">
      <c r="A150" s="655" t="s">
        <v>944</v>
      </c>
      <c r="B150" s="251">
        <f>IS!C112</f>
        <v>50</v>
      </c>
      <c r="C150" s="251">
        <f>IS!D112</f>
        <v>52</v>
      </c>
      <c r="D150" s="251">
        <f>IS!E112</f>
        <v>53</v>
      </c>
      <c r="E150" s="251">
        <f>IS!F112</f>
        <v>54</v>
      </c>
      <c r="F150" s="251">
        <f>IS!G112</f>
        <v>54</v>
      </c>
      <c r="G150" s="251">
        <f>IS!H112</f>
        <v>53</v>
      </c>
      <c r="H150" s="251">
        <f>IS!I112</f>
        <v>30</v>
      </c>
      <c r="I150" s="251">
        <f>IS!J112</f>
        <v>31</v>
      </c>
      <c r="J150" s="251">
        <f>IS!K112</f>
        <v>31</v>
      </c>
      <c r="K150" s="251">
        <f>IS!L112</f>
        <v>31</v>
      </c>
      <c r="L150" s="251">
        <f>IS!M112</f>
        <v>35</v>
      </c>
      <c r="M150" s="251">
        <f>IS!N112</f>
        <v>36</v>
      </c>
      <c r="N150" s="251">
        <f>IS!O112</f>
        <v>37</v>
      </c>
      <c r="O150" s="251">
        <f>IS!P112</f>
        <v>40</v>
      </c>
      <c r="P150" s="251">
        <f>IS!Q112</f>
        <v>42</v>
      </c>
      <c r="Q150" s="251">
        <f>IS!R112</f>
        <v>41</v>
      </c>
      <c r="R150" s="251">
        <f>IS!S112</f>
        <v>43</v>
      </c>
      <c r="S150" s="251">
        <f>IS!T112</f>
        <v>45</v>
      </c>
      <c r="T150" s="251">
        <f>IS!U112</f>
        <v>2</v>
      </c>
      <c r="U150" s="251">
        <f>IS!V112</f>
        <v>4</v>
      </c>
      <c r="V150" s="251">
        <f>IS!W112</f>
        <v>5</v>
      </c>
      <c r="W150" s="251">
        <f>IS!X112</f>
        <v>7</v>
      </c>
      <c r="X150" s="251">
        <f>IS!Y112</f>
        <v>9</v>
      </c>
      <c r="Y150" s="251">
        <f>IS!Z112</f>
        <v>16</v>
      </c>
      <c r="Z150" s="251">
        <f>IS!AA112</f>
        <v>16</v>
      </c>
      <c r="AA150" s="251">
        <f>IS!AB112</f>
        <v>16</v>
      </c>
      <c r="AB150" s="251">
        <f>IS!AC112</f>
        <v>20</v>
      </c>
      <c r="AC150" s="251">
        <f>IS!AD112</f>
        <v>19</v>
      </c>
      <c r="AD150" s="251">
        <f>IS!AE112</f>
        <v>20</v>
      </c>
      <c r="AE150" s="2133">
        <f>IS!AF112</f>
        <v>19</v>
      </c>
      <c r="AF150" s="251">
        <f>IS!AG112</f>
        <v>20</v>
      </c>
      <c r="AG150" s="251">
        <f>IS!AH112</f>
        <v>21</v>
      </c>
      <c r="AH150" s="251">
        <f>IS!AI112</f>
        <v>21</v>
      </c>
      <c r="AI150" s="251">
        <f>IS!AJ112</f>
        <v>20</v>
      </c>
      <c r="AJ150" s="251">
        <f>IS!AK112</f>
        <v>20</v>
      </c>
      <c r="AK150" s="251">
        <f>IS!AL112</f>
        <v>21</v>
      </c>
      <c r="AL150" s="251">
        <f>IS!AM112</f>
        <v>21</v>
      </c>
      <c r="AM150" s="963">
        <f>IS!AN112</f>
        <v>19</v>
      </c>
      <c r="AN150" s="963">
        <f>IS!AO112</f>
        <v>18</v>
      </c>
      <c r="AO150" s="963">
        <f>IS!AP112</f>
        <v>18</v>
      </c>
      <c r="AP150" s="963">
        <f>IS!AQ112</f>
        <v>21</v>
      </c>
      <c r="AQ150" s="963">
        <f>IS!AR112</f>
        <v>22</v>
      </c>
      <c r="AR150" s="963">
        <f>IS!AS112</f>
        <v>22</v>
      </c>
      <c r="AS150" s="963">
        <f>IS!AT112</f>
        <v>25</v>
      </c>
      <c r="AT150" s="963">
        <f>IS!AU112</f>
        <v>25</v>
      </c>
      <c r="AU150" s="963">
        <f>IS!AV112</f>
        <v>25</v>
      </c>
      <c r="AV150" s="963">
        <f>IS!AW112</f>
        <v>25</v>
      </c>
      <c r="AW150" s="963">
        <f>IS!AX112</f>
        <v>32</v>
      </c>
      <c r="AX150" s="963">
        <f>IS!AY112</f>
        <v>34</v>
      </c>
      <c r="AY150" s="963">
        <f>IS!AZ112</f>
        <v>37</v>
      </c>
      <c r="AZ150" s="963">
        <f>IS!BA112</f>
        <v>38</v>
      </c>
      <c r="BA150" s="963">
        <f>IS!BB112</f>
        <v>42</v>
      </c>
      <c r="BB150" s="963">
        <f>IS!BC112</f>
        <v>44</v>
      </c>
      <c r="BC150" s="963">
        <f>IS!BD112</f>
        <v>47</v>
      </c>
      <c r="BD150" s="963">
        <f>IS!BE112</f>
        <v>47</v>
      </c>
      <c r="BE150" s="963">
        <f>IS!BF112</f>
        <v>48</v>
      </c>
      <c r="BF150" s="963">
        <f>IS!BG112</f>
        <v>48</v>
      </c>
      <c r="BG150" s="963">
        <f>IS!BH112</f>
        <v>49</v>
      </c>
      <c r="BH150" s="963">
        <f>IS!BI112</f>
        <v>50</v>
      </c>
      <c r="BI150" s="963">
        <f>IS!BJ112</f>
        <v>50</v>
      </c>
      <c r="BJ150" s="963">
        <f>IS!BK112</f>
        <v>50</v>
      </c>
      <c r="BK150" s="1355">
        <f>IS!BL112</f>
        <v>49</v>
      </c>
      <c r="BL150" s="587">
        <f t="shared" ref="BL150:BQ150" si="814">+BK150+BL151</f>
        <v>49</v>
      </c>
      <c r="BM150" s="587">
        <f t="shared" si="814"/>
        <v>49</v>
      </c>
      <c r="BN150" s="587">
        <f t="shared" si="814"/>
        <v>51</v>
      </c>
      <c r="BO150" s="587">
        <f t="shared" si="814"/>
        <v>53</v>
      </c>
      <c r="BP150" s="587">
        <f t="shared" si="814"/>
        <v>55</v>
      </c>
      <c r="BQ150" s="587">
        <f t="shared" si="814"/>
        <v>58</v>
      </c>
      <c r="BR150" s="587">
        <f t="shared" ref="BR150:CK150" si="815">+BQ150+BR151</f>
        <v>60</v>
      </c>
      <c r="BS150" s="587">
        <f t="shared" si="815"/>
        <v>62</v>
      </c>
      <c r="BT150" s="587">
        <f t="shared" si="815"/>
        <v>64</v>
      </c>
      <c r="BU150" s="587">
        <f t="shared" si="815"/>
        <v>66</v>
      </c>
      <c r="BV150" s="587">
        <f t="shared" si="815"/>
        <v>68</v>
      </c>
      <c r="BW150" s="587">
        <f t="shared" si="815"/>
        <v>70</v>
      </c>
      <c r="BX150" s="587">
        <f t="shared" si="815"/>
        <v>72</v>
      </c>
      <c r="BY150" s="587">
        <f t="shared" si="815"/>
        <v>74</v>
      </c>
      <c r="BZ150" s="587">
        <f t="shared" si="815"/>
        <v>75</v>
      </c>
      <c r="CA150" s="587">
        <f t="shared" si="815"/>
        <v>76</v>
      </c>
      <c r="CB150" s="587">
        <f t="shared" si="815"/>
        <v>77</v>
      </c>
      <c r="CC150" s="587">
        <f t="shared" si="815"/>
        <v>79</v>
      </c>
      <c r="CD150" s="587">
        <f t="shared" si="815"/>
        <v>80</v>
      </c>
      <c r="CE150" s="587">
        <f t="shared" si="815"/>
        <v>81</v>
      </c>
      <c r="CF150" s="587">
        <f t="shared" si="815"/>
        <v>82</v>
      </c>
      <c r="CG150" s="587">
        <f t="shared" si="815"/>
        <v>84</v>
      </c>
      <c r="CH150" s="587">
        <f t="shared" si="815"/>
        <v>85</v>
      </c>
      <c r="CI150" s="587">
        <f t="shared" si="815"/>
        <v>86</v>
      </c>
      <c r="CJ150" s="587">
        <f t="shared" si="815"/>
        <v>87</v>
      </c>
      <c r="CK150" s="587">
        <f t="shared" si="815"/>
        <v>88</v>
      </c>
      <c r="CL150" s="587">
        <f t="shared" ref="CL150" si="816">+CK150+CL151</f>
        <v>89</v>
      </c>
      <c r="CM150" s="587">
        <f t="shared" ref="CM150" si="817">+CL150+CM151</f>
        <v>90</v>
      </c>
      <c r="CN150" s="587">
        <f t="shared" ref="CN150" si="818">+CM150+CN151</f>
        <v>91</v>
      </c>
      <c r="CO150" s="587">
        <f t="shared" ref="CO150" si="819">+CN150+CO151</f>
        <v>93</v>
      </c>
      <c r="CP150" s="587">
        <f t="shared" ref="CP150" si="820">+CO150+CP151</f>
        <v>94</v>
      </c>
      <c r="CQ150" s="587">
        <f t="shared" ref="CQ150" si="821">+CP150+CQ151</f>
        <v>95</v>
      </c>
      <c r="CR150" s="587">
        <f t="shared" ref="CR150" si="822">+CQ150+CR151</f>
        <v>96</v>
      </c>
      <c r="CS150" s="587">
        <f t="shared" ref="CS150" si="823">+CR150+CS151</f>
        <v>98</v>
      </c>
      <c r="CT150" s="587">
        <f t="shared" ref="CT150" si="824">+CS150+CT151</f>
        <v>99</v>
      </c>
      <c r="CU150" s="587">
        <f t="shared" ref="CU150" si="825">+CT150+CU151</f>
        <v>100</v>
      </c>
      <c r="CV150" s="587">
        <f t="shared" ref="CV150" si="826">+CU150+CV151</f>
        <v>101</v>
      </c>
      <c r="CW150" s="587">
        <f t="shared" ref="CW150" si="827">+CV150+CW151</f>
        <v>102</v>
      </c>
    </row>
    <row r="151" spans="1:101" s="9" customFormat="1" ht="11.25">
      <c r="A151" s="869" t="s">
        <v>940</v>
      </c>
      <c r="B151" s="62"/>
      <c r="C151" s="369">
        <f t="shared" ref="C151:AZ151" si="828">+C150-B150</f>
        <v>2</v>
      </c>
      <c r="D151" s="369">
        <f t="shared" si="828"/>
        <v>1</v>
      </c>
      <c r="E151" s="369">
        <f t="shared" si="828"/>
        <v>1</v>
      </c>
      <c r="F151" s="369">
        <f t="shared" si="828"/>
        <v>0</v>
      </c>
      <c r="G151" s="369">
        <f t="shared" si="828"/>
        <v>-1</v>
      </c>
      <c r="H151" s="369">
        <f t="shared" si="828"/>
        <v>-23</v>
      </c>
      <c r="I151" s="369">
        <f t="shared" si="828"/>
        <v>1</v>
      </c>
      <c r="J151" s="369">
        <f t="shared" si="828"/>
        <v>0</v>
      </c>
      <c r="K151" s="369">
        <f t="shared" si="828"/>
        <v>0</v>
      </c>
      <c r="L151" s="369">
        <f t="shared" si="828"/>
        <v>4</v>
      </c>
      <c r="M151" s="369">
        <f t="shared" si="828"/>
        <v>1</v>
      </c>
      <c r="N151" s="369">
        <f t="shared" si="828"/>
        <v>1</v>
      </c>
      <c r="O151" s="369">
        <f t="shared" si="828"/>
        <v>3</v>
      </c>
      <c r="P151" s="369">
        <f t="shared" si="828"/>
        <v>2</v>
      </c>
      <c r="Q151" s="369">
        <f t="shared" si="828"/>
        <v>-1</v>
      </c>
      <c r="R151" s="369">
        <f t="shared" si="828"/>
        <v>2</v>
      </c>
      <c r="S151" s="369">
        <f t="shared" si="828"/>
        <v>2</v>
      </c>
      <c r="T151" s="369">
        <f t="shared" si="828"/>
        <v>-43</v>
      </c>
      <c r="U151" s="369">
        <f t="shared" si="828"/>
        <v>2</v>
      </c>
      <c r="V151" s="369">
        <f t="shared" si="828"/>
        <v>1</v>
      </c>
      <c r="W151" s="369">
        <f t="shared" si="828"/>
        <v>2</v>
      </c>
      <c r="X151" s="369">
        <f t="shared" si="828"/>
        <v>2</v>
      </c>
      <c r="Y151" s="369">
        <f t="shared" si="828"/>
        <v>7</v>
      </c>
      <c r="Z151" s="369">
        <f t="shared" si="828"/>
        <v>0</v>
      </c>
      <c r="AA151" s="369">
        <f t="shared" si="828"/>
        <v>0</v>
      </c>
      <c r="AB151" s="369">
        <f t="shared" si="828"/>
        <v>4</v>
      </c>
      <c r="AC151" s="369">
        <f t="shared" si="828"/>
        <v>-1</v>
      </c>
      <c r="AD151" s="369">
        <f t="shared" si="828"/>
        <v>1</v>
      </c>
      <c r="AE151" s="2131">
        <f t="shared" si="828"/>
        <v>-1</v>
      </c>
      <c r="AF151" s="369">
        <f t="shared" si="828"/>
        <v>1</v>
      </c>
      <c r="AG151" s="369">
        <f t="shared" si="828"/>
        <v>1</v>
      </c>
      <c r="AH151" s="369">
        <f t="shared" si="828"/>
        <v>0</v>
      </c>
      <c r="AI151" s="369">
        <f t="shared" si="828"/>
        <v>-1</v>
      </c>
      <c r="AJ151" s="369">
        <f t="shared" si="828"/>
        <v>0</v>
      </c>
      <c r="AK151" s="369">
        <f t="shared" si="828"/>
        <v>1</v>
      </c>
      <c r="AL151" s="369">
        <f t="shared" si="828"/>
        <v>0</v>
      </c>
      <c r="AM151" s="586">
        <f t="shared" si="828"/>
        <v>-2</v>
      </c>
      <c r="AN151" s="586">
        <f t="shared" si="828"/>
        <v>-1</v>
      </c>
      <c r="AO151" s="586">
        <f t="shared" si="828"/>
        <v>0</v>
      </c>
      <c r="AP151" s="586">
        <f t="shared" si="828"/>
        <v>3</v>
      </c>
      <c r="AQ151" s="586">
        <f t="shared" si="828"/>
        <v>1</v>
      </c>
      <c r="AR151" s="586">
        <f t="shared" si="828"/>
        <v>0</v>
      </c>
      <c r="AS151" s="586">
        <f t="shared" si="828"/>
        <v>3</v>
      </c>
      <c r="AT151" s="586">
        <f t="shared" si="828"/>
        <v>0</v>
      </c>
      <c r="AU151" s="586">
        <f t="shared" si="828"/>
        <v>0</v>
      </c>
      <c r="AV151" s="586">
        <f t="shared" si="828"/>
        <v>0</v>
      </c>
      <c r="AW151" s="586">
        <f t="shared" si="828"/>
        <v>7</v>
      </c>
      <c r="AX151" s="586">
        <f t="shared" si="828"/>
        <v>2</v>
      </c>
      <c r="AY151" s="586">
        <f t="shared" si="828"/>
        <v>3</v>
      </c>
      <c r="AZ151" s="586">
        <f t="shared" si="828"/>
        <v>1</v>
      </c>
      <c r="BA151" s="586">
        <f t="shared" ref="BA151:BK151" si="829">+BA150-AZ150</f>
        <v>4</v>
      </c>
      <c r="BB151" s="586">
        <f t="shared" si="829"/>
        <v>2</v>
      </c>
      <c r="BC151" s="586">
        <f t="shared" si="829"/>
        <v>3</v>
      </c>
      <c r="BD151" s="586">
        <f t="shared" si="829"/>
        <v>0</v>
      </c>
      <c r="BE151" s="586">
        <f t="shared" si="829"/>
        <v>1</v>
      </c>
      <c r="BF151" s="586">
        <f t="shared" si="829"/>
        <v>0</v>
      </c>
      <c r="BG151" s="586">
        <f t="shared" si="829"/>
        <v>1</v>
      </c>
      <c r="BH151" s="586">
        <f t="shared" si="829"/>
        <v>1</v>
      </c>
      <c r="BI151" s="586">
        <f t="shared" si="829"/>
        <v>0</v>
      </c>
      <c r="BJ151" s="586">
        <f t="shared" si="829"/>
        <v>0</v>
      </c>
      <c r="BK151" s="1353">
        <f t="shared" si="829"/>
        <v>-1</v>
      </c>
      <c r="BL151" s="335">
        <f>Inputs!BL136</f>
        <v>0</v>
      </c>
      <c r="BM151" s="335">
        <f>Inputs!BM136</f>
        <v>0</v>
      </c>
      <c r="BN151" s="335">
        <f>Inputs!BN136</f>
        <v>2</v>
      </c>
      <c r="BO151" s="335">
        <f>Inputs!BO136</f>
        <v>2</v>
      </c>
      <c r="BP151" s="335">
        <f>Inputs!BP136</f>
        <v>2</v>
      </c>
      <c r="BQ151" s="335">
        <f>Inputs!BQ136</f>
        <v>3</v>
      </c>
      <c r="BR151" s="335">
        <f>Inputs!BR136</f>
        <v>2</v>
      </c>
      <c r="BS151" s="335">
        <f>Inputs!BS136</f>
        <v>2</v>
      </c>
      <c r="BT151" s="335">
        <f>Inputs!BT136</f>
        <v>2</v>
      </c>
      <c r="BU151" s="335">
        <f>Inputs!BU136</f>
        <v>2</v>
      </c>
      <c r="BV151" s="335">
        <f>Inputs!BV136</f>
        <v>2</v>
      </c>
      <c r="BW151" s="335">
        <f>Inputs!BW136</f>
        <v>2</v>
      </c>
      <c r="BX151" s="335">
        <f>Inputs!BX136</f>
        <v>2</v>
      </c>
      <c r="BY151" s="335">
        <f>Inputs!BY136</f>
        <v>2</v>
      </c>
      <c r="BZ151" s="335">
        <f>Inputs!BZ136</f>
        <v>1</v>
      </c>
      <c r="CA151" s="335">
        <f>Inputs!CA136</f>
        <v>1</v>
      </c>
      <c r="CB151" s="335">
        <f>Inputs!CB136</f>
        <v>1</v>
      </c>
      <c r="CC151" s="335">
        <f>Inputs!CC136</f>
        <v>2</v>
      </c>
      <c r="CD151" s="335">
        <f>Inputs!CD136</f>
        <v>1</v>
      </c>
      <c r="CE151" s="335">
        <f>Inputs!CE136</f>
        <v>1</v>
      </c>
      <c r="CF151" s="335">
        <f>Inputs!CF136</f>
        <v>1</v>
      </c>
      <c r="CG151" s="335">
        <f>Inputs!CG136</f>
        <v>2</v>
      </c>
      <c r="CH151" s="335">
        <f>Inputs!CH136</f>
        <v>1</v>
      </c>
      <c r="CI151" s="335">
        <f>Inputs!CI136</f>
        <v>1</v>
      </c>
      <c r="CJ151" s="335">
        <f>Inputs!CJ136</f>
        <v>1</v>
      </c>
      <c r="CK151" s="335">
        <f>Inputs!CK136</f>
        <v>1</v>
      </c>
      <c r="CL151" s="335">
        <f>Inputs!CL136</f>
        <v>1</v>
      </c>
      <c r="CM151" s="335">
        <f>Inputs!CM136</f>
        <v>1</v>
      </c>
      <c r="CN151" s="335">
        <f>Inputs!CN136</f>
        <v>1</v>
      </c>
      <c r="CO151" s="335">
        <f>Inputs!CO136</f>
        <v>2</v>
      </c>
      <c r="CP151" s="335">
        <f>Inputs!CP136</f>
        <v>1</v>
      </c>
      <c r="CQ151" s="335">
        <f>Inputs!CQ136</f>
        <v>1</v>
      </c>
      <c r="CR151" s="335">
        <f>Inputs!CR136</f>
        <v>1</v>
      </c>
      <c r="CS151" s="335">
        <f>Inputs!CS136</f>
        <v>2</v>
      </c>
      <c r="CT151" s="335">
        <f>Inputs!CT136</f>
        <v>1</v>
      </c>
      <c r="CU151" s="335">
        <f>Inputs!CU136</f>
        <v>1</v>
      </c>
      <c r="CV151" s="335">
        <f>Inputs!CV136</f>
        <v>1</v>
      </c>
      <c r="CW151" s="335">
        <f>Inputs!CW136</f>
        <v>1</v>
      </c>
    </row>
    <row r="152" spans="1:101" s="9" customFormat="1" ht="11.25">
      <c r="A152" s="869" t="s">
        <v>946</v>
      </c>
      <c r="B152" s="62"/>
      <c r="C152" s="369">
        <f t="shared" ref="C152:AH152" si="830">AVERAGE(B150:C150)</f>
        <v>51</v>
      </c>
      <c r="D152" s="369">
        <f t="shared" si="830"/>
        <v>52.5</v>
      </c>
      <c r="E152" s="369">
        <f t="shared" si="830"/>
        <v>53.5</v>
      </c>
      <c r="F152" s="369">
        <f t="shared" si="830"/>
        <v>54</v>
      </c>
      <c r="G152" s="369">
        <f t="shared" si="830"/>
        <v>53.5</v>
      </c>
      <c r="H152" s="369">
        <f t="shared" si="830"/>
        <v>41.5</v>
      </c>
      <c r="I152" s="369">
        <f t="shared" si="830"/>
        <v>30.5</v>
      </c>
      <c r="J152" s="369">
        <f t="shared" si="830"/>
        <v>31</v>
      </c>
      <c r="K152" s="369">
        <f t="shared" si="830"/>
        <v>31</v>
      </c>
      <c r="L152" s="369">
        <f t="shared" si="830"/>
        <v>33</v>
      </c>
      <c r="M152" s="369">
        <f t="shared" si="830"/>
        <v>35.5</v>
      </c>
      <c r="N152" s="369">
        <f t="shared" si="830"/>
        <v>36.5</v>
      </c>
      <c r="O152" s="369">
        <f t="shared" si="830"/>
        <v>38.5</v>
      </c>
      <c r="P152" s="369">
        <f t="shared" si="830"/>
        <v>41</v>
      </c>
      <c r="Q152" s="369">
        <f t="shared" si="830"/>
        <v>41.5</v>
      </c>
      <c r="R152" s="369">
        <f t="shared" si="830"/>
        <v>42</v>
      </c>
      <c r="S152" s="369">
        <f t="shared" si="830"/>
        <v>44</v>
      </c>
      <c r="T152" s="369">
        <f t="shared" si="830"/>
        <v>23.5</v>
      </c>
      <c r="U152" s="369">
        <f t="shared" si="830"/>
        <v>3</v>
      </c>
      <c r="V152" s="369">
        <f t="shared" si="830"/>
        <v>4.5</v>
      </c>
      <c r="W152" s="369">
        <f t="shared" si="830"/>
        <v>6</v>
      </c>
      <c r="X152" s="369">
        <f t="shared" si="830"/>
        <v>8</v>
      </c>
      <c r="Y152" s="369">
        <f t="shared" si="830"/>
        <v>12.5</v>
      </c>
      <c r="Z152" s="369">
        <f t="shared" si="830"/>
        <v>16</v>
      </c>
      <c r="AA152" s="369">
        <f t="shared" si="830"/>
        <v>16</v>
      </c>
      <c r="AB152" s="369">
        <f t="shared" si="830"/>
        <v>18</v>
      </c>
      <c r="AC152" s="369">
        <f t="shared" si="830"/>
        <v>19.5</v>
      </c>
      <c r="AD152" s="369">
        <f t="shared" si="830"/>
        <v>19.5</v>
      </c>
      <c r="AE152" s="2131">
        <f t="shared" si="830"/>
        <v>19.5</v>
      </c>
      <c r="AF152" s="369">
        <f t="shared" si="830"/>
        <v>19.5</v>
      </c>
      <c r="AG152" s="369">
        <f t="shared" si="830"/>
        <v>20.5</v>
      </c>
      <c r="AH152" s="369">
        <f t="shared" si="830"/>
        <v>21</v>
      </c>
      <c r="AI152" s="369">
        <f t="shared" ref="AI152:BQ152" si="831">AVERAGE(AH150:AI150)</f>
        <v>20.5</v>
      </c>
      <c r="AJ152" s="369">
        <f t="shared" si="831"/>
        <v>20</v>
      </c>
      <c r="AK152" s="369">
        <f t="shared" si="831"/>
        <v>20.5</v>
      </c>
      <c r="AL152" s="369">
        <f t="shared" si="831"/>
        <v>21</v>
      </c>
      <c r="AM152" s="586">
        <f t="shared" si="831"/>
        <v>20</v>
      </c>
      <c r="AN152" s="586">
        <f t="shared" si="831"/>
        <v>18.5</v>
      </c>
      <c r="AO152" s="586">
        <f t="shared" si="831"/>
        <v>18</v>
      </c>
      <c r="AP152" s="586">
        <f t="shared" si="831"/>
        <v>19.5</v>
      </c>
      <c r="AQ152" s="586">
        <f t="shared" si="831"/>
        <v>21.5</v>
      </c>
      <c r="AR152" s="586">
        <f t="shared" si="831"/>
        <v>22</v>
      </c>
      <c r="AS152" s="586">
        <f t="shared" si="831"/>
        <v>23.5</v>
      </c>
      <c r="AT152" s="586">
        <f t="shared" si="831"/>
        <v>25</v>
      </c>
      <c r="AU152" s="586">
        <f t="shared" si="831"/>
        <v>25</v>
      </c>
      <c r="AV152" s="586">
        <f t="shared" si="831"/>
        <v>25</v>
      </c>
      <c r="AW152" s="586">
        <f t="shared" si="831"/>
        <v>28.5</v>
      </c>
      <c r="AX152" s="586">
        <f t="shared" si="831"/>
        <v>33</v>
      </c>
      <c r="AY152" s="586">
        <f t="shared" si="831"/>
        <v>35.5</v>
      </c>
      <c r="AZ152" s="586">
        <f t="shared" si="831"/>
        <v>37.5</v>
      </c>
      <c r="BA152" s="586">
        <f t="shared" ref="BA152:BK152" si="832">AVERAGE(AZ150:BA150)</f>
        <v>40</v>
      </c>
      <c r="BB152" s="586">
        <f t="shared" si="832"/>
        <v>43</v>
      </c>
      <c r="BC152" s="586">
        <f t="shared" si="832"/>
        <v>45.5</v>
      </c>
      <c r="BD152" s="586">
        <f t="shared" si="832"/>
        <v>47</v>
      </c>
      <c r="BE152" s="586">
        <f t="shared" si="832"/>
        <v>47.5</v>
      </c>
      <c r="BF152" s="586">
        <f t="shared" si="832"/>
        <v>48</v>
      </c>
      <c r="BG152" s="586">
        <f t="shared" si="832"/>
        <v>48.5</v>
      </c>
      <c r="BH152" s="586">
        <f t="shared" si="832"/>
        <v>49.5</v>
      </c>
      <c r="BI152" s="586">
        <f t="shared" si="832"/>
        <v>50</v>
      </c>
      <c r="BJ152" s="586">
        <f t="shared" si="832"/>
        <v>50</v>
      </c>
      <c r="BK152" s="1353">
        <f t="shared" si="832"/>
        <v>49.5</v>
      </c>
      <c r="BL152" s="587">
        <f t="shared" si="831"/>
        <v>49</v>
      </c>
      <c r="BM152" s="587">
        <f t="shared" si="831"/>
        <v>49</v>
      </c>
      <c r="BN152" s="587">
        <f t="shared" si="831"/>
        <v>50</v>
      </c>
      <c r="BO152" s="587">
        <f t="shared" si="831"/>
        <v>52</v>
      </c>
      <c r="BP152" s="587">
        <f t="shared" si="831"/>
        <v>54</v>
      </c>
      <c r="BQ152" s="587">
        <f t="shared" si="831"/>
        <v>56.5</v>
      </c>
      <c r="BR152" s="587">
        <f t="shared" ref="BR152:CK152" si="833">AVERAGE(BQ150:BR150)</f>
        <v>59</v>
      </c>
      <c r="BS152" s="587">
        <f t="shared" si="833"/>
        <v>61</v>
      </c>
      <c r="BT152" s="587">
        <f t="shared" si="833"/>
        <v>63</v>
      </c>
      <c r="BU152" s="587">
        <f t="shared" si="833"/>
        <v>65</v>
      </c>
      <c r="BV152" s="587">
        <f t="shared" si="833"/>
        <v>67</v>
      </c>
      <c r="BW152" s="587">
        <f t="shared" si="833"/>
        <v>69</v>
      </c>
      <c r="BX152" s="587">
        <f t="shared" si="833"/>
        <v>71</v>
      </c>
      <c r="BY152" s="587">
        <f t="shared" si="833"/>
        <v>73</v>
      </c>
      <c r="BZ152" s="587">
        <f t="shared" si="833"/>
        <v>74.5</v>
      </c>
      <c r="CA152" s="587">
        <f t="shared" si="833"/>
        <v>75.5</v>
      </c>
      <c r="CB152" s="587">
        <f t="shared" si="833"/>
        <v>76.5</v>
      </c>
      <c r="CC152" s="587">
        <f t="shared" si="833"/>
        <v>78</v>
      </c>
      <c r="CD152" s="587">
        <f t="shared" si="833"/>
        <v>79.5</v>
      </c>
      <c r="CE152" s="587">
        <f t="shared" si="833"/>
        <v>80.5</v>
      </c>
      <c r="CF152" s="587">
        <f t="shared" si="833"/>
        <v>81.5</v>
      </c>
      <c r="CG152" s="587">
        <f t="shared" si="833"/>
        <v>83</v>
      </c>
      <c r="CH152" s="587">
        <f t="shared" si="833"/>
        <v>84.5</v>
      </c>
      <c r="CI152" s="587">
        <f t="shared" si="833"/>
        <v>85.5</v>
      </c>
      <c r="CJ152" s="587">
        <f t="shared" si="833"/>
        <v>86.5</v>
      </c>
      <c r="CK152" s="587">
        <f t="shared" si="833"/>
        <v>87.5</v>
      </c>
      <c r="CL152" s="587">
        <f t="shared" ref="CL152" si="834">AVERAGE(CK150:CL150)</f>
        <v>88.5</v>
      </c>
      <c r="CM152" s="587">
        <f t="shared" ref="CM152" si="835">AVERAGE(CL150:CM150)</f>
        <v>89.5</v>
      </c>
      <c r="CN152" s="587">
        <f t="shared" ref="CN152" si="836">AVERAGE(CM150:CN150)</f>
        <v>90.5</v>
      </c>
      <c r="CO152" s="587">
        <f t="shared" ref="CO152" si="837">AVERAGE(CN150:CO150)</f>
        <v>92</v>
      </c>
      <c r="CP152" s="587">
        <f t="shared" ref="CP152" si="838">AVERAGE(CO150:CP150)</f>
        <v>93.5</v>
      </c>
      <c r="CQ152" s="587">
        <f t="shared" ref="CQ152" si="839">AVERAGE(CP150:CQ150)</f>
        <v>94.5</v>
      </c>
      <c r="CR152" s="587">
        <f t="shared" ref="CR152" si="840">AVERAGE(CQ150:CR150)</f>
        <v>95.5</v>
      </c>
      <c r="CS152" s="587">
        <f t="shared" ref="CS152" si="841">AVERAGE(CR150:CS150)</f>
        <v>97</v>
      </c>
      <c r="CT152" s="587">
        <f t="shared" ref="CT152" si="842">AVERAGE(CS150:CT150)</f>
        <v>98.5</v>
      </c>
      <c r="CU152" s="587">
        <f t="shared" ref="CU152" si="843">AVERAGE(CT150:CU150)</f>
        <v>99.5</v>
      </c>
      <c r="CV152" s="587">
        <f t="shared" ref="CV152" si="844">AVERAGE(CU150:CV150)</f>
        <v>100.5</v>
      </c>
      <c r="CW152" s="587">
        <f t="shared" ref="CW152" si="845">AVERAGE(CV150:CW150)</f>
        <v>101.5</v>
      </c>
    </row>
    <row r="153" spans="1:101" s="9" customFormat="1" ht="11.25">
      <c r="A153" s="665"/>
      <c r="B153" s="62"/>
      <c r="C153" s="62"/>
      <c r="D153" s="62"/>
      <c r="E153" s="62"/>
      <c r="F153" s="256"/>
      <c r="G153" s="256"/>
      <c r="H153" s="256"/>
      <c r="I153" s="256"/>
      <c r="J153" s="256"/>
      <c r="K153" s="256"/>
      <c r="L153" s="256"/>
      <c r="M153" s="256"/>
      <c r="N153" s="256"/>
      <c r="O153" s="256"/>
      <c r="P153" s="256"/>
      <c r="Q153" s="256"/>
      <c r="R153" s="256"/>
      <c r="S153" s="256"/>
      <c r="T153" s="256"/>
      <c r="U153" s="256"/>
      <c r="V153" s="256"/>
      <c r="W153" s="256"/>
      <c r="X153" s="256"/>
      <c r="Y153" s="256"/>
      <c r="Z153" s="256"/>
      <c r="AA153" s="256"/>
      <c r="AB153" s="256"/>
      <c r="AC153" s="256"/>
      <c r="AD153" s="256"/>
      <c r="AE153" s="2132"/>
      <c r="AF153" s="256"/>
      <c r="AG153" s="256"/>
      <c r="AH153" s="256"/>
      <c r="AI153" s="256"/>
      <c r="AJ153" s="256"/>
      <c r="AK153" s="256"/>
      <c r="AL153" s="256"/>
      <c r="AM153" s="970"/>
      <c r="AN153" s="970"/>
      <c r="AO153" s="970"/>
      <c r="AP153" s="970"/>
      <c r="AQ153" s="970"/>
      <c r="AR153" s="970"/>
      <c r="AS153" s="970"/>
      <c r="AT153" s="970"/>
      <c r="AU153" s="970"/>
      <c r="AV153" s="970"/>
      <c r="AW153" s="970"/>
      <c r="AX153" s="970"/>
      <c r="AY153" s="970"/>
      <c r="AZ153" s="970"/>
      <c r="BA153" s="970"/>
      <c r="BB153" s="970"/>
      <c r="BC153" s="970"/>
      <c r="BD153" s="970"/>
      <c r="BE153" s="970"/>
      <c r="BF153" s="970"/>
      <c r="BG153" s="970"/>
      <c r="BH153" s="970"/>
      <c r="BI153" s="970"/>
      <c r="BJ153" s="970"/>
      <c r="BK153" s="1380"/>
      <c r="BL153" s="461"/>
      <c r="BM153" s="461"/>
      <c r="BN153" s="461"/>
      <c r="BO153" s="461"/>
      <c r="BP153" s="461"/>
      <c r="BQ153" s="461"/>
      <c r="BR153" s="461"/>
      <c r="BS153" s="461"/>
      <c r="BT153" s="461"/>
      <c r="BU153" s="461"/>
      <c r="BV153" s="461"/>
      <c r="BW153" s="461"/>
      <c r="BX153" s="461"/>
      <c r="BY153" s="461"/>
      <c r="BZ153" s="461"/>
      <c r="CA153" s="461"/>
      <c r="CB153" s="461"/>
      <c r="CC153" s="461"/>
      <c r="CD153" s="461"/>
      <c r="CE153" s="461"/>
      <c r="CF153" s="461"/>
      <c r="CG153" s="461"/>
      <c r="CH153" s="461"/>
      <c r="CI153" s="461"/>
      <c r="CJ153" s="461"/>
      <c r="CK153" s="461"/>
      <c r="CL153" s="461"/>
      <c r="CM153" s="461"/>
      <c r="CN153" s="461"/>
      <c r="CO153" s="461"/>
      <c r="CP153" s="461"/>
      <c r="CQ153" s="461"/>
      <c r="CR153" s="461"/>
      <c r="CS153" s="461"/>
      <c r="CT153" s="461"/>
      <c r="CU153" s="461"/>
      <c r="CV153" s="461"/>
      <c r="CW153" s="461"/>
    </row>
    <row r="154" spans="1:101" s="9" customFormat="1" ht="11.25">
      <c r="A154" s="655" t="s">
        <v>746</v>
      </c>
      <c r="B154" s="916">
        <f>Segment!C464</f>
        <v>50</v>
      </c>
      <c r="C154" s="92">
        <f>Segment!D464</f>
        <v>55</v>
      </c>
      <c r="D154" s="916">
        <f>Segment!E464</f>
        <v>57</v>
      </c>
      <c r="E154" s="916">
        <f>Segment!F464</f>
        <v>59</v>
      </c>
      <c r="F154" s="916">
        <f>Segment!G464</f>
        <v>60</v>
      </c>
      <c r="G154" s="916">
        <f>Segment!H464</f>
        <v>68</v>
      </c>
      <c r="H154" s="916">
        <f>Segment!I464</f>
        <v>71</v>
      </c>
      <c r="I154" s="916">
        <f>Segment!J464</f>
        <v>81</v>
      </c>
      <c r="J154" s="916">
        <f>Segment!K464</f>
        <v>84</v>
      </c>
      <c r="K154" s="916">
        <f>Segment!L464</f>
        <v>87</v>
      </c>
      <c r="L154" s="916">
        <f>Segment!M464</f>
        <v>94</v>
      </c>
      <c r="M154" s="916">
        <f>Segment!N464</f>
        <v>108</v>
      </c>
      <c r="N154" s="916">
        <f>Segment!O464</f>
        <v>110</v>
      </c>
      <c r="O154" s="916">
        <f>Segment!P464</f>
        <v>116</v>
      </c>
      <c r="P154" s="916">
        <f>Segment!Q464</f>
        <v>119</v>
      </c>
      <c r="Q154" s="916">
        <f>Segment!R464</f>
        <v>129</v>
      </c>
      <c r="R154" s="916">
        <f>Segment!S464</f>
        <v>130</v>
      </c>
      <c r="S154" s="916">
        <f>Segment!T464</f>
        <v>135</v>
      </c>
      <c r="T154" s="916">
        <f>Segment!U464</f>
        <v>138</v>
      </c>
      <c r="U154" s="916">
        <f>Segment!V464</f>
        <v>144</v>
      </c>
      <c r="V154" s="916">
        <f>Segment!W464</f>
        <v>146</v>
      </c>
      <c r="W154" s="916">
        <f>Segment!X464</f>
        <v>146</v>
      </c>
      <c r="X154" s="916">
        <f>Segment!Y464</f>
        <v>154</v>
      </c>
      <c r="Y154" s="916">
        <f>Segment!Z464</f>
        <v>162</v>
      </c>
      <c r="Z154" s="916">
        <f>Segment!AA464</f>
        <v>166</v>
      </c>
      <c r="AA154" s="916">
        <f>Segment!AB464</f>
        <v>171</v>
      </c>
      <c r="AB154" s="916">
        <f>Segment!AC464</f>
        <v>177</v>
      </c>
      <c r="AC154" s="916">
        <f>Segment!AD464</f>
        <v>183</v>
      </c>
      <c r="AD154" s="916">
        <f>Segment!AE464</f>
        <v>186</v>
      </c>
      <c r="AE154" s="2158">
        <f>Segment!AF464</f>
        <v>189</v>
      </c>
      <c r="AF154" s="916">
        <f>Segment!AG464</f>
        <v>197</v>
      </c>
      <c r="AG154" s="916">
        <f>Segment!AH464</f>
        <v>204</v>
      </c>
      <c r="AH154" s="916">
        <f>Segment!AI464</f>
        <v>208</v>
      </c>
      <c r="AI154" s="916">
        <f>Segment!AJ464</f>
        <v>222</v>
      </c>
      <c r="AJ154" s="916">
        <f>Segment!AK464</f>
        <v>231</v>
      </c>
      <c r="AK154" s="916">
        <f>Segment!AL464</f>
        <v>235</v>
      </c>
      <c r="AL154" s="916">
        <f>Segment!AM464</f>
        <v>241</v>
      </c>
      <c r="AM154" s="916">
        <f>Segment!AN464</f>
        <v>249</v>
      </c>
      <c r="AN154" s="916">
        <f>Segment!AO464</f>
        <v>261</v>
      </c>
      <c r="AO154" s="916">
        <f>Segment!AP464</f>
        <v>265</v>
      </c>
      <c r="AP154" s="916">
        <f>Segment!AQ464</f>
        <v>264</v>
      </c>
      <c r="AQ154" s="916">
        <f>Segment!AR464</f>
        <v>268</v>
      </c>
      <c r="AR154" s="916">
        <f>Segment!AS464</f>
        <v>268</v>
      </c>
      <c r="AS154" s="916">
        <f>Segment!AT464</f>
        <v>266</v>
      </c>
      <c r="AT154" s="916">
        <f>Segment!AU464</f>
        <v>266</v>
      </c>
      <c r="AU154" s="916">
        <f>Segment!AV464</f>
        <v>253</v>
      </c>
      <c r="AV154" s="916">
        <f>Segment!AW464</f>
        <v>249</v>
      </c>
      <c r="AW154" s="916">
        <f>Segment!AX464</f>
        <v>247</v>
      </c>
      <c r="AX154" s="916">
        <f>Segment!AY464</f>
        <v>247</v>
      </c>
      <c r="AY154" s="916">
        <f>Segment!AZ464</f>
        <v>247</v>
      </c>
      <c r="AZ154" s="916">
        <f>Segment!BA464</f>
        <v>247</v>
      </c>
      <c r="BA154" s="916">
        <f>Segment!BB464</f>
        <v>246</v>
      </c>
      <c r="BB154" s="916">
        <f>Segment!BC464</f>
        <v>245</v>
      </c>
      <c r="BC154" s="916">
        <f>Segment!BD464</f>
        <v>245</v>
      </c>
      <c r="BD154" s="916">
        <f>Segment!BE464</f>
        <v>244</v>
      </c>
      <c r="BE154" s="916">
        <f>Segment!BF464</f>
        <v>245</v>
      </c>
      <c r="BF154" s="916">
        <f>Segment!BG464</f>
        <v>245</v>
      </c>
      <c r="BG154" s="916">
        <f>Segment!BH464</f>
        <v>247</v>
      </c>
      <c r="BH154" s="916">
        <f>Segment!BI464</f>
        <v>247</v>
      </c>
      <c r="BI154" s="916">
        <f>Segment!BJ464</f>
        <v>250</v>
      </c>
      <c r="BJ154" s="916">
        <f>Segment!BK464</f>
        <v>250</v>
      </c>
      <c r="BK154" s="1381">
        <f>Segment!BL464</f>
        <v>250</v>
      </c>
      <c r="BL154" s="587">
        <f t="shared" ref="BL154:BQ154" si="846">+BL141-SUM(BL155:BL158)</f>
        <v>251</v>
      </c>
      <c r="BM154" s="587">
        <f t="shared" si="846"/>
        <v>255</v>
      </c>
      <c r="BN154" s="587">
        <f t="shared" si="846"/>
        <v>256</v>
      </c>
      <c r="BO154" s="587">
        <f t="shared" si="846"/>
        <v>257</v>
      </c>
      <c r="BP154" s="587">
        <f t="shared" si="846"/>
        <v>258</v>
      </c>
      <c r="BQ154" s="587">
        <f t="shared" si="846"/>
        <v>261</v>
      </c>
      <c r="BR154" s="587">
        <f t="shared" ref="BR154:CK154" si="847">+BR141-SUM(BR155:BR158)</f>
        <v>263</v>
      </c>
      <c r="BS154" s="587">
        <f t="shared" si="847"/>
        <v>265</v>
      </c>
      <c r="BT154" s="587">
        <f t="shared" si="847"/>
        <v>267</v>
      </c>
      <c r="BU154" s="587">
        <f t="shared" si="847"/>
        <v>269</v>
      </c>
      <c r="BV154" s="587">
        <f t="shared" si="847"/>
        <v>271</v>
      </c>
      <c r="BW154" s="587">
        <f t="shared" si="847"/>
        <v>273</v>
      </c>
      <c r="BX154" s="587">
        <f t="shared" si="847"/>
        <v>275</v>
      </c>
      <c r="BY154" s="587">
        <f t="shared" si="847"/>
        <v>278</v>
      </c>
      <c r="BZ154" s="587">
        <f t="shared" si="847"/>
        <v>279</v>
      </c>
      <c r="CA154" s="587">
        <f t="shared" si="847"/>
        <v>280</v>
      </c>
      <c r="CB154" s="587">
        <f t="shared" si="847"/>
        <v>281</v>
      </c>
      <c r="CC154" s="587">
        <f t="shared" si="847"/>
        <v>284</v>
      </c>
      <c r="CD154" s="587">
        <f t="shared" si="847"/>
        <v>285</v>
      </c>
      <c r="CE154" s="587">
        <f t="shared" si="847"/>
        <v>286</v>
      </c>
      <c r="CF154" s="587">
        <f t="shared" si="847"/>
        <v>287</v>
      </c>
      <c r="CG154" s="587">
        <f t="shared" si="847"/>
        <v>290</v>
      </c>
      <c r="CH154" s="587">
        <f t="shared" si="847"/>
        <v>291</v>
      </c>
      <c r="CI154" s="587">
        <f t="shared" si="847"/>
        <v>292</v>
      </c>
      <c r="CJ154" s="587">
        <f t="shared" si="847"/>
        <v>293</v>
      </c>
      <c r="CK154" s="587">
        <f t="shared" si="847"/>
        <v>294</v>
      </c>
      <c r="CL154" s="587">
        <f t="shared" ref="CL154:CW154" si="848">+CL141-SUM(CL155:CL158)</f>
        <v>295</v>
      </c>
      <c r="CM154" s="587">
        <f t="shared" si="848"/>
        <v>296</v>
      </c>
      <c r="CN154" s="587">
        <f t="shared" si="848"/>
        <v>297</v>
      </c>
      <c r="CO154" s="587">
        <f t="shared" si="848"/>
        <v>299</v>
      </c>
      <c r="CP154" s="587">
        <f t="shared" si="848"/>
        <v>300</v>
      </c>
      <c r="CQ154" s="587">
        <f t="shared" si="848"/>
        <v>301</v>
      </c>
      <c r="CR154" s="587">
        <f t="shared" si="848"/>
        <v>302</v>
      </c>
      <c r="CS154" s="587">
        <f t="shared" si="848"/>
        <v>304</v>
      </c>
      <c r="CT154" s="587">
        <f t="shared" si="848"/>
        <v>305</v>
      </c>
      <c r="CU154" s="587">
        <f t="shared" si="848"/>
        <v>306</v>
      </c>
      <c r="CV154" s="587">
        <f t="shared" si="848"/>
        <v>307</v>
      </c>
      <c r="CW154" s="587">
        <f t="shared" si="848"/>
        <v>308</v>
      </c>
    </row>
    <row r="155" spans="1:101" s="9" customFormat="1" ht="11.25">
      <c r="A155" s="655" t="s">
        <v>747</v>
      </c>
      <c r="B155" s="916">
        <f>Segment!C465</f>
        <v>62</v>
      </c>
      <c r="C155" s="92">
        <f>Segment!D465</f>
        <v>62</v>
      </c>
      <c r="D155" s="916">
        <f>Segment!E465</f>
        <v>62</v>
      </c>
      <c r="E155" s="916">
        <f>Segment!F465</f>
        <v>62</v>
      </c>
      <c r="F155" s="916">
        <f>Segment!G465</f>
        <v>62</v>
      </c>
      <c r="G155" s="916">
        <f>Segment!H465</f>
        <v>61</v>
      </c>
      <c r="H155" s="916">
        <f>Segment!I465</f>
        <v>60</v>
      </c>
      <c r="I155" s="916">
        <f>Segment!J465</f>
        <v>61</v>
      </c>
      <c r="J155" s="916">
        <f>Segment!K465</f>
        <v>61</v>
      </c>
      <c r="K155" s="916">
        <f>Segment!L465</f>
        <v>62</v>
      </c>
      <c r="L155" s="916">
        <f>Segment!M465</f>
        <v>67</v>
      </c>
      <c r="M155" s="916">
        <f>Segment!N465</f>
        <v>68</v>
      </c>
      <c r="N155" s="916">
        <f>Segment!O465</f>
        <v>69</v>
      </c>
      <c r="O155" s="916">
        <f>Segment!P465</f>
        <v>73</v>
      </c>
      <c r="P155" s="916">
        <f>Segment!Q465</f>
        <v>76</v>
      </c>
      <c r="Q155" s="916">
        <f>Segment!R465</f>
        <v>76</v>
      </c>
      <c r="R155" s="916">
        <f>Segment!S465</f>
        <v>78</v>
      </c>
      <c r="S155" s="916">
        <f>Segment!T465</f>
        <v>79</v>
      </c>
      <c r="T155" s="916">
        <f>Segment!U465</f>
        <v>85</v>
      </c>
      <c r="U155" s="916">
        <f>Segment!V465</f>
        <v>88</v>
      </c>
      <c r="V155" s="916">
        <f>Segment!W465</f>
        <v>92</v>
      </c>
      <c r="W155" s="916">
        <f>Segment!X465</f>
        <v>94</v>
      </c>
      <c r="X155" s="916">
        <f>Segment!Y465</f>
        <v>98</v>
      </c>
      <c r="Y155" s="916">
        <f>Segment!Z465</f>
        <v>101</v>
      </c>
      <c r="Z155" s="916">
        <f>Segment!AA465</f>
        <v>103</v>
      </c>
      <c r="AA155" s="916">
        <f>Segment!AB465</f>
        <v>110</v>
      </c>
      <c r="AB155" s="916">
        <f>Segment!AC465</f>
        <v>113</v>
      </c>
      <c r="AC155" s="916">
        <f>Segment!AD465</f>
        <v>115</v>
      </c>
      <c r="AD155" s="916">
        <f>Segment!AE465</f>
        <v>118</v>
      </c>
      <c r="AE155" s="2158">
        <f>Segment!AF465</f>
        <v>125</v>
      </c>
      <c r="AF155" s="916">
        <f>Segment!AG465</f>
        <v>129</v>
      </c>
      <c r="AG155" s="916">
        <f>Segment!AH465</f>
        <v>131</v>
      </c>
      <c r="AH155" s="916">
        <f>Segment!AI465</f>
        <v>135</v>
      </c>
      <c r="AI155" s="916">
        <f>Segment!AJ465</f>
        <v>139</v>
      </c>
      <c r="AJ155" s="916">
        <f>Segment!AK465</f>
        <v>145</v>
      </c>
      <c r="AK155" s="916">
        <f>Segment!AL465</f>
        <v>150</v>
      </c>
      <c r="AL155" s="916">
        <f>Segment!AM465</f>
        <v>155</v>
      </c>
      <c r="AM155" s="916">
        <f>Segment!AN465</f>
        <v>161</v>
      </c>
      <c r="AN155" s="916">
        <f>Segment!AO465</f>
        <v>169</v>
      </c>
      <c r="AO155" s="916">
        <f>Segment!AP465</f>
        <v>173</v>
      </c>
      <c r="AP155" s="916">
        <f>Segment!AQ465</f>
        <v>175</v>
      </c>
      <c r="AQ155" s="916">
        <f>Segment!AR465</f>
        <v>181</v>
      </c>
      <c r="AR155" s="916">
        <f>Segment!AS465</f>
        <v>189</v>
      </c>
      <c r="AS155" s="916">
        <f>Segment!AT465</f>
        <v>196</v>
      </c>
      <c r="AT155" s="916">
        <f>Segment!AU465</f>
        <v>198</v>
      </c>
      <c r="AU155" s="916">
        <f>Segment!AV465</f>
        <v>199</v>
      </c>
      <c r="AV155" s="916">
        <f>Segment!AW465</f>
        <v>198</v>
      </c>
      <c r="AW155" s="916">
        <f>Segment!AX465</f>
        <v>199</v>
      </c>
      <c r="AX155" s="916">
        <f>Segment!AY465</f>
        <v>202</v>
      </c>
      <c r="AY155" s="916">
        <f>Segment!AZ465</f>
        <v>202</v>
      </c>
      <c r="AZ155" s="916">
        <f>Segment!BA465</f>
        <v>204</v>
      </c>
      <c r="BA155" s="916">
        <f>Segment!BB465</f>
        <v>201</v>
      </c>
      <c r="BB155" s="916">
        <f>Segment!BC465</f>
        <v>211</v>
      </c>
      <c r="BC155" s="916">
        <f>Segment!BD465</f>
        <v>216</v>
      </c>
      <c r="BD155" s="916">
        <f>Segment!BE465</f>
        <v>217</v>
      </c>
      <c r="BE155" s="916">
        <f>Segment!BF465</f>
        <v>226</v>
      </c>
      <c r="BF155" s="916">
        <f>Segment!BG465</f>
        <v>230</v>
      </c>
      <c r="BG155" s="916">
        <f>Segment!BH465</f>
        <v>236</v>
      </c>
      <c r="BH155" s="916">
        <f>Segment!BI465</f>
        <v>239</v>
      </c>
      <c r="BI155" s="916">
        <f>Segment!BJ465</f>
        <v>248</v>
      </c>
      <c r="BJ155" s="916">
        <f>Segment!BK465</f>
        <v>247</v>
      </c>
      <c r="BK155" s="1381">
        <f>Segment!BL465</f>
        <v>253</v>
      </c>
      <c r="BL155" s="587">
        <f t="shared" ref="BL155:BQ155" si="849">ROUND(BK155/BK$141*BL$141,0)</f>
        <v>255</v>
      </c>
      <c r="BM155" s="587">
        <f t="shared" si="849"/>
        <v>260</v>
      </c>
      <c r="BN155" s="587">
        <f t="shared" si="849"/>
        <v>262</v>
      </c>
      <c r="BO155" s="587">
        <f t="shared" si="849"/>
        <v>264</v>
      </c>
      <c r="BP155" s="587">
        <f t="shared" si="849"/>
        <v>266</v>
      </c>
      <c r="BQ155" s="587">
        <f t="shared" si="849"/>
        <v>269</v>
      </c>
      <c r="BR155" s="587">
        <f t="shared" ref="BR155:CK155" si="850">ROUND(BQ155/BQ$141*BR$141,0)</f>
        <v>270</v>
      </c>
      <c r="BS155" s="587">
        <f t="shared" si="850"/>
        <v>271</v>
      </c>
      <c r="BT155" s="587">
        <f t="shared" si="850"/>
        <v>272</v>
      </c>
      <c r="BU155" s="587">
        <f t="shared" si="850"/>
        <v>274</v>
      </c>
      <c r="BV155" s="587">
        <f t="shared" si="850"/>
        <v>275</v>
      </c>
      <c r="BW155" s="587">
        <f t="shared" si="850"/>
        <v>276</v>
      </c>
      <c r="BX155" s="587">
        <f t="shared" si="850"/>
        <v>277</v>
      </c>
      <c r="BY155" s="587">
        <f t="shared" si="850"/>
        <v>279</v>
      </c>
      <c r="BZ155" s="587">
        <f t="shared" si="850"/>
        <v>280</v>
      </c>
      <c r="CA155" s="587">
        <f t="shared" si="850"/>
        <v>281</v>
      </c>
      <c r="CB155" s="587">
        <f t="shared" si="850"/>
        <v>282</v>
      </c>
      <c r="CC155" s="587">
        <f t="shared" si="850"/>
        <v>284</v>
      </c>
      <c r="CD155" s="587">
        <f t="shared" si="850"/>
        <v>285</v>
      </c>
      <c r="CE155" s="587">
        <f t="shared" si="850"/>
        <v>286</v>
      </c>
      <c r="CF155" s="587">
        <f t="shared" si="850"/>
        <v>287</v>
      </c>
      <c r="CG155" s="587">
        <f t="shared" si="850"/>
        <v>289</v>
      </c>
      <c r="CH155" s="587">
        <f t="shared" si="850"/>
        <v>290</v>
      </c>
      <c r="CI155" s="587">
        <f t="shared" si="850"/>
        <v>291</v>
      </c>
      <c r="CJ155" s="587">
        <f t="shared" si="850"/>
        <v>292</v>
      </c>
      <c r="CK155" s="587">
        <f t="shared" si="850"/>
        <v>294</v>
      </c>
      <c r="CL155" s="587">
        <f t="shared" ref="CL155:CL158" si="851">ROUND(CK155/CK$141*CL$141,0)</f>
        <v>295</v>
      </c>
      <c r="CM155" s="587">
        <f t="shared" ref="CM155:CM158" si="852">ROUND(CL155/CL$141*CM$141,0)</f>
        <v>296</v>
      </c>
      <c r="CN155" s="587">
        <f t="shared" ref="CN155:CN158" si="853">ROUND(CM155/CM$141*CN$141,0)</f>
        <v>297</v>
      </c>
      <c r="CO155" s="587">
        <f t="shared" ref="CO155:CO158" si="854">ROUND(CN155/CN$141*CO$141,0)</f>
        <v>299</v>
      </c>
      <c r="CP155" s="587">
        <f t="shared" ref="CP155:CP158" si="855">ROUND(CO155/CO$141*CP$141,0)</f>
        <v>300</v>
      </c>
      <c r="CQ155" s="587">
        <f t="shared" ref="CQ155:CQ158" si="856">ROUND(CP155/CP$141*CQ$141,0)</f>
        <v>301</v>
      </c>
      <c r="CR155" s="587">
        <f t="shared" ref="CR155:CR158" si="857">ROUND(CQ155/CQ$141*CR$141,0)</f>
        <v>302</v>
      </c>
      <c r="CS155" s="587">
        <f t="shared" ref="CS155:CS158" si="858">ROUND(CR155/CR$141*CS$141,0)</f>
        <v>304</v>
      </c>
      <c r="CT155" s="587">
        <f t="shared" ref="CT155:CT158" si="859">ROUND(CS155/CS$141*CT$141,0)</f>
        <v>305</v>
      </c>
      <c r="CU155" s="587">
        <f t="shared" ref="CU155:CU158" si="860">ROUND(CT155/CT$141*CU$141,0)</f>
        <v>306</v>
      </c>
      <c r="CV155" s="587">
        <f t="shared" ref="CV155:CV158" si="861">ROUND(CU155/CU$141*CV$141,0)</f>
        <v>307</v>
      </c>
      <c r="CW155" s="587">
        <f t="shared" ref="CW155:CW158" si="862">ROUND(CV155/CV$141*CW$141,0)</f>
        <v>308</v>
      </c>
    </row>
    <row r="156" spans="1:101" s="9" customFormat="1" ht="11.25">
      <c r="A156" s="655" t="s">
        <v>748</v>
      </c>
      <c r="B156" s="916">
        <f>Segment!C466</f>
        <v>23</v>
      </c>
      <c r="C156" s="92">
        <f>Segment!D466</f>
        <v>23</v>
      </c>
      <c r="D156" s="916">
        <f>Segment!E466</f>
        <v>23</v>
      </c>
      <c r="E156" s="916">
        <f>Segment!F466</f>
        <v>25</v>
      </c>
      <c r="F156" s="916">
        <f>Segment!G466</f>
        <v>25</v>
      </c>
      <c r="G156" s="916">
        <f>Segment!H466</f>
        <v>26</v>
      </c>
      <c r="H156" s="916">
        <f>Segment!I466</f>
        <v>26</v>
      </c>
      <c r="I156" s="916">
        <f>Segment!J466</f>
        <v>27</v>
      </c>
      <c r="J156" s="916">
        <f>Segment!K466</f>
        <v>27</v>
      </c>
      <c r="K156" s="916">
        <f>Segment!L466</f>
        <v>27</v>
      </c>
      <c r="L156" s="916">
        <f>Segment!M466</f>
        <v>28</v>
      </c>
      <c r="M156" s="916">
        <f>Segment!N466</f>
        <v>32</v>
      </c>
      <c r="N156" s="916">
        <f>Segment!O466</f>
        <v>33</v>
      </c>
      <c r="O156" s="916">
        <f>Segment!P466</f>
        <v>35</v>
      </c>
      <c r="P156" s="916">
        <f>Segment!Q466</f>
        <v>41</v>
      </c>
      <c r="Q156" s="916">
        <f>Segment!R466</f>
        <v>44</v>
      </c>
      <c r="R156" s="916">
        <f>Segment!S466</f>
        <v>45</v>
      </c>
      <c r="S156" s="916">
        <f>Segment!T466</f>
        <v>49</v>
      </c>
      <c r="T156" s="916">
        <f>Segment!U466</f>
        <v>52</v>
      </c>
      <c r="U156" s="916">
        <f>Segment!V466</f>
        <v>55</v>
      </c>
      <c r="V156" s="916">
        <f>Segment!W466</f>
        <v>56</v>
      </c>
      <c r="W156" s="916">
        <f>Segment!X466</f>
        <v>58</v>
      </c>
      <c r="X156" s="916">
        <f>Segment!Y466</f>
        <v>63</v>
      </c>
      <c r="Y156" s="916">
        <f>Segment!Z466</f>
        <v>78</v>
      </c>
      <c r="Z156" s="916">
        <f>Segment!AA466</f>
        <v>79</v>
      </c>
      <c r="AA156" s="916">
        <f>Segment!AB466</f>
        <v>82</v>
      </c>
      <c r="AB156" s="916">
        <f>Segment!AC466</f>
        <v>88</v>
      </c>
      <c r="AC156" s="916">
        <f>Segment!AD466</f>
        <v>93</v>
      </c>
      <c r="AD156" s="916">
        <f>Segment!AE466</f>
        <v>136</v>
      </c>
      <c r="AE156" s="2158">
        <f>Segment!AF466</f>
        <v>138</v>
      </c>
      <c r="AF156" s="916">
        <f>Segment!AG466</f>
        <v>140</v>
      </c>
      <c r="AG156" s="916">
        <f>Segment!AH466</f>
        <v>143</v>
      </c>
      <c r="AH156" s="916">
        <f>Segment!AI466</f>
        <v>146</v>
      </c>
      <c r="AI156" s="916">
        <f>Segment!AJ466</f>
        <v>150</v>
      </c>
      <c r="AJ156" s="916">
        <f>Segment!AK466</f>
        <v>148</v>
      </c>
      <c r="AK156" s="916">
        <f>Segment!AL466</f>
        <v>154</v>
      </c>
      <c r="AL156" s="916">
        <f>Segment!AM466</f>
        <v>155</v>
      </c>
      <c r="AM156" s="916">
        <f>Segment!AN466</f>
        <v>158</v>
      </c>
      <c r="AN156" s="916">
        <f>Segment!AO466</f>
        <v>170</v>
      </c>
      <c r="AO156" s="916">
        <f>Segment!AP466</f>
        <v>181</v>
      </c>
      <c r="AP156" s="916">
        <f>Segment!AQ466</f>
        <v>183</v>
      </c>
      <c r="AQ156" s="916">
        <f>Segment!AR466</f>
        <v>184</v>
      </c>
      <c r="AR156" s="916">
        <f>Segment!AS466</f>
        <v>168</v>
      </c>
      <c r="AS156" s="916">
        <f>Segment!AT466</f>
        <v>170</v>
      </c>
      <c r="AT156" s="916">
        <f>Segment!AU466</f>
        <v>170</v>
      </c>
      <c r="AU156" s="916">
        <f>Segment!AV466</f>
        <v>169</v>
      </c>
      <c r="AV156" s="916">
        <f>Segment!AW466</f>
        <v>169</v>
      </c>
      <c r="AW156" s="916">
        <f>Segment!AX466</f>
        <v>178</v>
      </c>
      <c r="AX156" s="916">
        <f>Segment!AY466</f>
        <v>181</v>
      </c>
      <c r="AY156" s="916">
        <f>Segment!AZ466</f>
        <v>189</v>
      </c>
      <c r="AZ156" s="916">
        <f>Segment!BA466</f>
        <v>196</v>
      </c>
      <c r="BA156" s="916">
        <f>Segment!BB466</f>
        <v>207</v>
      </c>
      <c r="BB156" s="916">
        <f>Segment!BC466</f>
        <v>210</v>
      </c>
      <c r="BC156" s="916">
        <f>Segment!BD466</f>
        <v>220</v>
      </c>
      <c r="BD156" s="916">
        <f>Segment!BE466</f>
        <v>225</v>
      </c>
      <c r="BE156" s="916">
        <f>Segment!BF466</f>
        <v>239</v>
      </c>
      <c r="BF156" s="916">
        <f>Segment!BG466</f>
        <v>240</v>
      </c>
      <c r="BG156" s="916">
        <f>Segment!BH466</f>
        <v>246</v>
      </c>
      <c r="BH156" s="916">
        <f>Segment!BI466</f>
        <v>249</v>
      </c>
      <c r="BI156" s="916">
        <f>Segment!BJ466</f>
        <v>255</v>
      </c>
      <c r="BJ156" s="916">
        <f>Segment!BK466</f>
        <v>257</v>
      </c>
      <c r="BK156" s="1381">
        <f>Segment!BL466</f>
        <v>255</v>
      </c>
      <c r="BL156" s="587">
        <f t="shared" ref="BL156:BQ156" si="863">ROUND(BK156/BK$141*BL$141,0)</f>
        <v>257</v>
      </c>
      <c r="BM156" s="587">
        <f t="shared" si="863"/>
        <v>262</v>
      </c>
      <c r="BN156" s="587">
        <f t="shared" si="863"/>
        <v>264</v>
      </c>
      <c r="BO156" s="587">
        <f t="shared" si="863"/>
        <v>266</v>
      </c>
      <c r="BP156" s="587">
        <f t="shared" si="863"/>
        <v>268</v>
      </c>
      <c r="BQ156" s="587">
        <f t="shared" si="863"/>
        <v>271</v>
      </c>
      <c r="BR156" s="587">
        <f t="shared" ref="BR156:CK156" si="864">ROUND(BQ156/BQ$141*BR$141,0)</f>
        <v>272</v>
      </c>
      <c r="BS156" s="587">
        <f t="shared" si="864"/>
        <v>273</v>
      </c>
      <c r="BT156" s="587">
        <f t="shared" si="864"/>
        <v>274</v>
      </c>
      <c r="BU156" s="587">
        <f t="shared" si="864"/>
        <v>276</v>
      </c>
      <c r="BV156" s="587">
        <f t="shared" si="864"/>
        <v>277</v>
      </c>
      <c r="BW156" s="587">
        <f t="shared" si="864"/>
        <v>278</v>
      </c>
      <c r="BX156" s="587">
        <f t="shared" si="864"/>
        <v>279</v>
      </c>
      <c r="BY156" s="587">
        <f t="shared" si="864"/>
        <v>281</v>
      </c>
      <c r="BZ156" s="587">
        <f t="shared" si="864"/>
        <v>282</v>
      </c>
      <c r="CA156" s="587">
        <f t="shared" si="864"/>
        <v>283</v>
      </c>
      <c r="CB156" s="587">
        <f t="shared" si="864"/>
        <v>284</v>
      </c>
      <c r="CC156" s="587">
        <f t="shared" si="864"/>
        <v>286</v>
      </c>
      <c r="CD156" s="587">
        <f t="shared" si="864"/>
        <v>287</v>
      </c>
      <c r="CE156" s="587">
        <f t="shared" si="864"/>
        <v>288</v>
      </c>
      <c r="CF156" s="587">
        <f t="shared" si="864"/>
        <v>289</v>
      </c>
      <c r="CG156" s="587">
        <f t="shared" si="864"/>
        <v>291</v>
      </c>
      <c r="CH156" s="587">
        <f t="shared" si="864"/>
        <v>292</v>
      </c>
      <c r="CI156" s="587">
        <f t="shared" si="864"/>
        <v>293</v>
      </c>
      <c r="CJ156" s="587">
        <f t="shared" si="864"/>
        <v>294</v>
      </c>
      <c r="CK156" s="587">
        <f t="shared" si="864"/>
        <v>296</v>
      </c>
      <c r="CL156" s="587">
        <f t="shared" si="851"/>
        <v>297</v>
      </c>
      <c r="CM156" s="587">
        <f t="shared" si="852"/>
        <v>298</v>
      </c>
      <c r="CN156" s="587">
        <f t="shared" si="853"/>
        <v>299</v>
      </c>
      <c r="CO156" s="587">
        <f t="shared" si="854"/>
        <v>301</v>
      </c>
      <c r="CP156" s="587">
        <f t="shared" si="855"/>
        <v>302</v>
      </c>
      <c r="CQ156" s="587">
        <f t="shared" si="856"/>
        <v>303</v>
      </c>
      <c r="CR156" s="587">
        <f t="shared" si="857"/>
        <v>304</v>
      </c>
      <c r="CS156" s="587">
        <f t="shared" si="858"/>
        <v>306</v>
      </c>
      <c r="CT156" s="587">
        <f t="shared" si="859"/>
        <v>307</v>
      </c>
      <c r="CU156" s="587">
        <f t="shared" si="860"/>
        <v>308</v>
      </c>
      <c r="CV156" s="587">
        <f t="shared" si="861"/>
        <v>309</v>
      </c>
      <c r="CW156" s="587">
        <f t="shared" si="862"/>
        <v>310</v>
      </c>
    </row>
    <row r="157" spans="1:101" s="9" customFormat="1" ht="11.25">
      <c r="A157" s="655" t="s">
        <v>749</v>
      </c>
      <c r="B157" s="916">
        <f>Segment!C467</f>
        <v>20</v>
      </c>
      <c r="C157" s="92">
        <f>Segment!D467</f>
        <v>22</v>
      </c>
      <c r="D157" s="916">
        <f>Segment!E467</f>
        <v>23</v>
      </c>
      <c r="E157" s="916">
        <f>Segment!F467</f>
        <v>24</v>
      </c>
      <c r="F157" s="916">
        <f>Segment!G467</f>
        <v>24</v>
      </c>
      <c r="G157" s="916">
        <f>Segment!H467</f>
        <v>23</v>
      </c>
      <c r="H157" s="916">
        <f>Segment!I467</f>
        <v>0</v>
      </c>
      <c r="I157" s="916">
        <f>Segment!J467</f>
        <v>0</v>
      </c>
      <c r="J157" s="916">
        <f>Segment!K467</f>
        <v>0</v>
      </c>
      <c r="K157" s="916">
        <f>Segment!L467</f>
        <v>0</v>
      </c>
      <c r="L157" s="916">
        <f>Segment!M467</f>
        <v>0</v>
      </c>
      <c r="M157" s="916">
        <f>Segment!N467</f>
        <v>0</v>
      </c>
      <c r="N157" s="916">
        <f>Segment!O467</f>
        <v>0</v>
      </c>
      <c r="O157" s="916">
        <f>Segment!P467</f>
        <v>0</v>
      </c>
      <c r="P157" s="916">
        <f>Segment!Q467</f>
        <v>0</v>
      </c>
      <c r="Q157" s="916">
        <f>Segment!R467</f>
        <v>0</v>
      </c>
      <c r="R157" s="916">
        <f>Segment!S467</f>
        <v>0</v>
      </c>
      <c r="S157" s="916">
        <f>Segment!T467</f>
        <v>0</v>
      </c>
      <c r="T157" s="916">
        <f>Segment!U467</f>
        <v>0</v>
      </c>
      <c r="U157" s="916">
        <f>Segment!V467</f>
        <v>0</v>
      </c>
      <c r="V157" s="916">
        <f>Segment!W467</f>
        <v>0</v>
      </c>
      <c r="W157" s="916">
        <f>Segment!X467</f>
        <v>0</v>
      </c>
      <c r="X157" s="916">
        <f>Segment!Y467</f>
        <v>2</v>
      </c>
      <c r="Y157" s="916">
        <f>Segment!Z467</f>
        <v>2</v>
      </c>
      <c r="Z157" s="916">
        <f>Segment!AA467</f>
        <v>2</v>
      </c>
      <c r="AA157" s="916">
        <f>Segment!AB467</f>
        <v>2</v>
      </c>
      <c r="AB157" s="916">
        <f>Segment!AC467</f>
        <v>4</v>
      </c>
      <c r="AC157" s="916">
        <f>Segment!AD467</f>
        <v>4</v>
      </c>
      <c r="AD157" s="916">
        <f>Segment!AE467</f>
        <v>4</v>
      </c>
      <c r="AE157" s="2158">
        <f>Segment!AF467</f>
        <v>4</v>
      </c>
      <c r="AF157" s="916">
        <f>Segment!AG467</f>
        <v>4</v>
      </c>
      <c r="AG157" s="916">
        <f>Segment!AH467</f>
        <v>3</v>
      </c>
      <c r="AH157" s="916">
        <f>Segment!AI467</f>
        <v>4</v>
      </c>
      <c r="AI157" s="916">
        <f>Segment!AJ467</f>
        <v>4</v>
      </c>
      <c r="AJ157" s="916">
        <f>Segment!AK467</f>
        <v>4</v>
      </c>
      <c r="AK157" s="916">
        <f>Segment!AL467</f>
        <v>4</v>
      </c>
      <c r="AL157" s="916">
        <f>Segment!AM467</f>
        <v>4</v>
      </c>
      <c r="AM157" s="916">
        <f>Segment!AN467</f>
        <v>4</v>
      </c>
      <c r="AN157" s="916">
        <f>Segment!AO467</f>
        <v>4</v>
      </c>
      <c r="AO157" s="916">
        <f>Segment!AP467</f>
        <v>4</v>
      </c>
      <c r="AP157" s="916">
        <f>Segment!AQ467</f>
        <v>4</v>
      </c>
      <c r="AQ157" s="916">
        <f>Segment!AR467</f>
        <v>0</v>
      </c>
      <c r="AR157" s="916">
        <f>Segment!AS467</f>
        <v>0</v>
      </c>
      <c r="AS157" s="916">
        <f>Segment!AT467</f>
        <v>0</v>
      </c>
      <c r="AT157" s="916">
        <f>Segment!AU467</f>
        <v>0</v>
      </c>
      <c r="AU157" s="916">
        <f>Segment!AV467</f>
        <v>0</v>
      </c>
      <c r="AV157" s="916">
        <f>Segment!AW467</f>
        <v>0</v>
      </c>
      <c r="AW157" s="916">
        <f>Segment!AX467</f>
        <v>0</v>
      </c>
      <c r="AX157" s="916">
        <f>Segment!AY467</f>
        <v>0</v>
      </c>
      <c r="AY157" s="916">
        <f>Segment!AZ467</f>
        <v>0</v>
      </c>
      <c r="AZ157" s="916">
        <f>Segment!BA467</f>
        <v>0</v>
      </c>
      <c r="BA157" s="916">
        <f>Segment!BB467</f>
        <v>0</v>
      </c>
      <c r="BB157" s="916">
        <f>Segment!BC467</f>
        <v>0</v>
      </c>
      <c r="BC157" s="916">
        <f>Segment!BD467</f>
        <v>0</v>
      </c>
      <c r="BD157" s="916">
        <f>Segment!BE467</f>
        <v>0</v>
      </c>
      <c r="BE157" s="916">
        <f>Segment!BF467</f>
        <v>0</v>
      </c>
      <c r="BF157" s="916">
        <f>Segment!BG467</f>
        <v>0</v>
      </c>
      <c r="BG157" s="916">
        <f>Segment!BH467</f>
        <v>0</v>
      </c>
      <c r="BH157" s="916">
        <f>Segment!BI467</f>
        <v>0</v>
      </c>
      <c r="BI157" s="916">
        <f>Segment!BJ467</f>
        <v>0</v>
      </c>
      <c r="BJ157" s="916">
        <f>Segment!BK467</f>
        <v>0</v>
      </c>
      <c r="BK157" s="1381">
        <f>Segment!BL467</f>
        <v>0</v>
      </c>
      <c r="BL157" s="587">
        <f t="shared" ref="BL157:BQ157" si="865">ROUND(BK157/BK$141*BL$141,0)</f>
        <v>0</v>
      </c>
      <c r="BM157" s="587">
        <f t="shared" si="865"/>
        <v>0</v>
      </c>
      <c r="BN157" s="587">
        <f t="shared" si="865"/>
        <v>0</v>
      </c>
      <c r="BO157" s="587">
        <f t="shared" si="865"/>
        <v>0</v>
      </c>
      <c r="BP157" s="587">
        <f t="shared" si="865"/>
        <v>0</v>
      </c>
      <c r="BQ157" s="587">
        <f t="shared" si="865"/>
        <v>0</v>
      </c>
      <c r="BR157" s="587">
        <f t="shared" ref="BR157:CK157" si="866">ROUND(BQ157/BQ$141*BR$141,0)</f>
        <v>0</v>
      </c>
      <c r="BS157" s="587">
        <f t="shared" si="866"/>
        <v>0</v>
      </c>
      <c r="BT157" s="587">
        <f t="shared" si="866"/>
        <v>0</v>
      </c>
      <c r="BU157" s="587">
        <f t="shared" si="866"/>
        <v>0</v>
      </c>
      <c r="BV157" s="587">
        <f t="shared" si="866"/>
        <v>0</v>
      </c>
      <c r="BW157" s="587">
        <f t="shared" si="866"/>
        <v>0</v>
      </c>
      <c r="BX157" s="587">
        <f t="shared" si="866"/>
        <v>0</v>
      </c>
      <c r="BY157" s="587">
        <f t="shared" si="866"/>
        <v>0</v>
      </c>
      <c r="BZ157" s="587">
        <f t="shared" si="866"/>
        <v>0</v>
      </c>
      <c r="CA157" s="587">
        <f t="shared" si="866"/>
        <v>0</v>
      </c>
      <c r="CB157" s="587">
        <f t="shared" si="866"/>
        <v>0</v>
      </c>
      <c r="CC157" s="587">
        <f t="shared" si="866"/>
        <v>0</v>
      </c>
      <c r="CD157" s="587">
        <f t="shared" si="866"/>
        <v>0</v>
      </c>
      <c r="CE157" s="587">
        <f t="shared" si="866"/>
        <v>0</v>
      </c>
      <c r="CF157" s="587">
        <f t="shared" si="866"/>
        <v>0</v>
      </c>
      <c r="CG157" s="587">
        <f t="shared" si="866"/>
        <v>0</v>
      </c>
      <c r="CH157" s="587">
        <f t="shared" si="866"/>
        <v>0</v>
      </c>
      <c r="CI157" s="587">
        <f t="shared" si="866"/>
        <v>0</v>
      </c>
      <c r="CJ157" s="587">
        <f t="shared" si="866"/>
        <v>0</v>
      </c>
      <c r="CK157" s="587">
        <f t="shared" si="866"/>
        <v>0</v>
      </c>
      <c r="CL157" s="587">
        <f t="shared" si="851"/>
        <v>0</v>
      </c>
      <c r="CM157" s="587">
        <f t="shared" si="852"/>
        <v>0</v>
      </c>
      <c r="CN157" s="587">
        <f t="shared" si="853"/>
        <v>0</v>
      </c>
      <c r="CO157" s="587">
        <f t="shared" si="854"/>
        <v>0</v>
      </c>
      <c r="CP157" s="587">
        <f t="shared" si="855"/>
        <v>0</v>
      </c>
      <c r="CQ157" s="587">
        <f t="shared" si="856"/>
        <v>0</v>
      </c>
      <c r="CR157" s="587">
        <f t="shared" si="857"/>
        <v>0</v>
      </c>
      <c r="CS157" s="587">
        <f t="shared" si="858"/>
        <v>0</v>
      </c>
      <c r="CT157" s="587">
        <f t="shared" si="859"/>
        <v>0</v>
      </c>
      <c r="CU157" s="587">
        <f t="shared" si="860"/>
        <v>0</v>
      </c>
      <c r="CV157" s="587">
        <f t="shared" si="861"/>
        <v>0</v>
      </c>
      <c r="CW157" s="587">
        <f t="shared" si="862"/>
        <v>0</v>
      </c>
    </row>
    <row r="158" spans="1:101" s="9" customFormat="1" ht="11.25">
      <c r="A158" s="655" t="s">
        <v>986</v>
      </c>
      <c r="B158" s="916">
        <f>Segment!C468</f>
        <v>0</v>
      </c>
      <c r="C158" s="92">
        <f>Segment!D468</f>
        <v>0</v>
      </c>
      <c r="D158" s="916">
        <f>Segment!E468</f>
        <v>0</v>
      </c>
      <c r="E158" s="916">
        <f>Segment!F468</f>
        <v>0</v>
      </c>
      <c r="F158" s="916">
        <f>Segment!G468</f>
        <v>0</v>
      </c>
      <c r="G158" s="916">
        <f>Segment!H468</f>
        <v>0</v>
      </c>
      <c r="H158" s="916">
        <f>Segment!I468</f>
        <v>0</v>
      </c>
      <c r="I158" s="916">
        <f>Segment!J468</f>
        <v>0</v>
      </c>
      <c r="J158" s="916">
        <f>Segment!K468</f>
        <v>0</v>
      </c>
      <c r="K158" s="916">
        <f>Segment!L468</f>
        <v>0</v>
      </c>
      <c r="L158" s="916">
        <f>Segment!M468</f>
        <v>0</v>
      </c>
      <c r="M158" s="916">
        <f>Segment!N468</f>
        <v>0</v>
      </c>
      <c r="N158" s="916">
        <f>Segment!O468</f>
        <v>0</v>
      </c>
      <c r="O158" s="916">
        <f>Segment!P468</f>
        <v>0</v>
      </c>
      <c r="P158" s="916">
        <f>Segment!Q468</f>
        <v>0</v>
      </c>
      <c r="Q158" s="916">
        <f>Segment!R468</f>
        <v>0</v>
      </c>
      <c r="R158" s="916">
        <f>Segment!S468</f>
        <v>0</v>
      </c>
      <c r="S158" s="916">
        <f>Segment!T468</f>
        <v>0</v>
      </c>
      <c r="T158" s="916">
        <f>Segment!U468</f>
        <v>0</v>
      </c>
      <c r="U158" s="916">
        <f>Segment!V468</f>
        <v>0</v>
      </c>
      <c r="V158" s="916">
        <f>Segment!W468</f>
        <v>0</v>
      </c>
      <c r="W158" s="916">
        <f>Segment!X468</f>
        <v>0</v>
      </c>
      <c r="X158" s="916">
        <f>Segment!Y468</f>
        <v>0</v>
      </c>
      <c r="Y158" s="916">
        <f>Segment!Z468</f>
        <v>0</v>
      </c>
      <c r="Z158" s="916">
        <f>Segment!AA468</f>
        <v>0</v>
      </c>
      <c r="AA158" s="916">
        <f>Segment!AB468</f>
        <v>0</v>
      </c>
      <c r="AB158" s="916">
        <f>Segment!AC468</f>
        <v>0</v>
      </c>
      <c r="AC158" s="916">
        <f>Segment!AD468</f>
        <v>0</v>
      </c>
      <c r="AD158" s="916">
        <f>Segment!AE468</f>
        <v>0</v>
      </c>
      <c r="AE158" s="2158">
        <f>Segment!AF468</f>
        <v>0</v>
      </c>
      <c r="AF158" s="916">
        <f>Segment!AG468</f>
        <v>0</v>
      </c>
      <c r="AG158" s="916">
        <f>Segment!AH468</f>
        <v>0</v>
      </c>
      <c r="AH158" s="916">
        <f>Segment!AI468</f>
        <v>0</v>
      </c>
      <c r="AI158" s="916">
        <f>Segment!AJ468</f>
        <v>0</v>
      </c>
      <c r="AJ158" s="916">
        <f>Segment!AK468</f>
        <v>0</v>
      </c>
      <c r="AK158" s="916">
        <f>Segment!AL468</f>
        <v>0</v>
      </c>
      <c r="AL158" s="916">
        <f>Segment!AM468</f>
        <v>0</v>
      </c>
      <c r="AM158" s="916">
        <f>Segment!AN468</f>
        <v>1</v>
      </c>
      <c r="AN158" s="916">
        <f>Segment!AO468</f>
        <v>3</v>
      </c>
      <c r="AO158" s="916">
        <f>Segment!AP468</f>
        <v>5</v>
      </c>
      <c r="AP158" s="916">
        <f>Segment!AQ468</f>
        <v>5</v>
      </c>
      <c r="AQ158" s="916">
        <f>Segment!AR468</f>
        <v>6</v>
      </c>
      <c r="AR158" s="916">
        <f>Segment!AS468</f>
        <v>7</v>
      </c>
      <c r="AS158" s="916">
        <f>Segment!AT468</f>
        <v>8</v>
      </c>
      <c r="AT158" s="916">
        <f>Segment!AU468</f>
        <v>9</v>
      </c>
      <c r="AU158" s="916">
        <f>Segment!AV468</f>
        <v>9</v>
      </c>
      <c r="AV158" s="916">
        <f>Segment!AW468</f>
        <v>9</v>
      </c>
      <c r="AW158" s="916">
        <f>Segment!AX468</f>
        <v>9</v>
      </c>
      <c r="AX158" s="916">
        <f>Segment!AY468</f>
        <v>9</v>
      </c>
      <c r="AY158" s="916">
        <f>Segment!AZ468</f>
        <v>9</v>
      </c>
      <c r="AZ158" s="916">
        <f>Segment!BA468</f>
        <v>9</v>
      </c>
      <c r="BA158" s="916">
        <f>Segment!BB468</f>
        <v>10</v>
      </c>
      <c r="BB158" s="916">
        <f>Segment!BC468</f>
        <v>11</v>
      </c>
      <c r="BC158" s="916">
        <f>Segment!BD468</f>
        <v>11</v>
      </c>
      <c r="BD158" s="916">
        <f>Segment!BE468</f>
        <v>11</v>
      </c>
      <c r="BE158" s="916">
        <f>Segment!BF468</f>
        <v>13</v>
      </c>
      <c r="BF158" s="916">
        <f>Segment!BG468</f>
        <v>13</v>
      </c>
      <c r="BG158" s="916">
        <f>Segment!BH468</f>
        <v>16</v>
      </c>
      <c r="BH158" s="916">
        <f>Segment!BI468</f>
        <v>19</v>
      </c>
      <c r="BI158" s="916">
        <f>Segment!BJ468</f>
        <v>22</v>
      </c>
      <c r="BJ158" s="916">
        <f>Segment!BK468</f>
        <v>22</v>
      </c>
      <c r="BK158" s="1381">
        <f>Segment!BL468</f>
        <v>22</v>
      </c>
      <c r="BL158" s="587">
        <f t="shared" ref="BL158:BQ158" si="867">ROUND(BK158/BK$141*BL$141,0)</f>
        <v>22</v>
      </c>
      <c r="BM158" s="587">
        <f t="shared" si="867"/>
        <v>22</v>
      </c>
      <c r="BN158" s="587">
        <f t="shared" si="867"/>
        <v>22</v>
      </c>
      <c r="BO158" s="587">
        <f t="shared" si="867"/>
        <v>22</v>
      </c>
      <c r="BP158" s="587">
        <f t="shared" si="867"/>
        <v>22</v>
      </c>
      <c r="BQ158" s="587">
        <f t="shared" si="867"/>
        <v>22</v>
      </c>
      <c r="BR158" s="587">
        <f t="shared" ref="BR158:CK158" si="868">ROUND(BQ158/BQ$141*BR$141,0)</f>
        <v>22</v>
      </c>
      <c r="BS158" s="587">
        <f t="shared" si="868"/>
        <v>22</v>
      </c>
      <c r="BT158" s="587">
        <f t="shared" si="868"/>
        <v>22</v>
      </c>
      <c r="BU158" s="587">
        <f t="shared" si="868"/>
        <v>22</v>
      </c>
      <c r="BV158" s="587">
        <f t="shared" si="868"/>
        <v>22</v>
      </c>
      <c r="BW158" s="587">
        <f t="shared" si="868"/>
        <v>22</v>
      </c>
      <c r="BX158" s="587">
        <f t="shared" si="868"/>
        <v>22</v>
      </c>
      <c r="BY158" s="587">
        <f t="shared" si="868"/>
        <v>22</v>
      </c>
      <c r="BZ158" s="587">
        <f t="shared" si="868"/>
        <v>22</v>
      </c>
      <c r="CA158" s="587">
        <f t="shared" si="868"/>
        <v>22</v>
      </c>
      <c r="CB158" s="587">
        <f t="shared" si="868"/>
        <v>22</v>
      </c>
      <c r="CC158" s="587">
        <f t="shared" si="868"/>
        <v>22</v>
      </c>
      <c r="CD158" s="587">
        <f t="shared" si="868"/>
        <v>22</v>
      </c>
      <c r="CE158" s="587">
        <f t="shared" si="868"/>
        <v>22</v>
      </c>
      <c r="CF158" s="587">
        <f t="shared" si="868"/>
        <v>22</v>
      </c>
      <c r="CG158" s="587">
        <f t="shared" si="868"/>
        <v>22</v>
      </c>
      <c r="CH158" s="587">
        <f t="shared" si="868"/>
        <v>22</v>
      </c>
      <c r="CI158" s="587">
        <f t="shared" si="868"/>
        <v>22</v>
      </c>
      <c r="CJ158" s="587">
        <f t="shared" si="868"/>
        <v>22</v>
      </c>
      <c r="CK158" s="587">
        <f t="shared" si="868"/>
        <v>22</v>
      </c>
      <c r="CL158" s="587">
        <f t="shared" si="851"/>
        <v>22</v>
      </c>
      <c r="CM158" s="587">
        <f t="shared" si="852"/>
        <v>22</v>
      </c>
      <c r="CN158" s="587">
        <f t="shared" si="853"/>
        <v>22</v>
      </c>
      <c r="CO158" s="587">
        <f t="shared" si="854"/>
        <v>22</v>
      </c>
      <c r="CP158" s="587">
        <f t="shared" si="855"/>
        <v>22</v>
      </c>
      <c r="CQ158" s="587">
        <f t="shared" si="856"/>
        <v>22</v>
      </c>
      <c r="CR158" s="587">
        <f t="shared" si="857"/>
        <v>22</v>
      </c>
      <c r="CS158" s="587">
        <f t="shared" si="858"/>
        <v>22</v>
      </c>
      <c r="CT158" s="587">
        <f t="shared" si="859"/>
        <v>22</v>
      </c>
      <c r="CU158" s="587">
        <f t="shared" si="860"/>
        <v>22</v>
      </c>
      <c r="CV158" s="587">
        <f t="shared" si="861"/>
        <v>22</v>
      </c>
      <c r="CW158" s="587">
        <f t="shared" si="862"/>
        <v>22</v>
      </c>
    </row>
    <row r="159" spans="1:101" s="9" customFormat="1" ht="11.25">
      <c r="A159" s="655"/>
      <c r="B159" s="916"/>
      <c r="C159" s="92"/>
      <c r="D159" s="916"/>
      <c r="E159" s="916"/>
      <c r="F159" s="916"/>
      <c r="G159" s="916"/>
      <c r="H159" s="916"/>
      <c r="I159" s="916"/>
      <c r="J159" s="916"/>
      <c r="K159" s="916"/>
      <c r="L159" s="916"/>
      <c r="M159" s="916"/>
      <c r="N159" s="916"/>
      <c r="O159" s="916"/>
      <c r="P159" s="916"/>
      <c r="Q159" s="916"/>
      <c r="R159" s="916"/>
      <c r="S159" s="916"/>
      <c r="T159" s="916"/>
      <c r="U159" s="916"/>
      <c r="V159" s="916"/>
      <c r="W159" s="916"/>
      <c r="X159" s="916"/>
      <c r="Y159" s="916"/>
      <c r="Z159" s="916"/>
      <c r="AA159" s="916"/>
      <c r="AB159" s="916"/>
      <c r="AC159" s="916"/>
      <c r="AD159" s="916"/>
      <c r="AE159" s="2158"/>
      <c r="AF159" s="916"/>
      <c r="AG159" s="916"/>
      <c r="AH159" s="916"/>
      <c r="AI159" s="916"/>
      <c r="AJ159" s="916"/>
      <c r="AK159" s="916"/>
      <c r="AL159" s="916"/>
      <c r="AM159" s="916"/>
      <c r="AN159" s="916"/>
      <c r="AO159" s="916"/>
      <c r="AP159" s="916"/>
      <c r="AQ159" s="916"/>
      <c r="AR159" s="916"/>
      <c r="AS159" s="916"/>
      <c r="AT159" s="916"/>
      <c r="AU159" s="916"/>
      <c r="AV159" s="916"/>
      <c r="AW159" s="916"/>
      <c r="AX159" s="916"/>
      <c r="AY159" s="916"/>
      <c r="AZ159" s="916"/>
      <c r="BA159" s="916"/>
      <c r="BB159" s="916"/>
      <c r="BC159" s="916"/>
      <c r="BD159" s="916"/>
      <c r="BE159" s="916"/>
      <c r="BF159" s="916"/>
      <c r="BG159" s="916"/>
      <c r="BH159" s="916"/>
      <c r="BI159" s="916"/>
      <c r="BJ159" s="916"/>
      <c r="BK159" s="1381"/>
      <c r="BL159" s="587"/>
      <c r="BM159" s="587"/>
      <c r="BN159" s="587"/>
      <c r="BO159" s="587"/>
      <c r="BP159" s="587"/>
      <c r="BQ159" s="587"/>
      <c r="BR159" s="587"/>
      <c r="BS159" s="587"/>
      <c r="BT159" s="587"/>
      <c r="BU159" s="587"/>
      <c r="BV159" s="587"/>
      <c r="BW159" s="587"/>
      <c r="BX159" s="587"/>
      <c r="BY159" s="587"/>
      <c r="BZ159" s="587"/>
      <c r="CA159" s="587"/>
      <c r="CB159" s="587"/>
      <c r="CC159" s="587"/>
      <c r="CD159" s="587"/>
      <c r="CE159" s="587"/>
      <c r="CF159" s="587"/>
      <c r="CG159" s="587"/>
      <c r="CH159" s="587"/>
      <c r="CI159" s="587"/>
      <c r="CJ159" s="587"/>
      <c r="CK159" s="587"/>
      <c r="CL159" s="587"/>
      <c r="CM159" s="587"/>
      <c r="CN159" s="587"/>
      <c r="CO159" s="587"/>
      <c r="CP159" s="587"/>
      <c r="CQ159" s="587"/>
      <c r="CR159" s="587"/>
      <c r="CS159" s="587"/>
      <c r="CT159" s="587"/>
      <c r="CU159" s="587"/>
      <c r="CV159" s="587"/>
      <c r="CW159" s="587"/>
    </row>
    <row r="160" spans="1:101" s="9" customFormat="1" ht="11.25">
      <c r="A160" s="917" t="s">
        <v>973</v>
      </c>
      <c r="B160" s="916"/>
      <c r="C160" s="92"/>
      <c r="D160" s="916"/>
      <c r="E160" s="916"/>
      <c r="F160" s="916"/>
      <c r="G160" s="916"/>
      <c r="H160" s="916"/>
      <c r="I160" s="916"/>
      <c r="J160" s="916"/>
      <c r="K160" s="916"/>
      <c r="L160" s="916"/>
      <c r="M160" s="916"/>
      <c r="N160" s="916"/>
      <c r="O160" s="916"/>
      <c r="P160" s="916"/>
      <c r="Q160" s="916"/>
      <c r="R160" s="916"/>
      <c r="S160" s="916"/>
      <c r="T160" s="916"/>
      <c r="U160" s="916"/>
      <c r="V160" s="916"/>
      <c r="W160" s="916"/>
      <c r="X160" s="916"/>
      <c r="Y160" s="916"/>
      <c r="Z160" s="916"/>
      <c r="AA160" s="916"/>
      <c r="AB160" s="916"/>
      <c r="AC160" s="916"/>
      <c r="AD160" s="916"/>
      <c r="AE160" s="2158"/>
      <c r="AF160" s="916"/>
      <c r="AG160" s="916"/>
      <c r="AH160" s="916"/>
      <c r="AI160" s="916"/>
      <c r="AJ160" s="916"/>
      <c r="AK160" s="916"/>
      <c r="AL160" s="916"/>
      <c r="AM160" s="916"/>
      <c r="AN160" s="916"/>
      <c r="AO160" s="916"/>
      <c r="AP160" s="916"/>
      <c r="AQ160" s="916"/>
      <c r="AR160" s="916"/>
      <c r="AS160" s="916"/>
      <c r="AT160" s="916"/>
      <c r="AU160" s="916"/>
      <c r="AV160" s="916"/>
      <c r="AW160" s="916"/>
      <c r="AX160" s="916"/>
      <c r="AY160" s="916"/>
      <c r="AZ160" s="916"/>
      <c r="BA160" s="916"/>
      <c r="BB160" s="916"/>
      <c r="BC160" s="916"/>
      <c r="BD160" s="916"/>
      <c r="BE160" s="916"/>
      <c r="BF160" s="916"/>
      <c r="BG160" s="916"/>
      <c r="BH160" s="916"/>
      <c r="BI160" s="916"/>
      <c r="BJ160" s="916"/>
      <c r="BK160" s="1381"/>
      <c r="BL160" s="587"/>
      <c r="BM160" s="587"/>
      <c r="BN160" s="587"/>
      <c r="BO160" s="587"/>
      <c r="BP160" s="587"/>
      <c r="BQ160" s="587"/>
      <c r="BR160" s="587"/>
      <c r="BS160" s="587"/>
      <c r="BT160" s="587"/>
      <c r="BU160" s="587"/>
      <c r="BV160" s="587"/>
      <c r="BW160" s="587"/>
      <c r="BX160" s="587"/>
      <c r="BY160" s="587"/>
      <c r="BZ160" s="587"/>
      <c r="CA160" s="587"/>
      <c r="CB160" s="587"/>
      <c r="CC160" s="587"/>
      <c r="CD160" s="587"/>
      <c r="CE160" s="587"/>
      <c r="CF160" s="587"/>
      <c r="CG160" s="587"/>
      <c r="CH160" s="587"/>
      <c r="CI160" s="587"/>
      <c r="CJ160" s="587"/>
      <c r="CK160" s="587"/>
      <c r="CL160" s="587"/>
      <c r="CM160" s="587"/>
      <c r="CN160" s="587"/>
      <c r="CO160" s="587"/>
      <c r="CP160" s="587"/>
      <c r="CQ160" s="587"/>
      <c r="CR160" s="587"/>
      <c r="CS160" s="587"/>
      <c r="CT160" s="587"/>
      <c r="CU160" s="587"/>
      <c r="CV160" s="587"/>
      <c r="CW160" s="587"/>
    </row>
    <row r="161" spans="1:101" s="9" customFormat="1" ht="11.25">
      <c r="A161" s="869" t="s">
        <v>746</v>
      </c>
      <c r="B161" s="918">
        <f t="shared" ref="B161:AG161" si="869">+B154/SUM(B$154:B$158)</f>
        <v>0.32258064516129031</v>
      </c>
      <c r="C161" s="37">
        <f t="shared" si="869"/>
        <v>0.33950617283950618</v>
      </c>
      <c r="D161" s="918">
        <f t="shared" si="869"/>
        <v>0.34545454545454546</v>
      </c>
      <c r="E161" s="918">
        <f t="shared" si="869"/>
        <v>0.34705882352941175</v>
      </c>
      <c r="F161" s="918">
        <f t="shared" si="869"/>
        <v>0.35087719298245612</v>
      </c>
      <c r="G161" s="918">
        <f t="shared" si="869"/>
        <v>0.38202247191011235</v>
      </c>
      <c r="H161" s="918">
        <f t="shared" si="869"/>
        <v>0.45222929936305734</v>
      </c>
      <c r="I161" s="918">
        <f t="shared" si="869"/>
        <v>0.47928994082840237</v>
      </c>
      <c r="J161" s="918">
        <f t="shared" si="869"/>
        <v>0.48837209302325579</v>
      </c>
      <c r="K161" s="918">
        <f t="shared" si="869"/>
        <v>0.49431818181818182</v>
      </c>
      <c r="L161" s="918">
        <f t="shared" si="869"/>
        <v>0.49735449735449733</v>
      </c>
      <c r="M161" s="918">
        <f t="shared" si="869"/>
        <v>0.51923076923076927</v>
      </c>
      <c r="N161" s="918">
        <f t="shared" si="869"/>
        <v>0.51886792452830188</v>
      </c>
      <c r="O161" s="918">
        <f t="shared" si="869"/>
        <v>0.5178571428571429</v>
      </c>
      <c r="P161" s="918">
        <f t="shared" si="869"/>
        <v>0.50423728813559321</v>
      </c>
      <c r="Q161" s="918">
        <f t="shared" si="869"/>
        <v>0.51807228915662651</v>
      </c>
      <c r="R161" s="918">
        <f t="shared" si="869"/>
        <v>0.51383399209486169</v>
      </c>
      <c r="S161" s="918">
        <f t="shared" si="869"/>
        <v>0.51330798479087447</v>
      </c>
      <c r="T161" s="918">
        <f t="shared" si="869"/>
        <v>0.50181818181818183</v>
      </c>
      <c r="U161" s="918">
        <f t="shared" si="869"/>
        <v>0.50174216027874563</v>
      </c>
      <c r="V161" s="918">
        <f t="shared" si="869"/>
        <v>0.49659863945578231</v>
      </c>
      <c r="W161" s="918">
        <f t="shared" si="869"/>
        <v>0.48993288590604028</v>
      </c>
      <c r="X161" s="918">
        <f t="shared" si="869"/>
        <v>0.48580441640378547</v>
      </c>
      <c r="Y161" s="918">
        <f t="shared" si="869"/>
        <v>0.47230320699708456</v>
      </c>
      <c r="Z161" s="918">
        <f t="shared" si="869"/>
        <v>0.47428571428571431</v>
      </c>
      <c r="AA161" s="918">
        <f t="shared" si="869"/>
        <v>0.46849315068493153</v>
      </c>
      <c r="AB161" s="918">
        <f t="shared" si="869"/>
        <v>0.46335078534031415</v>
      </c>
      <c r="AC161" s="918">
        <f t="shared" si="869"/>
        <v>0.46329113924050636</v>
      </c>
      <c r="AD161" s="918">
        <f t="shared" si="869"/>
        <v>0.41891891891891891</v>
      </c>
      <c r="AE161" s="2159">
        <f t="shared" si="869"/>
        <v>0.41447368421052633</v>
      </c>
      <c r="AF161" s="918">
        <f t="shared" si="869"/>
        <v>0.41914893617021276</v>
      </c>
      <c r="AG161" s="918">
        <f t="shared" si="869"/>
        <v>0.42411642411642414</v>
      </c>
      <c r="AH161" s="918">
        <f t="shared" ref="AH161:AS161" si="870">+AH154/SUM(AH$154:AH$158)</f>
        <v>0.42190669371196754</v>
      </c>
      <c r="AI161" s="918">
        <f t="shared" si="870"/>
        <v>0.43106796116504853</v>
      </c>
      <c r="AJ161" s="918">
        <f t="shared" si="870"/>
        <v>0.4375</v>
      </c>
      <c r="AK161" s="918">
        <f t="shared" si="870"/>
        <v>0.43278084714548803</v>
      </c>
      <c r="AL161" s="918">
        <f t="shared" si="870"/>
        <v>0.43423423423423424</v>
      </c>
      <c r="AM161" s="417">
        <f t="shared" si="870"/>
        <v>0.43455497382198954</v>
      </c>
      <c r="AN161" s="417">
        <f t="shared" si="870"/>
        <v>0.42998352553542007</v>
      </c>
      <c r="AO161" s="417">
        <f t="shared" si="870"/>
        <v>0.42197452229299365</v>
      </c>
      <c r="AP161" s="417">
        <f t="shared" si="870"/>
        <v>0.41838351822503961</v>
      </c>
      <c r="AQ161" s="417">
        <f t="shared" si="870"/>
        <v>0.41940532081377152</v>
      </c>
      <c r="AR161" s="417">
        <f t="shared" si="870"/>
        <v>0.42405063291139239</v>
      </c>
      <c r="AS161" s="417">
        <f t="shared" si="870"/>
        <v>0.41562500000000002</v>
      </c>
      <c r="AT161" s="417">
        <f t="shared" ref="AT161:BC161" si="871">+AT154/SUM(AT$154:AT$158)</f>
        <v>0.41368584758942456</v>
      </c>
      <c r="AU161" s="417">
        <f t="shared" si="871"/>
        <v>0.4015873015873016</v>
      </c>
      <c r="AV161" s="417">
        <f t="shared" si="871"/>
        <v>0.39839999999999998</v>
      </c>
      <c r="AW161" s="417">
        <f t="shared" si="871"/>
        <v>0.39020537124802529</v>
      </c>
      <c r="AX161" s="417">
        <f t="shared" si="871"/>
        <v>0.38654147104851327</v>
      </c>
      <c r="AY161" s="417">
        <f t="shared" si="871"/>
        <v>0.38176197836166925</v>
      </c>
      <c r="AZ161" s="417">
        <f t="shared" si="871"/>
        <v>0.37652439024390244</v>
      </c>
      <c r="BA161" s="417">
        <f t="shared" si="871"/>
        <v>0.37048192771084337</v>
      </c>
      <c r="BB161" s="417">
        <f t="shared" si="871"/>
        <v>0.36189069423929099</v>
      </c>
      <c r="BC161" s="417">
        <f t="shared" si="871"/>
        <v>0.35404624277456648</v>
      </c>
      <c r="BD161" s="417">
        <f t="shared" ref="BD161:BE165" si="872">+BD154/SUM(BD$154:BD$158)</f>
        <v>0.35007173601147779</v>
      </c>
      <c r="BE161" s="417">
        <f t="shared" si="872"/>
        <v>0.33886583679114801</v>
      </c>
      <c r="BF161" s="417">
        <f t="shared" ref="BF161:BG161" si="873">+BF154/SUM(BF$154:BF$158)</f>
        <v>0.33653846153846156</v>
      </c>
      <c r="BG161" s="417">
        <f t="shared" si="873"/>
        <v>0.3315436241610738</v>
      </c>
      <c r="BH161" s="417">
        <f t="shared" ref="BH161" si="874">+BH154/SUM(BH$154:BH$158)</f>
        <v>0.32758620689655171</v>
      </c>
      <c r="BI161" s="417">
        <f t="shared" ref="BI161" si="875">+BI154/SUM(BI$154:BI$158)</f>
        <v>0.32258064516129031</v>
      </c>
      <c r="BJ161" s="417">
        <f t="shared" ref="BJ161" si="876">+BJ154/SUM(BJ$154:BJ$158)</f>
        <v>0.32216494845360827</v>
      </c>
      <c r="BK161" s="1382">
        <f t="shared" ref="BK161" si="877">+BK154/SUM(BK$154:BK$158)</f>
        <v>0.32051282051282054</v>
      </c>
      <c r="BL161" s="1935">
        <f t="shared" ref="BL161:CW163" si="878">BK161</f>
        <v>0.32051282051282054</v>
      </c>
      <c r="BM161" s="1935">
        <f t="shared" si="878"/>
        <v>0.32051282051282054</v>
      </c>
      <c r="BN161" s="1935">
        <f t="shared" si="878"/>
        <v>0.32051282051282054</v>
      </c>
      <c r="BO161" s="1935">
        <f t="shared" si="878"/>
        <v>0.32051282051282054</v>
      </c>
      <c r="BP161" s="1935">
        <f t="shared" si="878"/>
        <v>0.32051282051282054</v>
      </c>
      <c r="BQ161" s="1935">
        <f t="shared" si="878"/>
        <v>0.32051282051282054</v>
      </c>
      <c r="BR161" s="1935">
        <f t="shared" si="878"/>
        <v>0.32051282051282054</v>
      </c>
      <c r="BS161" s="1935">
        <f t="shared" si="878"/>
        <v>0.32051282051282054</v>
      </c>
      <c r="BT161" s="1935">
        <f t="shared" si="878"/>
        <v>0.32051282051282054</v>
      </c>
      <c r="BU161" s="1935">
        <f t="shared" si="878"/>
        <v>0.32051282051282054</v>
      </c>
      <c r="BV161" s="1935">
        <f t="shared" si="878"/>
        <v>0.32051282051282054</v>
      </c>
      <c r="BW161" s="1935">
        <f t="shared" si="878"/>
        <v>0.32051282051282054</v>
      </c>
      <c r="BX161" s="1935">
        <f t="shared" si="878"/>
        <v>0.32051282051282054</v>
      </c>
      <c r="BY161" s="1935">
        <f t="shared" si="878"/>
        <v>0.32051282051282054</v>
      </c>
      <c r="BZ161" s="1935">
        <f t="shared" si="878"/>
        <v>0.32051282051282054</v>
      </c>
      <c r="CA161" s="1935">
        <f t="shared" si="878"/>
        <v>0.32051282051282054</v>
      </c>
      <c r="CB161" s="1935">
        <f t="shared" si="878"/>
        <v>0.32051282051282054</v>
      </c>
      <c r="CC161" s="1935">
        <f t="shared" si="878"/>
        <v>0.32051282051282054</v>
      </c>
      <c r="CD161" s="1935">
        <f t="shared" si="878"/>
        <v>0.32051282051282054</v>
      </c>
      <c r="CE161" s="1935">
        <f t="shared" si="878"/>
        <v>0.32051282051282054</v>
      </c>
      <c r="CF161" s="1935">
        <f t="shared" si="878"/>
        <v>0.32051282051282054</v>
      </c>
      <c r="CG161" s="1935">
        <f t="shared" si="878"/>
        <v>0.32051282051282054</v>
      </c>
      <c r="CH161" s="1935">
        <f t="shared" si="878"/>
        <v>0.32051282051282054</v>
      </c>
      <c r="CI161" s="1935">
        <f t="shared" si="878"/>
        <v>0.32051282051282054</v>
      </c>
      <c r="CJ161" s="1935">
        <f t="shared" si="878"/>
        <v>0.32051282051282054</v>
      </c>
      <c r="CK161" s="1935">
        <f t="shared" si="878"/>
        <v>0.32051282051282054</v>
      </c>
      <c r="CL161" s="1935">
        <f t="shared" si="878"/>
        <v>0.32051282051282054</v>
      </c>
      <c r="CM161" s="1935">
        <f t="shared" si="878"/>
        <v>0.32051282051282054</v>
      </c>
      <c r="CN161" s="1935">
        <f t="shared" si="878"/>
        <v>0.32051282051282054</v>
      </c>
      <c r="CO161" s="1935">
        <f t="shared" si="878"/>
        <v>0.32051282051282054</v>
      </c>
      <c r="CP161" s="1935">
        <f t="shared" si="878"/>
        <v>0.32051282051282054</v>
      </c>
      <c r="CQ161" s="1935">
        <f t="shared" si="878"/>
        <v>0.32051282051282054</v>
      </c>
      <c r="CR161" s="1935">
        <f t="shared" si="878"/>
        <v>0.32051282051282054</v>
      </c>
      <c r="CS161" s="1935">
        <f t="shared" si="878"/>
        <v>0.32051282051282054</v>
      </c>
      <c r="CT161" s="1935">
        <f t="shared" si="878"/>
        <v>0.32051282051282054</v>
      </c>
      <c r="CU161" s="1935">
        <f t="shared" si="878"/>
        <v>0.32051282051282054</v>
      </c>
      <c r="CV161" s="1935">
        <f t="shared" si="878"/>
        <v>0.32051282051282054</v>
      </c>
      <c r="CW161" s="1935">
        <f t="shared" si="878"/>
        <v>0.32051282051282054</v>
      </c>
    </row>
    <row r="162" spans="1:101" s="9" customFormat="1" ht="11.25">
      <c r="A162" s="869" t="s">
        <v>747</v>
      </c>
      <c r="B162" s="918">
        <f t="shared" ref="B162:AG162" si="879">+B155/SUM(B$154:B$158)</f>
        <v>0.4</v>
      </c>
      <c r="C162" s="37">
        <f t="shared" si="879"/>
        <v>0.38271604938271603</v>
      </c>
      <c r="D162" s="918">
        <f t="shared" si="879"/>
        <v>0.37575757575757573</v>
      </c>
      <c r="E162" s="918">
        <f t="shared" si="879"/>
        <v>0.36470588235294116</v>
      </c>
      <c r="F162" s="918">
        <f t="shared" si="879"/>
        <v>0.36257309941520466</v>
      </c>
      <c r="G162" s="918">
        <f t="shared" si="879"/>
        <v>0.34269662921348315</v>
      </c>
      <c r="H162" s="918">
        <f t="shared" si="879"/>
        <v>0.38216560509554143</v>
      </c>
      <c r="I162" s="918">
        <f t="shared" si="879"/>
        <v>0.36094674556213019</v>
      </c>
      <c r="J162" s="918">
        <f t="shared" si="879"/>
        <v>0.35465116279069769</v>
      </c>
      <c r="K162" s="918">
        <f t="shared" si="879"/>
        <v>0.35227272727272729</v>
      </c>
      <c r="L162" s="918">
        <f t="shared" si="879"/>
        <v>0.35449735449735448</v>
      </c>
      <c r="M162" s="918">
        <f t="shared" si="879"/>
        <v>0.32692307692307693</v>
      </c>
      <c r="N162" s="918">
        <f t="shared" si="879"/>
        <v>0.32547169811320753</v>
      </c>
      <c r="O162" s="918">
        <f t="shared" si="879"/>
        <v>0.32589285714285715</v>
      </c>
      <c r="P162" s="918">
        <f t="shared" si="879"/>
        <v>0.32203389830508472</v>
      </c>
      <c r="Q162" s="918">
        <f t="shared" si="879"/>
        <v>0.30522088353413657</v>
      </c>
      <c r="R162" s="918">
        <f t="shared" si="879"/>
        <v>0.30830039525691699</v>
      </c>
      <c r="S162" s="918">
        <f t="shared" si="879"/>
        <v>0.30038022813688214</v>
      </c>
      <c r="T162" s="918">
        <f t="shared" si="879"/>
        <v>0.30909090909090908</v>
      </c>
      <c r="U162" s="918">
        <f t="shared" si="879"/>
        <v>0.30662020905923343</v>
      </c>
      <c r="V162" s="918">
        <f t="shared" si="879"/>
        <v>0.31292517006802723</v>
      </c>
      <c r="W162" s="918">
        <f t="shared" si="879"/>
        <v>0.31543624161073824</v>
      </c>
      <c r="X162" s="918">
        <f t="shared" si="879"/>
        <v>0.30914826498422715</v>
      </c>
      <c r="Y162" s="918">
        <f t="shared" si="879"/>
        <v>0.29446064139941691</v>
      </c>
      <c r="Z162" s="918">
        <f t="shared" si="879"/>
        <v>0.29428571428571426</v>
      </c>
      <c r="AA162" s="918">
        <f t="shared" si="879"/>
        <v>0.30136986301369861</v>
      </c>
      <c r="AB162" s="918">
        <f t="shared" si="879"/>
        <v>0.29581151832460734</v>
      </c>
      <c r="AC162" s="918">
        <f t="shared" si="879"/>
        <v>0.29113924050632911</v>
      </c>
      <c r="AD162" s="918">
        <f t="shared" si="879"/>
        <v>0.26576576576576577</v>
      </c>
      <c r="AE162" s="2159">
        <f t="shared" si="879"/>
        <v>0.27412280701754388</v>
      </c>
      <c r="AF162" s="918">
        <f t="shared" si="879"/>
        <v>0.27446808510638299</v>
      </c>
      <c r="AG162" s="918">
        <f t="shared" si="879"/>
        <v>0.27234927234927236</v>
      </c>
      <c r="AH162" s="918">
        <f t="shared" ref="AH162:BC162" si="880">+AH155/SUM(AH$154:AH$158)</f>
        <v>0.2738336713995943</v>
      </c>
      <c r="AI162" s="918">
        <f t="shared" si="880"/>
        <v>0.26990291262135924</v>
      </c>
      <c r="AJ162" s="918">
        <f t="shared" si="880"/>
        <v>0.2746212121212121</v>
      </c>
      <c r="AK162" s="918">
        <f t="shared" si="880"/>
        <v>0.27624309392265195</v>
      </c>
      <c r="AL162" s="918">
        <f t="shared" si="880"/>
        <v>0.27927927927927926</v>
      </c>
      <c r="AM162" s="417">
        <f t="shared" si="880"/>
        <v>0.28097731239092494</v>
      </c>
      <c r="AN162" s="417">
        <f t="shared" si="880"/>
        <v>0.2784184514003295</v>
      </c>
      <c r="AO162" s="417">
        <f t="shared" si="880"/>
        <v>0.27547770700636942</v>
      </c>
      <c r="AP162" s="417">
        <f t="shared" si="880"/>
        <v>0.27733755942947702</v>
      </c>
      <c r="AQ162" s="417">
        <f t="shared" si="880"/>
        <v>0.28325508607198746</v>
      </c>
      <c r="AR162" s="417">
        <f t="shared" si="880"/>
        <v>0.29905063291139239</v>
      </c>
      <c r="AS162" s="417">
        <f t="shared" si="880"/>
        <v>0.30625000000000002</v>
      </c>
      <c r="AT162" s="417">
        <f t="shared" si="880"/>
        <v>0.30793157076205285</v>
      </c>
      <c r="AU162" s="417">
        <f t="shared" si="880"/>
        <v>0.31587301587301586</v>
      </c>
      <c r="AV162" s="417">
        <f t="shared" si="880"/>
        <v>0.31680000000000003</v>
      </c>
      <c r="AW162" s="417">
        <f t="shared" si="880"/>
        <v>0.31437598736176936</v>
      </c>
      <c r="AX162" s="417">
        <f t="shared" si="880"/>
        <v>0.31611893583724571</v>
      </c>
      <c r="AY162" s="417">
        <f t="shared" si="880"/>
        <v>0.31221020092735702</v>
      </c>
      <c r="AZ162" s="417">
        <f t="shared" si="880"/>
        <v>0.31097560975609756</v>
      </c>
      <c r="BA162" s="417">
        <f t="shared" si="880"/>
        <v>0.30271084337349397</v>
      </c>
      <c r="BB162" s="417">
        <f t="shared" si="880"/>
        <v>0.31166912850812406</v>
      </c>
      <c r="BC162" s="417">
        <f t="shared" si="880"/>
        <v>0.31213872832369943</v>
      </c>
      <c r="BD162" s="417">
        <f t="shared" si="872"/>
        <v>0.31133428981348638</v>
      </c>
      <c r="BE162" s="417">
        <f t="shared" si="872"/>
        <v>0.31258644536652835</v>
      </c>
      <c r="BF162" s="417">
        <f t="shared" ref="BF162:BG162" si="881">+BF155/SUM(BF$154:BF$158)</f>
        <v>0.31593406593406592</v>
      </c>
      <c r="BG162" s="417">
        <f t="shared" si="881"/>
        <v>0.31677852348993291</v>
      </c>
      <c r="BH162" s="417">
        <f t="shared" ref="BH162" si="882">+BH155/SUM(BH$154:BH$158)</f>
        <v>0.31697612732095493</v>
      </c>
      <c r="BI162" s="417">
        <f t="shared" ref="BI162" si="883">+BI155/SUM(BI$154:BI$158)</f>
        <v>0.32</v>
      </c>
      <c r="BJ162" s="417">
        <f t="shared" ref="BJ162" si="884">+BJ155/SUM(BJ$154:BJ$158)</f>
        <v>0.31829896907216493</v>
      </c>
      <c r="BK162" s="1382">
        <f t="shared" ref="BK162" si="885">+BK155/SUM(BK$154:BK$158)</f>
        <v>0.32435897435897437</v>
      </c>
      <c r="BL162" s="1935">
        <f t="shared" ref="BL162:BZ162" si="886">BK162</f>
        <v>0.32435897435897437</v>
      </c>
      <c r="BM162" s="1935">
        <f t="shared" si="886"/>
        <v>0.32435897435897437</v>
      </c>
      <c r="BN162" s="1935">
        <f t="shared" si="886"/>
        <v>0.32435897435897437</v>
      </c>
      <c r="BO162" s="1935">
        <f t="shared" si="886"/>
        <v>0.32435897435897437</v>
      </c>
      <c r="BP162" s="1935">
        <f t="shared" si="886"/>
        <v>0.32435897435897437</v>
      </c>
      <c r="BQ162" s="1935">
        <f t="shared" si="886"/>
        <v>0.32435897435897437</v>
      </c>
      <c r="BR162" s="1935">
        <f t="shared" si="886"/>
        <v>0.32435897435897437</v>
      </c>
      <c r="BS162" s="1935">
        <f t="shared" si="886"/>
        <v>0.32435897435897437</v>
      </c>
      <c r="BT162" s="1935">
        <f t="shared" si="886"/>
        <v>0.32435897435897437</v>
      </c>
      <c r="BU162" s="1935">
        <f t="shared" si="886"/>
        <v>0.32435897435897437</v>
      </c>
      <c r="BV162" s="1935">
        <f t="shared" si="886"/>
        <v>0.32435897435897437</v>
      </c>
      <c r="BW162" s="1935">
        <f t="shared" si="886"/>
        <v>0.32435897435897437</v>
      </c>
      <c r="BX162" s="1935">
        <f t="shared" si="886"/>
        <v>0.32435897435897437</v>
      </c>
      <c r="BY162" s="1935">
        <f t="shared" si="886"/>
        <v>0.32435897435897437</v>
      </c>
      <c r="BZ162" s="1935">
        <f t="shared" si="886"/>
        <v>0.32435897435897437</v>
      </c>
      <c r="CA162" s="1935">
        <f t="shared" si="878"/>
        <v>0.32435897435897437</v>
      </c>
      <c r="CB162" s="1935">
        <f t="shared" si="878"/>
        <v>0.32435897435897437</v>
      </c>
      <c r="CC162" s="1935">
        <f t="shared" si="878"/>
        <v>0.32435897435897437</v>
      </c>
      <c r="CD162" s="1935">
        <f t="shared" si="878"/>
        <v>0.32435897435897437</v>
      </c>
      <c r="CE162" s="1935">
        <f t="shared" si="878"/>
        <v>0.32435897435897437</v>
      </c>
      <c r="CF162" s="1935">
        <f t="shared" si="878"/>
        <v>0.32435897435897437</v>
      </c>
      <c r="CG162" s="1935">
        <f t="shared" si="878"/>
        <v>0.32435897435897437</v>
      </c>
      <c r="CH162" s="1935">
        <f t="shared" si="878"/>
        <v>0.32435897435897437</v>
      </c>
      <c r="CI162" s="1935">
        <f t="shared" si="878"/>
        <v>0.32435897435897437</v>
      </c>
      <c r="CJ162" s="1935">
        <f t="shared" si="878"/>
        <v>0.32435897435897437</v>
      </c>
      <c r="CK162" s="1935">
        <f t="shared" si="878"/>
        <v>0.32435897435897437</v>
      </c>
      <c r="CL162" s="1935">
        <f t="shared" si="878"/>
        <v>0.32435897435897437</v>
      </c>
      <c r="CM162" s="1935">
        <f t="shared" si="878"/>
        <v>0.32435897435897437</v>
      </c>
      <c r="CN162" s="1935">
        <f t="shared" si="878"/>
        <v>0.32435897435897437</v>
      </c>
      <c r="CO162" s="1935">
        <f t="shared" si="878"/>
        <v>0.32435897435897437</v>
      </c>
      <c r="CP162" s="1935">
        <f t="shared" si="878"/>
        <v>0.32435897435897437</v>
      </c>
      <c r="CQ162" s="1935">
        <f t="shared" si="878"/>
        <v>0.32435897435897437</v>
      </c>
      <c r="CR162" s="1935">
        <f t="shared" si="878"/>
        <v>0.32435897435897437</v>
      </c>
      <c r="CS162" s="1935">
        <f t="shared" si="878"/>
        <v>0.32435897435897437</v>
      </c>
      <c r="CT162" s="1935">
        <f t="shared" si="878"/>
        <v>0.32435897435897437</v>
      </c>
      <c r="CU162" s="1935">
        <f t="shared" si="878"/>
        <v>0.32435897435897437</v>
      </c>
      <c r="CV162" s="1935">
        <f t="shared" si="878"/>
        <v>0.32435897435897437</v>
      </c>
      <c r="CW162" s="1935">
        <f t="shared" si="878"/>
        <v>0.32435897435897437</v>
      </c>
    </row>
    <row r="163" spans="1:101" s="9" customFormat="1" ht="11.25">
      <c r="A163" s="869" t="s">
        <v>748</v>
      </c>
      <c r="B163" s="918">
        <f t="shared" ref="B163:AG163" si="887">+B156/SUM(B$154:B$158)</f>
        <v>0.14838709677419354</v>
      </c>
      <c r="C163" s="37">
        <f t="shared" si="887"/>
        <v>0.1419753086419753</v>
      </c>
      <c r="D163" s="918">
        <f t="shared" si="887"/>
        <v>0.1393939393939394</v>
      </c>
      <c r="E163" s="918">
        <f t="shared" si="887"/>
        <v>0.14705882352941177</v>
      </c>
      <c r="F163" s="918">
        <f t="shared" si="887"/>
        <v>0.14619883040935672</v>
      </c>
      <c r="G163" s="918">
        <f t="shared" si="887"/>
        <v>0.14606741573033707</v>
      </c>
      <c r="H163" s="918">
        <f t="shared" si="887"/>
        <v>0.16560509554140126</v>
      </c>
      <c r="I163" s="918">
        <f t="shared" si="887"/>
        <v>0.15976331360946747</v>
      </c>
      <c r="J163" s="918">
        <f t="shared" si="887"/>
        <v>0.15697674418604651</v>
      </c>
      <c r="K163" s="918">
        <f t="shared" si="887"/>
        <v>0.15340909090909091</v>
      </c>
      <c r="L163" s="918">
        <f t="shared" si="887"/>
        <v>0.14814814814814814</v>
      </c>
      <c r="M163" s="918">
        <f t="shared" si="887"/>
        <v>0.15384615384615385</v>
      </c>
      <c r="N163" s="918">
        <f t="shared" si="887"/>
        <v>0.15566037735849056</v>
      </c>
      <c r="O163" s="918">
        <f t="shared" si="887"/>
        <v>0.15625</v>
      </c>
      <c r="P163" s="918">
        <f t="shared" si="887"/>
        <v>0.17372881355932204</v>
      </c>
      <c r="Q163" s="918">
        <f t="shared" si="887"/>
        <v>0.17670682730923695</v>
      </c>
      <c r="R163" s="918">
        <f t="shared" si="887"/>
        <v>0.17786561264822134</v>
      </c>
      <c r="S163" s="918">
        <f t="shared" si="887"/>
        <v>0.18631178707224336</v>
      </c>
      <c r="T163" s="918">
        <f t="shared" si="887"/>
        <v>0.18909090909090909</v>
      </c>
      <c r="U163" s="918">
        <f t="shared" si="887"/>
        <v>0.19163763066202091</v>
      </c>
      <c r="V163" s="918">
        <f t="shared" si="887"/>
        <v>0.19047619047619047</v>
      </c>
      <c r="W163" s="918">
        <f t="shared" si="887"/>
        <v>0.19463087248322147</v>
      </c>
      <c r="X163" s="918">
        <f t="shared" si="887"/>
        <v>0.19873817034700317</v>
      </c>
      <c r="Y163" s="918">
        <f t="shared" si="887"/>
        <v>0.22740524781341107</v>
      </c>
      <c r="Z163" s="918">
        <f t="shared" si="887"/>
        <v>0.2257142857142857</v>
      </c>
      <c r="AA163" s="918">
        <f t="shared" si="887"/>
        <v>0.22465753424657534</v>
      </c>
      <c r="AB163" s="918">
        <f t="shared" si="887"/>
        <v>0.23036649214659685</v>
      </c>
      <c r="AC163" s="918">
        <f t="shared" si="887"/>
        <v>0.23544303797468355</v>
      </c>
      <c r="AD163" s="918">
        <f t="shared" si="887"/>
        <v>0.30630630630630629</v>
      </c>
      <c r="AE163" s="2159">
        <f t="shared" si="887"/>
        <v>0.30263157894736842</v>
      </c>
      <c r="AF163" s="918">
        <f t="shared" si="887"/>
        <v>0.2978723404255319</v>
      </c>
      <c r="AG163" s="918">
        <f t="shared" si="887"/>
        <v>0.29729729729729731</v>
      </c>
      <c r="AH163" s="918">
        <f t="shared" ref="AH163:BC163" si="888">+AH156/SUM(AH$154:AH$158)</f>
        <v>0.29614604462474647</v>
      </c>
      <c r="AI163" s="918">
        <f t="shared" si="888"/>
        <v>0.29126213592233008</v>
      </c>
      <c r="AJ163" s="918">
        <f t="shared" si="888"/>
        <v>0.28030303030303028</v>
      </c>
      <c r="AK163" s="918">
        <f t="shared" si="888"/>
        <v>0.28360957642725598</v>
      </c>
      <c r="AL163" s="918">
        <f t="shared" si="888"/>
        <v>0.27927927927927926</v>
      </c>
      <c r="AM163" s="417">
        <f t="shared" si="888"/>
        <v>0.27574171029668409</v>
      </c>
      <c r="AN163" s="417">
        <f t="shared" si="888"/>
        <v>0.28006589785831959</v>
      </c>
      <c r="AO163" s="417">
        <f t="shared" si="888"/>
        <v>0.28821656050955413</v>
      </c>
      <c r="AP163" s="417">
        <f t="shared" si="888"/>
        <v>0.2900158478605388</v>
      </c>
      <c r="AQ163" s="417">
        <f t="shared" si="888"/>
        <v>0.28794992175273865</v>
      </c>
      <c r="AR163" s="417">
        <f t="shared" si="888"/>
        <v>0.26582278481012656</v>
      </c>
      <c r="AS163" s="417">
        <f t="shared" si="888"/>
        <v>0.265625</v>
      </c>
      <c r="AT163" s="417">
        <f t="shared" si="888"/>
        <v>0.26438569206842921</v>
      </c>
      <c r="AU163" s="417">
        <f t="shared" si="888"/>
        <v>0.26825396825396824</v>
      </c>
      <c r="AV163" s="417">
        <f t="shared" si="888"/>
        <v>0.27039999999999997</v>
      </c>
      <c r="AW163" s="417">
        <f t="shared" si="888"/>
        <v>0.28120063191153238</v>
      </c>
      <c r="AX163" s="417">
        <f t="shared" si="888"/>
        <v>0.28325508607198746</v>
      </c>
      <c r="AY163" s="417">
        <f t="shared" si="888"/>
        <v>0.29211746522411131</v>
      </c>
      <c r="AZ163" s="417">
        <f t="shared" si="888"/>
        <v>0.29878048780487804</v>
      </c>
      <c r="BA163" s="417">
        <f t="shared" si="888"/>
        <v>0.31174698795180722</v>
      </c>
      <c r="BB163" s="417">
        <f t="shared" si="888"/>
        <v>0.31019202363367798</v>
      </c>
      <c r="BC163" s="417">
        <f t="shared" si="888"/>
        <v>0.31791907514450868</v>
      </c>
      <c r="BD163" s="417">
        <f t="shared" si="872"/>
        <v>0.32281205164992827</v>
      </c>
      <c r="BE163" s="417">
        <f t="shared" si="872"/>
        <v>0.33056708160442599</v>
      </c>
      <c r="BF163" s="417">
        <f t="shared" ref="BF163:BG163" si="889">+BF156/SUM(BF$154:BF$158)</f>
        <v>0.32967032967032966</v>
      </c>
      <c r="BG163" s="417">
        <f t="shared" si="889"/>
        <v>0.3302013422818792</v>
      </c>
      <c r="BH163" s="417">
        <f t="shared" ref="BH163" si="890">+BH156/SUM(BH$154:BH$158)</f>
        <v>0.33023872679045091</v>
      </c>
      <c r="BI163" s="417">
        <f t="shared" ref="BI163" si="891">+BI156/SUM(BI$154:BI$158)</f>
        <v>0.32903225806451614</v>
      </c>
      <c r="BJ163" s="417">
        <f t="shared" ref="BJ163" si="892">+BJ156/SUM(BJ$154:BJ$158)</f>
        <v>0.33118556701030927</v>
      </c>
      <c r="BK163" s="1382">
        <f t="shared" ref="BK163" si="893">+BK156/SUM(BK$154:BK$158)</f>
        <v>0.32692307692307693</v>
      </c>
      <c r="BL163" s="1935">
        <f t="shared" si="878"/>
        <v>0.32692307692307693</v>
      </c>
      <c r="BM163" s="1935">
        <f t="shared" si="878"/>
        <v>0.32692307692307693</v>
      </c>
      <c r="BN163" s="1935">
        <f t="shared" si="878"/>
        <v>0.32692307692307693</v>
      </c>
      <c r="BO163" s="1935">
        <f t="shared" si="878"/>
        <v>0.32692307692307693</v>
      </c>
      <c r="BP163" s="1935">
        <f t="shared" si="878"/>
        <v>0.32692307692307693</v>
      </c>
      <c r="BQ163" s="1935">
        <f t="shared" si="878"/>
        <v>0.32692307692307693</v>
      </c>
      <c r="BR163" s="1935">
        <f t="shared" si="878"/>
        <v>0.32692307692307693</v>
      </c>
      <c r="BS163" s="1935">
        <f t="shared" si="878"/>
        <v>0.32692307692307693</v>
      </c>
      <c r="BT163" s="1935">
        <f t="shared" si="878"/>
        <v>0.32692307692307693</v>
      </c>
      <c r="BU163" s="1935">
        <f t="shared" si="878"/>
        <v>0.32692307692307693</v>
      </c>
      <c r="BV163" s="1935">
        <f t="shared" si="878"/>
        <v>0.32692307692307693</v>
      </c>
      <c r="BW163" s="1935">
        <f t="shared" si="878"/>
        <v>0.32692307692307693</v>
      </c>
      <c r="BX163" s="1935">
        <f t="shared" si="878"/>
        <v>0.32692307692307693</v>
      </c>
      <c r="BY163" s="1935">
        <f t="shared" si="878"/>
        <v>0.32692307692307693</v>
      </c>
      <c r="BZ163" s="1935">
        <f t="shared" si="878"/>
        <v>0.32692307692307693</v>
      </c>
      <c r="CA163" s="1935">
        <f t="shared" si="878"/>
        <v>0.32692307692307693</v>
      </c>
      <c r="CB163" s="1935">
        <f t="shared" si="878"/>
        <v>0.32692307692307693</v>
      </c>
      <c r="CC163" s="1935">
        <f t="shared" si="878"/>
        <v>0.32692307692307693</v>
      </c>
      <c r="CD163" s="1935">
        <f t="shared" si="878"/>
        <v>0.32692307692307693</v>
      </c>
      <c r="CE163" s="1935">
        <f t="shared" si="878"/>
        <v>0.32692307692307693</v>
      </c>
      <c r="CF163" s="1935">
        <f t="shared" si="878"/>
        <v>0.32692307692307693</v>
      </c>
      <c r="CG163" s="1935">
        <f t="shared" si="878"/>
        <v>0.32692307692307693</v>
      </c>
      <c r="CH163" s="1935">
        <f t="shared" si="878"/>
        <v>0.32692307692307693</v>
      </c>
      <c r="CI163" s="1935">
        <f t="shared" si="878"/>
        <v>0.32692307692307693</v>
      </c>
      <c r="CJ163" s="1935">
        <f t="shared" si="878"/>
        <v>0.32692307692307693</v>
      </c>
      <c r="CK163" s="1935">
        <f t="shared" si="878"/>
        <v>0.32692307692307693</v>
      </c>
      <c r="CL163" s="1935">
        <f t="shared" si="878"/>
        <v>0.32692307692307693</v>
      </c>
      <c r="CM163" s="1935">
        <f t="shared" si="878"/>
        <v>0.32692307692307693</v>
      </c>
      <c r="CN163" s="1935">
        <f t="shared" si="878"/>
        <v>0.32692307692307693</v>
      </c>
      <c r="CO163" s="1935">
        <f t="shared" si="878"/>
        <v>0.32692307692307693</v>
      </c>
      <c r="CP163" s="1935">
        <f t="shared" si="878"/>
        <v>0.32692307692307693</v>
      </c>
      <c r="CQ163" s="1935">
        <f t="shared" si="878"/>
        <v>0.32692307692307693</v>
      </c>
      <c r="CR163" s="1935">
        <f t="shared" si="878"/>
        <v>0.32692307692307693</v>
      </c>
      <c r="CS163" s="1935">
        <f t="shared" si="878"/>
        <v>0.32692307692307693</v>
      </c>
      <c r="CT163" s="1935">
        <f t="shared" si="878"/>
        <v>0.32692307692307693</v>
      </c>
      <c r="CU163" s="1935">
        <f t="shared" si="878"/>
        <v>0.32692307692307693</v>
      </c>
      <c r="CV163" s="1935">
        <f t="shared" si="878"/>
        <v>0.32692307692307693</v>
      </c>
      <c r="CW163" s="1935">
        <f t="shared" si="878"/>
        <v>0.32692307692307693</v>
      </c>
    </row>
    <row r="164" spans="1:101" s="9" customFormat="1" ht="11.25">
      <c r="A164" s="869" t="s">
        <v>749</v>
      </c>
      <c r="B164" s="918">
        <f t="shared" ref="B164:AG164" si="894">+B157/SUM(B$154:B$158)</f>
        <v>0.12903225806451613</v>
      </c>
      <c r="C164" s="37">
        <f t="shared" si="894"/>
        <v>0.13580246913580246</v>
      </c>
      <c r="D164" s="918">
        <f t="shared" si="894"/>
        <v>0.1393939393939394</v>
      </c>
      <c r="E164" s="918">
        <f t="shared" si="894"/>
        <v>0.14117647058823529</v>
      </c>
      <c r="F164" s="918">
        <f t="shared" si="894"/>
        <v>0.14035087719298245</v>
      </c>
      <c r="G164" s="918">
        <f t="shared" si="894"/>
        <v>0.12921348314606743</v>
      </c>
      <c r="H164" s="918">
        <f t="shared" si="894"/>
        <v>0</v>
      </c>
      <c r="I164" s="918">
        <f t="shared" si="894"/>
        <v>0</v>
      </c>
      <c r="J164" s="918">
        <f t="shared" si="894"/>
        <v>0</v>
      </c>
      <c r="K164" s="918">
        <f t="shared" si="894"/>
        <v>0</v>
      </c>
      <c r="L164" s="918">
        <f t="shared" si="894"/>
        <v>0</v>
      </c>
      <c r="M164" s="918">
        <f t="shared" si="894"/>
        <v>0</v>
      </c>
      <c r="N164" s="918">
        <f t="shared" si="894"/>
        <v>0</v>
      </c>
      <c r="O164" s="918">
        <f t="shared" si="894"/>
        <v>0</v>
      </c>
      <c r="P164" s="918">
        <f t="shared" si="894"/>
        <v>0</v>
      </c>
      <c r="Q164" s="918">
        <f t="shared" si="894"/>
        <v>0</v>
      </c>
      <c r="R164" s="918">
        <f t="shared" si="894"/>
        <v>0</v>
      </c>
      <c r="S164" s="918">
        <f t="shared" si="894"/>
        <v>0</v>
      </c>
      <c r="T164" s="918">
        <f t="shared" si="894"/>
        <v>0</v>
      </c>
      <c r="U164" s="918">
        <f t="shared" si="894"/>
        <v>0</v>
      </c>
      <c r="V164" s="918">
        <f t="shared" si="894"/>
        <v>0</v>
      </c>
      <c r="W164" s="918">
        <f t="shared" si="894"/>
        <v>0</v>
      </c>
      <c r="X164" s="918">
        <f t="shared" si="894"/>
        <v>6.3091482649842269E-3</v>
      </c>
      <c r="Y164" s="918">
        <f t="shared" si="894"/>
        <v>5.8309037900874635E-3</v>
      </c>
      <c r="Z164" s="918">
        <f t="shared" si="894"/>
        <v>5.7142857142857143E-3</v>
      </c>
      <c r="AA164" s="918">
        <f t="shared" si="894"/>
        <v>5.4794520547945206E-3</v>
      </c>
      <c r="AB164" s="918">
        <f t="shared" si="894"/>
        <v>1.0471204188481676E-2</v>
      </c>
      <c r="AC164" s="918">
        <f t="shared" si="894"/>
        <v>1.0126582278481013E-2</v>
      </c>
      <c r="AD164" s="918">
        <f t="shared" si="894"/>
        <v>9.0090090090090089E-3</v>
      </c>
      <c r="AE164" s="2159">
        <f t="shared" si="894"/>
        <v>8.771929824561403E-3</v>
      </c>
      <c r="AF164" s="918">
        <f t="shared" si="894"/>
        <v>8.5106382978723406E-3</v>
      </c>
      <c r="AG164" s="918">
        <f t="shared" si="894"/>
        <v>6.2370062370062374E-3</v>
      </c>
      <c r="AH164" s="918">
        <f t="shared" ref="AH164:BQ164" si="895">+AH157/SUM(AH$154:AH$158)</f>
        <v>8.1135902636916835E-3</v>
      </c>
      <c r="AI164" s="918">
        <f t="shared" si="895"/>
        <v>7.7669902912621356E-3</v>
      </c>
      <c r="AJ164" s="918">
        <f t="shared" si="895"/>
        <v>7.575757575757576E-3</v>
      </c>
      <c r="AK164" s="918">
        <f t="shared" si="895"/>
        <v>7.3664825046040518E-3</v>
      </c>
      <c r="AL164" s="918">
        <f t="shared" si="895"/>
        <v>7.2072072072072073E-3</v>
      </c>
      <c r="AM164" s="417">
        <f t="shared" si="895"/>
        <v>6.9808027923211171E-3</v>
      </c>
      <c r="AN164" s="417">
        <f t="shared" si="895"/>
        <v>6.5897858319604614E-3</v>
      </c>
      <c r="AO164" s="417">
        <f t="shared" si="895"/>
        <v>6.369426751592357E-3</v>
      </c>
      <c r="AP164" s="417">
        <f t="shared" si="895"/>
        <v>6.3391442155309036E-3</v>
      </c>
      <c r="AQ164" s="417">
        <f t="shared" si="895"/>
        <v>0</v>
      </c>
      <c r="AR164" s="417">
        <f t="shared" si="895"/>
        <v>0</v>
      </c>
      <c r="AS164" s="417">
        <f t="shared" si="895"/>
        <v>0</v>
      </c>
      <c r="AT164" s="417">
        <f t="shared" si="895"/>
        <v>0</v>
      </c>
      <c r="AU164" s="417">
        <f t="shared" si="895"/>
        <v>0</v>
      </c>
      <c r="AV164" s="417">
        <f t="shared" si="895"/>
        <v>0</v>
      </c>
      <c r="AW164" s="417">
        <f t="shared" si="895"/>
        <v>0</v>
      </c>
      <c r="AX164" s="417">
        <f t="shared" si="895"/>
        <v>0</v>
      </c>
      <c r="AY164" s="417">
        <f t="shared" si="895"/>
        <v>0</v>
      </c>
      <c r="AZ164" s="417">
        <f t="shared" si="895"/>
        <v>0</v>
      </c>
      <c r="BA164" s="417">
        <f t="shared" si="895"/>
        <v>0</v>
      </c>
      <c r="BB164" s="417">
        <f t="shared" si="895"/>
        <v>0</v>
      </c>
      <c r="BC164" s="417">
        <f t="shared" si="895"/>
        <v>0</v>
      </c>
      <c r="BD164" s="417">
        <f t="shared" si="872"/>
        <v>0</v>
      </c>
      <c r="BE164" s="417">
        <f t="shared" si="872"/>
        <v>0</v>
      </c>
      <c r="BF164" s="417">
        <f t="shared" ref="BF164:BG164" si="896">+BF157/SUM(BF$154:BF$158)</f>
        <v>0</v>
      </c>
      <c r="BG164" s="417">
        <f t="shared" si="896"/>
        <v>0</v>
      </c>
      <c r="BH164" s="417">
        <f t="shared" ref="BH164" si="897">+BH157/SUM(BH$154:BH$158)</f>
        <v>0</v>
      </c>
      <c r="BI164" s="417">
        <f t="shared" ref="BI164" si="898">+BI157/SUM(BI$154:BI$158)</f>
        <v>0</v>
      </c>
      <c r="BJ164" s="417">
        <f t="shared" ref="BJ164" si="899">+BJ157/SUM(BJ$154:BJ$158)</f>
        <v>0</v>
      </c>
      <c r="BK164" s="1382">
        <f t="shared" ref="BK164" si="900">+BK157/SUM(BK$154:BK$158)</f>
        <v>0</v>
      </c>
      <c r="BL164" s="919">
        <f t="shared" si="895"/>
        <v>0</v>
      </c>
      <c r="BM164" s="919">
        <f t="shared" si="895"/>
        <v>0</v>
      </c>
      <c r="BN164" s="919">
        <f t="shared" si="895"/>
        <v>0</v>
      </c>
      <c r="BO164" s="919">
        <f t="shared" si="895"/>
        <v>0</v>
      </c>
      <c r="BP164" s="919">
        <f t="shared" si="895"/>
        <v>0</v>
      </c>
      <c r="BQ164" s="919">
        <f t="shared" si="895"/>
        <v>0</v>
      </c>
      <c r="BR164" s="919">
        <f t="shared" ref="BR164:CK164" si="901">+BR157/SUM(BR$154:BR$158)</f>
        <v>0</v>
      </c>
      <c r="BS164" s="919">
        <f t="shared" si="901"/>
        <v>0</v>
      </c>
      <c r="BT164" s="919">
        <f t="shared" si="901"/>
        <v>0</v>
      </c>
      <c r="BU164" s="919">
        <f t="shared" si="901"/>
        <v>0</v>
      </c>
      <c r="BV164" s="919">
        <f t="shared" si="901"/>
        <v>0</v>
      </c>
      <c r="BW164" s="919">
        <f t="shared" si="901"/>
        <v>0</v>
      </c>
      <c r="BX164" s="919">
        <f t="shared" si="901"/>
        <v>0</v>
      </c>
      <c r="BY164" s="919">
        <f t="shared" si="901"/>
        <v>0</v>
      </c>
      <c r="BZ164" s="919">
        <f t="shared" si="901"/>
        <v>0</v>
      </c>
      <c r="CA164" s="919">
        <f t="shared" si="901"/>
        <v>0</v>
      </c>
      <c r="CB164" s="919">
        <f t="shared" si="901"/>
        <v>0</v>
      </c>
      <c r="CC164" s="919">
        <f t="shared" si="901"/>
        <v>0</v>
      </c>
      <c r="CD164" s="919">
        <f t="shared" si="901"/>
        <v>0</v>
      </c>
      <c r="CE164" s="919">
        <f t="shared" si="901"/>
        <v>0</v>
      </c>
      <c r="CF164" s="919">
        <f t="shared" si="901"/>
        <v>0</v>
      </c>
      <c r="CG164" s="919">
        <f t="shared" si="901"/>
        <v>0</v>
      </c>
      <c r="CH164" s="919">
        <f t="shared" si="901"/>
        <v>0</v>
      </c>
      <c r="CI164" s="919">
        <f t="shared" si="901"/>
        <v>0</v>
      </c>
      <c r="CJ164" s="919">
        <f t="shared" si="901"/>
        <v>0</v>
      </c>
      <c r="CK164" s="919">
        <f t="shared" si="901"/>
        <v>0</v>
      </c>
      <c r="CL164" s="919">
        <f t="shared" ref="CL164:CW164" si="902">+CL157/SUM(CL$154:CL$158)</f>
        <v>0</v>
      </c>
      <c r="CM164" s="919">
        <f t="shared" si="902"/>
        <v>0</v>
      </c>
      <c r="CN164" s="919">
        <f t="shared" si="902"/>
        <v>0</v>
      </c>
      <c r="CO164" s="919">
        <f t="shared" si="902"/>
        <v>0</v>
      </c>
      <c r="CP164" s="919">
        <f t="shared" si="902"/>
        <v>0</v>
      </c>
      <c r="CQ164" s="919">
        <f t="shared" si="902"/>
        <v>0</v>
      </c>
      <c r="CR164" s="919">
        <f t="shared" si="902"/>
        <v>0</v>
      </c>
      <c r="CS164" s="919">
        <f t="shared" si="902"/>
        <v>0</v>
      </c>
      <c r="CT164" s="919">
        <f t="shared" si="902"/>
        <v>0</v>
      </c>
      <c r="CU164" s="919">
        <f t="shared" si="902"/>
        <v>0</v>
      </c>
      <c r="CV164" s="919">
        <f t="shared" si="902"/>
        <v>0</v>
      </c>
      <c r="CW164" s="919">
        <f t="shared" si="902"/>
        <v>0</v>
      </c>
    </row>
    <row r="165" spans="1:101" s="9" customFormat="1" ht="11.25">
      <c r="A165" s="869" t="s">
        <v>986</v>
      </c>
      <c r="B165" s="918">
        <f t="shared" ref="B165:AG165" si="903">+B158/SUM(B$154:B$158)</f>
        <v>0</v>
      </c>
      <c r="C165" s="37">
        <f t="shared" si="903"/>
        <v>0</v>
      </c>
      <c r="D165" s="918">
        <f t="shared" si="903"/>
        <v>0</v>
      </c>
      <c r="E165" s="918">
        <f t="shared" si="903"/>
        <v>0</v>
      </c>
      <c r="F165" s="918">
        <f t="shared" si="903"/>
        <v>0</v>
      </c>
      <c r="G165" s="918">
        <f t="shared" si="903"/>
        <v>0</v>
      </c>
      <c r="H165" s="918">
        <f t="shared" si="903"/>
        <v>0</v>
      </c>
      <c r="I165" s="918">
        <f t="shared" si="903"/>
        <v>0</v>
      </c>
      <c r="J165" s="918">
        <f t="shared" si="903"/>
        <v>0</v>
      </c>
      <c r="K165" s="918">
        <f t="shared" si="903"/>
        <v>0</v>
      </c>
      <c r="L165" s="918">
        <f t="shared" si="903"/>
        <v>0</v>
      </c>
      <c r="M165" s="918">
        <f t="shared" si="903"/>
        <v>0</v>
      </c>
      <c r="N165" s="918">
        <f t="shared" si="903"/>
        <v>0</v>
      </c>
      <c r="O165" s="918">
        <f t="shared" si="903"/>
        <v>0</v>
      </c>
      <c r="P165" s="918">
        <f t="shared" si="903"/>
        <v>0</v>
      </c>
      <c r="Q165" s="918">
        <f t="shared" si="903"/>
        <v>0</v>
      </c>
      <c r="R165" s="918">
        <f t="shared" si="903"/>
        <v>0</v>
      </c>
      <c r="S165" s="918">
        <f t="shared" si="903"/>
        <v>0</v>
      </c>
      <c r="T165" s="918">
        <f t="shared" si="903"/>
        <v>0</v>
      </c>
      <c r="U165" s="918">
        <f t="shared" si="903"/>
        <v>0</v>
      </c>
      <c r="V165" s="918">
        <f t="shared" si="903"/>
        <v>0</v>
      </c>
      <c r="W165" s="918">
        <f t="shared" si="903"/>
        <v>0</v>
      </c>
      <c r="X165" s="918">
        <f t="shared" si="903"/>
        <v>0</v>
      </c>
      <c r="Y165" s="918">
        <f t="shared" si="903"/>
        <v>0</v>
      </c>
      <c r="Z165" s="918">
        <f t="shared" si="903"/>
        <v>0</v>
      </c>
      <c r="AA165" s="918">
        <f t="shared" si="903"/>
        <v>0</v>
      </c>
      <c r="AB165" s="918">
        <f t="shared" si="903"/>
        <v>0</v>
      </c>
      <c r="AC165" s="918">
        <f t="shared" si="903"/>
        <v>0</v>
      </c>
      <c r="AD165" s="918">
        <f t="shared" si="903"/>
        <v>0</v>
      </c>
      <c r="AE165" s="2159">
        <f t="shared" si="903"/>
        <v>0</v>
      </c>
      <c r="AF165" s="918">
        <f t="shared" si="903"/>
        <v>0</v>
      </c>
      <c r="AG165" s="918">
        <f t="shared" si="903"/>
        <v>0</v>
      </c>
      <c r="AH165" s="918">
        <f t="shared" ref="AH165:BQ165" si="904">+AH158/SUM(AH$154:AH$158)</f>
        <v>0</v>
      </c>
      <c r="AI165" s="918">
        <f t="shared" si="904"/>
        <v>0</v>
      </c>
      <c r="AJ165" s="918">
        <f t="shared" si="904"/>
        <v>0</v>
      </c>
      <c r="AK165" s="918">
        <f t="shared" si="904"/>
        <v>0</v>
      </c>
      <c r="AL165" s="918">
        <f t="shared" si="904"/>
        <v>0</v>
      </c>
      <c r="AM165" s="417">
        <f t="shared" si="904"/>
        <v>1.7452006980802793E-3</v>
      </c>
      <c r="AN165" s="417">
        <f t="shared" si="904"/>
        <v>4.9423393739703456E-3</v>
      </c>
      <c r="AO165" s="417">
        <f t="shared" si="904"/>
        <v>7.9617834394904458E-3</v>
      </c>
      <c r="AP165" s="417">
        <f t="shared" si="904"/>
        <v>7.9239302694136295E-3</v>
      </c>
      <c r="AQ165" s="417">
        <f t="shared" si="904"/>
        <v>9.3896713615023476E-3</v>
      </c>
      <c r="AR165" s="417">
        <f t="shared" si="904"/>
        <v>1.1075949367088608E-2</v>
      </c>
      <c r="AS165" s="417">
        <f t="shared" si="904"/>
        <v>1.2500000000000001E-2</v>
      </c>
      <c r="AT165" s="417">
        <f t="shared" si="904"/>
        <v>1.3996889580093312E-2</v>
      </c>
      <c r="AU165" s="417">
        <f t="shared" si="904"/>
        <v>1.4285714285714285E-2</v>
      </c>
      <c r="AV165" s="417">
        <f t="shared" si="904"/>
        <v>1.44E-2</v>
      </c>
      <c r="AW165" s="417">
        <f t="shared" si="904"/>
        <v>1.4218009478672985E-2</v>
      </c>
      <c r="AX165" s="417">
        <f t="shared" si="904"/>
        <v>1.4084507042253521E-2</v>
      </c>
      <c r="AY165" s="417">
        <f t="shared" si="904"/>
        <v>1.3910355486862442E-2</v>
      </c>
      <c r="AZ165" s="417">
        <f t="shared" si="904"/>
        <v>1.3719512195121951E-2</v>
      </c>
      <c r="BA165" s="417">
        <f t="shared" si="904"/>
        <v>1.5060240963855422E-2</v>
      </c>
      <c r="BB165" s="417">
        <f t="shared" si="904"/>
        <v>1.6248153618906941E-2</v>
      </c>
      <c r="BC165" s="417">
        <f t="shared" si="904"/>
        <v>1.5895953757225433E-2</v>
      </c>
      <c r="BD165" s="417">
        <f t="shared" si="872"/>
        <v>1.5781922525107604E-2</v>
      </c>
      <c r="BE165" s="417">
        <f t="shared" si="872"/>
        <v>1.7980636237897647E-2</v>
      </c>
      <c r="BF165" s="417">
        <f t="shared" ref="BF165:BG165" si="905">+BF158/SUM(BF$154:BF$158)</f>
        <v>1.7857142857142856E-2</v>
      </c>
      <c r="BG165" s="417">
        <f t="shared" si="905"/>
        <v>2.1476510067114093E-2</v>
      </c>
      <c r="BH165" s="417">
        <f t="shared" ref="BH165" si="906">+BH158/SUM(BH$154:BH$158)</f>
        <v>2.5198938992042442E-2</v>
      </c>
      <c r="BI165" s="417">
        <f t="shared" ref="BI165" si="907">+BI158/SUM(BI$154:BI$158)</f>
        <v>2.838709677419355E-2</v>
      </c>
      <c r="BJ165" s="417">
        <f t="shared" ref="BJ165" si="908">+BJ158/SUM(BJ$154:BJ$158)</f>
        <v>2.8350515463917526E-2</v>
      </c>
      <c r="BK165" s="1382">
        <f t="shared" ref="BK165" si="909">+BK158/SUM(BK$154:BK$158)</f>
        <v>2.8205128205128206E-2</v>
      </c>
      <c r="BL165" s="919">
        <f t="shared" si="904"/>
        <v>2.802547770700637E-2</v>
      </c>
      <c r="BM165" s="919">
        <f t="shared" si="904"/>
        <v>2.7534418022528161E-2</v>
      </c>
      <c r="BN165" s="919">
        <f t="shared" si="904"/>
        <v>2.736318407960199E-2</v>
      </c>
      <c r="BO165" s="919">
        <f t="shared" si="904"/>
        <v>2.7194066749072928E-2</v>
      </c>
      <c r="BP165" s="919">
        <f t="shared" si="904"/>
        <v>2.7027027027027029E-2</v>
      </c>
      <c r="BQ165" s="919">
        <f t="shared" si="904"/>
        <v>2.6731470230862697E-2</v>
      </c>
      <c r="BR165" s="919">
        <f t="shared" ref="BR165:CK165" si="910">+BR158/SUM(BR$154:BR$158)</f>
        <v>2.6602176541717048E-2</v>
      </c>
      <c r="BS165" s="919">
        <f t="shared" si="910"/>
        <v>2.6474127557160047E-2</v>
      </c>
      <c r="BT165" s="919">
        <f t="shared" si="910"/>
        <v>2.6347305389221556E-2</v>
      </c>
      <c r="BU165" s="919">
        <f t="shared" si="910"/>
        <v>2.6159334126040427E-2</v>
      </c>
      <c r="BV165" s="919">
        <f t="shared" si="910"/>
        <v>2.6035502958579881E-2</v>
      </c>
      <c r="BW165" s="919">
        <f t="shared" si="910"/>
        <v>2.591283863368669E-2</v>
      </c>
      <c r="BX165" s="919">
        <f t="shared" si="910"/>
        <v>2.5791324736225089E-2</v>
      </c>
      <c r="BY165" s="919">
        <f t="shared" si="910"/>
        <v>2.5581395348837209E-2</v>
      </c>
      <c r="BZ165" s="919">
        <f t="shared" si="910"/>
        <v>2.5492468134414831E-2</v>
      </c>
      <c r="CA165" s="919">
        <f t="shared" si="910"/>
        <v>2.5404157043879907E-2</v>
      </c>
      <c r="CB165" s="919">
        <f t="shared" si="910"/>
        <v>2.5316455696202531E-2</v>
      </c>
      <c r="CC165" s="919">
        <f t="shared" si="910"/>
        <v>2.5114155251141551E-2</v>
      </c>
      <c r="CD165" s="919">
        <f t="shared" si="910"/>
        <v>2.502844141069397E-2</v>
      </c>
      <c r="CE165" s="919">
        <f t="shared" si="910"/>
        <v>2.4943310657596373E-2</v>
      </c>
      <c r="CF165" s="919">
        <f t="shared" si="910"/>
        <v>2.4858757062146894E-2</v>
      </c>
      <c r="CG165" s="919">
        <f t="shared" si="910"/>
        <v>2.4663677130044841E-2</v>
      </c>
      <c r="CH165" s="919">
        <f t="shared" si="910"/>
        <v>2.4581005586592177E-2</v>
      </c>
      <c r="CI165" s="919">
        <f t="shared" si="910"/>
        <v>2.4498886414253896E-2</v>
      </c>
      <c r="CJ165" s="919">
        <f t="shared" si="910"/>
        <v>2.4417314095449501E-2</v>
      </c>
      <c r="CK165" s="919">
        <f t="shared" si="910"/>
        <v>2.4282560706401765E-2</v>
      </c>
      <c r="CL165" s="919">
        <f t="shared" ref="CL165:CW165" si="911">+CL158/SUM(CL$154:CL$158)</f>
        <v>2.4202420242024202E-2</v>
      </c>
      <c r="CM165" s="919">
        <f t="shared" si="911"/>
        <v>2.4122807017543858E-2</v>
      </c>
      <c r="CN165" s="919">
        <f t="shared" si="911"/>
        <v>2.4043715846994537E-2</v>
      </c>
      <c r="CO165" s="919">
        <f t="shared" si="911"/>
        <v>2.3887079261672096E-2</v>
      </c>
      <c r="CP165" s="919">
        <f t="shared" si="911"/>
        <v>2.3809523809523808E-2</v>
      </c>
      <c r="CQ165" s="919">
        <f t="shared" si="911"/>
        <v>2.3732470334412083E-2</v>
      </c>
      <c r="CR165" s="919">
        <f t="shared" si="911"/>
        <v>2.3655913978494623E-2</v>
      </c>
      <c r="CS165" s="919">
        <f t="shared" si="911"/>
        <v>2.3504273504273504E-2</v>
      </c>
      <c r="CT165" s="919">
        <f t="shared" si="911"/>
        <v>2.3429179978700747E-2</v>
      </c>
      <c r="CU165" s="919">
        <f t="shared" si="911"/>
        <v>2.3354564755838639E-2</v>
      </c>
      <c r="CV165" s="919">
        <f t="shared" si="911"/>
        <v>2.328042328042328E-2</v>
      </c>
      <c r="CW165" s="919">
        <f t="shared" si="911"/>
        <v>2.3206751054852322E-2</v>
      </c>
    </row>
    <row r="166" spans="1:101" s="9" customFormat="1" ht="11.25">
      <c r="A166" s="655"/>
      <c r="B166" s="916"/>
      <c r="C166" s="92"/>
      <c r="D166" s="916"/>
      <c r="E166" s="916"/>
      <c r="F166" s="916"/>
      <c r="G166" s="916"/>
      <c r="H166" s="916"/>
      <c r="I166" s="916"/>
      <c r="J166" s="916"/>
      <c r="K166" s="916"/>
      <c r="L166" s="916"/>
      <c r="M166" s="916"/>
      <c r="N166" s="916"/>
      <c r="O166" s="916"/>
      <c r="P166" s="916"/>
      <c r="Q166" s="916"/>
      <c r="R166" s="916"/>
      <c r="S166" s="916"/>
      <c r="T166" s="916"/>
      <c r="U166" s="916"/>
      <c r="V166" s="916"/>
      <c r="W166" s="916"/>
      <c r="X166" s="916"/>
      <c r="Y166" s="916"/>
      <c r="Z166" s="916"/>
      <c r="AA166" s="916"/>
      <c r="AB166" s="916"/>
      <c r="AC166" s="916"/>
      <c r="AD166" s="916"/>
      <c r="AE166" s="2158"/>
      <c r="AF166" s="916"/>
      <c r="AG166" s="916"/>
      <c r="AH166" s="916"/>
      <c r="AI166" s="916"/>
      <c r="AJ166" s="916"/>
      <c r="AK166" s="916"/>
      <c r="AL166" s="916"/>
      <c r="AM166" s="916"/>
      <c r="AN166" s="916"/>
      <c r="AO166" s="916"/>
      <c r="AP166" s="587"/>
      <c r="AQ166" s="587"/>
      <c r="AR166" s="587"/>
      <c r="AS166" s="587"/>
      <c r="AT166" s="587"/>
      <c r="AU166" s="587"/>
      <c r="AV166" s="587"/>
      <c r="AW166" s="587"/>
      <c r="AX166" s="587"/>
      <c r="AY166" s="587"/>
      <c r="AZ166" s="587"/>
      <c r="BA166" s="587"/>
      <c r="BB166" s="587"/>
      <c r="BC166" s="587"/>
      <c r="BD166" s="587"/>
      <c r="BE166" s="587"/>
      <c r="BF166" s="587"/>
      <c r="BG166" s="587"/>
      <c r="BH166" s="587"/>
      <c r="BI166" s="587"/>
      <c r="BJ166" s="587"/>
      <c r="BK166" s="1383"/>
      <c r="BL166" s="587"/>
      <c r="BM166" s="587"/>
      <c r="BN166" s="587"/>
      <c r="BO166" s="587"/>
      <c r="BP166" s="587"/>
      <c r="BQ166" s="587"/>
    </row>
    <row r="167" spans="1:101" s="9" customFormat="1" ht="11.25">
      <c r="A167" s="331" t="s">
        <v>754</v>
      </c>
      <c r="B167" s="62"/>
      <c r="C167" s="62"/>
      <c r="D167" s="62"/>
      <c r="E167" s="62"/>
      <c r="F167" s="256"/>
      <c r="G167" s="256"/>
      <c r="H167" s="256"/>
      <c r="I167" s="256"/>
      <c r="J167" s="256"/>
      <c r="K167" s="256"/>
      <c r="L167" s="256"/>
      <c r="M167" s="256"/>
      <c r="N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56"/>
      <c r="AE167" s="2132"/>
      <c r="AF167" s="256"/>
      <c r="AG167" s="256"/>
      <c r="AH167" s="256"/>
      <c r="AI167" s="256"/>
      <c r="AJ167" s="256"/>
      <c r="AK167" s="256"/>
      <c r="AL167" s="256"/>
      <c r="AM167" s="257"/>
      <c r="AN167" s="257"/>
      <c r="AO167" s="257"/>
      <c r="AP167" s="461"/>
      <c r="AQ167" s="461"/>
      <c r="AR167" s="461"/>
      <c r="AS167" s="461"/>
      <c r="AT167" s="461"/>
      <c r="AU167" s="461"/>
      <c r="AV167" s="461"/>
      <c r="AW167" s="461"/>
      <c r="AX167" s="461"/>
      <c r="AY167" s="461"/>
      <c r="AZ167" s="461"/>
      <c r="BA167" s="461"/>
      <c r="BB167" s="461"/>
      <c r="BC167" s="461"/>
      <c r="BD167" s="461"/>
      <c r="BE167" s="461"/>
      <c r="BF167" s="461"/>
      <c r="BG167" s="461"/>
      <c r="BH167" s="461"/>
      <c r="BI167" s="461"/>
      <c r="BJ167" s="461"/>
      <c r="BK167" s="1368"/>
      <c r="BL167" s="461"/>
      <c r="BM167" s="461"/>
      <c r="BN167" s="461"/>
      <c r="BO167" s="461"/>
      <c r="BP167" s="461"/>
      <c r="BQ167" s="461"/>
    </row>
    <row r="168" spans="1:101" s="9" customFormat="1" ht="11.25">
      <c r="A168" s="331"/>
      <c r="B168" s="62"/>
      <c r="C168" s="62"/>
      <c r="D168" s="62"/>
      <c r="E168" s="62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56"/>
      <c r="AE168" s="2132"/>
      <c r="AF168" s="256"/>
      <c r="AG168" s="256"/>
      <c r="AH168" s="256"/>
      <c r="AI168" s="256"/>
      <c r="AJ168" s="256"/>
      <c r="AK168" s="256"/>
      <c r="AL168" s="256"/>
      <c r="AM168" s="257"/>
      <c r="AN168" s="257"/>
      <c r="AO168" s="257"/>
      <c r="AP168" s="461"/>
      <c r="AQ168" s="461"/>
      <c r="AR168" s="461"/>
      <c r="BK168" s="1318"/>
      <c r="BL168" s="461"/>
      <c r="BM168" s="461"/>
      <c r="BN168" s="461"/>
      <c r="BO168" s="461"/>
      <c r="BP168" s="461"/>
      <c r="BQ168" s="461"/>
    </row>
    <row r="169" spans="1:101" s="9" customFormat="1" ht="11.25">
      <c r="A169" s="622" t="s">
        <v>739</v>
      </c>
      <c r="B169" s="62"/>
      <c r="C169" s="62"/>
      <c r="D169" s="62"/>
      <c r="E169" s="62"/>
      <c r="F169" s="256"/>
      <c r="G169" s="256"/>
      <c r="H169" s="256"/>
      <c r="I169" s="256"/>
      <c r="J169" s="256"/>
      <c r="K169" s="256"/>
      <c r="L169" s="256"/>
      <c r="M169" s="256"/>
      <c r="N169" s="256"/>
      <c r="O169" s="256"/>
      <c r="P169" s="256"/>
      <c r="Q169" s="256"/>
      <c r="R169" s="256"/>
      <c r="S169" s="256"/>
      <c r="T169" s="256"/>
      <c r="U169" s="256"/>
      <c r="V169" s="256"/>
      <c r="W169" s="256"/>
      <c r="X169" s="256"/>
      <c r="Y169" s="256"/>
      <c r="Z169" s="256"/>
      <c r="AA169" s="256"/>
      <c r="AB169" s="256"/>
      <c r="AC169" s="256"/>
      <c r="AD169" s="256"/>
      <c r="AE169" s="2132"/>
      <c r="AF169" s="256"/>
      <c r="AG169" s="256"/>
      <c r="AH169" s="256"/>
      <c r="AI169" s="256"/>
      <c r="AJ169" s="256"/>
      <c r="AK169" s="256"/>
      <c r="AL169" s="256"/>
      <c r="AM169" s="257"/>
      <c r="AN169" s="257"/>
      <c r="AO169" s="257"/>
      <c r="AP169" s="461"/>
      <c r="AQ169" s="461"/>
      <c r="AR169" s="461"/>
      <c r="BK169" s="1318"/>
      <c r="BL169" s="461"/>
      <c r="BM169" s="461"/>
      <c r="BN169" s="461"/>
      <c r="BO169" s="461"/>
      <c r="BP169" s="461"/>
      <c r="BQ169" s="461"/>
    </row>
    <row r="170" spans="1:101" s="9" customFormat="1" ht="11.25">
      <c r="A170" s="655" t="s">
        <v>951</v>
      </c>
      <c r="B170" s="873"/>
      <c r="C170" s="873">
        <f t="shared" ref="C170:AH170" si="912">C192/C148</f>
        <v>2.9750995348837206</v>
      </c>
      <c r="D170" s="873">
        <f t="shared" si="912"/>
        <v>3.3152909666423178</v>
      </c>
      <c r="E170" s="873">
        <f t="shared" si="912"/>
        <v>3.4183575138504159</v>
      </c>
      <c r="F170" s="873">
        <f t="shared" si="912"/>
        <v>3.0323974285766915</v>
      </c>
      <c r="G170" s="873">
        <f t="shared" si="912"/>
        <v>3.4830117478314326</v>
      </c>
      <c r="H170" s="873">
        <f t="shared" si="912"/>
        <v>3.9477512755102038</v>
      </c>
      <c r="I170" s="873">
        <f t="shared" si="912"/>
        <v>3.8465311498754002</v>
      </c>
      <c r="J170" s="873">
        <f t="shared" si="912"/>
        <v>3.3383225806451611</v>
      </c>
      <c r="K170" s="873">
        <f t="shared" si="912"/>
        <v>3.7158415081422076</v>
      </c>
      <c r="L170" s="873">
        <f t="shared" si="912"/>
        <v>4.3874201630854239</v>
      </c>
      <c r="M170" s="873">
        <f t="shared" si="912"/>
        <v>4.45042988068802</v>
      </c>
      <c r="N170" s="873">
        <f t="shared" si="912"/>
        <v>3.9632743897881388</v>
      </c>
      <c r="O170" s="873">
        <f t="shared" si="912"/>
        <v>4.6731193116130383</v>
      </c>
      <c r="P170" s="873">
        <f t="shared" si="912"/>
        <v>4.9679564121945079</v>
      </c>
      <c r="Q170" s="873">
        <f t="shared" si="912"/>
        <v>4.5695834447167156</v>
      </c>
      <c r="R170" s="873">
        <f t="shared" si="912"/>
        <v>3.9069307021359401</v>
      </c>
      <c r="S170" s="873">
        <f t="shared" si="912"/>
        <v>4.4815127958773697</v>
      </c>
      <c r="T170" s="873">
        <f t="shared" si="912"/>
        <v>4.7558003409642398</v>
      </c>
      <c r="U170" s="873">
        <f t="shared" si="912"/>
        <v>4.5118367126442731</v>
      </c>
      <c r="V170" s="873">
        <f t="shared" si="912"/>
        <v>3.4835457418455671</v>
      </c>
      <c r="W170" s="873">
        <f t="shared" si="912"/>
        <v>3.7585663495838286</v>
      </c>
      <c r="X170" s="873">
        <f t="shared" si="912"/>
        <v>4.115247839331551</v>
      </c>
      <c r="Y170" s="873">
        <f t="shared" si="912"/>
        <v>4.0841613553178764</v>
      </c>
      <c r="Z170" s="873">
        <f t="shared" si="912"/>
        <v>4.0971238651337654</v>
      </c>
      <c r="AA170" s="873">
        <f t="shared" si="912"/>
        <v>4.6901273065631619</v>
      </c>
      <c r="AB170" s="873">
        <f t="shared" si="912"/>
        <v>5.189490272041299</v>
      </c>
      <c r="AC170" s="873">
        <f t="shared" si="912"/>
        <v>5.1559555376444575</v>
      </c>
      <c r="AD170" s="873">
        <f t="shared" si="912"/>
        <v>3.946467701290719</v>
      </c>
      <c r="AE170" s="2134">
        <f t="shared" si="912"/>
        <v>4.4718415069051236</v>
      </c>
      <c r="AF170" s="873">
        <f t="shared" si="912"/>
        <v>5.0701450029480144</v>
      </c>
      <c r="AG170" s="873">
        <f t="shared" si="912"/>
        <v>5.1764543267279208</v>
      </c>
      <c r="AH170" s="873">
        <f t="shared" si="912"/>
        <v>5.2684221185365709</v>
      </c>
      <c r="AI170" s="873">
        <f t="shared" ref="AI170:BQ170" si="913">AI192/AI148</f>
        <v>5.0556258847252753</v>
      </c>
      <c r="AJ170" s="873">
        <f t="shared" si="913"/>
        <v>5.242953384581778</v>
      </c>
      <c r="AK170" s="873">
        <f t="shared" si="913"/>
        <v>5.310994397225576</v>
      </c>
      <c r="AL170" s="873">
        <f t="shared" si="913"/>
        <v>4.9170218221329849</v>
      </c>
      <c r="AM170" s="964">
        <f t="shared" si="913"/>
        <v>5.0013847164651297</v>
      </c>
      <c r="AN170" s="964">
        <f t="shared" si="913"/>
        <v>4.3035143593993084</v>
      </c>
      <c r="AO170" s="964">
        <f t="shared" si="913"/>
        <v>4.0079902430427179</v>
      </c>
      <c r="AP170" s="964">
        <f t="shared" si="913"/>
        <v>3.7183533101586126</v>
      </c>
      <c r="AQ170" s="964">
        <f t="shared" si="913"/>
        <v>3.9715810393540196</v>
      </c>
      <c r="AR170" s="964">
        <f t="shared" si="913"/>
        <v>4.1822677205128249</v>
      </c>
      <c r="AS170" s="964">
        <f t="shared" si="913"/>
        <v>3.9948451362987329</v>
      </c>
      <c r="AT170" s="964">
        <f t="shared" si="913"/>
        <v>2.8575623006313018</v>
      </c>
      <c r="AU170" s="964">
        <f t="shared" ref="AU170:BC170" si="914">AU192/AU148</f>
        <v>1.2759675416156071</v>
      </c>
      <c r="AV170" s="964">
        <f t="shared" si="914"/>
        <v>2.0963914114333284</v>
      </c>
      <c r="AW170" s="964">
        <f t="shared" si="914"/>
        <v>2.9500961153952416</v>
      </c>
      <c r="AX170" s="964">
        <f t="shared" si="914"/>
        <v>2.9067375930906336</v>
      </c>
      <c r="AY170" s="964">
        <f t="shared" si="914"/>
        <v>2.8426079353377776</v>
      </c>
      <c r="AZ170" s="964">
        <f t="shared" si="914"/>
        <v>3.9365306969609977</v>
      </c>
      <c r="BA170" s="964">
        <f t="shared" si="914"/>
        <v>4.9063164493111611</v>
      </c>
      <c r="BB170" s="964">
        <f>BB192/BB148</f>
        <v>4.3032590360087033</v>
      </c>
      <c r="BC170" s="964">
        <f t="shared" si="914"/>
        <v>4.9326898579392937</v>
      </c>
      <c r="BD170" s="964">
        <f t="shared" ref="BD170:BG170" si="915">BD192/BD148</f>
        <v>5.6654198649897838</v>
      </c>
      <c r="BE170" s="964">
        <f t="shared" si="915"/>
        <v>5.7747425383469775</v>
      </c>
      <c r="BF170" s="964">
        <f t="shared" si="915"/>
        <v>4.6138545789538696</v>
      </c>
      <c r="BG170" s="964">
        <f t="shared" si="915"/>
        <v>5.0107172714372306</v>
      </c>
      <c r="BH170" s="964">
        <f t="shared" ref="BH170" si="916">BH192/BH148</f>
        <v>5.5956010955712774</v>
      </c>
      <c r="BI170" s="964">
        <f t="shared" ref="BI170" si="917">BI192/BI148</f>
        <v>4.7133661061241643</v>
      </c>
      <c r="BJ170" s="964">
        <f t="shared" ref="BJ170" si="918">BJ192/BJ148</f>
        <v>3.6268011782618976</v>
      </c>
      <c r="BK170" s="1356">
        <f t="shared" ref="BK170" si="919">BK192/BK148</f>
        <v>4.1831657191769596</v>
      </c>
      <c r="BL170" s="874">
        <f t="shared" si="913"/>
        <v>4.4064305215116439</v>
      </c>
      <c r="BM170" s="874">
        <f t="shared" si="913"/>
        <v>3.383224598138737</v>
      </c>
      <c r="BN170" s="874">
        <f t="shared" si="913"/>
        <v>3.7053516526352643</v>
      </c>
      <c r="BO170" s="874">
        <f t="shared" si="913"/>
        <v>4.598129050236702</v>
      </c>
      <c r="BP170" s="874">
        <f t="shared" si="913"/>
        <v>4.6344566526841549</v>
      </c>
      <c r="BQ170" s="874">
        <f t="shared" si="913"/>
        <v>3.4754773430405153</v>
      </c>
      <c r="BR170" s="874">
        <f t="shared" ref="BR170:CK170" si="920">BR192/BR148</f>
        <v>3.8376067615493721</v>
      </c>
      <c r="BS170" s="874">
        <f t="shared" si="920"/>
        <v>4.7199267229600999</v>
      </c>
      <c r="BT170" s="874">
        <f t="shared" si="920"/>
        <v>4.7588569762665935</v>
      </c>
      <c r="BU170" s="874">
        <f t="shared" si="920"/>
        <v>3.5679519316381629</v>
      </c>
      <c r="BV170" s="874">
        <f t="shared" si="920"/>
        <v>3.860184945343879</v>
      </c>
      <c r="BW170" s="874">
        <f t="shared" si="920"/>
        <v>4.7465205249208076</v>
      </c>
      <c r="BX170" s="874">
        <f t="shared" si="920"/>
        <v>4.7844998224812221</v>
      </c>
      <c r="BY170" s="874">
        <f t="shared" si="920"/>
        <v>3.5850464766807195</v>
      </c>
      <c r="BZ170" s="874">
        <f t="shared" si="920"/>
        <v>3.9037125739517751</v>
      </c>
      <c r="CA170" s="874">
        <f t="shared" si="920"/>
        <v>4.7999867662972759</v>
      </c>
      <c r="CB170" s="874">
        <f t="shared" si="920"/>
        <v>4.8383383735270877</v>
      </c>
      <c r="CC170" s="874">
        <f t="shared" si="920"/>
        <v>3.6257340259387099</v>
      </c>
      <c r="CD170" s="874">
        <f t="shared" si="920"/>
        <v>3.9479729006942423</v>
      </c>
      <c r="CE170" s="874">
        <f t="shared" si="920"/>
        <v>4.8533340174260191</v>
      </c>
      <c r="CF170" s="874">
        <f t="shared" si="920"/>
        <v>4.8910385572116271</v>
      </c>
      <c r="CG170" s="874">
        <f t="shared" si="920"/>
        <v>3.6648082513536191</v>
      </c>
      <c r="CH170" s="874">
        <f t="shared" si="920"/>
        <v>3.9904901705273361</v>
      </c>
      <c r="CI170" s="874">
        <f t="shared" si="920"/>
        <v>4.9055782110992032</v>
      </c>
      <c r="CJ170" s="874">
        <f t="shared" si="920"/>
        <v>4.9436654067614763</v>
      </c>
      <c r="CK170" s="874">
        <f t="shared" si="920"/>
        <v>3.7046635080049235</v>
      </c>
      <c r="CL170" s="874">
        <f t="shared" ref="CL170:CW170" si="921">CL192/CL148</f>
        <v>4.034344184960176</v>
      </c>
      <c r="CM170" s="874">
        <f t="shared" si="921"/>
        <v>4.9594634576952963</v>
      </c>
      <c r="CN170" s="874">
        <f t="shared" si="921"/>
        <v>4.9979438075001852</v>
      </c>
      <c r="CO170" s="874">
        <f t="shared" si="921"/>
        <v>3.7445535704766044</v>
      </c>
      <c r="CP170" s="874">
        <f t="shared" si="921"/>
        <v>4.0769390798167393</v>
      </c>
      <c r="CQ170" s="874">
        <f t="shared" si="921"/>
        <v>5.0118082188511632</v>
      </c>
      <c r="CR170" s="874">
        <f t="shared" si="921"/>
        <v>5.0506771371985426</v>
      </c>
      <c r="CS170" s="874">
        <f t="shared" si="921"/>
        <v>3.7844214322598453</v>
      </c>
      <c r="CT170" s="874">
        <f t="shared" si="921"/>
        <v>4.1207333641657131</v>
      </c>
      <c r="CU170" s="874">
        <f t="shared" si="921"/>
        <v>5.0656245044002928</v>
      </c>
      <c r="CV170" s="874">
        <f t="shared" si="921"/>
        <v>5.1048905041499486</v>
      </c>
      <c r="CW170" s="874">
        <f t="shared" si="921"/>
        <v>3.8259171654625184</v>
      </c>
    </row>
    <row r="171" spans="1:101" s="9" customFormat="1" ht="11.25">
      <c r="A171" s="665" t="s">
        <v>950</v>
      </c>
      <c r="B171" s="62"/>
      <c r="C171" s="62"/>
      <c r="D171" s="62"/>
      <c r="E171" s="62"/>
      <c r="F171" s="256"/>
      <c r="G171" s="256">
        <f t="shared" ref="G171:AL171" si="922">G170/C170-1</f>
        <v>0.17072108243516748</v>
      </c>
      <c r="H171" s="256">
        <f t="shared" si="922"/>
        <v>0.19077067902381839</v>
      </c>
      <c r="I171" s="256">
        <f t="shared" si="922"/>
        <v>0.12525712547330725</v>
      </c>
      <c r="J171" s="256">
        <f t="shared" si="922"/>
        <v>0.10088557297453615</v>
      </c>
      <c r="K171" s="256">
        <f t="shared" si="922"/>
        <v>6.6847250933258495E-2</v>
      </c>
      <c r="L171" s="256">
        <f t="shared" si="922"/>
        <v>0.11137198290649608</v>
      </c>
      <c r="M171" s="256">
        <f t="shared" si="922"/>
        <v>0.15699826864321165</v>
      </c>
      <c r="N171" s="256">
        <f t="shared" si="922"/>
        <v>0.18720533862314781</v>
      </c>
      <c r="O171" s="256">
        <f t="shared" si="922"/>
        <v>0.25762073042491962</v>
      </c>
      <c r="P171" s="256">
        <f t="shared" si="922"/>
        <v>0.13231836193705826</v>
      </c>
      <c r="Q171" s="256">
        <f t="shared" si="922"/>
        <v>2.6773495420238991E-2</v>
      </c>
      <c r="R171" s="256">
        <f t="shared" si="922"/>
        <v>-1.4216448852841235E-2</v>
      </c>
      <c r="S171" s="256">
        <f t="shared" si="922"/>
        <v>-4.1001845439621598E-2</v>
      </c>
      <c r="T171" s="256">
        <f t="shared" si="922"/>
        <v>-4.2704897875010084E-2</v>
      </c>
      <c r="U171" s="256">
        <f t="shared" si="922"/>
        <v>-1.2637198285372908E-2</v>
      </c>
      <c r="V171" s="256">
        <f t="shared" si="922"/>
        <v>-0.10836766571234702</v>
      </c>
      <c r="W171" s="256">
        <f t="shared" si="922"/>
        <v>-0.16131750130415634</v>
      </c>
      <c r="X171" s="256">
        <f t="shared" si="922"/>
        <v>-0.13468868659503408</v>
      </c>
      <c r="Y171" s="256">
        <f t="shared" si="922"/>
        <v>-9.4789635477687151E-2</v>
      </c>
      <c r="Z171" s="256">
        <f t="shared" si="922"/>
        <v>0.17613608913403489</v>
      </c>
      <c r="AA171" s="256">
        <f t="shared" si="922"/>
        <v>0.24785007642142109</v>
      </c>
      <c r="AB171" s="256">
        <f t="shared" si="922"/>
        <v>0.26103954722791123</v>
      </c>
      <c r="AC171" s="256">
        <f t="shared" si="922"/>
        <v>0.2624269927364713</v>
      </c>
      <c r="AD171" s="256">
        <f t="shared" si="922"/>
        <v>-3.6771200676923521E-2</v>
      </c>
      <c r="AE171" s="2132">
        <f t="shared" si="922"/>
        <v>-4.6541551090218514E-2</v>
      </c>
      <c r="AF171" s="256">
        <f t="shared" si="922"/>
        <v>-2.2997493556595416E-2</v>
      </c>
      <c r="AG171" s="256">
        <f t="shared" si="922"/>
        <v>3.9757497778634132E-3</v>
      </c>
      <c r="AH171" s="256">
        <f t="shared" si="922"/>
        <v>0.33497155362845055</v>
      </c>
      <c r="AI171" s="256">
        <f t="shared" si="922"/>
        <v>0.13054675057662712</v>
      </c>
      <c r="AJ171" s="256">
        <f t="shared" si="922"/>
        <v>3.4083518623882592E-2</v>
      </c>
      <c r="AK171" s="256">
        <f t="shared" si="922"/>
        <v>2.5990777085190375E-2</v>
      </c>
      <c r="AL171" s="256">
        <f t="shared" si="922"/>
        <v>-6.6699343465135175E-2</v>
      </c>
      <c r="AM171" s="257">
        <f t="shared" ref="AM171:BQ171" si="923">AM170/AI170-1</f>
        <v>-1.0728873041026654E-2</v>
      </c>
      <c r="AN171" s="257">
        <f t="shared" si="923"/>
        <v>-0.17918126602939599</v>
      </c>
      <c r="AO171" s="257">
        <f t="shared" si="923"/>
        <v>-0.24534090167060574</v>
      </c>
      <c r="AP171" s="257">
        <f t="shared" si="923"/>
        <v>-0.24377937608061995</v>
      </c>
      <c r="AQ171" s="257">
        <f t="shared" si="923"/>
        <v>-0.20590371177023814</v>
      </c>
      <c r="AR171" s="257">
        <f t="shared" si="923"/>
        <v>-2.817386646373532E-2</v>
      </c>
      <c r="AS171" s="257">
        <f t="shared" si="923"/>
        <v>-3.2797252355598605E-3</v>
      </c>
      <c r="AT171" s="257">
        <f t="shared" si="923"/>
        <v>-0.23149790719876273</v>
      </c>
      <c r="AU171" s="257">
        <f t="shared" si="923"/>
        <v>-0.67872554305900701</v>
      </c>
      <c r="AV171" s="257">
        <f t="shared" si="923"/>
        <v>-0.49874289463796662</v>
      </c>
      <c r="AW171" s="257">
        <f t="shared" si="923"/>
        <v>-0.26152428573776021</v>
      </c>
      <c r="AX171" s="257">
        <f t="shared" si="923"/>
        <v>1.7208826015260525E-2</v>
      </c>
      <c r="AY171" s="257">
        <f t="shared" si="923"/>
        <v>1.2278058356708028</v>
      </c>
      <c r="AZ171" s="257">
        <f t="shared" si="923"/>
        <v>0.87776513273804313</v>
      </c>
      <c r="BA171" s="257">
        <f t="shared" ref="BA171:BK171" si="924">BA170/AW170-1</f>
        <v>0.66310393200657902</v>
      </c>
      <c r="BB171" s="257">
        <f t="shared" si="924"/>
        <v>0.48044290142929502</v>
      </c>
      <c r="BC171" s="257">
        <f t="shared" si="924"/>
        <v>0.73526915077480037</v>
      </c>
      <c r="BD171" s="257">
        <f t="shared" si="924"/>
        <v>0.43919107994343576</v>
      </c>
      <c r="BE171" s="257">
        <f t="shared" si="924"/>
        <v>0.17700164634870674</v>
      </c>
      <c r="BF171" s="257">
        <f t="shared" si="924"/>
        <v>7.2176817697046092E-2</v>
      </c>
      <c r="BG171" s="257">
        <f t="shared" si="924"/>
        <v>1.5818430865331967E-2</v>
      </c>
      <c r="BH171" s="257">
        <f t="shared" si="924"/>
        <v>-1.2323670810342024E-2</v>
      </c>
      <c r="BI171" s="257">
        <f t="shared" si="924"/>
        <v>-0.18379632081859576</v>
      </c>
      <c r="BJ171" s="257">
        <f t="shared" si="924"/>
        <v>-0.21393249045915386</v>
      </c>
      <c r="BK171" s="1357">
        <f t="shared" si="924"/>
        <v>-0.16515630546101501</v>
      </c>
      <c r="BL171" s="461">
        <f t="shared" si="923"/>
        <v>-0.21251882572559011</v>
      </c>
      <c r="BM171" s="461">
        <f t="shared" si="923"/>
        <v>-0.2822062784932301</v>
      </c>
      <c r="BN171" s="461">
        <f t="shared" si="923"/>
        <v>2.1658334855568562E-2</v>
      </c>
      <c r="BO171" s="461">
        <f t="shared" si="923"/>
        <v>9.9198396362214059E-2</v>
      </c>
      <c r="BP171" s="461">
        <f t="shared" si="923"/>
        <v>5.1748491224204107E-2</v>
      </c>
      <c r="BQ171" s="461">
        <f t="shared" si="923"/>
        <v>2.7267697495617194E-2</v>
      </c>
      <c r="BR171" s="461">
        <f t="shared" ref="BR171:CK171" si="925">BR170/BN170-1</f>
        <v>3.5692997942596616E-2</v>
      </c>
      <c r="BS171" s="461">
        <f t="shared" si="925"/>
        <v>2.6488528571664949E-2</v>
      </c>
      <c r="BT171" s="461">
        <f t="shared" si="925"/>
        <v>2.6842482928476574E-2</v>
      </c>
      <c r="BU171" s="461">
        <f t="shared" si="925"/>
        <v>2.6607737432909451E-2</v>
      </c>
      <c r="BV171" s="461">
        <f t="shared" si="925"/>
        <v>5.8834021298710404E-3</v>
      </c>
      <c r="BW171" s="461">
        <f t="shared" si="925"/>
        <v>5.6343675488312872E-3</v>
      </c>
      <c r="BX171" s="461">
        <f t="shared" si="925"/>
        <v>5.3884464993410042E-3</v>
      </c>
      <c r="BY171" s="461">
        <f t="shared" si="925"/>
        <v>4.7911365876243117E-3</v>
      </c>
      <c r="BZ171" s="461">
        <f t="shared" si="925"/>
        <v>1.1276047449591431E-2</v>
      </c>
      <c r="CA171" s="461">
        <f t="shared" si="925"/>
        <v>1.1264302154758044E-2</v>
      </c>
      <c r="CB171" s="461">
        <f t="shared" si="925"/>
        <v>1.1252702067808817E-2</v>
      </c>
      <c r="CC171" s="461">
        <f t="shared" si="925"/>
        <v>1.1349238991083199E-2</v>
      </c>
      <c r="CD171" s="461">
        <f t="shared" si="925"/>
        <v>1.1338008601812E-2</v>
      </c>
      <c r="CE171" s="461">
        <f t="shared" si="925"/>
        <v>1.1114041293471155E-2</v>
      </c>
      <c r="CF171" s="461">
        <f t="shared" si="925"/>
        <v>1.0892207120710706E-2</v>
      </c>
      <c r="CG171" s="461">
        <f t="shared" si="925"/>
        <v>1.0776914449700303E-2</v>
      </c>
      <c r="CH171" s="461">
        <f t="shared" si="925"/>
        <v>1.0769392521822407E-2</v>
      </c>
      <c r="CI171" s="461">
        <f t="shared" si="925"/>
        <v>1.0764598827445182E-2</v>
      </c>
      <c r="CJ171" s="461">
        <f t="shared" si="925"/>
        <v>1.0759851703121992E-2</v>
      </c>
      <c r="CK171" s="461">
        <f t="shared" si="925"/>
        <v>1.0875127405801877E-2</v>
      </c>
      <c r="CL171" s="461">
        <f t="shared" ref="CL171" si="926">CL170/CH170-1</f>
        <v>1.0989630987374266E-2</v>
      </c>
      <c r="CM171" s="461">
        <f t="shared" ref="CM171" si="927">CM170/CI170-1</f>
        <v>1.098448424982279E-2</v>
      </c>
      <c r="CN171" s="461">
        <f t="shared" ref="CN171" si="928">CN170/CJ170-1</f>
        <v>1.097938397377618E-2</v>
      </c>
      <c r="CO171" s="461">
        <f t="shared" ref="CO171" si="929">CO170/CK170-1</f>
        <v>1.0767526493428603E-2</v>
      </c>
      <c r="CP171" s="461">
        <f t="shared" ref="CP171" si="930">CP170/CL170-1</f>
        <v>1.0558071622980281E-2</v>
      </c>
      <c r="CQ171" s="461">
        <f t="shared" ref="CQ171" si="931">CQ170/CM170-1</f>
        <v>1.0554520988484528E-2</v>
      </c>
      <c r="CR171" s="461">
        <f t="shared" ref="CR171" si="932">CR170/CN170-1</f>
        <v>1.0551004919107543E-2</v>
      </c>
      <c r="CS171" s="461">
        <f t="shared" ref="CS171" si="933">CS170/CO170-1</f>
        <v>1.0646893156389448E-2</v>
      </c>
      <c r="CT171" s="461">
        <f t="shared" ref="CT171" si="934">CT170/CP170-1</f>
        <v>1.0741952109557307E-2</v>
      </c>
      <c r="CU171" s="461">
        <f t="shared" ref="CU171" si="935">CU170/CQ170-1</f>
        <v>1.0737898019861802E-2</v>
      </c>
      <c r="CV171" s="461">
        <f t="shared" ref="CV171" si="936">CV170/CR170-1</f>
        <v>1.0733880919079342E-2</v>
      </c>
      <c r="CW171" s="461">
        <f t="shared" ref="CW171" si="937">CW170/CS170-1</f>
        <v>1.0964881672254512E-2</v>
      </c>
    </row>
    <row r="172" spans="1:101" s="9" customFormat="1" ht="11.25">
      <c r="A172" s="312"/>
      <c r="B172" s="62"/>
      <c r="C172" s="62"/>
      <c r="D172" s="62"/>
      <c r="E172" s="62"/>
      <c r="F172" s="256"/>
      <c r="G172" s="256"/>
      <c r="H172" s="256"/>
      <c r="I172" s="256"/>
      <c r="J172" s="256"/>
      <c r="K172" s="256"/>
      <c r="L172" s="256"/>
      <c r="M172" s="256"/>
      <c r="N172" s="256"/>
      <c r="O172" s="256"/>
      <c r="P172" s="256"/>
      <c r="Q172" s="256"/>
      <c r="R172" s="256"/>
      <c r="S172" s="256"/>
      <c r="T172" s="256"/>
      <c r="U172" s="256"/>
      <c r="V172" s="256"/>
      <c r="W172" s="256"/>
      <c r="X172" s="256"/>
      <c r="Y172" s="256"/>
      <c r="Z172" s="256"/>
      <c r="AA172" s="256"/>
      <c r="AB172" s="256"/>
      <c r="AC172" s="256"/>
      <c r="AD172" s="256"/>
      <c r="AE172" s="2132"/>
      <c r="AF172" s="256"/>
      <c r="AG172" s="256"/>
      <c r="AH172" s="256"/>
      <c r="AI172" s="256"/>
      <c r="AJ172" s="256"/>
      <c r="AK172" s="256"/>
      <c r="AL172" s="256"/>
      <c r="AM172" s="257"/>
      <c r="AN172" s="257"/>
      <c r="AO172" s="257"/>
      <c r="AP172" s="461"/>
      <c r="AQ172" s="461"/>
      <c r="AR172" s="461"/>
      <c r="AS172" s="461"/>
      <c r="AT172" s="461"/>
      <c r="AU172" s="461"/>
      <c r="AV172" s="461"/>
      <c r="AW172" s="461"/>
      <c r="AX172" s="461"/>
      <c r="AY172" s="461"/>
      <c r="AZ172" s="461"/>
      <c r="BA172" s="461"/>
      <c r="BB172" s="461"/>
      <c r="BC172" s="461"/>
      <c r="BD172" s="461"/>
      <c r="BE172" s="461"/>
      <c r="BF172" s="461"/>
      <c r="BG172" s="461"/>
      <c r="BH172" s="461"/>
      <c r="BI172" s="461"/>
      <c r="BJ172" s="461"/>
      <c r="BK172" s="1368"/>
      <c r="BL172" s="461"/>
      <c r="BM172" s="461"/>
      <c r="BN172" s="461"/>
      <c r="BO172" s="461"/>
      <c r="BP172" s="461"/>
      <c r="BQ172" s="461"/>
      <c r="BR172" s="461"/>
      <c r="BS172" s="461"/>
      <c r="BT172" s="461"/>
      <c r="BU172" s="461"/>
      <c r="BV172" s="461"/>
      <c r="BW172" s="461"/>
      <c r="BX172" s="461"/>
      <c r="BY172" s="461"/>
      <c r="BZ172" s="461"/>
      <c r="CA172" s="461"/>
      <c r="CB172" s="461"/>
      <c r="CC172" s="461"/>
      <c r="CD172" s="461"/>
      <c r="CE172" s="461"/>
      <c r="CF172" s="461"/>
      <c r="CG172" s="461"/>
      <c r="CH172" s="461"/>
      <c r="CI172" s="461"/>
      <c r="CJ172" s="461"/>
      <c r="CK172" s="461"/>
      <c r="CL172" s="461"/>
      <c r="CM172" s="461"/>
      <c r="CN172" s="461"/>
      <c r="CO172" s="461"/>
      <c r="CP172" s="461"/>
      <c r="CQ172" s="461"/>
      <c r="CR172" s="461"/>
      <c r="CS172" s="461"/>
      <c r="CT172" s="461"/>
      <c r="CU172" s="461"/>
      <c r="CV172" s="461"/>
      <c r="CW172" s="461"/>
    </row>
    <row r="173" spans="1:101" s="9" customFormat="1" ht="11.25">
      <c r="A173" s="674" t="s">
        <v>939</v>
      </c>
      <c r="B173" s="663"/>
      <c r="C173" s="663"/>
      <c r="D173" s="663"/>
      <c r="E173" s="663"/>
      <c r="F173" s="657"/>
      <c r="G173" s="657"/>
      <c r="H173" s="657"/>
      <c r="I173" s="657"/>
      <c r="J173" s="657"/>
      <c r="K173" s="657"/>
      <c r="L173" s="657"/>
      <c r="M173" s="657"/>
      <c r="N173" s="657"/>
      <c r="O173" s="657"/>
      <c r="P173" s="657"/>
      <c r="Q173" s="657"/>
      <c r="R173" s="657"/>
      <c r="S173" s="657"/>
      <c r="T173" s="657"/>
      <c r="U173" s="657"/>
      <c r="V173" s="657"/>
      <c r="W173" s="657"/>
      <c r="X173" s="657"/>
      <c r="Y173" s="668"/>
      <c r="Z173" s="668"/>
      <c r="AA173" s="668"/>
      <c r="AB173" s="668"/>
      <c r="AC173" s="668"/>
      <c r="AD173" s="668"/>
      <c r="AE173" s="2160"/>
      <c r="AF173" s="668"/>
      <c r="AG173" s="668"/>
      <c r="AH173" s="668"/>
      <c r="AI173" s="668"/>
      <c r="AJ173" s="668"/>
      <c r="AK173" s="668"/>
      <c r="AL173" s="668"/>
      <c r="AM173" s="974"/>
      <c r="AN173" s="974"/>
      <c r="AO173" s="974"/>
      <c r="AP173" s="461"/>
      <c r="AQ173" s="461"/>
      <c r="AR173" s="461"/>
      <c r="AS173" s="461"/>
      <c r="AT173" s="461"/>
      <c r="AU173" s="461"/>
      <c r="AV173" s="461"/>
      <c r="AW173" s="461"/>
      <c r="AX173" s="461"/>
      <c r="AY173" s="461"/>
      <c r="AZ173" s="461"/>
      <c r="BA173" s="461"/>
      <c r="BB173" s="461"/>
      <c r="BC173" s="461"/>
      <c r="BD173" s="461"/>
      <c r="BE173" s="461"/>
      <c r="BF173" s="461"/>
      <c r="BG173" s="461"/>
      <c r="BH173" s="461"/>
      <c r="BI173" s="461"/>
      <c r="BJ173" s="461"/>
      <c r="BK173" s="1368"/>
      <c r="BL173" s="461"/>
      <c r="BM173" s="461"/>
      <c r="BN173" s="461"/>
      <c r="BO173" s="461"/>
      <c r="BP173" s="461"/>
      <c r="BQ173" s="461"/>
      <c r="BR173" s="461"/>
      <c r="BS173" s="461"/>
      <c r="BT173" s="461"/>
      <c r="BU173" s="461"/>
      <c r="BV173" s="461"/>
      <c r="BW173" s="461"/>
      <c r="BX173" s="461"/>
      <c r="BY173" s="461"/>
      <c r="BZ173" s="461"/>
      <c r="CA173" s="461"/>
      <c r="CB173" s="461"/>
      <c r="CC173" s="461"/>
      <c r="CD173" s="461"/>
      <c r="CE173" s="461"/>
      <c r="CF173" s="461"/>
      <c r="CG173" s="461"/>
      <c r="CH173" s="461"/>
      <c r="CI173" s="461"/>
      <c r="CJ173" s="461"/>
      <c r="CK173" s="461"/>
      <c r="CL173" s="461"/>
      <c r="CM173" s="461"/>
      <c r="CN173" s="461"/>
      <c r="CO173" s="461"/>
      <c r="CP173" s="461"/>
      <c r="CQ173" s="461"/>
      <c r="CR173" s="461"/>
      <c r="CS173" s="461"/>
      <c r="CT173" s="461"/>
      <c r="CU173" s="461"/>
      <c r="CV173" s="461"/>
      <c r="CW173" s="461"/>
    </row>
    <row r="174" spans="1:101" s="9" customFormat="1" ht="11.25">
      <c r="A174" s="655" t="s">
        <v>953</v>
      </c>
      <c r="B174" s="877"/>
      <c r="C174" s="892">
        <f t="shared" ref="C174:AT174" si="938">+C203/C152</f>
        <v>0.1368</v>
      </c>
      <c r="D174" s="892">
        <f t="shared" si="938"/>
        <v>0.15243243243243243</v>
      </c>
      <c r="E174" s="892">
        <f t="shared" si="938"/>
        <v>0.15714473684210528</v>
      </c>
      <c r="F174" s="892">
        <f t="shared" si="938"/>
        <v>0.1393648068669528</v>
      </c>
      <c r="G174" s="892">
        <f t="shared" si="938"/>
        <v>0.1599173553719008</v>
      </c>
      <c r="H174" s="892">
        <f t="shared" si="938"/>
        <v>0.18032142857142855</v>
      </c>
      <c r="I174" s="892">
        <f t="shared" si="938"/>
        <v>0.17490566037735847</v>
      </c>
      <c r="J174" s="892">
        <f t="shared" si="938"/>
        <v>0.15174193548387097</v>
      </c>
      <c r="K174" s="892">
        <f t="shared" si="938"/>
        <v>0.16886013986013987</v>
      </c>
      <c r="L174" s="892">
        <f t="shared" si="938"/>
        <v>0.19941471571906355</v>
      </c>
      <c r="M174" s="892">
        <f t="shared" si="938"/>
        <v>0.20225153374233126</v>
      </c>
      <c r="N174" s="892">
        <f t="shared" si="938"/>
        <v>0.18005187319884727</v>
      </c>
      <c r="O174" s="892">
        <f t="shared" si="938"/>
        <v>0.21233983286908079</v>
      </c>
      <c r="P174" s="892">
        <f t="shared" si="938"/>
        <v>0.22576190476190477</v>
      </c>
      <c r="Q174" s="892">
        <f t="shared" si="938"/>
        <v>0.2075597014925373</v>
      </c>
      <c r="R174" s="892">
        <f t="shared" si="938"/>
        <v>0.17741626794258372</v>
      </c>
      <c r="S174" s="892">
        <f t="shared" si="938"/>
        <v>0.20355140186915888</v>
      </c>
      <c r="T174" s="892">
        <f t="shared" si="938"/>
        <v>0.21493686354378819</v>
      </c>
      <c r="U174" s="892">
        <f t="shared" si="938"/>
        <v>0.20313129496402879</v>
      </c>
      <c r="V174" s="892">
        <f t="shared" si="938"/>
        <v>0.15687062937062934</v>
      </c>
      <c r="W174" s="892">
        <f t="shared" si="938"/>
        <v>0.16929310344827586</v>
      </c>
      <c r="X174" s="892">
        <f t="shared" si="938"/>
        <v>0.18540901502504173</v>
      </c>
      <c r="Y174" s="892">
        <f t="shared" si="938"/>
        <v>0.18230157492593171</v>
      </c>
      <c r="Z174" s="892">
        <f t="shared" si="938"/>
        <v>0.18128516083064908</v>
      </c>
      <c r="AA174" s="892">
        <f t="shared" si="938"/>
        <v>0.20759530054252143</v>
      </c>
      <c r="AB174" s="892">
        <f t="shared" si="938"/>
        <v>0.22978934940657433</v>
      </c>
      <c r="AC174" s="892">
        <f t="shared" si="938"/>
        <v>0.22832854406130268</v>
      </c>
      <c r="AD174" s="892">
        <f t="shared" si="938"/>
        <v>0.1750215119852489</v>
      </c>
      <c r="AE174" s="2149">
        <f t="shared" si="938"/>
        <v>0.19857596294072233</v>
      </c>
      <c r="AF174" s="892">
        <f t="shared" si="938"/>
        <v>0.22516365090028814</v>
      </c>
      <c r="AG174" s="892">
        <f t="shared" si="938"/>
        <v>0.22991616286810668</v>
      </c>
      <c r="AH174" s="892">
        <f t="shared" si="938"/>
        <v>0.234061560093244</v>
      </c>
      <c r="AI174" s="892">
        <f t="shared" si="938"/>
        <v>0.22462852367460914</v>
      </c>
      <c r="AJ174" s="892">
        <f t="shared" si="938"/>
        <v>0.23294388161191742</v>
      </c>
      <c r="AK174" s="892">
        <f t="shared" si="938"/>
        <v>0.23599441116236339</v>
      </c>
      <c r="AL174" s="892">
        <f t="shared" si="938"/>
        <v>0.2185465673230442</v>
      </c>
      <c r="AM174" s="892">
        <f t="shared" si="938"/>
        <v>0.22238571214848196</v>
      </c>
      <c r="AN174" s="892">
        <f t="shared" si="938"/>
        <v>0.19143478936732469</v>
      </c>
      <c r="AO174" s="892">
        <f t="shared" si="938"/>
        <v>0.17832496088281313</v>
      </c>
      <c r="AP174" s="892">
        <f t="shared" si="938"/>
        <v>0.16361440016647591</v>
      </c>
      <c r="AQ174" s="892">
        <f t="shared" si="938"/>
        <v>0.17283871424692787</v>
      </c>
      <c r="AR174" s="892">
        <f t="shared" si="938"/>
        <v>0.1818978847900716</v>
      </c>
      <c r="AS174" s="892">
        <f t="shared" si="938"/>
        <v>0.17363208583089643</v>
      </c>
      <c r="AT174" s="892">
        <f t="shared" si="938"/>
        <v>0.12419366643209004</v>
      </c>
      <c r="AU174" s="892">
        <f t="shared" ref="AU174:BC174" si="939">+AU203/AU152</f>
        <v>5.5433932082251468E-2</v>
      </c>
      <c r="AV174" s="892">
        <f t="shared" si="939"/>
        <v>9.1006984456786663E-2</v>
      </c>
      <c r="AW174" s="892">
        <f t="shared" si="939"/>
        <v>0.12808009491780872</v>
      </c>
      <c r="AX174" s="892">
        <f t="shared" si="939"/>
        <v>0.12627973837418241</v>
      </c>
      <c r="AY174" s="892">
        <f t="shared" si="939"/>
        <v>0.12351209245915674</v>
      </c>
      <c r="AZ174" s="892">
        <f t="shared" si="939"/>
        <v>0.17099072175859323</v>
      </c>
      <c r="BA174" s="892">
        <f t="shared" si="939"/>
        <v>0.21304503567700958</v>
      </c>
      <c r="BB174" s="892">
        <f t="shared" si="939"/>
        <v>0.18685941638462042</v>
      </c>
      <c r="BC174" s="892">
        <f t="shared" si="939"/>
        <v>0.21431166542398156</v>
      </c>
      <c r="BD174" s="892">
        <f t="shared" ref="BD174:BG174" si="940">+BD203/BD152</f>
        <v>0.2463327110449981</v>
      </c>
      <c r="BE174" s="892">
        <f t="shared" si="940"/>
        <v>0.25132775463426171</v>
      </c>
      <c r="BF174" s="892">
        <f t="shared" si="940"/>
        <v>0.20096922414069371</v>
      </c>
      <c r="BG174" s="892">
        <f t="shared" si="940"/>
        <v>0.21837440444262141</v>
      </c>
      <c r="BH174" s="892">
        <f t="shared" ref="BH174" si="941">+BH203/BH152</f>
        <v>0.24392793034990481</v>
      </c>
      <c r="BI174" s="892">
        <f t="shared" ref="BI174" si="942">+BI203/BI152</f>
        <v>0.20553834348569766</v>
      </c>
      <c r="BJ174" s="892">
        <f t="shared" ref="BJ174" si="943">+BJ203/BJ152</f>
        <v>0.15823490341985963</v>
      </c>
      <c r="BK174" s="1375">
        <f t="shared" ref="BK174" si="944">+BK203/BK152</f>
        <v>0.18252067837545533</v>
      </c>
      <c r="BL174" s="874">
        <f t="shared" ref="BL174:BQ174" si="945">+BH174*(1+BL175)</f>
        <v>0.37670326298964846</v>
      </c>
      <c r="BM174" s="874">
        <f t="shared" si="945"/>
        <v>0.28060377486998861</v>
      </c>
      <c r="BN174" s="874">
        <f t="shared" si="945"/>
        <v>0.20759197213570735</v>
      </c>
      <c r="BO174" s="874">
        <f t="shared" si="945"/>
        <v>0.22742520956773038</v>
      </c>
      <c r="BP174" s="874">
        <f t="shared" si="945"/>
        <v>0.44823230096211747</v>
      </c>
      <c r="BQ174" s="874">
        <f t="shared" si="945"/>
        <v>0.32010574892787846</v>
      </c>
      <c r="BR174" s="874">
        <f t="shared" ref="BR174:CK174" si="946">+BN174*(1+BR175)</f>
        <v>0.2426604641475357</v>
      </c>
      <c r="BS174" s="874">
        <f t="shared" si="946"/>
        <v>0.26584412848334532</v>
      </c>
      <c r="BT174" s="874">
        <f t="shared" si="946"/>
        <v>0.52395214072286556</v>
      </c>
      <c r="BU174" s="874">
        <f t="shared" si="946"/>
        <v>0.37418118249945803</v>
      </c>
      <c r="BV174" s="874">
        <f t="shared" si="946"/>
        <v>0.27682097166056796</v>
      </c>
      <c r="BW174" s="874">
        <f t="shared" si="946"/>
        <v>0.3032683144967267</v>
      </c>
      <c r="BX174" s="874">
        <f t="shared" si="946"/>
        <v>0.59771146160156741</v>
      </c>
      <c r="BY174" s="874">
        <f t="shared" si="946"/>
        <v>0.42685650866316532</v>
      </c>
      <c r="BZ174" s="874">
        <f t="shared" si="946"/>
        <v>0.31384194938607424</v>
      </c>
      <c r="CA174" s="874">
        <f t="shared" si="946"/>
        <v>0.34382625867445982</v>
      </c>
      <c r="CB174" s="874">
        <f t="shared" si="946"/>
        <v>0.67764710583217924</v>
      </c>
      <c r="CC174" s="874">
        <f t="shared" si="946"/>
        <v>0.4839426651216554</v>
      </c>
      <c r="CD174" s="874">
        <f t="shared" si="946"/>
        <v>0.35581397104272089</v>
      </c>
      <c r="CE174" s="874">
        <f t="shared" si="946"/>
        <v>0.3898082671454044</v>
      </c>
      <c r="CF174" s="874">
        <f t="shared" si="946"/>
        <v>0.76827303731517493</v>
      </c>
      <c r="CG174" s="874">
        <f t="shared" si="946"/>
        <v>0.54866330575237765</v>
      </c>
      <c r="CH174" s="874">
        <f t="shared" si="946"/>
        <v>0.40339917030482175</v>
      </c>
      <c r="CI174" s="874">
        <f t="shared" si="946"/>
        <v>0.44193973351748012</v>
      </c>
      <c r="CJ174" s="874">
        <f t="shared" si="946"/>
        <v>0.87101893417022758</v>
      </c>
      <c r="CK174" s="874">
        <f t="shared" si="946"/>
        <v>0.62203943726154531</v>
      </c>
      <c r="CL174" s="874">
        <f>+CH174*(1+CL175)</f>
        <v>0.45734823207119168</v>
      </c>
      <c r="CM174" s="874">
        <f>+CI174*(1+CM175)</f>
        <v>0.50104306276461674</v>
      </c>
      <c r="CN174" s="874">
        <f t="shared" ref="CN174" si="947">+CJ174*(1+CN175)</f>
        <v>0.98750567419926538</v>
      </c>
      <c r="CO174" s="874">
        <f t="shared" ref="CO174" si="948">+CK174*(1+CO175)</f>
        <v>0.70522861188623087</v>
      </c>
      <c r="CP174" s="874">
        <f t="shared" ref="CP174:CW174" si="949">+CL174*(1+CP175)</f>
        <v>0.51851223496714383</v>
      </c>
      <c r="CQ174" s="874">
        <f t="shared" si="949"/>
        <v>0.56805064515571113</v>
      </c>
      <c r="CR174" s="874">
        <f t="shared" si="949"/>
        <v>1.1195709052005107</v>
      </c>
      <c r="CS174" s="874">
        <f t="shared" si="949"/>
        <v>0.79954318847128547</v>
      </c>
      <c r="CT174" s="874">
        <f t="shared" si="949"/>
        <v>0.58785607761739878</v>
      </c>
      <c r="CU174" s="874">
        <f t="shared" si="949"/>
        <v>0.6440195652672096</v>
      </c>
      <c r="CV174" s="874">
        <f t="shared" si="949"/>
        <v>1.2692980349584946</v>
      </c>
      <c r="CW174" s="874">
        <f t="shared" si="949"/>
        <v>0.90647103571282495</v>
      </c>
    </row>
    <row r="175" spans="1:101" s="9" customFormat="1" ht="11.25">
      <c r="A175" s="665" t="s">
        <v>950</v>
      </c>
      <c r="B175" s="626"/>
      <c r="C175" s="626"/>
      <c r="D175" s="626"/>
      <c r="E175" s="626"/>
      <c r="F175" s="657"/>
      <c r="G175" s="657">
        <f t="shared" ref="G175:AZ175" si="950">IF(ISERROR(G174/C174-1),"NM",G174/C174-1)</f>
        <v>0.16898651587646785</v>
      </c>
      <c r="H175" s="657">
        <f t="shared" si="950"/>
        <v>0.18295972644376879</v>
      </c>
      <c r="I175" s="657">
        <f t="shared" si="950"/>
        <v>0.11302270691444716</v>
      </c>
      <c r="J175" s="657">
        <f t="shared" si="950"/>
        <v>8.8811005412106958E-2</v>
      </c>
      <c r="K175" s="657">
        <f t="shared" si="950"/>
        <v>5.5921288014311399E-2</v>
      </c>
      <c r="L175" s="657">
        <f t="shared" si="950"/>
        <v>0.10588473759829276</v>
      </c>
      <c r="M175" s="657">
        <f t="shared" si="950"/>
        <v>0.15634641729703969</v>
      </c>
      <c r="N175" s="657">
        <f t="shared" si="950"/>
        <v>0.18656634123390003</v>
      </c>
      <c r="O175" s="657">
        <f t="shared" si="950"/>
        <v>0.25748938171526703</v>
      </c>
      <c r="P175" s="657">
        <f t="shared" si="950"/>
        <v>0.13212259159428963</v>
      </c>
      <c r="Q175" s="657">
        <f t="shared" si="950"/>
        <v>2.6245376991645752E-2</v>
      </c>
      <c r="R175" s="657">
        <f t="shared" si="950"/>
        <v>-1.4638032970380799E-2</v>
      </c>
      <c r="S175" s="657">
        <f t="shared" si="950"/>
        <v>-4.1388518024032095E-2</v>
      </c>
      <c r="T175" s="657">
        <f t="shared" si="950"/>
        <v>-4.7948927563899679E-2</v>
      </c>
      <c r="U175" s="657">
        <f t="shared" si="950"/>
        <v>-2.1335579578619313E-2</v>
      </c>
      <c r="V175" s="657">
        <f t="shared" si="950"/>
        <v>-0.11580470500373419</v>
      </c>
      <c r="W175" s="657">
        <f t="shared" si="950"/>
        <v>-0.16830293530920493</v>
      </c>
      <c r="X175" s="657">
        <f t="shared" si="950"/>
        <v>-0.13737917280406797</v>
      </c>
      <c r="Y175" s="657">
        <f t="shared" si="950"/>
        <v>-0.10254313616119903</v>
      </c>
      <c r="Z175" s="657">
        <f t="shared" si="950"/>
        <v>0.15563481550352498</v>
      </c>
      <c r="AA175" s="657">
        <f t="shared" si="950"/>
        <v>0.22624782884878725</v>
      </c>
      <c r="AB175" s="657">
        <f t="shared" si="950"/>
        <v>0.23936449031638785</v>
      </c>
      <c r="AC175" s="657">
        <f t="shared" si="950"/>
        <v>0.25247707900533234</v>
      </c>
      <c r="AD175" s="657">
        <f t="shared" si="950"/>
        <v>-3.4551359949706373E-2</v>
      </c>
      <c r="AE175" s="2138">
        <f t="shared" si="950"/>
        <v>-4.3446733034073093E-2</v>
      </c>
      <c r="AF175" s="657">
        <f t="shared" si="950"/>
        <v>-2.0130169297367106E-2</v>
      </c>
      <c r="AG175" s="657">
        <f t="shared" si="950"/>
        <v>6.9532209095055642E-3</v>
      </c>
      <c r="AH175" s="657">
        <f t="shared" si="950"/>
        <v>0.33733023694236564</v>
      </c>
      <c r="AI175" s="657">
        <f t="shared" si="950"/>
        <v>0.13119695026564648</v>
      </c>
      <c r="AJ175" s="657">
        <f t="shared" si="950"/>
        <v>3.4553670987839347E-2</v>
      </c>
      <c r="AK175" s="657">
        <f t="shared" si="950"/>
        <v>2.6436802956491423E-2</v>
      </c>
      <c r="AL175" s="657">
        <f t="shared" si="950"/>
        <v>-6.6285949576765368E-2</v>
      </c>
      <c r="AM175" s="715">
        <f t="shared" si="950"/>
        <v>-9.9845357545779168E-3</v>
      </c>
      <c r="AN175" s="715">
        <f t="shared" si="950"/>
        <v>-0.17819352866175098</v>
      </c>
      <c r="AO175" s="715">
        <f t="shared" si="950"/>
        <v>-0.24436786445706915</v>
      </c>
      <c r="AP175" s="715">
        <f t="shared" si="950"/>
        <v>-0.25135223046249178</v>
      </c>
      <c r="AQ175" s="715">
        <f t="shared" si="950"/>
        <v>-0.22279757733928818</v>
      </c>
      <c r="AR175" s="715">
        <f t="shared" si="950"/>
        <v>-4.9818032598838102E-2</v>
      </c>
      <c r="AS175" s="715">
        <f t="shared" si="950"/>
        <v>-2.6316422718862365E-2</v>
      </c>
      <c r="AT175" s="715">
        <f t="shared" si="950"/>
        <v>-0.24093682276300676</v>
      </c>
      <c r="AU175" s="715">
        <f t="shared" si="950"/>
        <v>-0.67927363771605487</v>
      </c>
      <c r="AV175" s="715">
        <f t="shared" si="950"/>
        <v>-0.49968090853932767</v>
      </c>
      <c r="AW175" s="715">
        <f t="shared" si="950"/>
        <v>-0.26234777227436901</v>
      </c>
      <c r="AX175" s="715">
        <f t="shared" si="950"/>
        <v>1.6796926945006785E-2</v>
      </c>
      <c r="AY175" s="715">
        <f t="shared" si="950"/>
        <v>1.228095461023631</v>
      </c>
      <c r="AZ175" s="715">
        <f t="shared" si="950"/>
        <v>0.8788747125203964</v>
      </c>
      <c r="BA175" s="715">
        <f t="shared" ref="BA175:BK175" si="951">IF(ISERROR(BA174/AW174-1),"NM",BA174/AW174-1)</f>
        <v>0.6633734993226259</v>
      </c>
      <c r="BB175" s="715">
        <f t="shared" si="951"/>
        <v>0.47972603356947863</v>
      </c>
      <c r="BC175" s="715">
        <f t="shared" si="951"/>
        <v>0.73514723260680426</v>
      </c>
      <c r="BD175" s="715">
        <f t="shared" si="951"/>
        <v>0.44062033607164719</v>
      </c>
      <c r="BE175" s="715">
        <f t="shared" si="951"/>
        <v>0.17969308149142371</v>
      </c>
      <c r="BF175" s="715">
        <f t="shared" si="951"/>
        <v>7.5510284839114039E-2</v>
      </c>
      <c r="BG175" s="715">
        <f t="shared" si="951"/>
        <v>1.8957152941732724E-2</v>
      </c>
      <c r="BH175" s="715">
        <f t="shared" si="951"/>
        <v>-9.7623278893479437E-3</v>
      </c>
      <c r="BI175" s="715">
        <f t="shared" si="951"/>
        <v>-0.18219002996783196</v>
      </c>
      <c r="BJ175" s="715">
        <f t="shared" si="951"/>
        <v>-0.21264111907461414</v>
      </c>
      <c r="BK175" s="1361">
        <f t="shared" si="951"/>
        <v>-0.16418465414332373</v>
      </c>
      <c r="BL175" s="878">
        <f>Inputs!BL203</f>
        <v>0.54432197431955731</v>
      </c>
      <c r="BM175" s="878">
        <f>Inputs!BM203</f>
        <v>0.36521376066025552</v>
      </c>
      <c r="BN175" s="878">
        <f>Inputs!BN203</f>
        <v>0.31192276576858619</v>
      </c>
      <c r="BO175" s="878">
        <f>Inputs!BO203</f>
        <v>0.24602434963508035</v>
      </c>
      <c r="BP175" s="878">
        <f>Inputs!BP203</f>
        <v>0.18988165221821979</v>
      </c>
      <c r="BQ175" s="878">
        <f>Inputs!BQ203</f>
        <v>0.1407749203523444</v>
      </c>
      <c r="BR175" s="878">
        <f>Inputs!BR203</f>
        <v>0.16892990442281328</v>
      </c>
      <c r="BS175" s="878">
        <f>Inputs!BS203</f>
        <v>0.16892990442281328</v>
      </c>
      <c r="BT175" s="878">
        <f>Inputs!BT203</f>
        <v>0.16892990442281328</v>
      </c>
      <c r="BU175" s="878">
        <f>Inputs!BU203</f>
        <v>0.16892990442281328</v>
      </c>
      <c r="BV175" s="878">
        <f>Inputs!BV203</f>
        <v>0.1407749203523444</v>
      </c>
      <c r="BW175" s="878">
        <f>Inputs!BW203</f>
        <v>0.1407749203523444</v>
      </c>
      <c r="BX175" s="878">
        <f>Inputs!BX203</f>
        <v>0.1407749203523444</v>
      </c>
      <c r="BY175" s="878">
        <f>Inputs!BY203</f>
        <v>0.1407749203523444</v>
      </c>
      <c r="BZ175" s="878">
        <f>Inputs!BZ203</f>
        <v>0.13373617433472718</v>
      </c>
      <c r="CA175" s="878">
        <f>Inputs!CA203</f>
        <v>0.13373617433472718</v>
      </c>
      <c r="CB175" s="878">
        <f>Inputs!CB203</f>
        <v>0.13373617433472718</v>
      </c>
      <c r="CC175" s="878">
        <f>Inputs!CC203</f>
        <v>0.13373617433472718</v>
      </c>
      <c r="CD175" s="878">
        <f>Inputs!CD203</f>
        <v>0.13373617433472718</v>
      </c>
      <c r="CE175" s="878">
        <f>Inputs!CE203</f>
        <v>0.13373617433472718</v>
      </c>
      <c r="CF175" s="878">
        <f>Inputs!CF203</f>
        <v>0.13373617433472718</v>
      </c>
      <c r="CG175" s="878">
        <f>Inputs!CG203</f>
        <v>0.13373617433472718</v>
      </c>
      <c r="CH175" s="878">
        <f>Inputs!CH203</f>
        <v>0.13373617433472718</v>
      </c>
      <c r="CI175" s="878">
        <f>Inputs!CI203</f>
        <v>0.13373617433472718</v>
      </c>
      <c r="CJ175" s="878">
        <f>Inputs!CJ203</f>
        <v>0.13373617433472718</v>
      </c>
      <c r="CK175" s="878">
        <f>Inputs!CK203</f>
        <v>0.13373617433472718</v>
      </c>
      <c r="CL175" s="878">
        <f>Inputs!CL203</f>
        <v>0.13373617433472718</v>
      </c>
      <c r="CM175" s="878">
        <f>Inputs!CM203</f>
        <v>0.13373617433472718</v>
      </c>
      <c r="CN175" s="878">
        <f>Inputs!CN203</f>
        <v>0.13373617433472718</v>
      </c>
      <c r="CO175" s="878">
        <f>Inputs!CO203</f>
        <v>0.13373617433472718</v>
      </c>
      <c r="CP175" s="878">
        <f>Inputs!CP203</f>
        <v>0.13373617433472718</v>
      </c>
      <c r="CQ175" s="878">
        <f>Inputs!CQ203</f>
        <v>0.13373617433472718</v>
      </c>
      <c r="CR175" s="878">
        <f>Inputs!CR203</f>
        <v>0.13373617433472718</v>
      </c>
      <c r="CS175" s="878">
        <f>Inputs!CS203</f>
        <v>0.13373617433472718</v>
      </c>
      <c r="CT175" s="878">
        <f>Inputs!CT203</f>
        <v>0.13373617433472718</v>
      </c>
      <c r="CU175" s="878">
        <f>Inputs!CU203</f>
        <v>0.13373617433472718</v>
      </c>
      <c r="CV175" s="878">
        <f>Inputs!CV203</f>
        <v>0.13373617433472718</v>
      </c>
      <c r="CW175" s="878">
        <f>Inputs!CW203</f>
        <v>0.13373617433472718</v>
      </c>
    </row>
    <row r="176" spans="1:101" s="9" customFormat="1" ht="11.25">
      <c r="A176" s="665"/>
      <c r="B176" s="626"/>
      <c r="C176" s="626"/>
      <c r="D176" s="626"/>
      <c r="E176" s="626"/>
      <c r="F176" s="657"/>
      <c r="G176" s="657"/>
      <c r="H176" s="657"/>
      <c r="I176" s="657"/>
      <c r="J176" s="657"/>
      <c r="K176" s="657"/>
      <c r="L176" s="657"/>
      <c r="M176" s="657"/>
      <c r="N176" s="657"/>
      <c r="O176" s="657"/>
      <c r="P176" s="657"/>
      <c r="Q176" s="657"/>
      <c r="R176" s="657"/>
      <c r="S176" s="657"/>
      <c r="T176" s="657"/>
      <c r="U176" s="657"/>
      <c r="V176" s="657"/>
      <c r="W176" s="657"/>
      <c r="X176" s="657"/>
      <c r="Y176" s="657"/>
      <c r="Z176" s="657"/>
      <c r="AA176" s="657"/>
      <c r="AB176" s="657"/>
      <c r="AC176" s="657"/>
      <c r="AD176" s="657"/>
      <c r="AE176" s="2138"/>
      <c r="AF176" s="657"/>
      <c r="AG176" s="657"/>
      <c r="AH176" s="657"/>
      <c r="AI176" s="657"/>
      <c r="AJ176" s="657"/>
      <c r="AK176" s="657"/>
      <c r="AL176" s="657"/>
      <c r="AM176" s="715"/>
      <c r="AN176" s="715"/>
      <c r="AO176" s="715"/>
      <c r="AP176" s="878"/>
      <c r="AQ176" s="878"/>
      <c r="AR176" s="878"/>
      <c r="AS176" s="878"/>
      <c r="AT176" s="878"/>
      <c r="AU176" s="878"/>
      <c r="AV176" s="878"/>
      <c r="AW176" s="878"/>
      <c r="AX176" s="878"/>
      <c r="AY176" s="878"/>
      <c r="AZ176" s="878"/>
      <c r="BA176" s="878"/>
      <c r="BB176" s="878"/>
      <c r="BC176" s="878"/>
      <c r="BD176" s="878"/>
      <c r="BE176" s="878"/>
      <c r="BF176" s="878"/>
      <c r="BG176" s="878"/>
      <c r="BH176" s="878"/>
      <c r="BI176" s="878"/>
      <c r="BJ176" s="878"/>
      <c r="BK176" s="878"/>
      <c r="BL176" s="878"/>
      <c r="BM176" s="878"/>
      <c r="BN176" s="878"/>
      <c r="BO176" s="878"/>
      <c r="BP176" s="878"/>
      <c r="BQ176" s="878"/>
      <c r="BR176" s="878"/>
      <c r="BS176" s="878"/>
      <c r="BT176" s="878"/>
      <c r="BU176" s="878"/>
      <c r="BV176" s="878"/>
      <c r="BW176" s="878"/>
      <c r="BX176" s="878"/>
      <c r="BY176" s="878"/>
      <c r="BZ176" s="878"/>
      <c r="CA176" s="878"/>
      <c r="CB176" s="878"/>
      <c r="CC176" s="878"/>
      <c r="CD176" s="878"/>
      <c r="CE176" s="878"/>
      <c r="CF176" s="878"/>
      <c r="CG176" s="878"/>
      <c r="CH176" s="878"/>
      <c r="CI176" s="878"/>
      <c r="CJ176" s="878"/>
      <c r="CK176" s="878"/>
      <c r="CL176" s="878"/>
      <c r="CM176" s="878"/>
      <c r="CN176" s="878"/>
      <c r="CO176" s="878"/>
      <c r="CP176" s="878"/>
      <c r="CQ176" s="878"/>
      <c r="CR176" s="878"/>
      <c r="CS176" s="878"/>
      <c r="CT176" s="878"/>
      <c r="CU176" s="878"/>
      <c r="CV176" s="878"/>
      <c r="CW176" s="878"/>
    </row>
    <row r="177" spans="1:101" s="9" customFormat="1" ht="11.25">
      <c r="A177" s="917" t="s">
        <v>974</v>
      </c>
      <c r="B177" s="921"/>
      <c r="C177" s="922"/>
      <c r="D177" s="922"/>
      <c r="E177" s="922"/>
      <c r="F177" s="923">
        <f t="shared" ref="F177:AK177" si="952">(1+SUMPRODUCT(F161:F163,F179:F181))*(1-F178)-1</f>
        <v>-5.074787074060727E-3</v>
      </c>
      <c r="G177" s="923">
        <f t="shared" si="952"/>
        <v>1.6516305251403907E-2</v>
      </c>
      <c r="H177" s="923">
        <f t="shared" si="952"/>
        <v>3.6851287962664125E-2</v>
      </c>
      <c r="I177" s="923">
        <f t="shared" si="952"/>
        <v>3.9976368308836552E-2</v>
      </c>
      <c r="J177" s="923">
        <f t="shared" si="952"/>
        <v>4.0859503827712862E-2</v>
      </c>
      <c r="K177" s="923">
        <f t="shared" si="952"/>
        <v>3.0516776007401436E-2</v>
      </c>
      <c r="L177" s="923">
        <f t="shared" si="952"/>
        <v>-1.3371337669193961E-2</v>
      </c>
      <c r="M177" s="923">
        <f t="shared" si="952"/>
        <v>-4.0754257568345276E-2</v>
      </c>
      <c r="N177" s="923">
        <f t="shared" si="952"/>
        <v>-4.4566917411060336E-2</v>
      </c>
      <c r="O177" s="923">
        <f t="shared" si="952"/>
        <v>-5.9124054680555815E-2</v>
      </c>
      <c r="P177" s="923">
        <f t="shared" si="952"/>
        <v>-6.861516415692881E-3</v>
      </c>
      <c r="Q177" s="923">
        <f t="shared" si="952"/>
        <v>8.4037177344508995E-2</v>
      </c>
      <c r="R177" s="923">
        <f t="shared" si="952"/>
        <v>0.1117787064291389</v>
      </c>
      <c r="S177" s="923">
        <f t="shared" si="952"/>
        <v>0.13330101004381856</v>
      </c>
      <c r="T177" s="923">
        <f t="shared" si="952"/>
        <v>0.14471039649581896</v>
      </c>
      <c r="U177" s="923">
        <f t="shared" si="952"/>
        <v>0.17322969435790969</v>
      </c>
      <c r="V177" s="923">
        <f t="shared" si="952"/>
        <v>0.23778762072034931</v>
      </c>
      <c r="W177" s="923">
        <f t="shared" si="952"/>
        <v>0.27777888300691123</v>
      </c>
      <c r="X177" s="923">
        <f t="shared" si="952"/>
        <v>0.26791300195381629</v>
      </c>
      <c r="Y177" s="923">
        <f t="shared" si="952"/>
        <v>0.16450700748174185</v>
      </c>
      <c r="Z177" s="923">
        <f t="shared" si="952"/>
        <v>2.9136695164037274E-2</v>
      </c>
      <c r="AA177" s="923">
        <f t="shared" si="952"/>
        <v>-3.4528665204883957E-2</v>
      </c>
      <c r="AB177" s="923">
        <f t="shared" si="952"/>
        <v>-6.9393366014604552E-2</v>
      </c>
      <c r="AC177" s="923">
        <f t="shared" si="952"/>
        <v>1.8821863472783917E-2</v>
      </c>
      <c r="AD177" s="923">
        <f t="shared" si="952"/>
        <v>0.14108860084790131</v>
      </c>
      <c r="AE177" s="2161">
        <f t="shared" si="952"/>
        <v>9.2601442645061427E-2</v>
      </c>
      <c r="AF177" s="923">
        <f t="shared" si="952"/>
        <v>4.1568058102419814E-2</v>
      </c>
      <c r="AG177" s="923">
        <f t="shared" si="952"/>
        <v>-6.8800569070032624E-2</v>
      </c>
      <c r="AH177" s="923">
        <f t="shared" si="952"/>
        <v>-0.11724361748816592</v>
      </c>
      <c r="AI177" s="923">
        <f t="shared" si="952"/>
        <v>1.8735816235915692E-2</v>
      </c>
      <c r="AJ177" s="923">
        <f t="shared" si="952"/>
        <v>0.12168771350749452</v>
      </c>
      <c r="AK177" s="923">
        <f t="shared" si="952"/>
        <v>0.11302639691804961</v>
      </c>
      <c r="AL177" s="923">
        <f t="shared" ref="AL177:BQ177" si="953">(1+SUMPRODUCT(AL161:AL163,AL179:AL181))*(1-AL178)-1</f>
        <v>0.11467626948019127</v>
      </c>
      <c r="AM177" s="975">
        <f t="shared" si="953"/>
        <v>0.1503515997138678</v>
      </c>
      <c r="AN177" s="975">
        <f t="shared" si="953"/>
        <v>0.33841125334955935</v>
      </c>
      <c r="AO177" s="975">
        <f t="shared" si="953"/>
        <v>0.51524652354838385</v>
      </c>
      <c r="AP177" s="975">
        <f t="shared" si="953"/>
        <v>0.48878028714543431</v>
      </c>
      <c r="AQ177" s="975">
        <f t="shared" si="953"/>
        <v>0.37025824508424421</v>
      </c>
      <c r="AR177" s="975">
        <f t="shared" si="953"/>
        <v>0.2430822355729052</v>
      </c>
      <c r="AS177" s="975">
        <f t="shared" si="953"/>
        <v>0.25368297295338871</v>
      </c>
      <c r="AT177" s="975">
        <f t="shared" si="953"/>
        <v>0.19432002707982399</v>
      </c>
      <c r="AU177" s="975">
        <f t="shared" ref="AU177:BC177" si="954">(1+SUMPRODUCT(AU161:AU163,AU179:AU181))*(1-AU178)-1</f>
        <v>7.6896042889333494E-2</v>
      </c>
      <c r="AV177" s="975">
        <f t="shared" si="954"/>
        <v>5.2230970324492088E-2</v>
      </c>
      <c r="AW177" s="975">
        <f t="shared" si="954"/>
        <v>5.5250670297313675E-2</v>
      </c>
      <c r="AX177" s="975">
        <f t="shared" si="954"/>
        <v>0.20282420927376199</v>
      </c>
      <c r="AY177" s="975">
        <f t="shared" si="954"/>
        <v>0.28327411370459377</v>
      </c>
      <c r="AZ177" s="975">
        <f t="shared" si="954"/>
        <v>0.26659357690863339</v>
      </c>
      <c r="BA177" s="975">
        <f t="shared" si="954"/>
        <v>0.15648548580754484</v>
      </c>
      <c r="BB177" s="975">
        <f t="shared" si="954"/>
        <v>6.9158720047143518E-2</v>
      </c>
      <c r="BC177" s="975">
        <f t="shared" si="954"/>
        <v>9.2988062181602826E-2</v>
      </c>
      <c r="BD177" s="975">
        <f t="shared" ref="BD177:BG177" si="955">(1+SUMPRODUCT(BD161:BD163,BD179:BD181))*(1-BD178)-1</f>
        <v>4.0905811230508293E-2</v>
      </c>
      <c r="BE177" s="975">
        <f t="shared" si="955"/>
        <v>0.18999724391854245</v>
      </c>
      <c r="BF177" s="975">
        <f t="shared" si="955"/>
        <v>0.44995657836386349</v>
      </c>
      <c r="BG177" s="975">
        <f t="shared" si="955"/>
        <v>0.48501415062462216</v>
      </c>
      <c r="BH177" s="975">
        <f t="shared" ref="BH177" si="956">(1+SUMPRODUCT(BH161:BH163,BH179:BH181))*(1-BH178)-1</f>
        <v>0.7653701071743475</v>
      </c>
      <c r="BI177" s="975">
        <f t="shared" ref="BI177" si="957">(1+SUMPRODUCT(BI161:BI163,BI179:BI181))*(1-BI178)-1</f>
        <v>0.83441796011594915</v>
      </c>
      <c r="BJ177" s="975">
        <f t="shared" ref="BJ177" si="958">(1+SUMPRODUCT(BJ161:BJ163,BJ179:BJ181))*(1-BJ178)-1</f>
        <v>0.98761751315696644</v>
      </c>
      <c r="BK177" s="975">
        <f t="shared" ref="BK177" si="959">(1+SUMPRODUCT(BK161:BK163,BK179:BK181))*(1-BK178)-1</f>
        <v>1.0970514204759381</v>
      </c>
      <c r="BL177" s="924">
        <f t="shared" si="953"/>
        <v>0.79645157287282364</v>
      </c>
      <c r="BM177" s="924">
        <f t="shared" si="953"/>
        <v>0.56373474981592797</v>
      </c>
      <c r="BN177" s="924">
        <f t="shared" si="953"/>
        <v>0.23283607566290332</v>
      </c>
      <c r="BO177" s="924">
        <f t="shared" si="953"/>
        <v>0.10068080091775089</v>
      </c>
      <c r="BP177" s="924">
        <f t="shared" si="953"/>
        <v>0.10183817579088661</v>
      </c>
      <c r="BQ177" s="924">
        <f t="shared" si="953"/>
        <v>8.7188526567490765E-2</v>
      </c>
      <c r="BR177" s="924">
        <f t="shared" ref="BR177:CK177" si="960">(1+SUMPRODUCT(BR161:BR163,BR179:BR181))*(1-BR178)-1</f>
        <v>8.9521749714728482E-2</v>
      </c>
      <c r="BS177" s="924">
        <f t="shared" si="960"/>
        <v>9.834862456750959E-2</v>
      </c>
      <c r="BT177" s="924">
        <f t="shared" si="960"/>
        <v>9.834862456750959E-2</v>
      </c>
      <c r="BU177" s="924">
        <f t="shared" si="960"/>
        <v>9.834862456750959E-2</v>
      </c>
      <c r="BV177" s="924">
        <f t="shared" si="960"/>
        <v>9.8348624567509146E-2</v>
      </c>
      <c r="BW177" s="924">
        <f t="shared" si="960"/>
        <v>9.8348624567509146E-2</v>
      </c>
      <c r="BX177" s="924">
        <f t="shared" si="960"/>
        <v>9.8348624567509368E-2</v>
      </c>
      <c r="BY177" s="924">
        <f t="shared" si="960"/>
        <v>9.8348624567509146E-2</v>
      </c>
      <c r="BZ177" s="924">
        <f t="shared" si="960"/>
        <v>9.8348624567509368E-2</v>
      </c>
      <c r="CA177" s="924">
        <f t="shared" si="960"/>
        <v>9.8348624567509368E-2</v>
      </c>
      <c r="CB177" s="924">
        <f t="shared" si="960"/>
        <v>9.8348624567509368E-2</v>
      </c>
      <c r="CC177" s="924">
        <f t="shared" si="960"/>
        <v>9.8348624567509368E-2</v>
      </c>
      <c r="CD177" s="924">
        <f t="shared" si="960"/>
        <v>9.8348624567509368E-2</v>
      </c>
      <c r="CE177" s="924">
        <f t="shared" si="960"/>
        <v>9.8348624567509368E-2</v>
      </c>
      <c r="CF177" s="924">
        <f t="shared" si="960"/>
        <v>9.8348624567509368E-2</v>
      </c>
      <c r="CG177" s="924">
        <f t="shared" si="960"/>
        <v>9.8348624567509146E-2</v>
      </c>
      <c r="CH177" s="924">
        <f t="shared" si="960"/>
        <v>9.8348624567509368E-2</v>
      </c>
      <c r="CI177" s="924">
        <f t="shared" si="960"/>
        <v>9.8348624567509368E-2</v>
      </c>
      <c r="CJ177" s="924">
        <f t="shared" si="960"/>
        <v>9.8348624567509146E-2</v>
      </c>
      <c r="CK177" s="924">
        <f t="shared" si="960"/>
        <v>9.8348624567509146E-2</v>
      </c>
      <c r="CL177" s="924">
        <f t="shared" ref="CL177:CW177" si="961">(1+SUMPRODUCT(CL161:CL163,CL179:CL181))*(1-CL178)-1</f>
        <v>9.8348624567509368E-2</v>
      </c>
      <c r="CM177" s="924">
        <f t="shared" si="961"/>
        <v>9.8348624567509146E-2</v>
      </c>
      <c r="CN177" s="924">
        <f t="shared" si="961"/>
        <v>9.8348624567509146E-2</v>
      </c>
      <c r="CO177" s="924">
        <f t="shared" si="961"/>
        <v>9.8348624567509146E-2</v>
      </c>
      <c r="CP177" s="924">
        <f t="shared" si="961"/>
        <v>9.8348624567509368E-2</v>
      </c>
      <c r="CQ177" s="924">
        <f t="shared" si="961"/>
        <v>9.834862456750959E-2</v>
      </c>
      <c r="CR177" s="924">
        <f t="shared" si="961"/>
        <v>9.8348624567509146E-2</v>
      </c>
      <c r="CS177" s="924">
        <f t="shared" si="961"/>
        <v>9.834862456750959E-2</v>
      </c>
      <c r="CT177" s="924">
        <f t="shared" si="961"/>
        <v>9.8348624567509146E-2</v>
      </c>
      <c r="CU177" s="924">
        <f t="shared" si="961"/>
        <v>9.8348624567509368E-2</v>
      </c>
      <c r="CV177" s="924">
        <f t="shared" si="961"/>
        <v>9.8348624567509146E-2</v>
      </c>
      <c r="CW177" s="924">
        <f t="shared" si="961"/>
        <v>9.8348624567509146E-2</v>
      </c>
    </row>
    <row r="178" spans="1:101" s="9" customFormat="1" ht="11.25">
      <c r="A178" s="655" t="s">
        <v>975</v>
      </c>
      <c r="B178" s="921"/>
      <c r="C178" s="922"/>
      <c r="D178" s="922"/>
      <c r="E178" s="922"/>
      <c r="F178" s="918">
        <f>AVERAGE(Inputs!E20:F20)/AVERAGE(Inputs!A20:B20)-1</f>
        <v>-7.0503597122302142E-2</v>
      </c>
      <c r="G178" s="918">
        <f>AVERAGE(Inputs!F20:G20)/AVERAGE(Inputs!B20:C20)-1</f>
        <v>-8.1180811808118203E-2</v>
      </c>
      <c r="H178" s="918">
        <f>AVERAGE(Inputs!G20:H20)/AVERAGE(Inputs!C20:D20)-1</f>
        <v>-5.9287054409005613E-2</v>
      </c>
      <c r="I178" s="918">
        <f>AVERAGE(Inputs!H20:I20)/AVERAGE(Inputs!D20:E20)-1</f>
        <v>-4.9266641594584382E-2</v>
      </c>
      <c r="J178" s="918">
        <f>AVERAGE(Inputs!I20:J20)/AVERAGE(Inputs!E20:F20)-1</f>
        <v>-5.6586687306501515E-2</v>
      </c>
      <c r="K178" s="918">
        <f>AVERAGE(Inputs!J20:K20)/AVERAGE(Inputs!F20:G20)-1</f>
        <v>-4.3907630522088348E-2</v>
      </c>
      <c r="L178" s="918">
        <f>AVERAGE(Inputs!K20:L20)/AVERAGE(Inputs!G20:H20)-1</f>
        <v>7.6027124052653328E-3</v>
      </c>
      <c r="M178" s="918">
        <f>AVERAGE(Inputs!L20:M20)/AVERAGE(Inputs!H20:I20)-1</f>
        <v>8.4339398734177173E-2</v>
      </c>
      <c r="N178" s="918">
        <f>AVERAGE(Inputs!M20:N20)/AVERAGE(Inputs!I20:J20)-1</f>
        <v>9.9127074633478029E-2</v>
      </c>
      <c r="O178" s="918">
        <f>AVERAGE(Inputs!N20:O20)/AVERAGE(Inputs!J20:K20)-1</f>
        <v>0.11183406351993352</v>
      </c>
      <c r="P178" s="918">
        <f>AVERAGE(Inputs!O20:P20)/AVERAGE(Inputs!K20:L20)-1</f>
        <v>5.2318630594681004E-2</v>
      </c>
      <c r="Q178" s="918">
        <f>AVERAGE(Inputs!P20:Q20)/AVERAGE(Inputs!L20:M20)-1</f>
        <v>-5.4173157109451697E-2</v>
      </c>
      <c r="R178" s="918">
        <f>AVERAGE(Inputs!Q20:R20)/AVERAGE(Inputs!M20:N20)-1</f>
        <v>-5.3231470872536213E-2</v>
      </c>
      <c r="S178" s="918">
        <f>AVERAGE(Inputs!R20:S20)/AVERAGE(Inputs!N20:O20)-1</f>
        <v>-3.4863293425163588E-2</v>
      </c>
      <c r="T178" s="918">
        <f>AVERAGE(Inputs!S20:T20)/AVERAGE(Inputs!O20:P20)-1</f>
        <v>-1.4366756701853167E-2</v>
      </c>
      <c r="U178" s="918">
        <f>AVERAGE(Inputs!T20:U20)/AVERAGE(Inputs!P20:Q20)-1</f>
        <v>6.2212896930238237E-3</v>
      </c>
      <c r="V178" s="918">
        <f>AVERAGE(Inputs!U20:V20)/AVERAGE(Inputs!Q20:R20)-1</f>
        <v>3.1228319142226235E-2</v>
      </c>
      <c r="W178" s="918">
        <f>AVERAGE(Inputs!V20:W20)/AVERAGE(Inputs!R20:S20)-1</f>
        <v>2.230068542215502E-2</v>
      </c>
      <c r="X178" s="918">
        <f>AVERAGE(Inputs!W20:X20)/AVERAGE(Inputs!S20:T20)-1</f>
        <v>1.0919722293256218E-2</v>
      </c>
      <c r="Y178" s="918">
        <f>AVERAGE(Inputs!X20:Y20)/AVERAGE(Inputs!T20:U20)-1</f>
        <v>7.9870747151990829E-2</v>
      </c>
      <c r="Z178" s="918">
        <f>AVERAGE(Inputs!Y20:Z20)/AVERAGE(Inputs!U20:V20)-1</f>
        <v>0.1418949396411342</v>
      </c>
      <c r="AA178" s="918">
        <f>AVERAGE(Inputs!Z20:AA20)/AVERAGE(Inputs!V20:W20)-1</f>
        <v>0.17635931995711451</v>
      </c>
      <c r="AB178" s="918">
        <f>AVERAGE(Inputs!AA20:AB20)/AVERAGE(Inputs!W20:X20)-1</f>
        <v>0.22987268938021033</v>
      </c>
      <c r="AC178" s="918">
        <f>AVERAGE(Inputs!AB20:AC20)/AVERAGE(Inputs!X20:Y20)-1</f>
        <v>0.21445685625139754</v>
      </c>
      <c r="AD178" s="918">
        <f>AVERAGE(Inputs!AC20:AD20)/AVERAGE(Inputs!Y20:Z20)-1</f>
        <v>0.15853536063631068</v>
      </c>
      <c r="AE178" s="2159">
        <f>AVERAGE(Inputs!AD20:AE20)/AVERAGE(Inputs!Z20:AA20)-1</f>
        <v>0.18198803455526669</v>
      </c>
      <c r="AF178" s="918">
        <f>AVERAGE(Inputs!AE20:AF20)/AVERAGE(Inputs!AA20:AB20)-1</f>
        <v>0.17917476339144578</v>
      </c>
      <c r="AG178" s="918">
        <f>AVERAGE(Inputs!AF20:AG20)/AVERAGE(Inputs!AB20:AC20)-1</f>
        <v>0.17588809193950983</v>
      </c>
      <c r="AH178" s="918">
        <f>AVERAGE(Inputs!AG20:AH20)/AVERAGE(Inputs!AC20:AD20)-1</f>
        <v>0.14252773925104023</v>
      </c>
      <c r="AI178" s="918">
        <f>AVERAGE(Inputs!AH20:AI20)/AVERAGE(Inputs!AD20:AE20)-1</f>
        <v>1.0841906985966654E-2</v>
      </c>
      <c r="AJ178" s="918">
        <f>AVERAGE(Inputs!AI20:AJ20)/AVERAGE(Inputs!AE20:AF20)-1</f>
        <v>-6.2069953008864753E-2</v>
      </c>
      <c r="AK178" s="918">
        <f>AVERAGE(Inputs!AJ20:AK20)/AVERAGE(Inputs!AF20:AG20)-1</f>
        <v>-5.7539347179828781E-2</v>
      </c>
      <c r="AL178" s="918">
        <f>AVERAGE(Inputs!AK20:AL20)/AVERAGE(Inputs!AG20:AH20)-1</f>
        <v>-3.6092016813098371E-2</v>
      </c>
      <c r="AM178" s="417">
        <f>AVERAGE(Inputs!AL20:AM20)/AVERAGE(Inputs!AH20:AI20)-1</f>
        <v>4.5648590849031834E-2</v>
      </c>
      <c r="AN178" s="417">
        <f>AVERAGE(Inputs!AM20:AN20)/AVERAGE(Inputs!AI20:AJ20)-1</f>
        <v>8.1232842871933331E-2</v>
      </c>
      <c r="AO178" s="417">
        <f>AVERAGE(Inputs!AN20:AO20)/AVERAGE(Inputs!AJ20:AK20)-1</f>
        <v>1.7533171399409797E-2</v>
      </c>
      <c r="AP178" s="417">
        <f>AVERAGE(Inputs!AO20:AP20)/AVERAGE(Inputs!AK20:AL20)-1</f>
        <v>2.3338187256483955E-2</v>
      </c>
      <c r="AQ178" s="417">
        <f>AVERAGE(Inputs!AP20:AQ20)/AVERAGE(Inputs!AL20:AM20)-1</f>
        <v>2.1416233087820924E-3</v>
      </c>
      <c r="AR178" s="417">
        <f>AVERAGE(Inputs!AQ20:AR20)/AVERAGE(Inputs!AM20:AN20)-1</f>
        <v>-4.4514156477269973E-3</v>
      </c>
      <c r="AS178" s="417">
        <f>AVERAGE(Inputs!AR20:AS20)/AVERAGE(Inputs!AN20:AO20)-1</f>
        <v>-2.5919158145744081E-3</v>
      </c>
      <c r="AT178" s="417">
        <f>AVERAGE(Inputs!AS20:AT20)/AVERAGE(Inputs!AO20:AP20)-1</f>
        <v>8.6003640745583532E-2</v>
      </c>
      <c r="AU178" s="417">
        <f>AVERAGE(Inputs!AT20:AU20)/AVERAGE(Inputs!AP20:AQ20)-1</f>
        <v>0.2084894304588929</v>
      </c>
      <c r="AV178" s="417">
        <f>AVERAGE(Inputs!AU20:AV20)/AVERAGE(Inputs!AQ20:AR20)-1</f>
        <v>0.17143409703330259</v>
      </c>
      <c r="AW178" s="417">
        <f>AVERAGE(Inputs!AV20:AW20)/AVERAGE(Inputs!AR20:AS20)-1</f>
        <v>0.10981380663435703</v>
      </c>
      <c r="AX178" s="417">
        <f>AVERAGE(Inputs!AW20:AX20)/AVERAGE(Inputs!AS20:AT20)-1</f>
        <v>-4.9752817689471041E-2</v>
      </c>
      <c r="AY178" s="417">
        <f>AVERAGE(Inputs!AX20:AY20)/AVERAGE(Inputs!AT20:AU20)-1</f>
        <v>-0.14486153210695363</v>
      </c>
      <c r="AZ178" s="1428">
        <f>AVERAGE(Inputs!AY20:AZ20)/AVERAGE(Inputs!AU20:AV20)-1</f>
        <v>-0.12500440249357225</v>
      </c>
      <c r="BA178" s="1428">
        <f>AVERAGE(Inputs!AZ20:BA20)/AVERAGE(Inputs!AV20:AW20)-1</f>
        <v>-5.5840570581610183E-2</v>
      </c>
      <c r="BB178" s="417">
        <f>AVERAGE(Inputs!BA20:BB20)/AVERAGE(Inputs!AW20:AX20)-1</f>
        <v>1.3911607142857108E-2</v>
      </c>
      <c r="BC178" s="417">
        <f>AVERAGE(Inputs!BB20:BC20)/AVERAGE(Inputs!AX20:AY20)-1</f>
        <v>1.9027244194485649E-2</v>
      </c>
      <c r="BD178" s="1428">
        <f>AVERAGE(Inputs!BC20:BD20)/AVERAGE(Inputs!AY20:AZ20)-1</f>
        <v>1.2332872410608875E-2</v>
      </c>
      <c r="BE178" s="1428">
        <f>AVERAGE(Inputs!BD20:BE20)/AVERAGE(Inputs!AZ20:BA20)-1</f>
        <v>-1.1055877720146379E-2</v>
      </c>
      <c r="BF178" s="1428">
        <f>AVERAGE(Inputs!BE20:BF20)/AVERAGE(Inputs!BA20:BB20)-1</f>
        <v>-6.1717329504325291E-2</v>
      </c>
      <c r="BG178" s="1428">
        <f>AVERAGE(Inputs!BF20:BG20)/AVERAGE(Inputs!BB20:BC20)-1</f>
        <v>-0.10392135376034661</v>
      </c>
      <c r="BH178" s="1428">
        <f>AVERAGE(Inputs!BG20:BH20)/AVERAGE(Inputs!BC20:BD20)-1</f>
        <v>-0.13718928473199465</v>
      </c>
      <c r="BI178" s="1428">
        <f>AVERAGE(Inputs!BH20:BI20)/AVERAGE(Inputs!BD20:BE20)-1</f>
        <v>-0.13227152100273121</v>
      </c>
      <c r="BJ178" s="1428">
        <f>AVERAGE(Inputs!BI20:BJ20)/AVERAGE(Inputs!BE20:BF20)-1</f>
        <v>-9.8712218734785528E-2</v>
      </c>
      <c r="BK178" s="1428">
        <f>AVERAGE(Inputs!BJ20:BK20)/AVERAGE(Inputs!BF20:BG20)-1</f>
        <v>-5.7738073465054329E-2</v>
      </c>
      <c r="BL178" s="920">
        <f>AVERAGE(Inputs!BK20:BL20)/AVERAGE(Inputs!BG20:BH20)-1</f>
        <v>2.1123496846638501E-2</v>
      </c>
      <c r="BM178" s="920">
        <f>AVERAGE(Inputs!BL20:BM20)/AVERAGE(Inputs!BH20:BI20)-1</f>
        <v>6.0627806295352471E-2</v>
      </c>
      <c r="BN178" s="920">
        <f>AVERAGE(Inputs!BM20:BN20)/AVERAGE(Inputs!BI20:BJ20)-1</f>
        <v>7.8482768704609907E-2</v>
      </c>
      <c r="BO178" s="920">
        <f>AVERAGE(Inputs!BN20:BO20)/AVERAGE(Inputs!BJ20:BK20)-1</f>
        <v>0.10376407954262712</v>
      </c>
      <c r="BP178" s="920">
        <f>AVERAGE(Inputs!BO20:BP20)/AVERAGE(Inputs!BK20:BL20)-1</f>
        <v>7.2402555783549483E-2</v>
      </c>
      <c r="BQ178" s="920">
        <f>AVERAGE(Inputs!BP20:BQ20)/AVERAGE(Inputs!BL20:BM20)-1</f>
        <v>5.0681198910081715E-2</v>
      </c>
      <c r="BR178" s="920">
        <f>AVERAGE(Inputs!BQ20:BR20)/AVERAGE(Inputs!BM20:BN20)-1</f>
        <v>3.70777216614675E-2</v>
      </c>
      <c r="BS178" s="920">
        <f>AVERAGE(Inputs!BR20:BS20)/AVERAGE(Inputs!BN20:BO20)-1</f>
        <v>1.6543906096041727E-2</v>
      </c>
      <c r="BT178" s="920">
        <f>AVERAGE(Inputs!BS20:BT20)/AVERAGE(Inputs!BO20:BP20)-1</f>
        <v>1.6543906096041727E-2</v>
      </c>
      <c r="BU178" s="920">
        <f>AVERAGE(Inputs!BT20:BU20)/AVERAGE(Inputs!BP20:BQ20)-1</f>
        <v>1.6543906096041727E-2</v>
      </c>
      <c r="BV178" s="920">
        <f>AVERAGE(Inputs!BU20:BV20)/AVERAGE(Inputs!BQ20:BR20)-1</f>
        <v>1.6543906096041949E-2</v>
      </c>
      <c r="BW178" s="920">
        <f>AVERAGE(Inputs!BV20:BW20)/AVERAGE(Inputs!BR20:BS20)-1</f>
        <v>1.6543906096041949E-2</v>
      </c>
      <c r="BX178" s="920">
        <f>AVERAGE(Inputs!BW20:BX20)/AVERAGE(Inputs!BS20:BT20)-1</f>
        <v>1.6543906096041727E-2</v>
      </c>
      <c r="BY178" s="920">
        <f>AVERAGE(Inputs!BX20:BY20)/AVERAGE(Inputs!BT20:BU20)-1</f>
        <v>1.6543906096041949E-2</v>
      </c>
      <c r="BZ178" s="920">
        <f>AVERAGE(Inputs!BY20:BZ20)/AVERAGE(Inputs!BU20:BV20)-1</f>
        <v>1.6543906096041727E-2</v>
      </c>
      <c r="CA178" s="920">
        <f>AVERAGE(Inputs!BZ20:CA20)/AVERAGE(Inputs!BV20:BW20)-1</f>
        <v>1.6543906096041727E-2</v>
      </c>
      <c r="CB178" s="920">
        <f>AVERAGE(Inputs!CA20:CB20)/AVERAGE(Inputs!BW20:BX20)-1</f>
        <v>1.6543906096041727E-2</v>
      </c>
      <c r="CC178" s="920">
        <f>AVERAGE(Inputs!CB20:CC20)/AVERAGE(Inputs!BX20:BY20)-1</f>
        <v>1.6543906096041727E-2</v>
      </c>
      <c r="CD178" s="920">
        <f>AVERAGE(Inputs!CC20:CD20)/AVERAGE(Inputs!BY20:BZ20)-1</f>
        <v>1.6543906096041727E-2</v>
      </c>
      <c r="CE178" s="920">
        <f>AVERAGE(Inputs!CD20:CE20)/AVERAGE(Inputs!BZ20:CA20)-1</f>
        <v>1.6543906096041727E-2</v>
      </c>
      <c r="CF178" s="920">
        <f>AVERAGE(Inputs!CE20:CF20)/AVERAGE(Inputs!CA20:CB20)-1</f>
        <v>1.6543906096041727E-2</v>
      </c>
      <c r="CG178" s="920">
        <f>AVERAGE(Inputs!CF20:CG20)/AVERAGE(Inputs!CB20:CC20)-1</f>
        <v>1.6543906096041949E-2</v>
      </c>
      <c r="CH178" s="920">
        <f>AVERAGE(Inputs!CG20:CH20)/AVERAGE(Inputs!CC20:CD20)-1</f>
        <v>1.6543906096041949E-2</v>
      </c>
      <c r="CI178" s="920">
        <f>AVERAGE(Inputs!CH20:CI20)/AVERAGE(Inputs!CD20:CE20)-1</f>
        <v>1.6543906096041949E-2</v>
      </c>
      <c r="CJ178" s="920">
        <f>AVERAGE(Inputs!CI20:CJ20)/AVERAGE(Inputs!CE20:CF20)-1</f>
        <v>1.6543906096041949E-2</v>
      </c>
      <c r="CK178" s="920">
        <f>AVERAGE(Inputs!CJ20:CK20)/AVERAGE(Inputs!CF20:CG20)-1</f>
        <v>1.6543906096041949E-2</v>
      </c>
      <c r="CL178" s="920">
        <f>AVERAGE(Inputs!CK20:CL20)/AVERAGE(Inputs!CG20:CH20)-1</f>
        <v>1.6543906096041727E-2</v>
      </c>
      <c r="CM178" s="920">
        <f>AVERAGE(Inputs!CL20:CM20)/AVERAGE(Inputs!CH20:CI20)-1</f>
        <v>1.6543906096041949E-2</v>
      </c>
      <c r="CN178" s="920">
        <f>AVERAGE(Inputs!CM20:CN20)/AVERAGE(Inputs!CI20:CJ20)-1</f>
        <v>1.6543906096041949E-2</v>
      </c>
      <c r="CO178" s="920">
        <f>AVERAGE(Inputs!CN20:CO20)/AVERAGE(Inputs!CJ20:CK20)-1</f>
        <v>1.6543906096041949E-2</v>
      </c>
      <c r="CP178" s="920">
        <f>AVERAGE(Inputs!CO20:CP20)/AVERAGE(Inputs!CK20:CL20)-1</f>
        <v>1.6543906096041727E-2</v>
      </c>
      <c r="CQ178" s="920">
        <f>AVERAGE(Inputs!CP20:CQ20)/AVERAGE(Inputs!CL20:CM20)-1</f>
        <v>1.6543906096041727E-2</v>
      </c>
      <c r="CR178" s="920">
        <f>AVERAGE(Inputs!CQ20:CR20)/AVERAGE(Inputs!CM20:CN20)-1</f>
        <v>1.6543906096041949E-2</v>
      </c>
      <c r="CS178" s="920">
        <f>AVERAGE(Inputs!CR20:CS20)/AVERAGE(Inputs!CN20:CO20)-1</f>
        <v>1.6543906096041727E-2</v>
      </c>
      <c r="CT178" s="920">
        <f>AVERAGE(Inputs!CS20:CT20)/AVERAGE(Inputs!CO20:CP20)-1</f>
        <v>1.6543906096041949E-2</v>
      </c>
      <c r="CU178" s="920">
        <f>AVERAGE(Inputs!CT20:CU20)/AVERAGE(Inputs!CP20:CQ20)-1</f>
        <v>1.6543906096041727E-2</v>
      </c>
      <c r="CV178" s="920">
        <f>AVERAGE(Inputs!CU20:CV20)/AVERAGE(Inputs!CQ20:CR20)-1</f>
        <v>1.6543906096041949E-2</v>
      </c>
      <c r="CW178" s="920">
        <f>AVERAGE(Inputs!CV20:CW20)/AVERAGE(Inputs!CR20:CS20)-1</f>
        <v>1.6543906096041949E-2</v>
      </c>
    </row>
    <row r="179" spans="1:101" s="9" customFormat="1" ht="11.25">
      <c r="A179" s="655" t="s">
        <v>976</v>
      </c>
      <c r="B179" s="890"/>
      <c r="C179" s="893"/>
      <c r="D179" s="893"/>
      <c r="E179" s="893"/>
      <c r="F179" s="918">
        <f>AVERAGE(Inputs!E42:F42)/AVERAGE(Inputs!A42:B42)-1</f>
        <v>3.3647629310344707E-2</v>
      </c>
      <c r="G179" s="918">
        <f>AVERAGE(Inputs!F42:G42)/AVERAGE(Inputs!B42:C42)-1</f>
        <v>3.9348060560060683E-2</v>
      </c>
      <c r="H179" s="918">
        <f>AVERAGE(Inputs!G42:H42)/AVERAGE(Inputs!C42:D42)-1</f>
        <v>3.2940283467040032E-2</v>
      </c>
      <c r="I179" s="918">
        <f>AVERAGE(Inputs!H42:I42)/AVERAGE(Inputs!D42:E42)-1</f>
        <v>3.7441130298273118E-2</v>
      </c>
      <c r="J179" s="918">
        <f>AVERAGE(Inputs!I42:J42)/AVERAGE(Inputs!E42:F42)-1</f>
        <v>4.5609737027287878E-2</v>
      </c>
      <c r="K179" s="918">
        <f>AVERAGE(Inputs!J42:K42)/AVERAGE(Inputs!F42:G42)-1</f>
        <v>4.5942552591795582E-2</v>
      </c>
      <c r="L179" s="918">
        <f>AVERAGE(Inputs!K42:L42)/AVERAGE(Inputs!G42:H42)-1</f>
        <v>5.3491789985810057E-2</v>
      </c>
      <c r="M179" s="918">
        <f>AVERAGE(Inputs!L42:M42)/AVERAGE(Inputs!H42:I42)-1</f>
        <v>7.2986809916521622E-2</v>
      </c>
      <c r="N179" s="918">
        <f>AVERAGE(Inputs!M42:N42)/AVERAGE(Inputs!I42:J42)-1</f>
        <v>8.2155587128293073E-2</v>
      </c>
      <c r="O179" s="918">
        <f>AVERAGE(Inputs!N42:O42)/AVERAGE(Inputs!J42:K42)-1</f>
        <v>9.0886820186182993E-2</v>
      </c>
      <c r="P179" s="918">
        <f>AVERAGE(Inputs!O42:P42)/AVERAGE(Inputs!K42:L42)-1</f>
        <v>0.10932050511124469</v>
      </c>
      <c r="Q179" s="918">
        <f>AVERAGE(Inputs!P42:Q42)/AVERAGE(Inputs!L42:M42)-1</f>
        <v>0.12998002115407203</v>
      </c>
      <c r="R179" s="918">
        <f>AVERAGE(Inputs!Q42:R42)/AVERAGE(Inputs!M42:N42)-1</f>
        <v>0.15628239087872853</v>
      </c>
      <c r="S179" s="918">
        <f>AVERAGE(Inputs!R42:S42)/AVERAGE(Inputs!N42:O42)-1</f>
        <v>0.18010330114529549</v>
      </c>
      <c r="T179" s="918">
        <f>AVERAGE(Inputs!S42:T42)/AVERAGE(Inputs!O42:P42)-1</f>
        <v>0.21216392020815267</v>
      </c>
      <c r="U179" s="918">
        <f>AVERAGE(Inputs!T42:U42)/AVERAGE(Inputs!P42:Q42)-1</f>
        <v>0.28070722828913164</v>
      </c>
      <c r="V179" s="918">
        <f>AVERAGE(Inputs!U42:V42)/AVERAGE(Inputs!Q42:R42)-1</f>
        <v>0.44651394422310764</v>
      </c>
      <c r="W179" s="918">
        <f>AVERAGE(Inputs!V42:W42)/AVERAGE(Inputs!R42:S42)-1</f>
        <v>0.53520456707897224</v>
      </c>
      <c r="X179" s="918">
        <f>AVERAGE(Inputs!W42:X42)/AVERAGE(Inputs!S42:T42)-1</f>
        <v>0.48135229407029767</v>
      </c>
      <c r="Y179" s="918">
        <f>AVERAGE(Inputs!X42:Y42)/AVERAGE(Inputs!T42:U42)-1</f>
        <v>0.37899951274971588</v>
      </c>
      <c r="Z179" s="918">
        <f>AVERAGE(Inputs!Y42:Z42)/AVERAGE(Inputs!U42:V42)-1</f>
        <v>0.19624044618880387</v>
      </c>
      <c r="AA179" s="918">
        <f>AVERAGE(Inputs!Z42:AA42)/AVERAGE(Inputs!V42:W42)-1</f>
        <v>0.11000929656027258</v>
      </c>
      <c r="AB179" s="918">
        <f>AVERAGE(Inputs!AA42:AB42)/AVERAGE(Inputs!W42:X42)-1</f>
        <v>0.11755116826661838</v>
      </c>
      <c r="AC179" s="918">
        <f>AVERAGE(Inputs!AB42:AC42)/AVERAGE(Inputs!X42:Y42)-1</f>
        <v>0.32277251045285893</v>
      </c>
      <c r="AD179" s="918">
        <f>AVERAGE(Inputs!AC42:AD42)/AVERAGE(Inputs!Y42:Z42)-1</f>
        <v>0.59673055891325633</v>
      </c>
      <c r="AE179" s="2159">
        <f>AVERAGE(Inputs!AD42:AE42)/AVERAGE(Inputs!Z42:AA42)-1</f>
        <v>0.66052484645449483</v>
      </c>
      <c r="AF179" s="918">
        <f>AVERAGE(Inputs!AE42:AF42)/AVERAGE(Inputs!AA42:AB42)-1</f>
        <v>0.63965424095083767</v>
      </c>
      <c r="AG179" s="918">
        <f>AVERAGE(Inputs!AF42:AG42)/AVERAGE(Inputs!AB42:AC42)-1</f>
        <v>0.38901255453655081</v>
      </c>
      <c r="AH179" s="918">
        <f>AVERAGE(Inputs!AG42:AH42)/AVERAGE(Inputs!AC42:AD42)-1</f>
        <v>0.12761355443403044</v>
      </c>
      <c r="AI179" s="918">
        <f>AVERAGE(Inputs!AH42:AI42)/AVERAGE(Inputs!AD42:AE42)-1</f>
        <v>7.6664425016812254E-2</v>
      </c>
      <c r="AJ179" s="918">
        <f>AVERAGE(Inputs!AI42:AJ42)/AVERAGE(Inputs!AE42:AF42)-1</f>
        <v>0.11828665568369012</v>
      </c>
      <c r="AK179" s="918">
        <f>AVERAGE(Inputs!AJ42:AK42)/AVERAGE(Inputs!AF42:AG42)-1</f>
        <v>0.15253205128205138</v>
      </c>
      <c r="AL179" s="918">
        <f>AVERAGE(Inputs!AK42:AL42)/AVERAGE(Inputs!AG42:AH42)-1</f>
        <v>0.2403452685421994</v>
      </c>
      <c r="AM179" s="417">
        <f>AVERAGE(Inputs!AL42:AM42)/AVERAGE(Inputs!AH42:AI42)-1</f>
        <v>0.53026233603997519</v>
      </c>
      <c r="AN179" s="417">
        <f>AVERAGE(Inputs!AM42:AN42)/AVERAGE(Inputs!AI42:AJ42)-1</f>
        <v>1.0654095462581026</v>
      </c>
      <c r="AO179" s="417">
        <f>AVERAGE(Inputs!AN42:AO42)/AVERAGE(Inputs!AJ42:AK42)-1</f>
        <v>1.1955560499457714</v>
      </c>
      <c r="AP179" s="417">
        <f>AVERAGE(Inputs!AO42:AP42)/AVERAGE(Inputs!AK42:AL42)-1</f>
        <v>1.089025207484922</v>
      </c>
      <c r="AQ179" s="417">
        <f>AVERAGE(Inputs!AP42:AQ42)/AVERAGE(Inputs!AL42:AM42)-1</f>
        <v>0.75132145553990903</v>
      </c>
      <c r="AR179" s="417">
        <f>AVERAGE(Inputs!AQ42:AR42)/AVERAGE(Inputs!AM42:AN42)-1</f>
        <v>0.42728958630527836</v>
      </c>
      <c r="AS179" s="417">
        <f>AVERAGE(Inputs!AR42:AS42)/AVERAGE(Inputs!AN42:AO42)-1</f>
        <v>0.48803039898670053</v>
      </c>
      <c r="AT179" s="417">
        <f>AVERAGE(Inputs!AS42:AT42)/AVERAGE(Inputs!AO42:AP42)-1</f>
        <v>0.53434916718075232</v>
      </c>
      <c r="AU179" s="417">
        <f>AVERAGE(Inputs!AT42:AU42)/AVERAGE(Inputs!AP42:AQ42)-1</f>
        <v>0.5723608311095052</v>
      </c>
      <c r="AV179" s="417">
        <f>AVERAGE(Inputs!AU42:AV42)/AVERAGE(Inputs!AQ42:AR42)-1</f>
        <v>0.46833178415439813</v>
      </c>
      <c r="AW179" s="417">
        <f>AVERAGE(Inputs!AV42:AW42)/AVERAGE(Inputs!AR42:AS42)-1</f>
        <v>0.35726081035069779</v>
      </c>
      <c r="AX179" s="417">
        <f>AVERAGE(Inputs!AW42:AX42)/AVERAGE(Inputs!AS42:AT42)-1</f>
        <v>0.44742238197476669</v>
      </c>
      <c r="AY179" s="417">
        <f>AVERAGE(Inputs!AX42:AY42)/AVERAGE(Inputs!AT42:AU42)-1</f>
        <v>0.48226104099192946</v>
      </c>
      <c r="AZ179" s="1428">
        <f>AVERAGE(Inputs!AY42:AZ42)/AVERAGE(Inputs!AU42:AV42)-1</f>
        <v>0.44985739665511781</v>
      </c>
      <c r="BA179" s="1428">
        <f>AVERAGE(Inputs!AZ42:BA42)/AVERAGE(Inputs!AV42:AW42)-1</f>
        <v>0.2862415412885464</v>
      </c>
      <c r="BB179" s="417">
        <f>AVERAGE(Inputs!BA42:BB42)/AVERAGE(Inputs!AW42:AX42)-1</f>
        <v>0.12071874999999999</v>
      </c>
      <c r="BC179" s="417">
        <f>AVERAGE(Inputs!BB42:BC42)/AVERAGE(Inputs!AX42:AY42)-1</f>
        <v>0.12325745192307491</v>
      </c>
      <c r="BD179" s="1428">
        <f>AVERAGE(Inputs!BC42:BD42)/AVERAGE(Inputs!AY42:AZ42)-1</f>
        <v>5.0288912964790988E-4</v>
      </c>
      <c r="BE179" s="1428">
        <f>AVERAGE(Inputs!BD42:BE42)/AVERAGE(Inputs!AZ42:BA42)-1</f>
        <v>0.25585828533278887</v>
      </c>
      <c r="BF179" s="1428">
        <f>AVERAGE(Inputs!BE42:BF42)/AVERAGE(Inputs!BA42:BB42)-1</f>
        <v>0.76028747577139932</v>
      </c>
      <c r="BG179" s="1428">
        <f>AVERAGE(Inputs!BF42:BG42)/AVERAGE(Inputs!BB42:BC42)-1</f>
        <v>0.89230609548850848</v>
      </c>
      <c r="BH179" s="1428">
        <f>AVERAGE(Inputs!BG42:BH42)/AVERAGE(Inputs!BC42:BD42)-1</f>
        <v>1.5620528499120692</v>
      </c>
      <c r="BI179" s="1428">
        <f>AVERAGE(Inputs!BH42:BI42)/AVERAGE(Inputs!BD42:BE42)-1</f>
        <v>1.9399500802255485</v>
      </c>
      <c r="BJ179" s="1428">
        <f>AVERAGE(Inputs!BI42:BJ42)/AVERAGE(Inputs!BE42:BF42)-1</f>
        <v>2.5978582083312256</v>
      </c>
      <c r="BK179" s="1428">
        <f>AVERAGE(Inputs!BJ42:BK42)/AVERAGE(Inputs!BF42:BG42)-1</f>
        <v>3.0439611741557151</v>
      </c>
      <c r="BL179" s="920">
        <f>AVERAGE(Inputs!BK42:BL42)/AVERAGE(Inputs!BG42:BH42)-1</f>
        <v>2.5251367589137677</v>
      </c>
      <c r="BM179" s="920">
        <f>AVERAGE(Inputs!BL42:BM42)/AVERAGE(Inputs!BH42:BI42)-1</f>
        <v>1.9812166702153404</v>
      </c>
      <c r="BN179" s="920">
        <f>AVERAGE(Inputs!BM42:BN42)/AVERAGE(Inputs!BI42:BJ42)-1</f>
        <v>1.0060651921454982</v>
      </c>
      <c r="BO179" s="920">
        <f>AVERAGE(Inputs!BN42:BO42)/AVERAGE(Inputs!BJ42:BK42)-1</f>
        <v>0.63394088122425019</v>
      </c>
      <c r="BP179" s="920">
        <f>AVERAGE(Inputs!BO42:BP42)/AVERAGE(Inputs!BK42:BL42)-1</f>
        <v>0.52130047352148479</v>
      </c>
      <c r="BQ179" s="920">
        <f>AVERAGE(Inputs!BP42:BQ42)/AVERAGE(Inputs!BL42:BM42)-1</f>
        <v>0.40468575579850108</v>
      </c>
      <c r="BR179" s="920">
        <f>AVERAGE(Inputs!BQ42:BR42)/AVERAGE(Inputs!BM42:BN42)-1</f>
        <v>0.36970592882538966</v>
      </c>
      <c r="BS179" s="920">
        <f>AVERAGE(Inputs!BR42:BS42)/AVERAGE(Inputs!BN42:BO42)-1</f>
        <v>0.34094079791685883</v>
      </c>
      <c r="BT179" s="920">
        <f>AVERAGE(Inputs!BS42:BT42)/AVERAGE(Inputs!BO42:BP42)-1</f>
        <v>0.34094079791685883</v>
      </c>
      <c r="BU179" s="920">
        <f>AVERAGE(Inputs!BT42:BU42)/AVERAGE(Inputs!BP42:BQ42)-1</f>
        <v>0.34094079791685861</v>
      </c>
      <c r="BV179" s="920">
        <f>AVERAGE(Inputs!BU42:BV42)/AVERAGE(Inputs!BQ42:BR42)-1</f>
        <v>0.34094079791685861</v>
      </c>
      <c r="BW179" s="920">
        <f>AVERAGE(Inputs!BV42:BW42)/AVERAGE(Inputs!BR42:BS42)-1</f>
        <v>0.34094079791685883</v>
      </c>
      <c r="BX179" s="920">
        <f>AVERAGE(Inputs!BW42:BX42)/AVERAGE(Inputs!BS42:BT42)-1</f>
        <v>0.34094079791685861</v>
      </c>
      <c r="BY179" s="920">
        <f>AVERAGE(Inputs!BX42:BY42)/AVERAGE(Inputs!BT42:BU42)-1</f>
        <v>0.34094079791685861</v>
      </c>
      <c r="BZ179" s="920">
        <f>AVERAGE(Inputs!BY42:BZ42)/AVERAGE(Inputs!BU42:BV42)-1</f>
        <v>0.34094079791685861</v>
      </c>
      <c r="CA179" s="920">
        <f>AVERAGE(Inputs!BZ42:CA42)/AVERAGE(Inputs!BV42:BW42)-1</f>
        <v>0.34094079791685861</v>
      </c>
      <c r="CB179" s="920">
        <f>AVERAGE(Inputs!CA42:CB42)/AVERAGE(Inputs!BW42:BX42)-1</f>
        <v>0.34094079791685861</v>
      </c>
      <c r="CC179" s="920">
        <f>AVERAGE(Inputs!CB42:CC42)/AVERAGE(Inputs!BX42:BY42)-1</f>
        <v>0.34094079791685883</v>
      </c>
      <c r="CD179" s="920">
        <f>AVERAGE(Inputs!CC42:CD42)/AVERAGE(Inputs!BY42:BZ42)-1</f>
        <v>0.34094079791685883</v>
      </c>
      <c r="CE179" s="920">
        <f>AVERAGE(Inputs!CD42:CE42)/AVERAGE(Inputs!BZ42:CA42)-1</f>
        <v>0.34094079791685861</v>
      </c>
      <c r="CF179" s="920">
        <f>AVERAGE(Inputs!CE42:CF42)/AVERAGE(Inputs!CA42:CB42)-1</f>
        <v>0.34094079791685861</v>
      </c>
      <c r="CG179" s="920">
        <f>AVERAGE(Inputs!CF42:CG42)/AVERAGE(Inputs!CB42:CC42)-1</f>
        <v>0.34094079791685861</v>
      </c>
      <c r="CH179" s="920">
        <f>AVERAGE(Inputs!CG42:CH42)/AVERAGE(Inputs!CC42:CD42)-1</f>
        <v>0.34094079791685861</v>
      </c>
      <c r="CI179" s="920">
        <f>AVERAGE(Inputs!CH42:CI42)/AVERAGE(Inputs!CD42:CE42)-1</f>
        <v>0.34094079791685861</v>
      </c>
      <c r="CJ179" s="920">
        <f>AVERAGE(Inputs!CI42:CJ42)/AVERAGE(Inputs!CE42:CF42)-1</f>
        <v>0.34094079791685861</v>
      </c>
      <c r="CK179" s="920">
        <f>AVERAGE(Inputs!CJ42:CK42)/AVERAGE(Inputs!CF42:CG42)-1</f>
        <v>0.34094079791685861</v>
      </c>
      <c r="CL179" s="920">
        <f>AVERAGE(Inputs!CK42:CL42)/AVERAGE(Inputs!CG42:CH42)-1</f>
        <v>0.34094079791685861</v>
      </c>
      <c r="CM179" s="920">
        <f>AVERAGE(Inputs!CL42:CM42)/AVERAGE(Inputs!CH42:CI42)-1</f>
        <v>0.34094079791685861</v>
      </c>
      <c r="CN179" s="920">
        <f>AVERAGE(Inputs!CM42:CN42)/AVERAGE(Inputs!CI42:CJ42)-1</f>
        <v>0.34094079791685861</v>
      </c>
      <c r="CO179" s="920">
        <f>AVERAGE(Inputs!CN42:CO42)/AVERAGE(Inputs!CJ42:CK42)-1</f>
        <v>0.34094079791685883</v>
      </c>
      <c r="CP179" s="920">
        <f>AVERAGE(Inputs!CO42:CP42)/AVERAGE(Inputs!CK42:CL42)-1</f>
        <v>0.34094079791685838</v>
      </c>
      <c r="CQ179" s="920">
        <f>AVERAGE(Inputs!CP42:CQ42)/AVERAGE(Inputs!CL42:CM42)-1</f>
        <v>0.34094079791685883</v>
      </c>
      <c r="CR179" s="920">
        <f>AVERAGE(Inputs!CQ42:CR42)/AVERAGE(Inputs!CM42:CN42)-1</f>
        <v>0.34094079791685861</v>
      </c>
      <c r="CS179" s="920">
        <f>AVERAGE(Inputs!CR42:CS42)/AVERAGE(Inputs!CN42:CO42)-1</f>
        <v>0.34094079791685883</v>
      </c>
      <c r="CT179" s="920">
        <f>AVERAGE(Inputs!CS42:CT42)/AVERAGE(Inputs!CO42:CP42)-1</f>
        <v>0.34094079791685883</v>
      </c>
      <c r="CU179" s="920">
        <f>AVERAGE(Inputs!CT42:CU42)/AVERAGE(Inputs!CP42:CQ42)-1</f>
        <v>0.34094079791685861</v>
      </c>
      <c r="CV179" s="920">
        <f>AVERAGE(Inputs!CU42:CV42)/AVERAGE(Inputs!CQ42:CR42)-1</f>
        <v>0.34094079791685861</v>
      </c>
      <c r="CW179" s="920">
        <f>AVERAGE(Inputs!CV42:CW42)/AVERAGE(Inputs!CR42:CS42)-1</f>
        <v>0.34094079791685861</v>
      </c>
    </row>
    <row r="180" spans="1:101" s="9" customFormat="1" ht="11.25">
      <c r="A180" s="655" t="s">
        <v>977</v>
      </c>
      <c r="B180" s="890"/>
      <c r="C180" s="893"/>
      <c r="D180" s="893"/>
      <c r="E180" s="893"/>
      <c r="F180" s="918">
        <f>+AVERAGE(Inputs!E52:F52)/AVERAGE(Inputs!A52:B52)-1</f>
        <v>-0.16732051785013735</v>
      </c>
      <c r="G180" s="918">
        <f>+AVERAGE(Inputs!F52:G52)/AVERAGE(Inputs!B52:C52)-1</f>
        <v>-0.15517241379310343</v>
      </c>
      <c r="H180" s="918">
        <f>+AVERAGE(Inputs!G52:H52)/AVERAGE(Inputs!C52:D52)-1</f>
        <v>-4.1251905658685306E-2</v>
      </c>
      <c r="I180" s="918">
        <f>+AVERAGE(Inputs!H52:I52)/AVERAGE(Inputs!D52:E52)-1</f>
        <v>-5.5450911930904456E-2</v>
      </c>
      <c r="J180" s="918">
        <f>+AVERAGE(Inputs!I52:J52)/AVERAGE(Inputs!E52:F52)-1</f>
        <v>-9.2833922261484125E-2</v>
      </c>
      <c r="K180" s="918">
        <f>+AVERAGE(Inputs!J52:K52)/AVERAGE(Inputs!F52:G52)-1</f>
        <v>-7.3654033041788081E-2</v>
      </c>
      <c r="L180" s="918">
        <f>+AVERAGE(Inputs!K52:L52)/AVERAGE(Inputs!G52:H52)-1</f>
        <v>-7.7476382003554334E-2</v>
      </c>
      <c r="M180" s="918">
        <f>+AVERAGE(Inputs!L52:M52)/AVERAGE(Inputs!H52:I52)-1</f>
        <v>8.3657587548637835E-3</v>
      </c>
      <c r="N180" s="918">
        <f>+AVERAGE(Inputs!M52:N52)/AVERAGE(Inputs!I52:J52)-1</f>
        <v>5.036718498436743E-2</v>
      </c>
      <c r="O180" s="918">
        <f>+AVERAGE(Inputs!N52:O52)/AVERAGE(Inputs!J52:K52)-1</f>
        <v>4.8551735714060795E-2</v>
      </c>
      <c r="P180" s="918">
        <f>+AVERAGE(Inputs!O52:P52)/AVERAGE(Inputs!K52:L52)-1</f>
        <v>-6.1443620915164754E-3</v>
      </c>
      <c r="Q180" s="918">
        <f>+AVERAGE(Inputs!P52:Q52)/AVERAGE(Inputs!L52:M52)-1</f>
        <v>-8.4429866872467563E-2</v>
      </c>
      <c r="R180" s="918">
        <f>+AVERAGE(Inputs!Q52:R52)/AVERAGE(Inputs!M52:N52)-1</f>
        <v>-5.9413381855580316E-2</v>
      </c>
      <c r="S180" s="918">
        <f>+AVERAGE(Inputs!R52:S52)/AVERAGE(Inputs!N52:O52)-1</f>
        <v>-2.3101781908773433E-2</v>
      </c>
      <c r="T180" s="918">
        <f>+AVERAGE(Inputs!S52:T52)/AVERAGE(Inputs!O52:P52)-1</f>
        <v>2.7157445853439599E-2</v>
      </c>
      <c r="U180" s="918">
        <f>+AVERAGE(Inputs!T52:U52)/AVERAGE(Inputs!P52:Q52)-1</f>
        <v>8.1816074514266424E-2</v>
      </c>
      <c r="V180" s="918">
        <f>+AVERAGE(Inputs!U52:V52)/AVERAGE(Inputs!Q52:R52)-1</f>
        <v>0.12947620749837019</v>
      </c>
      <c r="W180" s="918">
        <f>+AVERAGE(Inputs!V52:W52)/AVERAGE(Inputs!R52:S52)-1</f>
        <v>0.12774477673084794</v>
      </c>
      <c r="X180" s="918">
        <f>+AVERAGE(Inputs!W52:X52)/AVERAGE(Inputs!S52:T52)-1</f>
        <v>0.14444345122811186</v>
      </c>
      <c r="Y180" s="918">
        <f>+AVERAGE(Inputs!X52:Y52)/AVERAGE(Inputs!T52:U52)-1</f>
        <v>0.17756372171846535</v>
      </c>
      <c r="Z180" s="918">
        <f>+AVERAGE(Inputs!Y52:Z52)/AVERAGE(Inputs!U52:V52)-1</f>
        <v>0.14889834216086917</v>
      </c>
      <c r="AA180" s="918">
        <f>+AVERAGE(Inputs!Z52:AA52)/AVERAGE(Inputs!V52:W52)-1</f>
        <v>0.14559588786065225</v>
      </c>
      <c r="AB180" s="918">
        <f>+AVERAGE(Inputs!AA52:AB52)/AVERAGE(Inputs!W52:X52)-1</f>
        <v>0.16228976099144288</v>
      </c>
      <c r="AC180" s="918">
        <f>+AVERAGE(Inputs!AB52:AC52)/AVERAGE(Inputs!X52:Y52)-1</f>
        <v>0.16788526434195727</v>
      </c>
      <c r="AD180" s="918">
        <f>+AVERAGE(Inputs!AC52:AD52)/AVERAGE(Inputs!Y52:Z52)-1</f>
        <v>0.12006481669029778</v>
      </c>
      <c r="AE180" s="2159">
        <f>+AVERAGE(Inputs!AD52:AE52)/AVERAGE(Inputs!Z52:AA52)-1</f>
        <v>5.9566372032185289E-2</v>
      </c>
      <c r="AF180" s="918">
        <f>+AVERAGE(Inputs!AE52:AF52)/AVERAGE(Inputs!AA52:AB52)-1</f>
        <v>-1.3955467944984368E-2</v>
      </c>
      <c r="AG180" s="918">
        <f>+AVERAGE(Inputs!AF52:AG52)/AVERAGE(Inputs!AB52:AC52)-1</f>
        <v>-6.0657781051259962E-2</v>
      </c>
      <c r="AH180" s="918">
        <f>+AVERAGE(Inputs!AG52:AH52)/AVERAGE(Inputs!AC52:AD52)-1</f>
        <v>-3.7969098116374167E-2</v>
      </c>
      <c r="AI180" s="918">
        <f>+AVERAGE(Inputs!AH52:AI52)/AVERAGE(Inputs!AD52:AE52)-1</f>
        <v>-8.0204101482131973E-3</v>
      </c>
      <c r="AJ180" s="918">
        <f>+AVERAGE(Inputs!AI52:AJ52)/AVERAGE(Inputs!AE52:AF52)-1</f>
        <v>-1.5531172145361594E-2</v>
      </c>
      <c r="AK180" s="918">
        <f>+AVERAGE(Inputs!AJ52:AK52)/AVERAGE(Inputs!AF52:AG52)-1</f>
        <v>-5.6017551663562704E-2</v>
      </c>
      <c r="AL180" s="918">
        <f>+AVERAGE(Inputs!AK52:AL52)/AVERAGE(Inputs!AG52:AH52)-1</f>
        <v>-8.2311365088913013E-2</v>
      </c>
      <c r="AM180" s="417">
        <f>+AVERAGE(Inputs!AL52:AM52)/AVERAGE(Inputs!AH52:AI52)-1</f>
        <v>-5.4801752811361459E-2</v>
      </c>
      <c r="AN180" s="417">
        <f>+AVERAGE(Inputs!AM52:AN52)/AVERAGE(Inputs!AI52:AJ52)-1</f>
        <v>7.2227435656817551E-3</v>
      </c>
      <c r="AO180" s="417">
        <f>+AVERAGE(Inputs!AN52:AO52)/AVERAGE(Inputs!AJ52:AK52)-1</f>
        <v>8.3956967262213578E-2</v>
      </c>
      <c r="AP180" s="417">
        <f>+AVERAGE(Inputs!AO52:AP52)/AVERAGE(Inputs!AK52:AL52)-1</f>
        <v>0.12806436811746202</v>
      </c>
      <c r="AQ180" s="417">
        <f>+AVERAGE(Inputs!AP52:AQ52)/AVERAGE(Inputs!AL52:AM52)-1</f>
        <v>8.5971225891909642E-2</v>
      </c>
      <c r="AR180" s="417">
        <f>+AVERAGE(Inputs!AQ52:AR52)/AVERAGE(Inputs!AM52:AN52)-1</f>
        <v>7.3381954255603343E-2</v>
      </c>
      <c r="AS180" s="417">
        <f>+AVERAGE(Inputs!AR52:AS52)/AVERAGE(Inputs!AN52:AO52)-1</f>
        <v>8.3341315512197811E-2</v>
      </c>
      <c r="AT180" s="417">
        <f>+AVERAGE(Inputs!AS52:AT52)/AVERAGE(Inputs!AO52:AP52)-1</f>
        <v>0.15553683231888882</v>
      </c>
      <c r="AU180" s="417">
        <f>+AVERAGE(Inputs!AT52:AU52)/AVERAGE(Inputs!AP52:AQ52)-1</f>
        <v>0.22169073073955681</v>
      </c>
      <c r="AV180" s="417">
        <f>+AVERAGE(Inputs!AU52:AV52)/AVERAGE(Inputs!AQ52:AR52)-1</f>
        <v>0.13893592498256901</v>
      </c>
      <c r="AW180" s="417">
        <f>+AVERAGE(Inputs!AV52:AW52)/AVERAGE(Inputs!AR52:AS52)-1</f>
        <v>4.0236686390532572E-2</v>
      </c>
      <c r="AX180" s="417">
        <f>+AVERAGE(Inputs!AW52:AX52)/AVERAGE(Inputs!AS52:AT52)-1</f>
        <v>-6.9720664772584429E-2</v>
      </c>
      <c r="AY180" s="417">
        <f>+AVERAGE(Inputs!AX52:AY52)/AVERAGE(Inputs!AT52:AU52)-1</f>
        <v>-0.12188902120698153</v>
      </c>
      <c r="AZ180" s="1428">
        <f>+AVERAGE(Inputs!AY52:AZ52)/AVERAGE(Inputs!AU52:AV52)-1</f>
        <v>-7.8597218925300916E-2</v>
      </c>
      <c r="BA180" s="1428">
        <f>+AVERAGE(Inputs!AZ52:BA52)/AVERAGE(Inputs!AV52:AW52)-1</f>
        <v>-1.3377270409164033E-2</v>
      </c>
      <c r="BB180" s="417">
        <f>+AVERAGE(Inputs!BA52:BB52)/AVERAGE(Inputs!AW52:AX52)-1</f>
        <v>5.8233530405405354E-2</v>
      </c>
      <c r="BC180" s="417">
        <f>+AVERAGE(Inputs!BB52:BC52)/AVERAGE(Inputs!AX52:AY52)-1</f>
        <v>0.13093030163329789</v>
      </c>
      <c r="BD180" s="1428">
        <f>+AVERAGE(Inputs!BC52:BD52)/AVERAGE(Inputs!AY52:AZ52)-1</f>
        <v>8.676109517601005E-2</v>
      </c>
      <c r="BE180" s="1428">
        <f>+AVERAGE(Inputs!BD52:BE52)/AVERAGE(Inputs!AZ52:BA52)-1</f>
        <v>0.10766365907121411</v>
      </c>
      <c r="BF180" s="1428">
        <f>+AVERAGE(Inputs!BE52:BF52)/AVERAGE(Inputs!BA52:BB52)-1</f>
        <v>9.9912259270525494E-2</v>
      </c>
      <c r="BG180" s="1428">
        <f>+AVERAGE(Inputs!BF52:BG52)/AVERAGE(Inputs!BB52:BC52)-1</f>
        <v>-2.4365140141689223E-2</v>
      </c>
      <c r="BH180" s="1428">
        <f>+AVERAGE(Inputs!BG52:BH52)/AVERAGE(Inputs!BC52:BD52)-1</f>
        <v>3.1522780464986244E-2</v>
      </c>
      <c r="BI180" s="1428">
        <f>+AVERAGE(Inputs!BH52:BI52)/AVERAGE(Inputs!BD52:BE52)-1</f>
        <v>4.5839120903556685E-2</v>
      </c>
      <c r="BJ180" s="1428">
        <f>+AVERAGE(Inputs!BI52:BJ52)/AVERAGE(Inputs!BE52:BF52)-1</f>
        <v>6.8845673443338695E-2</v>
      </c>
      <c r="BK180" s="1428">
        <f>+AVERAGE(Inputs!BJ52:BK52)/AVERAGE(Inputs!BF52:BG52)-1</f>
        <v>0.1668292581369033</v>
      </c>
      <c r="BL180" s="920">
        <f>+AVERAGE(Inputs!BK52:BL52)/AVERAGE(Inputs!BG52:BH52)-1</f>
        <v>0.13197140094575932</v>
      </c>
      <c r="BM180" s="920">
        <f>+AVERAGE(Inputs!BL52:BM52)/AVERAGE(Inputs!BH52:BI52)-1</f>
        <v>7.3175634424665681E-2</v>
      </c>
      <c r="BN180" s="920">
        <f>+AVERAGE(Inputs!BM52:BN52)/AVERAGE(Inputs!BI52:BJ52)-1</f>
        <v>1.8864790442556956E-2</v>
      </c>
      <c r="BO180" s="920">
        <f>+AVERAGE(Inputs!BN52:BO52)/AVERAGE(Inputs!BJ52:BK52)-1</f>
        <v>-1.4243851829567333E-3</v>
      </c>
      <c r="BP180" s="920">
        <f>+AVERAGE(Inputs!BO52:BP52)/AVERAGE(Inputs!BK52:BL52)-1</f>
        <v>3.3563572944836917E-3</v>
      </c>
      <c r="BQ180" s="920">
        <f>+AVERAGE(Inputs!BP52:BQ52)/AVERAGE(Inputs!BL52:BM52)-1</f>
        <v>4.2643923240939241E-3</v>
      </c>
      <c r="BR180" s="920">
        <f>+AVERAGE(Inputs!BQ52:BR52)/AVERAGE(Inputs!BM52:BN52)-1</f>
        <v>8.3496294024938411E-3</v>
      </c>
      <c r="BS180" s="920">
        <f>+AVERAGE(Inputs!BR52:BS52)/AVERAGE(Inputs!BN52:BO52)-1</f>
        <v>9.2365722378233706E-3</v>
      </c>
      <c r="BT180" s="920">
        <f>+AVERAGE(Inputs!BS52:BT52)/AVERAGE(Inputs!BO52:BP52)-1</f>
        <v>9.2365722378233706E-3</v>
      </c>
      <c r="BU180" s="920">
        <f>+AVERAGE(Inputs!BT52:BU52)/AVERAGE(Inputs!BP52:BQ52)-1</f>
        <v>9.2365722378233706E-3</v>
      </c>
      <c r="BV180" s="920">
        <f>+AVERAGE(Inputs!BU52:BV52)/AVERAGE(Inputs!BQ52:BR52)-1</f>
        <v>9.2365722378231485E-3</v>
      </c>
      <c r="BW180" s="920">
        <f>+AVERAGE(Inputs!BV52:BW52)/AVERAGE(Inputs!BR52:BS52)-1</f>
        <v>9.2365722378233706E-3</v>
      </c>
      <c r="BX180" s="920">
        <f>+AVERAGE(Inputs!BW52:BX52)/AVERAGE(Inputs!BS52:BT52)-1</f>
        <v>9.2365722378233706E-3</v>
      </c>
      <c r="BY180" s="920">
        <f>+AVERAGE(Inputs!BX52:BY52)/AVERAGE(Inputs!BT52:BU52)-1</f>
        <v>9.2365722378231485E-3</v>
      </c>
      <c r="BZ180" s="920">
        <f>+AVERAGE(Inputs!BY52:BZ52)/AVERAGE(Inputs!BU52:BV52)-1</f>
        <v>9.2365722378231485E-3</v>
      </c>
      <c r="CA180" s="920">
        <f>+AVERAGE(Inputs!BZ52:CA52)/AVERAGE(Inputs!BV52:BW52)-1</f>
        <v>9.2365722378231485E-3</v>
      </c>
      <c r="CB180" s="920">
        <f>+AVERAGE(Inputs!CA52:CB52)/AVERAGE(Inputs!BW52:BX52)-1</f>
        <v>9.2365722378231485E-3</v>
      </c>
      <c r="CC180" s="920">
        <f>+AVERAGE(Inputs!CB52:CC52)/AVERAGE(Inputs!BX52:BY52)-1</f>
        <v>9.2365722378231485E-3</v>
      </c>
      <c r="CD180" s="920">
        <f>+AVERAGE(Inputs!CC52:CD52)/AVERAGE(Inputs!BY52:BZ52)-1</f>
        <v>9.2365722378231485E-3</v>
      </c>
      <c r="CE180" s="920">
        <f>+AVERAGE(Inputs!CD52:CE52)/AVERAGE(Inputs!BZ52:CA52)-1</f>
        <v>9.2365722378231485E-3</v>
      </c>
      <c r="CF180" s="920">
        <f>+AVERAGE(Inputs!CE52:CF52)/AVERAGE(Inputs!CA52:CB52)-1</f>
        <v>9.2365722378231485E-3</v>
      </c>
      <c r="CG180" s="920">
        <f>+AVERAGE(Inputs!CF52:CG52)/AVERAGE(Inputs!CB52:CC52)-1</f>
        <v>9.2365722378233706E-3</v>
      </c>
      <c r="CH180" s="920">
        <f>+AVERAGE(Inputs!CG52:CH52)/AVERAGE(Inputs!CC52:CD52)-1</f>
        <v>9.2365722378233706E-3</v>
      </c>
      <c r="CI180" s="920">
        <f>+AVERAGE(Inputs!CH52:CI52)/AVERAGE(Inputs!CD52:CE52)-1</f>
        <v>9.2365722378233706E-3</v>
      </c>
      <c r="CJ180" s="920">
        <f>+AVERAGE(Inputs!CI52:CJ52)/AVERAGE(Inputs!CE52:CF52)-1</f>
        <v>9.2365722378231485E-3</v>
      </c>
      <c r="CK180" s="920">
        <f>+AVERAGE(Inputs!CJ52:CK52)/AVERAGE(Inputs!CF52:CG52)-1</f>
        <v>9.2365722378231485E-3</v>
      </c>
      <c r="CL180" s="920">
        <f>+AVERAGE(Inputs!CK52:CL52)/AVERAGE(Inputs!CG52:CH52)-1</f>
        <v>9.2365722378231485E-3</v>
      </c>
      <c r="CM180" s="920">
        <f>+AVERAGE(Inputs!CL52:CM52)/AVERAGE(Inputs!CH52:CI52)-1</f>
        <v>9.2365722378231485E-3</v>
      </c>
      <c r="CN180" s="920">
        <f>+AVERAGE(Inputs!CM52:CN52)/AVERAGE(Inputs!CI52:CJ52)-1</f>
        <v>9.2365722378231485E-3</v>
      </c>
      <c r="CO180" s="920">
        <f>+AVERAGE(Inputs!CN52:CO52)/AVERAGE(Inputs!CJ52:CK52)-1</f>
        <v>9.2365722378231485E-3</v>
      </c>
      <c r="CP180" s="920">
        <f>+AVERAGE(Inputs!CO52:CP52)/AVERAGE(Inputs!CK52:CL52)-1</f>
        <v>9.2365722378233706E-3</v>
      </c>
      <c r="CQ180" s="920">
        <f>+AVERAGE(Inputs!CP52:CQ52)/AVERAGE(Inputs!CL52:CM52)-1</f>
        <v>9.2365722378233706E-3</v>
      </c>
      <c r="CR180" s="920">
        <f>+AVERAGE(Inputs!CQ52:CR52)/AVERAGE(Inputs!CM52:CN52)-1</f>
        <v>9.2365722378231485E-3</v>
      </c>
      <c r="CS180" s="920">
        <f>+AVERAGE(Inputs!CR52:CS52)/AVERAGE(Inputs!CN52:CO52)-1</f>
        <v>9.2365722378231485E-3</v>
      </c>
      <c r="CT180" s="920">
        <f>+AVERAGE(Inputs!CS52:CT52)/AVERAGE(Inputs!CO52:CP52)-1</f>
        <v>9.2365722378231485E-3</v>
      </c>
      <c r="CU180" s="920">
        <f>+AVERAGE(Inputs!CT52:CU52)/AVERAGE(Inputs!CP52:CQ52)-1</f>
        <v>9.2365722378229265E-3</v>
      </c>
      <c r="CV180" s="920">
        <f>+AVERAGE(Inputs!CU52:CV52)/AVERAGE(Inputs!CQ52:CR52)-1</f>
        <v>9.2365722378231485E-3</v>
      </c>
      <c r="CW180" s="920">
        <f>+AVERAGE(Inputs!CV52:CW52)/AVERAGE(Inputs!CR52:CS52)-1</f>
        <v>9.2365722378231485E-3</v>
      </c>
    </row>
    <row r="181" spans="1:101" s="9" customFormat="1" ht="11.25">
      <c r="A181" s="655" t="s">
        <v>978</v>
      </c>
      <c r="B181" s="890"/>
      <c r="C181" s="893"/>
      <c r="D181" s="893"/>
      <c r="E181" s="893"/>
      <c r="F181" s="918">
        <f>+AVERAGE(Inputs!E62:F62)/AVERAGE(Inputs!A62:B62)-1</f>
        <v>-0.14870873090534431</v>
      </c>
      <c r="G181" s="918">
        <f>+AVERAGE(Inputs!F62:G62)/AVERAGE(Inputs!B62:C62)-1</f>
        <v>-0.14831460674157304</v>
      </c>
      <c r="H181" s="918">
        <f>+AVERAGE(Inputs!G62:H62)/AVERAGE(Inputs!C62:D62)-1</f>
        <v>-0.12265060240963854</v>
      </c>
      <c r="I181" s="918">
        <f>+AVERAGE(Inputs!H62:I62)/AVERAGE(Inputs!D62:E62)-1</f>
        <v>-4.2465282507313185E-2</v>
      </c>
      <c r="J181" s="918">
        <f>+AVERAGE(Inputs!I62:J62)/AVERAGE(Inputs!E62:F62)-1</f>
        <v>-2.6983364797042664E-2</v>
      </c>
      <c r="K181" s="918">
        <f>+AVERAGE(Inputs!J62:K62)/AVERAGE(Inputs!F62:G62)-1</f>
        <v>-6.2522734841304328E-2</v>
      </c>
      <c r="L181" s="918">
        <f>+AVERAGE(Inputs!K62:L62)/AVERAGE(Inputs!G62:H62)-1</f>
        <v>-3.3426191130118577E-2</v>
      </c>
      <c r="M181" s="918">
        <f>+AVERAGE(Inputs!L62:M62)/AVERAGE(Inputs!H62:I62)-1</f>
        <v>4.5290125045723606E-2</v>
      </c>
      <c r="N181" s="918">
        <f>+AVERAGE(Inputs!M62:N62)/AVERAGE(Inputs!I62:J62)-1</f>
        <v>9.9104409808226102E-3</v>
      </c>
      <c r="O181" s="918">
        <f>+AVERAGE(Inputs!N62:O62)/AVERAGE(Inputs!J62:K62)-1</f>
        <v>-2.2668958337318301E-2</v>
      </c>
      <c r="P181" s="918">
        <f>+AVERAGE(Inputs!O62:P62)/AVERAGE(Inputs!K62:L62)-1</f>
        <v>-2.9805751151475213E-2</v>
      </c>
      <c r="Q181" s="918">
        <f>+AVERAGE(Inputs!P62:Q62)/AVERAGE(Inputs!L62:M62)-1</f>
        <v>-7.4926123697444225E-2</v>
      </c>
      <c r="R181" s="918">
        <f>+AVERAGE(Inputs!Q62:R62)/AVERAGE(Inputs!M62:N62)-1</f>
        <v>-3.5970086511351362E-2</v>
      </c>
      <c r="S181" s="918">
        <f>+AVERAGE(Inputs!R62:S62)/AVERAGE(Inputs!N62:O62)-1</f>
        <v>5.1592682579046922E-2</v>
      </c>
      <c r="T181" s="918">
        <f>+AVERAGE(Inputs!S62:T62)/AVERAGE(Inputs!O62:P62)-1</f>
        <v>7.2111951622261028E-2</v>
      </c>
      <c r="U181" s="918">
        <f>+AVERAGE(Inputs!T62:U62)/AVERAGE(Inputs!P62:Q62)-1</f>
        <v>7.6421716287215391E-2</v>
      </c>
      <c r="V181" s="918">
        <f>+AVERAGE(Inputs!U62:V62)/AVERAGE(Inputs!Q62:R62)-1</f>
        <v>8.1023655507814096E-2</v>
      </c>
      <c r="W181" s="918">
        <f>+AVERAGE(Inputs!V62:W62)/AVERAGE(Inputs!R62:S62)-1</f>
        <v>2.2681590981601829E-2</v>
      </c>
      <c r="X181" s="918">
        <f>+AVERAGE(Inputs!W62:X62)/AVERAGE(Inputs!S62:T62)-1</f>
        <v>1.7176381824567821E-2</v>
      </c>
      <c r="Y181" s="918">
        <f>+AVERAGE(Inputs!X62:Y62)/AVERAGE(Inputs!T62:U62)-1</f>
        <v>0.15084290429730229</v>
      </c>
      <c r="Z181" s="918">
        <f>+AVERAGE(Inputs!Y62:Z62)/AVERAGE(Inputs!U62:V62)-1</f>
        <v>0.27654638181981706</v>
      </c>
      <c r="AA181" s="918">
        <f>+AVERAGE(Inputs!Z62:AA62)/AVERAGE(Inputs!V62:W62)-1</f>
        <v>0.34177735141725862</v>
      </c>
      <c r="AB181" s="918">
        <f>+AVERAGE(Inputs!AA62:AB62)/AVERAGE(Inputs!W62:X62)-1</f>
        <v>0.45972678000956613</v>
      </c>
      <c r="AC181" s="918">
        <f>+AVERAGE(Inputs!AB62:AC62)/AVERAGE(Inputs!X62:Y62)-1</f>
        <v>0.41856935402878093</v>
      </c>
      <c r="AD181" s="918">
        <f>+AVERAGE(Inputs!AC62:AD62)/AVERAGE(Inputs!Y62:Z62)-1</f>
        <v>0.24218729558761076</v>
      </c>
      <c r="AE181" s="2159">
        <f>+AVERAGE(Inputs!AD62:AE62)/AVERAGE(Inputs!Z62:AA62)-1</f>
        <v>0.15061342798905675</v>
      </c>
      <c r="AF181" s="918">
        <f>+AVERAGE(Inputs!AE62:AF62)/AVERAGE(Inputs!AA62:AB62)-1</f>
        <v>1.5603507941931438E-2</v>
      </c>
      <c r="AG181" s="918">
        <f>+AVERAGE(Inputs!AF62:AG62)/AVERAGE(Inputs!AB62:AC62)-1</f>
        <v>-6.2306562639023788E-2</v>
      </c>
      <c r="AH181" s="918">
        <f>+AVERAGE(Inputs!AG62:AH62)/AVERAGE(Inputs!AC62:AD62)-1</f>
        <v>-4.7128723780019532E-2</v>
      </c>
      <c r="AI181" s="918">
        <f>+AVERAGE(Inputs!AH62:AI62)/AVERAGE(Inputs!AD62:AE62)-1</f>
        <v>-3.3678538351435972E-3</v>
      </c>
      <c r="AJ181" s="918">
        <f>+AVERAGE(Inputs!AI62:AJ62)/AVERAGE(Inputs!AE62:AF62)-1</f>
        <v>3.0853504942978782E-2</v>
      </c>
      <c r="AK181" s="918">
        <f>+AVERAGE(Inputs!AJ62:AK62)/AVERAGE(Inputs!AF62:AG62)-1</f>
        <v>6.8036580927990364E-3</v>
      </c>
      <c r="AL181" s="918">
        <f>+AVERAGE(Inputs!AK62:AL62)/AVERAGE(Inputs!AG62:AH62)-1</f>
        <v>-1.9806323808228332E-2</v>
      </c>
      <c r="AM181" s="417">
        <f>+AVERAGE(Inputs!AL62:AM62)/AVERAGE(Inputs!AH62:AI62)-1</f>
        <v>-3.5013939342738776E-2</v>
      </c>
      <c r="AN181" s="417">
        <f>+AVERAGE(Inputs!AM62:AN62)/AVERAGE(Inputs!AI62:AJ62)-1</f>
        <v>-1.2041982081798519E-2</v>
      </c>
      <c r="AO181" s="417">
        <f>+AVERAGE(Inputs!AN62:AO62)/AVERAGE(Inputs!AJ62:AK62)-1</f>
        <v>5.0882754823356136E-2</v>
      </c>
      <c r="AP181" s="417">
        <f>+AVERAGE(Inputs!AO62:AP62)/AVERAGE(Inputs!AK62:AL62)-1</f>
        <v>0.11450662419962288</v>
      </c>
      <c r="AQ181" s="417">
        <f>+AVERAGE(Inputs!AP62:AQ62)/AVERAGE(Inputs!AL62:AM62)-1</f>
        <v>0.1171700865131573</v>
      </c>
      <c r="AR181" s="417">
        <f>+AVERAGE(Inputs!AQ62:AR62)/AVERAGE(Inputs!AM62:AN62)-1</f>
        <v>0.12954473842025571</v>
      </c>
      <c r="AS181" s="417">
        <f>+AVERAGE(Inputs!AR62:AS62)/AVERAGE(Inputs!AN62:AO62)-1</f>
        <v>8.3128546929971847E-2</v>
      </c>
      <c r="AT181" s="417">
        <f>+AVERAGE(Inputs!AS62:AT62)/AVERAGE(Inputs!AO62:AP62)-1</f>
        <v>0.1427977722918683</v>
      </c>
      <c r="AU181" s="417">
        <f>+AVERAGE(Inputs!AT62:AU62)/AVERAGE(Inputs!AP62:AQ62)-1</f>
        <v>0.22619999185011719</v>
      </c>
      <c r="AV181" s="417">
        <f>+AVERAGE(Inputs!AU62:AV62)/AVERAGE(Inputs!AQ62:AR62)-1</f>
        <v>0.14550338348571024</v>
      </c>
      <c r="AW181" s="417">
        <f>+AVERAGE(Inputs!AV62:AW62)/AVERAGE(Inputs!AR62:AS62)-1</f>
        <v>0.118678171579502</v>
      </c>
      <c r="AX181" s="417">
        <f>+AVERAGE(Inputs!AW62:AX62)/AVERAGE(Inputs!AS62:AT62)-1</f>
        <v>-1.7972064642227226E-2</v>
      </c>
      <c r="AY181" s="417">
        <f>+AVERAGE(Inputs!AX62:AY62)/AVERAGE(Inputs!AT62:AU62)-1</f>
        <v>-8.6112488688245392E-2</v>
      </c>
      <c r="AZ181" s="1428">
        <f>+AVERAGE(Inputs!AY62:AZ62)/AVERAGE(Inputs!AU62:AV62)-1</f>
        <v>-6.3872686685389257E-2</v>
      </c>
      <c r="BA181" s="1428">
        <f>+AVERAGE(Inputs!AZ62:BA62)/AVERAGE(Inputs!AV62:AW62)-1</f>
        <v>-2.1414151061024511E-2</v>
      </c>
      <c r="BB181" s="417">
        <f>+AVERAGE(Inputs!BA62:BB62)/AVERAGE(Inputs!AW62:AX62)-1</f>
        <v>7.2231666088765412E-2</v>
      </c>
      <c r="BC181" s="417">
        <f>+AVERAGE(Inputs!BB62:BC62)/AVERAGE(Inputs!AX62:AY62)-1</f>
        <v>9.3359398197956578E-2</v>
      </c>
      <c r="BD181" s="1428">
        <f>+AVERAGE(Inputs!BC62:BD62)/AVERAGE(Inputs!AY62:AZ62)-1</f>
        <v>8.275935449166294E-2</v>
      </c>
      <c r="BE181" s="1428">
        <f>+AVERAGE(Inputs!BD62:BE62)/AVERAGE(Inputs!AZ62:BA62)-1</f>
        <v>0.17130808330943936</v>
      </c>
      <c r="BF181" s="1428">
        <f>+AVERAGE(Inputs!BE62:BF62)/AVERAGE(Inputs!BA62:BB62)-1</f>
        <v>0.23732601885908422</v>
      </c>
      <c r="BG181" s="1428">
        <f>+AVERAGE(Inputs!BF62:BG62)/AVERAGE(Inputs!BB62:BC62)-1</f>
        <v>0.17291661863214336</v>
      </c>
      <c r="BH181" s="1428">
        <f>+AVERAGE(Inputs!BG62:BH62)/AVERAGE(Inputs!BC62:BD62)-1</f>
        <v>9.2959511868953459E-2</v>
      </c>
      <c r="BI181" s="1428">
        <f>+AVERAGE(Inputs!BH62:BI62)/AVERAGE(Inputs!BD62:BE62)-1</f>
        <v>-6.1808235791464883E-2</v>
      </c>
      <c r="BJ181" s="1428">
        <f>+AVERAGE(Inputs!BI62:BJ62)/AVERAGE(Inputs!BE62:BF62)-1</f>
        <v>-0.15039751316758287</v>
      </c>
      <c r="BK181" s="1428">
        <f>+AVERAGE(Inputs!BJ62:BK62)/AVERAGE(Inputs!BF62:BG62)-1</f>
        <v>-0.14425453421972922</v>
      </c>
      <c r="BL181" s="920">
        <f>+AVERAGE(Inputs!BK62:BL62)/AVERAGE(Inputs!BG62:BH62)-1</f>
        <v>-5.1776776116560508E-2</v>
      </c>
      <c r="BM181" s="920">
        <f>+AVERAGE(Inputs!BL62:BM62)/AVERAGE(Inputs!BH62:BI62)-1</f>
        <v>1.8104811111204322E-2</v>
      </c>
      <c r="BN181" s="920">
        <f>+AVERAGE(Inputs!BM62:BN62)/AVERAGE(Inputs!BI62:BJ62)-1</f>
        <v>2.8315987538863885E-2</v>
      </c>
      <c r="BO181" s="920">
        <f>+AVERAGE(Inputs!BN62:BO62)/AVERAGE(Inputs!BJ62:BK62)-1</f>
        <v>7.7666155165418305E-2</v>
      </c>
      <c r="BP181" s="920">
        <f>+AVERAGE(Inputs!BO62:BP62)/AVERAGE(Inputs!BK62:BL62)-1</f>
        <v>6.016321248033929E-2</v>
      </c>
      <c r="BQ181" s="920">
        <f>+AVERAGE(Inputs!BP62:BQ62)/AVERAGE(Inputs!BL62:BM62)-1</f>
        <v>4.3251756724012491E-2</v>
      </c>
      <c r="BR181" s="920">
        <f>+AVERAGE(Inputs!BQ62:BR62)/AVERAGE(Inputs!BM62:BN62)-1</f>
        <v>3.1415553110933025E-2</v>
      </c>
      <c r="BS181" s="920">
        <f>+AVERAGE(Inputs!BR62:BS62)/AVERAGE(Inputs!BN62:BO62)-1</f>
        <v>1.3928093587453505E-2</v>
      </c>
      <c r="BT181" s="920">
        <f>+AVERAGE(Inputs!BS62:BT62)/AVERAGE(Inputs!BO62:BP62)-1</f>
        <v>1.3928093587453283E-2</v>
      </c>
      <c r="BU181" s="920">
        <f>+AVERAGE(Inputs!BT62:BU62)/AVERAGE(Inputs!BP62:BQ62)-1</f>
        <v>1.3928093587453505E-2</v>
      </c>
      <c r="BV181" s="920">
        <f>+AVERAGE(Inputs!BU62:BV62)/AVERAGE(Inputs!BQ62:BR62)-1</f>
        <v>1.3928093587453283E-2</v>
      </c>
      <c r="BW181" s="920">
        <f>+AVERAGE(Inputs!BV62:BW62)/AVERAGE(Inputs!BR62:BS62)-1</f>
        <v>1.3928093587453061E-2</v>
      </c>
      <c r="BX181" s="920">
        <f>+AVERAGE(Inputs!BW62:BX62)/AVERAGE(Inputs!BS62:BT62)-1</f>
        <v>1.3928093587453283E-2</v>
      </c>
      <c r="BY181" s="920">
        <f>+AVERAGE(Inputs!BX62:BY62)/AVERAGE(Inputs!BT62:BU62)-1</f>
        <v>1.3928093587453283E-2</v>
      </c>
      <c r="BZ181" s="920">
        <f>+AVERAGE(Inputs!BY62:BZ62)/AVERAGE(Inputs!BU62:BV62)-1</f>
        <v>1.3928093587453505E-2</v>
      </c>
      <c r="CA181" s="920">
        <f>+AVERAGE(Inputs!BZ62:CA62)/AVERAGE(Inputs!BV62:BW62)-1</f>
        <v>1.3928093587453505E-2</v>
      </c>
      <c r="CB181" s="920">
        <f>+AVERAGE(Inputs!CA62:CB62)/AVERAGE(Inputs!BW62:BX62)-1</f>
        <v>1.3928093587453283E-2</v>
      </c>
      <c r="CC181" s="920">
        <f>+AVERAGE(Inputs!CB62:CC62)/AVERAGE(Inputs!BX62:BY62)-1</f>
        <v>1.3928093587453283E-2</v>
      </c>
      <c r="CD181" s="920">
        <f>+AVERAGE(Inputs!CC62:CD62)/AVERAGE(Inputs!BY62:BZ62)-1</f>
        <v>1.3928093587453283E-2</v>
      </c>
      <c r="CE181" s="920">
        <f>+AVERAGE(Inputs!CD62:CE62)/AVERAGE(Inputs!BZ62:CA62)-1</f>
        <v>1.3928093587453283E-2</v>
      </c>
      <c r="CF181" s="920">
        <f>+AVERAGE(Inputs!CE62:CF62)/AVERAGE(Inputs!CA62:CB62)-1</f>
        <v>1.3928093587453283E-2</v>
      </c>
      <c r="CG181" s="920">
        <f>+AVERAGE(Inputs!CF62:CG62)/AVERAGE(Inputs!CB62:CC62)-1</f>
        <v>1.3928093587453283E-2</v>
      </c>
      <c r="CH181" s="920">
        <f>+AVERAGE(Inputs!CG62:CH62)/AVERAGE(Inputs!CC62:CD62)-1</f>
        <v>1.3928093587453505E-2</v>
      </c>
      <c r="CI181" s="920">
        <f>+AVERAGE(Inputs!CH62:CI62)/AVERAGE(Inputs!CD62:CE62)-1</f>
        <v>1.3928093587453505E-2</v>
      </c>
      <c r="CJ181" s="920">
        <f>+AVERAGE(Inputs!CI62:CJ62)/AVERAGE(Inputs!CE62:CF62)-1</f>
        <v>1.3928093587453505E-2</v>
      </c>
      <c r="CK181" s="920">
        <f>+AVERAGE(Inputs!CJ62:CK62)/AVERAGE(Inputs!CF62:CG62)-1</f>
        <v>1.3928093587453505E-2</v>
      </c>
      <c r="CL181" s="920">
        <f>+AVERAGE(Inputs!CK62:CL62)/AVERAGE(Inputs!CG62:CH62)-1</f>
        <v>1.3928093587453283E-2</v>
      </c>
      <c r="CM181" s="920">
        <f>+AVERAGE(Inputs!CL62:CM62)/AVERAGE(Inputs!CH62:CI62)-1</f>
        <v>1.3928093587453283E-2</v>
      </c>
      <c r="CN181" s="920">
        <f>+AVERAGE(Inputs!CM62:CN62)/AVERAGE(Inputs!CI62:CJ62)-1</f>
        <v>1.3928093587453283E-2</v>
      </c>
      <c r="CO181" s="920">
        <f>+AVERAGE(Inputs!CN62:CO62)/AVERAGE(Inputs!CJ62:CK62)-1</f>
        <v>1.3928093587453061E-2</v>
      </c>
      <c r="CP181" s="920">
        <f>+AVERAGE(Inputs!CO62:CP62)/AVERAGE(Inputs!CK62:CL62)-1</f>
        <v>1.3928093587453283E-2</v>
      </c>
      <c r="CQ181" s="920">
        <f>+AVERAGE(Inputs!CP62:CQ62)/AVERAGE(Inputs!CL62:CM62)-1</f>
        <v>1.3928093587453283E-2</v>
      </c>
      <c r="CR181" s="920">
        <f>+AVERAGE(Inputs!CQ62:CR62)/AVERAGE(Inputs!CM62:CN62)-1</f>
        <v>1.3928093587453505E-2</v>
      </c>
      <c r="CS181" s="920">
        <f>+AVERAGE(Inputs!CR62:CS62)/AVERAGE(Inputs!CN62:CO62)-1</f>
        <v>1.3928093587453505E-2</v>
      </c>
      <c r="CT181" s="920">
        <f>+AVERAGE(Inputs!CS62:CT62)/AVERAGE(Inputs!CO62:CP62)-1</f>
        <v>1.3928093587453283E-2</v>
      </c>
      <c r="CU181" s="920">
        <f>+AVERAGE(Inputs!CT62:CU62)/AVERAGE(Inputs!CP62:CQ62)-1</f>
        <v>1.3928093587453505E-2</v>
      </c>
      <c r="CV181" s="920">
        <f>+AVERAGE(Inputs!CU62:CV62)/AVERAGE(Inputs!CQ62:CR62)-1</f>
        <v>1.3928093587453505E-2</v>
      </c>
      <c r="CW181" s="920">
        <f>+AVERAGE(Inputs!CV62:CW62)/AVERAGE(Inputs!CR62:CS62)-1</f>
        <v>1.3928093587453283E-2</v>
      </c>
    </row>
    <row r="182" spans="1:101" s="9" customFormat="1" ht="11.25">
      <c r="A182" s="665"/>
      <c r="B182" s="62"/>
      <c r="C182" s="62"/>
      <c r="D182" s="62"/>
      <c r="E182" s="62"/>
      <c r="F182" s="256"/>
      <c r="G182" s="256"/>
      <c r="H182" s="256"/>
      <c r="I182" s="256"/>
      <c r="J182" s="256"/>
      <c r="K182" s="256"/>
      <c r="L182" s="256"/>
      <c r="M182" s="256"/>
      <c r="N182" s="256"/>
      <c r="O182" s="256"/>
      <c r="P182" s="256"/>
      <c r="Q182" s="256"/>
      <c r="R182" s="256"/>
      <c r="S182" s="256"/>
      <c r="T182" s="256"/>
      <c r="U182" s="256"/>
      <c r="V182" s="256"/>
      <c r="W182" s="256"/>
      <c r="X182" s="256"/>
      <c r="Y182" s="256"/>
      <c r="Z182" s="256"/>
      <c r="AA182" s="256"/>
      <c r="AB182" s="256"/>
      <c r="AC182" s="256"/>
      <c r="AD182" s="256"/>
      <c r="AE182" s="2132"/>
      <c r="AF182" s="256"/>
      <c r="AG182" s="256"/>
      <c r="AH182" s="256"/>
      <c r="AI182" s="256"/>
      <c r="AJ182" s="256"/>
      <c r="AK182" s="256"/>
      <c r="AL182" s="256"/>
      <c r="AM182" s="257"/>
      <c r="AN182" s="257"/>
      <c r="AO182" s="257"/>
      <c r="AP182" s="257"/>
      <c r="AQ182" s="257"/>
      <c r="AR182" s="257"/>
      <c r="AS182" s="257"/>
      <c r="AT182" s="257"/>
      <c r="AU182" s="257"/>
      <c r="AV182" s="257"/>
      <c r="AW182" s="257"/>
      <c r="AX182" s="257"/>
      <c r="AY182" s="257"/>
      <c r="AZ182" s="257"/>
      <c r="BA182" s="257"/>
      <c r="BB182" s="257"/>
      <c r="BC182" s="257"/>
      <c r="BD182" s="257"/>
      <c r="BE182" s="257"/>
      <c r="BF182" s="257"/>
      <c r="BG182" s="257"/>
      <c r="BH182" s="257"/>
      <c r="BI182" s="257"/>
      <c r="BJ182" s="257"/>
      <c r="BK182" s="257"/>
      <c r="BL182" s="461"/>
      <c r="BM182" s="461"/>
      <c r="BN182" s="461"/>
      <c r="BO182" s="461"/>
      <c r="BP182" s="461"/>
      <c r="BQ182" s="461"/>
      <c r="BR182" s="461"/>
      <c r="BS182" s="461"/>
      <c r="BT182" s="461"/>
      <c r="BU182" s="461"/>
      <c r="BV182" s="461"/>
      <c r="BW182" s="461"/>
      <c r="BX182" s="461"/>
      <c r="BY182" s="461"/>
      <c r="BZ182" s="461"/>
      <c r="CA182" s="461"/>
      <c r="CB182" s="461"/>
      <c r="CC182" s="461"/>
      <c r="CD182" s="461"/>
      <c r="CE182" s="461"/>
      <c r="CF182" s="461"/>
      <c r="CG182" s="461"/>
      <c r="CH182" s="461"/>
      <c r="CI182" s="461"/>
      <c r="CJ182" s="461"/>
      <c r="CK182" s="461"/>
      <c r="CL182" s="461"/>
      <c r="CM182" s="461"/>
      <c r="CN182" s="461"/>
      <c r="CO182" s="461"/>
      <c r="CP182" s="461"/>
      <c r="CQ182" s="461"/>
      <c r="CR182" s="461"/>
      <c r="CS182" s="461"/>
      <c r="CT182" s="461"/>
      <c r="CU182" s="461"/>
      <c r="CV182" s="461"/>
      <c r="CW182" s="461"/>
    </row>
    <row r="183" spans="1:101" s="9" customFormat="1" ht="11.25">
      <c r="A183" s="917" t="s">
        <v>987</v>
      </c>
      <c r="B183" s="934">
        <f t="shared" ref="B183:AG183" si="962">SUMPRODUCT(B161:B163,B184:B186)</f>
        <v>7.4958904305628724E-2</v>
      </c>
      <c r="C183" s="934">
        <f t="shared" si="962"/>
        <v>6.0097155126140625E-2</v>
      </c>
      <c r="D183" s="934">
        <f t="shared" si="962"/>
        <v>5.7197459827878078E-2</v>
      </c>
      <c r="E183" s="934">
        <f t="shared" si="962"/>
        <v>6.2145731593186933E-2</v>
      </c>
      <c r="F183" s="934">
        <f t="shared" si="962"/>
        <v>6.8544831903254055E-2</v>
      </c>
      <c r="G183" s="934">
        <f t="shared" si="962"/>
        <v>8.0222388428854222E-2</v>
      </c>
      <c r="H183" s="934">
        <f t="shared" si="962"/>
        <v>9.502404563897851E-2</v>
      </c>
      <c r="I183" s="934">
        <f t="shared" si="962"/>
        <v>9.5468659555903085E-2</v>
      </c>
      <c r="J183" s="934">
        <f t="shared" si="962"/>
        <v>9.4226710980704703E-2</v>
      </c>
      <c r="K183" s="934">
        <f t="shared" si="962"/>
        <v>9.5578091966173395E-2</v>
      </c>
      <c r="L183" s="934">
        <f t="shared" si="962"/>
        <v>9.690518842234426E-2</v>
      </c>
      <c r="M183" s="934">
        <f t="shared" si="962"/>
        <v>9.1332258144631973E-2</v>
      </c>
      <c r="N183" s="934">
        <f t="shared" si="962"/>
        <v>8.258254716981131E-2</v>
      </c>
      <c r="O183" s="934">
        <f t="shared" si="962"/>
        <v>7.8968750000000004E-2</v>
      </c>
      <c r="P183" s="934">
        <f t="shared" si="962"/>
        <v>8.5669491525423719E-2</v>
      </c>
      <c r="Q183" s="934">
        <f t="shared" si="962"/>
        <v>0.10553815261044178</v>
      </c>
      <c r="R183" s="934">
        <f t="shared" si="962"/>
        <v>0.11946640316205533</v>
      </c>
      <c r="S183" s="934">
        <f t="shared" si="962"/>
        <v>0.13952471482889733</v>
      </c>
      <c r="T183" s="934">
        <f t="shared" si="962"/>
        <v>0.15327272727272728</v>
      </c>
      <c r="U183" s="934">
        <f t="shared" si="962"/>
        <v>0.1641254355400697</v>
      </c>
      <c r="V183" s="934">
        <f t="shared" si="962"/>
        <v>0.21589115646258505</v>
      </c>
      <c r="W183" s="934">
        <f t="shared" si="962"/>
        <v>0.23165100671140942</v>
      </c>
      <c r="X183" s="934">
        <f t="shared" si="962"/>
        <v>0.22978548895899054</v>
      </c>
      <c r="Y183" s="934">
        <f t="shared" si="962"/>
        <v>0.21407434402332362</v>
      </c>
      <c r="Z183" s="934">
        <f t="shared" si="962"/>
        <v>0.1703214285714286</v>
      </c>
      <c r="AA183" s="934">
        <f t="shared" si="962"/>
        <v>0.16090410958904111</v>
      </c>
      <c r="AB183" s="934">
        <f t="shared" si="962"/>
        <v>0.15335732984293193</v>
      </c>
      <c r="AC183" s="934">
        <f t="shared" si="962"/>
        <v>0.1661126582278481</v>
      </c>
      <c r="AD183" s="934">
        <f t="shared" si="962"/>
        <v>0.18449324324324323</v>
      </c>
      <c r="AE183" s="2153">
        <f t="shared" si="962"/>
        <v>0.22847697368421055</v>
      </c>
      <c r="AF183" s="934">
        <f t="shared" si="962"/>
        <v>0.2176691489361702</v>
      </c>
      <c r="AG183" s="934">
        <f t="shared" si="962"/>
        <v>0.20412577962577963</v>
      </c>
      <c r="AH183" s="934">
        <f t="shared" ref="AH183:BM183" si="963">SUMPRODUCT(AH161:AH163,AH184:AH186)</f>
        <v>0.16939858012170383</v>
      </c>
      <c r="AI183" s="934">
        <f t="shared" si="963"/>
        <v>0.12120679611650484</v>
      </c>
      <c r="AJ183" s="934">
        <f t="shared" si="963"/>
        <v>0.12678125000000001</v>
      </c>
      <c r="AK183" s="934">
        <f t="shared" si="963"/>
        <v>0.12666666666666668</v>
      </c>
      <c r="AL183" s="934">
        <f t="shared" si="963"/>
        <v>0.11560180180180181</v>
      </c>
      <c r="AM183" s="690">
        <f t="shared" si="963"/>
        <v>0.13521815008726004</v>
      </c>
      <c r="AN183" s="690">
        <f t="shared" si="963"/>
        <v>0.18221746293245469</v>
      </c>
      <c r="AO183" s="690">
        <f t="shared" si="963"/>
        <v>0.20664490445859873</v>
      </c>
      <c r="AP183" s="690">
        <f t="shared" si="963"/>
        <v>0.23440253565768623</v>
      </c>
      <c r="AQ183" s="690">
        <f t="shared" si="963"/>
        <v>1.4643302034428793</v>
      </c>
      <c r="AR183" s="690">
        <f t="shared" si="963"/>
        <v>1.362893987341772</v>
      </c>
      <c r="AS183" s="690">
        <f t="shared" si="963"/>
        <v>1.3616999999999999</v>
      </c>
      <c r="AT183" s="690">
        <f t="shared" si="963"/>
        <v>0.22174234236447157</v>
      </c>
      <c r="AU183" s="690">
        <f t="shared" ref="AU183:BC183" si="964">SUMPRODUCT(AU161:AU163,AU184:AU186)</f>
        <v>0.18593023729642022</v>
      </c>
      <c r="AV183" s="690">
        <f t="shared" si="964"/>
        <v>0.16099801435741184</v>
      </c>
      <c r="AW183" s="690">
        <f t="shared" si="964"/>
        <v>0.15491461997275427</v>
      </c>
      <c r="AX183" s="690">
        <f t="shared" si="964"/>
        <v>0.17824022281290369</v>
      </c>
      <c r="AY183" s="690">
        <f t="shared" si="964"/>
        <v>0.21412376226786037</v>
      </c>
      <c r="AZ183" s="690">
        <f t="shared" si="964"/>
        <v>0.22765320399788441</v>
      </c>
      <c r="BA183" s="690">
        <f t="shared" si="964"/>
        <v>0.22795090406981916</v>
      </c>
      <c r="BB183" s="690">
        <f t="shared" si="964"/>
        <v>0.25521721583124579</v>
      </c>
      <c r="BC183" s="690">
        <f t="shared" si="964"/>
        <v>0.29629149856735082</v>
      </c>
      <c r="BD183" s="690">
        <f t="shared" ref="BD183:BG183" si="965">SUMPRODUCT(BD161:BD163,BD184:BD186)</f>
        <v>0.37033848697955057</v>
      </c>
      <c r="BE183" s="690">
        <f t="shared" si="965"/>
        <v>0.40457933744847319</v>
      </c>
      <c r="BF183" s="690">
        <f t="shared" si="965"/>
        <v>0.42921249280944007</v>
      </c>
      <c r="BG183" s="690">
        <f t="shared" si="965"/>
        <v>0.44668254003722596</v>
      </c>
      <c r="BH183" s="690">
        <f t="shared" ref="BH183" si="966">SUMPRODUCT(BH161:BH163,BH184:BH186)</f>
        <v>0.50790010478195535</v>
      </c>
      <c r="BI183" s="690">
        <f t="shared" ref="BI183" si="967">SUMPRODUCT(BI161:BI163,BI184:BI186)</f>
        <v>0.72325144228756499</v>
      </c>
      <c r="BJ183" s="690">
        <f t="shared" ref="BJ183" si="968">SUMPRODUCT(BJ161:BJ163,BJ184:BJ186)</f>
        <v>0.96202172596780833</v>
      </c>
      <c r="BK183" s="690">
        <f t="shared" ref="BK183" si="969">SUMPRODUCT(BK161:BK163,BK184:BK186)</f>
        <v>0.93889446769266849</v>
      </c>
      <c r="BL183" s="935">
        <f t="shared" si="963"/>
        <v>0.77760282045651052</v>
      </c>
      <c r="BM183" s="935">
        <f t="shared" si="963"/>
        <v>0.52173394380036509</v>
      </c>
      <c r="BN183" s="935">
        <f>SUMPRODUCT(BN161:BN163,BN184:BN186)</f>
        <v>0.31192276576858619</v>
      </c>
      <c r="BO183" s="935">
        <f>SUMPRODUCT(BO161:BO163,BO184:BO186)</f>
        <v>0.24602434963508035</v>
      </c>
      <c r="BP183" s="935">
        <f>SUMPRODUCT(BP161:BP163,BP184:BP186)</f>
        <v>0.18988165221821979</v>
      </c>
      <c r="BQ183" s="935">
        <f>SUMPRODUCT(BQ161:BQ163,BQ184:BQ186)</f>
        <v>0.1407749203523444</v>
      </c>
      <c r="BR183" s="935">
        <f t="shared" ref="BR183:CK183" si="970">SUMPRODUCT(BR161:BR163,BR184:BR186)</f>
        <v>0.1407749203523444</v>
      </c>
      <c r="BS183" s="935">
        <f t="shared" si="970"/>
        <v>0.1407749203523444</v>
      </c>
      <c r="BT183" s="935">
        <f t="shared" si="970"/>
        <v>0.1407749203523444</v>
      </c>
      <c r="BU183" s="935">
        <f t="shared" si="970"/>
        <v>0.1407749203523444</v>
      </c>
      <c r="BV183" s="935">
        <f t="shared" si="970"/>
        <v>0.1407749203523444</v>
      </c>
      <c r="BW183" s="935">
        <f t="shared" si="970"/>
        <v>0.1407749203523444</v>
      </c>
      <c r="BX183" s="935">
        <f t="shared" si="970"/>
        <v>0.1407749203523444</v>
      </c>
      <c r="BY183" s="935">
        <f t="shared" si="970"/>
        <v>0.1407749203523444</v>
      </c>
      <c r="BZ183" s="935">
        <f t="shared" si="970"/>
        <v>0.1407749203523444</v>
      </c>
      <c r="CA183" s="935">
        <f t="shared" si="970"/>
        <v>0.1407749203523444</v>
      </c>
      <c r="CB183" s="935">
        <f t="shared" si="970"/>
        <v>0.1407749203523444</v>
      </c>
      <c r="CC183" s="935">
        <f t="shared" si="970"/>
        <v>0.1407749203523444</v>
      </c>
      <c r="CD183" s="935">
        <f t="shared" si="970"/>
        <v>0.1407749203523444</v>
      </c>
      <c r="CE183" s="935">
        <f t="shared" si="970"/>
        <v>0.1407749203523444</v>
      </c>
      <c r="CF183" s="935">
        <f t="shared" si="970"/>
        <v>0.1407749203523444</v>
      </c>
      <c r="CG183" s="935">
        <f t="shared" si="970"/>
        <v>0.1407749203523444</v>
      </c>
      <c r="CH183" s="935">
        <f t="shared" si="970"/>
        <v>0.1407749203523444</v>
      </c>
      <c r="CI183" s="935">
        <f t="shared" si="970"/>
        <v>0.1407749203523444</v>
      </c>
      <c r="CJ183" s="935">
        <f t="shared" si="970"/>
        <v>0.1407749203523444</v>
      </c>
      <c r="CK183" s="935">
        <f t="shared" si="970"/>
        <v>0.1407749203523444</v>
      </c>
      <c r="CL183" s="935">
        <f t="shared" ref="CL183:CW183" si="971">SUMPRODUCT(CL161:CL163,CL184:CL186)</f>
        <v>0.1407749203523444</v>
      </c>
      <c r="CM183" s="935">
        <f t="shared" si="971"/>
        <v>0.1407749203523444</v>
      </c>
      <c r="CN183" s="935">
        <f t="shared" si="971"/>
        <v>0.1407749203523444</v>
      </c>
      <c r="CO183" s="935">
        <f t="shared" si="971"/>
        <v>0.1407749203523444</v>
      </c>
      <c r="CP183" s="935">
        <f t="shared" si="971"/>
        <v>0.1407749203523444</v>
      </c>
      <c r="CQ183" s="935">
        <f t="shared" si="971"/>
        <v>0.1407749203523444</v>
      </c>
      <c r="CR183" s="935">
        <f t="shared" si="971"/>
        <v>0.1407749203523444</v>
      </c>
      <c r="CS183" s="935">
        <f t="shared" si="971"/>
        <v>0.1407749203523444</v>
      </c>
      <c r="CT183" s="935">
        <f t="shared" si="971"/>
        <v>0.1407749203523444</v>
      </c>
      <c r="CU183" s="935">
        <f t="shared" si="971"/>
        <v>0.1407749203523444</v>
      </c>
      <c r="CV183" s="935">
        <f t="shared" si="971"/>
        <v>0.1407749203523444</v>
      </c>
      <c r="CW183" s="935">
        <f t="shared" si="971"/>
        <v>0.1407749203523444</v>
      </c>
    </row>
    <row r="184" spans="1:101" s="9" customFormat="1" ht="11.25">
      <c r="A184" s="655" t="s">
        <v>140</v>
      </c>
      <c r="B184" s="173">
        <f>Inputs!B47</f>
        <v>6.2512603347449014E-2</v>
      </c>
      <c r="C184" s="825">
        <f>Inputs!C47</f>
        <v>5.2667984189723294E-2</v>
      </c>
      <c r="D184" s="825">
        <f>Inputs!D47</f>
        <v>6.151896265964707E-2</v>
      </c>
      <c r="E184" s="825">
        <f>Inputs!E47</f>
        <v>7.6945328319352191E-2</v>
      </c>
      <c r="F184" s="825">
        <f>Inputs!F47</f>
        <v>9.6602770924274051E-2</v>
      </c>
      <c r="G184" s="825">
        <f>Inputs!G47</f>
        <v>0.1100159579461184</v>
      </c>
      <c r="H184" s="825">
        <f>Inputs!H47</f>
        <v>0.11085598824393839</v>
      </c>
      <c r="I184" s="825">
        <f>Inputs!I47</f>
        <v>0.10923090697466198</v>
      </c>
      <c r="J184" s="825">
        <f>Inputs!J47</f>
        <v>9.7005884389061992E-2</v>
      </c>
      <c r="K184" s="825">
        <f>Inputs!K47</f>
        <v>9.6744186046511693E-2</v>
      </c>
      <c r="L184" s="825">
        <f>Inputs!L47</f>
        <v>9.8883836295990069E-2</v>
      </c>
      <c r="M184" s="825">
        <f>Inputs!M47</f>
        <v>9.5084349019291192E-2</v>
      </c>
      <c r="N184" s="825">
        <f>Inputs!N47</f>
        <v>9.8000000000000004E-2</v>
      </c>
      <c r="O184" s="825">
        <f>Inputs!O47</f>
        <v>9.9000000000000005E-2</v>
      </c>
      <c r="P184" s="825">
        <f>Inputs!P47</f>
        <v>0.122</v>
      </c>
      <c r="Q184" s="825">
        <f>Inputs!Q47</f>
        <v>0.161</v>
      </c>
      <c r="R184" s="825">
        <f>Inputs!R47</f>
        <v>0.18899999999999997</v>
      </c>
      <c r="S184" s="825">
        <f>Inputs!S47</f>
        <v>0.22500000000000001</v>
      </c>
      <c r="T184" s="825">
        <f>Inputs!T47</f>
        <v>0.25</v>
      </c>
      <c r="U184" s="825">
        <f>Inputs!U47</f>
        <v>0.26600000000000001</v>
      </c>
      <c r="V184" s="825">
        <f>Inputs!V47</f>
        <v>0.36700000000000005</v>
      </c>
      <c r="W184" s="825">
        <f>Inputs!W47</f>
        <v>0.40200000000000002</v>
      </c>
      <c r="X184" s="825">
        <f>Inputs!X47</f>
        <v>0.40299999999999997</v>
      </c>
      <c r="Y184" s="825">
        <f>Inputs!Y47</f>
        <v>0.38</v>
      </c>
      <c r="Z184" s="825">
        <f>Inputs!Z47</f>
        <v>0.28000000000000003</v>
      </c>
      <c r="AA184" s="825">
        <f>Inputs!AA47</f>
        <v>0.255</v>
      </c>
      <c r="AB184" s="825">
        <f>Inputs!AB47</f>
        <v>0.24</v>
      </c>
      <c r="AC184" s="825">
        <f>Inputs!AC47</f>
        <v>0.26899999999999996</v>
      </c>
      <c r="AD184" s="825">
        <f>Inputs!AD47</f>
        <v>0.35</v>
      </c>
      <c r="AE184" s="2162">
        <f>Inputs!AE47</f>
        <v>0.45700000000000002</v>
      </c>
      <c r="AF184" s="825">
        <f>Inputs!AF47</f>
        <v>0.42599999999999999</v>
      </c>
      <c r="AG184" s="825">
        <f>Inputs!AG47</f>
        <v>0.39299999999999996</v>
      </c>
      <c r="AH184" s="825">
        <f>Inputs!AH47</f>
        <v>0.32200000000000001</v>
      </c>
      <c r="AI184" s="825">
        <f>Inputs!AI47</f>
        <v>0.217</v>
      </c>
      <c r="AJ184" s="825">
        <f>Inputs!AJ47</f>
        <v>0.23800000000000002</v>
      </c>
      <c r="AK184" s="825">
        <f>Inputs!AK47</f>
        <v>0.248</v>
      </c>
      <c r="AL184" s="825">
        <f>Inputs!AL47</f>
        <v>0.254</v>
      </c>
      <c r="AM184" s="154">
        <f>Inputs!AM47</f>
        <v>0.29499999999999998</v>
      </c>
      <c r="AN184" s="154">
        <f>Inputs!AN47</f>
        <v>0.40500000000000003</v>
      </c>
      <c r="AO184" s="154">
        <f>Inputs!AO47</f>
        <v>0.47600000000000003</v>
      </c>
      <c r="AP184" s="154">
        <f>Inputs!AP47</f>
        <v>0.54700000000000004</v>
      </c>
      <c r="AQ184" s="154">
        <f>Inputs!AQ47</f>
        <v>0.55799999999999994</v>
      </c>
      <c r="AR184" s="154">
        <f>Inputs!AR47</f>
        <v>0.53500000000000003</v>
      </c>
      <c r="AS184" s="154">
        <f>Inputs!AS47</f>
        <v>0.53799999999999992</v>
      </c>
      <c r="AT184" s="154">
        <f>Inputs!AT47</f>
        <v>0.48356866551335176</v>
      </c>
      <c r="AU184" s="154">
        <f>Inputs!AU47</f>
        <v>0.42758749118769801</v>
      </c>
      <c r="AV184" s="154">
        <f>Inputs!AV47</f>
        <v>0.36620719230050613</v>
      </c>
      <c r="AW184" s="154">
        <f>Inputs!AW47</f>
        <v>0.36140587812345393</v>
      </c>
      <c r="AX184" s="154">
        <f>Inputs!AX47</f>
        <v>0.42648849702914249</v>
      </c>
      <c r="AY184" s="154">
        <f>Inputs!AY47</f>
        <v>0.5020007839147167</v>
      </c>
      <c r="AZ184" s="51">
        <f>Inputs!AZ47</f>
        <v>0.52471217096959344</v>
      </c>
      <c r="BA184" s="51">
        <f>Inputs!BA47</f>
        <v>0.50941633543466391</v>
      </c>
      <c r="BB184" s="154">
        <f>Inputs!BB47</f>
        <v>0.5510663032213825</v>
      </c>
      <c r="BC184" s="154">
        <f>Inputs!BC47</f>
        <v>0.63982581648779857</v>
      </c>
      <c r="BD184" s="51">
        <f>Inputs!BD47</f>
        <v>0.83029982395352309</v>
      </c>
      <c r="BE184" s="51">
        <f>Inputs!BE47</f>
        <v>0.94793182335191917</v>
      </c>
      <c r="BF184" s="51">
        <f>Inputs!BF47</f>
        <v>1.0429651896009893</v>
      </c>
      <c r="BG184" s="51">
        <f>Inputs!BG47</f>
        <v>1.1558027347843289</v>
      </c>
      <c r="BH184" s="51">
        <f>Inputs!BH47</f>
        <v>1.3828244500508413</v>
      </c>
      <c r="BI184" s="51">
        <f>Inputs!BI47</f>
        <v>2.1140764374717671</v>
      </c>
      <c r="BJ184" s="51">
        <f>Inputs!BJ47</f>
        <v>2.8786907470031879</v>
      </c>
      <c r="BK184" s="51">
        <f>Inputs!BK47</f>
        <v>2.8209147086771456</v>
      </c>
      <c r="BL184" s="936">
        <f>Inputs!BL47</f>
        <v>2.3308387888508721</v>
      </c>
      <c r="BM184" s="936">
        <f>Inputs!BM47</f>
        <v>1.5392684959615153</v>
      </c>
      <c r="BN184" s="936">
        <f>Inputs!BN47</f>
        <v>0.89834118289293174</v>
      </c>
      <c r="BO184" s="936">
        <f>Inputs!BO47</f>
        <v>0.69617255422502855</v>
      </c>
      <c r="BP184" s="936">
        <f>Inputs!BP47</f>
        <v>0.52252680444252664</v>
      </c>
      <c r="BQ184" s="936">
        <f>Inputs!BQ47</f>
        <v>0.37044149547102956</v>
      </c>
      <c r="BR184" s="936">
        <f>Inputs!BR47</f>
        <v>0.37044149547102956</v>
      </c>
      <c r="BS184" s="936">
        <f>Inputs!BS47</f>
        <v>0.37044149547102956</v>
      </c>
      <c r="BT184" s="936">
        <f>Inputs!BT47</f>
        <v>0.37044149547102956</v>
      </c>
      <c r="BU184" s="936">
        <f>Inputs!BU47</f>
        <v>0.37044149547102956</v>
      </c>
      <c r="BV184" s="936">
        <f>Inputs!BV47</f>
        <v>0.37044149547102956</v>
      </c>
      <c r="BW184" s="936">
        <f>Inputs!BW47</f>
        <v>0.37044149547102956</v>
      </c>
      <c r="BX184" s="936">
        <f>Inputs!BX47</f>
        <v>0.37044149547102956</v>
      </c>
      <c r="BY184" s="936">
        <f>Inputs!BY47</f>
        <v>0.37044149547102956</v>
      </c>
      <c r="BZ184" s="936">
        <f>Inputs!BZ47</f>
        <v>0.37044149547102956</v>
      </c>
      <c r="CA184" s="936">
        <f>Inputs!CA47</f>
        <v>0.37044149547102956</v>
      </c>
      <c r="CB184" s="936">
        <f>Inputs!CB47</f>
        <v>0.37044149547102956</v>
      </c>
      <c r="CC184" s="936">
        <f>Inputs!CC47</f>
        <v>0.37044149547102956</v>
      </c>
      <c r="CD184" s="936">
        <f>Inputs!CD47</f>
        <v>0.37044149547102956</v>
      </c>
      <c r="CE184" s="936">
        <f>Inputs!CE47</f>
        <v>0.37044149547102956</v>
      </c>
      <c r="CF184" s="936">
        <f>Inputs!CF47</f>
        <v>0.37044149547102956</v>
      </c>
      <c r="CG184" s="936">
        <f>Inputs!CG47</f>
        <v>0.37044149547102956</v>
      </c>
      <c r="CH184" s="936">
        <f>Inputs!CH47</f>
        <v>0.37044149547102956</v>
      </c>
      <c r="CI184" s="936">
        <f>Inputs!CI47</f>
        <v>0.37044149547102956</v>
      </c>
      <c r="CJ184" s="936">
        <f>Inputs!CJ47</f>
        <v>0.37044149547102956</v>
      </c>
      <c r="CK184" s="936">
        <f>Inputs!CK47</f>
        <v>0.37044149547102956</v>
      </c>
      <c r="CL184" s="936">
        <f>Inputs!CL47</f>
        <v>0.37044149547102956</v>
      </c>
      <c r="CM184" s="936">
        <f>Inputs!CM47</f>
        <v>0.37044149547102956</v>
      </c>
      <c r="CN184" s="936">
        <f>Inputs!CN47</f>
        <v>0.37044149547102956</v>
      </c>
      <c r="CO184" s="936">
        <f>Inputs!CO47</f>
        <v>0.37044149547102956</v>
      </c>
      <c r="CP184" s="936">
        <f>Inputs!CP47</f>
        <v>0.37044149547102956</v>
      </c>
      <c r="CQ184" s="936">
        <f>Inputs!CQ47</f>
        <v>0.37044149547102956</v>
      </c>
      <c r="CR184" s="936">
        <f>Inputs!CR47</f>
        <v>0.37044149547102956</v>
      </c>
      <c r="CS184" s="936">
        <f>Inputs!CS47</f>
        <v>0.37044149547102956</v>
      </c>
      <c r="CT184" s="936">
        <f>Inputs!CT47</f>
        <v>0.37044149547102956</v>
      </c>
      <c r="CU184" s="936">
        <f>Inputs!CU47</f>
        <v>0.37044149547102956</v>
      </c>
      <c r="CV184" s="936">
        <f>Inputs!CV47</f>
        <v>0.37044149547102956</v>
      </c>
      <c r="CW184" s="936">
        <f>Inputs!CW47</f>
        <v>0.37044149547102956</v>
      </c>
    </row>
    <row r="185" spans="1:101" s="9" customFormat="1" ht="11.25">
      <c r="A185" s="655" t="s">
        <v>141</v>
      </c>
      <c r="B185" s="173">
        <f>Inputs!B57</f>
        <v>0.1125</v>
      </c>
      <c r="C185" s="825">
        <f>Inputs!C57</f>
        <v>9.2499999999999999E-2</v>
      </c>
      <c r="D185" s="825">
        <f>Inputs!D57</f>
        <v>8.7499999999999994E-2</v>
      </c>
      <c r="E185" s="825">
        <f>Inputs!E57</f>
        <v>8.7499999999999994E-2</v>
      </c>
      <c r="F185" s="825">
        <f>Inputs!F57</f>
        <v>8.7499999999999994E-2</v>
      </c>
      <c r="G185" s="825">
        <f>Inputs!G57</f>
        <v>0.10249999999999999</v>
      </c>
      <c r="H185" s="825">
        <f>Inputs!H57</f>
        <v>0.1075</v>
      </c>
      <c r="I185" s="825">
        <f>Inputs!I57</f>
        <v>0.1075</v>
      </c>
      <c r="J185" s="825">
        <f>Inputs!J57</f>
        <v>0.11749999999999999</v>
      </c>
      <c r="K185" s="825">
        <f>Inputs!K57</f>
        <v>0.1225</v>
      </c>
      <c r="L185" s="825">
        <f>Inputs!L57</f>
        <v>0.12</v>
      </c>
      <c r="M185" s="825">
        <f>Inputs!M57</f>
        <v>0.11</v>
      </c>
      <c r="N185" s="825">
        <f>Inputs!N57</f>
        <v>9.7500000000000003E-2</v>
      </c>
      <c r="O185" s="825">
        <f>Inputs!O57</f>
        <v>8.5000000000000006E-2</v>
      </c>
      <c r="P185" s="825">
        <f>Inputs!P57</f>
        <v>7.4999999999999997E-2</v>
      </c>
      <c r="Q185" s="825">
        <f>Inputs!Q57</f>
        <v>7.2499999999999995E-2</v>
      </c>
      <c r="R185" s="825">
        <f>Inputs!R57</f>
        <v>7.2499999999999995E-2</v>
      </c>
      <c r="S185" s="825">
        <f>Inputs!S57</f>
        <v>0.08</v>
      </c>
      <c r="T185" s="825">
        <f>Inputs!T57</f>
        <v>0.09</v>
      </c>
      <c r="U185" s="825">
        <f>Inputs!U57</f>
        <v>0.1</v>
      </c>
      <c r="V185" s="825">
        <f>Inputs!V57</f>
        <v>0.1075</v>
      </c>
      <c r="W185" s="825">
        <f>Inputs!W57</f>
        <v>0.11</v>
      </c>
      <c r="X185" s="825">
        <f>Inputs!X57</f>
        <v>0.11</v>
      </c>
      <c r="Y185" s="825">
        <f>Inputs!Y57</f>
        <v>0.11749999999999999</v>
      </c>
      <c r="Z185" s="825">
        <f>Inputs!Z57</f>
        <v>0.1275</v>
      </c>
      <c r="AA185" s="825">
        <f>Inputs!AA57</f>
        <v>0.13750000000000001</v>
      </c>
      <c r="AB185" s="825">
        <f>Inputs!AB57</f>
        <v>0.14249999999999999</v>
      </c>
      <c r="AC185" s="825">
        <f>Inputs!AC57</f>
        <v>0.14249999999999999</v>
      </c>
      <c r="AD185" s="825">
        <f>Inputs!AD57</f>
        <v>0.14249999999999999</v>
      </c>
      <c r="AE185" s="2162">
        <f>Inputs!AE57</f>
        <v>0.14249999999999999</v>
      </c>
      <c r="AF185" s="825">
        <f>Inputs!AF57</f>
        <v>0.14249999999999999</v>
      </c>
      <c r="AG185" s="825">
        <f>Inputs!AG57</f>
        <v>0.13750000000000001</v>
      </c>
      <c r="AH185" s="825">
        <f>Inputs!AH57</f>
        <v>0.1225</v>
      </c>
      <c r="AI185" s="825">
        <f>Inputs!AI57</f>
        <v>0.10249999999999999</v>
      </c>
      <c r="AJ185" s="825">
        <f>Inputs!AJ57</f>
        <v>8.2500000000000004E-2</v>
      </c>
      <c r="AK185" s="825">
        <f>Inputs!AK57</f>
        <v>7.0000000000000007E-2</v>
      </c>
      <c r="AL185" s="825">
        <f>Inputs!AL57</f>
        <v>1.9E-2</v>
      </c>
      <c r="AM185" s="154">
        <f>Inputs!AM57</f>
        <v>2.5000000000000001E-2</v>
      </c>
      <c r="AN185" s="154">
        <f>Inputs!AN57</f>
        <v>2.8999999999999998E-2</v>
      </c>
      <c r="AO185" s="154">
        <f>Inputs!AO57</f>
        <v>2.1000000000000001E-2</v>
      </c>
      <c r="AP185" s="154">
        <f>Inputs!AP57</f>
        <v>0.02</v>
      </c>
      <c r="AQ185" s="154">
        <f>Inputs!AQ57</f>
        <v>2.3E-2</v>
      </c>
      <c r="AR185" s="154">
        <f>Inputs!AR57</f>
        <v>2.1000000000000001E-2</v>
      </c>
      <c r="AS185" s="154">
        <f>Inputs!AS57</f>
        <v>0.03</v>
      </c>
      <c r="AT185" s="154">
        <f>Inputs!AT57</f>
        <v>3.7424373154131718E-2</v>
      </c>
      <c r="AU185" s="154">
        <f>Inputs!AU57</f>
        <v>2.6320547591372812E-2</v>
      </c>
      <c r="AV185" s="154">
        <f>Inputs!AV57</f>
        <v>3.088776771349222E-2</v>
      </c>
      <c r="AW185" s="154">
        <f>Inputs!AW57</f>
        <v>2.9712450707381821E-2</v>
      </c>
      <c r="AX185" s="154">
        <f>Inputs!AX57</f>
        <v>2.8840355391171357E-2</v>
      </c>
      <c r="AY185" s="154">
        <f>Inputs!AY57</f>
        <v>3.8039210751497299E-2</v>
      </c>
      <c r="AZ185" s="51">
        <f>Inputs!AZ57</f>
        <v>5.3403678263017618E-2</v>
      </c>
      <c r="BA185" s="51">
        <f>Inputs!BA57</f>
        <v>7.166970035711806E-2</v>
      </c>
      <c r="BB185" s="154">
        <f>Inputs!BB57</f>
        <v>9.4088096087060702E-2</v>
      </c>
      <c r="BC185" s="154">
        <f>Inputs!BC57</f>
        <v>0.12490832322110702</v>
      </c>
      <c r="BD185" s="51">
        <f>Inputs!BD57</f>
        <v>0.13728044567558961</v>
      </c>
      <c r="BE185" s="51">
        <f>Inputs!BE57</f>
        <v>0.12789518320438931</v>
      </c>
      <c r="BF185" s="51">
        <f>Inputs!BF57</f>
        <v>0.11063366723401892</v>
      </c>
      <c r="BG185" s="51">
        <f>Inputs!BG57</f>
        <v>7.3983751227171046E-2</v>
      </c>
      <c r="BH185" s="51">
        <f>Inputs!BH57</f>
        <v>4.6862536420986034E-2</v>
      </c>
      <c r="BI185" s="51">
        <f>Inputs!BI57</f>
        <v>3.3661518819514624E-2</v>
      </c>
      <c r="BJ185" s="51">
        <f>Inputs!BJ57</f>
        <v>3.2057079690483103E-2</v>
      </c>
      <c r="BK185" s="51">
        <f>Inputs!BK57</f>
        <v>3.6453635202572832E-2</v>
      </c>
      <c r="BL185" s="936">
        <f>Inputs!BL57</f>
        <v>3.7094794563419464E-2</v>
      </c>
      <c r="BM185" s="936">
        <f>Inputs!BM57</f>
        <v>3.5180260770342864E-2</v>
      </c>
      <c r="BN185" s="936">
        <f>Inputs!BN57</f>
        <v>3.1091515081447252E-2</v>
      </c>
      <c r="BO185" s="936">
        <f>Inputs!BO57</f>
        <v>3.2719747605920668E-2</v>
      </c>
      <c r="BP185" s="936">
        <f>Inputs!BP57</f>
        <v>3.1474681078619726E-2</v>
      </c>
      <c r="BQ185" s="936">
        <f>Inputs!BQ57</f>
        <v>3.1439776827055343E-2</v>
      </c>
      <c r="BR185" s="936">
        <f>Inputs!BR57</f>
        <v>3.1439776827055343E-2</v>
      </c>
      <c r="BS185" s="936">
        <f>Inputs!BS57</f>
        <v>3.1439776827055343E-2</v>
      </c>
      <c r="BT185" s="936">
        <f>Inputs!BT57</f>
        <v>3.1439776827055343E-2</v>
      </c>
      <c r="BU185" s="936">
        <f>Inputs!BU57</f>
        <v>3.1439776827055343E-2</v>
      </c>
      <c r="BV185" s="936">
        <f>Inputs!BV57</f>
        <v>3.1439776827055343E-2</v>
      </c>
      <c r="BW185" s="936">
        <f>Inputs!BW57</f>
        <v>3.1439776827055343E-2</v>
      </c>
      <c r="BX185" s="936">
        <f>Inputs!BX57</f>
        <v>3.1439776827055343E-2</v>
      </c>
      <c r="BY185" s="936">
        <f>Inputs!BY57</f>
        <v>3.1439776827055343E-2</v>
      </c>
      <c r="BZ185" s="936">
        <f>Inputs!BZ57</f>
        <v>3.1439776827055343E-2</v>
      </c>
      <c r="CA185" s="936">
        <f>Inputs!CA57</f>
        <v>3.1439776827055343E-2</v>
      </c>
      <c r="CB185" s="936">
        <f>Inputs!CB57</f>
        <v>3.1439776827055343E-2</v>
      </c>
      <c r="CC185" s="936">
        <f>Inputs!CC57</f>
        <v>3.1439776827055343E-2</v>
      </c>
      <c r="CD185" s="936">
        <f>Inputs!CD57</f>
        <v>3.1439776827055343E-2</v>
      </c>
      <c r="CE185" s="936">
        <f>Inputs!CE57</f>
        <v>3.1439776827055343E-2</v>
      </c>
      <c r="CF185" s="936">
        <f>Inputs!CF57</f>
        <v>3.1439776827055343E-2</v>
      </c>
      <c r="CG185" s="936">
        <f>Inputs!CG57</f>
        <v>3.1439776827055343E-2</v>
      </c>
      <c r="CH185" s="936">
        <f>Inputs!CH57</f>
        <v>3.1439776827055343E-2</v>
      </c>
      <c r="CI185" s="936">
        <f>Inputs!CI57</f>
        <v>3.1439776827055343E-2</v>
      </c>
      <c r="CJ185" s="936">
        <f>Inputs!CJ57</f>
        <v>3.1439776827055343E-2</v>
      </c>
      <c r="CK185" s="936">
        <f>Inputs!CK57</f>
        <v>3.1439776827055343E-2</v>
      </c>
      <c r="CL185" s="936">
        <f>Inputs!CL57</f>
        <v>3.1439776827055343E-2</v>
      </c>
      <c r="CM185" s="936">
        <f>Inputs!CM57</f>
        <v>3.1439776827055343E-2</v>
      </c>
      <c r="CN185" s="936">
        <f>Inputs!CN57</f>
        <v>3.1439776827055343E-2</v>
      </c>
      <c r="CO185" s="936">
        <f>Inputs!CO57</f>
        <v>3.1439776827055343E-2</v>
      </c>
      <c r="CP185" s="936">
        <f>Inputs!CP57</f>
        <v>3.1439776827055343E-2</v>
      </c>
      <c r="CQ185" s="936">
        <f>Inputs!CQ57</f>
        <v>3.1439776827055343E-2</v>
      </c>
      <c r="CR185" s="936">
        <f>Inputs!CR57</f>
        <v>3.1439776827055343E-2</v>
      </c>
      <c r="CS185" s="936">
        <f>Inputs!CS57</f>
        <v>3.1439776827055343E-2</v>
      </c>
      <c r="CT185" s="936">
        <f>Inputs!CT57</f>
        <v>3.1439776827055343E-2</v>
      </c>
      <c r="CU185" s="936">
        <f>Inputs!CU57</f>
        <v>3.1439776827055343E-2</v>
      </c>
      <c r="CV185" s="936">
        <f>Inputs!CV57</f>
        <v>3.1439776827055343E-2</v>
      </c>
      <c r="CW185" s="936">
        <f>Inputs!CW57</f>
        <v>3.1439776827055343E-2</v>
      </c>
    </row>
    <row r="186" spans="1:101" s="9" customFormat="1" ht="11.25">
      <c r="A186" s="655" t="s">
        <v>142</v>
      </c>
      <c r="B186" s="173">
        <f>Inputs!B67</f>
        <v>6.6000000000000003E-2</v>
      </c>
      <c r="C186" s="825">
        <f>Inputs!C67</f>
        <v>4.8000000000000001E-2</v>
      </c>
      <c r="D186" s="825">
        <f>Inputs!D67</f>
        <v>2.1999999999999999E-2</v>
      </c>
      <c r="E186" s="825">
        <f>Inputs!E67</f>
        <v>2.4E-2</v>
      </c>
      <c r="F186" s="825">
        <f>Inputs!F67</f>
        <v>0.02</v>
      </c>
      <c r="G186" s="825">
        <f>Inputs!G67</f>
        <v>2.1000000000000001E-2</v>
      </c>
      <c r="H186" s="825">
        <f>Inputs!H67</f>
        <v>2.3E-2</v>
      </c>
      <c r="I186" s="825">
        <f>Inputs!I67</f>
        <v>2.7E-2</v>
      </c>
      <c r="J186" s="825">
        <f>Inputs!J67</f>
        <v>3.3000000000000002E-2</v>
      </c>
      <c r="K186" s="825">
        <f>Inputs!K67</f>
        <v>0.03</v>
      </c>
      <c r="L186" s="825">
        <f>Inputs!L67</f>
        <v>3.5000000000000003E-2</v>
      </c>
      <c r="M186" s="825">
        <f>Inputs!M67</f>
        <v>3.9E-2</v>
      </c>
      <c r="N186" s="825">
        <f>Inputs!N67</f>
        <v>0</v>
      </c>
      <c r="O186" s="825">
        <f>Inputs!O67</f>
        <v>0</v>
      </c>
      <c r="P186" s="825">
        <f>Inputs!P67</f>
        <v>0</v>
      </c>
      <c r="Q186" s="825">
        <f>Inputs!Q67</f>
        <v>0</v>
      </c>
      <c r="R186" s="825">
        <f>Inputs!R67</f>
        <v>0</v>
      </c>
      <c r="S186" s="825">
        <f>Inputs!S67</f>
        <v>0</v>
      </c>
      <c r="T186" s="825">
        <f>Inputs!T67</f>
        <v>0</v>
      </c>
      <c r="U186" s="825">
        <f>Inputs!U67</f>
        <v>0</v>
      </c>
      <c r="V186" s="825">
        <f>Inputs!V67</f>
        <v>0</v>
      </c>
      <c r="W186" s="825">
        <f>Inputs!W67</f>
        <v>0</v>
      </c>
      <c r="X186" s="825">
        <f>Inputs!X67</f>
        <v>0</v>
      </c>
      <c r="Y186" s="825">
        <f>Inputs!Y67</f>
        <v>0</v>
      </c>
      <c r="Z186" s="825">
        <f>Inputs!Z67</f>
        <v>0</v>
      </c>
      <c r="AA186" s="825">
        <f>Inputs!AA67</f>
        <v>0</v>
      </c>
      <c r="AB186" s="825">
        <f>Inputs!AB67</f>
        <v>0</v>
      </c>
      <c r="AC186" s="825">
        <f>Inputs!AC67</f>
        <v>0</v>
      </c>
      <c r="AD186" s="825">
        <f>Inputs!AD67</f>
        <v>0</v>
      </c>
      <c r="AE186" s="2162">
        <f>Inputs!AE67</f>
        <v>0</v>
      </c>
      <c r="AF186" s="825">
        <f>Inputs!AF67</f>
        <v>0</v>
      </c>
      <c r="AG186" s="825">
        <f>Inputs!AG67</f>
        <v>0</v>
      </c>
      <c r="AH186" s="825">
        <f>Inputs!AH67</f>
        <v>0</v>
      </c>
      <c r="AI186" s="825">
        <f>Inputs!AI67</f>
        <v>0</v>
      </c>
      <c r="AJ186" s="825">
        <f>Inputs!AJ67</f>
        <v>0</v>
      </c>
      <c r="AK186" s="825">
        <f>Inputs!AK67</f>
        <v>0</v>
      </c>
      <c r="AL186" s="825">
        <f>Inputs!AL67</f>
        <v>0</v>
      </c>
      <c r="AM186" s="154">
        <f>Inputs!AM67</f>
        <v>0</v>
      </c>
      <c r="AN186" s="154">
        <f>Inputs!AN67</f>
        <v>0</v>
      </c>
      <c r="AO186" s="154">
        <f>Inputs!AO67</f>
        <v>0</v>
      </c>
      <c r="AP186" s="154">
        <f>Inputs!AP67</f>
        <v>0</v>
      </c>
      <c r="AQ186" s="154">
        <f>Inputs!AQ67</f>
        <v>4.25</v>
      </c>
      <c r="AR186" s="154">
        <f>Inputs!AR67</f>
        <v>4.25</v>
      </c>
      <c r="AS186" s="154">
        <f>Inputs!AS67</f>
        <v>4.25</v>
      </c>
      <c r="AT186" s="154">
        <f>Inputs!AT67</f>
        <v>3.8476677819326843E-2</v>
      </c>
      <c r="AU186" s="154">
        <f>Inputs!AU67</f>
        <v>2.2003699737124016E-2</v>
      </c>
      <c r="AV186" s="154">
        <f>Inputs!AV67</f>
        <v>1.96591129188457E-2</v>
      </c>
      <c r="AW186" s="154">
        <f>Inputs!AW67</f>
        <v>1.6184971098265999E-2</v>
      </c>
      <c r="AX186" s="154">
        <f>Inputs!AX67</f>
        <v>1.5066805647683257E-2</v>
      </c>
      <c r="AY186" s="154">
        <f>Inputs!AY67</f>
        <v>3.6296084595598854E-2</v>
      </c>
      <c r="AZ186" s="51">
        <f>Inputs!AZ67</f>
        <v>4.511349605850512E-2</v>
      </c>
      <c r="BA186" s="51">
        <f>Inputs!BA67</f>
        <v>5.6219188471748227E-2</v>
      </c>
      <c r="BB186" s="154">
        <f>Inputs!BB67</f>
        <v>8.5324869305451786E-2</v>
      </c>
      <c r="BC186" s="154">
        <f>Inputs!BC67</f>
        <v>9.6800882515168288E-2</v>
      </c>
      <c r="BD186" s="51">
        <f>Inputs!BD67</f>
        <v>0.11441294074881858</v>
      </c>
      <c r="BE186" s="51">
        <f>Inputs!BE67</f>
        <v>0.13122699937169013</v>
      </c>
      <c r="BF186" s="51">
        <f>Inputs!BF67</f>
        <v>0.13122699937169013</v>
      </c>
      <c r="BG186" s="51">
        <f>Inputs!BG67</f>
        <v>0.1212806973430558</v>
      </c>
      <c r="BH186" s="51">
        <f>Inputs!BH67</f>
        <v>0.1212806973430558</v>
      </c>
      <c r="BI186" s="51">
        <f>Inputs!BI67</f>
        <v>9.2755693088947044E-2</v>
      </c>
      <c r="BJ186" s="51">
        <f>Inputs!BJ67</f>
        <v>7.3689003566820732E-2</v>
      </c>
      <c r="BK186" s="51">
        <f>Inputs!BK67</f>
        <v>7.0142109508800399E-2</v>
      </c>
      <c r="BL186" s="936">
        <f>Inputs!BL67</f>
        <v>5.6609881250254901E-2</v>
      </c>
      <c r="BM186" s="936">
        <f>Inputs!BM67</f>
        <v>5.1900965486310291E-2</v>
      </c>
      <c r="BN186" s="936">
        <f>Inputs!BN67</f>
        <v>4.2542385335914146E-2</v>
      </c>
      <c r="BO186" s="936">
        <f>Inputs!BO67</f>
        <v>3.7559835352186655E-2</v>
      </c>
      <c r="BP186" s="936">
        <f>Inputs!BP67</f>
        <v>3.7305463947799877E-2</v>
      </c>
      <c r="BQ186" s="936">
        <f>Inputs!BQ67</f>
        <v>3.6234511646377365E-2</v>
      </c>
      <c r="BR186" s="936">
        <f>Inputs!BR67</f>
        <v>3.6234511646377365E-2</v>
      </c>
      <c r="BS186" s="936">
        <f>Inputs!BS67</f>
        <v>3.6234511646377365E-2</v>
      </c>
      <c r="BT186" s="936">
        <f>Inputs!BT67</f>
        <v>3.6234511646377365E-2</v>
      </c>
      <c r="BU186" s="936">
        <f>Inputs!BU67</f>
        <v>3.6234511646377365E-2</v>
      </c>
      <c r="BV186" s="936">
        <f>Inputs!BV67</f>
        <v>3.6234511646377365E-2</v>
      </c>
      <c r="BW186" s="936">
        <f>Inputs!BW67</f>
        <v>3.6234511646377365E-2</v>
      </c>
      <c r="BX186" s="936">
        <f>Inputs!BX67</f>
        <v>3.6234511646377365E-2</v>
      </c>
      <c r="BY186" s="936">
        <f>Inputs!BY67</f>
        <v>3.6234511646377365E-2</v>
      </c>
      <c r="BZ186" s="936">
        <f>Inputs!BZ67</f>
        <v>3.6234511646377365E-2</v>
      </c>
      <c r="CA186" s="936">
        <f>Inputs!CA67</f>
        <v>3.6234511646377365E-2</v>
      </c>
      <c r="CB186" s="936">
        <f>Inputs!CB67</f>
        <v>3.6234511646377365E-2</v>
      </c>
      <c r="CC186" s="936">
        <f>Inputs!CC67</f>
        <v>3.6234511646377365E-2</v>
      </c>
      <c r="CD186" s="936">
        <f>Inputs!CD67</f>
        <v>3.6234511646377365E-2</v>
      </c>
      <c r="CE186" s="936">
        <f>Inputs!CE67</f>
        <v>3.6234511646377365E-2</v>
      </c>
      <c r="CF186" s="936">
        <f>Inputs!CF67</f>
        <v>3.6234511646377365E-2</v>
      </c>
      <c r="CG186" s="936">
        <f>Inputs!CG67</f>
        <v>3.6234511646377365E-2</v>
      </c>
      <c r="CH186" s="936">
        <f>Inputs!CH67</f>
        <v>3.6234511646377365E-2</v>
      </c>
      <c r="CI186" s="936">
        <f>Inputs!CI67</f>
        <v>3.6234511646377365E-2</v>
      </c>
      <c r="CJ186" s="936">
        <f>Inputs!CJ67</f>
        <v>3.6234511646377365E-2</v>
      </c>
      <c r="CK186" s="936">
        <f>Inputs!CK67</f>
        <v>3.6234511646377365E-2</v>
      </c>
      <c r="CL186" s="936">
        <f>Inputs!CL67</f>
        <v>3.6234511646377365E-2</v>
      </c>
      <c r="CM186" s="936">
        <f>Inputs!CM67</f>
        <v>3.6234511646377365E-2</v>
      </c>
      <c r="CN186" s="936">
        <f>Inputs!CN67</f>
        <v>3.6234511646377365E-2</v>
      </c>
      <c r="CO186" s="936">
        <f>Inputs!CO67</f>
        <v>3.6234511646377365E-2</v>
      </c>
      <c r="CP186" s="936">
        <f>Inputs!CP67</f>
        <v>3.6234511646377365E-2</v>
      </c>
      <c r="CQ186" s="936">
        <f>Inputs!CQ67</f>
        <v>3.6234511646377365E-2</v>
      </c>
      <c r="CR186" s="936">
        <f>Inputs!CR67</f>
        <v>3.6234511646377365E-2</v>
      </c>
      <c r="CS186" s="936">
        <f>Inputs!CS67</f>
        <v>3.6234511646377365E-2</v>
      </c>
      <c r="CT186" s="936">
        <f>Inputs!CT67</f>
        <v>3.6234511646377365E-2</v>
      </c>
      <c r="CU186" s="936">
        <f>Inputs!CU67</f>
        <v>3.6234511646377365E-2</v>
      </c>
      <c r="CV186" s="936">
        <f>Inputs!CV67</f>
        <v>3.6234511646377365E-2</v>
      </c>
      <c r="CW186" s="936">
        <f>Inputs!CW67</f>
        <v>3.6234511646377365E-2</v>
      </c>
    </row>
    <row r="187" spans="1:101" s="9" customFormat="1" ht="11.25">
      <c r="A187" s="665"/>
      <c r="B187" s="62"/>
      <c r="C187" s="62"/>
      <c r="D187" s="62"/>
      <c r="E187" s="62"/>
      <c r="F187" s="256"/>
      <c r="G187" s="256"/>
      <c r="H187" s="256"/>
      <c r="I187" s="256"/>
      <c r="J187" s="256"/>
      <c r="K187" s="256"/>
      <c r="L187" s="256"/>
      <c r="M187" s="256"/>
      <c r="N187" s="256"/>
      <c r="O187" s="256"/>
      <c r="P187" s="256"/>
      <c r="Q187" s="256"/>
      <c r="R187" s="256"/>
      <c r="S187" s="256"/>
      <c r="T187" s="256"/>
      <c r="U187" s="256"/>
      <c r="V187" s="256"/>
      <c r="W187" s="256"/>
      <c r="X187" s="256"/>
      <c r="Y187" s="256"/>
      <c r="Z187" s="256"/>
      <c r="AA187" s="256"/>
      <c r="AB187" s="256"/>
      <c r="AC187" s="256"/>
      <c r="AD187" s="256"/>
      <c r="AE187" s="2132"/>
      <c r="AF187" s="256"/>
      <c r="AG187" s="256"/>
      <c r="AH187" s="256"/>
      <c r="AI187" s="256"/>
      <c r="AJ187" s="256"/>
      <c r="AK187" s="256"/>
      <c r="AL187" s="256"/>
      <c r="AM187" s="257"/>
      <c r="AN187" s="257"/>
      <c r="AO187" s="257"/>
      <c r="AP187" s="461"/>
      <c r="AQ187" s="461"/>
      <c r="AR187" s="461"/>
      <c r="AS187" s="461"/>
      <c r="AT187" s="461"/>
      <c r="AU187" s="461"/>
      <c r="AV187" s="461"/>
      <c r="AW187" s="461"/>
      <c r="AX187" s="461"/>
      <c r="AY187" s="461"/>
      <c r="AZ187" s="461"/>
      <c r="BA187" s="461"/>
      <c r="BB187" s="461"/>
      <c r="BC187" s="461"/>
      <c r="BD187" s="461"/>
      <c r="BE187" s="461"/>
      <c r="BF187" s="461"/>
      <c r="BG187" s="461"/>
      <c r="BH187" s="461"/>
      <c r="BI187" s="461"/>
      <c r="BJ187" s="461"/>
      <c r="BK187" s="1368"/>
      <c r="BL187" s="461"/>
      <c r="BM187" s="461"/>
      <c r="BN187" s="461"/>
      <c r="BO187" s="461"/>
      <c r="BP187" s="461"/>
      <c r="BQ187" s="461"/>
      <c r="BR187" s="461"/>
      <c r="BS187" s="461"/>
      <c r="BT187" s="461"/>
      <c r="BU187" s="461"/>
      <c r="BV187" s="461"/>
      <c r="BW187" s="461"/>
      <c r="BX187" s="461"/>
      <c r="BY187" s="461"/>
      <c r="BZ187" s="461"/>
      <c r="CA187" s="461"/>
      <c r="CB187" s="461"/>
      <c r="CC187" s="461"/>
      <c r="CD187" s="461"/>
      <c r="CE187" s="461"/>
      <c r="CF187" s="461"/>
      <c r="CG187" s="461"/>
      <c r="CH187" s="461"/>
      <c r="CI187" s="461"/>
      <c r="CJ187" s="461"/>
      <c r="CK187" s="461"/>
      <c r="CL187" s="461"/>
      <c r="CM187" s="461"/>
      <c r="CN187" s="461"/>
      <c r="CO187" s="461"/>
      <c r="CP187" s="461"/>
      <c r="CQ187" s="461"/>
      <c r="CR187" s="461"/>
      <c r="CS187" s="461"/>
      <c r="CT187" s="461"/>
      <c r="CU187" s="461"/>
      <c r="CV187" s="461"/>
      <c r="CW187" s="461"/>
    </row>
    <row r="188" spans="1:101" s="9" customFormat="1" ht="11.25">
      <c r="A188" s="331" t="s">
        <v>941</v>
      </c>
      <c r="B188" s="62"/>
      <c r="C188" s="62"/>
      <c r="D188" s="62"/>
      <c r="E188" s="62"/>
      <c r="F188" s="316"/>
      <c r="G188" s="333"/>
      <c r="H188" s="333"/>
      <c r="I188" s="316"/>
      <c r="J188" s="316"/>
      <c r="K188" s="333"/>
      <c r="L188" s="333"/>
      <c r="M188" s="316"/>
      <c r="N188" s="355"/>
      <c r="O188" s="355"/>
      <c r="P188" s="355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  <c r="AA188" s="355"/>
      <c r="AB188" s="316"/>
      <c r="AC188" s="316"/>
      <c r="AD188" s="316"/>
      <c r="AE188" s="2129"/>
      <c r="AF188" s="316"/>
      <c r="AG188" s="316"/>
      <c r="AH188" s="316"/>
      <c r="AI188" s="316"/>
      <c r="AJ188" s="316"/>
      <c r="AK188" s="316"/>
      <c r="AL188" s="316"/>
      <c r="AM188" s="316"/>
      <c r="AN188" s="1504"/>
      <c r="AO188" s="966"/>
      <c r="AP188" s="872"/>
      <c r="AQ188" s="872"/>
      <c r="AR188" s="872"/>
      <c r="AS188" s="1714"/>
      <c r="AT188" s="1714"/>
      <c r="AU188" s="1714"/>
      <c r="AV188" s="1714"/>
      <c r="AW188" s="1714"/>
      <c r="AX188" s="1714"/>
      <c r="AY188" s="1714"/>
      <c r="AZ188" s="1714"/>
      <c r="BA188" s="1714"/>
      <c r="BB188" s="1714"/>
      <c r="BC188" s="1714"/>
      <c r="BD188" s="1714"/>
      <c r="BE188" s="1714"/>
      <c r="BF188" s="1714"/>
      <c r="BG188" s="1714"/>
      <c r="BH188" s="1714"/>
      <c r="BI188" s="1714"/>
      <c r="BJ188" s="1714"/>
      <c r="BK188" s="1503"/>
    </row>
    <row r="189" spans="1:101" s="9" customFormat="1" ht="11.25">
      <c r="A189" s="530" t="s">
        <v>353</v>
      </c>
      <c r="B189" s="658">
        <f>IS!C113+Q_Financials!B64</f>
        <v>306.8</v>
      </c>
      <c r="C189" s="658">
        <f>IS!D113+Q_Financials!C64</f>
        <v>326.8</v>
      </c>
      <c r="D189" s="658">
        <f>IS!E113+Q_Financials!D64</f>
        <v>376</v>
      </c>
      <c r="E189" s="658">
        <f>IS!F113+Q_Financials!E64</f>
        <v>398.1</v>
      </c>
      <c r="F189" s="658">
        <f>IS!G113+Q_Financials!F64</f>
        <v>360.8</v>
      </c>
      <c r="G189" s="658">
        <f>IS!H113+Q_Financials!G64</f>
        <v>430</v>
      </c>
      <c r="H189" s="658">
        <f>IS!I113+Q_Financials!H64</f>
        <v>504.9</v>
      </c>
      <c r="I189" s="658">
        <f>IS!J113+Q_Financials!I64</f>
        <v>515</v>
      </c>
      <c r="J189" s="658">
        <f>IS!K113+Q_Financials!J64</f>
        <v>470.4</v>
      </c>
      <c r="K189" s="658">
        <f>IS!L113+Q_Financials!K64</f>
        <v>536.6</v>
      </c>
      <c r="L189" s="658">
        <f>IS!M113+Q_Financials!L64</f>
        <v>662.5</v>
      </c>
      <c r="M189" s="658">
        <f>IS!N113+Q_Financials!M64</f>
        <v>732.6</v>
      </c>
      <c r="N189" s="658">
        <f>IS!O113+Q_Financials!N64</f>
        <v>694.2</v>
      </c>
      <c r="O189" s="659">
        <f>IS!P113+Q_Financials!O64</f>
        <v>847</v>
      </c>
      <c r="P189" s="659">
        <f>IS!Q113+Q_Financials!P64</f>
        <v>948.2</v>
      </c>
      <c r="Q189" s="659">
        <f>IS!R113+Q_Financials!Q64</f>
        <v>927.1</v>
      </c>
      <c r="R189" s="659">
        <f>IS!S113+Q_Financials!R64</f>
        <v>824</v>
      </c>
      <c r="S189" s="659">
        <f>IS!T113+Q_Financials!S64</f>
        <v>968</v>
      </c>
      <c r="T189" s="659">
        <f>IS!U113+Q_Financials!T64</f>
        <v>1172.5999999999999</v>
      </c>
      <c r="U189" s="659">
        <f>IS!V113+Q_Financials!U64</f>
        <v>1254.9000000000001</v>
      </c>
      <c r="V189" s="659">
        <f>IS!W113+Q_Financials!V64</f>
        <v>997</v>
      </c>
      <c r="W189" s="659">
        <f>IS!X113+Q_Financials!W64</f>
        <v>1091</v>
      </c>
      <c r="X189" s="659">
        <f>IS!Y113+Q_Financials!X64</f>
        <v>1234</v>
      </c>
      <c r="Y189" s="659">
        <f>IS!Z113+Q_Financials!Y64</f>
        <v>1299</v>
      </c>
      <c r="Z189" s="659">
        <f>IS!AA113+Q_Financials!Z64</f>
        <v>1357</v>
      </c>
      <c r="AA189" s="659">
        <f>IS!AB113+Q_Financials!AA64</f>
        <v>1605</v>
      </c>
      <c r="AB189" s="659">
        <f>IS!AC113+Q_Financials!AB64</f>
        <v>1849</v>
      </c>
      <c r="AC189" s="659">
        <f>IS!AD113+Q_Financials!AC64</f>
        <v>1907</v>
      </c>
      <c r="AD189" s="659">
        <f>IS!AE113+Q_Financials!AD64</f>
        <v>1582</v>
      </c>
      <c r="AE189" s="2139">
        <f>IS!AF113+Q_Financials!AE64</f>
        <v>1929</v>
      </c>
      <c r="AF189" s="659">
        <f>IS!AG113+Q_Financials!AF64</f>
        <v>2253</v>
      </c>
      <c r="AG189" s="659">
        <f>IS!AH113+Q_Financials!AG64</f>
        <v>2360</v>
      </c>
      <c r="AH189" s="659">
        <f>IS!AI113+Q_Financials!AH64</f>
        <v>2460</v>
      </c>
      <c r="AI189" s="659">
        <f>IS!AJ113+Q_Financials!AI64</f>
        <v>2449</v>
      </c>
      <c r="AJ189" s="659">
        <f>IS!AK113+Q_Financials!AJ64</f>
        <v>2634</v>
      </c>
      <c r="AK189" s="659">
        <f>IS!AL113+Q_Financials!AK64</f>
        <v>2740</v>
      </c>
      <c r="AL189" s="659">
        <f>IS!AM113+Q_Financials!AL64</f>
        <v>2600.777</v>
      </c>
      <c r="AM189" s="966">
        <f>IS!AN113+Q_Financials!AM64</f>
        <v>2725.201</v>
      </c>
      <c r="AN189" s="966">
        <f>IS!AO113+Q_Financials!AN64</f>
        <v>2463</v>
      </c>
      <c r="AO189" s="966">
        <f>IS!AP113+Q_Financials!AO64</f>
        <v>2406</v>
      </c>
      <c r="AP189" s="966">
        <f>IS!AQ113+Q_Financials!AP64</f>
        <v>2271.386</v>
      </c>
      <c r="AQ189" s="966">
        <f>IS!AR113+Q_Financials!AQ64</f>
        <v>2440.2809999999999</v>
      </c>
      <c r="AR189" s="966">
        <f>IS!AS113+Q_Financials!AR64</f>
        <v>2569.8229999999999</v>
      </c>
      <c r="AS189" s="966">
        <f>IS!AT113+Q_Financials!AS64</f>
        <v>2450.9229999999998</v>
      </c>
      <c r="AT189" s="966">
        <f>IS!AU113+Q_Financials!AT64</f>
        <v>1764.7919999999999</v>
      </c>
      <c r="AU189" s="966">
        <f>IS!AV113+Q_Financials!AU64</f>
        <v>781.64</v>
      </c>
      <c r="AV189" s="966">
        <f>IS!AW113+Q_Financials!AV64</f>
        <v>1265.3510000000001</v>
      </c>
      <c r="AW189" s="966">
        <f>IS!AX113+Q_Financials!AW64</f>
        <v>1775.183</v>
      </c>
      <c r="AX189" s="966">
        <f>IS!AY113+Q_Financials!AX64</f>
        <v>1756.93</v>
      </c>
      <c r="AY189" s="966">
        <f>IS!AZ113+Q_Financials!AY64</f>
        <v>1731.269</v>
      </c>
      <c r="AZ189" s="966">
        <f>IS!BA113+Q_Financials!AZ64</f>
        <v>2423.442</v>
      </c>
      <c r="BA189" s="966">
        <f>IS!BB113+Q_Financials!BA64</f>
        <v>3050.4380000000001</v>
      </c>
      <c r="BB189" s="966">
        <f>IS!BC113+Q_Financials!BB64</f>
        <v>2708.33</v>
      </c>
      <c r="BC189" s="966">
        <f>IS!BD113+Q_Financials!BC64</f>
        <v>3161.74</v>
      </c>
      <c r="BD189" s="966">
        <f>IS!BE113+Q_Financials!BD64</f>
        <v>3679.9369999999999</v>
      </c>
      <c r="BE189" s="966">
        <f>IS!BF113+Q_Financials!BE64</f>
        <v>3837.7049999999999</v>
      </c>
      <c r="BF189" s="966">
        <f>IS!BG113+Q_Financials!BF64</f>
        <v>3135.5329999999999</v>
      </c>
      <c r="BG189" s="966">
        <f>IS!BH113+Q_Financials!BG64</f>
        <v>3460.4700000000003</v>
      </c>
      <c r="BH189" s="966">
        <f>IS!BI113+Q_Financials!BH64</f>
        <v>3931.7930000000001</v>
      </c>
      <c r="BI189" s="966">
        <f>IS!BJ113+Q_Financials!BI64</f>
        <v>3377.9769999999999</v>
      </c>
      <c r="BJ189" s="966">
        <f>IS!BK113+Q_Financials!BJ64</f>
        <v>2639.1559999999999</v>
      </c>
      <c r="BK189" s="1363">
        <f>IS!BL113+Q_Financials!BK64</f>
        <v>3056.471</v>
      </c>
      <c r="BL189" s="660">
        <f t="shared" ref="BL189:BQ189" si="972">+BL192+BL203</f>
        <v>3235.8739780058768</v>
      </c>
      <c r="BM189" s="660">
        <f t="shared" si="972"/>
        <v>2519.7343425433478</v>
      </c>
      <c r="BN189" s="660">
        <f t="shared" si="972"/>
        <v>2792.5346205556261</v>
      </c>
      <c r="BO189" s="660">
        <f t="shared" si="972"/>
        <v>3479.9238169842088</v>
      </c>
      <c r="BP189" s="660">
        <f t="shared" si="972"/>
        <v>3532.340512027733</v>
      </c>
      <c r="BQ189" s="660">
        <f t="shared" si="972"/>
        <v>2664.8228207156913</v>
      </c>
      <c r="BR189" s="660">
        <f t="shared" ref="BR189:CK189" si="973">+BR192+BR203</f>
        <v>2952.6420667606362</v>
      </c>
      <c r="BS189" s="660">
        <f t="shared" si="973"/>
        <v>3639.5253454033141</v>
      </c>
      <c r="BT189" s="660">
        <f t="shared" si="973"/>
        <v>3694.082468330922</v>
      </c>
      <c r="BU189" s="660">
        <f t="shared" si="973"/>
        <v>2779.9566067173037</v>
      </c>
      <c r="BV189" s="660">
        <f t="shared" si="973"/>
        <v>3012.2264502465528</v>
      </c>
      <c r="BW189" s="660">
        <f t="shared" si="973"/>
        <v>3711.6604865978716</v>
      </c>
      <c r="BX189" s="660">
        <f t="shared" si="973"/>
        <v>3770.1737041993551</v>
      </c>
      <c r="BY189" s="660">
        <f t="shared" si="973"/>
        <v>2836.9798448241809</v>
      </c>
      <c r="BZ189" s="660">
        <f t="shared" si="973"/>
        <v>3093.3035095873083</v>
      </c>
      <c r="CA189" s="660">
        <f t="shared" si="973"/>
        <v>3810.5954207463451</v>
      </c>
      <c r="CB189" s="660">
        <f t="shared" si="973"/>
        <v>3873.8672640048312</v>
      </c>
      <c r="CC189" s="660">
        <f t="shared" si="973"/>
        <v>2914.6807940400226</v>
      </c>
      <c r="CD189" s="660">
        <f t="shared" si="973"/>
        <v>3175.9875771869124</v>
      </c>
      <c r="CE189" s="660">
        <f t="shared" si="973"/>
        <v>3910.9606423390578</v>
      </c>
      <c r="CF189" s="660">
        <f t="shared" si="973"/>
        <v>3979.0691498091633</v>
      </c>
      <c r="CG189" s="660">
        <f t="shared" si="973"/>
        <v>2993.0633974806606</v>
      </c>
      <c r="CH189" s="660">
        <f t="shared" si="973"/>
        <v>3259.0413456722999</v>
      </c>
      <c r="CI189" s="660">
        <f t="shared" si="973"/>
        <v>4012.4935903154114</v>
      </c>
      <c r="CJ189" s="660">
        <f t="shared" si="973"/>
        <v>4087.133219529012</v>
      </c>
      <c r="CK189" s="660">
        <f t="shared" si="973"/>
        <v>3072.0809100227789</v>
      </c>
      <c r="CL189" s="660">
        <f t="shared" ref="CL189:CW189" si="974">+CL192+CL203</f>
        <v>3340.622514113511</v>
      </c>
      <c r="CM189" s="660">
        <f t="shared" si="974"/>
        <v>4112.1525706868279</v>
      </c>
      <c r="CN189" s="660">
        <f t="shared" si="974"/>
        <v>4193.887672942371</v>
      </c>
      <c r="CO189" s="660">
        <f t="shared" si="974"/>
        <v>3151.5013212206195</v>
      </c>
      <c r="CP189" s="660">
        <f t="shared" si="974"/>
        <v>3423.4953618978084</v>
      </c>
      <c r="CQ189" s="660">
        <f t="shared" si="974"/>
        <v>4213.2139843669529</v>
      </c>
      <c r="CR189" s="660">
        <f t="shared" si="974"/>
        <v>4303.6177380336521</v>
      </c>
      <c r="CS189" s="660">
        <f t="shared" si="974"/>
        <v>3233.7045112827036</v>
      </c>
      <c r="CT189" s="660">
        <f>+CT192+CT203</f>
        <v>3509.504354767631</v>
      </c>
      <c r="CU189" s="660">
        <f t="shared" si="974"/>
        <v>4317.9679803200934</v>
      </c>
      <c r="CV189" s="660">
        <f t="shared" si="974"/>
        <v>4418.4413590633421</v>
      </c>
      <c r="CW189" s="660">
        <f t="shared" si="974"/>
        <v>3315.8580717140567</v>
      </c>
    </row>
    <row r="190" spans="1:101" s="9" customFormat="1" ht="11.25">
      <c r="A190" s="312" t="s">
        <v>950</v>
      </c>
      <c r="B190" s="347"/>
      <c r="C190" s="347"/>
      <c r="D190" s="347"/>
      <c r="E190" s="347"/>
      <c r="F190" s="347">
        <f t="shared" ref="F190:AK190" si="975">F189/B189-1</f>
        <v>0.17601043024771834</v>
      </c>
      <c r="G190" s="347">
        <f t="shared" si="975"/>
        <v>0.3157894736842104</v>
      </c>
      <c r="H190" s="347">
        <f t="shared" si="975"/>
        <v>0.34281914893617005</v>
      </c>
      <c r="I190" s="347">
        <f t="shared" si="975"/>
        <v>0.29364481286109001</v>
      </c>
      <c r="J190" s="347">
        <f t="shared" si="975"/>
        <v>0.30376940133037689</v>
      </c>
      <c r="K190" s="347">
        <f t="shared" si="975"/>
        <v>0.24790697674418616</v>
      </c>
      <c r="L190" s="347">
        <f t="shared" si="975"/>
        <v>0.31214101802337102</v>
      </c>
      <c r="M190" s="347">
        <f t="shared" si="975"/>
        <v>0.42252427184466024</v>
      </c>
      <c r="N190" s="347">
        <f t="shared" si="975"/>
        <v>0.47576530612244916</v>
      </c>
      <c r="O190" s="347">
        <f t="shared" si="975"/>
        <v>0.57845695117405893</v>
      </c>
      <c r="P190" s="347">
        <f t="shared" si="975"/>
        <v>0.431245283018868</v>
      </c>
      <c r="Q190" s="347">
        <f t="shared" si="975"/>
        <v>0.26549276549276546</v>
      </c>
      <c r="R190" s="347">
        <f t="shared" si="975"/>
        <v>0.18697781619129916</v>
      </c>
      <c r="S190" s="347">
        <f t="shared" si="975"/>
        <v>0.14285714285714279</v>
      </c>
      <c r="T190" s="347">
        <f t="shared" si="975"/>
        <v>0.23665893271461691</v>
      </c>
      <c r="U190" s="347">
        <f t="shared" si="975"/>
        <v>0.35357566605544166</v>
      </c>
      <c r="V190" s="347">
        <f t="shared" si="975"/>
        <v>0.20995145631067968</v>
      </c>
      <c r="W190" s="347">
        <f t="shared" si="975"/>
        <v>0.12706611570247928</v>
      </c>
      <c r="X190" s="347">
        <f t="shared" si="975"/>
        <v>5.2362271874467181E-2</v>
      </c>
      <c r="Y190" s="347">
        <f t="shared" si="975"/>
        <v>3.514224240975361E-2</v>
      </c>
      <c r="Z190" s="347">
        <f t="shared" si="975"/>
        <v>0.36108324974924777</v>
      </c>
      <c r="AA190" s="347">
        <f t="shared" si="975"/>
        <v>0.47112740604949588</v>
      </c>
      <c r="AB190" s="347">
        <f t="shared" si="975"/>
        <v>0.49837925445705022</v>
      </c>
      <c r="AC190" s="347">
        <f t="shared" si="975"/>
        <v>0.46805234795996919</v>
      </c>
      <c r="AD190" s="347">
        <f t="shared" si="975"/>
        <v>0.16580692704495203</v>
      </c>
      <c r="AE190" s="2140">
        <f t="shared" si="975"/>
        <v>0.20186915887850465</v>
      </c>
      <c r="AF190" s="347">
        <f t="shared" si="975"/>
        <v>0.21849648458626292</v>
      </c>
      <c r="AG190" s="347">
        <f t="shared" si="975"/>
        <v>0.23754588358678563</v>
      </c>
      <c r="AH190" s="347">
        <f t="shared" si="975"/>
        <v>0.5549936788874843</v>
      </c>
      <c r="AI190" s="347">
        <f t="shared" si="975"/>
        <v>0.26956972524624168</v>
      </c>
      <c r="AJ190" s="347">
        <f t="shared" si="975"/>
        <v>0.16910785619174429</v>
      </c>
      <c r="AK190" s="347">
        <f t="shared" si="975"/>
        <v>0.16101694915254239</v>
      </c>
      <c r="AL190" s="347">
        <f t="shared" ref="AL190:BQ190" si="976">AL189/AH189-1</f>
        <v>5.7226422764227625E-2</v>
      </c>
      <c r="AM190" s="347">
        <f t="shared" si="976"/>
        <v>0.112781135157207</v>
      </c>
      <c r="AN190" s="347">
        <f t="shared" si="976"/>
        <v>-6.4920273348519353E-2</v>
      </c>
      <c r="AO190" s="347">
        <f t="shared" si="976"/>
        <v>-0.12189781021897805</v>
      </c>
      <c r="AP190" s="347">
        <f t="shared" si="976"/>
        <v>-0.12665099699051474</v>
      </c>
      <c r="AQ190" s="347">
        <f t="shared" si="976"/>
        <v>-0.1045500863972969</v>
      </c>
      <c r="AR190" s="347">
        <f t="shared" si="976"/>
        <v>4.3371092164027569E-2</v>
      </c>
      <c r="AS190" s="347">
        <f t="shared" si="976"/>
        <v>1.8671238570241E-2</v>
      </c>
      <c r="AT190" s="347">
        <f t="shared" si="976"/>
        <v>-0.22303298514651404</v>
      </c>
      <c r="AU190" s="347">
        <f t="shared" si="976"/>
        <v>-0.67969262556238408</v>
      </c>
      <c r="AV190" s="347">
        <f t="shared" si="976"/>
        <v>-0.50761161371814323</v>
      </c>
      <c r="AW190" s="347">
        <f t="shared" si="976"/>
        <v>-0.27570837598733211</v>
      </c>
      <c r="AX190" s="347">
        <f t="shared" si="976"/>
        <v>-4.4549159334357213E-3</v>
      </c>
      <c r="AY190" s="347">
        <f t="shared" si="976"/>
        <v>1.214918632618597</v>
      </c>
      <c r="AZ190" s="347">
        <f t="shared" si="976"/>
        <v>0.91523300649385009</v>
      </c>
      <c r="BA190" s="347">
        <f t="shared" ref="BA190:BK190" si="977">BA189/AW189-1</f>
        <v>0.71837945721652363</v>
      </c>
      <c r="BB190" s="347">
        <f t="shared" si="977"/>
        <v>0.54151275235780583</v>
      </c>
      <c r="BC190" s="347">
        <f t="shared" si="977"/>
        <v>0.82625576961177027</v>
      </c>
      <c r="BD190" s="347">
        <f t="shared" si="977"/>
        <v>0.51847537510697594</v>
      </c>
      <c r="BE190" s="347">
        <f t="shared" si="977"/>
        <v>0.25808326541958881</v>
      </c>
      <c r="BF190" s="347">
        <f t="shared" si="977"/>
        <v>0.1577366864451526</v>
      </c>
      <c r="BG190" s="347">
        <f t="shared" si="977"/>
        <v>9.4482784795713926E-2</v>
      </c>
      <c r="BH190" s="347">
        <f t="shared" si="977"/>
        <v>6.8440302102998007E-2</v>
      </c>
      <c r="BI190" s="347">
        <f t="shared" si="977"/>
        <v>-0.11979242802664614</v>
      </c>
      <c r="BJ190" s="347">
        <f t="shared" si="977"/>
        <v>-0.15830705656741617</v>
      </c>
      <c r="BK190" s="1364">
        <f t="shared" si="977"/>
        <v>-0.11674685808575147</v>
      </c>
      <c r="BL190" s="380">
        <f t="shared" si="976"/>
        <v>-0.17699787908318754</v>
      </c>
      <c r="BM190" s="380">
        <f t="shared" si="976"/>
        <v>-0.2540700121571734</v>
      </c>
      <c r="BN190" s="380">
        <f t="shared" si="976"/>
        <v>5.8116542014047701E-2</v>
      </c>
      <c r="BO190" s="380">
        <f t="shared" si="976"/>
        <v>0.138543050787725</v>
      </c>
      <c r="BP190" s="380">
        <f t="shared" si="976"/>
        <v>9.1618689737897441E-2</v>
      </c>
      <c r="BQ190" s="380">
        <f t="shared" si="976"/>
        <v>5.7580863078563693E-2</v>
      </c>
      <c r="BR190" s="380">
        <f t="shared" ref="BR190:CK190" si="978">BR189/BN189-1</f>
        <v>5.733409535067957E-2</v>
      </c>
      <c r="BS190" s="380">
        <f t="shared" si="978"/>
        <v>4.5863512195338796E-2</v>
      </c>
      <c r="BT190" s="380">
        <f t="shared" si="978"/>
        <v>4.5788891459487724E-2</v>
      </c>
      <c r="BU190" s="380">
        <f t="shared" si="978"/>
        <v>4.3205043542328569E-2</v>
      </c>
      <c r="BV190" s="380">
        <f t="shared" si="978"/>
        <v>2.0180022548851317E-2</v>
      </c>
      <c r="BW190" s="380">
        <f t="shared" si="978"/>
        <v>1.9819930993381751E-2</v>
      </c>
      <c r="BX190" s="380">
        <f t="shared" si="978"/>
        <v>2.0598142169471645E-2</v>
      </c>
      <c r="BY190" s="380">
        <f t="shared" si="978"/>
        <v>2.0512276331612567E-2</v>
      </c>
      <c r="BZ190" s="380">
        <f t="shared" si="978"/>
        <v>2.6915990772911291E-2</v>
      </c>
      <c r="CA190" s="380">
        <f t="shared" si="978"/>
        <v>2.6655168086011427E-2</v>
      </c>
      <c r="CB190" s="380">
        <f t="shared" si="978"/>
        <v>2.7503655783811309E-2</v>
      </c>
      <c r="CC190" s="380">
        <f t="shared" si="978"/>
        <v>2.7388615170319319E-2</v>
      </c>
      <c r="CD190" s="380">
        <f t="shared" si="978"/>
        <v>2.6730020944706778E-2</v>
      </c>
      <c r="CE190" s="380">
        <f t="shared" si="978"/>
        <v>2.6338461712908767E-2</v>
      </c>
      <c r="CF190" s="380">
        <f t="shared" si="978"/>
        <v>2.7156812207234315E-2</v>
      </c>
      <c r="CG190" s="380">
        <f t="shared" si="978"/>
        <v>2.6892345673294793E-2</v>
      </c>
      <c r="CH190" s="380">
        <f t="shared" si="978"/>
        <v>2.6150533170205659E-2</v>
      </c>
      <c r="CI190" s="380">
        <f t="shared" si="978"/>
        <v>2.5961127523806748E-2</v>
      </c>
      <c r="CJ190" s="380">
        <f t="shared" si="978"/>
        <v>2.7158128107683588E-2</v>
      </c>
      <c r="CK190" s="380">
        <f t="shared" si="978"/>
        <v>2.640021344306609E-2</v>
      </c>
      <c r="CL190" s="380">
        <f t="shared" ref="CL190" si="979">CL189/CH189-1</f>
        <v>2.5032259424859093E-2</v>
      </c>
      <c r="CM190" s="380">
        <f t="shared" ref="CM190" si="980">CM189/CI189-1</f>
        <v>2.4837168740145632E-2</v>
      </c>
      <c r="CN190" s="380">
        <f t="shared" ref="CN190" si="981">CN189/CJ189-1</f>
        <v>2.6119641244691572E-2</v>
      </c>
      <c r="CO190" s="380">
        <f t="shared" ref="CO190" si="982">CO189/CK189-1</f>
        <v>2.5852317541093628E-2</v>
      </c>
      <c r="CP190" s="380">
        <f t="shared" ref="CP190" si="983">CP189/CL189-1</f>
        <v>2.48076061974003E-2</v>
      </c>
      <c r="CQ190" s="380">
        <f t="shared" ref="CQ190" si="984">CQ189/CM189-1</f>
        <v>2.4576280170277132E-2</v>
      </c>
      <c r="CR190" s="380">
        <f t="shared" ref="CR190" si="985">CR189/CN189-1</f>
        <v>2.6164283273303779E-2</v>
      </c>
      <c r="CS190" s="380">
        <f t="shared" ref="CS190" si="986">CS189/CO189-1</f>
        <v>2.6083819006696762E-2</v>
      </c>
      <c r="CT190" s="380">
        <f t="shared" ref="CT190" si="987">CT189/CP189-1</f>
        <v>2.5123151568151592E-2</v>
      </c>
      <c r="CU190" s="380">
        <f t="shared" ref="CU190" si="988">CU189/CQ189-1</f>
        <v>2.4863203326920491E-2</v>
      </c>
      <c r="CV190" s="380">
        <f t="shared" ref="CV190" si="989">CV189/CR189-1</f>
        <v>2.6680720272835856E-2</v>
      </c>
      <c r="CW190" s="380">
        <f t="shared" ref="CW190" si="990">CW189/CS189-1</f>
        <v>2.5405401187619692E-2</v>
      </c>
    </row>
    <row r="191" spans="1:101" s="9" customFormat="1" ht="11.25">
      <c r="A191" s="661"/>
      <c r="B191" s="62"/>
      <c r="C191" s="62"/>
      <c r="D191" s="62"/>
      <c r="E191" s="62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6"/>
      <c r="AA191" s="256"/>
      <c r="AB191" s="256"/>
      <c r="AC191" s="256"/>
      <c r="AD191" s="256"/>
      <c r="AE191" s="2132"/>
      <c r="AF191" s="256"/>
      <c r="AG191" s="256"/>
      <c r="AH191" s="256"/>
      <c r="AI191" s="256"/>
      <c r="AJ191" s="256"/>
      <c r="AK191" s="256"/>
      <c r="AL191" s="256"/>
      <c r="AM191" s="257"/>
      <c r="AN191" s="257"/>
      <c r="AO191" s="257"/>
      <c r="AP191" s="461"/>
      <c r="AQ191" s="461"/>
      <c r="AR191" s="461"/>
      <c r="AS191" s="461"/>
      <c r="AT191" s="461"/>
      <c r="AU191" s="461"/>
      <c r="AV191" s="461"/>
      <c r="AW191" s="461"/>
      <c r="AX191" s="461"/>
      <c r="AY191" s="461"/>
      <c r="AZ191" s="461"/>
      <c r="BA191" s="461"/>
      <c r="BB191" s="461"/>
      <c r="BC191" s="461"/>
      <c r="BD191" s="461"/>
      <c r="BE191" s="461"/>
      <c r="BF191" s="461"/>
      <c r="BG191" s="461"/>
      <c r="BH191" s="461"/>
      <c r="BI191" s="461"/>
      <c r="BJ191" s="461"/>
      <c r="BK191" s="1368"/>
      <c r="BL191" s="461"/>
      <c r="BM191" s="461"/>
      <c r="BN191" s="461"/>
      <c r="BO191" s="461"/>
      <c r="BP191" s="461"/>
      <c r="BQ191" s="461"/>
      <c r="BR191" s="461"/>
      <c r="BS191" s="461"/>
      <c r="BT191" s="461"/>
      <c r="BU191" s="461"/>
      <c r="BV191" s="461"/>
      <c r="BW191" s="461"/>
      <c r="BX191" s="461"/>
      <c r="BY191" s="461"/>
      <c r="BZ191" s="461"/>
      <c r="CA191" s="461"/>
      <c r="CB191" s="461"/>
      <c r="CC191" s="461"/>
      <c r="CD191" s="461"/>
      <c r="CE191" s="461"/>
      <c r="CF191" s="461"/>
      <c r="CG191" s="461"/>
      <c r="CH191" s="461"/>
      <c r="CI191" s="461"/>
      <c r="CJ191" s="461"/>
      <c r="CK191" s="461"/>
      <c r="CL191" s="461"/>
      <c r="CM191" s="461"/>
      <c r="CN191" s="461"/>
      <c r="CO191" s="461"/>
      <c r="CP191" s="461"/>
      <c r="CQ191" s="461"/>
      <c r="CR191" s="461"/>
      <c r="CS191" s="461"/>
      <c r="CT191" s="461"/>
      <c r="CU191" s="461"/>
      <c r="CV191" s="461"/>
      <c r="CW191" s="461"/>
    </row>
    <row r="192" spans="1:101" s="9" customFormat="1" ht="11.25">
      <c r="A192" s="674" t="s">
        <v>739</v>
      </c>
      <c r="B192" s="658">
        <f t="shared" ref="B192:AT192" si="991">+B189-B203</f>
        <v>306.8</v>
      </c>
      <c r="C192" s="875">
        <f t="shared" si="991"/>
        <v>319.82319999999999</v>
      </c>
      <c r="D192" s="875">
        <f t="shared" si="991"/>
        <v>367.99729729729728</v>
      </c>
      <c r="E192" s="875">
        <f t="shared" si="991"/>
        <v>389.69275657894741</v>
      </c>
      <c r="F192" s="875">
        <f t="shared" si="991"/>
        <v>353.27430042918456</v>
      </c>
      <c r="G192" s="875">
        <f t="shared" si="991"/>
        <v>421.44442148760334</v>
      </c>
      <c r="H192" s="875">
        <f t="shared" si="991"/>
        <v>497.41666071428568</v>
      </c>
      <c r="I192" s="875">
        <f t="shared" si="991"/>
        <v>509.66537735849056</v>
      </c>
      <c r="J192" s="875">
        <f t="shared" si="991"/>
        <v>465.69599999999997</v>
      </c>
      <c r="K192" s="875">
        <f t="shared" si="991"/>
        <v>531.3653356643357</v>
      </c>
      <c r="L192" s="875">
        <f t="shared" si="991"/>
        <v>655.91931438127085</v>
      </c>
      <c r="M192" s="875">
        <f t="shared" si="991"/>
        <v>725.42007055214731</v>
      </c>
      <c r="N192" s="875">
        <f t="shared" si="991"/>
        <v>687.62810662824211</v>
      </c>
      <c r="O192" s="876">
        <f t="shared" si="991"/>
        <v>838.82491643454034</v>
      </c>
      <c r="P192" s="876">
        <f t="shared" si="991"/>
        <v>938.94376190476191</v>
      </c>
      <c r="Q192" s="876">
        <f t="shared" si="991"/>
        <v>918.48627238805977</v>
      </c>
      <c r="R192" s="876">
        <f t="shared" si="991"/>
        <v>816.54851674641145</v>
      </c>
      <c r="S192" s="876">
        <f t="shared" si="991"/>
        <v>959.04373831775706</v>
      </c>
      <c r="T192" s="876">
        <f t="shared" si="991"/>
        <v>1167.5489837067209</v>
      </c>
      <c r="U192" s="876">
        <f t="shared" si="991"/>
        <v>1254.2906061151079</v>
      </c>
      <c r="V192" s="876">
        <f t="shared" si="991"/>
        <v>996.29408216783213</v>
      </c>
      <c r="W192" s="876">
        <f t="shared" si="991"/>
        <v>1089.9842413793103</v>
      </c>
      <c r="X192" s="876">
        <f t="shared" si="991"/>
        <v>1232.5167278797996</v>
      </c>
      <c r="Y192" s="876">
        <f t="shared" si="991"/>
        <v>1296.7212303134258</v>
      </c>
      <c r="Z192" s="876">
        <f t="shared" si="991"/>
        <v>1354.0994374267095</v>
      </c>
      <c r="AA192" s="876">
        <f t="shared" si="991"/>
        <v>1601.6784751913196</v>
      </c>
      <c r="AB192" s="876">
        <f t="shared" si="991"/>
        <v>1844.8637917106817</v>
      </c>
      <c r="AC192" s="876">
        <f t="shared" si="991"/>
        <v>1902.5475933908046</v>
      </c>
      <c r="AD192" s="876">
        <f t="shared" si="991"/>
        <v>1578.5870805162876</v>
      </c>
      <c r="AE192" s="2152">
        <f t="shared" si="991"/>
        <v>1925.1277687226559</v>
      </c>
      <c r="AF192" s="876">
        <f t="shared" si="991"/>
        <v>2248.6093088074444</v>
      </c>
      <c r="AG192" s="876">
        <f t="shared" si="991"/>
        <v>2355.2867186612038</v>
      </c>
      <c r="AH192" s="876">
        <f t="shared" si="991"/>
        <v>2455.084707238042</v>
      </c>
      <c r="AI192" s="876">
        <f t="shared" si="991"/>
        <v>2444.3951152646705</v>
      </c>
      <c r="AJ192" s="876">
        <f t="shared" si="991"/>
        <v>2629.3411223677617</v>
      </c>
      <c r="AK192" s="876">
        <f t="shared" si="991"/>
        <v>2735.1621145711715</v>
      </c>
      <c r="AL192" s="876">
        <f t="shared" si="991"/>
        <v>2596.1875220862162</v>
      </c>
      <c r="AM192" s="972">
        <f t="shared" si="991"/>
        <v>2720.7532857570304</v>
      </c>
      <c r="AN192" s="972">
        <f t="shared" si="991"/>
        <v>2459.4584563967046</v>
      </c>
      <c r="AO192" s="972">
        <f t="shared" si="991"/>
        <v>2402.7901507041092</v>
      </c>
      <c r="AP192" s="972">
        <f t="shared" si="991"/>
        <v>2268.1955191967536</v>
      </c>
      <c r="AQ192" s="972">
        <f t="shared" si="991"/>
        <v>2436.564967643691</v>
      </c>
      <c r="AR192" s="972">
        <f t="shared" si="991"/>
        <v>2565.8212465346182</v>
      </c>
      <c r="AS192" s="972">
        <f t="shared" si="991"/>
        <v>2446.8426459829739</v>
      </c>
      <c r="AT192" s="972">
        <f t="shared" si="991"/>
        <v>1761.6871583391976</v>
      </c>
      <c r="AU192" s="972">
        <f t="shared" ref="AU192:BC192" si="992">+AU189-AU203</f>
        <v>780.25415169794371</v>
      </c>
      <c r="AV192" s="972">
        <f t="shared" si="992"/>
        <v>1263.0758253885804</v>
      </c>
      <c r="AW192" s="972">
        <f t="shared" si="992"/>
        <v>1771.5327172948425</v>
      </c>
      <c r="AX192" s="972">
        <f t="shared" si="992"/>
        <v>1752.7627686336521</v>
      </c>
      <c r="AY192" s="972">
        <f t="shared" si="992"/>
        <v>1726.8843207176999</v>
      </c>
      <c r="AZ192" s="972">
        <f t="shared" si="992"/>
        <v>2417.0298479340527</v>
      </c>
      <c r="BA192" s="972">
        <f t="shared" si="992"/>
        <v>3041.9161985729197</v>
      </c>
      <c r="BB192" s="972">
        <f t="shared" si="992"/>
        <v>2700.2950450954613</v>
      </c>
      <c r="BC192" s="972">
        <f t="shared" si="992"/>
        <v>3151.9888192232088</v>
      </c>
      <c r="BD192" s="972">
        <f t="shared" ref="BD192:BG192" si="993">+BD189-BD203</f>
        <v>3668.3593625808849</v>
      </c>
      <c r="BE192" s="972">
        <f t="shared" si="993"/>
        <v>3825.7669316548727</v>
      </c>
      <c r="BF192" s="972">
        <f t="shared" si="993"/>
        <v>3125.8864772412467</v>
      </c>
      <c r="BG192" s="972">
        <f t="shared" si="993"/>
        <v>3449.8788413845332</v>
      </c>
      <c r="BH192" s="972">
        <f t="shared" ref="BH192" si="994">+BH189-BH203</f>
        <v>3919.71856744768</v>
      </c>
      <c r="BI192" s="972">
        <f t="shared" ref="BI192" si="995">+BI189-BI203</f>
        <v>3367.7000828257151</v>
      </c>
      <c r="BJ192" s="972">
        <f t="shared" ref="BJ192" si="996">+BJ189-BJ203</f>
        <v>2631.2442548290069</v>
      </c>
      <c r="BK192" s="1376">
        <f t="shared" ref="BK192" si="997">+BK189-BK203</f>
        <v>3047.4362264204151</v>
      </c>
      <c r="BL192" s="660">
        <f t="shared" ref="BL192:BQ192" si="998">+BL195+BL200</f>
        <v>3232.1167875287911</v>
      </c>
      <c r="BM192" s="660">
        <f t="shared" si="998"/>
        <v>2513.7358764170817</v>
      </c>
      <c r="BN192" s="660">
        <f t="shared" si="998"/>
        <v>2784.571766955401</v>
      </c>
      <c r="BO192" s="660">
        <f t="shared" si="998"/>
        <v>3469.2883684035914</v>
      </c>
      <c r="BP192" s="660">
        <f t="shared" si="998"/>
        <v>3510.6009144082473</v>
      </c>
      <c r="BQ192" s="660">
        <f t="shared" si="998"/>
        <v>2648.3137353968727</v>
      </c>
      <c r="BR192" s="660">
        <f t="shared" ref="BR192:CK192" si="999">+BR195+BR200</f>
        <v>2939.6067793468192</v>
      </c>
      <c r="BS192" s="660">
        <f t="shared" si="999"/>
        <v>3624.9037232333567</v>
      </c>
      <c r="BT192" s="660">
        <f t="shared" si="999"/>
        <v>3664.3198717252772</v>
      </c>
      <c r="BU192" s="660">
        <f t="shared" si="999"/>
        <v>2758.0268431562999</v>
      </c>
      <c r="BV192" s="660">
        <f t="shared" si="999"/>
        <v>2995.5035175868502</v>
      </c>
      <c r="BW192" s="660">
        <f t="shared" si="999"/>
        <v>3692.7929683883881</v>
      </c>
      <c r="BX192" s="660">
        <f t="shared" si="999"/>
        <v>3731.9098615353532</v>
      </c>
      <c r="BY192" s="660">
        <f t="shared" si="999"/>
        <v>2808.8839144793437</v>
      </c>
      <c r="BZ192" s="660">
        <f t="shared" si="999"/>
        <v>3072.2217957000471</v>
      </c>
      <c r="CA192" s="660">
        <f t="shared" si="999"/>
        <v>3787.1895586085507</v>
      </c>
      <c r="CB192" s="660">
        <f t="shared" si="999"/>
        <v>3827.1256534599265</v>
      </c>
      <c r="CC192" s="660">
        <f t="shared" si="999"/>
        <v>2880.6456836083048</v>
      </c>
      <c r="CD192" s="660">
        <f t="shared" si="999"/>
        <v>3150.4823747540054</v>
      </c>
      <c r="CE192" s="660">
        <f t="shared" si="999"/>
        <v>3882.6672139408156</v>
      </c>
      <c r="CF192" s="660">
        <f t="shared" si="999"/>
        <v>3922.6129228837249</v>
      </c>
      <c r="CG192" s="660">
        <f t="shared" si="999"/>
        <v>2952.00304646534</v>
      </c>
      <c r="CH192" s="660">
        <f t="shared" si="999"/>
        <v>3228.3065479566148</v>
      </c>
      <c r="CI192" s="660">
        <f t="shared" si="999"/>
        <v>3978.4239292014536</v>
      </c>
      <c r="CJ192" s="660">
        <f t="shared" si="999"/>
        <v>4019.1999756970804</v>
      </c>
      <c r="CK192" s="660">
        <f t="shared" si="999"/>
        <v>3023.0054225320177</v>
      </c>
      <c r="CL192" s="660">
        <f t="shared" ref="CL192:CW192" si="1000">+CL195+CL200</f>
        <v>3304.1278874823843</v>
      </c>
      <c r="CM192" s="660">
        <f t="shared" si="1000"/>
        <v>4071.7194987678381</v>
      </c>
      <c r="CN192" s="660">
        <f t="shared" si="1000"/>
        <v>4113.3077535726525</v>
      </c>
      <c r="CO192" s="660">
        <f t="shared" si="1000"/>
        <v>3093.0012492136752</v>
      </c>
      <c r="CP192" s="660">
        <f t="shared" si="1000"/>
        <v>3379.782497168077</v>
      </c>
      <c r="CQ192" s="660">
        <f t="shared" si="1000"/>
        <v>4164.8126298653169</v>
      </c>
      <c r="CR192" s="660">
        <f t="shared" si="1000"/>
        <v>4207.2140552863857</v>
      </c>
      <c r="CS192" s="660">
        <f t="shared" si="1000"/>
        <v>3163.7763173692306</v>
      </c>
      <c r="CT192" s="660">
        <f t="shared" si="1000"/>
        <v>3457.2952925350332</v>
      </c>
      <c r="CU192" s="660">
        <f t="shared" si="1000"/>
        <v>4260.1902082006463</v>
      </c>
      <c r="CV192" s="660">
        <f t="shared" si="1000"/>
        <v>4303.4226949984068</v>
      </c>
      <c r="CW192" s="660">
        <f t="shared" si="1000"/>
        <v>3232.9000048158282</v>
      </c>
    </row>
    <row r="193" spans="1:101" s="9" customFormat="1" ht="11.25">
      <c r="A193" s="665" t="s">
        <v>950</v>
      </c>
      <c r="B193" s="347"/>
      <c r="C193" s="676"/>
      <c r="D193" s="676"/>
      <c r="E193" s="676"/>
      <c r="F193" s="676">
        <f t="shared" ref="F193:AK193" si="1001">F192/B192-1</f>
        <v>0.15148077062967591</v>
      </c>
      <c r="G193" s="676">
        <f t="shared" si="1001"/>
        <v>0.31774186953167671</v>
      </c>
      <c r="H193" s="676">
        <f t="shared" si="1001"/>
        <v>0.35168563564865862</v>
      </c>
      <c r="I193" s="676">
        <f t="shared" si="1001"/>
        <v>0.30786464144923875</v>
      </c>
      <c r="J193" s="676">
        <f t="shared" si="1001"/>
        <v>0.31822778909826432</v>
      </c>
      <c r="K193" s="676">
        <f t="shared" si="1001"/>
        <v>0.26081947837566921</v>
      </c>
      <c r="L193" s="676">
        <f t="shared" si="1001"/>
        <v>0.31865167813112016</v>
      </c>
      <c r="M193" s="676">
        <f t="shared" si="1001"/>
        <v>0.42332617199127176</v>
      </c>
      <c r="N193" s="676">
        <f t="shared" si="1001"/>
        <v>0.47656004481086844</v>
      </c>
      <c r="O193" s="676">
        <f t="shared" si="1001"/>
        <v>0.57862182595295852</v>
      </c>
      <c r="P193" s="676">
        <f t="shared" si="1001"/>
        <v>0.4314927786361471</v>
      </c>
      <c r="Q193" s="676">
        <f t="shared" si="1001"/>
        <v>0.26614400355501844</v>
      </c>
      <c r="R193" s="676">
        <f t="shared" si="1001"/>
        <v>0.18748566103605868</v>
      </c>
      <c r="S193" s="676">
        <f t="shared" si="1001"/>
        <v>0.14331813412769345</v>
      </c>
      <c r="T193" s="676">
        <f t="shared" si="1001"/>
        <v>0.24347062207240766</v>
      </c>
      <c r="U193" s="676">
        <f t="shared" si="1001"/>
        <v>0.36560626306799193</v>
      </c>
      <c r="V193" s="676">
        <f t="shared" si="1001"/>
        <v>0.22012845744626186</v>
      </c>
      <c r="W193" s="676">
        <f t="shared" si="1001"/>
        <v>0.13653235804576958</v>
      </c>
      <c r="X193" s="676">
        <f t="shared" si="1001"/>
        <v>5.5644555457382117E-2</v>
      </c>
      <c r="Y193" s="676">
        <f t="shared" si="1001"/>
        <v>3.3828383941850282E-2</v>
      </c>
      <c r="Z193" s="676">
        <f t="shared" si="1001"/>
        <v>0.35913628482097404</v>
      </c>
      <c r="AA193" s="676">
        <f t="shared" si="1001"/>
        <v>0.46945103826867318</v>
      </c>
      <c r="AB193" s="676">
        <f t="shared" si="1001"/>
        <v>0.49682657442244538</v>
      </c>
      <c r="AC193" s="676">
        <f t="shared" si="1001"/>
        <v>0.46719861518033956</v>
      </c>
      <c r="AD193" s="676">
        <f t="shared" si="1001"/>
        <v>0.16578372081461601</v>
      </c>
      <c r="AE193" s="2148">
        <f t="shared" si="1001"/>
        <v>0.2019439597530337</v>
      </c>
      <c r="AF193" s="676">
        <f t="shared" si="1001"/>
        <v>0.21884841521139231</v>
      </c>
      <c r="AG193" s="676">
        <f t="shared" si="1001"/>
        <v>0.23796467791037346</v>
      </c>
      <c r="AH193" s="676">
        <f t="shared" si="1001"/>
        <v>0.5552418599771447</v>
      </c>
      <c r="AI193" s="676">
        <f t="shared" si="1001"/>
        <v>0.26973136795307595</v>
      </c>
      <c r="AJ193" s="676">
        <f t="shared" si="1001"/>
        <v>0.16931879276184225</v>
      </c>
      <c r="AK193" s="676">
        <f t="shared" si="1001"/>
        <v>0.16128626417334746</v>
      </c>
      <c r="AL193" s="676">
        <f t="shared" ref="AL193:BQ193" si="1002">AL192/AH192-1</f>
        <v>5.7473705258387575E-2</v>
      </c>
      <c r="AM193" s="676">
        <f t="shared" si="1002"/>
        <v>0.11305789672322963</v>
      </c>
      <c r="AN193" s="676">
        <f t="shared" si="1002"/>
        <v>-6.4610356003588887E-2</v>
      </c>
      <c r="AO193" s="676">
        <f t="shared" si="1002"/>
        <v>-0.12151819524568575</v>
      </c>
      <c r="AP193" s="676">
        <f t="shared" si="1002"/>
        <v>-0.12633602160829216</v>
      </c>
      <c r="AQ193" s="676">
        <f t="shared" si="1002"/>
        <v>-0.10445207200559015</v>
      </c>
      <c r="AR193" s="676">
        <f t="shared" si="1002"/>
        <v>4.3246426814520511E-2</v>
      </c>
      <c r="AS193" s="676">
        <f t="shared" si="1002"/>
        <v>1.8333892065420576E-2</v>
      </c>
      <c r="AT193" s="676">
        <f t="shared" si="1002"/>
        <v>-0.22330895047219212</v>
      </c>
      <c r="AU193" s="676">
        <f t="shared" si="1002"/>
        <v>-0.67977289255188722</v>
      </c>
      <c r="AV193" s="676">
        <f t="shared" si="1002"/>
        <v>-0.50773038959963301</v>
      </c>
      <c r="AW193" s="676">
        <f t="shared" si="1002"/>
        <v>-0.27599238136412241</v>
      </c>
      <c r="AX193" s="676">
        <f t="shared" si="1002"/>
        <v>-5.0658198098911811E-3</v>
      </c>
      <c r="AY193" s="676">
        <f t="shared" si="1002"/>
        <v>1.2132331073916807</v>
      </c>
      <c r="AZ193" s="676">
        <f t="shared" si="1002"/>
        <v>0.91360629294798112</v>
      </c>
      <c r="BA193" s="676">
        <f t="shared" ref="BA193:BK193" si="1003">BA192/AW192-1</f>
        <v>0.7171098049027127</v>
      </c>
      <c r="BB193" s="676">
        <f t="shared" si="1003"/>
        <v>0.54059356657857816</v>
      </c>
      <c r="BC193" s="676">
        <f t="shared" si="1003"/>
        <v>0.82524606970386416</v>
      </c>
      <c r="BD193" s="676">
        <f t="shared" si="1003"/>
        <v>0.5177137202986557</v>
      </c>
      <c r="BE193" s="676">
        <f t="shared" si="1003"/>
        <v>0.25768321081615841</v>
      </c>
      <c r="BF193" s="676">
        <f t="shared" si="1003"/>
        <v>0.15760923344979871</v>
      </c>
      <c r="BG193" s="676">
        <f t="shared" si="1003"/>
        <v>9.450859100278719E-2</v>
      </c>
      <c r="BH193" s="676">
        <f t="shared" si="1003"/>
        <v>6.8520878142633856E-2</v>
      </c>
      <c r="BI193" s="676">
        <f t="shared" si="1003"/>
        <v>-0.11973203203756488</v>
      </c>
      <c r="BJ193" s="676">
        <f t="shared" si="1003"/>
        <v>-0.15824062262452554</v>
      </c>
      <c r="BK193" s="1377">
        <f t="shared" si="1003"/>
        <v>-0.11665413003391345</v>
      </c>
      <c r="BL193" s="380">
        <f t="shared" si="1002"/>
        <v>-0.17542121151994339</v>
      </c>
      <c r="BM193" s="380">
        <f t="shared" si="1002"/>
        <v>-0.25357489841913206</v>
      </c>
      <c r="BN193" s="380">
        <f t="shared" si="1002"/>
        <v>5.8271865808352308E-2</v>
      </c>
      <c r="BO193" s="380">
        <f t="shared" si="1002"/>
        <v>0.13842853816786604</v>
      </c>
      <c r="BP193" s="380">
        <f t="shared" si="1002"/>
        <v>8.6161529791867197E-2</v>
      </c>
      <c r="BQ193" s="380">
        <f t="shared" si="1002"/>
        <v>5.3536992586353138E-2</v>
      </c>
      <c r="BR193" s="380">
        <f t="shared" ref="BR193:CK193" si="1004">BR192/BN192-1</f>
        <v>5.5676429040624198E-2</v>
      </c>
      <c r="BS193" s="380">
        <f t="shared" si="1004"/>
        <v>4.4855122522251545E-2</v>
      </c>
      <c r="BT193" s="380">
        <f t="shared" si="1004"/>
        <v>4.3787078356339215E-2</v>
      </c>
      <c r="BU193" s="380">
        <f t="shared" si="1004"/>
        <v>4.142753416750522E-2</v>
      </c>
      <c r="BV193" s="380">
        <f t="shared" si="1004"/>
        <v>1.9015039233394093E-2</v>
      </c>
      <c r="BW193" s="380">
        <f t="shared" si="1004"/>
        <v>1.8728565042956502E-2</v>
      </c>
      <c r="BX193" s="380">
        <f t="shared" si="1004"/>
        <v>1.8445439311020717E-2</v>
      </c>
      <c r="BY193" s="380">
        <f t="shared" si="1004"/>
        <v>1.8439657847870272E-2</v>
      </c>
      <c r="BZ193" s="380">
        <f t="shared" si="1004"/>
        <v>2.5611146060345868E-2</v>
      </c>
      <c r="CA193" s="380">
        <f t="shared" si="1004"/>
        <v>2.5562383547691692E-2</v>
      </c>
      <c r="CB193" s="380">
        <f t="shared" si="1004"/>
        <v>2.5513958122611369E-2</v>
      </c>
      <c r="CC193" s="380">
        <f t="shared" si="1004"/>
        <v>2.554814343128986E-2</v>
      </c>
      <c r="CD193" s="380">
        <f t="shared" si="1004"/>
        <v>2.5473609738559055E-2</v>
      </c>
      <c r="CE193" s="380">
        <f t="shared" si="1004"/>
        <v>2.5210688257005121E-2</v>
      </c>
      <c r="CF193" s="380">
        <f t="shared" si="1004"/>
        <v>2.4950126562338637E-2</v>
      </c>
      <c r="CG193" s="380">
        <f t="shared" si="1004"/>
        <v>2.4771308482358201E-2</v>
      </c>
      <c r="CH193" s="380">
        <f t="shared" si="1004"/>
        <v>2.4702303947561788E-2</v>
      </c>
      <c r="CI193" s="380">
        <f t="shared" si="1004"/>
        <v>2.4662612061322475E-2</v>
      </c>
      <c r="CJ193" s="380">
        <f t="shared" si="1004"/>
        <v>2.4623141439698681E-2</v>
      </c>
      <c r="CK193" s="380">
        <f t="shared" si="1004"/>
        <v>2.4052270593587055E-2</v>
      </c>
      <c r="CL193" s="380">
        <f t="shared" ref="CL193" si="1005">CL192/CH192-1</f>
        <v>2.3486412581779526E-2</v>
      </c>
      <c r="CM193" s="380">
        <f t="shared" ref="CM193" si="1006">CM192/CI192-1</f>
        <v>2.3450384178920425E-2</v>
      </c>
      <c r="CN193" s="380">
        <f t="shared" ref="CN193" si="1007">CN192/CJ192-1</f>
        <v>2.3414554748361294E-2</v>
      </c>
      <c r="CO193" s="380">
        <f t="shared" ref="CO193" si="1008">CO192/CK192-1</f>
        <v>2.3154383435749937E-2</v>
      </c>
      <c r="CP193" s="380">
        <f t="shared" ref="CP193" si="1009">CP192/CL192-1</f>
        <v>2.2896998016423309E-2</v>
      </c>
      <c r="CQ193" s="380">
        <f t="shared" ref="CQ193" si="1010">CQ192/CM192-1</f>
        <v>2.286334584827121E-2</v>
      </c>
      <c r="CR193" s="380">
        <f t="shared" ref="CR193" si="1011">CR192/CN192-1</f>
        <v>2.2829874966727282E-2</v>
      </c>
      <c r="CS193" s="380">
        <f t="shared" ref="CS193" si="1012">CS192/CO192-1</f>
        <v>2.2882327698234395E-2</v>
      </c>
      <c r="CT193" s="380">
        <f t="shared" ref="CT193" si="1013">CT192/CP192-1</f>
        <v>2.2934255512567558E-2</v>
      </c>
      <c r="CU193" s="380">
        <f t="shared" ref="CU193" si="1014">CU192/CQ192-1</f>
        <v>2.2900808946695328E-2</v>
      </c>
      <c r="CV193" s="380">
        <f t="shared" ref="CV193" si="1015">CV192/CR192-1</f>
        <v>2.2867540954122356E-2</v>
      </c>
      <c r="CW193" s="380">
        <f t="shared" ref="CW193" si="1016">CW192/CS192-1</f>
        <v>2.1848474895998837E-2</v>
      </c>
    </row>
    <row r="194" spans="1:101" s="9" customFormat="1" ht="11.25">
      <c r="A194" s="662"/>
      <c r="B194" s="347"/>
      <c r="C194" s="676"/>
      <c r="D194" s="676"/>
      <c r="E194" s="676"/>
      <c r="F194" s="676"/>
      <c r="G194" s="676"/>
      <c r="H194" s="676"/>
      <c r="I194" s="676"/>
      <c r="J194" s="676"/>
      <c r="K194" s="676"/>
      <c r="L194" s="676"/>
      <c r="M194" s="676"/>
      <c r="N194" s="676"/>
      <c r="O194" s="676"/>
      <c r="P194" s="676"/>
      <c r="Q194" s="676"/>
      <c r="R194" s="676"/>
      <c r="S194" s="676"/>
      <c r="T194" s="676"/>
      <c r="U194" s="676"/>
      <c r="V194" s="676"/>
      <c r="W194" s="676"/>
      <c r="X194" s="676"/>
      <c r="Y194" s="676"/>
      <c r="Z194" s="676"/>
      <c r="AA194" s="676"/>
      <c r="AB194" s="676"/>
      <c r="AC194" s="676"/>
      <c r="AD194" s="676"/>
      <c r="AE194" s="2148"/>
      <c r="AF194" s="676"/>
      <c r="AG194" s="676"/>
      <c r="AH194" s="897"/>
      <c r="AI194" s="676"/>
      <c r="AJ194" s="676"/>
      <c r="AK194" s="676"/>
      <c r="AL194" s="676"/>
      <c r="AM194" s="676"/>
      <c r="AN194" s="676"/>
      <c r="AO194" s="676"/>
      <c r="AP194" s="380"/>
      <c r="AQ194" s="380"/>
      <c r="AR194" s="380"/>
      <c r="AS194" s="380"/>
      <c r="AT194" s="380"/>
      <c r="AU194" s="380"/>
      <c r="AV194" s="380"/>
      <c r="AW194" s="380"/>
      <c r="AX194" s="380"/>
      <c r="AY194" s="380"/>
      <c r="AZ194" s="380"/>
      <c r="BA194" s="380"/>
      <c r="BB194" s="380"/>
      <c r="BC194" s="380"/>
      <c r="BD194" s="380"/>
      <c r="BE194" s="380"/>
      <c r="BF194" s="380"/>
      <c r="BG194" s="380"/>
      <c r="BH194" s="380"/>
      <c r="BI194" s="380"/>
      <c r="BJ194" s="380"/>
      <c r="BK194" s="1365"/>
      <c r="BL194" s="380"/>
      <c r="BM194" s="380"/>
      <c r="BN194" s="380"/>
      <c r="BO194" s="380"/>
      <c r="BP194" s="380"/>
      <c r="BQ194" s="380"/>
      <c r="BR194" s="380"/>
      <c r="BS194" s="380"/>
      <c r="BT194" s="380"/>
      <c r="BU194" s="380"/>
      <c r="BV194" s="380"/>
      <c r="BW194" s="380"/>
      <c r="BX194" s="380"/>
      <c r="BY194" s="380"/>
      <c r="BZ194" s="380"/>
      <c r="CA194" s="380"/>
      <c r="CB194" s="380"/>
      <c r="CC194" s="380"/>
      <c r="CD194" s="380"/>
      <c r="CE194" s="380"/>
      <c r="CF194" s="380"/>
      <c r="CG194" s="380"/>
      <c r="CH194" s="380"/>
      <c r="CI194" s="380"/>
      <c r="CJ194" s="380"/>
      <c r="CK194" s="380"/>
      <c r="CL194" s="380"/>
      <c r="CM194" s="380"/>
      <c r="CN194" s="380"/>
      <c r="CO194" s="380"/>
      <c r="CP194" s="380"/>
      <c r="CQ194" s="380"/>
      <c r="CR194" s="380"/>
      <c r="CS194" s="380"/>
      <c r="CT194" s="380"/>
      <c r="CU194" s="380"/>
      <c r="CV194" s="380"/>
      <c r="CW194" s="380"/>
    </row>
    <row r="195" spans="1:101" s="9" customFormat="1" ht="11.25">
      <c r="A195" s="334" t="s">
        <v>759</v>
      </c>
      <c r="B195" s="367"/>
      <c r="C195" s="367"/>
      <c r="D195" s="367"/>
      <c r="E195" s="367"/>
      <c r="F195" s="367"/>
      <c r="G195" s="670" t="str">
        <f t="shared" ref="G195:AL195" si="1017">IFERROR(C148*(C170)*(1+G196)*(1+G197),"NA")</f>
        <v>NA</v>
      </c>
      <c r="H195" s="670" t="str">
        <f t="shared" si="1017"/>
        <v>NA</v>
      </c>
      <c r="I195" s="670" t="str">
        <f t="shared" si="1017"/>
        <v>NA</v>
      </c>
      <c r="J195" s="670" t="str">
        <f t="shared" si="1017"/>
        <v>NA</v>
      </c>
      <c r="K195" s="670" t="str">
        <f t="shared" si="1017"/>
        <v>NA</v>
      </c>
      <c r="L195" s="670" t="str">
        <f t="shared" si="1017"/>
        <v>NA</v>
      </c>
      <c r="M195" s="670" t="str">
        <f t="shared" si="1017"/>
        <v>NA</v>
      </c>
      <c r="N195" s="670" t="str">
        <f t="shared" si="1017"/>
        <v>NA</v>
      </c>
      <c r="O195" s="671" t="str">
        <f t="shared" si="1017"/>
        <v>NA</v>
      </c>
      <c r="P195" s="671" t="str">
        <f t="shared" si="1017"/>
        <v>NA</v>
      </c>
      <c r="Q195" s="671" t="str">
        <f t="shared" si="1017"/>
        <v>NA</v>
      </c>
      <c r="R195" s="671" t="str">
        <f t="shared" si="1017"/>
        <v>NA</v>
      </c>
      <c r="S195" s="671" t="str">
        <f t="shared" si="1017"/>
        <v>NA</v>
      </c>
      <c r="T195" s="671" t="str">
        <f t="shared" si="1017"/>
        <v>NA</v>
      </c>
      <c r="U195" s="251">
        <f t="shared" si="1017"/>
        <v>956.81524194942915</v>
      </c>
      <c r="V195" s="251">
        <f t="shared" si="1017"/>
        <v>787.31498549938829</v>
      </c>
      <c r="W195" s="251">
        <f t="shared" si="1017"/>
        <v>829.78468463982756</v>
      </c>
      <c r="X195" s="251">
        <f t="shared" si="1017"/>
        <v>994.92600916453694</v>
      </c>
      <c r="Y195" s="251">
        <f t="shared" si="1017"/>
        <v>1222.95883099309</v>
      </c>
      <c r="Z195" s="251">
        <f t="shared" si="1017"/>
        <v>1116.2242314430778</v>
      </c>
      <c r="AA195" s="251">
        <f t="shared" si="1017"/>
        <v>1436.587806526504</v>
      </c>
      <c r="AB195" s="251">
        <f t="shared" si="1017"/>
        <v>1704.2324594996142</v>
      </c>
      <c r="AC195" s="251">
        <f t="shared" si="1017"/>
        <v>1633.6518441348007</v>
      </c>
      <c r="AD195" s="251">
        <f t="shared" si="1017"/>
        <v>1474.7492289520983</v>
      </c>
      <c r="AE195" s="2133">
        <f t="shared" si="1017"/>
        <v>1787.6337074141254</v>
      </c>
      <c r="AF195" s="251">
        <f t="shared" si="1017"/>
        <v>2185.466013622291</v>
      </c>
      <c r="AG195" s="251">
        <f t="shared" si="1017"/>
        <v>2480.8016196086742</v>
      </c>
      <c r="AH195" s="251">
        <f t="shared" si="1017"/>
        <v>2199.2919264240563</v>
      </c>
      <c r="AI195" s="251">
        <f t="shared" si="1017"/>
        <v>2202.6427107676659</v>
      </c>
      <c r="AJ195" s="251">
        <f t="shared" si="1017"/>
        <v>2401.5771190715504</v>
      </c>
      <c r="AK195" s="251">
        <f t="shared" si="1017"/>
        <v>2473.4673422161181</v>
      </c>
      <c r="AL195" s="251">
        <f t="shared" si="1017"/>
        <v>2382.2050479225109</v>
      </c>
      <c r="AM195" s="963">
        <f t="shared" ref="AM195:AZ195" si="1018">IFERROR(AI148*(AI170)*(1+AM196)*(1+AM197),"NA")</f>
        <v>2338.5628256701975</v>
      </c>
      <c r="AN195" s="963">
        <f t="shared" si="1018"/>
        <v>1915.2362899277891</v>
      </c>
      <c r="AO195" s="963">
        <f t="shared" si="1018"/>
        <v>1524.7612452516983</v>
      </c>
      <c r="AP195" s="963">
        <f t="shared" si="1018"/>
        <v>1501.0883529395571</v>
      </c>
      <c r="AQ195" s="963">
        <f t="shared" si="1018"/>
        <v>1994.3649484793734</v>
      </c>
      <c r="AR195" s="963">
        <f t="shared" si="1018"/>
        <v>2207.8668466692889</v>
      </c>
      <c r="AS195" s="963">
        <f t="shared" si="1018"/>
        <v>2001.2594133096532</v>
      </c>
      <c r="AT195" s="963">
        <f t="shared" si="1018"/>
        <v>1951.7056043890243</v>
      </c>
      <c r="AU195" s="963">
        <f t="shared" si="1018"/>
        <v>1255.0551419711257</v>
      </c>
      <c r="AV195" s="963">
        <f t="shared" si="1018"/>
        <v>1544.1967548495625</v>
      </c>
      <c r="AW195" s="963">
        <f t="shared" si="1018"/>
        <v>1983.3982308257505</v>
      </c>
      <c r="AX195" s="963">
        <f t="shared" si="1018"/>
        <v>1763.9398622968436</v>
      </c>
      <c r="AY195" s="963">
        <f t="shared" si="1018"/>
        <v>1887.6701666080635</v>
      </c>
      <c r="AZ195" s="963">
        <f t="shared" si="1018"/>
        <v>2196.9589200838659</v>
      </c>
      <c r="BA195" s="963">
        <f t="shared" ref="BA195:BI195" si="1019">IFERROR(AW148*(AW170)*(1+BA196)*(1+BA197),"NA")</f>
        <v>2793.2539433976553</v>
      </c>
      <c r="BB195" s="963">
        <f t="shared" si="1019"/>
        <v>2398.4587399106867</v>
      </c>
      <c r="BC195" s="963">
        <f t="shared" si="1019"/>
        <v>2623.0114330102874</v>
      </c>
      <c r="BD195" s="963">
        <f t="shared" si="1019"/>
        <v>3129.2219429714446</v>
      </c>
      <c r="BE195" s="963">
        <f t="shared" si="1019"/>
        <v>3020.716627734651</v>
      </c>
      <c r="BF195" s="963">
        <f t="shared" si="1019"/>
        <v>2105.570072304879</v>
      </c>
      <c r="BG195" s="963">
        <f t="shared" si="1019"/>
        <v>2482.2721683574186</v>
      </c>
      <c r="BH195" s="963">
        <f t="shared" si="1019"/>
        <v>2984.2568565534539</v>
      </c>
      <c r="BI195" s="963">
        <f t="shared" si="1019"/>
        <v>2560.7081755438721</v>
      </c>
      <c r="BJ195" s="963">
        <f>IFERROR(BF148*(BF170)*(1+BJ196)*(1+BJ197),"NA")</f>
        <v>1829.9390002030241</v>
      </c>
      <c r="BK195" s="1355">
        <f>IFERROR(BG148*(BG170)*(1+BK196)*(1+BK197),"NA")</f>
        <v>1767.7988272994708</v>
      </c>
      <c r="BL195" s="422">
        <f t="shared" ref="BL195:BQ195" si="1020">IFERROR(BH148*(BH170)*(1+(BL196+BL197)),"NA")</f>
        <v>2504.723708713283</v>
      </c>
      <c r="BM195" s="422">
        <f t="shared" si="1020"/>
        <v>2453.1548487985879</v>
      </c>
      <c r="BN195" s="422">
        <f t="shared" si="1020"/>
        <v>2711.4596685098531</v>
      </c>
      <c r="BO195" s="422">
        <f t="shared" si="1020"/>
        <v>3374.7558563047446</v>
      </c>
      <c r="BP195" s="422">
        <f t="shared" si="1020"/>
        <v>3422.4012526980014</v>
      </c>
      <c r="BQ195" s="422">
        <f t="shared" si="1020"/>
        <v>2595.7481541695834</v>
      </c>
      <c r="BR195" s="422">
        <f t="shared" ref="BR195:CK195" si="1021">IFERROR(BN148*(BN170)*(1+BR196)*(1+BR197),"NA")</f>
        <v>2894.9213663728669</v>
      </c>
      <c r="BS195" s="422">
        <f t="shared" si="1021"/>
        <v>3573.7486726506827</v>
      </c>
      <c r="BT195" s="422">
        <f t="shared" si="1021"/>
        <v>3616.5762903347199</v>
      </c>
      <c r="BU195" s="422">
        <f t="shared" si="1021"/>
        <v>2726.5392507590823</v>
      </c>
      <c r="BV195" s="422">
        <f t="shared" si="1021"/>
        <v>2964.5422409192856</v>
      </c>
      <c r="BW195" s="422">
        <f t="shared" si="1021"/>
        <v>3654.722937786446</v>
      </c>
      <c r="BX195" s="422">
        <f t="shared" si="1021"/>
        <v>3693.535467072265</v>
      </c>
      <c r="BY195" s="422">
        <f t="shared" si="1021"/>
        <v>2778.6885921327525</v>
      </c>
      <c r="BZ195" s="422">
        <f t="shared" si="1021"/>
        <v>3037.7728255138081</v>
      </c>
      <c r="CA195" s="422">
        <f t="shared" si="1021"/>
        <v>3744.8315665956438</v>
      </c>
      <c r="CB195" s="422">
        <f t="shared" si="1021"/>
        <v>3784.4295254801505</v>
      </c>
      <c r="CC195" s="422">
        <f t="shared" si="1021"/>
        <v>2848.6506286849763</v>
      </c>
      <c r="CD195" s="422">
        <f t="shared" si="1021"/>
        <v>3115.6441680464968</v>
      </c>
      <c r="CE195" s="422">
        <f t="shared" si="1021"/>
        <v>3839.8401000241961</v>
      </c>
      <c r="CF195" s="422">
        <f t="shared" si="1021"/>
        <v>3879.4533908489952</v>
      </c>
      <c r="CG195" s="422">
        <f t="shared" si="1021"/>
        <v>2919.6644098303409</v>
      </c>
      <c r="CH195" s="422">
        <f t="shared" si="1021"/>
        <v>3193.0944785193092</v>
      </c>
      <c r="CI195" s="422">
        <f t="shared" si="1021"/>
        <v>3935.1374176077679</v>
      </c>
      <c r="CJ195" s="422">
        <f t="shared" si="1021"/>
        <v>3975.5776769968652</v>
      </c>
      <c r="CK195" s="422">
        <f t="shared" si="1021"/>
        <v>2991.8059563208508</v>
      </c>
      <c r="CL195" s="422">
        <f t="shared" ref="CL195" si="1022">IFERROR(CH148*(CH170)*(1+CL196)*(1+CL197),"NA")</f>
        <v>3271.7741260382481</v>
      </c>
      <c r="CM195" s="422">
        <f t="shared" ref="CM195" si="1023">IFERROR(CI148*(CI170)*(1+CM196)*(1+CM197),"NA")</f>
        <v>4031.9469029312781</v>
      </c>
      <c r="CN195" s="422">
        <f t="shared" ref="CN195" si="1024">IFERROR(CJ148*(CJ170)*(1+CN196)*(1+CN197),"NA")</f>
        <v>4073.2268010408848</v>
      </c>
      <c r="CO195" s="422">
        <f t="shared" ref="CO195" si="1025">IFERROR(CK148*(CK170)*(1+CO196)*(1+CO197),"NA")</f>
        <v>3062.9721108717949</v>
      </c>
      <c r="CP195" s="422">
        <f t="shared" ref="CP195" si="1026">IFERROR(CL148*(CL170)*(1+CP196)*(1+CP197),"NA")</f>
        <v>3347.0881078363423</v>
      </c>
      <c r="CQ195" s="422">
        <f t="shared" ref="CQ195" si="1027">IFERROR(CM148*(CM170)*(1+CQ196)*(1+CQ197),"NA")</f>
        <v>4124.6214344022019</v>
      </c>
      <c r="CR195" s="422">
        <f t="shared" ref="CR195" si="1028">IFERROR(CN148*(CN170)*(1+CR196)*(1+CR197),"NA")</f>
        <v>4166.7113929009574</v>
      </c>
      <c r="CS195" s="422">
        <f t="shared" ref="CS195" si="1029">IFERROR(CO148*(CO170)*(1+CS196)*(1+CS197),"NA")</f>
        <v>3133.4283431018998</v>
      </c>
      <c r="CT195" s="422">
        <f t="shared" ref="CT195" si="1030">IFERROR(CP148*(CP170)*(1+CT196)*(1+CT197),"NA")</f>
        <v>3424.2506541356543</v>
      </c>
      <c r="CU195" s="422">
        <f t="shared" ref="CU195" si="1031">IFERROR(CQ148*(CQ170)*(1+CU196)*(1+CU197),"NA")</f>
        <v>4219.5686090759682</v>
      </c>
      <c r="CV195" s="422">
        <f t="shared" ref="CV195" si="1032">IFERROR(CR148*(CR170)*(1+CV196)*(1+CV197),"NA")</f>
        <v>4262.4864505751166</v>
      </c>
      <c r="CW195" s="422">
        <f t="shared" ref="CW195" si="1033">IFERROR(CS148*(CS170)*(1+CW196)*(1+CW197),"NA")</f>
        <v>3205.2945968050667</v>
      </c>
    </row>
    <row r="196" spans="1:101" s="9" customFormat="1" ht="11.25">
      <c r="A196" s="675" t="s">
        <v>756</v>
      </c>
      <c r="B196" s="663" t="str">
        <f>IS!C109</f>
        <v>ND</v>
      </c>
      <c r="C196" s="663" t="str">
        <f>IS!D109</f>
        <v>ND</v>
      </c>
      <c r="D196" s="663" t="str">
        <f>IS!E109</f>
        <v>ND</v>
      </c>
      <c r="E196" s="663" t="str">
        <f>IS!F109</f>
        <v>ND</v>
      </c>
      <c r="F196" s="899" t="str">
        <f>IS!G109</f>
        <v>ND</v>
      </c>
      <c r="G196" s="899" t="str">
        <f>IS!H109</f>
        <v>ND</v>
      </c>
      <c r="H196" s="899" t="str">
        <f>IS!I109</f>
        <v>ND</v>
      </c>
      <c r="I196" s="899" t="str">
        <f>IS!J109</f>
        <v>ND</v>
      </c>
      <c r="J196" s="899" t="str">
        <f>IS!K109</f>
        <v>ND</v>
      </c>
      <c r="K196" s="899" t="str">
        <f>IS!L109</f>
        <v>ND</v>
      </c>
      <c r="L196" s="899" t="str">
        <f>IS!M109</f>
        <v>ND</v>
      </c>
      <c r="M196" s="899" t="str">
        <f>IS!N109</f>
        <v>ND</v>
      </c>
      <c r="N196" s="899" t="str">
        <f>IS!O109</f>
        <v>ND</v>
      </c>
      <c r="O196" s="899" t="str">
        <f>IS!P109</f>
        <v>ND</v>
      </c>
      <c r="P196" s="899" t="str">
        <f>IS!Q109</f>
        <v>ND</v>
      </c>
      <c r="Q196" s="899" t="str">
        <f>IS!R109</f>
        <v>ND</v>
      </c>
      <c r="R196" s="899" t="str">
        <f>IS!S109</f>
        <v>ND</v>
      </c>
      <c r="S196" s="899" t="str">
        <f>IS!T109</f>
        <v>ND</v>
      </c>
      <c r="T196" s="899" t="str">
        <f>IS!U109</f>
        <v>ND</v>
      </c>
      <c r="U196" s="899">
        <f>IS!V109</f>
        <v>0.26</v>
      </c>
      <c r="V196" s="899">
        <f>IS!W109</f>
        <v>0.26500000000000001</v>
      </c>
      <c r="W196" s="899">
        <f>IS!X109</f>
        <v>0.19800000000000001</v>
      </c>
      <c r="X196" s="899">
        <f>IS!Y109</f>
        <v>0.16400000000000001</v>
      </c>
      <c r="Y196" s="899">
        <f>IS!Z109</f>
        <v>0.16700000000000001</v>
      </c>
      <c r="Z196" s="899">
        <f>IS!AA109</f>
        <v>0.154</v>
      </c>
      <c r="AA196" s="899">
        <f>IS!AB109</f>
        <v>0.27400000000000002</v>
      </c>
      <c r="AB196" s="899">
        <f>IS!AC109</f>
        <v>0.29299999999999998</v>
      </c>
      <c r="AC196" s="899">
        <f>IS!AD109</f>
        <v>0.28399999999999997</v>
      </c>
      <c r="AD196" s="899">
        <f>IS!AE109</f>
        <v>0.26800000000000002</v>
      </c>
      <c r="AE196" s="2153">
        <f>IS!AF109</f>
        <v>0.23</v>
      </c>
      <c r="AF196" s="899">
        <f>IS!AG109</f>
        <v>0.23599999999999999</v>
      </c>
      <c r="AG196" s="899">
        <f>IS!AH109</f>
        <v>0.22</v>
      </c>
      <c r="AH196" s="899">
        <f>IS!AI109</f>
        <v>0.247</v>
      </c>
      <c r="AI196" s="899">
        <f>IS!AJ109</f>
        <v>0.16600000000000001</v>
      </c>
      <c r="AJ196" s="899">
        <f>IS!AK109</f>
        <v>0.216</v>
      </c>
      <c r="AK196" s="899">
        <f>IS!AL109</f>
        <v>0.184</v>
      </c>
      <c r="AL196" s="899">
        <f>IS!AM109</f>
        <v>9.6000000000000002E-2</v>
      </c>
      <c r="AM196" s="973">
        <f>IS!AN109</f>
        <v>0.126</v>
      </c>
      <c r="AN196" s="973">
        <f>IS!AO109</f>
        <v>0.10100000000000001</v>
      </c>
      <c r="AO196" s="973">
        <f>IS!AP109</f>
        <v>0.15</v>
      </c>
      <c r="AP196" s="973">
        <f>IS!AQ109</f>
        <v>0.13100000000000001</v>
      </c>
      <c r="AQ196" s="973">
        <f>IS!AR109</f>
        <v>0.16400000000000001</v>
      </c>
      <c r="AR196" s="973">
        <f>IS!AS109</f>
        <v>0.186</v>
      </c>
      <c r="AS196" s="973">
        <f>IS!AT109</f>
        <v>0.11600000000000001</v>
      </c>
      <c r="AT196" s="973">
        <f>IS!AU109</f>
        <v>6.8000000000000005E-2</v>
      </c>
      <c r="AU196" s="973">
        <f>IS!AV109</f>
        <v>-0.442</v>
      </c>
      <c r="AV196" s="973">
        <f>IS!AW109</f>
        <v>-0.36499999999999999</v>
      </c>
      <c r="AW196" s="973">
        <f>IS!AX109</f>
        <v>-0.14199999999999999</v>
      </c>
      <c r="AX196" s="973">
        <f>IS!AY109</f>
        <v>4.9000000000000002E-2</v>
      </c>
      <c r="AY196" s="973">
        <f>IS!AZ109</f>
        <v>0.98299999999999998</v>
      </c>
      <c r="AZ196" s="973">
        <f>IS!BA109</f>
        <v>1.01</v>
      </c>
      <c r="BA196" s="973">
        <f>IS!BB109</f>
        <v>0.78400000000000003</v>
      </c>
      <c r="BB196" s="973">
        <f>IS!BC109</f>
        <v>0.66400000000000003</v>
      </c>
      <c r="BC196" s="973">
        <f>IS!BD109</f>
        <v>1.002</v>
      </c>
      <c r="BD196" s="973">
        <f>IS!BE109</f>
        <v>0.68200000000000005</v>
      </c>
      <c r="BE196" s="973">
        <f>IS!BF109</f>
        <v>0.53500000000000003</v>
      </c>
      <c r="BF196" s="973">
        <f>IS!BG109</f>
        <v>0.58299999999999996</v>
      </c>
      <c r="BG196" s="973">
        <f>IS!BH109</f>
        <v>0.49</v>
      </c>
      <c r="BH196" s="973">
        <f>IS!BI109</f>
        <v>0.41399999999999998</v>
      </c>
      <c r="BI196" s="973">
        <f>IS!BJ109</f>
        <v>0.28100000000000003</v>
      </c>
      <c r="BJ196" s="973">
        <f>IS!BK109</f>
        <v>0.33400000000000002</v>
      </c>
      <c r="BK196" s="1378">
        <f>IS!BL109</f>
        <v>0.48099999999999998</v>
      </c>
      <c r="BL196" s="900">
        <f>Inputs!BL191</f>
        <v>0.43545757945564589</v>
      </c>
      <c r="BM196" s="900">
        <f>Inputs!BM191</f>
        <v>0.29217100852820443</v>
      </c>
      <c r="BN196" s="900">
        <f>Inputs!BN191+(1-BN201)*BJ144</f>
        <v>0.26332181013382144</v>
      </c>
      <c r="BO196" s="900">
        <f>Inputs!BO191+(1-BO201)*BK144</f>
        <v>0.20808899769855987</v>
      </c>
      <c r="BP196" s="900">
        <f>Inputs!BP191+(1-BP201)*BL144</f>
        <v>0.16071119235496276</v>
      </c>
      <c r="BQ196" s="900">
        <f>Inputs!BQ191+(1-BQ201)*BM144</f>
        <v>0.11981418088619207</v>
      </c>
      <c r="BR196" s="900">
        <f>Inputs!BR191+(1-BR201)*BN144</f>
        <v>0.14184927492445309</v>
      </c>
      <c r="BS196" s="900">
        <f>Inputs!BS191+(1-BS201)*BO144</f>
        <v>0.14247040168735089</v>
      </c>
      <c r="BT196" s="900">
        <f>Inputs!BT191+(1-BT201)*BP144</f>
        <v>0.14255606411333049</v>
      </c>
      <c r="BU196" s="900">
        <f>Inputs!BU191+(1-BU201)*BQ144</f>
        <v>0.14183584273016983</v>
      </c>
      <c r="BV196" s="900">
        <f>Inputs!BV191+(1-BV201)*BR144</f>
        <v>0.11848394127251805</v>
      </c>
      <c r="BW196" s="900">
        <f>Inputs!BW191+(1-BW201)*BS144</f>
        <v>0.11819960150196232</v>
      </c>
      <c r="BX196" s="900">
        <f>Inputs!BX191+(1-BX201)*BT144</f>
        <v>0.11791876561027972</v>
      </c>
      <c r="BY196" s="900">
        <f>Inputs!BY191+(1-BY201)*BU144</f>
        <v>0.11738474996544301</v>
      </c>
      <c r="BZ196" s="900">
        <f>Inputs!BZ191+(1-BZ201)*BV144</f>
        <v>0.1247261932648908</v>
      </c>
      <c r="CA196" s="900">
        <f>Inputs!CA191+(1-CA201)*BW144</f>
        <v>0.12470513832465613</v>
      </c>
      <c r="CB196" s="900">
        <f>Inputs!CB191+(1-CB201)*BX144</f>
        <v>0.12468428559273105</v>
      </c>
      <c r="CC196" s="900">
        <f>Inputs!CC191+(1-CC201)*BY144</f>
        <v>0.12477783136426163</v>
      </c>
      <c r="CD196" s="900">
        <f>Inputs!CD191+(1-CD201)*BZ144</f>
        <v>0.12475164349674676</v>
      </c>
      <c r="CE196" s="900">
        <f>Inputs!CE191+(1-CE201)*CA144</f>
        <v>0.12449478830621315</v>
      </c>
      <c r="CF196" s="900">
        <f>Inputs!CF191+(1-CF201)*CB144</f>
        <v>0.12424034773556702</v>
      </c>
      <c r="CG196" s="900">
        <f>Inputs!CG191+(1-CG201)*CC144</f>
        <v>0.12409869233616397</v>
      </c>
      <c r="CH196" s="900">
        <f>Inputs!CH191+(1-CH201)*CD144</f>
        <v>0.12407700843926957</v>
      </c>
      <c r="CI196" s="900">
        <f>Inputs!CI191+(1-CI201)*CE144</f>
        <v>0.1240641184975529</v>
      </c>
      <c r="CJ196" s="900">
        <f>Inputs!CJ191+(1-CJ201)*CF144</f>
        <v>0.12405131770817091</v>
      </c>
      <c r="CK196" s="900">
        <f>Inputs!CK191+(1-CK201)*CG144</f>
        <v>0.12403017867775874</v>
      </c>
      <c r="CL196" s="900">
        <f>Inputs!CL191+(1-CL201)*CH144</f>
        <v>0.12400928054797811</v>
      </c>
      <c r="CM196" s="900">
        <f>Inputs!CM191+(1-CM201)*CI144</f>
        <v>0.12399685559517837</v>
      </c>
      <c r="CN196" s="900">
        <f>Inputs!CN191+(1-CN201)*CJ144</f>
        <v>0.12398451502236367</v>
      </c>
      <c r="CO196" s="900">
        <f>Inputs!CO191+(1-CO201)*CK144</f>
        <v>0.1237390341100333</v>
      </c>
      <c r="CP196" s="900">
        <f>Inputs!CP191+(1-CP201)*CL144</f>
        <v>0.12349630060578717</v>
      </c>
      <c r="CQ196" s="900">
        <f>Inputs!CQ191+(1-CQ201)*CM144</f>
        <v>0.12348581401224161</v>
      </c>
      <c r="CR196" s="900">
        <f>Inputs!CR191+(1-CR201)*CN144</f>
        <v>0.12347539736818051</v>
      </c>
      <c r="CS196" s="900">
        <f>Inputs!CS191+(1-CS201)*CO144</f>
        <v>0.12357229680164183</v>
      </c>
      <c r="CT196" s="900">
        <f>Inputs!CT191+(1-CT201)*CP144</f>
        <v>0.12366834202522138</v>
      </c>
      <c r="CU196" s="900">
        <f>Inputs!CU191+(1-CU201)*CQ144</f>
        <v>0.12365744981723467</v>
      </c>
      <c r="CV196" s="900">
        <f>Inputs!CV191+(1-CV201)*CR144</f>
        <v>0.12364662915084394</v>
      </c>
      <c r="CW196" s="900">
        <f>Inputs!CW191+(1-CW201)*CS144</f>
        <v>0.12363053075746359</v>
      </c>
    </row>
    <row r="197" spans="1:101" s="9" customFormat="1" ht="11.25">
      <c r="A197" s="675" t="s">
        <v>960</v>
      </c>
      <c r="B197" s="663"/>
      <c r="C197" s="663"/>
      <c r="D197" s="663"/>
      <c r="E197" s="663"/>
      <c r="F197" s="899">
        <f t="shared" ref="F197:AK197" si="1034">-F177</f>
        <v>5.074787074060727E-3</v>
      </c>
      <c r="G197" s="899">
        <f t="shared" si="1034"/>
        <v>-1.6516305251403907E-2</v>
      </c>
      <c r="H197" s="899">
        <f t="shared" si="1034"/>
        <v>-3.6851287962664125E-2</v>
      </c>
      <c r="I197" s="899">
        <f t="shared" si="1034"/>
        <v>-3.9976368308836552E-2</v>
      </c>
      <c r="J197" s="899">
        <f t="shared" si="1034"/>
        <v>-4.0859503827712862E-2</v>
      </c>
      <c r="K197" s="899">
        <f t="shared" si="1034"/>
        <v>-3.0516776007401436E-2</v>
      </c>
      <c r="L197" s="899">
        <f t="shared" si="1034"/>
        <v>1.3371337669193961E-2</v>
      </c>
      <c r="M197" s="899">
        <f t="shared" si="1034"/>
        <v>4.0754257568345276E-2</v>
      </c>
      <c r="N197" s="899">
        <f t="shared" si="1034"/>
        <v>4.4566917411060336E-2</v>
      </c>
      <c r="O197" s="899">
        <f t="shared" si="1034"/>
        <v>5.9124054680555815E-2</v>
      </c>
      <c r="P197" s="899">
        <f t="shared" si="1034"/>
        <v>6.861516415692881E-3</v>
      </c>
      <c r="Q197" s="899">
        <f t="shared" si="1034"/>
        <v>-8.4037177344508995E-2</v>
      </c>
      <c r="R197" s="899">
        <f t="shared" si="1034"/>
        <v>-0.1117787064291389</v>
      </c>
      <c r="S197" s="899">
        <f t="shared" si="1034"/>
        <v>-0.13330101004381856</v>
      </c>
      <c r="T197" s="899">
        <f t="shared" si="1034"/>
        <v>-0.14471039649581896</v>
      </c>
      <c r="U197" s="899">
        <f t="shared" si="1034"/>
        <v>-0.17322969435790969</v>
      </c>
      <c r="V197" s="899">
        <f t="shared" si="1034"/>
        <v>-0.23778762072034931</v>
      </c>
      <c r="W197" s="899">
        <f t="shared" si="1034"/>
        <v>-0.27777888300691123</v>
      </c>
      <c r="X197" s="899">
        <f t="shared" si="1034"/>
        <v>-0.26791300195381629</v>
      </c>
      <c r="Y197" s="899">
        <f t="shared" si="1034"/>
        <v>-0.16450700748174185</v>
      </c>
      <c r="Z197" s="899">
        <f t="shared" si="1034"/>
        <v>-2.9136695164037274E-2</v>
      </c>
      <c r="AA197" s="899">
        <f t="shared" si="1034"/>
        <v>3.4528665204883957E-2</v>
      </c>
      <c r="AB197" s="899">
        <f t="shared" si="1034"/>
        <v>6.9393366014604552E-2</v>
      </c>
      <c r="AC197" s="899">
        <f t="shared" si="1034"/>
        <v>-1.8821863472783917E-2</v>
      </c>
      <c r="AD197" s="899">
        <f t="shared" si="1034"/>
        <v>-0.14108860084790131</v>
      </c>
      <c r="AE197" s="2153">
        <f t="shared" si="1034"/>
        <v>-9.2601442645061427E-2</v>
      </c>
      <c r="AF197" s="899">
        <f t="shared" si="1034"/>
        <v>-4.1568058102419814E-2</v>
      </c>
      <c r="AG197" s="899">
        <f t="shared" si="1034"/>
        <v>6.8800569070032624E-2</v>
      </c>
      <c r="AH197" s="899">
        <f t="shared" si="1034"/>
        <v>0.11724361748816592</v>
      </c>
      <c r="AI197" s="899">
        <f t="shared" si="1034"/>
        <v>-1.8735816235915692E-2</v>
      </c>
      <c r="AJ197" s="899">
        <f t="shared" si="1034"/>
        <v>-0.12168771350749452</v>
      </c>
      <c r="AK197" s="899">
        <f t="shared" si="1034"/>
        <v>-0.11302639691804961</v>
      </c>
      <c r="AL197" s="899">
        <f t="shared" ref="AL197:BQ197" si="1035">-AL177</f>
        <v>-0.11467626948019127</v>
      </c>
      <c r="AM197" s="973">
        <f t="shared" si="1035"/>
        <v>-0.1503515997138678</v>
      </c>
      <c r="AN197" s="973">
        <f t="shared" si="1035"/>
        <v>-0.33841125334955935</v>
      </c>
      <c r="AO197" s="973">
        <f t="shared" si="1035"/>
        <v>-0.51524652354838385</v>
      </c>
      <c r="AP197" s="973">
        <f t="shared" si="1035"/>
        <v>-0.48878028714543431</v>
      </c>
      <c r="AQ197" s="973">
        <f t="shared" si="1035"/>
        <v>-0.37025824508424421</v>
      </c>
      <c r="AR197" s="973">
        <f t="shared" si="1035"/>
        <v>-0.2430822355729052</v>
      </c>
      <c r="AS197" s="973">
        <f t="shared" si="1035"/>
        <v>-0.25368297295338871</v>
      </c>
      <c r="AT197" s="973">
        <f t="shared" si="1035"/>
        <v>-0.19432002707982399</v>
      </c>
      <c r="AU197" s="973">
        <f t="shared" ref="AU197:AW197" si="1036">-AU177</f>
        <v>-7.6896042889333494E-2</v>
      </c>
      <c r="AV197" s="973">
        <f t="shared" si="1036"/>
        <v>-5.2230970324492088E-2</v>
      </c>
      <c r="AW197" s="973">
        <f t="shared" si="1036"/>
        <v>-5.5250670297313675E-2</v>
      </c>
      <c r="AX197" s="973">
        <f t="shared" ref="AX197:BH197" si="1037">AX193-AX196-AX144</f>
        <v>-4.5492164314957464E-2</v>
      </c>
      <c r="AY197" s="973">
        <f t="shared" si="1037"/>
        <v>0.22002100998398244</v>
      </c>
      <c r="AZ197" s="973">
        <f t="shared" si="1037"/>
        <v>-0.13464071900421004</v>
      </c>
      <c r="BA197" s="973">
        <f t="shared" si="1037"/>
        <v>-0.11617477379363073</v>
      </c>
      <c r="BB197" s="973">
        <f t="shared" si="1037"/>
        <v>-0.17765171644028988</v>
      </c>
      <c r="BC197" s="973">
        <f t="shared" si="1037"/>
        <v>-0.24129514335989954</v>
      </c>
      <c r="BD197" s="973">
        <f t="shared" si="1037"/>
        <v>-0.23028781462076109</v>
      </c>
      <c r="BE197" s="973">
        <f t="shared" si="1037"/>
        <v>-0.35307436494141731</v>
      </c>
      <c r="BF197" s="973">
        <f t="shared" si="1037"/>
        <v>-0.50741910361209541</v>
      </c>
      <c r="BG197" s="973">
        <f t="shared" si="1037"/>
        <v>-0.47145926874885635</v>
      </c>
      <c r="BH197" s="973">
        <f t="shared" si="1037"/>
        <v>-0.42467278636420552</v>
      </c>
      <c r="BI197" s="973">
        <f>BI193-BI196-BI144</f>
        <v>-0.47749259541784661</v>
      </c>
      <c r="BJ197" s="973">
        <f>BJ193-BJ196-BJ144</f>
        <v>-0.56115861021928781</v>
      </c>
      <c r="BK197" s="973">
        <f>BK193-BK196-BK144</f>
        <v>-0.65400171998639134</v>
      </c>
      <c r="BL197" s="901">
        <f t="shared" si="1035"/>
        <v>-0.79645157287282364</v>
      </c>
      <c r="BM197" s="901">
        <f t="shared" si="1035"/>
        <v>-0.56373474981592797</v>
      </c>
      <c r="BN197" s="901">
        <f t="shared" si="1035"/>
        <v>-0.23283607566290332</v>
      </c>
      <c r="BO197" s="901">
        <f t="shared" si="1035"/>
        <v>-0.10068080091775089</v>
      </c>
      <c r="BP197" s="901">
        <f t="shared" si="1035"/>
        <v>-0.10183817579088661</v>
      </c>
      <c r="BQ197" s="901">
        <f t="shared" si="1035"/>
        <v>-8.7188526567490765E-2</v>
      </c>
      <c r="BR197" s="901">
        <f t="shared" ref="BR197:CK197" si="1038">-BR177</f>
        <v>-8.9521749714728482E-2</v>
      </c>
      <c r="BS197" s="901">
        <f t="shared" si="1038"/>
        <v>-9.834862456750959E-2</v>
      </c>
      <c r="BT197" s="901">
        <f t="shared" si="1038"/>
        <v>-9.834862456750959E-2</v>
      </c>
      <c r="BU197" s="901">
        <f t="shared" si="1038"/>
        <v>-9.834862456750959E-2</v>
      </c>
      <c r="BV197" s="901">
        <f t="shared" si="1038"/>
        <v>-9.8348624567509146E-2</v>
      </c>
      <c r="BW197" s="901">
        <f t="shared" si="1038"/>
        <v>-9.8348624567509146E-2</v>
      </c>
      <c r="BX197" s="901">
        <f t="shared" si="1038"/>
        <v>-9.8348624567509368E-2</v>
      </c>
      <c r="BY197" s="901">
        <f t="shared" si="1038"/>
        <v>-9.8348624567509146E-2</v>
      </c>
      <c r="BZ197" s="901">
        <f t="shared" si="1038"/>
        <v>-9.8348624567509368E-2</v>
      </c>
      <c r="CA197" s="901">
        <f t="shared" si="1038"/>
        <v>-9.8348624567509368E-2</v>
      </c>
      <c r="CB197" s="901">
        <f t="shared" si="1038"/>
        <v>-9.8348624567509368E-2</v>
      </c>
      <c r="CC197" s="901">
        <f t="shared" si="1038"/>
        <v>-9.8348624567509368E-2</v>
      </c>
      <c r="CD197" s="901">
        <f t="shared" si="1038"/>
        <v>-9.8348624567509368E-2</v>
      </c>
      <c r="CE197" s="901">
        <f t="shared" si="1038"/>
        <v>-9.8348624567509368E-2</v>
      </c>
      <c r="CF197" s="901">
        <f t="shared" si="1038"/>
        <v>-9.8348624567509368E-2</v>
      </c>
      <c r="CG197" s="901">
        <f t="shared" si="1038"/>
        <v>-9.8348624567509146E-2</v>
      </c>
      <c r="CH197" s="901">
        <f t="shared" si="1038"/>
        <v>-9.8348624567509368E-2</v>
      </c>
      <c r="CI197" s="901">
        <f t="shared" si="1038"/>
        <v>-9.8348624567509368E-2</v>
      </c>
      <c r="CJ197" s="901">
        <f t="shared" si="1038"/>
        <v>-9.8348624567509146E-2</v>
      </c>
      <c r="CK197" s="901">
        <f t="shared" si="1038"/>
        <v>-9.8348624567509146E-2</v>
      </c>
      <c r="CL197" s="901">
        <f t="shared" ref="CL197:CW197" si="1039">-CL177</f>
        <v>-9.8348624567509368E-2</v>
      </c>
      <c r="CM197" s="901">
        <f t="shared" si="1039"/>
        <v>-9.8348624567509146E-2</v>
      </c>
      <c r="CN197" s="901">
        <f t="shared" si="1039"/>
        <v>-9.8348624567509146E-2</v>
      </c>
      <c r="CO197" s="901">
        <f t="shared" si="1039"/>
        <v>-9.8348624567509146E-2</v>
      </c>
      <c r="CP197" s="901">
        <f t="shared" si="1039"/>
        <v>-9.8348624567509368E-2</v>
      </c>
      <c r="CQ197" s="901">
        <f t="shared" si="1039"/>
        <v>-9.834862456750959E-2</v>
      </c>
      <c r="CR197" s="901">
        <f t="shared" si="1039"/>
        <v>-9.8348624567509146E-2</v>
      </c>
      <c r="CS197" s="901">
        <f t="shared" si="1039"/>
        <v>-9.834862456750959E-2</v>
      </c>
      <c r="CT197" s="901">
        <f t="shared" si="1039"/>
        <v>-9.8348624567509146E-2</v>
      </c>
      <c r="CU197" s="901">
        <f t="shared" si="1039"/>
        <v>-9.8348624567509368E-2</v>
      </c>
      <c r="CV197" s="901">
        <f t="shared" si="1039"/>
        <v>-9.8348624567509146E-2</v>
      </c>
      <c r="CW197" s="901">
        <f t="shared" si="1039"/>
        <v>-9.8348624567509146E-2</v>
      </c>
    </row>
    <row r="198" spans="1:101" s="9" customFormat="1" ht="11.25">
      <c r="A198" s="666" t="s">
        <v>757</v>
      </c>
      <c r="B198" s="440"/>
      <c r="C198" s="40"/>
      <c r="D198" s="40"/>
      <c r="E198" s="40"/>
      <c r="F198" s="657"/>
      <c r="G198" s="657"/>
      <c r="H198" s="657"/>
      <c r="I198" s="657"/>
      <c r="J198" s="657"/>
      <c r="K198" s="657" t="str">
        <f t="shared" ref="K198" si="1040">IF(ISERROR(K195/G195-1),"NM",K195/G195-1)</f>
        <v>NM</v>
      </c>
      <c r="L198" s="657" t="str">
        <f t="shared" ref="L198" si="1041">IF(ISERROR(L195/H195-1),"NM",L195/H195-1)</f>
        <v>NM</v>
      </c>
      <c r="M198" s="657" t="str">
        <f t="shared" ref="M198" si="1042">IF(ISERROR(M195/I195-1),"NM",M195/I195-1)</f>
        <v>NM</v>
      </c>
      <c r="N198" s="657" t="str">
        <f t="shared" ref="N198" si="1043">IF(ISERROR(N195/J195-1),"NM",N195/J195-1)</f>
        <v>NM</v>
      </c>
      <c r="O198" s="657" t="str">
        <f t="shared" ref="O198" si="1044">IF(ISERROR(O195/K195-1),"NM",O195/K195-1)</f>
        <v>NM</v>
      </c>
      <c r="P198" s="657" t="str">
        <f t="shared" ref="P198" si="1045">IF(ISERROR(P195/L195-1),"NM",P195/L195-1)</f>
        <v>NM</v>
      </c>
      <c r="Q198" s="657" t="str">
        <f t="shared" ref="Q198" si="1046">IF(ISERROR(Q195/M195-1),"NM",Q195/M195-1)</f>
        <v>NM</v>
      </c>
      <c r="R198" s="657" t="str">
        <f t="shared" ref="R198" si="1047">IF(ISERROR(R195/N195-1),"NM",R195/N195-1)</f>
        <v>NM</v>
      </c>
      <c r="S198" s="657" t="str">
        <f t="shared" ref="S198" si="1048">IF(ISERROR(S195/O195-1),"NM",S195/O195-1)</f>
        <v>NM</v>
      </c>
      <c r="T198" s="657" t="str">
        <f t="shared" ref="T198" si="1049">IF(ISERROR(T195/P195-1),"NM",T195/P195-1)</f>
        <v>NM</v>
      </c>
      <c r="U198" s="657">
        <f t="shared" ref="U198" si="1050">U195/Q192-1</f>
        <v>4.1730585109034157E-2</v>
      </c>
      <c r="V198" s="657">
        <f t="shared" ref="V198" si="1051">V195/R192-1</f>
        <v>-3.5801340211241817E-2</v>
      </c>
      <c r="W198" s="657">
        <f t="shared" ref="W198" si="1052">W195/S192-1</f>
        <v>-0.13477910184227959</v>
      </c>
      <c r="X198" s="657">
        <f t="shared" ref="X198" si="1053">X195/T192-1</f>
        <v>-0.14785073427424222</v>
      </c>
      <c r="Y198" s="657">
        <f t="shared" ref="Y198" si="1054">Y195/U192-1</f>
        <v>-2.4979677731192806E-2</v>
      </c>
      <c r="Z198" s="657">
        <f t="shared" ref="Z198" si="1055">Z195/V192-1</f>
        <v>0.12037625378070116</v>
      </c>
      <c r="AA198" s="657">
        <f t="shared" ref="AA198" si="1056">AA195/W192-1</f>
        <v>0.31798951947102227</v>
      </c>
      <c r="AB198" s="657">
        <f t="shared" ref="AB198" si="1057">AB195/X192-1</f>
        <v>0.38272562225688378</v>
      </c>
      <c r="AC198" s="657">
        <f t="shared" ref="AC198" si="1058">AC195/Y192-1</f>
        <v>0.25983272730094553</v>
      </c>
      <c r="AD198" s="657">
        <f t="shared" ref="AD198" si="1059">AD195/Z192-1</f>
        <v>8.9099654124860983E-2</v>
      </c>
      <c r="AE198" s="2138">
        <f t="shared" ref="AE198" si="1060">AE195/AA192-1</f>
        <v>0.11610022554657462</v>
      </c>
      <c r="AF198" s="657">
        <f t="shared" ref="AF198" si="1061">AF195/AB192-1</f>
        <v>0.18462188018540937</v>
      </c>
      <c r="AG198" s="657">
        <f t="shared" ref="AG198" si="1062">AG195/AC192-1</f>
        <v>0.30393669426544001</v>
      </c>
      <c r="AH198" s="657">
        <f t="shared" ref="AH198" si="1063">AH195/AD192-1</f>
        <v>0.39320279100774269</v>
      </c>
      <c r="AI198" s="657">
        <f t="shared" ref="AI198" si="1064">AI195/AE192-1</f>
        <v>0.14415403826892192</v>
      </c>
      <c r="AJ198" s="657">
        <f t="shared" ref="AJ198" si="1065">AJ195/AF192-1</f>
        <v>6.8027740374886569E-2</v>
      </c>
      <c r="AK198" s="657">
        <f t="shared" ref="AK198" si="1066">AK195/AG192-1</f>
        <v>5.0176746049028997E-2</v>
      </c>
      <c r="AL198" s="657">
        <f t="shared" ref="AL198" si="1067">AL195/AH192-1</f>
        <v>-2.9685191350289686E-2</v>
      </c>
      <c r="AM198" s="715">
        <f t="shared" ref="AM198" si="1068">AM195/AI192-1</f>
        <v>-4.3295901277815241E-2</v>
      </c>
      <c r="AN198" s="715">
        <f t="shared" ref="AN198" si="1069">AN195/AJ192-1</f>
        <v>-0.2715907899378649</v>
      </c>
      <c r="AO198" s="715">
        <f t="shared" ref="AO198" si="1070">AO195/AK192-1</f>
        <v>-0.44253350208064146</v>
      </c>
      <c r="AP198" s="715">
        <f t="shared" ref="AP198" si="1071">AP195/AL192-1</f>
        <v>-0.42181050476148629</v>
      </c>
      <c r="AQ198" s="715">
        <f t="shared" ref="AQ198" si="1072">AQ195/AM192-1</f>
        <v>-0.26698059727806023</v>
      </c>
      <c r="AR198" s="715">
        <f t="shared" ref="AR198" si="1073">AR195/AN192-1</f>
        <v>-0.10229553138946557</v>
      </c>
      <c r="AS198" s="715">
        <f t="shared" ref="AS198" si="1074">AS195/AO192-1</f>
        <v>-0.16711019781598169</v>
      </c>
      <c r="AT198" s="715">
        <f t="shared" ref="AT198" si="1075">AT195/AP192-1</f>
        <v>-0.1395337889212519</v>
      </c>
      <c r="AU198" s="715">
        <f t="shared" ref="AU198" si="1076">AU195/AQ192-1</f>
        <v>-0.48490799193224809</v>
      </c>
      <c r="AV198" s="715">
        <f t="shared" ref="AV198" si="1077">AV195/AR192-1</f>
        <v>-0.39816666615605245</v>
      </c>
      <c r="AW198" s="715">
        <f t="shared" ref="AW198" si="1078">AW195/AS192-1</f>
        <v>-0.18940507511509519</v>
      </c>
      <c r="AX198" s="715">
        <f t="shared" ref="AX198" si="1079">AX195/AT192-1</f>
        <v>1.2787196336094819E-3</v>
      </c>
      <c r="AY198" s="715">
        <f t="shared" ref="AY198" si="1080">AY195/AU192-1</f>
        <v>1.4193016627982376</v>
      </c>
      <c r="AZ198" s="715">
        <f t="shared" ref="AZ198" si="1081">AZ195/AV192-1</f>
        <v>0.73937215480153773</v>
      </c>
      <c r="BA198" s="715">
        <f t="shared" ref="BA198" si="1082">BA195/AW192-1</f>
        <v>0.57674420355216283</v>
      </c>
      <c r="BB198" s="715">
        <f t="shared" ref="BB198" si="1083">BB195/AX192-1</f>
        <v>0.3683875438433577</v>
      </c>
      <c r="BC198" s="715">
        <f t="shared" ref="BC198" si="1084">BC195/AY192-1</f>
        <v>0.51892712299348087</v>
      </c>
      <c r="BD198" s="715">
        <f t="shared" ref="BD198" si="1085">BD195/AZ192-1</f>
        <v>0.29465589580787976</v>
      </c>
      <c r="BE198" s="715">
        <f t="shared" ref="BE198:BK198" si="1086">BE195/BA192-1</f>
        <v>-6.96915018507549E-3</v>
      </c>
      <c r="BF198" s="715">
        <f t="shared" si="1086"/>
        <v>-0.22024444101794716</v>
      </c>
      <c r="BG198" s="715">
        <f t="shared" si="1086"/>
        <v>-0.21247431043579601</v>
      </c>
      <c r="BH198" s="715">
        <f t="shared" si="1086"/>
        <v>-0.18648731991898648</v>
      </c>
      <c r="BI198" s="715">
        <f t="shared" si="1086"/>
        <v>-0.33066801473026142</v>
      </c>
      <c r="BJ198" s="715">
        <f t="shared" si="1086"/>
        <v>-0.41458558603252982</v>
      </c>
      <c r="BK198" s="1361">
        <f t="shared" si="1086"/>
        <v>-0.48757654729984556</v>
      </c>
      <c r="BL198" s="461">
        <f t="shared" ref="BL198" si="1087">BL195/BH192-1</f>
        <v>-0.36099399341717775</v>
      </c>
      <c r="BM198" s="461">
        <f t="shared" ref="BM198" si="1088">BM195/BI192-1</f>
        <v>-0.27156374128772343</v>
      </c>
      <c r="BN198" s="461">
        <f t="shared" ref="BN198" si="1089">BN195/BJ192-1</f>
        <v>3.048573447091818E-2</v>
      </c>
      <c r="BO198" s="461">
        <f t="shared" ref="BO198" si="1090">BO195/BK192-1</f>
        <v>0.10740819678080893</v>
      </c>
      <c r="BP198" s="461">
        <f t="shared" ref="BP198" si="1091">BP195/BL192-1</f>
        <v>5.8873016564075842E-2</v>
      </c>
      <c r="BQ198" s="461">
        <f t="shared" ref="BQ198" si="1092">BQ195/BM192-1</f>
        <v>3.2625654318701347E-2</v>
      </c>
      <c r="BR198" s="461">
        <f t="shared" ref="BR198" si="1093">BR195/BN192-1</f>
        <v>3.9628929922722156E-2</v>
      </c>
      <c r="BS198" s="461">
        <f t="shared" ref="BS198" si="1094">BS195/BO192-1</f>
        <v>3.0110009072309873E-2</v>
      </c>
      <c r="BT198" s="461">
        <f t="shared" ref="BT198" si="1095">BT195/BP192-1</f>
        <v>3.018724671651718E-2</v>
      </c>
      <c r="BU198" s="461">
        <f t="shared" ref="BU198" si="1096">BU195/BQ192-1</f>
        <v>2.9537858115774585E-2</v>
      </c>
      <c r="BV198" s="461">
        <f t="shared" ref="BV198" si="1097">BV195/BR192-1</f>
        <v>8.482584047519115E-3</v>
      </c>
      <c r="BW198" s="461">
        <f t="shared" ref="BW198" si="1098">BW195/BS192-1</f>
        <v>8.2262087023075026E-3</v>
      </c>
      <c r="BX198" s="461">
        <f t="shared" ref="BX198" si="1099">BX195/BT192-1</f>
        <v>7.9729926343008461E-3</v>
      </c>
      <c r="BY198" s="461">
        <f t="shared" ref="BY198" si="1100">BY195/BU192-1</f>
        <v>7.491496693631694E-3</v>
      </c>
      <c r="BZ198" s="461">
        <f t="shared" ref="BZ198" si="1101">BZ195/BV192-1</f>
        <v>1.4110919142238165E-2</v>
      </c>
      <c r="CA198" s="461">
        <f t="shared" ref="CA198" si="1102">CA195/BW192-1</f>
        <v>1.4091934926415917E-2</v>
      </c>
      <c r="CB198" s="461">
        <f t="shared" ref="CB198" si="1103">CB195/BX192-1</f>
        <v>1.4073133031993867E-2</v>
      </c>
      <c r="CC198" s="461">
        <f t="shared" ref="CC198" si="1104">CC195/BY192-1</f>
        <v>1.41574787055605E-2</v>
      </c>
      <c r="CD198" s="461">
        <f t="shared" ref="CD198" si="1105">CD195/BZ192-1</f>
        <v>1.4133866378796212E-2</v>
      </c>
      <c r="CE198" s="461">
        <f t="shared" ref="CE198" si="1106">CE195/CA192-1</f>
        <v>1.39022725429645E-2</v>
      </c>
      <c r="CF198" s="461">
        <f t="shared" ref="CF198" si="1107">CF195/CB192-1</f>
        <v>1.3672855852475463E-2</v>
      </c>
      <c r="CG198" s="461">
        <f t="shared" ref="CG198" si="1108">CG195/CC192-1</f>
        <v>1.3545132066766774E-2</v>
      </c>
      <c r="CH198" s="461">
        <f t="shared" ref="CH198" si="1109">CH195/CD192-1</f>
        <v>1.352558075130661E-2</v>
      </c>
      <c r="CI198" s="461">
        <f t="shared" ref="CI198" si="1110">CI195/CE192-1</f>
        <v>1.3513958517628488E-2</v>
      </c>
      <c r="CJ198" s="461">
        <f t="shared" ref="CJ198" si="1111">CJ195/CF192-1</f>
        <v>1.3502416668276007E-2</v>
      </c>
      <c r="CK198" s="461">
        <f t="shared" ref="CK198" si="1112">CK195/CG192-1</f>
        <v>1.34833566324295E-2</v>
      </c>
      <c r="CL198" s="461">
        <f t="shared" ref="CL198" si="1113">CL195/CH192-1</f>
        <v>1.3464513804968936E-2</v>
      </c>
      <c r="CM198" s="461">
        <f t="shared" ref="CM198" si="1114">CM195/CI192-1</f>
        <v>1.3453310829187437E-2</v>
      </c>
      <c r="CN198" s="461">
        <f t="shared" ref="CN198" si="1115">CN195/CJ192-1</f>
        <v>1.3442183934735397E-2</v>
      </c>
      <c r="CO198" s="461">
        <f t="shared" ref="CO198" si="1116">CO195/CK192-1</f>
        <v>1.3220845732490272E-2</v>
      </c>
      <c r="CP198" s="461">
        <f t="shared" ref="CP198" si="1117">CP195/CL192-1</f>
        <v>1.3001984734523075E-2</v>
      </c>
      <c r="CQ198" s="461">
        <f t="shared" ref="CQ198" si="1118">CQ195/CM192-1</f>
        <v>1.2992529483028648E-2</v>
      </c>
      <c r="CR198" s="461">
        <f t="shared" ref="CR198" si="1119">CR195/CN192-1</f>
        <v>1.2983137301584291E-2</v>
      </c>
      <c r="CS198" s="461">
        <f t="shared" ref="CS198" si="1120">CS195/CO192-1</f>
        <v>1.3070506809042648E-2</v>
      </c>
      <c r="CT198" s="461">
        <f t="shared" ref="CT198" si="1121">CT195/CP192-1</f>
        <v>1.3157106116987505E-2</v>
      </c>
      <c r="CU198" s="461">
        <f t="shared" ref="CU198" si="1122">CU195/CQ192-1</f>
        <v>1.3147285142674381E-2</v>
      </c>
      <c r="CV198" s="461">
        <f t="shared" ref="CV198" si="1123">CV195/CR192-1</f>
        <v>1.3137528673940579E-2</v>
      </c>
      <c r="CW198" s="461">
        <f t="shared" ref="CW198" si="1124">CW195/CS192-1</f>
        <v>1.3123013535406791E-2</v>
      </c>
    </row>
    <row r="199" spans="1:101" s="9" customFormat="1" ht="11.25">
      <c r="A199" s="662"/>
      <c r="B199" s="440"/>
      <c r="C199" s="40"/>
      <c r="D199" s="40"/>
      <c r="E199" s="40"/>
      <c r="F199" s="657"/>
      <c r="G199" s="657"/>
      <c r="H199" s="657"/>
      <c r="I199" s="657"/>
      <c r="J199" s="657"/>
      <c r="K199" s="657"/>
      <c r="L199" s="657"/>
      <c r="M199" s="657"/>
      <c r="N199" s="657"/>
      <c r="O199" s="657"/>
      <c r="P199" s="657"/>
      <c r="Q199" s="657"/>
      <c r="R199" s="657"/>
      <c r="S199" s="657"/>
      <c r="T199" s="657"/>
      <c r="U199" s="657"/>
      <c r="V199" s="657"/>
      <c r="W199" s="657"/>
      <c r="X199" s="657"/>
      <c r="Y199" s="657"/>
      <c r="Z199" s="657"/>
      <c r="AA199" s="657"/>
      <c r="AB199" s="657"/>
      <c r="AC199" s="657"/>
      <c r="AD199" s="657"/>
      <c r="AE199" s="2138"/>
      <c r="AF199" s="657"/>
      <c r="AG199" s="657"/>
      <c r="AH199" s="657"/>
      <c r="AI199" s="657"/>
      <c r="AJ199" s="657"/>
      <c r="AK199" s="657"/>
      <c r="AL199" s="657"/>
      <c r="AM199" s="715"/>
      <c r="AN199" s="715"/>
      <c r="AO199" s="715"/>
      <c r="AP199" s="461"/>
      <c r="AQ199" s="461"/>
      <c r="AR199" s="461"/>
      <c r="AS199" s="461"/>
      <c r="AT199" s="461"/>
      <c r="AU199" s="461"/>
      <c r="AV199" s="461"/>
      <c r="AW199" s="461"/>
      <c r="AX199" s="461"/>
      <c r="AY199" s="461"/>
      <c r="AZ199" s="461"/>
      <c r="BA199" s="461"/>
      <c r="BB199" s="461"/>
      <c r="BC199" s="461"/>
      <c r="BD199" s="461"/>
      <c r="BE199" s="461"/>
      <c r="BF199" s="461"/>
      <c r="BG199" s="461"/>
      <c r="BH199" s="461"/>
      <c r="BI199" s="461"/>
      <c r="BJ199" s="461"/>
      <c r="BK199" s="1368"/>
      <c r="BL199" s="461"/>
      <c r="BM199" s="461"/>
      <c r="BN199" s="461"/>
      <c r="BO199" s="461"/>
      <c r="BP199" s="461"/>
      <c r="BQ199" s="461"/>
      <c r="BR199" s="461"/>
      <c r="BS199" s="461"/>
      <c r="BT199" s="461"/>
      <c r="BU199" s="461"/>
      <c r="BV199" s="461"/>
      <c r="BW199" s="461"/>
      <c r="BX199" s="461"/>
      <c r="BY199" s="461"/>
      <c r="BZ199" s="461"/>
      <c r="CA199" s="461"/>
      <c r="CB199" s="461"/>
      <c r="CC199" s="461"/>
      <c r="CD199" s="461"/>
      <c r="CE199" s="461"/>
      <c r="CF199" s="461"/>
      <c r="CG199" s="461"/>
      <c r="CH199" s="461"/>
      <c r="CI199" s="461"/>
      <c r="CJ199" s="461"/>
      <c r="CK199" s="461"/>
      <c r="CL199" s="461"/>
      <c r="CM199" s="461"/>
      <c r="CN199" s="461"/>
      <c r="CO199" s="461"/>
      <c r="CP199" s="461"/>
      <c r="CQ199" s="461"/>
      <c r="CR199" s="461"/>
      <c r="CS199" s="461"/>
      <c r="CT199" s="461"/>
      <c r="CU199" s="461"/>
      <c r="CV199" s="461"/>
      <c r="CW199" s="461"/>
    </row>
    <row r="200" spans="1:101" s="9" customFormat="1" ht="11.25">
      <c r="A200" s="334" t="s">
        <v>758</v>
      </c>
      <c r="B200" s="367"/>
      <c r="C200" s="367"/>
      <c r="D200" s="367"/>
      <c r="E200" s="367"/>
      <c r="F200" s="367"/>
      <c r="G200" s="670" t="str">
        <f t="shared" ref="G200:AT200" si="1125">IF(ISERROR(G192-G195),"NM",G192-G195)</f>
        <v>NM</v>
      </c>
      <c r="H200" s="670" t="str">
        <f t="shared" si="1125"/>
        <v>NM</v>
      </c>
      <c r="I200" s="670" t="str">
        <f t="shared" si="1125"/>
        <v>NM</v>
      </c>
      <c r="J200" s="670" t="str">
        <f t="shared" si="1125"/>
        <v>NM</v>
      </c>
      <c r="K200" s="670" t="str">
        <f t="shared" si="1125"/>
        <v>NM</v>
      </c>
      <c r="L200" s="670" t="str">
        <f t="shared" si="1125"/>
        <v>NM</v>
      </c>
      <c r="M200" s="670" t="str">
        <f t="shared" si="1125"/>
        <v>NM</v>
      </c>
      <c r="N200" s="670" t="str">
        <f t="shared" si="1125"/>
        <v>NM</v>
      </c>
      <c r="O200" s="671" t="str">
        <f t="shared" si="1125"/>
        <v>NM</v>
      </c>
      <c r="P200" s="671" t="str">
        <f t="shared" si="1125"/>
        <v>NM</v>
      </c>
      <c r="Q200" s="671" t="str">
        <f t="shared" si="1125"/>
        <v>NM</v>
      </c>
      <c r="R200" s="671" t="str">
        <f t="shared" si="1125"/>
        <v>NM</v>
      </c>
      <c r="S200" s="671" t="str">
        <f t="shared" si="1125"/>
        <v>NM</v>
      </c>
      <c r="T200" s="671" t="str">
        <f t="shared" si="1125"/>
        <v>NM</v>
      </c>
      <c r="U200" s="671">
        <f t="shared" si="1125"/>
        <v>297.4753641656788</v>
      </c>
      <c r="V200" s="671">
        <f t="shared" si="1125"/>
        <v>208.97909666844384</v>
      </c>
      <c r="W200" s="671">
        <f t="shared" si="1125"/>
        <v>260.19955673948277</v>
      </c>
      <c r="X200" s="671">
        <f t="shared" si="1125"/>
        <v>237.59071871526271</v>
      </c>
      <c r="Y200" s="671">
        <f t="shared" si="1125"/>
        <v>73.762399320335817</v>
      </c>
      <c r="Z200" s="671">
        <f t="shared" si="1125"/>
        <v>237.87520598363176</v>
      </c>
      <c r="AA200" s="671">
        <f t="shared" si="1125"/>
        <v>165.09066866481567</v>
      </c>
      <c r="AB200" s="671">
        <f t="shared" si="1125"/>
        <v>140.6313322110675</v>
      </c>
      <c r="AC200" s="671">
        <f t="shared" si="1125"/>
        <v>268.89574925600391</v>
      </c>
      <c r="AD200" s="671">
        <f t="shared" si="1125"/>
        <v>103.83785156418935</v>
      </c>
      <c r="AE200" s="2141">
        <f t="shared" si="1125"/>
        <v>137.49406130853049</v>
      </c>
      <c r="AF200" s="671">
        <f t="shared" si="1125"/>
        <v>63.14329518515342</v>
      </c>
      <c r="AG200" s="671">
        <f t="shared" si="1125"/>
        <v>-125.51490094747032</v>
      </c>
      <c r="AH200" s="671">
        <f t="shared" si="1125"/>
        <v>255.7927808139857</v>
      </c>
      <c r="AI200" s="671">
        <f t="shared" si="1125"/>
        <v>241.75240449700459</v>
      </c>
      <c r="AJ200" s="671">
        <f t="shared" si="1125"/>
        <v>227.76400329621129</v>
      </c>
      <c r="AK200" s="671">
        <f t="shared" si="1125"/>
        <v>261.69477235505337</v>
      </c>
      <c r="AL200" s="671">
        <f t="shared" si="1125"/>
        <v>213.98247416370532</v>
      </c>
      <c r="AM200" s="967">
        <f t="shared" si="1125"/>
        <v>382.1904600868329</v>
      </c>
      <c r="AN200" s="967">
        <f t="shared" si="1125"/>
        <v>544.22216646891547</v>
      </c>
      <c r="AO200" s="967">
        <f t="shared" si="1125"/>
        <v>878.02890545241098</v>
      </c>
      <c r="AP200" s="967">
        <f t="shared" si="1125"/>
        <v>767.10716625719647</v>
      </c>
      <c r="AQ200" s="967">
        <f t="shared" si="1125"/>
        <v>442.20001916431761</v>
      </c>
      <c r="AR200" s="967">
        <f t="shared" si="1125"/>
        <v>357.95439986532938</v>
      </c>
      <c r="AS200" s="967">
        <f t="shared" si="1125"/>
        <v>445.58323267332071</v>
      </c>
      <c r="AT200" s="967">
        <f t="shared" si="1125"/>
        <v>-190.01844604982671</v>
      </c>
      <c r="AU200" s="967">
        <f t="shared" ref="AU200:BC200" si="1126">IF(ISERROR(AU192-AU195),"NM",AU192-AU195)</f>
        <v>-474.80099027318204</v>
      </c>
      <c r="AV200" s="967">
        <f t="shared" si="1126"/>
        <v>-281.1209294609821</v>
      </c>
      <c r="AW200" s="967">
        <f t="shared" si="1126"/>
        <v>-211.86551353090795</v>
      </c>
      <c r="AX200" s="967">
        <f t="shared" si="1126"/>
        <v>-11.177093663191499</v>
      </c>
      <c r="AY200" s="967">
        <f t="shared" si="1126"/>
        <v>-160.78584589036359</v>
      </c>
      <c r="AZ200" s="967">
        <f t="shared" si="1126"/>
        <v>220.07092785018676</v>
      </c>
      <c r="BA200" s="967">
        <f t="shared" si="1126"/>
        <v>248.66225517526436</v>
      </c>
      <c r="BB200" s="967">
        <f t="shared" si="1126"/>
        <v>301.83630518477457</v>
      </c>
      <c r="BC200" s="967">
        <f t="shared" si="1126"/>
        <v>528.97738621292137</v>
      </c>
      <c r="BD200" s="967">
        <f t="shared" ref="BD200:BG200" si="1127">IF(ISERROR(BD192-BD195),"NM",BD192-BD195)</f>
        <v>539.13741960944026</v>
      </c>
      <c r="BE200" s="967">
        <f t="shared" si="1127"/>
        <v>805.05030392022172</v>
      </c>
      <c r="BF200" s="967">
        <f t="shared" si="1127"/>
        <v>1020.3164049363677</v>
      </c>
      <c r="BG200" s="967">
        <f t="shared" si="1127"/>
        <v>967.60667302711454</v>
      </c>
      <c r="BH200" s="967">
        <f t="shared" ref="BH200" si="1128">IF(ISERROR(BH192-BH195),"NM",BH192-BH195)</f>
        <v>935.46171089422614</v>
      </c>
      <c r="BI200" s="967">
        <f t="shared" ref="BI200" si="1129">IF(ISERROR(BI192-BI195),"NM",BI192-BI195)</f>
        <v>806.99190728184294</v>
      </c>
      <c r="BJ200" s="967">
        <f t="shared" ref="BJ200" si="1130">IF(ISERROR(BJ192-BJ195),"NM",BJ192-BJ195)</f>
        <v>801.3052546259828</v>
      </c>
      <c r="BK200" s="1366">
        <f t="shared" ref="BK200" si="1131">IF(ISERROR(BK192-BK195),"NM",BK192-BK195)</f>
        <v>1279.6373991209443</v>
      </c>
      <c r="BL200" s="422">
        <f t="shared" ref="BL200:BQ200" si="1132">+(BL148-BH148)*BH170*(1+BL196)*BL201*(1+BL197)</f>
        <v>727.39307881550792</v>
      </c>
      <c r="BM200" s="422">
        <f t="shared" si="1132"/>
        <v>60.581027618493735</v>
      </c>
      <c r="BN200" s="422">
        <f t="shared" si="1132"/>
        <v>73.112098445547815</v>
      </c>
      <c r="BO200" s="422">
        <f t="shared" si="1132"/>
        <v>94.532512098846709</v>
      </c>
      <c r="BP200" s="422">
        <f t="shared" si="1132"/>
        <v>88.199661710246062</v>
      </c>
      <c r="BQ200" s="422">
        <f t="shared" si="1132"/>
        <v>52.565581227289535</v>
      </c>
      <c r="BR200" s="422">
        <f t="shared" ref="BR200:CK200" si="1133">+(BR148-BN148)*BN170*(1+BR196)*BR201*(1+BR197)</f>
        <v>44.685412973952438</v>
      </c>
      <c r="BS200" s="422">
        <f t="shared" si="1133"/>
        <v>51.15505058267378</v>
      </c>
      <c r="BT200" s="422">
        <f t="shared" si="1133"/>
        <v>47.74358139055736</v>
      </c>
      <c r="BU200" s="422">
        <f t="shared" si="1133"/>
        <v>31.487592397217746</v>
      </c>
      <c r="BV200" s="422">
        <f t="shared" si="1133"/>
        <v>30.961276667564345</v>
      </c>
      <c r="BW200" s="422">
        <f t="shared" si="1133"/>
        <v>38.07003060194215</v>
      </c>
      <c r="BX200" s="422">
        <f t="shared" si="1133"/>
        <v>38.374394463088471</v>
      </c>
      <c r="BY200" s="422">
        <f t="shared" si="1133"/>
        <v>30.195322346591361</v>
      </c>
      <c r="BZ200" s="422">
        <f t="shared" si="1133"/>
        <v>34.448970186239059</v>
      </c>
      <c r="CA200" s="422">
        <f t="shared" si="1133"/>
        <v>42.357992012907026</v>
      </c>
      <c r="CB200" s="422">
        <f t="shared" si="1133"/>
        <v>42.696127979776072</v>
      </c>
      <c r="CC200" s="422">
        <f t="shared" si="1133"/>
        <v>31.995054923328389</v>
      </c>
      <c r="CD200" s="422">
        <f t="shared" si="1133"/>
        <v>34.838206707508476</v>
      </c>
      <c r="CE200" s="422">
        <f t="shared" si="1133"/>
        <v>42.82711391661968</v>
      </c>
      <c r="CF200" s="422">
        <f t="shared" si="1133"/>
        <v>43.159532034729658</v>
      </c>
      <c r="CG200" s="422">
        <f t="shared" si="1133"/>
        <v>32.338636634999375</v>
      </c>
      <c r="CH200" s="422">
        <f t="shared" si="1133"/>
        <v>35.212069437305672</v>
      </c>
      <c r="CI200" s="422">
        <f t="shared" si="1133"/>
        <v>43.286511593685447</v>
      </c>
      <c r="CJ200" s="422">
        <f t="shared" si="1133"/>
        <v>43.622298700214984</v>
      </c>
      <c r="CK200" s="422">
        <f t="shared" si="1133"/>
        <v>31.199466211167159</v>
      </c>
      <c r="CL200" s="422">
        <f t="shared" ref="CL200" si="1134">+(CL148-CH148)*CH170*(1+CL196)*CL201*(1+CL197)</f>
        <v>32.353761444135948</v>
      </c>
      <c r="CM200" s="422">
        <f t="shared" ref="CM200" si="1135">+(CM148-CI148)*CI170*(1+CM196)*CM201*(1+CM197)</f>
        <v>39.772595836560086</v>
      </c>
      <c r="CN200" s="422">
        <f t="shared" ref="CN200" si="1136">+(CN148-CJ148)*CJ170*(1+CN196)*CN201*(1+CN197)</f>
        <v>40.080952531767629</v>
      </c>
      <c r="CO200" s="422">
        <f t="shared" ref="CO200" si="1137">+(CO148-CK148)*CK170*(1+CO196)*CO201*(1+CO197)</f>
        <v>30.029138341880344</v>
      </c>
      <c r="CP200" s="422">
        <f t="shared" ref="CP200" si="1138">+(CP148-CL148)*CL170*(1+CP196)*CP201*(1+CP197)</f>
        <v>32.694389331734719</v>
      </c>
      <c r="CQ200" s="422">
        <f t="shared" ref="CQ200" si="1139">+(CQ148-CM148)*CM170*(1+CQ196)*CQ201*(1+CQ197)</f>
        <v>40.191195463115257</v>
      </c>
      <c r="CR200" s="422">
        <f t="shared" ref="CR200" si="1140">+(CR148-CN148)*CN170*(1+CR196)*CR201*(1+CR197)</f>
        <v>40.502662385428501</v>
      </c>
      <c r="CS200" s="422">
        <f t="shared" ref="CS200" si="1141">+(CS148-CO148)*CO170*(1+CS196)*CS201*(1+CS197)</f>
        <v>30.347974267330748</v>
      </c>
      <c r="CT200" s="422">
        <f t="shared" ref="CT200" si="1142">+(CT148-CP148)*CP170*(1+CT196)*CT201*(1+CT197)</f>
        <v>33.044638399379046</v>
      </c>
      <c r="CU200" s="422">
        <f t="shared" ref="CU200" si="1143">+(CU148-CQ148)*CQ170*(1+CU196)*CU201*(1+CU197)</f>
        <v>40.621599124678397</v>
      </c>
      <c r="CV200" s="422">
        <f t="shared" ref="CV200" si="1144">+(CV148-CR148)*CR170*(1+CV196)*CV201*(1+CV197)</f>
        <v>40.936244423290432</v>
      </c>
      <c r="CW200" s="422">
        <f t="shared" ref="CW200" si="1145">+(CW148-CS148)*CS170*(1+CW196)*CW201*(1+CW197)</f>
        <v>27.605408010761337</v>
      </c>
    </row>
    <row r="201" spans="1:101" s="9" customFormat="1" ht="11.25">
      <c r="A201" s="666" t="s">
        <v>925</v>
      </c>
      <c r="B201" s="440"/>
      <c r="C201" s="40"/>
      <c r="D201" s="40"/>
      <c r="E201" s="40"/>
      <c r="F201" s="657"/>
      <c r="G201" s="657" t="str">
        <f t="shared" ref="G201:T201" si="1146">IF(ISERROR((G200/(G148-C148))/(G195/C141)),"NM",(G200/(G148-C148))/(G195/C141))</f>
        <v>NM</v>
      </c>
      <c r="H201" s="657" t="str">
        <f t="shared" si="1146"/>
        <v>NM</v>
      </c>
      <c r="I201" s="657" t="str">
        <f t="shared" si="1146"/>
        <v>NM</v>
      </c>
      <c r="J201" s="657" t="str">
        <f t="shared" si="1146"/>
        <v>NM</v>
      </c>
      <c r="K201" s="657" t="str">
        <f t="shared" si="1146"/>
        <v>NM</v>
      </c>
      <c r="L201" s="657" t="str">
        <f t="shared" si="1146"/>
        <v>NM</v>
      </c>
      <c r="M201" s="657" t="str">
        <f t="shared" si="1146"/>
        <v>NM</v>
      </c>
      <c r="N201" s="657" t="str">
        <f t="shared" si="1146"/>
        <v>NM</v>
      </c>
      <c r="O201" s="657" t="str">
        <f t="shared" si="1146"/>
        <v>NM</v>
      </c>
      <c r="P201" s="657" t="str">
        <f t="shared" si="1146"/>
        <v>NM</v>
      </c>
      <c r="Q201" s="657" t="str">
        <f t="shared" si="1146"/>
        <v>NM</v>
      </c>
      <c r="R201" s="657" t="str">
        <f t="shared" si="1146"/>
        <v>NM</v>
      </c>
      <c r="S201" s="657" t="str">
        <f t="shared" si="1146"/>
        <v>NM</v>
      </c>
      <c r="T201" s="657" t="str">
        <f t="shared" si="1146"/>
        <v>NM</v>
      </c>
      <c r="U201" s="657">
        <f t="shared" ref="U201:AZ201" si="1147">(U200/(U148-Q148))/(U195/Q141)</f>
        <v>1.0053830100536054</v>
      </c>
      <c r="V201" s="657">
        <f t="shared" si="1147"/>
        <v>0.87213582363561681</v>
      </c>
      <c r="W201" s="657">
        <f t="shared" si="1147"/>
        <v>1.0851338065423222</v>
      </c>
      <c r="X201" s="657">
        <f t="shared" si="1147"/>
        <v>1.2161233328437391</v>
      </c>
      <c r="Y201" s="657">
        <f t="shared" si="1147"/>
        <v>0.43823594716491909</v>
      </c>
      <c r="Z201" s="657">
        <f t="shared" si="1147"/>
        <v>1.4079429278597952</v>
      </c>
      <c r="AA201" s="657">
        <f t="shared" si="1147"/>
        <v>0.66496591651398351</v>
      </c>
      <c r="AB201" s="657">
        <f t="shared" si="1147"/>
        <v>0.46711573108985344</v>
      </c>
      <c r="AC201" s="657">
        <f t="shared" si="1147"/>
        <v>1.0962543269189098</v>
      </c>
      <c r="AD201" s="657">
        <f t="shared" si="1147"/>
        <v>0.35458532343781235</v>
      </c>
      <c r="AE201" s="2138">
        <f t="shared" si="1147"/>
        <v>0.31543382558498673</v>
      </c>
      <c r="AF201" s="657">
        <f t="shared" si="1147"/>
        <v>0.12541915655091063</v>
      </c>
      <c r="AG201" s="657">
        <f t="shared" si="1147"/>
        <v>-0.23238168439032741</v>
      </c>
      <c r="AH201" s="657">
        <f t="shared" si="1147"/>
        <v>0.78242809766554977</v>
      </c>
      <c r="AI201" s="657">
        <f t="shared" si="1147"/>
        <v>0.94431245781747331</v>
      </c>
      <c r="AJ201" s="657">
        <f t="shared" si="1147"/>
        <v>0.7685257346754133</v>
      </c>
      <c r="AK201" s="657">
        <f t="shared" si="1147"/>
        <v>0.84816958064222259</v>
      </c>
      <c r="AL201" s="657">
        <f t="shared" si="1147"/>
        <v>0.71425665230126278</v>
      </c>
      <c r="AM201" s="715">
        <f t="shared" si="1147"/>
        <v>1.3911778521798983</v>
      </c>
      <c r="AN201" s="715">
        <f t="shared" si="1147"/>
        <v>2.1433334765215943</v>
      </c>
      <c r="AO201" s="715">
        <f t="shared" si="1147"/>
        <v>3.7004120721402964</v>
      </c>
      <c r="AP201" s="715">
        <f t="shared" si="1147"/>
        <v>3.4588275968112709</v>
      </c>
      <c r="AQ201" s="715">
        <f t="shared" si="1147"/>
        <v>1.8280326223938848</v>
      </c>
      <c r="AR201" s="715">
        <f t="shared" si="1147"/>
        <v>2.3431183625221292</v>
      </c>
      <c r="AS201" s="715">
        <f t="shared" si="1147"/>
        <v>10.755775867083498</v>
      </c>
      <c r="AT201" s="715">
        <f t="shared" si="1147"/>
        <v>-9.4514285499272699</v>
      </c>
      <c r="AU201" s="715">
        <f t="shared" si="1147"/>
        <v>120.87031981242757</v>
      </c>
      <c r="AV201" s="715">
        <f t="shared" si="1147"/>
        <v>10.459596660344994</v>
      </c>
      <c r="AW201" s="715">
        <f t="shared" si="1147"/>
        <v>5.6970374780849866</v>
      </c>
      <c r="AX201" s="715">
        <f t="shared" si="1147"/>
        <v>0.3018021435381017</v>
      </c>
      <c r="AY201" s="715">
        <f t="shared" si="1147"/>
        <v>13.415357818170273</v>
      </c>
      <c r="AZ201" s="715">
        <f t="shared" si="1147"/>
        <v>5.4440601525405556</v>
      </c>
      <c r="BA201" s="715">
        <f t="shared" ref="BA201:BK201" si="1148">(BA200/(BA148-AW148))/(BA195/AW141)</f>
        <v>2.8898050531296033</v>
      </c>
      <c r="BB201" s="715">
        <f t="shared" si="1148"/>
        <v>3.2822676922429443</v>
      </c>
      <c r="BC201" s="715">
        <f t="shared" si="1148"/>
        <v>4.142196044877795</v>
      </c>
      <c r="BD201" s="715">
        <f t="shared" si="1148"/>
        <v>3.3738218075161153</v>
      </c>
      <c r="BE201" s="715">
        <f t="shared" si="1148"/>
        <v>4.1638222485901339</v>
      </c>
      <c r="BF201" s="715">
        <f t="shared" si="1148"/>
        <v>6.5612084368750674</v>
      </c>
      <c r="BG201" s="715">
        <f t="shared" si="1148"/>
        <v>5.4494208915755671</v>
      </c>
      <c r="BH201" s="715">
        <f t="shared" si="1148"/>
        <v>4.1223676783355092</v>
      </c>
      <c r="BI201" s="715">
        <f t="shared" si="1148"/>
        <v>4.3817141810243694</v>
      </c>
      <c r="BJ201" s="715">
        <f t="shared" si="1148"/>
        <v>6.6412758533548928</v>
      </c>
      <c r="BK201" s="1361">
        <f t="shared" si="1148"/>
        <v>13.481877117791619</v>
      </c>
      <c r="BL201" s="672">
        <f>BK201</f>
        <v>13.481877117791619</v>
      </c>
      <c r="BM201" s="672">
        <v>0.8</v>
      </c>
      <c r="BN201" s="673">
        <f>Inputs!BN197</f>
        <v>0.8</v>
      </c>
      <c r="BO201" s="673">
        <f>Inputs!BO197</f>
        <v>0.8</v>
      </c>
      <c r="BP201" s="673">
        <f>Inputs!BP197</f>
        <v>0.8</v>
      </c>
      <c r="BQ201" s="673">
        <f>Inputs!BQ197</f>
        <v>0.8</v>
      </c>
      <c r="BR201" s="673">
        <f>Inputs!BR197</f>
        <v>0.8</v>
      </c>
      <c r="BS201" s="673">
        <f>Inputs!BS197</f>
        <v>0.8</v>
      </c>
      <c r="BT201" s="673">
        <f>Inputs!BT197</f>
        <v>0.8</v>
      </c>
      <c r="BU201" s="673">
        <f>Inputs!BU197</f>
        <v>0.8</v>
      </c>
      <c r="BV201" s="673">
        <f>Inputs!BV197</f>
        <v>0.8</v>
      </c>
      <c r="BW201" s="673">
        <f>Inputs!BW197</f>
        <v>0.8</v>
      </c>
      <c r="BX201" s="673">
        <f>Inputs!BX197</f>
        <v>0.8</v>
      </c>
      <c r="BY201" s="673">
        <f>Inputs!BY197</f>
        <v>0.8</v>
      </c>
      <c r="BZ201" s="673">
        <f>Inputs!BZ197</f>
        <v>0.8</v>
      </c>
      <c r="CA201" s="673">
        <f>Inputs!CA197</f>
        <v>0.8</v>
      </c>
      <c r="CB201" s="673">
        <f>Inputs!CB197</f>
        <v>0.8</v>
      </c>
      <c r="CC201" s="673">
        <f>Inputs!CC197</f>
        <v>0.8</v>
      </c>
      <c r="CD201" s="673">
        <f>Inputs!CD197</f>
        <v>0.8</v>
      </c>
      <c r="CE201" s="673">
        <f>Inputs!CE197</f>
        <v>0.8</v>
      </c>
      <c r="CF201" s="673">
        <f>Inputs!CF197</f>
        <v>0.8</v>
      </c>
      <c r="CG201" s="673">
        <f>Inputs!CG197</f>
        <v>0.8</v>
      </c>
      <c r="CH201" s="673">
        <f>Inputs!CH197</f>
        <v>0.8</v>
      </c>
      <c r="CI201" s="673">
        <f>Inputs!CI197</f>
        <v>0.8</v>
      </c>
      <c r="CJ201" s="673">
        <f>Inputs!CJ197</f>
        <v>0.8</v>
      </c>
      <c r="CK201" s="673">
        <f>Inputs!CK197</f>
        <v>0.8</v>
      </c>
      <c r="CL201" s="673">
        <f>Inputs!CL197</f>
        <v>0.8</v>
      </c>
      <c r="CM201" s="673">
        <f>Inputs!CM197</f>
        <v>0.8</v>
      </c>
      <c r="CN201" s="673">
        <f>Inputs!CN197</f>
        <v>0.8</v>
      </c>
      <c r="CO201" s="673">
        <f>Inputs!CO197</f>
        <v>0.8</v>
      </c>
      <c r="CP201" s="673">
        <f>Inputs!CP197</f>
        <v>0.8</v>
      </c>
      <c r="CQ201" s="673">
        <f>Inputs!CQ197</f>
        <v>0.8</v>
      </c>
      <c r="CR201" s="673">
        <f>Inputs!CR197</f>
        <v>0.8</v>
      </c>
      <c r="CS201" s="673">
        <f>Inputs!CS197</f>
        <v>0.8</v>
      </c>
      <c r="CT201" s="673">
        <f>Inputs!CT197</f>
        <v>0.8</v>
      </c>
      <c r="CU201" s="673">
        <f>Inputs!CU197</f>
        <v>0.8</v>
      </c>
      <c r="CV201" s="673">
        <f>Inputs!CV197</f>
        <v>0.8</v>
      </c>
      <c r="CW201" s="673">
        <f>Inputs!CW197</f>
        <v>0.8</v>
      </c>
    </row>
    <row r="202" spans="1:101" s="9" customFormat="1" ht="11.25">
      <c r="A202" s="665"/>
      <c r="B202" s="440"/>
      <c r="C202" s="40"/>
      <c r="D202" s="40"/>
      <c r="E202" s="40"/>
      <c r="F202" s="657"/>
      <c r="G202" s="657"/>
      <c r="H202" s="657"/>
      <c r="I202" s="657"/>
      <c r="J202" s="657"/>
      <c r="K202" s="657"/>
      <c r="L202" s="657"/>
      <c r="M202" s="657"/>
      <c r="N202" s="657"/>
      <c r="O202" s="657"/>
      <c r="P202" s="657"/>
      <c r="Q202" s="657"/>
      <c r="R202" s="657"/>
      <c r="S202" s="657"/>
      <c r="T202" s="657"/>
      <c r="U202" s="657"/>
      <c r="V202" s="657"/>
      <c r="W202" s="657"/>
      <c r="X202" s="657"/>
      <c r="Y202" s="657"/>
      <c r="Z202" s="657"/>
      <c r="AA202" s="657"/>
      <c r="AB202" s="657"/>
      <c r="AC202" s="657"/>
      <c r="AD202" s="657"/>
      <c r="AE202" s="2138"/>
      <c r="AF202" s="657"/>
      <c r="AG202" s="657"/>
      <c r="AH202" s="657"/>
      <c r="AI202" s="657"/>
      <c r="AJ202" s="657"/>
      <c r="AK202" s="657"/>
      <c r="AL202" s="657"/>
      <c r="AM202" s="715"/>
      <c r="AN202" s="715"/>
      <c r="AO202" s="715"/>
      <c r="AP202" s="673"/>
      <c r="AQ202" s="673"/>
      <c r="AR202" s="673"/>
      <c r="AS202" s="673"/>
      <c r="AT202" s="673"/>
      <c r="AU202" s="673"/>
      <c r="AV202" s="673"/>
      <c r="AW202" s="673"/>
      <c r="AX202" s="673"/>
      <c r="AY202" s="673"/>
      <c r="AZ202" s="673"/>
      <c r="BA202" s="673"/>
      <c r="BB202" s="673"/>
      <c r="BC202" s="673"/>
      <c r="BD202" s="673"/>
      <c r="BE202" s="673"/>
      <c r="BF202" s="673"/>
      <c r="BG202" s="673"/>
      <c r="BH202" s="673"/>
      <c r="BI202" s="673"/>
      <c r="BJ202" s="673"/>
      <c r="BK202" s="1370"/>
      <c r="BL202" s="673"/>
      <c r="BM202" s="673"/>
      <c r="BN202" s="673"/>
      <c r="BO202" s="673"/>
      <c r="BP202" s="673"/>
      <c r="BQ202" s="673"/>
      <c r="BR202" s="673"/>
      <c r="BS202" s="673"/>
      <c r="BT202" s="673"/>
      <c r="BU202" s="673"/>
      <c r="BV202" s="673"/>
      <c r="BW202" s="673"/>
      <c r="BX202" s="673"/>
      <c r="BY202" s="673"/>
      <c r="BZ202" s="673"/>
      <c r="CA202" s="673"/>
      <c r="CB202" s="673"/>
      <c r="CC202" s="673"/>
      <c r="CD202" s="673"/>
      <c r="CE202" s="673"/>
      <c r="CF202" s="673"/>
      <c r="CG202" s="673"/>
      <c r="CH202" s="673"/>
      <c r="CI202" s="673"/>
      <c r="CJ202" s="673"/>
      <c r="CK202" s="673"/>
      <c r="CL202" s="673"/>
      <c r="CM202" s="673"/>
      <c r="CN202" s="673"/>
      <c r="CO202" s="673"/>
      <c r="CP202" s="673"/>
      <c r="CQ202" s="673"/>
      <c r="CR202" s="673"/>
      <c r="CS202" s="673"/>
      <c r="CT202" s="673"/>
      <c r="CU202" s="673"/>
      <c r="CV202" s="673"/>
      <c r="CW202" s="673"/>
    </row>
    <row r="203" spans="1:101" s="9" customFormat="1" ht="11.25">
      <c r="A203" s="674" t="s">
        <v>939</v>
      </c>
      <c r="B203" s="870"/>
      <c r="C203" s="898">
        <f t="shared" ref="C203:AH203" si="1149">+C189*C$152*C$205/(C148+C$205*C$87)</f>
        <v>6.9767999999999999</v>
      </c>
      <c r="D203" s="898">
        <f t="shared" si="1149"/>
        <v>8.0027027027027025</v>
      </c>
      <c r="E203" s="898">
        <f t="shared" si="1149"/>
        <v>8.4072434210526321</v>
      </c>
      <c r="F203" s="898">
        <f t="shared" si="1149"/>
        <v>7.5256995708154513</v>
      </c>
      <c r="G203" s="898">
        <f t="shared" si="1149"/>
        <v>8.5555785123966928</v>
      </c>
      <c r="H203" s="898">
        <f t="shared" si="1149"/>
        <v>7.4833392857142851</v>
      </c>
      <c r="I203" s="898">
        <f t="shared" si="1149"/>
        <v>5.3346226415094335</v>
      </c>
      <c r="J203" s="898">
        <f t="shared" si="1149"/>
        <v>4.7039999999999997</v>
      </c>
      <c r="K203" s="898">
        <f t="shared" si="1149"/>
        <v>5.2346643356643359</v>
      </c>
      <c r="L203" s="898">
        <f t="shared" si="1149"/>
        <v>6.5806856187290972</v>
      </c>
      <c r="M203" s="898">
        <f t="shared" si="1149"/>
        <v>7.1799294478527598</v>
      </c>
      <c r="N203" s="898">
        <f t="shared" si="1149"/>
        <v>6.5718933717579251</v>
      </c>
      <c r="O203" s="898">
        <f t="shared" si="1149"/>
        <v>8.1750835654596106</v>
      </c>
      <c r="P203" s="898">
        <f t="shared" si="1149"/>
        <v>9.2562380952380963</v>
      </c>
      <c r="Q203" s="898">
        <f t="shared" si="1149"/>
        <v>8.6137276119402983</v>
      </c>
      <c r="R203" s="898">
        <f t="shared" si="1149"/>
        <v>7.451483253588516</v>
      </c>
      <c r="S203" s="898">
        <f t="shared" si="1149"/>
        <v>8.9562616822429906</v>
      </c>
      <c r="T203" s="898">
        <f t="shared" si="1149"/>
        <v>5.0510162932790221</v>
      </c>
      <c r="U203" s="898">
        <f t="shared" si="1149"/>
        <v>0.60939388489208635</v>
      </c>
      <c r="V203" s="898">
        <f t="shared" si="1149"/>
        <v>0.7059178321678321</v>
      </c>
      <c r="W203" s="898">
        <f t="shared" si="1149"/>
        <v>1.0157586206896552</v>
      </c>
      <c r="X203" s="898">
        <f t="shared" si="1149"/>
        <v>1.4832721202003338</v>
      </c>
      <c r="Y203" s="898">
        <f t="shared" si="1149"/>
        <v>2.2787696865741465</v>
      </c>
      <c r="Z203" s="898">
        <f t="shared" si="1149"/>
        <v>2.9005625732903852</v>
      </c>
      <c r="AA203" s="898">
        <f t="shared" si="1149"/>
        <v>3.3215248086803428</v>
      </c>
      <c r="AB203" s="898">
        <f t="shared" si="1149"/>
        <v>4.1362082893183381</v>
      </c>
      <c r="AC203" s="898">
        <f t="shared" si="1149"/>
        <v>4.4524066091954024</v>
      </c>
      <c r="AD203" s="898">
        <f t="shared" si="1149"/>
        <v>3.4129194837123538</v>
      </c>
      <c r="AE203" s="2154">
        <f t="shared" si="1149"/>
        <v>3.8722312773440852</v>
      </c>
      <c r="AF203" s="898">
        <f t="shared" si="1149"/>
        <v>4.3906911925556189</v>
      </c>
      <c r="AG203" s="898">
        <f t="shared" si="1149"/>
        <v>4.7132813387961869</v>
      </c>
      <c r="AH203" s="898">
        <f t="shared" si="1149"/>
        <v>4.9152927619581241</v>
      </c>
      <c r="AI203" s="898">
        <f t="shared" ref="AI203:BJ203" si="1150">+AI189*AI$152*AI$205/(AI148+AI$205*AI$87)</f>
        <v>4.6048847353294873</v>
      </c>
      <c r="AJ203" s="898">
        <f t="shared" si="1150"/>
        <v>4.6588776322383483</v>
      </c>
      <c r="AK203" s="898">
        <f t="shared" si="1150"/>
        <v>4.8378854288284492</v>
      </c>
      <c r="AL203" s="898">
        <f t="shared" si="1150"/>
        <v>4.5894779137839281</v>
      </c>
      <c r="AM203" s="972">
        <f t="shared" si="1150"/>
        <v>4.4477142429696395</v>
      </c>
      <c r="AN203" s="972">
        <f t="shared" si="1150"/>
        <v>3.5415436032955068</v>
      </c>
      <c r="AO203" s="972">
        <f t="shared" si="1150"/>
        <v>3.2098492958906366</v>
      </c>
      <c r="AP203" s="972">
        <f t="shared" si="1150"/>
        <v>3.1904808032462801</v>
      </c>
      <c r="AQ203" s="972">
        <f t="shared" si="1150"/>
        <v>3.7160323563089492</v>
      </c>
      <c r="AR203" s="972">
        <f t="shared" si="1150"/>
        <v>4.0017534653815749</v>
      </c>
      <c r="AS203" s="972">
        <f t="shared" si="1150"/>
        <v>4.0803540170260657</v>
      </c>
      <c r="AT203" s="972">
        <f t="shared" si="1150"/>
        <v>3.1048416608022511</v>
      </c>
      <c r="AU203" s="972">
        <f t="shared" si="1150"/>
        <v>1.3858483020562866</v>
      </c>
      <c r="AV203" s="972">
        <f t="shared" si="1150"/>
        <v>2.2751746114196667</v>
      </c>
      <c r="AW203" s="972">
        <f t="shared" si="1150"/>
        <v>3.6502827051575486</v>
      </c>
      <c r="AX203" s="972">
        <f t="shared" si="1150"/>
        <v>4.1672313663480196</v>
      </c>
      <c r="AY203" s="972">
        <f t="shared" si="1150"/>
        <v>4.3846792823000644</v>
      </c>
      <c r="AZ203" s="972">
        <f t="shared" si="1150"/>
        <v>6.4121520659472457</v>
      </c>
      <c r="BA203" s="972">
        <f t="shared" si="1150"/>
        <v>8.5218014270803835</v>
      </c>
      <c r="BB203" s="972">
        <f t="shared" si="1150"/>
        <v>8.0349549045386777</v>
      </c>
      <c r="BC203" s="972">
        <f t="shared" si="1150"/>
        <v>9.7511807767911609</v>
      </c>
      <c r="BD203" s="972">
        <f t="shared" si="1150"/>
        <v>11.577637419114911</v>
      </c>
      <c r="BE203" s="972">
        <f t="shared" si="1150"/>
        <v>11.93806834512743</v>
      </c>
      <c r="BF203" s="972">
        <f t="shared" si="1150"/>
        <v>9.6465227587532976</v>
      </c>
      <c r="BG203" s="972">
        <f t="shared" si="1150"/>
        <v>10.591158615467139</v>
      </c>
      <c r="BH203" s="972">
        <f t="shared" si="1150"/>
        <v>12.074432552320289</v>
      </c>
      <c r="BI203" s="972">
        <f t="shared" si="1150"/>
        <v>10.276917174284883</v>
      </c>
      <c r="BJ203" s="972">
        <f t="shared" si="1150"/>
        <v>7.9117451709929814</v>
      </c>
      <c r="BK203" s="1376">
        <f t="shared" ref="BK203" si="1151">+BK189*BK$152*BK$205/(BK148+BK$205*BK$87)</f>
        <v>9.034773579585039</v>
      </c>
      <c r="BL203" s="660">
        <f t="shared" ref="BL203:BQ203" si="1152">+BL174*BL152*(1+BL197)</f>
        <v>3.7571904770856825</v>
      </c>
      <c r="BM203" s="660">
        <f t="shared" si="1152"/>
        <v>5.9984661262662797</v>
      </c>
      <c r="BN203" s="660">
        <f t="shared" si="1152"/>
        <v>7.9628536002253245</v>
      </c>
      <c r="BO203" s="660">
        <f t="shared" si="1152"/>
        <v>10.635448580617325</v>
      </c>
      <c r="BP203" s="660">
        <f t="shared" si="1152"/>
        <v>21.739597619485522</v>
      </c>
      <c r="BQ203" s="660">
        <f t="shared" si="1152"/>
        <v>16.509085318818659</v>
      </c>
      <c r="BR203" s="660">
        <f t="shared" ref="BR203:CK203" si="1153">+BR174*BR152*(1+BR197)</f>
        <v>13.03528741381715</v>
      </c>
      <c r="BS203" s="660">
        <f t="shared" si="1153"/>
        <v>14.621622169957259</v>
      </c>
      <c r="BT203" s="660">
        <f t="shared" si="1153"/>
        <v>29.76259660564488</v>
      </c>
      <c r="BU203" s="660">
        <f t="shared" si="1153"/>
        <v>21.929763561003483</v>
      </c>
      <c r="BV203" s="660">
        <f t="shared" si="1153"/>
        <v>16.722932659702749</v>
      </c>
      <c r="BW203" s="660">
        <f t="shared" si="1153"/>
        <v>18.86751820948361</v>
      </c>
      <c r="BX203" s="660">
        <f t="shared" si="1153"/>
        <v>38.263842664002048</v>
      </c>
      <c r="BY203" s="660">
        <f t="shared" si="1153"/>
        <v>28.095930344837139</v>
      </c>
      <c r="BZ203" s="660">
        <f t="shared" si="1153"/>
        <v>21.081713887261412</v>
      </c>
      <c r="CA203" s="660">
        <f t="shared" si="1153"/>
        <v>23.405862137794369</v>
      </c>
      <c r="CB203" s="660">
        <f t="shared" si="1153"/>
        <v>46.741610544904468</v>
      </c>
      <c r="CC203" s="660">
        <f t="shared" si="1153"/>
        <v>34.035110431717648</v>
      </c>
      <c r="CD203" s="660">
        <f t="shared" si="1153"/>
        <v>25.50520243290687</v>
      </c>
      <c r="CE203" s="660">
        <f t="shared" si="1153"/>
        <v>28.293428398242074</v>
      </c>
      <c r="CF203" s="660">
        <f t="shared" si="1153"/>
        <v>56.456226925438365</v>
      </c>
      <c r="CG203" s="660">
        <f t="shared" si="1153"/>
        <v>41.060351015320393</v>
      </c>
      <c r="CH203" s="660">
        <f t="shared" si="1153"/>
        <v>30.734797715684948</v>
      </c>
      <c r="CI203" s="660">
        <f t="shared" si="1153"/>
        <v>34.06966111395802</v>
      </c>
      <c r="CJ203" s="660">
        <f t="shared" si="1153"/>
        <v>67.933243831931364</v>
      </c>
      <c r="CK203" s="660">
        <f t="shared" si="1153"/>
        <v>49.075487490760935</v>
      </c>
      <c r="CL203" s="660">
        <f>+CL174*CL152*(1+CL197)</f>
        <v>36.494626631126799</v>
      </c>
      <c r="CM203" s="660">
        <f>+CM174*CM152*(1+CM197)</f>
        <v>40.433071918989896</v>
      </c>
      <c r="CN203" s="660">
        <f t="shared" ref="CN203:CO203" si="1154">+CN174*CN152*(1+CN197)</f>
        <v>80.579919369718695</v>
      </c>
      <c r="CO203" s="660">
        <f t="shared" si="1154"/>
        <v>58.500072006944102</v>
      </c>
      <c r="CP203" s="660">
        <f t="shared" ref="CP203:CW203" si="1155">+CP174*CP152*(1+CP197)</f>
        <v>43.71286472973145</v>
      </c>
      <c r="CQ203" s="660">
        <f t="shared" si="1155"/>
        <v>48.40135450163627</v>
      </c>
      <c r="CR203" s="660">
        <f t="shared" si="1155"/>
        <v>96.403682747266856</v>
      </c>
      <c r="CS203" s="660">
        <f t="shared" si="1155"/>
        <v>69.92819391347291</v>
      </c>
      <c r="CT203" s="660">
        <f t="shared" si="1155"/>
        <v>52.209062232597553</v>
      </c>
      <c r="CU203" s="660">
        <f t="shared" si="1155"/>
        <v>57.777772119447107</v>
      </c>
      <c r="CV203" s="660">
        <f t="shared" si="1155"/>
        <v>115.01866406493549</v>
      </c>
      <c r="CW203" s="660">
        <f t="shared" si="1155"/>
        <v>82.95806689822858</v>
      </c>
    </row>
    <row r="204" spans="1:101" s="9" customFormat="1" ht="11.25">
      <c r="A204" s="665" t="s">
        <v>950</v>
      </c>
      <c r="B204" s="347"/>
      <c r="C204" s="347"/>
      <c r="D204" s="347"/>
      <c r="E204" s="347"/>
      <c r="F204" s="347"/>
      <c r="G204" s="347">
        <f t="shared" ref="G204:AL204" si="1156">G203/C203-1</f>
        <v>0.22628977645864756</v>
      </c>
      <c r="H204" s="347">
        <f t="shared" si="1156"/>
        <v>-6.4898501953973176E-2</v>
      </c>
      <c r="I204" s="347">
        <f t="shared" si="1156"/>
        <v>-0.3654730362450348</v>
      </c>
      <c r="J204" s="347">
        <f t="shared" si="1156"/>
        <v>-0.37494183022638317</v>
      </c>
      <c r="K204" s="657">
        <f t="shared" si="1156"/>
        <v>-0.38815775834684751</v>
      </c>
      <c r="L204" s="657">
        <f t="shared" si="1156"/>
        <v>-0.12062177492183956</v>
      </c>
      <c r="M204" s="657">
        <f t="shared" si="1156"/>
        <v>0.34591140373917728</v>
      </c>
      <c r="N204" s="657">
        <f t="shared" si="1156"/>
        <v>0.3970861759689468</v>
      </c>
      <c r="O204" s="657">
        <f t="shared" si="1156"/>
        <v>0.56172068374315409</v>
      </c>
      <c r="P204" s="657">
        <f t="shared" si="1156"/>
        <v>0.40657655319290553</v>
      </c>
      <c r="Q204" s="657">
        <f t="shared" si="1156"/>
        <v>0.19969529986347312</v>
      </c>
      <c r="R204" s="657">
        <f t="shared" si="1156"/>
        <v>0.13384116754093167</v>
      </c>
      <c r="S204" s="657">
        <f t="shared" si="1156"/>
        <v>9.555597940110605E-2</v>
      </c>
      <c r="T204" s="657">
        <f t="shared" si="1156"/>
        <v>-0.45431219018906455</v>
      </c>
      <c r="U204" s="657">
        <f t="shared" si="1156"/>
        <v>-0.9292531744273701</v>
      </c>
      <c r="V204" s="657">
        <f t="shared" si="1156"/>
        <v>-0.90526478982182867</v>
      </c>
      <c r="W204" s="657">
        <f t="shared" si="1156"/>
        <v>-0.88658676390580071</v>
      </c>
      <c r="X204" s="657">
        <f t="shared" si="1156"/>
        <v>-0.70634184606095929</v>
      </c>
      <c r="Y204" s="657">
        <f t="shared" si="1156"/>
        <v>2.7394035993283379</v>
      </c>
      <c r="Z204" s="657">
        <f t="shared" si="1156"/>
        <v>3.1089237884569769</v>
      </c>
      <c r="AA204" s="657">
        <f t="shared" si="1156"/>
        <v>2.269994210263433</v>
      </c>
      <c r="AB204" s="657">
        <f t="shared" si="1156"/>
        <v>1.7885701032118728</v>
      </c>
      <c r="AC204" s="657">
        <f t="shared" si="1156"/>
        <v>0.95386424324831842</v>
      </c>
      <c r="AD204" s="657">
        <f t="shared" si="1156"/>
        <v>0.17664053006129543</v>
      </c>
      <c r="AE204" s="2138">
        <f t="shared" si="1156"/>
        <v>0.16579929411472327</v>
      </c>
      <c r="AF204" s="657">
        <f t="shared" si="1156"/>
        <v>6.1525649927852255E-2</v>
      </c>
      <c r="AG204" s="657">
        <f t="shared" si="1156"/>
        <v>5.8591847622813553E-2</v>
      </c>
      <c r="AH204" s="657">
        <f t="shared" si="1156"/>
        <v>0.44020179363023981</v>
      </c>
      <c r="AI204" s="657">
        <f t="shared" si="1156"/>
        <v>0.18920705027926954</v>
      </c>
      <c r="AJ204" s="657">
        <f t="shared" si="1156"/>
        <v>6.1080688192655774E-2</v>
      </c>
      <c r="AK204" s="657">
        <f t="shared" si="1156"/>
        <v>2.6436802956491201E-2</v>
      </c>
      <c r="AL204" s="657">
        <f t="shared" si="1156"/>
        <v>-6.6285949576765368E-2</v>
      </c>
      <c r="AM204" s="715">
        <f t="shared" ref="AM204:BQ204" si="1157">AM203/AI203-1</f>
        <v>-3.4131254394710098E-2</v>
      </c>
      <c r="AN204" s="715">
        <f t="shared" si="1157"/>
        <v>-0.23982901401211965</v>
      </c>
      <c r="AO204" s="715">
        <f t="shared" si="1157"/>
        <v>-0.3365181248891338</v>
      </c>
      <c r="AP204" s="715">
        <f t="shared" si="1157"/>
        <v>-0.30482707114374241</v>
      </c>
      <c r="AQ204" s="715">
        <f t="shared" si="1157"/>
        <v>-0.16450739563973482</v>
      </c>
      <c r="AR204" s="715">
        <f t="shared" si="1157"/>
        <v>0.12994612339597622</v>
      </c>
      <c r="AS204" s="715">
        <f t="shared" si="1157"/>
        <v>0.27119800367259628</v>
      </c>
      <c r="AT204" s="715">
        <f t="shared" si="1157"/>
        <v>-2.684208046539327E-2</v>
      </c>
      <c r="AU204" s="715">
        <f t="shared" si="1157"/>
        <v>-0.627062369437273</v>
      </c>
      <c r="AV204" s="715">
        <f t="shared" si="1157"/>
        <v>-0.43145557788559963</v>
      </c>
      <c r="AW204" s="715">
        <f t="shared" si="1157"/>
        <v>-0.10540048977955374</v>
      </c>
      <c r="AX204" s="715">
        <f t="shared" si="1157"/>
        <v>0.3421719435674091</v>
      </c>
      <c r="AY204" s="715">
        <f t="shared" si="1157"/>
        <v>2.1638955546535565</v>
      </c>
      <c r="AZ204" s="715">
        <f t="shared" si="1157"/>
        <v>1.8183120687805943</v>
      </c>
      <c r="BA204" s="715">
        <f t="shared" ref="BA204:BK204" si="1158">BA203/AW203-1</f>
        <v>1.3345592972949136</v>
      </c>
      <c r="BB204" s="715">
        <f t="shared" si="1158"/>
        <v>0.92812786192386598</v>
      </c>
      <c r="BC204" s="715">
        <f t="shared" si="1158"/>
        <v>1.223921100946749</v>
      </c>
      <c r="BD204" s="715">
        <f t="shared" si="1158"/>
        <v>0.80557748787646477</v>
      </c>
      <c r="BE204" s="715">
        <f t="shared" si="1158"/>
        <v>0.40088553427106532</v>
      </c>
      <c r="BF204" s="715">
        <f t="shared" si="1158"/>
        <v>0.2005696202855225</v>
      </c>
      <c r="BG204" s="715">
        <f t="shared" si="1158"/>
        <v>8.6141141047781034E-2</v>
      </c>
      <c r="BH204" s="715">
        <f t="shared" si="1158"/>
        <v>4.2909888712282518E-2</v>
      </c>
      <c r="BI204" s="715">
        <f t="shared" si="1158"/>
        <v>-0.13914739996613879</v>
      </c>
      <c r="BJ204" s="715">
        <f t="shared" si="1158"/>
        <v>-0.17983449903605642</v>
      </c>
      <c r="BK204" s="1361">
        <f t="shared" si="1158"/>
        <v>-0.14695134804318599</v>
      </c>
      <c r="BL204" s="461">
        <f t="shared" si="1157"/>
        <v>-0.6888308861882142</v>
      </c>
      <c r="BM204" s="461">
        <f t="shared" si="1157"/>
        <v>-0.41631658360779955</v>
      </c>
      <c r="BN204" s="461">
        <f t="shared" si="1157"/>
        <v>6.4598174142063147E-3</v>
      </c>
      <c r="BO204" s="461">
        <f t="shared" si="1157"/>
        <v>0.17716824743114423</v>
      </c>
      <c r="BP204" s="461">
        <f t="shared" si="1157"/>
        <v>4.7861313532201182</v>
      </c>
      <c r="BQ204" s="461">
        <f t="shared" si="1157"/>
        <v>1.752217812238388</v>
      </c>
      <c r="BR204" s="461">
        <f t="shared" ref="BR204:CK204" si="1159">BR203/BN203-1</f>
        <v>0.63701206480152939</v>
      </c>
      <c r="BS204" s="461">
        <f t="shared" si="1159"/>
        <v>0.37480070155240797</v>
      </c>
      <c r="BT204" s="461">
        <f t="shared" si="1159"/>
        <v>0.36905002229517936</v>
      </c>
      <c r="BU204" s="461">
        <f t="shared" si="1159"/>
        <v>0.32834515889295268</v>
      </c>
      <c r="BV204" s="461">
        <f t="shared" si="1159"/>
        <v>0.28289711832335729</v>
      </c>
      <c r="BW204" s="461">
        <f t="shared" si="1159"/>
        <v>0.29038474597232478</v>
      </c>
      <c r="BX204" s="461">
        <f t="shared" si="1159"/>
        <v>0.28563522769867444</v>
      </c>
      <c r="BY204" s="461">
        <f t="shared" si="1159"/>
        <v>0.28117798747263367</v>
      </c>
      <c r="BZ204" s="461">
        <f t="shared" si="1159"/>
        <v>0.26064694011846479</v>
      </c>
      <c r="CA204" s="461">
        <f t="shared" si="1159"/>
        <v>0.24053740814886804</v>
      </c>
      <c r="CB204" s="461">
        <f t="shared" si="1159"/>
        <v>0.22156080755783991</v>
      </c>
      <c r="CC204" s="461">
        <f t="shared" si="1159"/>
        <v>0.21138933696039297</v>
      </c>
      <c r="CD204" s="461">
        <f t="shared" si="1159"/>
        <v>0.20982585046457469</v>
      </c>
      <c r="CE204" s="461">
        <f t="shared" si="1159"/>
        <v>0.20881804018470906</v>
      </c>
      <c r="CF204" s="461">
        <f t="shared" si="1159"/>
        <v>0.20783657788601673</v>
      </c>
      <c r="CG204" s="461">
        <f t="shared" si="1159"/>
        <v>0.20641157012541544</v>
      </c>
      <c r="CH204" s="461">
        <f t="shared" si="1159"/>
        <v>0.20504033624257145</v>
      </c>
      <c r="CI204" s="461">
        <f t="shared" si="1159"/>
        <v>0.20415457025613892</v>
      </c>
      <c r="CJ204" s="461">
        <f t="shared" si="1159"/>
        <v>0.20329054085833032</v>
      </c>
      <c r="CK204" s="461">
        <f t="shared" si="1159"/>
        <v>0.19520379824444123</v>
      </c>
      <c r="CL204" s="461">
        <f t="shared" ref="CL204" si="1160">CL203/CH203-1</f>
        <v>0.18740415891861972</v>
      </c>
      <c r="CM204" s="461">
        <f t="shared" ref="CM204" si="1161">CM203/CI203-1</f>
        <v>0.18677646319249264</v>
      </c>
      <c r="CN204" s="461">
        <f t="shared" ref="CN204" si="1162">CN203/CJ203-1</f>
        <v>0.18616328066234455</v>
      </c>
      <c r="CO204" s="461">
        <f t="shared" ref="CO204" si="1163">CO203/CK203-1</f>
        <v>0.19204260615765589</v>
      </c>
      <c r="CP204" s="461">
        <f t="shared" ref="CP204" si="1164">CP203/CL203-1</f>
        <v>0.19778906554007891</v>
      </c>
      <c r="CQ204" s="461">
        <f t="shared" ref="CQ204" si="1165">CQ203/CM203-1</f>
        <v>0.19707339077800734</v>
      </c>
      <c r="CR204" s="461">
        <f t="shared" ref="CR204" si="1166">CR203/CN203-1</f>
        <v>0.19637353203277841</v>
      </c>
      <c r="CS204" s="461">
        <f t="shared" ref="CS204" si="1167">CS203/CO203-1</f>
        <v>0.19535227076596184</v>
      </c>
      <c r="CT204" s="461">
        <f t="shared" ref="CT204" si="1168">CT203/CP203-1</f>
        <v>0.19436377724032772</v>
      </c>
      <c r="CU204" s="461">
        <f t="shared" ref="CU204" si="1169">CU203/CQ203-1</f>
        <v>0.19372221530481859</v>
      </c>
      <c r="CV204" s="461">
        <f t="shared" ref="CV204" si="1170">CV203/CR203-1</f>
        <v>0.19309408922136218</v>
      </c>
      <c r="CW204" s="461">
        <f t="shared" ref="CW204" si="1171">CW203/CS203-1</f>
        <v>0.18633218242242111</v>
      </c>
    </row>
    <row r="205" spans="1:101" s="9" customFormat="1" ht="11.25">
      <c r="A205" s="665" t="s">
        <v>948</v>
      </c>
      <c r="B205" s="348"/>
      <c r="C205" s="878">
        <v>4.4999999999999998E-2</v>
      </c>
      <c r="D205" s="878">
        <v>4.4999999999999998E-2</v>
      </c>
      <c r="E205" s="878">
        <v>4.4999999999999998E-2</v>
      </c>
      <c r="F205" s="878">
        <v>4.4999999999999998E-2</v>
      </c>
      <c r="G205" s="878">
        <v>4.4999999999999998E-2</v>
      </c>
      <c r="H205" s="878">
        <v>4.4999999999999998E-2</v>
      </c>
      <c r="I205" s="878">
        <v>4.4999999999999998E-2</v>
      </c>
      <c r="J205" s="878">
        <v>4.4999999999999998E-2</v>
      </c>
      <c r="K205" s="878">
        <v>4.4999999999999998E-2</v>
      </c>
      <c r="L205" s="878">
        <v>4.4999999999999998E-2</v>
      </c>
      <c r="M205" s="878">
        <v>4.4999999999999998E-2</v>
      </c>
      <c r="N205" s="878">
        <v>4.4999999999999998E-2</v>
      </c>
      <c r="O205" s="878">
        <v>4.4999999999999998E-2</v>
      </c>
      <c r="P205" s="878">
        <v>4.4999999999999998E-2</v>
      </c>
      <c r="Q205" s="878">
        <v>4.4999999999999998E-2</v>
      </c>
      <c r="R205" s="878">
        <v>4.4999999999999998E-2</v>
      </c>
      <c r="S205" s="878">
        <v>4.4999999999999998E-2</v>
      </c>
      <c r="T205" s="878">
        <v>4.4999999999999998E-2</v>
      </c>
      <c r="U205" s="878">
        <v>4.4999999999999998E-2</v>
      </c>
      <c r="V205" s="878">
        <v>4.4999999999999998E-2</v>
      </c>
      <c r="W205" s="878">
        <v>4.4999999999999998E-2</v>
      </c>
      <c r="X205" s="878">
        <v>4.4999999999999998E-2</v>
      </c>
      <c r="Y205" s="878">
        <v>4.4999999999999998E-2</v>
      </c>
      <c r="Z205" s="878">
        <v>4.4999999999999998E-2</v>
      </c>
      <c r="AA205" s="878">
        <v>4.4999999999999998E-2</v>
      </c>
      <c r="AB205" s="878">
        <v>4.4999999999999998E-2</v>
      </c>
      <c r="AC205" s="878">
        <v>4.4999999999999998E-2</v>
      </c>
      <c r="AD205" s="878">
        <v>4.4999999999999998E-2</v>
      </c>
      <c r="AE205" s="2155">
        <v>4.4999999999999998E-2</v>
      </c>
      <c r="AF205" s="878">
        <v>4.4999999999999998E-2</v>
      </c>
      <c r="AG205" s="878">
        <v>4.4999999999999998E-2</v>
      </c>
      <c r="AH205" s="878">
        <v>4.4999999999999998E-2</v>
      </c>
      <c r="AI205" s="878">
        <v>4.4999999999999998E-2</v>
      </c>
      <c r="AJ205" s="878">
        <v>4.4999999999999998E-2</v>
      </c>
      <c r="AK205" s="878">
        <v>4.4999999999999998E-2</v>
      </c>
      <c r="AL205" s="878">
        <v>4.4999999999999998E-2</v>
      </c>
      <c r="AM205" s="878">
        <v>4.4999999999999998E-2</v>
      </c>
      <c r="AN205" s="878">
        <v>4.4999999999999998E-2</v>
      </c>
      <c r="AO205" s="878">
        <v>4.4999999999999998E-2</v>
      </c>
      <c r="AP205" s="878">
        <v>4.4999999999999998E-2</v>
      </c>
      <c r="AQ205" s="878">
        <v>4.4999999999999998E-2</v>
      </c>
      <c r="AR205" s="878">
        <v>4.4999999999999998E-2</v>
      </c>
      <c r="AS205" s="878">
        <v>4.4999999999999998E-2</v>
      </c>
      <c r="AT205" s="878">
        <v>4.4999999999999998E-2</v>
      </c>
      <c r="AU205" s="878">
        <v>4.4999999999999998E-2</v>
      </c>
      <c r="AV205" s="878">
        <v>4.4999999999999998E-2</v>
      </c>
      <c r="AW205" s="878">
        <v>4.4999999999999998E-2</v>
      </c>
      <c r="AX205" s="878">
        <v>4.4999999999999998E-2</v>
      </c>
      <c r="AY205" s="878">
        <v>4.4999999999999998E-2</v>
      </c>
      <c r="AZ205" s="878">
        <v>4.4999999999999998E-2</v>
      </c>
      <c r="BA205" s="878">
        <v>4.4999999999999998E-2</v>
      </c>
      <c r="BB205" s="878">
        <v>4.4999999999999998E-2</v>
      </c>
      <c r="BC205" s="878">
        <v>4.4999999999999998E-2</v>
      </c>
      <c r="BD205" s="878">
        <v>4.4999999999999998E-2</v>
      </c>
      <c r="BE205" s="878">
        <v>4.4999999999999998E-2</v>
      </c>
      <c r="BF205" s="878">
        <v>4.4999999999999998E-2</v>
      </c>
      <c r="BG205" s="878">
        <v>4.4999999999999998E-2</v>
      </c>
      <c r="BH205" s="878">
        <v>4.4999999999999998E-2</v>
      </c>
      <c r="BI205" s="878">
        <v>4.4999999999999998E-2</v>
      </c>
      <c r="BJ205" s="878">
        <v>4.4999999999999998E-2</v>
      </c>
      <c r="BK205" s="1362">
        <v>4.4999999999999998E-2</v>
      </c>
      <c r="BL205" s="461"/>
      <c r="BM205" s="461"/>
      <c r="BN205" s="461"/>
      <c r="BO205" s="461"/>
      <c r="BP205" s="461"/>
      <c r="BQ205" s="461"/>
      <c r="BR205" s="461"/>
      <c r="BS205" s="461"/>
      <c r="BT205" s="461"/>
      <c r="BU205" s="461"/>
      <c r="BV205" s="461"/>
      <c r="BW205" s="461"/>
      <c r="BX205" s="461"/>
      <c r="BY205" s="461"/>
      <c r="BZ205" s="461"/>
      <c r="CA205" s="461"/>
      <c r="CB205" s="461"/>
      <c r="CC205" s="461"/>
      <c r="CD205" s="461"/>
      <c r="CE205" s="461"/>
      <c r="CF205" s="461"/>
      <c r="CG205" s="461"/>
      <c r="CH205" s="461"/>
      <c r="CI205" s="461"/>
      <c r="CJ205" s="461"/>
      <c r="CK205" s="461"/>
      <c r="CL205" s="461"/>
      <c r="CM205" s="461"/>
      <c r="CN205" s="461"/>
      <c r="CO205" s="461"/>
      <c r="CP205" s="461"/>
      <c r="CQ205" s="461"/>
      <c r="CR205" s="461"/>
      <c r="CS205" s="461"/>
      <c r="CT205" s="461"/>
      <c r="CU205" s="461"/>
      <c r="CV205" s="461"/>
      <c r="CW205" s="461"/>
    </row>
    <row r="206" spans="1:101" s="9" customFormat="1" ht="11.25">
      <c r="A206" s="930"/>
      <c r="B206" s="812"/>
      <c r="C206" s="812"/>
      <c r="D206" s="812"/>
      <c r="E206" s="812"/>
      <c r="F206" s="812"/>
      <c r="G206" s="812"/>
      <c r="H206" s="812"/>
      <c r="I206" s="812"/>
      <c r="J206" s="812"/>
      <c r="K206" s="812"/>
      <c r="L206" s="812"/>
      <c r="M206" s="812"/>
      <c r="N206" s="812"/>
      <c r="O206" s="812"/>
      <c r="P206" s="812"/>
      <c r="Q206" s="812"/>
      <c r="R206" s="812"/>
      <c r="S206" s="812"/>
      <c r="T206" s="812"/>
      <c r="U206" s="813"/>
      <c r="V206" s="813"/>
      <c r="W206" s="813"/>
      <c r="X206" s="813"/>
      <c r="Y206" s="813"/>
      <c r="Z206" s="813"/>
      <c r="AA206" s="813"/>
      <c r="AB206" s="813"/>
      <c r="AC206" s="37"/>
      <c r="AD206" s="37"/>
      <c r="AE206" s="2163"/>
      <c r="AF206" s="37"/>
      <c r="AG206" s="37"/>
      <c r="AH206" s="37"/>
      <c r="AI206" s="37"/>
      <c r="AJ206" s="37"/>
      <c r="AK206" s="37"/>
      <c r="AL206" s="37"/>
      <c r="AM206" s="59"/>
      <c r="AN206" s="1504"/>
      <c r="AO206" s="966"/>
      <c r="AP206" s="872"/>
      <c r="AQ206" s="872"/>
      <c r="AR206" s="872"/>
      <c r="AS206" s="1714"/>
      <c r="AT206" s="1714"/>
      <c r="AU206" s="1714"/>
      <c r="AV206" s="1714"/>
      <c r="AW206" s="1714"/>
      <c r="AX206" s="1714"/>
      <c r="AY206" s="1714"/>
      <c r="AZ206" s="1714"/>
      <c r="BA206" s="1714"/>
      <c r="BB206" s="1714"/>
      <c r="BC206" s="1714"/>
      <c r="BD206" s="1714"/>
      <c r="BE206" s="1714"/>
      <c r="BF206" s="1714"/>
      <c r="BG206" s="1714"/>
      <c r="BH206" s="1714"/>
      <c r="BI206" s="1714"/>
      <c r="BJ206" s="1714"/>
      <c r="BK206" s="1503"/>
      <c r="BL206" s="673"/>
      <c r="BM206" s="673"/>
      <c r="BN206" s="673"/>
      <c r="BO206" s="673"/>
      <c r="BP206" s="673"/>
      <c r="BQ206" s="673"/>
      <c r="BR206" s="673"/>
      <c r="BS206" s="673"/>
      <c r="BT206" s="673"/>
      <c r="BU206" s="673"/>
      <c r="BV206" s="673"/>
      <c r="BW206" s="673"/>
      <c r="BX206" s="673"/>
      <c r="BY206" s="673"/>
      <c r="BZ206" s="673"/>
      <c r="CA206" s="673"/>
      <c r="CB206" s="673"/>
      <c r="CC206" s="673"/>
      <c r="CD206" s="673"/>
      <c r="CE206" s="673"/>
      <c r="CF206" s="673"/>
      <c r="CG206" s="673"/>
      <c r="CH206" s="673"/>
      <c r="CI206" s="673"/>
      <c r="CJ206" s="673"/>
      <c r="CK206" s="673"/>
      <c r="CL206" s="673"/>
      <c r="CM206" s="673"/>
      <c r="CN206" s="673"/>
      <c r="CO206" s="673"/>
      <c r="CP206" s="673"/>
      <c r="CQ206" s="673"/>
      <c r="CR206" s="673"/>
      <c r="CS206" s="673"/>
      <c r="CT206" s="673"/>
      <c r="CU206" s="673"/>
      <c r="CV206" s="673"/>
      <c r="CW206" s="673"/>
    </row>
    <row r="207" spans="1:101" s="9" customFormat="1" ht="11.25">
      <c r="A207" s="958" t="s">
        <v>1030</v>
      </c>
      <c r="B207" s="812"/>
      <c r="C207" s="337"/>
      <c r="D207" s="337"/>
      <c r="E207" s="337"/>
      <c r="F207" s="337"/>
      <c r="G207" s="337"/>
      <c r="H207" s="337"/>
      <c r="I207" s="337"/>
      <c r="J207" s="337"/>
      <c r="K207" s="337"/>
      <c r="L207" s="337"/>
      <c r="M207" s="337"/>
      <c r="N207" s="337"/>
      <c r="O207" s="337"/>
      <c r="P207" s="337"/>
      <c r="Q207" s="337"/>
      <c r="R207" s="337"/>
      <c r="S207" s="337"/>
      <c r="T207" s="337"/>
      <c r="U207" s="337">
        <f>+Q_Financials!U26</f>
        <v>197</v>
      </c>
      <c r="V207" s="337">
        <f>+Q_Financials!V26</f>
        <v>134</v>
      </c>
      <c r="W207" s="337">
        <f>+Q_Financials!W26</f>
        <v>137</v>
      </c>
      <c r="X207" s="337">
        <f>+Q_Financials!X26</f>
        <v>183</v>
      </c>
      <c r="Y207" s="337">
        <f>+Q_Financials!Y26</f>
        <v>225</v>
      </c>
      <c r="Z207" s="337">
        <f>+Q_Financials!Z26</f>
        <v>168</v>
      </c>
      <c r="AA207" s="337">
        <f>+Q_Financials!AA26</f>
        <v>228</v>
      </c>
      <c r="AB207" s="337">
        <f>+Q_Financials!AB26</f>
        <v>314</v>
      </c>
      <c r="AC207" s="337">
        <f>+Q_Financials!AC26</f>
        <v>311</v>
      </c>
      <c r="AD207" s="337">
        <f>+Q_Financials!AD26</f>
        <v>193</v>
      </c>
      <c r="AE207" s="2157">
        <f>+Q_Financials!AE26</f>
        <v>262</v>
      </c>
      <c r="AF207" s="337">
        <f>+Q_Financials!AF26</f>
        <v>357</v>
      </c>
      <c r="AG207" s="337">
        <f>+Q_Financials!AG26</f>
        <v>415</v>
      </c>
      <c r="AH207" s="337">
        <f>+Q_Financials!AH26</f>
        <v>357</v>
      </c>
      <c r="AI207" s="337">
        <f>+Q_Financials!AI26</f>
        <v>370</v>
      </c>
      <c r="AJ207" s="337">
        <f>+Q_Financials!AJ26</f>
        <v>423</v>
      </c>
      <c r="AK207" s="337">
        <f>+Q_Financials!AK26</f>
        <v>412</v>
      </c>
      <c r="AL207" s="337">
        <f>+Q_Financials!AL26</f>
        <v>334</v>
      </c>
      <c r="AM207" s="337">
        <f>+Q_Financials!AM26</f>
        <v>364</v>
      </c>
      <c r="AN207" s="337">
        <f>+Q_Financials!AN26</f>
        <v>377</v>
      </c>
      <c r="AO207" s="337">
        <f>+Q_Financials!AO26</f>
        <v>333</v>
      </c>
      <c r="AP207" s="337">
        <f>+Q_Financials!AP26</f>
        <v>277</v>
      </c>
      <c r="AQ207" s="337">
        <f>+Q_Financials!AQ26</f>
        <v>314</v>
      </c>
      <c r="AR207" s="337">
        <f>+Q_Financials!AR26</f>
        <v>388</v>
      </c>
      <c r="AS207" s="337">
        <f>+Q_Financials!AS26</f>
        <v>284</v>
      </c>
      <c r="AT207" s="337">
        <f>+Q_Financials!AT26</f>
        <v>84</v>
      </c>
      <c r="AU207" s="337">
        <f>+Q_Financials!AU26</f>
        <v>-138</v>
      </c>
      <c r="AV207" s="337">
        <f>+Q_Financials!AV26</f>
        <v>109</v>
      </c>
      <c r="AW207" s="337">
        <f>+Q_Financials!AW26</f>
        <v>242</v>
      </c>
      <c r="AX207" s="337">
        <f>+Q_Financials!AX26</f>
        <v>209</v>
      </c>
      <c r="AY207" s="337">
        <f>+Q_Financials!AY26</f>
        <v>189</v>
      </c>
      <c r="AZ207" s="337">
        <f>+Q_Financials!AZ26</f>
        <v>393</v>
      </c>
      <c r="BA207" s="337">
        <f>+Q_Financials!BA26</f>
        <v>467</v>
      </c>
      <c r="BB207" s="337">
        <f>+Q_Financials!BB26</f>
        <v>372</v>
      </c>
      <c r="BC207" s="337">
        <f>+Q_Financials!BC26</f>
        <v>457</v>
      </c>
      <c r="BD207" s="337">
        <f>+Q_Financials!BD26</f>
        <v>610</v>
      </c>
      <c r="BE207" s="337">
        <f>+Q_Financials!BE26</f>
        <v>529</v>
      </c>
      <c r="BF207" s="337">
        <f>+Q_Financials!BF26</f>
        <v>504</v>
      </c>
      <c r="BG207" s="337">
        <f>+Q_Financials!BG26</f>
        <v>526</v>
      </c>
      <c r="BH207" s="337">
        <f>+Q_Financials!BH26</f>
        <v>613</v>
      </c>
      <c r="BI207" s="337">
        <f>+Q_Financials!BI26</f>
        <v>568</v>
      </c>
      <c r="BJ207" s="337">
        <f>+Q_Financials!BJ26</f>
        <v>413</v>
      </c>
      <c r="BK207" s="1379">
        <f>+Q_Financials!BK26</f>
        <v>414</v>
      </c>
      <c r="BL207" s="338">
        <f t="shared" ref="BL207:BQ207" si="1172">+BL209*BL189</f>
        <v>422.12082235600633</v>
      </c>
      <c r="BM207" s="338">
        <f t="shared" si="1172"/>
        <v>390.55882309421889</v>
      </c>
      <c r="BN207" s="338">
        <f t="shared" si="1172"/>
        <v>424.43572605930137</v>
      </c>
      <c r="BO207" s="338">
        <f t="shared" si="1172"/>
        <v>455.69716584968927</v>
      </c>
      <c r="BP207" s="338">
        <f t="shared" si="1172"/>
        <v>462.56114926736126</v>
      </c>
      <c r="BQ207" s="338">
        <f t="shared" si="1172"/>
        <v>414.37994862129</v>
      </c>
      <c r="BR207" s="338">
        <f t="shared" ref="BR207:CK207" si="1173">+BR209*BR189</f>
        <v>450.24668548080064</v>
      </c>
      <c r="BS207" s="338">
        <f t="shared" si="1173"/>
        <v>478.41680104571947</v>
      </c>
      <c r="BT207" s="338">
        <f t="shared" si="1173"/>
        <v>485.58835275870581</v>
      </c>
      <c r="BU207" s="338">
        <f t="shared" si="1173"/>
        <v>433.67323064789935</v>
      </c>
      <c r="BV207" s="338">
        <f t="shared" si="1173"/>
        <v>460.83878697147202</v>
      </c>
      <c r="BW207" s="338">
        <f t="shared" si="1173"/>
        <v>489.75481927181897</v>
      </c>
      <c r="BX207" s="338">
        <f t="shared" si="1173"/>
        <v>497.47565753676884</v>
      </c>
      <c r="BY207" s="338">
        <f t="shared" si="1173"/>
        <v>443.98734571498431</v>
      </c>
      <c r="BZ207" s="338">
        <f t="shared" si="1173"/>
        <v>474.78937126418947</v>
      </c>
      <c r="CA207" s="338">
        <f t="shared" si="1173"/>
        <v>504.71461401081672</v>
      </c>
      <c r="CB207" s="338">
        <f t="shared" si="1173"/>
        <v>513.09499041448782</v>
      </c>
      <c r="CC207" s="338">
        <f t="shared" si="1173"/>
        <v>457.60488466428353</v>
      </c>
      <c r="CD207" s="338">
        <f t="shared" si="1173"/>
        <v>489.06849489099892</v>
      </c>
      <c r="CE207" s="338">
        <f t="shared" si="1173"/>
        <v>519.96350086905557</v>
      </c>
      <c r="CF207" s="338">
        <f t="shared" si="1173"/>
        <v>529.0185492885513</v>
      </c>
      <c r="CG207" s="338">
        <f t="shared" si="1173"/>
        <v>471.40748510320407</v>
      </c>
      <c r="CH207" s="338">
        <f t="shared" si="1173"/>
        <v>503.48741746198471</v>
      </c>
      <c r="CI207" s="338">
        <f t="shared" si="1173"/>
        <v>535.46858641799986</v>
      </c>
      <c r="CJ207" s="338">
        <f t="shared" si="1173"/>
        <v>545.42926943123518</v>
      </c>
      <c r="CK207" s="338">
        <f t="shared" si="1173"/>
        <v>485.38878378359908</v>
      </c>
      <c r="CL207" s="338">
        <f t="shared" ref="CL207:CW207" si="1174">+CL209*CL189</f>
        <v>517.76115637010219</v>
      </c>
      <c r="CM207" s="338">
        <f t="shared" si="1174"/>
        <v>550.82418633925442</v>
      </c>
      <c r="CN207" s="338">
        <f t="shared" si="1174"/>
        <v>561.77263010960451</v>
      </c>
      <c r="CO207" s="338">
        <f t="shared" si="1174"/>
        <v>499.5129594134682</v>
      </c>
      <c r="CP207" s="338">
        <f t="shared" si="1174"/>
        <v>532.3173189225912</v>
      </c>
      <c r="CQ207" s="338">
        <f t="shared" si="1174"/>
        <v>566.46800285947631</v>
      </c>
      <c r="CR207" s="338">
        <f t="shared" si="1174"/>
        <v>578.62281720799797</v>
      </c>
      <c r="CS207" s="338">
        <f t="shared" si="1174"/>
        <v>514.15901729394989</v>
      </c>
      <c r="CT207" s="338">
        <f t="shared" si="1174"/>
        <v>547.44555978561937</v>
      </c>
      <c r="CU207" s="338">
        <f t="shared" si="1174"/>
        <v>582.71119598292614</v>
      </c>
      <c r="CV207" s="338">
        <f t="shared" si="1174"/>
        <v>596.2701114169364</v>
      </c>
      <c r="CW207" s="338">
        <f t="shared" si="1174"/>
        <v>528.87936243839204</v>
      </c>
    </row>
    <row r="208" spans="1:101" s="9" customFormat="1" ht="11.25">
      <c r="A208" s="903" t="s">
        <v>873</v>
      </c>
      <c r="B208" s="812"/>
      <c r="C208" s="812"/>
      <c r="D208" s="812"/>
      <c r="E208" s="812"/>
      <c r="F208" s="812"/>
      <c r="G208" s="812"/>
      <c r="H208" s="812"/>
      <c r="I208" s="812"/>
      <c r="J208" s="812"/>
      <c r="K208" s="812"/>
      <c r="L208" s="812"/>
      <c r="M208" s="812"/>
      <c r="N208" s="812"/>
      <c r="O208" s="812"/>
      <c r="P208" s="812"/>
      <c r="Q208" s="812"/>
      <c r="R208" s="812"/>
      <c r="S208" s="812"/>
      <c r="T208" s="812"/>
      <c r="U208" s="813">
        <f t="shared" ref="U208:AZ208" si="1175">+U207/U$305</f>
        <v>0.21600877192982457</v>
      </c>
      <c r="V208" s="813">
        <f t="shared" si="1175"/>
        <v>0.17608409986859397</v>
      </c>
      <c r="W208" s="813">
        <f t="shared" si="1175"/>
        <v>0.12673450508788159</v>
      </c>
      <c r="X208" s="813">
        <f t="shared" si="1175"/>
        <v>0.14865962632006499</v>
      </c>
      <c r="Y208" s="813">
        <f t="shared" si="1175"/>
        <v>0.1174934725848564</v>
      </c>
      <c r="Z208" s="813">
        <f t="shared" si="1175"/>
        <v>0.11856033874382499</v>
      </c>
      <c r="AA208" s="813">
        <f t="shared" si="1175"/>
        <v>0.1433060967944689</v>
      </c>
      <c r="AB208" s="813">
        <f t="shared" si="1175"/>
        <v>0.18351841028638224</v>
      </c>
      <c r="AC208" s="813">
        <f t="shared" si="1175"/>
        <v>0.15104419621175327</v>
      </c>
      <c r="AD208" s="813">
        <f t="shared" si="1175"/>
        <v>0.11299765807962529</v>
      </c>
      <c r="AE208" s="2144">
        <f t="shared" si="1175"/>
        <v>0.13936170212765958</v>
      </c>
      <c r="AF208" s="813">
        <f t="shared" si="1175"/>
        <v>0.17586206896551723</v>
      </c>
      <c r="AG208" s="813">
        <f t="shared" si="1175"/>
        <v>0.17857142857142858</v>
      </c>
      <c r="AH208" s="813">
        <f t="shared" si="1175"/>
        <v>0.1772591857000993</v>
      </c>
      <c r="AI208" s="813">
        <f t="shared" si="1175"/>
        <v>0.1703499079189687</v>
      </c>
      <c r="AJ208" s="813">
        <f t="shared" si="1175"/>
        <v>0.20248922929631402</v>
      </c>
      <c r="AK208" s="813">
        <f t="shared" si="1175"/>
        <v>0.15719191148416634</v>
      </c>
      <c r="AL208" s="813">
        <f t="shared" si="1175"/>
        <v>0.15209471766848817</v>
      </c>
      <c r="AM208" s="84">
        <f t="shared" si="1175"/>
        <v>0.15622317596566523</v>
      </c>
      <c r="AN208" s="84">
        <f t="shared" si="1175"/>
        <v>0.16981981981981981</v>
      </c>
      <c r="AO208" s="84">
        <f t="shared" si="1175"/>
        <v>0.13432835820895522</v>
      </c>
      <c r="AP208" s="84">
        <f t="shared" si="1175"/>
        <v>0.11399176954732511</v>
      </c>
      <c r="AQ208" s="84">
        <f t="shared" si="1175"/>
        <v>0.11009817671809256</v>
      </c>
      <c r="AR208" s="84">
        <f t="shared" si="1175"/>
        <v>0.14290976058931859</v>
      </c>
      <c r="AS208" s="84">
        <f t="shared" si="1175"/>
        <v>8.8281007149518184E-2</v>
      </c>
      <c r="AT208" s="84">
        <f t="shared" si="1175"/>
        <v>4.8082427017744706E-2</v>
      </c>
      <c r="AU208" s="84">
        <f t="shared" si="1175"/>
        <v>0.13294797687861271</v>
      </c>
      <c r="AV208" s="84">
        <f t="shared" si="1175"/>
        <v>9.595070422535211E-2</v>
      </c>
      <c r="AW208" s="84">
        <f t="shared" si="1175"/>
        <v>9.65682362330407E-2</v>
      </c>
      <c r="AX208" s="84">
        <f t="shared" si="1175"/>
        <v>0.14045698924731181</v>
      </c>
      <c r="AY208" s="84">
        <f t="shared" si="1175"/>
        <v>7.7237433592153654E-2</v>
      </c>
      <c r="AZ208" s="84">
        <f t="shared" si="1175"/>
        <v>0.14582560296846012</v>
      </c>
      <c r="BA208" s="84">
        <f t="shared" ref="BA208:CF208" si="1176">+BA207/BA$305</f>
        <v>0.11672081979505124</v>
      </c>
      <c r="BB208" s="84">
        <f t="shared" si="1176"/>
        <v>0.13243147027411889</v>
      </c>
      <c r="BC208" s="84">
        <f t="shared" si="1176"/>
        <v>0.14005516395954642</v>
      </c>
      <c r="BD208" s="84">
        <f t="shared" si="1176"/>
        <v>0.19798766634209672</v>
      </c>
      <c r="BE208" s="84">
        <f t="shared" si="1176"/>
        <v>0.14669994453688298</v>
      </c>
      <c r="BF208" s="84">
        <f t="shared" si="1176"/>
        <v>0.15740162398500937</v>
      </c>
      <c r="BG208" s="84">
        <f t="shared" si="1176"/>
        <v>0.14030408108829021</v>
      </c>
      <c r="BH208" s="84">
        <f t="shared" si="1176"/>
        <v>0.16333599786837197</v>
      </c>
      <c r="BI208" s="84">
        <f t="shared" si="1176"/>
        <v>0.14014310387367382</v>
      </c>
      <c r="BJ208" s="84">
        <f t="shared" si="1176"/>
        <v>0.11529871580122836</v>
      </c>
      <c r="BK208" s="801">
        <f t="shared" ref="BK208" si="1177">+BK207/BK$305</f>
        <v>0.10911966262519768</v>
      </c>
      <c r="BL208" s="380">
        <f t="shared" si="1176"/>
        <v>0.11235701058238932</v>
      </c>
      <c r="BM208" s="380">
        <f t="shared" si="1176"/>
        <v>9.4838343412024767E-2</v>
      </c>
      <c r="BN208" s="380">
        <f t="shared" si="1176"/>
        <v>0.11213784378081997</v>
      </c>
      <c r="BO208" s="380">
        <f t="shared" si="1176"/>
        <v>0.11250352653413248</v>
      </c>
      <c r="BP208" s="380">
        <f t="shared" si="1176"/>
        <v>0.1134844174297963</v>
      </c>
      <c r="BQ208" s="380">
        <f t="shared" si="1176"/>
        <v>9.3087278236572688E-2</v>
      </c>
      <c r="BR208" s="380">
        <f t="shared" si="1176"/>
        <v>0.11066164801785124</v>
      </c>
      <c r="BS208" s="380">
        <f t="shared" si="1176"/>
        <v>0.1107743054047142</v>
      </c>
      <c r="BT208" s="380">
        <f t="shared" si="1176"/>
        <v>0.11168910003540151</v>
      </c>
      <c r="BU208" s="380">
        <f t="shared" si="1176"/>
        <v>9.1351979450295648E-2</v>
      </c>
      <c r="BV208" s="380">
        <f t="shared" si="1176"/>
        <v>0.10676795381752045</v>
      </c>
      <c r="BW208" s="380">
        <f t="shared" si="1176"/>
        <v>0.10699504085168773</v>
      </c>
      <c r="BX208" s="380">
        <f t="shared" si="1176"/>
        <v>0.10787099176612956</v>
      </c>
      <c r="BY208" s="380">
        <f t="shared" si="1176"/>
        <v>8.8111435414098729E-2</v>
      </c>
      <c r="BZ208" s="380">
        <f t="shared" si="1176"/>
        <v>0.10748542490742256</v>
      </c>
      <c r="CA208" s="380">
        <f t="shared" si="1176"/>
        <v>0.10773588086098654</v>
      </c>
      <c r="CB208" s="380">
        <f t="shared" si="1176"/>
        <v>0.10862420588886469</v>
      </c>
      <c r="CC208" s="380">
        <f t="shared" si="1176"/>
        <v>8.8517343738241411E-2</v>
      </c>
      <c r="CD208" s="380">
        <f t="shared" si="1176"/>
        <v>0.1053495360451036</v>
      </c>
      <c r="CE208" s="380">
        <f t="shared" si="1176"/>
        <v>0.10567966118377652</v>
      </c>
      <c r="CF208" s="380">
        <f t="shared" si="1176"/>
        <v>0.10648369174067092</v>
      </c>
      <c r="CG208" s="380">
        <f t="shared" ref="CG208:CW208" si="1178">+CG207/CG$305</f>
        <v>8.6566803182694135E-2</v>
      </c>
      <c r="CH208" s="380">
        <f t="shared" si="1178"/>
        <v>0.10324266855356862</v>
      </c>
      <c r="CI208" s="380">
        <f t="shared" si="1178"/>
        <v>0.10371417535734366</v>
      </c>
      <c r="CJ208" s="380">
        <f t="shared" si="1178"/>
        <v>0.10452584443088574</v>
      </c>
      <c r="CK208" s="380">
        <f t="shared" si="1178"/>
        <v>8.4794338017990911E-2</v>
      </c>
      <c r="CL208" s="380">
        <f t="shared" si="1178"/>
        <v>0.10128520824014051</v>
      </c>
      <c r="CM208" s="380">
        <f t="shared" si="1178"/>
        <v>0.10184244022158054</v>
      </c>
      <c r="CN208" s="380">
        <f t="shared" si="1178"/>
        <v>0.10261838585582166</v>
      </c>
      <c r="CO208" s="380">
        <f t="shared" si="1178"/>
        <v>8.3053695925979582E-2</v>
      </c>
      <c r="CP208" s="380">
        <f t="shared" si="1178"/>
        <v>9.9349915764454913E-2</v>
      </c>
      <c r="CQ208" s="380">
        <f t="shared" si="1178"/>
        <v>9.9985720850153309E-2</v>
      </c>
      <c r="CR208" s="380">
        <f t="shared" si="1178"/>
        <v>0.10075499995921569</v>
      </c>
      <c r="CS208" s="380">
        <f t="shared" si="1178"/>
        <v>8.137180204296203E-2</v>
      </c>
      <c r="CT208" s="380">
        <f t="shared" si="1178"/>
        <v>9.7485957629488945E-2</v>
      </c>
      <c r="CU208" s="380">
        <f t="shared" si="1178"/>
        <v>9.8199600058368114E-2</v>
      </c>
      <c r="CV208" s="380">
        <f t="shared" si="1178"/>
        <v>9.8990557500098109E-2</v>
      </c>
      <c r="CW208" s="380">
        <f t="shared" si="1178"/>
        <v>7.9724371025229515E-2</v>
      </c>
    </row>
    <row r="209" spans="1:101" s="9" customFormat="1" ht="11.25">
      <c r="A209" s="903" t="s">
        <v>979</v>
      </c>
      <c r="B209" s="812"/>
      <c r="C209" s="812"/>
      <c r="D209" s="812"/>
      <c r="E209" s="812"/>
      <c r="F209" s="812"/>
      <c r="G209" s="812"/>
      <c r="H209" s="812"/>
      <c r="I209" s="812"/>
      <c r="J209" s="812"/>
      <c r="K209" s="812"/>
      <c r="L209" s="812"/>
      <c r="M209" s="812"/>
      <c r="N209" s="812"/>
      <c r="O209" s="812"/>
      <c r="P209" s="812"/>
      <c r="Q209" s="812"/>
      <c r="R209" s="812"/>
      <c r="S209" s="812"/>
      <c r="T209" s="812"/>
      <c r="U209" s="813">
        <f t="shared" ref="U209:AT209" si="1179">+U207/U189</f>
        <v>0.15698462028846918</v>
      </c>
      <c r="V209" s="813">
        <f t="shared" si="1179"/>
        <v>0.13440320962888666</v>
      </c>
      <c r="W209" s="813">
        <f t="shared" si="1179"/>
        <v>0.12557286892758937</v>
      </c>
      <c r="X209" s="813">
        <f t="shared" si="1179"/>
        <v>0.14829821717990274</v>
      </c>
      <c r="Y209" s="813">
        <f t="shared" si="1179"/>
        <v>0.17321016166281755</v>
      </c>
      <c r="Z209" s="813">
        <f t="shared" si="1179"/>
        <v>0.12380250552689757</v>
      </c>
      <c r="AA209" s="813">
        <f t="shared" si="1179"/>
        <v>0.14205607476635515</v>
      </c>
      <c r="AB209" s="813">
        <f t="shared" si="1179"/>
        <v>0.16982152514872903</v>
      </c>
      <c r="AC209" s="813">
        <f t="shared" si="1179"/>
        <v>0.16308337703198741</v>
      </c>
      <c r="AD209" s="813">
        <f t="shared" si="1179"/>
        <v>0.12199747155499367</v>
      </c>
      <c r="AE209" s="2144">
        <f t="shared" si="1179"/>
        <v>0.13582166925868325</v>
      </c>
      <c r="AF209" s="813">
        <f t="shared" si="1179"/>
        <v>0.1584553928095872</v>
      </c>
      <c r="AG209" s="813">
        <f t="shared" si="1179"/>
        <v>0.17584745762711865</v>
      </c>
      <c r="AH209" s="813">
        <f t="shared" si="1179"/>
        <v>0.14512195121951219</v>
      </c>
      <c r="AI209" s="813">
        <f t="shared" si="1179"/>
        <v>0.15108207431604737</v>
      </c>
      <c r="AJ209" s="813">
        <f t="shared" si="1179"/>
        <v>0.16059225512528474</v>
      </c>
      <c r="AK209" s="813">
        <f t="shared" si="1179"/>
        <v>0.15036496350364964</v>
      </c>
      <c r="AL209" s="813">
        <f t="shared" si="1179"/>
        <v>0.12842315969419907</v>
      </c>
      <c r="AM209" s="84">
        <f t="shared" si="1179"/>
        <v>0.13356812947008312</v>
      </c>
      <c r="AN209" s="84">
        <f t="shared" si="1179"/>
        <v>0.15306536743808363</v>
      </c>
      <c r="AO209" s="84">
        <f t="shared" si="1179"/>
        <v>0.13840399002493767</v>
      </c>
      <c r="AP209" s="84">
        <f t="shared" si="1179"/>
        <v>0.12195197117530882</v>
      </c>
      <c r="AQ209" s="84">
        <f t="shared" si="1179"/>
        <v>0.12867370601992148</v>
      </c>
      <c r="AR209" s="84">
        <f t="shared" si="1179"/>
        <v>0.15098316109708723</v>
      </c>
      <c r="AS209" s="84">
        <f t="shared" si="1179"/>
        <v>0.11587471332228716</v>
      </c>
      <c r="AT209" s="84">
        <f t="shared" si="1179"/>
        <v>4.7597677233351017E-2</v>
      </c>
      <c r="AU209" s="84">
        <f t="shared" ref="AU209:BC209" si="1180">+AU207/AU189</f>
        <v>-0.17655186530883782</v>
      </c>
      <c r="AV209" s="84">
        <f t="shared" si="1180"/>
        <v>8.6142106024336321E-2</v>
      </c>
      <c r="AW209" s="84">
        <f t="shared" si="1180"/>
        <v>0.13632397335936633</v>
      </c>
      <c r="AX209" s="84">
        <f t="shared" si="1180"/>
        <v>0.11895749972964204</v>
      </c>
      <c r="AY209" s="84">
        <f t="shared" si="1180"/>
        <v>0.10916847699577593</v>
      </c>
      <c r="AZ209" s="84">
        <f t="shared" si="1180"/>
        <v>0.16216604317330474</v>
      </c>
      <c r="BA209" s="84">
        <f t="shared" si="1180"/>
        <v>0.15309276897284915</v>
      </c>
      <c r="BB209" s="84">
        <f t="shared" si="1180"/>
        <v>0.13735401520494178</v>
      </c>
      <c r="BC209" s="84">
        <f t="shared" si="1180"/>
        <v>0.14454066431774909</v>
      </c>
      <c r="BD209" s="84">
        <f t="shared" ref="BD209:BG209" si="1181">+BD207/BD189</f>
        <v>0.16576370736781634</v>
      </c>
      <c r="BE209" s="84">
        <f t="shared" si="1181"/>
        <v>0.13784279927717216</v>
      </c>
      <c r="BF209" s="84">
        <f t="shared" si="1181"/>
        <v>0.16073822217785622</v>
      </c>
      <c r="BG209" s="84">
        <f t="shared" si="1181"/>
        <v>0.15200247365242292</v>
      </c>
      <c r="BH209" s="84">
        <f t="shared" ref="BH209" si="1182">+BH207/BH189</f>
        <v>0.15590851298631439</v>
      </c>
      <c r="BI209" s="84">
        <f t="shared" ref="BI209" si="1183">+BI207/BI189</f>
        <v>0.16814797732489004</v>
      </c>
      <c r="BJ209" s="84">
        <f t="shared" ref="BJ209" si="1184">+BJ207/BJ189</f>
        <v>0.15648942313375944</v>
      </c>
      <c r="BK209" s="801">
        <f t="shared" ref="BK209" si="1185">+BK207/BK189</f>
        <v>0.13545032817258859</v>
      </c>
      <c r="BL209" s="673">
        <f>Inputs!BL245</f>
        <v>0.13045032817258859</v>
      </c>
      <c r="BM209" s="673">
        <f>Inputs!BM245</f>
        <v>0.155</v>
      </c>
      <c r="BN209" s="673">
        <f>Inputs!BN245</f>
        <v>0.15198942313375943</v>
      </c>
      <c r="BO209" s="673">
        <f>Inputs!BO245</f>
        <v>0.13095032817258859</v>
      </c>
      <c r="BP209" s="673">
        <f>Inputs!BP245</f>
        <v>0.13095032817258859</v>
      </c>
      <c r="BQ209" s="673">
        <f>Inputs!BQ245</f>
        <v>0.1555</v>
      </c>
      <c r="BR209" s="673">
        <f>Inputs!BR245</f>
        <v>0.15248942313375943</v>
      </c>
      <c r="BS209" s="673">
        <f>Inputs!BS245</f>
        <v>0.13145032817258859</v>
      </c>
      <c r="BT209" s="673">
        <f>Inputs!BT245</f>
        <v>0.13145032817258859</v>
      </c>
      <c r="BU209" s="673">
        <f>Inputs!BU245</f>
        <v>0.156</v>
      </c>
      <c r="BV209" s="673">
        <f>Inputs!BV245</f>
        <v>0.15298942313375943</v>
      </c>
      <c r="BW209" s="673">
        <f>Inputs!BW245</f>
        <v>0.13195032817258859</v>
      </c>
      <c r="BX209" s="673">
        <f>Inputs!BX245</f>
        <v>0.13195032817258859</v>
      </c>
      <c r="BY209" s="673">
        <f>Inputs!BY245</f>
        <v>0.1565</v>
      </c>
      <c r="BZ209" s="673">
        <f>Inputs!BZ245</f>
        <v>0.15348942313375943</v>
      </c>
      <c r="CA209" s="673">
        <f>Inputs!CA245</f>
        <v>0.13245032817258859</v>
      </c>
      <c r="CB209" s="673">
        <f>Inputs!CB245</f>
        <v>0.13245032817258859</v>
      </c>
      <c r="CC209" s="673">
        <f>Inputs!CC245</f>
        <v>0.157</v>
      </c>
      <c r="CD209" s="673">
        <f>Inputs!CD245</f>
        <v>0.15398942313375943</v>
      </c>
      <c r="CE209" s="673">
        <f>Inputs!CE245</f>
        <v>0.13295032817258859</v>
      </c>
      <c r="CF209" s="673">
        <f>Inputs!CF245</f>
        <v>0.13295032817258859</v>
      </c>
      <c r="CG209" s="673">
        <f>Inputs!CG245</f>
        <v>0.1575</v>
      </c>
      <c r="CH209" s="673">
        <f>Inputs!CH245</f>
        <v>0.15448942313375943</v>
      </c>
      <c r="CI209" s="673">
        <f>Inputs!CI245</f>
        <v>0.13345032817258859</v>
      </c>
      <c r="CJ209" s="673">
        <f>Inputs!CJ245</f>
        <v>0.13345032817258859</v>
      </c>
      <c r="CK209" s="673">
        <f>Inputs!CK245</f>
        <v>0.158</v>
      </c>
      <c r="CL209" s="673">
        <f>Inputs!CL245</f>
        <v>0.15498942313375944</v>
      </c>
      <c r="CM209" s="673">
        <f>Inputs!CM245</f>
        <v>0.13395032817258859</v>
      </c>
      <c r="CN209" s="673">
        <f>Inputs!CN245</f>
        <v>0.13395032817258859</v>
      </c>
      <c r="CO209" s="673">
        <f>Inputs!CO245</f>
        <v>0.1585</v>
      </c>
      <c r="CP209" s="673">
        <f>Inputs!CP245</f>
        <v>0.15548942313375944</v>
      </c>
      <c r="CQ209" s="673">
        <f>Inputs!CQ245</f>
        <v>0.13445032817258859</v>
      </c>
      <c r="CR209" s="673">
        <f>Inputs!CR245</f>
        <v>0.13445032817258859</v>
      </c>
      <c r="CS209" s="673">
        <f>Inputs!CS245</f>
        <v>0.159</v>
      </c>
      <c r="CT209" s="673">
        <f>Inputs!CT245</f>
        <v>0.15598942313375944</v>
      </c>
      <c r="CU209" s="673">
        <f>Inputs!CU245</f>
        <v>0.13495032817258859</v>
      </c>
      <c r="CV209" s="673">
        <f>Inputs!CV245</f>
        <v>0.13495032817258859</v>
      </c>
      <c r="CW209" s="673">
        <f>Inputs!CW245</f>
        <v>0.1595</v>
      </c>
    </row>
    <row r="210" spans="1:101" s="9" customFormat="1" ht="11.25">
      <c r="A210" s="903" t="s">
        <v>1031</v>
      </c>
      <c r="B210" s="812"/>
      <c r="C210" s="812"/>
      <c r="D210" s="812"/>
      <c r="E210" s="812"/>
      <c r="F210" s="812"/>
      <c r="G210" s="812"/>
      <c r="H210" s="812"/>
      <c r="I210" s="812"/>
      <c r="J210" s="812"/>
      <c r="K210" s="812"/>
      <c r="L210" s="812"/>
      <c r="M210" s="812"/>
      <c r="N210" s="812"/>
      <c r="O210" s="812"/>
      <c r="P210" s="812"/>
      <c r="Q210" s="812"/>
      <c r="R210" s="812"/>
      <c r="S210" s="812"/>
      <c r="T210" s="812"/>
      <c r="U210" s="813"/>
      <c r="V210" s="813"/>
      <c r="W210" s="813"/>
      <c r="X210" s="813"/>
      <c r="Y210" s="959">
        <f t="shared" ref="Y210:BQ210" si="1186">+(Y209-U209)*10000</f>
        <v>162.25541374348367</v>
      </c>
      <c r="Z210" s="959">
        <f t="shared" si="1186"/>
        <v>-106.00704101989086</v>
      </c>
      <c r="AA210" s="959">
        <f t="shared" si="1186"/>
        <v>164.83205838765781</v>
      </c>
      <c r="AB210" s="959">
        <f t="shared" si="1186"/>
        <v>215.23307968826288</v>
      </c>
      <c r="AC210" s="959">
        <f t="shared" si="1186"/>
        <v>-101.26784630830137</v>
      </c>
      <c r="AD210" s="959">
        <f t="shared" si="1186"/>
        <v>-18.050339719039023</v>
      </c>
      <c r="AE210" s="2145">
        <f t="shared" si="1186"/>
        <v>-62.34405507671903</v>
      </c>
      <c r="AF210" s="959">
        <f t="shared" si="1186"/>
        <v>-113.66132339141826</v>
      </c>
      <c r="AG210" s="959">
        <f t="shared" si="1186"/>
        <v>127.64080595131233</v>
      </c>
      <c r="AH210" s="959">
        <f t="shared" si="1186"/>
        <v>231.24479664518512</v>
      </c>
      <c r="AI210" s="959">
        <f t="shared" si="1186"/>
        <v>152.60405057364119</v>
      </c>
      <c r="AJ210" s="959">
        <f t="shared" si="1186"/>
        <v>21.36862315697541</v>
      </c>
      <c r="AK210" s="959">
        <f t="shared" si="1186"/>
        <v>-254.82494123469007</v>
      </c>
      <c r="AL210" s="959">
        <f t="shared" si="1186"/>
        <v>-166.98791525313118</v>
      </c>
      <c r="AM210" s="969">
        <f t="shared" si="1186"/>
        <v>-175.13944845964247</v>
      </c>
      <c r="AN210" s="969">
        <f t="shared" si="1186"/>
        <v>-75.26887687201112</v>
      </c>
      <c r="AO210" s="969">
        <f t="shared" si="1186"/>
        <v>-119.60973478711972</v>
      </c>
      <c r="AP210" s="969">
        <f t="shared" si="1186"/>
        <v>-64.711885188902528</v>
      </c>
      <c r="AQ210" s="969">
        <f t="shared" si="1186"/>
        <v>-48.944234501616393</v>
      </c>
      <c r="AR210" s="969">
        <f t="shared" si="1186"/>
        <v>-20.822063409964009</v>
      </c>
      <c r="AS210" s="969">
        <f t="shared" si="1186"/>
        <v>-225.29276702650509</v>
      </c>
      <c r="AT210" s="969">
        <f t="shared" si="1186"/>
        <v>-743.54293941957803</v>
      </c>
      <c r="AU210" s="969">
        <f t="shared" si="1186"/>
        <v>-3052.2557132875927</v>
      </c>
      <c r="AV210" s="969">
        <f t="shared" si="1186"/>
        <v>-648.41055072750908</v>
      </c>
      <c r="AW210" s="969">
        <f t="shared" si="1186"/>
        <v>204.49260037079171</v>
      </c>
      <c r="AX210" s="969">
        <f t="shared" si="1186"/>
        <v>713.59822496291031</v>
      </c>
      <c r="AY210" s="969">
        <f t="shared" si="1186"/>
        <v>2857.2034230461372</v>
      </c>
      <c r="AZ210" s="969">
        <f t="shared" si="1186"/>
        <v>760.23937148968423</v>
      </c>
      <c r="BA210" s="969">
        <f t="shared" ref="BA210:BK210" si="1187">+(BA209-AW209)*10000</f>
        <v>167.68795613482823</v>
      </c>
      <c r="BB210" s="969">
        <f t="shared" si="1187"/>
        <v>183.96515475299745</v>
      </c>
      <c r="BC210" s="969">
        <f t="shared" si="1187"/>
        <v>353.72187321973155</v>
      </c>
      <c r="BD210" s="969">
        <f t="shared" si="1187"/>
        <v>35.976641945116015</v>
      </c>
      <c r="BE210" s="969">
        <f t="shared" si="1187"/>
        <v>-152.4996969567699</v>
      </c>
      <c r="BF210" s="969">
        <f t="shared" si="1187"/>
        <v>233.84206972914433</v>
      </c>
      <c r="BG210" s="969">
        <f t="shared" si="1187"/>
        <v>74.618093346738306</v>
      </c>
      <c r="BH210" s="969">
        <f t="shared" si="1187"/>
        <v>-98.551943815019527</v>
      </c>
      <c r="BI210" s="969">
        <f t="shared" si="1187"/>
        <v>303.05178047717874</v>
      </c>
      <c r="BJ210" s="969">
        <f t="shared" si="1187"/>
        <v>-42.487990440967792</v>
      </c>
      <c r="BK210" s="1372">
        <f t="shared" si="1187"/>
        <v>-165.52145479834329</v>
      </c>
      <c r="BL210" s="1015">
        <f t="shared" si="1186"/>
        <v>-254.58184813725805</v>
      </c>
      <c r="BM210" s="1015">
        <f t="shared" si="1186"/>
        <v>-131.47977324890036</v>
      </c>
      <c r="BN210" s="1015">
        <f t="shared" si="1186"/>
        <v>-45.000000000000043</v>
      </c>
      <c r="BO210" s="1015">
        <f t="shared" si="1186"/>
        <v>-45.000000000000043</v>
      </c>
      <c r="BP210" s="1015">
        <f t="shared" si="1186"/>
        <v>5.0000000000000044</v>
      </c>
      <c r="BQ210" s="1015">
        <f t="shared" si="1186"/>
        <v>5.0000000000000044</v>
      </c>
      <c r="BR210" s="1015">
        <f t="shared" ref="BR210:CK210" si="1188">+(BR209-BN209)*10000</f>
        <v>5.0000000000000044</v>
      </c>
      <c r="BS210" s="1015">
        <f t="shared" si="1188"/>
        <v>5.0000000000000044</v>
      </c>
      <c r="BT210" s="1015">
        <f t="shared" si="1188"/>
        <v>5.0000000000000044</v>
      </c>
      <c r="BU210" s="1015">
        <f t="shared" si="1188"/>
        <v>5.0000000000000044</v>
      </c>
      <c r="BV210" s="1015">
        <f t="shared" si="1188"/>
        <v>5.0000000000000044</v>
      </c>
      <c r="BW210" s="1015">
        <f t="shared" si="1188"/>
        <v>5.0000000000000044</v>
      </c>
      <c r="BX210" s="1015">
        <f t="shared" si="1188"/>
        <v>5.0000000000000044</v>
      </c>
      <c r="BY210" s="1015">
        <f t="shared" si="1188"/>
        <v>5.0000000000000044</v>
      </c>
      <c r="BZ210" s="1015">
        <f t="shared" si="1188"/>
        <v>5.0000000000000044</v>
      </c>
      <c r="CA210" s="1015">
        <f t="shared" si="1188"/>
        <v>5.0000000000000044</v>
      </c>
      <c r="CB210" s="1015">
        <f t="shared" si="1188"/>
        <v>5.0000000000000044</v>
      </c>
      <c r="CC210" s="1015">
        <f t="shared" si="1188"/>
        <v>5.0000000000000044</v>
      </c>
      <c r="CD210" s="1015">
        <f t="shared" si="1188"/>
        <v>5.0000000000000044</v>
      </c>
      <c r="CE210" s="1015">
        <f t="shared" si="1188"/>
        <v>5.0000000000000044</v>
      </c>
      <c r="CF210" s="1015">
        <f t="shared" si="1188"/>
        <v>5.0000000000000044</v>
      </c>
      <c r="CG210" s="1015">
        <f t="shared" si="1188"/>
        <v>5.0000000000000044</v>
      </c>
      <c r="CH210" s="1015">
        <f t="shared" si="1188"/>
        <v>5.0000000000000044</v>
      </c>
      <c r="CI210" s="1015">
        <f t="shared" si="1188"/>
        <v>5.0000000000000044</v>
      </c>
      <c r="CJ210" s="1015">
        <f t="shared" si="1188"/>
        <v>5.0000000000000044</v>
      </c>
      <c r="CK210" s="1015">
        <f t="shared" si="1188"/>
        <v>5.0000000000000044</v>
      </c>
      <c r="CL210" s="1015">
        <f t="shared" ref="CL210" si="1189">+(CL209-CH209)*10000</f>
        <v>5.0000000000000044</v>
      </c>
      <c r="CM210" s="1015">
        <f t="shared" ref="CM210" si="1190">+(CM209-CI209)*10000</f>
        <v>5.0000000000000044</v>
      </c>
      <c r="CN210" s="1015">
        <f t="shared" ref="CN210" si="1191">+(CN209-CJ209)*10000</f>
        <v>5.0000000000000044</v>
      </c>
      <c r="CO210" s="1015">
        <f t="shared" ref="CO210" si="1192">+(CO209-CK209)*10000</f>
        <v>5.0000000000000044</v>
      </c>
      <c r="CP210" s="1015">
        <f t="shared" ref="CP210" si="1193">+(CP209-CL209)*10000</f>
        <v>5.0000000000000044</v>
      </c>
      <c r="CQ210" s="1015">
        <f t="shared" ref="CQ210" si="1194">+(CQ209-CM209)*10000</f>
        <v>5.0000000000000044</v>
      </c>
      <c r="CR210" s="1015">
        <f t="shared" ref="CR210" si="1195">+(CR209-CN209)*10000</f>
        <v>5.0000000000000044</v>
      </c>
      <c r="CS210" s="1015">
        <f t="shared" ref="CS210" si="1196">+(CS209-CO209)*10000</f>
        <v>5.0000000000000044</v>
      </c>
      <c r="CT210" s="1015">
        <f t="shared" ref="CT210" si="1197">+(CT209-CP209)*10000</f>
        <v>5.0000000000000044</v>
      </c>
      <c r="CU210" s="1015">
        <f t="shared" ref="CU210" si="1198">+(CU209-CQ209)*10000</f>
        <v>5.0000000000000044</v>
      </c>
      <c r="CV210" s="1015">
        <f t="shared" ref="CV210" si="1199">+(CV209-CR209)*10000</f>
        <v>5.0000000000000044</v>
      </c>
      <c r="CW210" s="1015">
        <f t="shared" ref="CW210" si="1200">+(CW209-CS209)*10000</f>
        <v>5.0000000000000044</v>
      </c>
    </row>
    <row r="211" spans="1:101" s="9" customFormat="1" ht="11.25">
      <c r="A211" s="903"/>
      <c r="B211" s="812"/>
      <c r="C211" s="812"/>
      <c r="D211" s="812"/>
      <c r="E211" s="812"/>
      <c r="F211" s="812"/>
      <c r="G211" s="812"/>
      <c r="H211" s="812"/>
      <c r="I211" s="812"/>
      <c r="J211" s="812"/>
      <c r="K211" s="812"/>
      <c r="L211" s="812"/>
      <c r="M211" s="812"/>
      <c r="N211" s="812"/>
      <c r="O211" s="812"/>
      <c r="P211" s="812"/>
      <c r="Q211" s="812"/>
      <c r="R211" s="812"/>
      <c r="S211" s="812"/>
      <c r="T211" s="812"/>
      <c r="U211" s="813"/>
      <c r="V211" s="813"/>
      <c r="W211" s="813"/>
      <c r="X211" s="813"/>
      <c r="Y211" s="959"/>
      <c r="Z211" s="959"/>
      <c r="AA211" s="959"/>
      <c r="AB211" s="959"/>
      <c r="AC211" s="959"/>
      <c r="AD211" s="959"/>
      <c r="AE211" s="2145"/>
      <c r="AF211" s="959"/>
      <c r="AG211" s="959"/>
      <c r="AH211" s="959"/>
      <c r="AI211" s="959"/>
      <c r="AJ211" s="959"/>
      <c r="AK211" s="959"/>
      <c r="AL211" s="959"/>
      <c r="AM211" s="969"/>
      <c r="AN211" s="969"/>
      <c r="AO211" s="969"/>
      <c r="AP211" s="969"/>
      <c r="AQ211" s="969"/>
      <c r="AR211" s="969"/>
      <c r="AS211" s="969"/>
      <c r="AT211" s="969"/>
      <c r="AU211" s="969"/>
      <c r="AV211" s="969"/>
      <c r="AW211" s="969"/>
      <c r="AX211" s="969"/>
      <c r="AY211" s="969"/>
      <c r="AZ211" s="969"/>
      <c r="BA211" s="969"/>
      <c r="BB211" s="969"/>
      <c r="BC211" s="969"/>
      <c r="BD211" s="969"/>
      <c r="BE211" s="969"/>
      <c r="BF211" s="969"/>
      <c r="BG211" s="969"/>
      <c r="BH211" s="969"/>
      <c r="BI211" s="969"/>
      <c r="BJ211" s="969"/>
      <c r="BK211" s="1372"/>
      <c r="BL211" s="1015"/>
      <c r="BM211" s="1015"/>
      <c r="BN211" s="1015"/>
      <c r="BO211" s="1015"/>
      <c r="BP211" s="1015"/>
      <c r="BQ211" s="1015"/>
      <c r="BR211" s="1015"/>
      <c r="BS211" s="1015"/>
      <c r="BT211" s="1015"/>
      <c r="BU211" s="1015"/>
      <c r="BV211" s="1015"/>
      <c r="BW211" s="1015"/>
      <c r="BX211" s="1015"/>
      <c r="BY211" s="1015"/>
      <c r="BZ211" s="1015"/>
      <c r="CA211" s="1015"/>
      <c r="CB211" s="1015"/>
      <c r="CC211" s="1015"/>
      <c r="CD211" s="1015"/>
      <c r="CE211" s="1015"/>
      <c r="CF211" s="1015"/>
      <c r="CG211" s="1015"/>
      <c r="CH211" s="1015"/>
      <c r="CI211" s="1015"/>
      <c r="CJ211" s="1015"/>
      <c r="CK211" s="1015"/>
      <c r="CL211" s="1015"/>
      <c r="CM211" s="1015"/>
      <c r="CN211" s="1015"/>
      <c r="CO211" s="1015"/>
      <c r="CP211" s="1015"/>
      <c r="CQ211" s="1015"/>
      <c r="CR211" s="1015"/>
      <c r="CS211" s="1015"/>
      <c r="CT211" s="1015"/>
      <c r="CU211" s="1015"/>
      <c r="CV211" s="1015"/>
      <c r="CW211" s="1015"/>
    </row>
    <row r="212" spans="1:101" s="9" customFormat="1" ht="11.25">
      <c r="A212" s="531" t="s">
        <v>1624</v>
      </c>
      <c r="B212" s="659"/>
      <c r="C212" s="659"/>
      <c r="D212" s="659"/>
      <c r="E212" s="659"/>
      <c r="F212" s="659"/>
      <c r="G212" s="659"/>
      <c r="H212" s="659"/>
      <c r="I212" s="659"/>
      <c r="J212" s="659"/>
      <c r="K212" s="659"/>
      <c r="L212" s="659"/>
      <c r="M212" s="659"/>
      <c r="N212" s="659"/>
      <c r="O212" s="659"/>
      <c r="P212" s="659"/>
      <c r="Q212" s="659"/>
      <c r="R212" s="659"/>
      <c r="S212" s="659"/>
      <c r="T212" s="659"/>
      <c r="U212" s="659"/>
      <c r="V212" s="659"/>
      <c r="W212" s="659"/>
      <c r="X212" s="659"/>
      <c r="Y212" s="659"/>
      <c r="Z212" s="659"/>
      <c r="AA212" s="659"/>
      <c r="AB212" s="659"/>
      <c r="AC212" s="659"/>
      <c r="AD212" s="659"/>
      <c r="AE212" s="2139"/>
      <c r="AF212" s="659"/>
      <c r="AG212" s="659"/>
      <c r="AH212" s="912"/>
      <c r="AI212" s="659"/>
      <c r="AJ212" s="659"/>
      <c r="AK212" s="659"/>
      <c r="AL212" s="659"/>
      <c r="AM212" s="966"/>
      <c r="AN212" s="966"/>
      <c r="AO212" s="966"/>
      <c r="AP212" s="435"/>
      <c r="AQ212" s="435"/>
      <c r="AR212" s="435"/>
      <c r="AS212" s="435"/>
      <c r="AT212" s="435"/>
      <c r="AU212" s="435"/>
      <c r="AV212" s="435"/>
      <c r="AW212" s="435"/>
      <c r="AX212" s="92">
        <f t="shared" ref="AX212:BI212" si="1201">AX215-AX207</f>
        <v>157</v>
      </c>
      <c r="AY212" s="92">
        <f t="shared" si="1201"/>
        <v>155</v>
      </c>
      <c r="AZ212" s="92">
        <f t="shared" si="1201"/>
        <v>163</v>
      </c>
      <c r="BA212" s="92">
        <f t="shared" si="1201"/>
        <v>362</v>
      </c>
      <c r="BB212" s="92">
        <f t="shared" si="1201"/>
        <v>217</v>
      </c>
      <c r="BC212" s="92">
        <f t="shared" si="1201"/>
        <v>222</v>
      </c>
      <c r="BD212" s="92">
        <f t="shared" si="1201"/>
        <v>255</v>
      </c>
      <c r="BE212" s="92">
        <f t="shared" si="1201"/>
        <v>370</v>
      </c>
      <c r="BF212" s="92">
        <f t="shared" si="1201"/>
        <v>206</v>
      </c>
      <c r="BG212" s="92">
        <f t="shared" si="1201"/>
        <v>224</v>
      </c>
      <c r="BH212" s="92">
        <f t="shared" si="1201"/>
        <v>300</v>
      </c>
      <c r="BI212" s="92">
        <f t="shared" si="1201"/>
        <v>20</v>
      </c>
      <c r="BJ212" s="92">
        <f>BJ215-BJ207</f>
        <v>153</v>
      </c>
      <c r="BK212" s="1385">
        <f>BK215-BK207</f>
        <v>166</v>
      </c>
      <c r="BL212" s="435"/>
      <c r="BM212" s="435"/>
      <c r="BN212" s="435"/>
      <c r="BO212" s="435"/>
      <c r="BP212" s="435"/>
      <c r="BQ212" s="435"/>
      <c r="BR212" s="435"/>
      <c r="BS212" s="435"/>
      <c r="BT212" s="435"/>
      <c r="BU212" s="435"/>
      <c r="BV212" s="435"/>
      <c r="BW212" s="435"/>
      <c r="BX212" s="435"/>
      <c r="BY212" s="435"/>
      <c r="BZ212" s="435"/>
      <c r="CA212" s="435"/>
      <c r="CB212" s="435"/>
      <c r="CC212" s="435"/>
      <c r="CD212" s="435"/>
      <c r="CE212" s="435"/>
      <c r="CF212" s="435"/>
      <c r="CG212" s="435"/>
      <c r="CH212" s="435"/>
      <c r="CI212" s="435"/>
      <c r="CJ212" s="435"/>
      <c r="CK212" s="435"/>
      <c r="CL212" s="435"/>
      <c r="CM212" s="435"/>
      <c r="CN212" s="435"/>
      <c r="CO212" s="435"/>
      <c r="CP212" s="435"/>
      <c r="CQ212" s="435"/>
      <c r="CR212" s="435"/>
      <c r="CS212" s="435"/>
      <c r="CT212" s="435"/>
      <c r="CU212" s="435"/>
      <c r="CV212" s="435"/>
      <c r="CW212" s="435"/>
    </row>
    <row r="213" spans="1:101" s="9" customFormat="1" ht="11.25">
      <c r="A213" s="903" t="s">
        <v>1448</v>
      </c>
      <c r="AE213" s="2119"/>
      <c r="AX213" s="2004">
        <f t="shared" ref="AX213" si="1202">AX212/AX189</f>
        <v>8.9360418457195223E-2</v>
      </c>
      <c r="AY213" s="2004">
        <f t="shared" ref="AY213" si="1203">AY212/AY189</f>
        <v>8.9529703356324181E-2</v>
      </c>
      <c r="AZ213" s="2004">
        <f t="shared" ref="AZ213" si="1204">AZ212/AZ189</f>
        <v>6.7259707473915201E-2</v>
      </c>
      <c r="BA213" s="2004">
        <f t="shared" ref="BA213" si="1205">BA212/BA189</f>
        <v>0.11867148258709077</v>
      </c>
      <c r="BB213" s="2004">
        <f t="shared" ref="BB213" si="1206">BB212/BB189</f>
        <v>8.0123175536216049E-2</v>
      </c>
      <c r="BC213" s="2004">
        <f t="shared" ref="BC213" si="1207">BC212/BC189</f>
        <v>7.0214502141226043E-2</v>
      </c>
      <c r="BD213" s="2004">
        <f t="shared" ref="BD213" si="1208">BD212/BD189</f>
        <v>6.9294664555398636E-2</v>
      </c>
      <c r="BE213" s="2004">
        <f t="shared" ref="BE213" si="1209">BE212/BE189</f>
        <v>9.6411787774203589E-2</v>
      </c>
      <c r="BF213" s="2004">
        <f t="shared" ref="BF213" si="1210">BF212/BF189</f>
        <v>6.5698559064758688E-2</v>
      </c>
      <c r="BG213" s="2004">
        <f t="shared" ref="BG213" si="1211">BG212/BG189</f>
        <v>6.4731091441336E-2</v>
      </c>
      <c r="BH213" s="2004">
        <f t="shared" ref="BH213" si="1212">BH212/BH189</f>
        <v>7.6301066714346347E-2</v>
      </c>
      <c r="BI213" s="2004">
        <f t="shared" ref="BI213" si="1213">BI212/BI189</f>
        <v>5.9207034269327472E-3</v>
      </c>
      <c r="BJ213" s="2004">
        <f>BJ212/BJ189</f>
        <v>5.7973079272312815E-2</v>
      </c>
      <c r="BK213" s="2004">
        <f>BK212/BK189</f>
        <v>5.4311001151327788E-2</v>
      </c>
      <c r="BL213" s="435"/>
      <c r="BM213" s="435"/>
      <c r="BN213" s="435"/>
      <c r="BO213" s="435"/>
      <c r="BP213" s="435"/>
      <c r="BQ213" s="435"/>
      <c r="BR213" s="435"/>
      <c r="BS213" s="435"/>
      <c r="BT213" s="435"/>
      <c r="BU213" s="435"/>
      <c r="BV213" s="435"/>
      <c r="BW213" s="435"/>
      <c r="BX213" s="435"/>
      <c r="BY213" s="435"/>
      <c r="BZ213" s="435"/>
      <c r="CA213" s="435"/>
      <c r="CB213" s="435"/>
      <c r="CC213" s="435"/>
      <c r="CD213" s="435"/>
      <c r="CE213" s="435"/>
      <c r="CF213" s="435"/>
      <c r="CG213" s="435"/>
      <c r="CH213" s="435"/>
      <c r="CI213" s="435"/>
      <c r="CJ213" s="435"/>
      <c r="CK213" s="435"/>
      <c r="CL213" s="435"/>
      <c r="CM213" s="435"/>
      <c r="CN213" s="435"/>
      <c r="CO213" s="435"/>
      <c r="CP213" s="435"/>
      <c r="CQ213" s="435"/>
      <c r="CR213" s="435"/>
      <c r="CS213" s="435"/>
      <c r="CT213" s="435"/>
      <c r="CU213" s="435"/>
      <c r="CV213" s="435"/>
      <c r="CW213" s="435"/>
    </row>
    <row r="214" spans="1:101" s="9" customFormat="1" ht="11.25">
      <c r="AE214" s="2119"/>
      <c r="BK214" s="2004"/>
      <c r="BL214" s="435"/>
      <c r="BM214" s="435"/>
      <c r="BN214" s="435"/>
      <c r="BO214" s="435"/>
      <c r="BP214" s="435"/>
      <c r="BQ214" s="435"/>
      <c r="BR214" s="435"/>
      <c r="BS214" s="435"/>
      <c r="BT214" s="435"/>
      <c r="BU214" s="435"/>
      <c r="BV214" s="435"/>
      <c r="BW214" s="435"/>
      <c r="BX214" s="435"/>
      <c r="BY214" s="435"/>
      <c r="BZ214" s="435"/>
      <c r="CA214" s="435"/>
      <c r="CB214" s="435"/>
      <c r="CC214" s="435"/>
      <c r="CD214" s="435"/>
      <c r="CE214" s="435"/>
      <c r="CF214" s="435"/>
      <c r="CG214" s="435"/>
      <c r="CH214" s="435"/>
      <c r="CI214" s="435"/>
      <c r="CJ214" s="435"/>
      <c r="CK214" s="435"/>
      <c r="CL214" s="435"/>
      <c r="CM214" s="435"/>
      <c r="CN214" s="435"/>
      <c r="CO214" s="435"/>
      <c r="CP214" s="435"/>
      <c r="CQ214" s="435"/>
      <c r="CR214" s="435"/>
      <c r="CS214" s="435"/>
      <c r="CT214" s="435"/>
      <c r="CU214" s="435"/>
      <c r="CV214" s="435"/>
      <c r="CW214" s="435"/>
    </row>
    <row r="215" spans="1:101" s="9" customFormat="1" ht="11.25">
      <c r="A215" s="958" t="s">
        <v>1591</v>
      </c>
      <c r="B215" s="956"/>
      <c r="C215" s="956"/>
      <c r="D215" s="956"/>
      <c r="E215" s="956"/>
      <c r="F215" s="956"/>
      <c r="G215" s="956"/>
      <c r="H215" s="956"/>
      <c r="I215" s="956"/>
      <c r="J215" s="956"/>
      <c r="K215" s="956"/>
      <c r="L215" s="956"/>
      <c r="M215" s="956"/>
      <c r="N215" s="956"/>
      <c r="O215" s="956"/>
      <c r="P215" s="956"/>
      <c r="Q215" s="956"/>
      <c r="R215" s="956"/>
      <c r="S215" s="956"/>
      <c r="T215" s="956"/>
      <c r="U215" s="956">
        <f>+Q_Financials!U176</f>
        <v>0</v>
      </c>
      <c r="V215" s="956">
        <f>+Q_Financials!V176</f>
        <v>0</v>
      </c>
      <c r="W215" s="956">
        <f>+Q_Financials!W176</f>
        <v>0</v>
      </c>
      <c r="X215" s="956">
        <f>+Q_Financials!X176</f>
        <v>0</v>
      </c>
      <c r="Y215" s="956">
        <f>+Q_Financials!Y176</f>
        <v>0</v>
      </c>
      <c r="Z215" s="956">
        <f>+Q_Financials!Z176</f>
        <v>0</v>
      </c>
      <c r="AA215" s="956">
        <f>+Q_Financials!AA176</f>
        <v>0</v>
      </c>
      <c r="AB215" s="956">
        <f>+Q_Financials!AB176</f>
        <v>0</v>
      </c>
      <c r="AC215" s="956">
        <f>+Q_Financials!AC176</f>
        <v>0</v>
      </c>
      <c r="AD215" s="956">
        <f>+Q_Financials!AD176</f>
        <v>0</v>
      </c>
      <c r="AE215" s="2143">
        <f>+Q_Financials!AE176</f>
        <v>0</v>
      </c>
      <c r="AF215" s="956">
        <f>+Q_Financials!AF176</f>
        <v>0</v>
      </c>
      <c r="AG215" s="956">
        <f>+Q_Financials!AG176</f>
        <v>0</v>
      </c>
      <c r="AH215" s="956">
        <f>+Q_Financials!AH176</f>
        <v>0</v>
      </c>
      <c r="AI215" s="956">
        <f>+Q_Financials!AI176</f>
        <v>0</v>
      </c>
      <c r="AJ215" s="956">
        <f>+Q_Financials!AJ176</f>
        <v>0</v>
      </c>
      <c r="AK215" s="956">
        <f>+Q_Financials!AK176</f>
        <v>0</v>
      </c>
      <c r="AL215" s="956">
        <f>+Q_Financials!AL176</f>
        <v>0</v>
      </c>
      <c r="AM215" s="956">
        <f>+Q_Financials!AM176</f>
        <v>0</v>
      </c>
      <c r="AN215" s="956">
        <f>+Q_Financials!AN176</f>
        <v>0</v>
      </c>
      <c r="AO215" s="956">
        <f>+Q_Financials!AO176</f>
        <v>0</v>
      </c>
      <c r="AP215" s="956">
        <f>+Q_Financials!AP176</f>
        <v>0</v>
      </c>
      <c r="AQ215" s="956">
        <f>+Q_Financials!AQ176</f>
        <v>0</v>
      </c>
      <c r="AR215" s="956">
        <f>+Q_Financials!AR176</f>
        <v>0</v>
      </c>
      <c r="AS215" s="956">
        <f>+Q_Financials!AS176</f>
        <v>0</v>
      </c>
      <c r="AT215" s="956">
        <f>+Q_Financials!AT176</f>
        <v>0</v>
      </c>
      <c r="AU215" s="956">
        <f>+Q_Financials!AU176</f>
        <v>0</v>
      </c>
      <c r="AV215" s="956">
        <f>+Q_Financials!AV176</f>
        <v>0</v>
      </c>
      <c r="AW215" s="956">
        <f>+Q_Financials!AW176</f>
        <v>0</v>
      </c>
      <c r="AX215" s="956">
        <f>Segment!AY615</f>
        <v>366</v>
      </c>
      <c r="AY215" s="956">
        <f>Segment!AZ615</f>
        <v>344</v>
      </c>
      <c r="AZ215" s="956">
        <f>Segment!BA615</f>
        <v>556</v>
      </c>
      <c r="BA215" s="956">
        <f>Segment!BB615</f>
        <v>829</v>
      </c>
      <c r="BB215" s="956">
        <f>Segment!BC615</f>
        <v>589</v>
      </c>
      <c r="BC215" s="956">
        <f>Segment!BD615</f>
        <v>679</v>
      </c>
      <c r="BD215" s="956">
        <f>Segment!BE615</f>
        <v>865</v>
      </c>
      <c r="BE215" s="956">
        <f>Segment!BF615</f>
        <v>899</v>
      </c>
      <c r="BF215" s="956">
        <f>Segment!BG615</f>
        <v>710</v>
      </c>
      <c r="BG215" s="956">
        <f>Segment!BH615</f>
        <v>750</v>
      </c>
      <c r="BH215" s="956">
        <f>Segment!BI615</f>
        <v>913</v>
      </c>
      <c r="BI215" s="956">
        <f>Segment!BJ615</f>
        <v>588</v>
      </c>
      <c r="BJ215" s="956">
        <f>Segment!BK615</f>
        <v>566</v>
      </c>
      <c r="BK215" s="1371">
        <f>Segment!BL615</f>
        <v>580</v>
      </c>
      <c r="BL215" s="435"/>
      <c r="BM215" s="435"/>
      <c r="BN215" s="435"/>
      <c r="BO215" s="435"/>
      <c r="BP215" s="435"/>
      <c r="BQ215" s="435"/>
      <c r="BR215" s="435"/>
      <c r="BS215" s="435"/>
      <c r="BT215" s="435"/>
      <c r="BU215" s="435"/>
      <c r="BV215" s="435"/>
      <c r="BW215" s="435"/>
      <c r="BX215" s="435"/>
      <c r="BY215" s="435"/>
      <c r="BZ215" s="435"/>
      <c r="CA215" s="435"/>
      <c r="CB215" s="435"/>
      <c r="CC215" s="435"/>
      <c r="CD215" s="435"/>
      <c r="CE215" s="435"/>
      <c r="CF215" s="435"/>
      <c r="CG215" s="435"/>
      <c r="CH215" s="435"/>
      <c r="CI215" s="435"/>
      <c r="CJ215" s="435"/>
      <c r="CK215" s="435"/>
      <c r="CL215" s="435"/>
      <c r="CM215" s="435"/>
      <c r="CN215" s="435"/>
      <c r="CO215" s="435"/>
      <c r="CP215" s="435"/>
      <c r="CQ215" s="435"/>
      <c r="CR215" s="435"/>
      <c r="CS215" s="435"/>
      <c r="CT215" s="435"/>
      <c r="CU215" s="435"/>
      <c r="CV215" s="435"/>
      <c r="CW215" s="435"/>
    </row>
    <row r="216" spans="1:101" s="9" customFormat="1" ht="11.25">
      <c r="A216" s="903" t="s">
        <v>979</v>
      </c>
      <c r="B216" s="659"/>
      <c r="C216" s="659"/>
      <c r="D216" s="659"/>
      <c r="E216" s="659"/>
      <c r="F216" s="659"/>
      <c r="G216" s="659"/>
      <c r="H216" s="659"/>
      <c r="I216" s="659"/>
      <c r="J216" s="659"/>
      <c r="K216" s="659"/>
      <c r="L216" s="659"/>
      <c r="M216" s="659"/>
      <c r="N216" s="659"/>
      <c r="O216" s="659"/>
      <c r="P216" s="659"/>
      <c r="Q216" s="659"/>
      <c r="R216" s="659"/>
      <c r="S216" s="659"/>
      <c r="T216" s="659"/>
      <c r="U216" s="659"/>
      <c r="V216" s="659"/>
      <c r="W216" s="659"/>
      <c r="X216" s="659"/>
      <c r="Y216" s="659"/>
      <c r="Z216" s="659"/>
      <c r="AA216" s="659"/>
      <c r="AB216" s="659"/>
      <c r="AC216" s="659"/>
      <c r="AD216" s="659"/>
      <c r="AE216" s="2139"/>
      <c r="AF216" s="659"/>
      <c r="AG216" s="659"/>
      <c r="AH216" s="912"/>
      <c r="AI216" s="659"/>
      <c r="AJ216" s="659"/>
      <c r="AK216" s="659"/>
      <c r="AL216" s="659"/>
      <c r="AM216" s="966"/>
      <c r="AN216" s="966"/>
      <c r="AO216" s="966"/>
      <c r="AP216" s="435"/>
      <c r="AQ216" s="435"/>
      <c r="AR216" s="435"/>
      <c r="AS216" s="435"/>
      <c r="AT216" s="435"/>
      <c r="AU216" s="435"/>
      <c r="AV216" s="435"/>
      <c r="AW216" s="435"/>
      <c r="AX216" s="84">
        <f t="shared" ref="AX216" si="1214">AX215/AX189</f>
        <v>0.20831791818683726</v>
      </c>
      <c r="AY216" s="84">
        <f t="shared" ref="AY216" si="1215">AY215/AY189</f>
        <v>0.1986981803521001</v>
      </c>
      <c r="AZ216" s="84">
        <f t="shared" ref="AZ216" si="1216">AZ215/AZ189</f>
        <v>0.22942575064721996</v>
      </c>
      <c r="BA216" s="84">
        <f t="shared" ref="BA216" si="1217">BA215/BA189</f>
        <v>0.27176425155993988</v>
      </c>
      <c r="BB216" s="84">
        <f t="shared" ref="BB216" si="1218">BB215/BB189</f>
        <v>0.21747719074115784</v>
      </c>
      <c r="BC216" s="84">
        <f t="shared" ref="BC216" si="1219">BC215/BC189</f>
        <v>0.21475516645897513</v>
      </c>
      <c r="BD216" s="84">
        <f t="shared" ref="BD216" si="1220">BD215/BD189</f>
        <v>0.23505837192321499</v>
      </c>
      <c r="BE216" s="84">
        <f t="shared" ref="BE216" si="1221">BE215/BE189</f>
        <v>0.23425458705137575</v>
      </c>
      <c r="BF216" s="84">
        <f t="shared" ref="BF216" si="1222">BF215/BF189</f>
        <v>0.2264367812426149</v>
      </c>
      <c r="BG216" s="84">
        <f t="shared" ref="BG216" si="1223">BG215/BG189</f>
        <v>0.21673356509375893</v>
      </c>
      <c r="BH216" s="84">
        <f t="shared" ref="BH216" si="1224">BH215/BH189</f>
        <v>0.23220957970066072</v>
      </c>
      <c r="BI216" s="84">
        <f t="shared" ref="BI216" si="1225">BI215/BI189</f>
        <v>0.17406868075182277</v>
      </c>
      <c r="BJ216" s="84">
        <f>BJ215/BJ189</f>
        <v>0.21446250240607226</v>
      </c>
      <c r="BK216" s="801">
        <f>BK215/BK189</f>
        <v>0.18976132932391637</v>
      </c>
      <c r="BL216" s="435"/>
      <c r="BM216" s="435"/>
      <c r="BN216" s="435"/>
      <c r="BO216" s="435"/>
      <c r="BP216" s="435"/>
      <c r="BQ216" s="435"/>
      <c r="BR216" s="435"/>
      <c r="BS216" s="435"/>
      <c r="BT216" s="435"/>
      <c r="BU216" s="435"/>
      <c r="BV216" s="435"/>
      <c r="BW216" s="435"/>
      <c r="BX216" s="435"/>
      <c r="BY216" s="435"/>
      <c r="BZ216" s="435"/>
      <c r="CA216" s="435"/>
      <c r="CB216" s="435"/>
      <c r="CC216" s="435"/>
      <c r="CD216" s="435"/>
      <c r="CE216" s="435"/>
      <c r="CF216" s="435"/>
      <c r="CG216" s="435"/>
      <c r="CH216" s="435"/>
      <c r="CI216" s="435"/>
      <c r="CJ216" s="435"/>
      <c r="CK216" s="435"/>
      <c r="CL216" s="435"/>
      <c r="CM216" s="435"/>
      <c r="CN216" s="435"/>
      <c r="CO216" s="435"/>
      <c r="CP216" s="435"/>
      <c r="CQ216" s="435"/>
      <c r="CR216" s="435"/>
      <c r="CS216" s="435"/>
      <c r="CT216" s="435"/>
      <c r="CU216" s="435"/>
      <c r="CV216" s="435"/>
      <c r="CW216" s="435"/>
    </row>
    <row r="217" spans="1:101" s="9" customFormat="1" ht="11.25">
      <c r="A217" s="903" t="s">
        <v>1031</v>
      </c>
      <c r="B217" s="812"/>
      <c r="C217" s="812"/>
      <c r="D217" s="812"/>
      <c r="E217" s="812"/>
      <c r="F217" s="812"/>
      <c r="G217" s="812"/>
      <c r="H217" s="812"/>
      <c r="I217" s="812"/>
      <c r="J217" s="812"/>
      <c r="K217" s="812"/>
      <c r="L217" s="812"/>
      <c r="M217" s="812"/>
      <c r="N217" s="812"/>
      <c r="O217" s="812"/>
      <c r="P217" s="812"/>
      <c r="Q217" s="812"/>
      <c r="R217" s="812"/>
      <c r="S217" s="812"/>
      <c r="T217" s="812"/>
      <c r="U217" s="813"/>
      <c r="V217" s="813"/>
      <c r="W217" s="813"/>
      <c r="X217" s="813"/>
      <c r="Y217" s="959"/>
      <c r="Z217" s="959"/>
      <c r="AA217" s="959"/>
      <c r="AB217" s="959"/>
      <c r="AC217" s="959"/>
      <c r="AD217" s="959"/>
      <c r="AE217" s="2145"/>
      <c r="AF217" s="959"/>
      <c r="AG217" s="959"/>
      <c r="AH217" s="959"/>
      <c r="AI217" s="959"/>
      <c r="AJ217" s="959"/>
      <c r="AK217" s="959"/>
      <c r="AL217" s="959"/>
      <c r="AM217" s="969"/>
      <c r="AN217" s="969"/>
      <c r="AO217" s="969"/>
      <c r="AP217" s="969"/>
      <c r="AQ217" s="969"/>
      <c r="AR217" s="969"/>
      <c r="AS217" s="969"/>
      <c r="AT217" s="969"/>
      <c r="AU217" s="969"/>
      <c r="AV217" s="969"/>
      <c r="AW217" s="969"/>
      <c r="AX217" s="969">
        <f t="shared" ref="AX217" si="1226">+(AX216-AT216)*10000</f>
        <v>2083.1791818683728</v>
      </c>
      <c r="AY217" s="969">
        <f t="shared" ref="AY217" si="1227">+(AY216-AU216)*10000</f>
        <v>1986.981803521001</v>
      </c>
      <c r="AZ217" s="969">
        <f t="shared" ref="AZ217" si="1228">+(AZ216-AV216)*10000</f>
        <v>2294.2575064721996</v>
      </c>
      <c r="BA217" s="969">
        <f t="shared" ref="BA217" si="1229">+(BA216-AW216)*10000</f>
        <v>2717.6425155993988</v>
      </c>
      <c r="BB217" s="969">
        <f t="shared" ref="BB217" si="1230">+(BB216-AX216)*10000</f>
        <v>91.592725543205859</v>
      </c>
      <c r="BC217" s="969">
        <f t="shared" ref="BC217" si="1231">+(BC216-AY216)*10000</f>
        <v>160.56986106875033</v>
      </c>
      <c r="BD217" s="969">
        <f t="shared" ref="BD217" si="1232">+(BD216-AZ216)*10000</f>
        <v>56.326212759950366</v>
      </c>
      <c r="BE217" s="969">
        <f t="shared" ref="BE217" si="1233">+(BE216-BA216)*10000</f>
        <v>-375.09664508564134</v>
      </c>
      <c r="BF217" s="969">
        <f t="shared" ref="BF217" si="1234">+(BF216-BB216)*10000</f>
        <v>89.595905014570604</v>
      </c>
      <c r="BG217" s="969">
        <f t="shared" ref="BG217" si="1235">+(BG216-BC216)*10000</f>
        <v>19.783986347838013</v>
      </c>
      <c r="BH217" s="969">
        <f t="shared" ref="BH217" si="1236">+(BH216-BD216)*10000</f>
        <v>-28.487922225542693</v>
      </c>
      <c r="BI217" s="969">
        <f t="shared" ref="BI217" si="1237">+(BI216-BE216)*10000</f>
        <v>-601.85906299552983</v>
      </c>
      <c r="BJ217" s="969">
        <f t="shared" ref="BJ217:BK217" si="1238">+(BJ216-BF216)*10000</f>
        <v>-119.74278836542645</v>
      </c>
      <c r="BK217" s="1372">
        <f t="shared" si="1238"/>
        <v>-269.72235769842564</v>
      </c>
      <c r="BL217" s="435"/>
      <c r="BM217" s="435"/>
      <c r="BN217" s="435"/>
      <c r="BO217" s="435"/>
      <c r="BP217" s="435"/>
      <c r="BQ217" s="435"/>
      <c r="BR217" s="435"/>
      <c r="BS217" s="435"/>
      <c r="BT217" s="435"/>
      <c r="BU217" s="435"/>
      <c r="BV217" s="435"/>
      <c r="BW217" s="435"/>
      <c r="BX217" s="435"/>
      <c r="BY217" s="435"/>
      <c r="BZ217" s="435"/>
      <c r="CA217" s="435"/>
      <c r="CB217" s="435"/>
      <c r="CC217" s="435"/>
      <c r="CD217" s="435"/>
      <c r="CE217" s="435"/>
      <c r="CF217" s="435"/>
      <c r="CG217" s="435"/>
      <c r="CH217" s="435"/>
      <c r="CI217" s="435"/>
      <c r="CJ217" s="435"/>
      <c r="CK217" s="435"/>
      <c r="CL217" s="435"/>
      <c r="CM217" s="435"/>
      <c r="CN217" s="435"/>
      <c r="CO217" s="435"/>
      <c r="CP217" s="435"/>
      <c r="CQ217" s="435"/>
      <c r="CR217" s="435"/>
      <c r="CS217" s="435"/>
      <c r="CT217" s="435"/>
      <c r="CU217" s="435"/>
      <c r="CV217" s="435"/>
      <c r="CW217" s="435"/>
    </row>
    <row r="218" spans="1:101" s="9" customFormat="1" ht="11.25">
      <c r="A218" s="903" t="s">
        <v>1625</v>
      </c>
      <c r="B218" s="812"/>
      <c r="C218" s="812"/>
      <c r="D218" s="812"/>
      <c r="E218" s="812"/>
      <c r="F218" s="812"/>
      <c r="G218" s="812"/>
      <c r="H218" s="812"/>
      <c r="I218" s="812"/>
      <c r="J218" s="812"/>
      <c r="K218" s="812"/>
      <c r="L218" s="812"/>
      <c r="M218" s="812"/>
      <c r="N218" s="812"/>
      <c r="O218" s="812"/>
      <c r="P218" s="812"/>
      <c r="Q218" s="812"/>
      <c r="R218" s="812"/>
      <c r="S218" s="812"/>
      <c r="T218" s="812"/>
      <c r="U218" s="813"/>
      <c r="V218" s="813"/>
      <c r="W218" s="813"/>
      <c r="X218" s="813"/>
      <c r="Y218" s="813"/>
      <c r="Z218" s="813"/>
      <c r="AA218" s="813"/>
      <c r="AB218" s="813"/>
      <c r="AC218" s="813"/>
      <c r="AD218" s="813"/>
      <c r="AE218" s="2144"/>
      <c r="AF218" s="813"/>
      <c r="AG218" s="813"/>
      <c r="AH218" s="813"/>
      <c r="AI218" s="813"/>
      <c r="AJ218" s="813"/>
      <c r="AK218" s="813"/>
      <c r="AL218" s="813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>
        <f t="shared" ref="AX218:BI218" si="1239">AX215/AX$277</f>
        <v>0.13015647226173541</v>
      </c>
      <c r="AY218" s="84">
        <f t="shared" si="1239"/>
        <v>9.2077087794432549E-2</v>
      </c>
      <c r="AZ218" s="84">
        <f t="shared" si="1239"/>
        <v>0.13893053473263367</v>
      </c>
      <c r="BA218" s="84">
        <f t="shared" si="1239"/>
        <v>0.14893999281351061</v>
      </c>
      <c r="BB218" s="84">
        <f t="shared" si="1239"/>
        <v>0.13845792195580631</v>
      </c>
      <c r="BC218" s="84">
        <f t="shared" si="1239"/>
        <v>0.14595872742906277</v>
      </c>
      <c r="BD218" s="84">
        <f t="shared" si="1239"/>
        <v>0.19295114878429623</v>
      </c>
      <c r="BE218" s="84">
        <f t="shared" si="1239"/>
        <v>0.1839574381010845</v>
      </c>
      <c r="BF218" s="84">
        <f t="shared" si="1239"/>
        <v>0.15732328827830711</v>
      </c>
      <c r="BG218" s="84">
        <f t="shared" si="1239"/>
        <v>0.14822134387351779</v>
      </c>
      <c r="BH218" s="84">
        <f t="shared" si="1239"/>
        <v>0.17832031249999999</v>
      </c>
      <c r="BI218" s="84">
        <f t="shared" si="1239"/>
        <v>0.11312043093497499</v>
      </c>
      <c r="BJ218" s="84">
        <f>BJ215/BJ$277</f>
        <v>0.11943447984806921</v>
      </c>
      <c r="BK218" s="801">
        <f>BK215/BK$277</f>
        <v>0.11478329705125669</v>
      </c>
      <c r="BL218" s="380"/>
      <c r="BM218" s="380"/>
      <c r="BN218" s="380"/>
      <c r="BO218" s="380"/>
      <c r="BP218" s="380"/>
      <c r="BQ218" s="380"/>
      <c r="BR218" s="380"/>
      <c r="BS218" s="380"/>
      <c r="BT218" s="380"/>
      <c r="BU218" s="380"/>
      <c r="BV218" s="380"/>
      <c r="BW218" s="380"/>
      <c r="BX218" s="380"/>
      <c r="BY218" s="380"/>
      <c r="BZ218" s="380"/>
      <c r="CA218" s="380"/>
      <c r="CB218" s="380"/>
      <c r="CC218" s="380"/>
      <c r="CD218" s="380"/>
      <c r="CE218" s="380"/>
      <c r="CF218" s="380"/>
      <c r="CG218" s="380"/>
      <c r="CH218" s="380"/>
      <c r="CI218" s="380"/>
      <c r="CJ218" s="380"/>
      <c r="CK218" s="380"/>
      <c r="CL218" s="380"/>
      <c r="CM218" s="380"/>
      <c r="CN218" s="380"/>
      <c r="CO218" s="380"/>
      <c r="CP218" s="380"/>
      <c r="CQ218" s="380"/>
      <c r="CR218" s="380"/>
      <c r="CS218" s="380"/>
      <c r="CT218" s="380"/>
      <c r="CU218" s="380"/>
      <c r="CV218" s="380"/>
      <c r="CW218" s="380"/>
    </row>
    <row r="219" spans="1:101" s="9" customFormat="1" ht="11.25">
      <c r="A219" s="903" t="s">
        <v>950</v>
      </c>
      <c r="B219" s="659"/>
      <c r="C219" s="659"/>
      <c r="D219" s="659"/>
      <c r="E219" s="659"/>
      <c r="F219" s="659"/>
      <c r="G219" s="659"/>
      <c r="H219" s="659"/>
      <c r="I219" s="659"/>
      <c r="J219" s="659"/>
      <c r="K219" s="659"/>
      <c r="L219" s="659"/>
      <c r="M219" s="659"/>
      <c r="N219" s="659"/>
      <c r="O219" s="659"/>
      <c r="P219" s="659"/>
      <c r="Q219" s="659"/>
      <c r="R219" s="659"/>
      <c r="S219" s="659"/>
      <c r="T219" s="659"/>
      <c r="U219" s="659"/>
      <c r="V219" s="659"/>
      <c r="W219" s="659"/>
      <c r="X219" s="659"/>
      <c r="Y219" s="659"/>
      <c r="Z219" s="659"/>
      <c r="AA219" s="659"/>
      <c r="AB219" s="659"/>
      <c r="AC219" s="659"/>
      <c r="AD219" s="659"/>
      <c r="AE219" s="2139"/>
      <c r="AF219" s="659"/>
      <c r="AG219" s="659"/>
      <c r="AH219" s="912"/>
      <c r="AI219" s="659"/>
      <c r="AJ219" s="659"/>
      <c r="AK219" s="659"/>
      <c r="AL219" s="659"/>
      <c r="AM219" s="966"/>
      <c r="AN219" s="966"/>
      <c r="AO219" s="966"/>
      <c r="AP219" s="435"/>
      <c r="AQ219" s="435"/>
      <c r="AR219" s="435"/>
      <c r="AS219" s="435"/>
      <c r="AT219" s="435"/>
      <c r="AU219" s="435"/>
      <c r="AV219" s="435"/>
      <c r="AW219" s="435"/>
      <c r="AX219" s="84" t="e">
        <f t="shared" ref="AX219" si="1240">AX215/AT215-1</f>
        <v>#DIV/0!</v>
      </c>
      <c r="AY219" s="84" t="e">
        <f t="shared" ref="AY219" si="1241">AY215/AU215-1</f>
        <v>#DIV/0!</v>
      </c>
      <c r="AZ219" s="84" t="e">
        <f t="shared" ref="AZ219" si="1242">AZ215/AV215-1</f>
        <v>#DIV/0!</v>
      </c>
      <c r="BA219" s="84" t="e">
        <f t="shared" ref="BA219" si="1243">BA215/AW215-1</f>
        <v>#DIV/0!</v>
      </c>
      <c r="BB219" s="84">
        <f t="shared" ref="BB219" si="1244">BB215/AX215-1</f>
        <v>0.6092896174863387</v>
      </c>
      <c r="BC219" s="84">
        <f t="shared" ref="BC219" si="1245">BC215/AY215-1</f>
        <v>0.97383720930232553</v>
      </c>
      <c r="BD219" s="84">
        <f t="shared" ref="BD219" si="1246">BD215/AZ215-1</f>
        <v>0.55575539568345333</v>
      </c>
      <c r="BE219" s="84">
        <f t="shared" ref="BE219" si="1247">BE215/BA215-1</f>
        <v>8.4439083232810574E-2</v>
      </c>
      <c r="BF219" s="84">
        <f t="shared" ref="BF219" si="1248">BF215/BB215-1</f>
        <v>0.20543293718166389</v>
      </c>
      <c r="BG219" s="84">
        <f t="shared" ref="BG219" si="1249">BG215/BC215-1</f>
        <v>0.10456553755522835</v>
      </c>
      <c r="BH219" s="84">
        <f t="shared" ref="BH219" si="1250">BH215/BD215-1</f>
        <v>5.5491329479768758E-2</v>
      </c>
      <c r="BI219" s="84">
        <f t="shared" ref="BI219" si="1251">BI215/BE215-1</f>
        <v>-0.34593993325917682</v>
      </c>
      <c r="BJ219" s="84">
        <f>BJ215/BF215-1</f>
        <v>-0.20281690140845066</v>
      </c>
      <c r="BK219" s="801">
        <f>BK215/BG215-1</f>
        <v>-0.22666666666666668</v>
      </c>
    </row>
    <row r="220" spans="1:101" s="9" customFormat="1" ht="11.25">
      <c r="A220" s="903"/>
      <c r="B220" s="659"/>
      <c r="C220" s="659"/>
      <c r="D220" s="659"/>
      <c r="E220" s="659"/>
      <c r="F220" s="659"/>
      <c r="G220" s="659"/>
      <c r="H220" s="659"/>
      <c r="I220" s="659"/>
      <c r="J220" s="659"/>
      <c r="K220" s="659"/>
      <c r="L220" s="659"/>
      <c r="M220" s="659"/>
      <c r="N220" s="659"/>
      <c r="O220" s="659"/>
      <c r="P220" s="659"/>
      <c r="Q220" s="659"/>
      <c r="R220" s="659"/>
      <c r="S220" s="659"/>
      <c r="T220" s="659"/>
      <c r="U220" s="659"/>
      <c r="V220" s="659"/>
      <c r="W220" s="659"/>
      <c r="X220" s="659"/>
      <c r="Y220" s="659"/>
      <c r="Z220" s="659"/>
      <c r="AA220" s="659"/>
      <c r="AB220" s="659"/>
      <c r="AC220" s="659"/>
      <c r="AD220" s="659"/>
      <c r="AE220" s="2139"/>
      <c r="AF220" s="659"/>
      <c r="AG220" s="659"/>
      <c r="AH220" s="912"/>
      <c r="AI220" s="659"/>
      <c r="AJ220" s="659"/>
      <c r="AK220" s="659"/>
      <c r="AL220" s="659"/>
      <c r="AM220" s="966"/>
      <c r="AN220" s="966"/>
      <c r="AO220" s="966"/>
      <c r="AP220" s="435"/>
      <c r="AQ220" s="435"/>
      <c r="AR220" s="435"/>
      <c r="AS220" s="435"/>
      <c r="AT220" s="435"/>
      <c r="AU220" s="435"/>
      <c r="AV220" s="435"/>
      <c r="AW220" s="435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</row>
    <row r="221" spans="1:101" s="9" customFormat="1" ht="11.25">
      <c r="A221" s="280" t="s">
        <v>325</v>
      </c>
      <c r="B221" s="276"/>
      <c r="C221" s="276"/>
      <c r="D221" s="276"/>
      <c r="E221" s="276"/>
      <c r="F221" s="276"/>
      <c r="G221" s="276"/>
      <c r="H221" s="276"/>
      <c r="I221" s="276"/>
      <c r="J221" s="276"/>
      <c r="K221" s="276"/>
      <c r="L221" s="276"/>
      <c r="M221" s="276"/>
      <c r="N221" s="276"/>
      <c r="O221" s="276"/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441"/>
      <c r="AB221" s="276"/>
      <c r="AC221" s="276"/>
      <c r="AD221" s="276"/>
      <c r="AE221" s="2128"/>
      <c r="AF221" s="276"/>
      <c r="AG221" s="276"/>
      <c r="AH221" s="276"/>
      <c r="AI221" s="276"/>
      <c r="AJ221" s="276"/>
      <c r="AK221" s="276"/>
      <c r="AL221" s="276"/>
      <c r="AM221" s="276"/>
      <c r="AN221" s="276"/>
      <c r="AO221" s="276"/>
      <c r="AP221" s="276"/>
      <c r="AQ221" s="276"/>
      <c r="AR221" s="276"/>
      <c r="AS221" s="276"/>
      <c r="AT221" s="276"/>
      <c r="AU221" s="276"/>
      <c r="AV221" s="276"/>
      <c r="AW221" s="276"/>
      <c r="AX221" s="276"/>
      <c r="AY221" s="276"/>
      <c r="AZ221" s="276"/>
      <c r="BA221" s="276"/>
      <c r="BB221" s="276"/>
      <c r="BC221" s="276"/>
      <c r="BD221" s="276"/>
      <c r="BE221" s="276"/>
      <c r="BF221" s="276"/>
      <c r="BG221" s="276"/>
      <c r="BH221" s="276"/>
      <c r="BI221" s="276"/>
      <c r="BJ221" s="276"/>
      <c r="BK221" s="276"/>
      <c r="BL221" s="276"/>
      <c r="BM221" s="276"/>
      <c r="BN221" s="276"/>
      <c r="BO221" s="276"/>
      <c r="BP221" s="276"/>
      <c r="BQ221" s="276"/>
      <c r="BR221" s="276"/>
      <c r="BS221" s="276"/>
      <c r="BT221" s="276"/>
      <c r="BU221" s="276"/>
      <c r="BV221" s="276"/>
      <c r="BW221" s="276"/>
      <c r="BX221" s="276"/>
      <c r="BY221" s="276"/>
      <c r="BZ221" s="276"/>
      <c r="CA221" s="276"/>
      <c r="CB221" s="276"/>
      <c r="CC221" s="276"/>
      <c r="CD221" s="276"/>
      <c r="CE221" s="276"/>
      <c r="CF221" s="276"/>
      <c r="CG221" s="276"/>
      <c r="CH221" s="276"/>
      <c r="CI221" s="276"/>
      <c r="CJ221" s="276"/>
      <c r="CK221" s="276"/>
      <c r="CL221" s="276"/>
      <c r="CM221" s="276"/>
      <c r="CN221" s="276"/>
      <c r="CO221" s="276"/>
      <c r="CP221" s="276"/>
      <c r="CQ221" s="276"/>
      <c r="CR221" s="276"/>
      <c r="CS221" s="276"/>
      <c r="CT221" s="276"/>
      <c r="CU221" s="276"/>
      <c r="CV221" s="276"/>
      <c r="CW221" s="276"/>
    </row>
    <row r="222" spans="1:101" s="9" customFormat="1" ht="11.25">
      <c r="A222" s="331"/>
      <c r="B222" s="62"/>
      <c r="C222" s="62"/>
      <c r="D222" s="62"/>
      <c r="E222" s="62"/>
      <c r="F222" s="316"/>
      <c r="G222" s="333"/>
      <c r="H222" s="333"/>
      <c r="I222" s="316"/>
      <c r="J222" s="316"/>
      <c r="K222" s="333"/>
      <c r="L222" s="333"/>
      <c r="M222" s="316"/>
      <c r="N222" s="355"/>
      <c r="O222" s="355"/>
      <c r="P222" s="355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55"/>
      <c r="AB222" s="316"/>
      <c r="AC222" s="316"/>
      <c r="AD222" s="316"/>
      <c r="AE222" s="2129"/>
      <c r="AF222" s="316"/>
      <c r="AG222" s="316"/>
      <c r="AH222" s="316"/>
      <c r="AI222" s="316"/>
      <c r="AJ222" s="316"/>
      <c r="AK222" s="316"/>
      <c r="AL222" s="316"/>
      <c r="AM222" s="421"/>
      <c r="AN222" s="421"/>
      <c r="AO222" s="421"/>
      <c r="BK222" s="1318"/>
    </row>
    <row r="223" spans="1:101" s="9" customFormat="1" ht="11.25">
      <c r="A223" s="331" t="s">
        <v>752</v>
      </c>
      <c r="B223" s="62"/>
      <c r="C223" s="62"/>
      <c r="D223" s="62"/>
      <c r="E223" s="62"/>
      <c r="F223" s="316"/>
      <c r="G223" s="333"/>
      <c r="H223" s="333"/>
      <c r="I223" s="316"/>
      <c r="J223" s="316"/>
      <c r="K223" s="333"/>
      <c r="L223" s="333"/>
      <c r="M223" s="316"/>
      <c r="N223" s="355"/>
      <c r="O223" s="355"/>
      <c r="P223" s="355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  <c r="AA223" s="355"/>
      <c r="AB223" s="316"/>
      <c r="AC223" s="316"/>
      <c r="AD223" s="316"/>
      <c r="AE223" s="2129"/>
      <c r="AF223" s="316"/>
      <c r="AG223" s="316"/>
      <c r="AH223" s="316"/>
      <c r="AI223" s="316"/>
      <c r="AJ223" s="316"/>
      <c r="AK223" s="316"/>
      <c r="AL223" s="316"/>
      <c r="AM223" s="316"/>
      <c r="AN223" s="316"/>
      <c r="AO223" s="316"/>
      <c r="BK223" s="1318"/>
    </row>
    <row r="224" spans="1:101" s="9" customFormat="1" ht="11.25">
      <c r="A224" s="331"/>
      <c r="B224" s="62"/>
      <c r="C224" s="62"/>
      <c r="D224" s="62"/>
      <c r="E224" s="62"/>
      <c r="F224" s="316"/>
      <c r="G224" s="333"/>
      <c r="H224" s="333"/>
      <c r="I224" s="316"/>
      <c r="J224" s="316"/>
      <c r="K224" s="333"/>
      <c r="L224" s="333"/>
      <c r="M224" s="316"/>
      <c r="N224" s="355"/>
      <c r="O224" s="355"/>
      <c r="P224" s="355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55"/>
      <c r="AB224" s="316"/>
      <c r="AC224" s="316"/>
      <c r="AD224" s="316"/>
      <c r="AE224" s="2129"/>
      <c r="AF224" s="316"/>
      <c r="AG224" s="316"/>
      <c r="AH224" s="316"/>
      <c r="AI224" s="316"/>
      <c r="AJ224" s="316"/>
      <c r="AK224" s="316"/>
      <c r="AL224" s="316"/>
      <c r="AM224" s="316"/>
      <c r="AN224" s="316"/>
      <c r="AO224" s="316"/>
      <c r="BK224" s="1318"/>
    </row>
    <row r="225" spans="1:101" s="9" customFormat="1" ht="11.25">
      <c r="A225" s="622" t="s">
        <v>947</v>
      </c>
      <c r="B225" s="423">
        <f>Segment!C476</f>
        <v>1149</v>
      </c>
      <c r="C225" s="423">
        <f>Segment!D476</f>
        <v>1155</v>
      </c>
      <c r="D225" s="423">
        <f>Segment!E476</f>
        <v>1155</v>
      </c>
      <c r="E225" s="423">
        <f>Segment!F476</f>
        <v>1171</v>
      </c>
      <c r="F225" s="423">
        <f>Segment!G476</f>
        <v>1171</v>
      </c>
      <c r="G225" s="423">
        <f>Segment!H476</f>
        <v>1188</v>
      </c>
      <c r="H225" s="423">
        <f>Segment!I476</f>
        <v>1174</v>
      </c>
      <c r="I225" s="423">
        <f>Segment!J476</f>
        <v>1206</v>
      </c>
      <c r="J225" s="423">
        <f>Segment!K476</f>
        <v>1211</v>
      </c>
      <c r="K225" s="423">
        <f>Segment!L476</f>
        <v>1227</v>
      </c>
      <c r="L225" s="423">
        <f>Segment!M476</f>
        <v>1242</v>
      </c>
      <c r="M225" s="423">
        <f>Segment!N476</f>
        <v>1283</v>
      </c>
      <c r="N225" s="423">
        <f>Segment!O476</f>
        <v>1341</v>
      </c>
      <c r="O225" s="423">
        <f>Segment!P476</f>
        <v>1363</v>
      </c>
      <c r="P225" s="423">
        <f>Segment!Q476</f>
        <v>1388</v>
      </c>
      <c r="Q225" s="423">
        <f>Segment!R476</f>
        <v>1435</v>
      </c>
      <c r="R225" s="423">
        <f>Segment!S476</f>
        <v>1431</v>
      </c>
      <c r="S225" s="423">
        <f>Segment!T476</f>
        <v>1768</v>
      </c>
      <c r="T225" s="423">
        <f>Segment!U476</f>
        <v>1811</v>
      </c>
      <c r="U225" s="423">
        <f>Segment!V476</f>
        <v>1862</v>
      </c>
      <c r="V225" s="423">
        <f>Segment!W476</f>
        <v>1881</v>
      </c>
      <c r="W225" s="423">
        <f>Segment!X476</f>
        <v>2241</v>
      </c>
      <c r="X225" s="423">
        <f>Segment!Y476</f>
        <v>2277</v>
      </c>
      <c r="Y225" s="423">
        <f>Segment!Z476</f>
        <v>2784</v>
      </c>
      <c r="Z225" s="423">
        <f>Segment!AA476</f>
        <v>2788</v>
      </c>
      <c r="AA225" s="423">
        <f>Segment!AB476</f>
        <v>2830</v>
      </c>
      <c r="AB225" s="423">
        <f>Segment!AC476</f>
        <v>2905</v>
      </c>
      <c r="AC225" s="423">
        <f>Segment!AD476</f>
        <v>2954</v>
      </c>
      <c r="AD225" s="423">
        <f>Segment!AE476</f>
        <v>3002</v>
      </c>
      <c r="AE225" s="2130">
        <f>Segment!AF476</f>
        <v>3037</v>
      </c>
      <c r="AF225" s="423">
        <f>Segment!AG476</f>
        <v>3093</v>
      </c>
      <c r="AG225" s="423">
        <f>Segment!AH476</f>
        <v>3195</v>
      </c>
      <c r="AH225" s="423">
        <f>Segment!AI476</f>
        <v>3235</v>
      </c>
      <c r="AI225" s="423">
        <f>Segment!AJ476</f>
        <v>3291</v>
      </c>
      <c r="AJ225" s="423">
        <f>Segment!AK476</f>
        <v>3353</v>
      </c>
      <c r="AK225" s="423">
        <f>Segment!AL476</f>
        <v>3438</v>
      </c>
      <c r="AL225" s="423">
        <f>Segment!AM476</f>
        <v>3468</v>
      </c>
      <c r="AM225" s="962">
        <f>Segment!AN476</f>
        <v>3521</v>
      </c>
      <c r="AN225" s="962">
        <f>Segment!AO476</f>
        <v>3588</v>
      </c>
      <c r="AO225" s="962">
        <f>Segment!AP476</f>
        <v>3688</v>
      </c>
      <c r="AP225" s="962">
        <f>Segment!AQ476</f>
        <v>4461</v>
      </c>
      <c r="AQ225" s="962">
        <f>Segment!AR476</f>
        <v>4474</v>
      </c>
      <c r="AR225" s="962">
        <f>Segment!AS476</f>
        <v>4495</v>
      </c>
      <c r="AS225" s="962">
        <f>Segment!AT476</f>
        <v>4310</v>
      </c>
      <c r="AT225" s="962">
        <f>Segment!AU476</f>
        <v>4311</v>
      </c>
      <c r="AU225" s="962">
        <f>Segment!AV476</f>
        <v>4256</v>
      </c>
      <c r="AV225" s="962">
        <f>Segment!AW476</f>
        <v>4236</v>
      </c>
      <c r="AW225" s="962">
        <f>Segment!AX476</f>
        <v>4193</v>
      </c>
      <c r="AX225" s="962">
        <f>Segment!AY476</f>
        <v>4185</v>
      </c>
      <c r="AY225" s="962">
        <f>Segment!AZ476</f>
        <v>4204</v>
      </c>
      <c r="AZ225" s="962">
        <f>Segment!BA476</f>
        <v>4219</v>
      </c>
      <c r="BA225" s="962">
        <f>Segment!BB476</f>
        <v>4262</v>
      </c>
      <c r="BB225" s="962">
        <f>Segment!BC476</f>
        <v>4299</v>
      </c>
      <c r="BC225" s="962">
        <f>Segment!BD476</f>
        <v>4336</v>
      </c>
      <c r="BD225" s="962">
        <f>Segment!BE476</f>
        <v>4361</v>
      </c>
      <c r="BE225" s="962">
        <f>Segment!BF476</f>
        <v>4447</v>
      </c>
      <c r="BF225" s="962">
        <f>Segment!BG476</f>
        <v>4449</v>
      </c>
      <c r="BG225" s="962">
        <f>Segment!BH476</f>
        <v>4477</v>
      </c>
      <c r="BH225" s="962">
        <f>Segment!BI476</f>
        <v>4516</v>
      </c>
      <c r="BI225" s="962">
        <f>Segment!BJ476</f>
        <v>4622</v>
      </c>
      <c r="BJ225" s="962">
        <f>Segment!BK476</f>
        <v>4641</v>
      </c>
      <c r="BK225" s="1352">
        <f>Segment!BL476</f>
        <v>4686</v>
      </c>
      <c r="BL225" s="656">
        <f t="shared" ref="BL225:CW225" si="1252">+BL141+BL76+BL9</f>
        <v>4716</v>
      </c>
      <c r="BM225" s="656">
        <f t="shared" si="1252"/>
        <v>4785</v>
      </c>
      <c r="BN225" s="656">
        <f t="shared" si="1252"/>
        <v>4813</v>
      </c>
      <c r="BO225" s="656">
        <f t="shared" si="1252"/>
        <v>4841</v>
      </c>
      <c r="BP225" s="656">
        <f t="shared" si="1252"/>
        <v>4869</v>
      </c>
      <c r="BQ225" s="656">
        <f t="shared" si="1252"/>
        <v>4928</v>
      </c>
      <c r="BR225" s="656">
        <f t="shared" si="1252"/>
        <v>4951</v>
      </c>
      <c r="BS225" s="656">
        <f t="shared" si="1252"/>
        <v>4974</v>
      </c>
      <c r="BT225" s="656">
        <f t="shared" si="1252"/>
        <v>4997</v>
      </c>
      <c r="BU225" s="656">
        <f t="shared" si="1252"/>
        <v>5044</v>
      </c>
      <c r="BV225" s="656">
        <f t="shared" si="1252"/>
        <v>5065</v>
      </c>
      <c r="BW225" s="656">
        <f t="shared" si="1252"/>
        <v>5086</v>
      </c>
      <c r="BX225" s="656">
        <f t="shared" si="1252"/>
        <v>5107</v>
      </c>
      <c r="BY225" s="656">
        <f t="shared" si="1252"/>
        <v>5146</v>
      </c>
      <c r="BZ225" s="656">
        <f t="shared" si="1252"/>
        <v>5166</v>
      </c>
      <c r="CA225" s="656">
        <f t="shared" si="1252"/>
        <v>5186</v>
      </c>
      <c r="CB225" s="656">
        <f t="shared" si="1252"/>
        <v>5206</v>
      </c>
      <c r="CC225" s="656">
        <f t="shared" si="1252"/>
        <v>5245</v>
      </c>
      <c r="CD225" s="656">
        <f t="shared" si="1252"/>
        <v>5265</v>
      </c>
      <c r="CE225" s="656">
        <f t="shared" si="1252"/>
        <v>5285</v>
      </c>
      <c r="CF225" s="656">
        <f t="shared" si="1252"/>
        <v>5305</v>
      </c>
      <c r="CG225" s="656">
        <f t="shared" si="1252"/>
        <v>5344</v>
      </c>
      <c r="CH225" s="656">
        <f t="shared" si="1252"/>
        <v>5361</v>
      </c>
      <c r="CI225" s="656">
        <f t="shared" si="1252"/>
        <v>5378</v>
      </c>
      <c r="CJ225" s="656">
        <f t="shared" si="1252"/>
        <v>5395</v>
      </c>
      <c r="CK225" s="656">
        <f t="shared" si="1252"/>
        <v>5429</v>
      </c>
      <c r="CL225" s="656">
        <f t="shared" si="1252"/>
        <v>5446</v>
      </c>
      <c r="CM225" s="656">
        <f t="shared" si="1252"/>
        <v>5463</v>
      </c>
      <c r="CN225" s="656">
        <f t="shared" si="1252"/>
        <v>5480</v>
      </c>
      <c r="CO225" s="656">
        <f t="shared" si="1252"/>
        <v>5515</v>
      </c>
      <c r="CP225" s="656">
        <f t="shared" si="1252"/>
        <v>5532</v>
      </c>
      <c r="CQ225" s="656">
        <f t="shared" si="1252"/>
        <v>5549</v>
      </c>
      <c r="CR225" s="656">
        <f t="shared" si="1252"/>
        <v>5566</v>
      </c>
      <c r="CS225" s="656">
        <f t="shared" si="1252"/>
        <v>5601</v>
      </c>
      <c r="CT225" s="656">
        <f t="shared" si="1252"/>
        <v>5617</v>
      </c>
      <c r="CU225" s="656">
        <f t="shared" si="1252"/>
        <v>5633</v>
      </c>
      <c r="CV225" s="656">
        <f t="shared" si="1252"/>
        <v>5649</v>
      </c>
      <c r="CW225" s="656">
        <f t="shared" si="1252"/>
        <v>5677</v>
      </c>
    </row>
    <row r="226" spans="1:101" s="9" customFormat="1" ht="11.25">
      <c r="A226" s="655" t="s">
        <v>940</v>
      </c>
      <c r="B226" s="369"/>
      <c r="C226" s="369">
        <f t="shared" ref="C226:AH226" si="1253">+C225-B225</f>
        <v>6</v>
      </c>
      <c r="D226" s="369">
        <f t="shared" si="1253"/>
        <v>0</v>
      </c>
      <c r="E226" s="369">
        <f t="shared" si="1253"/>
        <v>16</v>
      </c>
      <c r="F226" s="369">
        <f t="shared" si="1253"/>
        <v>0</v>
      </c>
      <c r="G226" s="369">
        <f t="shared" si="1253"/>
        <v>17</v>
      </c>
      <c r="H226" s="369">
        <f t="shared" si="1253"/>
        <v>-14</v>
      </c>
      <c r="I226" s="369">
        <f t="shared" si="1253"/>
        <v>32</v>
      </c>
      <c r="J226" s="369">
        <f t="shared" si="1253"/>
        <v>5</v>
      </c>
      <c r="K226" s="369">
        <f t="shared" si="1253"/>
        <v>16</v>
      </c>
      <c r="L226" s="369">
        <f t="shared" si="1253"/>
        <v>15</v>
      </c>
      <c r="M226" s="369">
        <f t="shared" si="1253"/>
        <v>41</v>
      </c>
      <c r="N226" s="369">
        <f t="shared" si="1253"/>
        <v>58</v>
      </c>
      <c r="O226" s="369">
        <f t="shared" si="1253"/>
        <v>22</v>
      </c>
      <c r="P226" s="369">
        <f t="shared" si="1253"/>
        <v>25</v>
      </c>
      <c r="Q226" s="369">
        <f t="shared" si="1253"/>
        <v>47</v>
      </c>
      <c r="R226" s="369">
        <f t="shared" si="1253"/>
        <v>-4</v>
      </c>
      <c r="S226" s="369">
        <f t="shared" si="1253"/>
        <v>337</v>
      </c>
      <c r="T226" s="369">
        <f t="shared" si="1253"/>
        <v>43</v>
      </c>
      <c r="U226" s="369">
        <f t="shared" si="1253"/>
        <v>51</v>
      </c>
      <c r="V226" s="369">
        <f t="shared" si="1253"/>
        <v>19</v>
      </c>
      <c r="W226" s="369">
        <f t="shared" si="1253"/>
        <v>360</v>
      </c>
      <c r="X226" s="369">
        <f t="shared" si="1253"/>
        <v>36</v>
      </c>
      <c r="Y226" s="369">
        <f t="shared" si="1253"/>
        <v>507</v>
      </c>
      <c r="Z226" s="369">
        <f t="shared" si="1253"/>
        <v>4</v>
      </c>
      <c r="AA226" s="369">
        <f t="shared" si="1253"/>
        <v>42</v>
      </c>
      <c r="AB226" s="369">
        <f t="shared" si="1253"/>
        <v>75</v>
      </c>
      <c r="AC226" s="369">
        <f t="shared" si="1253"/>
        <v>49</v>
      </c>
      <c r="AD226" s="369">
        <f t="shared" si="1253"/>
        <v>48</v>
      </c>
      <c r="AE226" s="2131">
        <f t="shared" si="1253"/>
        <v>35</v>
      </c>
      <c r="AF226" s="369">
        <f t="shared" si="1253"/>
        <v>56</v>
      </c>
      <c r="AG226" s="369">
        <f t="shared" si="1253"/>
        <v>102</v>
      </c>
      <c r="AH226" s="369">
        <f t="shared" si="1253"/>
        <v>40</v>
      </c>
      <c r="AI226" s="369">
        <f t="shared" ref="AI226:BN226" si="1254">+AI225-AH225</f>
        <v>56</v>
      </c>
      <c r="AJ226" s="369">
        <f t="shared" si="1254"/>
        <v>62</v>
      </c>
      <c r="AK226" s="369">
        <f t="shared" si="1254"/>
        <v>85</v>
      </c>
      <c r="AL226" s="369">
        <f t="shared" si="1254"/>
        <v>30</v>
      </c>
      <c r="AM226" s="586">
        <f t="shared" si="1254"/>
        <v>53</v>
      </c>
      <c r="AN226" s="586">
        <f t="shared" si="1254"/>
        <v>67</v>
      </c>
      <c r="AO226" s="586">
        <f t="shared" si="1254"/>
        <v>100</v>
      </c>
      <c r="AP226" s="586">
        <f t="shared" si="1254"/>
        <v>773</v>
      </c>
      <c r="AQ226" s="586">
        <f t="shared" si="1254"/>
        <v>13</v>
      </c>
      <c r="AR226" s="586">
        <f t="shared" si="1254"/>
        <v>21</v>
      </c>
      <c r="AS226" s="586">
        <f t="shared" si="1254"/>
        <v>-185</v>
      </c>
      <c r="AT226" s="586">
        <f t="shared" si="1254"/>
        <v>1</v>
      </c>
      <c r="AU226" s="586">
        <f t="shared" si="1254"/>
        <v>-55</v>
      </c>
      <c r="AV226" s="586">
        <f t="shared" si="1254"/>
        <v>-20</v>
      </c>
      <c r="AW226" s="586">
        <f t="shared" si="1254"/>
        <v>-43</v>
      </c>
      <c r="AX226" s="586">
        <f t="shared" si="1254"/>
        <v>-8</v>
      </c>
      <c r="AY226" s="586">
        <f t="shared" si="1254"/>
        <v>19</v>
      </c>
      <c r="AZ226" s="586">
        <f t="shared" si="1254"/>
        <v>15</v>
      </c>
      <c r="BA226" s="586">
        <f t="shared" ref="BA226:BK226" si="1255">+BA225-AZ225</f>
        <v>43</v>
      </c>
      <c r="BB226" s="586">
        <f t="shared" si="1255"/>
        <v>37</v>
      </c>
      <c r="BC226" s="586">
        <f t="shared" si="1255"/>
        <v>37</v>
      </c>
      <c r="BD226" s="586">
        <f t="shared" si="1255"/>
        <v>25</v>
      </c>
      <c r="BE226" s="586">
        <f t="shared" si="1255"/>
        <v>86</v>
      </c>
      <c r="BF226" s="586">
        <f t="shared" si="1255"/>
        <v>2</v>
      </c>
      <c r="BG226" s="586">
        <f t="shared" si="1255"/>
        <v>28</v>
      </c>
      <c r="BH226" s="586">
        <f t="shared" si="1255"/>
        <v>39</v>
      </c>
      <c r="BI226" s="586">
        <f t="shared" si="1255"/>
        <v>106</v>
      </c>
      <c r="BJ226" s="586">
        <f t="shared" si="1255"/>
        <v>19</v>
      </c>
      <c r="BK226" s="1353">
        <f t="shared" si="1255"/>
        <v>45</v>
      </c>
      <c r="BL226" s="587">
        <f t="shared" si="1254"/>
        <v>30</v>
      </c>
      <c r="BM226" s="587">
        <f t="shared" si="1254"/>
        <v>69</v>
      </c>
      <c r="BN226" s="587">
        <f t="shared" si="1254"/>
        <v>28</v>
      </c>
      <c r="BO226" s="587">
        <f t="shared" ref="BO226:CK226" si="1256">+BO225-BN225</f>
        <v>28</v>
      </c>
      <c r="BP226" s="587">
        <f t="shared" si="1256"/>
        <v>28</v>
      </c>
      <c r="BQ226" s="587">
        <f t="shared" si="1256"/>
        <v>59</v>
      </c>
      <c r="BR226" s="587">
        <f t="shared" si="1256"/>
        <v>23</v>
      </c>
      <c r="BS226" s="587">
        <f t="shared" si="1256"/>
        <v>23</v>
      </c>
      <c r="BT226" s="587">
        <f t="shared" si="1256"/>
        <v>23</v>
      </c>
      <c r="BU226" s="587">
        <f t="shared" si="1256"/>
        <v>47</v>
      </c>
      <c r="BV226" s="587">
        <f t="shared" si="1256"/>
        <v>21</v>
      </c>
      <c r="BW226" s="587">
        <f t="shared" si="1256"/>
        <v>21</v>
      </c>
      <c r="BX226" s="587">
        <f t="shared" si="1256"/>
        <v>21</v>
      </c>
      <c r="BY226" s="587">
        <f t="shared" si="1256"/>
        <v>39</v>
      </c>
      <c r="BZ226" s="587">
        <f t="shared" si="1256"/>
        <v>20</v>
      </c>
      <c r="CA226" s="587">
        <f t="shared" si="1256"/>
        <v>20</v>
      </c>
      <c r="CB226" s="587">
        <f t="shared" si="1256"/>
        <v>20</v>
      </c>
      <c r="CC226" s="587">
        <f t="shared" si="1256"/>
        <v>39</v>
      </c>
      <c r="CD226" s="587">
        <f t="shared" si="1256"/>
        <v>20</v>
      </c>
      <c r="CE226" s="587">
        <f t="shared" si="1256"/>
        <v>20</v>
      </c>
      <c r="CF226" s="587">
        <f t="shared" si="1256"/>
        <v>20</v>
      </c>
      <c r="CG226" s="587">
        <f t="shared" si="1256"/>
        <v>39</v>
      </c>
      <c r="CH226" s="587">
        <f t="shared" si="1256"/>
        <v>17</v>
      </c>
      <c r="CI226" s="587">
        <f t="shared" si="1256"/>
        <v>17</v>
      </c>
      <c r="CJ226" s="587">
        <f t="shared" si="1256"/>
        <v>17</v>
      </c>
      <c r="CK226" s="587">
        <f t="shared" si="1256"/>
        <v>34</v>
      </c>
      <c r="CL226" s="587">
        <f t="shared" ref="CL226" si="1257">+CL225-CK225</f>
        <v>17</v>
      </c>
      <c r="CM226" s="587">
        <f t="shared" ref="CM226" si="1258">+CM225-CL225</f>
        <v>17</v>
      </c>
      <c r="CN226" s="587">
        <f t="shared" ref="CN226" si="1259">+CN225-CM225</f>
        <v>17</v>
      </c>
      <c r="CO226" s="587">
        <f t="shared" ref="CO226" si="1260">+CO225-CN225</f>
        <v>35</v>
      </c>
      <c r="CP226" s="587">
        <f t="shared" ref="CP226" si="1261">+CP225-CO225</f>
        <v>17</v>
      </c>
      <c r="CQ226" s="587">
        <f t="shared" ref="CQ226" si="1262">+CQ225-CP225</f>
        <v>17</v>
      </c>
      <c r="CR226" s="587">
        <f t="shared" ref="CR226" si="1263">+CR225-CQ225</f>
        <v>17</v>
      </c>
      <c r="CS226" s="587">
        <f t="shared" ref="CS226" si="1264">+CS225-CR225</f>
        <v>35</v>
      </c>
      <c r="CT226" s="587">
        <f t="shared" ref="CT226" si="1265">+CT225-CS225</f>
        <v>16</v>
      </c>
      <c r="CU226" s="587">
        <f t="shared" ref="CU226" si="1266">+CU225-CT225</f>
        <v>16</v>
      </c>
      <c r="CV226" s="587">
        <f t="shared" ref="CV226" si="1267">+CV225-CU225</f>
        <v>16</v>
      </c>
      <c r="CW226" s="587">
        <f t="shared" ref="CW226" si="1268">+CW225-CV225</f>
        <v>28</v>
      </c>
    </row>
    <row r="227" spans="1:101" s="9" customFormat="1" ht="11.25">
      <c r="A227" s="655"/>
      <c r="B227" s="423"/>
      <c r="C227" s="423"/>
      <c r="D227" s="423"/>
      <c r="E227" s="423"/>
      <c r="F227" s="423"/>
      <c r="G227" s="423"/>
      <c r="H227" s="423"/>
      <c r="I227" s="423"/>
      <c r="J227" s="423"/>
      <c r="K227" s="423"/>
      <c r="L227" s="423"/>
      <c r="M227" s="423"/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  <c r="AA227" s="423"/>
      <c r="AB227" s="423"/>
      <c r="AC227" s="423"/>
      <c r="AD227" s="423"/>
      <c r="AE227" s="2130"/>
      <c r="AF227" s="423"/>
      <c r="AG227" s="423"/>
      <c r="AH227" s="423"/>
      <c r="AI227" s="423"/>
      <c r="AJ227" s="423"/>
      <c r="AK227" s="423"/>
      <c r="AL227" s="423"/>
      <c r="AM227" s="962"/>
      <c r="AN227" s="962"/>
      <c r="AO227" s="962"/>
      <c r="AP227" s="962"/>
      <c r="AQ227" s="962"/>
      <c r="AR227" s="962"/>
      <c r="AS227" s="962"/>
      <c r="AT227" s="962"/>
      <c r="AU227" s="962"/>
      <c r="AV227" s="962"/>
      <c r="AW227" s="962"/>
      <c r="AX227" s="962"/>
      <c r="AY227" s="962"/>
      <c r="AZ227" s="962"/>
      <c r="BA227" s="962"/>
      <c r="BB227" s="962"/>
      <c r="BC227" s="962"/>
      <c r="BD227" s="962"/>
      <c r="BE227" s="962"/>
      <c r="BF227" s="962"/>
      <c r="BG227" s="962"/>
      <c r="BH227" s="962"/>
      <c r="BI227" s="962"/>
      <c r="BJ227" s="962"/>
      <c r="BK227" s="1352"/>
      <c r="BL227" s="656"/>
      <c r="BM227" s="656"/>
      <c r="BN227" s="656"/>
      <c r="BO227" s="656"/>
      <c r="BP227" s="656"/>
      <c r="BQ227" s="656"/>
      <c r="BR227" s="656"/>
      <c r="BS227" s="656"/>
      <c r="BT227" s="656"/>
      <c r="BU227" s="656"/>
      <c r="BV227" s="656"/>
      <c r="BW227" s="656"/>
      <c r="BX227" s="656"/>
      <c r="BY227" s="656"/>
      <c r="BZ227" s="656"/>
      <c r="CA227" s="656"/>
      <c r="CB227" s="656"/>
      <c r="CC227" s="656"/>
      <c r="CD227" s="656"/>
      <c r="CE227" s="656"/>
      <c r="CF227" s="656"/>
      <c r="CG227" s="656"/>
      <c r="CH227" s="656"/>
      <c r="CI227" s="656"/>
      <c r="CJ227" s="656"/>
      <c r="CK227" s="656"/>
      <c r="CL227" s="656"/>
      <c r="CM227" s="656"/>
      <c r="CN227" s="656"/>
      <c r="CO227" s="656"/>
      <c r="CP227" s="656"/>
      <c r="CQ227" s="656"/>
      <c r="CR227" s="656"/>
      <c r="CS227" s="656"/>
      <c r="CT227" s="656"/>
      <c r="CU227" s="656"/>
      <c r="CV227" s="656"/>
      <c r="CW227" s="656"/>
    </row>
    <row r="228" spans="1:101" s="9" customFormat="1" ht="11.25">
      <c r="A228" s="655" t="s">
        <v>938</v>
      </c>
      <c r="B228" s="62">
        <f>+Segment!C474</f>
        <v>940</v>
      </c>
      <c r="C228" s="62">
        <f>+Segment!D474</f>
        <v>943</v>
      </c>
      <c r="D228" s="62">
        <f>+Segment!E474</f>
        <v>940</v>
      </c>
      <c r="E228" s="62">
        <f>+Segment!F474</f>
        <v>952</v>
      </c>
      <c r="F228" s="251">
        <f>+Segment!G474</f>
        <v>954</v>
      </c>
      <c r="G228" s="251">
        <f>+Segment!H474</f>
        <v>969</v>
      </c>
      <c r="H228" s="251">
        <f>+Segment!I474</f>
        <v>975</v>
      </c>
      <c r="I228" s="251">
        <f>+Segment!J474</f>
        <v>1011</v>
      </c>
      <c r="J228" s="251">
        <f>+Segment!K474</f>
        <v>1016</v>
      </c>
      <c r="K228" s="251">
        <f>+Segment!L474</f>
        <v>1031</v>
      </c>
      <c r="L228" s="251">
        <f>+Segment!M474</f>
        <v>1040</v>
      </c>
      <c r="M228" s="251">
        <f>+Segment!N474</f>
        <v>1077</v>
      </c>
      <c r="N228" s="251">
        <f>+Segment!O474</f>
        <v>1122</v>
      </c>
      <c r="O228" s="251">
        <f>+Segment!P474</f>
        <v>1121</v>
      </c>
      <c r="P228" s="251">
        <f>+Segment!Q474</f>
        <v>1142</v>
      </c>
      <c r="Q228" s="251">
        <f>+Segment!R474</f>
        <v>1161</v>
      </c>
      <c r="R228" s="251">
        <f>+Segment!S474</f>
        <v>1169</v>
      </c>
      <c r="S228" s="251">
        <f>+Segment!T474</f>
        <v>1285</v>
      </c>
      <c r="T228" s="251">
        <f>+Segment!U474</f>
        <v>1371</v>
      </c>
      <c r="U228" s="251">
        <f>+Segment!V474</f>
        <v>1411</v>
      </c>
      <c r="V228" s="251">
        <f>+Segment!W474</f>
        <v>1427</v>
      </c>
      <c r="W228" s="251">
        <f>+Segment!X474</f>
        <v>1779</v>
      </c>
      <c r="X228" s="251">
        <f>+Segment!Y474</f>
        <v>1816</v>
      </c>
      <c r="Y228" s="251">
        <f>+Segment!Z474</f>
        <v>2161</v>
      </c>
      <c r="Z228" s="251">
        <f>+Segment!AA474</f>
        <v>2160</v>
      </c>
      <c r="AA228" s="251">
        <f>+Segment!AB474</f>
        <v>2198</v>
      </c>
      <c r="AB228" s="251">
        <f>+Segment!AC474</f>
        <v>2252</v>
      </c>
      <c r="AC228" s="251">
        <f>+Segment!AD474</f>
        <v>2283</v>
      </c>
      <c r="AD228" s="251">
        <f>+Segment!AE474</f>
        <v>2333</v>
      </c>
      <c r="AE228" s="2133">
        <f>+Segment!AF474</f>
        <v>2363</v>
      </c>
      <c r="AF228" s="251">
        <f>+Segment!AG474</f>
        <v>2425</v>
      </c>
      <c r="AG228" s="251">
        <f>+Segment!AH474</f>
        <v>2502</v>
      </c>
      <c r="AH228" s="251">
        <f>+Segment!AI474</f>
        <v>2553</v>
      </c>
      <c r="AI228" s="251">
        <f>+Segment!AJ474</f>
        <v>2597</v>
      </c>
      <c r="AJ228" s="251">
        <f>+Segment!AK474</f>
        <v>2651</v>
      </c>
      <c r="AK228" s="251">
        <f>+Segment!AL474</f>
        <v>2716</v>
      </c>
      <c r="AL228" s="251">
        <f>+Segment!AM474</f>
        <v>2737</v>
      </c>
      <c r="AM228" s="963">
        <f>+Segment!AN474</f>
        <v>2793</v>
      </c>
      <c r="AN228" s="963">
        <f>+Segment!AO474</f>
        <v>2856</v>
      </c>
      <c r="AO228" s="963">
        <f>+Segment!AP474</f>
        <v>2947</v>
      </c>
      <c r="AP228" s="963">
        <f>+Segment!AQ474</f>
        <v>3409</v>
      </c>
      <c r="AQ228" s="963">
        <f>+Segment!AR474</f>
        <v>3415</v>
      </c>
      <c r="AR228" s="963">
        <f>+Segment!AS474</f>
        <v>3422</v>
      </c>
      <c r="AS228" s="963">
        <f>+Segment!AT474</f>
        <v>3419</v>
      </c>
      <c r="AT228" s="963">
        <f>+Segment!AU474</f>
        <v>3412</v>
      </c>
      <c r="AU228" s="963">
        <f>+Segment!AV474</f>
        <v>3358</v>
      </c>
      <c r="AV228" s="963">
        <f>+Segment!AW474</f>
        <v>3335</v>
      </c>
      <c r="AW228" s="963">
        <f>+Segment!AX474</f>
        <v>3284</v>
      </c>
      <c r="AX228" s="963">
        <f>+Segment!AY474</f>
        <v>3274</v>
      </c>
      <c r="AY228" s="963">
        <f>+Segment!AZ474</f>
        <v>3276</v>
      </c>
      <c r="AZ228" s="963">
        <f>+Segment!BA474</f>
        <v>3264</v>
      </c>
      <c r="BA228" s="963">
        <f>+Segment!BB474</f>
        <v>3289</v>
      </c>
      <c r="BB228" s="963">
        <f>+Segment!BC474</f>
        <v>3309</v>
      </c>
      <c r="BC228" s="963">
        <f>+Segment!BD474</f>
        <v>3338</v>
      </c>
      <c r="BD228" s="963">
        <f>+Segment!BE474</f>
        <v>3362</v>
      </c>
      <c r="BE228" s="963">
        <f>+Segment!BF474</f>
        <v>3436</v>
      </c>
      <c r="BF228" s="963">
        <f>+Segment!BG474</f>
        <v>3441</v>
      </c>
      <c r="BG228" s="963">
        <f>+Segment!BH474</f>
        <v>3460</v>
      </c>
      <c r="BH228" s="963">
        <f>+Segment!BI474</f>
        <v>3480</v>
      </c>
      <c r="BI228" s="963">
        <f>+Segment!BJ474</f>
        <v>3552</v>
      </c>
      <c r="BJ228" s="963">
        <f>+Segment!BK474</f>
        <v>3571</v>
      </c>
      <c r="BK228" s="1355">
        <f>+Segment!BL474</f>
        <v>3609</v>
      </c>
      <c r="BL228" s="587">
        <f t="shared" ref="BL228:CW228" si="1269">+BL146+BL81+BL14</f>
        <v>3628</v>
      </c>
      <c r="BM228" s="587">
        <f t="shared" si="1269"/>
        <v>3657</v>
      </c>
      <c r="BN228" s="587">
        <f t="shared" si="1269"/>
        <v>3674</v>
      </c>
      <c r="BO228" s="587">
        <f t="shared" si="1269"/>
        <v>3691</v>
      </c>
      <c r="BP228" s="587">
        <f t="shared" si="1269"/>
        <v>3708</v>
      </c>
      <c r="BQ228" s="587">
        <f t="shared" si="1269"/>
        <v>3745</v>
      </c>
      <c r="BR228" s="587">
        <f t="shared" si="1269"/>
        <v>3758</v>
      </c>
      <c r="BS228" s="587">
        <f t="shared" si="1269"/>
        <v>3771</v>
      </c>
      <c r="BT228" s="587">
        <f t="shared" si="1269"/>
        <v>3784</v>
      </c>
      <c r="BU228" s="587">
        <f t="shared" si="1269"/>
        <v>3814</v>
      </c>
      <c r="BV228" s="587">
        <f t="shared" si="1269"/>
        <v>3826</v>
      </c>
      <c r="BW228" s="587">
        <f t="shared" si="1269"/>
        <v>3838</v>
      </c>
      <c r="BX228" s="587">
        <f t="shared" si="1269"/>
        <v>3850</v>
      </c>
      <c r="BY228" s="587">
        <f t="shared" si="1269"/>
        <v>3875</v>
      </c>
      <c r="BZ228" s="587">
        <f t="shared" si="1269"/>
        <v>3887</v>
      </c>
      <c r="CA228" s="587">
        <f t="shared" si="1269"/>
        <v>3899</v>
      </c>
      <c r="CB228" s="587">
        <f t="shared" si="1269"/>
        <v>3911</v>
      </c>
      <c r="CC228" s="587">
        <f t="shared" si="1269"/>
        <v>3936</v>
      </c>
      <c r="CD228" s="587">
        <f t="shared" si="1269"/>
        <v>3948</v>
      </c>
      <c r="CE228" s="587">
        <f t="shared" si="1269"/>
        <v>3960</v>
      </c>
      <c r="CF228" s="587">
        <f t="shared" si="1269"/>
        <v>3972</v>
      </c>
      <c r="CG228" s="587">
        <f t="shared" si="1269"/>
        <v>3997</v>
      </c>
      <c r="CH228" s="587">
        <f t="shared" si="1269"/>
        <v>4007</v>
      </c>
      <c r="CI228" s="587">
        <f t="shared" si="1269"/>
        <v>4017</v>
      </c>
      <c r="CJ228" s="587">
        <f t="shared" si="1269"/>
        <v>4027</v>
      </c>
      <c r="CK228" s="587">
        <f t="shared" si="1269"/>
        <v>4048</v>
      </c>
      <c r="CL228" s="587">
        <f t="shared" si="1269"/>
        <v>4058</v>
      </c>
      <c r="CM228" s="587">
        <f t="shared" si="1269"/>
        <v>4068</v>
      </c>
      <c r="CN228" s="587">
        <f t="shared" si="1269"/>
        <v>4078</v>
      </c>
      <c r="CO228" s="587">
        <f t="shared" si="1269"/>
        <v>4099</v>
      </c>
      <c r="CP228" s="587">
        <f t="shared" si="1269"/>
        <v>4109</v>
      </c>
      <c r="CQ228" s="587">
        <f t="shared" si="1269"/>
        <v>4119</v>
      </c>
      <c r="CR228" s="587">
        <f t="shared" si="1269"/>
        <v>4129</v>
      </c>
      <c r="CS228" s="587">
        <f t="shared" si="1269"/>
        <v>4150</v>
      </c>
      <c r="CT228" s="587">
        <f t="shared" si="1269"/>
        <v>4160</v>
      </c>
      <c r="CU228" s="587">
        <f t="shared" si="1269"/>
        <v>4170</v>
      </c>
      <c r="CV228" s="587">
        <f t="shared" si="1269"/>
        <v>4180</v>
      </c>
      <c r="CW228" s="587">
        <f t="shared" si="1269"/>
        <v>4196</v>
      </c>
    </row>
    <row r="229" spans="1:101" s="9" customFormat="1" ht="11.25">
      <c r="A229" s="869" t="s">
        <v>940</v>
      </c>
      <c r="B229" s="62"/>
      <c r="C229" s="369">
        <f t="shared" ref="C229:AH229" si="1270">+C228-B228</f>
        <v>3</v>
      </c>
      <c r="D229" s="369">
        <f t="shared" si="1270"/>
        <v>-3</v>
      </c>
      <c r="E229" s="369">
        <f t="shared" si="1270"/>
        <v>12</v>
      </c>
      <c r="F229" s="369">
        <f t="shared" si="1270"/>
        <v>2</v>
      </c>
      <c r="G229" s="369">
        <f t="shared" si="1270"/>
        <v>15</v>
      </c>
      <c r="H229" s="369">
        <f t="shared" si="1270"/>
        <v>6</v>
      </c>
      <c r="I229" s="369">
        <f t="shared" si="1270"/>
        <v>36</v>
      </c>
      <c r="J229" s="369">
        <f t="shared" si="1270"/>
        <v>5</v>
      </c>
      <c r="K229" s="369">
        <f t="shared" si="1270"/>
        <v>15</v>
      </c>
      <c r="L229" s="369">
        <f t="shared" si="1270"/>
        <v>9</v>
      </c>
      <c r="M229" s="369">
        <f t="shared" si="1270"/>
        <v>37</v>
      </c>
      <c r="N229" s="369">
        <f t="shared" si="1270"/>
        <v>45</v>
      </c>
      <c r="O229" s="369">
        <f t="shared" si="1270"/>
        <v>-1</v>
      </c>
      <c r="P229" s="369">
        <f t="shared" si="1270"/>
        <v>21</v>
      </c>
      <c r="Q229" s="369">
        <f t="shared" si="1270"/>
        <v>19</v>
      </c>
      <c r="R229" s="369">
        <f t="shared" si="1270"/>
        <v>8</v>
      </c>
      <c r="S229" s="369">
        <f t="shared" si="1270"/>
        <v>116</v>
      </c>
      <c r="T229" s="369">
        <f t="shared" si="1270"/>
        <v>86</v>
      </c>
      <c r="U229" s="369">
        <f t="shared" si="1270"/>
        <v>40</v>
      </c>
      <c r="V229" s="369">
        <f t="shared" si="1270"/>
        <v>16</v>
      </c>
      <c r="W229" s="369">
        <f t="shared" si="1270"/>
        <v>352</v>
      </c>
      <c r="X229" s="369">
        <f t="shared" si="1270"/>
        <v>37</v>
      </c>
      <c r="Y229" s="369">
        <f t="shared" si="1270"/>
        <v>345</v>
      </c>
      <c r="Z229" s="369">
        <f t="shared" si="1270"/>
        <v>-1</v>
      </c>
      <c r="AA229" s="369">
        <f t="shared" si="1270"/>
        <v>38</v>
      </c>
      <c r="AB229" s="369">
        <f t="shared" si="1270"/>
        <v>54</v>
      </c>
      <c r="AC229" s="369">
        <f t="shared" si="1270"/>
        <v>31</v>
      </c>
      <c r="AD229" s="369">
        <f t="shared" si="1270"/>
        <v>50</v>
      </c>
      <c r="AE229" s="2131">
        <f t="shared" si="1270"/>
        <v>30</v>
      </c>
      <c r="AF229" s="369">
        <f t="shared" si="1270"/>
        <v>62</v>
      </c>
      <c r="AG229" s="369">
        <f t="shared" si="1270"/>
        <v>77</v>
      </c>
      <c r="AH229" s="369">
        <f t="shared" si="1270"/>
        <v>51</v>
      </c>
      <c r="AI229" s="369">
        <f t="shared" ref="AI229:BN229" si="1271">+AI228-AH228</f>
        <v>44</v>
      </c>
      <c r="AJ229" s="369">
        <f t="shared" si="1271"/>
        <v>54</v>
      </c>
      <c r="AK229" s="369">
        <f t="shared" si="1271"/>
        <v>65</v>
      </c>
      <c r="AL229" s="369">
        <f t="shared" si="1271"/>
        <v>21</v>
      </c>
      <c r="AM229" s="586">
        <f t="shared" si="1271"/>
        <v>56</v>
      </c>
      <c r="AN229" s="586">
        <f t="shared" si="1271"/>
        <v>63</v>
      </c>
      <c r="AO229" s="586">
        <f t="shared" si="1271"/>
        <v>91</v>
      </c>
      <c r="AP229" s="586">
        <f t="shared" si="1271"/>
        <v>462</v>
      </c>
      <c r="AQ229" s="586">
        <f t="shared" si="1271"/>
        <v>6</v>
      </c>
      <c r="AR229" s="586">
        <f t="shared" si="1271"/>
        <v>7</v>
      </c>
      <c r="AS229" s="586">
        <f t="shared" si="1271"/>
        <v>-3</v>
      </c>
      <c r="AT229" s="586">
        <f t="shared" si="1271"/>
        <v>-7</v>
      </c>
      <c r="AU229" s="586">
        <f t="shared" si="1271"/>
        <v>-54</v>
      </c>
      <c r="AV229" s="586">
        <f t="shared" si="1271"/>
        <v>-23</v>
      </c>
      <c r="AW229" s="586">
        <f t="shared" si="1271"/>
        <v>-51</v>
      </c>
      <c r="AX229" s="586">
        <f t="shared" si="1271"/>
        <v>-10</v>
      </c>
      <c r="AY229" s="586">
        <f t="shared" si="1271"/>
        <v>2</v>
      </c>
      <c r="AZ229" s="586">
        <f t="shared" si="1271"/>
        <v>-12</v>
      </c>
      <c r="BA229" s="586">
        <f t="shared" ref="BA229:BK229" si="1272">+BA228-AZ228</f>
        <v>25</v>
      </c>
      <c r="BB229" s="586">
        <f t="shared" si="1272"/>
        <v>20</v>
      </c>
      <c r="BC229" s="586">
        <f t="shared" si="1272"/>
        <v>29</v>
      </c>
      <c r="BD229" s="586">
        <f t="shared" si="1272"/>
        <v>24</v>
      </c>
      <c r="BE229" s="586">
        <f t="shared" si="1272"/>
        <v>74</v>
      </c>
      <c r="BF229" s="586">
        <f t="shared" si="1272"/>
        <v>5</v>
      </c>
      <c r="BG229" s="586">
        <f t="shared" si="1272"/>
        <v>19</v>
      </c>
      <c r="BH229" s="586">
        <f t="shared" si="1272"/>
        <v>20</v>
      </c>
      <c r="BI229" s="586">
        <f t="shared" si="1272"/>
        <v>72</v>
      </c>
      <c r="BJ229" s="586">
        <f t="shared" si="1272"/>
        <v>19</v>
      </c>
      <c r="BK229" s="1353">
        <f t="shared" si="1272"/>
        <v>38</v>
      </c>
      <c r="BL229" s="587">
        <f t="shared" si="1271"/>
        <v>19</v>
      </c>
      <c r="BM229" s="587">
        <f t="shared" si="1271"/>
        <v>29</v>
      </c>
      <c r="BN229" s="587">
        <f t="shared" si="1271"/>
        <v>17</v>
      </c>
      <c r="BO229" s="587">
        <f t="shared" ref="BO229:CK229" si="1273">+BO228-BN228</f>
        <v>17</v>
      </c>
      <c r="BP229" s="587">
        <f t="shared" si="1273"/>
        <v>17</v>
      </c>
      <c r="BQ229" s="587">
        <f t="shared" si="1273"/>
        <v>37</v>
      </c>
      <c r="BR229" s="587">
        <f t="shared" si="1273"/>
        <v>13</v>
      </c>
      <c r="BS229" s="587">
        <f t="shared" si="1273"/>
        <v>13</v>
      </c>
      <c r="BT229" s="587">
        <f t="shared" si="1273"/>
        <v>13</v>
      </c>
      <c r="BU229" s="587">
        <f t="shared" si="1273"/>
        <v>30</v>
      </c>
      <c r="BV229" s="587">
        <f t="shared" si="1273"/>
        <v>12</v>
      </c>
      <c r="BW229" s="587">
        <f t="shared" si="1273"/>
        <v>12</v>
      </c>
      <c r="BX229" s="587">
        <f t="shared" si="1273"/>
        <v>12</v>
      </c>
      <c r="BY229" s="587">
        <f t="shared" si="1273"/>
        <v>25</v>
      </c>
      <c r="BZ229" s="587">
        <f t="shared" si="1273"/>
        <v>12</v>
      </c>
      <c r="CA229" s="587">
        <f t="shared" si="1273"/>
        <v>12</v>
      </c>
      <c r="CB229" s="587">
        <f t="shared" si="1273"/>
        <v>12</v>
      </c>
      <c r="CC229" s="587">
        <f t="shared" si="1273"/>
        <v>25</v>
      </c>
      <c r="CD229" s="587">
        <f t="shared" si="1273"/>
        <v>12</v>
      </c>
      <c r="CE229" s="587">
        <f t="shared" si="1273"/>
        <v>12</v>
      </c>
      <c r="CF229" s="587">
        <f t="shared" si="1273"/>
        <v>12</v>
      </c>
      <c r="CG229" s="587">
        <f t="shared" si="1273"/>
        <v>25</v>
      </c>
      <c r="CH229" s="587">
        <f t="shared" si="1273"/>
        <v>10</v>
      </c>
      <c r="CI229" s="587">
        <f t="shared" si="1273"/>
        <v>10</v>
      </c>
      <c r="CJ229" s="587">
        <f t="shared" si="1273"/>
        <v>10</v>
      </c>
      <c r="CK229" s="587">
        <f t="shared" si="1273"/>
        <v>21</v>
      </c>
      <c r="CL229" s="587">
        <f t="shared" ref="CL229" si="1274">+CL228-CK228</f>
        <v>10</v>
      </c>
      <c r="CM229" s="587">
        <f t="shared" ref="CM229" si="1275">+CM228-CL228</f>
        <v>10</v>
      </c>
      <c r="CN229" s="587">
        <f t="shared" ref="CN229" si="1276">+CN228-CM228</f>
        <v>10</v>
      </c>
      <c r="CO229" s="587">
        <f t="shared" ref="CO229" si="1277">+CO228-CN228</f>
        <v>21</v>
      </c>
      <c r="CP229" s="587">
        <f t="shared" ref="CP229" si="1278">+CP228-CO228</f>
        <v>10</v>
      </c>
      <c r="CQ229" s="587">
        <f t="shared" ref="CQ229" si="1279">+CQ228-CP228</f>
        <v>10</v>
      </c>
      <c r="CR229" s="587">
        <f t="shared" ref="CR229" si="1280">+CR228-CQ228</f>
        <v>10</v>
      </c>
      <c r="CS229" s="587">
        <f t="shared" ref="CS229" si="1281">+CS228-CR228</f>
        <v>21</v>
      </c>
      <c r="CT229" s="587">
        <f t="shared" ref="CT229" si="1282">+CT228-CS228</f>
        <v>10</v>
      </c>
      <c r="CU229" s="587">
        <f t="shared" ref="CU229" si="1283">+CU228-CT228</f>
        <v>10</v>
      </c>
      <c r="CV229" s="587">
        <f t="shared" ref="CV229" si="1284">+CV228-CU228</f>
        <v>10</v>
      </c>
      <c r="CW229" s="587">
        <f t="shared" ref="CW229" si="1285">+CW228-CV228</f>
        <v>16</v>
      </c>
    </row>
    <row r="230" spans="1:101" s="9" customFormat="1" ht="11.25">
      <c r="A230" s="869" t="s">
        <v>945</v>
      </c>
      <c r="B230" s="62"/>
      <c r="C230" s="369">
        <f t="shared" ref="C230:AZ230" si="1286">AVERAGE(B228:C228)</f>
        <v>941.5</v>
      </c>
      <c r="D230" s="369">
        <f t="shared" si="1286"/>
        <v>941.5</v>
      </c>
      <c r="E230" s="369">
        <f t="shared" si="1286"/>
        <v>946</v>
      </c>
      <c r="F230" s="369">
        <f t="shared" si="1286"/>
        <v>953</v>
      </c>
      <c r="G230" s="369">
        <f t="shared" si="1286"/>
        <v>961.5</v>
      </c>
      <c r="H230" s="369">
        <f t="shared" si="1286"/>
        <v>972</v>
      </c>
      <c r="I230" s="369">
        <f t="shared" si="1286"/>
        <v>993</v>
      </c>
      <c r="J230" s="369">
        <f t="shared" si="1286"/>
        <v>1013.5</v>
      </c>
      <c r="K230" s="369">
        <f t="shared" si="1286"/>
        <v>1023.5</v>
      </c>
      <c r="L230" s="369">
        <f t="shared" si="1286"/>
        <v>1035.5</v>
      </c>
      <c r="M230" s="369">
        <f t="shared" si="1286"/>
        <v>1058.5</v>
      </c>
      <c r="N230" s="369">
        <f t="shared" si="1286"/>
        <v>1099.5</v>
      </c>
      <c r="O230" s="369">
        <f t="shared" si="1286"/>
        <v>1121.5</v>
      </c>
      <c r="P230" s="369">
        <f t="shared" si="1286"/>
        <v>1131.5</v>
      </c>
      <c r="Q230" s="369">
        <f t="shared" si="1286"/>
        <v>1151.5</v>
      </c>
      <c r="R230" s="369">
        <f t="shared" si="1286"/>
        <v>1165</v>
      </c>
      <c r="S230" s="369">
        <f t="shared" si="1286"/>
        <v>1227</v>
      </c>
      <c r="T230" s="369">
        <f t="shared" si="1286"/>
        <v>1328</v>
      </c>
      <c r="U230" s="369">
        <f t="shared" si="1286"/>
        <v>1391</v>
      </c>
      <c r="V230" s="369">
        <f t="shared" si="1286"/>
        <v>1419</v>
      </c>
      <c r="W230" s="369">
        <f t="shared" si="1286"/>
        <v>1603</v>
      </c>
      <c r="X230" s="369">
        <f t="shared" si="1286"/>
        <v>1797.5</v>
      </c>
      <c r="Y230" s="369">
        <f t="shared" si="1286"/>
        <v>1988.5</v>
      </c>
      <c r="Z230" s="369">
        <f t="shared" si="1286"/>
        <v>2160.5</v>
      </c>
      <c r="AA230" s="369">
        <f t="shared" si="1286"/>
        <v>2179</v>
      </c>
      <c r="AB230" s="369">
        <f t="shared" si="1286"/>
        <v>2225</v>
      </c>
      <c r="AC230" s="369">
        <f t="shared" si="1286"/>
        <v>2267.5</v>
      </c>
      <c r="AD230" s="369">
        <f t="shared" si="1286"/>
        <v>2308</v>
      </c>
      <c r="AE230" s="2131">
        <f t="shared" si="1286"/>
        <v>2348</v>
      </c>
      <c r="AF230" s="369">
        <f t="shared" si="1286"/>
        <v>2394</v>
      </c>
      <c r="AG230" s="369">
        <f t="shared" si="1286"/>
        <v>2463.5</v>
      </c>
      <c r="AH230" s="369">
        <f t="shared" si="1286"/>
        <v>2527.5</v>
      </c>
      <c r="AI230" s="369">
        <f t="shared" si="1286"/>
        <v>2575</v>
      </c>
      <c r="AJ230" s="369">
        <f t="shared" si="1286"/>
        <v>2624</v>
      </c>
      <c r="AK230" s="369">
        <f t="shared" si="1286"/>
        <v>2683.5</v>
      </c>
      <c r="AL230" s="369">
        <f t="shared" si="1286"/>
        <v>2726.5</v>
      </c>
      <c r="AM230" s="586">
        <f t="shared" si="1286"/>
        <v>2765</v>
      </c>
      <c r="AN230" s="586">
        <f t="shared" si="1286"/>
        <v>2824.5</v>
      </c>
      <c r="AO230" s="586">
        <f t="shared" si="1286"/>
        <v>2901.5</v>
      </c>
      <c r="AP230" s="586">
        <f t="shared" si="1286"/>
        <v>3178</v>
      </c>
      <c r="AQ230" s="586">
        <f t="shared" si="1286"/>
        <v>3412</v>
      </c>
      <c r="AR230" s="586">
        <f t="shared" si="1286"/>
        <v>3418.5</v>
      </c>
      <c r="AS230" s="586">
        <f t="shared" si="1286"/>
        <v>3420.5</v>
      </c>
      <c r="AT230" s="586">
        <f t="shared" si="1286"/>
        <v>3415.5</v>
      </c>
      <c r="AU230" s="586">
        <f t="shared" si="1286"/>
        <v>3385</v>
      </c>
      <c r="AV230" s="586">
        <f t="shared" si="1286"/>
        <v>3346.5</v>
      </c>
      <c r="AW230" s="586">
        <f t="shared" si="1286"/>
        <v>3309.5</v>
      </c>
      <c r="AX230" s="586">
        <f t="shared" si="1286"/>
        <v>3279</v>
      </c>
      <c r="AY230" s="586">
        <f t="shared" si="1286"/>
        <v>3275</v>
      </c>
      <c r="AZ230" s="586">
        <f t="shared" si="1286"/>
        <v>3270</v>
      </c>
      <c r="BA230" s="586">
        <f t="shared" ref="BA230:BK230" si="1287">AVERAGE(AZ228:BA228)</f>
        <v>3276.5</v>
      </c>
      <c r="BB230" s="586">
        <f t="shared" si="1287"/>
        <v>3299</v>
      </c>
      <c r="BC230" s="586">
        <f t="shared" si="1287"/>
        <v>3323.5</v>
      </c>
      <c r="BD230" s="586">
        <f t="shared" si="1287"/>
        <v>3350</v>
      </c>
      <c r="BE230" s="586">
        <f t="shared" si="1287"/>
        <v>3399</v>
      </c>
      <c r="BF230" s="586">
        <f t="shared" si="1287"/>
        <v>3438.5</v>
      </c>
      <c r="BG230" s="586">
        <f t="shared" si="1287"/>
        <v>3450.5</v>
      </c>
      <c r="BH230" s="586">
        <f t="shared" si="1287"/>
        <v>3470</v>
      </c>
      <c r="BI230" s="586">
        <f t="shared" si="1287"/>
        <v>3516</v>
      </c>
      <c r="BJ230" s="586">
        <f t="shared" si="1287"/>
        <v>3561.5</v>
      </c>
      <c r="BK230" s="1353">
        <f t="shared" si="1287"/>
        <v>3590</v>
      </c>
      <c r="BL230" s="587">
        <f t="shared" ref="BL230:BQ230" si="1288">AVERAGE(BK225:BL225)</f>
        <v>4701</v>
      </c>
      <c r="BM230" s="587">
        <f t="shared" si="1288"/>
        <v>4750.5</v>
      </c>
      <c r="BN230" s="587">
        <f t="shared" si="1288"/>
        <v>4799</v>
      </c>
      <c r="BO230" s="587">
        <f t="shared" si="1288"/>
        <v>4827</v>
      </c>
      <c r="BP230" s="587">
        <f t="shared" si="1288"/>
        <v>4855</v>
      </c>
      <c r="BQ230" s="587">
        <f t="shared" si="1288"/>
        <v>4898.5</v>
      </c>
      <c r="BR230" s="587">
        <f t="shared" ref="BR230:CK230" si="1289">AVERAGE(BQ225:BR225)</f>
        <v>4939.5</v>
      </c>
      <c r="BS230" s="587">
        <f t="shared" si="1289"/>
        <v>4962.5</v>
      </c>
      <c r="BT230" s="587">
        <f t="shared" si="1289"/>
        <v>4985.5</v>
      </c>
      <c r="BU230" s="587">
        <f t="shared" si="1289"/>
        <v>5020.5</v>
      </c>
      <c r="BV230" s="587">
        <f t="shared" si="1289"/>
        <v>5054.5</v>
      </c>
      <c r="BW230" s="587">
        <f t="shared" si="1289"/>
        <v>5075.5</v>
      </c>
      <c r="BX230" s="587">
        <f t="shared" si="1289"/>
        <v>5096.5</v>
      </c>
      <c r="BY230" s="587">
        <f t="shared" si="1289"/>
        <v>5126.5</v>
      </c>
      <c r="BZ230" s="587">
        <f t="shared" si="1289"/>
        <v>5156</v>
      </c>
      <c r="CA230" s="587">
        <f t="shared" si="1289"/>
        <v>5176</v>
      </c>
      <c r="CB230" s="587">
        <f t="shared" si="1289"/>
        <v>5196</v>
      </c>
      <c r="CC230" s="587">
        <f t="shared" si="1289"/>
        <v>5225.5</v>
      </c>
      <c r="CD230" s="587">
        <f t="shared" si="1289"/>
        <v>5255</v>
      </c>
      <c r="CE230" s="587">
        <f t="shared" si="1289"/>
        <v>5275</v>
      </c>
      <c r="CF230" s="587">
        <f t="shared" si="1289"/>
        <v>5295</v>
      </c>
      <c r="CG230" s="587">
        <f t="shared" si="1289"/>
        <v>5324.5</v>
      </c>
      <c r="CH230" s="587">
        <f t="shared" si="1289"/>
        <v>5352.5</v>
      </c>
      <c r="CI230" s="587">
        <f t="shared" si="1289"/>
        <v>5369.5</v>
      </c>
      <c r="CJ230" s="587">
        <f t="shared" si="1289"/>
        <v>5386.5</v>
      </c>
      <c r="CK230" s="587">
        <f t="shared" si="1289"/>
        <v>5412</v>
      </c>
      <c r="CL230" s="587">
        <f t="shared" ref="CL230" si="1290">AVERAGE(CK225:CL225)</f>
        <v>5437.5</v>
      </c>
      <c r="CM230" s="587">
        <f t="shared" ref="CM230" si="1291">AVERAGE(CL225:CM225)</f>
        <v>5454.5</v>
      </c>
      <c r="CN230" s="587">
        <f t="shared" ref="CN230" si="1292">AVERAGE(CM225:CN225)</f>
        <v>5471.5</v>
      </c>
      <c r="CO230" s="587">
        <f t="shared" ref="CO230" si="1293">AVERAGE(CN225:CO225)</f>
        <v>5497.5</v>
      </c>
      <c r="CP230" s="587">
        <f t="shared" ref="CP230" si="1294">AVERAGE(CO225:CP225)</f>
        <v>5523.5</v>
      </c>
      <c r="CQ230" s="587">
        <f t="shared" ref="CQ230" si="1295">AVERAGE(CP225:CQ225)</f>
        <v>5540.5</v>
      </c>
      <c r="CR230" s="587">
        <f t="shared" ref="CR230" si="1296">AVERAGE(CQ225:CR225)</f>
        <v>5557.5</v>
      </c>
      <c r="CS230" s="587">
        <f t="shared" ref="CS230" si="1297">AVERAGE(CR225:CS225)</f>
        <v>5583.5</v>
      </c>
      <c r="CT230" s="587">
        <f t="shared" ref="CT230" si="1298">AVERAGE(CS225:CT225)</f>
        <v>5609</v>
      </c>
      <c r="CU230" s="587">
        <f t="shared" ref="CU230" si="1299">AVERAGE(CT225:CU225)</f>
        <v>5625</v>
      </c>
      <c r="CV230" s="587">
        <f t="shared" ref="CV230" si="1300">AVERAGE(CU225:CV225)</f>
        <v>5641</v>
      </c>
      <c r="CW230" s="587">
        <f t="shared" ref="CW230" si="1301">AVERAGE(CV225:CW225)</f>
        <v>5663</v>
      </c>
    </row>
    <row r="231" spans="1:101" s="9" customFormat="1" ht="11.25">
      <c r="A231" s="869"/>
      <c r="B231" s="62"/>
      <c r="C231" s="369"/>
      <c r="D231" s="369"/>
      <c r="E231" s="369"/>
      <c r="F231" s="369"/>
      <c r="G231" s="369"/>
      <c r="H231" s="369"/>
      <c r="I231" s="369"/>
      <c r="J231" s="369"/>
      <c r="K231" s="369"/>
      <c r="L231" s="369"/>
      <c r="M231" s="369"/>
      <c r="N231" s="369"/>
      <c r="O231" s="369"/>
      <c r="P231" s="369"/>
      <c r="Q231" s="369"/>
      <c r="R231" s="369"/>
      <c r="S231" s="369"/>
      <c r="T231" s="369"/>
      <c r="U231" s="36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2131"/>
      <c r="AF231" s="369"/>
      <c r="AG231" s="369"/>
      <c r="AH231" s="369"/>
      <c r="AI231" s="369"/>
      <c r="AJ231" s="369"/>
      <c r="AK231" s="369"/>
      <c r="AL231" s="369"/>
      <c r="AM231" s="586"/>
      <c r="AN231" s="586"/>
      <c r="AO231" s="586"/>
      <c r="AP231" s="586"/>
      <c r="AQ231" s="586"/>
      <c r="AR231" s="586"/>
      <c r="AS231" s="586"/>
      <c r="AT231" s="586"/>
      <c r="AU231" s="586"/>
      <c r="AV231" s="586"/>
      <c r="AW231" s="586"/>
      <c r="AX231" s="586"/>
      <c r="AY231" s="586"/>
      <c r="AZ231" s="586"/>
      <c r="BA231" s="586"/>
      <c r="BB231" s="586"/>
      <c r="BC231" s="586"/>
      <c r="BD231" s="586"/>
      <c r="BE231" s="586"/>
      <c r="BF231" s="586"/>
      <c r="BG231" s="586"/>
      <c r="BH231" s="586"/>
      <c r="BI231" s="586"/>
      <c r="BJ231" s="586"/>
      <c r="BK231" s="1353"/>
      <c r="BL231" s="335"/>
      <c r="BM231" s="335"/>
      <c r="BN231" s="335"/>
      <c r="BO231" s="335"/>
      <c r="BP231" s="335"/>
      <c r="BQ231" s="335"/>
      <c r="BR231" s="335"/>
      <c r="BS231" s="335"/>
      <c r="BT231" s="335"/>
      <c r="BU231" s="335"/>
      <c r="BV231" s="335"/>
      <c r="BW231" s="335"/>
      <c r="BX231" s="335"/>
      <c r="BY231" s="335"/>
      <c r="BZ231" s="335"/>
      <c r="CA231" s="335"/>
      <c r="CB231" s="335"/>
      <c r="CC231" s="335"/>
      <c r="CD231" s="335"/>
      <c r="CE231" s="335"/>
      <c r="CF231" s="335"/>
      <c r="CG231" s="335"/>
      <c r="CH231" s="335"/>
      <c r="CI231" s="335"/>
      <c r="CJ231" s="335"/>
      <c r="CK231" s="335"/>
      <c r="CL231" s="335"/>
      <c r="CM231" s="335"/>
      <c r="CN231" s="335"/>
      <c r="CO231" s="335"/>
      <c r="CP231" s="335"/>
      <c r="CQ231" s="335"/>
      <c r="CR231" s="335"/>
      <c r="CS231" s="335"/>
      <c r="CT231" s="335"/>
      <c r="CU231" s="335"/>
      <c r="CV231" s="335"/>
      <c r="CW231" s="335"/>
    </row>
    <row r="232" spans="1:101" s="9" customFormat="1" ht="11.25">
      <c r="A232" s="655" t="s">
        <v>944</v>
      </c>
      <c r="B232" s="62">
        <f>+Segment!C475</f>
        <v>209</v>
      </c>
      <c r="C232" s="62">
        <f>+Segment!D475</f>
        <v>212</v>
      </c>
      <c r="D232" s="62">
        <f>+Segment!E475</f>
        <v>215</v>
      </c>
      <c r="E232" s="62">
        <f>+Segment!F475</f>
        <v>219</v>
      </c>
      <c r="F232" s="251">
        <f>+Segment!G475</f>
        <v>217</v>
      </c>
      <c r="G232" s="251">
        <f>+Segment!H475</f>
        <v>219</v>
      </c>
      <c r="H232" s="251">
        <f>+Segment!I475</f>
        <v>199</v>
      </c>
      <c r="I232" s="251">
        <f>+Segment!J475</f>
        <v>195</v>
      </c>
      <c r="J232" s="251">
        <f>+Segment!K475</f>
        <v>195</v>
      </c>
      <c r="K232" s="251">
        <f>+Segment!L475</f>
        <v>196</v>
      </c>
      <c r="L232" s="251">
        <f>+Segment!M475</f>
        <v>202</v>
      </c>
      <c r="M232" s="251">
        <f>+Segment!N475</f>
        <v>206</v>
      </c>
      <c r="N232" s="251">
        <f>+Segment!O475</f>
        <v>219</v>
      </c>
      <c r="O232" s="251">
        <f>+Segment!P475</f>
        <v>242</v>
      </c>
      <c r="P232" s="251">
        <f>+Segment!Q475</f>
        <v>246</v>
      </c>
      <c r="Q232" s="251">
        <f>+Segment!R475</f>
        <v>274</v>
      </c>
      <c r="R232" s="251">
        <f>+Segment!S475</f>
        <v>262</v>
      </c>
      <c r="S232" s="251">
        <f>+Segment!T475</f>
        <v>483</v>
      </c>
      <c r="T232" s="251">
        <f>+Segment!U475</f>
        <v>440</v>
      </c>
      <c r="U232" s="251">
        <f>+Segment!V475</f>
        <v>451</v>
      </c>
      <c r="V232" s="251">
        <f>+Segment!W475</f>
        <v>454</v>
      </c>
      <c r="W232" s="251">
        <f>+Segment!X475</f>
        <v>462</v>
      </c>
      <c r="X232" s="251">
        <f>+Segment!Y475</f>
        <v>461</v>
      </c>
      <c r="Y232" s="251">
        <f>+Segment!Z475</f>
        <v>623</v>
      </c>
      <c r="Z232" s="251">
        <f>+Segment!AA475</f>
        <v>628</v>
      </c>
      <c r="AA232" s="251">
        <f>+Segment!AB475</f>
        <v>632</v>
      </c>
      <c r="AB232" s="251">
        <f>+Segment!AC475</f>
        <v>653</v>
      </c>
      <c r="AC232" s="251">
        <f>+Segment!AD475</f>
        <v>671</v>
      </c>
      <c r="AD232" s="251">
        <f>+Segment!AE475</f>
        <v>669</v>
      </c>
      <c r="AE232" s="2133">
        <f>+Segment!AF475</f>
        <v>674</v>
      </c>
      <c r="AF232" s="251">
        <f>+Segment!AG475</f>
        <v>668</v>
      </c>
      <c r="AG232" s="251">
        <f>+Segment!AH475</f>
        <v>693</v>
      </c>
      <c r="AH232" s="251">
        <f>+Segment!AI475</f>
        <v>682</v>
      </c>
      <c r="AI232" s="251">
        <f>+Segment!AJ475</f>
        <v>694</v>
      </c>
      <c r="AJ232" s="251">
        <f>+Segment!AK475</f>
        <v>702</v>
      </c>
      <c r="AK232" s="251">
        <f>+Segment!AL475</f>
        <v>722</v>
      </c>
      <c r="AL232" s="251">
        <f>+Segment!AM475</f>
        <v>731</v>
      </c>
      <c r="AM232" s="963">
        <f>+Segment!AN475</f>
        <v>728</v>
      </c>
      <c r="AN232" s="963">
        <f>+Segment!AO475</f>
        <v>732</v>
      </c>
      <c r="AO232" s="963">
        <f>+Segment!AP475</f>
        <v>741</v>
      </c>
      <c r="AP232" s="963">
        <f>+Segment!AQ475</f>
        <v>1052</v>
      </c>
      <c r="AQ232" s="963">
        <f>+Segment!AR475</f>
        <v>1059</v>
      </c>
      <c r="AR232" s="963">
        <f>+Segment!AS475</f>
        <v>1073</v>
      </c>
      <c r="AS232" s="963">
        <f>+Segment!AT475</f>
        <v>891</v>
      </c>
      <c r="AT232" s="963">
        <f>+Segment!AU475</f>
        <v>899</v>
      </c>
      <c r="AU232" s="963">
        <f>+Segment!AV475</f>
        <v>898</v>
      </c>
      <c r="AV232" s="963">
        <f>+Segment!AW475</f>
        <v>901</v>
      </c>
      <c r="AW232" s="963">
        <f>+Segment!AX475</f>
        <v>909</v>
      </c>
      <c r="AX232" s="963">
        <f>+Segment!AY475</f>
        <v>911</v>
      </c>
      <c r="AY232" s="963">
        <f>+Segment!AZ475</f>
        <v>928</v>
      </c>
      <c r="AZ232" s="963">
        <f>+Segment!BA475</f>
        <v>955</v>
      </c>
      <c r="BA232" s="963">
        <f>+Segment!BB475</f>
        <v>973</v>
      </c>
      <c r="BB232" s="963">
        <f>+Segment!BC475</f>
        <v>990</v>
      </c>
      <c r="BC232" s="963">
        <f>+Segment!BD475</f>
        <v>998</v>
      </c>
      <c r="BD232" s="963">
        <f>+Segment!BE475</f>
        <v>999</v>
      </c>
      <c r="BE232" s="963">
        <f>+Segment!BF475</f>
        <v>1011</v>
      </c>
      <c r="BF232" s="963">
        <f>+Segment!BG475</f>
        <v>1008</v>
      </c>
      <c r="BG232" s="963">
        <f>+Segment!BH475</f>
        <v>1017</v>
      </c>
      <c r="BH232" s="963">
        <f>+Segment!BI475</f>
        <v>1036</v>
      </c>
      <c r="BI232" s="963">
        <f>+Segment!BJ475</f>
        <v>1070</v>
      </c>
      <c r="BJ232" s="963">
        <f>+Segment!BK475</f>
        <v>1070</v>
      </c>
      <c r="BK232" s="1355">
        <f>+Segment!BL475</f>
        <v>1077</v>
      </c>
      <c r="BL232" s="587">
        <f t="shared" ref="BL232:CW232" si="1302">+BL150+BL85+BL18</f>
        <v>1088</v>
      </c>
      <c r="BM232" s="587">
        <f t="shared" si="1302"/>
        <v>1128</v>
      </c>
      <c r="BN232" s="587">
        <f t="shared" si="1302"/>
        <v>1139</v>
      </c>
      <c r="BO232" s="587">
        <f t="shared" si="1302"/>
        <v>1150</v>
      </c>
      <c r="BP232" s="587">
        <f t="shared" si="1302"/>
        <v>1161</v>
      </c>
      <c r="BQ232" s="587">
        <f t="shared" si="1302"/>
        <v>1183</v>
      </c>
      <c r="BR232" s="587">
        <f t="shared" si="1302"/>
        <v>1193</v>
      </c>
      <c r="BS232" s="587">
        <f t="shared" si="1302"/>
        <v>1203</v>
      </c>
      <c r="BT232" s="587">
        <f t="shared" si="1302"/>
        <v>1213</v>
      </c>
      <c r="BU232" s="587">
        <f t="shared" si="1302"/>
        <v>1230</v>
      </c>
      <c r="BV232" s="587">
        <f t="shared" si="1302"/>
        <v>1239</v>
      </c>
      <c r="BW232" s="587">
        <f t="shared" si="1302"/>
        <v>1248</v>
      </c>
      <c r="BX232" s="587">
        <f t="shared" si="1302"/>
        <v>1257</v>
      </c>
      <c r="BY232" s="587">
        <f t="shared" si="1302"/>
        <v>1271</v>
      </c>
      <c r="BZ232" s="587">
        <f t="shared" si="1302"/>
        <v>1279</v>
      </c>
      <c r="CA232" s="587">
        <f t="shared" si="1302"/>
        <v>1287</v>
      </c>
      <c r="CB232" s="587">
        <f t="shared" si="1302"/>
        <v>1295</v>
      </c>
      <c r="CC232" s="587">
        <f t="shared" si="1302"/>
        <v>1309</v>
      </c>
      <c r="CD232" s="587">
        <f t="shared" si="1302"/>
        <v>1317</v>
      </c>
      <c r="CE232" s="587">
        <f t="shared" si="1302"/>
        <v>1325</v>
      </c>
      <c r="CF232" s="587">
        <f t="shared" si="1302"/>
        <v>1333</v>
      </c>
      <c r="CG232" s="587">
        <f t="shared" si="1302"/>
        <v>1347</v>
      </c>
      <c r="CH232" s="587">
        <f t="shared" si="1302"/>
        <v>1354</v>
      </c>
      <c r="CI232" s="587">
        <f t="shared" si="1302"/>
        <v>1361</v>
      </c>
      <c r="CJ232" s="587">
        <f t="shared" si="1302"/>
        <v>1368</v>
      </c>
      <c r="CK232" s="587">
        <f t="shared" si="1302"/>
        <v>1381</v>
      </c>
      <c r="CL232" s="587">
        <f t="shared" si="1302"/>
        <v>1388</v>
      </c>
      <c r="CM232" s="587">
        <f t="shared" si="1302"/>
        <v>1395</v>
      </c>
      <c r="CN232" s="587">
        <f t="shared" si="1302"/>
        <v>1402</v>
      </c>
      <c r="CO232" s="587">
        <f t="shared" si="1302"/>
        <v>1416</v>
      </c>
      <c r="CP232" s="587">
        <f t="shared" si="1302"/>
        <v>1423</v>
      </c>
      <c r="CQ232" s="587">
        <f t="shared" si="1302"/>
        <v>1430</v>
      </c>
      <c r="CR232" s="587">
        <f t="shared" si="1302"/>
        <v>1437</v>
      </c>
      <c r="CS232" s="587">
        <f t="shared" si="1302"/>
        <v>1451</v>
      </c>
      <c r="CT232" s="587">
        <f t="shared" si="1302"/>
        <v>1457</v>
      </c>
      <c r="CU232" s="587">
        <f t="shared" si="1302"/>
        <v>1463</v>
      </c>
      <c r="CV232" s="587">
        <f t="shared" si="1302"/>
        <v>1469</v>
      </c>
      <c r="CW232" s="587">
        <f t="shared" si="1302"/>
        <v>1481</v>
      </c>
    </row>
    <row r="233" spans="1:101" s="9" customFormat="1" ht="11.25">
      <c r="A233" s="869" t="s">
        <v>940</v>
      </c>
      <c r="B233" s="62"/>
      <c r="C233" s="369">
        <f t="shared" ref="C233:AH233" si="1303">+C232-B232</f>
        <v>3</v>
      </c>
      <c r="D233" s="369">
        <f t="shared" si="1303"/>
        <v>3</v>
      </c>
      <c r="E233" s="369">
        <f t="shared" si="1303"/>
        <v>4</v>
      </c>
      <c r="F233" s="369">
        <f t="shared" si="1303"/>
        <v>-2</v>
      </c>
      <c r="G233" s="369">
        <f t="shared" si="1303"/>
        <v>2</v>
      </c>
      <c r="H233" s="369">
        <f t="shared" si="1303"/>
        <v>-20</v>
      </c>
      <c r="I233" s="369">
        <f t="shared" si="1303"/>
        <v>-4</v>
      </c>
      <c r="J233" s="369">
        <f t="shared" si="1303"/>
        <v>0</v>
      </c>
      <c r="K233" s="369">
        <f t="shared" si="1303"/>
        <v>1</v>
      </c>
      <c r="L233" s="369">
        <f t="shared" si="1303"/>
        <v>6</v>
      </c>
      <c r="M233" s="369">
        <f t="shared" si="1303"/>
        <v>4</v>
      </c>
      <c r="N233" s="369">
        <f t="shared" si="1303"/>
        <v>13</v>
      </c>
      <c r="O233" s="369">
        <f t="shared" si="1303"/>
        <v>23</v>
      </c>
      <c r="P233" s="369">
        <f t="shared" si="1303"/>
        <v>4</v>
      </c>
      <c r="Q233" s="369">
        <f t="shared" si="1303"/>
        <v>28</v>
      </c>
      <c r="R233" s="369">
        <f t="shared" si="1303"/>
        <v>-12</v>
      </c>
      <c r="S233" s="369">
        <f t="shared" si="1303"/>
        <v>221</v>
      </c>
      <c r="T233" s="369">
        <f t="shared" si="1303"/>
        <v>-43</v>
      </c>
      <c r="U233" s="369">
        <f t="shared" si="1303"/>
        <v>11</v>
      </c>
      <c r="V233" s="369">
        <f t="shared" si="1303"/>
        <v>3</v>
      </c>
      <c r="W233" s="369">
        <f t="shared" si="1303"/>
        <v>8</v>
      </c>
      <c r="X233" s="369">
        <f t="shared" si="1303"/>
        <v>-1</v>
      </c>
      <c r="Y233" s="369">
        <f t="shared" si="1303"/>
        <v>162</v>
      </c>
      <c r="Z233" s="369">
        <f t="shared" si="1303"/>
        <v>5</v>
      </c>
      <c r="AA233" s="369">
        <f t="shared" si="1303"/>
        <v>4</v>
      </c>
      <c r="AB233" s="369">
        <f t="shared" si="1303"/>
        <v>21</v>
      </c>
      <c r="AC233" s="369">
        <f t="shared" si="1303"/>
        <v>18</v>
      </c>
      <c r="AD233" s="369">
        <f t="shared" si="1303"/>
        <v>-2</v>
      </c>
      <c r="AE233" s="2131">
        <f t="shared" si="1303"/>
        <v>5</v>
      </c>
      <c r="AF233" s="369">
        <f t="shared" si="1303"/>
        <v>-6</v>
      </c>
      <c r="AG233" s="369">
        <f t="shared" si="1303"/>
        <v>25</v>
      </c>
      <c r="AH233" s="369">
        <f t="shared" si="1303"/>
        <v>-11</v>
      </c>
      <c r="AI233" s="369">
        <f t="shared" ref="AI233:BN233" si="1304">+AI232-AH232</f>
        <v>12</v>
      </c>
      <c r="AJ233" s="369">
        <f t="shared" si="1304"/>
        <v>8</v>
      </c>
      <c r="AK233" s="369">
        <f t="shared" si="1304"/>
        <v>20</v>
      </c>
      <c r="AL233" s="369">
        <f t="shared" si="1304"/>
        <v>9</v>
      </c>
      <c r="AM233" s="586">
        <f t="shared" si="1304"/>
        <v>-3</v>
      </c>
      <c r="AN233" s="586">
        <f t="shared" si="1304"/>
        <v>4</v>
      </c>
      <c r="AO233" s="586">
        <f t="shared" si="1304"/>
        <v>9</v>
      </c>
      <c r="AP233" s="586">
        <f t="shared" si="1304"/>
        <v>311</v>
      </c>
      <c r="AQ233" s="586">
        <f t="shared" si="1304"/>
        <v>7</v>
      </c>
      <c r="AR233" s="586">
        <f t="shared" si="1304"/>
        <v>14</v>
      </c>
      <c r="AS233" s="586">
        <f t="shared" si="1304"/>
        <v>-182</v>
      </c>
      <c r="AT233" s="586">
        <f t="shared" si="1304"/>
        <v>8</v>
      </c>
      <c r="AU233" s="586">
        <f t="shared" si="1304"/>
        <v>-1</v>
      </c>
      <c r="AV233" s="586">
        <f t="shared" si="1304"/>
        <v>3</v>
      </c>
      <c r="AW233" s="586">
        <f t="shared" si="1304"/>
        <v>8</v>
      </c>
      <c r="AX233" s="586">
        <f t="shared" si="1304"/>
        <v>2</v>
      </c>
      <c r="AY233" s="586">
        <f t="shared" si="1304"/>
        <v>17</v>
      </c>
      <c r="AZ233" s="586">
        <f t="shared" si="1304"/>
        <v>27</v>
      </c>
      <c r="BA233" s="586">
        <f t="shared" ref="BA233:BK233" si="1305">+BA232-AZ232</f>
        <v>18</v>
      </c>
      <c r="BB233" s="586">
        <f t="shared" si="1305"/>
        <v>17</v>
      </c>
      <c r="BC233" s="586">
        <f t="shared" si="1305"/>
        <v>8</v>
      </c>
      <c r="BD233" s="586">
        <f t="shared" si="1305"/>
        <v>1</v>
      </c>
      <c r="BE233" s="586">
        <f t="shared" si="1305"/>
        <v>12</v>
      </c>
      <c r="BF233" s="586">
        <f t="shared" si="1305"/>
        <v>-3</v>
      </c>
      <c r="BG233" s="586">
        <f t="shared" si="1305"/>
        <v>9</v>
      </c>
      <c r="BH233" s="586">
        <f t="shared" si="1305"/>
        <v>19</v>
      </c>
      <c r="BI233" s="586">
        <f t="shared" si="1305"/>
        <v>34</v>
      </c>
      <c r="BJ233" s="586">
        <f t="shared" si="1305"/>
        <v>0</v>
      </c>
      <c r="BK233" s="1353">
        <f t="shared" si="1305"/>
        <v>7</v>
      </c>
      <c r="BL233" s="587">
        <f t="shared" si="1304"/>
        <v>11</v>
      </c>
      <c r="BM233" s="587">
        <f t="shared" si="1304"/>
        <v>40</v>
      </c>
      <c r="BN233" s="587">
        <f t="shared" si="1304"/>
        <v>11</v>
      </c>
      <c r="BO233" s="587">
        <f t="shared" ref="BO233:CK233" si="1306">+BO232-BN232</f>
        <v>11</v>
      </c>
      <c r="BP233" s="587">
        <f t="shared" si="1306"/>
        <v>11</v>
      </c>
      <c r="BQ233" s="587">
        <f t="shared" si="1306"/>
        <v>22</v>
      </c>
      <c r="BR233" s="587">
        <f t="shared" si="1306"/>
        <v>10</v>
      </c>
      <c r="BS233" s="587">
        <f t="shared" si="1306"/>
        <v>10</v>
      </c>
      <c r="BT233" s="587">
        <f t="shared" si="1306"/>
        <v>10</v>
      </c>
      <c r="BU233" s="587">
        <f t="shared" si="1306"/>
        <v>17</v>
      </c>
      <c r="BV233" s="587">
        <f t="shared" si="1306"/>
        <v>9</v>
      </c>
      <c r="BW233" s="587">
        <f t="shared" si="1306"/>
        <v>9</v>
      </c>
      <c r="BX233" s="587">
        <f t="shared" si="1306"/>
        <v>9</v>
      </c>
      <c r="BY233" s="587">
        <f t="shared" si="1306"/>
        <v>14</v>
      </c>
      <c r="BZ233" s="587">
        <f t="shared" si="1306"/>
        <v>8</v>
      </c>
      <c r="CA233" s="587">
        <f t="shared" si="1306"/>
        <v>8</v>
      </c>
      <c r="CB233" s="587">
        <f t="shared" si="1306"/>
        <v>8</v>
      </c>
      <c r="CC233" s="587">
        <f t="shared" si="1306"/>
        <v>14</v>
      </c>
      <c r="CD233" s="587">
        <f t="shared" si="1306"/>
        <v>8</v>
      </c>
      <c r="CE233" s="587">
        <f t="shared" si="1306"/>
        <v>8</v>
      </c>
      <c r="CF233" s="587">
        <f t="shared" si="1306"/>
        <v>8</v>
      </c>
      <c r="CG233" s="587">
        <f t="shared" si="1306"/>
        <v>14</v>
      </c>
      <c r="CH233" s="587">
        <f t="shared" si="1306"/>
        <v>7</v>
      </c>
      <c r="CI233" s="587">
        <f t="shared" si="1306"/>
        <v>7</v>
      </c>
      <c r="CJ233" s="587">
        <f t="shared" si="1306"/>
        <v>7</v>
      </c>
      <c r="CK233" s="587">
        <f t="shared" si="1306"/>
        <v>13</v>
      </c>
      <c r="CL233" s="587">
        <f t="shared" ref="CL233" si="1307">+CL232-CK232</f>
        <v>7</v>
      </c>
      <c r="CM233" s="587">
        <f t="shared" ref="CM233" si="1308">+CM232-CL232</f>
        <v>7</v>
      </c>
      <c r="CN233" s="587">
        <f t="shared" ref="CN233" si="1309">+CN232-CM232</f>
        <v>7</v>
      </c>
      <c r="CO233" s="587">
        <f t="shared" ref="CO233" si="1310">+CO232-CN232</f>
        <v>14</v>
      </c>
      <c r="CP233" s="587">
        <f t="shared" ref="CP233" si="1311">+CP232-CO232</f>
        <v>7</v>
      </c>
      <c r="CQ233" s="587">
        <f t="shared" ref="CQ233" si="1312">+CQ232-CP232</f>
        <v>7</v>
      </c>
      <c r="CR233" s="587">
        <f t="shared" ref="CR233" si="1313">+CR232-CQ232</f>
        <v>7</v>
      </c>
      <c r="CS233" s="587">
        <f t="shared" ref="CS233" si="1314">+CS232-CR232</f>
        <v>14</v>
      </c>
      <c r="CT233" s="587">
        <f t="shared" ref="CT233" si="1315">+CT232-CS232</f>
        <v>6</v>
      </c>
      <c r="CU233" s="587">
        <f t="shared" ref="CU233" si="1316">+CU232-CT232</f>
        <v>6</v>
      </c>
      <c r="CV233" s="587">
        <f t="shared" ref="CV233" si="1317">+CV232-CU232</f>
        <v>6</v>
      </c>
      <c r="CW233" s="587">
        <f t="shared" ref="CW233" si="1318">+CW232-CV232</f>
        <v>12</v>
      </c>
    </row>
    <row r="234" spans="1:101" s="9" customFormat="1" ht="11.25">
      <c r="A234" s="869" t="s">
        <v>946</v>
      </c>
      <c r="B234" s="62"/>
      <c r="C234" s="369">
        <f t="shared" ref="C234:AH234" si="1319">AVERAGE(B232:C232)</f>
        <v>210.5</v>
      </c>
      <c r="D234" s="369">
        <f t="shared" si="1319"/>
        <v>213.5</v>
      </c>
      <c r="E234" s="369">
        <f t="shared" si="1319"/>
        <v>217</v>
      </c>
      <c r="F234" s="369">
        <f t="shared" si="1319"/>
        <v>218</v>
      </c>
      <c r="G234" s="369">
        <f t="shared" si="1319"/>
        <v>218</v>
      </c>
      <c r="H234" s="369">
        <f t="shared" si="1319"/>
        <v>209</v>
      </c>
      <c r="I234" s="369">
        <f t="shared" si="1319"/>
        <v>197</v>
      </c>
      <c r="J234" s="369">
        <f t="shared" si="1319"/>
        <v>195</v>
      </c>
      <c r="K234" s="369">
        <f t="shared" si="1319"/>
        <v>195.5</v>
      </c>
      <c r="L234" s="369">
        <f t="shared" si="1319"/>
        <v>199</v>
      </c>
      <c r="M234" s="369">
        <f t="shared" si="1319"/>
        <v>204</v>
      </c>
      <c r="N234" s="369">
        <f t="shared" si="1319"/>
        <v>212.5</v>
      </c>
      <c r="O234" s="369">
        <f t="shared" si="1319"/>
        <v>230.5</v>
      </c>
      <c r="P234" s="369">
        <f t="shared" si="1319"/>
        <v>244</v>
      </c>
      <c r="Q234" s="369">
        <f t="shared" si="1319"/>
        <v>260</v>
      </c>
      <c r="R234" s="369">
        <f t="shared" si="1319"/>
        <v>268</v>
      </c>
      <c r="S234" s="369">
        <f t="shared" si="1319"/>
        <v>372.5</v>
      </c>
      <c r="T234" s="369">
        <f t="shared" si="1319"/>
        <v>461.5</v>
      </c>
      <c r="U234" s="369">
        <f t="shared" si="1319"/>
        <v>445.5</v>
      </c>
      <c r="V234" s="369">
        <f t="shared" si="1319"/>
        <v>452.5</v>
      </c>
      <c r="W234" s="369">
        <f t="shared" si="1319"/>
        <v>458</v>
      </c>
      <c r="X234" s="369">
        <f t="shared" si="1319"/>
        <v>461.5</v>
      </c>
      <c r="Y234" s="369">
        <f t="shared" si="1319"/>
        <v>542</v>
      </c>
      <c r="Z234" s="369">
        <f t="shared" si="1319"/>
        <v>625.5</v>
      </c>
      <c r="AA234" s="369">
        <f t="shared" si="1319"/>
        <v>630</v>
      </c>
      <c r="AB234" s="369">
        <f t="shared" si="1319"/>
        <v>642.5</v>
      </c>
      <c r="AC234" s="369">
        <f t="shared" si="1319"/>
        <v>662</v>
      </c>
      <c r="AD234" s="369">
        <f t="shared" si="1319"/>
        <v>670</v>
      </c>
      <c r="AE234" s="2131">
        <f t="shared" si="1319"/>
        <v>671.5</v>
      </c>
      <c r="AF234" s="369">
        <f t="shared" si="1319"/>
        <v>671</v>
      </c>
      <c r="AG234" s="369">
        <f t="shared" si="1319"/>
        <v>680.5</v>
      </c>
      <c r="AH234" s="369">
        <f t="shared" si="1319"/>
        <v>687.5</v>
      </c>
      <c r="AI234" s="369">
        <f t="shared" ref="AI234:BQ234" si="1320">AVERAGE(AH232:AI232)</f>
        <v>688</v>
      </c>
      <c r="AJ234" s="369">
        <f t="shared" si="1320"/>
        <v>698</v>
      </c>
      <c r="AK234" s="369">
        <f t="shared" si="1320"/>
        <v>712</v>
      </c>
      <c r="AL234" s="369">
        <f t="shared" si="1320"/>
        <v>726.5</v>
      </c>
      <c r="AM234" s="586">
        <f t="shared" si="1320"/>
        <v>729.5</v>
      </c>
      <c r="AN234" s="586">
        <f t="shared" si="1320"/>
        <v>730</v>
      </c>
      <c r="AO234" s="586">
        <f t="shared" si="1320"/>
        <v>736.5</v>
      </c>
      <c r="AP234" s="586">
        <f t="shared" si="1320"/>
        <v>896.5</v>
      </c>
      <c r="AQ234" s="586">
        <f t="shared" si="1320"/>
        <v>1055.5</v>
      </c>
      <c r="AR234" s="586">
        <f t="shared" si="1320"/>
        <v>1066</v>
      </c>
      <c r="AS234" s="586">
        <f t="shared" si="1320"/>
        <v>982</v>
      </c>
      <c r="AT234" s="586">
        <f t="shared" si="1320"/>
        <v>895</v>
      </c>
      <c r="AU234" s="586">
        <f t="shared" si="1320"/>
        <v>898.5</v>
      </c>
      <c r="AV234" s="586">
        <f t="shared" si="1320"/>
        <v>899.5</v>
      </c>
      <c r="AW234" s="586">
        <f t="shared" si="1320"/>
        <v>905</v>
      </c>
      <c r="AX234" s="586">
        <f t="shared" si="1320"/>
        <v>910</v>
      </c>
      <c r="AY234" s="586">
        <f t="shared" si="1320"/>
        <v>919.5</v>
      </c>
      <c r="AZ234" s="586">
        <f t="shared" si="1320"/>
        <v>941.5</v>
      </c>
      <c r="BA234" s="586">
        <f t="shared" ref="BA234:BK234" si="1321">AVERAGE(AZ232:BA232)</f>
        <v>964</v>
      </c>
      <c r="BB234" s="586">
        <f t="shared" si="1321"/>
        <v>981.5</v>
      </c>
      <c r="BC234" s="586">
        <f t="shared" si="1321"/>
        <v>994</v>
      </c>
      <c r="BD234" s="586">
        <f t="shared" si="1321"/>
        <v>998.5</v>
      </c>
      <c r="BE234" s="586">
        <f t="shared" si="1321"/>
        <v>1005</v>
      </c>
      <c r="BF234" s="586">
        <f t="shared" si="1321"/>
        <v>1009.5</v>
      </c>
      <c r="BG234" s="586">
        <f t="shared" si="1321"/>
        <v>1012.5</v>
      </c>
      <c r="BH234" s="586">
        <f t="shared" si="1321"/>
        <v>1026.5</v>
      </c>
      <c r="BI234" s="586">
        <f t="shared" si="1321"/>
        <v>1053</v>
      </c>
      <c r="BJ234" s="586">
        <f t="shared" si="1321"/>
        <v>1070</v>
      </c>
      <c r="BK234" s="1353">
        <f t="shared" si="1321"/>
        <v>1073.5</v>
      </c>
      <c r="BL234" s="587">
        <f t="shared" si="1320"/>
        <v>1082.5</v>
      </c>
      <c r="BM234" s="587">
        <f t="shared" si="1320"/>
        <v>1108</v>
      </c>
      <c r="BN234" s="587">
        <f t="shared" si="1320"/>
        <v>1133.5</v>
      </c>
      <c r="BO234" s="587">
        <f t="shared" si="1320"/>
        <v>1144.5</v>
      </c>
      <c r="BP234" s="587">
        <f t="shared" si="1320"/>
        <v>1155.5</v>
      </c>
      <c r="BQ234" s="587">
        <f t="shared" si="1320"/>
        <v>1172</v>
      </c>
      <c r="BR234" s="587">
        <f t="shared" ref="BR234:CK234" si="1322">AVERAGE(BQ232:BR232)</f>
        <v>1188</v>
      </c>
      <c r="BS234" s="587">
        <f t="shared" si="1322"/>
        <v>1198</v>
      </c>
      <c r="BT234" s="587">
        <f t="shared" si="1322"/>
        <v>1208</v>
      </c>
      <c r="BU234" s="587">
        <f t="shared" si="1322"/>
        <v>1221.5</v>
      </c>
      <c r="BV234" s="587">
        <f t="shared" si="1322"/>
        <v>1234.5</v>
      </c>
      <c r="BW234" s="587">
        <f t="shared" si="1322"/>
        <v>1243.5</v>
      </c>
      <c r="BX234" s="587">
        <f t="shared" si="1322"/>
        <v>1252.5</v>
      </c>
      <c r="BY234" s="587">
        <f t="shared" si="1322"/>
        <v>1264</v>
      </c>
      <c r="BZ234" s="587">
        <f t="shared" si="1322"/>
        <v>1275</v>
      </c>
      <c r="CA234" s="587">
        <f t="shared" si="1322"/>
        <v>1283</v>
      </c>
      <c r="CB234" s="587">
        <f t="shared" si="1322"/>
        <v>1291</v>
      </c>
      <c r="CC234" s="587">
        <f t="shared" si="1322"/>
        <v>1302</v>
      </c>
      <c r="CD234" s="587">
        <f t="shared" si="1322"/>
        <v>1313</v>
      </c>
      <c r="CE234" s="587">
        <f t="shared" si="1322"/>
        <v>1321</v>
      </c>
      <c r="CF234" s="587">
        <f t="shared" si="1322"/>
        <v>1329</v>
      </c>
      <c r="CG234" s="587">
        <f t="shared" si="1322"/>
        <v>1340</v>
      </c>
      <c r="CH234" s="587">
        <f t="shared" si="1322"/>
        <v>1350.5</v>
      </c>
      <c r="CI234" s="587">
        <f t="shared" si="1322"/>
        <v>1357.5</v>
      </c>
      <c r="CJ234" s="587">
        <f t="shared" si="1322"/>
        <v>1364.5</v>
      </c>
      <c r="CK234" s="587">
        <f t="shared" si="1322"/>
        <v>1374.5</v>
      </c>
      <c r="CL234" s="587">
        <f t="shared" ref="CL234" si="1323">AVERAGE(CK232:CL232)</f>
        <v>1384.5</v>
      </c>
      <c r="CM234" s="587">
        <f t="shared" ref="CM234" si="1324">AVERAGE(CL232:CM232)</f>
        <v>1391.5</v>
      </c>
      <c r="CN234" s="587">
        <f t="shared" ref="CN234" si="1325">AVERAGE(CM232:CN232)</f>
        <v>1398.5</v>
      </c>
      <c r="CO234" s="587">
        <f t="shared" ref="CO234" si="1326">AVERAGE(CN232:CO232)</f>
        <v>1409</v>
      </c>
      <c r="CP234" s="587">
        <f t="shared" ref="CP234" si="1327">AVERAGE(CO232:CP232)</f>
        <v>1419.5</v>
      </c>
      <c r="CQ234" s="587">
        <f t="shared" ref="CQ234" si="1328">AVERAGE(CP232:CQ232)</f>
        <v>1426.5</v>
      </c>
      <c r="CR234" s="587">
        <f t="shared" ref="CR234" si="1329">AVERAGE(CQ232:CR232)</f>
        <v>1433.5</v>
      </c>
      <c r="CS234" s="587">
        <f t="shared" ref="CS234" si="1330">AVERAGE(CR232:CS232)</f>
        <v>1444</v>
      </c>
      <c r="CT234" s="587">
        <f t="shared" ref="CT234" si="1331">AVERAGE(CS232:CT232)</f>
        <v>1454</v>
      </c>
      <c r="CU234" s="587">
        <f t="shared" ref="CU234" si="1332">AVERAGE(CT232:CU232)</f>
        <v>1460</v>
      </c>
      <c r="CV234" s="587">
        <f t="shared" ref="CV234" si="1333">AVERAGE(CU232:CV232)</f>
        <v>1466</v>
      </c>
      <c r="CW234" s="587">
        <f t="shared" ref="CW234" si="1334">AVERAGE(CV232:CW232)</f>
        <v>1475</v>
      </c>
    </row>
    <row r="235" spans="1:101" s="9" customFormat="1" ht="11.25">
      <c r="A235" s="331"/>
      <c r="B235" s="62"/>
      <c r="C235" s="62"/>
      <c r="D235" s="62"/>
      <c r="E235" s="62"/>
      <c r="F235" s="316"/>
      <c r="G235" s="333"/>
      <c r="H235" s="333"/>
      <c r="I235" s="316"/>
      <c r="J235" s="316"/>
      <c r="K235" s="333"/>
      <c r="L235" s="333"/>
      <c r="M235" s="316"/>
      <c r="N235" s="355"/>
      <c r="O235" s="355"/>
      <c r="P235" s="355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  <c r="AA235" s="355"/>
      <c r="AB235" s="316"/>
      <c r="AC235" s="316"/>
      <c r="AD235" s="316"/>
      <c r="AE235" s="2129"/>
      <c r="AF235" s="316"/>
      <c r="AG235" s="316"/>
      <c r="AH235" s="316"/>
      <c r="AI235" s="316"/>
      <c r="AJ235" s="316"/>
      <c r="AK235" s="316"/>
      <c r="AL235" s="316"/>
      <c r="AM235" s="316"/>
      <c r="AN235" s="316"/>
      <c r="AO235" s="316"/>
      <c r="BK235" s="1318"/>
    </row>
    <row r="236" spans="1:101" s="9" customFormat="1" ht="11.25">
      <c r="A236" s="331" t="s">
        <v>754</v>
      </c>
      <c r="B236" s="62"/>
      <c r="C236" s="62"/>
      <c r="D236" s="62"/>
      <c r="E236" s="62"/>
      <c r="F236" s="316"/>
      <c r="G236" s="333"/>
      <c r="H236" s="333"/>
      <c r="I236" s="316"/>
      <c r="J236" s="316"/>
      <c r="K236" s="333"/>
      <c r="L236" s="333"/>
      <c r="M236" s="316"/>
      <c r="N236" s="355"/>
      <c r="O236" s="355"/>
      <c r="P236" s="355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  <c r="AA236" s="355"/>
      <c r="AB236" s="316"/>
      <c r="AC236" s="316"/>
      <c r="AD236" s="316"/>
      <c r="AE236" s="2129"/>
      <c r="AF236" s="316"/>
      <c r="AG236" s="316"/>
      <c r="AH236" s="316"/>
      <c r="AI236" s="316"/>
      <c r="AJ236" s="316"/>
      <c r="AK236" s="316"/>
      <c r="AL236" s="316"/>
      <c r="AM236" s="316"/>
      <c r="AN236" s="316"/>
      <c r="AO236" s="316"/>
      <c r="BK236" s="1318"/>
    </row>
    <row r="237" spans="1:101" s="9" customFormat="1" ht="11.25">
      <c r="A237" s="331"/>
      <c r="B237" s="62"/>
      <c r="C237" s="62"/>
      <c r="D237" s="62"/>
      <c r="E237" s="62"/>
      <c r="F237" s="316"/>
      <c r="G237" s="333"/>
      <c r="H237" s="333"/>
      <c r="I237" s="316"/>
      <c r="J237" s="316"/>
      <c r="K237" s="333"/>
      <c r="L237" s="333"/>
      <c r="M237" s="316"/>
      <c r="N237" s="355"/>
      <c r="O237" s="355"/>
      <c r="P237" s="355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  <c r="AA237" s="355"/>
      <c r="AB237" s="316"/>
      <c r="AC237" s="316"/>
      <c r="AD237" s="316"/>
      <c r="AE237" s="2129"/>
      <c r="AF237" s="316"/>
      <c r="AG237" s="316"/>
      <c r="AH237" s="316"/>
      <c r="AI237" s="316"/>
      <c r="AJ237" s="316"/>
      <c r="AK237" s="316"/>
      <c r="AL237" s="316"/>
      <c r="AM237" s="316"/>
      <c r="AN237" s="316"/>
      <c r="AO237" s="316"/>
      <c r="BK237" s="1318"/>
    </row>
    <row r="238" spans="1:101" s="150" customFormat="1" ht="11.25">
      <c r="A238" s="1754" t="s">
        <v>954</v>
      </c>
      <c r="B238" s="873">
        <f t="shared" ref="B238:AG238" si="1335">B245/B225</f>
        <v>1.813840731070496</v>
      </c>
      <c r="C238" s="873">
        <f t="shared" si="1335"/>
        <v>1.7945653679653679</v>
      </c>
      <c r="D238" s="873">
        <f t="shared" si="1335"/>
        <v>1.8351454545454544</v>
      </c>
      <c r="E238" s="873">
        <f t="shared" si="1335"/>
        <v>1.9732382578992314</v>
      </c>
      <c r="F238" s="873">
        <f t="shared" si="1335"/>
        <v>1.7897677198975237</v>
      </c>
      <c r="G238" s="873">
        <f t="shared" si="1335"/>
        <v>1.8238215488215486</v>
      </c>
      <c r="H238" s="873">
        <f t="shared" si="1335"/>
        <v>1.9377555366269166</v>
      </c>
      <c r="I238" s="873">
        <f t="shared" si="1335"/>
        <v>2.0265315091210612</v>
      </c>
      <c r="J238" s="873">
        <f t="shared" si="1335"/>
        <v>1.9791445086705204</v>
      </c>
      <c r="K238" s="873">
        <f t="shared" si="1335"/>
        <v>2.1150350448247761</v>
      </c>
      <c r="L238" s="873">
        <f t="shared" si="1335"/>
        <v>2.2292914653784219</v>
      </c>
      <c r="M238" s="873">
        <f t="shared" si="1335"/>
        <v>2.2882556508183942</v>
      </c>
      <c r="N238" s="873">
        <f t="shared" si="1335"/>
        <v>2.208835197613721</v>
      </c>
      <c r="O238" s="873">
        <f t="shared" si="1335"/>
        <v>2.5139882611885547</v>
      </c>
      <c r="P238" s="873">
        <f t="shared" si="1335"/>
        <v>2.5233804034582135</v>
      </c>
      <c r="Q238" s="873">
        <f t="shared" si="1335"/>
        <v>2.5285344947735191</v>
      </c>
      <c r="R238" s="873">
        <f t="shared" si="1335"/>
        <v>2.3750845562543677</v>
      </c>
      <c r="S238" s="873">
        <f t="shared" si="1335"/>
        <v>2.1609881221719456</v>
      </c>
      <c r="T238" s="873">
        <f t="shared" si="1335"/>
        <v>2.2541916068470456</v>
      </c>
      <c r="U238" s="873">
        <f t="shared" si="1335"/>
        <v>2.3689317937701397</v>
      </c>
      <c r="V238" s="873">
        <f t="shared" si="1335"/>
        <v>2.122294524189261</v>
      </c>
      <c r="W238" s="873">
        <f t="shared" si="1335"/>
        <v>2.3218768406961177</v>
      </c>
      <c r="X238" s="873">
        <f t="shared" si="1335"/>
        <v>2.5038862538427757</v>
      </c>
      <c r="Y238" s="873">
        <f t="shared" si="1335"/>
        <v>2.8389166666666665</v>
      </c>
      <c r="Z238" s="873">
        <f t="shared" si="1335"/>
        <v>2.6342302725968438</v>
      </c>
      <c r="AA238" s="873">
        <f t="shared" si="1335"/>
        <v>2.7427356890459365</v>
      </c>
      <c r="AB238" s="873">
        <f t="shared" si="1335"/>
        <v>2.8311098106712564</v>
      </c>
      <c r="AC238" s="873">
        <f t="shared" si="1335"/>
        <v>3.0324394041976976</v>
      </c>
      <c r="AD238" s="873">
        <f t="shared" si="1335"/>
        <v>2.8430246502331777</v>
      </c>
      <c r="AE238" s="2134">
        <f t="shared" si="1335"/>
        <v>2.9850405004939082</v>
      </c>
      <c r="AF238" s="873">
        <f t="shared" si="1335"/>
        <v>3.1044241836404787</v>
      </c>
      <c r="AG238" s="873">
        <f t="shared" si="1335"/>
        <v>3.2862456964006261</v>
      </c>
      <c r="AH238" s="873">
        <f t="shared" ref="AH238:BQ238" si="1336">AH245/AH225</f>
        <v>3.1200123647604325</v>
      </c>
      <c r="AI238" s="873">
        <f t="shared" si="1336"/>
        <v>3.1432400486174417</v>
      </c>
      <c r="AJ238" s="873">
        <f t="shared" si="1336"/>
        <v>3.1241735759021769</v>
      </c>
      <c r="AK238" s="873">
        <f t="shared" si="1336"/>
        <v>3.3787446189645141</v>
      </c>
      <c r="AL238" s="873">
        <f t="shared" si="1336"/>
        <v>3.1948861014994234</v>
      </c>
      <c r="AM238" s="964">
        <f t="shared" si="1336"/>
        <v>3.2165600681624538</v>
      </c>
      <c r="AN238" s="964">
        <f t="shared" si="1336"/>
        <v>3.1704002229654407</v>
      </c>
      <c r="AO238" s="964">
        <f t="shared" si="1336"/>
        <v>3.3557001084598701</v>
      </c>
      <c r="AP238" s="964">
        <f t="shared" si="1336"/>
        <v>3.06895045953822</v>
      </c>
      <c r="AQ238" s="964">
        <f t="shared" si="1336"/>
        <v>3.258948815377738</v>
      </c>
      <c r="AR238" s="964">
        <f t="shared" si="1336"/>
        <v>3.2236923248053393</v>
      </c>
      <c r="AS238" s="964">
        <f t="shared" si="1336"/>
        <v>3.5714610208816704</v>
      </c>
      <c r="AT238" s="964">
        <f t="shared" si="1336"/>
        <v>2.8079540709812107</v>
      </c>
      <c r="AU238" s="964">
        <f t="shared" ref="AU238:BC238" si="1337">AU245/AU225</f>
        <v>1.221282189849624</v>
      </c>
      <c r="AV238" s="964">
        <f t="shared" si="1337"/>
        <v>2.3360524079320113</v>
      </c>
      <c r="AW238" s="964">
        <f t="shared" si="1337"/>
        <v>2.6942604340567611</v>
      </c>
      <c r="AX238" s="964">
        <f t="shared" si="1337"/>
        <v>2.440075029868578</v>
      </c>
      <c r="AY238" s="964">
        <f t="shared" si="1337"/>
        <v>2.9679752616555661</v>
      </c>
      <c r="AZ238" s="964">
        <f t="shared" si="1337"/>
        <v>3.3084320929130127</v>
      </c>
      <c r="BA238" s="964">
        <f t="shared" si="1337"/>
        <v>3.9258826841858285</v>
      </c>
      <c r="BB238" s="964">
        <f t="shared" si="1337"/>
        <v>3.5422593626424752</v>
      </c>
      <c r="BC238" s="964">
        <f t="shared" si="1337"/>
        <v>3.9066254612546127</v>
      </c>
      <c r="BD238" s="964">
        <f t="shared" ref="BD238:BG238" si="1338">BD245/BD225</f>
        <v>4.0170089429030034</v>
      </c>
      <c r="BE238" s="964">
        <f t="shared" si="1338"/>
        <v>4.305335731954127</v>
      </c>
      <c r="BF238" s="964">
        <f t="shared" si="1338"/>
        <v>3.9707006068779505</v>
      </c>
      <c r="BG238" s="964">
        <f t="shared" si="1338"/>
        <v>4.2324623631896356</v>
      </c>
      <c r="BH238" s="964">
        <f t="shared" ref="BH238" si="1339">BH245/BH225</f>
        <v>4.3113317094774128</v>
      </c>
      <c r="BI238" s="964">
        <f t="shared" ref="BI238" si="1340">BI245/BI225</f>
        <v>4.3588691042838592</v>
      </c>
      <c r="BJ238" s="964">
        <f t="shared" ref="BJ238" si="1341">BJ245/BJ225</f>
        <v>3.9221779788838615</v>
      </c>
      <c r="BK238" s="1356">
        <f t="shared" ref="BK238" si="1342">BK245/BK225</f>
        <v>4.1088435766111822</v>
      </c>
      <c r="BL238" s="874">
        <f t="shared" si="1336"/>
        <v>4.26377668208817</v>
      </c>
      <c r="BM238" s="874">
        <f t="shared" si="1336"/>
        <v>4.3854113862946908</v>
      </c>
      <c r="BN238" s="874">
        <f t="shared" si="1336"/>
        <v>4.1370436979671634</v>
      </c>
      <c r="BO238" s="874">
        <f t="shared" si="1336"/>
        <v>4.4234075970482731</v>
      </c>
      <c r="BP238" s="874">
        <f t="shared" si="1336"/>
        <v>4.510179675159633</v>
      </c>
      <c r="BQ238" s="874">
        <f t="shared" si="1336"/>
        <v>4.6094991736962818</v>
      </c>
      <c r="BR238" s="874">
        <f t="shared" ref="BR238:CK238" si="1343">BR245/BR225</f>
        <v>4.3338213329959263</v>
      </c>
      <c r="BS238" s="874">
        <f t="shared" si="1343"/>
        <v>4.5873433321685777</v>
      </c>
      <c r="BT238" s="874">
        <f t="shared" si="1343"/>
        <v>4.681867271989832</v>
      </c>
      <c r="BU238" s="874">
        <f t="shared" si="1343"/>
        <v>4.7963003816568266</v>
      </c>
      <c r="BV238" s="874">
        <f t="shared" si="1343"/>
        <v>4.4897724170874556</v>
      </c>
      <c r="BW238" s="874">
        <f t="shared" si="1343"/>
        <v>4.7470228578856464</v>
      </c>
      <c r="BX238" s="874">
        <f t="shared" si="1343"/>
        <v>4.8490285879924846</v>
      </c>
      <c r="BY238" s="874">
        <f t="shared" si="1343"/>
        <v>4.9814565050854078</v>
      </c>
      <c r="BZ238" s="874">
        <f t="shared" si="1343"/>
        <v>4.6344976328034395</v>
      </c>
      <c r="CA238" s="874">
        <f t="shared" si="1343"/>
        <v>4.8961999917810264</v>
      </c>
      <c r="CB238" s="874">
        <f t="shared" si="1343"/>
        <v>5.0063236072906339</v>
      </c>
      <c r="CC238" s="874">
        <f t="shared" si="1343"/>
        <v>5.1503361562007104</v>
      </c>
      <c r="CD238" s="874">
        <f t="shared" si="1343"/>
        <v>4.7865100263598279</v>
      </c>
      <c r="CE238" s="874">
        <f t="shared" si="1343"/>
        <v>5.0518428939148565</v>
      </c>
      <c r="CF238" s="874">
        <f t="shared" si="1343"/>
        <v>5.1694169473495615</v>
      </c>
      <c r="CG238" s="874">
        <f t="shared" si="1343"/>
        <v>5.3254138169872656</v>
      </c>
      <c r="CH238" s="874">
        <f t="shared" si="1343"/>
        <v>4.9455428078820232</v>
      </c>
      <c r="CI238" s="874">
        <f t="shared" si="1343"/>
        <v>5.2152597802484415</v>
      </c>
      <c r="CJ238" s="874">
        <f t="shared" si="1343"/>
        <v>5.3411930973498425</v>
      </c>
      <c r="CK238" s="874">
        <f t="shared" si="1343"/>
        <v>5.5109893980171316</v>
      </c>
      <c r="CL238" s="874">
        <f t="shared" ref="CL238:CW238" si="1344">CL245/CL225</f>
        <v>5.1110051247798287</v>
      </c>
      <c r="CM238" s="874">
        <f t="shared" si="1344"/>
        <v>5.3849756565430296</v>
      </c>
      <c r="CN238" s="874">
        <f t="shared" si="1344"/>
        <v>5.519280539535119</v>
      </c>
      <c r="CO238" s="874">
        <f t="shared" si="1344"/>
        <v>5.7006400582276271</v>
      </c>
      <c r="CP238" s="874">
        <f t="shared" si="1344"/>
        <v>5.2817110516565124</v>
      </c>
      <c r="CQ238" s="874">
        <f t="shared" si="1344"/>
        <v>5.5599631377166059</v>
      </c>
      <c r="CR238" s="874">
        <f t="shared" si="1344"/>
        <v>5.7031928263470375</v>
      </c>
      <c r="CS238" s="874">
        <f t="shared" si="1344"/>
        <v>5.8977008109157367</v>
      </c>
      <c r="CT238" s="874">
        <f t="shared" si="1344"/>
        <v>5.4599779166183202</v>
      </c>
      <c r="CU238" s="874">
        <f t="shared" si="1344"/>
        <v>5.7434971412958218</v>
      </c>
      <c r="CV238" s="874">
        <f t="shared" si="1344"/>
        <v>5.8969300983029935</v>
      </c>
      <c r="CW238" s="874">
        <f t="shared" si="1344"/>
        <v>6.1093593728664368</v>
      </c>
    </row>
    <row r="239" spans="1:101" s="9" customFormat="1" ht="11.25">
      <c r="A239" s="312" t="s">
        <v>753</v>
      </c>
      <c r="B239" s="62"/>
      <c r="C239" s="62"/>
      <c r="D239" s="62"/>
      <c r="E239" s="62"/>
      <c r="F239" s="256"/>
      <c r="G239" s="256">
        <f t="shared" ref="G239:AL239" si="1345">G238/C238-1</f>
        <v>1.630265543870979E-2</v>
      </c>
      <c r="H239" s="256">
        <f t="shared" si="1345"/>
        <v>5.5913868749372542E-2</v>
      </c>
      <c r="I239" s="256">
        <f t="shared" si="1345"/>
        <v>2.700801639563144E-2</v>
      </c>
      <c r="J239" s="256">
        <f t="shared" si="1345"/>
        <v>0.10581081928544323</v>
      </c>
      <c r="K239" s="256">
        <f t="shared" si="1345"/>
        <v>0.15967214346787029</v>
      </c>
      <c r="L239" s="256">
        <f t="shared" si="1345"/>
        <v>0.1504503139023341</v>
      </c>
      <c r="M239" s="256">
        <f t="shared" si="1345"/>
        <v>0.12914881437537917</v>
      </c>
      <c r="N239" s="256">
        <f t="shared" si="1345"/>
        <v>0.11605554214810421</v>
      </c>
      <c r="O239" s="256">
        <f t="shared" si="1345"/>
        <v>0.18862723685830485</v>
      </c>
      <c r="P239" s="256">
        <f t="shared" si="1345"/>
        <v>0.13192036243222693</v>
      </c>
      <c r="Q239" s="256">
        <f t="shared" si="1345"/>
        <v>0.10500524443988124</v>
      </c>
      <c r="R239" s="256">
        <f t="shared" si="1345"/>
        <v>7.5265623628349987E-2</v>
      </c>
      <c r="S239" s="256">
        <f t="shared" si="1345"/>
        <v>-0.14041439431770408</v>
      </c>
      <c r="T239" s="256">
        <f t="shared" si="1345"/>
        <v>-0.10667785017362152</v>
      </c>
      <c r="U239" s="256">
        <f t="shared" si="1345"/>
        <v>-6.3120634238242768E-2</v>
      </c>
      <c r="V239" s="256">
        <f t="shared" si="1345"/>
        <v>-0.10643411890302112</v>
      </c>
      <c r="W239" s="256">
        <f t="shared" si="1345"/>
        <v>7.4451458975381746E-2</v>
      </c>
      <c r="X239" s="256">
        <f t="shared" si="1345"/>
        <v>0.11076904298520573</v>
      </c>
      <c r="Y239" s="256">
        <f t="shared" si="1345"/>
        <v>0.19839527424660419</v>
      </c>
      <c r="Z239" s="256">
        <f t="shared" si="1345"/>
        <v>0.24121805082786407</v>
      </c>
      <c r="AA239" s="256">
        <f t="shared" si="1345"/>
        <v>0.18125804132817058</v>
      </c>
      <c r="AB239" s="256">
        <f t="shared" si="1345"/>
        <v>0.13068627072267458</v>
      </c>
      <c r="AC239" s="256">
        <f t="shared" si="1345"/>
        <v>6.8167811969717773E-2</v>
      </c>
      <c r="AD239" s="256">
        <f t="shared" si="1345"/>
        <v>7.9262006745713487E-2</v>
      </c>
      <c r="AE239" s="2132">
        <f t="shared" si="1345"/>
        <v>8.8344207725046253E-2</v>
      </c>
      <c r="AF239" s="256">
        <f t="shared" si="1345"/>
        <v>9.6539658030579734E-2</v>
      </c>
      <c r="AG239" s="256">
        <f t="shared" si="1345"/>
        <v>8.3697069709486538E-2</v>
      </c>
      <c r="AH239" s="256">
        <f t="shared" si="1345"/>
        <v>9.7427123786822278E-2</v>
      </c>
      <c r="AI239" s="256">
        <f t="shared" si="1345"/>
        <v>5.2997454506013453E-2</v>
      </c>
      <c r="AJ239" s="256">
        <f t="shared" si="1345"/>
        <v>6.3616925695182402E-3</v>
      </c>
      <c r="AK239" s="256">
        <f t="shared" si="1345"/>
        <v>2.8147293632122761E-2</v>
      </c>
      <c r="AL239" s="256">
        <f t="shared" si="1345"/>
        <v>2.3997897439339111E-2</v>
      </c>
      <c r="AM239" s="257">
        <f t="shared" ref="AM239:BQ239" si="1346">AM238/AI238-1</f>
        <v>2.3326255205122548E-2</v>
      </c>
      <c r="AN239" s="257">
        <f t="shared" si="1346"/>
        <v>1.4796440063326033E-2</v>
      </c>
      <c r="AO239" s="257">
        <f t="shared" si="1346"/>
        <v>-6.8204357249428416E-3</v>
      </c>
      <c r="AP239" s="257">
        <f t="shared" si="1346"/>
        <v>-3.9417881564572599E-2</v>
      </c>
      <c r="AQ239" s="257">
        <f t="shared" si="1346"/>
        <v>1.3178285596108896E-2</v>
      </c>
      <c r="AR239" s="257">
        <f t="shared" si="1346"/>
        <v>1.6809266367654896E-2</v>
      </c>
      <c r="AS239" s="257">
        <f t="shared" si="1346"/>
        <v>6.4296839839131481E-2</v>
      </c>
      <c r="AT239" s="257">
        <f t="shared" si="1346"/>
        <v>-8.5044184322310978E-2</v>
      </c>
      <c r="AU239" s="257">
        <f t="shared" si="1346"/>
        <v>-0.62525272441013535</v>
      </c>
      <c r="AV239" s="257">
        <f t="shared" si="1346"/>
        <v>-0.27534883215845596</v>
      </c>
      <c r="AW239" s="257">
        <f t="shared" si="1346"/>
        <v>-0.24561393270039356</v>
      </c>
      <c r="AX239" s="257">
        <f t="shared" si="1346"/>
        <v>-0.13101319744310536</v>
      </c>
      <c r="AY239" s="257">
        <f t="shared" si="1346"/>
        <v>1.4302125146204023</v>
      </c>
      <c r="AZ239" s="257">
        <f t="shared" si="1346"/>
        <v>0.41624908828214169</v>
      </c>
      <c r="BA239" s="257">
        <f t="shared" ref="BA239:BK239" si="1347">BA238/AW238-1</f>
        <v>0.45712813600376712</v>
      </c>
      <c r="BB239" s="257">
        <f t="shared" si="1347"/>
        <v>0.45170100069966312</v>
      </c>
      <c r="BC239" s="257">
        <f t="shared" si="1347"/>
        <v>0.31625944182414045</v>
      </c>
      <c r="BD239" s="257">
        <f t="shared" si="1347"/>
        <v>0.2141730070590937</v>
      </c>
      <c r="BE239" s="257">
        <f t="shared" si="1347"/>
        <v>9.6654199397451235E-2</v>
      </c>
      <c r="BF239" s="257">
        <f t="shared" si="1347"/>
        <v>0.12095140427996887</v>
      </c>
      <c r="BG239" s="257">
        <f t="shared" si="1347"/>
        <v>8.340623004857517E-2</v>
      </c>
      <c r="BH239" s="257">
        <f t="shared" si="1347"/>
        <v>7.3269134014351645E-2</v>
      </c>
      <c r="BI239" s="257">
        <f t="shared" si="1347"/>
        <v>1.243419228201148E-2</v>
      </c>
      <c r="BJ239" s="257">
        <f t="shared" si="1347"/>
        <v>-1.2220167874162913E-2</v>
      </c>
      <c r="BK239" s="1357">
        <f t="shared" si="1347"/>
        <v>-2.9207297306075186E-2</v>
      </c>
      <c r="BL239" s="461">
        <f t="shared" si="1346"/>
        <v>-1.1030240907862532E-2</v>
      </c>
      <c r="BM239" s="461">
        <f t="shared" si="1346"/>
        <v>6.0892587907139806E-3</v>
      </c>
      <c r="BN239" s="461">
        <f t="shared" si="1346"/>
        <v>5.4782246048009853E-2</v>
      </c>
      <c r="BO239" s="461">
        <f t="shared" si="1346"/>
        <v>7.6557798945593225E-2</v>
      </c>
      <c r="BP239" s="461">
        <f t="shared" si="1346"/>
        <v>5.7789844882492281E-2</v>
      </c>
      <c r="BQ239" s="461">
        <f t="shared" si="1346"/>
        <v>5.1098464354315976E-2</v>
      </c>
      <c r="BR239" s="461">
        <f t="shared" ref="BR239:CK239" si="1348">BR238/BN238-1</f>
        <v>4.75647949103013E-2</v>
      </c>
      <c r="BS239" s="461">
        <f t="shared" si="1348"/>
        <v>3.7060960701360335E-2</v>
      </c>
      <c r="BT239" s="461">
        <f t="shared" si="1348"/>
        <v>3.8066686738843059E-2</v>
      </c>
      <c r="BU239" s="461">
        <f t="shared" si="1348"/>
        <v>4.0525272035302651E-2</v>
      </c>
      <c r="BV239" s="461">
        <f t="shared" si="1348"/>
        <v>3.598465928998551E-2</v>
      </c>
      <c r="BW239" s="461">
        <f t="shared" si="1348"/>
        <v>3.4808714795189211E-2</v>
      </c>
      <c r="BX239" s="461">
        <f t="shared" si="1348"/>
        <v>3.5703984391596721E-2</v>
      </c>
      <c r="BY239" s="461">
        <f t="shared" si="1348"/>
        <v>3.8603946520259669E-2</v>
      </c>
      <c r="BZ239" s="461">
        <f t="shared" si="1348"/>
        <v>3.2234421318367845E-2</v>
      </c>
      <c r="CA239" s="461">
        <f t="shared" si="1348"/>
        <v>3.1425408800711763E-2</v>
      </c>
      <c r="CB239" s="461">
        <f t="shared" si="1348"/>
        <v>3.2438459877851544E-2</v>
      </c>
      <c r="CC239" s="461">
        <f t="shared" si="1348"/>
        <v>3.3901661279768014E-2</v>
      </c>
      <c r="CD239" s="461">
        <f t="shared" si="1348"/>
        <v>3.2800187981633533E-2</v>
      </c>
      <c r="CE239" s="461">
        <f t="shared" si="1348"/>
        <v>3.1788509945488208E-2</v>
      </c>
      <c r="CF239" s="461">
        <f t="shared" si="1348"/>
        <v>3.2577466590736792E-2</v>
      </c>
      <c r="CG239" s="461">
        <f t="shared" si="1348"/>
        <v>3.3993443432963399E-2</v>
      </c>
      <c r="CH239" s="461">
        <f t="shared" si="1348"/>
        <v>3.3225205973952843E-2</v>
      </c>
      <c r="CI239" s="461">
        <f t="shared" si="1348"/>
        <v>3.2347974742133578E-2</v>
      </c>
      <c r="CJ239" s="461">
        <f t="shared" si="1348"/>
        <v>3.3229308401666602E-2</v>
      </c>
      <c r="CK239" s="461">
        <f t="shared" si="1348"/>
        <v>3.48471663249732E-2</v>
      </c>
      <c r="CL239" s="461">
        <f t="shared" ref="CL239" si="1349">CL238/CH238-1</f>
        <v>3.3456856673871549E-2</v>
      </c>
      <c r="CM239" s="461">
        <f t="shared" ref="CM239" si="1350">CM238/CI238-1</f>
        <v>3.2542171137351028E-2</v>
      </c>
      <c r="CN239" s="461">
        <f t="shared" ref="CN239" si="1351">CN238/CJ238-1</f>
        <v>3.3342258731225982E-2</v>
      </c>
      <c r="CO239" s="461">
        <f t="shared" ref="CO239" si="1352">CO238/CK238-1</f>
        <v>3.4413178199677263E-2</v>
      </c>
      <c r="CP239" s="461">
        <f t="shared" ref="CP239" si="1353">CP238/CL238-1</f>
        <v>3.3399678284227408E-2</v>
      </c>
      <c r="CQ239" s="461">
        <f t="shared" ref="CQ239" si="1354">CQ238/CM238-1</f>
        <v>3.2495500877697925E-2</v>
      </c>
      <c r="CR239" s="461">
        <f t="shared" ref="CR239" si="1355">CR238/CN238-1</f>
        <v>3.3321786326050651E-2</v>
      </c>
      <c r="CS239" s="461">
        <f t="shared" ref="CS239" si="1356">CS238/CO238-1</f>
        <v>3.4568180182450892E-2</v>
      </c>
      <c r="CT239" s="461">
        <f t="shared" ref="CT239" si="1357">CT238/CP238-1</f>
        <v>3.3751726139183091E-2</v>
      </c>
      <c r="CU239" s="461">
        <f t="shared" ref="CU239" si="1358">CU238/CQ238-1</f>
        <v>3.3009931726739827E-2</v>
      </c>
      <c r="CV239" s="461">
        <f t="shared" ref="CV239" si="1359">CV238/CR238-1</f>
        <v>3.3969966973753429E-2</v>
      </c>
      <c r="CW239" s="461">
        <f t="shared" ref="CW239" si="1360">CW238/CS238-1</f>
        <v>3.5888317962646132E-2</v>
      </c>
    </row>
    <row r="240" spans="1:101" s="9" customFormat="1" ht="11.25">
      <c r="A240" s="312"/>
      <c r="B240" s="62"/>
      <c r="C240" s="62"/>
      <c r="D240" s="62"/>
      <c r="E240" s="62"/>
      <c r="F240" s="256"/>
      <c r="G240" s="256"/>
      <c r="H240" s="256"/>
      <c r="I240" s="256"/>
      <c r="J240" s="256"/>
      <c r="K240" s="256"/>
      <c r="L240" s="256"/>
      <c r="M240" s="256"/>
      <c r="N240" s="256"/>
      <c r="O240" s="256"/>
      <c r="P240" s="256"/>
      <c r="Q240" s="256"/>
      <c r="R240" s="256"/>
      <c r="S240" s="256"/>
      <c r="T240" s="256"/>
      <c r="U240" s="256"/>
      <c r="V240" s="256"/>
      <c r="W240" s="256"/>
      <c r="X240" s="256"/>
      <c r="Y240" s="256"/>
      <c r="Z240" s="256"/>
      <c r="AA240" s="256"/>
      <c r="AB240" s="256"/>
      <c r="AC240" s="256"/>
      <c r="AD240" s="256"/>
      <c r="AE240" s="2132"/>
      <c r="AF240" s="256"/>
      <c r="AG240" s="256"/>
      <c r="AH240" s="256"/>
      <c r="AI240" s="256"/>
      <c r="AJ240" s="256"/>
      <c r="AK240" s="256"/>
      <c r="AL240" s="256"/>
      <c r="AM240" s="257"/>
      <c r="AN240" s="257"/>
      <c r="AO240" s="257"/>
      <c r="AP240" s="257"/>
      <c r="AQ240" s="257"/>
      <c r="AR240" s="257"/>
      <c r="AS240" s="257"/>
      <c r="AT240" s="257"/>
      <c r="AU240" s="257"/>
      <c r="AV240" s="257"/>
      <c r="AW240" s="257"/>
      <c r="AX240" s="257"/>
      <c r="AY240" s="257"/>
      <c r="AZ240" s="257"/>
      <c r="BA240" s="257"/>
      <c r="BB240" s="257"/>
      <c r="BC240" s="257"/>
      <c r="BD240" s="257"/>
      <c r="BE240" s="257"/>
      <c r="BF240" s="257"/>
      <c r="BG240" s="257"/>
      <c r="BH240" s="257"/>
      <c r="BI240" s="257"/>
      <c r="BJ240" s="257"/>
      <c r="BK240" s="1357"/>
      <c r="BL240" s="461"/>
      <c r="BM240" s="461"/>
      <c r="BN240" s="461"/>
      <c r="BO240" s="461"/>
      <c r="BP240" s="461"/>
      <c r="BQ240" s="461"/>
      <c r="BR240" s="461"/>
      <c r="BS240" s="461"/>
      <c r="BT240" s="461"/>
      <c r="BU240" s="461"/>
      <c r="BV240" s="461"/>
      <c r="BW240" s="461"/>
      <c r="BX240" s="461"/>
      <c r="BY240" s="461"/>
      <c r="BZ240" s="461"/>
      <c r="CA240" s="461"/>
      <c r="CB240" s="461"/>
      <c r="CC240" s="461"/>
      <c r="CD240" s="461"/>
      <c r="CE240" s="461"/>
      <c r="CF240" s="461"/>
      <c r="CG240" s="461"/>
      <c r="CH240" s="461"/>
      <c r="CI240" s="461"/>
      <c r="CJ240" s="461"/>
      <c r="CK240" s="461"/>
      <c r="CL240" s="461"/>
      <c r="CM240" s="461"/>
      <c r="CN240" s="461"/>
      <c r="CO240" s="461"/>
      <c r="CP240" s="461"/>
      <c r="CQ240" s="461"/>
      <c r="CR240" s="461"/>
      <c r="CS240" s="461"/>
      <c r="CT240" s="461"/>
      <c r="CU240" s="461"/>
      <c r="CV240" s="461"/>
      <c r="CW240" s="461"/>
    </row>
    <row r="241" spans="1:101" s="150" customFormat="1" ht="11.25">
      <c r="A241" s="1754" t="s">
        <v>955</v>
      </c>
      <c r="B241" s="1755"/>
      <c r="C241" s="873">
        <f t="shared" ref="C241:AH241" si="1361">C245/C230</f>
        <v>2.2015114179500794</v>
      </c>
      <c r="D241" s="873">
        <f t="shared" si="1361"/>
        <v>2.2512936802973975</v>
      </c>
      <c r="E241" s="873">
        <f t="shared" si="1361"/>
        <v>2.4425602536997886</v>
      </c>
      <c r="F241" s="873">
        <f t="shared" si="1361"/>
        <v>2.199179433368311</v>
      </c>
      <c r="G241" s="873">
        <f t="shared" si="1361"/>
        <v>2.253458138325533</v>
      </c>
      <c r="H241" s="873">
        <f t="shared" si="1361"/>
        <v>2.3404578189300413</v>
      </c>
      <c r="I241" s="873">
        <f t="shared" si="1361"/>
        <v>2.4612255790533735</v>
      </c>
      <c r="J241" s="873">
        <f t="shared" si="1361"/>
        <v>2.36481894425259</v>
      </c>
      <c r="K241" s="873">
        <f t="shared" si="1361"/>
        <v>2.5355622862725942</v>
      </c>
      <c r="L241" s="873">
        <f t="shared" si="1361"/>
        <v>2.6738580395943989</v>
      </c>
      <c r="M241" s="873">
        <f t="shared" si="1361"/>
        <v>2.7735777042985355</v>
      </c>
      <c r="N241" s="873">
        <f t="shared" si="1361"/>
        <v>2.6939954524783989</v>
      </c>
      <c r="O241" s="873">
        <f t="shared" si="1361"/>
        <v>3.0553419527418635</v>
      </c>
      <c r="P241" s="873">
        <f t="shared" si="1361"/>
        <v>3.0954060980998674</v>
      </c>
      <c r="Q241" s="873">
        <f t="shared" si="1361"/>
        <v>3.151061224489796</v>
      </c>
      <c r="R241" s="873">
        <f t="shared" si="1361"/>
        <v>2.9173785407725323</v>
      </c>
      <c r="S241" s="873">
        <f t="shared" si="1361"/>
        <v>3.1137954360228197</v>
      </c>
      <c r="T241" s="873">
        <f t="shared" si="1361"/>
        <v>3.0740519578313252</v>
      </c>
      <c r="U241" s="873">
        <f t="shared" si="1361"/>
        <v>3.1710647016534868</v>
      </c>
      <c r="V241" s="873">
        <f t="shared" si="1361"/>
        <v>2.813274136715997</v>
      </c>
      <c r="W241" s="873">
        <f t="shared" si="1361"/>
        <v>3.2459925140361823</v>
      </c>
      <c r="X241" s="873">
        <f t="shared" si="1361"/>
        <v>3.1718214186369957</v>
      </c>
      <c r="Y241" s="873">
        <f t="shared" si="1361"/>
        <v>3.9746261000754335</v>
      </c>
      <c r="Z241" s="873">
        <f t="shared" si="1361"/>
        <v>3.3993214533672762</v>
      </c>
      <c r="AA241" s="873">
        <f t="shared" si="1361"/>
        <v>3.5621578705828361</v>
      </c>
      <c r="AB241" s="873">
        <f t="shared" si="1361"/>
        <v>3.6963478651685393</v>
      </c>
      <c r="AC241" s="873">
        <f t="shared" si="1361"/>
        <v>3.9505296582138913</v>
      </c>
      <c r="AD241" s="873">
        <f t="shared" si="1361"/>
        <v>3.6979029462738304</v>
      </c>
      <c r="AE241" s="2134">
        <f t="shared" si="1361"/>
        <v>3.8609744463373081</v>
      </c>
      <c r="AF241" s="873">
        <f t="shared" si="1361"/>
        <v>4.0108538011695911</v>
      </c>
      <c r="AG241" s="873">
        <f t="shared" si="1361"/>
        <v>4.2620478993302218</v>
      </c>
      <c r="AH241" s="873">
        <f t="shared" si="1361"/>
        <v>3.9933689416419385</v>
      </c>
      <c r="AI241" s="873">
        <f t="shared" ref="AI241:BQ241" si="1362">AI245/AI230</f>
        <v>4.0172438834951461</v>
      </c>
      <c r="AJ241" s="873">
        <f t="shared" si="1362"/>
        <v>3.9921318597560975</v>
      </c>
      <c r="AK241" s="873">
        <f t="shared" si="1362"/>
        <v>4.3287214458729268</v>
      </c>
      <c r="AL241" s="873">
        <f t="shared" si="1362"/>
        <v>4.0637685677608655</v>
      </c>
      <c r="AM241" s="964">
        <f t="shared" si="1362"/>
        <v>4.0960245931283907</v>
      </c>
      <c r="AN241" s="964">
        <f t="shared" si="1362"/>
        <v>4.0274016640113297</v>
      </c>
      <c r="AO241" s="964">
        <f t="shared" si="1362"/>
        <v>4.2653186282957094</v>
      </c>
      <c r="AP241" s="964">
        <f t="shared" si="1362"/>
        <v>4.3079257394587787</v>
      </c>
      <c r="AQ241" s="964">
        <f t="shared" si="1362"/>
        <v>4.2733109613130127</v>
      </c>
      <c r="AR241" s="964">
        <f t="shared" si="1362"/>
        <v>4.2388465701330995</v>
      </c>
      <c r="AS241" s="964">
        <f t="shared" si="1362"/>
        <v>4.500218389124397</v>
      </c>
      <c r="AT241" s="964">
        <f t="shared" si="1362"/>
        <v>3.5441633728590252</v>
      </c>
      <c r="AU241" s="964">
        <f t="shared" ref="AU241:BC241" si="1363">AU245/AU230</f>
        <v>1.5355323485967505</v>
      </c>
      <c r="AV241" s="964">
        <f t="shared" si="1363"/>
        <v>2.9569753473778575</v>
      </c>
      <c r="AW241" s="964">
        <f t="shared" si="1363"/>
        <v>3.4135168454449309</v>
      </c>
      <c r="AX241" s="964">
        <f t="shared" si="1363"/>
        <v>3.1142769136931991</v>
      </c>
      <c r="AY241" s="964">
        <f t="shared" si="1363"/>
        <v>3.8098833587786261</v>
      </c>
      <c r="AZ241" s="964">
        <f t="shared" si="1363"/>
        <v>4.2685856269113147</v>
      </c>
      <c r="BA241" s="964">
        <f t="shared" si="1363"/>
        <v>5.1067028841751876</v>
      </c>
      <c r="BB241" s="964">
        <f t="shared" si="1363"/>
        <v>4.6159966656562599</v>
      </c>
      <c r="BC241" s="964">
        <f t="shared" si="1363"/>
        <v>5.0967738829547162</v>
      </c>
      <c r="BD241" s="964">
        <f t="shared" ref="BD241:BG241" si="1364">BD245/BD230</f>
        <v>5.2293062686567167</v>
      </c>
      <c r="BE241" s="964">
        <f t="shared" si="1364"/>
        <v>5.6327825831126805</v>
      </c>
      <c r="BF241" s="964">
        <f t="shared" si="1364"/>
        <v>5.1376027337501817</v>
      </c>
      <c r="BG241" s="964">
        <f t="shared" si="1364"/>
        <v>5.4915907839443561</v>
      </c>
      <c r="BH241" s="964">
        <f t="shared" ref="BH241" si="1365">BH245/BH230</f>
        <v>5.6109435158501437</v>
      </c>
      <c r="BI241" s="964">
        <f t="shared" ref="BI241" si="1366">BI245/BI230</f>
        <v>5.7300036973833901</v>
      </c>
      <c r="BJ241" s="964">
        <f t="shared" ref="BJ241" si="1367">BJ245/BJ230</f>
        <v>5.1110004211708553</v>
      </c>
      <c r="BK241" s="1356">
        <f t="shared" ref="BK241" si="1368">BK245/BK230</f>
        <v>5.3632426183844011</v>
      </c>
      <c r="BL241" s="874">
        <f t="shared" si="1362"/>
        <v>4.2773815853494597</v>
      </c>
      <c r="BM241" s="874">
        <f t="shared" si="1362"/>
        <v>4.4172599691443208</v>
      </c>
      <c r="BN241" s="874">
        <f t="shared" si="1362"/>
        <v>4.1491125897720273</v>
      </c>
      <c r="BO241" s="874">
        <f t="shared" si="1362"/>
        <v>4.4362370369402715</v>
      </c>
      <c r="BP241" s="874">
        <f t="shared" si="1362"/>
        <v>4.5231853426060251</v>
      </c>
      <c r="BQ241" s="874">
        <f t="shared" si="1362"/>
        <v>4.6372587379759675</v>
      </c>
      <c r="BR241" s="874">
        <f t="shared" ref="BR241:CK241" si="1369">BR245/BR230</f>
        <v>4.3439112095683434</v>
      </c>
      <c r="BS241" s="874">
        <f t="shared" si="1369"/>
        <v>4.5979739514773819</v>
      </c>
      <c r="BT241" s="874">
        <f t="shared" si="1369"/>
        <v>4.6926668855948632</v>
      </c>
      <c r="BU241" s="874">
        <f t="shared" si="1369"/>
        <v>4.8187509461362481</v>
      </c>
      <c r="BV241" s="874">
        <f t="shared" si="1369"/>
        <v>4.4990992763968665</v>
      </c>
      <c r="BW241" s="874">
        <f t="shared" si="1369"/>
        <v>4.7568433169552549</v>
      </c>
      <c r="BX241" s="874">
        <f t="shared" si="1369"/>
        <v>4.8590187381296222</v>
      </c>
      <c r="BY241" s="874">
        <f t="shared" si="1369"/>
        <v>5.0004047937519767</v>
      </c>
      <c r="BZ241" s="874">
        <f t="shared" si="1369"/>
        <v>4.643486185233237</v>
      </c>
      <c r="CA241" s="874">
        <f t="shared" si="1369"/>
        <v>4.9056594198949774</v>
      </c>
      <c r="CB241" s="874">
        <f t="shared" si="1369"/>
        <v>5.0159585641945803</v>
      </c>
      <c r="CC241" s="874">
        <f t="shared" si="1369"/>
        <v>5.1695556672610712</v>
      </c>
      <c r="CD241" s="874">
        <f t="shared" si="1369"/>
        <v>4.7956185135650804</v>
      </c>
      <c r="CE241" s="874">
        <f t="shared" si="1369"/>
        <v>5.0614198472682492</v>
      </c>
      <c r="CF241" s="874">
        <f t="shared" si="1369"/>
        <v>5.1791797744455952</v>
      </c>
      <c r="CG241" s="874">
        <f t="shared" si="1369"/>
        <v>5.3449171636735748</v>
      </c>
      <c r="CH241" s="874">
        <f t="shared" si="1369"/>
        <v>4.9533965423737563</v>
      </c>
      <c r="CI241" s="874">
        <f t="shared" si="1369"/>
        <v>5.2235156156394673</v>
      </c>
      <c r="CJ241" s="874">
        <f t="shared" si="1369"/>
        <v>5.3496216021911076</v>
      </c>
      <c r="CK241" s="874">
        <f t="shared" si="1369"/>
        <v>5.5283003403242805</v>
      </c>
      <c r="CL241" s="874">
        <f t="shared" ref="CL241:CW241" si="1370">CL245/CL230</f>
        <v>5.1189947419863815</v>
      </c>
      <c r="CM241" s="874">
        <f t="shared" si="1370"/>
        <v>5.3933673135382838</v>
      </c>
      <c r="CN241" s="874">
        <f t="shared" si="1370"/>
        <v>5.5278547668194191</v>
      </c>
      <c r="CO241" s="874">
        <f t="shared" si="1370"/>
        <v>5.7187867068895608</v>
      </c>
      <c r="CP241" s="874">
        <f t="shared" si="1370"/>
        <v>5.289838967640776</v>
      </c>
      <c r="CQ241" s="874">
        <f t="shared" si="1370"/>
        <v>5.5684929972366115</v>
      </c>
      <c r="CR241" s="874">
        <f t="shared" si="1370"/>
        <v>5.7119156583801374</v>
      </c>
      <c r="CS241" s="874">
        <f t="shared" si="1370"/>
        <v>5.9161855900311702</v>
      </c>
      <c r="CT241" s="874">
        <f t="shared" si="1370"/>
        <v>5.4677653695213237</v>
      </c>
      <c r="CU241" s="874">
        <f t="shared" si="1370"/>
        <v>5.751665670563443</v>
      </c>
      <c r="CV241" s="874">
        <f t="shared" si="1370"/>
        <v>5.905293055364937</v>
      </c>
      <c r="CW241" s="874">
        <f t="shared" si="1370"/>
        <v>6.1244628571009647</v>
      </c>
    </row>
    <row r="242" spans="1:101" s="9" customFormat="1" ht="11.25">
      <c r="A242" s="312" t="s">
        <v>753</v>
      </c>
      <c r="B242" s="62"/>
      <c r="C242" s="62"/>
      <c r="D242" s="62"/>
      <c r="E242" s="62"/>
      <c r="F242" s="256"/>
      <c r="G242" s="256">
        <f t="shared" ref="G242:AL242" si="1371">G241/C241-1</f>
        <v>2.3595935025321646E-2</v>
      </c>
      <c r="H242" s="256">
        <f t="shared" si="1371"/>
        <v>3.9605733988852698E-2</v>
      </c>
      <c r="I242" s="256">
        <f t="shared" si="1371"/>
        <v>7.6417051842680994E-3</v>
      </c>
      <c r="J242" s="256">
        <f t="shared" si="1371"/>
        <v>7.5318779527954183E-2</v>
      </c>
      <c r="K242" s="256">
        <f t="shared" si="1371"/>
        <v>0.1251872147741262</v>
      </c>
      <c r="L242" s="256">
        <f t="shared" si="1371"/>
        <v>0.14245085639559796</v>
      </c>
      <c r="M242" s="256">
        <f t="shared" si="1371"/>
        <v>0.12690918211783653</v>
      </c>
      <c r="N242" s="256">
        <f t="shared" si="1371"/>
        <v>0.13919734067837752</v>
      </c>
      <c r="O242" s="256">
        <f t="shared" si="1371"/>
        <v>0.20499581859350502</v>
      </c>
      <c r="P242" s="256">
        <f t="shared" si="1371"/>
        <v>0.15765536249987822</v>
      </c>
      <c r="Q242" s="256">
        <f t="shared" si="1371"/>
        <v>0.13609985384805712</v>
      </c>
      <c r="R242" s="256">
        <f t="shared" si="1371"/>
        <v>8.2918880983495091E-2</v>
      </c>
      <c r="S242" s="256">
        <f t="shared" si="1371"/>
        <v>1.9131568310545521E-2</v>
      </c>
      <c r="T242" s="256">
        <f t="shared" si="1371"/>
        <v>-6.8986554887420226E-3</v>
      </c>
      <c r="U242" s="256">
        <f t="shared" si="1371"/>
        <v>6.3481715328872479E-3</v>
      </c>
      <c r="V242" s="256">
        <f t="shared" si="1371"/>
        <v>-3.5684229043848381E-2</v>
      </c>
      <c r="W242" s="256">
        <f t="shared" si="1371"/>
        <v>4.245528671665566E-2</v>
      </c>
      <c r="X242" s="256">
        <f t="shared" si="1371"/>
        <v>3.1804752212010401E-2</v>
      </c>
      <c r="Y242" s="256">
        <f t="shared" si="1371"/>
        <v>0.25340428973364881</v>
      </c>
      <c r="Z242" s="256">
        <f t="shared" si="1371"/>
        <v>0.20831504082833052</v>
      </c>
      <c r="AA242" s="256">
        <f t="shared" si="1371"/>
        <v>9.7401751599704989E-2</v>
      </c>
      <c r="AB242" s="256">
        <f t="shared" si="1371"/>
        <v>0.16537073728348317</v>
      </c>
      <c r="AC242" s="256">
        <f t="shared" si="1371"/>
        <v>-6.0625682151800309E-3</v>
      </c>
      <c r="AD242" s="256">
        <f t="shared" si="1371"/>
        <v>8.783561572583487E-2</v>
      </c>
      <c r="AE242" s="2132">
        <f t="shared" si="1371"/>
        <v>8.3886393195027109E-2</v>
      </c>
      <c r="AF242" s="256">
        <f t="shared" si="1371"/>
        <v>8.5085589201359335E-2</v>
      </c>
      <c r="AG242" s="256">
        <f t="shared" si="1371"/>
        <v>7.8854803802985263E-2</v>
      </c>
      <c r="AH242" s="256">
        <f t="shared" si="1371"/>
        <v>7.99009599929692E-2</v>
      </c>
      <c r="AI242" s="256">
        <f t="shared" si="1371"/>
        <v>4.0474092571651799E-2</v>
      </c>
      <c r="AJ242" s="256">
        <f t="shared" si="1371"/>
        <v>-4.6678194573021026E-3</v>
      </c>
      <c r="AK242" s="256">
        <f t="shared" si="1371"/>
        <v>1.5643546979653422E-2</v>
      </c>
      <c r="AL242" s="256">
        <f t="shared" si="1371"/>
        <v>1.7629131479642624E-2</v>
      </c>
      <c r="AM242" s="257">
        <f t="shared" ref="AM242:BQ242" si="1372">AM241/AI241-1</f>
        <v>1.96106365254336E-2</v>
      </c>
      <c r="AN242" s="257">
        <f t="shared" si="1372"/>
        <v>8.8348294831590568E-3</v>
      </c>
      <c r="AO242" s="257">
        <f t="shared" si="1372"/>
        <v>-1.4647007983770055E-2</v>
      </c>
      <c r="AP242" s="257">
        <f t="shared" si="1372"/>
        <v>6.0081465670778433E-2</v>
      </c>
      <c r="AQ242" s="257">
        <f t="shared" si="1372"/>
        <v>4.3282544856308336E-2</v>
      </c>
      <c r="AR242" s="257">
        <f t="shared" si="1372"/>
        <v>5.2501568942385779E-2</v>
      </c>
      <c r="AS242" s="257">
        <f t="shared" si="1372"/>
        <v>5.50720312593731E-2</v>
      </c>
      <c r="AT242" s="257">
        <f t="shared" si="1372"/>
        <v>-0.17729237057268954</v>
      </c>
      <c r="AU242" s="257">
        <f t="shared" si="1372"/>
        <v>-0.64066917607958385</v>
      </c>
      <c r="AV242" s="257">
        <f t="shared" si="1372"/>
        <v>-0.30241038488802663</v>
      </c>
      <c r="AW242" s="257">
        <f t="shared" si="1372"/>
        <v>-0.24147751280375185</v>
      </c>
      <c r="AX242" s="257">
        <f t="shared" si="1372"/>
        <v>-0.12129419948805653</v>
      </c>
      <c r="AY242" s="257">
        <f t="shared" si="1372"/>
        <v>1.4811482234550746</v>
      </c>
      <c r="AZ242" s="257">
        <f t="shared" si="1372"/>
        <v>0.44356483414599568</v>
      </c>
      <c r="BA242" s="257">
        <f t="shared" ref="BA242:BK242" si="1373">BA241/AW241-1</f>
        <v>0.49602392939401474</v>
      </c>
      <c r="BB242" s="257">
        <f t="shared" si="1373"/>
        <v>0.4822049527324086</v>
      </c>
      <c r="BC242" s="257">
        <f t="shared" si="1373"/>
        <v>0.33777688264678063</v>
      </c>
      <c r="BD242" s="257">
        <f t="shared" si="1373"/>
        <v>0.2250676748027578</v>
      </c>
      <c r="BE242" s="257">
        <f t="shared" si="1373"/>
        <v>0.10301748718683545</v>
      </c>
      <c r="BF242" s="257">
        <f t="shared" si="1373"/>
        <v>0.11299966310087539</v>
      </c>
      <c r="BG242" s="257">
        <f t="shared" si="1373"/>
        <v>7.7464080231229637E-2</v>
      </c>
      <c r="BH242" s="257">
        <f t="shared" si="1373"/>
        <v>7.2980473429310244E-2</v>
      </c>
      <c r="BI242" s="257">
        <f t="shared" si="1373"/>
        <v>1.7259873399371406E-2</v>
      </c>
      <c r="BJ242" s="257">
        <f t="shared" si="1373"/>
        <v>-5.1779621660058561E-3</v>
      </c>
      <c r="BK242" s="1357">
        <f t="shared" si="1373"/>
        <v>-2.3371764322863142E-2</v>
      </c>
      <c r="BL242" s="461">
        <f t="shared" si="1372"/>
        <v>-0.23767160135074517</v>
      </c>
      <c r="BM242" s="461">
        <f t="shared" si="1372"/>
        <v>-0.22909997926153769</v>
      </c>
      <c r="BN242" s="461">
        <f t="shared" si="1372"/>
        <v>-0.18819952105941595</v>
      </c>
      <c r="BO242" s="461">
        <f t="shared" si="1372"/>
        <v>-0.1728442376010535</v>
      </c>
      <c r="BP242" s="461">
        <f t="shared" si="1372"/>
        <v>5.7465940868701715E-2</v>
      </c>
      <c r="BQ242" s="461">
        <f t="shared" si="1372"/>
        <v>4.9804351649754386E-2</v>
      </c>
      <c r="BR242" s="461">
        <f t="shared" ref="BR242:CK242" si="1374">BR241/BN241-1</f>
        <v>4.694946583915649E-2</v>
      </c>
      <c r="BS242" s="461">
        <f t="shared" si="1374"/>
        <v>3.6458131788346115E-2</v>
      </c>
      <c r="BT242" s="461">
        <f t="shared" si="1374"/>
        <v>3.7469511008627387E-2</v>
      </c>
      <c r="BU242" s="461">
        <f t="shared" si="1374"/>
        <v>3.9137822238380693E-2</v>
      </c>
      <c r="BV242" s="461">
        <f t="shared" si="1374"/>
        <v>3.5725423320506655E-2</v>
      </c>
      <c r="BW242" s="461">
        <f t="shared" si="1374"/>
        <v>3.4552036865460378E-2</v>
      </c>
      <c r="BX242" s="461">
        <f t="shared" si="1374"/>
        <v>3.5449320522922934E-2</v>
      </c>
      <c r="BY242" s="461">
        <f t="shared" si="1374"/>
        <v>3.7697289120406152E-2</v>
      </c>
      <c r="BZ242" s="461">
        <f t="shared" si="1374"/>
        <v>3.2092403382572909E-2</v>
      </c>
      <c r="CA242" s="461">
        <f t="shared" si="1374"/>
        <v>3.1284634162593417E-2</v>
      </c>
      <c r="CB242" s="461">
        <f t="shared" si="1374"/>
        <v>3.229866656685676E-2</v>
      </c>
      <c r="CC242" s="461">
        <f t="shared" si="1374"/>
        <v>3.3827436074865158E-2</v>
      </c>
      <c r="CD242" s="461">
        <f t="shared" si="1374"/>
        <v>3.276252416032599E-2</v>
      </c>
      <c r="CE242" s="461">
        <f t="shared" si="1374"/>
        <v>3.1751170238517368E-2</v>
      </c>
      <c r="CF242" s="461">
        <f t="shared" si="1374"/>
        <v>3.2540382493614795E-2</v>
      </c>
      <c r="CG242" s="461">
        <f t="shared" si="1374"/>
        <v>3.3921966934812753E-2</v>
      </c>
      <c r="CH242" s="461">
        <f t="shared" si="1374"/>
        <v>3.2900454521638478E-2</v>
      </c>
      <c r="CI242" s="461">
        <f t="shared" si="1374"/>
        <v>3.2025750335393344E-2</v>
      </c>
      <c r="CJ242" s="461">
        <f t="shared" si="1374"/>
        <v>3.2909038722016115E-2</v>
      </c>
      <c r="CK242" s="461">
        <f t="shared" si="1374"/>
        <v>3.4309825771867697E-2</v>
      </c>
      <c r="CL242" s="461">
        <f t="shared" ref="CL242" si="1375">CL241/CH241-1</f>
        <v>3.3431242218550095E-2</v>
      </c>
      <c r="CM242" s="461">
        <f t="shared" ref="CM242" si="1376">CM241/CI241-1</f>
        <v>3.2516739758616131E-2</v>
      </c>
      <c r="CN242" s="461">
        <f t="shared" ref="CN242" si="1377">CN241/CJ241-1</f>
        <v>3.3316966672055859E-2</v>
      </c>
      <c r="CO242" s="461">
        <f t="shared" ref="CO242" si="1378">CO241/CK241-1</f>
        <v>3.4456587891190216E-2</v>
      </c>
      <c r="CP242" s="461">
        <f t="shared" ref="CP242" si="1379">CP241/CL241-1</f>
        <v>3.3374565567164449E-2</v>
      </c>
      <c r="CQ242" s="461">
        <f t="shared" ref="CQ242" si="1380">CQ241/CM241-1</f>
        <v>3.2470564958320569E-2</v>
      </c>
      <c r="CR242" s="461">
        <f t="shared" ref="CR242" si="1381">CR241/CN241-1</f>
        <v>3.3296983970261262E-2</v>
      </c>
      <c r="CS242" s="461">
        <f t="shared" ref="CS242" si="1382">CS241/CO241-1</f>
        <v>3.451761593133007E-2</v>
      </c>
      <c r="CT242" s="461">
        <f t="shared" ref="CT242" si="1383">CT241/CP241-1</f>
        <v>3.3635504401734462E-2</v>
      </c>
      <c r="CU242" s="461">
        <f t="shared" ref="CU242" si="1384">CU241/CQ241-1</f>
        <v>3.2894478527266235E-2</v>
      </c>
      <c r="CV242" s="461">
        <f t="shared" ref="CV242" si="1385">CV241/CR241-1</f>
        <v>3.385508620056199E-2</v>
      </c>
      <c r="CW242" s="461">
        <f t="shared" ref="CW242" si="1386">CW241/CS241-1</f>
        <v>3.5204654063040852E-2</v>
      </c>
    </row>
    <row r="243" spans="1:101" s="9" customFormat="1" ht="11.25">
      <c r="A243" s="312"/>
      <c r="B243" s="62"/>
      <c r="C243" s="62"/>
      <c r="D243" s="62"/>
      <c r="E243" s="62"/>
      <c r="F243" s="256"/>
      <c r="G243" s="256"/>
      <c r="H243" s="256"/>
      <c r="I243" s="256"/>
      <c r="J243" s="256"/>
      <c r="K243" s="256"/>
      <c r="L243" s="256"/>
      <c r="M243" s="256"/>
      <c r="N243" s="256"/>
      <c r="O243" s="256"/>
      <c r="P243" s="256"/>
      <c r="Q243" s="256"/>
      <c r="R243" s="256"/>
      <c r="S243" s="256"/>
      <c r="T243" s="256"/>
      <c r="U243" s="256"/>
      <c r="V243" s="256"/>
      <c r="W243" s="256"/>
      <c r="X243" s="256"/>
      <c r="Y243" s="256"/>
      <c r="Z243" s="256"/>
      <c r="AA243" s="256"/>
      <c r="AB243" s="256"/>
      <c r="AC243" s="256"/>
      <c r="AD243" s="256"/>
      <c r="AE243" s="2132"/>
      <c r="AF243" s="256"/>
      <c r="AG243" s="256"/>
      <c r="AH243" s="256"/>
      <c r="AI243" s="256"/>
      <c r="AJ243" s="256"/>
      <c r="AK243" s="256"/>
      <c r="AL243" s="256"/>
      <c r="AM243" s="257"/>
      <c r="AN243" s="257"/>
      <c r="AO243" s="257"/>
      <c r="AP243" s="461"/>
      <c r="AQ243" s="461"/>
      <c r="AR243" s="461"/>
      <c r="AS243" s="461"/>
      <c r="AT243" s="461"/>
      <c r="AU243" s="461"/>
      <c r="AV243" s="461"/>
      <c r="AW243" s="461"/>
      <c r="AX243" s="461"/>
      <c r="AY243" s="461"/>
      <c r="AZ243" s="461"/>
      <c r="BA243" s="461"/>
      <c r="BB243" s="461"/>
      <c r="BC243" s="461"/>
      <c r="BD243" s="461"/>
      <c r="BE243" s="461"/>
      <c r="BF243" s="461"/>
      <c r="BG243" s="461"/>
      <c r="BH243" s="461"/>
      <c r="BI243" s="461"/>
      <c r="BJ243" s="461"/>
      <c r="BK243" s="1368"/>
      <c r="BL243" s="461"/>
      <c r="BM243" s="461"/>
      <c r="BN243" s="461"/>
      <c r="BO243" s="461"/>
      <c r="BP243" s="461"/>
      <c r="BQ243" s="461"/>
      <c r="BR243" s="461"/>
      <c r="BS243" s="461"/>
      <c r="BT243" s="461"/>
      <c r="BU243" s="461"/>
      <c r="BV243" s="461"/>
      <c r="BW243" s="461"/>
      <c r="BX243" s="461"/>
      <c r="BY243" s="461"/>
      <c r="BZ243" s="461"/>
      <c r="CA243" s="461"/>
      <c r="CB243" s="461"/>
      <c r="CC243" s="461"/>
      <c r="CD243" s="461"/>
      <c r="CE243" s="461"/>
      <c r="CF243" s="461"/>
      <c r="CG243" s="461"/>
      <c r="CH243" s="461"/>
      <c r="CI243" s="461"/>
      <c r="CJ243" s="461"/>
      <c r="CK243" s="461"/>
      <c r="CL243" s="461"/>
      <c r="CM243" s="461"/>
      <c r="CN243" s="461"/>
      <c r="CO243" s="461"/>
      <c r="CP243" s="461"/>
      <c r="CQ243" s="461"/>
      <c r="CR243" s="461"/>
      <c r="CS243" s="461"/>
      <c r="CT243" s="461"/>
      <c r="CU243" s="461"/>
      <c r="CV243" s="461"/>
      <c r="CW243" s="461"/>
    </row>
    <row r="244" spans="1:101" s="9" customFormat="1" ht="11.25">
      <c r="A244" s="331" t="s">
        <v>941</v>
      </c>
      <c r="B244" s="62"/>
      <c r="C244" s="62"/>
      <c r="D244" s="62"/>
      <c r="E244" s="62"/>
      <c r="F244" s="316"/>
      <c r="G244" s="333"/>
      <c r="H244" s="333"/>
      <c r="I244" s="316"/>
      <c r="J244" s="316"/>
      <c r="K244" s="333"/>
      <c r="L244" s="333"/>
      <c r="M244" s="316"/>
      <c r="N244" s="355"/>
      <c r="O244" s="355"/>
      <c r="P244" s="355"/>
      <c r="Q244" s="316"/>
      <c r="R244" s="316"/>
      <c r="S244" s="316"/>
      <c r="T244" s="316"/>
      <c r="U244" s="316"/>
      <c r="V244" s="333">
        <f>V245-V250-V260-V263-V267</f>
        <v>0</v>
      </c>
      <c r="W244" s="333">
        <f>W245-W250-W260-W263-W267</f>
        <v>0</v>
      </c>
      <c r="X244" s="333">
        <f>X245-X250-X260-X263-X267</f>
        <v>0</v>
      </c>
      <c r="Y244" s="333">
        <f>Y245-Y250-Y260-Y263-Y267</f>
        <v>0</v>
      </c>
      <c r="Z244" s="316"/>
      <c r="AA244" s="355"/>
      <c r="AB244" s="316"/>
      <c r="AC244" s="316"/>
      <c r="AD244" s="316"/>
      <c r="AE244" s="2129"/>
      <c r="AF244" s="316"/>
      <c r="AG244" s="316"/>
      <c r="AH244" s="316"/>
      <c r="AI244" s="316"/>
      <c r="AJ244" s="316"/>
      <c r="AK244" s="316"/>
      <c r="AL244" s="1403"/>
      <c r="AM244" s="316"/>
      <c r="AN244" s="316"/>
      <c r="AO244" s="316"/>
      <c r="BK244" s="1318"/>
    </row>
    <row r="245" spans="1:101" s="9" customFormat="1" ht="11.25">
      <c r="A245" s="532" t="s">
        <v>353</v>
      </c>
      <c r="B245" s="346">
        <f>Q_Financials!B5</f>
        <v>2084.1030000000001</v>
      </c>
      <c r="C245" s="346">
        <f>Q_Financials!C5</f>
        <v>2072.723</v>
      </c>
      <c r="D245" s="346">
        <f>Q_Financials!D5</f>
        <v>2119.5929999999998</v>
      </c>
      <c r="E245" s="346">
        <f>Q_Financials!E5</f>
        <v>2310.6619999999998</v>
      </c>
      <c r="F245" s="346">
        <f>Q_Financials!F5</f>
        <v>2095.8180000000002</v>
      </c>
      <c r="G245" s="346">
        <f>Q_Financials!G5</f>
        <v>2166.6999999999998</v>
      </c>
      <c r="H245" s="346">
        <f>Q_Financials!H5</f>
        <v>2274.9250000000002</v>
      </c>
      <c r="I245" s="346">
        <f>Q_Financials!I5</f>
        <v>2443.9969999999998</v>
      </c>
      <c r="J245" s="346">
        <f>Q_Financials!J5</f>
        <v>2396.7440000000001</v>
      </c>
      <c r="K245" s="346">
        <f>Q_Financials!K5</f>
        <v>2595.1480000000001</v>
      </c>
      <c r="L245" s="346">
        <f>Q_Financials!L5</f>
        <v>2768.78</v>
      </c>
      <c r="M245" s="346">
        <f>Q_Financials!M5</f>
        <v>2935.8319999999999</v>
      </c>
      <c r="N245" s="346">
        <f>Q_Financials!N5</f>
        <v>2962.0479999999998</v>
      </c>
      <c r="O245" s="346">
        <f>Q_Financials!O5</f>
        <v>3426.5659999999998</v>
      </c>
      <c r="P245" s="346">
        <f>Q_Financials!P5</f>
        <v>3502.4520000000002</v>
      </c>
      <c r="Q245" s="346">
        <f>Q_Financials!Q5</f>
        <v>3628.4470000000001</v>
      </c>
      <c r="R245" s="346">
        <f>Q_Financials!R5</f>
        <v>3398.7460000000001</v>
      </c>
      <c r="S245" s="346">
        <f>Q_Financials!S5</f>
        <v>3820.627</v>
      </c>
      <c r="T245" s="346">
        <f>Q_Financials!T5</f>
        <v>4082.3409999999999</v>
      </c>
      <c r="U245" s="346">
        <f>Q_Financials!U5</f>
        <v>4410.951</v>
      </c>
      <c r="V245" s="346">
        <f>Q_Financials!V5</f>
        <v>3992.0360000000001</v>
      </c>
      <c r="W245" s="346">
        <f>Q_Financials!W5</f>
        <v>5203.326</v>
      </c>
      <c r="X245" s="346">
        <f>Q_Financials!X5</f>
        <v>5701.3490000000002</v>
      </c>
      <c r="Y245" s="346">
        <f>Q_Financials!Y5</f>
        <v>7903.5439999999999</v>
      </c>
      <c r="Z245" s="346">
        <f>Q_Financials!Z5</f>
        <v>7344.2340000000004</v>
      </c>
      <c r="AA245" s="346">
        <f>Q_Financials!AA5</f>
        <v>7761.942</v>
      </c>
      <c r="AB245" s="346">
        <f>Q_Financials!AB5</f>
        <v>8224.3739999999998</v>
      </c>
      <c r="AC245" s="346">
        <f>Q_Financials!AC5</f>
        <v>8957.8259999999991</v>
      </c>
      <c r="AD245" s="346">
        <f>Q_Financials!AD5</f>
        <v>8534.76</v>
      </c>
      <c r="AE245" s="2164">
        <f>Q_Financials!AE5</f>
        <v>9065.5679999999993</v>
      </c>
      <c r="AF245" s="346">
        <f>Q_Financials!AF5</f>
        <v>9601.9840000000004</v>
      </c>
      <c r="AG245" s="346">
        <f>Q_Financials!AG5</f>
        <v>10499.555</v>
      </c>
      <c r="AH245" s="346">
        <f>Q_Financials!AH5</f>
        <v>10093.24</v>
      </c>
      <c r="AI245" s="346">
        <f>Q_Financials!AI5</f>
        <v>10344.403</v>
      </c>
      <c r="AJ245" s="346">
        <f>Q_Financials!AJ5</f>
        <v>10475.353999999999</v>
      </c>
      <c r="AK245" s="346">
        <f>Q_Financials!AK5</f>
        <v>11616.124</v>
      </c>
      <c r="AL245" s="346">
        <f>Q_Financials!AL5</f>
        <v>11079.865</v>
      </c>
      <c r="AM245" s="346">
        <f>Q_Financials!AM5</f>
        <v>11325.508</v>
      </c>
      <c r="AN245" s="346">
        <f>Q_Financials!AN5</f>
        <v>11375.396000000001</v>
      </c>
      <c r="AO245" s="346">
        <f>Q_Financials!AO5</f>
        <v>12375.822</v>
      </c>
      <c r="AP245" s="346">
        <f>Q_Financials!AP5</f>
        <v>13690.588</v>
      </c>
      <c r="AQ245" s="346">
        <f>Q_Financials!AQ5</f>
        <v>14580.537</v>
      </c>
      <c r="AR245" s="346">
        <f>Q_Financials!AR5</f>
        <v>14490.496999999999</v>
      </c>
      <c r="AS245" s="346">
        <f>Q_Financials!AS5</f>
        <v>15392.996999999999</v>
      </c>
      <c r="AT245" s="346">
        <f>Q_Financials!AT5</f>
        <v>12105.09</v>
      </c>
      <c r="AU245" s="346">
        <f>Q_Financials!AU5</f>
        <v>5197.777</v>
      </c>
      <c r="AV245" s="346">
        <f>Q_Financials!AV5</f>
        <v>9895.518</v>
      </c>
      <c r="AW245" s="346">
        <f>Q_Financials!AW5</f>
        <v>11297.034</v>
      </c>
      <c r="AX245" s="346">
        <f>Q_Financials!AX5</f>
        <v>10211.714</v>
      </c>
      <c r="AY245" s="346">
        <f>Q_Financials!AY5</f>
        <v>12477.368</v>
      </c>
      <c r="AZ245" s="346">
        <f>Q_Financials!AZ5</f>
        <v>13958.275</v>
      </c>
      <c r="BA245" s="346">
        <f>Q_Financials!BA5</f>
        <v>16732.112000000001</v>
      </c>
      <c r="BB245" s="346">
        <f>Q_Financials!BB5</f>
        <v>15228.173000000001</v>
      </c>
      <c r="BC245" s="346">
        <f>Q_Financials!BC5</f>
        <v>16939.128000000001</v>
      </c>
      <c r="BD245" s="346">
        <f>Q_Financials!BD5</f>
        <v>17518.175999999999</v>
      </c>
      <c r="BE245" s="346">
        <f>Q_Financials!BE5</f>
        <v>19145.828000000001</v>
      </c>
      <c r="BF245" s="346">
        <f>Q_Financials!BF5</f>
        <v>17665.647000000001</v>
      </c>
      <c r="BG245" s="346">
        <f>Q_Financials!BG5</f>
        <v>18948.734</v>
      </c>
      <c r="BH245" s="346">
        <f>Q_Financials!BH5</f>
        <v>19469.973999999998</v>
      </c>
      <c r="BI245" s="346">
        <f>Q_Financials!BI5</f>
        <v>20146.692999999999</v>
      </c>
      <c r="BJ245" s="346">
        <f>Q_Financials!BJ5</f>
        <v>18202.828000000001</v>
      </c>
      <c r="BK245" s="1407">
        <f>Q_Financials!BK5</f>
        <v>19254.041000000001</v>
      </c>
      <c r="BL245" s="379">
        <f>BL38+BL189+BL105+BL267</f>
        <v>20107.970832727809</v>
      </c>
      <c r="BM245" s="379">
        <f t="shared" ref="BM245:CW245" si="1387">BM38+BM189+BM105+BM267</f>
        <v>20984.193483420095</v>
      </c>
      <c r="BN245" s="379">
        <f t="shared" si="1387"/>
        <v>19911.591318315957</v>
      </c>
      <c r="BO245" s="379">
        <f t="shared" si="1387"/>
        <v>21413.716177310689</v>
      </c>
      <c r="BP245" s="379">
        <f t="shared" si="1387"/>
        <v>21960.064838352253</v>
      </c>
      <c r="BQ245" s="379">
        <f t="shared" si="1387"/>
        <v>22715.611927975278</v>
      </c>
      <c r="BR245" s="379">
        <f t="shared" si="1387"/>
        <v>21456.749419662832</v>
      </c>
      <c r="BS245" s="379">
        <f t="shared" si="1387"/>
        <v>22817.445734206507</v>
      </c>
      <c r="BT245" s="379">
        <f t="shared" si="1387"/>
        <v>23395.290758133189</v>
      </c>
      <c r="BU245" s="379">
        <f t="shared" si="1387"/>
        <v>24192.539125077034</v>
      </c>
      <c r="BV245" s="379">
        <f t="shared" si="1387"/>
        <v>22740.69729254796</v>
      </c>
      <c r="BW245" s="379">
        <f t="shared" si="1387"/>
        <v>24143.358255206396</v>
      </c>
      <c r="BX245" s="379">
        <f t="shared" si="1387"/>
        <v>24763.988998877619</v>
      </c>
      <c r="BY245" s="379">
        <f t="shared" si="1387"/>
        <v>25634.57517516951</v>
      </c>
      <c r="BZ245" s="379">
        <f t="shared" si="1387"/>
        <v>23941.814771062571</v>
      </c>
      <c r="CA245" s="379">
        <f t="shared" si="1387"/>
        <v>25391.693157376401</v>
      </c>
      <c r="CB245" s="379">
        <f t="shared" si="1387"/>
        <v>26062.920699555041</v>
      </c>
      <c r="CC245" s="379">
        <f t="shared" si="1387"/>
        <v>27013.513139272727</v>
      </c>
      <c r="CD245" s="379">
        <f t="shared" si="1387"/>
        <v>25200.975288784495</v>
      </c>
      <c r="CE245" s="379">
        <f t="shared" si="1387"/>
        <v>26698.989694340016</v>
      </c>
      <c r="CF245" s="379">
        <f t="shared" si="1387"/>
        <v>27423.756905689424</v>
      </c>
      <c r="CG245" s="379">
        <f t="shared" si="1387"/>
        <v>28459.011437979949</v>
      </c>
      <c r="CH245" s="379">
        <f t="shared" si="1387"/>
        <v>26513.054993055528</v>
      </c>
      <c r="CI245" s="379">
        <f t="shared" si="1387"/>
        <v>28047.66709817612</v>
      </c>
      <c r="CJ245" s="379">
        <f t="shared" si="1387"/>
        <v>28815.736760202399</v>
      </c>
      <c r="CK245" s="379">
        <f t="shared" si="1387"/>
        <v>29919.161441835007</v>
      </c>
      <c r="CL245" s="379">
        <f t="shared" si="1387"/>
        <v>27834.533909550948</v>
      </c>
      <c r="CM245" s="379">
        <f t="shared" si="1387"/>
        <v>29418.12201169457</v>
      </c>
      <c r="CN245" s="379">
        <f t="shared" si="1387"/>
        <v>30245.657356652453</v>
      </c>
      <c r="CO245" s="379">
        <f t="shared" si="1387"/>
        <v>31439.029921125362</v>
      </c>
      <c r="CP245" s="379">
        <f t="shared" si="1387"/>
        <v>29218.425537763826</v>
      </c>
      <c r="CQ245" s="379">
        <f t="shared" si="1387"/>
        <v>30852.235451189445</v>
      </c>
      <c r="CR245" s="379">
        <f t="shared" si="1387"/>
        <v>31743.971271447612</v>
      </c>
      <c r="CS245" s="379">
        <f t="shared" si="1387"/>
        <v>33033.022241939041</v>
      </c>
      <c r="CT245" s="379">
        <f t="shared" si="1387"/>
        <v>30668.695957645104</v>
      </c>
      <c r="CU245" s="379">
        <f t="shared" si="1387"/>
        <v>32353.119396919366</v>
      </c>
      <c r="CV245" s="379">
        <f t="shared" si="1387"/>
        <v>33311.758125313609</v>
      </c>
      <c r="CW245" s="379">
        <f t="shared" si="1387"/>
        <v>34682.833159762762</v>
      </c>
    </row>
    <row r="246" spans="1:101" s="9" customFormat="1" ht="11.25">
      <c r="A246" s="545" t="s">
        <v>354</v>
      </c>
      <c r="B246" s="347"/>
      <c r="C246" s="347"/>
      <c r="D246" s="347"/>
      <c r="E246" s="347"/>
      <c r="F246" s="347">
        <f t="shared" ref="F246:AK246" si="1388">F245/B245-1</f>
        <v>5.6211233321963316E-3</v>
      </c>
      <c r="G246" s="347">
        <f t="shared" si="1388"/>
        <v>4.5339874165529981E-2</v>
      </c>
      <c r="H246" s="347">
        <f t="shared" si="1388"/>
        <v>7.3283880443085314E-2</v>
      </c>
      <c r="I246" s="347">
        <f t="shared" si="1388"/>
        <v>5.7704242334015055E-2</v>
      </c>
      <c r="J246" s="347">
        <f t="shared" si="1388"/>
        <v>0.1435840325829818</v>
      </c>
      <c r="K246" s="347">
        <f t="shared" si="1388"/>
        <v>0.19774218858171433</v>
      </c>
      <c r="L246" s="347">
        <f t="shared" si="1388"/>
        <v>0.21708627756959009</v>
      </c>
      <c r="M246" s="347">
        <f t="shared" si="1388"/>
        <v>0.2012420637177541</v>
      </c>
      <c r="N246" s="347">
        <f t="shared" si="1388"/>
        <v>0.23586332123914766</v>
      </c>
      <c r="O246" s="347">
        <f t="shared" si="1388"/>
        <v>0.32037402105775836</v>
      </c>
      <c r="P246" s="347">
        <f t="shared" si="1388"/>
        <v>0.26498024400638553</v>
      </c>
      <c r="Q246" s="347">
        <f t="shared" si="1388"/>
        <v>0.23591779093626619</v>
      </c>
      <c r="R246" s="347">
        <f t="shared" si="1388"/>
        <v>0.14743110172421248</v>
      </c>
      <c r="S246" s="347">
        <f t="shared" si="1388"/>
        <v>0.11500172475884018</v>
      </c>
      <c r="T246" s="347">
        <f t="shared" si="1388"/>
        <v>0.16556658021294779</v>
      </c>
      <c r="U246" s="347">
        <f t="shared" si="1388"/>
        <v>0.2156581038664751</v>
      </c>
      <c r="V246" s="347">
        <f t="shared" si="1388"/>
        <v>0.17456144119036843</v>
      </c>
      <c r="W246" s="347">
        <f t="shared" si="1388"/>
        <v>0.36190368753610347</v>
      </c>
      <c r="X246" s="347">
        <f t="shared" si="1388"/>
        <v>0.39658813411226546</v>
      </c>
      <c r="Y246" s="347">
        <f t="shared" si="1388"/>
        <v>0.79180045300888624</v>
      </c>
      <c r="Z246" s="347">
        <f t="shared" si="1388"/>
        <v>0.83972138527808871</v>
      </c>
      <c r="AA246" s="347">
        <f t="shared" si="1388"/>
        <v>0.49172702229304877</v>
      </c>
      <c r="AB246" s="347">
        <f t="shared" si="1388"/>
        <v>0.44253123252058413</v>
      </c>
      <c r="AC246" s="347">
        <f t="shared" si="1388"/>
        <v>0.13339357635005245</v>
      </c>
      <c r="AD246" s="347">
        <f t="shared" si="1388"/>
        <v>0.16210349506837596</v>
      </c>
      <c r="AE246" s="2140">
        <f t="shared" si="1388"/>
        <v>0.1679510101982209</v>
      </c>
      <c r="AF246" s="347">
        <f t="shared" si="1388"/>
        <v>0.16750332608901308</v>
      </c>
      <c r="AG246" s="347">
        <f t="shared" si="1388"/>
        <v>0.17210972840954941</v>
      </c>
      <c r="AH246" s="347">
        <f t="shared" si="1388"/>
        <v>0.18260384591951029</v>
      </c>
      <c r="AI246" s="347">
        <f t="shared" si="1388"/>
        <v>0.14106507170868943</v>
      </c>
      <c r="AJ246" s="347">
        <f t="shared" si="1388"/>
        <v>9.0957243836273793E-2</v>
      </c>
      <c r="AK246" s="347">
        <f t="shared" si="1388"/>
        <v>0.10634441173935461</v>
      </c>
      <c r="AL246" s="347">
        <f t="shared" ref="AL246:BQ246" si="1389">AL245/AH245-1</f>
        <v>9.775106903234243E-2</v>
      </c>
      <c r="AM246" s="347">
        <f t="shared" si="1389"/>
        <v>9.4844042715659826E-2</v>
      </c>
      <c r="AN246" s="347">
        <f t="shared" si="1389"/>
        <v>8.5919960318286304E-2</v>
      </c>
      <c r="AO246" s="347">
        <f t="shared" si="1389"/>
        <v>6.540030047888612E-2</v>
      </c>
      <c r="AP246" s="347">
        <f t="shared" si="1389"/>
        <v>0.23562769040958531</v>
      </c>
      <c r="AQ246" s="347">
        <f t="shared" si="1389"/>
        <v>0.28740688717892393</v>
      </c>
      <c r="AR246" s="347">
        <f t="shared" si="1389"/>
        <v>0.2738454995324997</v>
      </c>
      <c r="AS246" s="347">
        <f t="shared" si="1389"/>
        <v>0.24379592725234733</v>
      </c>
      <c r="AT246" s="347">
        <f t="shared" si="1389"/>
        <v>-0.11580934288578404</v>
      </c>
      <c r="AU246" s="347">
        <f t="shared" si="1389"/>
        <v>-0.64351264977414757</v>
      </c>
      <c r="AV246" s="347">
        <f t="shared" si="1389"/>
        <v>-0.31710292614532132</v>
      </c>
      <c r="AW246" s="347">
        <f t="shared" si="1389"/>
        <v>-0.26609262640667053</v>
      </c>
      <c r="AX246" s="347">
        <f t="shared" si="1389"/>
        <v>-0.15641155910447591</v>
      </c>
      <c r="AY246" s="347">
        <f t="shared" si="1389"/>
        <v>1.4005200684831229</v>
      </c>
      <c r="AZ246" s="347">
        <f t="shared" si="1389"/>
        <v>0.41056536908931895</v>
      </c>
      <c r="BA246" s="347">
        <f t="shared" ref="BA246:BK246" si="1390">BA245/AW245-1</f>
        <v>0.48110663382972918</v>
      </c>
      <c r="BB246" s="347">
        <f t="shared" si="1390"/>
        <v>0.49124554408789756</v>
      </c>
      <c r="BC246" s="347">
        <f t="shared" si="1390"/>
        <v>0.35758823495467951</v>
      </c>
      <c r="BD246" s="347">
        <f t="shared" si="1390"/>
        <v>0.25503874941566917</v>
      </c>
      <c r="BE246" s="347">
        <f t="shared" si="1390"/>
        <v>0.14425650509630827</v>
      </c>
      <c r="BF246" s="347">
        <f t="shared" si="1390"/>
        <v>0.16006345606922112</v>
      </c>
      <c r="BG246" s="347">
        <f t="shared" si="1390"/>
        <v>0.11863692156998873</v>
      </c>
      <c r="BH246" s="347">
        <f t="shared" si="1390"/>
        <v>0.11141559486558417</v>
      </c>
      <c r="BI246" s="347">
        <f t="shared" si="1390"/>
        <v>5.2275879632889044E-2</v>
      </c>
      <c r="BJ246" s="347">
        <f t="shared" si="1390"/>
        <v>3.0408226769163882E-2</v>
      </c>
      <c r="BK246" s="1364">
        <f t="shared" si="1390"/>
        <v>1.6112263753346401E-2</v>
      </c>
      <c r="BL246" s="380">
        <f t="shared" si="1389"/>
        <v>3.2768242665748293E-2</v>
      </c>
      <c r="BM246" s="380">
        <f t="shared" si="1389"/>
        <v>4.1570121876582711E-2</v>
      </c>
      <c r="BN246" s="380">
        <f t="shared" si="1389"/>
        <v>9.3873507914042476E-2</v>
      </c>
      <c r="BO246" s="380">
        <f t="shared" si="1389"/>
        <v>0.11216737189407078</v>
      </c>
      <c r="BP246" s="380">
        <f t="shared" si="1389"/>
        <v>9.210745435387091E-2</v>
      </c>
      <c r="BQ246" s="380">
        <f t="shared" si="1389"/>
        <v>8.2510602369502584E-2</v>
      </c>
      <c r="BR246" s="380">
        <f t="shared" ref="BR246:CK246" si="1391">BR245/BN245-1</f>
        <v>7.7600934884874739E-2</v>
      </c>
      <c r="BS246" s="380">
        <f t="shared" si="1391"/>
        <v>6.5552823492783796E-2</v>
      </c>
      <c r="BT246" s="380">
        <f t="shared" si="1391"/>
        <v>6.5356178606284399E-2</v>
      </c>
      <c r="BU246" s="380">
        <f t="shared" si="1391"/>
        <v>6.5018155873795891E-2</v>
      </c>
      <c r="BV246" s="380">
        <f t="shared" si="1391"/>
        <v>5.9838880893511526E-2</v>
      </c>
      <c r="BW246" s="380">
        <f t="shared" si="1391"/>
        <v>5.8109594581490009E-2</v>
      </c>
      <c r="BX246" s="380">
        <f t="shared" si="1391"/>
        <v>5.850315154850616E-2</v>
      </c>
      <c r="BY246" s="380">
        <f t="shared" si="1391"/>
        <v>5.96066432976321E-2</v>
      </c>
      <c r="BZ246" s="380">
        <f t="shared" si="1391"/>
        <v>5.2817970489770882E-2</v>
      </c>
      <c r="CA246" s="380">
        <f t="shared" si="1391"/>
        <v>5.1705106181771932E-2</v>
      </c>
      <c r="CB246" s="380">
        <f t="shared" si="1391"/>
        <v>5.2452442162540747E-2</v>
      </c>
      <c r="CC246" s="380">
        <f t="shared" si="1391"/>
        <v>5.3792112983362506E-2</v>
      </c>
      <c r="CD246" s="380">
        <f t="shared" si="1391"/>
        <v>5.2592526078842461E-2</v>
      </c>
      <c r="CE246" s="380">
        <f t="shared" si="1391"/>
        <v>5.1485205372523213E-2</v>
      </c>
      <c r="CF246" s="380">
        <f t="shared" si="1391"/>
        <v>5.2213496016876526E-2</v>
      </c>
      <c r="CG246" s="380">
        <f t="shared" si="1391"/>
        <v>5.3510192889562713E-2</v>
      </c>
      <c r="CH246" s="380">
        <f t="shared" si="1391"/>
        <v>5.2064639929033429E-2</v>
      </c>
      <c r="CI246" s="380">
        <f t="shared" si="1391"/>
        <v>5.0514173730027423E-2</v>
      </c>
      <c r="CJ246" s="380">
        <f t="shared" si="1391"/>
        <v>5.0758175085201085E-2</v>
      </c>
      <c r="CK246" s="380">
        <f t="shared" si="1391"/>
        <v>5.1307123124678E-2</v>
      </c>
      <c r="CL246" s="380">
        <f t="shared" ref="CL246" si="1392">CL245/CH245-1</f>
        <v>4.9842574416322449E-2</v>
      </c>
      <c r="CM246" s="380">
        <f t="shared" ref="CM246" si="1393">CM245/CI245-1</f>
        <v>4.8861636467710579E-2</v>
      </c>
      <c r="CN246" s="380">
        <f t="shared" ref="CN246" si="1394">CN245/CJ245-1</f>
        <v>4.9622905995758693E-2</v>
      </c>
      <c r="CO246" s="380">
        <f t="shared" ref="CO246" si="1395">CO245/CK245-1</f>
        <v>5.0799167023617642E-2</v>
      </c>
      <c r="CP246" s="380">
        <f t="shared" ref="CP246" si="1396">CP245/CL245-1</f>
        <v>4.9718512719123309E-2</v>
      </c>
      <c r="CQ246" s="380">
        <f t="shared" ref="CQ246" si="1397">CQ245/CM245-1</f>
        <v>4.8749319855454054E-2</v>
      </c>
      <c r="CR246" s="380">
        <f t="shared" ref="CR246" si="1398">CR245/CN245-1</f>
        <v>4.9538150126057889E-2</v>
      </c>
      <c r="CS246" s="380">
        <f t="shared" ref="CS246" si="1399">CS245/CO245-1</f>
        <v>5.070106567577648E-2</v>
      </c>
      <c r="CT246" s="380">
        <f t="shared" ref="CT246" si="1400">CT245/CP245-1</f>
        <v>4.9635474642767852E-2</v>
      </c>
      <c r="CU246" s="380">
        <f t="shared" ref="CU246" si="1401">CU245/CQ245-1</f>
        <v>4.8647494218188259E-2</v>
      </c>
      <c r="CV246" s="380">
        <f t="shared" ref="CV246" si="1402">CV245/CR245-1</f>
        <v>4.9388491454317673E-2</v>
      </c>
      <c r="CW246" s="380">
        <f t="shared" ref="CW246" si="1403">CW245/CS245-1</f>
        <v>4.9944292282439351E-2</v>
      </c>
    </row>
    <row r="247" spans="1:101" s="9" customFormat="1" ht="11.25">
      <c r="A247" s="669" t="s">
        <v>756</v>
      </c>
      <c r="B247" s="731" t="str">
        <f t="shared" ref="B247:X247" si="1404">IF(ISERROR((B38/B$245)*B45+(B189/B245)*B196+(B105/B245)*B112),"NM",(B38/B$245)*B45+(B189/B245)*B196+(B105/B245)*B112)</f>
        <v>NM</v>
      </c>
      <c r="C247" s="731" t="str">
        <f t="shared" si="1404"/>
        <v>NM</v>
      </c>
      <c r="D247" s="731" t="str">
        <f t="shared" si="1404"/>
        <v>NM</v>
      </c>
      <c r="E247" s="731" t="str">
        <f t="shared" si="1404"/>
        <v>NM</v>
      </c>
      <c r="F247" s="731" t="str">
        <f t="shared" si="1404"/>
        <v>NM</v>
      </c>
      <c r="G247" s="731" t="str">
        <f t="shared" si="1404"/>
        <v>NM</v>
      </c>
      <c r="H247" s="731" t="str">
        <f t="shared" si="1404"/>
        <v>NM</v>
      </c>
      <c r="I247" s="731" t="str">
        <f t="shared" si="1404"/>
        <v>NM</v>
      </c>
      <c r="J247" s="731" t="str">
        <f t="shared" si="1404"/>
        <v>NM</v>
      </c>
      <c r="K247" s="731" t="str">
        <f t="shared" si="1404"/>
        <v>NM</v>
      </c>
      <c r="L247" s="731" t="str">
        <f t="shared" si="1404"/>
        <v>NM</v>
      </c>
      <c r="M247" s="731" t="str">
        <f t="shared" si="1404"/>
        <v>NM</v>
      </c>
      <c r="N247" s="731" t="str">
        <f t="shared" si="1404"/>
        <v>NM</v>
      </c>
      <c r="O247" s="731" t="str">
        <f t="shared" si="1404"/>
        <v>NM</v>
      </c>
      <c r="P247" s="731" t="str">
        <f t="shared" si="1404"/>
        <v>NM</v>
      </c>
      <c r="Q247" s="731" t="str">
        <f t="shared" si="1404"/>
        <v>NM</v>
      </c>
      <c r="R247" s="731" t="str">
        <f t="shared" si="1404"/>
        <v>NM</v>
      </c>
      <c r="S247" s="731" t="str">
        <f t="shared" si="1404"/>
        <v>NM</v>
      </c>
      <c r="T247" s="731" t="str">
        <f t="shared" si="1404"/>
        <v>NM</v>
      </c>
      <c r="U247" s="731" t="str">
        <f t="shared" si="1404"/>
        <v>NM</v>
      </c>
      <c r="V247" s="731" t="str">
        <f t="shared" si="1404"/>
        <v>NM</v>
      </c>
      <c r="W247" s="731" t="str">
        <f t="shared" si="1404"/>
        <v>NM</v>
      </c>
      <c r="X247" s="731" t="str">
        <f t="shared" si="1404"/>
        <v>NM</v>
      </c>
      <c r="Y247" s="729">
        <f t="shared" ref="Y247:BD247" si="1405">(Y38/Y$245)*Y45+(Y189/Y245)*Y196+(Y105/Y245)*Y112</f>
        <v>2.106763750540264E-2</v>
      </c>
      <c r="Z247" s="729">
        <f t="shared" si="1405"/>
        <v>6.2488205032682778E-2</v>
      </c>
      <c r="AA247" s="729">
        <f t="shared" si="1405"/>
        <v>7.5382165957952288E-2</v>
      </c>
      <c r="AB247" s="729">
        <f t="shared" si="1405"/>
        <v>0.11302319179550929</v>
      </c>
      <c r="AC247" s="729">
        <f t="shared" si="1405"/>
        <v>0.1104973461194714</v>
      </c>
      <c r="AD247" s="729">
        <f t="shared" si="1405"/>
        <v>0.1050311900979055</v>
      </c>
      <c r="AE247" s="2165">
        <f t="shared" si="1405"/>
        <v>9.9921262517693343E-2</v>
      </c>
      <c r="AF247" s="729">
        <f t="shared" si="1405"/>
        <v>9.576562510414513E-2</v>
      </c>
      <c r="AG247" s="729">
        <f t="shared" si="1405"/>
        <v>7.7917492693737975E-2</v>
      </c>
      <c r="AH247" s="729">
        <f t="shared" si="1405"/>
        <v>7.4775394224253069E-2</v>
      </c>
      <c r="AI247" s="729">
        <f t="shared" si="1405"/>
        <v>7.1168147644673163E-2</v>
      </c>
      <c r="AJ247" s="729">
        <f t="shared" si="1405"/>
        <v>7.0549596700980238E-2</v>
      </c>
      <c r="AK247" s="729">
        <f t="shared" si="1405"/>
        <v>6.9335606265911065E-2</v>
      </c>
      <c r="AL247" s="729">
        <f t="shared" si="1405"/>
        <v>6.9248009068702543E-2</v>
      </c>
      <c r="AM247" s="729">
        <f t="shared" si="1405"/>
        <v>4.6377904284734962E-2</v>
      </c>
      <c r="AN247" s="729">
        <f t="shared" si="1405"/>
        <v>3.5692735444111133E-2</v>
      </c>
      <c r="AO247" s="729">
        <f t="shared" si="1405"/>
        <v>5.0939646675590519E-2</v>
      </c>
      <c r="AP247" s="729">
        <f t="shared" si="1405"/>
        <v>2.6016674082953928E-2</v>
      </c>
      <c r="AQ247" s="729">
        <f t="shared" si="1405"/>
        <v>7.6311941322874458E-2</v>
      </c>
      <c r="AR247" s="729">
        <f t="shared" si="1405"/>
        <v>5.8985766878803393E-2</v>
      </c>
      <c r="AS247" s="729">
        <f t="shared" si="1405"/>
        <v>3.5589370153193689E-2</v>
      </c>
      <c r="AT247" s="729">
        <f t="shared" si="1405"/>
        <v>-1.9880409315420206E-2</v>
      </c>
      <c r="AU247" s="729">
        <f t="shared" si="1405"/>
        <v>-0.41557090271475666</v>
      </c>
      <c r="AV247" s="729">
        <f t="shared" si="1405"/>
        <v>-0.305608773082925</v>
      </c>
      <c r="AW247" s="729">
        <f t="shared" si="1405"/>
        <v>-0.25140474800730883</v>
      </c>
      <c r="AX247" s="729">
        <f t="shared" si="1405"/>
        <v>-0.13234550340912407</v>
      </c>
      <c r="AY247" s="729">
        <f t="shared" si="1405"/>
        <v>0.66568986560306631</v>
      </c>
      <c r="AZ247" s="729">
        <f t="shared" si="1405"/>
        <v>0.45732595324278974</v>
      </c>
      <c r="BA247" s="729">
        <f t="shared" si="1405"/>
        <v>0.48562317727732163</v>
      </c>
      <c r="BB247" s="729">
        <f t="shared" si="1405"/>
        <v>0.47359792405825696</v>
      </c>
      <c r="BC247" s="729">
        <f t="shared" si="1405"/>
        <v>0.42486782554568331</v>
      </c>
      <c r="BD247" s="729">
        <f t="shared" si="1405"/>
        <v>0.32920562243466439</v>
      </c>
      <c r="BE247" s="729">
        <f t="shared" ref="BE247:CJ247" si="1406">(BE38/BE$245)*BE45+(BE189/BE245)*BE196+(BE105/BE245)*BE112</f>
        <v>0.2357862075748304</v>
      </c>
      <c r="BF247" s="729">
        <f t="shared" si="1406"/>
        <v>0.24787327285550309</v>
      </c>
      <c r="BG247" s="729">
        <f t="shared" si="1406"/>
        <v>0.19697734423840663</v>
      </c>
      <c r="BH247" s="729">
        <f t="shared" si="1406"/>
        <v>0.19000710026628698</v>
      </c>
      <c r="BI247" s="729">
        <f t="shared" si="1406"/>
        <v>0.13013418812705391</v>
      </c>
      <c r="BJ247" s="729">
        <f t="shared" si="1406"/>
        <v>0.10937070349728074</v>
      </c>
      <c r="BK247" s="1384">
        <f t="shared" ref="BK247" si="1407">(BK38/BK$245)*BK45+(BK189/BK245)*BK196+(BK105/BK245)*BK112</f>
        <v>0.10947034708194502</v>
      </c>
      <c r="BL247" s="730">
        <f t="shared" si="1406"/>
        <v>9.7598693532960482E-2</v>
      </c>
      <c r="BM247" s="730">
        <f t="shared" si="1406"/>
        <v>6.4239328884383121E-2</v>
      </c>
      <c r="BN247" s="730">
        <f t="shared" si="1406"/>
        <v>6.3633956367587396E-2</v>
      </c>
      <c r="BO247" s="730">
        <f t="shared" si="1406"/>
        <v>6.0474090007537631E-2</v>
      </c>
      <c r="BP247" s="730">
        <f t="shared" si="1406"/>
        <v>5.0540364650668336E-2</v>
      </c>
      <c r="BQ247" s="730">
        <f t="shared" si="1406"/>
        <v>3.9981465266675835E-2</v>
      </c>
      <c r="BR247" s="730">
        <f t="shared" si="1406"/>
        <v>4.5025872003311949E-2</v>
      </c>
      <c r="BS247" s="730">
        <f t="shared" si="1406"/>
        <v>4.7748066524472575E-2</v>
      </c>
      <c r="BT247" s="730">
        <f t="shared" si="1406"/>
        <v>4.7296423621376829E-2</v>
      </c>
      <c r="BU247" s="730">
        <f t="shared" si="1406"/>
        <v>4.2206033661753864E-2</v>
      </c>
      <c r="BV247" s="730">
        <f t="shared" si="1406"/>
        <v>4.1263945345669184E-2</v>
      </c>
      <c r="BW247" s="730">
        <f t="shared" si="1406"/>
        <v>4.3277506562011701E-2</v>
      </c>
      <c r="BX247" s="730">
        <f t="shared" si="1406"/>
        <v>4.2814979829969312E-2</v>
      </c>
      <c r="BY247" s="730">
        <f t="shared" si="1406"/>
        <v>3.892937488300402E-2</v>
      </c>
      <c r="BZ247" s="730">
        <f t="shared" si="1406"/>
        <v>3.6304029144773639E-2</v>
      </c>
      <c r="CA247" s="730">
        <f t="shared" si="1406"/>
        <v>3.8515163983521734E-2</v>
      </c>
      <c r="CB247" s="730">
        <f t="shared" si="1406"/>
        <v>3.8199240641029884E-2</v>
      </c>
      <c r="CC247" s="730">
        <f t="shared" si="1406"/>
        <v>3.3989674679650292E-2</v>
      </c>
      <c r="CD247" s="730">
        <f t="shared" si="1406"/>
        <v>3.5911461584216021E-2</v>
      </c>
      <c r="CE247" s="730">
        <f t="shared" si="1406"/>
        <v>3.8048794176435148E-2</v>
      </c>
      <c r="CF247" s="730">
        <f t="shared" si="1406"/>
        <v>3.7703324525834851E-2</v>
      </c>
      <c r="CG247" s="730">
        <f t="shared" si="1406"/>
        <v>3.3567139899225149E-2</v>
      </c>
      <c r="CH247" s="730">
        <f t="shared" si="1406"/>
        <v>3.5440868862911826E-2</v>
      </c>
      <c r="CI247" s="730">
        <f t="shared" si="1406"/>
        <v>3.7570704588089233E-2</v>
      </c>
      <c r="CJ247" s="730">
        <f t="shared" si="1406"/>
        <v>3.7277279426316222E-2</v>
      </c>
      <c r="CK247" s="730">
        <f t="shared" ref="CK247:CW247" si="1408">(CK38/CK$245)*CK45+(CK189/CK245)*CK196+(CK105/CK245)*CK112</f>
        <v>3.3235799261964884E-2</v>
      </c>
      <c r="CL247" s="730">
        <f t="shared" si="1408"/>
        <v>3.5066653318784446E-2</v>
      </c>
      <c r="CM247" s="730">
        <f t="shared" si="1408"/>
        <v>3.7159741756841939E-2</v>
      </c>
      <c r="CN247" s="730">
        <f t="shared" si="1408"/>
        <v>3.6875746748747662E-2</v>
      </c>
      <c r="CO247" s="730">
        <f t="shared" si="1408"/>
        <v>3.288713488332283E-2</v>
      </c>
      <c r="CP247" s="730">
        <f t="shared" si="1408"/>
        <v>3.4646994633631932E-2</v>
      </c>
      <c r="CQ247" s="730">
        <f t="shared" si="1408"/>
        <v>3.6694619073552995E-2</v>
      </c>
      <c r="CR247" s="730">
        <f t="shared" si="1408"/>
        <v>3.6424126199149934E-2</v>
      </c>
      <c r="CS247" s="730">
        <f t="shared" si="1408"/>
        <v>3.25617701304367E-2</v>
      </c>
      <c r="CT247" s="730">
        <f t="shared" si="1408"/>
        <v>3.432031892986618E-2</v>
      </c>
      <c r="CU247" s="730">
        <f t="shared" si="1408"/>
        <v>3.6336506749813702E-2</v>
      </c>
      <c r="CV247" s="730">
        <f t="shared" si="1408"/>
        <v>3.6081288735819853E-2</v>
      </c>
      <c r="CW247" s="730">
        <f t="shared" si="1408"/>
        <v>3.2266044032303667E-2</v>
      </c>
    </row>
    <row r="248" spans="1:101" s="9" customFormat="1" ht="11.25">
      <c r="A248" s="545"/>
      <c r="B248" s="347"/>
      <c r="C248" s="347"/>
      <c r="D248" s="347"/>
      <c r="E248" s="347"/>
      <c r="F248" s="347"/>
      <c r="G248" s="347"/>
      <c r="H248" s="347"/>
      <c r="I248" s="347"/>
      <c r="J248" s="347"/>
      <c r="K248" s="347"/>
      <c r="L248" s="347"/>
      <c r="M248" s="347"/>
      <c r="N248" s="347"/>
      <c r="O248" s="347"/>
      <c r="P248" s="347"/>
      <c r="Q248" s="347"/>
      <c r="R248" s="347"/>
      <c r="S248" s="347"/>
      <c r="T248" s="347"/>
      <c r="U248" s="347"/>
      <c r="V248" s="347"/>
      <c r="W248" s="347"/>
      <c r="X248" s="347"/>
      <c r="Y248" s="347"/>
      <c r="Z248" s="347"/>
      <c r="AA248" s="347"/>
      <c r="AB248" s="347"/>
      <c r="AC248" s="347"/>
      <c r="AD248" s="347"/>
      <c r="AE248" s="2140"/>
      <c r="AF248" s="347"/>
      <c r="AG248" s="347"/>
      <c r="AH248" s="347"/>
      <c r="AI248" s="347"/>
      <c r="AJ248" s="347"/>
      <c r="AK248" s="347"/>
      <c r="AL248" s="347"/>
      <c r="AM248" s="347"/>
      <c r="AN248" s="347"/>
      <c r="AO248" s="347"/>
      <c r="AP248" s="347"/>
      <c r="AQ248" s="347"/>
      <c r="AR248" s="347"/>
      <c r="AS248" s="347"/>
      <c r="AT248" s="347"/>
      <c r="AU248" s="347"/>
      <c r="AV248" s="347"/>
      <c r="AW248" s="347"/>
      <c r="AX248" s="347"/>
      <c r="AY248" s="347"/>
      <c r="AZ248" s="347"/>
      <c r="BA248" s="347"/>
      <c r="BB248" s="347"/>
      <c r="BC248" s="347"/>
      <c r="BD248" s="347"/>
      <c r="BE248" s="347"/>
      <c r="BF248" s="347"/>
      <c r="BG248" s="347"/>
      <c r="BH248" s="347"/>
      <c r="BI248" s="347"/>
      <c r="BJ248" s="347"/>
      <c r="BK248" s="1364"/>
      <c r="BL248" s="380"/>
      <c r="BM248" s="380"/>
      <c r="BN248" s="380"/>
      <c r="BO248" s="380"/>
      <c r="BP248" s="380"/>
      <c r="BQ248" s="380"/>
      <c r="BR248" s="380"/>
      <c r="BS248" s="380"/>
      <c r="BT248" s="380"/>
      <c r="BU248" s="380"/>
      <c r="BV248" s="380"/>
      <c r="BW248" s="380"/>
      <c r="BX248" s="380"/>
      <c r="BY248" s="380"/>
      <c r="BZ248" s="380"/>
      <c r="CA248" s="380"/>
      <c r="CB248" s="380"/>
      <c r="CC248" s="380"/>
      <c r="CD248" s="380"/>
      <c r="CE248" s="380"/>
      <c r="CF248" s="380"/>
      <c r="CG248" s="380"/>
      <c r="CH248" s="380"/>
      <c r="CI248" s="380"/>
      <c r="CJ248" s="380"/>
      <c r="CK248" s="380"/>
      <c r="CL248" s="380"/>
      <c r="CM248" s="380"/>
      <c r="CN248" s="380"/>
      <c r="CO248" s="380"/>
      <c r="CP248" s="380"/>
      <c r="CQ248" s="380"/>
      <c r="CR248" s="380"/>
      <c r="CS248" s="380"/>
      <c r="CT248" s="380"/>
      <c r="CU248" s="380"/>
      <c r="CV248" s="380"/>
      <c r="CW248" s="380"/>
    </row>
    <row r="249" spans="1:101" s="9" customFormat="1" ht="11.25">
      <c r="A249" s="545"/>
      <c r="B249" s="347"/>
      <c r="C249" s="347"/>
      <c r="D249" s="347"/>
      <c r="E249" s="347"/>
      <c r="F249" s="347"/>
      <c r="G249" s="347"/>
      <c r="H249" s="347"/>
      <c r="I249" s="347"/>
      <c r="J249" s="347"/>
      <c r="K249" s="347"/>
      <c r="L249" s="347"/>
      <c r="M249" s="347"/>
      <c r="N249" s="347"/>
      <c r="O249" s="347"/>
      <c r="P249" s="347"/>
      <c r="Q249" s="347"/>
      <c r="R249" s="347"/>
      <c r="S249" s="347"/>
      <c r="T249" s="347"/>
      <c r="U249" s="347"/>
      <c r="V249" s="347"/>
      <c r="W249" s="347"/>
      <c r="X249" s="347"/>
      <c r="Y249" s="347"/>
      <c r="Z249" s="347"/>
      <c r="AA249" s="347"/>
      <c r="AB249" s="347"/>
      <c r="AC249" s="347"/>
      <c r="AD249" s="347"/>
      <c r="AE249" s="2140"/>
      <c r="AF249" s="347"/>
      <c r="AG249" s="347"/>
      <c r="AH249" s="347"/>
      <c r="AI249" s="347"/>
      <c r="AJ249" s="347"/>
      <c r="AK249" s="347"/>
      <c r="AL249" s="347"/>
      <c r="AM249" s="347"/>
      <c r="AN249" s="347"/>
      <c r="AO249" s="347"/>
      <c r="AP249" s="347"/>
      <c r="AQ249" s="347"/>
      <c r="AR249" s="347"/>
      <c r="AS249" s="347"/>
      <c r="AT249" s="347"/>
      <c r="AU249" s="347"/>
      <c r="AV249" s="347"/>
      <c r="AW249" s="347"/>
      <c r="AX249" s="347"/>
      <c r="AY249" s="347"/>
      <c r="AZ249" s="347"/>
      <c r="BA249" s="347"/>
      <c r="BB249" s="347"/>
      <c r="BC249" s="347"/>
      <c r="BD249" s="347"/>
      <c r="BE249" s="347"/>
      <c r="BF249" s="347"/>
      <c r="BG249" s="347"/>
      <c r="BH249" s="347"/>
      <c r="BI249" s="347"/>
      <c r="BJ249" s="347"/>
      <c r="BK249" s="1364"/>
      <c r="BL249" s="380"/>
      <c r="BM249" s="380"/>
      <c r="BN249" s="380"/>
      <c r="BO249" s="380"/>
      <c r="BP249" s="380"/>
      <c r="BQ249" s="380"/>
      <c r="BR249" s="380"/>
      <c r="BS249" s="380"/>
      <c r="BT249" s="380"/>
      <c r="BU249" s="380"/>
      <c r="BV249" s="380"/>
      <c r="BW249" s="380"/>
      <c r="BX249" s="380"/>
      <c r="BY249" s="380"/>
      <c r="BZ249" s="380"/>
      <c r="CA249" s="380"/>
      <c r="CB249" s="380"/>
      <c r="CC249" s="380"/>
      <c r="CD249" s="380"/>
      <c r="CE249" s="380"/>
      <c r="CF249" s="380"/>
      <c r="CG249" s="380"/>
      <c r="CH249" s="380"/>
      <c r="CI249" s="380"/>
      <c r="CJ249" s="380"/>
      <c r="CK249" s="380"/>
      <c r="CL249" s="380"/>
      <c r="CM249" s="380"/>
      <c r="CN249" s="380"/>
      <c r="CO249" s="380"/>
      <c r="CP249" s="380"/>
      <c r="CQ249" s="380"/>
      <c r="CR249" s="380"/>
      <c r="CS249" s="380"/>
      <c r="CT249" s="380"/>
      <c r="CU249" s="380"/>
      <c r="CV249" s="380"/>
      <c r="CW249" s="380"/>
    </row>
    <row r="250" spans="1:101" s="9" customFormat="1" ht="11.25">
      <c r="A250" s="674" t="s">
        <v>739</v>
      </c>
      <c r="B250" s="659">
        <f t="shared" ref="B250:AG250" si="1409">+B192+B108+B41</f>
        <v>1800.5</v>
      </c>
      <c r="C250" s="659">
        <f t="shared" si="1409"/>
        <v>1782.2232000000004</v>
      </c>
      <c r="D250" s="659">
        <f t="shared" si="1409"/>
        <v>1827.5972972972972</v>
      </c>
      <c r="E250" s="659">
        <f t="shared" si="1409"/>
        <v>2005.9927565789467</v>
      </c>
      <c r="F250" s="659">
        <f t="shared" si="1409"/>
        <v>1827.2743004291847</v>
      </c>
      <c r="G250" s="659">
        <f t="shared" si="1409"/>
        <v>1901.6444214876037</v>
      </c>
      <c r="H250" s="659">
        <f t="shared" si="1409"/>
        <v>1996.5166607142855</v>
      </c>
      <c r="I250" s="659">
        <f t="shared" si="1409"/>
        <v>2167.5653773584909</v>
      </c>
      <c r="J250" s="659">
        <f t="shared" si="1409"/>
        <v>2094.0730000000003</v>
      </c>
      <c r="K250" s="659">
        <f t="shared" si="1409"/>
        <v>2247.8423356643357</v>
      </c>
      <c r="L250" s="659">
        <f t="shared" si="1409"/>
        <v>2399.9963143812711</v>
      </c>
      <c r="M250" s="659">
        <f t="shared" si="1409"/>
        <v>2526.4080705521474</v>
      </c>
      <c r="N250" s="659">
        <f t="shared" si="1409"/>
        <v>2613.6051066282421</v>
      </c>
      <c r="O250" s="659">
        <f t="shared" si="1409"/>
        <v>3010.8019164345401</v>
      </c>
      <c r="P250" s="659">
        <f t="shared" si="1409"/>
        <v>3103.9207619047611</v>
      </c>
      <c r="Q250" s="659">
        <f t="shared" si="1409"/>
        <v>3192.9742723880595</v>
      </c>
      <c r="R250" s="659">
        <f t="shared" si="1409"/>
        <v>3046.8035167464113</v>
      </c>
      <c r="S250" s="659">
        <f t="shared" si="1409"/>
        <v>3457.3207383177569</v>
      </c>
      <c r="T250" s="659">
        <f t="shared" si="1409"/>
        <v>3718.8859837067212</v>
      </c>
      <c r="U250" s="659">
        <f t="shared" si="1409"/>
        <v>4026.2636061151079</v>
      </c>
      <c r="V250" s="659">
        <f t="shared" si="1409"/>
        <v>3652.5690821678322</v>
      </c>
      <c r="W250" s="659">
        <f t="shared" si="1409"/>
        <v>4799.3552413793104</v>
      </c>
      <c r="X250" s="659">
        <f t="shared" si="1409"/>
        <v>5341.7797278797998</v>
      </c>
      <c r="Y250" s="659">
        <f t="shared" si="1409"/>
        <v>7418.8051764697675</v>
      </c>
      <c r="Z250" s="659">
        <f t="shared" si="1409"/>
        <v>5728.3414716553452</v>
      </c>
      <c r="AA250" s="659">
        <f t="shared" si="1409"/>
        <v>5916.5268451746488</v>
      </c>
      <c r="AB250" s="659">
        <f t="shared" si="1409"/>
        <v>6526.9131704525089</v>
      </c>
      <c r="AC250" s="659">
        <f t="shared" si="1409"/>
        <v>6967.342280320896</v>
      </c>
      <c r="AD250" s="659">
        <f t="shared" si="1409"/>
        <v>6674.8606279334035</v>
      </c>
      <c r="AE250" s="2139">
        <f t="shared" si="1409"/>
        <v>7130.0128524245956</v>
      </c>
      <c r="AF250" s="659">
        <f t="shared" si="1409"/>
        <v>7511.3829333963986</v>
      </c>
      <c r="AG250" s="659">
        <f t="shared" si="1409"/>
        <v>8168.7046882176164</v>
      </c>
      <c r="AH250" s="659">
        <f t="shared" ref="AH250:BM250" si="1410">+AH192+AH108+AH41</f>
        <v>8173.1512238564628</v>
      </c>
      <c r="AI250" s="659">
        <f t="shared" si="1410"/>
        <v>8346.1051952679882</v>
      </c>
      <c r="AJ250" s="659">
        <f t="shared" si="1410"/>
        <v>8581.6801012607611</v>
      </c>
      <c r="AK250" s="659">
        <f t="shared" si="1410"/>
        <v>9403.5847616299943</v>
      </c>
      <c r="AL250" s="659">
        <f t="shared" si="1410"/>
        <v>10639.390878798698</v>
      </c>
      <c r="AM250" s="966">
        <f t="shared" si="1410"/>
        <v>10852.795510230244</v>
      </c>
      <c r="AN250" s="966">
        <f t="shared" si="1410"/>
        <v>10690.147096026616</v>
      </c>
      <c r="AO250" s="966">
        <f t="shared" si="1410"/>
        <v>11524.943857721861</v>
      </c>
      <c r="AP250" s="966">
        <f t="shared" si="1410"/>
        <v>13114.615929025498</v>
      </c>
      <c r="AQ250" s="966">
        <f t="shared" si="1410"/>
        <v>13933.316258591265</v>
      </c>
      <c r="AR250" s="966">
        <f t="shared" si="1410"/>
        <v>14631.098409185832</v>
      </c>
      <c r="AS250" s="966">
        <f t="shared" si="1410"/>
        <v>14823.403362470843</v>
      </c>
      <c r="AT250" s="966">
        <f t="shared" si="1410"/>
        <v>11773.429388914954</v>
      </c>
      <c r="AU250" s="966">
        <f t="shared" si="1410"/>
        <v>5011.4846580413305</v>
      </c>
      <c r="AV250" s="966">
        <f t="shared" si="1410"/>
        <v>9595.4039045444733</v>
      </c>
      <c r="AW250" s="966">
        <f t="shared" si="1410"/>
        <v>10987.170734251265</v>
      </c>
      <c r="AX250" s="966">
        <f t="shared" si="1410"/>
        <v>9996.003007323332</v>
      </c>
      <c r="AY250" s="966">
        <f t="shared" si="1410"/>
        <v>12227.255529889046</v>
      </c>
      <c r="AZ250" s="966">
        <f t="shared" si="1410"/>
        <v>13619.136741214243</v>
      </c>
      <c r="BA250" s="966">
        <f t="shared" si="1410"/>
        <v>16398.174956459359</v>
      </c>
      <c r="BB250" s="966">
        <f t="shared" si="1410"/>
        <v>14930.831916463796</v>
      </c>
      <c r="BC250" s="966">
        <f t="shared" si="1410"/>
        <v>16626.73480577569</v>
      </c>
      <c r="BD250" s="966">
        <f t="shared" si="1410"/>
        <v>17161.335785626812</v>
      </c>
      <c r="BE250" s="966">
        <f t="shared" si="1410"/>
        <v>18789.863514003999</v>
      </c>
      <c r="BF250" s="966">
        <f t="shared" si="1410"/>
        <v>17141.939120575968</v>
      </c>
      <c r="BG250" s="966">
        <f t="shared" si="1410"/>
        <v>18394.894172629331</v>
      </c>
      <c r="BH250" s="966">
        <f t="shared" si="1410"/>
        <v>18843.899665846599</v>
      </c>
      <c r="BI250" s="966">
        <f t="shared" si="1410"/>
        <v>19372.222237976839</v>
      </c>
      <c r="BJ250" s="966">
        <f t="shared" si="1410"/>
        <v>17565.264565257239</v>
      </c>
      <c r="BK250" s="1363">
        <f t="shared" ref="BK250" si="1411">+BK192+BK108+BK41</f>
        <v>18647.124658612593</v>
      </c>
      <c r="BL250" s="660">
        <f t="shared" si="1410"/>
        <v>19402.999841464167</v>
      </c>
      <c r="BM250" s="660">
        <f t="shared" si="1410"/>
        <v>20110.776035953713</v>
      </c>
      <c r="BN250" s="660">
        <f t="shared" ref="BN250:CW250" si="1412">+BN192+BN108+BN41</f>
        <v>19194.261308185611</v>
      </c>
      <c r="BO250" s="660">
        <f t="shared" si="1412"/>
        <v>20720.549706001213</v>
      </c>
      <c r="BP250" s="660">
        <f t="shared" si="1412"/>
        <v>21148.137322149196</v>
      </c>
      <c r="BQ250" s="660">
        <f t="shared" si="1412"/>
        <v>21740.280595498087</v>
      </c>
      <c r="BR250" s="660">
        <f t="shared" si="1412"/>
        <v>20670.508993913809</v>
      </c>
      <c r="BS250" s="660">
        <f t="shared" si="1412"/>
        <v>22069.501203304018</v>
      </c>
      <c r="BT250" s="660">
        <f t="shared" si="1412"/>
        <v>22508.943154729412</v>
      </c>
      <c r="BU250" s="660">
        <f t="shared" si="1412"/>
        <v>23127.885063596528</v>
      </c>
      <c r="BV250" s="660">
        <f t="shared" si="1412"/>
        <v>21886.191969032916</v>
      </c>
      <c r="BW250" s="660">
        <f t="shared" si="1412"/>
        <v>23327.893135231141</v>
      </c>
      <c r="BX250" s="660">
        <f t="shared" si="1412"/>
        <v>23796.058702233295</v>
      </c>
      <c r="BY250" s="660">
        <f t="shared" si="1412"/>
        <v>24476.060339686821</v>
      </c>
      <c r="BZ250" s="660">
        <f t="shared" si="1412"/>
        <v>23023.371725564313</v>
      </c>
      <c r="CA250" s="660">
        <f t="shared" si="1412"/>
        <v>24515.729614003965</v>
      </c>
      <c r="CB250" s="660">
        <f t="shared" si="1412"/>
        <v>25020.799566962196</v>
      </c>
      <c r="CC250" s="660">
        <f t="shared" si="1412"/>
        <v>25768.593996283013</v>
      </c>
      <c r="CD250" s="660">
        <f t="shared" si="1412"/>
        <v>24215.429609197228</v>
      </c>
      <c r="CE250" s="660">
        <f t="shared" si="1412"/>
        <v>25759.280681008378</v>
      </c>
      <c r="CF250" s="660">
        <f t="shared" si="1412"/>
        <v>26302.794185774801</v>
      </c>
      <c r="CG250" s="660">
        <f t="shared" si="1412"/>
        <v>27122.405949963351</v>
      </c>
      <c r="CH250" s="660">
        <f t="shared" si="1412"/>
        <v>25457.034365659012</v>
      </c>
      <c r="CI250" s="660">
        <f t="shared" si="1412"/>
        <v>27042.179466325575</v>
      </c>
      <c r="CJ250" s="660">
        <f t="shared" si="1412"/>
        <v>27614.314904500538</v>
      </c>
      <c r="CK250" s="660">
        <f t="shared" si="1412"/>
        <v>28491.742064307786</v>
      </c>
      <c r="CL250" s="660">
        <f t="shared" si="1412"/>
        <v>26708.781453722288</v>
      </c>
      <c r="CM250" s="660">
        <f t="shared" si="1412"/>
        <v>28346.193651965303</v>
      </c>
      <c r="CN250" s="660">
        <f t="shared" si="1412"/>
        <v>28961.12712301662</v>
      </c>
      <c r="CO250" s="660">
        <f t="shared" si="1412"/>
        <v>29916.016683414804</v>
      </c>
      <c r="CP250" s="660">
        <f t="shared" si="1412"/>
        <v>28018.313420028844</v>
      </c>
      <c r="CQ250" s="660">
        <f t="shared" si="1412"/>
        <v>29709.298297804926</v>
      </c>
      <c r="CR250" s="660">
        <f t="shared" si="1412"/>
        <v>30369.668146716074</v>
      </c>
      <c r="CS250" s="660">
        <f t="shared" si="1412"/>
        <v>31408.129780268373</v>
      </c>
      <c r="CT250" s="660">
        <f t="shared" si="1412"/>
        <v>29390.384785566668</v>
      </c>
      <c r="CU250" s="660">
        <f t="shared" si="1412"/>
        <v>31136.760411585616</v>
      </c>
      <c r="CV250" s="660">
        <f t="shared" si="1412"/>
        <v>31845.36554195494</v>
      </c>
      <c r="CW250" s="660">
        <f t="shared" si="1412"/>
        <v>32956.252669448826</v>
      </c>
    </row>
    <row r="251" spans="1:101" s="9" customFormat="1" ht="11.25">
      <c r="A251" s="665" t="s">
        <v>950</v>
      </c>
      <c r="B251" s="347"/>
      <c r="C251" s="347"/>
      <c r="D251" s="347"/>
      <c r="E251" s="347"/>
      <c r="F251" s="347">
        <f t="shared" ref="F251:AK251" si="1413">F250/B250-1</f>
        <v>1.4870480660474694E-2</v>
      </c>
      <c r="G251" s="347">
        <f t="shared" si="1413"/>
        <v>6.7006883025427566E-2</v>
      </c>
      <c r="H251" s="347">
        <f t="shared" si="1413"/>
        <v>9.2427015331435936E-2</v>
      </c>
      <c r="I251" s="347">
        <f t="shared" si="1413"/>
        <v>8.0544967198731499E-2</v>
      </c>
      <c r="J251" s="347">
        <f t="shared" si="1413"/>
        <v>0.14600911286726403</v>
      </c>
      <c r="K251" s="347">
        <f t="shared" si="1413"/>
        <v>0.18205186535656903</v>
      </c>
      <c r="L251" s="347">
        <f t="shared" si="1413"/>
        <v>0.20209180399357862</v>
      </c>
      <c r="M251" s="347">
        <f t="shared" si="1413"/>
        <v>0.1655510357113017</v>
      </c>
      <c r="N251" s="347">
        <f t="shared" si="1413"/>
        <v>0.24809646398585028</v>
      </c>
      <c r="O251" s="347">
        <f t="shared" si="1413"/>
        <v>0.33941863655874083</v>
      </c>
      <c r="P251" s="347">
        <f t="shared" si="1413"/>
        <v>0.2933023035516471</v>
      </c>
      <c r="Q251" s="347">
        <f t="shared" si="1413"/>
        <v>0.26383948405066393</v>
      </c>
      <c r="R251" s="347">
        <f t="shared" si="1413"/>
        <v>0.16574746086145731</v>
      </c>
      <c r="S251" s="347">
        <f t="shared" si="1413"/>
        <v>0.14830561235061079</v>
      </c>
      <c r="T251" s="347">
        <f t="shared" si="1413"/>
        <v>0.19812529667303069</v>
      </c>
      <c r="U251" s="347">
        <f t="shared" si="1413"/>
        <v>0.26097589978506863</v>
      </c>
      <c r="V251" s="347">
        <f t="shared" si="1413"/>
        <v>0.19882002961198486</v>
      </c>
      <c r="W251" s="347">
        <f t="shared" si="1413"/>
        <v>0.38817182571107156</v>
      </c>
      <c r="X251" s="347">
        <f t="shared" si="1413"/>
        <v>0.43639244421134249</v>
      </c>
      <c r="Y251" s="347">
        <f t="shared" si="1413"/>
        <v>0.84260294462639052</v>
      </c>
      <c r="Z251" s="347">
        <f t="shared" si="1413"/>
        <v>0.56830475831973137</v>
      </c>
      <c r="AA251" s="347">
        <f t="shared" si="1413"/>
        <v>0.23277535160624385</v>
      </c>
      <c r="AB251" s="347">
        <f t="shared" si="1413"/>
        <v>0.22186115919143279</v>
      </c>
      <c r="AC251" s="347">
        <f t="shared" si="1413"/>
        <v>-6.0853855224663023E-2</v>
      </c>
      <c r="AD251" s="347">
        <f t="shared" si="1413"/>
        <v>0.1652344157487069</v>
      </c>
      <c r="AE251" s="2140">
        <f t="shared" si="1413"/>
        <v>0.20510107348530515</v>
      </c>
      <c r="AF251" s="347">
        <f t="shared" si="1413"/>
        <v>0.15083236703693381</v>
      </c>
      <c r="AG251" s="347">
        <f t="shared" si="1413"/>
        <v>0.17242764307560177</v>
      </c>
      <c r="AH251" s="347">
        <f t="shared" si="1413"/>
        <v>0.2244676974456834</v>
      </c>
      <c r="AI251" s="347">
        <f t="shared" si="1413"/>
        <v>0.17055962843459027</v>
      </c>
      <c r="AJ251" s="347">
        <f t="shared" si="1413"/>
        <v>0.14249002844811831</v>
      </c>
      <c r="AK251" s="347">
        <f t="shared" si="1413"/>
        <v>0.15117207936204924</v>
      </c>
      <c r="AL251" s="347">
        <f t="shared" ref="AL251:BQ251" si="1414">AL250/AH250-1</f>
        <v>0.30174893225315258</v>
      </c>
      <c r="AM251" s="347">
        <f t="shared" si="1414"/>
        <v>0.30034252580275167</v>
      </c>
      <c r="AN251" s="347">
        <f t="shared" si="1414"/>
        <v>0.24569396317349246</v>
      </c>
      <c r="AO251" s="347">
        <f t="shared" si="1414"/>
        <v>0.22559046893986356</v>
      </c>
      <c r="AP251" s="347">
        <f t="shared" si="1414"/>
        <v>0.23264725193612579</v>
      </c>
      <c r="AQ251" s="347">
        <f t="shared" si="1414"/>
        <v>0.28384582990227814</v>
      </c>
      <c r="AR251" s="347">
        <f t="shared" si="1414"/>
        <v>0.36865267407068836</v>
      </c>
      <c r="AS251" s="347">
        <f t="shared" si="1414"/>
        <v>0.286201785055896</v>
      </c>
      <c r="AT251" s="347">
        <f t="shared" si="1414"/>
        <v>-0.10226655110365879</v>
      </c>
      <c r="AU251" s="347">
        <f t="shared" si="1414"/>
        <v>-0.64032362683569644</v>
      </c>
      <c r="AV251" s="347">
        <f t="shared" si="1414"/>
        <v>-0.3441774748422034</v>
      </c>
      <c r="AW251" s="347">
        <f t="shared" si="1414"/>
        <v>-0.25879567157512295</v>
      </c>
      <c r="AX251" s="347">
        <f t="shared" si="1414"/>
        <v>-0.15096929899330125</v>
      </c>
      <c r="AY251" s="347">
        <f t="shared" si="1414"/>
        <v>1.4398469444118582</v>
      </c>
      <c r="AZ251" s="347">
        <f t="shared" si="1414"/>
        <v>0.41933960015628857</v>
      </c>
      <c r="BA251" s="347">
        <f t="shared" ref="BA251:BK251" si="1415">BA250/AW250-1</f>
        <v>0.49248385713529497</v>
      </c>
      <c r="BB251" s="347">
        <f t="shared" si="1415"/>
        <v>0.49368021453425737</v>
      </c>
      <c r="BC251" s="347">
        <f t="shared" si="1415"/>
        <v>0.35980922007659766</v>
      </c>
      <c r="BD251" s="347">
        <f t="shared" si="1415"/>
        <v>0.26008983621503434</v>
      </c>
      <c r="BE251" s="347">
        <f t="shared" si="1415"/>
        <v>0.14585089888936298</v>
      </c>
      <c r="BF251" s="347">
        <f t="shared" si="1415"/>
        <v>0.1480900204679183</v>
      </c>
      <c r="BG251" s="347">
        <f t="shared" si="1415"/>
        <v>0.10634435368749795</v>
      </c>
      <c r="BH251" s="347">
        <f t="shared" si="1415"/>
        <v>9.8043876143312225E-2</v>
      </c>
      <c r="BI251" s="347">
        <f t="shared" si="1415"/>
        <v>3.0993238643740595E-2</v>
      </c>
      <c r="BJ251" s="347">
        <f t="shared" si="1415"/>
        <v>2.4695306738847345E-2</v>
      </c>
      <c r="BK251" s="1364">
        <f t="shared" si="1415"/>
        <v>1.3711983532830985E-2</v>
      </c>
      <c r="BL251" s="380">
        <f t="shared" si="1414"/>
        <v>2.9670088757206781E-2</v>
      </c>
      <c r="BM251" s="380">
        <f t="shared" si="1414"/>
        <v>3.8124371530749324E-2</v>
      </c>
      <c r="BN251" s="380">
        <f t="shared" si="1414"/>
        <v>9.2739664516662268E-2</v>
      </c>
      <c r="BO251" s="380">
        <f t="shared" si="1414"/>
        <v>0.11119274876681651</v>
      </c>
      <c r="BP251" s="380">
        <f t="shared" si="1414"/>
        <v>8.9941632476627342E-2</v>
      </c>
      <c r="BQ251" s="380">
        <f t="shared" si="1414"/>
        <v>8.1026438593477135E-2</v>
      </c>
      <c r="BR251" s="380">
        <f t="shared" ref="BR251:CK251" si="1416">BR250/BN250-1</f>
        <v>7.6910888208999939E-2</v>
      </c>
      <c r="BS251" s="380">
        <f t="shared" si="1416"/>
        <v>6.5102109569617816E-2</v>
      </c>
      <c r="BT251" s="380">
        <f t="shared" si="1416"/>
        <v>6.4346368280623789E-2</v>
      </c>
      <c r="BU251" s="380">
        <f t="shared" si="1416"/>
        <v>6.3826428642590027E-2</v>
      </c>
      <c r="BV251" s="380">
        <f t="shared" si="1416"/>
        <v>5.8812435411099484E-2</v>
      </c>
      <c r="BW251" s="380">
        <f t="shared" si="1416"/>
        <v>5.7019500365451448E-2</v>
      </c>
      <c r="BX251" s="380">
        <f t="shared" si="1416"/>
        <v>5.7182406950698761E-2</v>
      </c>
      <c r="BY251" s="380">
        <f t="shared" si="1416"/>
        <v>5.8292198892510472E-2</v>
      </c>
      <c r="BZ251" s="380">
        <f t="shared" si="1416"/>
        <v>5.1958776480641733E-2</v>
      </c>
      <c r="CA251" s="380">
        <f t="shared" si="1416"/>
        <v>5.0919149530005647E-2</v>
      </c>
      <c r="CB251" s="380">
        <f t="shared" si="1416"/>
        <v>5.1468223374905309E-2</v>
      </c>
      <c r="CC251" s="380">
        <f t="shared" si="1416"/>
        <v>5.2808076081607203E-2</v>
      </c>
      <c r="CD251" s="380">
        <f t="shared" si="1416"/>
        <v>5.1775990842787722E-2</v>
      </c>
      <c r="CE251" s="380">
        <f t="shared" si="1416"/>
        <v>5.0724619931118431E-2</v>
      </c>
      <c r="CF251" s="380">
        <f t="shared" si="1416"/>
        <v>5.1237156325945943E-2</v>
      </c>
      <c r="CG251" s="380">
        <f t="shared" si="1416"/>
        <v>5.2537284489624136E-2</v>
      </c>
      <c r="CH251" s="380">
        <f t="shared" si="1416"/>
        <v>5.1273290480471578E-2</v>
      </c>
      <c r="CI251" s="380">
        <f t="shared" si="1416"/>
        <v>4.9803362182510025E-2</v>
      </c>
      <c r="CJ251" s="380">
        <f t="shared" si="1416"/>
        <v>4.9862410413987091E-2</v>
      </c>
      <c r="CK251" s="380">
        <f t="shared" si="1416"/>
        <v>5.0487265653004654E-2</v>
      </c>
      <c r="CL251" s="380">
        <f t="shared" ref="CL251" si="1417">CL250/CH250-1</f>
        <v>4.9170970588461538E-2</v>
      </c>
      <c r="CM251" s="380">
        <f t="shared" ref="CM251" si="1418">CM250/CI250-1</f>
        <v>4.8221489960288189E-2</v>
      </c>
      <c r="CN251" s="380">
        <f t="shared" ref="CN251" si="1419">CN250/CJ250-1</f>
        <v>4.8772248131949247E-2</v>
      </c>
      <c r="CO251" s="380">
        <f t="shared" ref="CO251" si="1420">CO250/CK250-1</f>
        <v>4.9989032467454342E-2</v>
      </c>
      <c r="CP251" s="380">
        <f t="shared" ref="CP251" si="1421">CP250/CL250-1</f>
        <v>4.9030015411805739E-2</v>
      </c>
      <c r="CQ251" s="380">
        <f t="shared" ref="CQ251" si="1422">CQ250/CM250-1</f>
        <v>4.8087749014059211E-2</v>
      </c>
      <c r="CR251" s="380">
        <f t="shared" ref="CR251" si="1423">CR250/CN250-1</f>
        <v>4.863557339175606E-2</v>
      </c>
      <c r="CS251" s="380">
        <f t="shared" ref="CS251" si="1424">CS250/CO250-1</f>
        <v>4.9876730336254393E-2</v>
      </c>
      <c r="CT251" s="380">
        <f t="shared" ref="CT251" si="1425">CT250/CP250-1</f>
        <v>4.8970519565856518E-2</v>
      </c>
      <c r="CU251" s="380">
        <f t="shared" ref="CU251" si="1426">CU250/CQ250-1</f>
        <v>4.8047654962155573E-2</v>
      </c>
      <c r="CV251" s="380">
        <f t="shared" ref="CV251" si="1427">CV250/CR250-1</f>
        <v>4.8591159709410192E-2</v>
      </c>
      <c r="CW251" s="380">
        <f t="shared" ref="CW251" si="1428">CW250/CS250-1</f>
        <v>4.9290514908437277E-2</v>
      </c>
    </row>
    <row r="252" spans="1:101" s="9" customFormat="1" ht="11.25">
      <c r="A252" s="665"/>
      <c r="B252" s="347"/>
      <c r="C252" s="347"/>
      <c r="D252" s="347"/>
      <c r="E252" s="347"/>
      <c r="F252" s="347"/>
      <c r="G252" s="347"/>
      <c r="H252" s="347"/>
      <c r="I252" s="347"/>
      <c r="J252" s="347"/>
      <c r="K252" s="347"/>
      <c r="L252" s="347"/>
      <c r="M252" s="347"/>
      <c r="N252" s="347"/>
      <c r="O252" s="347"/>
      <c r="P252" s="347"/>
      <c r="Q252" s="347"/>
      <c r="R252" s="347"/>
      <c r="S252" s="347"/>
      <c r="T252" s="347"/>
      <c r="U252" s="347"/>
      <c r="V252" s="347"/>
      <c r="W252" s="347"/>
      <c r="X252" s="347"/>
      <c r="Y252" s="347"/>
      <c r="Z252" s="347"/>
      <c r="AA252" s="347"/>
      <c r="AB252" s="347"/>
      <c r="AC252" s="347"/>
      <c r="AD252" s="347"/>
      <c r="AE252" s="2140"/>
      <c r="AF252" s="347"/>
      <c r="AG252" s="347"/>
      <c r="AH252" s="347"/>
      <c r="AI252" s="347"/>
      <c r="AJ252" s="347"/>
      <c r="AK252" s="347"/>
      <c r="AL252" s="347"/>
      <c r="AM252" s="347"/>
      <c r="AN252" s="347"/>
      <c r="AO252" s="347"/>
      <c r="AP252" s="347"/>
      <c r="AQ252" s="347"/>
      <c r="AR252" s="347"/>
      <c r="AS252" s="347"/>
      <c r="AT252" s="347"/>
      <c r="AU252" s="347"/>
      <c r="AV252" s="347"/>
      <c r="AW252" s="347"/>
      <c r="AX252" s="347"/>
      <c r="AY252" s="347"/>
      <c r="AZ252" s="347"/>
      <c r="BA252" s="347"/>
      <c r="BB252" s="347"/>
      <c r="BC252" s="347"/>
      <c r="BD252" s="347"/>
      <c r="BE252" s="347"/>
      <c r="BF252" s="347"/>
      <c r="BG252" s="347"/>
      <c r="BH252" s="347"/>
      <c r="BI252" s="347"/>
      <c r="BJ252" s="347"/>
      <c r="BK252" s="1364"/>
      <c r="BL252" s="380"/>
      <c r="BM252" s="380"/>
      <c r="BN252" s="380"/>
      <c r="BO252" s="380"/>
      <c r="BP252" s="380"/>
      <c r="BQ252" s="380"/>
      <c r="BR252" s="380"/>
      <c r="BS252" s="380"/>
      <c r="BT252" s="380"/>
      <c r="BU252" s="380"/>
      <c r="BV252" s="380"/>
      <c r="BW252" s="380"/>
      <c r="BX252" s="380"/>
      <c r="BY252" s="380"/>
      <c r="BZ252" s="380"/>
      <c r="CA252" s="380"/>
      <c r="CB252" s="380"/>
      <c r="CC252" s="380"/>
      <c r="CD252" s="380"/>
      <c r="CE252" s="380"/>
      <c r="CF252" s="380"/>
      <c r="CG252" s="380"/>
      <c r="CH252" s="380"/>
      <c r="CI252" s="380"/>
      <c r="CJ252" s="380"/>
      <c r="CK252" s="380"/>
      <c r="CL252" s="380"/>
      <c r="CM252" s="380"/>
      <c r="CN252" s="380"/>
      <c r="CO252" s="380"/>
      <c r="CP252" s="380"/>
      <c r="CQ252" s="380"/>
      <c r="CR252" s="380"/>
      <c r="CS252" s="380"/>
      <c r="CT252" s="380"/>
      <c r="CU252" s="380"/>
      <c r="CV252" s="380"/>
      <c r="CW252" s="380"/>
    </row>
    <row r="253" spans="1:101" s="9" customFormat="1" ht="11.25">
      <c r="A253" s="879" t="s">
        <v>759</v>
      </c>
      <c r="B253" s="671">
        <f t="shared" ref="B253:T253" si="1429">+B195</f>
        <v>0</v>
      </c>
      <c r="C253" s="671">
        <f t="shared" si="1429"/>
        <v>0</v>
      </c>
      <c r="D253" s="671">
        <f t="shared" si="1429"/>
        <v>0</v>
      </c>
      <c r="E253" s="671">
        <f t="shared" si="1429"/>
        <v>0</v>
      </c>
      <c r="F253" s="671">
        <f t="shared" si="1429"/>
        <v>0</v>
      </c>
      <c r="G253" s="671" t="str">
        <f t="shared" si="1429"/>
        <v>NA</v>
      </c>
      <c r="H253" s="671" t="str">
        <f t="shared" si="1429"/>
        <v>NA</v>
      </c>
      <c r="I253" s="671" t="str">
        <f t="shared" si="1429"/>
        <v>NA</v>
      </c>
      <c r="J253" s="671" t="str">
        <f t="shared" si="1429"/>
        <v>NA</v>
      </c>
      <c r="K253" s="671" t="str">
        <f t="shared" si="1429"/>
        <v>NA</v>
      </c>
      <c r="L253" s="671" t="str">
        <f t="shared" si="1429"/>
        <v>NA</v>
      </c>
      <c r="M253" s="671" t="str">
        <f t="shared" si="1429"/>
        <v>NA</v>
      </c>
      <c r="N253" s="671" t="str">
        <f t="shared" si="1429"/>
        <v>NA</v>
      </c>
      <c r="O253" s="671" t="str">
        <f t="shared" si="1429"/>
        <v>NA</v>
      </c>
      <c r="P253" s="671" t="str">
        <f t="shared" si="1429"/>
        <v>NA</v>
      </c>
      <c r="Q253" s="671" t="str">
        <f t="shared" si="1429"/>
        <v>NA</v>
      </c>
      <c r="R253" s="671" t="str">
        <f t="shared" si="1429"/>
        <v>NA</v>
      </c>
      <c r="S253" s="671" t="str">
        <f t="shared" si="1429"/>
        <v>NA</v>
      </c>
      <c r="T253" s="671" t="str">
        <f t="shared" si="1429"/>
        <v>NA</v>
      </c>
      <c r="U253" s="671">
        <f t="shared" ref="U253:AC253" si="1430">+U195+U44</f>
        <v>3338.2041779494289</v>
      </c>
      <c r="V253" s="671">
        <f t="shared" si="1430"/>
        <v>3075.5566154993885</v>
      </c>
      <c r="W253" s="671">
        <f t="shared" si="1430"/>
        <v>3373.0306706398273</v>
      </c>
      <c r="X253" s="671">
        <f t="shared" si="1430"/>
        <v>3482.4795841645373</v>
      </c>
      <c r="Y253" s="671">
        <f t="shared" si="1430"/>
        <v>3917.3165869930899</v>
      </c>
      <c r="Z253" s="671">
        <f t="shared" si="1430"/>
        <v>3841.5623814430778</v>
      </c>
      <c r="AA253" s="671">
        <f t="shared" si="1430"/>
        <v>5220.1462265265045</v>
      </c>
      <c r="AB253" s="671">
        <f t="shared" si="1430"/>
        <v>6051.8327134996143</v>
      </c>
      <c r="AC253" s="671">
        <f t="shared" si="1430"/>
        <v>6603.4628461348011</v>
      </c>
      <c r="AD253" s="671">
        <f t="shared" ref="AD253:BI253" si="1431">+AD195+AD111+AD44</f>
        <v>6365.7486671800416</v>
      </c>
      <c r="AE253" s="2141">
        <f t="shared" si="1431"/>
        <v>6729.9052315353692</v>
      </c>
      <c r="AF253" s="671">
        <f t="shared" si="1431"/>
        <v>7434.8203583426966</v>
      </c>
      <c r="AG253" s="671">
        <f t="shared" si="1431"/>
        <v>8052.5524451642068</v>
      </c>
      <c r="AH253" s="671">
        <f t="shared" si="1431"/>
        <v>7575.2519421932266</v>
      </c>
      <c r="AI253" s="671">
        <f t="shared" si="1431"/>
        <v>7626.0175268924177</v>
      </c>
      <c r="AJ253" s="671">
        <f t="shared" si="1431"/>
        <v>7761.0997252959878</v>
      </c>
      <c r="AK253" s="671">
        <f t="shared" si="1431"/>
        <v>8581.3149777204853</v>
      </c>
      <c r="AL253" s="671">
        <f t="shared" si="1431"/>
        <v>8765.1253430908455</v>
      </c>
      <c r="AM253" s="967">
        <f t="shared" si="1431"/>
        <v>8710.2676215872489</v>
      </c>
      <c r="AN253" s="967">
        <f t="shared" si="1431"/>
        <v>8194.9457659126492</v>
      </c>
      <c r="AO253" s="967">
        <f t="shared" si="1431"/>
        <v>8384.5770355763507</v>
      </c>
      <c r="AP253" s="967">
        <f t="shared" si="1431"/>
        <v>9577.5430793328524</v>
      </c>
      <c r="AQ253" s="967">
        <f t="shared" si="1431"/>
        <v>10535.643372184599</v>
      </c>
      <c r="AR253" s="967">
        <f t="shared" si="1431"/>
        <v>10624.364702076207</v>
      </c>
      <c r="AS253" s="967">
        <f t="shared" si="1431"/>
        <v>11231.887659502543</v>
      </c>
      <c r="AT253" s="967">
        <f t="shared" si="1431"/>
        <v>12859.362936590753</v>
      </c>
      <c r="AU253" s="967">
        <f t="shared" si="1431"/>
        <v>8900.7443685396684</v>
      </c>
      <c r="AV253" s="967">
        <f t="shared" si="1431"/>
        <v>10900.448449941752</v>
      </c>
      <c r="AW253" s="967">
        <f t="shared" si="1431"/>
        <v>11637.884741225884</v>
      </c>
      <c r="AX253" s="967">
        <f t="shared" si="1431"/>
        <v>10069.484796524343</v>
      </c>
      <c r="AY253" s="967">
        <f t="shared" si="1431"/>
        <v>8530.7174082830643</v>
      </c>
      <c r="AZ253" s="967">
        <f t="shared" si="1431"/>
        <v>12816.578530834169</v>
      </c>
      <c r="BA253" s="967">
        <f t="shared" si="1431"/>
        <v>15841.547449878512</v>
      </c>
      <c r="BB253" s="967">
        <f t="shared" si="1431"/>
        <v>14386.04280628603</v>
      </c>
      <c r="BC253" s="967">
        <f t="shared" si="1431"/>
        <v>16049.882830363116</v>
      </c>
      <c r="BD253" s="967">
        <f t="shared" si="1431"/>
        <v>16439.112121733207</v>
      </c>
      <c r="BE253" s="967">
        <f t="shared" si="1431"/>
        <v>17623.182270663769</v>
      </c>
      <c r="BF253" s="967">
        <f t="shared" si="1431"/>
        <v>15715.737969981354</v>
      </c>
      <c r="BG253" s="967">
        <f t="shared" si="1431"/>
        <v>17195.041909584812</v>
      </c>
      <c r="BH253" s="967">
        <f t="shared" si="1431"/>
        <v>17852.571815273535</v>
      </c>
      <c r="BI253" s="967">
        <f t="shared" si="1431"/>
        <v>18687.181461015814</v>
      </c>
      <c r="BJ253" s="967">
        <f t="shared" ref="BJ253:CO253" si="1432">+BJ195+BJ111+BJ44</f>
        <v>16550.030933246529</v>
      </c>
      <c r="BK253" s="1366">
        <f t="shared" ref="BK253" si="1433">+BK195+BK111+BK44</f>
        <v>17081.754502439762</v>
      </c>
      <c r="BL253" s="422">
        <f t="shared" si="1432"/>
        <v>18153.363500259271</v>
      </c>
      <c r="BM253" s="422">
        <f t="shared" si="1432"/>
        <v>19570.998315667184</v>
      </c>
      <c r="BN253" s="422">
        <f t="shared" si="1432"/>
        <v>18764.955669818915</v>
      </c>
      <c r="BO253" s="422">
        <f t="shared" si="1432"/>
        <v>20307.665001625704</v>
      </c>
      <c r="BP253" s="422">
        <f t="shared" si="1432"/>
        <v>20780.220528880913</v>
      </c>
      <c r="BQ253" s="422">
        <f t="shared" si="1432"/>
        <v>21350.627670458354</v>
      </c>
      <c r="BR253" s="422">
        <f t="shared" si="1432"/>
        <v>20287.509666396356</v>
      </c>
      <c r="BS253" s="422">
        <f t="shared" si="1432"/>
        <v>21681.846604170722</v>
      </c>
      <c r="BT253" s="422">
        <f t="shared" si="1432"/>
        <v>22135.105770913819</v>
      </c>
      <c r="BU253" s="422">
        <f t="shared" si="1432"/>
        <v>22768.757193135098</v>
      </c>
      <c r="BV253" s="422">
        <f t="shared" si="1432"/>
        <v>21567.275639729523</v>
      </c>
      <c r="BW253" s="422">
        <f t="shared" si="1432"/>
        <v>22995.581711413179</v>
      </c>
      <c r="BX253" s="422">
        <f t="shared" si="1432"/>
        <v>23464.021920487252</v>
      </c>
      <c r="BY253" s="422">
        <f t="shared" si="1432"/>
        <v>24150.407074687919</v>
      </c>
      <c r="BZ253" s="422">
        <f t="shared" si="1432"/>
        <v>22733.179669391207</v>
      </c>
      <c r="CA253" s="422">
        <f t="shared" si="1432"/>
        <v>24207.952222887099</v>
      </c>
      <c r="CB253" s="422">
        <f t="shared" si="1432"/>
        <v>24708.601147351274</v>
      </c>
      <c r="CC253" s="422">
        <f t="shared" si="1432"/>
        <v>25447.531200896257</v>
      </c>
      <c r="CD253" s="422">
        <f t="shared" si="1432"/>
        <v>23915.264493649105</v>
      </c>
      <c r="CE253" s="422">
        <f t="shared" si="1432"/>
        <v>25441.190754968633</v>
      </c>
      <c r="CF253" s="422">
        <f t="shared" si="1432"/>
        <v>25979.955558482558</v>
      </c>
      <c r="CG253" s="422">
        <f t="shared" si="1432"/>
        <v>26790.03290547269</v>
      </c>
      <c r="CH253" s="422">
        <f t="shared" si="1432"/>
        <v>25152.430628648497</v>
      </c>
      <c r="CI253" s="422">
        <f t="shared" si="1432"/>
        <v>26731.559764621183</v>
      </c>
      <c r="CJ253" s="422">
        <f t="shared" si="1432"/>
        <v>27311.714411933674</v>
      </c>
      <c r="CK253" s="422">
        <f t="shared" si="1432"/>
        <v>28197.863392819636</v>
      </c>
      <c r="CL253" s="422">
        <f t="shared" si="1432"/>
        <v>26442.865756691332</v>
      </c>
      <c r="CM253" s="422">
        <f t="shared" si="1432"/>
        <v>28064.168964448771</v>
      </c>
      <c r="CN253" s="422">
        <f t="shared" si="1432"/>
        <v>28674.722472302623</v>
      </c>
      <c r="CO253" s="422">
        <f t="shared" si="1432"/>
        <v>29621.7000416298</v>
      </c>
      <c r="CP253" s="422">
        <f t="shared" ref="CP253:CW253" si="1434">+CP195+CP111+CP44</f>
        <v>27743.202078298906</v>
      </c>
      <c r="CQ253" s="422">
        <f t="shared" si="1434"/>
        <v>29417.759745958967</v>
      </c>
      <c r="CR253" s="422">
        <f t="shared" si="1434"/>
        <v>30073.434612131838</v>
      </c>
      <c r="CS253" s="422">
        <f t="shared" si="1434"/>
        <v>31103.355423906374</v>
      </c>
      <c r="CT253" s="422">
        <f t="shared" si="1434"/>
        <v>29105.720079031544</v>
      </c>
      <c r="CU253" s="422">
        <f t="shared" si="1434"/>
        <v>30835.340956161446</v>
      </c>
      <c r="CV253" s="422">
        <f t="shared" si="1434"/>
        <v>31538.919938676972</v>
      </c>
      <c r="CW253" s="422">
        <f t="shared" si="1434"/>
        <v>32656.249001709944</v>
      </c>
    </row>
    <row r="254" spans="1:101" s="9" customFormat="1" ht="11.25">
      <c r="A254" s="881" t="s">
        <v>757</v>
      </c>
      <c r="B254" s="657"/>
      <c r="C254" s="657"/>
      <c r="D254" s="657"/>
      <c r="E254" s="657"/>
      <c r="F254" s="657" t="str">
        <f t="shared" ref="F254:AZ254" si="1435">IF(ISERROR(F253/B253-1),"NM",F253/B253-1)</f>
        <v>NM</v>
      </c>
      <c r="G254" s="657" t="str">
        <f t="shared" si="1435"/>
        <v>NM</v>
      </c>
      <c r="H254" s="657" t="str">
        <f t="shared" si="1435"/>
        <v>NM</v>
      </c>
      <c r="I254" s="657" t="str">
        <f t="shared" si="1435"/>
        <v>NM</v>
      </c>
      <c r="J254" s="657" t="str">
        <f t="shared" si="1435"/>
        <v>NM</v>
      </c>
      <c r="K254" s="657" t="str">
        <f t="shared" si="1435"/>
        <v>NM</v>
      </c>
      <c r="L254" s="657" t="str">
        <f t="shared" si="1435"/>
        <v>NM</v>
      </c>
      <c r="M254" s="657" t="str">
        <f t="shared" si="1435"/>
        <v>NM</v>
      </c>
      <c r="N254" s="657" t="str">
        <f t="shared" si="1435"/>
        <v>NM</v>
      </c>
      <c r="O254" s="657" t="str">
        <f t="shared" si="1435"/>
        <v>NM</v>
      </c>
      <c r="P254" s="657" t="str">
        <f t="shared" si="1435"/>
        <v>NM</v>
      </c>
      <c r="Q254" s="657" t="str">
        <f t="shared" si="1435"/>
        <v>NM</v>
      </c>
      <c r="R254" s="657" t="str">
        <f t="shared" si="1435"/>
        <v>NM</v>
      </c>
      <c r="S254" s="657" t="str">
        <f t="shared" si="1435"/>
        <v>NM</v>
      </c>
      <c r="T254" s="657" t="str">
        <f t="shared" si="1435"/>
        <v>NM</v>
      </c>
      <c r="U254" s="657" t="str">
        <f t="shared" si="1435"/>
        <v>NM</v>
      </c>
      <c r="V254" s="657" t="str">
        <f t="shared" si="1435"/>
        <v>NM</v>
      </c>
      <c r="W254" s="657" t="str">
        <f t="shared" si="1435"/>
        <v>NM</v>
      </c>
      <c r="X254" s="657" t="str">
        <f t="shared" si="1435"/>
        <v>NM</v>
      </c>
      <c r="Y254" s="657">
        <f t="shared" si="1435"/>
        <v>0.17348022414836062</v>
      </c>
      <c r="Z254" s="657">
        <f t="shared" si="1435"/>
        <v>0.24906248257091845</v>
      </c>
      <c r="AA254" s="657">
        <f t="shared" si="1435"/>
        <v>0.54761303298090058</v>
      </c>
      <c r="AB254" s="657">
        <f t="shared" si="1435"/>
        <v>0.73779416856264968</v>
      </c>
      <c r="AC254" s="657">
        <f t="shared" si="1435"/>
        <v>0.68571079193871887</v>
      </c>
      <c r="AD254" s="657">
        <f t="shared" si="1435"/>
        <v>0.65707283524282034</v>
      </c>
      <c r="AE254" s="2138">
        <f t="shared" si="1435"/>
        <v>0.28921776124525556</v>
      </c>
      <c r="AF254" s="657">
        <f t="shared" si="1435"/>
        <v>0.22852377293213988</v>
      </c>
      <c r="AG254" s="657">
        <f t="shared" si="1435"/>
        <v>0.21944389372578965</v>
      </c>
      <c r="AH254" s="657">
        <f t="shared" si="1435"/>
        <v>0.19000173243550034</v>
      </c>
      <c r="AI254" s="657">
        <f t="shared" si="1435"/>
        <v>0.13315377624605995</v>
      </c>
      <c r="AJ254" s="657">
        <f t="shared" si="1435"/>
        <v>4.3885306063537799E-2</v>
      </c>
      <c r="AK254" s="657">
        <f t="shared" si="1435"/>
        <v>6.5663966320867129E-2</v>
      </c>
      <c r="AL254" s="657">
        <f t="shared" si="1435"/>
        <v>0.15707377259232391</v>
      </c>
      <c r="AM254" s="715">
        <f t="shared" si="1435"/>
        <v>0.1421777606557193</v>
      </c>
      <c r="AN254" s="715">
        <f t="shared" si="1435"/>
        <v>5.5900072924280897E-2</v>
      </c>
      <c r="AO254" s="715">
        <f t="shared" si="1435"/>
        <v>-2.292631638098841E-2</v>
      </c>
      <c r="AP254" s="715">
        <f t="shared" si="1435"/>
        <v>9.2687520650506006E-2</v>
      </c>
      <c r="AQ254" s="715">
        <f t="shared" si="1435"/>
        <v>0.2095659777517509</v>
      </c>
      <c r="AR254" s="715">
        <f t="shared" si="1435"/>
        <v>0.296453326911432</v>
      </c>
      <c r="AS254" s="715">
        <f t="shared" si="1435"/>
        <v>0.3395890587974626</v>
      </c>
      <c r="AT254" s="715">
        <f t="shared" si="1435"/>
        <v>0.34265780170069493</v>
      </c>
      <c r="AU254" s="715">
        <f t="shared" si="1435"/>
        <v>-0.15517789905087964</v>
      </c>
      <c r="AV254" s="715">
        <f t="shared" si="1435"/>
        <v>2.5985906508988021E-2</v>
      </c>
      <c r="AW254" s="715">
        <f t="shared" si="1435"/>
        <v>3.6146825362863622E-2</v>
      </c>
      <c r="AX254" s="715">
        <f t="shared" si="1435"/>
        <v>-0.21695306010284032</v>
      </c>
      <c r="AY254" s="715">
        <f t="shared" si="1435"/>
        <v>-4.1572585947360907E-2</v>
      </c>
      <c r="AZ254" s="715">
        <f t="shared" si="1435"/>
        <v>0.17578451837939357</v>
      </c>
      <c r="BA254" s="715">
        <f t="shared" ref="BA254:BK254" si="1436">IF(ISERROR(BA253/AW253-1),"NM",BA253/AW253-1)</f>
        <v>0.36120504731943526</v>
      </c>
      <c r="BB254" s="715">
        <f t="shared" si="1436"/>
        <v>0.4286771465459307</v>
      </c>
      <c r="BC254" s="715">
        <f t="shared" si="1436"/>
        <v>0.88142240121319371</v>
      </c>
      <c r="BD254" s="715">
        <f t="shared" si="1436"/>
        <v>0.28264435646252495</v>
      </c>
      <c r="BE254" s="715">
        <f t="shared" si="1436"/>
        <v>0.11246595867116005</v>
      </c>
      <c r="BF254" s="715">
        <f t="shared" si="1436"/>
        <v>9.2429529204119287E-2</v>
      </c>
      <c r="BG254" s="715">
        <f t="shared" si="1436"/>
        <v>7.1349996216501177E-2</v>
      </c>
      <c r="BH254" s="715">
        <f t="shared" si="1436"/>
        <v>8.5981510623780899E-2</v>
      </c>
      <c r="BI254" s="715">
        <f t="shared" si="1436"/>
        <v>6.0374975076052051E-2</v>
      </c>
      <c r="BJ254" s="715">
        <f t="shared" si="1436"/>
        <v>5.3086464336498773E-2</v>
      </c>
      <c r="BK254" s="1361">
        <f t="shared" si="1436"/>
        <v>-6.5883763320112587E-3</v>
      </c>
      <c r="BL254" s="461">
        <f t="shared" ref="BL254:BQ254" si="1437">BL253/BH253-1</f>
        <v>1.684864724803381E-2</v>
      </c>
      <c r="BM254" s="461">
        <f t="shared" si="1437"/>
        <v>4.7295353582087252E-2</v>
      </c>
      <c r="BN254" s="461">
        <f t="shared" si="1437"/>
        <v>0.1338320602243066</v>
      </c>
      <c r="BO254" s="461">
        <f t="shared" si="1437"/>
        <v>0.18885123883060073</v>
      </c>
      <c r="BP254" s="461">
        <f t="shared" si="1437"/>
        <v>0.14470359878950934</v>
      </c>
      <c r="BQ254" s="461">
        <f t="shared" si="1437"/>
        <v>9.093196606973919E-2</v>
      </c>
      <c r="BR254" s="461">
        <f t="shared" ref="BR254:CK254" si="1438">BR253/BN253-1</f>
        <v>8.113816112159955E-2</v>
      </c>
      <c r="BS254" s="461">
        <f t="shared" si="1438"/>
        <v>6.7668124446361055E-2</v>
      </c>
      <c r="BT254" s="461">
        <f t="shared" si="1438"/>
        <v>6.5200715273923571E-2</v>
      </c>
      <c r="BU254" s="461">
        <f t="shared" si="1438"/>
        <v>6.6420975746719124E-2</v>
      </c>
      <c r="BV254" s="461">
        <f t="shared" si="1438"/>
        <v>6.3081472017875839E-2</v>
      </c>
      <c r="BW254" s="461">
        <f t="shared" si="1438"/>
        <v>6.0591476880467621E-2</v>
      </c>
      <c r="BX254" s="461">
        <f t="shared" si="1438"/>
        <v>6.0036584569641782E-2</v>
      </c>
      <c r="BY254" s="461">
        <f t="shared" si="1438"/>
        <v>6.0681831240635198E-2</v>
      </c>
      <c r="BZ254" s="461">
        <f t="shared" si="1438"/>
        <v>5.4058938603907203E-2</v>
      </c>
      <c r="CA254" s="461">
        <f t="shared" si="1438"/>
        <v>5.2721889217188123E-2</v>
      </c>
      <c r="CB254" s="461">
        <f t="shared" si="1438"/>
        <v>5.304202455493523E-2</v>
      </c>
      <c r="CC254" s="461">
        <f t="shared" si="1438"/>
        <v>5.3710238597504123E-2</v>
      </c>
      <c r="CD254" s="461">
        <f t="shared" si="1438"/>
        <v>5.1998217647023726E-2</v>
      </c>
      <c r="CE254" s="461">
        <f t="shared" si="1438"/>
        <v>5.0943529660290032E-2</v>
      </c>
      <c r="CF254" s="461">
        <f t="shared" si="1438"/>
        <v>5.1453920986845203E-2</v>
      </c>
      <c r="CG254" s="461">
        <f t="shared" si="1438"/>
        <v>5.2755675746225306E-2</v>
      </c>
      <c r="CH254" s="461">
        <f t="shared" si="1438"/>
        <v>5.1731233636489016E-2</v>
      </c>
      <c r="CI254" s="461">
        <f t="shared" si="1438"/>
        <v>5.0719678260363832E-2</v>
      </c>
      <c r="CJ254" s="461">
        <f t="shared" si="1438"/>
        <v>5.1261013532268862E-2</v>
      </c>
      <c r="CK254" s="461">
        <f t="shared" si="1438"/>
        <v>5.2550532218993862E-2</v>
      </c>
      <c r="CL254" s="461">
        <f t="shared" ref="CL254" si="1439">CL253/CH253-1</f>
        <v>5.130458948858152E-2</v>
      </c>
      <c r="CM254" s="461">
        <f t="shared" ref="CM254" si="1440">CM253/CI253-1</f>
        <v>4.9851531731091692E-2</v>
      </c>
      <c r="CN254" s="461">
        <f t="shared" ref="CN254" si="1441">CN253/CJ253-1</f>
        <v>4.9905620709529419E-2</v>
      </c>
      <c r="CO254" s="461">
        <f t="shared" ref="CO254" si="1442">CO253/CK253-1</f>
        <v>5.0494487081341521E-2</v>
      </c>
      <c r="CP254" s="461">
        <f t="shared" ref="CP254" si="1443">CP253/CL253-1</f>
        <v>4.9175317591230616E-2</v>
      </c>
      <c r="CQ254" s="461">
        <f t="shared" ref="CQ254" si="1444">CQ253/CM253-1</f>
        <v>4.8231992303955362E-2</v>
      </c>
      <c r="CR254" s="461">
        <f t="shared" ref="CR254" si="1445">CR253/CN253-1</f>
        <v>4.8778576363912585E-2</v>
      </c>
      <c r="CS254" s="461">
        <f t="shared" ref="CS254" si="1446">CS253/CO253-1</f>
        <v>5.0019255484806235E-2</v>
      </c>
      <c r="CT254" s="461">
        <f t="shared" ref="CT254" si="1447">CT253/CP253-1</f>
        <v>4.9111778694010955E-2</v>
      </c>
      <c r="CU254" s="461">
        <f t="shared" ref="CU254" si="1448">CU253/CQ253-1</f>
        <v>4.8187938933630381E-2</v>
      </c>
      <c r="CV254" s="461">
        <f t="shared" ref="CV254" si="1449">CV253/CR253-1</f>
        <v>4.8730228038334822E-2</v>
      </c>
      <c r="CW254" s="461">
        <f t="shared" ref="CW254" si="1450">CW253/CS253-1</f>
        <v>4.9926882699285802E-2</v>
      </c>
    </row>
    <row r="255" spans="1:101" s="9" customFormat="1" ht="11.25">
      <c r="A255" s="881" t="s">
        <v>756</v>
      </c>
      <c r="B255" s="657"/>
      <c r="C255" s="657"/>
      <c r="D255" s="657"/>
      <c r="E255" s="657"/>
      <c r="F255" s="657"/>
      <c r="G255" s="657"/>
      <c r="H255" s="657"/>
      <c r="I255" s="657"/>
      <c r="J255" s="657"/>
      <c r="K255" s="657"/>
      <c r="L255" s="657"/>
      <c r="M255" s="657"/>
      <c r="N255" s="657"/>
      <c r="O255" s="657"/>
      <c r="P255" s="657"/>
      <c r="Q255" s="657"/>
      <c r="R255" s="657"/>
      <c r="S255" s="657"/>
      <c r="T255" s="657"/>
      <c r="U255" s="657"/>
      <c r="V255" s="657"/>
      <c r="W255" s="657"/>
      <c r="X255" s="657"/>
      <c r="Y255" s="657">
        <f t="shared" ref="Y255:BQ255" si="1451">+Y253/(U238*U230)-1</f>
        <v>0.18880051561108946</v>
      </c>
      <c r="Z255" s="657">
        <f t="shared" si="1451"/>
        <v>0.27561565624982265</v>
      </c>
      <c r="AA255" s="657">
        <f t="shared" si="1451"/>
        <v>0.40252291776393423</v>
      </c>
      <c r="AB255" s="657">
        <f t="shared" si="1451"/>
        <v>0.34463192915691132</v>
      </c>
      <c r="AC255" s="657">
        <f t="shared" si="1451"/>
        <v>0.1697511986023077</v>
      </c>
      <c r="AD255" s="657">
        <f t="shared" si="1451"/>
        <v>0.11851414530258064</v>
      </c>
      <c r="AE255" s="2138">
        <f t="shared" si="1451"/>
        <v>0.12607615104908043</v>
      </c>
      <c r="AF255" s="657">
        <f t="shared" si="1451"/>
        <v>0.1802764708346265</v>
      </c>
      <c r="AG255" s="657">
        <f t="shared" si="1451"/>
        <v>0.17110041518404673</v>
      </c>
      <c r="AH255" s="657">
        <f t="shared" si="1451"/>
        <v>0.15446468317029627</v>
      </c>
      <c r="AI255" s="657">
        <f t="shared" si="1451"/>
        <v>8.8051566528688285E-2</v>
      </c>
      <c r="AJ255" s="657">
        <f t="shared" si="1451"/>
        <v>4.4282643468303462E-2</v>
      </c>
      <c r="AK255" s="657">
        <f t="shared" si="1451"/>
        <v>5.998872585104742E-2</v>
      </c>
      <c r="AL255" s="657">
        <f t="shared" si="1451"/>
        <v>0.11150303158508867</v>
      </c>
      <c r="AM255" s="715">
        <f t="shared" si="1451"/>
        <v>7.6159679260261681E-2</v>
      </c>
      <c r="AN255" s="715">
        <f t="shared" si="1451"/>
        <v>-3.5200738971385981E-4</v>
      </c>
      <c r="AO255" s="715">
        <f t="shared" si="1451"/>
        <v>-7.5250313806980329E-2</v>
      </c>
      <c r="AP255" s="715">
        <f t="shared" si="1451"/>
        <v>9.9494932358377808E-2</v>
      </c>
      <c r="AQ255" s="715">
        <f t="shared" si="1451"/>
        <v>0.18460690485088471</v>
      </c>
      <c r="AR255" s="715">
        <f t="shared" si="1451"/>
        <v>0.18644415558178418</v>
      </c>
      <c r="AS255" s="715">
        <f t="shared" si="1451"/>
        <v>0.15357818380138255</v>
      </c>
      <c r="AT255" s="715">
        <f t="shared" si="1451"/>
        <v>0.31848648675998503</v>
      </c>
      <c r="AU255" s="715">
        <f t="shared" si="1451"/>
        <v>-0.19953975747724328</v>
      </c>
      <c r="AV255" s="715">
        <f t="shared" si="1451"/>
        <v>-1.0865850622018947E-2</v>
      </c>
      <c r="AW255" s="715">
        <f t="shared" si="1451"/>
        <v>-4.7338657915089288E-2</v>
      </c>
      <c r="AX255" s="715">
        <f t="shared" si="1451"/>
        <v>4.9936323955032336E-2</v>
      </c>
      <c r="AY255" s="715">
        <f t="shared" si="1451"/>
        <v>1.0635303406575543</v>
      </c>
      <c r="AZ255" s="715">
        <f t="shared" si="1451"/>
        <v>0.6394519471627047</v>
      </c>
      <c r="BA255" s="715">
        <f t="shared" ref="BA255:BK255" si="1452">+BA253/(AW238*AW230)-1</f>
        <v>0.77662448709450183</v>
      </c>
      <c r="BB255" s="715">
        <f t="shared" si="1452"/>
        <v>0.79802924345275028</v>
      </c>
      <c r="BC255" s="715">
        <f t="shared" si="1452"/>
        <v>0.65120230114606459</v>
      </c>
      <c r="BD255" s="715">
        <f t="shared" si="1452"/>
        <v>0.51952685507522944</v>
      </c>
      <c r="BE255" s="715">
        <f t="shared" si="1452"/>
        <v>0.37005134420729457</v>
      </c>
      <c r="BF255" s="715">
        <f t="shared" si="1452"/>
        <v>0.34484461015878876</v>
      </c>
      <c r="BG255" s="715">
        <f t="shared" si="1452"/>
        <v>0.32435915883337096</v>
      </c>
      <c r="BH255" s="715">
        <f t="shared" si="1452"/>
        <v>0.32664029150898122</v>
      </c>
      <c r="BI255" s="715">
        <f t="shared" si="1452"/>
        <v>0.27698446707681201</v>
      </c>
      <c r="BJ255" s="715">
        <f t="shared" si="1452"/>
        <v>0.21216750883705648</v>
      </c>
      <c r="BK255" s="1361">
        <f t="shared" si="1452"/>
        <v>0.16965380864849178</v>
      </c>
      <c r="BL255" s="461">
        <f t="shared" si="1451"/>
        <v>0.21343408751503112</v>
      </c>
      <c r="BM255" s="461">
        <f t="shared" si="1451"/>
        <v>0.27699820175798751</v>
      </c>
      <c r="BN255" s="461">
        <f t="shared" si="1451"/>
        <v>0.34334417690195163</v>
      </c>
      <c r="BO255" s="461">
        <f t="shared" si="1451"/>
        <v>0.37672099040817875</v>
      </c>
      <c r="BP255" s="461">
        <f t="shared" si="1451"/>
        <v>3.672948640334317E-2</v>
      </c>
      <c r="BQ255" s="461">
        <f t="shared" si="1451"/>
        <v>2.4851602975310083E-2</v>
      </c>
      <c r="BR255" s="461">
        <f t="shared" ref="BR255:CK255" si="1453">+BR253/(BN238*BN230)-1</f>
        <v>2.1851723168022863E-2</v>
      </c>
      <c r="BS255" s="461">
        <f t="shared" si="1453"/>
        <v>1.5458102428643539E-2</v>
      </c>
      <c r="BT255" s="461">
        <f t="shared" si="1453"/>
        <v>1.0877485178120372E-2</v>
      </c>
      <c r="BU255" s="461">
        <f t="shared" si="1453"/>
        <v>8.3759333755726306E-3</v>
      </c>
      <c r="BV255" s="461">
        <f t="shared" si="1453"/>
        <v>7.4912802381466026E-3</v>
      </c>
      <c r="BW255" s="461">
        <f t="shared" si="1453"/>
        <v>1.0142479975986163E-2</v>
      </c>
      <c r="BX255" s="461">
        <f t="shared" si="1453"/>
        <v>5.251286434185154E-3</v>
      </c>
      <c r="BY255" s="461">
        <f t="shared" si="1453"/>
        <v>2.9311261794853216E-3</v>
      </c>
      <c r="BZ255" s="461">
        <f t="shared" si="1453"/>
        <v>1.7460899263084251E-3</v>
      </c>
      <c r="CA255" s="461">
        <f t="shared" si="1453"/>
        <v>4.7497307881883E-3</v>
      </c>
      <c r="CB255" s="461">
        <f t="shared" si="1453"/>
        <v>-1.809993898961304E-4</v>
      </c>
      <c r="CC255" s="461">
        <f t="shared" si="1453"/>
        <v>-3.5205401866335029E-3</v>
      </c>
      <c r="CD255" s="461">
        <f t="shared" si="1453"/>
        <v>8.2838709950516787E-4</v>
      </c>
      <c r="CE255" s="461">
        <f t="shared" si="1453"/>
        <v>3.8851218086282113E-3</v>
      </c>
      <c r="CF255" s="461">
        <f t="shared" si="1453"/>
        <v>-1.264832402428917E-3</v>
      </c>
      <c r="CG255" s="461">
        <f t="shared" si="1453"/>
        <v>-4.5720769050184851E-3</v>
      </c>
      <c r="CH255" s="461">
        <f t="shared" si="1453"/>
        <v>-2.7016932192647225E-5</v>
      </c>
      <c r="CI255" s="461">
        <f t="shared" si="1453"/>
        <v>3.1179461813328757E-3</v>
      </c>
      <c r="CJ255" s="461">
        <f t="shared" si="1453"/>
        <v>-2.2047415594443898E-3</v>
      </c>
      <c r="CK255" s="461">
        <f t="shared" si="1453"/>
        <v>-5.5475773429890518E-3</v>
      </c>
      <c r="CL255" s="461">
        <f t="shared" ref="CL255" si="1454">+CL253/(CH238*CH230)-1</f>
        <v>-1.0635073658928906E-3</v>
      </c>
      <c r="CM255" s="461">
        <f t="shared" ref="CM255" si="1455">+CM253/(CI238*CI230)-1</f>
        <v>2.1722973071913732E-3</v>
      </c>
      <c r="CN255" s="461">
        <f t="shared" ref="CN255" si="1456">+CN253/(CJ238*CJ230)-1</f>
        <v>-3.3233586328488274E-3</v>
      </c>
      <c r="CO255" s="461">
        <f t="shared" ref="CO255" si="1457">+CO253/(CK238*CK230)-1</f>
        <v>-6.8322326139326206E-3</v>
      </c>
      <c r="CP255" s="461">
        <f t="shared" ref="CP255" si="1458">+CP253/(CL238*CL230)-1</f>
        <v>-1.7231525305685391E-3</v>
      </c>
      <c r="CQ255" s="461">
        <f t="shared" ref="CQ255" si="1459">+CQ253/(CM238*CM230)-1</f>
        <v>1.5460127562159087E-3</v>
      </c>
      <c r="CR255" s="461">
        <f t="shared" ref="CR255" si="1460">+CR253/(CN238*CN230)-1</f>
        <v>-4.1494726444653018E-3</v>
      </c>
      <c r="CS255" s="461">
        <f t="shared" ref="CS255" si="1461">+CS253/(CO238*CO230)-1</f>
        <v>-7.5277217955200815E-3</v>
      </c>
      <c r="CT255" s="461">
        <f t="shared" ref="CT255" si="1462">+CT253/(CP238*CP230)-1</f>
        <v>-2.324398606653344E-3</v>
      </c>
      <c r="CU255" s="461">
        <f t="shared" ref="CU255" si="1463">+CU253/(CQ238*CQ230)-1</f>
        <v>9.8572360110615875E-4</v>
      </c>
      <c r="CV255" s="461">
        <f t="shared" ref="CV255" si="1464">+CV253/(CR238*CR230)-1</f>
        <v>-4.9399511833613241E-3</v>
      </c>
      <c r="CW255" s="461">
        <f t="shared" ref="CW255" si="1465">+CW253/(CS238*CS230)-1</f>
        <v>-8.3074714204015576E-3</v>
      </c>
    </row>
    <row r="256" spans="1:101" s="9" customFormat="1" ht="11.25">
      <c r="A256" s="881"/>
      <c r="B256" s="657"/>
      <c r="C256" s="657"/>
      <c r="D256" s="657"/>
      <c r="E256" s="657"/>
      <c r="F256" s="657"/>
      <c r="G256" s="657"/>
      <c r="H256" s="657"/>
      <c r="I256" s="657"/>
      <c r="J256" s="657"/>
      <c r="K256" s="657"/>
      <c r="L256" s="657"/>
      <c r="M256" s="657"/>
      <c r="N256" s="657"/>
      <c r="O256" s="657"/>
      <c r="P256" s="657"/>
      <c r="Q256" s="657"/>
      <c r="R256" s="657"/>
      <c r="S256" s="657"/>
      <c r="T256" s="657"/>
      <c r="U256" s="657"/>
      <c r="V256" s="657"/>
      <c r="W256" s="657"/>
      <c r="X256" s="657"/>
      <c r="Y256" s="657"/>
      <c r="Z256" s="657"/>
      <c r="AA256" s="657"/>
      <c r="AB256" s="657"/>
      <c r="AC256" s="657"/>
      <c r="AD256" s="657"/>
      <c r="AE256" s="2138"/>
      <c r="AF256" s="657"/>
      <c r="AG256" s="657"/>
      <c r="AH256" s="657"/>
      <c r="AI256" s="657"/>
      <c r="AJ256" s="657"/>
      <c r="AK256" s="657"/>
      <c r="AL256" s="657"/>
      <c r="AM256" s="715"/>
      <c r="AN256" s="715"/>
      <c r="AO256" s="715"/>
      <c r="AP256" s="715"/>
      <c r="AQ256" s="715"/>
      <c r="AR256" s="715"/>
      <c r="AS256" s="715"/>
      <c r="AT256" s="715"/>
      <c r="AU256" s="715"/>
      <c r="AV256" s="715"/>
      <c r="AW256" s="715"/>
      <c r="AX256" s="715"/>
      <c r="AY256" s="715"/>
      <c r="AZ256" s="715"/>
      <c r="BA256" s="715"/>
      <c r="BB256" s="715"/>
      <c r="BC256" s="715"/>
      <c r="BD256" s="715"/>
      <c r="BE256" s="715"/>
      <c r="BF256" s="715"/>
      <c r="BG256" s="715"/>
      <c r="BH256" s="715"/>
      <c r="BI256" s="715"/>
      <c r="BJ256" s="715"/>
      <c r="BK256" s="1361"/>
      <c r="BL256" s="461"/>
      <c r="BM256" s="461"/>
      <c r="BN256" s="461"/>
      <c r="BO256" s="461"/>
      <c r="BP256" s="461"/>
      <c r="BQ256" s="461"/>
      <c r="BR256" s="461"/>
      <c r="BS256" s="461"/>
      <c r="BT256" s="461"/>
      <c r="BU256" s="461"/>
      <c r="BV256" s="461"/>
      <c r="BW256" s="461"/>
      <c r="BX256" s="461"/>
      <c r="BY256" s="461"/>
      <c r="BZ256" s="461"/>
      <c r="CA256" s="461"/>
      <c r="CB256" s="461"/>
      <c r="CC256" s="461"/>
      <c r="CD256" s="461"/>
      <c r="CE256" s="461"/>
      <c r="CF256" s="461"/>
      <c r="CG256" s="461"/>
      <c r="CH256" s="461"/>
      <c r="CI256" s="461"/>
      <c r="CJ256" s="461"/>
      <c r="CK256" s="461"/>
      <c r="CL256" s="461"/>
      <c r="CM256" s="461"/>
      <c r="CN256" s="461"/>
      <c r="CO256" s="461"/>
      <c r="CP256" s="461"/>
      <c r="CQ256" s="461"/>
      <c r="CR256" s="461"/>
      <c r="CS256" s="461"/>
      <c r="CT256" s="461"/>
      <c r="CU256" s="461"/>
      <c r="CV256" s="461"/>
      <c r="CW256" s="461"/>
    </row>
    <row r="257" spans="1:101" s="9" customFormat="1" ht="11.25">
      <c r="A257" s="879" t="s">
        <v>758</v>
      </c>
      <c r="B257" s="671"/>
      <c r="C257" s="671"/>
      <c r="D257" s="671"/>
      <c r="E257" s="671"/>
      <c r="F257" s="671">
        <f t="shared" ref="F257:AK257" si="1466">IF(ISERROR(F250-F253),"NM",F250-F253)</f>
        <v>1827.2743004291847</v>
      </c>
      <c r="G257" s="671" t="str">
        <f t="shared" si="1466"/>
        <v>NM</v>
      </c>
      <c r="H257" s="671" t="str">
        <f t="shared" si="1466"/>
        <v>NM</v>
      </c>
      <c r="I257" s="671" t="str">
        <f t="shared" si="1466"/>
        <v>NM</v>
      </c>
      <c r="J257" s="671" t="str">
        <f t="shared" si="1466"/>
        <v>NM</v>
      </c>
      <c r="K257" s="671" t="str">
        <f t="shared" si="1466"/>
        <v>NM</v>
      </c>
      <c r="L257" s="671" t="str">
        <f t="shared" si="1466"/>
        <v>NM</v>
      </c>
      <c r="M257" s="671" t="str">
        <f t="shared" si="1466"/>
        <v>NM</v>
      </c>
      <c r="N257" s="671" t="str">
        <f t="shared" si="1466"/>
        <v>NM</v>
      </c>
      <c r="O257" s="671" t="str">
        <f t="shared" si="1466"/>
        <v>NM</v>
      </c>
      <c r="P257" s="671" t="str">
        <f t="shared" si="1466"/>
        <v>NM</v>
      </c>
      <c r="Q257" s="671" t="str">
        <f t="shared" si="1466"/>
        <v>NM</v>
      </c>
      <c r="R257" s="671" t="str">
        <f t="shared" si="1466"/>
        <v>NM</v>
      </c>
      <c r="S257" s="671" t="str">
        <f t="shared" si="1466"/>
        <v>NM</v>
      </c>
      <c r="T257" s="671" t="str">
        <f t="shared" si="1466"/>
        <v>NM</v>
      </c>
      <c r="U257" s="671">
        <f t="shared" si="1466"/>
        <v>688.05942816567904</v>
      </c>
      <c r="V257" s="671">
        <f t="shared" si="1466"/>
        <v>577.01246666844372</v>
      </c>
      <c r="W257" s="671">
        <f t="shared" si="1466"/>
        <v>1426.3245707394831</v>
      </c>
      <c r="X257" s="671">
        <f t="shared" si="1466"/>
        <v>1859.3001437152625</v>
      </c>
      <c r="Y257" s="671">
        <f t="shared" si="1466"/>
        <v>3501.4885894766776</v>
      </c>
      <c r="Z257" s="671">
        <f t="shared" si="1466"/>
        <v>1886.7790902122674</v>
      </c>
      <c r="AA257" s="671">
        <f t="shared" si="1466"/>
        <v>696.38061864814426</v>
      </c>
      <c r="AB257" s="671">
        <f t="shared" si="1466"/>
        <v>475.08045695289456</v>
      </c>
      <c r="AC257" s="671">
        <f t="shared" si="1466"/>
        <v>363.87943418609484</v>
      </c>
      <c r="AD257" s="671">
        <f t="shared" si="1466"/>
        <v>309.11196075336193</v>
      </c>
      <c r="AE257" s="2141">
        <f t="shared" si="1466"/>
        <v>400.10762088922638</v>
      </c>
      <c r="AF257" s="671">
        <f t="shared" si="1466"/>
        <v>76.562575053701948</v>
      </c>
      <c r="AG257" s="671">
        <f t="shared" si="1466"/>
        <v>116.15224305340962</v>
      </c>
      <c r="AH257" s="671">
        <f t="shared" si="1466"/>
        <v>597.89928166323625</v>
      </c>
      <c r="AI257" s="671">
        <f t="shared" si="1466"/>
        <v>720.0876683755705</v>
      </c>
      <c r="AJ257" s="671">
        <f t="shared" si="1466"/>
        <v>820.58037596477334</v>
      </c>
      <c r="AK257" s="671">
        <f t="shared" si="1466"/>
        <v>822.26978390950899</v>
      </c>
      <c r="AL257" s="671">
        <f t="shared" ref="AL257:BQ257" si="1467">IF(ISERROR(AL250-AL253),"NM",AL250-AL253)</f>
        <v>1874.2655357078529</v>
      </c>
      <c r="AM257" s="967">
        <f t="shared" si="1467"/>
        <v>2142.5278886429951</v>
      </c>
      <c r="AN257" s="967">
        <f t="shared" si="1467"/>
        <v>2495.2013301139668</v>
      </c>
      <c r="AO257" s="967">
        <f t="shared" si="1467"/>
        <v>3140.36682214551</v>
      </c>
      <c r="AP257" s="967">
        <f t="shared" si="1467"/>
        <v>3537.0728496926458</v>
      </c>
      <c r="AQ257" s="967">
        <f t="shared" si="1467"/>
        <v>3397.6728864066663</v>
      </c>
      <c r="AR257" s="967">
        <f t="shared" si="1467"/>
        <v>4006.7337071096244</v>
      </c>
      <c r="AS257" s="967">
        <f t="shared" si="1467"/>
        <v>3591.5157029682996</v>
      </c>
      <c r="AT257" s="967">
        <f t="shared" si="1467"/>
        <v>-1085.9335476757988</v>
      </c>
      <c r="AU257" s="967">
        <f t="shared" ref="AU257:BC257" si="1468">IF(ISERROR(AU250-AU253),"NM",AU250-AU253)</f>
        <v>-3889.2597104983379</v>
      </c>
      <c r="AV257" s="967">
        <f t="shared" si="1468"/>
        <v>-1305.0445453972789</v>
      </c>
      <c r="AW257" s="967">
        <f t="shared" si="1468"/>
        <v>-650.71400697461831</v>
      </c>
      <c r="AX257" s="967">
        <f t="shared" si="1468"/>
        <v>-73.481789201010542</v>
      </c>
      <c r="AY257" s="967">
        <f t="shared" si="1468"/>
        <v>3696.5381216059814</v>
      </c>
      <c r="AZ257" s="967">
        <f t="shared" si="1468"/>
        <v>802.55821038007343</v>
      </c>
      <c r="BA257" s="967">
        <f t="shared" si="1468"/>
        <v>556.62750658084769</v>
      </c>
      <c r="BB257" s="967">
        <f t="shared" si="1468"/>
        <v>544.78911017776591</v>
      </c>
      <c r="BC257" s="967">
        <f t="shared" si="1468"/>
        <v>576.85197541257367</v>
      </c>
      <c r="BD257" s="967">
        <f t="shared" ref="BD257:BG257" si="1469">IF(ISERROR(BD250-BD253),"NM",BD250-BD253)</f>
        <v>722.22366389360468</v>
      </c>
      <c r="BE257" s="967">
        <f t="shared" si="1469"/>
        <v>1166.6812433402301</v>
      </c>
      <c r="BF257" s="967">
        <f t="shared" si="1469"/>
        <v>1426.2011505946139</v>
      </c>
      <c r="BG257" s="967">
        <f t="shared" si="1469"/>
        <v>1199.8522630445186</v>
      </c>
      <c r="BH257" s="967">
        <f t="shared" ref="BH257" si="1470">IF(ISERROR(BH250-BH253),"NM",BH250-BH253)</f>
        <v>991.32785057306319</v>
      </c>
      <c r="BI257" s="967">
        <f t="shared" ref="BI257" si="1471">IF(ISERROR(BI250-BI253),"NM",BI250-BI253)</f>
        <v>685.04077696102468</v>
      </c>
      <c r="BJ257" s="967">
        <f t="shared" ref="BJ257" si="1472">IF(ISERROR(BJ250-BJ253),"NM",BJ250-BJ253)</f>
        <v>1015.2336320107097</v>
      </c>
      <c r="BK257" s="1366">
        <f t="shared" ref="BK257" si="1473">IF(ISERROR(BK250-BK253),"NM",BK250-BK253)</f>
        <v>1565.3701561728303</v>
      </c>
      <c r="BL257" s="422">
        <f t="shared" si="1467"/>
        <v>1249.6363412048959</v>
      </c>
      <c r="BM257" s="422">
        <f t="shared" si="1467"/>
        <v>539.77772028652907</v>
      </c>
      <c r="BN257" s="422">
        <f t="shared" si="1467"/>
        <v>429.30563836669535</v>
      </c>
      <c r="BO257" s="422">
        <f t="shared" si="1467"/>
        <v>412.88470437550859</v>
      </c>
      <c r="BP257" s="422">
        <f t="shared" si="1467"/>
        <v>367.91679326828307</v>
      </c>
      <c r="BQ257" s="422">
        <f t="shared" si="1467"/>
        <v>389.65292503973251</v>
      </c>
      <c r="BR257" s="422">
        <f t="shared" ref="BR257:CK257" si="1474">IF(ISERROR(BR250-BR253),"NM",BR250-BR253)</f>
        <v>382.99932751745291</v>
      </c>
      <c r="BS257" s="422">
        <f t="shared" si="1474"/>
        <v>387.65459913329687</v>
      </c>
      <c r="BT257" s="422">
        <f t="shared" si="1474"/>
        <v>373.83738381559306</v>
      </c>
      <c r="BU257" s="422">
        <f t="shared" si="1474"/>
        <v>359.12787046143058</v>
      </c>
      <c r="BV257" s="422">
        <f t="shared" si="1474"/>
        <v>318.91632930339256</v>
      </c>
      <c r="BW257" s="422">
        <f t="shared" si="1474"/>
        <v>332.31142381796235</v>
      </c>
      <c r="BX257" s="422">
        <f t="shared" si="1474"/>
        <v>332.03678174604283</v>
      </c>
      <c r="BY257" s="422">
        <f t="shared" si="1474"/>
        <v>325.65326499890216</v>
      </c>
      <c r="BZ257" s="422">
        <f t="shared" si="1474"/>
        <v>290.19205617310581</v>
      </c>
      <c r="CA257" s="422">
        <f t="shared" si="1474"/>
        <v>307.77739111686606</v>
      </c>
      <c r="CB257" s="422">
        <f t="shared" si="1474"/>
        <v>312.19841961092243</v>
      </c>
      <c r="CC257" s="422">
        <f t="shared" si="1474"/>
        <v>321.06279538675517</v>
      </c>
      <c r="CD257" s="422">
        <f t="shared" si="1474"/>
        <v>300.16511554812314</v>
      </c>
      <c r="CE257" s="422">
        <f t="shared" si="1474"/>
        <v>318.08992603974548</v>
      </c>
      <c r="CF257" s="422">
        <f t="shared" si="1474"/>
        <v>322.83862729224347</v>
      </c>
      <c r="CG257" s="422">
        <f t="shared" si="1474"/>
        <v>332.37304449066141</v>
      </c>
      <c r="CH257" s="422">
        <f t="shared" si="1474"/>
        <v>304.60373701051503</v>
      </c>
      <c r="CI257" s="422">
        <f t="shared" si="1474"/>
        <v>310.61970170439236</v>
      </c>
      <c r="CJ257" s="422">
        <f t="shared" si="1474"/>
        <v>302.60049256686398</v>
      </c>
      <c r="CK257" s="422">
        <f t="shared" si="1474"/>
        <v>293.87867148814985</v>
      </c>
      <c r="CL257" s="422">
        <f t="shared" ref="CL257:CW257" si="1475">IF(ISERROR(CL250-CL253),"NM",CL250-CL253)</f>
        <v>265.91569703095593</v>
      </c>
      <c r="CM257" s="422">
        <f t="shared" si="1475"/>
        <v>282.02468751653214</v>
      </c>
      <c r="CN257" s="422">
        <f t="shared" si="1475"/>
        <v>286.4046507139974</v>
      </c>
      <c r="CO257" s="422">
        <f t="shared" si="1475"/>
        <v>294.31664178500432</v>
      </c>
      <c r="CP257" s="422">
        <f t="shared" si="1475"/>
        <v>275.11134172993843</v>
      </c>
      <c r="CQ257" s="422">
        <f t="shared" si="1475"/>
        <v>291.53855184595886</v>
      </c>
      <c r="CR257" s="422">
        <f t="shared" si="1475"/>
        <v>296.23353458423662</v>
      </c>
      <c r="CS257" s="422">
        <f t="shared" si="1475"/>
        <v>304.7743563619988</v>
      </c>
      <c r="CT257" s="422">
        <f t="shared" si="1475"/>
        <v>284.66470653512442</v>
      </c>
      <c r="CU257" s="422">
        <f t="shared" si="1475"/>
        <v>301.41945542416943</v>
      </c>
      <c r="CV257" s="422">
        <f t="shared" si="1475"/>
        <v>306.44560327796717</v>
      </c>
      <c r="CW257" s="422">
        <f t="shared" si="1475"/>
        <v>300.00366773888163</v>
      </c>
    </row>
    <row r="258" spans="1:101" s="9" customFormat="1" ht="11.25">
      <c r="A258" s="881" t="s">
        <v>925</v>
      </c>
      <c r="B258" s="657"/>
      <c r="C258" s="657"/>
      <c r="D258" s="657"/>
      <c r="E258" s="657"/>
      <c r="F258" s="657" t="str">
        <f t="shared" ref="F258:AK258" si="1476">IF(ISERROR((F257/(F230-B230))/(F253/B230)),"NM",(F257/(F230-B230))/(F253/B230))</f>
        <v>NM</v>
      </c>
      <c r="G258" s="657" t="str">
        <f t="shared" si="1476"/>
        <v>NM</v>
      </c>
      <c r="H258" s="657" t="str">
        <f t="shared" si="1476"/>
        <v>NM</v>
      </c>
      <c r="I258" s="657" t="str">
        <f t="shared" si="1476"/>
        <v>NM</v>
      </c>
      <c r="J258" s="657" t="str">
        <f t="shared" si="1476"/>
        <v>NM</v>
      </c>
      <c r="K258" s="657" t="str">
        <f t="shared" si="1476"/>
        <v>NM</v>
      </c>
      <c r="L258" s="657" t="str">
        <f t="shared" si="1476"/>
        <v>NM</v>
      </c>
      <c r="M258" s="657" t="str">
        <f t="shared" si="1476"/>
        <v>NM</v>
      </c>
      <c r="N258" s="657" t="str">
        <f t="shared" si="1476"/>
        <v>NM</v>
      </c>
      <c r="O258" s="657" t="str">
        <f t="shared" si="1476"/>
        <v>NM</v>
      </c>
      <c r="P258" s="657" t="str">
        <f t="shared" si="1476"/>
        <v>NM</v>
      </c>
      <c r="Q258" s="657" t="str">
        <f t="shared" si="1476"/>
        <v>NM</v>
      </c>
      <c r="R258" s="657" t="str">
        <f t="shared" si="1476"/>
        <v>NM</v>
      </c>
      <c r="S258" s="657" t="str">
        <f t="shared" si="1476"/>
        <v>NM</v>
      </c>
      <c r="T258" s="657" t="str">
        <f t="shared" si="1476"/>
        <v>NM</v>
      </c>
      <c r="U258" s="657">
        <f t="shared" si="1476"/>
        <v>0.9909950344202223</v>
      </c>
      <c r="V258" s="657">
        <f t="shared" si="1476"/>
        <v>0.86050555675470997</v>
      </c>
      <c r="W258" s="657">
        <f t="shared" si="1476"/>
        <v>1.3799228028004007</v>
      </c>
      <c r="X258" s="657">
        <f t="shared" si="1476"/>
        <v>1.5101615279235818</v>
      </c>
      <c r="Y258" s="657">
        <f t="shared" si="1476"/>
        <v>2.0809098422136447</v>
      </c>
      <c r="Z258" s="657">
        <f t="shared" si="1476"/>
        <v>0.93990596287934136</v>
      </c>
      <c r="AA258" s="657">
        <f t="shared" si="1476"/>
        <v>0.37125733756203788</v>
      </c>
      <c r="AB258" s="657">
        <f t="shared" si="1476"/>
        <v>0.33007530320117534</v>
      </c>
      <c r="AC258" s="657">
        <f t="shared" si="1476"/>
        <v>0.39274183426285542</v>
      </c>
      <c r="AD258" s="657">
        <f t="shared" si="1476"/>
        <v>0.71126030635076176</v>
      </c>
      <c r="AE258" s="2138">
        <f t="shared" si="1476"/>
        <v>0.76654631546828422</v>
      </c>
      <c r="AF258" s="657">
        <f t="shared" si="1476"/>
        <v>0.13557804369066903</v>
      </c>
      <c r="AG258" s="657">
        <f t="shared" si="1476"/>
        <v>0.16687268866758123</v>
      </c>
      <c r="AH258" s="657">
        <f t="shared" si="1476"/>
        <v>0.82991235516491912</v>
      </c>
      <c r="AI258" s="657">
        <f t="shared" si="1476"/>
        <v>0.97669690142757348</v>
      </c>
      <c r="AJ258" s="657">
        <f t="shared" si="1476"/>
        <v>1.10051045520331</v>
      </c>
      <c r="AK258" s="657">
        <f t="shared" si="1476"/>
        <v>1.0729769049065876</v>
      </c>
      <c r="AL258" s="657">
        <f t="shared" ref="AL258:BQ258" si="1477">IF(ISERROR((AL257/(AL230-AH230))/(AL253/AH230)),"NM",(AL257/(AL230-AH230))/(AL253/AH230))</f>
        <v>2.7158831226765829</v>
      </c>
      <c r="AM258" s="715">
        <f t="shared" si="1477"/>
        <v>3.3336393764107064</v>
      </c>
      <c r="AN258" s="715">
        <f t="shared" si="1477"/>
        <v>3.9848223376374179</v>
      </c>
      <c r="AO258" s="715">
        <f t="shared" si="1477"/>
        <v>4.6104607290738988</v>
      </c>
      <c r="AP258" s="715">
        <f t="shared" si="1477"/>
        <v>2.2301682976643984</v>
      </c>
      <c r="AQ258" s="715">
        <f t="shared" si="1477"/>
        <v>1.3781971833154101</v>
      </c>
      <c r="AR258" s="715">
        <f t="shared" si="1477"/>
        <v>1.7932574485014927</v>
      </c>
      <c r="AS258" s="715">
        <f t="shared" si="1477"/>
        <v>1.7876407072639564</v>
      </c>
      <c r="AT258" s="715">
        <f t="shared" si="1477"/>
        <v>-1.1299886337681608</v>
      </c>
      <c r="AU258" s="715">
        <f t="shared" si="1477"/>
        <v>55.218661466049042</v>
      </c>
      <c r="AV258" s="715">
        <f t="shared" si="1477"/>
        <v>5.6843925057663789</v>
      </c>
      <c r="AW258" s="715">
        <f t="shared" si="1477"/>
        <v>1.7229898517540199</v>
      </c>
      <c r="AX258" s="715">
        <f t="shared" si="1477"/>
        <v>0.18259719852181047</v>
      </c>
      <c r="AY258" s="715">
        <f t="shared" si="1477"/>
        <v>-13.334465792873434</v>
      </c>
      <c r="AZ258" s="715">
        <f t="shared" si="1477"/>
        <v>-2.7392636428506161</v>
      </c>
      <c r="BA258" s="715">
        <f t="shared" ref="BA258:BK258" si="1478">IF(ISERROR((BA257/(BA230-AW230))/(BA253/AW230)),"NM",(BA257/(BA230-AW230))/(BA253/AW230))</f>
        <v>-3.5238345298399092</v>
      </c>
      <c r="BB258" s="715">
        <f t="shared" si="1478"/>
        <v>6.2086687643259921</v>
      </c>
      <c r="BC258" s="715">
        <f t="shared" si="1478"/>
        <v>2.426957010901829</v>
      </c>
      <c r="BD258" s="715">
        <f t="shared" si="1478"/>
        <v>1.7957716963693686</v>
      </c>
      <c r="BE258" s="715">
        <f t="shared" si="1478"/>
        <v>1.7706876832399652</v>
      </c>
      <c r="BF258" s="715">
        <f t="shared" si="1478"/>
        <v>2.1461205407444379</v>
      </c>
      <c r="BG258" s="715">
        <f t="shared" si="1478"/>
        <v>1.826066118359807</v>
      </c>
      <c r="BH258" s="715">
        <f t="shared" si="1478"/>
        <v>1.5501726837001004</v>
      </c>
      <c r="BI258" s="715">
        <f t="shared" si="1478"/>
        <v>1.06497134785367</v>
      </c>
      <c r="BJ258" s="715">
        <f t="shared" si="1478"/>
        <v>1.7148696087005364</v>
      </c>
      <c r="BK258" s="1361">
        <f t="shared" si="1478"/>
        <v>2.2666914054661595</v>
      </c>
      <c r="BL258" s="461">
        <f t="shared" si="1477"/>
        <v>0.19404299288667032</v>
      </c>
      <c r="BM258" s="461">
        <f t="shared" si="1477"/>
        <v>7.8552452241621509E-2</v>
      </c>
      <c r="BN258" s="461">
        <f t="shared" si="1477"/>
        <v>6.584257251219465E-2</v>
      </c>
      <c r="BO258" s="461">
        <f t="shared" si="1477"/>
        <v>5.9005643734553796E-2</v>
      </c>
      <c r="BP258" s="461">
        <f t="shared" si="1477"/>
        <v>0.54046676065916099</v>
      </c>
      <c r="BQ258" s="461">
        <f t="shared" si="1477"/>
        <v>0.5857939752314878</v>
      </c>
      <c r="BR258" s="461">
        <f t="shared" ref="BR258:CK258" si="1479">IF(ISERROR((BR257/(BR230-BN230))/(BR253/BN230)),"NM",(BR257/(BR230-BN230))/(BR253/BN230))</f>
        <v>0.64482771792396543</v>
      </c>
      <c r="BS258" s="461">
        <f t="shared" si="1479"/>
        <v>0.63692262581783521</v>
      </c>
      <c r="BT258" s="461">
        <f t="shared" si="1479"/>
        <v>0.62831850380983012</v>
      </c>
      <c r="BU258" s="461">
        <f t="shared" si="1479"/>
        <v>0.63330521780028848</v>
      </c>
      <c r="BV258" s="461">
        <f t="shared" si="1479"/>
        <v>0.63513583582690047</v>
      </c>
      <c r="BW258" s="461">
        <f t="shared" si="1479"/>
        <v>0.63463343285088392</v>
      </c>
      <c r="BX258" s="461">
        <f t="shared" si="1479"/>
        <v>0.63557891595511062</v>
      </c>
      <c r="BY258" s="461">
        <f t="shared" si="1479"/>
        <v>0.63866348632783076</v>
      </c>
      <c r="BZ258" s="461">
        <f t="shared" si="1479"/>
        <v>0.63567845768054976</v>
      </c>
      <c r="CA258" s="461">
        <f t="shared" si="1479"/>
        <v>0.64208338333165982</v>
      </c>
      <c r="CB258" s="461">
        <f t="shared" si="1479"/>
        <v>0.64718953942753477</v>
      </c>
      <c r="CC258" s="461">
        <f t="shared" si="1479"/>
        <v>0.65332622918374217</v>
      </c>
      <c r="CD258" s="461">
        <f t="shared" si="1479"/>
        <v>0.65367630701165003</v>
      </c>
      <c r="CE258" s="461">
        <f t="shared" si="1479"/>
        <v>0.65368956751309359</v>
      </c>
      <c r="CF258" s="461">
        <f t="shared" si="1479"/>
        <v>0.65220036271222726</v>
      </c>
      <c r="CG258" s="461">
        <f t="shared" si="1479"/>
        <v>0.65485508715473084</v>
      </c>
      <c r="CH258" s="461">
        <f t="shared" si="1479"/>
        <v>0.65271466730314176</v>
      </c>
      <c r="CI258" s="461">
        <f t="shared" si="1479"/>
        <v>0.64862749392935015</v>
      </c>
      <c r="CJ258" s="461">
        <f t="shared" si="1479"/>
        <v>0.64115869821508387</v>
      </c>
      <c r="CK258" s="461">
        <f t="shared" si="1479"/>
        <v>0.63419475219109056</v>
      </c>
      <c r="CL258" s="461">
        <f t="shared" ref="CL258" si="1480">IF(ISERROR((CL257/(CL230-CH230))/(CL253/CH230)),"NM",(CL257/(CL230-CH230))/(CL253/CH230))</f>
        <v>0.63324709269835022</v>
      </c>
      <c r="CM258" s="461">
        <f t="shared" ref="CM258" si="1481">IF(ISERROR((CM257/(CM230-CI230))/(CM253/CI230)),"NM",(CM257/(CM230-CI230))/(CM253/CI230))</f>
        <v>0.63481891909441313</v>
      </c>
      <c r="CN258" s="461">
        <f t="shared" ref="CN258" si="1482">IF(ISERROR((CN257/(CN230-CJ230))/(CN253/CJ230)),"NM",(CN257/(CN230-CJ230))/(CN253/CJ230))</f>
        <v>0.63294880034500722</v>
      </c>
      <c r="CO258" s="461">
        <f t="shared" ref="CO258" si="1483">IF(ISERROR((CO257/(CO230-CK230))/(CO253/CK230)),"NM",(CO257/(CO230-CK230))/(CO253/CK230))</f>
        <v>0.62892160321059576</v>
      </c>
      <c r="CP258" s="461">
        <f t="shared" ref="CP258" si="1484">IF(ISERROR((CP257/(CP230-CL230))/(CP253/CL230)),"NM",(CP257/(CP230-CL230))/(CP253/CL230))</f>
        <v>0.62697861541530431</v>
      </c>
      <c r="CQ258" s="461">
        <f t="shared" ref="CQ258" si="1485">IF(ISERROR((CQ257/(CQ230-CM230))/(CQ253/CM230)),"NM",(CQ257/(CQ230-CM230))/(CQ253/CM230))</f>
        <v>0.62855442805130335</v>
      </c>
      <c r="CR258" s="461">
        <f t="shared" ref="CR258" si="1486">IF(ISERROR((CR257/(CR230-CN230))/(CR253/CN230)),"NM",(CR257/(CR230-CN230))/(CR253/CN230))</f>
        <v>0.62669920270174795</v>
      </c>
      <c r="CS258" s="461">
        <f t="shared" ref="CS258" si="1487">IF(ISERROR((CS257/(CS230-CO230))/(CS253/CO230)),"NM",(CS257/(CS230-CO230))/(CS253/CO230))</f>
        <v>0.62638012106800101</v>
      </c>
      <c r="CT258" s="461">
        <f t="shared" ref="CT258" si="1488">IF(ISERROR((CT257/(CT230-CP230))/(CT253/CP230)),"NM",(CT257/(CT230-CP230))/(CT253/CP230))</f>
        <v>0.63183476906218528</v>
      </c>
      <c r="CU258" s="461">
        <f t="shared" ref="CU258" si="1489">IF(ISERROR((CU257/(CU230-CQ230))/(CU253/CQ230)),"NM",(CU257/(CU230-CQ230))/(CU253/CQ230))</f>
        <v>0.64093616314235813</v>
      </c>
      <c r="CV258" s="461">
        <f t="shared" ref="CV258" si="1490">IF(ISERROR((CV257/(CV230-CR230))/(CV253/CR230)),"NM",(CV257/(CV230-CR230))/(CV253/CR230))</f>
        <v>0.64669510534794239</v>
      </c>
      <c r="CW258" s="461">
        <f t="shared" ref="CW258" si="1491">IF(ISERROR((CW257/(CW230-CS230))/(CW253/CS230)),"NM",(CW257/(CW230-CS230))/(CW253/CS230))</f>
        <v>0.64520787169623028</v>
      </c>
    </row>
    <row r="259" spans="1:101" s="9" customFormat="1" ht="11.25">
      <c r="A259" s="662"/>
      <c r="B259" s="347"/>
      <c r="C259" s="347"/>
      <c r="D259" s="347"/>
      <c r="E259" s="347"/>
      <c r="F259" s="347"/>
      <c r="G259" s="347"/>
      <c r="H259" s="347"/>
      <c r="I259" s="347"/>
      <c r="J259" s="347"/>
      <c r="K259" s="347"/>
      <c r="L259" s="347"/>
      <c r="M259" s="347"/>
      <c r="N259" s="347"/>
      <c r="O259" s="347"/>
      <c r="P259" s="347"/>
      <c r="Q259" s="347"/>
      <c r="R259" s="347"/>
      <c r="S259" s="347"/>
      <c r="T259" s="347"/>
      <c r="U259" s="347"/>
      <c r="V259" s="347"/>
      <c r="W259" s="347"/>
      <c r="X259" s="347"/>
      <c r="Y259" s="347"/>
      <c r="Z259" s="347"/>
      <c r="AA259" s="347"/>
      <c r="AB259" s="347"/>
      <c r="AC259" s="347"/>
      <c r="AD259" s="347"/>
      <c r="AE259" s="2140"/>
      <c r="AF259" s="347"/>
      <c r="AG259" s="347"/>
      <c r="AH259" s="347"/>
      <c r="AI259" s="347"/>
      <c r="AJ259" s="347"/>
      <c r="AK259" s="347"/>
      <c r="AL259" s="347"/>
      <c r="AM259" s="347"/>
      <c r="AN259" s="347"/>
      <c r="AO259" s="347"/>
      <c r="AP259" s="347"/>
      <c r="AQ259" s="347"/>
      <c r="AR259" s="347"/>
      <c r="AS259" s="347"/>
      <c r="AT259" s="347"/>
      <c r="AU259" s="347"/>
      <c r="AV259" s="347"/>
      <c r="AW259" s="347"/>
      <c r="AX259" s="347"/>
      <c r="AY259" s="347"/>
      <c r="AZ259" s="347"/>
      <c r="BA259" s="347"/>
      <c r="BB259" s="347"/>
      <c r="BC259" s="347"/>
      <c r="BD259" s="347"/>
      <c r="BE259" s="347"/>
      <c r="BF259" s="347"/>
      <c r="BG259" s="347"/>
      <c r="BH259" s="347"/>
      <c r="BI259" s="347"/>
      <c r="BJ259" s="347"/>
      <c r="BK259" s="1364"/>
      <c r="BL259" s="380"/>
      <c r="BM259" s="380"/>
      <c r="BN259" s="380"/>
      <c r="BO259" s="380"/>
      <c r="BP259" s="380"/>
      <c r="BQ259" s="380"/>
      <c r="BR259" s="380"/>
      <c r="BS259" s="380"/>
      <c r="BT259" s="380"/>
      <c r="BU259" s="380"/>
      <c r="BV259" s="380"/>
      <c r="BW259" s="380"/>
      <c r="BX259" s="380"/>
      <c r="BY259" s="380"/>
      <c r="BZ259" s="380"/>
      <c r="CA259" s="380"/>
      <c r="CB259" s="380"/>
      <c r="CC259" s="380"/>
      <c r="CD259" s="380"/>
      <c r="CE259" s="380"/>
      <c r="CF259" s="380"/>
      <c r="CG259" s="380"/>
      <c r="CH259" s="380"/>
      <c r="CI259" s="380"/>
      <c r="CJ259" s="380"/>
      <c r="CK259" s="380"/>
      <c r="CL259" s="380"/>
      <c r="CM259" s="380"/>
      <c r="CN259" s="380"/>
      <c r="CO259" s="380"/>
      <c r="CP259" s="380"/>
      <c r="CQ259" s="380"/>
      <c r="CR259" s="380"/>
      <c r="CS259" s="380"/>
      <c r="CT259" s="380"/>
      <c r="CU259" s="380"/>
      <c r="CV259" s="380"/>
      <c r="CW259" s="380"/>
    </row>
    <row r="260" spans="1:101" s="9" customFormat="1" ht="11.25">
      <c r="A260" s="674" t="s">
        <v>744</v>
      </c>
      <c r="B260" s="658">
        <f t="shared" ref="B260:AG260" si="1492">+B52</f>
        <v>748.7</v>
      </c>
      <c r="C260" s="658">
        <f t="shared" si="1492"/>
        <v>769.7</v>
      </c>
      <c r="D260" s="658">
        <f t="shared" si="1492"/>
        <v>756</v>
      </c>
      <c r="E260" s="658">
        <f t="shared" si="1492"/>
        <v>791.09999999999991</v>
      </c>
      <c r="F260" s="658">
        <f t="shared" si="1492"/>
        <v>698.6</v>
      </c>
      <c r="G260" s="658">
        <f t="shared" si="1492"/>
        <v>708.6</v>
      </c>
      <c r="H260" s="658">
        <f t="shared" si="1492"/>
        <v>734.5</v>
      </c>
      <c r="I260" s="658">
        <f t="shared" si="1492"/>
        <v>832.2</v>
      </c>
      <c r="J260" s="658">
        <f t="shared" si="1492"/>
        <v>762.8</v>
      </c>
      <c r="K260" s="658">
        <f t="shared" si="1492"/>
        <v>821.1</v>
      </c>
      <c r="L260" s="658">
        <f t="shared" si="1492"/>
        <v>856.2</v>
      </c>
      <c r="M260" s="658">
        <f t="shared" si="1492"/>
        <v>956.5</v>
      </c>
      <c r="N260" s="658">
        <f t="shared" si="1492"/>
        <v>899.1</v>
      </c>
      <c r="O260" s="659">
        <f t="shared" si="1492"/>
        <v>1035</v>
      </c>
      <c r="P260" s="659">
        <f t="shared" si="1492"/>
        <v>1014.3</v>
      </c>
      <c r="Q260" s="659">
        <f t="shared" si="1492"/>
        <v>1085.5</v>
      </c>
      <c r="R260" s="659">
        <f t="shared" si="1492"/>
        <v>976.6</v>
      </c>
      <c r="S260" s="659">
        <f t="shared" si="1492"/>
        <v>1055</v>
      </c>
      <c r="T260" s="659">
        <f t="shared" si="1492"/>
        <v>1088.7</v>
      </c>
      <c r="U260" s="659">
        <f t="shared" si="1492"/>
        <v>1209</v>
      </c>
      <c r="V260" s="659">
        <f t="shared" si="1492"/>
        <v>1099</v>
      </c>
      <c r="W260" s="659">
        <f t="shared" si="1492"/>
        <v>1167</v>
      </c>
      <c r="X260" s="659">
        <f t="shared" si="1492"/>
        <v>1196</v>
      </c>
      <c r="Y260" s="659">
        <f t="shared" si="1492"/>
        <v>1602</v>
      </c>
      <c r="Z260" s="659">
        <f t="shared" si="1492"/>
        <v>1443</v>
      </c>
      <c r="AA260" s="659">
        <f t="shared" si="1492"/>
        <v>1663</v>
      </c>
      <c r="AB260" s="659">
        <f t="shared" si="1492"/>
        <v>1505</v>
      </c>
      <c r="AC260" s="659">
        <f t="shared" si="1492"/>
        <v>1763</v>
      </c>
      <c r="AD260" s="659">
        <f t="shared" si="1492"/>
        <v>1660</v>
      </c>
      <c r="AE260" s="2139">
        <f t="shared" si="1492"/>
        <v>1689</v>
      </c>
      <c r="AF260" s="659">
        <f t="shared" si="1492"/>
        <v>1862</v>
      </c>
      <c r="AG260" s="659">
        <f t="shared" si="1492"/>
        <v>2047</v>
      </c>
      <c r="AH260" s="659">
        <f t="shared" ref="AH260:BM260" si="1493">+AH52</f>
        <v>1696</v>
      </c>
      <c r="AI260" s="659">
        <f t="shared" si="1493"/>
        <v>1756</v>
      </c>
      <c r="AJ260" s="659">
        <f t="shared" si="1493"/>
        <v>1657</v>
      </c>
      <c r="AK260" s="659">
        <f t="shared" si="1493"/>
        <v>1917</v>
      </c>
      <c r="AL260" s="659">
        <f t="shared" si="1493"/>
        <v>222.74599999999998</v>
      </c>
      <c r="AM260" s="966">
        <f t="shared" si="1493"/>
        <v>251.47399999999999</v>
      </c>
      <c r="AN260" s="966">
        <f t="shared" si="1493"/>
        <v>224.92099999999999</v>
      </c>
      <c r="AO260" s="966">
        <f t="shared" si="1493"/>
        <v>275.28099999999995</v>
      </c>
      <c r="AP260" s="966">
        <f t="shared" si="1493"/>
        <v>249.19800000000001</v>
      </c>
      <c r="AQ260" s="966">
        <f t="shared" si="1493"/>
        <v>278.98300000000006</v>
      </c>
      <c r="AR260" s="966">
        <f t="shared" si="1493"/>
        <v>-355.69000000000005</v>
      </c>
      <c r="AS260" s="966">
        <f t="shared" si="1493"/>
        <v>63.201000000000008</v>
      </c>
      <c r="AT260" s="966">
        <f t="shared" si="1493"/>
        <v>80.198999999999998</v>
      </c>
      <c r="AU260" s="966">
        <f t="shared" si="1493"/>
        <v>74.977000000000018</v>
      </c>
      <c r="AV260" s="966">
        <f t="shared" si="1493"/>
        <v>56.966999999999999</v>
      </c>
      <c r="AW260" s="966">
        <f t="shared" si="1493"/>
        <v>62.990000000000023</v>
      </c>
      <c r="AX260" s="966">
        <f t="shared" si="1493"/>
        <v>60.007000000000005</v>
      </c>
      <c r="AY260" s="966">
        <f t="shared" si="1493"/>
        <v>69.924999999999983</v>
      </c>
      <c r="AZ260" s="966">
        <f t="shared" si="1493"/>
        <v>117.74100000000001</v>
      </c>
      <c r="BA260" s="966">
        <f t="shared" si="1493"/>
        <v>72.574999999999989</v>
      </c>
      <c r="BB260" s="966">
        <f t="shared" si="1493"/>
        <v>73.680999999999997</v>
      </c>
      <c r="BC260" s="966">
        <f t="shared" si="1493"/>
        <v>89.321000000000012</v>
      </c>
      <c r="BD260" s="966">
        <f t="shared" si="1493"/>
        <v>123.13799999999996</v>
      </c>
      <c r="BE260" s="966">
        <f t="shared" si="1493"/>
        <v>108.77100000000002</v>
      </c>
      <c r="BF260" s="966">
        <f t="shared" si="1493"/>
        <v>297.61799999999999</v>
      </c>
      <c r="BG260" s="966">
        <f t="shared" si="1493"/>
        <v>316.435</v>
      </c>
      <c r="BH260" s="966">
        <f t="shared" si="1493"/>
        <v>387.202</v>
      </c>
      <c r="BI260" s="966">
        <f t="shared" si="1493"/>
        <v>521.53499999999997</v>
      </c>
      <c r="BJ260" s="966">
        <f t="shared" si="1493"/>
        <v>402.78800000000001</v>
      </c>
      <c r="BK260" s="1363">
        <f t="shared" ref="BK260" si="1494">+BK52</f>
        <v>362.33000000000004</v>
      </c>
      <c r="BL260" s="660">
        <f t="shared" si="1493"/>
        <v>454.75868988910412</v>
      </c>
      <c r="BM260" s="660">
        <f t="shared" si="1493"/>
        <v>593.33931888766904</v>
      </c>
      <c r="BN260" s="660">
        <f t="shared" ref="BN260:CW260" si="1495">+BN52</f>
        <v>447.50233390540183</v>
      </c>
      <c r="BO260" s="660">
        <f t="shared" si="1495"/>
        <v>404.94755271273385</v>
      </c>
      <c r="BP260" s="660">
        <f t="shared" si="1495"/>
        <v>507.7662205787563</v>
      </c>
      <c r="BQ260" s="660">
        <f t="shared" si="1495"/>
        <v>662.47601110780056</v>
      </c>
      <c r="BR260" s="660">
        <f t="shared" si="1495"/>
        <v>499.01113958196316</v>
      </c>
      <c r="BS260" s="660">
        <f t="shared" si="1495"/>
        <v>451.22463381684901</v>
      </c>
      <c r="BT260" s="660">
        <f t="shared" si="1495"/>
        <v>565.38507781676424</v>
      </c>
      <c r="BU260" s="660">
        <f t="shared" si="1495"/>
        <v>734.08670785513459</v>
      </c>
      <c r="BV260" s="660">
        <f t="shared" si="1495"/>
        <v>549.87074489342479</v>
      </c>
      <c r="BW260" s="660">
        <f t="shared" si="1495"/>
        <v>496.0391237048172</v>
      </c>
      <c r="BX260" s="660">
        <f t="shared" si="1495"/>
        <v>620.09883596407326</v>
      </c>
      <c r="BY260" s="660">
        <f t="shared" si="1495"/>
        <v>803.17121593677678</v>
      </c>
      <c r="BZ260" s="660">
        <f t="shared" si="1495"/>
        <v>593.85597308927072</v>
      </c>
      <c r="CA260" s="660">
        <f t="shared" si="1495"/>
        <v>535.51681701513292</v>
      </c>
      <c r="CB260" s="660">
        <f t="shared" si="1495"/>
        <v>669.20260013704728</v>
      </c>
      <c r="CC260" s="660">
        <f t="shared" si="1495"/>
        <v>866.33293275759956</v>
      </c>
      <c r="CD260" s="660">
        <f t="shared" si="1495"/>
        <v>640.24037136009281</v>
      </c>
      <c r="CE260" s="660">
        <f t="shared" si="1495"/>
        <v>577.14475452763281</v>
      </c>
      <c r="CF260" s="660">
        <f t="shared" si="1495"/>
        <v>720.97713510433323</v>
      </c>
      <c r="CG260" s="660">
        <f t="shared" si="1495"/>
        <v>932.9232946157432</v>
      </c>
      <c r="CH260" s="660">
        <f t="shared" si="1495"/>
        <v>688.58425939989718</v>
      </c>
      <c r="CI260" s="660">
        <f t="shared" si="1495"/>
        <v>619.54037840679359</v>
      </c>
      <c r="CJ260" s="660">
        <f t="shared" si="1495"/>
        <v>772.48359241384458</v>
      </c>
      <c r="CK260" s="660">
        <f t="shared" si="1495"/>
        <v>997.6146100404427</v>
      </c>
      <c r="CL260" s="660">
        <f t="shared" si="1495"/>
        <v>735.51162148815342</v>
      </c>
      <c r="CM260" s="660">
        <f t="shared" si="1495"/>
        <v>661.63063603843034</v>
      </c>
      <c r="CN260" s="660">
        <f t="shared" si="1495"/>
        <v>824.80232405916843</v>
      </c>
      <c r="CO260" s="660">
        <f t="shared" si="1495"/>
        <v>1064.8718082070413</v>
      </c>
      <c r="CP260" s="660">
        <f t="shared" si="1495"/>
        <v>784.87465582898756</v>
      </c>
      <c r="CQ260" s="660">
        <f t="shared" si="1495"/>
        <v>705.90315463422269</v>
      </c>
      <c r="CR260" s="660">
        <f t="shared" si="1495"/>
        <v>879.83073104499692</v>
      </c>
      <c r="CS260" s="660">
        <f t="shared" si="1495"/>
        <v>1135.6068175776284</v>
      </c>
      <c r="CT260" s="660">
        <f t="shared" si="1495"/>
        <v>836.17269448001537</v>
      </c>
      <c r="CU260" s="660">
        <f t="shared" si="1495"/>
        <v>750.81363524283881</v>
      </c>
      <c r="CV260" s="660">
        <f t="shared" si="1495"/>
        <v>934.29673669064914</v>
      </c>
      <c r="CW260" s="660">
        <f t="shared" si="1495"/>
        <v>1204.7649795649218</v>
      </c>
    </row>
    <row r="261" spans="1:101" s="9" customFormat="1" ht="11.25">
      <c r="A261" s="665" t="s">
        <v>950</v>
      </c>
      <c r="B261" s="347"/>
      <c r="C261" s="347"/>
      <c r="D261" s="347"/>
      <c r="E261" s="347"/>
      <c r="F261" s="347">
        <f t="shared" ref="F261:AK261" si="1496">F260/B260-1</f>
        <v>-6.6915987712034219E-2</v>
      </c>
      <c r="G261" s="347">
        <f t="shared" si="1496"/>
        <v>-7.938157723788497E-2</v>
      </c>
      <c r="H261" s="347">
        <f t="shared" si="1496"/>
        <v>-2.8439153439153486E-2</v>
      </c>
      <c r="I261" s="347">
        <f t="shared" si="1496"/>
        <v>5.1952976867652767E-2</v>
      </c>
      <c r="J261" s="347">
        <f t="shared" si="1496"/>
        <v>9.1898081878041715E-2</v>
      </c>
      <c r="K261" s="657">
        <f t="shared" si="1496"/>
        <v>0.15876375952582555</v>
      </c>
      <c r="L261" s="657">
        <f t="shared" si="1496"/>
        <v>0.16569094622191982</v>
      </c>
      <c r="M261" s="657">
        <f t="shared" si="1496"/>
        <v>0.14936313386205224</v>
      </c>
      <c r="N261" s="657">
        <f t="shared" si="1496"/>
        <v>0.17868379653906663</v>
      </c>
      <c r="O261" s="657">
        <f t="shared" si="1496"/>
        <v>0.26050420168067223</v>
      </c>
      <c r="P261" s="657">
        <f t="shared" si="1496"/>
        <v>0.1846531184302731</v>
      </c>
      <c r="Q261" s="657">
        <f t="shared" si="1496"/>
        <v>0.13486670151594349</v>
      </c>
      <c r="R261" s="657">
        <f t="shared" si="1496"/>
        <v>8.619730841953066E-2</v>
      </c>
      <c r="S261" s="657">
        <f t="shared" si="1496"/>
        <v>1.9323671497584627E-2</v>
      </c>
      <c r="T261" s="657">
        <f t="shared" si="1496"/>
        <v>7.3351079562259835E-2</v>
      </c>
      <c r="U261" s="657">
        <f t="shared" si="1496"/>
        <v>0.11377245508982026</v>
      </c>
      <c r="V261" s="657">
        <f t="shared" si="1496"/>
        <v>0.12533278722097063</v>
      </c>
      <c r="W261" s="657">
        <f t="shared" si="1496"/>
        <v>0.10616113744075828</v>
      </c>
      <c r="X261" s="657">
        <f t="shared" si="1496"/>
        <v>9.8557913107375716E-2</v>
      </c>
      <c r="Y261" s="657">
        <f t="shared" si="1496"/>
        <v>0.32506203473945416</v>
      </c>
      <c r="Z261" s="657">
        <f t="shared" si="1496"/>
        <v>0.31301182893539581</v>
      </c>
      <c r="AA261" s="657">
        <f t="shared" si="1496"/>
        <v>0.42502142245072827</v>
      </c>
      <c r="AB261" s="657">
        <f t="shared" si="1496"/>
        <v>0.25836120401337803</v>
      </c>
      <c r="AC261" s="657">
        <f t="shared" si="1496"/>
        <v>0.10049937578027457</v>
      </c>
      <c r="AD261" s="657">
        <f t="shared" si="1496"/>
        <v>0.1503811503811503</v>
      </c>
      <c r="AE261" s="2138">
        <f t="shared" si="1496"/>
        <v>1.5634395670474976E-2</v>
      </c>
      <c r="AF261" s="657">
        <f t="shared" si="1496"/>
        <v>0.23720930232558146</v>
      </c>
      <c r="AG261" s="657">
        <f t="shared" si="1496"/>
        <v>0.16108905275099272</v>
      </c>
      <c r="AH261" s="657">
        <f t="shared" si="1496"/>
        <v>2.168674698795181E-2</v>
      </c>
      <c r="AI261" s="657">
        <f t="shared" si="1496"/>
        <v>3.9668442865600895E-2</v>
      </c>
      <c r="AJ261" s="657">
        <f t="shared" si="1496"/>
        <v>-0.11009667024704617</v>
      </c>
      <c r="AK261" s="657">
        <f t="shared" si="1496"/>
        <v>-6.3507572056668349E-2</v>
      </c>
      <c r="AL261" s="657">
        <f t="shared" ref="AL261:BQ261" si="1497">AL260/AH260-1</f>
        <v>-0.8686639150943396</v>
      </c>
      <c r="AM261" s="715">
        <f t="shared" si="1497"/>
        <v>-0.85679157175398635</v>
      </c>
      <c r="AN261" s="715">
        <f t="shared" si="1497"/>
        <v>-0.86426010863005431</v>
      </c>
      <c r="AO261" s="715">
        <f t="shared" si="1497"/>
        <v>-0.85640010432968183</v>
      </c>
      <c r="AP261" s="715">
        <f t="shared" si="1497"/>
        <v>0.11875409659432723</v>
      </c>
      <c r="AQ261" s="715">
        <f t="shared" si="1497"/>
        <v>0.10939103048426513</v>
      </c>
      <c r="AR261" s="715">
        <f t="shared" si="1497"/>
        <v>-2.5813996914472197</v>
      </c>
      <c r="AS261" s="715">
        <f t="shared" si="1497"/>
        <v>-0.77041277821571408</v>
      </c>
      <c r="AT261" s="715">
        <f t="shared" si="1497"/>
        <v>-0.67817157441070952</v>
      </c>
      <c r="AU261" s="715">
        <f t="shared" si="1497"/>
        <v>-0.73124885745726442</v>
      </c>
      <c r="AV261" s="715">
        <f t="shared" si="1497"/>
        <v>-1.1601591273299783</v>
      </c>
      <c r="AW261" s="715">
        <f t="shared" si="1497"/>
        <v>-3.3385547697027951E-3</v>
      </c>
      <c r="AX261" s="715">
        <f t="shared" si="1497"/>
        <v>-0.25177371288918804</v>
      </c>
      <c r="AY261" s="715">
        <f t="shared" si="1497"/>
        <v>-6.7380663403444174E-2</v>
      </c>
      <c r="AZ261" s="715">
        <f t="shared" si="1497"/>
        <v>1.0668281636737063</v>
      </c>
      <c r="BA261" s="715">
        <f t="shared" ref="BA261:BK261" si="1498">BA260/AW260-1</f>
        <v>0.15216701063660842</v>
      </c>
      <c r="BB261" s="715">
        <f t="shared" si="1498"/>
        <v>0.22787341476827683</v>
      </c>
      <c r="BC261" s="715">
        <f t="shared" si="1498"/>
        <v>0.27738291026099438</v>
      </c>
      <c r="BD261" s="715">
        <f t="shared" si="1498"/>
        <v>4.5837898438096714E-2</v>
      </c>
      <c r="BE261" s="715">
        <f t="shared" si="1498"/>
        <v>0.49873923527385511</v>
      </c>
      <c r="BF261" s="715">
        <f t="shared" si="1498"/>
        <v>3.039277425659261</v>
      </c>
      <c r="BG261" s="715">
        <f t="shared" si="1498"/>
        <v>2.5426719360508723</v>
      </c>
      <c r="BH261" s="715">
        <f t="shared" si="1498"/>
        <v>2.1444558138024017</v>
      </c>
      <c r="BI261" s="715">
        <f t="shared" si="1498"/>
        <v>3.7947982458559713</v>
      </c>
      <c r="BJ261" s="715">
        <f t="shared" si="1498"/>
        <v>0.35337244387100242</v>
      </c>
      <c r="BK261" s="1361">
        <f t="shared" si="1498"/>
        <v>0.14503768546462958</v>
      </c>
      <c r="BL261" s="461">
        <f t="shared" si="1497"/>
        <v>0.17447402102547027</v>
      </c>
      <c r="BM261" s="461">
        <f t="shared" si="1497"/>
        <v>0.13767881136964744</v>
      </c>
      <c r="BN261" s="461">
        <f t="shared" si="1497"/>
        <v>0.11101208056198741</v>
      </c>
      <c r="BO261" s="461">
        <f t="shared" si="1497"/>
        <v>0.11762082276580421</v>
      </c>
      <c r="BP261" s="461">
        <f t="shared" si="1497"/>
        <v>0.11656188626671082</v>
      </c>
      <c r="BQ261" s="461">
        <f t="shared" si="1497"/>
        <v>0.11652133950897081</v>
      </c>
      <c r="BR261" s="461">
        <f t="shared" ref="BR261:CK261" si="1499">BR260/BN260-1</f>
        <v>0.1151028760610886</v>
      </c>
      <c r="BS261" s="461">
        <f t="shared" si="1499"/>
        <v>0.11427919688390786</v>
      </c>
      <c r="BT261" s="461">
        <f t="shared" si="1499"/>
        <v>0.11347516810459246</v>
      </c>
      <c r="BU261" s="461">
        <f t="shared" si="1499"/>
        <v>0.1080955318330481</v>
      </c>
      <c r="BV261" s="461">
        <f t="shared" si="1499"/>
        <v>0.10192078147607742</v>
      </c>
      <c r="BW261" s="461">
        <f t="shared" si="1499"/>
        <v>9.9317471896178233E-2</v>
      </c>
      <c r="BX261" s="461">
        <f t="shared" si="1499"/>
        <v>9.6772554306856273E-2</v>
      </c>
      <c r="BY261" s="461">
        <f t="shared" si="1499"/>
        <v>9.4109466010485754E-2</v>
      </c>
      <c r="BZ261" s="461">
        <f t="shared" si="1499"/>
        <v>7.9991941023105584E-2</v>
      </c>
      <c r="CA261" s="461">
        <f t="shared" si="1499"/>
        <v>7.9585846002357075E-2</v>
      </c>
      <c r="CB261" s="461">
        <f t="shared" si="1499"/>
        <v>7.9186996209454241E-2</v>
      </c>
      <c r="CC261" s="461">
        <f t="shared" si="1499"/>
        <v>7.8640413858898306E-2</v>
      </c>
      <c r="CD261" s="461">
        <f t="shared" si="1499"/>
        <v>7.8107151182681411E-2</v>
      </c>
      <c r="CE261" s="461">
        <f t="shared" si="1499"/>
        <v>7.773413679989738E-2</v>
      </c>
      <c r="CF261" s="461">
        <f t="shared" si="1499"/>
        <v>7.7367504185851921E-2</v>
      </c>
      <c r="CG261" s="461">
        <f t="shared" si="1499"/>
        <v>7.68646317601962E-2</v>
      </c>
      <c r="CH261" s="461">
        <f t="shared" si="1499"/>
        <v>7.5508965386086535E-2</v>
      </c>
      <c r="CI261" s="461">
        <f t="shared" si="1499"/>
        <v>7.3457522651938056E-2</v>
      </c>
      <c r="CJ261" s="461">
        <f t="shared" si="1499"/>
        <v>7.1439793027635812E-2</v>
      </c>
      <c r="CK261" s="461">
        <f t="shared" si="1499"/>
        <v>6.9342587754060547E-2</v>
      </c>
      <c r="CL261" s="461">
        <f t="shared" ref="CL261" si="1500">CL260/CH260-1</f>
        <v>6.8150500752302445E-2</v>
      </c>
      <c r="CM261" s="461">
        <f t="shared" ref="CM261" si="1501">CM260/CI260-1</f>
        <v>6.7937876365501415E-2</v>
      </c>
      <c r="CN261" s="461">
        <f t="shared" ref="CN261" si="1502">CN260/CJ260-1</f>
        <v>6.7727951970913747E-2</v>
      </c>
      <c r="CO261" s="461">
        <f t="shared" ref="CO261" si="1503">CO260/CK260-1</f>
        <v>6.7418016426074701E-2</v>
      </c>
      <c r="CP261" s="461">
        <f t="shared" ref="CP261" si="1504">CP260/CL260-1</f>
        <v>6.7113874068989388E-2</v>
      </c>
      <c r="CQ261" s="461">
        <f t="shared" ref="CQ261" si="1505">CQ260/CM260-1</f>
        <v>6.6914251221614762E-2</v>
      </c>
      <c r="CR261" s="461">
        <f t="shared" ref="CR261" si="1506">CR260/CN260-1</f>
        <v>6.6717085270822984E-2</v>
      </c>
      <c r="CS261" s="461">
        <f t="shared" ref="CS261" si="1507">CS260/CO260-1</f>
        <v>6.6425844712412641E-2</v>
      </c>
      <c r="CT261" s="461">
        <f t="shared" ref="CT261" si="1508">CT260/CP260-1</f>
        <v>6.535825595852196E-2</v>
      </c>
      <c r="CU261" s="461">
        <f t="shared" ref="CU261" si="1509">CU260/CQ260-1</f>
        <v>6.362130600179472E-2</v>
      </c>
      <c r="CV261" s="461">
        <f t="shared" ref="CV261" si="1510">CV260/CR260-1</f>
        <v>6.1905095746043859E-2</v>
      </c>
      <c r="CW261" s="461">
        <f t="shared" ref="CW261" si="1511">CW260/CS260-1</f>
        <v>6.0899741809242736E-2</v>
      </c>
    </row>
    <row r="262" spans="1:101" s="9" customFormat="1" ht="11.25">
      <c r="A262" s="665"/>
      <c r="B262" s="347"/>
      <c r="C262" s="347"/>
      <c r="D262" s="347"/>
      <c r="E262" s="347"/>
      <c r="F262" s="347"/>
      <c r="G262" s="347"/>
      <c r="H262" s="347"/>
      <c r="I262" s="347"/>
      <c r="J262" s="347"/>
      <c r="K262" s="347"/>
      <c r="L262" s="347"/>
      <c r="M262" s="347"/>
      <c r="N262" s="347"/>
      <c r="O262" s="347"/>
      <c r="P262" s="347"/>
      <c r="Q262" s="347"/>
      <c r="R262" s="347"/>
      <c r="S262" s="347"/>
      <c r="T262" s="347"/>
      <c r="U262" s="347"/>
      <c r="V262" s="347"/>
      <c r="W262" s="347"/>
      <c r="X262" s="347"/>
      <c r="Y262" s="347"/>
      <c r="Z262" s="347"/>
      <c r="AA262" s="347"/>
      <c r="AB262" s="347"/>
      <c r="AC262" s="347"/>
      <c r="AD262" s="347"/>
      <c r="AE262" s="2140"/>
      <c r="AF262" s="347"/>
      <c r="AG262" s="347"/>
      <c r="AH262" s="347"/>
      <c r="AI262" s="347"/>
      <c r="AJ262" s="347"/>
      <c r="AK262" s="347"/>
      <c r="AL262" s="347"/>
      <c r="AM262" s="347"/>
      <c r="AN262" s="347"/>
      <c r="AO262" s="347"/>
      <c r="AP262" s="347"/>
      <c r="AQ262" s="347"/>
      <c r="AR262" s="347"/>
      <c r="AS262" s="347"/>
      <c r="AT262" s="347"/>
      <c r="AU262" s="347"/>
      <c r="AV262" s="347"/>
      <c r="AW262" s="347"/>
      <c r="AX262" s="347"/>
      <c r="AY262" s="347"/>
      <c r="AZ262" s="347"/>
      <c r="BA262" s="347"/>
      <c r="BB262" s="347"/>
      <c r="BC262" s="347"/>
      <c r="BD262" s="347"/>
      <c r="BE262" s="347"/>
      <c r="BF262" s="347"/>
      <c r="BG262" s="347"/>
      <c r="BH262" s="347"/>
      <c r="BI262" s="347"/>
      <c r="BJ262" s="347"/>
      <c r="BK262" s="1364"/>
      <c r="BL262" s="673"/>
      <c r="BM262" s="673"/>
      <c r="BN262" s="673"/>
      <c r="BO262" s="673"/>
      <c r="BP262" s="673"/>
      <c r="BQ262" s="673"/>
      <c r="BR262" s="673"/>
      <c r="BS262" s="673"/>
      <c r="BT262" s="673"/>
      <c r="BU262" s="673"/>
      <c r="BV262" s="673"/>
      <c r="BW262" s="673"/>
      <c r="BX262" s="673"/>
      <c r="BY262" s="673"/>
      <c r="BZ262" s="673"/>
      <c r="CA262" s="673"/>
      <c r="CB262" s="673"/>
      <c r="CC262" s="673"/>
      <c r="CD262" s="673"/>
      <c r="CE262" s="673"/>
      <c r="CF262" s="673"/>
      <c r="CG262" s="673"/>
      <c r="CH262" s="673"/>
      <c r="CI262" s="673"/>
      <c r="CJ262" s="673"/>
      <c r="CK262" s="673"/>
      <c r="CL262" s="673"/>
      <c r="CM262" s="673"/>
      <c r="CN262" s="673"/>
      <c r="CO262" s="673"/>
      <c r="CP262" s="673"/>
      <c r="CQ262" s="673"/>
      <c r="CR262" s="673"/>
      <c r="CS262" s="673"/>
      <c r="CT262" s="673"/>
      <c r="CU262" s="673"/>
      <c r="CV262" s="673"/>
      <c r="CW262" s="673"/>
    </row>
    <row r="263" spans="1:101" s="9" customFormat="1" ht="11.25">
      <c r="A263" s="674" t="s">
        <v>995</v>
      </c>
      <c r="B263" s="870">
        <f t="shared" ref="B263:AG263" si="1512">+B203+B119+B55</f>
        <v>0</v>
      </c>
      <c r="C263" s="870">
        <f t="shared" si="1512"/>
        <v>6.9767999999999999</v>
      </c>
      <c r="D263" s="870">
        <f t="shared" si="1512"/>
        <v>8.0027027027027025</v>
      </c>
      <c r="E263" s="870">
        <f t="shared" si="1512"/>
        <v>8.4072434210526321</v>
      </c>
      <c r="F263" s="870">
        <f t="shared" si="1512"/>
        <v>7.5256995708154513</v>
      </c>
      <c r="G263" s="870">
        <f t="shared" si="1512"/>
        <v>8.5555785123966928</v>
      </c>
      <c r="H263" s="870">
        <f t="shared" si="1512"/>
        <v>7.4833392857142851</v>
      </c>
      <c r="I263" s="870">
        <f t="shared" si="1512"/>
        <v>5.3346226415094335</v>
      </c>
      <c r="J263" s="870">
        <f t="shared" si="1512"/>
        <v>40.826999999999998</v>
      </c>
      <c r="K263" s="870">
        <f t="shared" si="1512"/>
        <v>60.257664335664337</v>
      </c>
      <c r="L263" s="870">
        <f t="shared" si="1512"/>
        <v>47.703685618729104</v>
      </c>
      <c r="M263" s="870">
        <f t="shared" si="1512"/>
        <v>89.391929447852746</v>
      </c>
      <c r="N263" s="870">
        <f t="shared" si="1512"/>
        <v>42.694893371757921</v>
      </c>
      <c r="O263" s="870">
        <f t="shared" si="1512"/>
        <v>63.198083565459612</v>
      </c>
      <c r="P263" s="870">
        <f t="shared" si="1512"/>
        <v>50.379238095238101</v>
      </c>
      <c r="Q263" s="870">
        <f t="shared" si="1512"/>
        <v>90.825727611940295</v>
      </c>
      <c r="R263" s="870">
        <f t="shared" si="1512"/>
        <v>53.696483253588511</v>
      </c>
      <c r="S263" s="870">
        <f t="shared" si="1512"/>
        <v>95.679261682242981</v>
      </c>
      <c r="T263" s="870">
        <f t="shared" si="1512"/>
        <v>89.614016293279036</v>
      </c>
      <c r="U263" s="870">
        <f t="shared" si="1512"/>
        <v>96.636393884892072</v>
      </c>
      <c r="V263" s="870">
        <f t="shared" si="1512"/>
        <v>71.430917832167822</v>
      </c>
      <c r="W263" s="870">
        <f t="shared" si="1512"/>
        <v>111.64475862068967</v>
      </c>
      <c r="X263" s="870">
        <f t="shared" si="1512"/>
        <v>84.220272120200335</v>
      </c>
      <c r="Y263" s="870">
        <f t="shared" si="1512"/>
        <v>213.19482353023292</v>
      </c>
      <c r="Z263" s="870">
        <f t="shared" si="1512"/>
        <v>172.65852834465483</v>
      </c>
      <c r="AA263" s="870">
        <f t="shared" si="1512"/>
        <v>182.47315482535171</v>
      </c>
      <c r="AB263" s="870">
        <f t="shared" si="1512"/>
        <v>191.08682954749133</v>
      </c>
      <c r="AC263" s="870">
        <f t="shared" si="1512"/>
        <v>227.65771967910419</v>
      </c>
      <c r="AD263" s="870">
        <f t="shared" si="1512"/>
        <v>200.13937206659591</v>
      </c>
      <c r="AE263" s="2136">
        <f t="shared" si="1512"/>
        <v>246.98714757540463</v>
      </c>
      <c r="AF263" s="870">
        <f t="shared" si="1512"/>
        <v>227.61706660360181</v>
      </c>
      <c r="AG263" s="870">
        <f t="shared" si="1512"/>
        <v>283.2953117823842</v>
      </c>
      <c r="AH263" s="870">
        <f t="shared" ref="AH263:BM263" si="1513">+AH203+AH119+AH55</f>
        <v>224.84877614353735</v>
      </c>
      <c r="AI263" s="870">
        <f t="shared" si="1513"/>
        <v>242.89480473201098</v>
      </c>
      <c r="AJ263" s="870">
        <f t="shared" si="1513"/>
        <v>237.3198987392374</v>
      </c>
      <c r="AK263" s="870">
        <f t="shared" si="1513"/>
        <v>294.41523837000494</v>
      </c>
      <c r="AL263" s="870">
        <f t="shared" si="1513"/>
        <v>216.64012120130161</v>
      </c>
      <c r="AM263" s="966">
        <f t="shared" si="1513"/>
        <v>221.93148976975752</v>
      </c>
      <c r="AN263" s="966">
        <f t="shared" si="1513"/>
        <v>195.93190397338407</v>
      </c>
      <c r="AO263" s="966">
        <f t="shared" si="1513"/>
        <v>227.77514227813782</v>
      </c>
      <c r="AP263" s="966">
        <f t="shared" si="1513"/>
        <v>327.57207097450015</v>
      </c>
      <c r="AQ263" s="966">
        <f t="shared" si="1513"/>
        <v>368.98174140873436</v>
      </c>
      <c r="AR263" s="966">
        <f t="shared" si="1513"/>
        <v>215.4145908141673</v>
      </c>
      <c r="AS263" s="966">
        <f t="shared" si="1513"/>
        <v>506.3186375291582</v>
      </c>
      <c r="AT263" s="966">
        <f t="shared" si="1513"/>
        <v>271.16361108504634</v>
      </c>
      <c r="AU263" s="966">
        <f t="shared" si="1513"/>
        <v>111.17834195866905</v>
      </c>
      <c r="AV263" s="966">
        <f t="shared" si="1513"/>
        <v>241.98009545552679</v>
      </c>
      <c r="AW263" s="966">
        <f t="shared" si="1513"/>
        <v>247.02226574873453</v>
      </c>
      <c r="AX263" s="966">
        <f t="shared" si="1513"/>
        <v>167.9199926766683</v>
      </c>
      <c r="AY263" s="966">
        <f t="shared" si="1513"/>
        <v>179.08847011095406</v>
      </c>
      <c r="AZ263" s="966">
        <f t="shared" si="1513"/>
        <v>221.56425878575831</v>
      </c>
      <c r="BA263" s="966">
        <f t="shared" si="1513"/>
        <v>261.68804354063843</v>
      </c>
      <c r="BB263" s="966">
        <f t="shared" si="1513"/>
        <v>223.81708353620402</v>
      </c>
      <c r="BC263" s="966">
        <f t="shared" si="1513"/>
        <v>223.68419422431043</v>
      </c>
      <c r="BD263" s="966">
        <f t="shared" si="1513"/>
        <v>233.4632143731842</v>
      </c>
      <c r="BE263" s="966">
        <f t="shared" si="1513"/>
        <v>247.07048599599833</v>
      </c>
      <c r="BF263" s="966">
        <f t="shared" si="1513"/>
        <v>225.97587942403192</v>
      </c>
      <c r="BG263" s="966">
        <f t="shared" si="1513"/>
        <v>238.14082737067224</v>
      </c>
      <c r="BH263" s="966">
        <f t="shared" si="1513"/>
        <v>237.69133415340133</v>
      </c>
      <c r="BI263" s="966">
        <f t="shared" si="1513"/>
        <v>252.21976202316071</v>
      </c>
      <c r="BJ263" s="966">
        <f t="shared" si="1513"/>
        <v>234.10343474275678</v>
      </c>
      <c r="BK263" s="1363">
        <f t="shared" ref="BK263" si="1514">+BK203+BK119+BK55</f>
        <v>244.01634138740712</v>
      </c>
      <c r="BL263" s="660">
        <f t="shared" si="1513"/>
        <v>250.2123013745379</v>
      </c>
      <c r="BM263" s="660">
        <f t="shared" si="1513"/>
        <v>280.07812857871193</v>
      </c>
      <c r="BN263" s="660">
        <f t="shared" ref="BN263:CW263" si="1515">+BN203+BN119+BN55</f>
        <v>269.82767622494072</v>
      </c>
      <c r="BO263" s="660">
        <f t="shared" si="1515"/>
        <v>288.21891859674099</v>
      </c>
      <c r="BP263" s="660">
        <f t="shared" si="1515"/>
        <v>304.16129562430109</v>
      </c>
      <c r="BQ263" s="660">
        <f t="shared" si="1515"/>
        <v>312.85532136939344</v>
      </c>
      <c r="BR263" s="660">
        <f t="shared" si="1515"/>
        <v>287.22928616706008</v>
      </c>
      <c r="BS263" s="660">
        <f t="shared" si="1515"/>
        <v>296.71989708564308</v>
      </c>
      <c r="BT263" s="660">
        <f t="shared" si="1515"/>
        <v>320.96252558701218</v>
      </c>
      <c r="BU263" s="660">
        <f t="shared" si="1515"/>
        <v>330.56735362536978</v>
      </c>
      <c r="BV263" s="660">
        <f t="shared" si="1515"/>
        <v>304.63457862161601</v>
      </c>
      <c r="BW263" s="660">
        <f t="shared" si="1515"/>
        <v>319.42599627043558</v>
      </c>
      <c r="BX263" s="660">
        <f t="shared" si="1515"/>
        <v>347.83146068025371</v>
      </c>
      <c r="BY263" s="660">
        <f t="shared" si="1515"/>
        <v>355.34361954591247</v>
      </c>
      <c r="BZ263" s="660">
        <f t="shared" si="1515"/>
        <v>324.58707240899253</v>
      </c>
      <c r="CA263" s="660">
        <f t="shared" si="1515"/>
        <v>340.4467263573016</v>
      </c>
      <c r="CB263" s="660">
        <f t="shared" si="1515"/>
        <v>372.91853245580108</v>
      </c>
      <c r="CC263" s="660">
        <f t="shared" si="1515"/>
        <v>378.58621023211828</v>
      </c>
      <c r="CD263" s="660">
        <f t="shared" si="1515"/>
        <v>345.30530822717287</v>
      </c>
      <c r="CE263" s="660">
        <f t="shared" si="1515"/>
        <v>362.56425880400224</v>
      </c>
      <c r="CF263" s="660">
        <f t="shared" si="1515"/>
        <v>399.98558481029193</v>
      </c>
      <c r="CG263" s="660">
        <f t="shared" si="1515"/>
        <v>403.68219340085147</v>
      </c>
      <c r="CH263" s="660">
        <f t="shared" si="1515"/>
        <v>367.43636799661761</v>
      </c>
      <c r="CI263" s="660">
        <f t="shared" si="1515"/>
        <v>385.94725344374876</v>
      </c>
      <c r="CJ263" s="660">
        <f t="shared" si="1515"/>
        <v>428.93826328801538</v>
      </c>
      <c r="CK263" s="660">
        <f t="shared" si="1515"/>
        <v>429.80476748678166</v>
      </c>
      <c r="CL263" s="660">
        <f t="shared" si="1515"/>
        <v>390.24083434050647</v>
      </c>
      <c r="CM263" s="660">
        <f t="shared" si="1515"/>
        <v>410.29772369084208</v>
      </c>
      <c r="CN263" s="660">
        <f t="shared" si="1515"/>
        <v>459.72790957666535</v>
      </c>
      <c r="CO263" s="660">
        <f t="shared" si="1515"/>
        <v>458.14142950351993</v>
      </c>
      <c r="CP263" s="660">
        <f t="shared" si="1515"/>
        <v>415.2374619059932</v>
      </c>
      <c r="CQ263" s="660">
        <f t="shared" si="1515"/>
        <v>437.03399875029794</v>
      </c>
      <c r="CR263" s="660">
        <f t="shared" si="1515"/>
        <v>494.4723936865405</v>
      </c>
      <c r="CS263" s="660">
        <f t="shared" si="1515"/>
        <v>489.28564409304215</v>
      </c>
      <c r="CT263" s="660">
        <f t="shared" si="1515"/>
        <v>442.13847759842395</v>
      </c>
      <c r="CU263" s="660">
        <f t="shared" si="1515"/>
        <v>465.54535009091018</v>
      </c>
      <c r="CV263" s="660">
        <f t="shared" si="1515"/>
        <v>532.09584666801584</v>
      </c>
      <c r="CW263" s="660">
        <f t="shared" si="1515"/>
        <v>521.81551074901165</v>
      </c>
    </row>
    <row r="264" spans="1:101" s="9" customFormat="1" ht="11.25">
      <c r="A264" s="665" t="s">
        <v>950</v>
      </c>
      <c r="B264" s="347"/>
      <c r="C264" s="347"/>
      <c r="D264" s="347"/>
      <c r="E264" s="347"/>
      <c r="F264" s="347" t="e">
        <f t="shared" ref="F264:AK264" si="1516">F263/B263-1</f>
        <v>#DIV/0!</v>
      </c>
      <c r="G264" s="347">
        <f t="shared" si="1516"/>
        <v>0.22628977645864756</v>
      </c>
      <c r="H264" s="347">
        <f t="shared" si="1516"/>
        <v>-6.4898501953973176E-2</v>
      </c>
      <c r="I264" s="347">
        <f t="shared" si="1516"/>
        <v>-0.3654730362450348</v>
      </c>
      <c r="J264" s="347">
        <f t="shared" si="1516"/>
        <v>4.4250106074293063</v>
      </c>
      <c r="K264" s="657">
        <f t="shared" si="1516"/>
        <v>6.0430847251712292</v>
      </c>
      <c r="L264" s="657">
        <f t="shared" si="1516"/>
        <v>5.3746522504726695</v>
      </c>
      <c r="M264" s="657">
        <f t="shared" si="1516"/>
        <v>15.75693586127008</v>
      </c>
      <c r="N264" s="657">
        <f t="shared" si="1516"/>
        <v>4.5751423610794983E-2</v>
      </c>
      <c r="O264" s="657">
        <f t="shared" si="1516"/>
        <v>4.8797431201709429E-2</v>
      </c>
      <c r="P264" s="657">
        <f t="shared" si="1516"/>
        <v>5.6086913239645764E-2</v>
      </c>
      <c r="Q264" s="657">
        <f t="shared" si="1516"/>
        <v>1.6039458740220613E-2</v>
      </c>
      <c r="R264" s="657">
        <f t="shared" si="1516"/>
        <v>0.25767929166695125</v>
      </c>
      <c r="S264" s="657">
        <f t="shared" si="1516"/>
        <v>0.51395827664837124</v>
      </c>
      <c r="T264" s="657">
        <f t="shared" si="1516"/>
        <v>0.77878863757071093</v>
      </c>
      <c r="U264" s="657">
        <f t="shared" si="1516"/>
        <v>6.3975994750939735E-2</v>
      </c>
      <c r="V264" s="657">
        <f t="shared" si="1516"/>
        <v>0.33027180746318474</v>
      </c>
      <c r="W264" s="657">
        <f t="shared" si="1516"/>
        <v>0.166864758963851</v>
      </c>
      <c r="X264" s="657">
        <f t="shared" si="1516"/>
        <v>-6.0188622228766531E-2</v>
      </c>
      <c r="Y264" s="657">
        <f t="shared" si="1516"/>
        <v>1.2061545858610869</v>
      </c>
      <c r="Z264" s="657">
        <f t="shared" si="1516"/>
        <v>1.4171399946214986</v>
      </c>
      <c r="AA264" s="657">
        <f t="shared" si="1516"/>
        <v>0.63440861066572585</v>
      </c>
      <c r="AB264" s="657">
        <f t="shared" si="1516"/>
        <v>1.268893518590982</v>
      </c>
      <c r="AC264" s="657">
        <f t="shared" si="1516"/>
        <v>6.7838871082253505E-2</v>
      </c>
      <c r="AD264" s="657">
        <f t="shared" si="1516"/>
        <v>0.15916296742136482</v>
      </c>
      <c r="AE264" s="2138">
        <f t="shared" si="1516"/>
        <v>0.3535533367184911</v>
      </c>
      <c r="AF264" s="657">
        <f t="shared" si="1516"/>
        <v>0.19117087840442459</v>
      </c>
      <c r="AG264" s="657">
        <f t="shared" si="1516"/>
        <v>0.24439141436409084</v>
      </c>
      <c r="AH264" s="657">
        <f t="shared" si="1516"/>
        <v>0.12346098532136618</v>
      </c>
      <c r="AI264" s="657">
        <f t="shared" si="1516"/>
        <v>-1.6569051805192747E-2</v>
      </c>
      <c r="AJ264" s="657">
        <f t="shared" si="1516"/>
        <v>4.2627876197584014E-2</v>
      </c>
      <c r="AK264" s="657">
        <f t="shared" si="1516"/>
        <v>3.9252067101493759E-2</v>
      </c>
      <c r="AL264" s="657">
        <f t="shared" ref="AL264:BQ264" si="1517">AL263/AH263-1</f>
        <v>-3.6507447730093734E-2</v>
      </c>
      <c r="AM264" s="715">
        <f t="shared" si="1517"/>
        <v>-8.6306147986090376E-2</v>
      </c>
      <c r="AN264" s="715">
        <f t="shared" si="1517"/>
        <v>-0.17439749041579389</v>
      </c>
      <c r="AO264" s="715">
        <f t="shared" si="1517"/>
        <v>-0.22634730614085097</v>
      </c>
      <c r="AP264" s="715">
        <f t="shared" si="1517"/>
        <v>0.51205635021834572</v>
      </c>
      <c r="AQ264" s="715">
        <f t="shared" si="1517"/>
        <v>0.66259300017106137</v>
      </c>
      <c r="AR264" s="715">
        <f t="shared" si="1517"/>
        <v>9.9436010397927932E-2</v>
      </c>
      <c r="AS264" s="715">
        <f t="shared" si="1517"/>
        <v>1.2228880309989618</v>
      </c>
      <c r="AT264" s="715">
        <f t="shared" si="1517"/>
        <v>-0.17220167678411424</v>
      </c>
      <c r="AU264" s="715">
        <f t="shared" si="1517"/>
        <v>-0.69868877106438498</v>
      </c>
      <c r="AV264" s="715">
        <f t="shared" si="1517"/>
        <v>0.12332267995846613</v>
      </c>
      <c r="AW264" s="715">
        <f t="shared" si="1517"/>
        <v>-0.51212093049901042</v>
      </c>
      <c r="AX264" s="715">
        <f t="shared" si="1517"/>
        <v>-0.38074289538797024</v>
      </c>
      <c r="AY264" s="715">
        <f t="shared" si="1517"/>
        <v>0.61082155891055523</v>
      </c>
      <c r="AZ264" s="715">
        <f t="shared" si="1517"/>
        <v>-8.436990088517704E-2</v>
      </c>
      <c r="BA264" s="715">
        <f t="shared" ref="BA264:BK264" si="1518">BA263/AW263-1</f>
        <v>5.9370266673942629E-2</v>
      </c>
      <c r="BB264" s="715">
        <f t="shared" si="1518"/>
        <v>0.33287930739233751</v>
      </c>
      <c r="BC264" s="715">
        <f t="shared" si="1518"/>
        <v>0.24901504873947022</v>
      </c>
      <c r="BD264" s="715">
        <f t="shared" si="1518"/>
        <v>5.3704309768352942E-2</v>
      </c>
      <c r="BE264" s="715">
        <f t="shared" si="1518"/>
        <v>-5.5858713859695652E-2</v>
      </c>
      <c r="BF264" s="715">
        <f t="shared" si="1518"/>
        <v>9.6453579580251247E-3</v>
      </c>
      <c r="BG264" s="715">
        <f t="shared" si="1518"/>
        <v>6.4629658776268695E-2</v>
      </c>
      <c r="BH264" s="715">
        <f t="shared" si="1518"/>
        <v>1.8110432478919858E-2</v>
      </c>
      <c r="BI264" s="715">
        <f t="shared" si="1518"/>
        <v>2.084132390967075E-2</v>
      </c>
      <c r="BJ264" s="715">
        <f t="shared" si="1518"/>
        <v>3.5966472790991633E-2</v>
      </c>
      <c r="BK264" s="1361">
        <f t="shared" si="1518"/>
        <v>2.4672434716914271E-2</v>
      </c>
      <c r="BL264" s="461">
        <f t="shared" si="1517"/>
        <v>5.2677424129631056E-2</v>
      </c>
      <c r="BM264" s="461">
        <f t="shared" si="1517"/>
        <v>0.11045275093469109</v>
      </c>
      <c r="BN264" s="461">
        <f t="shared" si="1517"/>
        <v>0.15260024493634328</v>
      </c>
      <c r="BO264" s="461">
        <f t="shared" si="1517"/>
        <v>0.18114597144605415</v>
      </c>
      <c r="BP264" s="461">
        <f t="shared" si="1517"/>
        <v>0.21561287735812784</v>
      </c>
      <c r="BQ264" s="461">
        <f t="shared" si="1517"/>
        <v>0.11702874821755294</v>
      </c>
      <c r="BR264" s="461">
        <f t="shared" ref="BR264:CK264" si="1519">BR263/BN263-1</f>
        <v>6.4491568046609826E-2</v>
      </c>
      <c r="BS264" s="461">
        <f t="shared" si="1519"/>
        <v>2.9494866368561246E-2</v>
      </c>
      <c r="BT264" s="461">
        <f t="shared" si="1519"/>
        <v>5.5237895828349926E-2</v>
      </c>
      <c r="BU264" s="461">
        <f t="shared" si="1519"/>
        <v>5.6614131344959517E-2</v>
      </c>
      <c r="BV264" s="461">
        <f t="shared" si="1519"/>
        <v>6.0597206805828918E-2</v>
      </c>
      <c r="BW264" s="461">
        <f t="shared" si="1519"/>
        <v>7.6523682462179998E-2</v>
      </c>
      <c r="BX264" s="461">
        <f t="shared" si="1519"/>
        <v>8.3713620598232286E-2</v>
      </c>
      <c r="BY264" s="461">
        <f t="shared" si="1519"/>
        <v>7.4950734392911444E-2</v>
      </c>
      <c r="BZ264" s="461">
        <f t="shared" si="1519"/>
        <v>6.5496483943667139E-2</v>
      </c>
      <c r="CA264" s="461">
        <f t="shared" si="1519"/>
        <v>6.5807825074666981E-2</v>
      </c>
      <c r="CB264" s="461">
        <f t="shared" si="1519"/>
        <v>7.212421707479999E-2</v>
      </c>
      <c r="CC264" s="461">
        <f t="shared" si="1519"/>
        <v>6.5408774514952972E-2</v>
      </c>
      <c r="CD264" s="461">
        <f t="shared" si="1519"/>
        <v>6.382951626636113E-2</v>
      </c>
      <c r="CE264" s="461">
        <f t="shared" si="1519"/>
        <v>6.4966206852252517E-2</v>
      </c>
      <c r="CF264" s="461">
        <f t="shared" si="1519"/>
        <v>7.2581676690200103E-2</v>
      </c>
      <c r="CG264" s="461">
        <f t="shared" si="1519"/>
        <v>6.6288687993538931E-2</v>
      </c>
      <c r="CH264" s="461">
        <f t="shared" si="1519"/>
        <v>6.4091281663370525E-2</v>
      </c>
      <c r="CI264" s="461">
        <f t="shared" si="1519"/>
        <v>6.4493380337268924E-2</v>
      </c>
      <c r="CJ264" s="461">
        <f t="shared" si="1519"/>
        <v>7.2384304778021713E-2</v>
      </c>
      <c r="CK264" s="461">
        <f t="shared" si="1519"/>
        <v>6.4710741551066597E-2</v>
      </c>
      <c r="CL264" s="461">
        <f t="shared" ref="CL264" si="1520">CL263/CH263-1</f>
        <v>6.2063715870658731E-2</v>
      </c>
      <c r="CM264" s="461">
        <f t="shared" ref="CM264" si="1521">CM263/CI263-1</f>
        <v>6.3092741378045325E-2</v>
      </c>
      <c r="CN264" s="461">
        <f t="shared" ref="CN264" si="1522">CN263/CJ263-1</f>
        <v>7.1781067169510049E-2</v>
      </c>
      <c r="CO264" s="461">
        <f t="shared" ref="CO264" si="1523">CO263/CK263-1</f>
        <v>6.5929147744062E-2</v>
      </c>
      <c r="CP264" s="461">
        <f t="shared" ref="CP264" si="1524">CP263/CL263-1</f>
        <v>6.4054361732108767E-2</v>
      </c>
      <c r="CQ264" s="461">
        <f t="shared" ref="CQ264" si="1525">CQ263/CM263-1</f>
        <v>6.5163108434892481E-2</v>
      </c>
      <c r="CR264" s="461">
        <f t="shared" ref="CR264" si="1526">CR263/CN263-1</f>
        <v>7.5576190581662095E-2</v>
      </c>
      <c r="CS264" s="461">
        <f t="shared" ref="CS264" si="1527">CS263/CO263-1</f>
        <v>6.7979476606760292E-2</v>
      </c>
      <c r="CT264" s="461">
        <f t="shared" ref="CT264" si="1528">CT263/CP263-1</f>
        <v>6.4784654951293819E-2</v>
      </c>
      <c r="CU264" s="461">
        <f t="shared" ref="CU264" si="1529">CU263/CQ263-1</f>
        <v>6.5238291350651512E-2</v>
      </c>
      <c r="CV264" s="461">
        <f t="shared" ref="CV264" si="1530">CV263/CR263-1</f>
        <v>7.6088075819508383E-2</v>
      </c>
      <c r="CW264" s="461">
        <f t="shared" ref="CW264" si="1531">CW263/CS263-1</f>
        <v>6.6484408542719642E-2</v>
      </c>
    </row>
    <row r="265" spans="1:101" s="9" customFormat="1" ht="11.25">
      <c r="A265" s="665" t="s">
        <v>1065</v>
      </c>
      <c r="B265" s="347">
        <f t="shared" ref="B265:AG265" si="1532">+B263/(B263+B250)</f>
        <v>0</v>
      </c>
      <c r="C265" s="347">
        <f t="shared" si="1532"/>
        <v>3.8993963782696169E-3</v>
      </c>
      <c r="D265" s="347">
        <f t="shared" si="1532"/>
        <v>4.3597203653860878E-3</v>
      </c>
      <c r="E265" s="347">
        <f t="shared" si="1532"/>
        <v>4.1735719921826026E-3</v>
      </c>
      <c r="F265" s="347">
        <f t="shared" si="1532"/>
        <v>4.1016457220489702E-3</v>
      </c>
      <c r="G265" s="347">
        <f t="shared" si="1532"/>
        <v>4.4788914838219509E-3</v>
      </c>
      <c r="H265" s="347">
        <f t="shared" si="1532"/>
        <v>3.7342012403763902E-3</v>
      </c>
      <c r="I265" s="347">
        <f t="shared" si="1532"/>
        <v>2.4550704779370582E-3</v>
      </c>
      <c r="J265" s="347">
        <f t="shared" si="1532"/>
        <v>1.9123612347182531E-2</v>
      </c>
      <c r="K265" s="657">
        <f t="shared" si="1532"/>
        <v>2.6107042301314647E-2</v>
      </c>
      <c r="L265" s="657">
        <f t="shared" si="1532"/>
        <v>1.9489188061743309E-2</v>
      </c>
      <c r="M265" s="657">
        <f t="shared" si="1532"/>
        <v>3.4173839532018024E-2</v>
      </c>
      <c r="N265" s="657">
        <f t="shared" si="1532"/>
        <v>1.6073069070420477E-2</v>
      </c>
      <c r="O265" s="657">
        <f t="shared" si="1532"/>
        <v>2.0558908121489791E-2</v>
      </c>
      <c r="P265" s="657">
        <f t="shared" si="1532"/>
        <v>1.5971606408787406E-2</v>
      </c>
      <c r="Q265" s="657">
        <f t="shared" si="1532"/>
        <v>2.7658726966301329E-2</v>
      </c>
      <c r="R265" s="657">
        <f t="shared" si="1532"/>
        <v>1.7318652879725369E-2</v>
      </c>
      <c r="S265" s="657">
        <f t="shared" si="1532"/>
        <v>2.6929147673020824E-2</v>
      </c>
      <c r="T265" s="657">
        <f t="shared" si="1532"/>
        <v>2.3530002965282668E-2</v>
      </c>
      <c r="U265" s="657">
        <f t="shared" si="1532"/>
        <v>2.3438937127966256E-2</v>
      </c>
      <c r="V265" s="657">
        <f t="shared" si="1532"/>
        <v>1.9181234648809834E-2</v>
      </c>
      <c r="W265" s="657">
        <f t="shared" si="1532"/>
        <v>2.2733609981814229E-2</v>
      </c>
      <c r="X265" s="657">
        <f t="shared" si="1532"/>
        <v>1.552161299671956E-2</v>
      </c>
      <c r="Y265" s="657">
        <f t="shared" si="1532"/>
        <v>2.7934332223563015E-2</v>
      </c>
      <c r="Z265" s="657">
        <f t="shared" si="1532"/>
        <v>2.9259198160422779E-2</v>
      </c>
      <c r="AA265" s="657">
        <f t="shared" si="1532"/>
        <v>2.9918536616716132E-2</v>
      </c>
      <c r="AB265" s="657">
        <f t="shared" si="1532"/>
        <v>2.8444005589087724E-2</v>
      </c>
      <c r="AC265" s="657">
        <f t="shared" si="1532"/>
        <v>3.1641100719819903E-2</v>
      </c>
      <c r="AD265" s="657">
        <f t="shared" si="1532"/>
        <v>2.9111181391504863E-2</v>
      </c>
      <c r="AE265" s="2138">
        <f t="shared" si="1532"/>
        <v>3.3480703209354021E-2</v>
      </c>
      <c r="AF265" s="657">
        <f t="shared" si="1532"/>
        <v>2.9411689701977235E-2</v>
      </c>
      <c r="AG265" s="657">
        <f t="shared" si="1532"/>
        <v>3.3518139112918149E-2</v>
      </c>
      <c r="AH265" s="657">
        <f t="shared" ref="AH265:BQ265" si="1533">+AH263/(AH263+AH250)</f>
        <v>2.6774086228094469E-2</v>
      </c>
      <c r="AI265" s="657">
        <f t="shared" si="1533"/>
        <v>2.8279753723601232E-2</v>
      </c>
      <c r="AJ265" s="657">
        <f t="shared" si="1533"/>
        <v>2.6910069025880196E-2</v>
      </c>
      <c r="AK265" s="657">
        <f t="shared" si="1533"/>
        <v>3.0358345882656727E-2</v>
      </c>
      <c r="AL265" s="657">
        <f t="shared" si="1533"/>
        <v>1.9955738999022903E-2</v>
      </c>
      <c r="AM265" s="715">
        <f t="shared" si="1533"/>
        <v>2.0039454676377803E-2</v>
      </c>
      <c r="AN265" s="715">
        <f t="shared" si="1533"/>
        <v>1.7998390786378094E-2</v>
      </c>
      <c r="AO265" s="715">
        <f t="shared" si="1533"/>
        <v>1.9380633730640359E-2</v>
      </c>
      <c r="AP265" s="715">
        <f t="shared" si="1533"/>
        <v>2.4368954739697152E-2</v>
      </c>
      <c r="AQ265" s="715">
        <f t="shared" si="1533"/>
        <v>2.5798773134830109E-2</v>
      </c>
      <c r="AR265" s="715">
        <f t="shared" si="1533"/>
        <v>1.4509440082945222E-2</v>
      </c>
      <c r="AS265" s="715">
        <f t="shared" si="1533"/>
        <v>3.3028559652233627E-2</v>
      </c>
      <c r="AT265" s="715">
        <f t="shared" si="1533"/>
        <v>2.2513306268218968E-2</v>
      </c>
      <c r="AU265" s="715">
        <f t="shared" ref="AU265:BC265" si="1534">+AU263/(AU263+AU250)</f>
        <v>2.1703231689976298E-2</v>
      </c>
      <c r="AV265" s="715">
        <f t="shared" si="1534"/>
        <v>2.4598012587038056E-2</v>
      </c>
      <c r="AW265" s="715">
        <f t="shared" si="1534"/>
        <v>2.1988429943186356E-2</v>
      </c>
      <c r="AX265" s="715">
        <f t="shared" si="1534"/>
        <v>1.6521179142804238E-2</v>
      </c>
      <c r="AY265" s="715">
        <f t="shared" si="1534"/>
        <v>1.4435233305714728E-2</v>
      </c>
      <c r="AZ265" s="715">
        <f t="shared" si="1534"/>
        <v>1.6008167417658852E-2</v>
      </c>
      <c r="BA265" s="715">
        <f t="shared" si="1534"/>
        <v>1.5707694807612672E-2</v>
      </c>
      <c r="BB265" s="715">
        <f t="shared" si="1534"/>
        <v>1.4768872808351024E-2</v>
      </c>
      <c r="BC265" s="715">
        <f t="shared" si="1534"/>
        <v>1.3274696268639398E-2</v>
      </c>
      <c r="BD265" s="715">
        <f t="shared" ref="BD265:BG265" si="1535">+BD263/(BD263+BD250)</f>
        <v>1.3421437889175049E-2</v>
      </c>
      <c r="BE265" s="715">
        <f t="shared" si="1535"/>
        <v>1.2978480988377559E-2</v>
      </c>
      <c r="BF265" s="715">
        <f t="shared" si="1535"/>
        <v>1.3011111548164067E-2</v>
      </c>
      <c r="BG265" s="715">
        <f t="shared" si="1535"/>
        <v>1.278057103261343E-2</v>
      </c>
      <c r="BH265" s="715">
        <f t="shared" ref="BH265" si="1536">+BH263/(BH263+BH250)</f>
        <v>1.2456578392933865E-2</v>
      </c>
      <c r="BI265" s="715">
        <f t="shared" ref="BI265" si="1537">+BI263/(BI263+BI250)</f>
        <v>1.285232782787713E-2</v>
      </c>
      <c r="BJ265" s="715">
        <f t="shared" ref="BJ265" si="1538">+BJ263/(BJ263+BJ250)</f>
        <v>1.3152345338483751E-2</v>
      </c>
      <c r="BK265" s="1361">
        <f t="shared" ref="BK265" si="1539">+BK263/(BK263+BK250)</f>
        <v>1.2916972108111793E-2</v>
      </c>
      <c r="BL265" s="461">
        <f t="shared" si="1533"/>
        <v>1.273136928233439E-2</v>
      </c>
      <c r="BM265" s="461">
        <f t="shared" si="1533"/>
        <v>1.3735477990219557E-2</v>
      </c>
      <c r="BN265" s="461">
        <f t="shared" si="1533"/>
        <v>1.3862846416344214E-2</v>
      </c>
      <c r="BO265" s="461">
        <f t="shared" si="1533"/>
        <v>1.371898199970093E-2</v>
      </c>
      <c r="BP265" s="461">
        <f t="shared" si="1533"/>
        <v>1.4178494390913413E-2</v>
      </c>
      <c r="BQ265" s="461">
        <f t="shared" si="1533"/>
        <v>1.4186432376272803E-2</v>
      </c>
      <c r="BR265" s="461">
        <f t="shared" ref="BR265:CK265" si="1540">+BR263/(BR263+BR250)</f>
        <v>1.3705166193436773E-2</v>
      </c>
      <c r="BS265" s="461">
        <f t="shared" si="1540"/>
        <v>1.3266429574930459E-2</v>
      </c>
      <c r="BT265" s="461">
        <f t="shared" si="1540"/>
        <v>1.4058863408434529E-2</v>
      </c>
      <c r="BU265" s="461">
        <f t="shared" si="1540"/>
        <v>1.4091609614566283E-2</v>
      </c>
      <c r="BV265" s="461">
        <f t="shared" si="1540"/>
        <v>1.3727950960610545E-2</v>
      </c>
      <c r="BW265" s="461">
        <f t="shared" si="1540"/>
        <v>1.3507915823105501E-2</v>
      </c>
      <c r="BX265" s="461">
        <f t="shared" si="1540"/>
        <v>1.4406603837791788E-2</v>
      </c>
      <c r="BY265" s="461">
        <f t="shared" si="1540"/>
        <v>1.4310250847245782E-2</v>
      </c>
      <c r="BZ265" s="461">
        <f t="shared" si="1540"/>
        <v>1.3902160579329444E-2</v>
      </c>
      <c r="CA265" s="461">
        <f t="shared" si="1540"/>
        <v>1.3696665235050124E-2</v>
      </c>
      <c r="CB265" s="461">
        <f t="shared" si="1540"/>
        <v>1.4685463979548077E-2</v>
      </c>
      <c r="CC265" s="461">
        <f t="shared" si="1540"/>
        <v>1.4479045435950504E-2</v>
      </c>
      <c r="CD265" s="461">
        <f t="shared" si="1540"/>
        <v>1.4059241687519659E-2</v>
      </c>
      <c r="CE265" s="461">
        <f t="shared" si="1540"/>
        <v>1.3879733978950965E-2</v>
      </c>
      <c r="CF265" s="461">
        <f t="shared" si="1540"/>
        <v>1.4979174012845769E-2</v>
      </c>
      <c r="CG265" s="461">
        <f t="shared" si="1540"/>
        <v>1.4665439974556223E-2</v>
      </c>
      <c r="CH265" s="461">
        <f t="shared" si="1540"/>
        <v>1.4228224531152064E-2</v>
      </c>
      <c r="CI265" s="461">
        <f t="shared" si="1540"/>
        <v>1.4071221756663761E-2</v>
      </c>
      <c r="CJ265" s="461">
        <f t="shared" si="1540"/>
        <v>1.5295595725702346E-2</v>
      </c>
      <c r="CK265" s="461">
        <f t="shared" si="1540"/>
        <v>1.4861057397327061E-2</v>
      </c>
      <c r="CL265" s="461">
        <f t="shared" ref="CL265:CW265" si="1541">+CL263/(CL263+CL250)</f>
        <v>1.4400550329537489E-2</v>
      </c>
      <c r="CM265" s="461">
        <f t="shared" si="1541"/>
        <v>1.4268003642411686E-2</v>
      </c>
      <c r="CN265" s="461">
        <f t="shared" si="1541"/>
        <v>1.5625919405379801E-2</v>
      </c>
      <c r="CO265" s="461">
        <f t="shared" si="1541"/>
        <v>1.5083263470228312E-2</v>
      </c>
      <c r="CP265" s="461">
        <f t="shared" si="1541"/>
        <v>1.4603784931055269E-2</v>
      </c>
      <c r="CQ265" s="461">
        <f t="shared" si="1541"/>
        <v>1.4497086891072222E-2</v>
      </c>
      <c r="CR265" s="461">
        <f t="shared" si="1541"/>
        <v>1.6020935137955741E-2</v>
      </c>
      <c r="CS265" s="461">
        <f t="shared" si="1541"/>
        <v>1.533935077759792E-2</v>
      </c>
      <c r="CT265" s="461">
        <f t="shared" si="1541"/>
        <v>1.4820686594229278E-2</v>
      </c>
      <c r="CU265" s="461">
        <f t="shared" si="1541"/>
        <v>1.4731372881515107E-2</v>
      </c>
      <c r="CV265" s="461">
        <f t="shared" si="1541"/>
        <v>1.6434143501287218E-2</v>
      </c>
      <c r="CW265" s="461">
        <f t="shared" si="1541"/>
        <v>1.5586786786510692E-2</v>
      </c>
    </row>
    <row r="266" spans="1:101" s="9" customFormat="1" ht="11.25">
      <c r="A266" s="665"/>
      <c r="B266" s="348"/>
      <c r="C266" s="348"/>
      <c r="D266" s="348"/>
      <c r="E266" s="348"/>
      <c r="F266" s="348"/>
      <c r="G266" s="348"/>
      <c r="H266" s="348"/>
      <c r="I266" s="348"/>
      <c r="J266" s="348"/>
      <c r="K266" s="348"/>
      <c r="L266" s="348"/>
      <c r="M266" s="348"/>
      <c r="N266" s="316"/>
      <c r="O266" s="316"/>
      <c r="P266" s="316"/>
      <c r="Q266" s="316"/>
      <c r="R266" s="316"/>
      <c r="S266" s="316"/>
      <c r="T266" s="316"/>
      <c r="U266" s="316"/>
      <c r="V266" s="316"/>
      <c r="W266" s="316"/>
      <c r="X266" s="316"/>
      <c r="Y266" s="316"/>
      <c r="Z266" s="316"/>
      <c r="AA266" s="316"/>
      <c r="AB266" s="316"/>
      <c r="AC266" s="37">
        <f t="shared" ref="AC266:AT266" si="1542">+(AC263/AC234)/(AC250/AC230)</f>
        <v>0.11191918562388661</v>
      </c>
      <c r="AD266" s="37">
        <f t="shared" si="1542"/>
        <v>0.10328834830829625</v>
      </c>
      <c r="AE266" s="2163">
        <f t="shared" si="1542"/>
        <v>0.12112564910232594</v>
      </c>
      <c r="AF266" s="37">
        <f t="shared" si="1542"/>
        <v>0.1081151474498525</v>
      </c>
      <c r="AG266" s="37">
        <f t="shared" si="1542"/>
        <v>0.12554823992470338</v>
      </c>
      <c r="AH266" s="37">
        <f t="shared" si="1542"/>
        <v>0.10113918630089028</v>
      </c>
      <c r="AI266" s="37">
        <f t="shared" si="1542"/>
        <v>0.10892389594955877</v>
      </c>
      <c r="AJ266" s="37">
        <f t="shared" si="1542"/>
        <v>0.10396095039689227</v>
      </c>
      <c r="AK266" s="37">
        <f t="shared" si="1542"/>
        <v>0.1180017496962355</v>
      </c>
      <c r="AL266" s="37">
        <f t="shared" si="1542"/>
        <v>7.6417356255993912E-2</v>
      </c>
      <c r="AM266" s="59">
        <f t="shared" si="1542"/>
        <v>7.7508110158005988E-2</v>
      </c>
      <c r="AN266" s="59">
        <f t="shared" si="1542"/>
        <v>7.0915341168476184E-2</v>
      </c>
      <c r="AO266" s="59">
        <f t="shared" si="1542"/>
        <v>7.786052573314628E-2</v>
      </c>
      <c r="AP266" s="59">
        <f t="shared" si="1542"/>
        <v>8.854313380738818E-2</v>
      </c>
      <c r="AQ266" s="59">
        <f t="shared" si="1542"/>
        <v>8.5605401043557253E-2</v>
      </c>
      <c r="AR266" s="59">
        <f t="shared" si="1542"/>
        <v>4.7214627150344662E-2</v>
      </c>
      <c r="AS266" s="59">
        <f t="shared" si="1542"/>
        <v>0.11897455649543703</v>
      </c>
      <c r="AT266" s="59">
        <f t="shared" si="1542"/>
        <v>8.7894091128041724E-2</v>
      </c>
      <c r="AU266" s="59">
        <f t="shared" ref="AU266:BC266" si="1543">+(AU263/AU234)/(AU250/AU230)</f>
        <v>8.3578462832824274E-2</v>
      </c>
      <c r="AV266" s="59">
        <f t="shared" si="1543"/>
        <v>9.3822293453391187E-2</v>
      </c>
      <c r="AW266" s="59">
        <f t="shared" si="1543"/>
        <v>8.221745585883948E-2</v>
      </c>
      <c r="AX266" s="59">
        <f t="shared" si="1543"/>
        <v>6.0530749699270671E-2</v>
      </c>
      <c r="AY266" s="59">
        <f t="shared" si="1543"/>
        <v>5.2167281877999468E-2</v>
      </c>
      <c r="AZ266" s="59">
        <f t="shared" si="1543"/>
        <v>5.6503786498583508E-2</v>
      </c>
      <c r="BA266" s="59">
        <f t="shared" si="1543"/>
        <v>5.4240227568685996E-2</v>
      </c>
      <c r="BB266" s="59">
        <f t="shared" si="1543"/>
        <v>5.0384997055395349E-2</v>
      </c>
      <c r="BC266" s="59">
        <f t="shared" si="1543"/>
        <v>4.4981882445591113E-2</v>
      </c>
      <c r="BD266" s="59">
        <f t="shared" ref="BD266:BG266" si="1544">+(BD263/BD234)/(BD250/BD230)</f>
        <v>4.5641941452538304E-2</v>
      </c>
      <c r="BE266" s="59">
        <f t="shared" si="1544"/>
        <v>4.4471558227703489E-2</v>
      </c>
      <c r="BF266" s="59">
        <f t="shared" si="1544"/>
        <v>4.4901912809025266E-2</v>
      </c>
      <c r="BG266" s="59">
        <f t="shared" si="1544"/>
        <v>4.411878709283884E-2</v>
      </c>
      <c r="BH266" s="59">
        <f t="shared" ref="BH266" si="1545">+(BH263/BH234)/(BH250/BH230)</f>
        <v>4.2639596494871958E-2</v>
      </c>
      <c r="BI266" s="59">
        <f t="shared" ref="BI266" si="1546">+(BI263/BI234)/(BI250/BI230)</f>
        <v>4.3473055355899792E-2</v>
      </c>
      <c r="BJ266" s="59">
        <f t="shared" ref="BJ266" si="1547">+(BJ263/BJ234)/(BJ250/BJ230)</f>
        <v>4.4361095364528508E-2</v>
      </c>
      <c r="BK266" s="1482">
        <f t="shared" ref="BK266" si="1548">+(BK263/BK234)/(BK250/BK230)</f>
        <v>4.3762229261052214E-2</v>
      </c>
    </row>
    <row r="267" spans="1:101" s="9" customFormat="1" ht="11.25">
      <c r="A267" s="674" t="s">
        <v>994</v>
      </c>
      <c r="B267" s="423">
        <f t="shared" ref="B267:AG267" si="1549">B245-B105-B189-B38</f>
        <v>-465.09699999999998</v>
      </c>
      <c r="C267" s="423">
        <f t="shared" si="1549"/>
        <v>-486.17700000000036</v>
      </c>
      <c r="D267" s="423">
        <f t="shared" si="1549"/>
        <v>-472.00700000000006</v>
      </c>
      <c r="E267" s="423">
        <f t="shared" si="1549"/>
        <v>-494.83799999999928</v>
      </c>
      <c r="F267" s="423">
        <f t="shared" si="1549"/>
        <v>-437.58199999999965</v>
      </c>
      <c r="G267" s="423">
        <f t="shared" si="1549"/>
        <v>-452.10000000000036</v>
      </c>
      <c r="H267" s="423">
        <f t="shared" si="1549"/>
        <v>-463.57499999999982</v>
      </c>
      <c r="I267" s="423">
        <f t="shared" si="1549"/>
        <v>-561.10300000000052</v>
      </c>
      <c r="J267" s="423">
        <f t="shared" si="1549"/>
        <v>-500.95600000000013</v>
      </c>
      <c r="K267" s="423">
        <f t="shared" si="1549"/>
        <v>-534.05199999999968</v>
      </c>
      <c r="L267" s="423">
        <f t="shared" si="1549"/>
        <v>-535.11999999999989</v>
      </c>
      <c r="M267" s="423">
        <f t="shared" si="1549"/>
        <v>-636.46799999999985</v>
      </c>
      <c r="N267" s="423">
        <f t="shared" si="1549"/>
        <v>-593.35199999999986</v>
      </c>
      <c r="O267" s="423">
        <f t="shared" si="1549"/>
        <v>-682.4340000000002</v>
      </c>
      <c r="P267" s="423">
        <f t="shared" si="1549"/>
        <v>-666.14799999999923</v>
      </c>
      <c r="Q267" s="423">
        <f t="shared" si="1549"/>
        <v>-740.85299999999961</v>
      </c>
      <c r="R267" s="423">
        <f t="shared" si="1549"/>
        <v>-678.35399999999981</v>
      </c>
      <c r="S267" s="423">
        <f t="shared" si="1549"/>
        <v>-787.37300000000005</v>
      </c>
      <c r="T267" s="423">
        <f t="shared" si="1549"/>
        <v>-814.85900000000038</v>
      </c>
      <c r="U267" s="423">
        <f t="shared" si="1549"/>
        <v>-920.94900000000007</v>
      </c>
      <c r="V267" s="423">
        <f t="shared" si="1549"/>
        <v>-830.96399999999994</v>
      </c>
      <c r="W267" s="423">
        <f t="shared" si="1549"/>
        <v>-874.67399999999998</v>
      </c>
      <c r="X267" s="423">
        <f t="shared" si="1549"/>
        <v>-920.65099999999984</v>
      </c>
      <c r="Y267" s="423">
        <f t="shared" si="1549"/>
        <v>-1330.4560000000001</v>
      </c>
      <c r="Z267" s="352">
        <f t="shared" si="1549"/>
        <v>0.23400000000037835</v>
      </c>
      <c r="AA267" s="352">
        <f t="shared" si="1549"/>
        <v>-5.7999999999992724E-2</v>
      </c>
      <c r="AB267" s="352">
        <f t="shared" si="1549"/>
        <v>1.3739999999997963</v>
      </c>
      <c r="AC267" s="352">
        <f t="shared" si="1549"/>
        <v>-0.17400000000088767</v>
      </c>
      <c r="AD267" s="352">
        <f t="shared" si="1549"/>
        <v>-0.23999999999978172</v>
      </c>
      <c r="AE267" s="2166">
        <f t="shared" si="1549"/>
        <v>-0.43200000000069849</v>
      </c>
      <c r="AF267" s="352">
        <f t="shared" si="1549"/>
        <v>0.98400000000037835</v>
      </c>
      <c r="AG267" s="352">
        <f t="shared" si="1549"/>
        <v>0.55500000000029104</v>
      </c>
      <c r="AH267" s="352">
        <f t="shared" ref="AH267:BJ267" si="1550">AH245-AH105-AH189-AH38</f>
        <v>-0.76000000000021828</v>
      </c>
      <c r="AI267" s="352">
        <f t="shared" si="1550"/>
        <v>-0.59699999999975262</v>
      </c>
      <c r="AJ267" s="352">
        <f t="shared" si="1550"/>
        <v>-0.64600000000064028</v>
      </c>
      <c r="AK267" s="352">
        <f t="shared" si="1550"/>
        <v>1.1239999999997963</v>
      </c>
      <c r="AL267" s="870">
        <f t="shared" si="1550"/>
        <v>1.0879999999997381</v>
      </c>
      <c r="AM267" s="966">
        <f t="shared" si="1550"/>
        <v>-0.693000000000211</v>
      </c>
      <c r="AN267" s="966">
        <f t="shared" si="1550"/>
        <v>264.39600000000064</v>
      </c>
      <c r="AO267" s="966">
        <f t="shared" si="1550"/>
        <v>347.82200000000012</v>
      </c>
      <c r="AP267" s="966">
        <f t="shared" si="1550"/>
        <v>-0.79800000000068394</v>
      </c>
      <c r="AQ267" s="966">
        <f t="shared" si="1550"/>
        <v>-0.74399999999968713</v>
      </c>
      <c r="AR267" s="966">
        <f t="shared" si="1550"/>
        <v>-0.32600000000093132</v>
      </c>
      <c r="AS267" s="966">
        <f t="shared" si="1550"/>
        <v>7.3999999999614374E-2</v>
      </c>
      <c r="AT267" s="966">
        <f t="shared" si="1550"/>
        <v>-19.701999999999316</v>
      </c>
      <c r="AU267" s="966">
        <f t="shared" si="1550"/>
        <v>0.13700000000017099</v>
      </c>
      <c r="AV267" s="966">
        <f t="shared" si="1550"/>
        <v>1.1669999999994616</v>
      </c>
      <c r="AW267" s="966">
        <f t="shared" si="1550"/>
        <v>-0.14900000000034197</v>
      </c>
      <c r="AX267" s="966">
        <f t="shared" si="1550"/>
        <v>-12.216000000000349</v>
      </c>
      <c r="AY267" s="966">
        <f t="shared" si="1550"/>
        <v>1.0990000000001601</v>
      </c>
      <c r="AZ267" s="966">
        <f t="shared" si="1550"/>
        <v>-0.16700000000037107</v>
      </c>
      <c r="BA267" s="966">
        <f t="shared" si="1550"/>
        <v>-0.32599999999911233</v>
      </c>
      <c r="BB267" s="966">
        <f t="shared" si="1550"/>
        <v>-0.1569999999992433</v>
      </c>
      <c r="BC267" s="966">
        <f t="shared" si="1550"/>
        <v>-0.61199999999917054</v>
      </c>
      <c r="BD267" s="966">
        <f t="shared" si="1550"/>
        <v>0.23899999999957799</v>
      </c>
      <c r="BE267" s="966">
        <f t="shared" si="1550"/>
        <v>0.12300000000141154</v>
      </c>
      <c r="BF267" s="966">
        <f t="shared" si="1550"/>
        <v>0.11400000000139698</v>
      </c>
      <c r="BG267" s="966">
        <f t="shared" si="1550"/>
        <v>-0.7360000000007858</v>
      </c>
      <c r="BH267" s="966">
        <f t="shared" si="1550"/>
        <v>1.1809999999986758</v>
      </c>
      <c r="BI267" s="966">
        <f t="shared" si="1550"/>
        <v>0.71600000000034925</v>
      </c>
      <c r="BJ267" s="966">
        <f t="shared" si="1550"/>
        <v>0.6720000000022992</v>
      </c>
      <c r="BK267" s="1363">
        <f t="shared" ref="BK267" si="1551">BK245-BK105-BK189-BK38</f>
        <v>0.57000000000152795</v>
      </c>
      <c r="BL267" s="435">
        <v>0</v>
      </c>
      <c r="BM267" s="435">
        <v>0</v>
      </c>
      <c r="BN267" s="435">
        <v>0</v>
      </c>
      <c r="BO267" s="435">
        <v>0</v>
      </c>
      <c r="BP267" s="435">
        <v>0</v>
      </c>
      <c r="BQ267" s="435">
        <v>0</v>
      </c>
      <c r="BR267" s="435">
        <v>0</v>
      </c>
      <c r="BS267" s="435">
        <v>0</v>
      </c>
      <c r="BT267" s="435">
        <v>0</v>
      </c>
      <c r="BU267" s="435">
        <v>0</v>
      </c>
      <c r="BV267" s="435">
        <v>0</v>
      </c>
      <c r="BW267" s="435">
        <v>0</v>
      </c>
      <c r="BX267" s="435">
        <v>0</v>
      </c>
      <c r="BY267" s="435">
        <v>0</v>
      </c>
      <c r="BZ267" s="435">
        <v>0</v>
      </c>
      <c r="CA267" s="435">
        <v>0</v>
      </c>
      <c r="CB267" s="435">
        <v>0</v>
      </c>
      <c r="CC267" s="435">
        <v>0</v>
      </c>
      <c r="CD267" s="435">
        <v>0</v>
      </c>
      <c r="CE267" s="435">
        <v>0</v>
      </c>
      <c r="CF267" s="435">
        <v>0</v>
      </c>
      <c r="CG267" s="435">
        <v>0</v>
      </c>
      <c r="CH267" s="435">
        <v>0</v>
      </c>
      <c r="CI267" s="435">
        <v>0</v>
      </c>
      <c r="CJ267" s="435">
        <v>0</v>
      </c>
      <c r="CK267" s="435">
        <v>0</v>
      </c>
      <c r="CL267" s="435">
        <v>0</v>
      </c>
      <c r="CM267" s="435">
        <v>0</v>
      </c>
      <c r="CN267" s="435">
        <v>0</v>
      </c>
      <c r="CO267" s="435">
        <v>0</v>
      </c>
      <c r="CP267" s="435">
        <v>0</v>
      </c>
      <c r="CQ267" s="435">
        <v>0</v>
      </c>
      <c r="CR267" s="435">
        <v>0</v>
      </c>
      <c r="CS267" s="435">
        <v>0</v>
      </c>
      <c r="CT267" s="435">
        <v>0</v>
      </c>
      <c r="CU267" s="435">
        <v>0</v>
      </c>
      <c r="CV267" s="435">
        <v>0</v>
      </c>
      <c r="CW267" s="435">
        <v>0</v>
      </c>
    </row>
    <row r="268" spans="1:101" s="9" customFormat="1" ht="11.25">
      <c r="A268" s="930"/>
      <c r="B268" s="812"/>
      <c r="C268" s="812"/>
      <c r="D268" s="812"/>
      <c r="E268" s="812"/>
      <c r="F268" s="812"/>
      <c r="G268" s="812"/>
      <c r="H268" s="812"/>
      <c r="I268" s="812"/>
      <c r="J268" s="812"/>
      <c r="K268" s="812"/>
      <c r="L268" s="812"/>
      <c r="M268" s="812"/>
      <c r="N268" s="812"/>
      <c r="O268" s="812"/>
      <c r="P268" s="812"/>
      <c r="Q268" s="812"/>
      <c r="R268" s="812"/>
      <c r="S268" s="812"/>
      <c r="T268" s="812"/>
      <c r="U268" s="813"/>
      <c r="V268" s="813"/>
      <c r="W268" s="813"/>
      <c r="X268" s="813"/>
      <c r="Y268" s="813"/>
      <c r="Z268" s="813"/>
      <c r="AA268" s="813"/>
      <c r="AB268" s="813"/>
      <c r="AC268" s="37"/>
      <c r="AD268" s="37"/>
      <c r="AE268" s="2163"/>
      <c r="AF268" s="37"/>
      <c r="AG268" s="37"/>
      <c r="AH268" s="37"/>
      <c r="AI268" s="37"/>
      <c r="AJ268" s="37"/>
      <c r="AK268" s="37"/>
      <c r="AL268" s="37"/>
      <c r="AM268" s="59"/>
      <c r="AN268" s="1504"/>
      <c r="AO268" s="966"/>
      <c r="AP268" s="872"/>
      <c r="AQ268" s="872"/>
      <c r="AR268" s="872"/>
      <c r="AS268" s="1714"/>
      <c r="AT268" s="1714"/>
      <c r="AU268" s="1714"/>
      <c r="AV268" s="1714"/>
      <c r="AW268" s="1714"/>
      <c r="AX268" s="1714"/>
      <c r="AY268" s="1714"/>
      <c r="AZ268" s="1714"/>
      <c r="BA268" s="1714"/>
      <c r="BB268" s="1714"/>
      <c r="BC268" s="1714"/>
      <c r="BD268" s="1714"/>
      <c r="BE268" s="1714"/>
      <c r="BF268" s="1714"/>
      <c r="BG268" s="1714"/>
      <c r="BH268" s="1714"/>
      <c r="BI268" s="1714"/>
      <c r="BJ268" s="1714"/>
      <c r="BK268" s="1503"/>
      <c r="BL268" s="673"/>
      <c r="BM268" s="673"/>
      <c r="BN268" s="673"/>
      <c r="BO268" s="673"/>
      <c r="BP268" s="673"/>
      <c r="BQ268" s="673"/>
      <c r="BR268" s="673"/>
      <c r="BS268" s="673"/>
      <c r="BT268" s="673"/>
      <c r="BU268" s="673"/>
      <c r="BV268" s="673"/>
      <c r="BW268" s="673"/>
      <c r="BX268" s="673"/>
      <c r="BY268" s="673"/>
      <c r="BZ268" s="673"/>
      <c r="CA268" s="673"/>
      <c r="CB268" s="673"/>
      <c r="CC268" s="673"/>
      <c r="CD268" s="673"/>
      <c r="CE268" s="673"/>
      <c r="CF268" s="673"/>
      <c r="CG268" s="673"/>
      <c r="CH268" s="673"/>
      <c r="CI268" s="673"/>
      <c r="CJ268" s="673"/>
      <c r="CK268" s="673"/>
      <c r="CL268" s="673"/>
      <c r="CM268" s="673"/>
      <c r="CN268" s="673"/>
      <c r="CO268" s="673"/>
      <c r="CP268" s="673"/>
      <c r="CQ268" s="673"/>
      <c r="CR268" s="673"/>
      <c r="CS268" s="673"/>
      <c r="CT268" s="673"/>
      <c r="CU268" s="673"/>
      <c r="CV268" s="673"/>
      <c r="CW268" s="673"/>
    </row>
    <row r="269" spans="1:101" s="9" customFormat="1" ht="11.25">
      <c r="A269" s="958" t="s">
        <v>1030</v>
      </c>
      <c r="B269" s="812"/>
      <c r="C269" s="337"/>
      <c r="D269" s="337"/>
      <c r="E269" s="337"/>
      <c r="F269" s="337"/>
      <c r="G269" s="337"/>
      <c r="H269" s="337"/>
      <c r="I269" s="337"/>
      <c r="J269" s="337"/>
      <c r="K269" s="337"/>
      <c r="L269" s="337"/>
      <c r="M269" s="337"/>
      <c r="N269" s="337"/>
      <c r="O269" s="337"/>
      <c r="P269" s="337"/>
      <c r="Q269" s="337"/>
      <c r="R269" s="337"/>
      <c r="S269" s="337"/>
      <c r="T269" s="337"/>
      <c r="U269" s="337">
        <f>+Q_Financials!U87</f>
        <v>2166.2809999999999</v>
      </c>
      <c r="V269" s="337">
        <f>+Q_Financials!V87</f>
        <v>2064.9270000000001</v>
      </c>
      <c r="W269" s="337">
        <f>+Q_Financials!W87</f>
        <v>3187.0790000000002</v>
      </c>
      <c r="X269" s="337">
        <f>+Q_Financials!X87</f>
        <v>3829.864</v>
      </c>
      <c r="Y269" s="337">
        <f>+Q_Financials!Y87</f>
        <v>7370.6660000000002</v>
      </c>
      <c r="Z269" s="337">
        <f>+Q_Financials!Z87</f>
        <v>4210.8710000000001</v>
      </c>
      <c r="AA269" s="337">
        <f>+Q_Financials!AA87</f>
        <v>4306.2550000000001</v>
      </c>
      <c r="AB269" s="337">
        <f>+Q_Financials!AB87</f>
        <v>5162.3320000000003</v>
      </c>
      <c r="AC269" s="337">
        <f>+Q_Financials!AC87</f>
        <v>5018.7219999999998</v>
      </c>
      <c r="AD269" s="337">
        <f>+Q_Financials!AD87</f>
        <v>5047.8209999999999</v>
      </c>
      <c r="AE269" s="2157">
        <f>+Q_Financials!AE87</f>
        <v>6336.0839999999998</v>
      </c>
      <c r="AF269" s="337">
        <f>+Q_Financials!AF87</f>
        <v>8986.2000000000007</v>
      </c>
      <c r="AG269" s="337">
        <f>+Q_Financials!AG87</f>
        <v>9743.8060000000005</v>
      </c>
      <c r="AH269" s="337">
        <f>+Q_Financials!AH87</f>
        <v>9588.8439999999991</v>
      </c>
      <c r="AI269" s="337">
        <f>+Q_Financials!AI87</f>
        <v>10148.556</v>
      </c>
      <c r="AJ269" s="337">
        <f>+Q_Financials!AJ87</f>
        <v>10468.618</v>
      </c>
      <c r="AK269" s="337">
        <f>+Q_Financials!AK87</f>
        <v>6693.4539999999997</v>
      </c>
      <c r="AL269" s="337">
        <f>+Q_Financials!AL87</f>
        <v>6458.473</v>
      </c>
      <c r="AM269" s="337">
        <f>+Q_Financials!AM87</f>
        <v>7736.6629999999996</v>
      </c>
      <c r="AN269" s="337">
        <f>+Q_Financials!AN87</f>
        <v>5739.0469999999996</v>
      </c>
      <c r="AO269" s="337">
        <f>+Q_Financials!AO87</f>
        <v>16038.415999999999</v>
      </c>
      <c r="AP269" s="337">
        <f>+Q_Financials!AP87</f>
        <v>17616.066999999999</v>
      </c>
      <c r="AQ269" s="337">
        <f>+Q_Financials!AQ87</f>
        <v>18452.894</v>
      </c>
      <c r="AR269" s="337">
        <f>+Q_Financials!AR87</f>
        <v>18216.196</v>
      </c>
      <c r="AS269" s="337">
        <f>+Q_Financials!AS87</f>
        <v>17102.448</v>
      </c>
      <c r="AT269" s="337">
        <f>+Q_Financials!AT87</f>
        <v>19895.825000000001</v>
      </c>
      <c r="AU269" s="337">
        <f>+Q_Financials!AU87</f>
        <v>20853.526000000002</v>
      </c>
      <c r="AV269" s="337">
        <f>+Q_Financials!AV87</f>
        <v>20751.552</v>
      </c>
      <c r="AW269" s="337">
        <f>+Q_Financials!AW87</f>
        <v>24854</v>
      </c>
      <c r="AX269" s="337">
        <f t="shared" ref="AX269:BI269" si="1552">AX58+AX123+AX207</f>
        <v>1488</v>
      </c>
      <c r="AY269" s="337">
        <f t="shared" si="1552"/>
        <v>2447</v>
      </c>
      <c r="AZ269" s="337">
        <f t="shared" si="1552"/>
        <v>2695</v>
      </c>
      <c r="BA269" s="337">
        <f t="shared" si="1552"/>
        <v>4001</v>
      </c>
      <c r="BB269" s="337">
        <f t="shared" si="1552"/>
        <v>2809</v>
      </c>
      <c r="BC269" s="337">
        <f t="shared" si="1552"/>
        <v>3263</v>
      </c>
      <c r="BD269" s="337">
        <f t="shared" si="1552"/>
        <v>3081</v>
      </c>
      <c r="BE269" s="337">
        <f t="shared" si="1552"/>
        <v>3606</v>
      </c>
      <c r="BF269" s="337">
        <f t="shared" si="1552"/>
        <v>3202</v>
      </c>
      <c r="BG269" s="337">
        <f t="shared" si="1552"/>
        <v>3749</v>
      </c>
      <c r="BH269" s="337">
        <f t="shared" si="1552"/>
        <v>3753</v>
      </c>
      <c r="BI269" s="337">
        <f t="shared" si="1552"/>
        <v>4053</v>
      </c>
      <c r="BJ269" s="337">
        <f>BJ58+BJ123+BJ207</f>
        <v>3582</v>
      </c>
      <c r="BK269" s="1379">
        <f>BK58+BK123+BK207</f>
        <v>3794</v>
      </c>
      <c r="BL269" s="338">
        <f t="shared" ref="BL269:CW269" si="1553">+BL270*BL251</f>
        <v>0</v>
      </c>
      <c r="BM269" s="338">
        <f t="shared" si="1553"/>
        <v>0</v>
      </c>
      <c r="BN269" s="338">
        <f t="shared" si="1553"/>
        <v>0</v>
      </c>
      <c r="BO269" s="338">
        <f t="shared" si="1553"/>
        <v>0</v>
      </c>
      <c r="BP269" s="338">
        <f t="shared" si="1553"/>
        <v>0</v>
      </c>
      <c r="BQ269" s="338">
        <f t="shared" si="1553"/>
        <v>0</v>
      </c>
      <c r="BR269" s="338">
        <f t="shared" si="1553"/>
        <v>0</v>
      </c>
      <c r="BS269" s="338">
        <f t="shared" si="1553"/>
        <v>0</v>
      </c>
      <c r="BT269" s="338">
        <f t="shared" si="1553"/>
        <v>0</v>
      </c>
      <c r="BU269" s="338">
        <f t="shared" si="1553"/>
        <v>0</v>
      </c>
      <c r="BV269" s="338">
        <f t="shared" si="1553"/>
        <v>0</v>
      </c>
      <c r="BW269" s="338">
        <f t="shared" si="1553"/>
        <v>0</v>
      </c>
      <c r="BX269" s="338">
        <f t="shared" si="1553"/>
        <v>0</v>
      </c>
      <c r="BY269" s="338">
        <f t="shared" si="1553"/>
        <v>0</v>
      </c>
      <c r="BZ269" s="338">
        <f t="shared" si="1553"/>
        <v>0</v>
      </c>
      <c r="CA269" s="338">
        <f t="shared" si="1553"/>
        <v>0</v>
      </c>
      <c r="CB269" s="338">
        <f t="shared" si="1553"/>
        <v>0</v>
      </c>
      <c r="CC269" s="338">
        <f t="shared" si="1553"/>
        <v>0</v>
      </c>
      <c r="CD269" s="338">
        <f t="shared" si="1553"/>
        <v>0</v>
      </c>
      <c r="CE269" s="338">
        <f t="shared" si="1553"/>
        <v>0</v>
      </c>
      <c r="CF269" s="338">
        <f t="shared" si="1553"/>
        <v>0</v>
      </c>
      <c r="CG269" s="338">
        <f t="shared" si="1553"/>
        <v>0</v>
      </c>
      <c r="CH269" s="338">
        <f t="shared" si="1553"/>
        <v>0</v>
      </c>
      <c r="CI269" s="338">
        <f t="shared" si="1553"/>
        <v>0</v>
      </c>
      <c r="CJ269" s="338">
        <f t="shared" si="1553"/>
        <v>0</v>
      </c>
      <c r="CK269" s="338">
        <f t="shared" si="1553"/>
        <v>0</v>
      </c>
      <c r="CL269" s="338">
        <f t="shared" si="1553"/>
        <v>0</v>
      </c>
      <c r="CM269" s="338">
        <f t="shared" si="1553"/>
        <v>0</v>
      </c>
      <c r="CN269" s="338">
        <f t="shared" si="1553"/>
        <v>0</v>
      </c>
      <c r="CO269" s="338">
        <f t="shared" si="1553"/>
        <v>0</v>
      </c>
      <c r="CP269" s="338">
        <f t="shared" si="1553"/>
        <v>0</v>
      </c>
      <c r="CQ269" s="338">
        <f t="shared" si="1553"/>
        <v>0</v>
      </c>
      <c r="CR269" s="338">
        <f t="shared" si="1553"/>
        <v>0</v>
      </c>
      <c r="CS269" s="338">
        <f t="shared" si="1553"/>
        <v>0</v>
      </c>
      <c r="CT269" s="338">
        <f t="shared" si="1553"/>
        <v>0</v>
      </c>
      <c r="CU269" s="338">
        <f t="shared" si="1553"/>
        <v>0</v>
      </c>
      <c r="CV269" s="338">
        <f t="shared" si="1553"/>
        <v>0</v>
      </c>
      <c r="CW269" s="338">
        <f t="shared" si="1553"/>
        <v>0</v>
      </c>
    </row>
    <row r="270" spans="1:101" s="9" customFormat="1" ht="11.25">
      <c r="A270" s="903" t="s">
        <v>979</v>
      </c>
      <c r="B270" s="812"/>
      <c r="C270" s="812"/>
      <c r="D270" s="812"/>
      <c r="E270" s="812"/>
      <c r="F270" s="812"/>
      <c r="G270" s="812"/>
      <c r="H270" s="812"/>
      <c r="I270" s="812"/>
      <c r="J270" s="812"/>
      <c r="K270" s="812"/>
      <c r="L270" s="812"/>
      <c r="M270" s="812"/>
      <c r="N270" s="812"/>
      <c r="O270" s="812"/>
      <c r="P270" s="812"/>
      <c r="Q270" s="812"/>
      <c r="R270" s="812"/>
      <c r="S270" s="812"/>
      <c r="T270" s="812"/>
      <c r="U270" s="813">
        <f t="shared" ref="U270:AW270" si="1554">+U269/U251</f>
        <v>8300.693672419864</v>
      </c>
      <c r="V270" s="813">
        <f t="shared" si="1554"/>
        <v>10385.910333228954</v>
      </c>
      <c r="W270" s="813">
        <f t="shared" si="1554"/>
        <v>8210.4851225659095</v>
      </c>
      <c r="X270" s="813">
        <f t="shared" si="1554"/>
        <v>8776.1922801422697</v>
      </c>
      <c r="Y270" s="813">
        <f t="shared" si="1554"/>
        <v>8747.4961332684961</v>
      </c>
      <c r="Z270" s="813">
        <f t="shared" si="1554"/>
        <v>7409.5297256528356</v>
      </c>
      <c r="AA270" s="813">
        <f t="shared" si="1554"/>
        <v>18499.617636855033</v>
      </c>
      <c r="AB270" s="813">
        <f t="shared" si="1554"/>
        <v>23268.299953060665</v>
      </c>
      <c r="AC270" s="813">
        <f t="shared" si="1554"/>
        <v>-82471.718208676408</v>
      </c>
      <c r="AD270" s="813">
        <f t="shared" si="1554"/>
        <v>30549.452891683697</v>
      </c>
      <c r="AE270" s="2144">
        <f t="shared" si="1554"/>
        <v>30892.4955502681</v>
      </c>
      <c r="AF270" s="813">
        <f t="shared" si="1554"/>
        <v>59577.398250334292</v>
      </c>
      <c r="AG270" s="813">
        <f t="shared" si="1554"/>
        <v>56509.535398148313</v>
      </c>
      <c r="AH270" s="813">
        <f t="shared" si="1554"/>
        <v>42718.146571269142</v>
      </c>
      <c r="AI270" s="813">
        <f t="shared" si="1554"/>
        <v>59501.513301501931</v>
      </c>
      <c r="AJ270" s="813">
        <f t="shared" si="1554"/>
        <v>73469.127026048023</v>
      </c>
      <c r="AK270" s="813">
        <f t="shared" si="1554"/>
        <v>44277.051875231053</v>
      </c>
      <c r="AL270" s="813">
        <f t="shared" si="1554"/>
        <v>21403.465960176647</v>
      </c>
      <c r="AM270" s="84">
        <f t="shared" si="1554"/>
        <v>25759.465727743835</v>
      </c>
      <c r="AN270" s="84">
        <f t="shared" si="1554"/>
        <v>23358.518564607439</v>
      </c>
      <c r="AO270" s="84">
        <f t="shared" si="1554"/>
        <v>71095.273108703084</v>
      </c>
      <c r="AP270" s="84">
        <f t="shared" si="1554"/>
        <v>75720.073430467848</v>
      </c>
      <c r="AQ270" s="84">
        <f t="shared" si="1554"/>
        <v>65010.269857946922</v>
      </c>
      <c r="AR270" s="84">
        <f t="shared" si="1554"/>
        <v>49412.895338193273</v>
      </c>
      <c r="AS270" s="84">
        <f t="shared" si="1554"/>
        <v>59756.608424576545</v>
      </c>
      <c r="AT270" s="84">
        <f t="shared" si="1554"/>
        <v>-194548.70419784979</v>
      </c>
      <c r="AU270" s="84">
        <f t="shared" si="1554"/>
        <v>-32567.166236005382</v>
      </c>
      <c r="AV270" s="84">
        <f t="shared" si="1554"/>
        <v>-60293.172903061299</v>
      </c>
      <c r="AW270" s="84">
        <f t="shared" si="1554"/>
        <v>-96037.154905758944</v>
      </c>
      <c r="AX270" s="84">
        <f t="shared" ref="AX270:BI270" si="1555">AX269/AX245</f>
        <v>0.14571500925309894</v>
      </c>
      <c r="AY270" s="84">
        <f t="shared" si="1555"/>
        <v>0.1961150781158334</v>
      </c>
      <c r="AZ270" s="84">
        <f t="shared" si="1555"/>
        <v>0.19307543374808134</v>
      </c>
      <c r="BA270" s="84">
        <f t="shared" si="1555"/>
        <v>0.23912103863517048</v>
      </c>
      <c r="BB270" s="84">
        <f t="shared" si="1555"/>
        <v>0.1844607360318273</v>
      </c>
      <c r="BC270" s="84">
        <f t="shared" si="1555"/>
        <v>0.19263093117898394</v>
      </c>
      <c r="BD270" s="84">
        <f t="shared" si="1555"/>
        <v>0.17587447460283537</v>
      </c>
      <c r="BE270" s="84">
        <f t="shared" si="1555"/>
        <v>0.18834390447882429</v>
      </c>
      <c r="BF270" s="84">
        <f t="shared" si="1555"/>
        <v>0.18125574455325638</v>
      </c>
      <c r="BG270" s="84">
        <f t="shared" si="1555"/>
        <v>0.19784962942643028</v>
      </c>
      <c r="BH270" s="84">
        <f t="shared" si="1555"/>
        <v>0.19275834677539888</v>
      </c>
      <c r="BI270" s="84">
        <f t="shared" si="1555"/>
        <v>0.20117445577792842</v>
      </c>
      <c r="BJ270" s="84">
        <f>BJ269/BJ245</f>
        <v>0.19678260982304507</v>
      </c>
      <c r="BK270" s="801">
        <f>BK269/BK245</f>
        <v>0.19704954404117037</v>
      </c>
      <c r="BL270" s="673">
        <f>Inputs!BL306</f>
        <v>0</v>
      </c>
      <c r="BM270" s="673">
        <f>Inputs!BM306</f>
        <v>0</v>
      </c>
      <c r="BN270" s="673">
        <f>Inputs!BN306</f>
        <v>0</v>
      </c>
      <c r="BO270" s="673">
        <f>Inputs!BO306</f>
        <v>0</v>
      </c>
      <c r="BP270" s="673">
        <f>Inputs!BP306</f>
        <v>0</v>
      </c>
      <c r="BQ270" s="673">
        <f>Inputs!BQ306</f>
        <v>0</v>
      </c>
      <c r="BR270" s="673">
        <f>Inputs!BR306</f>
        <v>0</v>
      </c>
      <c r="BS270" s="673">
        <f>Inputs!BS306</f>
        <v>0</v>
      </c>
      <c r="BT270" s="673">
        <f>Inputs!BT306</f>
        <v>0</v>
      </c>
      <c r="BU270" s="673">
        <f>Inputs!BU306</f>
        <v>0</v>
      </c>
      <c r="BV270" s="673">
        <f>Inputs!BV306</f>
        <v>0</v>
      </c>
      <c r="BW270" s="673">
        <f>Inputs!BW306</f>
        <v>0</v>
      </c>
      <c r="BX270" s="673">
        <f>Inputs!BX306</f>
        <v>0</v>
      </c>
      <c r="BY270" s="673">
        <f>Inputs!BY306</f>
        <v>0</v>
      </c>
      <c r="BZ270" s="673">
        <f>Inputs!BZ306</f>
        <v>0</v>
      </c>
      <c r="CA270" s="673">
        <f>Inputs!CA306</f>
        <v>0</v>
      </c>
      <c r="CB270" s="673">
        <f>Inputs!CB306</f>
        <v>0</v>
      </c>
      <c r="CC270" s="673">
        <f>Inputs!CC306</f>
        <v>0</v>
      </c>
      <c r="CD270" s="673">
        <f>Inputs!CD306</f>
        <v>0</v>
      </c>
      <c r="CE270" s="673">
        <f>Inputs!CE306</f>
        <v>0</v>
      </c>
      <c r="CF270" s="673">
        <f>Inputs!CF306</f>
        <v>0</v>
      </c>
      <c r="CG270" s="673">
        <f>Inputs!CG306</f>
        <v>0</v>
      </c>
      <c r="CH270" s="673">
        <f>Inputs!CH306</f>
        <v>0</v>
      </c>
      <c r="CI270" s="673">
        <f>Inputs!CI306</f>
        <v>0</v>
      </c>
      <c r="CJ270" s="673">
        <f>Inputs!CJ306</f>
        <v>0</v>
      </c>
      <c r="CK270" s="673">
        <f>Inputs!CK306</f>
        <v>0</v>
      </c>
      <c r="CL270" s="673">
        <f>Inputs!CL306</f>
        <v>0</v>
      </c>
      <c r="CM270" s="673">
        <f>Inputs!CM306</f>
        <v>0</v>
      </c>
      <c r="CN270" s="673">
        <f>Inputs!CN306</f>
        <v>0</v>
      </c>
      <c r="CO270" s="673">
        <f>Inputs!CO306</f>
        <v>0</v>
      </c>
      <c r="CP270" s="673">
        <f>Inputs!CP306</f>
        <v>0</v>
      </c>
      <c r="CQ270" s="673">
        <f>Inputs!CQ306</f>
        <v>0</v>
      </c>
      <c r="CR270" s="673">
        <f>Inputs!CR306</f>
        <v>0</v>
      </c>
      <c r="CS270" s="673">
        <f>Inputs!CS306</f>
        <v>0</v>
      </c>
      <c r="CT270" s="673">
        <f>Inputs!CT306</f>
        <v>0</v>
      </c>
      <c r="CU270" s="673">
        <f>Inputs!CU306</f>
        <v>0</v>
      </c>
      <c r="CV270" s="673">
        <f>Inputs!CV306</f>
        <v>0</v>
      </c>
      <c r="CW270" s="673">
        <f>Inputs!CW306</f>
        <v>0</v>
      </c>
    </row>
    <row r="271" spans="1:101" s="9" customFormat="1" ht="11.25">
      <c r="A271" s="903" t="s">
        <v>1031</v>
      </c>
      <c r="B271" s="812"/>
      <c r="C271" s="812"/>
      <c r="D271" s="812"/>
      <c r="E271" s="812"/>
      <c r="F271" s="812"/>
      <c r="G271" s="812"/>
      <c r="H271" s="812"/>
      <c r="I271" s="812"/>
      <c r="J271" s="812"/>
      <c r="K271" s="812"/>
      <c r="L271" s="812"/>
      <c r="M271" s="812"/>
      <c r="N271" s="812"/>
      <c r="O271" s="812"/>
      <c r="P271" s="812"/>
      <c r="Q271" s="812"/>
      <c r="R271" s="812"/>
      <c r="S271" s="812"/>
      <c r="T271" s="812"/>
      <c r="U271" s="813"/>
      <c r="V271" s="813"/>
      <c r="W271" s="813"/>
      <c r="X271" s="813"/>
      <c r="Y271" s="959">
        <f t="shared" ref="Y271" si="1556">+(Y270-U270)*10000</f>
        <v>4468024.6084863208</v>
      </c>
      <c r="Z271" s="959">
        <f t="shared" ref="Z271" si="1557">+(Z270-V270)*10000</f>
        <v>-29763806.075761184</v>
      </c>
      <c r="AA271" s="959">
        <f t="shared" ref="AA271" si="1558">+(AA270-W270)*10000</f>
        <v>102891325.14289124</v>
      </c>
      <c r="AB271" s="959">
        <f t="shared" ref="AB271" si="1559">+(AB270-X270)*10000</f>
        <v>144921076.72918394</v>
      </c>
      <c r="AC271" s="959">
        <f t="shared" ref="AC271" si="1560">+(AC270-Y270)*10000</f>
        <v>-912192143.41944897</v>
      </c>
      <c r="AD271" s="959">
        <f t="shared" ref="AD271" si="1561">+(AD270-Z270)*10000</f>
        <v>231399231.66030863</v>
      </c>
      <c r="AE271" s="2145">
        <f t="shared" ref="AE271" si="1562">+(AE270-AA270)*10000</f>
        <v>123928779.13413067</v>
      </c>
      <c r="AF271" s="959">
        <f t="shared" ref="AF271" si="1563">+(AF270-AB270)*10000</f>
        <v>363090982.97273624</v>
      </c>
      <c r="AG271" s="959">
        <f t="shared" ref="AG271" si="1564">+(AG270-AC270)*10000</f>
        <v>1389812536.0682473</v>
      </c>
      <c r="AH271" s="959">
        <f t="shared" ref="AH271" si="1565">+(AH270-AD270)*10000</f>
        <v>121686936.79585445</v>
      </c>
      <c r="AI271" s="959">
        <f t="shared" ref="AI271" si="1566">+(AI270-AE270)*10000</f>
        <v>286090177.51233828</v>
      </c>
      <c r="AJ271" s="959">
        <f t="shared" ref="AJ271" si="1567">+(AJ270-AF270)*10000</f>
        <v>138917287.7571373</v>
      </c>
      <c r="AK271" s="959">
        <f t="shared" ref="AK271" si="1568">+(AK270-AG270)*10000</f>
        <v>-122324835.2291726</v>
      </c>
      <c r="AL271" s="959">
        <f t="shared" ref="AL271" si="1569">+(AL270-AH270)*10000</f>
        <v>-213146806.11092496</v>
      </c>
      <c r="AM271" s="969">
        <f t="shared" ref="AM271" si="1570">+(AM270-AI270)*10000</f>
        <v>-337420475.73758101</v>
      </c>
      <c r="AN271" s="969">
        <f t="shared" ref="AN271" si="1571">+(AN270-AJ270)*10000</f>
        <v>-501106084.61440587</v>
      </c>
      <c r="AO271" s="969">
        <f t="shared" ref="AO271" si="1572">+(AO270-AK270)*10000</f>
        <v>268182212.33472031</v>
      </c>
      <c r="AP271" s="969">
        <f t="shared" ref="AP271" si="1573">+(AP270-AL270)*10000</f>
        <v>543166074.70291197</v>
      </c>
      <c r="AQ271" s="969">
        <f t="shared" ref="AQ271" si="1574">+(AQ270-AM270)*10000</f>
        <v>392508041.30203092</v>
      </c>
      <c r="AR271" s="969">
        <f t="shared" ref="AR271" si="1575">+(AR270-AN270)*10000</f>
        <v>260543767.73585835</v>
      </c>
      <c r="AS271" s="969">
        <f t="shared" ref="AS271" si="1576">+(AS270-AO270)*10000</f>
        <v>-113386646.8412654</v>
      </c>
      <c r="AT271" s="969">
        <f t="shared" ref="AT271" si="1577">+(AT270-AP270)*10000</f>
        <v>-2702687776.2831764</v>
      </c>
      <c r="AU271" s="969">
        <f t="shared" ref="AU271" si="1578">+(AU270-AQ270)*10000</f>
        <v>-975774360.93952298</v>
      </c>
      <c r="AV271" s="969">
        <f t="shared" ref="AV271" si="1579">+(AV270-AR270)*10000</f>
        <v>-1097060682.4125457</v>
      </c>
      <c r="AW271" s="969">
        <f t="shared" ref="AW271" si="1580">+(AW270-AS270)*10000</f>
        <v>-1557937633.303355</v>
      </c>
      <c r="AX271" s="969">
        <f t="shared" ref="AX271" si="1581">+(AX270-AT270)*10000</f>
        <v>1945488499.1285903</v>
      </c>
      <c r="AY271" s="969">
        <f t="shared" ref="AY271" si="1582">+(AY270-AU270)*10000</f>
        <v>325673623.51083499</v>
      </c>
      <c r="AZ271" s="969">
        <f t="shared" ref="AZ271" si="1583">+(AZ270-AV270)*10000</f>
        <v>602933659.78495038</v>
      </c>
      <c r="BA271" s="969">
        <f t="shared" ref="BA271" si="1584">+(BA270-AW270)*10000</f>
        <v>960373940.26797581</v>
      </c>
      <c r="BB271" s="969">
        <f t="shared" ref="BB271" si="1585">+(BB270-AX270)*10000</f>
        <v>387.45726778728368</v>
      </c>
      <c r="BC271" s="969">
        <f t="shared" ref="BC271" si="1586">+(BC270-AY270)*10000</f>
        <v>-34.841469368494529</v>
      </c>
      <c r="BD271" s="969">
        <f t="shared" ref="BD271" si="1587">+(BD270-AZ270)*10000</f>
        <v>-172.00959145245969</v>
      </c>
      <c r="BE271" s="969">
        <f t="shared" ref="BE271" si="1588">+(BE270-BA270)*10000</f>
        <v>-507.77134156346187</v>
      </c>
      <c r="BF271" s="969">
        <f t="shared" ref="BF271" si="1589">+(BF270-BB270)*10000</f>
        <v>-32.049914785709234</v>
      </c>
      <c r="BG271" s="969">
        <f t="shared" ref="BG271" si="1590">+(BG270-BC270)*10000</f>
        <v>52.186982474463349</v>
      </c>
      <c r="BH271" s="969">
        <f t="shared" ref="BH271" si="1591">+(BH270-BD270)*10000</f>
        <v>168.83872172563514</v>
      </c>
      <c r="BI271" s="969">
        <f t="shared" ref="BI271" si="1592">+(BI270-BE270)*10000</f>
        <v>128.30551299104127</v>
      </c>
      <c r="BJ271" s="969">
        <f t="shared" ref="BJ271:BK271" si="1593">+(BJ270-BF270)*10000</f>
        <v>155.26865269788692</v>
      </c>
      <c r="BK271" s="1372">
        <f t="shared" si="1593"/>
        <v>-8.000853852599132</v>
      </c>
      <c r="BL271" s="1015">
        <f t="shared" ref="BL271" si="1594">+(BL270-BH270)*10000</f>
        <v>-1927.5834677539888</v>
      </c>
      <c r="BM271" s="1015">
        <f t="shared" ref="BM271" si="1595">+(BM270-BI270)*10000</f>
        <v>-2011.7445577792842</v>
      </c>
      <c r="BN271" s="1015">
        <f t="shared" ref="BN271" si="1596">+(BN270-BJ270)*10000</f>
        <v>-1967.8260982304507</v>
      </c>
      <c r="BO271" s="1015">
        <f t="shared" ref="BO271" si="1597">+(BO270-BK270)*10000</f>
        <v>-1970.4954404117036</v>
      </c>
      <c r="BP271" s="1015">
        <f t="shared" ref="BP271" si="1598">+(BP270-BL270)*10000</f>
        <v>0</v>
      </c>
      <c r="BQ271" s="1015">
        <f t="shared" ref="BQ271" si="1599">+(BQ270-BM270)*10000</f>
        <v>0</v>
      </c>
      <c r="BR271" s="1015">
        <f t="shared" ref="BR271" si="1600">+(BR270-BN270)*10000</f>
        <v>0</v>
      </c>
      <c r="BS271" s="1015">
        <f t="shared" ref="BS271" si="1601">+(BS270-BO270)*10000</f>
        <v>0</v>
      </c>
      <c r="BT271" s="1015">
        <f t="shared" ref="BT271" si="1602">+(BT270-BP270)*10000</f>
        <v>0</v>
      </c>
      <c r="BU271" s="1015">
        <f t="shared" ref="BU271" si="1603">+(BU270-BQ270)*10000</f>
        <v>0</v>
      </c>
      <c r="BV271" s="1015">
        <f t="shared" ref="BV271" si="1604">+(BV270-BR270)*10000</f>
        <v>0</v>
      </c>
      <c r="BW271" s="1015">
        <f t="shared" ref="BW271" si="1605">+(BW270-BS270)*10000</f>
        <v>0</v>
      </c>
      <c r="BX271" s="1015">
        <f t="shared" ref="BX271" si="1606">+(BX270-BT270)*10000</f>
        <v>0</v>
      </c>
      <c r="BY271" s="1015">
        <f t="shared" ref="BY271" si="1607">+(BY270-BU270)*10000</f>
        <v>0</v>
      </c>
      <c r="BZ271" s="1015">
        <f t="shared" ref="BZ271" si="1608">+(BZ270-BV270)*10000</f>
        <v>0</v>
      </c>
      <c r="CA271" s="1015">
        <f t="shared" ref="CA271" si="1609">+(CA270-BW270)*10000</f>
        <v>0</v>
      </c>
      <c r="CB271" s="1015">
        <f t="shared" ref="CB271" si="1610">+(CB270-BX270)*10000</f>
        <v>0</v>
      </c>
      <c r="CC271" s="1015">
        <f t="shared" ref="CC271" si="1611">+(CC270-BY270)*10000</f>
        <v>0</v>
      </c>
      <c r="CD271" s="1015">
        <f t="shared" ref="CD271" si="1612">+(CD270-BZ270)*10000</f>
        <v>0</v>
      </c>
      <c r="CE271" s="1015">
        <f t="shared" ref="CE271" si="1613">+(CE270-CA270)*10000</f>
        <v>0</v>
      </c>
      <c r="CF271" s="1015">
        <f t="shared" ref="CF271" si="1614">+(CF270-CB270)*10000</f>
        <v>0</v>
      </c>
      <c r="CG271" s="1015">
        <f t="shared" ref="CG271" si="1615">+(CG270-CC270)*10000</f>
        <v>0</v>
      </c>
      <c r="CH271" s="1015">
        <f t="shared" ref="CH271" si="1616">+(CH270-CD270)*10000</f>
        <v>0</v>
      </c>
      <c r="CI271" s="1015">
        <f t="shared" ref="CI271" si="1617">+(CI270-CE270)*10000</f>
        <v>0</v>
      </c>
      <c r="CJ271" s="1015">
        <f t="shared" ref="CJ271" si="1618">+(CJ270-CF270)*10000</f>
        <v>0</v>
      </c>
      <c r="CK271" s="1015">
        <f t="shared" ref="CK271" si="1619">+(CK270-CG270)*10000</f>
        <v>0</v>
      </c>
      <c r="CL271" s="1015">
        <f t="shared" ref="CL271" si="1620">+(CL270-CH270)*10000</f>
        <v>0</v>
      </c>
      <c r="CM271" s="1015">
        <f t="shared" ref="CM271" si="1621">+(CM270-CI270)*10000</f>
        <v>0</v>
      </c>
      <c r="CN271" s="1015">
        <f t="shared" ref="CN271" si="1622">+(CN270-CJ270)*10000</f>
        <v>0</v>
      </c>
      <c r="CO271" s="1015">
        <f t="shared" ref="CO271" si="1623">+(CO270-CK270)*10000</f>
        <v>0</v>
      </c>
      <c r="CP271" s="1015">
        <f t="shared" ref="CP271" si="1624">+(CP270-CL270)*10000</f>
        <v>0</v>
      </c>
      <c r="CQ271" s="1015">
        <f t="shared" ref="CQ271" si="1625">+(CQ270-CM270)*10000</f>
        <v>0</v>
      </c>
      <c r="CR271" s="1015">
        <f t="shared" ref="CR271" si="1626">+(CR270-CN270)*10000</f>
        <v>0</v>
      </c>
      <c r="CS271" s="1015">
        <f t="shared" ref="CS271" si="1627">+(CS270-CO270)*10000</f>
        <v>0</v>
      </c>
      <c r="CT271" s="1015">
        <f t="shared" ref="CT271" si="1628">+(CT270-CP270)*10000</f>
        <v>0</v>
      </c>
      <c r="CU271" s="1015">
        <f t="shared" ref="CU271" si="1629">+(CU270-CQ270)*10000</f>
        <v>0</v>
      </c>
      <c r="CV271" s="1015">
        <f t="shared" ref="CV271" si="1630">+(CV270-CR270)*10000</f>
        <v>0</v>
      </c>
      <c r="CW271" s="1015">
        <f t="shared" ref="CW271" si="1631">+(CW270-CS270)*10000</f>
        <v>0</v>
      </c>
    </row>
    <row r="272" spans="1:101" s="9" customFormat="1" ht="11.25">
      <c r="A272" s="903" t="s">
        <v>950</v>
      </c>
      <c r="B272" s="659"/>
      <c r="C272" s="659"/>
      <c r="D272" s="659"/>
      <c r="E272" s="659"/>
      <c r="F272" s="659"/>
      <c r="G272" s="659"/>
      <c r="H272" s="659"/>
      <c r="I272" s="659"/>
      <c r="J272" s="659"/>
      <c r="K272" s="659"/>
      <c r="L272" s="659"/>
      <c r="M272" s="659"/>
      <c r="N272" s="659"/>
      <c r="O272" s="659"/>
      <c r="P272" s="659"/>
      <c r="Q272" s="659"/>
      <c r="R272" s="659"/>
      <c r="S272" s="659"/>
      <c r="T272" s="659"/>
      <c r="U272" s="659"/>
      <c r="V272" s="659"/>
      <c r="W272" s="659"/>
      <c r="X272" s="659"/>
      <c r="Y272" s="659"/>
      <c r="Z272" s="659"/>
      <c r="AA272" s="659"/>
      <c r="AB272" s="659"/>
      <c r="AC272" s="659"/>
      <c r="AD272" s="659"/>
      <c r="AE272" s="2139"/>
      <c r="AF272" s="659"/>
      <c r="AG272" s="659"/>
      <c r="AH272" s="912"/>
      <c r="AI272" s="659"/>
      <c r="AJ272" s="659"/>
      <c r="AK272" s="659"/>
      <c r="AL272" s="659"/>
      <c r="AM272" s="966"/>
      <c r="AN272" s="966"/>
      <c r="AO272" s="966"/>
      <c r="AP272" s="435"/>
      <c r="AQ272" s="435"/>
      <c r="AR272" s="435"/>
      <c r="AS272" s="435"/>
      <c r="AT272" s="435"/>
      <c r="AU272" s="435"/>
      <c r="AV272" s="435"/>
      <c r="AW272" s="435"/>
      <c r="AX272" s="84">
        <f t="shared" ref="AX272" si="1632">AX269/AT269-1</f>
        <v>-0.92521043987871832</v>
      </c>
      <c r="AY272" s="84">
        <f t="shared" ref="AY272" si="1633">AY269/AU269-1</f>
        <v>-0.88265773375687162</v>
      </c>
      <c r="AZ272" s="84">
        <f t="shared" ref="AZ272" si="1634">AZ269/AV269-1</f>
        <v>-0.87013019556320415</v>
      </c>
      <c r="BA272" s="84">
        <f t="shared" ref="BA272" si="1635">BA269/AW269-1</f>
        <v>-0.83901987607628548</v>
      </c>
      <c r="BB272" s="84">
        <f t="shared" ref="BB272" si="1636">BB269/AX269-1</f>
        <v>0.88776881720430101</v>
      </c>
      <c r="BC272" s="84">
        <f t="shared" ref="BC272" si="1637">BC269/AY269-1</f>
        <v>0.33346955455659999</v>
      </c>
      <c r="BD272" s="84">
        <f t="shared" ref="BD272" si="1638">BD269/AZ269-1</f>
        <v>0.14322820037105743</v>
      </c>
      <c r="BE272" s="84">
        <f t="shared" ref="BE272" si="1639">BE269/BA269-1</f>
        <v>-9.8725318670332407E-2</v>
      </c>
      <c r="BF272" s="84">
        <f t="shared" ref="BF272" si="1640">BF269/BB269-1</f>
        <v>0.1399074403702385</v>
      </c>
      <c r="BG272" s="84">
        <f t="shared" ref="BG272" si="1641">BG269/BC269-1</f>
        <v>0.14894269077536015</v>
      </c>
      <c r="BH272" s="84">
        <f t="shared" ref="BH272" si="1642">BH269/BD269-1</f>
        <v>0.2181110029211295</v>
      </c>
      <c r="BI272" s="84">
        <f t="shared" ref="BI272" si="1643">BI269/BE269-1</f>
        <v>0.12396006655574032</v>
      </c>
      <c r="BJ272" s="84">
        <f>BJ269/BF269-1</f>
        <v>0.11867582760774509</v>
      </c>
      <c r="BK272" s="801">
        <f>BK269/BG269-1</f>
        <v>1.200320085356088E-2</v>
      </c>
      <c r="BL272" s="1015"/>
      <c r="BM272" s="1015"/>
      <c r="BN272" s="1015"/>
      <c r="BO272" s="1015"/>
      <c r="BP272" s="1015"/>
      <c r="BQ272" s="1015"/>
      <c r="BR272" s="1015"/>
      <c r="BS272" s="1015"/>
      <c r="BT272" s="1015"/>
      <c r="BU272" s="1015"/>
      <c r="BV272" s="1015"/>
      <c r="BW272" s="1015"/>
      <c r="BX272" s="1015"/>
      <c r="BY272" s="1015"/>
      <c r="BZ272" s="1015"/>
      <c r="CA272" s="1015"/>
      <c r="CB272" s="1015"/>
      <c r="CC272" s="1015"/>
      <c r="CD272" s="1015"/>
      <c r="CE272" s="1015"/>
      <c r="CF272" s="1015"/>
      <c r="CG272" s="1015"/>
      <c r="CH272" s="1015"/>
      <c r="CI272" s="1015"/>
      <c r="CJ272" s="1015"/>
      <c r="CK272" s="1015"/>
      <c r="CL272" s="1015"/>
      <c r="CM272" s="1015"/>
      <c r="CN272" s="1015"/>
      <c r="CO272" s="1015"/>
      <c r="CP272" s="1015"/>
      <c r="CQ272" s="1015"/>
      <c r="CR272" s="1015"/>
      <c r="CS272" s="1015"/>
      <c r="CT272" s="1015"/>
      <c r="CU272" s="1015"/>
      <c r="CV272" s="1015"/>
      <c r="CW272" s="1015"/>
    </row>
    <row r="273" spans="1:101" s="9" customFormat="1" ht="11.25">
      <c r="A273" s="903"/>
      <c r="B273" s="659"/>
      <c r="C273" s="659"/>
      <c r="D273" s="659"/>
      <c r="E273" s="659"/>
      <c r="F273" s="659"/>
      <c r="G273" s="659"/>
      <c r="H273" s="659"/>
      <c r="I273" s="659"/>
      <c r="J273" s="659"/>
      <c r="K273" s="659"/>
      <c r="L273" s="659"/>
      <c r="M273" s="659"/>
      <c r="N273" s="659"/>
      <c r="O273" s="659"/>
      <c r="P273" s="659"/>
      <c r="Q273" s="659"/>
      <c r="R273" s="659"/>
      <c r="S273" s="659"/>
      <c r="T273" s="659"/>
      <c r="U273" s="659"/>
      <c r="V273" s="659"/>
      <c r="W273" s="659"/>
      <c r="X273" s="659"/>
      <c r="Y273" s="659"/>
      <c r="Z273" s="659"/>
      <c r="AA273" s="659"/>
      <c r="AB273" s="659"/>
      <c r="AC273" s="659"/>
      <c r="AD273" s="659"/>
      <c r="AE273" s="2139"/>
      <c r="AF273" s="659"/>
      <c r="AG273" s="659"/>
      <c r="AH273" s="912"/>
      <c r="AI273" s="659"/>
      <c r="AJ273" s="659"/>
      <c r="AK273" s="659"/>
      <c r="AL273" s="659"/>
      <c r="AM273" s="966"/>
      <c r="AN273" s="966"/>
      <c r="AO273" s="966"/>
      <c r="AP273" s="435"/>
      <c r="AQ273" s="435"/>
      <c r="AR273" s="435"/>
      <c r="AS273" s="435"/>
      <c r="AT273" s="435"/>
      <c r="AU273" s="435"/>
      <c r="AV273" s="435"/>
      <c r="AW273" s="435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01"/>
      <c r="BL273" s="1015"/>
      <c r="BM273" s="1015"/>
      <c r="BN273" s="1015"/>
      <c r="BO273" s="1015"/>
      <c r="BP273" s="1015"/>
      <c r="BQ273" s="1015"/>
      <c r="BR273" s="1015"/>
      <c r="BS273" s="1015"/>
      <c r="BT273" s="1015"/>
      <c r="BU273" s="1015"/>
      <c r="BV273" s="1015"/>
      <c r="BW273" s="1015"/>
      <c r="BX273" s="1015"/>
      <c r="BY273" s="1015"/>
      <c r="BZ273" s="1015"/>
      <c r="CA273" s="1015"/>
      <c r="CB273" s="1015"/>
      <c r="CC273" s="1015"/>
      <c r="CD273" s="1015"/>
      <c r="CE273" s="1015"/>
      <c r="CF273" s="1015"/>
      <c r="CG273" s="1015"/>
      <c r="CH273" s="1015"/>
      <c r="CI273" s="1015"/>
      <c r="CJ273" s="1015"/>
      <c r="CK273" s="1015"/>
      <c r="CL273" s="1015"/>
      <c r="CM273" s="1015"/>
      <c r="CN273" s="1015"/>
      <c r="CO273" s="1015"/>
      <c r="CP273" s="1015"/>
      <c r="CQ273" s="1015"/>
      <c r="CR273" s="1015"/>
      <c r="CS273" s="1015"/>
      <c r="CT273" s="1015"/>
      <c r="CU273" s="1015"/>
      <c r="CV273" s="1015"/>
      <c r="CW273" s="1015"/>
    </row>
    <row r="274" spans="1:101" s="9" customFormat="1" ht="11.25">
      <c r="A274" s="531" t="s">
        <v>1624</v>
      </c>
      <c r="B274" s="659"/>
      <c r="C274" s="659"/>
      <c r="D274" s="659"/>
      <c r="E274" s="659"/>
      <c r="F274" s="659"/>
      <c r="G274" s="659"/>
      <c r="H274" s="659"/>
      <c r="I274" s="659"/>
      <c r="J274" s="659"/>
      <c r="K274" s="659"/>
      <c r="L274" s="659"/>
      <c r="M274" s="659"/>
      <c r="N274" s="659"/>
      <c r="O274" s="659"/>
      <c r="P274" s="659"/>
      <c r="Q274" s="659"/>
      <c r="R274" s="659"/>
      <c r="S274" s="659"/>
      <c r="T274" s="659"/>
      <c r="U274" s="659"/>
      <c r="V274" s="659"/>
      <c r="W274" s="659"/>
      <c r="X274" s="659"/>
      <c r="Y274" s="659"/>
      <c r="Z274" s="659"/>
      <c r="AA274" s="659"/>
      <c r="AB274" s="659"/>
      <c r="AC274" s="659"/>
      <c r="AD274" s="659"/>
      <c r="AE274" s="2139"/>
      <c r="AF274" s="659"/>
      <c r="AG274" s="659"/>
      <c r="AH274" s="912"/>
      <c r="AI274" s="659"/>
      <c r="AJ274" s="659"/>
      <c r="AK274" s="659"/>
      <c r="AL274" s="659"/>
      <c r="AM274" s="966"/>
      <c r="AN274" s="966"/>
      <c r="AO274" s="966"/>
      <c r="AP274" s="435"/>
      <c r="AQ274" s="435"/>
      <c r="AR274" s="435"/>
      <c r="AS274" s="435"/>
      <c r="AT274" s="435"/>
      <c r="AU274" s="435"/>
      <c r="AV274" s="435"/>
      <c r="AW274" s="435"/>
      <c r="AX274" s="92">
        <f t="shared" ref="AX274:BJ274" si="1644">AX277-AX269</f>
        <v>1324</v>
      </c>
      <c r="AY274" s="92">
        <f t="shared" si="1644"/>
        <v>1289</v>
      </c>
      <c r="AZ274" s="92">
        <f t="shared" si="1644"/>
        <v>1307</v>
      </c>
      <c r="BA274" s="92">
        <f t="shared" si="1644"/>
        <v>1565</v>
      </c>
      <c r="BB274" s="92">
        <f t="shared" si="1644"/>
        <v>1445</v>
      </c>
      <c r="BC274" s="92">
        <f t="shared" si="1644"/>
        <v>1389</v>
      </c>
      <c r="BD274" s="92">
        <f t="shared" si="1644"/>
        <v>1402</v>
      </c>
      <c r="BE274" s="92">
        <f t="shared" si="1644"/>
        <v>1281</v>
      </c>
      <c r="BF274" s="92">
        <f t="shared" si="1644"/>
        <v>1311</v>
      </c>
      <c r="BG274" s="92">
        <f t="shared" si="1644"/>
        <v>1311</v>
      </c>
      <c r="BH274" s="92">
        <f t="shared" si="1644"/>
        <v>1367</v>
      </c>
      <c r="BI274" s="92">
        <f t="shared" si="1644"/>
        <v>1145</v>
      </c>
      <c r="BJ274" s="92">
        <f t="shared" si="1644"/>
        <v>1157</v>
      </c>
      <c r="BK274" s="1385">
        <f t="shared" ref="BK274" si="1645">BK277-BK269</f>
        <v>1259</v>
      </c>
      <c r="BL274" s="435"/>
      <c r="BM274" s="435"/>
      <c r="BN274" s="435"/>
      <c r="BO274" s="435"/>
      <c r="BP274" s="435"/>
      <c r="BQ274" s="435"/>
      <c r="BR274" s="435"/>
      <c r="BS274" s="435"/>
      <c r="BT274" s="435"/>
      <c r="BU274" s="435"/>
      <c r="BV274" s="435"/>
      <c r="BW274" s="435"/>
      <c r="BX274" s="435"/>
      <c r="BY274" s="435"/>
      <c r="BZ274" s="435"/>
      <c r="CA274" s="435"/>
      <c r="CB274" s="435"/>
      <c r="CC274" s="435"/>
      <c r="CD274" s="435"/>
      <c r="CE274" s="435"/>
      <c r="CF274" s="435"/>
      <c r="CG274" s="435"/>
      <c r="CH274" s="435"/>
      <c r="CI274" s="435"/>
      <c r="CJ274" s="435"/>
      <c r="CK274" s="435"/>
      <c r="CL274" s="435"/>
      <c r="CM274" s="435"/>
      <c r="CN274" s="435"/>
      <c r="CO274" s="435"/>
      <c r="CP274" s="435"/>
      <c r="CQ274" s="435"/>
      <c r="CR274" s="435"/>
      <c r="CS274" s="435"/>
      <c r="CT274" s="435"/>
      <c r="CU274" s="435"/>
      <c r="CV274" s="435"/>
      <c r="CW274" s="435"/>
    </row>
    <row r="275" spans="1:101" s="9" customFormat="1" ht="11.25">
      <c r="A275" s="903" t="s">
        <v>1448</v>
      </c>
      <c r="AE275" s="2119"/>
      <c r="AX275" s="2004">
        <f t="shared" ref="AX275:BI275" si="1646">AX274/AX245</f>
        <v>0.12965502167412837</v>
      </c>
      <c r="AY275" s="2004">
        <f t="shared" si="1646"/>
        <v>0.10330704360086197</v>
      </c>
      <c r="AZ275" s="2004">
        <f t="shared" si="1646"/>
        <v>9.3636212211036102E-2</v>
      </c>
      <c r="BA275" s="2004">
        <f t="shared" si="1646"/>
        <v>9.3532723185214148E-2</v>
      </c>
      <c r="BB275" s="2004">
        <f t="shared" si="1646"/>
        <v>9.4889912269843529E-2</v>
      </c>
      <c r="BC275" s="2004">
        <f t="shared" si="1646"/>
        <v>8.1999498439352961E-2</v>
      </c>
      <c r="BD275" s="2004">
        <f t="shared" si="1646"/>
        <v>8.0031163061725155E-2</v>
      </c>
      <c r="BE275" s="2004">
        <f t="shared" si="1646"/>
        <v>6.6907526799049905E-2</v>
      </c>
      <c r="BF275" s="2004">
        <f t="shared" si="1646"/>
        <v>7.4211830452629329E-2</v>
      </c>
      <c r="BG275" s="2004">
        <f t="shared" si="1646"/>
        <v>6.9186680228874392E-2</v>
      </c>
      <c r="BH275" s="2004">
        <f t="shared" si="1646"/>
        <v>7.021067413854791E-2</v>
      </c>
      <c r="BI275" s="2004">
        <f t="shared" si="1646"/>
        <v>5.6833148745553431E-2</v>
      </c>
      <c r="BJ275" s="2004">
        <f>BJ274/BJ245</f>
        <v>6.356155208410473E-2</v>
      </c>
      <c r="BK275" s="2004">
        <f>BK274/BK245</f>
        <v>6.5388870834958743E-2</v>
      </c>
      <c r="BL275" s="435"/>
      <c r="BM275" s="435"/>
      <c r="BN275" s="435"/>
      <c r="BO275" s="435"/>
      <c r="BP275" s="435"/>
      <c r="BQ275" s="435"/>
      <c r="BR275" s="435"/>
      <c r="BS275" s="435"/>
      <c r="BT275" s="435"/>
      <c r="BU275" s="435"/>
      <c r="BV275" s="435"/>
      <c r="BW275" s="435"/>
      <c r="BX275" s="435"/>
      <c r="BY275" s="435"/>
      <c r="BZ275" s="435"/>
      <c r="CA275" s="435"/>
      <c r="CB275" s="435"/>
      <c r="CC275" s="435"/>
      <c r="CD275" s="435"/>
      <c r="CE275" s="435"/>
      <c r="CF275" s="435"/>
      <c r="CG275" s="435"/>
      <c r="CH275" s="435"/>
      <c r="CI275" s="435"/>
      <c r="CJ275" s="435"/>
      <c r="CK275" s="435"/>
      <c r="CL275" s="435"/>
      <c r="CM275" s="435"/>
      <c r="CN275" s="435"/>
      <c r="CO275" s="435"/>
      <c r="CP275" s="435"/>
      <c r="CQ275" s="435"/>
      <c r="CR275" s="435"/>
      <c r="CS275" s="435"/>
      <c r="CT275" s="435"/>
      <c r="CU275" s="435"/>
      <c r="CV275" s="435"/>
      <c r="CW275" s="435"/>
    </row>
    <row r="276" spans="1:101" s="9" customFormat="1" ht="11.25">
      <c r="AE276" s="2119"/>
      <c r="BK276" s="2004"/>
      <c r="BL276" s="435"/>
      <c r="BM276" s="435"/>
      <c r="BN276" s="435"/>
      <c r="BO276" s="435"/>
      <c r="BP276" s="435"/>
      <c r="BQ276" s="435"/>
      <c r="BR276" s="435"/>
      <c r="BS276" s="435"/>
      <c r="BT276" s="435"/>
      <c r="BU276" s="435"/>
      <c r="BV276" s="435"/>
      <c r="BW276" s="435"/>
      <c r="BX276" s="435"/>
      <c r="BY276" s="435"/>
      <c r="BZ276" s="435"/>
      <c r="CA276" s="435"/>
      <c r="CB276" s="435"/>
      <c r="CC276" s="435"/>
      <c r="CD276" s="435"/>
      <c r="CE276" s="435"/>
      <c r="CF276" s="435"/>
      <c r="CG276" s="435"/>
      <c r="CH276" s="435"/>
      <c r="CI276" s="435"/>
      <c r="CJ276" s="435"/>
      <c r="CK276" s="435"/>
      <c r="CL276" s="435"/>
      <c r="CM276" s="435"/>
      <c r="CN276" s="435"/>
      <c r="CO276" s="435"/>
      <c r="CP276" s="435"/>
      <c r="CQ276" s="435"/>
      <c r="CR276" s="435"/>
      <c r="CS276" s="435"/>
      <c r="CT276" s="435"/>
      <c r="CU276" s="435"/>
      <c r="CV276" s="435"/>
      <c r="CW276" s="435"/>
    </row>
    <row r="277" spans="1:101" s="9" customFormat="1" ht="11.25">
      <c r="A277" s="958" t="s">
        <v>1591</v>
      </c>
      <c r="B277" s="956"/>
      <c r="C277" s="956"/>
      <c r="D277" s="956"/>
      <c r="E277" s="956"/>
      <c r="F277" s="956"/>
      <c r="G277" s="956"/>
      <c r="H277" s="956"/>
      <c r="I277" s="956"/>
      <c r="J277" s="956"/>
      <c r="K277" s="956"/>
      <c r="L277" s="956"/>
      <c r="M277" s="956"/>
      <c r="N277" s="956"/>
      <c r="O277" s="956"/>
      <c r="P277" s="956"/>
      <c r="Q277" s="956"/>
      <c r="R277" s="956"/>
      <c r="S277" s="956"/>
      <c r="T277" s="956"/>
      <c r="U277" s="956">
        <f>+Q_Financials!U237</f>
        <v>0</v>
      </c>
      <c r="V277" s="956">
        <f>+Q_Financials!V237</f>
        <v>0</v>
      </c>
      <c r="W277" s="956">
        <f>+Q_Financials!W237</f>
        <v>0</v>
      </c>
      <c r="X277" s="956">
        <f>+Q_Financials!X237</f>
        <v>0</v>
      </c>
      <c r="Y277" s="956">
        <f>+Q_Financials!Y237</f>
        <v>0</v>
      </c>
      <c r="Z277" s="956">
        <f>+Q_Financials!Z237</f>
        <v>0</v>
      </c>
      <c r="AA277" s="956">
        <f>+Q_Financials!AA237</f>
        <v>0</v>
      </c>
      <c r="AB277" s="956">
        <f>+Q_Financials!AB237</f>
        <v>0</v>
      </c>
      <c r="AC277" s="956">
        <f>+Q_Financials!AC237</f>
        <v>0</v>
      </c>
      <c r="AD277" s="956">
        <f>+Q_Financials!AD237</f>
        <v>0</v>
      </c>
      <c r="AE277" s="2143">
        <f>+Q_Financials!AE237</f>
        <v>0</v>
      </c>
      <c r="AF277" s="956">
        <f>+Q_Financials!AF237</f>
        <v>0</v>
      </c>
      <c r="AG277" s="956">
        <f>+Q_Financials!AG237</f>
        <v>0</v>
      </c>
      <c r="AH277" s="956">
        <f>+Q_Financials!AH237</f>
        <v>0</v>
      </c>
      <c r="AI277" s="956">
        <f>+Q_Financials!AI237</f>
        <v>0</v>
      </c>
      <c r="AJ277" s="956">
        <f>+Q_Financials!AJ237</f>
        <v>0</v>
      </c>
      <c r="AK277" s="956">
        <f>+Q_Financials!AK237</f>
        <v>0</v>
      </c>
      <c r="AL277" s="956">
        <f>+Q_Financials!AL237</f>
        <v>0</v>
      </c>
      <c r="AM277" s="956">
        <f>+Q_Financials!AM237</f>
        <v>0</v>
      </c>
      <c r="AN277" s="956">
        <f>+Q_Financials!AN237</f>
        <v>0</v>
      </c>
      <c r="AO277" s="956">
        <f>+Q_Financials!AO237</f>
        <v>0</v>
      </c>
      <c r="AP277" s="956">
        <f>+Q_Financials!AP237</f>
        <v>0</v>
      </c>
      <c r="AQ277" s="956">
        <f>+Q_Financials!AQ237</f>
        <v>0</v>
      </c>
      <c r="AR277" s="956">
        <f>+Q_Financials!AR237</f>
        <v>0</v>
      </c>
      <c r="AS277" s="956">
        <f>+Q_Financials!AS237</f>
        <v>0</v>
      </c>
      <c r="AT277" s="956">
        <f>+Q_Financials!AT237</f>
        <v>0</v>
      </c>
      <c r="AU277" s="956">
        <f>+Q_Financials!AU237</f>
        <v>0</v>
      </c>
      <c r="AV277" s="956">
        <f>+Q_Financials!AV237</f>
        <v>0</v>
      </c>
      <c r="AW277" s="956">
        <f>+Q_Financials!AW237</f>
        <v>0</v>
      </c>
      <c r="AX277" s="956">
        <f t="shared" ref="AX277:BI277" si="1647">AX66+AX131+AX215</f>
        <v>2812</v>
      </c>
      <c r="AY277" s="956">
        <f t="shared" si="1647"/>
        <v>3736</v>
      </c>
      <c r="AZ277" s="956">
        <f t="shared" si="1647"/>
        <v>4002</v>
      </c>
      <c r="BA277" s="956">
        <f t="shared" si="1647"/>
        <v>5566</v>
      </c>
      <c r="BB277" s="956">
        <f t="shared" si="1647"/>
        <v>4254</v>
      </c>
      <c r="BC277" s="956">
        <f t="shared" si="1647"/>
        <v>4652</v>
      </c>
      <c r="BD277" s="956">
        <f t="shared" si="1647"/>
        <v>4483</v>
      </c>
      <c r="BE277" s="956">
        <f t="shared" si="1647"/>
        <v>4887</v>
      </c>
      <c r="BF277" s="956">
        <f t="shared" si="1647"/>
        <v>4513</v>
      </c>
      <c r="BG277" s="956">
        <f t="shared" si="1647"/>
        <v>5060</v>
      </c>
      <c r="BH277" s="956">
        <f t="shared" si="1647"/>
        <v>5120</v>
      </c>
      <c r="BI277" s="956">
        <f t="shared" si="1647"/>
        <v>5198</v>
      </c>
      <c r="BJ277" s="956">
        <f>BJ66+BJ131+BJ215</f>
        <v>4739</v>
      </c>
      <c r="BK277" s="1371">
        <f>BK66+BK131+BK215</f>
        <v>5053</v>
      </c>
      <c r="BL277" s="435"/>
      <c r="BM277" s="435"/>
      <c r="BN277" s="435"/>
      <c r="BO277" s="435"/>
      <c r="BP277" s="435"/>
      <c r="BQ277" s="435"/>
      <c r="BR277" s="435"/>
      <c r="BS277" s="435"/>
      <c r="BT277" s="435"/>
      <c r="BU277" s="435"/>
      <c r="BV277" s="435"/>
      <c r="BW277" s="435"/>
      <c r="BX277" s="435"/>
      <c r="BY277" s="435"/>
      <c r="BZ277" s="435"/>
      <c r="CA277" s="435"/>
      <c r="CB277" s="435"/>
      <c r="CC277" s="435"/>
      <c r="CD277" s="435"/>
      <c r="CE277" s="435"/>
      <c r="CF277" s="435"/>
      <c r="CG277" s="435"/>
      <c r="CH277" s="435"/>
      <c r="CI277" s="435"/>
      <c r="CJ277" s="435"/>
      <c r="CK277" s="435"/>
      <c r="CL277" s="435"/>
      <c r="CM277" s="435"/>
      <c r="CN277" s="435"/>
      <c r="CO277" s="435"/>
      <c r="CP277" s="435"/>
      <c r="CQ277" s="435"/>
      <c r="CR277" s="435"/>
      <c r="CS277" s="435"/>
      <c r="CT277" s="435"/>
      <c r="CU277" s="435"/>
      <c r="CV277" s="435"/>
      <c r="CW277" s="435"/>
    </row>
    <row r="278" spans="1:101" s="9" customFormat="1" ht="11.25">
      <c r="A278" s="903" t="s">
        <v>979</v>
      </c>
      <c r="B278" s="659"/>
      <c r="C278" s="659"/>
      <c r="D278" s="659"/>
      <c r="E278" s="659"/>
      <c r="F278" s="659"/>
      <c r="G278" s="659"/>
      <c r="H278" s="659"/>
      <c r="I278" s="659"/>
      <c r="J278" s="659"/>
      <c r="K278" s="659"/>
      <c r="L278" s="659"/>
      <c r="M278" s="659"/>
      <c r="N278" s="659"/>
      <c r="O278" s="659"/>
      <c r="P278" s="659"/>
      <c r="Q278" s="659"/>
      <c r="R278" s="659"/>
      <c r="S278" s="659"/>
      <c r="T278" s="659"/>
      <c r="U278" s="659"/>
      <c r="V278" s="659"/>
      <c r="W278" s="659"/>
      <c r="X278" s="659"/>
      <c r="Y278" s="659"/>
      <c r="Z278" s="659"/>
      <c r="AA278" s="659"/>
      <c r="AB278" s="659"/>
      <c r="AC278" s="659"/>
      <c r="AD278" s="659"/>
      <c r="AE278" s="2139"/>
      <c r="AF278" s="659"/>
      <c r="AG278" s="659"/>
      <c r="AH278" s="912"/>
      <c r="AI278" s="659"/>
      <c r="AJ278" s="659"/>
      <c r="AK278" s="659"/>
      <c r="AL278" s="659"/>
      <c r="AM278" s="966"/>
      <c r="AN278" s="966"/>
      <c r="AO278" s="966"/>
      <c r="AP278" s="435"/>
      <c r="AQ278" s="435"/>
      <c r="AR278" s="435"/>
      <c r="AS278" s="435"/>
      <c r="AT278" s="435"/>
      <c r="AU278" s="435"/>
      <c r="AV278" s="435"/>
      <c r="AW278" s="435"/>
      <c r="AX278" s="84">
        <f t="shared" ref="AX278:BI278" si="1648">AX277/AX245</f>
        <v>0.27537003092722728</v>
      </c>
      <c r="AY278" s="84">
        <f t="shared" si="1648"/>
        <v>0.29942212171669536</v>
      </c>
      <c r="AZ278" s="84">
        <f t="shared" si="1648"/>
        <v>0.28671164595911747</v>
      </c>
      <c r="BA278" s="84">
        <f t="shared" si="1648"/>
        <v>0.33265376182038464</v>
      </c>
      <c r="BB278" s="84">
        <f t="shared" si="1648"/>
        <v>0.27935064830167083</v>
      </c>
      <c r="BC278" s="84">
        <f t="shared" si="1648"/>
        <v>0.27463042961833689</v>
      </c>
      <c r="BD278" s="84">
        <f t="shared" si="1648"/>
        <v>0.25590563766456054</v>
      </c>
      <c r="BE278" s="84">
        <f t="shared" si="1648"/>
        <v>0.2552514312778742</v>
      </c>
      <c r="BF278" s="84">
        <f t="shared" si="1648"/>
        <v>0.25546757500588568</v>
      </c>
      <c r="BG278" s="84">
        <f t="shared" si="1648"/>
        <v>0.26703630965530467</v>
      </c>
      <c r="BH278" s="84">
        <f t="shared" si="1648"/>
        <v>0.2629690209139468</v>
      </c>
      <c r="BI278" s="84">
        <f t="shared" si="1648"/>
        <v>0.25800760452348187</v>
      </c>
      <c r="BJ278" s="84">
        <f>BJ277/BJ245</f>
        <v>0.26034416190714982</v>
      </c>
      <c r="BK278" s="801">
        <f>BK277/BK245</f>
        <v>0.26243841487612912</v>
      </c>
      <c r="BL278" s="435"/>
      <c r="BM278" s="435"/>
      <c r="BN278" s="435"/>
      <c r="BO278" s="435"/>
      <c r="BP278" s="435"/>
      <c r="BQ278" s="435"/>
      <c r="BR278" s="435"/>
      <c r="BS278" s="435"/>
      <c r="BT278" s="435"/>
      <c r="BU278" s="435"/>
      <c r="BV278" s="435"/>
      <c r="BW278" s="435"/>
      <c r="BX278" s="435"/>
      <c r="BY278" s="435"/>
      <c r="BZ278" s="435"/>
      <c r="CA278" s="435"/>
      <c r="CB278" s="435"/>
      <c r="CC278" s="435"/>
      <c r="CD278" s="435"/>
      <c r="CE278" s="435"/>
      <c r="CF278" s="435"/>
      <c r="CG278" s="435"/>
      <c r="CH278" s="435"/>
      <c r="CI278" s="435"/>
      <c r="CJ278" s="435"/>
      <c r="CK278" s="435"/>
      <c r="CL278" s="435"/>
      <c r="CM278" s="435"/>
      <c r="CN278" s="435"/>
      <c r="CO278" s="435"/>
      <c r="CP278" s="435"/>
      <c r="CQ278" s="435"/>
      <c r="CR278" s="435"/>
      <c r="CS278" s="435"/>
      <c r="CT278" s="435"/>
      <c r="CU278" s="435"/>
      <c r="CV278" s="435"/>
      <c r="CW278" s="435"/>
    </row>
    <row r="279" spans="1:101" s="9" customFormat="1" ht="11.25">
      <c r="A279" s="903" t="s">
        <v>1031</v>
      </c>
      <c r="B279" s="812"/>
      <c r="C279" s="812"/>
      <c r="D279" s="812"/>
      <c r="E279" s="812"/>
      <c r="F279" s="812"/>
      <c r="G279" s="812"/>
      <c r="H279" s="812"/>
      <c r="I279" s="812"/>
      <c r="J279" s="812"/>
      <c r="K279" s="812"/>
      <c r="L279" s="812"/>
      <c r="M279" s="812"/>
      <c r="N279" s="812"/>
      <c r="O279" s="812"/>
      <c r="P279" s="812"/>
      <c r="Q279" s="812"/>
      <c r="R279" s="812"/>
      <c r="S279" s="812"/>
      <c r="T279" s="812"/>
      <c r="U279" s="813"/>
      <c r="V279" s="813"/>
      <c r="W279" s="813"/>
      <c r="X279" s="813"/>
      <c r="Y279" s="959"/>
      <c r="Z279" s="959"/>
      <c r="AA279" s="959"/>
      <c r="AB279" s="959"/>
      <c r="AC279" s="959"/>
      <c r="AD279" s="959"/>
      <c r="AE279" s="2145"/>
      <c r="AF279" s="959"/>
      <c r="AG279" s="959"/>
      <c r="AH279" s="959"/>
      <c r="AI279" s="959"/>
      <c r="AJ279" s="959"/>
      <c r="AK279" s="959"/>
      <c r="AL279" s="959"/>
      <c r="AM279" s="969"/>
      <c r="AN279" s="969"/>
      <c r="AO279" s="969"/>
      <c r="AP279" s="969"/>
      <c r="AQ279" s="969"/>
      <c r="AR279" s="969"/>
      <c r="AS279" s="969"/>
      <c r="AT279" s="969"/>
      <c r="AU279" s="969"/>
      <c r="AV279" s="969"/>
      <c r="AW279" s="969"/>
      <c r="AX279" s="969">
        <f t="shared" ref="AX279" si="1649">+(AX278-AT278)*10000</f>
        <v>2753.700309272273</v>
      </c>
      <c r="AY279" s="969">
        <f t="shared" ref="AY279" si="1650">+(AY278-AU278)*10000</f>
        <v>2994.2212171669535</v>
      </c>
      <c r="AZ279" s="969">
        <f t="shared" ref="AZ279" si="1651">+(AZ278-AV278)*10000</f>
        <v>2867.1164595911746</v>
      </c>
      <c r="BA279" s="969">
        <f t="shared" ref="BA279" si="1652">+(BA278-AW278)*10000</f>
        <v>3326.5376182038463</v>
      </c>
      <c r="BB279" s="969">
        <f t="shared" ref="BB279" si="1653">+(BB278-AX278)*10000</f>
        <v>39.806173744435512</v>
      </c>
      <c r="BC279" s="969">
        <f t="shared" ref="BC279" si="1654">+(BC278-AY278)*10000</f>
        <v>-247.91692098358465</v>
      </c>
      <c r="BD279" s="969">
        <f t="shared" ref="BD279" si="1655">+(BD278-AZ278)*10000</f>
        <v>-308.06008294556932</v>
      </c>
      <c r="BE279" s="969">
        <f t="shared" ref="BE279" si="1656">+(BE278-BA278)*10000</f>
        <v>-774.02330542510447</v>
      </c>
      <c r="BF279" s="969">
        <f t="shared" ref="BF279" si="1657">+(BF278-BB278)*10000</f>
        <v>-238.83073295785152</v>
      </c>
      <c r="BG279" s="969">
        <f t="shared" ref="BG279" si="1658">+(BG278-BC278)*10000</f>
        <v>-75.941199630322203</v>
      </c>
      <c r="BH279" s="969">
        <f t="shared" ref="BH279" si="1659">+(BH278-BD278)*10000</f>
        <v>70.633832493862684</v>
      </c>
      <c r="BI279" s="969">
        <f t="shared" ref="BI279" si="1660">+(BI278-BE278)*10000</f>
        <v>27.561732456076736</v>
      </c>
      <c r="BJ279" s="969">
        <f t="shared" ref="BJ279:BK279" si="1661">+(BJ278-BF278)*10000</f>
        <v>48.765869012641346</v>
      </c>
      <c r="BK279" s="1372">
        <f t="shared" si="1661"/>
        <v>-45.978947791755488</v>
      </c>
      <c r="BL279" s="435"/>
      <c r="BM279" s="435"/>
      <c r="BN279" s="435"/>
      <c r="BO279" s="435"/>
      <c r="BP279" s="435"/>
      <c r="BQ279" s="435"/>
      <c r="BR279" s="435"/>
      <c r="BS279" s="435"/>
      <c r="BT279" s="435"/>
      <c r="BU279" s="435"/>
      <c r="BV279" s="435"/>
      <c r="BW279" s="435"/>
      <c r="BX279" s="435"/>
      <c r="BY279" s="435"/>
      <c r="BZ279" s="435"/>
      <c r="CA279" s="435"/>
      <c r="CB279" s="435"/>
      <c r="CC279" s="435"/>
      <c r="CD279" s="435"/>
      <c r="CE279" s="435"/>
      <c r="CF279" s="435"/>
      <c r="CG279" s="435"/>
      <c r="CH279" s="435"/>
      <c r="CI279" s="435"/>
      <c r="CJ279" s="435"/>
      <c r="CK279" s="435"/>
      <c r="CL279" s="435"/>
      <c r="CM279" s="435"/>
      <c r="CN279" s="435"/>
      <c r="CO279" s="435"/>
      <c r="CP279" s="435"/>
      <c r="CQ279" s="435"/>
      <c r="CR279" s="435"/>
      <c r="CS279" s="435"/>
      <c r="CT279" s="435"/>
      <c r="CU279" s="435"/>
      <c r="CV279" s="435"/>
      <c r="CW279" s="435"/>
    </row>
    <row r="280" spans="1:101" s="9" customFormat="1" ht="11.25">
      <c r="A280" s="903" t="s">
        <v>950</v>
      </c>
      <c r="B280" s="659"/>
      <c r="C280" s="659"/>
      <c r="D280" s="659"/>
      <c r="E280" s="659"/>
      <c r="F280" s="659"/>
      <c r="G280" s="659"/>
      <c r="H280" s="659"/>
      <c r="I280" s="659"/>
      <c r="J280" s="659"/>
      <c r="K280" s="659"/>
      <c r="L280" s="659"/>
      <c r="M280" s="659"/>
      <c r="N280" s="659"/>
      <c r="O280" s="659"/>
      <c r="P280" s="659"/>
      <c r="Q280" s="659"/>
      <c r="R280" s="659"/>
      <c r="S280" s="659"/>
      <c r="T280" s="659"/>
      <c r="U280" s="659"/>
      <c r="V280" s="659"/>
      <c r="W280" s="659"/>
      <c r="X280" s="659"/>
      <c r="Y280" s="659"/>
      <c r="Z280" s="659"/>
      <c r="AA280" s="659"/>
      <c r="AB280" s="659"/>
      <c r="AC280" s="659"/>
      <c r="AD280" s="659"/>
      <c r="AE280" s="2139"/>
      <c r="AF280" s="659"/>
      <c r="AG280" s="659"/>
      <c r="AH280" s="912"/>
      <c r="AI280" s="659"/>
      <c r="AJ280" s="659"/>
      <c r="AK280" s="659"/>
      <c r="AL280" s="659"/>
      <c r="AM280" s="966"/>
      <c r="AN280" s="966"/>
      <c r="AO280" s="966"/>
      <c r="AP280" s="435"/>
      <c r="AQ280" s="435"/>
      <c r="AR280" s="435"/>
      <c r="AS280" s="435"/>
      <c r="AT280" s="435"/>
      <c r="AU280" s="435"/>
      <c r="AV280" s="435"/>
      <c r="AW280" s="435"/>
      <c r="AX280" s="84" t="e">
        <f t="shared" ref="AX280:BI280" si="1662">AX277/AT277-1</f>
        <v>#DIV/0!</v>
      </c>
      <c r="AY280" s="84" t="e">
        <f t="shared" si="1662"/>
        <v>#DIV/0!</v>
      </c>
      <c r="AZ280" s="84" t="e">
        <f t="shared" si="1662"/>
        <v>#DIV/0!</v>
      </c>
      <c r="BA280" s="84" t="e">
        <f t="shared" si="1662"/>
        <v>#DIV/0!</v>
      </c>
      <c r="BB280" s="84">
        <f t="shared" si="1662"/>
        <v>0.51280227596017069</v>
      </c>
      <c r="BC280" s="84">
        <f t="shared" si="1662"/>
        <v>0.24518201284796581</v>
      </c>
      <c r="BD280" s="84">
        <f t="shared" si="1662"/>
        <v>0.12018990504747618</v>
      </c>
      <c r="BE280" s="84">
        <f t="shared" si="1662"/>
        <v>-0.12199065756378014</v>
      </c>
      <c r="BF280" s="84">
        <f t="shared" si="1662"/>
        <v>6.0883874000940308E-2</v>
      </c>
      <c r="BG280" s="84">
        <f t="shared" si="1662"/>
        <v>8.7704213241616591E-2</v>
      </c>
      <c r="BH280" s="84">
        <f t="shared" si="1662"/>
        <v>0.14209234887352218</v>
      </c>
      <c r="BI280" s="84">
        <f t="shared" si="1662"/>
        <v>6.3638223859218357E-2</v>
      </c>
      <c r="BJ280" s="84">
        <f>BJ277/BF277-1</f>
        <v>5.0077553733658409E-2</v>
      </c>
      <c r="BK280" s="801">
        <f>BK277/BG277-1</f>
        <v>-1.383399209486158E-3</v>
      </c>
      <c r="BL280" s="380"/>
      <c r="BM280" s="380"/>
      <c r="BN280" s="380"/>
      <c r="BO280" s="380"/>
      <c r="BP280" s="380"/>
      <c r="BQ280" s="380"/>
      <c r="BR280" s="380"/>
      <c r="BS280" s="380"/>
      <c r="BT280" s="380"/>
      <c r="BU280" s="380"/>
      <c r="BV280" s="380"/>
      <c r="BW280" s="380"/>
      <c r="BX280" s="380"/>
      <c r="BY280" s="380"/>
      <c r="BZ280" s="380"/>
      <c r="CA280" s="380"/>
      <c r="CB280" s="380"/>
      <c r="CC280" s="380"/>
      <c r="CD280" s="380"/>
      <c r="CE280" s="380"/>
      <c r="CF280" s="380"/>
      <c r="CG280" s="380"/>
      <c r="CH280" s="380"/>
      <c r="CI280" s="380"/>
      <c r="CJ280" s="380"/>
      <c r="CK280" s="380"/>
      <c r="CL280" s="380"/>
      <c r="CM280" s="380"/>
      <c r="CN280" s="380"/>
      <c r="CO280" s="380"/>
      <c r="CP280" s="380"/>
      <c r="CQ280" s="380"/>
      <c r="CR280" s="380"/>
      <c r="CS280" s="380"/>
      <c r="CT280" s="380"/>
      <c r="CU280" s="380"/>
      <c r="CV280" s="380"/>
      <c r="CW280" s="380"/>
    </row>
    <row r="281" spans="1:101" s="9" customFormat="1" ht="11.25">
      <c r="A281" s="903"/>
      <c r="B281" s="659"/>
      <c r="C281" s="659"/>
      <c r="D281" s="659"/>
      <c r="E281" s="659"/>
      <c r="F281" s="659"/>
      <c r="G281" s="659"/>
      <c r="H281" s="659"/>
      <c r="I281" s="659"/>
      <c r="J281" s="659"/>
      <c r="K281" s="659"/>
      <c r="L281" s="659"/>
      <c r="M281" s="659"/>
      <c r="N281" s="659"/>
      <c r="O281" s="659"/>
      <c r="P281" s="659"/>
      <c r="Q281" s="659"/>
      <c r="R281" s="659"/>
      <c r="S281" s="659"/>
      <c r="T281" s="659"/>
      <c r="U281" s="659"/>
      <c r="V281" s="659"/>
      <c r="W281" s="659"/>
      <c r="X281" s="659"/>
      <c r="Y281" s="659"/>
      <c r="Z281" s="659"/>
      <c r="AA281" s="659"/>
      <c r="AB281" s="659"/>
      <c r="AC281" s="659"/>
      <c r="AD281" s="659"/>
      <c r="AE281" s="2139"/>
      <c r="AF281" s="659"/>
      <c r="AG281" s="659"/>
      <c r="AH281" s="912"/>
      <c r="AI281" s="659"/>
      <c r="AJ281" s="659"/>
      <c r="AK281" s="659"/>
      <c r="AL281" s="659"/>
      <c r="AM281" s="966"/>
      <c r="AN281" s="966"/>
      <c r="AO281" s="966"/>
      <c r="AP281" s="435"/>
      <c r="AQ281" s="435"/>
      <c r="AR281" s="435"/>
      <c r="AS281" s="435"/>
      <c r="AT281" s="435"/>
      <c r="AU281" s="435"/>
      <c r="AV281" s="435"/>
      <c r="AW281" s="435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01"/>
      <c r="BL281" s="380"/>
      <c r="BM281" s="380"/>
      <c r="BN281" s="380"/>
      <c r="BO281" s="380"/>
      <c r="BP281" s="380"/>
      <c r="BQ281" s="380"/>
      <c r="BR281" s="380"/>
      <c r="BS281" s="380"/>
      <c r="BT281" s="380"/>
      <c r="BU281" s="380"/>
      <c r="BV281" s="380"/>
      <c r="BW281" s="380"/>
      <c r="BX281" s="380"/>
      <c r="BY281" s="380"/>
      <c r="BZ281" s="380"/>
      <c r="CA281" s="380"/>
      <c r="CB281" s="380"/>
      <c r="CC281" s="380"/>
      <c r="CD281" s="380"/>
      <c r="CE281" s="380"/>
      <c r="CF281" s="380"/>
      <c r="CG281" s="380"/>
      <c r="CH281" s="380"/>
      <c r="CI281" s="380"/>
      <c r="CJ281" s="380"/>
      <c r="CK281" s="380"/>
      <c r="CL281" s="380"/>
      <c r="CM281" s="380"/>
      <c r="CN281" s="380"/>
      <c r="CO281" s="380"/>
      <c r="CP281" s="380"/>
      <c r="CQ281" s="380"/>
      <c r="CR281" s="380"/>
      <c r="CS281" s="380"/>
      <c r="CT281" s="380"/>
      <c r="CU281" s="380"/>
      <c r="CV281" s="380"/>
      <c r="CW281" s="380"/>
    </row>
    <row r="282" spans="1:101" s="9" customFormat="1" ht="11.25">
      <c r="A282" s="291" t="s">
        <v>1099</v>
      </c>
      <c r="B282" s="601">
        <f t="shared" ref="B282:AG282" si="1663">B$4</f>
        <v>39903</v>
      </c>
      <c r="C282" s="601">
        <f t="shared" si="1663"/>
        <v>39994</v>
      </c>
      <c r="D282" s="601">
        <f t="shared" si="1663"/>
        <v>40086</v>
      </c>
      <c r="E282" s="601">
        <f t="shared" si="1663"/>
        <v>40178</v>
      </c>
      <c r="F282" s="601">
        <f t="shared" si="1663"/>
        <v>40268</v>
      </c>
      <c r="G282" s="601">
        <f t="shared" si="1663"/>
        <v>40359</v>
      </c>
      <c r="H282" s="601">
        <f t="shared" si="1663"/>
        <v>40451</v>
      </c>
      <c r="I282" s="601">
        <f t="shared" si="1663"/>
        <v>40543</v>
      </c>
      <c r="J282" s="601">
        <f t="shared" si="1663"/>
        <v>40633</v>
      </c>
      <c r="K282" s="601">
        <f t="shared" si="1663"/>
        <v>40724</v>
      </c>
      <c r="L282" s="601">
        <f t="shared" si="1663"/>
        <v>40816</v>
      </c>
      <c r="M282" s="601">
        <f t="shared" si="1663"/>
        <v>40908</v>
      </c>
      <c r="N282" s="601">
        <f t="shared" si="1663"/>
        <v>40999</v>
      </c>
      <c r="O282" s="601">
        <f t="shared" si="1663"/>
        <v>41090</v>
      </c>
      <c r="P282" s="601">
        <f t="shared" si="1663"/>
        <v>41182</v>
      </c>
      <c r="Q282" s="601">
        <f t="shared" si="1663"/>
        <v>41274</v>
      </c>
      <c r="R282" s="601">
        <f t="shared" si="1663"/>
        <v>41364</v>
      </c>
      <c r="S282" s="601">
        <f t="shared" si="1663"/>
        <v>41455</v>
      </c>
      <c r="T282" s="601">
        <f t="shared" si="1663"/>
        <v>41547</v>
      </c>
      <c r="U282" s="601">
        <f t="shared" si="1663"/>
        <v>41639</v>
      </c>
      <c r="V282" s="601">
        <f t="shared" si="1663"/>
        <v>41729</v>
      </c>
      <c r="W282" s="601">
        <f t="shared" si="1663"/>
        <v>41820</v>
      </c>
      <c r="X282" s="601">
        <f t="shared" si="1663"/>
        <v>41912</v>
      </c>
      <c r="Y282" s="601">
        <f t="shared" si="1663"/>
        <v>42004</v>
      </c>
      <c r="Z282" s="601">
        <f t="shared" si="1663"/>
        <v>42094</v>
      </c>
      <c r="AA282" s="601">
        <f t="shared" si="1663"/>
        <v>42185</v>
      </c>
      <c r="AB282" s="601">
        <f t="shared" si="1663"/>
        <v>42277</v>
      </c>
      <c r="AC282" s="601">
        <f t="shared" si="1663"/>
        <v>42369</v>
      </c>
      <c r="AD282" s="601">
        <f t="shared" si="1663"/>
        <v>42460</v>
      </c>
      <c r="AE282" s="2127">
        <f t="shared" si="1663"/>
        <v>42551</v>
      </c>
      <c r="AF282" s="601">
        <f t="shared" si="1663"/>
        <v>42643</v>
      </c>
      <c r="AG282" s="601">
        <f t="shared" si="1663"/>
        <v>42735</v>
      </c>
      <c r="AH282" s="601">
        <f t="shared" ref="AH282:CS282" si="1664">AH$4</f>
        <v>42825</v>
      </c>
      <c r="AI282" s="601">
        <f t="shared" si="1664"/>
        <v>42916</v>
      </c>
      <c r="AJ282" s="601">
        <f t="shared" si="1664"/>
        <v>43008</v>
      </c>
      <c r="AK282" s="601">
        <f t="shared" si="1664"/>
        <v>43100</v>
      </c>
      <c r="AL282" s="601">
        <f t="shared" si="1664"/>
        <v>43190</v>
      </c>
      <c r="AM282" s="601">
        <f t="shared" si="1664"/>
        <v>43281</v>
      </c>
      <c r="AN282" s="601">
        <f t="shared" si="1664"/>
        <v>43373</v>
      </c>
      <c r="AO282" s="601">
        <f t="shared" si="1664"/>
        <v>43465</v>
      </c>
      <c r="AP282" s="601">
        <f t="shared" si="1664"/>
        <v>43555</v>
      </c>
      <c r="AQ282" s="601">
        <f t="shared" si="1664"/>
        <v>43646</v>
      </c>
      <c r="AR282" s="601">
        <f t="shared" si="1664"/>
        <v>43738</v>
      </c>
      <c r="AS282" s="601">
        <f t="shared" si="1664"/>
        <v>43830</v>
      </c>
      <c r="AT282" s="601">
        <f t="shared" si="1664"/>
        <v>43921</v>
      </c>
      <c r="AU282" s="601">
        <f t="shared" si="1664"/>
        <v>44012</v>
      </c>
      <c r="AV282" s="601">
        <f t="shared" si="1664"/>
        <v>44104</v>
      </c>
      <c r="AW282" s="601">
        <f t="shared" si="1664"/>
        <v>44196</v>
      </c>
      <c r="AX282" s="601">
        <f t="shared" si="1664"/>
        <v>44286</v>
      </c>
      <c r="AY282" s="601">
        <f t="shared" si="1664"/>
        <v>44377</v>
      </c>
      <c r="AZ282" s="601">
        <f t="shared" si="1664"/>
        <v>44469</v>
      </c>
      <c r="BA282" s="601">
        <f t="shared" si="1664"/>
        <v>44561</v>
      </c>
      <c r="BB282" s="601">
        <f t="shared" si="1664"/>
        <v>44651</v>
      </c>
      <c r="BC282" s="601">
        <f t="shared" si="1664"/>
        <v>44742</v>
      </c>
      <c r="BD282" s="601">
        <f t="shared" si="1664"/>
        <v>44834</v>
      </c>
      <c r="BE282" s="601">
        <f t="shared" si="1664"/>
        <v>44926</v>
      </c>
      <c r="BF282" s="601">
        <f t="shared" si="1664"/>
        <v>45016</v>
      </c>
      <c r="BG282" s="601">
        <f t="shared" si="1664"/>
        <v>45107</v>
      </c>
      <c r="BH282" s="601">
        <f t="shared" si="1664"/>
        <v>45199</v>
      </c>
      <c r="BI282" s="601">
        <f t="shared" si="1664"/>
        <v>45291</v>
      </c>
      <c r="BJ282" s="601">
        <f t="shared" si="1664"/>
        <v>45382</v>
      </c>
      <c r="BK282" s="1172">
        <f t="shared" si="1664"/>
        <v>45473</v>
      </c>
      <c r="BL282" s="600">
        <f t="shared" si="1664"/>
        <v>45565</v>
      </c>
      <c r="BM282" s="600">
        <f t="shared" si="1664"/>
        <v>45657</v>
      </c>
      <c r="BN282" s="600">
        <f t="shared" si="1664"/>
        <v>45747</v>
      </c>
      <c r="BO282" s="600">
        <f t="shared" si="1664"/>
        <v>45838</v>
      </c>
      <c r="BP282" s="600">
        <f t="shared" si="1664"/>
        <v>45930</v>
      </c>
      <c r="BQ282" s="600">
        <f t="shared" si="1664"/>
        <v>46022</v>
      </c>
      <c r="BR282" s="600">
        <f t="shared" si="1664"/>
        <v>46112</v>
      </c>
      <c r="BS282" s="600">
        <f t="shared" si="1664"/>
        <v>46203</v>
      </c>
      <c r="BT282" s="600">
        <f t="shared" si="1664"/>
        <v>46295</v>
      </c>
      <c r="BU282" s="600">
        <f t="shared" si="1664"/>
        <v>46387</v>
      </c>
      <c r="BV282" s="600">
        <f t="shared" si="1664"/>
        <v>46477</v>
      </c>
      <c r="BW282" s="600">
        <f t="shared" si="1664"/>
        <v>46568</v>
      </c>
      <c r="BX282" s="600">
        <f t="shared" si="1664"/>
        <v>46660</v>
      </c>
      <c r="BY282" s="600">
        <f t="shared" si="1664"/>
        <v>46752</v>
      </c>
      <c r="BZ282" s="600">
        <f t="shared" si="1664"/>
        <v>46843</v>
      </c>
      <c r="CA282" s="600">
        <f t="shared" si="1664"/>
        <v>46934</v>
      </c>
      <c r="CB282" s="600">
        <f t="shared" si="1664"/>
        <v>47026</v>
      </c>
      <c r="CC282" s="600">
        <f t="shared" si="1664"/>
        <v>47118</v>
      </c>
      <c r="CD282" s="600">
        <f t="shared" si="1664"/>
        <v>47208</v>
      </c>
      <c r="CE282" s="600">
        <f t="shared" si="1664"/>
        <v>47299</v>
      </c>
      <c r="CF282" s="600">
        <f t="shared" si="1664"/>
        <v>47391</v>
      </c>
      <c r="CG282" s="600">
        <f t="shared" si="1664"/>
        <v>47483</v>
      </c>
      <c r="CH282" s="600">
        <f t="shared" si="1664"/>
        <v>47573</v>
      </c>
      <c r="CI282" s="600">
        <f t="shared" si="1664"/>
        <v>47664</v>
      </c>
      <c r="CJ282" s="600">
        <f t="shared" si="1664"/>
        <v>47756</v>
      </c>
      <c r="CK282" s="600">
        <f t="shared" si="1664"/>
        <v>47848</v>
      </c>
      <c r="CL282" s="600">
        <f t="shared" si="1664"/>
        <v>47938</v>
      </c>
      <c r="CM282" s="600">
        <f t="shared" si="1664"/>
        <v>48029</v>
      </c>
      <c r="CN282" s="600">
        <f t="shared" si="1664"/>
        <v>48121</v>
      </c>
      <c r="CO282" s="600">
        <f t="shared" si="1664"/>
        <v>48213</v>
      </c>
      <c r="CP282" s="600">
        <f t="shared" si="1664"/>
        <v>48304</v>
      </c>
      <c r="CQ282" s="600">
        <f t="shared" si="1664"/>
        <v>48395</v>
      </c>
      <c r="CR282" s="600">
        <f t="shared" si="1664"/>
        <v>48487</v>
      </c>
      <c r="CS282" s="600">
        <f t="shared" si="1664"/>
        <v>48579</v>
      </c>
      <c r="CT282" s="600">
        <f t="shared" ref="CT282:CW282" si="1665">CT$4</f>
        <v>48669</v>
      </c>
      <c r="CU282" s="600">
        <f t="shared" si="1665"/>
        <v>48760</v>
      </c>
      <c r="CV282" s="600">
        <f t="shared" si="1665"/>
        <v>48852</v>
      </c>
      <c r="CW282" s="600">
        <f t="shared" si="1665"/>
        <v>48944</v>
      </c>
    </row>
    <row r="283" spans="1:101" s="9" customFormat="1" ht="11.25">
      <c r="A283" s="532" t="s">
        <v>706</v>
      </c>
      <c r="B283" s="306">
        <f>IS!C5</f>
        <v>-792.54899999999998</v>
      </c>
      <c r="C283" s="306">
        <f>IS!D5</f>
        <v>-772.08100000000002</v>
      </c>
      <c r="D283" s="306">
        <f>IS!E5</f>
        <v>-785.44500000000005</v>
      </c>
      <c r="E283" s="306">
        <f>IS!F5</f>
        <v>-816.38400000000001</v>
      </c>
      <c r="F283" s="306">
        <f>IS!G5</f>
        <v>-737.38300000000004</v>
      </c>
      <c r="G283" s="306">
        <f>IS!H5</f>
        <v>-748.52200000000005</v>
      </c>
      <c r="H283" s="306">
        <f>IS!I5</f>
        <v>-804.15700000000004</v>
      </c>
      <c r="I283" s="306">
        <f>IS!J5</f>
        <v>-883.08100000000002</v>
      </c>
      <c r="J283" s="306">
        <f>IS!K5</f>
        <v>-834.66800000000001</v>
      </c>
      <c r="K283" s="306">
        <f>IS!L5</f>
        <v>-898.01199999999994</v>
      </c>
      <c r="L283" s="306">
        <f>IS!M5</f>
        <v>-994.89499999999998</v>
      </c>
      <c r="M283" s="306">
        <f>IS!N5</f>
        <v>-1060.0239999999999</v>
      </c>
      <c r="N283" s="306">
        <f>IS!O5</f>
        <v>-1064.2339999999999</v>
      </c>
      <c r="O283" s="254">
        <f>IS!P5</f>
        <v>-1221.605</v>
      </c>
      <c r="P283" s="254">
        <f>IS!Q5</f>
        <v>-1229.8810000000001</v>
      </c>
      <c r="Q283" s="254">
        <f>IS!R5</f>
        <v>-1243.6479999999999</v>
      </c>
      <c r="R283" s="254">
        <f>IS!S5</f>
        <v>-1162.3409999999999</v>
      </c>
      <c r="S283" s="254">
        <f>IS!T5</f>
        <v>-1255.8</v>
      </c>
      <c r="T283" s="254">
        <f>IS!U5</f>
        <v>-1364.9059999999999</v>
      </c>
      <c r="U283" s="254">
        <f>IS!V5</f>
        <v>-1442.7</v>
      </c>
      <c r="V283" s="254">
        <f>IS!W5</f>
        <v>-1336.4760000000001</v>
      </c>
      <c r="W283" s="254">
        <f>IS!X5</f>
        <v>-1652.211</v>
      </c>
      <c r="X283" s="254">
        <f>IS!Y5</f>
        <v>-1828.4590000000001</v>
      </c>
      <c r="Y283" s="254">
        <f>IS!Z5</f>
        <v>-2459.3589999999999</v>
      </c>
      <c r="Z283" s="254">
        <f>IS!AA5</f>
        <v>-2307.2829999999999</v>
      </c>
      <c r="AA283" s="111">
        <f>IS!AB5</f>
        <v>-2452.21</v>
      </c>
      <c r="AB283" s="254">
        <f>IS!AC5</f>
        <v>-2605.6030000000001</v>
      </c>
      <c r="AC283" s="254">
        <f>IS!AD5</f>
        <v>-2784.18</v>
      </c>
      <c r="AD283" s="254">
        <f>IS!AE5</f>
        <v>-2711.9270000000001</v>
      </c>
      <c r="AE283" s="2115">
        <f>IS!AF5</f>
        <v>-2828.1619999999998</v>
      </c>
      <c r="AF283" s="254">
        <f>IS!AG5</f>
        <v>-2989.3530000000001</v>
      </c>
      <c r="AG283" s="254">
        <f>IS!AH5</f>
        <v>-3250.1889999999999</v>
      </c>
      <c r="AH283" s="254">
        <f>IS!AI5</f>
        <v>-3108.665</v>
      </c>
      <c r="AI283" s="254">
        <f>IS!AJ5</f>
        <v>-3130.712</v>
      </c>
      <c r="AJ283" s="254">
        <f>IS!AK5</f>
        <v>-3168.0720000000001</v>
      </c>
      <c r="AK283" s="254">
        <f>IS!AL5</f>
        <v>-3515.739</v>
      </c>
      <c r="AL283" s="254">
        <f>IS!AM5</f>
        <v>-3338.2310000000002</v>
      </c>
      <c r="AM283" s="111">
        <f>IS!AN5</f>
        <v>-3452.18</v>
      </c>
      <c r="AN283" s="111">
        <f>IS!AO5</f>
        <v>-3528.8420000000001</v>
      </c>
      <c r="AO283" s="111">
        <f>IS!AP5</f>
        <v>-3868.2550000000001</v>
      </c>
      <c r="AP283" s="111">
        <f>IS!AQ5</f>
        <v>-4104.5069999999996</v>
      </c>
      <c r="AQ283" s="111">
        <f>IS!AR5</f>
        <v>-4300.4579999999996</v>
      </c>
      <c r="AR283" s="111">
        <f>IS!AS5</f>
        <v>-4278.6450000000004</v>
      </c>
      <c r="AS283" s="111">
        <f>IS!AT5</f>
        <v>-4480.4120000000003</v>
      </c>
      <c r="AT283" s="111">
        <f>IS!AU5</f>
        <v>-3610.93</v>
      </c>
      <c r="AU283" s="111">
        <f>IS!AV5</f>
        <v>-1760.171</v>
      </c>
      <c r="AV283" s="111">
        <f>IS!AW5</f>
        <v>-2802.056</v>
      </c>
      <c r="AW283" s="111">
        <f>IS!AX5</f>
        <v>-3281.7269999999999</v>
      </c>
      <c r="AX283" s="111">
        <f>IS!AY5</f>
        <v>-3331.2280000000001</v>
      </c>
      <c r="AY283" s="111">
        <f>IS!AZ5</f>
        <v>-3959.6010000000001</v>
      </c>
      <c r="AZ283" s="111">
        <f>IS!BA5</f>
        <v>-4319.6009999999997</v>
      </c>
      <c r="BA283" s="111">
        <f>IS!BB5</f>
        <v>-5142.6310000000003</v>
      </c>
      <c r="BB283" s="111">
        <f>IS!BC5</f>
        <v>-4843.2629999999999</v>
      </c>
      <c r="BC283" s="111">
        <f>IS!BD5</f>
        <v>-5545.5559999999996</v>
      </c>
      <c r="BD283" s="111">
        <f>IS!BE5</f>
        <v>-5756.9110000000001</v>
      </c>
      <c r="BE283" s="111">
        <f>IS!BF5</f>
        <v>-6366.3450000000003</v>
      </c>
      <c r="BF283" s="111">
        <f>IS!BG5</f>
        <v>-5855.1629999999996</v>
      </c>
      <c r="BG283" s="111">
        <f>IS!BH5</f>
        <v>-6285.5209999999997</v>
      </c>
      <c r="BH283" s="111">
        <f>IS!BI5</f>
        <v>-6366.6329999999998</v>
      </c>
      <c r="BI283" s="111">
        <f>IS!BJ5</f>
        <v>-6496.2340000000004</v>
      </c>
      <c r="BJ283" s="111">
        <f>IS!BK5</f>
        <v>-5818.268</v>
      </c>
      <c r="BK283" s="1175">
        <f>IS!BL5</f>
        <v>-6119.049</v>
      </c>
      <c r="BL283" s="332">
        <f t="shared" ref="BL283:CW283" si="1666">-BL284*BL245</f>
        <v>-6635.6303748001765</v>
      </c>
      <c r="BM283" s="332">
        <f t="shared" si="1666"/>
        <v>-6966.7522364954702</v>
      </c>
      <c r="BN283" s="332">
        <f t="shared" si="1666"/>
        <v>-6583.4767316454972</v>
      </c>
      <c r="BO283" s="332">
        <f t="shared" si="1666"/>
        <v>-7040.9575227714586</v>
      </c>
      <c r="BP283" s="332">
        <f t="shared" si="1666"/>
        <v>-7268.7814614945946</v>
      </c>
      <c r="BQ283" s="332">
        <f t="shared" si="1666"/>
        <v>-7564.2987720157671</v>
      </c>
      <c r="BR283" s="332">
        <f t="shared" si="1666"/>
        <v>-7115.8174302336711</v>
      </c>
      <c r="BS283" s="332">
        <f t="shared" si="1666"/>
        <v>-7525.3296142160907</v>
      </c>
      <c r="BT283" s="332">
        <f t="shared" si="1666"/>
        <v>-7767.2365317002177</v>
      </c>
      <c r="BU283" s="332">
        <f t="shared" si="1666"/>
        <v>-8080.308067775728</v>
      </c>
      <c r="BV283" s="332">
        <f t="shared" si="1666"/>
        <v>-7564.3606791939455</v>
      </c>
      <c r="BW283" s="332">
        <f t="shared" si="1666"/>
        <v>-7986.7668254454757</v>
      </c>
      <c r="BX283" s="332">
        <f t="shared" si="1666"/>
        <v>-8246.4083366262457</v>
      </c>
      <c r="BY283" s="332">
        <f t="shared" si="1666"/>
        <v>-8587.5826836817851</v>
      </c>
      <c r="BZ283" s="332">
        <f t="shared" si="1666"/>
        <v>-8083.6039321769067</v>
      </c>
      <c r="CA283" s="332">
        <f t="shared" si="1666"/>
        <v>-8526.681917991069</v>
      </c>
      <c r="CB283" s="332">
        <f t="shared" si="1666"/>
        <v>-8809.2671964496039</v>
      </c>
      <c r="CC283" s="332">
        <f t="shared" si="1666"/>
        <v>-9184.5944673527265</v>
      </c>
      <c r="CD283" s="332">
        <f t="shared" si="1666"/>
        <v>-8508.7410827909553</v>
      </c>
      <c r="CE283" s="332">
        <f t="shared" si="1666"/>
        <v>-8965.6798876850189</v>
      </c>
      <c r="CF283" s="332">
        <f t="shared" si="1666"/>
        <v>-9269.2298341230253</v>
      </c>
      <c r="CG283" s="332">
        <f t="shared" si="1666"/>
        <v>-9676.0638889131824</v>
      </c>
      <c r="CH283" s="332">
        <f t="shared" si="1666"/>
        <v>-8951.7456235158388</v>
      </c>
      <c r="CI283" s="332">
        <f t="shared" si="1666"/>
        <v>-9418.5737991393526</v>
      </c>
      <c r="CJ283" s="332">
        <f t="shared" si="1666"/>
        <v>-9739.7190249484102</v>
      </c>
      <c r="CK283" s="332">
        <f t="shared" si="1666"/>
        <v>-10172.514890223902</v>
      </c>
      <c r="CL283" s="332">
        <f t="shared" si="1666"/>
        <v>-9397.9236709119159</v>
      </c>
      <c r="CM283" s="332">
        <f t="shared" si="1666"/>
        <v>-9878.7807281572041</v>
      </c>
      <c r="CN283" s="332">
        <f t="shared" si="1666"/>
        <v>-10223.032186548528</v>
      </c>
      <c r="CO283" s="332">
        <f t="shared" si="1666"/>
        <v>-10689.270173182622</v>
      </c>
      <c r="CP283" s="332">
        <f t="shared" si="1666"/>
        <v>-9865.1744584775006</v>
      </c>
      <c r="CQ283" s="332">
        <f t="shared" si="1666"/>
        <v>-10360.364569656036</v>
      </c>
      <c r="CR283" s="332">
        <f t="shared" si="1666"/>
        <v>-10729.462289749292</v>
      </c>
      <c r="CS283" s="332">
        <f t="shared" si="1666"/>
        <v>-11231.227562259273</v>
      </c>
      <c r="CT283" s="332">
        <f t="shared" si="1666"/>
        <v>-10354.837075157742</v>
      </c>
      <c r="CU283" s="332">
        <f t="shared" si="1666"/>
        <v>-10864.3703451567</v>
      </c>
      <c r="CV283" s="332">
        <f t="shared" si="1666"/>
        <v>-11259.374246355999</v>
      </c>
      <c r="CW283" s="332">
        <f t="shared" si="1666"/>
        <v>-11792.163274319339</v>
      </c>
    </row>
    <row r="284" spans="1:101" s="9" customFormat="1" ht="11.25">
      <c r="A284" s="312" t="s">
        <v>355</v>
      </c>
      <c r="B284" s="368">
        <f t="shared" ref="B284:AG284" si="1667">-IF(B283=0,"n.a.",B283/B$245)</f>
        <v>0.38028302823804772</v>
      </c>
      <c r="C284" s="368">
        <f t="shared" si="1667"/>
        <v>0.3724959871627806</v>
      </c>
      <c r="D284" s="368">
        <f t="shared" si="1667"/>
        <v>0.37056406583716783</v>
      </c>
      <c r="E284" s="368">
        <f t="shared" si="1667"/>
        <v>0.35331173490540807</v>
      </c>
      <c r="F284" s="368">
        <f t="shared" si="1667"/>
        <v>0.3518354170066294</v>
      </c>
      <c r="G284" s="368">
        <f t="shared" si="1667"/>
        <v>0.34546637744034714</v>
      </c>
      <c r="H284" s="368">
        <f t="shared" si="1667"/>
        <v>0.35348725782168644</v>
      </c>
      <c r="I284" s="368">
        <f t="shared" si="1667"/>
        <v>0.36132654827317712</v>
      </c>
      <c r="J284" s="368">
        <f t="shared" si="1667"/>
        <v>0.34825079357661892</v>
      </c>
      <c r="K284" s="368">
        <f t="shared" si="1667"/>
        <v>0.34603498528792959</v>
      </c>
      <c r="L284" s="368">
        <f t="shared" si="1667"/>
        <v>0.35932612919769713</v>
      </c>
      <c r="M284" s="368">
        <f t="shared" si="1667"/>
        <v>0.36106425708283035</v>
      </c>
      <c r="N284" s="368">
        <f t="shared" si="1667"/>
        <v>0.35928992372844737</v>
      </c>
      <c r="O284" s="345">
        <f t="shared" si="1667"/>
        <v>0.35650998696654318</v>
      </c>
      <c r="P284" s="345">
        <f t="shared" si="1667"/>
        <v>0.35114856677550471</v>
      </c>
      <c r="Q284" s="345">
        <f t="shared" si="1667"/>
        <v>0.3427493911306958</v>
      </c>
      <c r="R284" s="345">
        <f t="shared" si="1667"/>
        <v>0.34199113437720852</v>
      </c>
      <c r="S284" s="345">
        <f t="shared" si="1667"/>
        <v>0.32868950567537736</v>
      </c>
      <c r="T284" s="345">
        <f t="shared" si="1667"/>
        <v>0.33434394627984287</v>
      </c>
      <c r="U284" s="345">
        <f t="shared" si="1667"/>
        <v>0.32707232521966351</v>
      </c>
      <c r="V284" s="345">
        <f t="shared" si="1667"/>
        <v>0.33478555804606974</v>
      </c>
      <c r="W284" s="345">
        <f t="shared" si="1667"/>
        <v>0.31752978767811202</v>
      </c>
      <c r="X284" s="345">
        <f t="shared" si="1667"/>
        <v>0.32070638019177566</v>
      </c>
      <c r="Y284" s="345">
        <f t="shared" si="1667"/>
        <v>0.31117167184746486</v>
      </c>
      <c r="Z284" s="345">
        <f t="shared" si="1667"/>
        <v>0.31416251170646248</v>
      </c>
      <c r="AA284" s="410">
        <f t="shared" si="1667"/>
        <v>0.31592738002937926</v>
      </c>
      <c r="AB284" s="345">
        <f t="shared" si="1667"/>
        <v>0.31681475088559935</v>
      </c>
      <c r="AC284" s="345">
        <f t="shared" si="1667"/>
        <v>0.31080978799990089</v>
      </c>
      <c r="AD284" s="345">
        <f t="shared" si="1667"/>
        <v>0.31775082134705607</v>
      </c>
      <c r="AE284" s="2167">
        <f t="shared" si="1667"/>
        <v>0.31196743546570938</v>
      </c>
      <c r="AF284" s="345">
        <f t="shared" si="1667"/>
        <v>0.31132659667002155</v>
      </c>
      <c r="AG284" s="345">
        <f t="shared" si="1667"/>
        <v>0.30955492875650442</v>
      </c>
      <c r="AH284" s="345">
        <f t="shared" ref="AH284:AT284" si="1668">-IF(AH283=0,"n.a.",AH283/AH$245)</f>
        <v>0.30799475688678757</v>
      </c>
      <c r="AI284" s="345">
        <f t="shared" si="1668"/>
        <v>0.30264791501259181</v>
      </c>
      <c r="AJ284" s="345">
        <f t="shared" si="1668"/>
        <v>0.30243102046957082</v>
      </c>
      <c r="AK284" s="345">
        <f t="shared" si="1668"/>
        <v>0.30266025052762868</v>
      </c>
      <c r="AL284" s="345">
        <f t="shared" si="1668"/>
        <v>0.30128805721008334</v>
      </c>
      <c r="AM284" s="410">
        <f t="shared" si="1668"/>
        <v>0.30481458315159021</v>
      </c>
      <c r="AN284" s="410">
        <f t="shared" si="1668"/>
        <v>0.31021706848711023</v>
      </c>
      <c r="AO284" s="410">
        <f t="shared" si="1668"/>
        <v>0.31256550069967071</v>
      </c>
      <c r="AP284" s="410">
        <f t="shared" si="1668"/>
        <v>0.29980501933152903</v>
      </c>
      <c r="AQ284" s="410">
        <f t="shared" si="1668"/>
        <v>0.29494510387374617</v>
      </c>
      <c r="AR284" s="410">
        <f t="shared" si="1668"/>
        <v>0.29527248099219788</v>
      </c>
      <c r="AS284" s="410">
        <f t="shared" si="1668"/>
        <v>0.29106820458680011</v>
      </c>
      <c r="AT284" s="1737">
        <f t="shared" si="1668"/>
        <v>0.29829848435658057</v>
      </c>
      <c r="AU284" s="1737">
        <f t="shared" ref="AU284:BC284" si="1669">-IF(AU283=0,"n.a.",AU283/AU$245)</f>
        <v>0.33863919133121717</v>
      </c>
      <c r="AV284" s="1737">
        <f t="shared" si="1669"/>
        <v>0.28316415573191822</v>
      </c>
      <c r="AW284" s="1737">
        <f t="shared" si="1669"/>
        <v>0.29049456698103238</v>
      </c>
      <c r="AX284" s="1737">
        <f t="shared" si="1669"/>
        <v>0.3262163433092623</v>
      </c>
      <c r="AY284" s="1737">
        <f t="shared" si="1669"/>
        <v>0.31734264790459016</v>
      </c>
      <c r="AZ284" s="1737">
        <f t="shared" si="1669"/>
        <v>0.3094652455263992</v>
      </c>
      <c r="BA284" s="1737">
        <f t="shared" si="1669"/>
        <v>0.30735097876466522</v>
      </c>
      <c r="BB284" s="1737">
        <f t="shared" si="1669"/>
        <v>0.31804622918323816</v>
      </c>
      <c r="BC284" s="1737">
        <f t="shared" si="1669"/>
        <v>0.32738143309384043</v>
      </c>
      <c r="BD284" s="1737">
        <f t="shared" ref="BD284:BG284" si="1670">-IF(BD283=0,"n.a.",BD283/BD$245)</f>
        <v>0.32862502351843026</v>
      </c>
      <c r="BE284" s="1737">
        <f t="shared" si="1670"/>
        <v>0.33251865628376059</v>
      </c>
      <c r="BF284" s="1737">
        <f t="shared" si="1670"/>
        <v>0.33144345067010561</v>
      </c>
      <c r="BG284" s="1737">
        <f t="shared" si="1670"/>
        <v>0.3317119233401028</v>
      </c>
      <c r="BH284" s="1737">
        <f t="shared" ref="BH284" si="1671">-IF(BH283=0,"n.a.",BH283/BH$245)</f>
        <v>0.32699750908758279</v>
      </c>
      <c r="BI284" s="1737">
        <f t="shared" ref="BI284" si="1672">-IF(BI283=0,"n.a.",BI283/BI$245)</f>
        <v>0.32244666655713672</v>
      </c>
      <c r="BJ284" s="1737">
        <f t="shared" ref="BJ284" si="1673">-IF(BJ283=0,"n.a.",BJ283/BJ$245)</f>
        <v>0.31963538852314594</v>
      </c>
      <c r="BK284" s="1684">
        <f t="shared" ref="BK284" si="1674">-IF(BK283=0,"n.a.",BK283/BK$245)</f>
        <v>0.31780596083700036</v>
      </c>
      <c r="BL284" s="1082">
        <f t="shared" ref="BL284:CW284" si="1675">1-BL285</f>
        <v>0.32999999999999996</v>
      </c>
      <c r="BM284" s="1082">
        <f t="shared" si="1675"/>
        <v>0.33199999999999996</v>
      </c>
      <c r="BN284" s="1082">
        <f t="shared" si="1675"/>
        <v>0.330635388523146</v>
      </c>
      <c r="BO284" s="1082">
        <f t="shared" si="1675"/>
        <v>0.32880596083700031</v>
      </c>
      <c r="BP284" s="1082">
        <f t="shared" si="1675"/>
        <v>0.33099999999999996</v>
      </c>
      <c r="BQ284" s="1082">
        <f t="shared" si="1675"/>
        <v>0.33299999999999996</v>
      </c>
      <c r="BR284" s="1082">
        <f t="shared" si="1675"/>
        <v>0.331635388523146</v>
      </c>
      <c r="BS284" s="1082">
        <f t="shared" si="1675"/>
        <v>0.32980596083700031</v>
      </c>
      <c r="BT284" s="1082">
        <f t="shared" si="1675"/>
        <v>0.33199999999999996</v>
      </c>
      <c r="BU284" s="1082">
        <f t="shared" si="1675"/>
        <v>0.33399999999999996</v>
      </c>
      <c r="BV284" s="1082">
        <f t="shared" si="1675"/>
        <v>0.332635388523146</v>
      </c>
      <c r="BW284" s="1082">
        <f t="shared" si="1675"/>
        <v>0.33080596083700031</v>
      </c>
      <c r="BX284" s="1082">
        <f t="shared" si="1675"/>
        <v>0.33299999999999996</v>
      </c>
      <c r="BY284" s="1082">
        <f t="shared" si="1675"/>
        <v>0.33499999999999996</v>
      </c>
      <c r="BZ284" s="1082">
        <f t="shared" si="1675"/>
        <v>0.33763538852314601</v>
      </c>
      <c r="CA284" s="1082">
        <f t="shared" si="1675"/>
        <v>0.33580596083700032</v>
      </c>
      <c r="CB284" s="1082">
        <f t="shared" si="1675"/>
        <v>0.33799999999999997</v>
      </c>
      <c r="CC284" s="1082">
        <f t="shared" si="1675"/>
        <v>0.33999999999999997</v>
      </c>
      <c r="CD284" s="1082">
        <f t="shared" si="1675"/>
        <v>0.33763538852314601</v>
      </c>
      <c r="CE284" s="1082">
        <f t="shared" si="1675"/>
        <v>0.33580596083700032</v>
      </c>
      <c r="CF284" s="1082">
        <f t="shared" si="1675"/>
        <v>0.33799999999999997</v>
      </c>
      <c r="CG284" s="1082">
        <f t="shared" si="1675"/>
        <v>0.33999999999999997</v>
      </c>
      <c r="CH284" s="1082">
        <f t="shared" si="1675"/>
        <v>0.33763538852314601</v>
      </c>
      <c r="CI284" s="1082">
        <f t="shared" si="1675"/>
        <v>0.33580596083700032</v>
      </c>
      <c r="CJ284" s="1082">
        <f t="shared" si="1675"/>
        <v>0.33799999999999997</v>
      </c>
      <c r="CK284" s="1082">
        <f t="shared" si="1675"/>
        <v>0.33999999999999997</v>
      </c>
      <c r="CL284" s="1082">
        <f t="shared" si="1675"/>
        <v>0.33763538852314601</v>
      </c>
      <c r="CM284" s="1082">
        <f t="shared" si="1675"/>
        <v>0.33580596083700032</v>
      </c>
      <c r="CN284" s="1082">
        <f t="shared" si="1675"/>
        <v>0.33799999999999997</v>
      </c>
      <c r="CO284" s="1082">
        <f t="shared" si="1675"/>
        <v>0.33999999999999997</v>
      </c>
      <c r="CP284" s="1082">
        <f t="shared" si="1675"/>
        <v>0.33763538852314601</v>
      </c>
      <c r="CQ284" s="1082">
        <f t="shared" si="1675"/>
        <v>0.33580596083700032</v>
      </c>
      <c r="CR284" s="1082">
        <f t="shared" si="1675"/>
        <v>0.33799999999999997</v>
      </c>
      <c r="CS284" s="1082">
        <f t="shared" si="1675"/>
        <v>0.33999999999999997</v>
      </c>
      <c r="CT284" s="1082">
        <f t="shared" si="1675"/>
        <v>0.33763538852314601</v>
      </c>
      <c r="CU284" s="1082">
        <f t="shared" si="1675"/>
        <v>0.33580596083700032</v>
      </c>
      <c r="CV284" s="1082">
        <f t="shared" si="1675"/>
        <v>0.33799999999999997</v>
      </c>
      <c r="CW284" s="1082">
        <f t="shared" si="1675"/>
        <v>0.33999999999999997</v>
      </c>
    </row>
    <row r="285" spans="1:101" s="9" customFormat="1" ht="11.25">
      <c r="A285" s="312" t="s">
        <v>315</v>
      </c>
      <c r="B285" s="368">
        <f>1-B284</f>
        <v>0.61971697176195228</v>
      </c>
      <c r="C285" s="368">
        <f t="shared" ref="C285:AY285" si="1676">1-C284</f>
        <v>0.62750401283721935</v>
      </c>
      <c r="D285" s="368">
        <f t="shared" si="1676"/>
        <v>0.62943593416283217</v>
      </c>
      <c r="E285" s="368">
        <f t="shared" si="1676"/>
        <v>0.64668826509459199</v>
      </c>
      <c r="F285" s="368">
        <f t="shared" si="1676"/>
        <v>0.64816458299337065</v>
      </c>
      <c r="G285" s="368">
        <f t="shared" si="1676"/>
        <v>0.65453362255965286</v>
      </c>
      <c r="H285" s="368">
        <f t="shared" si="1676"/>
        <v>0.64651274217831356</v>
      </c>
      <c r="I285" s="368">
        <f t="shared" si="1676"/>
        <v>0.63867345172682288</v>
      </c>
      <c r="J285" s="368">
        <f t="shared" si="1676"/>
        <v>0.65174920642338108</v>
      </c>
      <c r="K285" s="368">
        <f t="shared" si="1676"/>
        <v>0.65396501471207036</v>
      </c>
      <c r="L285" s="368">
        <f t="shared" si="1676"/>
        <v>0.64067387080230287</v>
      </c>
      <c r="M285" s="368">
        <f t="shared" si="1676"/>
        <v>0.63893574291716959</v>
      </c>
      <c r="N285" s="368">
        <f t="shared" si="1676"/>
        <v>0.64071007627155263</v>
      </c>
      <c r="O285" s="345">
        <f t="shared" si="1676"/>
        <v>0.64349001303345688</v>
      </c>
      <c r="P285" s="345">
        <f t="shared" si="1676"/>
        <v>0.64885143322449523</v>
      </c>
      <c r="Q285" s="345">
        <f t="shared" si="1676"/>
        <v>0.6572506088693042</v>
      </c>
      <c r="R285" s="345">
        <f t="shared" si="1676"/>
        <v>0.65800886562279148</v>
      </c>
      <c r="S285" s="345">
        <f t="shared" si="1676"/>
        <v>0.67131049432462264</v>
      </c>
      <c r="T285" s="345">
        <f t="shared" si="1676"/>
        <v>0.66565605372015713</v>
      </c>
      <c r="U285" s="345">
        <f t="shared" si="1676"/>
        <v>0.67292767478033655</v>
      </c>
      <c r="V285" s="345">
        <f t="shared" si="1676"/>
        <v>0.66521444195393031</v>
      </c>
      <c r="W285" s="345">
        <f t="shared" si="1676"/>
        <v>0.68247021232188798</v>
      </c>
      <c r="X285" s="345">
        <f t="shared" si="1676"/>
        <v>0.67929361980822434</v>
      </c>
      <c r="Y285" s="345">
        <f t="shared" si="1676"/>
        <v>0.68882832815253514</v>
      </c>
      <c r="Z285" s="345">
        <f t="shared" si="1676"/>
        <v>0.68583748829353752</v>
      </c>
      <c r="AA285" s="410">
        <f t="shared" si="1676"/>
        <v>0.68407261997062074</v>
      </c>
      <c r="AB285" s="345">
        <f t="shared" si="1676"/>
        <v>0.68318524911440059</v>
      </c>
      <c r="AC285" s="345">
        <f t="shared" si="1676"/>
        <v>0.68919021200009911</v>
      </c>
      <c r="AD285" s="345">
        <f t="shared" si="1676"/>
        <v>0.68224917865294388</v>
      </c>
      <c r="AE285" s="2167">
        <f t="shared" si="1676"/>
        <v>0.68803256453429062</v>
      </c>
      <c r="AF285" s="345">
        <f t="shared" si="1676"/>
        <v>0.6886734033299784</v>
      </c>
      <c r="AG285" s="345">
        <f t="shared" si="1676"/>
        <v>0.69044507124349552</v>
      </c>
      <c r="AH285" s="345">
        <f t="shared" si="1676"/>
        <v>0.69200524311321243</v>
      </c>
      <c r="AI285" s="345">
        <f t="shared" si="1676"/>
        <v>0.69735208498740819</v>
      </c>
      <c r="AJ285" s="345">
        <f t="shared" si="1676"/>
        <v>0.69756897953042918</v>
      </c>
      <c r="AK285" s="345">
        <f t="shared" si="1676"/>
        <v>0.69733974947237132</v>
      </c>
      <c r="AL285" s="345">
        <f t="shared" si="1676"/>
        <v>0.69871194278991666</v>
      </c>
      <c r="AM285" s="410">
        <f t="shared" si="1676"/>
        <v>0.69518541684840973</v>
      </c>
      <c r="AN285" s="410">
        <f t="shared" si="1676"/>
        <v>0.68978293151288983</v>
      </c>
      <c r="AO285" s="410">
        <f t="shared" si="1676"/>
        <v>0.68743449930032929</v>
      </c>
      <c r="AP285" s="410">
        <f t="shared" si="1676"/>
        <v>0.70019498066847097</v>
      </c>
      <c r="AQ285" s="410">
        <f t="shared" si="1676"/>
        <v>0.70505489612625383</v>
      </c>
      <c r="AR285" s="410">
        <f t="shared" si="1676"/>
        <v>0.70472751900780217</v>
      </c>
      <c r="AS285" s="410">
        <f t="shared" si="1676"/>
        <v>0.70893179541319995</v>
      </c>
      <c r="AT285" s="1737">
        <f t="shared" si="1676"/>
        <v>0.70170151564341943</v>
      </c>
      <c r="AU285" s="1737">
        <f t="shared" si="1676"/>
        <v>0.66136080866878277</v>
      </c>
      <c r="AV285" s="1737">
        <f t="shared" si="1676"/>
        <v>0.71683584426808178</v>
      </c>
      <c r="AW285" s="1737">
        <f t="shared" si="1676"/>
        <v>0.70950543301896762</v>
      </c>
      <c r="AX285" s="1737">
        <f t="shared" si="1676"/>
        <v>0.6737836566907377</v>
      </c>
      <c r="AY285" s="1737">
        <f t="shared" si="1676"/>
        <v>0.68265735209540979</v>
      </c>
      <c r="AZ285" s="1737">
        <f t="shared" ref="AZ285:BE285" si="1677">1-AZ284</f>
        <v>0.6905347544736008</v>
      </c>
      <c r="BA285" s="1737">
        <f t="shared" si="1677"/>
        <v>0.69264902123533478</v>
      </c>
      <c r="BB285" s="1737">
        <f t="shared" si="1677"/>
        <v>0.68195377081676178</v>
      </c>
      <c r="BC285" s="1737">
        <f t="shared" si="1677"/>
        <v>0.67261856690615951</v>
      </c>
      <c r="BD285" s="1737">
        <f t="shared" si="1677"/>
        <v>0.67137497648156974</v>
      </c>
      <c r="BE285" s="1737">
        <f t="shared" si="1677"/>
        <v>0.66748134371623946</v>
      </c>
      <c r="BF285" s="1737">
        <f t="shared" ref="BF285:BG285" si="1678">1-BF284</f>
        <v>0.66855654932989439</v>
      </c>
      <c r="BG285" s="1737">
        <f t="shared" si="1678"/>
        <v>0.6682880766598972</v>
      </c>
      <c r="BH285" s="1737">
        <f t="shared" ref="BH285" si="1679">1-BH284</f>
        <v>0.67300249091241726</v>
      </c>
      <c r="BI285" s="1737">
        <f t="shared" ref="BI285" si="1680">1-BI284</f>
        <v>0.67755333344286328</v>
      </c>
      <c r="BJ285" s="1737">
        <f t="shared" ref="BJ285" si="1681">1-BJ284</f>
        <v>0.68036461147685401</v>
      </c>
      <c r="BK285" s="1684">
        <f t="shared" ref="BK285" si="1682">1-BK284</f>
        <v>0.6821940391629997</v>
      </c>
      <c r="BL285" s="1082">
        <f>Inputs!BL209</f>
        <v>0.67</v>
      </c>
      <c r="BM285" s="1082">
        <f>Inputs!BM209</f>
        <v>0.66800000000000004</v>
      </c>
      <c r="BN285" s="1082">
        <f>Inputs!BN209</f>
        <v>0.669364611476854</v>
      </c>
      <c r="BO285" s="1082">
        <f>Inputs!BO209</f>
        <v>0.67119403916299969</v>
      </c>
      <c r="BP285" s="1082">
        <f>Inputs!BP209</f>
        <v>0.66900000000000004</v>
      </c>
      <c r="BQ285" s="1082">
        <f>Inputs!BQ209</f>
        <v>0.66700000000000004</v>
      </c>
      <c r="BR285" s="1082">
        <f>Inputs!BR209</f>
        <v>0.668364611476854</v>
      </c>
      <c r="BS285" s="1082">
        <f>Inputs!BS209</f>
        <v>0.67019403916299969</v>
      </c>
      <c r="BT285" s="1082">
        <f>Inputs!BT209</f>
        <v>0.66800000000000004</v>
      </c>
      <c r="BU285" s="1082">
        <f>Inputs!BU209</f>
        <v>0.66600000000000004</v>
      </c>
      <c r="BV285" s="1082">
        <f>Inputs!BV209</f>
        <v>0.667364611476854</v>
      </c>
      <c r="BW285" s="1082">
        <f>Inputs!BW209</f>
        <v>0.66919403916299969</v>
      </c>
      <c r="BX285" s="1082">
        <f>Inputs!BX209</f>
        <v>0.66700000000000004</v>
      </c>
      <c r="BY285" s="1082">
        <f>Inputs!BY209</f>
        <v>0.66500000000000004</v>
      </c>
      <c r="BZ285" s="1082">
        <f>Inputs!BZ209</f>
        <v>0.66236461147685399</v>
      </c>
      <c r="CA285" s="1082">
        <f>Inputs!CA209</f>
        <v>0.66419403916299968</v>
      </c>
      <c r="CB285" s="1082">
        <f>Inputs!CB209</f>
        <v>0.66200000000000003</v>
      </c>
      <c r="CC285" s="1082">
        <f>Inputs!CC209</f>
        <v>0.66</v>
      </c>
      <c r="CD285" s="1082">
        <f>Inputs!CD209</f>
        <v>0.66236461147685399</v>
      </c>
      <c r="CE285" s="1082">
        <f>Inputs!CE209</f>
        <v>0.66419403916299968</v>
      </c>
      <c r="CF285" s="1082">
        <f>Inputs!CF209</f>
        <v>0.66200000000000003</v>
      </c>
      <c r="CG285" s="1082">
        <f>Inputs!CG209</f>
        <v>0.66</v>
      </c>
      <c r="CH285" s="1082">
        <f>Inputs!CH209</f>
        <v>0.66236461147685399</v>
      </c>
      <c r="CI285" s="1082">
        <f>Inputs!CI209</f>
        <v>0.66419403916299968</v>
      </c>
      <c r="CJ285" s="1082">
        <f>Inputs!CJ209</f>
        <v>0.66200000000000003</v>
      </c>
      <c r="CK285" s="1082">
        <f>Inputs!CK209</f>
        <v>0.66</v>
      </c>
      <c r="CL285" s="1082">
        <f>Inputs!CL209</f>
        <v>0.66236461147685399</v>
      </c>
      <c r="CM285" s="1082">
        <f>Inputs!CM209</f>
        <v>0.66419403916299968</v>
      </c>
      <c r="CN285" s="1082">
        <f>Inputs!CN209</f>
        <v>0.66200000000000003</v>
      </c>
      <c r="CO285" s="1082">
        <f>Inputs!CO209</f>
        <v>0.66</v>
      </c>
      <c r="CP285" s="1082">
        <f>Inputs!CP209</f>
        <v>0.66236461147685399</v>
      </c>
      <c r="CQ285" s="1082">
        <f>Inputs!CQ209</f>
        <v>0.66419403916299968</v>
      </c>
      <c r="CR285" s="1082">
        <f>Inputs!CR209</f>
        <v>0.66200000000000003</v>
      </c>
      <c r="CS285" s="1082">
        <f>Inputs!CS209</f>
        <v>0.66</v>
      </c>
      <c r="CT285" s="1082">
        <f>Inputs!CT209</f>
        <v>0.66236461147685399</v>
      </c>
      <c r="CU285" s="1082">
        <f>Inputs!CU209</f>
        <v>0.66419403916299968</v>
      </c>
      <c r="CV285" s="1082">
        <f>Inputs!CV209</f>
        <v>0.66200000000000003</v>
      </c>
      <c r="CW285" s="1082">
        <f>Inputs!CW209</f>
        <v>0.66</v>
      </c>
    </row>
    <row r="286" spans="1:101" s="9" customFormat="1" ht="11.25">
      <c r="A286" s="291" t="s">
        <v>1100</v>
      </c>
      <c r="B286" s="601">
        <f t="shared" ref="B286:AG286" si="1683">B$4</f>
        <v>39903</v>
      </c>
      <c r="C286" s="601">
        <f t="shared" si="1683"/>
        <v>39994</v>
      </c>
      <c r="D286" s="601">
        <f t="shared" si="1683"/>
        <v>40086</v>
      </c>
      <c r="E286" s="601">
        <f t="shared" si="1683"/>
        <v>40178</v>
      </c>
      <c r="F286" s="601">
        <f t="shared" si="1683"/>
        <v>40268</v>
      </c>
      <c r="G286" s="601">
        <f t="shared" si="1683"/>
        <v>40359</v>
      </c>
      <c r="H286" s="601">
        <f t="shared" si="1683"/>
        <v>40451</v>
      </c>
      <c r="I286" s="601">
        <f t="shared" si="1683"/>
        <v>40543</v>
      </c>
      <c r="J286" s="601">
        <f t="shared" si="1683"/>
        <v>40633</v>
      </c>
      <c r="K286" s="601">
        <f t="shared" si="1683"/>
        <v>40724</v>
      </c>
      <c r="L286" s="601">
        <f t="shared" si="1683"/>
        <v>40816</v>
      </c>
      <c r="M286" s="601">
        <f t="shared" si="1683"/>
        <v>40908</v>
      </c>
      <c r="N286" s="601">
        <f t="shared" si="1683"/>
        <v>40999</v>
      </c>
      <c r="O286" s="601">
        <f t="shared" si="1683"/>
        <v>41090</v>
      </c>
      <c r="P286" s="601">
        <f t="shared" si="1683"/>
        <v>41182</v>
      </c>
      <c r="Q286" s="601">
        <f t="shared" si="1683"/>
        <v>41274</v>
      </c>
      <c r="R286" s="601">
        <f t="shared" si="1683"/>
        <v>41364</v>
      </c>
      <c r="S286" s="601">
        <f t="shared" si="1683"/>
        <v>41455</v>
      </c>
      <c r="T286" s="601">
        <f t="shared" si="1683"/>
        <v>41547</v>
      </c>
      <c r="U286" s="601">
        <f t="shared" si="1683"/>
        <v>41639</v>
      </c>
      <c r="V286" s="601">
        <f t="shared" si="1683"/>
        <v>41729</v>
      </c>
      <c r="W286" s="601">
        <f t="shared" si="1683"/>
        <v>41820</v>
      </c>
      <c r="X286" s="601">
        <f t="shared" si="1683"/>
        <v>41912</v>
      </c>
      <c r="Y286" s="601">
        <f t="shared" si="1683"/>
        <v>42004</v>
      </c>
      <c r="Z286" s="601">
        <f t="shared" si="1683"/>
        <v>42094</v>
      </c>
      <c r="AA286" s="601">
        <f t="shared" si="1683"/>
        <v>42185</v>
      </c>
      <c r="AB286" s="601">
        <f t="shared" si="1683"/>
        <v>42277</v>
      </c>
      <c r="AC286" s="601">
        <f t="shared" si="1683"/>
        <v>42369</v>
      </c>
      <c r="AD286" s="601">
        <f t="shared" si="1683"/>
        <v>42460</v>
      </c>
      <c r="AE286" s="2127">
        <f t="shared" si="1683"/>
        <v>42551</v>
      </c>
      <c r="AF286" s="601">
        <f t="shared" si="1683"/>
        <v>42643</v>
      </c>
      <c r="AG286" s="601">
        <f t="shared" si="1683"/>
        <v>42735</v>
      </c>
      <c r="AH286" s="601">
        <f t="shared" ref="AH286:CS286" si="1684">AH$4</f>
        <v>42825</v>
      </c>
      <c r="AI286" s="601">
        <f t="shared" si="1684"/>
        <v>42916</v>
      </c>
      <c r="AJ286" s="601">
        <f t="shared" si="1684"/>
        <v>43008</v>
      </c>
      <c r="AK286" s="601">
        <f t="shared" si="1684"/>
        <v>43100</v>
      </c>
      <c r="AL286" s="601">
        <f t="shared" si="1684"/>
        <v>43190</v>
      </c>
      <c r="AM286" s="601">
        <f t="shared" si="1684"/>
        <v>43281</v>
      </c>
      <c r="AN286" s="601">
        <f t="shared" si="1684"/>
        <v>43373</v>
      </c>
      <c r="AO286" s="601">
        <f t="shared" si="1684"/>
        <v>43465</v>
      </c>
      <c r="AP286" s="601">
        <f t="shared" si="1684"/>
        <v>43555</v>
      </c>
      <c r="AQ286" s="601">
        <f t="shared" si="1684"/>
        <v>43646</v>
      </c>
      <c r="AR286" s="601">
        <f t="shared" si="1684"/>
        <v>43738</v>
      </c>
      <c r="AS286" s="601">
        <f t="shared" si="1684"/>
        <v>43830</v>
      </c>
      <c r="AT286" s="601">
        <f t="shared" si="1684"/>
        <v>43921</v>
      </c>
      <c r="AU286" s="601">
        <f t="shared" si="1684"/>
        <v>44012</v>
      </c>
      <c r="AV286" s="601">
        <f t="shared" si="1684"/>
        <v>44104</v>
      </c>
      <c r="AW286" s="601">
        <f t="shared" si="1684"/>
        <v>44196</v>
      </c>
      <c r="AX286" s="601">
        <f t="shared" si="1684"/>
        <v>44286</v>
      </c>
      <c r="AY286" s="601">
        <f t="shared" si="1684"/>
        <v>44377</v>
      </c>
      <c r="AZ286" s="601">
        <f t="shared" si="1684"/>
        <v>44469</v>
      </c>
      <c r="BA286" s="601">
        <f t="shared" si="1684"/>
        <v>44561</v>
      </c>
      <c r="BB286" s="601">
        <f t="shared" si="1684"/>
        <v>44651</v>
      </c>
      <c r="BC286" s="601">
        <f t="shared" si="1684"/>
        <v>44742</v>
      </c>
      <c r="BD286" s="601">
        <f t="shared" si="1684"/>
        <v>44834</v>
      </c>
      <c r="BE286" s="601">
        <f t="shared" si="1684"/>
        <v>44926</v>
      </c>
      <c r="BF286" s="601">
        <f t="shared" si="1684"/>
        <v>45016</v>
      </c>
      <c r="BG286" s="601">
        <f t="shared" si="1684"/>
        <v>45107</v>
      </c>
      <c r="BH286" s="601">
        <f t="shared" si="1684"/>
        <v>45199</v>
      </c>
      <c r="BI286" s="601">
        <f t="shared" si="1684"/>
        <v>45291</v>
      </c>
      <c r="BJ286" s="601">
        <f t="shared" si="1684"/>
        <v>45382</v>
      </c>
      <c r="BK286" s="1172">
        <f t="shared" si="1684"/>
        <v>45473</v>
      </c>
      <c r="BL286" s="600">
        <f t="shared" si="1684"/>
        <v>45565</v>
      </c>
      <c r="BM286" s="600">
        <f t="shared" si="1684"/>
        <v>45657</v>
      </c>
      <c r="BN286" s="600">
        <f t="shared" si="1684"/>
        <v>45747</v>
      </c>
      <c r="BO286" s="600">
        <f t="shared" si="1684"/>
        <v>45838</v>
      </c>
      <c r="BP286" s="600">
        <f t="shared" si="1684"/>
        <v>45930</v>
      </c>
      <c r="BQ286" s="600">
        <f t="shared" si="1684"/>
        <v>46022</v>
      </c>
      <c r="BR286" s="600">
        <f t="shared" si="1684"/>
        <v>46112</v>
      </c>
      <c r="BS286" s="600">
        <f t="shared" si="1684"/>
        <v>46203</v>
      </c>
      <c r="BT286" s="600">
        <f t="shared" si="1684"/>
        <v>46295</v>
      </c>
      <c r="BU286" s="600">
        <f t="shared" si="1684"/>
        <v>46387</v>
      </c>
      <c r="BV286" s="600">
        <f t="shared" si="1684"/>
        <v>46477</v>
      </c>
      <c r="BW286" s="600">
        <f t="shared" si="1684"/>
        <v>46568</v>
      </c>
      <c r="BX286" s="600">
        <f t="shared" si="1684"/>
        <v>46660</v>
      </c>
      <c r="BY286" s="600">
        <f t="shared" si="1684"/>
        <v>46752</v>
      </c>
      <c r="BZ286" s="600">
        <f t="shared" si="1684"/>
        <v>46843</v>
      </c>
      <c r="CA286" s="600">
        <f t="shared" si="1684"/>
        <v>46934</v>
      </c>
      <c r="CB286" s="600">
        <f t="shared" si="1684"/>
        <v>47026</v>
      </c>
      <c r="CC286" s="600">
        <f t="shared" si="1684"/>
        <v>47118</v>
      </c>
      <c r="CD286" s="600">
        <f t="shared" si="1684"/>
        <v>47208</v>
      </c>
      <c r="CE286" s="600">
        <f t="shared" si="1684"/>
        <v>47299</v>
      </c>
      <c r="CF286" s="600">
        <f t="shared" si="1684"/>
        <v>47391</v>
      </c>
      <c r="CG286" s="600">
        <f t="shared" si="1684"/>
        <v>47483</v>
      </c>
      <c r="CH286" s="600">
        <f t="shared" si="1684"/>
        <v>47573</v>
      </c>
      <c r="CI286" s="600">
        <f t="shared" si="1684"/>
        <v>47664</v>
      </c>
      <c r="CJ286" s="600">
        <f t="shared" si="1684"/>
        <v>47756</v>
      </c>
      <c r="CK286" s="600">
        <f t="shared" si="1684"/>
        <v>47848</v>
      </c>
      <c r="CL286" s="600">
        <f t="shared" si="1684"/>
        <v>47938</v>
      </c>
      <c r="CM286" s="600">
        <f t="shared" si="1684"/>
        <v>48029</v>
      </c>
      <c r="CN286" s="600">
        <f t="shared" si="1684"/>
        <v>48121</v>
      </c>
      <c r="CO286" s="600">
        <f t="shared" si="1684"/>
        <v>48213</v>
      </c>
      <c r="CP286" s="600">
        <f t="shared" si="1684"/>
        <v>48304</v>
      </c>
      <c r="CQ286" s="600">
        <f t="shared" si="1684"/>
        <v>48395</v>
      </c>
      <c r="CR286" s="600">
        <f t="shared" si="1684"/>
        <v>48487</v>
      </c>
      <c r="CS286" s="600">
        <f t="shared" si="1684"/>
        <v>48579</v>
      </c>
      <c r="CT286" s="600">
        <f t="shared" ref="CT286:CW286" si="1685">CT$4</f>
        <v>48669</v>
      </c>
      <c r="CU286" s="600">
        <f t="shared" si="1685"/>
        <v>48760</v>
      </c>
      <c r="CV286" s="600">
        <f t="shared" si="1685"/>
        <v>48852</v>
      </c>
      <c r="CW286" s="600">
        <f t="shared" si="1685"/>
        <v>48944</v>
      </c>
    </row>
    <row r="287" spans="1:101" s="9" customFormat="1" ht="11.25">
      <c r="A287" s="9" t="s">
        <v>1247</v>
      </c>
      <c r="B287" s="337">
        <f>IS!C9</f>
        <v>-1117.7840000000001</v>
      </c>
      <c r="C287" s="337">
        <f>IS!D9</f>
        <v>-1110.636</v>
      </c>
      <c r="D287" s="337">
        <f>IS!E9</f>
        <v>-1096.915</v>
      </c>
      <c r="E287" s="337">
        <f>IS!F9</f>
        <v>-1095.0509999999999</v>
      </c>
      <c r="F287" s="337">
        <f>IS!G9</f>
        <v>-1134.729</v>
      </c>
      <c r="G287" s="337">
        <f>IS!H9</f>
        <v>-1164.6379999999999</v>
      </c>
      <c r="H287" s="337">
        <f>IS!I9</f>
        <v>-1233.2470000000001</v>
      </c>
      <c r="I287" s="337">
        <f>IS!J9</f>
        <v>-1277.0519999999999</v>
      </c>
      <c r="J287" s="337">
        <f>IS!K9</f>
        <v>-1334.7239999999999</v>
      </c>
      <c r="K287" s="337">
        <f>IS!L9</f>
        <v>-1386.3789999999999</v>
      </c>
      <c r="L287" s="337">
        <f>IS!M9</f>
        <v>-1489.6690000000001</v>
      </c>
      <c r="M287" s="337">
        <f>IS!N9</f>
        <v>-1583.2860000000001</v>
      </c>
      <c r="N287" s="337">
        <f>IS!O9</f>
        <v>-1612.557</v>
      </c>
      <c r="O287" s="337">
        <f>IS!P9</f>
        <v>-1773.7760000000001</v>
      </c>
      <c r="P287" s="337">
        <f>IS!Q9</f>
        <v>-1860.047</v>
      </c>
      <c r="Q287" s="337">
        <f>IS!R9</f>
        <v>-1905.7</v>
      </c>
      <c r="R287" s="337">
        <f>IS!S9</f>
        <v>-1862.9380000000001</v>
      </c>
      <c r="S287" s="337">
        <f>IS!T9</f>
        <v>-2059.8200000000002</v>
      </c>
      <c r="T287" s="337">
        <f>IS!U9</f>
        <v>-2171.5030000000002</v>
      </c>
      <c r="U287" s="337">
        <f>IS!V9</f>
        <v>-2353.9349999999999</v>
      </c>
      <c r="V287" s="337">
        <f>IS!W9</f>
        <v>-2231.8069999999998</v>
      </c>
      <c r="W287" s="337">
        <f>IS!X9</f>
        <v>-2932.8029999999999</v>
      </c>
      <c r="X287" s="337">
        <f>IS!Y9</f>
        <v>-3167.1779999999999</v>
      </c>
      <c r="Y287" s="337">
        <f>IS!Z9</f>
        <v>-4398.87</v>
      </c>
      <c r="Z287" s="337">
        <f>IS!AA9</f>
        <v>-4186.7169999999996</v>
      </c>
      <c r="AA287" s="337">
        <f>IS!AB9</f>
        <v>-4312.0320000000002</v>
      </c>
      <c r="AB287" s="337">
        <f>IS!AC9</f>
        <v>-4531.8159999999998</v>
      </c>
      <c r="AC287" s="337">
        <f>IS!AD9</f>
        <v>-4806.8059999999996</v>
      </c>
      <c r="AD287" s="337">
        <f>IS!AE9</f>
        <v>-4787.6710000000003</v>
      </c>
      <c r="AE287" s="2157">
        <f>IS!AF9</f>
        <v>-5014.3980000000001</v>
      </c>
      <c r="AF287" s="337">
        <f>IS!AG9</f>
        <v>-5284.9080000000004</v>
      </c>
      <c r="AG287" s="337">
        <f>IS!AH9</f>
        <v>-5680.0209999999997</v>
      </c>
      <c r="AH287" s="337">
        <f>IS!AI9</f>
        <v>-5697.4690000000001</v>
      </c>
      <c r="AI287" s="337">
        <f>IS!AJ9</f>
        <v>-5807.22</v>
      </c>
      <c r="AJ287" s="337">
        <f>IS!AK9</f>
        <v>-5892.4210000000003</v>
      </c>
      <c r="AK287" s="337">
        <f>IS!AL9</f>
        <v>-5742.5789999999997</v>
      </c>
      <c r="AL287" s="337">
        <f>IS!AM9</f>
        <v>-6313.71</v>
      </c>
      <c r="AM287" s="337">
        <f>IS!AN9</f>
        <v>-6294.44</v>
      </c>
      <c r="AN287" s="337">
        <f>IS!AO9</f>
        <v>-6309.6189999999997</v>
      </c>
      <c r="AO287" s="337">
        <f>IS!AP9</f>
        <v>-6642.9970000000003</v>
      </c>
      <c r="AP287" s="337">
        <f>IS!AQ9</f>
        <v>-6838.1880000000001</v>
      </c>
      <c r="AQ287" s="337">
        <f>IS!AR9</f>
        <v>-7218.5720000000001</v>
      </c>
      <c r="AR287" s="337">
        <f>IS!AS9</f>
        <v>-6742.5950000000003</v>
      </c>
      <c r="AS287" s="337">
        <f>IS!AT9</f>
        <v>-7573.683</v>
      </c>
      <c r="AT287" s="337">
        <f>IS!AU9</f>
        <v>-5999.1090000000004</v>
      </c>
      <c r="AU287" s="337">
        <f>IS!AV9</f>
        <v>-4340.6080000000002</v>
      </c>
      <c r="AV287" s="337">
        <f>IS!AW9</f>
        <v>-4985.9840000000004</v>
      </c>
      <c r="AW287" s="337">
        <f>IS!AX9</f>
        <v>-4790.098</v>
      </c>
      <c r="AX287" s="337">
        <f>IS!AY9</f>
        <v>-4835.7579999999998</v>
      </c>
      <c r="AY287" s="337">
        <f>IS!AZ9</f>
        <v>-5669.7020000000002</v>
      </c>
      <c r="AZ287" s="337">
        <f>IS!BA9</f>
        <v>-6494.3819999999996</v>
      </c>
      <c r="BA287" s="337">
        <f>IS!BB9</f>
        <v>-7315.2969999999996</v>
      </c>
      <c r="BB287" s="337">
        <f>IS!BC9</f>
        <v>-6927.2240000000002</v>
      </c>
      <c r="BC287" s="337">
        <f>IS!BD9</f>
        <v>-7766.098</v>
      </c>
      <c r="BD287" s="337">
        <f>IS!BE9</f>
        <v>-8283.4680000000008</v>
      </c>
      <c r="BE287" s="337">
        <f>IS!BF9</f>
        <v>-9292.6460000000006</v>
      </c>
      <c r="BF287" s="337">
        <f>IS!BG9</f>
        <v>-8126.0780000000004</v>
      </c>
      <c r="BG287" s="337">
        <f>IS!BH9</f>
        <v>-8823.7250000000004</v>
      </c>
      <c r="BH287" s="337">
        <f>IS!BI9</f>
        <v>-9172.5570000000007</v>
      </c>
      <c r="BI287" s="337">
        <f>IS!BJ9</f>
        <v>-9144.7479999999996</v>
      </c>
      <c r="BJ287" s="337">
        <f>IS!BK9</f>
        <v>-8649.3250000000007</v>
      </c>
      <c r="BK287" s="1379">
        <f>IS!BL9</f>
        <v>-9142.8490000000002</v>
      </c>
      <c r="BL287" s="338">
        <f t="shared" ref="BL287:BQ287" si="1686">+BL290+BL293</f>
        <v>-9601.5560726275289</v>
      </c>
      <c r="BM287" s="338">
        <f t="shared" si="1686"/>
        <v>-9831.0946469823139</v>
      </c>
      <c r="BN287" s="338">
        <f t="shared" si="1686"/>
        <v>-9518.6342069829298</v>
      </c>
      <c r="BO287" s="338">
        <f t="shared" si="1686"/>
        <v>-10243.326350574922</v>
      </c>
      <c r="BP287" s="338">
        <f t="shared" si="1686"/>
        <v>-10463.970895474848</v>
      </c>
      <c r="BQ287" s="338">
        <f t="shared" si="1686"/>
        <v>-10619.548576328441</v>
      </c>
      <c r="BR287" s="338">
        <f t="shared" ref="BR287:CK287" si="1687">+BR290+BR293</f>
        <v>-10235.832370852291</v>
      </c>
      <c r="BS287" s="338">
        <f t="shared" si="1687"/>
        <v>-10891.987869078936</v>
      </c>
      <c r="BT287" s="338">
        <f t="shared" si="1687"/>
        <v>-11124.460755492331</v>
      </c>
      <c r="BU287" s="338">
        <f t="shared" si="1687"/>
        <v>-11285.819501848435</v>
      </c>
      <c r="BV287" s="338">
        <f t="shared" si="1687"/>
        <v>-10825.592427645124</v>
      </c>
      <c r="BW287" s="338">
        <f t="shared" si="1687"/>
        <v>-11500.773510082414</v>
      </c>
      <c r="BX287" s="338">
        <f t="shared" si="1687"/>
        <v>-11750.51277996743</v>
      </c>
      <c r="BY287" s="338">
        <f t="shared" si="1687"/>
        <v>-11932.894744041407</v>
      </c>
      <c r="BZ287" s="338">
        <f t="shared" si="1687"/>
        <v>-11421.320063793833</v>
      </c>
      <c r="CA287" s="338">
        <f t="shared" si="1687"/>
        <v>-12120.813918751108</v>
      </c>
      <c r="CB287" s="338">
        <f t="shared" si="1687"/>
        <v>-12392.918792638422</v>
      </c>
      <c r="CC287" s="338">
        <f t="shared" si="1687"/>
        <v>-12601.803879470726</v>
      </c>
      <c r="CD287" s="338">
        <f t="shared" si="1687"/>
        <v>-12021.996137103719</v>
      </c>
      <c r="CE287" s="338">
        <f t="shared" si="1687"/>
        <v>-12744.856512640146</v>
      </c>
      <c r="CF287" s="338">
        <f t="shared" si="1687"/>
        <v>-13039.996408655323</v>
      </c>
      <c r="CG287" s="338">
        <f t="shared" si="1687"/>
        <v>-13276.128835817646</v>
      </c>
      <c r="CH287" s="338">
        <f t="shared" si="1687"/>
        <v>-12647.917037210254</v>
      </c>
      <c r="CI287" s="338">
        <f t="shared" si="1687"/>
        <v>-13388.652408683924</v>
      </c>
      <c r="CJ287" s="338">
        <f t="shared" si="1687"/>
        <v>-13701.882829476239</v>
      </c>
      <c r="CK287" s="338">
        <f t="shared" si="1687"/>
        <v>-13957.288812616031</v>
      </c>
      <c r="CL287" s="338">
        <f t="shared" ref="CL287:CW287" si="1688">+CL290+CL293</f>
        <v>-13278.321783348878</v>
      </c>
      <c r="CM287" s="338">
        <f t="shared" si="1688"/>
        <v>-14042.843875469574</v>
      </c>
      <c r="CN287" s="338">
        <f t="shared" si="1688"/>
        <v>-14381.810073088242</v>
      </c>
      <c r="CO287" s="338">
        <f t="shared" si="1688"/>
        <v>-14666.307458204981</v>
      </c>
      <c r="CP287" s="338">
        <f t="shared" si="1688"/>
        <v>-13938.500193822922</v>
      </c>
      <c r="CQ287" s="338">
        <f t="shared" si="1688"/>
        <v>-14727.422963235047</v>
      </c>
      <c r="CR287" s="338">
        <f t="shared" si="1688"/>
        <v>-15094.25833957334</v>
      </c>
      <c r="CS287" s="338">
        <f t="shared" si="1688"/>
        <v>-15409.904875864562</v>
      </c>
      <c r="CT287" s="338">
        <f t="shared" si="1688"/>
        <v>-14630.344266751636</v>
      </c>
      <c r="CU287" s="338">
        <f t="shared" si="1688"/>
        <v>-15443.875186687837</v>
      </c>
      <c r="CV287" s="338">
        <f t="shared" si="1688"/>
        <v>-15839.74098858662</v>
      </c>
      <c r="CW287" s="338">
        <f t="shared" si="1688"/>
        <v>-16179.541669029328</v>
      </c>
    </row>
    <row r="288" spans="1:101" s="9" customFormat="1" ht="11.25">
      <c r="A288" s="312" t="s">
        <v>534</v>
      </c>
      <c r="B288" s="345">
        <f t="shared" ref="B288:AG288" si="1689">-IF(B287=0,"NA",B287/B$245)</f>
        <v>0.53633817522454508</v>
      </c>
      <c r="C288" s="345">
        <f t="shared" si="1689"/>
        <v>0.53583426246536559</v>
      </c>
      <c r="D288" s="345">
        <f t="shared" si="1689"/>
        <v>0.51751208840565144</v>
      </c>
      <c r="E288" s="345">
        <f t="shared" si="1689"/>
        <v>0.47391223813781508</v>
      </c>
      <c r="F288" s="345">
        <f t="shared" si="1689"/>
        <v>0.54142535277395265</v>
      </c>
      <c r="G288" s="345">
        <f t="shared" si="1689"/>
        <v>0.5375169612775188</v>
      </c>
      <c r="H288" s="345">
        <f t="shared" si="1689"/>
        <v>0.54210446498236209</v>
      </c>
      <c r="I288" s="345">
        <f t="shared" si="1689"/>
        <v>0.52252600964731133</v>
      </c>
      <c r="J288" s="345">
        <f t="shared" si="1689"/>
        <v>0.55689051479840979</v>
      </c>
      <c r="K288" s="345">
        <f t="shared" si="1689"/>
        <v>0.53421962832177583</v>
      </c>
      <c r="L288" s="345">
        <f t="shared" si="1689"/>
        <v>0.53802360606476496</v>
      </c>
      <c r="M288" s="345">
        <f t="shared" si="1689"/>
        <v>0.53929720774213241</v>
      </c>
      <c r="N288" s="345">
        <f t="shared" si="1689"/>
        <v>0.54440610010371204</v>
      </c>
      <c r="O288" s="345">
        <f t="shared" si="1689"/>
        <v>0.51765411785443505</v>
      </c>
      <c r="P288" s="345">
        <f t="shared" si="1689"/>
        <v>0.53106994756816084</v>
      </c>
      <c r="Q288" s="345">
        <f t="shared" si="1689"/>
        <v>0.52521092357143428</v>
      </c>
      <c r="R288" s="345">
        <f t="shared" si="1689"/>
        <v>0.54812510261137493</v>
      </c>
      <c r="S288" s="345">
        <f t="shared" si="1689"/>
        <v>0.53913140434802986</v>
      </c>
      <c r="T288" s="345">
        <f t="shared" si="1689"/>
        <v>0.53192592191588117</v>
      </c>
      <c r="U288" s="345">
        <f t="shared" si="1689"/>
        <v>0.53365702770218937</v>
      </c>
      <c r="V288" s="345">
        <f t="shared" si="1689"/>
        <v>0.55906484811259216</v>
      </c>
      <c r="W288" s="345">
        <f t="shared" si="1689"/>
        <v>0.56364006406671419</v>
      </c>
      <c r="X288" s="345">
        <f t="shared" si="1689"/>
        <v>0.55551379156055869</v>
      </c>
      <c r="Y288" s="345">
        <f t="shared" si="1689"/>
        <v>0.55656930612393629</v>
      </c>
      <c r="Z288" s="345">
        <f t="shared" si="1689"/>
        <v>0.57006857352312024</v>
      </c>
      <c r="AA288" s="345">
        <f t="shared" si="1689"/>
        <v>0.55553519982499222</v>
      </c>
      <c r="AB288" s="345">
        <f t="shared" si="1689"/>
        <v>0.55102260670538572</v>
      </c>
      <c r="AC288" s="345">
        <f t="shared" si="1689"/>
        <v>0.53660408228514378</v>
      </c>
      <c r="AD288" s="345">
        <f t="shared" si="1689"/>
        <v>0.56096140957683638</v>
      </c>
      <c r="AE288" s="2167">
        <f t="shared" si="1689"/>
        <v>0.55312562875266069</v>
      </c>
      <c r="AF288" s="345">
        <f t="shared" si="1689"/>
        <v>0.55039750118308883</v>
      </c>
      <c r="AG288" s="345">
        <f t="shared" si="1689"/>
        <v>0.54097730808591404</v>
      </c>
      <c r="AH288" s="345">
        <f t="shared" ref="AH288:BM288" si="1690">-IF(AH287=0,"NA",AH287/AH$245)</f>
        <v>0.56448365440631554</v>
      </c>
      <c r="AI288" s="345">
        <f t="shared" si="1690"/>
        <v>0.56138764122008777</v>
      </c>
      <c r="AJ288" s="345">
        <f t="shared" si="1690"/>
        <v>0.5625032815120139</v>
      </c>
      <c r="AK288" s="345">
        <f t="shared" si="1690"/>
        <v>0.49436274957119947</v>
      </c>
      <c r="AL288" s="345">
        <f t="shared" si="1690"/>
        <v>0.56983636533477622</v>
      </c>
      <c r="AM288" s="410">
        <f t="shared" si="1690"/>
        <v>0.55577551135013104</v>
      </c>
      <c r="AN288" s="410">
        <f t="shared" si="1690"/>
        <v>0.55467247030345135</v>
      </c>
      <c r="AO288" s="410">
        <f t="shared" si="1690"/>
        <v>0.5367721836981818</v>
      </c>
      <c r="AP288" s="410">
        <f t="shared" si="1690"/>
        <v>0.4994809572824776</v>
      </c>
      <c r="AQ288" s="410">
        <f t="shared" si="1690"/>
        <v>0.49508272569110451</v>
      </c>
      <c r="AR288" s="410">
        <f t="shared" si="1690"/>
        <v>0.46531150725886078</v>
      </c>
      <c r="AS288" s="410">
        <f t="shared" si="1690"/>
        <v>0.49202133931423492</v>
      </c>
      <c r="AT288" s="1737">
        <f t="shared" si="1690"/>
        <v>0.49558565859485559</v>
      </c>
      <c r="AU288" s="1737">
        <f t="shared" ref="AU288:BC288" si="1691">-IF(AU287=0,"NA",AU287/AU$245)</f>
        <v>0.83508930837163664</v>
      </c>
      <c r="AV288" s="1737">
        <f t="shared" si="1691"/>
        <v>0.50386285993315361</v>
      </c>
      <c r="AW288" s="1737">
        <f t="shared" si="1691"/>
        <v>0.42401377211044955</v>
      </c>
      <c r="AX288" s="1737">
        <f t="shared" si="1691"/>
        <v>0.47355008179821723</v>
      </c>
      <c r="AY288" s="1737">
        <f t="shared" si="1691"/>
        <v>0.45439887642970855</v>
      </c>
      <c r="AZ288" s="1737">
        <f t="shared" si="1691"/>
        <v>0.46527110262550347</v>
      </c>
      <c r="BA288" s="1737">
        <f t="shared" si="1691"/>
        <v>0.43720105387771724</v>
      </c>
      <c r="BB288" s="1737">
        <f t="shared" si="1691"/>
        <v>0.45489527863913815</v>
      </c>
      <c r="BC288" s="1737">
        <f t="shared" si="1691"/>
        <v>0.4584709437227229</v>
      </c>
      <c r="BD288" s="1737">
        <f t="shared" ref="BD288:BG288" si="1692">-IF(BD287=0,"NA",BD287/BD$245)</f>
        <v>0.47284991314164221</v>
      </c>
      <c r="BE288" s="1737">
        <f t="shared" si="1692"/>
        <v>0.48536140615072904</v>
      </c>
      <c r="BF288" s="1737">
        <f t="shared" si="1692"/>
        <v>0.45999322866578279</v>
      </c>
      <c r="BG288" s="1737">
        <f t="shared" si="1692"/>
        <v>0.46566303585242158</v>
      </c>
      <c r="BH288" s="1737">
        <f t="shared" ref="BH288" si="1693">-IF(BH287=0,"NA",BH287/BH$245)</f>
        <v>0.47111295577487683</v>
      </c>
      <c r="BI288" s="1737">
        <f t="shared" ref="BI288" si="1694">-IF(BI287=0,"NA",BI287/BI$245)</f>
        <v>0.45390814264157398</v>
      </c>
      <c r="BJ288" s="1737">
        <f t="shared" ref="BJ288" si="1695">-IF(BJ287=0,"NA",BJ287/BJ$245)</f>
        <v>0.47516380421767429</v>
      </c>
      <c r="BK288" s="1684">
        <f t="shared" ref="BK288" si="1696">-IF(BK287=0,"NA",BK287/BK$245)</f>
        <v>0.47485351256912767</v>
      </c>
      <c r="BL288" s="1082">
        <f t="shared" si="1690"/>
        <v>0.47749999999999998</v>
      </c>
      <c r="BM288" s="1082">
        <f t="shared" si="1690"/>
        <v>0.46849999999999997</v>
      </c>
      <c r="BN288" s="1082">
        <f>-IF(BN287=0,"NA",BN287/BN$245)</f>
        <v>0.47804487621373987</v>
      </c>
      <c r="BO288" s="1082">
        <f>-IF(BO287=0,"NA",BO287/BO$245)</f>
        <v>0.47835351256912773</v>
      </c>
      <c r="BP288" s="1082">
        <f>-IF(BP287=0,"NA",BP287/BP$245)</f>
        <v>0.47649999999999998</v>
      </c>
      <c r="BQ288" s="1082">
        <f>-IF(BQ287=0,"NA",BQ287/BQ$245)</f>
        <v>0.46749999999999997</v>
      </c>
      <c r="BR288" s="1082">
        <f t="shared" ref="BR288:CK288" si="1697">-IF(BR287=0,"NA",BR287/BR$245)</f>
        <v>0.47704487621373992</v>
      </c>
      <c r="BS288" s="1082">
        <f t="shared" si="1697"/>
        <v>0.47735351256912772</v>
      </c>
      <c r="BT288" s="1082">
        <f t="shared" si="1697"/>
        <v>0.47549999999999998</v>
      </c>
      <c r="BU288" s="1082">
        <f t="shared" si="1697"/>
        <v>0.46649999999999997</v>
      </c>
      <c r="BV288" s="1082">
        <f t="shared" si="1697"/>
        <v>0.47604487621373992</v>
      </c>
      <c r="BW288" s="1082">
        <f t="shared" si="1697"/>
        <v>0.47635351256912772</v>
      </c>
      <c r="BX288" s="1082">
        <f t="shared" si="1697"/>
        <v>0.47449999999999998</v>
      </c>
      <c r="BY288" s="1082">
        <f t="shared" si="1697"/>
        <v>0.46550000000000002</v>
      </c>
      <c r="BZ288" s="1082">
        <f t="shared" si="1697"/>
        <v>0.47704487621373992</v>
      </c>
      <c r="CA288" s="1082">
        <f t="shared" si="1697"/>
        <v>0.47735351256912761</v>
      </c>
      <c r="CB288" s="1082">
        <f t="shared" si="1697"/>
        <v>0.47549999999999998</v>
      </c>
      <c r="CC288" s="1082">
        <f t="shared" si="1697"/>
        <v>0.46649999999999997</v>
      </c>
      <c r="CD288" s="1082">
        <f t="shared" si="1697"/>
        <v>0.47704487621373992</v>
      </c>
      <c r="CE288" s="1082">
        <f t="shared" si="1697"/>
        <v>0.47735351256912761</v>
      </c>
      <c r="CF288" s="1082">
        <f t="shared" si="1697"/>
        <v>0.47550000000000003</v>
      </c>
      <c r="CG288" s="1082">
        <f t="shared" si="1697"/>
        <v>0.46650000000000003</v>
      </c>
      <c r="CH288" s="1082">
        <f t="shared" si="1697"/>
        <v>0.47704487621373998</v>
      </c>
      <c r="CI288" s="1082">
        <f t="shared" si="1697"/>
        <v>0.47735351256912767</v>
      </c>
      <c r="CJ288" s="1082">
        <f t="shared" si="1697"/>
        <v>0.47549999999999992</v>
      </c>
      <c r="CK288" s="1082">
        <f t="shared" si="1697"/>
        <v>0.46649999999999997</v>
      </c>
      <c r="CL288" s="1082">
        <f t="shared" ref="CL288:CW288" si="1698">-IF(CL287=0,"NA",CL287/CL$245)</f>
        <v>0.47704487621373992</v>
      </c>
      <c r="CM288" s="1082">
        <f t="shared" si="1698"/>
        <v>0.47735351256912767</v>
      </c>
      <c r="CN288" s="1082">
        <f t="shared" si="1698"/>
        <v>0.47549999999999998</v>
      </c>
      <c r="CO288" s="1082">
        <f t="shared" si="1698"/>
        <v>0.46649999999999997</v>
      </c>
      <c r="CP288" s="1082">
        <f t="shared" si="1698"/>
        <v>0.47704487621373992</v>
      </c>
      <c r="CQ288" s="1082">
        <f t="shared" si="1698"/>
        <v>0.47735351256912767</v>
      </c>
      <c r="CR288" s="1082">
        <f t="shared" si="1698"/>
        <v>0.47550000000000003</v>
      </c>
      <c r="CS288" s="1082">
        <f t="shared" si="1698"/>
        <v>0.46649999999999997</v>
      </c>
      <c r="CT288" s="1082">
        <f t="shared" si="1698"/>
        <v>0.47704487621373992</v>
      </c>
      <c r="CU288" s="1082">
        <f t="shared" si="1698"/>
        <v>0.47735351256912767</v>
      </c>
      <c r="CV288" s="1082">
        <f t="shared" si="1698"/>
        <v>0.47549999999999998</v>
      </c>
      <c r="CW288" s="1082">
        <f t="shared" si="1698"/>
        <v>0.46649999999999997</v>
      </c>
    </row>
    <row r="289" spans="1:101" s="9" customFormat="1" ht="11.25">
      <c r="A289" s="312"/>
      <c r="B289" s="345"/>
      <c r="C289" s="345"/>
      <c r="D289" s="345"/>
      <c r="E289" s="345"/>
      <c r="F289" s="345"/>
      <c r="G289" s="345"/>
      <c r="H289" s="345"/>
      <c r="I289" s="345"/>
      <c r="J289" s="345"/>
      <c r="K289" s="345"/>
      <c r="L289" s="345"/>
      <c r="M289" s="345"/>
      <c r="N289" s="345"/>
      <c r="O289" s="345"/>
      <c r="P289" s="345"/>
      <c r="Q289" s="345"/>
      <c r="R289" s="345"/>
      <c r="S289" s="345"/>
      <c r="T289" s="345"/>
      <c r="U289" s="345"/>
      <c r="V289" s="345"/>
      <c r="W289" s="345"/>
      <c r="X289" s="345"/>
      <c r="Y289" s="345"/>
      <c r="Z289" s="345"/>
      <c r="AA289" s="345"/>
      <c r="AB289" s="345"/>
      <c r="AC289" s="345"/>
      <c r="AD289" s="345"/>
      <c r="AE289" s="2167"/>
      <c r="AF289" s="345"/>
      <c r="AG289" s="345"/>
      <c r="AH289" s="345"/>
      <c r="AI289" s="345"/>
      <c r="AJ289" s="345"/>
      <c r="AK289" s="345"/>
      <c r="AL289" s="345"/>
      <c r="AM289" s="1280"/>
      <c r="AN289" s="1280"/>
      <c r="AO289" s="1280"/>
      <c r="AP289" s="1280"/>
      <c r="AQ289" s="1280"/>
      <c r="AR289" s="1280"/>
      <c r="AS289" s="1280"/>
      <c r="AT289" s="1280"/>
      <c r="AU289" s="1280"/>
      <c r="AV289" s="1280"/>
      <c r="AW289" s="1280"/>
      <c r="AX289" s="1280"/>
      <c r="AY289" s="1280"/>
      <c r="AZ289" s="1280"/>
      <c r="BA289" s="1280"/>
      <c r="BB289" s="1280"/>
      <c r="BC289" s="1280"/>
      <c r="BD289" s="1280"/>
      <c r="BE289" s="1280"/>
      <c r="BF289" s="1280"/>
      <c r="BG289" s="1737"/>
      <c r="BH289" s="1737"/>
      <c r="BI289" s="1737"/>
      <c r="BJ289" s="1737"/>
      <c r="BK289" s="1684"/>
      <c r="BL289" s="1279"/>
      <c r="BM289" s="1279"/>
      <c r="BN289" s="1279"/>
      <c r="BO289" s="1279"/>
      <c r="BP289" s="1279"/>
      <c r="BQ289" s="1279"/>
      <c r="BR289" s="1279"/>
      <c r="BS289" s="1279"/>
      <c r="BT289" s="1279"/>
      <c r="BU289" s="1279"/>
      <c r="BV289" s="1279"/>
      <c r="BW289" s="1279"/>
      <c r="BX289" s="1279"/>
      <c r="BY289" s="1279"/>
      <c r="BZ289" s="1279"/>
      <c r="CA289" s="1279"/>
      <c r="CB289" s="1279"/>
      <c r="CC289" s="1279"/>
      <c r="CD289" s="1279"/>
      <c r="CE289" s="1279"/>
      <c r="CF289" s="1279"/>
      <c r="CG289" s="1279"/>
      <c r="CH289" s="1279"/>
      <c r="CI289" s="1279"/>
      <c r="CJ289" s="1279"/>
      <c r="CK289" s="1279"/>
      <c r="CL289" s="1279"/>
      <c r="CM289" s="1279"/>
      <c r="CN289" s="1279"/>
      <c r="CO289" s="1279"/>
      <c r="CP289" s="1279"/>
      <c r="CQ289" s="1279"/>
      <c r="CR289" s="1279"/>
      <c r="CS289" s="1279"/>
      <c r="CT289" s="1279"/>
      <c r="CU289" s="1279"/>
      <c r="CV289" s="1279"/>
      <c r="CW289" s="1279"/>
    </row>
    <row r="290" spans="1:101" s="9" customFormat="1" ht="11.25">
      <c r="A290" s="42" t="s">
        <v>1246</v>
      </c>
      <c r="B290" s="1079"/>
      <c r="C290" s="1079"/>
      <c r="D290" s="1079"/>
      <c r="E290" s="1079"/>
      <c r="F290" s="1079"/>
      <c r="G290" s="1079"/>
      <c r="H290" s="1079"/>
      <c r="I290" s="1079"/>
      <c r="J290" s="1079"/>
      <c r="K290" s="1079"/>
      <c r="L290" s="1079"/>
      <c r="M290" s="1079"/>
      <c r="N290" s="1079"/>
      <c r="O290" s="1079"/>
      <c r="P290" s="1079"/>
      <c r="Q290" s="1079"/>
      <c r="R290" s="1079"/>
      <c r="S290" s="1079"/>
      <c r="T290" s="1079"/>
      <c r="U290" s="1079">
        <f t="shared" ref="U290:AT290" si="1699">+U287-U293</f>
        <v>-2056.2510000000002</v>
      </c>
      <c r="V290" s="1079">
        <f t="shared" si="1699"/>
        <v>-1894.56</v>
      </c>
      <c r="W290" s="1079">
        <f t="shared" si="1699"/>
        <v>-2470.1149999999998</v>
      </c>
      <c r="X290" s="1079">
        <f t="shared" si="1699"/>
        <v>-2641.8900000000003</v>
      </c>
      <c r="Y290" s="1079">
        <f t="shared" si="1699"/>
        <v>-3529.1849999999995</v>
      </c>
      <c r="Z290" s="1079">
        <f t="shared" si="1699"/>
        <v>-3619.9510000000009</v>
      </c>
      <c r="AA290" s="1079">
        <f t="shared" si="1699"/>
        <v>-3718.732</v>
      </c>
      <c r="AB290" s="1079">
        <f t="shared" si="1699"/>
        <v>-3907.7709999999997</v>
      </c>
      <c r="AC290" s="1079">
        <f t="shared" si="1699"/>
        <v>-4114.6459999999988</v>
      </c>
      <c r="AD290" s="1079">
        <f t="shared" si="1699"/>
        <v>-4114.8330000000005</v>
      </c>
      <c r="AE290" s="2168">
        <f t="shared" si="1699"/>
        <v>-4357.405999999999</v>
      </c>
      <c r="AF290" s="1079">
        <f t="shared" si="1699"/>
        <v>-4582.6310000000003</v>
      </c>
      <c r="AG290" s="1079">
        <f t="shared" si="1699"/>
        <v>-4925.366</v>
      </c>
      <c r="AH290" s="1079">
        <f t="shared" si="1699"/>
        <v>-4970.5749999999998</v>
      </c>
      <c r="AI290" s="1079">
        <f t="shared" si="1699"/>
        <v>-5041.6910000000007</v>
      </c>
      <c r="AJ290" s="1079">
        <f t="shared" si="1699"/>
        <v>-5218.2819999999992</v>
      </c>
      <c r="AK290" s="1079">
        <f t="shared" si="1699"/>
        <v>-4870.3850000000002</v>
      </c>
      <c r="AL290" s="1079">
        <f t="shared" si="1699"/>
        <v>-5545.634</v>
      </c>
      <c r="AM290" s="1079">
        <f t="shared" si="1699"/>
        <v>-5543.3279999999995</v>
      </c>
      <c r="AN290" s="1079">
        <f t="shared" si="1699"/>
        <v>-5626.5540000000001</v>
      </c>
      <c r="AO290" s="1079">
        <f t="shared" si="1699"/>
        <v>-6028.5669999999991</v>
      </c>
      <c r="AP290" s="1079">
        <f t="shared" si="1699"/>
        <v>-5952.1310000000003</v>
      </c>
      <c r="AQ290" s="1079">
        <f t="shared" si="1699"/>
        <v>-6201.5380000000014</v>
      </c>
      <c r="AR290" s="1079">
        <f t="shared" si="1699"/>
        <v>-5947.0149999999994</v>
      </c>
      <c r="AS290" s="1079">
        <f t="shared" si="1699"/>
        <v>-6726.5229999999992</v>
      </c>
      <c r="AT290" s="1079">
        <f t="shared" si="1699"/>
        <v>-5478.74</v>
      </c>
      <c r="AU290" s="1079">
        <f t="shared" ref="AU290:BC290" si="1700">+AU287-AU293</f>
        <v>-3627.1049999999996</v>
      </c>
      <c r="AV290" s="1079">
        <f t="shared" si="1700"/>
        <v>-4266.369999999999</v>
      </c>
      <c r="AW290" s="1079">
        <f t="shared" si="1700"/>
        <v>-3829.326</v>
      </c>
      <c r="AX290" s="1079">
        <f t="shared" si="1700"/>
        <v>-4038.4309999999996</v>
      </c>
      <c r="AY290" s="1079">
        <f t="shared" si="1700"/>
        <v>-4753.0419999999995</v>
      </c>
      <c r="AZ290" s="337">
        <f t="shared" si="1700"/>
        <v>-5655.7169999999987</v>
      </c>
      <c r="BA290" s="337">
        <f t="shared" si="1700"/>
        <v>-5773.2359999999999</v>
      </c>
      <c r="BB290" s="1079">
        <f t="shared" si="1700"/>
        <v>-5980.3949999999995</v>
      </c>
      <c r="BC290" s="1079">
        <f t="shared" si="1700"/>
        <v>-6724.9769999999999</v>
      </c>
      <c r="BD290" s="337">
        <f t="shared" ref="BD290:BG290" si="1701">+BD287-BD293</f>
        <v>-7337.2199999999993</v>
      </c>
      <c r="BE290" s="337">
        <f t="shared" si="1701"/>
        <v>-8292.35</v>
      </c>
      <c r="BF290" s="337">
        <f t="shared" si="1701"/>
        <v>-7228.5210000000006</v>
      </c>
      <c r="BG290" s="337">
        <f t="shared" si="1701"/>
        <v>-7649.0649999999996</v>
      </c>
      <c r="BH290" s="337">
        <f t="shared" ref="BH290" si="1702">+BH287-BH293</f>
        <v>-8125.1159999999982</v>
      </c>
      <c r="BI290" s="337">
        <f t="shared" ref="BI290" si="1703">+BI287-BI293</f>
        <v>-8302.0349999999999</v>
      </c>
      <c r="BJ290" s="337">
        <f t="shared" ref="BJ290" si="1704">+BJ287-BJ293</f>
        <v>-7656.4540000000015</v>
      </c>
      <c r="BK290" s="1379">
        <f t="shared" ref="BK290" si="1705">+BK287-BK293</f>
        <v>-8095.5250000000015</v>
      </c>
      <c r="BL290" s="1080">
        <f t="shared" ref="BL290:CW290" si="1706">-BL291*BL245</f>
        <v>-8555.9415893256828</v>
      </c>
      <c r="BM290" s="1080">
        <f t="shared" si="1706"/>
        <v>-8760.9007793278888</v>
      </c>
      <c r="BN290" s="1080">
        <f t="shared" si="1706"/>
        <v>-8412.6473319884917</v>
      </c>
      <c r="BO290" s="1080">
        <f t="shared" si="1706"/>
        <v>-9057.1130537960271</v>
      </c>
      <c r="BP290" s="1080">
        <f t="shared" si="1706"/>
        <v>-9344.0075887188832</v>
      </c>
      <c r="BQ290" s="1080">
        <f t="shared" si="1706"/>
        <v>-9483.7679799296784</v>
      </c>
      <c r="BR290" s="1080">
        <f t="shared" si="1706"/>
        <v>-9065.4766298075465</v>
      </c>
      <c r="BS290" s="1080">
        <f t="shared" si="1706"/>
        <v>-9650.8323871657067</v>
      </c>
      <c r="BT290" s="1080">
        <f t="shared" si="1706"/>
        <v>-9954.6962175856715</v>
      </c>
      <c r="BU290" s="1080">
        <f t="shared" si="1706"/>
        <v>-10100.385084719661</v>
      </c>
      <c r="BV290" s="1080">
        <f t="shared" si="1706"/>
        <v>-9607.9446061015133</v>
      </c>
      <c r="BW290" s="1080">
        <f t="shared" si="1706"/>
        <v>-10211.638344557819</v>
      </c>
      <c r="BX290" s="1080">
        <f t="shared" si="1706"/>
        <v>-10537.077319022426</v>
      </c>
      <c r="BY290" s="1080">
        <f t="shared" si="1706"/>
        <v>-10702.43513563327</v>
      </c>
      <c r="BZ290" s="1080">
        <f t="shared" si="1706"/>
        <v>-10115.416740773935</v>
      </c>
      <c r="CA290" s="1080">
        <f t="shared" si="1706"/>
        <v>-10739.632189453034</v>
      </c>
      <c r="CB290" s="1080">
        <f t="shared" si="1706"/>
        <v>-11089.77275766067</v>
      </c>
      <c r="CC290" s="1080">
        <f t="shared" si="1706"/>
        <v>-11278.141735646363</v>
      </c>
      <c r="CD290" s="1080">
        <f t="shared" si="1706"/>
        <v>-10647.412059511449</v>
      </c>
      <c r="CE290" s="1080">
        <f t="shared" si="1706"/>
        <v>-11292.564358352383</v>
      </c>
      <c r="CF290" s="1080">
        <f t="shared" si="1706"/>
        <v>-11668.808563370851</v>
      </c>
      <c r="CG290" s="1080">
        <f t="shared" si="1706"/>
        <v>-11881.637275356628</v>
      </c>
      <c r="CH290" s="1080">
        <f t="shared" si="1706"/>
        <v>-11201.765734565961</v>
      </c>
      <c r="CI290" s="1080">
        <f t="shared" si="1706"/>
        <v>-11862.998916207713</v>
      </c>
      <c r="CJ290" s="1080">
        <f t="shared" si="1706"/>
        <v>-12261.09599146612</v>
      </c>
      <c r="CK290" s="1080">
        <f t="shared" si="1706"/>
        <v>-12491.249901966115</v>
      </c>
      <c r="CL290" s="1080">
        <f t="shared" si="1706"/>
        <v>-11760.090576785275</v>
      </c>
      <c r="CM290" s="1080">
        <f t="shared" si="1706"/>
        <v>-12442.644456668299</v>
      </c>
      <c r="CN290" s="1080">
        <f t="shared" si="1706"/>
        <v>-12869.527205255619</v>
      </c>
      <c r="CO290" s="1080">
        <f t="shared" si="1706"/>
        <v>-13125.794992069837</v>
      </c>
      <c r="CP290" s="1080">
        <f t="shared" si="1706"/>
        <v>-12344.784789705216</v>
      </c>
      <c r="CQ290" s="1080">
        <f t="shared" si="1706"/>
        <v>-13049.214911134115</v>
      </c>
      <c r="CR290" s="1080">
        <f t="shared" si="1706"/>
        <v>-13507.059776000959</v>
      </c>
      <c r="CS290" s="1080">
        <f t="shared" si="1706"/>
        <v>-13791.286786009548</v>
      </c>
      <c r="CT290" s="1080">
        <f t="shared" si="1706"/>
        <v>-12957.524042105057</v>
      </c>
      <c r="CU290" s="1080">
        <f t="shared" si="1706"/>
        <v>-13684.026518075409</v>
      </c>
      <c r="CV290" s="1080">
        <f t="shared" si="1706"/>
        <v>-14174.15308232094</v>
      </c>
      <c r="CW290" s="1080">
        <f t="shared" si="1706"/>
        <v>-14480.082844200953</v>
      </c>
    </row>
    <row r="291" spans="1:101" s="9" customFormat="1" ht="11.25">
      <c r="A291" s="903" t="s">
        <v>534</v>
      </c>
      <c r="B291" s="1081"/>
      <c r="C291" s="1081"/>
      <c r="D291" s="1081"/>
      <c r="E291" s="1081"/>
      <c r="F291" s="1081"/>
      <c r="G291" s="1081"/>
      <c r="H291" s="1081"/>
      <c r="I291" s="1081"/>
      <c r="J291" s="1081"/>
      <c r="K291" s="1081"/>
      <c r="L291" s="1081"/>
      <c r="M291" s="1081"/>
      <c r="N291" s="1081"/>
      <c r="O291" s="1081"/>
      <c r="P291" s="1081"/>
      <c r="Q291" s="1081"/>
      <c r="R291" s="1081"/>
      <c r="S291" s="1081"/>
      <c r="T291" s="1081"/>
      <c r="U291" s="657">
        <f t="shared" ref="U291:BJ291" si="1707">-U290/U245</f>
        <v>0.46616954031001484</v>
      </c>
      <c r="V291" s="657">
        <f t="shared" si="1707"/>
        <v>0.47458489853297914</v>
      </c>
      <c r="W291" s="657">
        <f t="shared" si="1707"/>
        <v>0.47471847814263413</v>
      </c>
      <c r="X291" s="657">
        <f t="shared" si="1707"/>
        <v>0.46337980712985649</v>
      </c>
      <c r="Y291" s="657">
        <f t="shared" si="1707"/>
        <v>0.44653196085199243</v>
      </c>
      <c r="Z291" s="657">
        <f t="shared" si="1707"/>
        <v>0.49289701281304499</v>
      </c>
      <c r="AA291" s="657">
        <f t="shared" si="1707"/>
        <v>0.4790981432224049</v>
      </c>
      <c r="AB291" s="657">
        <f t="shared" si="1707"/>
        <v>0.47514509918931214</v>
      </c>
      <c r="AC291" s="657">
        <f t="shared" si="1707"/>
        <v>0.4593353342652558</v>
      </c>
      <c r="AD291" s="657">
        <f t="shared" si="1707"/>
        <v>0.48212638668222663</v>
      </c>
      <c r="AE291" s="2138">
        <f t="shared" si="1707"/>
        <v>0.48065449401515709</v>
      </c>
      <c r="AF291" s="657">
        <f t="shared" si="1707"/>
        <v>0.4772587623557798</v>
      </c>
      <c r="AG291" s="657">
        <f t="shared" si="1707"/>
        <v>0.46910235719513826</v>
      </c>
      <c r="AH291" s="657">
        <f t="shared" si="1707"/>
        <v>0.49246574935303233</v>
      </c>
      <c r="AI291" s="657">
        <f t="shared" si="1707"/>
        <v>0.48738346717543785</v>
      </c>
      <c r="AJ291" s="657">
        <f t="shared" si="1707"/>
        <v>0.49814851125794885</v>
      </c>
      <c r="AK291" s="657">
        <f t="shared" si="1707"/>
        <v>0.41927797947060486</v>
      </c>
      <c r="AL291" s="657">
        <f t="shared" si="1707"/>
        <v>0.50051458208200195</v>
      </c>
      <c r="AM291" s="715">
        <f t="shared" si="1707"/>
        <v>0.48945513084269593</v>
      </c>
      <c r="AN291" s="715">
        <f t="shared" si="1707"/>
        <v>0.49462489042139718</v>
      </c>
      <c r="AO291" s="715">
        <f t="shared" si="1707"/>
        <v>0.4871245724122405</v>
      </c>
      <c r="AP291" s="715">
        <f t="shared" si="1707"/>
        <v>0.43476080063179173</v>
      </c>
      <c r="AQ291" s="715">
        <f t="shared" si="1707"/>
        <v>0.42532987639618497</v>
      </c>
      <c r="AR291" s="715">
        <f t="shared" si="1707"/>
        <v>0.41040793838886269</v>
      </c>
      <c r="AS291" s="715">
        <f t="shared" si="1707"/>
        <v>0.43698592288428301</v>
      </c>
      <c r="AT291" s="715">
        <f t="shared" si="1707"/>
        <v>0.45259803933717135</v>
      </c>
      <c r="AU291" s="715">
        <f t="shared" si="1707"/>
        <v>0.69781850972059778</v>
      </c>
      <c r="AV291" s="715">
        <f t="shared" si="1707"/>
        <v>0.431141654231744</v>
      </c>
      <c r="AW291" s="715">
        <f t="shared" si="1707"/>
        <v>0.33896737851722852</v>
      </c>
      <c r="AX291" s="715">
        <f t="shared" si="1707"/>
        <v>0.39547043718615693</v>
      </c>
      <c r="AY291" s="715">
        <f t="shared" si="1707"/>
        <v>0.38093306216503348</v>
      </c>
      <c r="AZ291" s="715">
        <f t="shared" si="1707"/>
        <v>0.40518738884281896</v>
      </c>
      <c r="BA291" s="715">
        <f t="shared" si="1707"/>
        <v>0.34503928732965689</v>
      </c>
      <c r="BB291" s="715">
        <f t="shared" si="1707"/>
        <v>0.39271913971557842</v>
      </c>
      <c r="BC291" s="715">
        <f t="shared" si="1707"/>
        <v>0.39700845285542441</v>
      </c>
      <c r="BD291" s="715">
        <f t="shared" si="1707"/>
        <v>0.41883470059896644</v>
      </c>
      <c r="BE291" s="715">
        <f t="shared" si="1707"/>
        <v>0.43311524578618382</v>
      </c>
      <c r="BF291" s="715">
        <f t="shared" si="1707"/>
        <v>0.40918518297122092</v>
      </c>
      <c r="BG291" s="715">
        <f t="shared" si="1707"/>
        <v>0.40367155927145315</v>
      </c>
      <c r="BH291" s="715">
        <f t="shared" si="1707"/>
        <v>0.41731519518207877</v>
      </c>
      <c r="BI291" s="715">
        <f t="shared" si="1707"/>
        <v>0.41207929261641107</v>
      </c>
      <c r="BJ291" s="715">
        <f t="shared" si="1707"/>
        <v>0.42061892800393441</v>
      </c>
      <c r="BK291" s="1361">
        <f t="shared" ref="BK291" si="1708">-BK290/BK245</f>
        <v>0.42045848972690986</v>
      </c>
      <c r="BL291" s="984">
        <f>Inputs!BL214</f>
        <v>0.42549999999999999</v>
      </c>
      <c r="BM291" s="984">
        <f>Inputs!BM214</f>
        <v>0.41749999999999998</v>
      </c>
      <c r="BN291" s="984">
        <f>Inputs!BN214</f>
        <v>0.42249999999999999</v>
      </c>
      <c r="BO291" s="984">
        <f>Inputs!BO214</f>
        <v>0.42295848972690986</v>
      </c>
      <c r="BP291" s="984">
        <f>Inputs!BP214</f>
        <v>0.42549999999999999</v>
      </c>
      <c r="BQ291" s="984">
        <f>Inputs!BQ214</f>
        <v>0.41749999999999998</v>
      </c>
      <c r="BR291" s="984">
        <f>Inputs!BR214</f>
        <v>0.42249999999999999</v>
      </c>
      <c r="BS291" s="984">
        <f>Inputs!BS214</f>
        <v>0.42295848972690986</v>
      </c>
      <c r="BT291" s="984">
        <f>Inputs!BT214</f>
        <v>0.42549999999999999</v>
      </c>
      <c r="BU291" s="984">
        <f>Inputs!BU214</f>
        <v>0.41749999999999998</v>
      </c>
      <c r="BV291" s="984">
        <f>Inputs!BV214</f>
        <v>0.42249999999999999</v>
      </c>
      <c r="BW291" s="984">
        <f>Inputs!BW214</f>
        <v>0.42295848972690986</v>
      </c>
      <c r="BX291" s="984">
        <f>Inputs!BX214</f>
        <v>0.42549999999999999</v>
      </c>
      <c r="BY291" s="984">
        <f>Inputs!BY214</f>
        <v>0.41749999999999998</v>
      </c>
      <c r="BZ291" s="984">
        <f>Inputs!BZ214</f>
        <v>0.42249999999999999</v>
      </c>
      <c r="CA291" s="984">
        <f>Inputs!CA214</f>
        <v>0.42295848972690986</v>
      </c>
      <c r="CB291" s="984">
        <f>Inputs!CB214</f>
        <v>0.42549999999999999</v>
      </c>
      <c r="CC291" s="984">
        <f>Inputs!CC214</f>
        <v>0.41749999999999998</v>
      </c>
      <c r="CD291" s="984">
        <f>Inputs!CD214</f>
        <v>0.42249999999999999</v>
      </c>
      <c r="CE291" s="984">
        <f>Inputs!CE214</f>
        <v>0.42295848972690986</v>
      </c>
      <c r="CF291" s="984">
        <f>Inputs!CF214</f>
        <v>0.42549999999999999</v>
      </c>
      <c r="CG291" s="984">
        <f>Inputs!CG214</f>
        <v>0.41749999999999998</v>
      </c>
      <c r="CH291" s="984">
        <f>Inputs!CH214</f>
        <v>0.42249999999999999</v>
      </c>
      <c r="CI291" s="984">
        <f>Inputs!CI214</f>
        <v>0.42295848972690986</v>
      </c>
      <c r="CJ291" s="984">
        <f>Inputs!CJ214</f>
        <v>0.42549999999999999</v>
      </c>
      <c r="CK291" s="984">
        <f>Inputs!CK214</f>
        <v>0.41749999999999998</v>
      </c>
      <c r="CL291" s="984">
        <f>Inputs!CL214</f>
        <v>0.42249999999999999</v>
      </c>
      <c r="CM291" s="984">
        <f>Inputs!CM214</f>
        <v>0.42295848972690986</v>
      </c>
      <c r="CN291" s="984">
        <f>Inputs!CN214</f>
        <v>0.42549999999999999</v>
      </c>
      <c r="CO291" s="984">
        <f>Inputs!CO214</f>
        <v>0.41749999999999998</v>
      </c>
      <c r="CP291" s="984">
        <f>Inputs!CP214</f>
        <v>0.42249999999999999</v>
      </c>
      <c r="CQ291" s="984">
        <f>Inputs!CQ214</f>
        <v>0.42295848972690986</v>
      </c>
      <c r="CR291" s="984">
        <f>Inputs!CR214</f>
        <v>0.42549999999999999</v>
      </c>
      <c r="CS291" s="984">
        <f>Inputs!CS214</f>
        <v>0.41749999999999998</v>
      </c>
      <c r="CT291" s="984">
        <f>Inputs!CT214</f>
        <v>0.42249999999999999</v>
      </c>
      <c r="CU291" s="984">
        <f>Inputs!CU214</f>
        <v>0.42295848972690986</v>
      </c>
      <c r="CV291" s="984">
        <f>Inputs!CV214</f>
        <v>0.42549999999999999</v>
      </c>
      <c r="CW291" s="984">
        <f>Inputs!CW214</f>
        <v>0.41749999999999998</v>
      </c>
    </row>
    <row r="292" spans="1:101" s="9" customFormat="1" ht="11.25">
      <c r="A292" s="312"/>
      <c r="B292" s="345"/>
      <c r="C292" s="345"/>
      <c r="D292" s="345"/>
      <c r="E292" s="345"/>
      <c r="F292" s="345"/>
      <c r="G292" s="345"/>
      <c r="H292" s="345"/>
      <c r="I292" s="345"/>
      <c r="J292" s="345"/>
      <c r="K292" s="345"/>
      <c r="L292" s="345"/>
      <c r="M292" s="345"/>
      <c r="N292" s="345"/>
      <c r="O292" s="345"/>
      <c r="P292" s="345"/>
      <c r="Q292" s="345"/>
      <c r="R292" s="345"/>
      <c r="S292" s="345"/>
      <c r="T292" s="345"/>
      <c r="U292" s="345"/>
      <c r="V292" s="345"/>
      <c r="W292" s="345"/>
      <c r="X292" s="345"/>
      <c r="Y292" s="345"/>
      <c r="Z292" s="345"/>
      <c r="AA292" s="345"/>
      <c r="AB292" s="345"/>
      <c r="AC292" s="345"/>
      <c r="AD292" s="345"/>
      <c r="AE292" s="2167"/>
      <c r="AF292" s="345"/>
      <c r="AG292" s="345"/>
      <c r="AH292" s="345"/>
      <c r="AI292" s="345"/>
      <c r="AJ292" s="345"/>
      <c r="AK292" s="345"/>
      <c r="AL292" s="345"/>
      <c r="AM292" s="410"/>
      <c r="AN292" s="410"/>
      <c r="AO292" s="410"/>
      <c r="AP292" s="410"/>
      <c r="AQ292" s="410"/>
      <c r="AR292" s="410"/>
      <c r="AS292" s="410"/>
      <c r="AT292" s="1737"/>
      <c r="AU292" s="1737"/>
      <c r="AV292" s="1737"/>
      <c r="AW292" s="1737"/>
      <c r="AX292" s="1737"/>
      <c r="AY292" s="1737"/>
      <c r="AZ292" s="1737"/>
      <c r="BA292" s="1737"/>
      <c r="BB292" s="1737"/>
      <c r="BC292" s="1737"/>
      <c r="BD292" s="1737"/>
      <c r="BE292" s="1737"/>
      <c r="BF292" s="1737"/>
      <c r="BG292" s="1737"/>
      <c r="BH292" s="1737"/>
      <c r="BI292" s="984"/>
      <c r="BJ292" s="984"/>
      <c r="BK292" s="984"/>
      <c r="BL292" s="984"/>
      <c r="BM292" s="984"/>
      <c r="BN292" s="984"/>
      <c r="BO292" s="984"/>
      <c r="BP292" s="984"/>
      <c r="BQ292" s="984"/>
      <c r="BR292" s="984"/>
      <c r="BS292" s="984"/>
      <c r="BT292" s="984"/>
      <c r="BU292" s="984"/>
      <c r="BV292" s="984"/>
      <c r="BW292" s="984"/>
      <c r="BX292" s="984"/>
      <c r="BY292" s="984"/>
      <c r="BZ292" s="984"/>
      <c r="CA292" s="984"/>
      <c r="CB292" s="984"/>
      <c r="CC292" s="984"/>
      <c r="CD292" s="984"/>
      <c r="CE292" s="984"/>
      <c r="CF292" s="984"/>
      <c r="CG292" s="984"/>
      <c r="CH292" s="984"/>
      <c r="CI292" s="984"/>
      <c r="CJ292" s="984"/>
      <c r="CK292" s="984"/>
      <c r="CL292" s="984"/>
      <c r="CM292" s="984"/>
      <c r="CN292" s="984"/>
      <c r="CO292" s="984"/>
      <c r="CP292" s="984"/>
      <c r="CQ292" s="984"/>
      <c r="CR292" s="984"/>
      <c r="CS292" s="984"/>
      <c r="CT292" s="984"/>
      <c r="CU292" s="984"/>
      <c r="CV292" s="984"/>
      <c r="CW292" s="984"/>
    </row>
    <row r="293" spans="1:101" s="9" customFormat="1" ht="11.25">
      <c r="A293" s="42" t="s">
        <v>962</v>
      </c>
      <c r="B293" s="1079"/>
      <c r="C293" s="1079"/>
      <c r="D293" s="1079"/>
      <c r="E293" s="1079"/>
      <c r="F293" s="1079"/>
      <c r="G293" s="1079"/>
      <c r="H293" s="1079"/>
      <c r="I293" s="1079"/>
      <c r="J293" s="1079"/>
      <c r="K293" s="1079"/>
      <c r="L293" s="1079"/>
      <c r="M293" s="1079"/>
      <c r="N293" s="1079"/>
      <c r="O293" s="1079"/>
      <c r="P293" s="1079"/>
      <c r="Q293" s="1079"/>
      <c r="R293" s="1079"/>
      <c r="S293" s="1079"/>
      <c r="T293" s="1079"/>
      <c r="U293" s="1079">
        <f t="shared" ref="U293:AJ293" si="1709">-U305+U302</f>
        <v>-297.68399999999974</v>
      </c>
      <c r="V293" s="1079">
        <f t="shared" si="1709"/>
        <v>-337.24699999999984</v>
      </c>
      <c r="W293" s="1079">
        <f t="shared" si="1709"/>
        <v>-462.6880000000001</v>
      </c>
      <c r="X293" s="1079">
        <f t="shared" si="1709"/>
        <v>-525.28799999999956</v>
      </c>
      <c r="Y293" s="1079">
        <f t="shared" si="1709"/>
        <v>-869.6850000000004</v>
      </c>
      <c r="Z293" s="1079">
        <f t="shared" si="1709"/>
        <v>-566.76599999999871</v>
      </c>
      <c r="AA293" s="1079">
        <f t="shared" si="1709"/>
        <v>-593.30000000000018</v>
      </c>
      <c r="AB293" s="1079">
        <f t="shared" si="1709"/>
        <v>-624.04500000000007</v>
      </c>
      <c r="AC293" s="1079">
        <f t="shared" si="1709"/>
        <v>-692.16000000000076</v>
      </c>
      <c r="AD293" s="1079">
        <f t="shared" si="1709"/>
        <v>-672.83799999999974</v>
      </c>
      <c r="AE293" s="2168">
        <f t="shared" si="1709"/>
        <v>-656.9920000000011</v>
      </c>
      <c r="AF293" s="1079">
        <f t="shared" si="1709"/>
        <v>-702.27700000000004</v>
      </c>
      <c r="AG293" s="1079">
        <f t="shared" si="1709"/>
        <v>-754.65499999999975</v>
      </c>
      <c r="AH293" s="1079">
        <f t="shared" si="1709"/>
        <v>-726.89400000000023</v>
      </c>
      <c r="AI293" s="1079">
        <f t="shared" si="1709"/>
        <v>-765.52899999999954</v>
      </c>
      <c r="AJ293" s="1079">
        <f t="shared" si="1709"/>
        <v>-674.13900000000103</v>
      </c>
      <c r="AK293" s="1079">
        <f>-AK305+AK302-609</f>
        <v>-872.19399999999951</v>
      </c>
      <c r="AL293" s="1079">
        <f t="shared" ref="AL293:AT293" si="1710">-AL305+AL302</f>
        <v>-768.07600000000002</v>
      </c>
      <c r="AM293" s="1079">
        <f t="shared" si="1710"/>
        <v>-751.11200000000008</v>
      </c>
      <c r="AN293" s="1079">
        <f t="shared" si="1710"/>
        <v>-683.0649999999996</v>
      </c>
      <c r="AO293" s="1079">
        <f t="shared" si="1710"/>
        <v>-614.4300000000012</v>
      </c>
      <c r="AP293" s="1079">
        <f t="shared" si="1710"/>
        <v>-886.05700000000002</v>
      </c>
      <c r="AQ293" s="1079">
        <f t="shared" si="1710"/>
        <v>-1017.0339999999985</v>
      </c>
      <c r="AR293" s="1079">
        <f t="shared" si="1710"/>
        <v>-795.58000000000129</v>
      </c>
      <c r="AS293" s="1079">
        <f t="shared" si="1710"/>
        <v>-847.16000000000076</v>
      </c>
      <c r="AT293" s="1079">
        <f t="shared" si="1710"/>
        <v>-520.3690000000006</v>
      </c>
      <c r="AU293" s="1079">
        <f t="shared" ref="AU293:BC293" si="1711">-AU305+AU302</f>
        <v>-713.50300000000038</v>
      </c>
      <c r="AV293" s="1079">
        <f t="shared" si="1711"/>
        <v>-719.61400000000094</v>
      </c>
      <c r="AW293" s="1079">
        <f t="shared" si="1711"/>
        <v>-960.77200000000016</v>
      </c>
      <c r="AX293" s="1079">
        <f t="shared" si="1711"/>
        <v>-797.327</v>
      </c>
      <c r="AY293" s="1079">
        <f t="shared" si="1711"/>
        <v>-916.66000000000031</v>
      </c>
      <c r="AZ293" s="337">
        <f t="shared" si="1711"/>
        <v>-838.66500000000065</v>
      </c>
      <c r="BA293" s="337">
        <f t="shared" si="1711"/>
        <v>-1542.0609999999997</v>
      </c>
      <c r="BB293" s="1079">
        <f t="shared" si="1711"/>
        <v>-946.82900000000041</v>
      </c>
      <c r="BC293" s="1079">
        <f t="shared" si="1711"/>
        <v>-1041.1210000000001</v>
      </c>
      <c r="BD293" s="337">
        <f t="shared" ref="BD293:BG293" si="1712">-BD305+BD302</f>
        <v>-946.24800000000141</v>
      </c>
      <c r="BE293" s="337">
        <f t="shared" si="1712"/>
        <v>-1000.2960000000003</v>
      </c>
      <c r="BF293" s="337">
        <f t="shared" si="1712"/>
        <v>-897.55699999999979</v>
      </c>
      <c r="BG293" s="337">
        <f t="shared" si="1712"/>
        <v>-1174.6600000000008</v>
      </c>
      <c r="BH293" s="337">
        <f t="shared" ref="BH293" si="1713">-BH305+BH302</f>
        <v>-1047.4410000000021</v>
      </c>
      <c r="BI293" s="337">
        <f t="shared" ref="BI293" si="1714">-BI305+BI302</f>
        <v>-842.71300000000065</v>
      </c>
      <c r="BJ293" s="337">
        <f t="shared" ref="BJ293" si="1715">-BJ305+BJ302</f>
        <v>-992.87099999999919</v>
      </c>
      <c r="BK293" s="1379">
        <f t="shared" ref="BK293" si="1716">-BK305+BK302</f>
        <v>-1047.3239999999983</v>
      </c>
      <c r="BL293" s="1080">
        <f t="shared" ref="BL293:CW293" si="1717">-BL294*BL245</f>
        <v>-1045.6144833018461</v>
      </c>
      <c r="BM293" s="1080">
        <f t="shared" si="1717"/>
        <v>-1070.1938676544248</v>
      </c>
      <c r="BN293" s="1080">
        <f t="shared" si="1717"/>
        <v>-1105.9868749944385</v>
      </c>
      <c r="BO293" s="1080">
        <f t="shared" si="1717"/>
        <v>-1186.2132967788948</v>
      </c>
      <c r="BP293" s="1080">
        <f t="shared" si="1717"/>
        <v>-1119.963306755965</v>
      </c>
      <c r="BQ293" s="1080">
        <f t="shared" si="1717"/>
        <v>-1135.7805963987639</v>
      </c>
      <c r="BR293" s="1080">
        <f t="shared" si="1717"/>
        <v>-1170.3557410447452</v>
      </c>
      <c r="BS293" s="1080">
        <f t="shared" si="1717"/>
        <v>-1241.1554819132282</v>
      </c>
      <c r="BT293" s="1080">
        <f t="shared" si="1717"/>
        <v>-1169.7645379066596</v>
      </c>
      <c r="BU293" s="1080">
        <f t="shared" si="1717"/>
        <v>-1185.4344171287746</v>
      </c>
      <c r="BV293" s="1080">
        <f t="shared" si="1717"/>
        <v>-1217.6478215436111</v>
      </c>
      <c r="BW293" s="1080">
        <f t="shared" si="1717"/>
        <v>-1289.1351655245935</v>
      </c>
      <c r="BX293" s="1080">
        <f t="shared" si="1717"/>
        <v>-1213.4354609450033</v>
      </c>
      <c r="BY293" s="1080">
        <f t="shared" si="1717"/>
        <v>-1230.4596084081365</v>
      </c>
      <c r="BZ293" s="1080">
        <f t="shared" si="1717"/>
        <v>-1305.9033230198982</v>
      </c>
      <c r="CA293" s="1080">
        <f t="shared" si="1717"/>
        <v>-1381.181729298075</v>
      </c>
      <c r="CB293" s="1080">
        <f t="shared" si="1717"/>
        <v>-1303.1460349777522</v>
      </c>
      <c r="CC293" s="1080">
        <f t="shared" si="1717"/>
        <v>-1323.6621438243637</v>
      </c>
      <c r="CD293" s="1080">
        <f t="shared" si="1717"/>
        <v>-1374.5840775922691</v>
      </c>
      <c r="CE293" s="1080">
        <f t="shared" si="1717"/>
        <v>-1452.2921542877632</v>
      </c>
      <c r="CF293" s="1080">
        <f t="shared" si="1717"/>
        <v>-1371.1878452844712</v>
      </c>
      <c r="CG293" s="1080">
        <f t="shared" si="1717"/>
        <v>-1394.4915604610176</v>
      </c>
      <c r="CH293" s="1080">
        <f t="shared" si="1717"/>
        <v>-1446.1513026442931</v>
      </c>
      <c r="CI293" s="1080">
        <f t="shared" si="1717"/>
        <v>-1525.6534924762109</v>
      </c>
      <c r="CJ293" s="1080">
        <f t="shared" si="1717"/>
        <v>-1440.7868380101199</v>
      </c>
      <c r="CK293" s="1080">
        <f t="shared" si="1717"/>
        <v>-1466.0389106499154</v>
      </c>
      <c r="CL293" s="1080">
        <f t="shared" si="1717"/>
        <v>-1518.2312065636029</v>
      </c>
      <c r="CM293" s="1080">
        <f t="shared" si="1717"/>
        <v>-1600.1994188012766</v>
      </c>
      <c r="CN293" s="1080">
        <f t="shared" si="1717"/>
        <v>-1512.2828678326227</v>
      </c>
      <c r="CO293" s="1080">
        <f t="shared" si="1717"/>
        <v>-1540.5124661351429</v>
      </c>
      <c r="CP293" s="1080">
        <f t="shared" si="1717"/>
        <v>-1593.7154041177052</v>
      </c>
      <c r="CQ293" s="1080">
        <f t="shared" si="1717"/>
        <v>-1678.208052100932</v>
      </c>
      <c r="CR293" s="1080">
        <f t="shared" si="1717"/>
        <v>-1587.1985635723806</v>
      </c>
      <c r="CS293" s="1080">
        <f t="shared" si="1717"/>
        <v>-1618.6180898550131</v>
      </c>
      <c r="CT293" s="1080">
        <f t="shared" si="1717"/>
        <v>-1672.8202246465783</v>
      </c>
      <c r="CU293" s="1080">
        <f t="shared" si="1717"/>
        <v>-1759.848668612429</v>
      </c>
      <c r="CV293" s="1080">
        <f t="shared" si="1717"/>
        <v>-1665.5879062656804</v>
      </c>
      <c r="CW293" s="1080">
        <f t="shared" si="1717"/>
        <v>-1699.4588248283753</v>
      </c>
    </row>
    <row r="294" spans="1:101" s="9" customFormat="1" ht="11.25">
      <c r="A294" s="903" t="s">
        <v>534</v>
      </c>
      <c r="B294" s="345"/>
      <c r="C294" s="345"/>
      <c r="D294" s="345"/>
      <c r="E294" s="345"/>
      <c r="F294" s="345"/>
      <c r="G294" s="345"/>
      <c r="H294" s="345"/>
      <c r="I294" s="345"/>
      <c r="J294" s="345"/>
      <c r="K294" s="345"/>
      <c r="L294" s="345"/>
      <c r="M294" s="345"/>
      <c r="N294" s="345"/>
      <c r="O294" s="345"/>
      <c r="P294" s="345"/>
      <c r="Q294" s="345"/>
      <c r="R294" s="345"/>
      <c r="S294" s="345"/>
      <c r="T294" s="345"/>
      <c r="U294" s="345">
        <f t="shared" ref="U294:AT294" si="1718">-IF(U293=0,"NA",U293/U$245)</f>
        <v>6.7487487392174556E-2</v>
      </c>
      <c r="V294" s="345">
        <f t="shared" si="1718"/>
        <v>8.4479949579612967E-2</v>
      </c>
      <c r="W294" s="345">
        <f t="shared" si="1718"/>
        <v>8.8921585924080115E-2</v>
      </c>
      <c r="X294" s="345">
        <f t="shared" si="1718"/>
        <v>9.2133984430702198E-2</v>
      </c>
      <c r="Y294" s="345">
        <f t="shared" si="1718"/>
        <v>0.11003734527194388</v>
      </c>
      <c r="Z294" s="345">
        <f t="shared" si="1718"/>
        <v>7.7171560710075235E-2</v>
      </c>
      <c r="AA294" s="345">
        <f t="shared" si="1718"/>
        <v>7.6437056602587372E-2</v>
      </c>
      <c r="AB294" s="345">
        <f t="shared" si="1718"/>
        <v>7.587750751607357E-2</v>
      </c>
      <c r="AC294" s="345">
        <f t="shared" si="1718"/>
        <v>7.7268748019887951E-2</v>
      </c>
      <c r="AD294" s="345">
        <f t="shared" si="1718"/>
        <v>7.883502289460978E-2</v>
      </c>
      <c r="AE294" s="2167">
        <f t="shared" si="1718"/>
        <v>7.2471134737503606E-2</v>
      </c>
      <c r="AF294" s="345">
        <f t="shared" si="1718"/>
        <v>7.3138738827309022E-2</v>
      </c>
      <c r="AG294" s="345">
        <f t="shared" si="1718"/>
        <v>7.1874950890775821E-2</v>
      </c>
      <c r="AH294" s="345">
        <f t="shared" si="1718"/>
        <v>7.2017905053283218E-2</v>
      </c>
      <c r="AI294" s="345">
        <f t="shared" si="1718"/>
        <v>7.4004174044649998E-2</v>
      </c>
      <c r="AJ294" s="345">
        <f t="shared" si="1718"/>
        <v>6.4354770254065025E-2</v>
      </c>
      <c r="AK294" s="345">
        <f t="shared" si="1718"/>
        <v>7.5084770100594611E-2</v>
      </c>
      <c r="AL294" s="345">
        <f t="shared" si="1718"/>
        <v>6.9321783252774299E-2</v>
      </c>
      <c r="AM294" s="410">
        <f t="shared" si="1718"/>
        <v>6.6320380507435078E-2</v>
      </c>
      <c r="AN294" s="410">
        <f t="shared" si="1718"/>
        <v>6.0047579882054176E-2</v>
      </c>
      <c r="AO294" s="410">
        <f t="shared" si="1718"/>
        <v>4.9647611285941348E-2</v>
      </c>
      <c r="AP294" s="410">
        <f t="shared" si="1718"/>
        <v>6.4720156650685867E-2</v>
      </c>
      <c r="AQ294" s="410">
        <f t="shared" si="1718"/>
        <v>6.9752849294919553E-2</v>
      </c>
      <c r="AR294" s="410">
        <f t="shared" si="1718"/>
        <v>5.4903568869998129E-2</v>
      </c>
      <c r="AS294" s="410">
        <f t="shared" si="1718"/>
        <v>5.5035416429951932E-2</v>
      </c>
      <c r="AT294" s="1737">
        <f t="shared" si="1718"/>
        <v>4.2987619257684212E-2</v>
      </c>
      <c r="AU294" s="1737">
        <f t="shared" ref="AU294:BC294" si="1719">-IF(AU293=0,"NA",AU293/AU$245)</f>
        <v>0.13727079865103878</v>
      </c>
      <c r="AV294" s="1737">
        <f t="shared" si="1719"/>
        <v>7.2721205701409566E-2</v>
      </c>
      <c r="AW294" s="1737">
        <f t="shared" si="1719"/>
        <v>8.504639359322104E-2</v>
      </c>
      <c r="AX294" s="1737">
        <f t="shared" si="1719"/>
        <v>7.8079644612060226E-2</v>
      </c>
      <c r="AY294" s="1737">
        <f t="shared" si="1719"/>
        <v>7.3465814264675078E-2</v>
      </c>
      <c r="AZ294" s="1737">
        <f t="shared" si="1719"/>
        <v>6.0083713782684511E-2</v>
      </c>
      <c r="BA294" s="1737">
        <f t="shared" si="1719"/>
        <v>9.2161766548060381E-2</v>
      </c>
      <c r="BB294" s="1737">
        <f t="shared" si="1719"/>
        <v>6.2176138923559665E-2</v>
      </c>
      <c r="BC294" s="1737">
        <f t="shared" si="1719"/>
        <v>6.1462490867298485E-2</v>
      </c>
      <c r="BD294" s="1737">
        <f t="shared" ref="BD294:BG294" si="1720">-IF(BD293=0,"NA",BD293/BD$245)</f>
        <v>5.4015212542675758E-2</v>
      </c>
      <c r="BE294" s="1737">
        <f t="shared" si="1720"/>
        <v>5.2246160364545227E-2</v>
      </c>
      <c r="BF294" s="1737">
        <f t="shared" si="1720"/>
        <v>5.0808045694561869E-2</v>
      </c>
      <c r="BG294" s="1737">
        <f t="shared" si="1720"/>
        <v>6.1991476580968458E-2</v>
      </c>
      <c r="BH294" s="1737">
        <f t="shared" ref="BH294" si="1721">-IF(BH293=0,"NA",BH293/BH$245)</f>
        <v>5.3797760592798026E-2</v>
      </c>
      <c r="BI294" s="1737">
        <f t="shared" ref="BI294" si="1722">-IF(BI293=0,"NA",BI293/BI$245)</f>
        <v>4.182885002516297E-2</v>
      </c>
      <c r="BJ294" s="1737">
        <f t="shared" ref="BJ294" si="1723">-IF(BJ293=0,"NA",BJ293/BJ$245)</f>
        <v>5.4544876213739928E-2</v>
      </c>
      <c r="BK294" s="1684">
        <f t="shared" ref="BK294" si="1724">-IF(BK293=0,"NA",BK293/BK$245)</f>
        <v>5.4395022842217811E-2</v>
      </c>
      <c r="BL294" s="984">
        <f>Inputs!BL219</f>
        <v>5.2000000000000005E-2</v>
      </c>
      <c r="BM294" s="984">
        <f>Inputs!BM219</f>
        <v>5.1000000000000004E-2</v>
      </c>
      <c r="BN294" s="984">
        <f>Inputs!BN219</f>
        <v>5.5544876213739929E-2</v>
      </c>
      <c r="BO294" s="984">
        <f>Inputs!BO219</f>
        <v>5.5395022842217811E-2</v>
      </c>
      <c r="BP294" s="984">
        <f>Inputs!BP219</f>
        <v>5.1000000000000004E-2</v>
      </c>
      <c r="BQ294" s="984">
        <f>Inputs!BQ219</f>
        <v>0.05</v>
      </c>
      <c r="BR294" s="984">
        <f>Inputs!BR219</f>
        <v>5.4544876213739928E-2</v>
      </c>
      <c r="BS294" s="984">
        <f>Inputs!BS219</f>
        <v>5.4395022842217811E-2</v>
      </c>
      <c r="BT294" s="984">
        <f>Inputs!BT219</f>
        <v>0.05</v>
      </c>
      <c r="BU294" s="984">
        <f>Inputs!BU219</f>
        <v>4.9000000000000002E-2</v>
      </c>
      <c r="BV294" s="984">
        <f>Inputs!BV219</f>
        <v>5.3544876213739927E-2</v>
      </c>
      <c r="BW294" s="984">
        <f>Inputs!BW219</f>
        <v>5.339502284221781E-2</v>
      </c>
      <c r="BX294" s="984">
        <f>Inputs!BX219</f>
        <v>4.9000000000000002E-2</v>
      </c>
      <c r="BY294" s="984">
        <f>Inputs!BY219</f>
        <v>4.8000000000000001E-2</v>
      </c>
      <c r="BZ294" s="984">
        <f>Inputs!BZ219</f>
        <v>5.4544876213739928E-2</v>
      </c>
      <c r="CA294" s="984">
        <f>Inputs!CA219</f>
        <v>5.4395022842217811E-2</v>
      </c>
      <c r="CB294" s="984">
        <f>Inputs!CB219</f>
        <v>0.05</v>
      </c>
      <c r="CC294" s="984">
        <f>Inputs!CC219</f>
        <v>4.9000000000000002E-2</v>
      </c>
      <c r="CD294" s="984">
        <f>Inputs!CD219</f>
        <v>5.4544876213739928E-2</v>
      </c>
      <c r="CE294" s="984">
        <f>Inputs!CE219</f>
        <v>5.4395022842217811E-2</v>
      </c>
      <c r="CF294" s="984">
        <f>Inputs!CF219</f>
        <v>0.05</v>
      </c>
      <c r="CG294" s="984">
        <f>Inputs!CG219</f>
        <v>4.9000000000000002E-2</v>
      </c>
      <c r="CH294" s="984">
        <f>Inputs!CH219</f>
        <v>5.4544876213739928E-2</v>
      </c>
      <c r="CI294" s="984">
        <f>Inputs!CI219</f>
        <v>5.4395022842217811E-2</v>
      </c>
      <c r="CJ294" s="984">
        <f>Inputs!CJ219</f>
        <v>0.05</v>
      </c>
      <c r="CK294" s="984">
        <f>Inputs!CK219</f>
        <v>4.9000000000000002E-2</v>
      </c>
      <c r="CL294" s="984">
        <f>Inputs!CL219</f>
        <v>5.4544876213739928E-2</v>
      </c>
      <c r="CM294" s="984">
        <f>Inputs!CM219</f>
        <v>5.4395022842217811E-2</v>
      </c>
      <c r="CN294" s="984">
        <f>Inputs!CN219</f>
        <v>0.05</v>
      </c>
      <c r="CO294" s="984">
        <f>Inputs!CO219</f>
        <v>4.9000000000000002E-2</v>
      </c>
      <c r="CP294" s="984">
        <f>Inputs!CP219</f>
        <v>5.4544876213739928E-2</v>
      </c>
      <c r="CQ294" s="984">
        <f>Inputs!CQ219</f>
        <v>5.4395022842217811E-2</v>
      </c>
      <c r="CR294" s="984">
        <f>Inputs!CR219</f>
        <v>0.05</v>
      </c>
      <c r="CS294" s="984">
        <f>Inputs!CS219</f>
        <v>4.9000000000000002E-2</v>
      </c>
      <c r="CT294" s="984">
        <f>Inputs!CT219</f>
        <v>5.4544876213739928E-2</v>
      </c>
      <c r="CU294" s="984">
        <f>Inputs!CU219</f>
        <v>5.4395022842217811E-2</v>
      </c>
      <c r="CV294" s="984">
        <f>Inputs!CV219</f>
        <v>0.05</v>
      </c>
      <c r="CW294" s="984">
        <f>Inputs!CW219</f>
        <v>4.9000000000000002E-2</v>
      </c>
    </row>
    <row r="295" spans="1:101" s="9" customFormat="1" ht="11.25">
      <c r="AE295" s="2119"/>
      <c r="AP295" s="92"/>
      <c r="AQ295" s="92"/>
      <c r="AR295" s="92"/>
      <c r="AS295" s="92"/>
      <c r="AT295" s="92"/>
      <c r="AU295" s="92"/>
      <c r="AV295" s="92"/>
      <c r="AW295" s="92"/>
      <c r="AX295" s="92"/>
      <c r="AY295" s="92"/>
      <c r="AZ295" s="92"/>
      <c r="BA295" s="92"/>
      <c r="BB295" s="92"/>
      <c r="BC295" s="92"/>
      <c r="BD295" s="92"/>
      <c r="BE295" s="92"/>
      <c r="BF295" s="92"/>
      <c r="BG295" s="92"/>
      <c r="BH295" s="92"/>
      <c r="BI295" s="92"/>
      <c r="BJ295" s="92"/>
      <c r="BK295" s="1385"/>
      <c r="BL295" s="47"/>
      <c r="BM295" s="47"/>
      <c r="BN295" s="47"/>
      <c r="BO295" s="47"/>
      <c r="BP295" s="47"/>
      <c r="BQ295" s="47"/>
      <c r="BR295" s="47"/>
      <c r="BS295" s="47"/>
      <c r="BT295" s="47"/>
      <c r="BU295" s="47"/>
      <c r="BV295" s="47"/>
      <c r="BW295" s="47"/>
      <c r="BX295" s="47"/>
      <c r="BY295" s="47"/>
      <c r="BZ295" s="47"/>
      <c r="CA295" s="47"/>
      <c r="CB295" s="47"/>
      <c r="CC295" s="47"/>
      <c r="CD295" s="47"/>
      <c r="CE295" s="47"/>
      <c r="CF295" s="47"/>
      <c r="CG295" s="47"/>
      <c r="CH295" s="47"/>
      <c r="CI295" s="47"/>
      <c r="CJ295" s="47"/>
      <c r="CK295" s="47"/>
      <c r="CL295" s="47"/>
      <c r="CM295" s="47"/>
      <c r="CN295" s="47"/>
      <c r="CO295" s="47"/>
      <c r="CP295" s="47"/>
      <c r="CQ295" s="47"/>
      <c r="CR295" s="47"/>
      <c r="CS295" s="47"/>
      <c r="CT295" s="47"/>
      <c r="CU295" s="47"/>
      <c r="CV295" s="47"/>
      <c r="CW295" s="47"/>
    </row>
    <row r="296" spans="1:101" s="9" customFormat="1" ht="11.25">
      <c r="A296" s="13" t="s">
        <v>1245</v>
      </c>
      <c r="B296" s="956">
        <f>+Q_IS!B245+B283+B287</f>
        <v>173.76999999999998</v>
      </c>
      <c r="C296" s="956">
        <f>+Q_IS!C245+C283+C287</f>
        <v>190.00599999999986</v>
      </c>
      <c r="D296" s="956">
        <f>+Q_IS!D245+D283+D287</f>
        <v>237.23299999999972</v>
      </c>
      <c r="E296" s="956">
        <f>+Q_IS!E245+E283+E287</f>
        <v>399.22699999999986</v>
      </c>
      <c r="F296" s="956">
        <f>+Q_IS!F245+F283+F287</f>
        <v>223.70600000000013</v>
      </c>
      <c r="G296" s="956">
        <f>+Q_IS!G245+G283+G287</f>
        <v>253.53999999999996</v>
      </c>
      <c r="H296" s="956">
        <f>+Q_IS!H245+H283+H287</f>
        <v>237.52099999999996</v>
      </c>
      <c r="I296" s="956">
        <f>+Q_IS!I245+I283+I287</f>
        <v>283.86399999999981</v>
      </c>
      <c r="J296" s="956">
        <f>+Q_IS!J245+J283+J287</f>
        <v>227.35200000000009</v>
      </c>
      <c r="K296" s="956">
        <f>+Q_IS!K245+K283+K287</f>
        <v>310.75700000000029</v>
      </c>
      <c r="L296" s="956">
        <f>+Q_IS!L245+L283+L287</f>
        <v>284.21600000000012</v>
      </c>
      <c r="M296" s="956">
        <f>+Q_IS!M245+M283+M287</f>
        <v>292.52199999999993</v>
      </c>
      <c r="N296" s="956">
        <f>+Q_IS!N245+N283+N287</f>
        <v>285.25699999999983</v>
      </c>
      <c r="O296" s="956">
        <f>+Q_IS!O245+O283+O287</f>
        <v>431.18499999999972</v>
      </c>
      <c r="P296" s="956">
        <f>+Q_IS!P245+P283+P287</f>
        <v>412.52399999999989</v>
      </c>
      <c r="Q296" s="956">
        <f>+Q_IS!Q245+Q283+Q287</f>
        <v>479.09899999999993</v>
      </c>
      <c r="R296" s="956">
        <f>+Q_IS!R245+R283+R287</f>
        <v>373.4670000000001</v>
      </c>
      <c r="S296" s="956">
        <f>+Q_IS!S245+S283+S287</f>
        <v>505.00700000000006</v>
      </c>
      <c r="T296" s="956">
        <f>+Q_IS!T245+T283+T287</f>
        <v>545.93199999999979</v>
      </c>
      <c r="U296" s="956">
        <f>+Q_IS!U245+U283+U287</f>
        <v>614.31600000000026</v>
      </c>
      <c r="V296" s="956">
        <f>+Q_IS!V245+V283+V287</f>
        <v>423.75300000000016</v>
      </c>
      <c r="W296" s="956">
        <f>+Q_IS!W245+W283+W287</f>
        <v>618.3119999999999</v>
      </c>
      <c r="X296" s="956">
        <f>+Q_IS!X245+X283+X287</f>
        <v>705.71200000000044</v>
      </c>
      <c r="Y296" s="956">
        <f>+Q_IS!Y245+Y283+Y287</f>
        <v>1045.3149999999996</v>
      </c>
      <c r="Z296" s="956">
        <f>+Q_IS!Z245+Z283+Z287</f>
        <v>850.23400000000129</v>
      </c>
      <c r="AA296" s="956">
        <f>+Q_IS!AA245+AA283+AA287</f>
        <v>997.69999999999982</v>
      </c>
      <c r="AB296" s="956">
        <f>+Q_IS!AB245+AB283+AB287</f>
        <v>1086.9549999999999</v>
      </c>
      <c r="AC296" s="956">
        <f>+Q_IS!AC245+AC283+AC287</f>
        <v>1366.8399999999992</v>
      </c>
      <c r="AD296" s="956">
        <f>+Q_IS!AD245+AD283+AD287</f>
        <v>1035.1620000000003</v>
      </c>
      <c r="AE296" s="2143">
        <f>+Q_IS!AE245+AE283+AE287</f>
        <v>1223.0079999999989</v>
      </c>
      <c r="AF296" s="956">
        <f>+Q_IS!AF245+AF283+AF287</f>
        <v>1327.723</v>
      </c>
      <c r="AG296" s="956">
        <f>+Q_IS!AG245+AG283+AG287</f>
        <v>1569.3450000000003</v>
      </c>
      <c r="AH296" s="956">
        <f>+Q_IS!AH245+AH283+AH287</f>
        <v>1287.1059999999998</v>
      </c>
      <c r="AI296" s="956">
        <f>+Q_IS!AI245+AI283+AI287</f>
        <v>1406.4710000000005</v>
      </c>
      <c r="AJ296" s="956">
        <f>+Q_IS!AJ245+AJ283+AJ287</f>
        <v>1414.860999999999</v>
      </c>
      <c r="AK296" s="956">
        <f>+Q_IS!AK245+AK283+AK287</f>
        <v>2357.8060000000005</v>
      </c>
      <c r="AL296" s="956">
        <f>+Q_IS!AL245+AL283+AL287</f>
        <v>1427.924</v>
      </c>
      <c r="AM296" s="956">
        <f>+Q_IS!AM245+AM283+AM287</f>
        <v>1578.8879999999999</v>
      </c>
      <c r="AN296" s="956">
        <f>+Q_IS!AN245+AN283+AN287</f>
        <v>1536.9350000000004</v>
      </c>
      <c r="AO296" s="956">
        <f>+Q_IS!AO245+AO283+AO287</f>
        <v>1864.5699999999988</v>
      </c>
      <c r="AP296" s="956">
        <f>+Q_IS!AP245+AP283+AP287</f>
        <v>2747.893</v>
      </c>
      <c r="AQ296" s="956">
        <f>+Q_IS!AQ245+AQ283+AQ287</f>
        <v>3061.5070000000014</v>
      </c>
      <c r="AR296" s="956">
        <f>+Q_IS!AR245+AR283+AR287</f>
        <v>3469.2569999999987</v>
      </c>
      <c r="AS296" s="956">
        <f>+Q_IS!AS245+AS283+AS287</f>
        <v>3338.9019999999991</v>
      </c>
      <c r="AT296" s="956">
        <f>+Q_IS!AT245+AT283+AT287</f>
        <v>2495.0509999999995</v>
      </c>
      <c r="AU296" s="956">
        <f>+Q_IS!AU245+AU283+AU287</f>
        <v>-903.00200000000041</v>
      </c>
      <c r="AV296" s="956">
        <f>+Q_IS!AV245+AV283+AV287</f>
        <v>2107.4779999999992</v>
      </c>
      <c r="AW296" s="956">
        <f>+Q_IS!AW245+AW283+AW287</f>
        <v>3225.2089999999998</v>
      </c>
      <c r="AX296" s="956">
        <f>+Q_IS!AX245+AX283+AX287</f>
        <v>2044.7280000000001</v>
      </c>
      <c r="AY296" s="956">
        <f>+Q_IS!AY245+AY283+AY287</f>
        <v>2848.0649999999996</v>
      </c>
      <c r="AZ296" s="956">
        <f>+Q_IS!AZ245+AZ283+AZ287</f>
        <v>3144.2919999999995</v>
      </c>
      <c r="BA296" s="956">
        <f>+Q_IS!BA245+BA283+BA287</f>
        <v>4274.1840000000002</v>
      </c>
      <c r="BB296" s="956">
        <f>+Q_IS!BB245+BB283+BB287</f>
        <v>3457.6859999999997</v>
      </c>
      <c r="BC296" s="956">
        <f>+Q_IS!BC245+BC283+BC287</f>
        <v>3627.4740000000002</v>
      </c>
      <c r="BD296" s="956">
        <f>+Q_IS!BD245+BD283+BD287</f>
        <v>3477.7969999999987</v>
      </c>
      <c r="BE296" s="956">
        <f>+Q_IS!BE245+BE283+BE287</f>
        <v>3486.8369999999995</v>
      </c>
      <c r="BF296" s="956">
        <f>+Q_IS!BF245+BF283+BF287</f>
        <v>3684.4059999999999</v>
      </c>
      <c r="BG296" s="956">
        <f>+Q_IS!BG245+BG283+BG287</f>
        <v>3839.4879999999994</v>
      </c>
      <c r="BH296" s="956">
        <f>+Q_IS!BH245+BH283+BH287</f>
        <v>3930.7839999999978</v>
      </c>
      <c r="BI296" s="956">
        <f>+Q_IS!BI245+BI283+BI287</f>
        <v>4505.7109999999993</v>
      </c>
      <c r="BJ296" s="956">
        <f>+Q_IS!BJ245+BJ283+BJ287</f>
        <v>3735.2350000000006</v>
      </c>
      <c r="BK296" s="1371">
        <f>+Q_IS!BK245+BK283+BK287</f>
        <v>3992.1430000000018</v>
      </c>
      <c r="BL296" s="957">
        <f>+Q_IS!BL245+BL283+BL287</f>
        <v>3870.7843853001032</v>
      </c>
      <c r="BM296" s="957">
        <f>+Q_IS!BM245+BM283+BM287</f>
        <v>4186.3465999423097</v>
      </c>
      <c r="BN296" s="957">
        <f>+Q_IS!BN245+BN283+BN287</f>
        <v>3809.4803796875312</v>
      </c>
      <c r="BO296" s="957">
        <f>+Q_IS!BO245+BO283+BO287</f>
        <v>4129.4323039643077</v>
      </c>
      <c r="BP296" s="957">
        <f>+Q_IS!BP245+BP283+BP287</f>
        <v>4227.3124813828108</v>
      </c>
      <c r="BQ296" s="957">
        <f>+Q_IS!BQ245+BQ283+BQ287</f>
        <v>4531.7645796310699</v>
      </c>
      <c r="BR296" s="957">
        <f>+Q_IS!BR245+BR283+BR287</f>
        <v>4105.0996185768709</v>
      </c>
      <c r="BS296" s="957">
        <f>+Q_IS!BS245+BS283+BS287</f>
        <v>4400.1282509114808</v>
      </c>
      <c r="BT296" s="957">
        <f>+Q_IS!BT245+BT283+BT287</f>
        <v>4503.5934709406392</v>
      </c>
      <c r="BU296" s="957">
        <f>+Q_IS!BU245+BU283+BU287</f>
        <v>4826.4115554528707</v>
      </c>
      <c r="BV296" s="957">
        <f>+Q_IS!BV245+BV283+BV287</f>
        <v>4350.7441857088907</v>
      </c>
      <c r="BW296" s="957">
        <f>+Q_IS!BW245+BW283+BW287</f>
        <v>4655.8179196785059</v>
      </c>
      <c r="BX296" s="957">
        <f>+Q_IS!BX245+BX283+BX287</f>
        <v>4767.0678822839436</v>
      </c>
      <c r="BY296" s="957">
        <f>+Q_IS!BY245+BY283+BY287</f>
        <v>5114.0977474463198</v>
      </c>
      <c r="BZ296" s="957">
        <f>+Q_IS!BZ245+BZ283+BZ287</f>
        <v>4436.8907750918315</v>
      </c>
      <c r="CA296" s="957">
        <f>+Q_IS!CA245+CA283+CA287</f>
        <v>4744.1973206342263</v>
      </c>
      <c r="CB296" s="957">
        <f>+Q_IS!CB245+CB283+CB287</f>
        <v>4860.7347104670152</v>
      </c>
      <c r="CC296" s="957">
        <f>+Q_IS!CC245+CC283+CC287</f>
        <v>5227.1147924492743</v>
      </c>
      <c r="CD296" s="957">
        <f>+Q_IS!CD245+CD283+CD287</f>
        <v>4670.2380688898211</v>
      </c>
      <c r="CE296" s="957">
        <f>+Q_IS!CE245+CE283+CE287</f>
        <v>4988.4532940148511</v>
      </c>
      <c r="CF296" s="957">
        <f>+Q_IS!CF245+CF283+CF287</f>
        <v>5114.5306629110783</v>
      </c>
      <c r="CG296" s="957">
        <f>+Q_IS!CG245+CG283+CG287</f>
        <v>5506.8187132491221</v>
      </c>
      <c r="CH296" s="957">
        <f>+Q_IS!CH245+CH283+CH287</f>
        <v>4913.3923323294348</v>
      </c>
      <c r="CI296" s="957">
        <f>+Q_IS!CI245+CI283+CI287</f>
        <v>5240.440890352842</v>
      </c>
      <c r="CJ296" s="957">
        <f>+Q_IS!CJ245+CJ283+CJ287</f>
        <v>5374.1349057777516</v>
      </c>
      <c r="CK296" s="957">
        <f>+Q_IS!CK245+CK283+CK287</f>
        <v>5789.3577389950751</v>
      </c>
      <c r="CL296" s="957">
        <f>+Q_IS!CL245+CL283+CL287</f>
        <v>5158.288455290156</v>
      </c>
      <c r="CM296" s="957">
        <f>+Q_IS!CM245+CM283+CM287</f>
        <v>5496.497408067793</v>
      </c>
      <c r="CN296" s="957">
        <f>+Q_IS!CN245+CN283+CN287</f>
        <v>5640.8150970156839</v>
      </c>
      <c r="CO296" s="957">
        <f>+Q_IS!CO245+CO283+CO287</f>
        <v>6083.452289737761</v>
      </c>
      <c r="CP296" s="957">
        <f>+Q_IS!CP245+CP283+CP287</f>
        <v>5414.7508854634034</v>
      </c>
      <c r="CQ296" s="957">
        <f>+Q_IS!CQ245+CQ283+CQ287</f>
        <v>5764.4479182983632</v>
      </c>
      <c r="CR296" s="957">
        <f>+Q_IS!CR245+CR283+CR287</f>
        <v>5920.25064212498</v>
      </c>
      <c r="CS296" s="957">
        <f>+Q_IS!CS245+CS283+CS287</f>
        <v>6391.8898038152074</v>
      </c>
      <c r="CT296" s="957">
        <f>+Q_IS!CT245+CT283+CT287</f>
        <v>5683.5146157357267</v>
      </c>
      <c r="CU296" s="957">
        <f>+Q_IS!CU245+CU283+CU287</f>
        <v>6044.8738650748273</v>
      </c>
      <c r="CV296" s="957">
        <f>+Q_IS!CV245+CV283+CV287</f>
        <v>6212.6428903709912</v>
      </c>
      <c r="CW296" s="957">
        <f>+Q_IS!CW245+CW283+CW287</f>
        <v>6711.1282164140939</v>
      </c>
    </row>
    <row r="297" spans="1:101" s="9" customFormat="1" ht="11.25">
      <c r="A297" s="930" t="s">
        <v>288</v>
      </c>
      <c r="B297" s="812"/>
      <c r="C297" s="812"/>
      <c r="D297" s="812"/>
      <c r="E297" s="812"/>
      <c r="F297" s="812"/>
      <c r="G297" s="812"/>
      <c r="H297" s="812"/>
      <c r="I297" s="812"/>
      <c r="J297" s="812"/>
      <c r="K297" s="812"/>
      <c r="L297" s="812"/>
      <c r="M297" s="812"/>
      <c r="N297" s="812"/>
      <c r="O297" s="812"/>
      <c r="P297" s="812"/>
      <c r="Q297" s="812"/>
      <c r="R297" s="812"/>
      <c r="S297" s="812"/>
      <c r="T297" s="812"/>
      <c r="U297" s="813">
        <f>+U296/Q_IS!U245</f>
        <v>0.13927064707814715</v>
      </c>
      <c r="V297" s="813">
        <f>+V296/Q_IS!V245</f>
        <v>0.10614959384133814</v>
      </c>
      <c r="W297" s="813">
        <f>+W296/Q_IS!W245</f>
        <v>0.11883014825517368</v>
      </c>
      <c r="X297" s="813">
        <f>+X296/Q_IS!X245</f>
        <v>0.12377982824766567</v>
      </c>
      <c r="Y297" s="813">
        <f>+Y296/Q_IS!Y245</f>
        <v>0.13225902202859877</v>
      </c>
      <c r="Z297" s="813">
        <f>+Z296/Q_IS!Z245</f>
        <v>0.11576891477041734</v>
      </c>
      <c r="AA297" s="813">
        <f>+AA296/Q_IS!AA245</f>
        <v>0.12853742014562847</v>
      </c>
      <c r="AB297" s="813">
        <f>+AB296/Q_IS!AB245</f>
        <v>0.13216264240901496</v>
      </c>
      <c r="AC297" s="813">
        <f>+AC296/Q_IS!AC245</f>
        <v>0.15258612971495533</v>
      </c>
      <c r="AD297" s="813">
        <f>+AD296/Q_IS!AD245</f>
        <v>0.12128776907610761</v>
      </c>
      <c r="AE297" s="2144">
        <f>+AE296/Q_IS!AE245</f>
        <v>0.13490693578162991</v>
      </c>
      <c r="AF297" s="813">
        <f>+AF296/Q_IS!AF245</f>
        <v>0.13827590214688965</v>
      </c>
      <c r="AG297" s="813">
        <f>+AG296/Q_IS!AG245</f>
        <v>0.14946776315758145</v>
      </c>
      <c r="AH297" s="813">
        <f>+AH296/Q_IS!AH245</f>
        <v>0.12752158870689687</v>
      </c>
      <c r="AI297" s="813">
        <f>+AI296/Q_IS!AI245</f>
        <v>0.13596444376732039</v>
      </c>
      <c r="AJ297" s="813">
        <f>+AJ296/Q_IS!AJ245</f>
        <v>0.13506569801841534</v>
      </c>
      <c r="AK297" s="813">
        <f>+AK296/Q_IS!AK245</f>
        <v>0.20297699990117191</v>
      </c>
      <c r="AL297" s="813">
        <f>+AL296/Q_IS!AL245</f>
        <v>0.12887557745514047</v>
      </c>
      <c r="AM297" s="84">
        <f>+AM296/Q_IS!AM245</f>
        <v>0.13940990549827875</v>
      </c>
      <c r="AN297" s="84">
        <f>+AN296/Q_IS!AN245</f>
        <v>0.13511046120943837</v>
      </c>
      <c r="AO297" s="84">
        <f>+AO296/Q_IS!AO245</f>
        <v>0.15066231560214738</v>
      </c>
      <c r="AP297" s="84">
        <f>+AP296/Q_IS!AP245</f>
        <v>0.20071402338599337</v>
      </c>
      <c r="AQ297" s="84">
        <f>+AQ296/Q_IS!AQ245</f>
        <v>0.20997217043514937</v>
      </c>
      <c r="AR297" s="84">
        <f>+AR296/Q_IS!AR245</f>
        <v>0.23941601174894131</v>
      </c>
      <c r="AS297" s="84">
        <f>+AS296/Q_IS!AS245</f>
        <v>0.21691045609896495</v>
      </c>
      <c r="AT297" s="84">
        <f>+AT296/Q_IS!AT245</f>
        <v>0.20611585704856383</v>
      </c>
      <c r="AU297" s="84">
        <f>+AU296/Q_IS!AU245</f>
        <v>-0.17372849970285381</v>
      </c>
      <c r="AV297" s="84">
        <f>+AV296/Q_IS!AV245</f>
        <v>0.21297298433492812</v>
      </c>
      <c r="AW297" s="84">
        <f>+AW296/Q_IS!AW245</f>
        <v>0.28549166090851813</v>
      </c>
      <c r="AX297" s="84">
        <f>+AX296/Q_IS!AX245</f>
        <v>0.2002335748925205</v>
      </c>
      <c r="AY297" s="84">
        <f>+AY296/Q_IS!AY245</f>
        <v>0.22825847566570126</v>
      </c>
      <c r="AZ297" s="84">
        <f>+AZ296/Q_IS!AZ245</f>
        <v>0.22526365184809724</v>
      </c>
      <c r="BA297" s="84">
        <f>+BA296/Q_IS!BA245</f>
        <v>0.25544796735761749</v>
      </c>
      <c r="BB297" s="84">
        <f>+BB296/Q_IS!BB245</f>
        <v>0.22705849217762364</v>
      </c>
      <c r="BC297" s="84">
        <f>+BC296/Q_IS!BC245</f>
        <v>0.21414762318343661</v>
      </c>
      <c r="BD297" s="84">
        <f>+BD296/Q_IS!BD245</f>
        <v>0.19852506333992756</v>
      </c>
      <c r="BE297" s="84">
        <f>+BE296/Q_IS!BE245</f>
        <v>0.18211993756551031</v>
      </c>
      <c r="BF297" s="84">
        <f>+BF296/Q_IS!BF245</f>
        <v>0.20856332066411151</v>
      </c>
      <c r="BG297" s="84">
        <f>+BG296/Q_IS!BG245</f>
        <v>0.20262504080747554</v>
      </c>
      <c r="BH297" s="84">
        <f>+BH296/Q_IS!BH245</f>
        <v>0.2018895351375404</v>
      </c>
      <c r="BI297" s="84">
        <f>+BI296/Q_IS!BI245</f>
        <v>0.22364519080128931</v>
      </c>
      <c r="BJ297" s="84">
        <f>+BJ296/Q_IS!BJ245</f>
        <v>0.20520080725917975</v>
      </c>
      <c r="BK297" s="801">
        <f>+BK296/Q_IS!BK245</f>
        <v>0.20734052659387198</v>
      </c>
      <c r="BL297" s="380">
        <f>+BL296/Q_IS!BL245</f>
        <v>0.1925</v>
      </c>
      <c r="BM297" s="380">
        <f>+BM296/Q_IS!BM245</f>
        <v>0.19950000000000004</v>
      </c>
      <c r="BN297" s="380">
        <f>+BN296/Q_IS!BN245</f>
        <v>0.19131973526311416</v>
      </c>
      <c r="BO297" s="380">
        <f>+BO296/Q_IS!BO245</f>
        <v>0.19284052659387194</v>
      </c>
      <c r="BP297" s="380">
        <f>+BP296/Q_IS!BP245</f>
        <v>0.19250000000000009</v>
      </c>
      <c r="BQ297" s="380">
        <f>+BQ296/Q_IS!BQ245</f>
        <v>0.19950000000000009</v>
      </c>
      <c r="BR297" s="380">
        <f>+BR296/Q_IS!BR245</f>
        <v>0.19131973526311413</v>
      </c>
      <c r="BS297" s="380">
        <f>+BS296/Q_IS!BS245</f>
        <v>0.19284052659387199</v>
      </c>
      <c r="BT297" s="380">
        <f>+BT296/Q_IS!BT245</f>
        <v>0.1925</v>
      </c>
      <c r="BU297" s="380">
        <f>+BU296/Q_IS!BU245</f>
        <v>0.19950000000000009</v>
      </c>
      <c r="BV297" s="380">
        <f>+BV296/Q_IS!BV245</f>
        <v>0.19131973526311408</v>
      </c>
      <c r="BW297" s="380">
        <f>+BW296/Q_IS!BW245</f>
        <v>0.19284052659387191</v>
      </c>
      <c r="BX297" s="380">
        <f>+BX296/Q_IS!BX245</f>
        <v>0.19250000000000009</v>
      </c>
      <c r="BY297" s="380">
        <f>+BY296/Q_IS!BY245</f>
        <v>0.19950000000000009</v>
      </c>
      <c r="BZ297" s="380">
        <f>+BZ296/Q_IS!BZ245</f>
        <v>0.18531973526311415</v>
      </c>
      <c r="CA297" s="380">
        <f>+CA296/Q_IS!CA245</f>
        <v>0.18684052659387212</v>
      </c>
      <c r="CB297" s="380">
        <f>+CB296/Q_IS!CB245</f>
        <v>0.1865</v>
      </c>
      <c r="CC297" s="380">
        <f>+CC296/Q_IS!CC245</f>
        <v>0.19350000000000006</v>
      </c>
      <c r="CD297" s="380">
        <f>+CD296/Q_IS!CD245</f>
        <v>0.18531973526311402</v>
      </c>
      <c r="CE297" s="380">
        <f>+CE296/Q_IS!CE245</f>
        <v>0.18684052659387204</v>
      </c>
      <c r="CF297" s="380">
        <f>+CF296/Q_IS!CF245</f>
        <v>0.18650000000000003</v>
      </c>
      <c r="CG297" s="380">
        <f>+CG296/Q_IS!CG245</f>
        <v>0.19350000000000006</v>
      </c>
      <c r="CH297" s="380">
        <f>+CH296/Q_IS!CH245</f>
        <v>0.18531973526311407</v>
      </c>
      <c r="CI297" s="380">
        <f>+CI296/Q_IS!CI245</f>
        <v>0.18684052659387193</v>
      </c>
      <c r="CJ297" s="380">
        <f>+CJ296/Q_IS!CJ245</f>
        <v>0.18650000000000014</v>
      </c>
      <c r="CK297" s="380">
        <f>+CK296/Q_IS!CK245</f>
        <v>0.19350000000000003</v>
      </c>
      <c r="CL297" s="380">
        <f>+CL296/Q_IS!CL245</f>
        <v>0.18531973526311418</v>
      </c>
      <c r="CM297" s="380">
        <f>+CM296/Q_IS!CM245</f>
        <v>0.1868405265938721</v>
      </c>
      <c r="CN297" s="380">
        <f>+CN296/Q_IS!CN245</f>
        <v>0.18650000000000005</v>
      </c>
      <c r="CO297" s="380">
        <f>+CO296/Q_IS!CO245</f>
        <v>0.19350000000000012</v>
      </c>
      <c r="CP297" s="380">
        <f>+CP296/Q_IS!CP245</f>
        <v>0.18531973526311407</v>
      </c>
      <c r="CQ297" s="380">
        <f>+CQ296/Q_IS!CQ245</f>
        <v>0.18684052659387204</v>
      </c>
      <c r="CR297" s="380">
        <f>+CR296/Q_IS!CR245</f>
        <v>0.1865</v>
      </c>
      <c r="CS297" s="380">
        <f>+CS296/Q_IS!CS245</f>
        <v>0.19350000000000009</v>
      </c>
      <c r="CT297" s="380">
        <f>+CT296/Q_IS!CT245</f>
        <v>0.18531973526311404</v>
      </c>
      <c r="CU297" s="380">
        <f>+CU296/Q_IS!CU245</f>
        <v>0.18684052659387196</v>
      </c>
      <c r="CV297" s="380">
        <f>+CV296/Q_IS!CV245</f>
        <v>0.18650000000000008</v>
      </c>
      <c r="CW297" s="380">
        <f>+CW296/Q_IS!CW245</f>
        <v>0.19349999999999998</v>
      </c>
    </row>
    <row r="298" spans="1:101" s="9" customFormat="1" ht="11.25">
      <c r="A298" s="312"/>
      <c r="B298" s="345"/>
      <c r="C298" s="345"/>
      <c r="D298" s="345"/>
      <c r="E298" s="345"/>
      <c r="F298" s="345"/>
      <c r="G298" s="345"/>
      <c r="H298" s="345"/>
      <c r="I298" s="345"/>
      <c r="J298" s="345"/>
      <c r="K298" s="345"/>
      <c r="L298" s="345"/>
      <c r="M298" s="345"/>
      <c r="N298" s="345"/>
      <c r="O298" s="345"/>
      <c r="P298" s="345"/>
      <c r="Q298" s="345"/>
      <c r="R298" s="345"/>
      <c r="S298" s="345"/>
      <c r="T298" s="345"/>
      <c r="U298" s="345"/>
      <c r="V298" s="345"/>
      <c r="W298" s="345"/>
      <c r="X298" s="345"/>
      <c r="Y298" s="345"/>
      <c r="Z298" s="345"/>
      <c r="AA298" s="345"/>
      <c r="AB298" s="345"/>
      <c r="AC298" s="345"/>
      <c r="AD298" s="345"/>
      <c r="AE298" s="2167"/>
      <c r="AF298" s="345"/>
      <c r="AG298" s="345"/>
      <c r="AH298" s="345"/>
      <c r="AI298" s="345"/>
      <c r="AJ298" s="345"/>
      <c r="AK298" s="345"/>
      <c r="AL298" s="345"/>
      <c r="AM298" s="410"/>
      <c r="AN298" s="410"/>
      <c r="AO298" s="410"/>
      <c r="AP298" s="410"/>
      <c r="AQ298" s="410"/>
      <c r="AR298" s="410"/>
      <c r="AS298" s="410"/>
      <c r="AT298" s="1737"/>
      <c r="AU298" s="1737"/>
      <c r="AV298" s="1737"/>
      <c r="AW298" s="1737"/>
      <c r="AX298" s="1737"/>
      <c r="AY298" s="1737"/>
      <c r="AZ298" s="1737"/>
      <c r="BA298" s="1737"/>
      <c r="BB298" s="1737"/>
      <c r="BC298" s="1737"/>
      <c r="BD298" s="1737"/>
      <c r="BE298" s="1737"/>
      <c r="BF298" s="1737"/>
      <c r="BG298" s="1737"/>
      <c r="BH298" s="1737"/>
      <c r="BI298" s="1737"/>
      <c r="BJ298" s="1998"/>
      <c r="BK298" s="1998"/>
      <c r="BL298" s="1280"/>
      <c r="BM298" s="1280"/>
      <c r="BN298" s="1280"/>
      <c r="BO298" s="1280"/>
      <c r="BP298" s="984"/>
      <c r="BQ298" s="984"/>
      <c r="BR298" s="984"/>
      <c r="BS298" s="984"/>
      <c r="BT298" s="984"/>
      <c r="BU298" s="984"/>
      <c r="BV298" s="984"/>
      <c r="BW298" s="984"/>
      <c r="BX298" s="984"/>
      <c r="BY298" s="984"/>
      <c r="BZ298" s="984"/>
      <c r="CA298" s="984"/>
      <c r="CB298" s="984"/>
      <c r="CC298" s="984"/>
      <c r="CD298" s="984"/>
      <c r="CE298" s="984"/>
      <c r="CF298" s="984"/>
      <c r="CG298" s="984"/>
      <c r="CH298" s="984"/>
      <c r="CI298" s="984"/>
      <c r="CJ298" s="984"/>
      <c r="CK298" s="984"/>
      <c r="CL298" s="984"/>
      <c r="CM298" s="984"/>
      <c r="CN298" s="984"/>
      <c r="CO298" s="984"/>
      <c r="CP298" s="984"/>
      <c r="CQ298" s="984"/>
      <c r="CR298" s="984"/>
      <c r="CS298" s="984"/>
      <c r="CT298" s="984"/>
      <c r="CU298" s="984"/>
      <c r="CV298" s="984"/>
      <c r="CW298" s="984"/>
    </row>
    <row r="299" spans="1:101" s="9" customFormat="1" ht="11.25">
      <c r="A299" s="1278" t="s">
        <v>1212</v>
      </c>
      <c r="B299" s="1213"/>
      <c r="C299" s="1213">
        <v>0</v>
      </c>
      <c r="D299" s="1213">
        <v>0</v>
      </c>
      <c r="E299" s="1213">
        <v>0</v>
      </c>
      <c r="F299" s="1213">
        <v>0</v>
      </c>
      <c r="G299" s="1213">
        <v>0</v>
      </c>
      <c r="H299" s="1213">
        <v>0</v>
      </c>
      <c r="I299" s="1213">
        <v>0</v>
      </c>
      <c r="J299" s="1213">
        <v>0</v>
      </c>
      <c r="K299" s="1213">
        <v>0</v>
      </c>
      <c r="L299" s="1213">
        <v>0</v>
      </c>
      <c r="M299" s="1213">
        <v>0</v>
      </c>
      <c r="N299" s="1213">
        <v>0</v>
      </c>
      <c r="O299" s="1213">
        <v>0</v>
      </c>
      <c r="P299" s="1213">
        <v>0</v>
      </c>
      <c r="Q299" s="1213">
        <v>0</v>
      </c>
      <c r="R299" s="1213">
        <v>0</v>
      </c>
      <c r="S299" s="1213">
        <v>0</v>
      </c>
      <c r="T299" s="1213">
        <v>0</v>
      </c>
      <c r="U299" s="1213">
        <v>0</v>
      </c>
      <c r="V299" s="1213">
        <v>0</v>
      </c>
      <c r="W299" s="1213">
        <v>0</v>
      </c>
      <c r="X299" s="1213">
        <v>0</v>
      </c>
      <c r="Y299" s="1213">
        <v>0</v>
      </c>
      <c r="Z299" s="1213">
        <v>0</v>
      </c>
      <c r="AA299" s="1213">
        <v>0</v>
      </c>
      <c r="AB299" s="1213">
        <v>0</v>
      </c>
      <c r="AC299" s="1213">
        <v>0</v>
      </c>
      <c r="AD299" s="1213">
        <v>0</v>
      </c>
      <c r="AE299" s="2169">
        <v>0</v>
      </c>
      <c r="AF299" s="1213">
        <v>0</v>
      </c>
      <c r="AG299" s="1213">
        <v>0</v>
      </c>
      <c r="AH299" s="1213">
        <v>0</v>
      </c>
      <c r="AI299" s="1213">
        <v>0</v>
      </c>
      <c r="AJ299" s="1213">
        <v>0</v>
      </c>
      <c r="AK299" s="1213">
        <v>0</v>
      </c>
      <c r="AL299" s="1213">
        <v>0</v>
      </c>
      <c r="AM299" s="1213">
        <v>0</v>
      </c>
      <c r="AN299" s="1213">
        <v>0</v>
      </c>
      <c r="AO299" s="1213">
        <v>0</v>
      </c>
      <c r="AP299" s="1213">
        <f>IS!AQ55</f>
        <v>1203.95</v>
      </c>
      <c r="AQ299" s="1213">
        <f>IS!AR55</f>
        <v>1226.5409999999999</v>
      </c>
      <c r="AR299" s="1213">
        <f>IS!AS55</f>
        <v>1549.837</v>
      </c>
      <c r="AS299" s="1213">
        <f>IS!AT55</f>
        <v>969.06200000000001</v>
      </c>
      <c r="AT299" s="1748">
        <f>IS!AU55</f>
        <v>1268.42</v>
      </c>
      <c r="AU299" s="1748">
        <f>IS!AV55</f>
        <v>848.50099999999998</v>
      </c>
      <c r="AV299" s="1748">
        <f>IS!AW55</f>
        <v>1691.0920000000001</v>
      </c>
      <c r="AW299" s="1748">
        <f>IS!AX55</f>
        <v>1679.981</v>
      </c>
      <c r="AX299" s="1748">
        <f>IS!AY55</f>
        <v>1354.0550000000001</v>
      </c>
      <c r="AY299" s="1748">
        <f>IS!AZ55</f>
        <v>1317.7249999999999</v>
      </c>
      <c r="AZ299" s="1748">
        <f>IS!BA55</f>
        <v>1287.9570000000001</v>
      </c>
      <c r="BA299" s="1748">
        <f>IS!BB55</f>
        <v>1815.2449999999999</v>
      </c>
      <c r="BB299" s="1748">
        <f>IS!BC55</f>
        <v>1595.5150000000001</v>
      </c>
      <c r="BC299" s="1748">
        <f>IS!BD55</f>
        <v>1405.595</v>
      </c>
      <c r="BD299" s="1748">
        <f>IS!BE55</f>
        <v>1343.0450000000001</v>
      </c>
      <c r="BE299" s="1748">
        <f>IS!BF55</f>
        <v>881.13300000000004</v>
      </c>
      <c r="BF299" s="1748">
        <f>IS!BG55</f>
        <v>1379.963</v>
      </c>
      <c r="BG299" s="1748">
        <f>IS!BH55</f>
        <v>1265.1479999999999</v>
      </c>
      <c r="BH299" s="1748">
        <f>IS!BI55</f>
        <v>1225.2249999999999</v>
      </c>
      <c r="BI299" s="1748">
        <f>IS!BJ55</f>
        <v>1295.424</v>
      </c>
      <c r="BJ299" s="1748">
        <f>IS!BK55</f>
        <v>1146.106</v>
      </c>
      <c r="BK299" s="1685">
        <f>IS!BL55</f>
        <v>1245.4670000000001</v>
      </c>
      <c r="BL299" s="1214">
        <f t="shared" ref="BL299:CW299" si="1725">(+BL305-BL245-BL283-BL290)*-1</f>
        <v>1159.4386204786442</v>
      </c>
      <c r="BM299" s="1214">
        <f t="shared" si="1725"/>
        <v>1138.3873130499724</v>
      </c>
      <c r="BN299" s="1214">
        <f t="shared" si="1725"/>
        <v>1130.5208730760769</v>
      </c>
      <c r="BO299" s="1214">
        <f t="shared" si="1725"/>
        <v>1265.1310978806177</v>
      </c>
      <c r="BP299" s="1214">
        <f t="shared" si="1725"/>
        <v>1271.2875622353331</v>
      </c>
      <c r="BQ299" s="1214">
        <f t="shared" si="1725"/>
        <v>1216.0244476207172</v>
      </c>
      <c r="BR299" s="1214">
        <f t="shared" si="1725"/>
        <v>1206.7767022409698</v>
      </c>
      <c r="BS299" s="1214">
        <f t="shared" si="1725"/>
        <v>1322.4410255938001</v>
      </c>
      <c r="BT299" s="1214">
        <f t="shared" si="1725"/>
        <v>1325.6790267014003</v>
      </c>
      <c r="BU299" s="1214">
        <f t="shared" si="1725"/>
        <v>1264.5681001425492</v>
      </c>
      <c r="BV299" s="1214">
        <f t="shared" si="1725"/>
        <v>1252.1269624142133</v>
      </c>
      <c r="BW299" s="1214">
        <f t="shared" si="1725"/>
        <v>1367.593093811558</v>
      </c>
      <c r="BX299" s="1214">
        <f t="shared" si="1725"/>
        <v>1368.7384063187146</v>
      </c>
      <c r="BY299" s="1214">
        <f t="shared" si="1725"/>
        <v>1305.627464083087</v>
      </c>
      <c r="BZ299" s="1214">
        <f t="shared" si="1725"/>
        <v>1325.5498840880482</v>
      </c>
      <c r="CA299" s="1214">
        <f t="shared" si="1725"/>
        <v>1440.6388317494766</v>
      </c>
      <c r="CB299" s="1214">
        <f t="shared" si="1725"/>
        <v>1440.3019978178854</v>
      </c>
      <c r="CC299" s="1214">
        <f t="shared" si="1725"/>
        <v>1381.1133953354092</v>
      </c>
      <c r="CD299" s="1214">
        <f t="shared" si="1725"/>
        <v>1402.4809150825258</v>
      </c>
      <c r="CE299" s="1214">
        <f t="shared" si="1725"/>
        <v>1520.5602864213597</v>
      </c>
      <c r="CF299" s="1214">
        <f t="shared" si="1725"/>
        <v>1517.6474295094649</v>
      </c>
      <c r="CG299" s="1214">
        <f t="shared" si="1725"/>
        <v>1455.7183404106454</v>
      </c>
      <c r="CH299" s="1214">
        <f t="shared" si="1725"/>
        <v>1482.8059012842459</v>
      </c>
      <c r="CI299" s="1214">
        <f t="shared" si="1725"/>
        <v>1603.1686345110356</v>
      </c>
      <c r="CJ299" s="1214">
        <f t="shared" si="1725"/>
        <v>1596.7934196308488</v>
      </c>
      <c r="CK299" s="1214">
        <f t="shared" si="1725"/>
        <v>1531.0901083212811</v>
      </c>
      <c r="CL299" s="1214">
        <f t="shared" si="1725"/>
        <v>1564.6068231841182</v>
      </c>
      <c r="CM299" s="1214">
        <f t="shared" si="1725"/>
        <v>1688.1050340878264</v>
      </c>
      <c r="CN299" s="1214">
        <f t="shared" si="1725"/>
        <v>1678.7122061511054</v>
      </c>
      <c r="CO299" s="1214">
        <f t="shared" si="1725"/>
        <v>1609.6272379055863</v>
      </c>
      <c r="CP299" s="1214">
        <f t="shared" si="1725"/>
        <v>1650.4615562440122</v>
      </c>
      <c r="CQ299" s="1214">
        <f t="shared" si="1725"/>
        <v>1777.1669581389215</v>
      </c>
      <c r="CR299" s="1214">
        <f t="shared" si="1725"/>
        <v>1764.5796960728549</v>
      </c>
      <c r="CS299" s="1214">
        <f t="shared" si="1725"/>
        <v>1691.8691959246753</v>
      </c>
      <c r="CT299" s="1214">
        <f t="shared" si="1725"/>
        <v>1740.6997981921868</v>
      </c>
      <c r="CU299" s="1214">
        <f t="shared" si="1725"/>
        <v>1870.7758003342424</v>
      </c>
      <c r="CV299" s="1214">
        <f t="shared" si="1725"/>
        <v>1854.7258636904608</v>
      </c>
      <c r="CW299" s="1214">
        <f t="shared" si="1725"/>
        <v>1776.7390015881538</v>
      </c>
    </row>
    <row r="300" spans="1:101" s="9" customFormat="1" ht="11.25">
      <c r="A300" s="1641" t="s">
        <v>534</v>
      </c>
      <c r="B300" s="1642"/>
      <c r="C300" s="1642"/>
      <c r="D300" s="1642"/>
      <c r="E300" s="1642"/>
      <c r="F300" s="1642"/>
      <c r="G300" s="1642"/>
      <c r="H300" s="1642"/>
      <c r="I300" s="1642"/>
      <c r="J300" s="1642"/>
      <c r="K300" s="1642"/>
      <c r="L300" s="1642"/>
      <c r="M300" s="1642"/>
      <c r="N300" s="1642"/>
      <c r="O300" s="1642"/>
      <c r="P300" s="1642"/>
      <c r="Q300" s="1642"/>
      <c r="R300" s="1642"/>
      <c r="S300" s="1642"/>
      <c r="T300" s="1642"/>
      <c r="U300" s="1642" t="e">
        <f>-IF(#REF!=0,"NA",#REF!/U$245)</f>
        <v>#REF!</v>
      </c>
      <c r="V300" s="1642" t="e">
        <f>-IF(#REF!=0,"NA",#REF!/V$245)</f>
        <v>#REF!</v>
      </c>
      <c r="W300" s="1642" t="e">
        <f>-IF(#REF!=0,"NA",#REF!/W$245)</f>
        <v>#REF!</v>
      </c>
      <c r="X300" s="1642" t="e">
        <f>-IF(#REF!=0,"NA",#REF!/X$245)</f>
        <v>#REF!</v>
      </c>
      <c r="Y300" s="1642" t="e">
        <f>-IF(#REF!=0,"NA",#REF!/Y$245)</f>
        <v>#REF!</v>
      </c>
      <c r="Z300" s="1642" t="e">
        <f>-IF(#REF!=0,"NA",#REF!/Z$245)</f>
        <v>#REF!</v>
      </c>
      <c r="AA300" s="1642" t="e">
        <f>-IF(#REF!=0,"NA",#REF!/AA$245)</f>
        <v>#REF!</v>
      </c>
      <c r="AB300" s="1642" t="e">
        <f>-IF(#REF!=0,"NA",#REF!/AB$245)</f>
        <v>#REF!</v>
      </c>
      <c r="AC300" s="1642" t="e">
        <f>-IF(#REF!=0,"NA",#REF!/AC$245)</f>
        <v>#REF!</v>
      </c>
      <c r="AD300" s="1642"/>
      <c r="AE300" s="2170"/>
      <c r="AF300" s="1642"/>
      <c r="AG300" s="1642"/>
      <c r="AH300" s="1642"/>
      <c r="AI300" s="1642"/>
      <c r="AJ300" s="1642"/>
      <c r="AK300" s="1642"/>
      <c r="AL300" s="1642"/>
      <c r="AM300" s="1642"/>
      <c r="AN300" s="1642"/>
      <c r="AO300" s="1642"/>
      <c r="AP300" s="1277">
        <f t="shared" ref="AP300:BU300" si="1726">+AP299/AP245</f>
        <v>8.7939977450201559E-2</v>
      </c>
      <c r="AQ300" s="1277">
        <f t="shared" si="1726"/>
        <v>8.4121798806175652E-2</v>
      </c>
      <c r="AR300" s="1277">
        <f t="shared" si="1726"/>
        <v>0.1069554067055119</v>
      </c>
      <c r="AS300" s="1277">
        <f t="shared" si="1726"/>
        <v>6.2954731947261477E-2</v>
      </c>
      <c r="AT300" s="1277">
        <f t="shared" si="1726"/>
        <v>0.10478402060620781</v>
      </c>
      <c r="AU300" s="1277">
        <f t="shared" si="1726"/>
        <v>0.16324305563705407</v>
      </c>
      <c r="AV300" s="1277">
        <f t="shared" si="1726"/>
        <v>0.17089474244804567</v>
      </c>
      <c r="AW300" s="1277">
        <f t="shared" si="1726"/>
        <v>0.14870991801918981</v>
      </c>
      <c r="AX300" s="1277">
        <f t="shared" si="1726"/>
        <v>0.13259821025148177</v>
      </c>
      <c r="AY300" s="1277">
        <f t="shared" si="1726"/>
        <v>0.10560921181454293</v>
      </c>
      <c r="AZ300" s="1277">
        <f t="shared" si="1726"/>
        <v>9.2271931882700414E-2</v>
      </c>
      <c r="BA300" s="1277">
        <f t="shared" si="1726"/>
        <v>0.10848869527050738</v>
      </c>
      <c r="BB300" s="1277">
        <f t="shared" si="1726"/>
        <v>0.10477389506935599</v>
      </c>
      <c r="BC300" s="1277">
        <f t="shared" si="1726"/>
        <v>8.2979182871751128E-2</v>
      </c>
      <c r="BD300" s="1277">
        <f t="shared" si="1726"/>
        <v>7.6665801279767951E-2</v>
      </c>
      <c r="BE300" s="1277">
        <f t="shared" si="1726"/>
        <v>4.6022193451231257E-2</v>
      </c>
      <c r="BF300" s="1277">
        <f t="shared" si="1726"/>
        <v>7.8115621805417021E-2</v>
      </c>
      <c r="BG300" s="1277">
        <f t="shared" si="1726"/>
        <v>6.6766887962013716E-2</v>
      </c>
      <c r="BH300" s="1277">
        <f t="shared" si="1726"/>
        <v>6.2928948954939543E-2</v>
      </c>
      <c r="BI300" s="1277">
        <f t="shared" si="1726"/>
        <v>6.4299585048523844E-2</v>
      </c>
      <c r="BJ300" s="1277">
        <f t="shared" si="1726"/>
        <v>6.2963073649874621E-2</v>
      </c>
      <c r="BK300" s="1386">
        <f t="shared" ref="BK300" si="1727">+BK299/BK245</f>
        <v>6.4686005394919435E-2</v>
      </c>
      <c r="BL300" s="1277">
        <f t="shared" si="1726"/>
        <v>5.7660647616990648E-2</v>
      </c>
      <c r="BM300" s="1277">
        <f t="shared" si="1726"/>
        <v>5.4249752984284486E-2</v>
      </c>
      <c r="BN300" s="1277">
        <f t="shared" si="1726"/>
        <v>5.6777022740324694E-2</v>
      </c>
      <c r="BO300" s="1277">
        <f t="shared" si="1726"/>
        <v>5.9080408435650766E-2</v>
      </c>
      <c r="BP300" s="1277">
        <f t="shared" si="1726"/>
        <v>5.7890883819936963E-2</v>
      </c>
      <c r="BQ300" s="1277">
        <f t="shared" si="1726"/>
        <v>5.353254191330542E-2</v>
      </c>
      <c r="BR300" s="1277">
        <f t="shared" si="1726"/>
        <v>5.6242289017696553E-2</v>
      </c>
      <c r="BS300" s="1277">
        <f t="shared" si="1726"/>
        <v>5.795745242471545E-2</v>
      </c>
      <c r="BT300" s="1277">
        <f t="shared" si="1726"/>
        <v>5.6664353540489272E-2</v>
      </c>
      <c r="BU300" s="1277">
        <f t="shared" si="1726"/>
        <v>5.2270995351279506E-2</v>
      </c>
      <c r="BV300" s="1277">
        <f t="shared" ref="BV300:CW300" si="1728">+BV299/BV245</f>
        <v>5.5061062829613872E-2</v>
      </c>
      <c r="BW300" s="1277">
        <f t="shared" si="1728"/>
        <v>5.6644692066259807E-2</v>
      </c>
      <c r="BX300" s="1277">
        <f t="shared" si="1728"/>
        <v>5.5271321852903024E-2</v>
      </c>
      <c r="BY300" s="1277">
        <f t="shared" si="1728"/>
        <v>5.0932284040648375E-2</v>
      </c>
      <c r="BZ300" s="1277">
        <f t="shared" si="1728"/>
        <v>5.5365472365536079E-2</v>
      </c>
      <c r="CA300" s="1277">
        <f t="shared" si="1728"/>
        <v>5.6736619445598671E-2</v>
      </c>
      <c r="CB300" s="1277">
        <f t="shared" si="1728"/>
        <v>5.5262493963022144E-2</v>
      </c>
      <c r="CC300" s="1277">
        <f t="shared" si="1728"/>
        <v>5.1126759715215346E-2</v>
      </c>
      <c r="CD300" s="1277">
        <f t="shared" si="1728"/>
        <v>5.5651850732407547E-2</v>
      </c>
      <c r="CE300" s="1277">
        <f t="shared" si="1728"/>
        <v>5.6951978476687717E-2</v>
      </c>
      <c r="CF300" s="1277">
        <f t="shared" si="1728"/>
        <v>5.5340609775993484E-2</v>
      </c>
      <c r="CG300" s="1277">
        <f t="shared" si="1728"/>
        <v>5.1151402204642912E-2</v>
      </c>
      <c r="CH300" s="1277">
        <f t="shared" si="1728"/>
        <v>5.5927387533146675E-2</v>
      </c>
      <c r="CI300" s="1277">
        <f t="shared" si="1728"/>
        <v>5.7158715871071013E-2</v>
      </c>
      <c r="CJ300" s="1277">
        <f t="shared" si="1728"/>
        <v>5.5413936937270696E-2</v>
      </c>
      <c r="CK300" s="1277">
        <f t="shared" si="1728"/>
        <v>5.1174231981662655E-2</v>
      </c>
      <c r="CL300" s="1277">
        <f t="shared" si="1728"/>
        <v>5.6210994165318134E-2</v>
      </c>
      <c r="CM300" s="1277">
        <f t="shared" si="1728"/>
        <v>5.7383167879198914E-2</v>
      </c>
      <c r="CN300" s="1277">
        <f t="shared" si="1728"/>
        <v>5.5502586250844935E-2</v>
      </c>
      <c r="CO300" s="1277">
        <f t="shared" si="1728"/>
        <v>5.1198374820846555E-2</v>
      </c>
      <c r="CP300" s="1277">
        <f t="shared" si="1728"/>
        <v>5.6487012077733156E-2</v>
      </c>
      <c r="CQ300" s="1277">
        <f t="shared" si="1728"/>
        <v>5.7602534537587499E-2</v>
      </c>
      <c r="CR300" s="1277">
        <f t="shared" si="1728"/>
        <v>5.5587868354077717E-2</v>
      </c>
      <c r="CS300" s="1277">
        <f t="shared" si="1728"/>
        <v>5.121751148087994E-2</v>
      </c>
      <c r="CT300" s="1277">
        <f t="shared" si="1728"/>
        <v>5.6758194107639076E-2</v>
      </c>
      <c r="CU300" s="1277">
        <f t="shared" si="1728"/>
        <v>5.7823660753787344E-2</v>
      </c>
      <c r="CV300" s="1277">
        <f t="shared" si="1728"/>
        <v>5.5677813723108607E-2</v>
      </c>
      <c r="CW300" s="1277">
        <f t="shared" si="1728"/>
        <v>5.1228196768233883E-2</v>
      </c>
    </row>
    <row r="301" spans="1:101" s="9" customFormat="1" ht="11.25">
      <c r="A301" s="312"/>
      <c r="B301" s="345"/>
      <c r="C301" s="345"/>
      <c r="D301" s="345"/>
      <c r="E301" s="345"/>
      <c r="F301" s="345"/>
      <c r="G301" s="345"/>
      <c r="H301" s="345"/>
      <c r="I301" s="345"/>
      <c r="J301" s="345"/>
      <c r="K301" s="345"/>
      <c r="L301" s="345"/>
      <c r="M301" s="345"/>
      <c r="N301" s="345"/>
      <c r="O301" s="345"/>
      <c r="P301" s="345"/>
      <c r="Q301" s="345"/>
      <c r="R301" s="345"/>
      <c r="S301" s="345"/>
      <c r="T301" s="345"/>
      <c r="U301" s="345"/>
      <c r="V301" s="345"/>
      <c r="W301" s="345"/>
      <c r="X301" s="345"/>
      <c r="Y301" s="345"/>
      <c r="Z301" s="345"/>
      <c r="AA301" s="345"/>
      <c r="AB301" s="345"/>
      <c r="AC301" s="345"/>
      <c r="AD301" s="345"/>
      <c r="AE301" s="2167"/>
      <c r="AF301" s="345"/>
      <c r="AG301" s="345"/>
      <c r="AH301" s="345"/>
      <c r="AI301" s="345"/>
      <c r="AJ301" s="345"/>
      <c r="AK301" s="345"/>
      <c r="AL301" s="345"/>
      <c r="AM301" s="410"/>
      <c r="AN301" s="410"/>
      <c r="AO301" s="410"/>
      <c r="AP301" s="410"/>
      <c r="AQ301" s="410"/>
      <c r="AR301" s="410"/>
      <c r="AS301" s="410"/>
      <c r="AT301" s="1737"/>
      <c r="AU301" s="1737"/>
      <c r="AV301" s="1737"/>
      <c r="AW301" s="1737"/>
      <c r="AX301" s="1737"/>
      <c r="AY301" s="1737"/>
      <c r="AZ301" s="1737"/>
      <c r="BA301" s="1737"/>
      <c r="BB301" s="1737"/>
      <c r="BC301" s="1737"/>
      <c r="BD301" s="1737"/>
      <c r="BE301" s="1737"/>
      <c r="BF301" s="1737"/>
      <c r="BG301" s="1737"/>
      <c r="BH301" s="1737"/>
      <c r="BI301" s="1737"/>
      <c r="BJ301" s="1737"/>
      <c r="BK301" s="1684"/>
      <c r="BL301" s="984"/>
      <c r="BM301" s="984"/>
      <c r="BN301" s="984"/>
      <c r="BO301" s="984"/>
      <c r="BP301" s="984"/>
      <c r="BQ301" s="984"/>
      <c r="BR301" s="984"/>
      <c r="BS301" s="984"/>
      <c r="BT301" s="984"/>
      <c r="BU301" s="984"/>
      <c r="BV301" s="984"/>
      <c r="BW301" s="984"/>
      <c r="BX301" s="984"/>
      <c r="BY301" s="984"/>
      <c r="BZ301" s="984"/>
      <c r="CA301" s="984"/>
      <c r="CB301" s="984"/>
      <c r="CC301" s="984"/>
      <c r="CD301" s="984"/>
      <c r="CE301" s="984"/>
      <c r="CF301" s="984"/>
      <c r="CG301" s="984"/>
      <c r="CH301" s="984"/>
      <c r="CI301" s="984"/>
      <c r="CJ301" s="984"/>
      <c r="CK301" s="984"/>
      <c r="CL301" s="984"/>
      <c r="CM301" s="984"/>
      <c r="CN301" s="984"/>
      <c r="CO301" s="984"/>
      <c r="CP301" s="984"/>
      <c r="CQ301" s="984"/>
      <c r="CR301" s="984"/>
      <c r="CS301" s="984"/>
      <c r="CT301" s="984"/>
      <c r="CU301" s="984"/>
      <c r="CV301" s="984"/>
      <c r="CW301" s="984"/>
    </row>
    <row r="302" spans="1:101" s="9" customFormat="1" ht="11.25">
      <c r="A302" s="1212" t="s">
        <v>1244</v>
      </c>
      <c r="B302" s="1213">
        <f t="shared" ref="B302:AG302" si="1729">+B296-B299</f>
        <v>173.76999999999998</v>
      </c>
      <c r="C302" s="1213">
        <f t="shared" si="1729"/>
        <v>190.00599999999986</v>
      </c>
      <c r="D302" s="1213">
        <f t="shared" si="1729"/>
        <v>237.23299999999972</v>
      </c>
      <c r="E302" s="1213">
        <f t="shared" si="1729"/>
        <v>399.22699999999986</v>
      </c>
      <c r="F302" s="1213">
        <f t="shared" si="1729"/>
        <v>223.70600000000013</v>
      </c>
      <c r="G302" s="1213">
        <f t="shared" si="1729"/>
        <v>253.53999999999996</v>
      </c>
      <c r="H302" s="1213">
        <f t="shared" si="1729"/>
        <v>237.52099999999996</v>
      </c>
      <c r="I302" s="1213">
        <f t="shared" si="1729"/>
        <v>283.86399999999981</v>
      </c>
      <c r="J302" s="1213">
        <f t="shared" si="1729"/>
        <v>227.35200000000009</v>
      </c>
      <c r="K302" s="1213">
        <f t="shared" si="1729"/>
        <v>310.75700000000029</v>
      </c>
      <c r="L302" s="1213">
        <f t="shared" si="1729"/>
        <v>284.21600000000012</v>
      </c>
      <c r="M302" s="1213">
        <f t="shared" si="1729"/>
        <v>292.52199999999993</v>
      </c>
      <c r="N302" s="1213">
        <f t="shared" si="1729"/>
        <v>285.25699999999983</v>
      </c>
      <c r="O302" s="1213">
        <f t="shared" si="1729"/>
        <v>431.18499999999972</v>
      </c>
      <c r="P302" s="1213">
        <f t="shared" si="1729"/>
        <v>412.52399999999989</v>
      </c>
      <c r="Q302" s="1213">
        <f t="shared" si="1729"/>
        <v>479.09899999999993</v>
      </c>
      <c r="R302" s="1213">
        <f t="shared" si="1729"/>
        <v>373.4670000000001</v>
      </c>
      <c r="S302" s="1213">
        <f t="shared" si="1729"/>
        <v>505.00700000000006</v>
      </c>
      <c r="T302" s="1213">
        <f t="shared" si="1729"/>
        <v>545.93199999999979</v>
      </c>
      <c r="U302" s="1213">
        <f t="shared" si="1729"/>
        <v>614.31600000000026</v>
      </c>
      <c r="V302" s="1213">
        <f t="shared" si="1729"/>
        <v>423.75300000000016</v>
      </c>
      <c r="W302" s="1213">
        <f t="shared" si="1729"/>
        <v>618.3119999999999</v>
      </c>
      <c r="X302" s="1213">
        <f t="shared" si="1729"/>
        <v>705.71200000000044</v>
      </c>
      <c r="Y302" s="1213">
        <f t="shared" si="1729"/>
        <v>1045.3149999999996</v>
      </c>
      <c r="Z302" s="1213">
        <f t="shared" si="1729"/>
        <v>850.23400000000129</v>
      </c>
      <c r="AA302" s="1213">
        <f t="shared" si="1729"/>
        <v>997.69999999999982</v>
      </c>
      <c r="AB302" s="1213">
        <f t="shared" si="1729"/>
        <v>1086.9549999999999</v>
      </c>
      <c r="AC302" s="1213">
        <f t="shared" si="1729"/>
        <v>1366.8399999999992</v>
      </c>
      <c r="AD302" s="1213">
        <f t="shared" si="1729"/>
        <v>1035.1620000000003</v>
      </c>
      <c r="AE302" s="2169">
        <f t="shared" si="1729"/>
        <v>1223.0079999999989</v>
      </c>
      <c r="AF302" s="1213">
        <f t="shared" si="1729"/>
        <v>1327.723</v>
      </c>
      <c r="AG302" s="1213">
        <f t="shared" si="1729"/>
        <v>1569.3450000000003</v>
      </c>
      <c r="AH302" s="1213">
        <f t="shared" ref="AH302:BB302" si="1730">+AH296-AH299</f>
        <v>1287.1059999999998</v>
      </c>
      <c r="AI302" s="1213">
        <f t="shared" si="1730"/>
        <v>1406.4710000000005</v>
      </c>
      <c r="AJ302" s="1213">
        <f t="shared" si="1730"/>
        <v>1414.860999999999</v>
      </c>
      <c r="AK302" s="1213">
        <f t="shared" si="1730"/>
        <v>2357.8060000000005</v>
      </c>
      <c r="AL302" s="1213">
        <f t="shared" si="1730"/>
        <v>1427.924</v>
      </c>
      <c r="AM302" s="1213">
        <f t="shared" si="1730"/>
        <v>1578.8879999999999</v>
      </c>
      <c r="AN302" s="1213">
        <f t="shared" si="1730"/>
        <v>1536.9350000000004</v>
      </c>
      <c r="AO302" s="1213">
        <f t="shared" si="1730"/>
        <v>1864.5699999999988</v>
      </c>
      <c r="AP302" s="1213">
        <f t="shared" si="1730"/>
        <v>1543.943</v>
      </c>
      <c r="AQ302" s="1213">
        <f t="shared" si="1730"/>
        <v>1834.9660000000015</v>
      </c>
      <c r="AR302" s="1213">
        <f t="shared" si="1730"/>
        <v>1919.4199999999987</v>
      </c>
      <c r="AS302" s="1213">
        <f t="shared" si="1730"/>
        <v>2369.8399999999992</v>
      </c>
      <c r="AT302" s="1748">
        <f t="shared" si="1730"/>
        <v>1226.6309999999994</v>
      </c>
      <c r="AU302" s="1748">
        <f t="shared" si="1730"/>
        <v>-1751.5030000000004</v>
      </c>
      <c r="AV302" s="1748">
        <f t="shared" si="1730"/>
        <v>416.38599999999906</v>
      </c>
      <c r="AW302" s="1748">
        <f t="shared" si="1730"/>
        <v>1545.2279999999998</v>
      </c>
      <c r="AX302" s="1748">
        <f t="shared" si="1730"/>
        <v>690.673</v>
      </c>
      <c r="AY302" s="1748">
        <f t="shared" si="1730"/>
        <v>1530.3399999999997</v>
      </c>
      <c r="AZ302" s="1748">
        <f t="shared" si="1730"/>
        <v>1856.3349999999994</v>
      </c>
      <c r="BA302" s="1748">
        <f t="shared" si="1730"/>
        <v>2458.9390000000003</v>
      </c>
      <c r="BB302" s="1748">
        <f t="shared" si="1730"/>
        <v>1862.1709999999996</v>
      </c>
      <c r="BC302" s="1748">
        <f t="shared" ref="BC302:BG302" si="1731">+BC296-BC299</f>
        <v>2221.8789999999999</v>
      </c>
      <c r="BD302" s="1748">
        <f t="shared" si="1731"/>
        <v>2134.7519999999986</v>
      </c>
      <c r="BE302" s="1748">
        <f t="shared" si="1731"/>
        <v>2605.7039999999997</v>
      </c>
      <c r="BF302" s="1748">
        <f t="shared" si="1731"/>
        <v>2304.4430000000002</v>
      </c>
      <c r="BG302" s="1748">
        <f t="shared" si="1731"/>
        <v>2574.3399999999992</v>
      </c>
      <c r="BH302" s="1748">
        <f t="shared" ref="BH302" si="1732">+BH296-BH299</f>
        <v>2705.5589999999979</v>
      </c>
      <c r="BI302" s="1748">
        <f t="shared" ref="BI302" si="1733">+BI296-BI299</f>
        <v>3210.2869999999994</v>
      </c>
      <c r="BJ302" s="1748">
        <f t="shared" ref="BJ302" si="1734">+BJ296-BJ299</f>
        <v>2589.1290000000008</v>
      </c>
      <c r="BK302" s="1685">
        <f t="shared" ref="BK302" si="1735">+BK296-BK299</f>
        <v>2746.6760000000017</v>
      </c>
      <c r="BL302" s="1214">
        <f t="shared" ref="BL302:CW302" si="1736">BL305+BL293</f>
        <v>2711.3457648214599</v>
      </c>
      <c r="BM302" s="1214">
        <f t="shared" si="1736"/>
        <v>3047.9592868923364</v>
      </c>
      <c r="BN302" s="1214">
        <f t="shared" si="1736"/>
        <v>2678.9595066114539</v>
      </c>
      <c r="BO302" s="1214">
        <f t="shared" si="1736"/>
        <v>2864.3012060836904</v>
      </c>
      <c r="BP302" s="1214">
        <f t="shared" si="1736"/>
        <v>2956.0249191474786</v>
      </c>
      <c r="BQ302" s="1214">
        <f t="shared" si="1736"/>
        <v>3315.7401320103509</v>
      </c>
      <c r="BR302" s="1214">
        <f t="shared" si="1736"/>
        <v>2898.3229163359015</v>
      </c>
      <c r="BS302" s="1214">
        <f t="shared" si="1736"/>
        <v>3077.6872253176816</v>
      </c>
      <c r="BT302" s="1214">
        <f t="shared" si="1736"/>
        <v>3177.914444239238</v>
      </c>
      <c r="BU302" s="1214">
        <f t="shared" si="1736"/>
        <v>3561.8434553103189</v>
      </c>
      <c r="BV302" s="1214">
        <f t="shared" si="1736"/>
        <v>3098.6172232946756</v>
      </c>
      <c r="BW302" s="1214">
        <f t="shared" si="1736"/>
        <v>3288.2248258669479</v>
      </c>
      <c r="BX302" s="1214">
        <f t="shared" si="1736"/>
        <v>3398.3294759652304</v>
      </c>
      <c r="BY302" s="1214">
        <f t="shared" si="1736"/>
        <v>3808.47028336323</v>
      </c>
      <c r="BZ302" s="1214">
        <f t="shared" si="1736"/>
        <v>3111.3408910037851</v>
      </c>
      <c r="CA302" s="1214">
        <f t="shared" si="1736"/>
        <v>3303.5584888847479</v>
      </c>
      <c r="CB302" s="1214">
        <f t="shared" si="1736"/>
        <v>3420.4327126491276</v>
      </c>
      <c r="CC302" s="1214">
        <f t="shared" si="1736"/>
        <v>3846.001397113866</v>
      </c>
      <c r="CD302" s="1214">
        <f t="shared" si="1736"/>
        <v>3267.7571538072943</v>
      </c>
      <c r="CE302" s="1214">
        <f t="shared" si="1736"/>
        <v>3467.8930075934913</v>
      </c>
      <c r="CF302" s="1214">
        <f t="shared" si="1736"/>
        <v>3596.8832334016115</v>
      </c>
      <c r="CG302" s="1214">
        <f t="shared" si="1736"/>
        <v>4051.1003728384749</v>
      </c>
      <c r="CH302" s="1214">
        <f t="shared" si="1736"/>
        <v>3430.5864310451902</v>
      </c>
      <c r="CI302" s="1214">
        <f t="shared" si="1736"/>
        <v>3637.2722558418091</v>
      </c>
      <c r="CJ302" s="1214">
        <f t="shared" si="1736"/>
        <v>3777.3414861469</v>
      </c>
      <c r="CK302" s="1214">
        <f t="shared" si="1736"/>
        <v>4258.267630673794</v>
      </c>
      <c r="CL302" s="1214">
        <f t="shared" si="1736"/>
        <v>3593.6816321060364</v>
      </c>
      <c r="CM302" s="1214">
        <f t="shared" si="1736"/>
        <v>3808.392373979962</v>
      </c>
      <c r="CN302" s="1214">
        <f t="shared" si="1736"/>
        <v>3962.1028908645799</v>
      </c>
      <c r="CO302" s="1214">
        <f t="shared" si="1736"/>
        <v>4473.8250518321729</v>
      </c>
      <c r="CP302" s="1214">
        <f t="shared" si="1736"/>
        <v>3764.2893292193903</v>
      </c>
      <c r="CQ302" s="1214">
        <f t="shared" si="1736"/>
        <v>3987.2809601594399</v>
      </c>
      <c r="CR302" s="1214">
        <f t="shared" si="1736"/>
        <v>4155.6709460521242</v>
      </c>
      <c r="CS302" s="1214">
        <f t="shared" si="1736"/>
        <v>4700.0206078905321</v>
      </c>
      <c r="CT302" s="1214">
        <f t="shared" si="1736"/>
        <v>3942.8148175435417</v>
      </c>
      <c r="CU302" s="1214">
        <f t="shared" si="1736"/>
        <v>4174.0980647405877</v>
      </c>
      <c r="CV302" s="1214">
        <f t="shared" si="1736"/>
        <v>4357.9170266805295</v>
      </c>
      <c r="CW302" s="1214">
        <f t="shared" si="1736"/>
        <v>4934.3892148259392</v>
      </c>
    </row>
    <row r="303" spans="1:101" s="9" customFormat="1" ht="11.25">
      <c r="A303" s="1276" t="s">
        <v>288</v>
      </c>
      <c r="B303" s="1213"/>
      <c r="C303" s="1213"/>
      <c r="D303" s="1213"/>
      <c r="E303" s="1213"/>
      <c r="F303" s="1213"/>
      <c r="G303" s="1213"/>
      <c r="H303" s="1213"/>
      <c r="I303" s="1213"/>
      <c r="J303" s="1213"/>
      <c r="K303" s="1213"/>
      <c r="L303" s="1213"/>
      <c r="M303" s="1213"/>
      <c r="N303" s="1213"/>
      <c r="O303" s="1213"/>
      <c r="P303" s="1213"/>
      <c r="Q303" s="1213"/>
      <c r="R303" s="1213"/>
      <c r="S303" s="1213"/>
      <c r="T303" s="1213"/>
      <c r="U303" s="1213">
        <f>+U302/Q_IS!U245</f>
        <v>0.13927064707814715</v>
      </c>
      <c r="V303" s="1213">
        <f>+V302/Q_IS!V245</f>
        <v>0.10614959384133814</v>
      </c>
      <c r="W303" s="1213">
        <f>+W302/Q_IS!W245</f>
        <v>0.11883014825517368</v>
      </c>
      <c r="X303" s="1213">
        <f>+X302/Q_IS!X245</f>
        <v>0.12377982824766567</v>
      </c>
      <c r="Y303" s="1213">
        <f>+Y302/Q_IS!Y245</f>
        <v>0.13225902202859877</v>
      </c>
      <c r="Z303" s="1213">
        <f>+Z302/Q_IS!Z245</f>
        <v>0.11576891477041734</v>
      </c>
      <c r="AA303" s="1213">
        <f>+AA302/Q_IS!AA245</f>
        <v>0.12853742014562847</v>
      </c>
      <c r="AB303" s="1213">
        <f>+AB302/Q_IS!AB245</f>
        <v>0.13216264240901496</v>
      </c>
      <c r="AC303" s="1213">
        <f>+AC302/Q_IS!AC245</f>
        <v>0.15258612971495533</v>
      </c>
      <c r="AD303" s="1277">
        <f>+AD302/Q_IS!AD245</f>
        <v>0.12128776907610761</v>
      </c>
      <c r="AE303" s="2171">
        <f>+AE302/Q_IS!AE245</f>
        <v>0.13490693578162991</v>
      </c>
      <c r="AF303" s="1277">
        <f>+AF302/Q_IS!AF245</f>
        <v>0.13827590214688965</v>
      </c>
      <c r="AG303" s="1277">
        <f>+AG302/Q_IS!AG245</f>
        <v>0.14946776315758145</v>
      </c>
      <c r="AH303" s="1277">
        <f>+AH302/Q_IS!AH245</f>
        <v>0.12752158870689687</v>
      </c>
      <c r="AI303" s="1277">
        <f>+AI302/Q_IS!AI245</f>
        <v>0.13596444376732039</v>
      </c>
      <c r="AJ303" s="1277">
        <f>+AJ302/Q_IS!AJ245</f>
        <v>0.13506569801841534</v>
      </c>
      <c r="AK303" s="1277">
        <f>+AK302/Q_IS!AK245</f>
        <v>0.20297699990117191</v>
      </c>
      <c r="AL303" s="1277">
        <f>+AL302/Q_IS!AL245</f>
        <v>0.12887557745514047</v>
      </c>
      <c r="AM303" s="1277">
        <f>+AM302/Q_IS!AM245</f>
        <v>0.13940990549827875</v>
      </c>
      <c r="AN303" s="1277">
        <f>+AN302/Q_IS!AN245</f>
        <v>0.13511046120943837</v>
      </c>
      <c r="AO303" s="1277">
        <f>+AO302/Q_IS!AO245</f>
        <v>0.15066231560214738</v>
      </c>
      <c r="AP303" s="1277">
        <f>+AP302/Q_IS!AP245</f>
        <v>0.11277404593579181</v>
      </c>
      <c r="AQ303" s="1277">
        <f>+AQ302/Q_IS!AQ245</f>
        <v>0.12585037162897372</v>
      </c>
      <c r="AR303" s="1277">
        <f>+AR302/Q_IS!AR245</f>
        <v>0.13246060504342941</v>
      </c>
      <c r="AS303" s="1277">
        <f>+AS302/Q_IS!AS245</f>
        <v>0.1539557241517035</v>
      </c>
      <c r="AT303" s="1277">
        <f>+AT302/Q_IS!AT245</f>
        <v>0.10133183644235602</v>
      </c>
      <c r="AU303" s="1277">
        <f>+AU302/Q_IS!AU245</f>
        <v>-0.33697155533990786</v>
      </c>
      <c r="AV303" s="1277">
        <f>+AV302/Q_IS!AV245</f>
        <v>4.2078241886882431E-2</v>
      </c>
      <c r="AW303" s="1277">
        <f>+AW302/Q_IS!AW245</f>
        <v>0.13678174288932829</v>
      </c>
      <c r="AX303" s="1277">
        <f>+AX302/Q_IS!AX245</f>
        <v>6.7635364641038712E-2</v>
      </c>
      <c r="AY303" s="1277">
        <f>+AY302/Q_IS!AY245</f>
        <v>0.12264926385115832</v>
      </c>
      <c r="AZ303" s="1277">
        <f>+AZ302/Q_IS!AZ245</f>
        <v>0.13299171996539683</v>
      </c>
      <c r="BA303" s="1277">
        <f>+BA302/Q_IS!BA245</f>
        <v>0.1469592720871101</v>
      </c>
      <c r="BB303" s="1277">
        <f>+BB302/Q_IS!BB245</f>
        <v>0.12228459710826765</v>
      </c>
      <c r="BC303" s="1277">
        <f>+BC302/Q_IS!BC245</f>
        <v>0.13116844031168545</v>
      </c>
      <c r="BD303" s="1277">
        <f>+BD302/Q_IS!BD245</f>
        <v>0.12185926206015961</v>
      </c>
      <c r="BE303" s="1277">
        <f>+BE302/Q_IS!BE245</f>
        <v>0.13609774411427908</v>
      </c>
      <c r="BF303" s="1277">
        <f>+BF302/Q_IS!BF245</f>
        <v>0.13044769885869451</v>
      </c>
      <c r="BG303" s="1277">
        <f>+BG302/Q_IS!BG245</f>
        <v>0.13585815284546182</v>
      </c>
      <c r="BH303" s="1277">
        <f>+BH302/Q_IS!BH245</f>
        <v>0.13896058618260088</v>
      </c>
      <c r="BI303" s="1277">
        <f>+BI302/Q_IS!BI245</f>
        <v>0.15934560575276546</v>
      </c>
      <c r="BJ303" s="1277">
        <f>+BJ302/Q_IS!BJ245</f>
        <v>0.14223773360930514</v>
      </c>
      <c r="BK303" s="1386">
        <f>+BK302/Q_IS!BK245</f>
        <v>0.14265452119895256</v>
      </c>
      <c r="BL303" s="1277">
        <f>+BL302/Q_IS!BL245</f>
        <v>0.1348393523830094</v>
      </c>
      <c r="BM303" s="1277">
        <f>+BM302/Q_IS!BM245</f>
        <v>0.14525024701571551</v>
      </c>
      <c r="BN303" s="1277">
        <f>+BN302/Q_IS!BN245</f>
        <v>0.13454271252278943</v>
      </c>
      <c r="BO303" s="1277">
        <f>+BO302/Q_IS!BO245</f>
        <v>0.1337601181582212</v>
      </c>
      <c r="BP303" s="1277">
        <f>+BP302/Q_IS!BP245</f>
        <v>0.13460911618006316</v>
      </c>
      <c r="BQ303" s="1277">
        <f>+BQ302/Q_IS!BQ245</f>
        <v>0.14596745808669459</v>
      </c>
      <c r="BR303" s="1277">
        <f>+BR302/Q_IS!BR245</f>
        <v>0.13507744624541759</v>
      </c>
      <c r="BS303" s="1277">
        <f>+BS302/Q_IS!BS245</f>
        <v>0.13488307416915657</v>
      </c>
      <c r="BT303" s="1277">
        <f>+BT302/Q_IS!BT245</f>
        <v>0.13583564645951071</v>
      </c>
      <c r="BU303" s="1277">
        <f>+BU302/Q_IS!BU245</f>
        <v>0.14722900464872049</v>
      </c>
      <c r="BV303" s="1277">
        <f>+BV302/Q_IS!BV245</f>
        <v>0.13625867243350012</v>
      </c>
      <c r="BW303" s="1277">
        <f>+BW302/Q_IS!BW245</f>
        <v>0.13619583452761211</v>
      </c>
      <c r="BX303" s="1277">
        <f>+BX302/Q_IS!BX245</f>
        <v>0.13722867814709711</v>
      </c>
      <c r="BY303" s="1277">
        <f>+BY302/Q_IS!BY245</f>
        <v>0.14856771595935162</v>
      </c>
      <c r="BZ303" s="1277">
        <f>+BZ302/Q_IS!BZ245</f>
        <v>0.12995426289757814</v>
      </c>
      <c r="CA303" s="1277">
        <f>+CA302/Q_IS!CA245</f>
        <v>0.13010390714827338</v>
      </c>
      <c r="CB303" s="1277">
        <f>+CB302/Q_IS!CB245</f>
        <v>0.13123750603697776</v>
      </c>
      <c r="CC303" s="1277">
        <f>+CC302/Q_IS!CC245</f>
        <v>0.14237324028478476</v>
      </c>
      <c r="CD303" s="1277">
        <f>+CD302/Q_IS!CD245</f>
        <v>0.12966788453070643</v>
      </c>
      <c r="CE303" s="1277">
        <f>+CE302/Q_IS!CE245</f>
        <v>0.12988854811718431</v>
      </c>
      <c r="CF303" s="1277">
        <f>+CF302/Q_IS!CF245</f>
        <v>0.13115939022400647</v>
      </c>
      <c r="CG303" s="1277">
        <f>+CG302/Q_IS!CG245</f>
        <v>0.14234859779535711</v>
      </c>
      <c r="CH303" s="1277">
        <f>+CH302/Q_IS!CH245</f>
        <v>0.12939234772996744</v>
      </c>
      <c r="CI303" s="1277">
        <f>+CI302/Q_IS!CI245</f>
        <v>0.12968181072280102</v>
      </c>
      <c r="CJ303" s="1277">
        <f>+CJ302/Q_IS!CJ245</f>
        <v>0.13108606306272935</v>
      </c>
      <c r="CK303" s="1277">
        <f>+CK302/Q_IS!CK245</f>
        <v>0.14232576801833738</v>
      </c>
      <c r="CL303" s="1277">
        <f>+CL302/Q_IS!CL245</f>
        <v>0.12910874109779599</v>
      </c>
      <c r="CM303" s="1277">
        <f>+CM302/Q_IS!CM245</f>
        <v>0.12945735871467301</v>
      </c>
      <c r="CN303" s="1277">
        <f>+CN302/Q_IS!CN245</f>
        <v>0.13099741374915516</v>
      </c>
      <c r="CO303" s="1277">
        <f>+CO302/Q_IS!CO245</f>
        <v>0.14230162517915348</v>
      </c>
      <c r="CP303" s="1277">
        <f>+CP302/Q_IS!CP245</f>
        <v>0.12883272318538089</v>
      </c>
      <c r="CQ303" s="1277">
        <f>+CQ302/Q_IS!CQ245</f>
        <v>0.12923799205628447</v>
      </c>
      <c r="CR303" s="1277">
        <f>+CR302/Q_IS!CR245</f>
        <v>0.13091213164592228</v>
      </c>
      <c r="CS303" s="1277">
        <f>+CS302/Q_IS!CS245</f>
        <v>0.14228248851912015</v>
      </c>
      <c r="CT303" s="1277">
        <f>+CT302/Q_IS!CT245</f>
        <v>0.12856154115547502</v>
      </c>
      <c r="CU303" s="1277">
        <f>+CU302/Q_IS!CU245</f>
        <v>0.1290168658400847</v>
      </c>
      <c r="CV303" s="1277">
        <f>+CV302/Q_IS!CV245</f>
        <v>0.13082218627689146</v>
      </c>
      <c r="CW303" s="1277">
        <f>+CW302/Q_IS!CW245</f>
        <v>0.14227180323176608</v>
      </c>
    </row>
    <row r="304" spans="1:101" s="9" customFormat="1" ht="11.25">
      <c r="A304" s="585"/>
      <c r="B304" s="586"/>
      <c r="C304" s="586"/>
      <c r="D304" s="586"/>
      <c r="E304" s="586"/>
      <c r="F304" s="586"/>
      <c r="G304" s="586"/>
      <c r="H304" s="586"/>
      <c r="I304" s="586"/>
      <c r="J304" s="586"/>
      <c r="K304" s="586"/>
      <c r="L304" s="586"/>
      <c r="M304" s="586"/>
      <c r="N304" s="586"/>
      <c r="O304" s="411"/>
      <c r="P304" s="411"/>
      <c r="Q304" s="411"/>
      <c r="R304" s="411"/>
      <c r="S304" s="411"/>
      <c r="T304" s="411"/>
      <c r="U304" s="411"/>
      <c r="V304" s="411"/>
      <c r="W304" s="411"/>
      <c r="X304" s="411"/>
      <c r="Y304" s="411"/>
      <c r="Z304" s="411"/>
      <c r="AA304" s="411"/>
      <c r="AB304" s="411"/>
      <c r="AC304" s="411"/>
      <c r="AD304" s="411"/>
      <c r="AE304" s="2172"/>
      <c r="AF304" s="411"/>
      <c r="AG304" s="411"/>
      <c r="AH304" s="411"/>
      <c r="AI304" s="411"/>
      <c r="AJ304" s="411"/>
      <c r="AK304" s="411"/>
      <c r="AL304" s="411"/>
      <c r="AM304" s="84"/>
      <c r="AN304" s="84"/>
      <c r="AO304" s="84"/>
      <c r="AP304" s="1162"/>
      <c r="AQ304" s="1162"/>
      <c r="AR304" s="1162"/>
      <c r="AS304" s="1162"/>
      <c r="AT304" s="1162"/>
      <c r="AU304" s="1162"/>
      <c r="AV304" s="1162"/>
      <c r="AW304" s="1162"/>
      <c r="AX304" s="1162"/>
      <c r="AY304" s="1162"/>
      <c r="AZ304" s="1162"/>
      <c r="BA304" s="1162"/>
      <c r="BB304" s="587"/>
      <c r="BC304" s="587"/>
      <c r="BD304" s="1751"/>
      <c r="BE304" s="1751"/>
      <c r="BF304" s="1751"/>
      <c r="BG304" s="1751"/>
      <c r="BH304" s="1751"/>
      <c r="BI304" s="1751"/>
      <c r="BJ304" s="1751"/>
      <c r="BK304" s="587"/>
      <c r="BL304" s="587"/>
      <c r="BM304" s="587"/>
      <c r="BN304" s="587"/>
      <c r="BO304" s="587"/>
      <c r="BP304" s="587"/>
      <c r="BQ304" s="587"/>
      <c r="BR304" s="587"/>
      <c r="BS304" s="587"/>
      <c r="BT304" s="587"/>
      <c r="BU304" s="587"/>
      <c r="BV304" s="587"/>
      <c r="BW304" s="587"/>
      <c r="BX304" s="587"/>
      <c r="BY304" s="587"/>
      <c r="BZ304" s="587"/>
      <c r="CA304" s="587"/>
      <c r="CB304" s="587"/>
      <c r="CC304" s="587"/>
      <c r="CD304" s="587"/>
      <c r="CE304" s="587"/>
      <c r="CF304" s="587"/>
      <c r="CG304" s="587"/>
      <c r="CH304" s="587"/>
      <c r="CI304" s="587"/>
      <c r="CJ304" s="587"/>
      <c r="CK304" s="587"/>
      <c r="CL304" s="587"/>
      <c r="CM304" s="587"/>
      <c r="CN304" s="587"/>
      <c r="CO304" s="587"/>
      <c r="CP304" s="587"/>
      <c r="CQ304" s="587"/>
      <c r="CR304" s="587"/>
      <c r="CS304" s="587"/>
      <c r="CT304" s="587"/>
      <c r="CU304" s="587"/>
      <c r="CV304" s="587"/>
      <c r="CW304" s="587"/>
    </row>
    <row r="305" spans="1:101" s="9" customFormat="1" ht="11.25">
      <c r="A305" s="13" t="s">
        <v>1526</v>
      </c>
      <c r="B305" s="956"/>
      <c r="C305" s="956"/>
      <c r="D305" s="956"/>
      <c r="E305" s="956"/>
      <c r="F305" s="956"/>
      <c r="G305" s="956"/>
      <c r="H305" s="956"/>
      <c r="I305" s="956"/>
      <c r="J305" s="956"/>
      <c r="K305" s="956"/>
      <c r="L305" s="956"/>
      <c r="M305" s="956"/>
      <c r="N305" s="956"/>
      <c r="O305" s="956"/>
      <c r="P305" s="956"/>
      <c r="Q305" s="956"/>
      <c r="R305" s="956"/>
      <c r="S305" s="956"/>
      <c r="T305" s="956"/>
      <c r="U305" s="956">
        <f>+Q_Financials!U23</f>
        <v>912</v>
      </c>
      <c r="V305" s="956">
        <f>+Q_Financials!V23</f>
        <v>761</v>
      </c>
      <c r="W305" s="956">
        <f>+Q_Financials!W23</f>
        <v>1081</v>
      </c>
      <c r="X305" s="956">
        <f>+Q_Financials!X23</f>
        <v>1231</v>
      </c>
      <c r="Y305" s="956">
        <f>+Q_Financials!Y23</f>
        <v>1915</v>
      </c>
      <c r="Z305" s="956">
        <f>+Q_Financials!Z23</f>
        <v>1417</v>
      </c>
      <c r="AA305" s="956">
        <f>+Q_Financials!AA23</f>
        <v>1591</v>
      </c>
      <c r="AB305" s="956">
        <f>+Q_Financials!AB23</f>
        <v>1711</v>
      </c>
      <c r="AC305" s="956">
        <f>+Q_Financials!AC23</f>
        <v>2059</v>
      </c>
      <c r="AD305" s="956">
        <f>+Q_Financials!AD23</f>
        <v>1708</v>
      </c>
      <c r="AE305" s="2143">
        <f>+Q_Financials!AE23</f>
        <v>1880</v>
      </c>
      <c r="AF305" s="956">
        <f>+Q_Financials!AF23</f>
        <v>2030</v>
      </c>
      <c r="AG305" s="956">
        <f>+Q_Financials!AG23</f>
        <v>2324</v>
      </c>
      <c r="AH305" s="956">
        <f>+Q_Financials!AH23</f>
        <v>2014</v>
      </c>
      <c r="AI305" s="956">
        <f>+Q_Financials!AI23</f>
        <v>2172</v>
      </c>
      <c r="AJ305" s="956">
        <f>+Q_Financials!AJ23</f>
        <v>2089</v>
      </c>
      <c r="AK305" s="956">
        <f>+Q_Financials!AK23</f>
        <v>2621</v>
      </c>
      <c r="AL305" s="956">
        <f>+Q_Financials!AL23</f>
        <v>2196</v>
      </c>
      <c r="AM305" s="956">
        <f>+Q_Financials!AM23</f>
        <v>2330</v>
      </c>
      <c r="AN305" s="956">
        <f>+Q_Financials!AN23</f>
        <v>2220</v>
      </c>
      <c r="AO305" s="956">
        <f>+Q_Financials!AO23</f>
        <v>2479</v>
      </c>
      <c r="AP305" s="956">
        <f>+Q_Financials!AP23</f>
        <v>2430</v>
      </c>
      <c r="AQ305" s="956">
        <f>+Q_Financials!AQ23</f>
        <v>2852</v>
      </c>
      <c r="AR305" s="956">
        <f>+Q_Financials!AR23</f>
        <v>2715</v>
      </c>
      <c r="AS305" s="956">
        <f>+Q_Financials!AS23</f>
        <v>3217</v>
      </c>
      <c r="AT305" s="956">
        <f>+Q_Financials!AT23</f>
        <v>1747</v>
      </c>
      <c r="AU305" s="956">
        <f>+Q_Financials!AU23</f>
        <v>-1038</v>
      </c>
      <c r="AV305" s="956">
        <f>+Q_Financials!AV23</f>
        <v>1136</v>
      </c>
      <c r="AW305" s="956">
        <f>+Q_Financials!AW23</f>
        <v>2506</v>
      </c>
      <c r="AX305" s="956">
        <f>+Q_Financials!AX23</f>
        <v>1488</v>
      </c>
      <c r="AY305" s="956">
        <f>+Q_Financials!AY23</f>
        <v>2447</v>
      </c>
      <c r="AZ305" s="956">
        <f>+Q_Financials!AZ23</f>
        <v>2695</v>
      </c>
      <c r="BA305" s="956">
        <f>+Q_Financials!BA23</f>
        <v>4001</v>
      </c>
      <c r="BB305" s="956">
        <f>+Q_Financials!BB23</f>
        <v>2809</v>
      </c>
      <c r="BC305" s="956">
        <f>+Q_Financials!BC23</f>
        <v>3263</v>
      </c>
      <c r="BD305" s="956">
        <f>+Q_Financials!BD23</f>
        <v>3081</v>
      </c>
      <c r="BE305" s="956">
        <f>+Q_Financials!BE23</f>
        <v>3606</v>
      </c>
      <c r="BF305" s="956">
        <f>+Q_Financials!BF23</f>
        <v>3202</v>
      </c>
      <c r="BG305" s="956">
        <f>+Q_Financials!BG23</f>
        <v>3749</v>
      </c>
      <c r="BH305" s="956">
        <f>+Q_Financials!BH23</f>
        <v>3753</v>
      </c>
      <c r="BI305" s="956">
        <f>+Q_Financials!BI23</f>
        <v>4053</v>
      </c>
      <c r="BJ305" s="956">
        <f>+Q_Financials!BJ23</f>
        <v>3582</v>
      </c>
      <c r="BK305" s="1371">
        <f>+Q_Financials!BK23</f>
        <v>3794</v>
      </c>
      <c r="BL305" s="957">
        <f t="shared" ref="BL305:CW305" si="1737">+BL58+BL123+BL207</f>
        <v>3756.960248123306</v>
      </c>
      <c r="BM305" s="957">
        <f t="shared" si="1737"/>
        <v>4118.1531545467615</v>
      </c>
      <c r="BN305" s="957">
        <f t="shared" si="1737"/>
        <v>3784.9463816058924</v>
      </c>
      <c r="BO305" s="957">
        <f t="shared" si="1737"/>
        <v>4050.5145028625852</v>
      </c>
      <c r="BP305" s="957">
        <f t="shared" si="1737"/>
        <v>4075.9882259034434</v>
      </c>
      <c r="BQ305" s="957">
        <f t="shared" si="1737"/>
        <v>4451.5207284091148</v>
      </c>
      <c r="BR305" s="957">
        <f t="shared" si="1737"/>
        <v>4068.6786573806467</v>
      </c>
      <c r="BS305" s="957">
        <f t="shared" si="1737"/>
        <v>4318.8427072309096</v>
      </c>
      <c r="BT305" s="957">
        <f t="shared" si="1737"/>
        <v>4347.6789821458979</v>
      </c>
      <c r="BU305" s="957">
        <f t="shared" si="1737"/>
        <v>4747.2778724390937</v>
      </c>
      <c r="BV305" s="957">
        <f t="shared" si="1737"/>
        <v>4316.2650448382865</v>
      </c>
      <c r="BW305" s="957">
        <f t="shared" si="1737"/>
        <v>4577.3599913915414</v>
      </c>
      <c r="BX305" s="957">
        <f t="shared" si="1737"/>
        <v>4611.7649369102337</v>
      </c>
      <c r="BY305" s="957">
        <f t="shared" si="1737"/>
        <v>5038.9298917713668</v>
      </c>
      <c r="BZ305" s="957">
        <f t="shared" si="1737"/>
        <v>4417.2442140236835</v>
      </c>
      <c r="CA305" s="957">
        <f t="shared" si="1737"/>
        <v>4684.7402181828229</v>
      </c>
      <c r="CB305" s="957">
        <f t="shared" si="1737"/>
        <v>4723.5787476268797</v>
      </c>
      <c r="CC305" s="957">
        <f t="shared" si="1737"/>
        <v>5169.6635409382297</v>
      </c>
      <c r="CD305" s="957">
        <f t="shared" si="1737"/>
        <v>4642.3412313995632</v>
      </c>
      <c r="CE305" s="957">
        <f t="shared" si="1737"/>
        <v>4920.1851618812543</v>
      </c>
      <c r="CF305" s="957">
        <f t="shared" si="1737"/>
        <v>4968.0710786860827</v>
      </c>
      <c r="CG305" s="957">
        <f t="shared" si="1737"/>
        <v>5445.5919332994927</v>
      </c>
      <c r="CH305" s="957">
        <f t="shared" si="1737"/>
        <v>4876.7377336894833</v>
      </c>
      <c r="CI305" s="957">
        <f t="shared" si="1737"/>
        <v>5162.9257483180199</v>
      </c>
      <c r="CJ305" s="957">
        <f t="shared" si="1737"/>
        <v>5218.12832415702</v>
      </c>
      <c r="CK305" s="957">
        <f t="shared" si="1737"/>
        <v>5724.3065413237091</v>
      </c>
      <c r="CL305" s="957">
        <f t="shared" si="1737"/>
        <v>5111.9128386696393</v>
      </c>
      <c r="CM305" s="957">
        <f t="shared" si="1737"/>
        <v>5408.5917927812388</v>
      </c>
      <c r="CN305" s="957">
        <f t="shared" si="1737"/>
        <v>5474.3857586972026</v>
      </c>
      <c r="CO305" s="957">
        <f t="shared" si="1737"/>
        <v>6014.3375179673158</v>
      </c>
      <c r="CP305" s="957">
        <f t="shared" si="1737"/>
        <v>5358.0047333370958</v>
      </c>
      <c r="CQ305" s="957">
        <f t="shared" si="1737"/>
        <v>5665.489012260372</v>
      </c>
      <c r="CR305" s="957">
        <f t="shared" si="1737"/>
        <v>5742.8695096245046</v>
      </c>
      <c r="CS305" s="957">
        <f t="shared" si="1737"/>
        <v>6318.638697745545</v>
      </c>
      <c r="CT305" s="957">
        <f t="shared" si="1737"/>
        <v>5615.6350421901197</v>
      </c>
      <c r="CU305" s="957">
        <f t="shared" si="1737"/>
        <v>5933.9467333530165</v>
      </c>
      <c r="CV305" s="957">
        <f t="shared" si="1737"/>
        <v>6023.5049329462099</v>
      </c>
      <c r="CW305" s="957">
        <f t="shared" si="1737"/>
        <v>6633.8480396543146</v>
      </c>
    </row>
    <row r="306" spans="1:101" s="9" customFormat="1" ht="11.25">
      <c r="A306" s="930" t="s">
        <v>979</v>
      </c>
      <c r="B306" s="812"/>
      <c r="C306" s="812"/>
      <c r="D306" s="812"/>
      <c r="E306" s="812"/>
      <c r="F306" s="812"/>
      <c r="G306" s="812"/>
      <c r="H306" s="812"/>
      <c r="I306" s="812"/>
      <c r="J306" s="812"/>
      <c r="K306" s="812"/>
      <c r="L306" s="812"/>
      <c r="M306" s="812"/>
      <c r="N306" s="812"/>
      <c r="O306" s="812"/>
      <c r="P306" s="812"/>
      <c r="Q306" s="812"/>
      <c r="R306" s="812"/>
      <c r="S306" s="812"/>
      <c r="T306" s="812"/>
      <c r="U306" s="813">
        <f>+U305/Q_IS!U245</f>
        <v>0.20675813447032171</v>
      </c>
      <c r="V306" s="813">
        <f>+V305/Q_IS!V245</f>
        <v>0.19062954342095112</v>
      </c>
      <c r="W306" s="813">
        <f>+W305/Q_IS!W245</f>
        <v>0.2077517341792538</v>
      </c>
      <c r="X306" s="813">
        <f>+X305/Q_IS!X245</f>
        <v>0.21591381267836787</v>
      </c>
      <c r="Y306" s="813">
        <f>+Y305/Q_IS!Y245</f>
        <v>0.24229636730054266</v>
      </c>
      <c r="Z306" s="813">
        <f>+Z305/Q_IS!Z245</f>
        <v>0.19294047548049259</v>
      </c>
      <c r="AA306" s="813">
        <f>+AA305/Q_IS!AA245</f>
        <v>0.20497447674821584</v>
      </c>
      <c r="AB306" s="813">
        <f>+AB305/Q_IS!AB245</f>
        <v>0.20804014992508854</v>
      </c>
      <c r="AC306" s="813">
        <f>+AC305/Q_IS!AC245</f>
        <v>0.22985487773484328</v>
      </c>
      <c r="AD306" s="813">
        <f>+AD305/Q_IS!AD245</f>
        <v>0.20012279197071739</v>
      </c>
      <c r="AE306" s="2144">
        <f>+AE305/Q_IS!AE245</f>
        <v>0.20737807051913351</v>
      </c>
      <c r="AF306" s="813">
        <f>+AF305/Q_IS!AF245</f>
        <v>0.21141464097419865</v>
      </c>
      <c r="AG306" s="813">
        <f>+AG305/Q_IS!AG245</f>
        <v>0.22134271404835729</v>
      </c>
      <c r="AH306" s="813">
        <f>+AH305/Q_IS!AH245</f>
        <v>0.1995394937601801</v>
      </c>
      <c r="AI306" s="813">
        <f>+AI305/Q_IS!AI245</f>
        <v>0.2099686178119704</v>
      </c>
      <c r="AJ306" s="813">
        <f>+AJ305/Q_IS!AJ245</f>
        <v>0.19942046827248036</v>
      </c>
      <c r="AK306" s="813">
        <f>+AK305/Q_IS!AK245</f>
        <v>0.22563464370731581</v>
      </c>
      <c r="AL306" s="813">
        <f>+AL305/Q_IS!AL245</f>
        <v>0.19819736070791477</v>
      </c>
      <c r="AM306" s="84">
        <f>+AM305/Q_IS!AM245</f>
        <v>0.20573028600571383</v>
      </c>
      <c r="AN306" s="84">
        <f>+AN305/Q_IS!AN245</f>
        <v>0.19515804109149254</v>
      </c>
      <c r="AO306" s="84">
        <f>+AO305/Q_IS!AO245</f>
        <v>0.20030992688808871</v>
      </c>
      <c r="AP306" s="84">
        <f>+AP305/Q_IS!AP245</f>
        <v>0.17749420258647766</v>
      </c>
      <c r="AQ306" s="84">
        <f>+AQ305/Q_IS!AQ245</f>
        <v>0.19560322092389326</v>
      </c>
      <c r="AR306" s="84">
        <f>+AR305/Q_IS!AR245</f>
        <v>0.18736417391342755</v>
      </c>
      <c r="AS306" s="84">
        <f>+AS305/Q_IS!AS245</f>
        <v>0.20899114058165541</v>
      </c>
      <c r="AT306" s="84">
        <f>+AT305/Q_IS!AT245</f>
        <v>0.14431945570004023</v>
      </c>
      <c r="AU306" s="84">
        <f>+AU305/Q_IS!AU245</f>
        <v>-0.19970075668886911</v>
      </c>
      <c r="AV306" s="84">
        <f>+AV305/Q_IS!AV245</f>
        <v>0.114799447588292</v>
      </c>
      <c r="AW306" s="84">
        <f>+AW305/Q_IS!AW245</f>
        <v>0.22182813648254932</v>
      </c>
      <c r="AX306" s="84">
        <f>+AX305/Q_IS!AX245</f>
        <v>0.14571500925309894</v>
      </c>
      <c r="AY306" s="84">
        <f>+AY305/Q_IS!AY245</f>
        <v>0.1961150781158334</v>
      </c>
      <c r="AZ306" s="84">
        <f>+AZ305/Q_IS!AZ245</f>
        <v>0.19307543374808134</v>
      </c>
      <c r="BA306" s="84">
        <f>+BA305/Q_IS!BA245</f>
        <v>0.23912103863517048</v>
      </c>
      <c r="BB306" s="84">
        <f>+BB305/Q_IS!BB245</f>
        <v>0.1844607360318273</v>
      </c>
      <c r="BC306" s="84">
        <f>+BC305/Q_IS!BC245</f>
        <v>0.19263093117898394</v>
      </c>
      <c r="BD306" s="84">
        <f>+BD305/Q_IS!BD245</f>
        <v>0.17587447460283537</v>
      </c>
      <c r="BE306" s="84">
        <f>+BE305/Q_IS!BE245</f>
        <v>0.18834390447882429</v>
      </c>
      <c r="BF306" s="84">
        <f>+BF305/Q_IS!BF245</f>
        <v>0.18125574455325638</v>
      </c>
      <c r="BG306" s="84">
        <f>+BG305/Q_IS!BG245</f>
        <v>0.19784962942643028</v>
      </c>
      <c r="BH306" s="84">
        <f>+BH305/Q_IS!BH245</f>
        <v>0.19275834677539888</v>
      </c>
      <c r="BI306" s="84">
        <f>+BI305/Q_IS!BI245</f>
        <v>0.20117445577792842</v>
      </c>
      <c r="BJ306" s="84">
        <f>+BJ305/Q_IS!BJ245</f>
        <v>0.19678260982304507</v>
      </c>
      <c r="BK306" s="801">
        <f>+BK305/Q_IS!BK245</f>
        <v>0.19704954404117037</v>
      </c>
      <c r="BL306" s="380">
        <f>+BL305/Q_IS!BL245</f>
        <v>0.18683935238300939</v>
      </c>
      <c r="BM306" s="380">
        <f>+BM305/Q_IS!BM245</f>
        <v>0.19625024701571553</v>
      </c>
      <c r="BN306" s="380">
        <f>+BN305/Q_IS!BN245</f>
        <v>0.19008758873652937</v>
      </c>
      <c r="BO306" s="380">
        <f>+BO305/Q_IS!BO245</f>
        <v>0.18915514100043901</v>
      </c>
      <c r="BP306" s="380">
        <f>+BP305/Q_IS!BP245</f>
        <v>0.18560911618006318</v>
      </c>
      <c r="BQ306" s="380">
        <f>+BQ305/Q_IS!BQ245</f>
        <v>0.19596745808669458</v>
      </c>
      <c r="BR306" s="380">
        <f>+BR305/Q_IS!BR245</f>
        <v>0.18962232245915753</v>
      </c>
      <c r="BS306" s="380">
        <f>+BS305/Q_IS!BS245</f>
        <v>0.18927809701137438</v>
      </c>
      <c r="BT306" s="380">
        <f>+BT305/Q_IS!BT245</f>
        <v>0.18583564645951073</v>
      </c>
      <c r="BU306" s="380">
        <f>+BU305/Q_IS!BU245</f>
        <v>0.19622900464872051</v>
      </c>
      <c r="BV306" s="380">
        <f>+BV305/Q_IS!BV245</f>
        <v>0.18980354864724003</v>
      </c>
      <c r="BW306" s="380">
        <f>+BW305/Q_IS!BW245</f>
        <v>0.18959085736982992</v>
      </c>
      <c r="BX306" s="380">
        <f>+BX305/Q_IS!BX245</f>
        <v>0.18622867814709712</v>
      </c>
      <c r="BY306" s="380">
        <f>+BY305/Q_IS!BY245</f>
        <v>0.19656771595935163</v>
      </c>
      <c r="BZ306" s="380">
        <f>+BZ305/Q_IS!BZ245</f>
        <v>0.1844991391113181</v>
      </c>
      <c r="CA306" s="380">
        <f>+CA305/Q_IS!CA245</f>
        <v>0.1844989299904912</v>
      </c>
      <c r="CB306" s="380">
        <f>+CB305/Q_IS!CB245</f>
        <v>0.18123750603697777</v>
      </c>
      <c r="CC306" s="380">
        <f>+CC305/Q_IS!CC245</f>
        <v>0.19137324028478475</v>
      </c>
      <c r="CD306" s="380">
        <f>+CD305/Q_IS!CD245</f>
        <v>0.18421276074444637</v>
      </c>
      <c r="CE306" s="380">
        <f>+CE305/Q_IS!CE245</f>
        <v>0.18428357095940212</v>
      </c>
      <c r="CF306" s="380">
        <f>+CF305/Q_IS!CF245</f>
        <v>0.18115939022400648</v>
      </c>
      <c r="CG306" s="380">
        <f>+CG305/Q_IS!CG245</f>
        <v>0.19134859779535709</v>
      </c>
      <c r="CH306" s="380">
        <f>+CH305/Q_IS!CH245</f>
        <v>0.18393722394370737</v>
      </c>
      <c r="CI306" s="380">
        <f>+CI305/Q_IS!CI245</f>
        <v>0.1840768335650188</v>
      </c>
      <c r="CJ306" s="380">
        <f>+CJ305/Q_IS!CJ245</f>
        <v>0.18108606306272934</v>
      </c>
      <c r="CK306" s="380">
        <f>+CK305/Q_IS!CK245</f>
        <v>0.19132576801833737</v>
      </c>
      <c r="CL306" s="380">
        <f>+CL305/Q_IS!CL245</f>
        <v>0.1836536173115359</v>
      </c>
      <c r="CM306" s="380">
        <f>+CM305/Q_IS!CM245</f>
        <v>0.18385238155689082</v>
      </c>
      <c r="CN306" s="380">
        <f>+CN305/Q_IS!CN245</f>
        <v>0.18099741374915515</v>
      </c>
      <c r="CO306" s="380">
        <f>+CO305/Q_IS!CO245</f>
        <v>0.1913016251791535</v>
      </c>
      <c r="CP306" s="380">
        <f>+CP305/Q_IS!CP245</f>
        <v>0.18337759939912082</v>
      </c>
      <c r="CQ306" s="380">
        <f>+CQ305/Q_IS!CQ245</f>
        <v>0.18363301489850228</v>
      </c>
      <c r="CR306" s="380">
        <f>+CR305/Q_IS!CR245</f>
        <v>0.18091213164592226</v>
      </c>
      <c r="CS306" s="380">
        <f>+CS305/Q_IS!CS245</f>
        <v>0.19128248851912014</v>
      </c>
      <c r="CT306" s="380">
        <f>+CT305/Q_IS!CT245</f>
        <v>0.18310641736921496</v>
      </c>
      <c r="CU306" s="380">
        <f>+CU305/Q_IS!CU245</f>
        <v>0.18341188868230249</v>
      </c>
      <c r="CV306" s="380">
        <f>+CV305/Q_IS!CV245</f>
        <v>0.18082218627689145</v>
      </c>
      <c r="CW306" s="380">
        <f>+CW305/Q_IS!CW245</f>
        <v>0.19127180323176607</v>
      </c>
    </row>
    <row r="307" spans="1:101" s="9" customFormat="1" ht="11.25">
      <c r="A307" s="312"/>
      <c r="B307" s="345"/>
      <c r="C307" s="345"/>
      <c r="D307" s="345"/>
      <c r="E307" s="345"/>
      <c r="F307" s="345"/>
      <c r="G307" s="345"/>
      <c r="H307" s="345"/>
      <c r="I307" s="345"/>
      <c r="J307" s="345"/>
      <c r="K307" s="345"/>
      <c r="L307" s="345"/>
      <c r="M307" s="345"/>
      <c r="N307" s="345"/>
      <c r="O307" s="345"/>
      <c r="P307" s="345"/>
      <c r="Q307" s="345"/>
      <c r="R307" s="345"/>
      <c r="S307" s="345"/>
      <c r="T307" s="345"/>
      <c r="U307" s="345"/>
      <c r="V307" s="345"/>
      <c r="W307" s="345"/>
      <c r="X307" s="345"/>
      <c r="Y307" s="345"/>
      <c r="Z307" s="345"/>
      <c r="AA307" s="345"/>
      <c r="AB307" s="345"/>
      <c r="AC307" s="345"/>
      <c r="AD307" s="345"/>
      <c r="AE307" s="2167"/>
      <c r="AF307" s="345"/>
      <c r="AG307" s="345"/>
      <c r="AH307" s="345"/>
      <c r="AI307" s="345"/>
      <c r="AJ307" s="345"/>
      <c r="AK307" s="345"/>
      <c r="AL307" s="345"/>
      <c r="AM307" s="410"/>
      <c r="AN307" s="410"/>
      <c r="AO307" s="410"/>
      <c r="AP307" s="410"/>
      <c r="AQ307" s="410"/>
      <c r="AR307" s="410"/>
      <c r="AS307" s="410"/>
      <c r="AT307" s="1737"/>
      <c r="AU307" s="1737"/>
      <c r="AV307" s="1737"/>
      <c r="AW307" s="1737"/>
      <c r="AX307" s="1737"/>
      <c r="AY307" s="1737"/>
      <c r="AZ307" s="1737"/>
      <c r="BA307" s="1808"/>
      <c r="BB307" s="1279"/>
      <c r="BC307" s="1279"/>
      <c r="BD307" s="1751"/>
      <c r="BE307" s="1751"/>
      <c r="BF307" s="1751"/>
      <c r="BG307" s="1751"/>
      <c r="BH307" s="1751"/>
      <c r="BI307" s="1751"/>
      <c r="BJ307" s="1751"/>
      <c r="BK307" s="1686"/>
      <c r="BL307" s="984"/>
      <c r="BM307" s="984"/>
      <c r="BN307" s="984"/>
      <c r="BO307" s="984"/>
      <c r="BP307" s="984"/>
      <c r="BQ307" s="984"/>
      <c r="BR307" s="984"/>
      <c r="BS307" s="984"/>
      <c r="BT307" s="984"/>
      <c r="BU307" s="984"/>
      <c r="BV307" s="984"/>
      <c r="BW307" s="984"/>
      <c r="BX307" s="984"/>
      <c r="BY307" s="984"/>
      <c r="BZ307" s="984"/>
      <c r="CA307" s="984"/>
      <c r="CB307" s="984"/>
      <c r="CC307" s="984"/>
      <c r="CD307" s="984"/>
      <c r="CE307" s="984"/>
      <c r="CF307" s="984"/>
      <c r="CG307" s="984"/>
      <c r="CH307" s="984"/>
      <c r="CI307" s="984"/>
      <c r="CJ307" s="984"/>
      <c r="CK307" s="984"/>
      <c r="CL307" s="984"/>
      <c r="CM307" s="984"/>
      <c r="CN307" s="984"/>
      <c r="CO307" s="984"/>
      <c r="CP307" s="984"/>
      <c r="CQ307" s="984"/>
      <c r="CR307" s="984"/>
      <c r="CS307" s="984"/>
      <c r="CT307" s="984"/>
      <c r="CU307" s="984"/>
      <c r="CV307" s="984"/>
      <c r="CW307" s="984"/>
    </row>
    <row r="308" spans="1:101" s="9" customFormat="1" ht="11.25">
      <c r="A308" s="9" t="s">
        <v>764</v>
      </c>
      <c r="B308" s="337">
        <f>IS!C18</f>
        <v>26.451999999999998</v>
      </c>
      <c r="C308" s="337">
        <f>IS!D18</f>
        <v>-37.541999999999994</v>
      </c>
      <c r="D308" s="337">
        <f>IS!E18</f>
        <v>41.604999999999997</v>
      </c>
      <c r="E308" s="337">
        <f>IS!F18</f>
        <v>-49.311999999999998</v>
      </c>
      <c r="F308" s="337">
        <f>IS!G18</f>
        <v>-13.46</v>
      </c>
      <c r="G308" s="337">
        <f>IS!H18</f>
        <v>67.78</v>
      </c>
      <c r="H308" s="337">
        <f>IS!I18</f>
        <v>-4.1360000000000001</v>
      </c>
      <c r="I308" s="337">
        <f>IS!J18</f>
        <v>-15.759</v>
      </c>
      <c r="J308" s="337">
        <f>IS!K18</f>
        <v>0</v>
      </c>
      <c r="K308" s="337">
        <f>IS!L18</f>
        <v>0</v>
      </c>
      <c r="L308" s="337">
        <f>IS!M18</f>
        <v>0</v>
      </c>
      <c r="M308" s="337">
        <f>IS!N18</f>
        <v>0</v>
      </c>
      <c r="N308" s="337">
        <f>IS!O18</f>
        <v>0</v>
      </c>
      <c r="O308" s="337">
        <f>IS!P18</f>
        <v>0</v>
      </c>
      <c r="P308" s="337">
        <f>IS!Q18</f>
        <v>0</v>
      </c>
      <c r="Q308" s="337">
        <f>IS!R18</f>
        <v>0</v>
      </c>
      <c r="R308" s="337">
        <f>IS!S18</f>
        <v>0</v>
      </c>
      <c r="S308" s="337">
        <f>IS!T18</f>
        <v>0</v>
      </c>
      <c r="T308" s="337">
        <f>IS!U18</f>
        <v>0</v>
      </c>
      <c r="U308" s="337">
        <f>IS!V18</f>
        <v>0</v>
      </c>
      <c r="V308" s="337">
        <f>IS!W18</f>
        <v>0</v>
      </c>
      <c r="W308" s="337">
        <f>IS!X18</f>
        <v>0</v>
      </c>
      <c r="X308" s="337">
        <f>IS!Y18</f>
        <v>0</v>
      </c>
      <c r="Y308" s="337">
        <f>IS!Z18</f>
        <v>0</v>
      </c>
      <c r="Z308" s="337">
        <f>IS!AA18</f>
        <v>0</v>
      </c>
      <c r="AA308" s="337">
        <f>IS!AB18</f>
        <v>0</v>
      </c>
      <c r="AB308" s="337">
        <f>IS!AC18</f>
        <v>0</v>
      </c>
      <c r="AC308" s="337">
        <f>IS!AD18</f>
        <v>0</v>
      </c>
      <c r="AD308" s="337">
        <f>IS!AE18</f>
        <v>0</v>
      </c>
      <c r="AE308" s="2157">
        <f>IS!AF18</f>
        <v>0</v>
      </c>
      <c r="AF308" s="337">
        <f>IS!AG18</f>
        <v>0</v>
      </c>
      <c r="AG308" s="337">
        <f>IS!AH18</f>
        <v>0</v>
      </c>
      <c r="AH308" s="337">
        <f>IS!AI18</f>
        <v>0</v>
      </c>
      <c r="AI308" s="337">
        <f>IS!AJ18</f>
        <v>0</v>
      </c>
      <c r="AJ308" s="337">
        <f>IS!AK18</f>
        <v>0</v>
      </c>
      <c r="AK308" s="337">
        <f>IS!AL18</f>
        <v>0</v>
      </c>
      <c r="AL308" s="337">
        <f>IS!AM18</f>
        <v>0</v>
      </c>
      <c r="AM308" s="337">
        <f>IS!AN18</f>
        <v>0</v>
      </c>
      <c r="AN308" s="337">
        <f>IS!AO18</f>
        <v>0</v>
      </c>
      <c r="AO308" s="337">
        <f>IS!AP18</f>
        <v>0</v>
      </c>
      <c r="AP308" s="337">
        <f>IS!AQ18</f>
        <v>0</v>
      </c>
      <c r="AQ308" s="337">
        <f>IS!AR18</f>
        <v>0</v>
      </c>
      <c r="AR308" s="337">
        <f>IS!AS18</f>
        <v>0</v>
      </c>
      <c r="AS308" s="337">
        <f>IS!AT18</f>
        <v>0</v>
      </c>
      <c r="AT308" s="337">
        <f>IS!AU18</f>
        <v>0</v>
      </c>
      <c r="AU308" s="337">
        <f>IS!AV18</f>
        <v>0</v>
      </c>
      <c r="AV308" s="337">
        <f>IS!AW18</f>
        <v>0</v>
      </c>
      <c r="AW308" s="337">
        <f>IS!AX18</f>
        <v>0</v>
      </c>
      <c r="AX308" s="337">
        <f>IS!AY18</f>
        <v>0</v>
      </c>
      <c r="AY308" s="337">
        <f>IS!AZ18</f>
        <v>0</v>
      </c>
      <c r="AZ308" s="337">
        <f>IS!BA18</f>
        <v>0</v>
      </c>
      <c r="BA308" s="337">
        <f>IS!BB18</f>
        <v>0</v>
      </c>
      <c r="BB308" s="337">
        <f>IS!BC18</f>
        <v>0</v>
      </c>
      <c r="BC308" s="337">
        <f>IS!BD18</f>
        <v>0</v>
      </c>
      <c r="BD308" s="337">
        <f>IS!BE18</f>
        <v>0</v>
      </c>
      <c r="BE308" s="337">
        <f>IS!BF18</f>
        <v>0</v>
      </c>
      <c r="BF308" s="337">
        <f>IS!BG18</f>
        <v>0</v>
      </c>
      <c r="BG308" s="337">
        <f>IS!BH18</f>
        <v>3.4039999999999999</v>
      </c>
      <c r="BH308" s="337">
        <f>IS!BI18</f>
        <v>0</v>
      </c>
      <c r="BI308" s="337">
        <f>IS!BJ18</f>
        <v>0</v>
      </c>
      <c r="BJ308" s="337">
        <f>IS!BK18</f>
        <v>0</v>
      </c>
      <c r="BK308" s="1379">
        <f>IS!BL18</f>
        <v>0</v>
      </c>
      <c r="BL308" s="430">
        <f t="shared" ref="BL308:CW308" si="1738">BL245*BL309</f>
        <v>0</v>
      </c>
      <c r="BM308" s="430">
        <f t="shared" si="1738"/>
        <v>0</v>
      </c>
      <c r="BN308" s="430">
        <f t="shared" si="1738"/>
        <v>0</v>
      </c>
      <c r="BO308" s="430">
        <f t="shared" si="1738"/>
        <v>0</v>
      </c>
      <c r="BP308" s="430">
        <f t="shared" si="1738"/>
        <v>0</v>
      </c>
      <c r="BQ308" s="430">
        <f t="shared" si="1738"/>
        <v>0</v>
      </c>
      <c r="BR308" s="430">
        <f t="shared" si="1738"/>
        <v>0</v>
      </c>
      <c r="BS308" s="430">
        <f t="shared" si="1738"/>
        <v>0</v>
      </c>
      <c r="BT308" s="430">
        <f t="shared" si="1738"/>
        <v>0</v>
      </c>
      <c r="BU308" s="430">
        <f t="shared" si="1738"/>
        <v>0</v>
      </c>
      <c r="BV308" s="430">
        <f t="shared" si="1738"/>
        <v>0</v>
      </c>
      <c r="BW308" s="430">
        <f t="shared" si="1738"/>
        <v>0</v>
      </c>
      <c r="BX308" s="430">
        <f t="shared" si="1738"/>
        <v>0</v>
      </c>
      <c r="BY308" s="430">
        <f t="shared" si="1738"/>
        <v>0</v>
      </c>
      <c r="BZ308" s="430">
        <f t="shared" si="1738"/>
        <v>0</v>
      </c>
      <c r="CA308" s="430">
        <f t="shared" si="1738"/>
        <v>0</v>
      </c>
      <c r="CB308" s="430">
        <f t="shared" si="1738"/>
        <v>0</v>
      </c>
      <c r="CC308" s="430">
        <f t="shared" si="1738"/>
        <v>0</v>
      </c>
      <c r="CD308" s="430">
        <f t="shared" si="1738"/>
        <v>0</v>
      </c>
      <c r="CE308" s="430">
        <f t="shared" si="1738"/>
        <v>0</v>
      </c>
      <c r="CF308" s="430">
        <f t="shared" si="1738"/>
        <v>0</v>
      </c>
      <c r="CG308" s="430">
        <f t="shared" si="1738"/>
        <v>0</v>
      </c>
      <c r="CH308" s="430">
        <f t="shared" si="1738"/>
        <v>0</v>
      </c>
      <c r="CI308" s="430">
        <f t="shared" si="1738"/>
        <v>0</v>
      </c>
      <c r="CJ308" s="430">
        <f t="shared" si="1738"/>
        <v>0</v>
      </c>
      <c r="CK308" s="430">
        <f t="shared" si="1738"/>
        <v>0</v>
      </c>
      <c r="CL308" s="430">
        <f t="shared" si="1738"/>
        <v>0</v>
      </c>
      <c r="CM308" s="430">
        <f t="shared" si="1738"/>
        <v>0</v>
      </c>
      <c r="CN308" s="430">
        <f t="shared" si="1738"/>
        <v>0</v>
      </c>
      <c r="CO308" s="430">
        <f t="shared" si="1738"/>
        <v>0</v>
      </c>
      <c r="CP308" s="430">
        <f t="shared" si="1738"/>
        <v>0</v>
      </c>
      <c r="CQ308" s="430">
        <f t="shared" si="1738"/>
        <v>0</v>
      </c>
      <c r="CR308" s="430">
        <f t="shared" si="1738"/>
        <v>0</v>
      </c>
      <c r="CS308" s="430">
        <f t="shared" si="1738"/>
        <v>0</v>
      </c>
      <c r="CT308" s="430">
        <f t="shared" si="1738"/>
        <v>0</v>
      </c>
      <c r="CU308" s="430">
        <f t="shared" si="1738"/>
        <v>0</v>
      </c>
      <c r="CV308" s="430">
        <f t="shared" si="1738"/>
        <v>0</v>
      </c>
      <c r="CW308" s="430">
        <f t="shared" si="1738"/>
        <v>0</v>
      </c>
    </row>
    <row r="309" spans="1:101" s="9" customFormat="1" ht="11.25">
      <c r="A309" s="312" t="s">
        <v>534</v>
      </c>
      <c r="B309" s="313">
        <f t="shared" ref="B309:AT309" si="1739">B308/B$245</f>
        <v>1.2692270967413797E-2</v>
      </c>
      <c r="C309" s="313">
        <f t="shared" si="1739"/>
        <v>-1.8112405758029412E-2</v>
      </c>
      <c r="D309" s="313">
        <f t="shared" si="1739"/>
        <v>1.9628768353169689E-2</v>
      </c>
      <c r="E309" s="313">
        <f t="shared" si="1739"/>
        <v>-2.1341070221434378E-2</v>
      </c>
      <c r="F309" s="313">
        <f t="shared" si="1739"/>
        <v>-6.4223133878991397E-3</v>
      </c>
      <c r="G309" s="313">
        <f t="shared" si="1739"/>
        <v>3.1282595652374581E-2</v>
      </c>
      <c r="H309" s="313">
        <f t="shared" si="1739"/>
        <v>-1.8180819147883996E-3</v>
      </c>
      <c r="I309" s="313">
        <f t="shared" si="1739"/>
        <v>-6.4480439214941758E-3</v>
      </c>
      <c r="J309" s="313">
        <f t="shared" si="1739"/>
        <v>0</v>
      </c>
      <c r="K309" s="313">
        <f t="shared" si="1739"/>
        <v>0</v>
      </c>
      <c r="L309" s="313">
        <f t="shared" si="1739"/>
        <v>0</v>
      </c>
      <c r="M309" s="313">
        <f t="shared" si="1739"/>
        <v>0</v>
      </c>
      <c r="N309" s="313">
        <f t="shared" si="1739"/>
        <v>0</v>
      </c>
      <c r="O309" s="313">
        <f t="shared" si="1739"/>
        <v>0</v>
      </c>
      <c r="P309" s="313">
        <f t="shared" si="1739"/>
        <v>0</v>
      </c>
      <c r="Q309" s="313">
        <f t="shared" si="1739"/>
        <v>0</v>
      </c>
      <c r="R309" s="313">
        <f t="shared" si="1739"/>
        <v>0</v>
      </c>
      <c r="S309" s="313">
        <f t="shared" si="1739"/>
        <v>0</v>
      </c>
      <c r="T309" s="313">
        <f t="shared" si="1739"/>
        <v>0</v>
      </c>
      <c r="U309" s="313">
        <f t="shared" si="1739"/>
        <v>0</v>
      </c>
      <c r="V309" s="313">
        <f t="shared" si="1739"/>
        <v>0</v>
      </c>
      <c r="W309" s="313">
        <f t="shared" si="1739"/>
        <v>0</v>
      </c>
      <c r="X309" s="313">
        <f t="shared" si="1739"/>
        <v>0</v>
      </c>
      <c r="Y309" s="313">
        <f t="shared" si="1739"/>
        <v>0</v>
      </c>
      <c r="Z309" s="313">
        <f t="shared" si="1739"/>
        <v>0</v>
      </c>
      <c r="AA309" s="313">
        <f t="shared" si="1739"/>
        <v>0</v>
      </c>
      <c r="AB309" s="313">
        <f t="shared" si="1739"/>
        <v>0</v>
      </c>
      <c r="AC309" s="313">
        <f t="shared" si="1739"/>
        <v>0</v>
      </c>
      <c r="AD309" s="313">
        <f t="shared" si="1739"/>
        <v>0</v>
      </c>
      <c r="AE309" s="2173">
        <f t="shared" si="1739"/>
        <v>0</v>
      </c>
      <c r="AF309" s="313">
        <f t="shared" si="1739"/>
        <v>0</v>
      </c>
      <c r="AG309" s="313">
        <f t="shared" si="1739"/>
        <v>0</v>
      </c>
      <c r="AH309" s="313">
        <f t="shared" si="1739"/>
        <v>0</v>
      </c>
      <c r="AI309" s="313">
        <f t="shared" si="1739"/>
        <v>0</v>
      </c>
      <c r="AJ309" s="313">
        <f t="shared" si="1739"/>
        <v>0</v>
      </c>
      <c r="AK309" s="313">
        <f t="shared" si="1739"/>
        <v>0</v>
      </c>
      <c r="AL309" s="313">
        <f t="shared" si="1739"/>
        <v>0</v>
      </c>
      <c r="AM309" s="353">
        <f t="shared" si="1739"/>
        <v>0</v>
      </c>
      <c r="AN309" s="353">
        <f t="shared" si="1739"/>
        <v>0</v>
      </c>
      <c r="AO309" s="353">
        <f t="shared" si="1739"/>
        <v>0</v>
      </c>
      <c r="AP309" s="353">
        <f t="shared" si="1739"/>
        <v>0</v>
      </c>
      <c r="AQ309" s="353">
        <f t="shared" si="1739"/>
        <v>0</v>
      </c>
      <c r="AR309" s="353">
        <f t="shared" si="1739"/>
        <v>0</v>
      </c>
      <c r="AS309" s="353">
        <f t="shared" si="1739"/>
        <v>0</v>
      </c>
      <c r="AT309" s="1750">
        <f t="shared" si="1739"/>
        <v>0</v>
      </c>
      <c r="AU309" s="1750">
        <f t="shared" ref="AU309:BC309" si="1740">AU308/AU$245</f>
        <v>0</v>
      </c>
      <c r="AV309" s="1750">
        <f t="shared" si="1740"/>
        <v>0</v>
      </c>
      <c r="AW309" s="1750">
        <f t="shared" si="1740"/>
        <v>0</v>
      </c>
      <c r="AX309" s="1750">
        <f t="shared" si="1740"/>
        <v>0</v>
      </c>
      <c r="AY309" s="1750">
        <f t="shared" si="1740"/>
        <v>0</v>
      </c>
      <c r="AZ309" s="1750">
        <f t="shared" si="1740"/>
        <v>0</v>
      </c>
      <c r="BA309" s="1751">
        <f t="shared" si="1740"/>
        <v>0</v>
      </c>
      <c r="BB309" s="1750">
        <f t="shared" si="1740"/>
        <v>0</v>
      </c>
      <c r="BC309" s="1750">
        <f t="shared" si="1740"/>
        <v>0</v>
      </c>
      <c r="BD309" s="1751">
        <f t="shared" ref="BD309:BG309" si="1741">BD308/BD$245</f>
        <v>0</v>
      </c>
      <c r="BE309" s="1751">
        <f t="shared" si="1741"/>
        <v>0</v>
      </c>
      <c r="BF309" s="1751">
        <f t="shared" si="1741"/>
        <v>0</v>
      </c>
      <c r="BG309" s="1751">
        <f t="shared" si="1741"/>
        <v>1.7964260831356858E-4</v>
      </c>
      <c r="BH309" s="1751">
        <f t="shared" ref="BH309" si="1742">BH308/BH$245</f>
        <v>0</v>
      </c>
      <c r="BI309" s="1751">
        <f t="shared" ref="BI309" si="1743">BI308/BI$245</f>
        <v>0</v>
      </c>
      <c r="BJ309" s="1751">
        <f t="shared" ref="BJ309" si="1744">BJ308/BJ$245</f>
        <v>0</v>
      </c>
      <c r="BK309" s="1686">
        <f t="shared" ref="BK309" si="1745">BK308/BK$245</f>
        <v>0</v>
      </c>
      <c r="BL309" s="380">
        <f t="shared" ref="BL309:BQ309" si="1746">BK309</f>
        <v>0</v>
      </c>
      <c r="BM309" s="380">
        <f t="shared" si="1746"/>
        <v>0</v>
      </c>
      <c r="BN309" s="380">
        <f t="shared" si="1746"/>
        <v>0</v>
      </c>
      <c r="BO309" s="380">
        <f t="shared" si="1746"/>
        <v>0</v>
      </c>
      <c r="BP309" s="380">
        <f t="shared" si="1746"/>
        <v>0</v>
      </c>
      <c r="BQ309" s="380">
        <f t="shared" si="1746"/>
        <v>0</v>
      </c>
      <c r="BR309" s="380">
        <f t="shared" ref="BR309:CK309" si="1747">BQ309</f>
        <v>0</v>
      </c>
      <c r="BS309" s="380">
        <f t="shared" si="1747"/>
        <v>0</v>
      </c>
      <c r="BT309" s="380">
        <f t="shared" si="1747"/>
        <v>0</v>
      </c>
      <c r="BU309" s="380">
        <f t="shared" si="1747"/>
        <v>0</v>
      </c>
      <c r="BV309" s="380">
        <f t="shared" si="1747"/>
        <v>0</v>
      </c>
      <c r="BW309" s="380">
        <f t="shared" si="1747"/>
        <v>0</v>
      </c>
      <c r="BX309" s="380">
        <f t="shared" si="1747"/>
        <v>0</v>
      </c>
      <c r="BY309" s="380">
        <f t="shared" si="1747"/>
        <v>0</v>
      </c>
      <c r="BZ309" s="380">
        <f t="shared" si="1747"/>
        <v>0</v>
      </c>
      <c r="CA309" s="380">
        <f t="shared" si="1747"/>
        <v>0</v>
      </c>
      <c r="CB309" s="380">
        <f t="shared" si="1747"/>
        <v>0</v>
      </c>
      <c r="CC309" s="380">
        <f t="shared" si="1747"/>
        <v>0</v>
      </c>
      <c r="CD309" s="380">
        <f t="shared" si="1747"/>
        <v>0</v>
      </c>
      <c r="CE309" s="380">
        <f t="shared" si="1747"/>
        <v>0</v>
      </c>
      <c r="CF309" s="380">
        <f t="shared" si="1747"/>
        <v>0</v>
      </c>
      <c r="CG309" s="380">
        <f t="shared" si="1747"/>
        <v>0</v>
      </c>
      <c r="CH309" s="380">
        <f t="shared" si="1747"/>
        <v>0</v>
      </c>
      <c r="CI309" s="380">
        <f t="shared" si="1747"/>
        <v>0</v>
      </c>
      <c r="CJ309" s="380">
        <f t="shared" si="1747"/>
        <v>0</v>
      </c>
      <c r="CK309" s="380">
        <f t="shared" si="1747"/>
        <v>0</v>
      </c>
      <c r="CL309" s="380">
        <f t="shared" ref="CL309" si="1748">CK309</f>
        <v>0</v>
      </c>
      <c r="CM309" s="380">
        <f t="shared" ref="CM309" si="1749">CL309</f>
        <v>0</v>
      </c>
      <c r="CN309" s="380">
        <f t="shared" ref="CN309" si="1750">CM309</f>
        <v>0</v>
      </c>
      <c r="CO309" s="380">
        <f t="shared" ref="CO309" si="1751">CN309</f>
        <v>0</v>
      </c>
      <c r="CP309" s="380">
        <f t="shared" ref="CP309" si="1752">CO309</f>
        <v>0</v>
      </c>
      <c r="CQ309" s="380">
        <f t="shared" ref="CQ309" si="1753">CP309</f>
        <v>0</v>
      </c>
      <c r="CR309" s="380">
        <f t="shared" ref="CR309" si="1754">CQ309</f>
        <v>0</v>
      </c>
      <c r="CS309" s="380">
        <f t="shared" ref="CS309" si="1755">CR309</f>
        <v>0</v>
      </c>
      <c r="CT309" s="380">
        <f t="shared" ref="CT309" si="1756">CS309</f>
        <v>0</v>
      </c>
      <c r="CU309" s="380">
        <f t="shared" ref="CU309" si="1757">CT309</f>
        <v>0</v>
      </c>
      <c r="CV309" s="380">
        <f t="shared" ref="CV309" si="1758">CU309</f>
        <v>0</v>
      </c>
      <c r="CW309" s="380">
        <f t="shared" ref="CW309" si="1759">CV309</f>
        <v>0</v>
      </c>
    </row>
    <row r="310" spans="1:101" s="9" customFormat="1" ht="11.25">
      <c r="A310" s="312"/>
      <c r="B310" s="313"/>
      <c r="C310" s="313"/>
      <c r="D310" s="313"/>
      <c r="E310" s="313"/>
      <c r="F310" s="313"/>
      <c r="G310" s="313"/>
      <c r="H310" s="313"/>
      <c r="I310" s="313"/>
      <c r="J310" s="313"/>
      <c r="K310" s="313"/>
      <c r="L310" s="313"/>
      <c r="M310" s="313"/>
      <c r="N310" s="313"/>
      <c r="O310" s="313"/>
      <c r="P310" s="313"/>
      <c r="Q310" s="313"/>
      <c r="R310" s="313"/>
      <c r="S310" s="313"/>
      <c r="T310" s="313"/>
      <c r="U310" s="313"/>
      <c r="V310" s="313"/>
      <c r="W310" s="313"/>
      <c r="X310" s="313"/>
      <c r="Y310" s="313"/>
      <c r="Z310" s="313"/>
      <c r="AA310" s="313"/>
      <c r="AB310" s="313"/>
      <c r="AC310" s="313"/>
      <c r="AD310" s="313"/>
      <c r="AE310" s="2173"/>
      <c r="AF310" s="313"/>
      <c r="AG310" s="313"/>
      <c r="AH310" s="313"/>
      <c r="AI310" s="313"/>
      <c r="AJ310" s="313"/>
      <c r="AK310" s="313"/>
      <c r="AL310" s="313"/>
      <c r="AM310" s="353"/>
      <c r="AN310" s="353"/>
      <c r="AO310" s="353"/>
      <c r="AP310" s="353"/>
      <c r="AQ310" s="353"/>
      <c r="AR310" s="353"/>
      <c r="AS310" s="353"/>
      <c r="AT310" s="1750"/>
      <c r="AU310" s="1750"/>
      <c r="AV310" s="1750"/>
      <c r="AW310" s="1750"/>
      <c r="AX310" s="1750"/>
      <c r="AY310" s="1750"/>
      <c r="AZ310" s="1750"/>
      <c r="BA310" s="1751"/>
      <c r="BB310" s="1750"/>
      <c r="BC310" s="1750"/>
      <c r="BD310" s="1751"/>
      <c r="BE310" s="1751"/>
      <c r="BF310" s="1751"/>
      <c r="BG310" s="1751"/>
      <c r="BH310" s="1751"/>
      <c r="BI310" s="1751"/>
      <c r="BJ310" s="1751"/>
      <c r="BK310" s="1686"/>
      <c r="BL310" s="380"/>
      <c r="BM310" s="380"/>
      <c r="BN310" s="380"/>
      <c r="BO310" s="380"/>
      <c r="BP310" s="380"/>
      <c r="BQ310" s="380"/>
      <c r="BR310" s="380"/>
      <c r="BS310" s="380"/>
      <c r="BT310" s="380"/>
      <c r="BU310" s="380"/>
      <c r="BV310" s="380"/>
      <c r="BW310" s="380"/>
      <c r="BX310" s="380"/>
      <c r="BY310" s="380"/>
      <c r="BZ310" s="380"/>
      <c r="CA310" s="380"/>
      <c r="CB310" s="380"/>
      <c r="CC310" s="380"/>
      <c r="CD310" s="380"/>
      <c r="CE310" s="380"/>
      <c r="CF310" s="380"/>
      <c r="CG310" s="380"/>
      <c r="CH310" s="380"/>
      <c r="CI310" s="380"/>
      <c r="CJ310" s="380"/>
      <c r="CK310" s="380"/>
      <c r="CL310" s="380"/>
      <c r="CM310" s="380"/>
      <c r="CN310" s="380"/>
      <c r="CO310" s="380"/>
      <c r="CP310" s="380"/>
      <c r="CQ310" s="380"/>
      <c r="CR310" s="380"/>
      <c r="CS310" s="380"/>
      <c r="CT310" s="380"/>
      <c r="CU310" s="380"/>
      <c r="CV310" s="380"/>
      <c r="CW310" s="380"/>
    </row>
    <row r="311" spans="1:101" s="9" customFormat="1" ht="11.25">
      <c r="A311" s="9" t="s">
        <v>301</v>
      </c>
      <c r="B311" s="337">
        <f>Q_Financials!B45</f>
        <v>3.0459999999999998</v>
      </c>
      <c r="C311" s="337">
        <f>Q_Financials!C45</f>
        <v>-8.8490000000000002</v>
      </c>
      <c r="D311" s="337">
        <f>Q_Financials!D45</f>
        <v>-10.225</v>
      </c>
      <c r="E311" s="337">
        <f>Q_Financials!E45</f>
        <v>-29.056999999999999</v>
      </c>
      <c r="F311" s="337">
        <f>Q_Financials!F45</f>
        <v>-1.0760000000000001</v>
      </c>
      <c r="G311" s="337">
        <f>Q_Financials!G45</f>
        <v>-47</v>
      </c>
      <c r="H311" s="337">
        <f>Q_Financials!H45</f>
        <v>-29.224</v>
      </c>
      <c r="I311" s="337">
        <f>Q_Financials!I45</f>
        <v>-50.448999999999998</v>
      </c>
      <c r="J311" s="337">
        <f>Q_Financials!J45</f>
        <v>-7.1120000000000001</v>
      </c>
      <c r="K311" s="337">
        <f>Q_Financials!K45</f>
        <v>-44.776000000000003</v>
      </c>
      <c r="L311" s="337">
        <f>Q_Financials!L45</f>
        <v>-38.615000000000002</v>
      </c>
      <c r="M311" s="337">
        <f>Q_Financials!M45</f>
        <v>-16.513999999999999</v>
      </c>
      <c r="N311" s="337">
        <f>Q_Financials!N45</f>
        <v>-28.259</v>
      </c>
      <c r="O311" s="337">
        <f>Q_Financials!O45</f>
        <v>-63.945999999999998</v>
      </c>
      <c r="P311" s="337">
        <f>Q_Financials!P45</f>
        <v>-55.521000000000001</v>
      </c>
      <c r="Q311" s="337">
        <f>Q_Financials!Q45</f>
        <v>-74.736000000000004</v>
      </c>
      <c r="R311" s="337">
        <f>Q_Financials!R45</f>
        <v>-43.588000000000001</v>
      </c>
      <c r="S311" s="337">
        <f>Q_Financials!S45</f>
        <v>-83.27</v>
      </c>
      <c r="T311" s="337">
        <f>Q_Financials!T45</f>
        <v>-82.614999999999995</v>
      </c>
      <c r="U311" s="337">
        <f>Q_Financials!U45</f>
        <v>-75.394999999999996</v>
      </c>
      <c r="V311" s="337">
        <f>Q_Financials!V45</f>
        <v>-27.76</v>
      </c>
      <c r="W311" s="337">
        <f>Q_Financials!W45</f>
        <v>-55.156999999999996</v>
      </c>
      <c r="X311" s="337">
        <f>Q_Financials!X45</f>
        <v>-76.459000000000003</v>
      </c>
      <c r="Y311" s="337">
        <f>Q_Financials!Y45</f>
        <v>-205.21700000000001</v>
      </c>
      <c r="Z311" s="337">
        <f>Q_Financials!Z45</f>
        <v>-103.474</v>
      </c>
      <c r="AA311" s="337">
        <f>Q_Financials!AA45</f>
        <v>-130.78800000000001</v>
      </c>
      <c r="AB311" s="337">
        <f>Q_Financials!AB45</f>
        <v>-126.65900000000001</v>
      </c>
      <c r="AC311" s="337">
        <f>Q_Financials!AC45</f>
        <v>-128.99700000000001</v>
      </c>
      <c r="AD311" s="337">
        <f>Q_Financials!AD45</f>
        <v>-47.018999999999998</v>
      </c>
      <c r="AE311" s="2157">
        <f>Q_Financials!AE45</f>
        <v>-167.61500000000001</v>
      </c>
      <c r="AF311" s="337">
        <f>Q_Financials!AF45</f>
        <v>-310.24700000000001</v>
      </c>
      <c r="AG311" s="337">
        <f>Q_Financials!AG45</f>
        <v>-4.351</v>
      </c>
      <c r="AH311" s="337">
        <f>Q_Financials!AH45</f>
        <v>-131.49100000000001</v>
      </c>
      <c r="AI311" s="337">
        <f>Q_Financials!AI45</f>
        <v>-78.558999999999997</v>
      </c>
      <c r="AJ311" s="337">
        <f>Q_Financials!AJ45</f>
        <v>-150.92400000000001</v>
      </c>
      <c r="AK311" s="337">
        <f>Q_Financials!AK45</f>
        <v>-474.45400000000001</v>
      </c>
      <c r="AL311" s="337">
        <f>Q_Financials!AL45</f>
        <v>-149.71299999999999</v>
      </c>
      <c r="AM311" s="337">
        <f>Q_Financials!AM45</f>
        <v>-199.19800000000001</v>
      </c>
      <c r="AN311" s="337">
        <f>Q_Financials!AN45</f>
        <v>-175.977</v>
      </c>
      <c r="AO311" s="337">
        <f>Q_Financials!AO45</f>
        <v>-173.40700000000001</v>
      </c>
      <c r="AP311" s="337">
        <f>Q_Financials!AP45</f>
        <v>-72.921999999999997</v>
      </c>
      <c r="AQ311" s="337">
        <f>Q_Financials!AQ45</f>
        <v>-131.61099999999999</v>
      </c>
      <c r="AR311" s="337">
        <f>Q_Financials!AR45</f>
        <v>-174.304</v>
      </c>
      <c r="AS311" s="337">
        <f>Q_Financials!AS45</f>
        <v>-256.58199999999999</v>
      </c>
      <c r="AT311" s="337">
        <f>Q_Financials!AT45</f>
        <v>-2.645</v>
      </c>
      <c r="AU311" s="337">
        <f>Q_Financials!AU45</f>
        <v>416.06599999999997</v>
      </c>
      <c r="AV311" s="337">
        <f>Q_Financials!AV45</f>
        <v>293.98099999999999</v>
      </c>
      <c r="AW311" s="337">
        <f>Q_Financials!AW45</f>
        <v>470.68700000000001</v>
      </c>
      <c r="AX311" s="337">
        <f>Q_Financials!AX45</f>
        <v>150.55500000000001</v>
      </c>
      <c r="AY311" s="337">
        <f>Q_Financials!AY45</f>
        <v>-13.696999999999999</v>
      </c>
      <c r="AZ311" s="337">
        <f>Q_Financials!AZ45</f>
        <v>-114.527</v>
      </c>
      <c r="BA311" s="337">
        <f>Q_Financials!BA45</f>
        <v>-237.27699999999999</v>
      </c>
      <c r="BB311" s="337">
        <f>Q_Financials!BB45</f>
        <v>-208.53899999999999</v>
      </c>
      <c r="BC311" s="337">
        <f>Q_Financials!BC45</f>
        <v>-105.298</v>
      </c>
      <c r="BD311" s="337">
        <f>Q_Financials!BD45</f>
        <v>-162.465</v>
      </c>
      <c r="BE311" s="337">
        <f>Q_Financials!BE45</f>
        <v>-460.709</v>
      </c>
      <c r="BF311" s="337">
        <f>Q_Financials!BF45</f>
        <v>-347.702</v>
      </c>
      <c r="BG311" s="337">
        <f>Q_Financials!BG45</f>
        <v>-257.02499999999998</v>
      </c>
      <c r="BH311" s="337">
        <f>Q_Financials!BH45</f>
        <v>-400.61500000000001</v>
      </c>
      <c r="BI311" s="337">
        <f>Q_Financials!BI45</f>
        <v>-452.53100000000001</v>
      </c>
      <c r="BJ311" s="337">
        <f>Q_Financials!BJ45</f>
        <v>-205.03299999999999</v>
      </c>
      <c r="BK311" s="1379">
        <f>Q_Financials!BK45</f>
        <v>-62.985999999999997</v>
      </c>
      <c r="BL311" s="338">
        <f t="shared" ref="BL311:CW311" si="1760">-BL313*BL314</f>
        <v>-24.198688838933119</v>
      </c>
      <c r="BM311" s="338">
        <f t="shared" si="1760"/>
        <v>-273.14395213595236</v>
      </c>
      <c r="BN311" s="338">
        <f t="shared" si="1760"/>
        <v>-87.612840927221811</v>
      </c>
      <c r="BO311" s="338">
        <f t="shared" si="1760"/>
        <v>-226.45459635922535</v>
      </c>
      <c r="BP311" s="338">
        <f t="shared" si="1760"/>
        <v>-333.68057821598836</v>
      </c>
      <c r="BQ311" s="338">
        <f t="shared" si="1760"/>
        <v>-331.65380123635725</v>
      </c>
      <c r="BR311" s="338">
        <f t="shared" si="1760"/>
        <v>-44.041729979902016</v>
      </c>
      <c r="BS311" s="338">
        <f t="shared" si="1760"/>
        <v>-388.92896824982711</v>
      </c>
      <c r="BT311" s="338">
        <f t="shared" si="1760"/>
        <v>-432.94346208320627</v>
      </c>
      <c r="BU311" s="338">
        <f t="shared" si="1760"/>
        <v>-579.55102520258981</v>
      </c>
      <c r="BV311" s="338">
        <f t="shared" si="1760"/>
        <v>-374.46305734128589</v>
      </c>
      <c r="BW311" s="338">
        <f t="shared" si="1760"/>
        <v>-512.28020476006225</v>
      </c>
      <c r="BX311" s="338">
        <f t="shared" si="1760"/>
        <v>-497.75101430364452</v>
      </c>
      <c r="BY311" s="338">
        <f t="shared" si="1760"/>
        <v>-594.59851893053917</v>
      </c>
      <c r="BZ311" s="338">
        <f t="shared" si="1760"/>
        <v>-409.5993527853928</v>
      </c>
      <c r="CA311" s="338">
        <f t="shared" si="1760"/>
        <v>-560.27523541574908</v>
      </c>
      <c r="CB311" s="338">
        <f t="shared" si="1760"/>
        <v>-526.76082259892132</v>
      </c>
      <c r="CC311" s="338">
        <f t="shared" si="1760"/>
        <v>-595.24891366820987</v>
      </c>
      <c r="CD311" s="338">
        <f t="shared" si="1760"/>
        <v>-449.14118294481852</v>
      </c>
      <c r="CE311" s="338">
        <f t="shared" si="1760"/>
        <v>-598.6402931635231</v>
      </c>
      <c r="CF311" s="338">
        <f t="shared" si="1760"/>
        <v>-566.70000100361744</v>
      </c>
      <c r="CG311" s="338">
        <f t="shared" si="1760"/>
        <v>-643.12560640506695</v>
      </c>
      <c r="CH311" s="338">
        <f t="shared" si="1760"/>
        <v>-483.69394728125468</v>
      </c>
      <c r="CI311" s="338">
        <f t="shared" si="1760"/>
        <v>-633.63918537292034</v>
      </c>
      <c r="CJ311" s="338">
        <f t="shared" si="1760"/>
        <v>-604.14968655101359</v>
      </c>
      <c r="CK311" s="338">
        <f t="shared" si="1760"/>
        <v>-689.00302963893967</v>
      </c>
      <c r="CL311" s="338">
        <f t="shared" si="1760"/>
        <v>-519.06803076861775</v>
      </c>
      <c r="CM311" s="338">
        <f t="shared" si="1760"/>
        <v>-669.27142451420775</v>
      </c>
      <c r="CN311" s="338">
        <f t="shared" si="1760"/>
        <v>-642.22411744907731</v>
      </c>
      <c r="CO311" s="338">
        <f t="shared" si="1760"/>
        <v>-735.9920203589204</v>
      </c>
      <c r="CP311" s="338">
        <f t="shared" si="1760"/>
        <v>-553.64452057027677</v>
      </c>
      <c r="CQ311" s="338">
        <f t="shared" si="1760"/>
        <v>-703.50249787019766</v>
      </c>
      <c r="CR311" s="338">
        <f t="shared" si="1760"/>
        <v>-679.39710476275991</v>
      </c>
      <c r="CS311" s="338">
        <f t="shared" si="1760"/>
        <v>-781.71305772364155</v>
      </c>
      <c r="CT311" s="338">
        <f t="shared" si="1760"/>
        <v>-587.18155141038551</v>
      </c>
      <c r="CU311" s="338">
        <f t="shared" si="1760"/>
        <v>-737.75702227538716</v>
      </c>
      <c r="CV311" s="338">
        <f t="shared" si="1760"/>
        <v>-715.24952686941208</v>
      </c>
      <c r="CW311" s="338">
        <f t="shared" si="1760"/>
        <v>-826.16139956714744</v>
      </c>
    </row>
    <row r="312" spans="1:101" s="9" customFormat="1" ht="11.25">
      <c r="A312" s="1402" t="s">
        <v>1261</v>
      </c>
      <c r="B312" s="1286">
        <f>+Q_Financials!B44+Q_Financials!B16-Q_Financials!B38+Q_Financials!B39-Q_Financials!B32+Q_Financials!B33</f>
        <v>-28.899000000000029</v>
      </c>
      <c r="C312" s="1286">
        <f>+Q_Financials!C44+Q_Financials!C16-Q_Financials!C38+Q_Financials!C39-Q_Financials!C32+Q_Financials!C33</f>
        <v>-29.417000000000144</v>
      </c>
      <c r="D312" s="1286">
        <f>+Q_Financials!D44+Q_Financials!D16-Q_Financials!D38+Q_Financials!D39-Q_Financials!D32+Q_Financials!D33</f>
        <v>79.464999999999719</v>
      </c>
      <c r="E312" s="1286">
        <f>+Q_Financials!E44+Q_Financials!E16-Q_Financials!E38+Q_Financials!E39-Q_Financials!E32+Q_Financials!E33</f>
        <v>162.79399999999981</v>
      </c>
      <c r="F312" s="1286">
        <f>+Q_Financials!F44+Q_Financials!F16-Q_Financials!F38+Q_Financials!F39-Q_Financials!F32+Q_Financials!F33</f>
        <v>4.4830000000001178</v>
      </c>
      <c r="G312" s="1286">
        <f>+Q_Financials!G44+Q_Financials!G16-Q_Financials!G38+Q_Financials!G39-Q_Financials!G32+Q_Financials!G33</f>
        <v>150.69199999999998</v>
      </c>
      <c r="H312" s="1286">
        <f>+Q_Financials!H44+Q_Financials!H16-Q_Financials!H38+Q_Financials!H39-Q_Financials!H32+Q_Financials!H33</f>
        <v>46.359999999999928</v>
      </c>
      <c r="I312" s="1286">
        <f>+Q_Financials!I44+Q_Financials!I16-Q_Financials!I38+Q_Financials!I39-Q_Financials!I32+Q_Financials!I33</f>
        <v>85.203999999999809</v>
      </c>
      <c r="J312" s="1286">
        <f>+Q_Financials!J44+Q_Financials!J16-Q_Financials!J38+Q_Financials!J39-Q_Financials!J32+Q_Financials!J33</f>
        <v>26.246000000000095</v>
      </c>
      <c r="K312" s="1286">
        <f>+Q_Financials!K44+Q_Financials!K16-Q_Financials!K38+Q_Financials!K39-Q_Financials!K32+Q_Financials!K33</f>
        <v>101.89500000000027</v>
      </c>
      <c r="L312" s="1286">
        <f>+Q_Financials!L44+Q_Financials!L16-Q_Financials!L38+Q_Financials!L39-Q_Financials!L32+Q_Financials!L33</f>
        <v>126.23400000000012</v>
      </c>
      <c r="M312" s="1286">
        <f>+Q_Financials!M44+Q_Financials!M16-Q_Financials!M38+Q_Financials!M39-Q_Financials!M32+Q_Financials!M33</f>
        <v>89.402999999999963</v>
      </c>
      <c r="N312" s="1286">
        <f>+Q_Financials!N44+Q_Financials!N16-Q_Financials!N38+Q_Financials!N39-Q_Financials!N32+Q_Financials!N33</f>
        <v>48.26999999999984</v>
      </c>
      <c r="O312" s="1286">
        <f>+Q_Financials!O44+Q_Financials!O16-Q_Financials!O38+Q_Financials!O39-Q_Financials!O32+Q_Financials!O33</f>
        <v>201.38499999999971</v>
      </c>
      <c r="P312" s="1286">
        <f>+Q_Financials!P44+Q_Financials!P16-Q_Financials!P38+Q_Financials!P39-Q_Financials!P32+Q_Financials!P33</f>
        <v>150.09599999999992</v>
      </c>
      <c r="Q312" s="1286">
        <f>+Q_Financials!Q44+Q_Financials!Q16-Q_Financials!Q38+Q_Financials!Q39-Q_Financials!Q32+Q_Financials!Q33</f>
        <v>226.15499999999992</v>
      </c>
      <c r="R312" s="1286">
        <f>+Q_Financials!R44+Q_Financials!R16-Q_Financials!R38+Q_Financials!R39-Q_Financials!R32+Q_Financials!R33</f>
        <v>116.54000000000013</v>
      </c>
      <c r="S312" s="1286">
        <f>+Q_Financials!S44+Q_Financials!S16-Q_Financials!S38+Q_Financials!S39-Q_Financials!S32+Q_Financials!S33</f>
        <v>230.00600000000006</v>
      </c>
      <c r="T312" s="1286">
        <f>+Q_Financials!T44+Q_Financials!T16-Q_Financials!T38+Q_Financials!T39-Q_Financials!T32+Q_Financials!T33</f>
        <v>266.7199999999998</v>
      </c>
      <c r="U312" s="1286">
        <f>+Q_Financials!U44+Q_Financials!U16-Q_Financials!U38+Q_Financials!U39-Q_Financials!U32+Q_Financials!U33</f>
        <v>336.49200000000036</v>
      </c>
      <c r="V312" s="1286">
        <f>+Q_Financials!V44+Q_Financials!V16-Q_Financials!V38+Q_Financials!V39-Q_Financials!V32+Q_Financials!V33</f>
        <v>96.139000000000181</v>
      </c>
      <c r="W312" s="1286">
        <f>+Q_Financials!W44+Q_Financials!W16-Q_Financials!W38+Q_Financials!W39-Q_Financials!W32+Q_Financials!W33</f>
        <v>140.92199999999991</v>
      </c>
      <c r="X312" s="1286">
        <f>+Q_Financials!X44+Q_Financials!X16-Q_Financials!X38+Q_Financials!X39-Q_Financials!X32+Q_Financials!X33</f>
        <v>261.24800000000045</v>
      </c>
      <c r="Y312" s="1286">
        <f>+Q_Financials!Y44+Q_Financials!Y16-Q_Financials!Y38+Q_Financials!Y39-Q_Financials!Y32+Q_Financials!Y33</f>
        <v>497.49199999999962</v>
      </c>
      <c r="Z312" s="1286">
        <f>+Q_Financials!Z44+Q_Financials!Z16-Q_Financials!Z38+Q_Financials!Z39-Q_Financials!Z32+Q_Financials!Z33</f>
        <v>408.56600000000134</v>
      </c>
      <c r="AA312" s="1286">
        <f>+Q_Financials!AA44+Q_Financials!AA16-Q_Financials!AA38+Q_Financials!AA39-Q_Financials!AA32+Q_Financials!AA33</f>
        <v>229.24999999999989</v>
      </c>
      <c r="AB312" s="1286">
        <f>+Q_Financials!AB44+Q_Financials!AB16-Q_Financials!AB38+Q_Financials!AB39-Q_Financials!AB32+Q_Financials!AB33</f>
        <v>258.85099999999994</v>
      </c>
      <c r="AC312" s="1286">
        <f>+Q_Financials!AC44+Q_Financials!AC16-Q_Financials!AC38+Q_Financials!AC39-Q_Financials!AC32+Q_Financials!AC33</f>
        <v>626.00299999999936</v>
      </c>
      <c r="AD312" s="1286">
        <f>+Q_Financials!AD44+Q_Financials!AD16-Q_Financials!AD38+Q_Financials!AD39-Q_Financials!AD32+Q_Financials!AD33</f>
        <v>102.07600000000025</v>
      </c>
      <c r="AE312" s="2174">
        <f>+Q_Financials!AE44+Q_Financials!AE16-Q_Financials!AE38+Q_Financials!AE39-Q_Financials!AE32+Q_Financials!AE33</f>
        <v>398.7819999999989</v>
      </c>
      <c r="AF312" s="1286">
        <f>+Q_Financials!AF44+Q_Financials!AF16-Q_Financials!AF38+Q_Financials!AF39-Q_Financials!AF32+Q_Financials!AF33</f>
        <v>496.61399999999992</v>
      </c>
      <c r="AG312" s="1286">
        <f>+Q_Financials!AG44+Q_Financials!AG16-Q_Financials!AG38+Q_Financials!AG39-Q_Financials!AG32+Q_Financials!AG33</f>
        <v>658.25000000000034</v>
      </c>
      <c r="AH312" s="1286">
        <f>+Q_Financials!AH44+Q_Financials!AH16-Q_Financials!AH38+Q_Financials!AH39-Q_Financials!AH32+Q_Financials!AH33</f>
        <v>349.80399999999975</v>
      </c>
      <c r="AI312" s="1286">
        <f>+Q_Financials!AI44+Q_Financials!AI16-Q_Financials!AI38+Q_Financials!AI39-Q_Financials!AI32+Q_Financials!AI33</f>
        <v>172.70700000000033</v>
      </c>
      <c r="AJ312" s="1286">
        <f>+Q_Financials!AJ44+Q_Financials!AJ16-Q_Financials!AJ38+Q_Financials!AJ39-Q_Financials!AJ32+Q_Financials!AJ33</f>
        <v>380.03099999999904</v>
      </c>
      <c r="AK312" s="1286">
        <f>+Q_Financials!AK44+Q_Financials!AK16-Q_Financials!AK38+Q_Financials!AK39-Q_Financials!AK32+Q_Financials!AK33</f>
        <v>1185.0060000000008</v>
      </c>
      <c r="AL312" s="1286">
        <f>+Q_Financials!AL44+Q_Financials!AL16-Q_Financials!AL38+Q_Financials!AL39-Q_Financials!AL32+Q_Financials!AL33</f>
        <v>390.71300000000008</v>
      </c>
      <c r="AM312" s="1286">
        <f>+Q_Financials!AM44+Q_Financials!AM16-Q_Financials!AM38+Q_Financials!AM39-Q_Financials!AM32+Q_Financials!AM33</f>
        <v>445.37199999999984</v>
      </c>
      <c r="AN312" s="1286">
        <f>+Q_Financials!AN44+Q_Financials!AN16-Q_Financials!AN38+Q_Financials!AN39-Q_Financials!AN32+Q_Financials!AN33</f>
        <v>500.12700000000041</v>
      </c>
      <c r="AO312" s="1286">
        <f>+Q_Financials!AO44+Q_Financials!AO16-Q_Financials!AO38+Q_Financials!AO39-Q_Financials!AO32+Q_Financials!AO33</f>
        <v>501.40699999999879</v>
      </c>
      <c r="AP312" s="1286">
        <f>+Q_Financials!AP44+Q_Financials!AP16-Q_Financials!AP38+Q_Financials!AP39-Q_Financials!AP32+Q_Financials!AP33</f>
        <v>188.63399999999979</v>
      </c>
      <c r="AQ312" s="1286">
        <f>+Q_Financials!AQ44+Q_Financials!AQ16-Q_Financials!AQ38+Q_Financials!AQ39-Q_Financials!AQ32+Q_Financials!AQ33</f>
        <v>299.92300000000137</v>
      </c>
      <c r="AR312" s="1286">
        <f>+Q_Financials!AR44+Q_Financials!AR16-Q_Financials!AR38+Q_Financials!AR39-Q_Financials!AR32+Q_Financials!AR33</f>
        <v>373.85599999999886</v>
      </c>
      <c r="AS312" s="1286">
        <f>+Q_Financials!AS44+Q_Financials!AS16-Q_Financials!AS38+Q_Financials!AS39-Q_Financials!AS32+Q_Financials!AS33</f>
        <v>695.48399999999901</v>
      </c>
      <c r="AT312" s="1749">
        <f>+Q_Financials!AT44+Q_Financials!AT16-Q_Financials!AT38+Q_Financials!AT39-Q_Financials!AT32+Q_Financials!AT33</f>
        <v>-436.28300000000058</v>
      </c>
      <c r="AU312" s="1749">
        <f>+Q_Financials!AU44+Q_Financials!AU16-Q_Financials!AU38+Q_Financials!AU39-Q_Financials!AU32+Q_Financials!AU33</f>
        <v>-3066.1170000000002</v>
      </c>
      <c r="AV312" s="1749">
        <f>+Q_Financials!AV44+Q_Financials!AV16-Q_Financials!AV38+Q_Financials!AV39-Q_Financials!AV32+Q_Financials!AV33</f>
        <v>-1327.7480000000007</v>
      </c>
      <c r="AW312" s="1749">
        <f>+Q_Financials!AW44+Q_Financials!AW16-Q_Financials!AW38+Q_Financials!AW39-Q_Financials!AW32+Q_Financials!AW33</f>
        <v>-716.03900000000021</v>
      </c>
      <c r="AX312" s="1749">
        <f>+Q_Financials!AX44+Q_Financials!AX16-Q_Financials!AX38+Q_Financials!AX39-Q_Financials!AX32+Q_Financials!AX33</f>
        <v>-660.28199999999993</v>
      </c>
      <c r="AY312" s="1749">
        <f>+Q_Financials!AY44+Q_Financials!AY16-Q_Financials!AY38+Q_Financials!AY39-Q_Financials!AY32+Q_Financials!AY33</f>
        <v>35.992999999999824</v>
      </c>
      <c r="AZ312" s="1807">
        <f>+Q_Financials!AZ44+Q_Financials!AZ16-Q_Financials!AZ38+Q_Financials!AZ39-Q_Financials!AZ32+Q_Financials!AZ33</f>
        <v>376.11099999999942</v>
      </c>
      <c r="BA312" s="1807">
        <f>+Q_Financials!BA44+Q_Financials!BA16-Q_Financials!BA38+Q_Financials!BA39-Q_Financials!BA32+Q_Financials!BA33</f>
        <v>900.35100000000045</v>
      </c>
      <c r="BB312" s="1749">
        <f>+Q_Financials!BB44+Q_Financials!BB16-Q_Financials!BB38+Q_Financials!BB39-Q_Financials!BB32+Q_Financials!BB33</f>
        <v>580.90999999999951</v>
      </c>
      <c r="BC312" s="1749">
        <f>+Q_Financials!BC44+Q_Financials!BC16-Q_Financials!BC38+Q_Financials!BC39-Q_Financials!BC32+Q_Financials!BC33</f>
        <v>331.96800000000019</v>
      </c>
      <c r="BD312" s="1807">
        <f>+Q_Financials!BD44+Q_Financials!BD16-Q_Financials!BD38+Q_Financials!BD39-Q_Financials!BD32+Q_Financials!BD33</f>
        <v>487.97299999999836</v>
      </c>
      <c r="BE312" s="1807">
        <f>+Q_Financials!BE44+Q_Financials!BE16-Q_Financials!BE38+Q_Financials!BE39-Q_Financials!BE32+Q_Financials!BE33</f>
        <v>1193.2879999999998</v>
      </c>
      <c r="BF312" s="1807">
        <f>+Q_Financials!BF44+Q_Financials!BF16-Q_Financials!BF38+Q_Financials!BF39-Q_Financials!BF32+Q_Financials!BF33</f>
        <v>873.13</v>
      </c>
      <c r="BG312" s="1807">
        <f>+Q_Financials!BG44+Q_Financials!BG16-Q_Financials!BG38+Q_Financials!BG39-Q_Financials!BG32+Q_Financials!BG33</f>
        <v>745.39399999999955</v>
      </c>
      <c r="BH312" s="1807">
        <f>+Q_Financials!BH44+Q_Financials!BH16-Q_Financials!BH38+Q_Financials!BH39-Q_Financials!BH32+Q_Financials!BH33</f>
        <v>929.87499999999784</v>
      </c>
      <c r="BI312" s="1807">
        <f>+Q_Financials!BI44+Q_Financials!BI16-Q_Financials!BI38+Q_Financials!BI39-Q_Financials!BI32+Q_Financials!BI33</f>
        <v>1758.6379999999995</v>
      </c>
      <c r="BJ312" s="1807">
        <f>+Q_Financials!BJ44+Q_Financials!BJ16-Q_Financials!BJ38+Q_Financials!BJ39-Q_Financials!BJ32+Q_Financials!BJ33</f>
        <v>616.40100000000086</v>
      </c>
      <c r="BK312" s="1810">
        <f>+Q_Financials!BK44+Q_Financials!BK16-Q_Financials!BK38+Q_Financials!BK39-Q_Financials!BK32+Q_Financials!BK33</f>
        <v>234.92200000000162</v>
      </c>
      <c r="BL312" s="1215">
        <f>+Q_Financials!BL44+Q_Financials!BL16-Q_Financials!BL32+Q_Financials!BL33-Q_Financials!BL38+Q_Financials!BL39</f>
        <v>330.17813108679104</v>
      </c>
      <c r="BM312" s="1215">
        <f>+Q_Financials!BM44+Q_Financials!BM16-Q_Financials!BM32+Q_Financials!BM33-Q_Financials!BM38+Q_Financials!BM39</f>
        <v>1028.2944973313956</v>
      </c>
      <c r="BN312" s="1215">
        <f>+Q_Financials!BN44+Q_Financials!BN16-Q_Financials!BN32+Q_Financials!BN33-Q_Financials!BN38+Q_Financials!BN39</f>
        <v>493.84109093490224</v>
      </c>
      <c r="BO312" s="1215">
        <f>+Q_Financials!BO44+Q_Financials!BO16-Q_Financials!BO32+Q_Financials!BO33-Q_Financials!BO38+Q_Financials!BO39</f>
        <v>731.49563241500891</v>
      </c>
      <c r="BP312" s="1215">
        <f>+Q_Financials!BP44+Q_Financials!BP16-Q_Financials!BP32+Q_Financials!BP33-Q_Financials!BP38+Q_Financials!BP39</f>
        <v>1032.1037059685523</v>
      </c>
      <c r="BQ312" s="1215">
        <f>+Q_Financials!BQ44+Q_Financials!BQ16-Q_Financials!BQ32+Q_Financials!BQ33-Q_Financials!BQ38+Q_Financials!BQ39</f>
        <v>1085.6225720220898</v>
      </c>
      <c r="BR312" s="1215">
        <f>+Q_Financials!BR44+Q_Financials!BR16-Q_Financials!BR32+Q_Financials!BR33-Q_Financials!BR38+Q_Financials!BR39</f>
        <v>258.63282508823795</v>
      </c>
      <c r="BS312" s="1215">
        <f>+Q_Financials!BS44+Q_Financials!BS16-Q_Financials!BS32+Q_Financials!BS33-Q_Financials!BS38+Q_Financials!BS39</f>
        <v>1161.5852619778886</v>
      </c>
      <c r="BT312" s="1215">
        <f>+Q_Financials!BT44+Q_Financials!BT16-Q_Financials!BT32+Q_Financials!BT33-Q_Financials!BT38+Q_Financials!BT39</f>
        <v>1284.3240475821553</v>
      </c>
      <c r="BU312" s="1215">
        <f>+Q_Financials!BU44+Q_Financials!BU16-Q_Financials!BU32+Q_Financials!BU33-Q_Financials!BU38+Q_Financials!BU39</f>
        <v>1782.0509435093991</v>
      </c>
      <c r="BV312" s="1215">
        <f>+Q_Financials!BV44+Q_Financials!BV16-Q_Financials!BV32+Q_Financials!BV33-Q_Financials!BV38+Q_Financials!BV39</f>
        <v>1201.5024730919217</v>
      </c>
      <c r="BW312" s="1215">
        <f>+Q_Financials!BW44+Q_Financials!BW16-Q_Financials!BW32+Q_Financials!BW33-Q_Financials!BW38+Q_Financials!BW39</f>
        <v>1496.1073058041711</v>
      </c>
      <c r="BX312" s="1215">
        <f>+Q_Financials!BX44+Q_Financials!BX16-Q_Financials!BX32+Q_Financials!BX33-Q_Financials!BX38+Q_Financials!BX39</f>
        <v>1449.7634755711144</v>
      </c>
      <c r="BY312" s="1215">
        <f>+Q_Financials!BY44+Q_Financials!BY16-Q_Financials!BY32+Q_Financials!BY33-Q_Financials!BY38+Q_Financials!BY39</f>
        <v>1804.1032253490821</v>
      </c>
      <c r="BZ312" s="1215">
        <f>+Q_Financials!BZ44+Q_Financials!BZ16-Q_Financials!BZ32+Q_Financials!BZ33-Q_Financials!BZ38+Q_Financials!BZ39</f>
        <v>1249.8464012465461</v>
      </c>
      <c r="CA312" s="1215">
        <f>+Q_Financials!CA44+Q_Financials!CA16-Q_Financials!CA32+Q_Financials!CA33-Q_Financials!CA38+Q_Financials!CA39</f>
        <v>1582.0621887734189</v>
      </c>
      <c r="CB312" s="1215">
        <f>+Q_Financials!CB44+Q_Financials!CB16-Q_Financials!CB32+Q_Financials!CB33-Q_Financials!CB38+Q_Financials!CB39</f>
        <v>1484.8803279651095</v>
      </c>
      <c r="CC312" s="1215">
        <f>+Q_Financials!CC44+Q_Financials!CC16-Q_Financials!CC32+Q_Financials!CC33-Q_Financials!CC38+Q_Financials!CC39</f>
        <v>1755.2230082342808</v>
      </c>
      <c r="CD312" s="1215">
        <f>+Q_Financials!CD44+Q_Financials!CD16-Q_Financials!CD32+Q_Financials!CD33-Q_Financials!CD38+Q_Financials!CD39</f>
        <v>1316.8663657208401</v>
      </c>
      <c r="CE312" s="1215">
        <f>+Q_Financials!CE44+Q_Financials!CE16-Q_Financials!CE32+Q_Financials!CE33-Q_Financials!CE38+Q_Financials!CE39</f>
        <v>1645.6776064299449</v>
      </c>
      <c r="CF312" s="1215">
        <f>+Q_Financials!CF44+Q_Financials!CF16-Q_Financials!CF32+Q_Financials!CF33-Q_Financials!CF38+Q_Financials!CF39</f>
        <v>1558.6282967243892</v>
      </c>
      <c r="CG312" s="1215">
        <f>+Q_Financials!CG44+Q_Financials!CG16-Q_Financials!CG32+Q_Financials!CG33-Q_Financials!CG38+Q_Financials!CG39</f>
        <v>1858.0577706762801</v>
      </c>
      <c r="CH312" s="1215">
        <f>+Q_Financials!CH44+Q_Financials!CH16-Q_Financials!CH32+Q_Financials!CH33-Q_Financials!CH38+Q_Financials!CH39</f>
        <v>1377.4434837958563</v>
      </c>
      <c r="CI312" s="1215">
        <f>+Q_Financials!CI44+Q_Financials!CI16-Q_Financials!CI32+Q_Financials!CI33-Q_Financials!CI38+Q_Financials!CI39</f>
        <v>1707.0798473301968</v>
      </c>
      <c r="CJ312" s="1215">
        <f>+Q_Financials!CJ44+Q_Financials!CJ16-Q_Financials!CJ32+Q_Financials!CJ33-Q_Financials!CJ38+Q_Financials!CJ39</f>
        <v>1632.3797993382948</v>
      </c>
      <c r="CK312" s="1215">
        <f>+Q_Financials!CK44+Q_Financials!CK16-Q_Financials!CK32+Q_Financials!CK33-Q_Financials!CK38+Q_Financials!CK39</f>
        <v>1962.1601599076912</v>
      </c>
      <c r="CL312" s="1215">
        <f>+Q_Financials!CL44+Q_Financials!CL16-Q_Financials!CL32+Q_Financials!CL33-Q_Financials!CL38+Q_Financials!CL39</f>
        <v>1444.8864298593421</v>
      </c>
      <c r="CM312" s="1215">
        <f>+Q_Financials!CM44+Q_Financials!CM16-Q_Financials!CM32+Q_Financials!CM33-Q_Financials!CM38+Q_Financials!CM39</f>
        <v>1772.7832193698696</v>
      </c>
      <c r="CN312" s="1215">
        <f>+Q_Financials!CN44+Q_Financials!CN16-Q_Financials!CN32+Q_Financials!CN33-Q_Financials!CN38+Q_Financials!CN39</f>
        <v>1710.5291167742857</v>
      </c>
      <c r="CO312" s="1215">
        <f>+Q_Financials!CO44+Q_Financials!CO16-Q_Financials!CO32+Q_Financials!CO33-Q_Financials!CO38+Q_Financials!CO39</f>
        <v>2072.3103550642604</v>
      </c>
      <c r="CP312" s="1215">
        <f>+Q_Financials!CP44+Q_Financials!CP16-Q_Financials!CP32+Q_Financials!CP33-Q_Financials!CP38+Q_Financials!CP39</f>
        <v>1513.2749433254094</v>
      </c>
      <c r="CQ312" s="1215">
        <f>+Q_Financials!CQ44+Q_Financials!CQ16-Q_Financials!CQ32+Q_Financials!CQ33-Q_Financials!CQ38+Q_Financials!CQ39</f>
        <v>1838.5258575728317</v>
      </c>
      <c r="CR312" s="1215">
        <f>+Q_Financials!CR44+Q_Financials!CR16-Q_Financials!CR32+Q_Financials!CR33-Q_Financials!CR38+Q_Financials!CR39</f>
        <v>1790.1065787291946</v>
      </c>
      <c r="CS312" s="1215">
        <f>+Q_Financials!CS44+Q_Financials!CS16-Q_Financials!CS32+Q_Financials!CS33-Q_Financials!CS38+Q_Financials!CS39</f>
        <v>2182.806568242886</v>
      </c>
      <c r="CT312" s="1215">
        <f>+Q_Financials!CT44+Q_Financials!CT16-Q_Financials!CT32+Q_Financials!CT33-Q_Financials!CT38+Q_Financials!CT39</f>
        <v>1581.7602911578795</v>
      </c>
      <c r="CU312" s="1215">
        <f>+Q_Financials!CU44+Q_Financials!CU16-Q_Financials!CU32+Q_Financials!CU33-Q_Financials!CU38+Q_Financials!CU39</f>
        <v>1907.0737419400707</v>
      </c>
      <c r="CV312" s="1215">
        <f>+Q_Financials!CV44+Q_Financials!CV16-Q_Financials!CV32+Q_Financials!CV33-Q_Financials!CV38+Q_Financials!CV39</f>
        <v>1868.615717576808</v>
      </c>
      <c r="CW312" s="1215">
        <f>+Q_Financials!CW44+Q_Financials!CW16-Q_Financials!CW32+Q_Financials!CW33-Q_Financials!CW38+Q_Financials!CW39</f>
        <v>2293.8658893817728</v>
      </c>
    </row>
    <row r="313" spans="1:101" s="9" customFormat="1" ht="11.25">
      <c r="A313" s="312" t="s">
        <v>302</v>
      </c>
      <c r="B313" s="344">
        <f t="shared" ref="B313:AT313" si="1761">-B311/B312</f>
        <v>0.10540157098861541</v>
      </c>
      <c r="C313" s="344">
        <f t="shared" si="1761"/>
        <v>-0.30081245538294038</v>
      </c>
      <c r="D313" s="344">
        <f t="shared" si="1761"/>
        <v>0.12867300069212906</v>
      </c>
      <c r="E313" s="344">
        <f t="shared" si="1761"/>
        <v>0.17848937921545041</v>
      </c>
      <c r="F313" s="344">
        <f t="shared" si="1761"/>
        <v>0.24001784519294486</v>
      </c>
      <c r="G313" s="344">
        <f t="shared" si="1761"/>
        <v>0.31189446022350231</v>
      </c>
      <c r="H313" s="344">
        <f t="shared" si="1761"/>
        <v>0.63037100949094149</v>
      </c>
      <c r="I313" s="344">
        <f t="shared" si="1761"/>
        <v>0.5920966151823871</v>
      </c>
      <c r="J313" s="344">
        <f t="shared" si="1761"/>
        <v>0.27097462470471595</v>
      </c>
      <c r="K313" s="344">
        <f t="shared" si="1761"/>
        <v>0.43943274939888988</v>
      </c>
      <c r="L313" s="344">
        <f t="shared" si="1761"/>
        <v>0.30590015368284268</v>
      </c>
      <c r="M313" s="344">
        <f t="shared" si="1761"/>
        <v>0.184714159480107</v>
      </c>
      <c r="N313" s="344">
        <f t="shared" si="1761"/>
        <v>0.58543608866791164</v>
      </c>
      <c r="O313" s="344">
        <f t="shared" si="1761"/>
        <v>0.31753109715222133</v>
      </c>
      <c r="P313" s="344">
        <f t="shared" si="1761"/>
        <v>0.36990326191237627</v>
      </c>
      <c r="Q313" s="344">
        <f t="shared" si="1761"/>
        <v>0.33046362008357116</v>
      </c>
      <c r="R313" s="344">
        <f t="shared" si="1761"/>
        <v>0.3740175047194092</v>
      </c>
      <c r="S313" s="344">
        <f t="shared" si="1761"/>
        <v>0.36203403389476785</v>
      </c>
      <c r="T313" s="344">
        <f t="shared" si="1761"/>
        <v>0.30974430113977225</v>
      </c>
      <c r="U313" s="344">
        <f t="shared" si="1761"/>
        <v>0.2240617904734731</v>
      </c>
      <c r="V313" s="344">
        <f t="shared" si="1761"/>
        <v>0.28874858278118087</v>
      </c>
      <c r="W313" s="344">
        <f t="shared" si="1761"/>
        <v>0.39140091681923356</v>
      </c>
      <c r="X313" s="344">
        <f t="shared" si="1761"/>
        <v>0.29266826923076872</v>
      </c>
      <c r="Y313" s="344">
        <f t="shared" si="1761"/>
        <v>0.41250311562799036</v>
      </c>
      <c r="Z313" s="344">
        <f t="shared" si="1761"/>
        <v>0.25326140696974214</v>
      </c>
      <c r="AA313" s="344">
        <f t="shared" si="1761"/>
        <v>0.5705038167938935</v>
      </c>
      <c r="AB313" s="344">
        <f t="shared" si="1761"/>
        <v>0.48931238434466173</v>
      </c>
      <c r="AC313" s="344">
        <f t="shared" si="1761"/>
        <v>0.20606450767807846</v>
      </c>
      <c r="AD313" s="344">
        <f t="shared" si="1761"/>
        <v>0.46062737568086409</v>
      </c>
      <c r="AE313" s="2175">
        <f t="shared" si="1761"/>
        <v>0.42031736638063022</v>
      </c>
      <c r="AF313" s="344">
        <f t="shared" si="1761"/>
        <v>0.62472463522977617</v>
      </c>
      <c r="AG313" s="344">
        <f t="shared" si="1761"/>
        <v>6.6099506266615992E-3</v>
      </c>
      <c r="AH313" s="344">
        <f t="shared" si="1761"/>
        <v>0.37589907491052166</v>
      </c>
      <c r="AI313" s="344">
        <f t="shared" si="1761"/>
        <v>0.45486865037317448</v>
      </c>
      <c r="AJ313" s="344">
        <f t="shared" si="1761"/>
        <v>0.39713602311390489</v>
      </c>
      <c r="AK313" s="344">
        <f t="shared" si="1761"/>
        <v>0.40038109511681774</v>
      </c>
      <c r="AL313" s="344">
        <f t="shared" si="1761"/>
        <v>0.38317895744446684</v>
      </c>
      <c r="AM313" s="344">
        <f t="shared" si="1761"/>
        <v>0.44726206407228131</v>
      </c>
      <c r="AN313" s="344">
        <f t="shared" si="1761"/>
        <v>0.35186462638489796</v>
      </c>
      <c r="AO313" s="344">
        <f t="shared" si="1761"/>
        <v>0.34584080397760786</v>
      </c>
      <c r="AP313" s="344">
        <f t="shared" si="1761"/>
        <v>0.38657930171655203</v>
      </c>
      <c r="AQ313" s="344">
        <f t="shared" si="1761"/>
        <v>0.43881596276377399</v>
      </c>
      <c r="AR313" s="344">
        <f t="shared" si="1761"/>
        <v>0.4662329881023724</v>
      </c>
      <c r="AS313" s="344">
        <f t="shared" si="1761"/>
        <v>0.36892581281524861</v>
      </c>
      <c r="AT313" s="1751">
        <f t="shared" si="1761"/>
        <v>-6.062578647345866E-3</v>
      </c>
      <c r="AU313" s="1751">
        <f t="shared" ref="AU313:BC313" si="1762">-AU311/AU312</f>
        <v>0.13569801804693035</v>
      </c>
      <c r="AV313" s="1751">
        <f t="shared" si="1762"/>
        <v>0.2214132501046884</v>
      </c>
      <c r="AW313" s="1751">
        <f t="shared" si="1762"/>
        <v>0.65734827292926767</v>
      </c>
      <c r="AX313" s="1751">
        <f t="shared" si="1762"/>
        <v>0.228016211255191</v>
      </c>
      <c r="AY313" s="1751">
        <f t="shared" si="1762"/>
        <v>0.3805462173200363</v>
      </c>
      <c r="AZ313" s="1751">
        <f t="shared" si="1762"/>
        <v>0.30450319187686659</v>
      </c>
      <c r="BA313" s="1751">
        <f t="shared" si="1762"/>
        <v>0.2635383311619578</v>
      </c>
      <c r="BB313" s="1751">
        <f t="shared" si="1762"/>
        <v>0.35898676214904229</v>
      </c>
      <c r="BC313" s="1751">
        <f t="shared" si="1762"/>
        <v>0.31719322344322326</v>
      </c>
      <c r="BD313" s="1751">
        <f t="shared" ref="BD313:BG313" si="1763">-BD311/BD312</f>
        <v>0.33293850274503006</v>
      </c>
      <c r="BE313" s="1751">
        <f t="shared" si="1763"/>
        <v>0.38608366127875254</v>
      </c>
      <c r="BF313" s="1751">
        <f t="shared" si="1763"/>
        <v>0.39822477752453816</v>
      </c>
      <c r="BG313" s="1751">
        <f t="shared" si="1763"/>
        <v>0.34481764006686416</v>
      </c>
      <c r="BH313" s="1751">
        <f t="shared" ref="BH313" si="1764">-BH311/BH312</f>
        <v>0.43082672402204697</v>
      </c>
      <c r="BI313" s="1751">
        <f t="shared" ref="BI313" si="1765">-BI311/BI312</f>
        <v>0.25731901619321323</v>
      </c>
      <c r="BJ313" s="1751">
        <f t="shared" ref="BJ313" si="1766">-BJ311/BJ312</f>
        <v>0.33262924622120943</v>
      </c>
      <c r="BK313" s="1686">
        <f t="shared" ref="BK313" si="1767">-BK311/BK312</f>
        <v>0.26811452311830974</v>
      </c>
      <c r="BL313" s="534">
        <f>Inputs!BL229</f>
        <v>0.33</v>
      </c>
      <c r="BM313" s="534">
        <f>Inputs!BM229</f>
        <v>0.34</v>
      </c>
      <c r="BN313" s="534">
        <f>Inputs!BN229</f>
        <v>0.34</v>
      </c>
      <c r="BO313" s="534">
        <f>Inputs!BO229</f>
        <v>0.34</v>
      </c>
      <c r="BP313" s="534">
        <f>Inputs!BP229</f>
        <v>0.34</v>
      </c>
      <c r="BQ313" s="534">
        <f>Inputs!BQ229</f>
        <v>0.34</v>
      </c>
      <c r="BR313" s="534">
        <f>Inputs!BR229</f>
        <v>0.34</v>
      </c>
      <c r="BS313" s="534">
        <f>Inputs!BS229</f>
        <v>0.34</v>
      </c>
      <c r="BT313" s="534">
        <f>Inputs!BT229</f>
        <v>0.34</v>
      </c>
      <c r="BU313" s="534">
        <f>Inputs!BU229</f>
        <v>0.34</v>
      </c>
      <c r="BV313" s="534">
        <f>Inputs!BV229</f>
        <v>0.34</v>
      </c>
      <c r="BW313" s="534">
        <f>Inputs!BW229</f>
        <v>0.34</v>
      </c>
      <c r="BX313" s="534">
        <f>Inputs!BX229</f>
        <v>0.34</v>
      </c>
      <c r="BY313" s="534">
        <f>Inputs!BY229</f>
        <v>0.34</v>
      </c>
      <c r="BZ313" s="534">
        <f>Inputs!BZ229</f>
        <v>0.34</v>
      </c>
      <c r="CA313" s="534">
        <f>Inputs!CA229</f>
        <v>0.34</v>
      </c>
      <c r="CB313" s="534">
        <f>Inputs!CB229</f>
        <v>0.34</v>
      </c>
      <c r="CC313" s="534">
        <f>Inputs!CC229</f>
        <v>0.34</v>
      </c>
      <c r="CD313" s="534">
        <f>Inputs!CD229</f>
        <v>0.34</v>
      </c>
      <c r="CE313" s="534">
        <f>Inputs!CE229</f>
        <v>0.34</v>
      </c>
      <c r="CF313" s="534">
        <f>Inputs!CF229</f>
        <v>0.34</v>
      </c>
      <c r="CG313" s="534">
        <f>Inputs!CG229</f>
        <v>0.34</v>
      </c>
      <c r="CH313" s="534">
        <f>Inputs!CH229</f>
        <v>0.34</v>
      </c>
      <c r="CI313" s="534">
        <f>Inputs!CI229</f>
        <v>0.34</v>
      </c>
      <c r="CJ313" s="534">
        <f>Inputs!CJ229</f>
        <v>0.34</v>
      </c>
      <c r="CK313" s="534">
        <f>Inputs!CK229</f>
        <v>0.34</v>
      </c>
      <c r="CL313" s="534">
        <f>Inputs!CL229</f>
        <v>0.34</v>
      </c>
      <c r="CM313" s="534">
        <f>Inputs!CM229</f>
        <v>0.34</v>
      </c>
      <c r="CN313" s="534">
        <f>Inputs!CN229</f>
        <v>0.34</v>
      </c>
      <c r="CO313" s="534">
        <f>Inputs!CO229</f>
        <v>0.34</v>
      </c>
      <c r="CP313" s="534">
        <f>Inputs!CP229</f>
        <v>0.34</v>
      </c>
      <c r="CQ313" s="534">
        <f>Inputs!CQ229</f>
        <v>0.34</v>
      </c>
      <c r="CR313" s="534">
        <f>Inputs!CR229</f>
        <v>0.34</v>
      </c>
      <c r="CS313" s="534">
        <f>Inputs!CS229</f>
        <v>0.34</v>
      </c>
      <c r="CT313" s="534">
        <f>Inputs!CT229</f>
        <v>0.34</v>
      </c>
      <c r="CU313" s="534">
        <f>Inputs!CU229</f>
        <v>0.34</v>
      </c>
      <c r="CV313" s="534">
        <f>Inputs!CV229</f>
        <v>0.34</v>
      </c>
      <c r="CW313" s="534">
        <f>Inputs!CW229</f>
        <v>0.34</v>
      </c>
    </row>
    <row r="314" spans="1:101" s="9" customFormat="1" ht="11.25">
      <c r="A314" s="1182" t="s">
        <v>1530</v>
      </c>
      <c r="AE314" s="2119"/>
      <c r="AX314" s="92">
        <f>Q_Financials!AX44</f>
        <v>-619.98800000000006</v>
      </c>
      <c r="AY314" s="92">
        <f>Q_Financials!AY44</f>
        <v>70.82899999999961</v>
      </c>
      <c r="AZ314" s="92">
        <f>Q_Financials!AZ44</f>
        <v>386.93499999999943</v>
      </c>
      <c r="BA314" s="92">
        <f>Q_Financials!BA44</f>
        <v>1161.6400000000001</v>
      </c>
      <c r="BB314" s="92">
        <f>Q_Financials!BB44</f>
        <v>720.04999999999984</v>
      </c>
      <c r="BC314" s="92">
        <f>Q_Financials!BC44</f>
        <v>342.15600000000018</v>
      </c>
      <c r="BD314" s="92">
        <f>Q_Financials!BD44</f>
        <v>469.61799999999857</v>
      </c>
      <c r="BE314" s="92">
        <f>Q_Financials!BE44</f>
        <v>989.98199999999963</v>
      </c>
      <c r="BF314" s="92">
        <f>Q_Financials!BF44</f>
        <v>953.94099999999992</v>
      </c>
      <c r="BG314" s="92">
        <f>Q_Financials!BG44</f>
        <v>747.15299999999945</v>
      </c>
      <c r="BH314" s="92">
        <f>Q_Financials!BH44</f>
        <v>931.11599999999783</v>
      </c>
      <c r="BI314" s="92">
        <f>Q_Financials!BI44</f>
        <v>1815.6599999999994</v>
      </c>
      <c r="BJ314" s="92">
        <f>Q_Financials!BJ44</f>
        <v>607.8990000000008</v>
      </c>
      <c r="BK314" s="92">
        <f>Q_Financials!BK44</f>
        <v>204.25700000000165</v>
      </c>
      <c r="BL314" s="2011">
        <f>Q_Financials!BL44</f>
        <v>73.329360117979149</v>
      </c>
      <c r="BM314" s="2011">
        <f>Q_Financials!BM44</f>
        <v>803.36456510574226</v>
      </c>
      <c r="BN314" s="2011">
        <f>Q_Financials!BN44</f>
        <v>257.68482625653473</v>
      </c>
      <c r="BO314" s="2011">
        <f>Q_Financials!BO44</f>
        <v>666.04293046830981</v>
      </c>
      <c r="BP314" s="2011">
        <f>Q_Financials!BP44</f>
        <v>981.41346534114223</v>
      </c>
      <c r="BQ314" s="2011">
        <f>Q_Financials!BQ44</f>
        <v>975.45235657752119</v>
      </c>
      <c r="BR314" s="2011">
        <f>Q_Financials!BR44</f>
        <v>129.53449994088828</v>
      </c>
      <c r="BS314" s="2011">
        <f>Q_Financials!BS44</f>
        <v>1143.9087301465502</v>
      </c>
      <c r="BT314" s="2011">
        <f>Q_Financials!BT44</f>
        <v>1273.3631237741361</v>
      </c>
      <c r="BU314" s="2011">
        <f>Q_Financials!BU44</f>
        <v>1704.5618388311464</v>
      </c>
      <c r="BV314" s="2011">
        <f>Q_Financials!BV44</f>
        <v>1101.3619333567231</v>
      </c>
      <c r="BW314" s="2011">
        <f>Q_Financials!BW44</f>
        <v>1506.7064845884181</v>
      </c>
      <c r="BX314" s="2011">
        <f>Q_Financials!BX44</f>
        <v>1463.9735714813073</v>
      </c>
      <c r="BY314" s="2011">
        <f>Q_Financials!BY44</f>
        <v>1748.8191733251151</v>
      </c>
      <c r="BZ314" s="2011">
        <f>Q_Financials!BZ44</f>
        <v>1204.703978780567</v>
      </c>
      <c r="CA314" s="2011">
        <f>Q_Financials!CA44</f>
        <v>1647.8683394580853</v>
      </c>
      <c r="CB314" s="2011">
        <f>Q_Financials!CB44</f>
        <v>1549.2965370556508</v>
      </c>
      <c r="CC314" s="2011">
        <f>Q_Financials!CC44</f>
        <v>1750.7320990241465</v>
      </c>
      <c r="CD314" s="2011">
        <f>Q_Financials!CD44</f>
        <v>1321.0034792494662</v>
      </c>
      <c r="CE314" s="2011">
        <f>Q_Financials!CE44</f>
        <v>1760.7067445985972</v>
      </c>
      <c r="CF314" s="2011">
        <f>Q_Financials!CF44</f>
        <v>1666.7647088341689</v>
      </c>
      <c r="CG314" s="2011">
        <f>Q_Financials!CG44</f>
        <v>1891.5459011913733</v>
      </c>
      <c r="CH314" s="2011">
        <f>Q_Financials!CH44</f>
        <v>1422.6292567095725</v>
      </c>
      <c r="CI314" s="2011">
        <f>Q_Financials!CI44</f>
        <v>1863.6446628615302</v>
      </c>
      <c r="CJ314" s="2011">
        <f>Q_Financials!CJ44</f>
        <v>1776.9108427970987</v>
      </c>
      <c r="CK314" s="2011">
        <f>Q_Financials!CK44</f>
        <v>2026.4794989380575</v>
      </c>
      <c r="CL314" s="2011">
        <f>Q_Financials!CL44</f>
        <v>1526.6706787312287</v>
      </c>
      <c r="CM314" s="2011">
        <f>Q_Financials!CM44</f>
        <v>1968.445366218258</v>
      </c>
      <c r="CN314" s="2011">
        <f>Q_Financials!CN44</f>
        <v>1888.8944630855212</v>
      </c>
      <c r="CO314" s="2011">
        <f>Q_Financials!CO44</f>
        <v>2164.6824128203539</v>
      </c>
      <c r="CP314" s="2011">
        <f>Q_Financials!CP44</f>
        <v>1628.366236971402</v>
      </c>
      <c r="CQ314" s="2011">
        <f>Q_Financials!CQ44</f>
        <v>2069.1249937358753</v>
      </c>
      <c r="CR314" s="2011">
        <f>Q_Financials!CR44</f>
        <v>1998.2267787139995</v>
      </c>
      <c r="CS314" s="2011">
        <f>Q_Financials!CS44</f>
        <v>2299.1560521283573</v>
      </c>
      <c r="CT314" s="2011">
        <f>Q_Financials!CT44</f>
        <v>1727.004562971722</v>
      </c>
      <c r="CU314" s="2011">
        <f>Q_Financials!CU44</f>
        <v>2169.8735949276092</v>
      </c>
      <c r="CV314" s="2011">
        <f>Q_Financials!CV44</f>
        <v>2103.6750790276824</v>
      </c>
      <c r="CW314" s="2011">
        <f>Q_Financials!CW44</f>
        <v>2429.8864693151395</v>
      </c>
    </row>
    <row r="315" spans="1:101" s="9" customFormat="1" ht="11.25">
      <c r="A315" s="312" t="s">
        <v>302</v>
      </c>
      <c r="AE315" s="2119"/>
      <c r="AX315" s="1959">
        <f t="shared" ref="AX315:BJ315" si="1768">AX311/AX314</f>
        <v>-0.24283534520022967</v>
      </c>
      <c r="AY315" s="1959">
        <f t="shared" si="1768"/>
        <v>-0.19338124214657942</v>
      </c>
      <c r="AZ315" s="1959">
        <f t="shared" si="1768"/>
        <v>-0.29598511377880049</v>
      </c>
      <c r="BA315" s="1959">
        <f t="shared" si="1768"/>
        <v>-0.20426035604834542</v>
      </c>
      <c r="BB315" s="1959">
        <f t="shared" si="1768"/>
        <v>-0.28961738768141104</v>
      </c>
      <c r="BC315" s="1959">
        <f t="shared" si="1768"/>
        <v>-0.30774851237447232</v>
      </c>
      <c r="BD315" s="1959">
        <f t="shared" si="1768"/>
        <v>-0.34595139027890859</v>
      </c>
      <c r="BE315" s="1959">
        <f t="shared" si="1768"/>
        <v>-0.46537108755512746</v>
      </c>
      <c r="BF315" s="1959">
        <f t="shared" si="1768"/>
        <v>-0.36449004707838328</v>
      </c>
      <c r="BG315" s="1959">
        <f t="shared" si="1768"/>
        <v>-0.34400584619214558</v>
      </c>
      <c r="BH315" s="1959">
        <f t="shared" si="1768"/>
        <v>-0.43025251418727734</v>
      </c>
      <c r="BI315" s="1959">
        <f t="shared" si="1768"/>
        <v>-0.24923774274919322</v>
      </c>
      <c r="BJ315" s="1959">
        <f t="shared" si="1768"/>
        <v>-0.33728135759394196</v>
      </c>
      <c r="BK315" s="1959">
        <f t="shared" ref="BK315" si="1769">BK311/BK314</f>
        <v>-0.3083664207346602</v>
      </c>
      <c r="BL315" s="2012">
        <f t="shared" ref="BL315:CW315" si="1770">BL311/BL314</f>
        <v>-0.33</v>
      </c>
      <c r="BM315" s="2012">
        <f t="shared" si="1770"/>
        <v>-0.33999999999999997</v>
      </c>
      <c r="BN315" s="2012">
        <f t="shared" si="1770"/>
        <v>-0.34</v>
      </c>
      <c r="BO315" s="2012">
        <f t="shared" si="1770"/>
        <v>-0.34</v>
      </c>
      <c r="BP315" s="2012">
        <f t="shared" si="1770"/>
        <v>-0.34</v>
      </c>
      <c r="BQ315" s="2012">
        <f t="shared" si="1770"/>
        <v>-0.34</v>
      </c>
      <c r="BR315" s="2012">
        <f t="shared" si="1770"/>
        <v>-0.34</v>
      </c>
      <c r="BS315" s="2012">
        <f t="shared" si="1770"/>
        <v>-0.34</v>
      </c>
      <c r="BT315" s="2012">
        <f t="shared" si="1770"/>
        <v>-0.34</v>
      </c>
      <c r="BU315" s="2012">
        <f t="shared" si="1770"/>
        <v>-0.34</v>
      </c>
      <c r="BV315" s="47">
        <f t="shared" si="1770"/>
        <v>-0.34</v>
      </c>
      <c r="BW315" s="47">
        <f t="shared" si="1770"/>
        <v>-0.34000000000000008</v>
      </c>
      <c r="BX315" s="47">
        <f t="shared" si="1770"/>
        <v>-0.34</v>
      </c>
      <c r="BY315" s="47">
        <f t="shared" si="1770"/>
        <v>-0.34</v>
      </c>
      <c r="BZ315" s="47">
        <f t="shared" si="1770"/>
        <v>-0.34</v>
      </c>
      <c r="CA315" s="47">
        <f t="shared" si="1770"/>
        <v>-0.34</v>
      </c>
      <c r="CB315" s="47">
        <f t="shared" si="1770"/>
        <v>-0.34</v>
      </c>
      <c r="CC315" s="47">
        <f t="shared" si="1770"/>
        <v>-0.34</v>
      </c>
      <c r="CD315" s="47">
        <f t="shared" si="1770"/>
        <v>-0.34</v>
      </c>
      <c r="CE315" s="47">
        <f t="shared" si="1770"/>
        <v>-0.34</v>
      </c>
      <c r="CF315" s="47">
        <f t="shared" si="1770"/>
        <v>-0.34</v>
      </c>
      <c r="CG315" s="47">
        <f t="shared" si="1770"/>
        <v>-0.34</v>
      </c>
      <c r="CH315" s="47">
        <f t="shared" si="1770"/>
        <v>-0.34</v>
      </c>
      <c r="CI315" s="47">
        <f t="shared" si="1770"/>
        <v>-0.34</v>
      </c>
      <c r="CJ315" s="47">
        <f t="shared" si="1770"/>
        <v>-0.34</v>
      </c>
      <c r="CK315" s="47">
        <f t="shared" si="1770"/>
        <v>-0.34</v>
      </c>
      <c r="CL315" s="47">
        <f t="shared" si="1770"/>
        <v>-0.33999999999999997</v>
      </c>
      <c r="CM315" s="47">
        <f t="shared" si="1770"/>
        <v>-0.34</v>
      </c>
      <c r="CN315" s="47">
        <f t="shared" si="1770"/>
        <v>-0.34</v>
      </c>
      <c r="CO315" s="47">
        <f t="shared" si="1770"/>
        <v>-0.34</v>
      </c>
      <c r="CP315" s="47">
        <f t="shared" si="1770"/>
        <v>-0.34</v>
      </c>
      <c r="CQ315" s="47">
        <f t="shared" si="1770"/>
        <v>-0.34</v>
      </c>
      <c r="CR315" s="47">
        <f t="shared" si="1770"/>
        <v>-0.34</v>
      </c>
      <c r="CS315" s="47">
        <f t="shared" si="1770"/>
        <v>-0.34</v>
      </c>
      <c r="CT315" s="47">
        <f t="shared" si="1770"/>
        <v>-0.34</v>
      </c>
      <c r="CU315" s="47">
        <f t="shared" si="1770"/>
        <v>-0.34</v>
      </c>
      <c r="CV315" s="47">
        <f t="shared" si="1770"/>
        <v>-0.34</v>
      </c>
      <c r="CW315" s="47">
        <f t="shared" si="1770"/>
        <v>-0.34</v>
      </c>
    </row>
    <row r="316" spans="1:101" s="9" customFormat="1" ht="11.25">
      <c r="A316" s="13"/>
      <c r="AE316" s="2119"/>
      <c r="BF316" s="1959"/>
      <c r="BG316" s="1959"/>
      <c r="BH316" s="1959"/>
      <c r="BI316" s="1959"/>
      <c r="BJ316" s="1959"/>
      <c r="BK316" s="1959"/>
      <c r="BL316" s="1959"/>
      <c r="BM316" s="1959"/>
      <c r="BN316" s="1959"/>
      <c r="BO316" s="1959"/>
      <c r="BP316" s="1959"/>
      <c r="BQ316" s="1959"/>
      <c r="BR316" s="47"/>
      <c r="BS316" s="47"/>
      <c r="BT316" s="47"/>
      <c r="BU316" s="47"/>
      <c r="BV316" s="47"/>
      <c r="BW316" s="47"/>
      <c r="BX316" s="47"/>
      <c r="BY316" s="47"/>
      <c r="BZ316" s="47"/>
      <c r="CA316" s="47"/>
      <c r="CB316" s="47"/>
      <c r="CC316" s="47"/>
      <c r="CD316" s="47"/>
      <c r="CE316" s="47"/>
      <c r="CF316" s="47"/>
      <c r="CG316" s="47"/>
      <c r="CH316" s="47"/>
      <c r="CI316" s="47"/>
      <c r="CJ316" s="47"/>
      <c r="CK316" s="47"/>
      <c r="CL316" s="47"/>
      <c r="CM316" s="47"/>
      <c r="CN316" s="47"/>
      <c r="CO316" s="47"/>
      <c r="CP316" s="47"/>
      <c r="CQ316" s="47"/>
      <c r="CR316" s="47"/>
      <c r="CS316" s="47"/>
      <c r="CT316" s="47"/>
      <c r="CU316" s="47"/>
      <c r="CV316" s="47"/>
      <c r="CW316" s="47"/>
    </row>
    <row r="317" spans="1:101" s="9" customFormat="1" ht="11.25">
      <c r="A317" s="9" t="s">
        <v>303</v>
      </c>
      <c r="B317" s="92">
        <f>Q_Financials!B53</f>
        <v>-43.301000000000023</v>
      </c>
      <c r="C317" s="92">
        <f>Q_Financials!C53</f>
        <v>-41.907000000000131</v>
      </c>
      <c r="D317" s="92">
        <f>Q_Financials!D53</f>
        <v>64.426999999999737</v>
      </c>
      <c r="E317" s="92">
        <f>Q_Financials!E53</f>
        <v>124.52899999999985</v>
      </c>
      <c r="F317" s="92">
        <f>Q_Financials!F53</f>
        <v>-0.65799999999988446</v>
      </c>
      <c r="G317" s="92">
        <f>Q_Financials!G53</f>
        <v>98.703999999999979</v>
      </c>
      <c r="H317" s="92">
        <f>Q_Financials!H53</f>
        <v>16.437999999999942</v>
      </c>
      <c r="I317" s="92">
        <f>Q_Financials!I53</f>
        <v>36.741999999999813</v>
      </c>
      <c r="J317" s="92">
        <f>Q_Financials!J53</f>
        <v>13.282000000000078</v>
      </c>
      <c r="K317" s="92">
        <f>Q_Financials!K53</f>
        <v>50.061000000000277</v>
      </c>
      <c r="L317" s="92">
        <f>Q_Financials!L53</f>
        <v>82.179000000000116</v>
      </c>
      <c r="M317" s="92">
        <f>Q_Financials!M53</f>
        <v>64.121999999999943</v>
      </c>
      <c r="N317" s="92">
        <f>Q_Financials!N53</f>
        <v>17.043999999999834</v>
      </c>
      <c r="O317" s="92">
        <f>Q_Financials!O53</f>
        <v>132.85499999999971</v>
      </c>
      <c r="P317" s="92">
        <f>Q_Financials!P53</f>
        <v>84.255999999999887</v>
      </c>
      <c r="Q317" s="92">
        <f>Q_Financials!Q53</f>
        <v>132.40999999999991</v>
      </c>
      <c r="R317" s="92">
        <f>Q_Financials!R53</f>
        <v>65.149000000000115</v>
      </c>
      <c r="S317" s="92">
        <f>Q_Financials!S53</f>
        <v>157.44300000000004</v>
      </c>
      <c r="T317" s="92">
        <f>Q_Financials!T53</f>
        <v>183.82299999999978</v>
      </c>
      <c r="U317" s="92">
        <f>Q_Financials!U53</f>
        <v>274.5980000000003</v>
      </c>
      <c r="V317" s="92">
        <f>Q_Financials!V53</f>
        <v>86.735000000000156</v>
      </c>
      <c r="W317" s="92">
        <f>Q_Financials!W53</f>
        <v>88.162999999999911</v>
      </c>
      <c r="X317" s="92">
        <f>Q_Financials!X53</f>
        <v>194.54700000000045</v>
      </c>
      <c r="Y317" s="92">
        <f>Q_Financials!Y53</f>
        <v>297.22099999999966</v>
      </c>
      <c r="Z317" s="92">
        <f>Q_Financials!Z53</f>
        <v>298.81400000000133</v>
      </c>
      <c r="AA317" s="92">
        <f>Q_Financials!AA53</f>
        <v>92.592999999999847</v>
      </c>
      <c r="AB317" s="92">
        <f>Q_Financials!AB53</f>
        <v>120.26199999999994</v>
      </c>
      <c r="AC317" s="92">
        <f>Q_Financials!AC53</f>
        <v>469.53699999999924</v>
      </c>
      <c r="AD317" s="92">
        <f>Q_Financials!AD53</f>
        <v>34.092000000000269</v>
      </c>
      <c r="AE317" s="2176">
        <f>Q_Financials!AE53</f>
        <v>210.31999999999888</v>
      </c>
      <c r="AF317" s="92">
        <f>Q_Financials!AF53</f>
        <v>164.80799999999996</v>
      </c>
      <c r="AG317" s="92">
        <f>Q_Financials!AG53</f>
        <v>587.25200000000029</v>
      </c>
      <c r="AH317" s="92">
        <f>Q_Financials!AH53</f>
        <v>172.08199999999974</v>
      </c>
      <c r="AI317" s="92">
        <f>Q_Financials!AI53</f>
        <v>59.435000000000365</v>
      </c>
      <c r="AJ317" s="92">
        <f>Q_Financials!AJ53</f>
        <v>206.30399999999892</v>
      </c>
      <c r="AK317" s="92">
        <f>Q_Financials!AK53</f>
        <v>651.64800000000059</v>
      </c>
      <c r="AL317" s="92">
        <f>Q_Financials!AL53</f>
        <v>198.39900000000003</v>
      </c>
      <c r="AM317" s="92">
        <f>Q_Financials!AM53</f>
        <v>204.69599999999988</v>
      </c>
      <c r="AN317" s="92">
        <f>Q_Financials!AN53</f>
        <v>299.92100000000045</v>
      </c>
      <c r="AO317" s="92">
        <f>Q_Financials!AO53</f>
        <v>250.23699999999874</v>
      </c>
      <c r="AP317" s="92">
        <f>Q_Financials!AP53</f>
        <v>106.47100000000003</v>
      </c>
      <c r="AQ317" s="92">
        <f>Q_Financials!AQ53</f>
        <v>173.29000000000138</v>
      </c>
      <c r="AR317" s="92">
        <f>Q_Financials!AR53</f>
        <v>190.60599999999855</v>
      </c>
      <c r="AS317" s="92">
        <f>Q_Financials!AS53</f>
        <v>457.30299999999926</v>
      </c>
      <c r="AT317" s="92">
        <f>Q_Financials!AT53</f>
        <v>-279.94900000000041</v>
      </c>
      <c r="AU317" s="92">
        <f>Q_Financials!AU53</f>
        <v>-2595.4480000000008</v>
      </c>
      <c r="AV317" s="92">
        <f>Q_Financials!AV53</f>
        <v>-476.11100000000073</v>
      </c>
      <c r="AW317" s="92">
        <f>Q_Financials!AW53</f>
        <v>165.46099999999987</v>
      </c>
      <c r="AX317" s="92">
        <f>Q_Financials!AX53</f>
        <v>-312.10800000000006</v>
      </c>
      <c r="AY317" s="92">
        <f>Q_Financials!AY53</f>
        <v>139.00099999999961</v>
      </c>
      <c r="AZ317" s="92">
        <f>Q_Financials!AZ53</f>
        <v>173.02799999999945</v>
      </c>
      <c r="BA317" s="92">
        <f>Q_Financials!BA53</f>
        <v>835.20900000000006</v>
      </c>
      <c r="BB317" s="92">
        <f>Q_Financials!BB53</f>
        <v>525.44199999999989</v>
      </c>
      <c r="BC317" s="92">
        <f>Q_Financials!BC53</f>
        <v>211.42200000000017</v>
      </c>
      <c r="BD317" s="92">
        <f>Q_Financials!BD53</f>
        <v>316.76199999999852</v>
      </c>
      <c r="BE317" s="92">
        <f>Q_Financials!BE53</f>
        <v>578.70899999999972</v>
      </c>
      <c r="BF317" s="92">
        <f>Q_Financials!BF53</f>
        <v>588.22499999999991</v>
      </c>
      <c r="BG317" s="92">
        <f>Q_Financials!BG53</f>
        <v>443.80899999999946</v>
      </c>
      <c r="BH317" s="92">
        <f>Q_Financials!BH53</f>
        <v>494.62499999999784</v>
      </c>
      <c r="BI317" s="92">
        <f>Q_Financials!BI53</f>
        <v>1404.0699999999995</v>
      </c>
      <c r="BJ317" s="92">
        <f>Q_Financials!BJ53</f>
        <v>404.12800000000078</v>
      </c>
      <c r="BK317" s="1385">
        <f>Q_Financials!BK53</f>
        <v>140.07700000000168</v>
      </c>
      <c r="BL317" s="338">
        <f>Q_Financials!BL53</f>
        <v>49.130671279046084</v>
      </c>
      <c r="BM317" s="338">
        <f>Q_Financials!BM53</f>
        <v>530.22061296978973</v>
      </c>
      <c r="BN317" s="338">
        <f>Q_Financials!BN53</f>
        <v>170.07198532931281</v>
      </c>
      <c r="BO317" s="338">
        <f>Q_Financials!BO53</f>
        <v>439.58833410908449</v>
      </c>
      <c r="BP317" s="338">
        <f>Q_Financials!BP53</f>
        <v>647.73288712515387</v>
      </c>
      <c r="BQ317" s="338">
        <f>Q_Financials!BQ53</f>
        <v>643.79855534116416</v>
      </c>
      <c r="BR317" s="338">
        <f>Q_Financials!BR51</f>
        <v>214.59109510833594</v>
      </c>
      <c r="BS317" s="338">
        <f>Q_Financials!BS51</f>
        <v>772.65629372806154</v>
      </c>
      <c r="BT317" s="338">
        <f>Q_Financials!BT51</f>
        <v>851.38058549894913</v>
      </c>
      <c r="BU317" s="338">
        <f>Q_Financials!BU51</f>
        <v>1202.4999183068094</v>
      </c>
      <c r="BV317" s="338">
        <f>Q_Financials!BV51</f>
        <v>827.03941575063607</v>
      </c>
      <c r="BW317" s="338">
        <f>Q_Financials!BW51</f>
        <v>983.8271010441091</v>
      </c>
      <c r="BX317" s="338">
        <f>Q_Financials!BX51</f>
        <v>952.01246126746969</v>
      </c>
      <c r="BY317" s="338">
        <f>Q_Financials!BY51</f>
        <v>1209.5047064185433</v>
      </c>
      <c r="BZ317" s="338">
        <f>Q_Financials!BZ51</f>
        <v>840.2470484611531</v>
      </c>
      <c r="CA317" s="338">
        <f>Q_Financials!CA51</f>
        <v>1021.7869533576696</v>
      </c>
      <c r="CB317" s="338">
        <f>Q_Financials!CB51</f>
        <v>958.11950536618792</v>
      </c>
      <c r="CC317" s="338">
        <f>Q_Financials!CC51</f>
        <v>1159.974094566071</v>
      </c>
      <c r="CD317" s="338">
        <f>Q_Financials!CD51</f>
        <v>867.7251827760216</v>
      </c>
      <c r="CE317" s="338">
        <f>Q_Financials!CE51</f>
        <v>1047.0373132664222</v>
      </c>
      <c r="CF317" s="338">
        <f>Q_Financials!CF51</f>
        <v>991.92829572077153</v>
      </c>
      <c r="CG317" s="338">
        <f>Q_Financials!CG51</f>
        <v>1214.9321642712132</v>
      </c>
      <c r="CH317" s="338">
        <f>Q_Financials!CH51</f>
        <v>893.74953651460191</v>
      </c>
      <c r="CI317" s="338">
        <f>Q_Financials!CI51</f>
        <v>1073.4406619572767</v>
      </c>
      <c r="CJ317" s="338">
        <f>Q_Financials!CJ51</f>
        <v>1028.2301127872811</v>
      </c>
      <c r="CK317" s="338">
        <f>Q_Financials!CK51</f>
        <v>1273.1571302687516</v>
      </c>
      <c r="CL317" s="338">
        <f>Q_Financials!CL51</f>
        <v>925.81839909072437</v>
      </c>
      <c r="CM317" s="338">
        <f>Q_Financials!CM51</f>
        <v>1103.5117948556613</v>
      </c>
      <c r="CN317" s="338">
        <f>Q_Financials!CN51</f>
        <v>1068.3049993252087</v>
      </c>
      <c r="CO317" s="338">
        <f>Q_Financials!CO51</f>
        <v>1336.31833470534</v>
      </c>
      <c r="CP317" s="338">
        <f>Q_Financials!CP51</f>
        <v>959.6304227551326</v>
      </c>
      <c r="CQ317" s="338">
        <f>Q_Financials!CQ51</f>
        <v>1135.0233597026343</v>
      </c>
      <c r="CR317" s="338">
        <f>Q_Financials!CR51</f>
        <v>1110.7094739664346</v>
      </c>
      <c r="CS317" s="338">
        <f>Q_Financials!CS51</f>
        <v>1401.0935105192439</v>
      </c>
      <c r="CT317" s="338">
        <f>Q_Financials!CT51</f>
        <v>994.57873974749373</v>
      </c>
      <c r="CU317" s="338">
        <f>Q_Financials!CU51</f>
        <v>1169.3167196646837</v>
      </c>
      <c r="CV317" s="338">
        <f>Q_Financials!CV51</f>
        <v>1153.3661907073961</v>
      </c>
      <c r="CW317" s="338">
        <f>Q_Financials!CW51</f>
        <v>1467.7044898146255</v>
      </c>
    </row>
    <row r="318" spans="1:101" s="9" customFormat="1" ht="11.25">
      <c r="A318" s="9" t="s">
        <v>42</v>
      </c>
      <c r="B318" s="337">
        <f>Q_BS!B70</f>
        <v>0</v>
      </c>
      <c r="C318" s="337">
        <f>Q_BS!C70</f>
        <v>0</v>
      </c>
      <c r="D318" s="337">
        <f>Q_BS!D70</f>
        <v>0</v>
      </c>
      <c r="E318" s="337">
        <f>Q_BS!E70</f>
        <v>-41.834000000000003</v>
      </c>
      <c r="F318" s="337">
        <f>Q_BS!F70</f>
        <v>0</v>
      </c>
      <c r="G318" s="337">
        <f>Q_BS!G70</f>
        <v>-245.958</v>
      </c>
      <c r="H318" s="337">
        <f>Q_BS!H70</f>
        <v>0</v>
      </c>
      <c r="I318" s="337">
        <f>Q_BS!I70</f>
        <v>0</v>
      </c>
      <c r="J318" s="337">
        <f>Q_BS!J70</f>
        <v>0</v>
      </c>
      <c r="K318" s="337">
        <f>Q_BS!K70</f>
        <v>-122.648</v>
      </c>
      <c r="L318" s="337">
        <f>Q_BS!L70</f>
        <v>0</v>
      </c>
      <c r="M318" s="337">
        <f>Q_BS!M70</f>
        <v>0</v>
      </c>
      <c r="N318" s="337">
        <f>Q_BS!N70</f>
        <v>0</v>
      </c>
      <c r="O318" s="337">
        <f>Q_BS!O70</f>
        <v>0</v>
      </c>
      <c r="P318" s="337">
        <f>Q_BS!P70</f>
        <v>0</v>
      </c>
      <c r="Q318" s="337">
        <f>Q_BS!Q70</f>
        <v>0</v>
      </c>
      <c r="R318" s="337">
        <f>Q_BS!R70</f>
        <v>-26.81</v>
      </c>
      <c r="S318" s="337">
        <f>Q_BS!S70</f>
        <v>-347.66800000000001</v>
      </c>
      <c r="T318" s="337">
        <f>Q_BS!T70</f>
        <v>0</v>
      </c>
      <c r="U318" s="337">
        <f>Q_BS!U70</f>
        <v>30.600000000000019</v>
      </c>
      <c r="V318" s="337">
        <f>Q_BS!V70</f>
        <v>0</v>
      </c>
      <c r="W318" s="337">
        <f>Q_BS!W70</f>
        <v>0</v>
      </c>
      <c r="X318" s="337">
        <f>Q_BS!X70</f>
        <v>0</v>
      </c>
      <c r="Y318" s="337">
        <f>Q_BS!Y70</f>
        <v>0</v>
      </c>
      <c r="Z318" s="337">
        <f>Q_BS!Z70</f>
        <v>0</v>
      </c>
      <c r="AA318" s="337">
        <f>Q_BS!AA70</f>
        <v>-419.173</v>
      </c>
      <c r="AB318" s="337">
        <f>Q_BS!AB70</f>
        <v>0</v>
      </c>
      <c r="AC318" s="337">
        <f>Q_BS!AC70</f>
        <v>0</v>
      </c>
      <c r="AD318" s="337">
        <f>Q_BS!AD70</f>
        <v>0</v>
      </c>
      <c r="AE318" s="2157">
        <f>Q_BS!AE70</f>
        <v>-644.77099999999996</v>
      </c>
      <c r="AF318" s="337">
        <f>Q_BS!AF70</f>
        <v>0</v>
      </c>
      <c r="AG318" s="337">
        <f>Q_BS!AG70</f>
        <v>0</v>
      </c>
      <c r="AH318" s="337">
        <f>Q_BS!AH70</f>
        <v>-92.977000000000004</v>
      </c>
      <c r="AI318" s="337">
        <f>Q_BS!AI70</f>
        <v>-567.76300000000003</v>
      </c>
      <c r="AJ318" s="337">
        <f>Q_BS!AJ70</f>
        <v>-58.657999999999987</v>
      </c>
      <c r="AK318" s="337">
        <f>Q_BS!AK70</f>
        <v>0</v>
      </c>
      <c r="AL318" s="337">
        <f>Q_BS!AL70</f>
        <v>0</v>
      </c>
      <c r="AM318" s="337">
        <f>Q_BS!AM70</f>
        <v>-720.14400000000001</v>
      </c>
      <c r="AN318" s="337">
        <f>Q_BS!AN70</f>
        <v>0</v>
      </c>
      <c r="AO318" s="337">
        <f>Q_BS!AO70</f>
        <v>0</v>
      </c>
      <c r="AP318" s="337">
        <f>Q_BS!AP70</f>
        <v>0</v>
      </c>
      <c r="AQ318" s="337">
        <f>Q_BS!AQ70</f>
        <v>0</v>
      </c>
      <c r="AR318" s="337">
        <f>Q_BS!AR70</f>
        <v>0</v>
      </c>
      <c r="AS318" s="337">
        <f>Q_BS!AS70</f>
        <v>0</v>
      </c>
      <c r="AT318" s="337">
        <f>Q_BS!AT70</f>
        <v>0</v>
      </c>
      <c r="AU318" s="337">
        <f>Q_BS!AU70</f>
        <v>0</v>
      </c>
      <c r="AV318" s="337">
        <f>Q_BS!AV70</f>
        <v>0</v>
      </c>
      <c r="AW318" s="337">
        <f>Q_BS!AW70</f>
        <v>0</v>
      </c>
      <c r="AX318" s="337">
        <f>Q_BS!AX70</f>
        <v>0</v>
      </c>
      <c r="AY318" s="337">
        <f>Q_BS!AY70</f>
        <v>0</v>
      </c>
      <c r="AZ318" s="337">
        <f>Q_BS!AZ70</f>
        <v>0</v>
      </c>
      <c r="BA318" s="337">
        <f>Q_BS!BA70</f>
        <v>0</v>
      </c>
      <c r="BB318" s="337">
        <f>Q_BS!BB70</f>
        <v>0</v>
      </c>
      <c r="BC318" s="337">
        <f>Q_BS!BC70</f>
        <v>0</v>
      </c>
      <c r="BD318" s="337">
        <f>Q_BS!BD70</f>
        <v>0</v>
      </c>
      <c r="BE318" s="337">
        <f>Q_BS!BE70</f>
        <v>0</v>
      </c>
      <c r="BF318" s="337">
        <f>Q_BS!BF70</f>
        <v>0</v>
      </c>
      <c r="BG318" s="337">
        <f>Q_BS!BG70</f>
        <v>0</v>
      </c>
      <c r="BH318" s="337">
        <f>Q_BS!BH70</f>
        <v>0</v>
      </c>
      <c r="BI318" s="337">
        <f>Q_BS!BI70</f>
        <v>0</v>
      </c>
      <c r="BJ318" s="337">
        <f>Q_BS!BJ70</f>
        <v>0</v>
      </c>
      <c r="BK318" s="1379">
        <f>Q_BS!BK70</f>
        <v>-978.01700000000005</v>
      </c>
      <c r="BL318" s="430">
        <f>Q_BS!BL70</f>
        <v>0</v>
      </c>
      <c r="BM318" s="430">
        <f>Q_BS!BM70</f>
        <v>0</v>
      </c>
      <c r="BN318" s="430">
        <f>Q_BS!BN70</f>
        <v>0</v>
      </c>
      <c r="BO318" s="430">
        <f>Q_BS!BO70</f>
        <v>0</v>
      </c>
      <c r="BP318" s="430">
        <f>Q_BS!BP70</f>
        <v>0</v>
      </c>
      <c r="BQ318" s="430">
        <f>Q_BS!BQ70</f>
        <v>0</v>
      </c>
      <c r="BR318" s="430">
        <f>Q_BS!BR70</f>
        <v>0</v>
      </c>
      <c r="BS318" s="430">
        <f>Q_BS!BS70</f>
        <v>0</v>
      </c>
      <c r="BT318" s="430">
        <f>Q_BS!BT70</f>
        <v>0</v>
      </c>
      <c r="BU318" s="430">
        <f>Q_BS!BU70</f>
        <v>0</v>
      </c>
      <c r="BV318" s="430">
        <f>Q_BS!BV70</f>
        <v>0</v>
      </c>
      <c r="BW318" s="430">
        <f>Q_BS!BW70</f>
        <v>0</v>
      </c>
      <c r="BX318" s="430">
        <f>Q_BS!BX70</f>
        <v>0</v>
      </c>
      <c r="BY318" s="430">
        <f>Q_BS!BY70</f>
        <v>0</v>
      </c>
      <c r="BZ318" s="430">
        <f>Q_BS!BZ70</f>
        <v>0</v>
      </c>
      <c r="CA318" s="430">
        <f>Q_BS!CA70</f>
        <v>0</v>
      </c>
      <c r="CB318" s="430">
        <f>Q_BS!CB70</f>
        <v>0</v>
      </c>
      <c r="CC318" s="430">
        <f>Q_BS!CC70</f>
        <v>0</v>
      </c>
      <c r="CD318" s="430">
        <f>Q_BS!CD70</f>
        <v>0</v>
      </c>
      <c r="CE318" s="430">
        <f>Q_BS!CE70</f>
        <v>0</v>
      </c>
      <c r="CF318" s="430">
        <f>Q_BS!CF70</f>
        <v>0</v>
      </c>
      <c r="CG318" s="430">
        <f>Q_BS!CG70</f>
        <v>0</v>
      </c>
      <c r="CH318" s="430">
        <f>Q_BS!CH70</f>
        <v>0</v>
      </c>
      <c r="CI318" s="430">
        <f>Q_BS!CI70</f>
        <v>0</v>
      </c>
      <c r="CJ318" s="430">
        <f>Q_BS!CJ70</f>
        <v>0</v>
      </c>
      <c r="CK318" s="430">
        <f>Q_BS!CK70</f>
        <v>0</v>
      </c>
      <c r="CL318" s="430">
        <f>Q_BS!CL70</f>
        <v>0</v>
      </c>
      <c r="CM318" s="430">
        <f>Q_BS!CM70</f>
        <v>0</v>
      </c>
      <c r="CN318" s="430">
        <f>Q_BS!CN70</f>
        <v>0</v>
      </c>
      <c r="CO318" s="430">
        <f>Q_BS!CO70</f>
        <v>0</v>
      </c>
      <c r="CP318" s="430">
        <f>Q_BS!CP70</f>
        <v>0</v>
      </c>
      <c r="CQ318" s="430">
        <f>Q_BS!CQ70</f>
        <v>0</v>
      </c>
      <c r="CR318" s="430">
        <f>Q_BS!CR70</f>
        <v>0</v>
      </c>
      <c r="CS318" s="430">
        <f>Q_BS!CS70</f>
        <v>0</v>
      </c>
      <c r="CT318" s="430">
        <f>Q_BS!CT70</f>
        <v>0</v>
      </c>
      <c r="CU318" s="430">
        <f>Q_BS!CU70</f>
        <v>0</v>
      </c>
      <c r="CV318" s="430">
        <f>Q_BS!CV70</f>
        <v>0</v>
      </c>
      <c r="CW318" s="430">
        <f>Q_BS!CW70</f>
        <v>0</v>
      </c>
    </row>
    <row r="319" spans="1:101" s="9" customFormat="1" ht="11.25">
      <c r="A319" s="312" t="s">
        <v>41</v>
      </c>
      <c r="B319" s="341"/>
      <c r="C319" s="341"/>
      <c r="D319" s="341"/>
      <c r="E319" s="341"/>
      <c r="F319" s="341">
        <f>-F318/SUM(Q_Financials!C51:F51)</f>
        <v>0</v>
      </c>
      <c r="G319" s="341">
        <f>-G318/SUM(Q_Financials!D51:G51)</f>
        <v>0.8569905436199059</v>
      </c>
      <c r="H319" s="341">
        <f>-H318/SUM(Q_Financials!E51:H51)</f>
        <v>0</v>
      </c>
      <c r="I319" s="341">
        <f>-I318/SUM(Q_Financials!F51:I51)</f>
        <v>0</v>
      </c>
      <c r="J319" s="341">
        <f>-J318/SUM(Q_Financials!G51:J51)</f>
        <v>0</v>
      </c>
      <c r="K319" s="341">
        <f>-K318/SUM(Q_Financials!H51:K51)</f>
        <v>1.0525647297100134</v>
      </c>
      <c r="L319" s="341">
        <f>-L318/SUM(Q_Financials!I51:L51)</f>
        <v>0</v>
      </c>
      <c r="M319" s="341">
        <f>-M318/SUM(Q_Financials!J51:M51)</f>
        <v>0</v>
      </c>
      <c r="N319" s="341">
        <f>-N318/SUM(Q_Financials!K51:N51)</f>
        <v>0</v>
      </c>
      <c r="O319" s="341">
        <f>-O318/SUM(Q_Financials!L51:O51)</f>
        <v>0</v>
      </c>
      <c r="P319" s="341">
        <f>-P318/SUM(Q_Financials!M51:P51)</f>
        <v>0</v>
      </c>
      <c r="Q319" s="341">
        <f>-Q318/SUM(Q_Financials!N51:Q51)</f>
        <v>0</v>
      </c>
      <c r="R319" s="341">
        <f>-R318/SUM(Q_Financials!O51:R51)</f>
        <v>6.465382111076283E-2</v>
      </c>
      <c r="S319" s="341">
        <f>-S318/SUM(Q_Financials!P51:S51)</f>
        <v>0.79148928420199527</v>
      </c>
      <c r="T319" s="341">
        <f>-T318/SUM(Q_Financials!Q51:T51)</f>
        <v>0</v>
      </c>
      <c r="U319" s="341">
        <f>-U318/SUM(Q_Financials!R51:U51)</f>
        <v>-4.4933062951808565E-2</v>
      </c>
      <c r="V319" s="341">
        <f>-V318/SUM(Q_Financials!S51:V51)</f>
        <v>0</v>
      </c>
      <c r="W319" s="341">
        <f>-W318/SUM(Q_Financials!T51:W51)</f>
        <v>0</v>
      </c>
      <c r="X319" s="341">
        <f>-X318/SUM(Q_Financials!U51:X51)</f>
        <v>0</v>
      </c>
      <c r="Y319" s="341">
        <f>-Y318/SUM(Q_Financials!V51:Y51)</f>
        <v>0</v>
      </c>
      <c r="Z319" s="341">
        <f>-Z318/SUM(Q_Financials!W51:Z51)</f>
        <v>0</v>
      </c>
      <c r="AA319" s="341">
        <f>-AA318/SUM(Q_Financials!X51:AA51)</f>
        <v>0.47462054519206204</v>
      </c>
      <c r="AB319" s="341">
        <f>-AB318/SUM(Q_Financials!Y51:AB51)</f>
        <v>0</v>
      </c>
      <c r="AC319" s="341">
        <f>-AC318/SUM(Q_Financials!Z51:AC51)</f>
        <v>0</v>
      </c>
      <c r="AD319" s="341">
        <f>-AD318/SUM(Q_Financials!AA51:AD51)</f>
        <v>0</v>
      </c>
      <c r="AE319" s="2177">
        <f>-AE318/SUM(Q_Financials!AB51:AE51)</f>
        <v>0.77291116995580411</v>
      </c>
      <c r="AF319" s="341">
        <f>-AF318/SUM(Q_Financials!AC51:AF51)</f>
        <v>0</v>
      </c>
      <c r="AG319" s="341">
        <f>-AG318/SUM(Q_Financials!AD51:AG51)</f>
        <v>0</v>
      </c>
      <c r="AH319" s="341">
        <f>-AH318/SUM(Q_Financials!AE51:AH51)</f>
        <v>8.1956909971422659E-2</v>
      </c>
      <c r="AI319" s="341">
        <f>-AI318/SUM(Q_Financials!AF51:AI51)</f>
        <v>0.57724306282070414</v>
      </c>
      <c r="AJ319" s="341">
        <f>-AJ318/SUM(Q_Financials!AG51:AJ51)</f>
        <v>5.7223241661813376E-2</v>
      </c>
      <c r="AK319" s="341">
        <f>-AK318/SUM(Q_Financials!AH51:AK51)</f>
        <v>0</v>
      </c>
      <c r="AL319" s="341">
        <f>-AL318/SUM(Q_Financials!AI51:AL51)</f>
        <v>0</v>
      </c>
      <c r="AM319" s="341">
        <f>-AM318/SUM(Q_Financials!AJ51:AM51)</f>
        <v>0.57106832655721818</v>
      </c>
      <c r="AN319" s="341">
        <f>-AN318/SUM(Q_Financials!AK51:AN51)</f>
        <v>0</v>
      </c>
      <c r="AO319" s="341">
        <f>-AO318/SUM(Q_Financials!AL51:AO51)</f>
        <v>0</v>
      </c>
      <c r="AP319" s="341">
        <f>-AP318/SUM(Q_Financials!AM51:AP51)</f>
        <v>0</v>
      </c>
      <c r="AQ319" s="341">
        <f>-AQ318/SUM(Q_Financials!AN51:AQ51)</f>
        <v>0</v>
      </c>
      <c r="AR319" s="341">
        <f>-AR318/SUM(Q_Financials!AO51:AR51)</f>
        <v>0</v>
      </c>
      <c r="AS319" s="341">
        <f>-AS318/SUM(Q_Financials!AP51:AS51)</f>
        <v>0</v>
      </c>
      <c r="AT319" s="341">
        <f>-AT318/SUM(Q_Financials!AQ51:AT51)</f>
        <v>0</v>
      </c>
      <c r="AU319" s="341">
        <f>-AU318/SUM(Q_Financials!AR51:AU51)</f>
        <v>0</v>
      </c>
      <c r="AV319" s="341">
        <f>-AV318/SUM(Q_Financials!AS51:AV51)</f>
        <v>0</v>
      </c>
      <c r="AW319" s="341">
        <f>-AW318/SUM(Q_Financials!AT51:AW51)</f>
        <v>0</v>
      </c>
      <c r="AX319" s="341">
        <f>-AX318/SUM(Q_Financials!AU51:AX51)</f>
        <v>0</v>
      </c>
      <c r="AY319" s="341">
        <f>-AY318/SUM(Q_Financials!AV51:AY51)</f>
        <v>0</v>
      </c>
      <c r="AZ319" s="341">
        <f>-AZ318/SUM(Q_Financials!AW51:AZ51)</f>
        <v>0</v>
      </c>
      <c r="BA319" s="341">
        <f>-BA318/SUM(Q_Financials!AX51:BA51)</f>
        <v>0</v>
      </c>
      <c r="BB319" s="341">
        <f>-BB318/SUM(Q_Financials!AY51:BB51)</f>
        <v>0</v>
      </c>
      <c r="BC319" s="341">
        <f>-BC318/SUM(Q_Financials!AZ51:BC51)</f>
        <v>0</v>
      </c>
      <c r="BD319" s="341">
        <f>-BD318/SUM(Q_Financials!BA51:BD51)</f>
        <v>0</v>
      </c>
      <c r="BE319" s="341">
        <f>-BE318/SUM(Q_Financials!BB51:BE51)</f>
        <v>0</v>
      </c>
      <c r="BF319" s="341">
        <f>-BF318/SUM(Q_Financials!BC51:BF51)</f>
        <v>0</v>
      </c>
      <c r="BG319" s="341">
        <f>-BG318/SUM(Q_Financials!BD51:BG51)</f>
        <v>0</v>
      </c>
      <c r="BH319" s="341">
        <f>-BH318/SUM(Q_Financials!BE51:BH51)</f>
        <v>0</v>
      </c>
      <c r="BI319" s="341">
        <f>-BI318/SUM(Q_Financials!BF51:BI51)</f>
        <v>0</v>
      </c>
      <c r="BJ319" s="341">
        <f>-BJ318/SUM(Q_Financials!BG51:BJ51)</f>
        <v>0</v>
      </c>
      <c r="BK319" s="1811">
        <f>-BK318/SUM(Q_Financials!BH51:BK51)</f>
        <v>0.40350498637678639</v>
      </c>
      <c r="BL319" s="343">
        <f>-BL318/SUM(Q_Financials!BI51:BL51)</f>
        <v>0</v>
      </c>
      <c r="BM319" s="343">
        <f>-BM318/SUM(Q_Financials!BJ51:BM51)</f>
        <v>0</v>
      </c>
      <c r="BN319" s="343">
        <f>-BN318/SUM(Q_Financials!BK51:BN51)</f>
        <v>0</v>
      </c>
      <c r="BO319" s="343">
        <f>-BO318/SUM(Q_Financials!BL51:BO51)</f>
        <v>0</v>
      </c>
      <c r="BP319" s="343">
        <f>-BP318/SUM(Q_Financials!BM51:BP51)</f>
        <v>0</v>
      </c>
      <c r="BQ319" s="343">
        <f>-BQ318/SUM(Q_Financials!BN51:BQ51)</f>
        <v>0</v>
      </c>
      <c r="BR319" s="343">
        <f>-BR318/SUM(Q_Financials!BO51:BR51)</f>
        <v>0</v>
      </c>
      <c r="BS319" s="343">
        <f>-BS318/SUM(Q_Financials!BP51:BS51)</f>
        <v>0</v>
      </c>
      <c r="BT319" s="343">
        <f>-BT318/SUM(Q_Financials!BQ51:BT51)</f>
        <v>0</v>
      </c>
      <c r="BU319" s="343">
        <f>-BU318/SUM(Q_Financials!BR51:BU51)</f>
        <v>0</v>
      </c>
      <c r="BV319" s="343">
        <f>-BV318/SUM(Q_Financials!BS51:BV51)</f>
        <v>0</v>
      </c>
      <c r="BW319" s="343">
        <f>-BW318/SUM(Q_Financials!BT51:BW51)</f>
        <v>0</v>
      </c>
      <c r="BX319" s="343">
        <f>-BX318/SUM(Q_Financials!BU51:BX51)</f>
        <v>0</v>
      </c>
      <c r="BY319" s="343">
        <f>-BY318/SUM(Q_Financials!BV51:BY51)</f>
        <v>0</v>
      </c>
      <c r="BZ319" s="343">
        <f>-BZ318/SUM(Q_Financials!BW51:BZ51)</f>
        <v>0</v>
      </c>
      <c r="CA319" s="343">
        <f>-CA318/SUM(Q_Financials!BX51:CA51)</f>
        <v>0</v>
      </c>
      <c r="CB319" s="343">
        <f>-CB318/SUM(Q_Financials!BY51:CB51)</f>
        <v>0</v>
      </c>
      <c r="CC319" s="343">
        <f>-CC318/SUM(Q_Financials!BZ51:CC51)</f>
        <v>0</v>
      </c>
      <c r="CD319" s="343">
        <f>-CD318/SUM(Q_Financials!CA51:CD51)</f>
        <v>0</v>
      </c>
      <c r="CE319" s="343">
        <f>-CE318/SUM(Q_Financials!CB51:CE51)</f>
        <v>0</v>
      </c>
      <c r="CF319" s="343">
        <f>-CF318/SUM(Q_Financials!CC51:CF51)</f>
        <v>0</v>
      </c>
      <c r="CG319" s="343">
        <f>-CG318/SUM(Q_Financials!CD51:CG51)</f>
        <v>0</v>
      </c>
      <c r="CH319" s="343">
        <f>-CH318/SUM(Q_Financials!CE51:CH51)</f>
        <v>0</v>
      </c>
      <c r="CI319" s="343">
        <f>-CI318/SUM(Q_Financials!CF51:CI51)</f>
        <v>0</v>
      </c>
      <c r="CJ319" s="343">
        <f>-CJ318/SUM(Q_Financials!CG51:CJ51)</f>
        <v>0</v>
      </c>
      <c r="CK319" s="343">
        <f>-CK318/SUM(Q_Financials!CH51:CK51)</f>
        <v>0</v>
      </c>
      <c r="CL319" s="343">
        <f>-CL318/SUM(Q_Financials!CI51:CL51)</f>
        <v>0</v>
      </c>
      <c r="CM319" s="343">
        <f>-CM318/SUM(Q_Financials!CJ51:CM51)</f>
        <v>0</v>
      </c>
      <c r="CN319" s="343">
        <f>-CN318/SUM(Q_Financials!CK51:CN51)</f>
        <v>0</v>
      </c>
      <c r="CO319" s="343">
        <f>-CO318/SUM(Q_Financials!CL51:CO51)</f>
        <v>0</v>
      </c>
      <c r="CP319" s="343">
        <f>-CP318/SUM(Q_Financials!CM51:CP51)</f>
        <v>0</v>
      </c>
      <c r="CQ319" s="343">
        <f>-CQ318/SUM(Q_Financials!CN51:CQ51)</f>
        <v>0</v>
      </c>
      <c r="CR319" s="343">
        <f>-CR318/SUM(Q_Financials!CO51:CR51)</f>
        <v>0</v>
      </c>
      <c r="CS319" s="343">
        <f>-CS318/SUM(Q_Financials!CP51:CS51)</f>
        <v>0</v>
      </c>
      <c r="CT319" s="343">
        <f>-CT318/SUM(Q_Financials!CQ51:CT51)</f>
        <v>0</v>
      </c>
      <c r="CU319" s="343">
        <f>-CU318/SUM(Q_Financials!CR51:CU51)</f>
        <v>0</v>
      </c>
      <c r="CV319" s="343">
        <f>-CV318/SUM(Q_Financials!CS51:CV51)</f>
        <v>0</v>
      </c>
      <c r="CW319" s="343">
        <f>-CW318/SUM(Q_Financials!CT51:CW51)</f>
        <v>0</v>
      </c>
    </row>
    <row r="320" spans="1:101" s="9" customFormat="1" ht="11.25">
      <c r="A320" s="627"/>
      <c r="B320" s="628"/>
      <c r="C320" s="628"/>
      <c r="D320" s="628"/>
      <c r="E320" s="628"/>
      <c r="F320" s="628"/>
      <c r="G320" s="628"/>
      <c r="H320" s="628"/>
      <c r="I320" s="628"/>
      <c r="J320" s="628"/>
      <c r="K320" s="628"/>
      <c r="L320" s="628"/>
      <c r="M320" s="628"/>
      <c r="N320" s="628"/>
      <c r="O320" s="628"/>
      <c r="P320" s="628"/>
      <c r="Q320" s="628"/>
      <c r="R320" s="628"/>
      <c r="S320" s="628"/>
      <c r="T320" s="628"/>
      <c r="U320" s="628"/>
      <c r="V320" s="628"/>
      <c r="W320" s="628"/>
      <c r="X320" s="628"/>
      <c r="Y320" s="628"/>
      <c r="Z320" s="628"/>
      <c r="AA320" s="628"/>
      <c r="AB320" s="628"/>
      <c r="AC320" s="628"/>
      <c r="AD320" s="628"/>
      <c r="AE320" s="2178"/>
      <c r="AF320" s="628"/>
      <c r="AG320" s="628"/>
      <c r="AH320" s="628"/>
      <c r="AI320" s="628"/>
      <c r="AJ320" s="628"/>
      <c r="AK320" s="628"/>
      <c r="AL320" s="902"/>
      <c r="AM320" s="902"/>
      <c r="AN320" s="902"/>
      <c r="AO320" s="902"/>
      <c r="AP320" s="629"/>
      <c r="AQ320" s="629"/>
      <c r="AR320" s="629"/>
      <c r="AS320" s="629"/>
      <c r="AT320" s="629"/>
      <c r="AU320" s="629"/>
      <c r="AV320" s="629"/>
      <c r="AW320" s="629"/>
      <c r="AX320" s="629"/>
      <c r="AY320" s="629"/>
      <c r="AZ320" s="629"/>
      <c r="BA320" s="629"/>
      <c r="BB320" s="629"/>
      <c r="BC320" s="629"/>
      <c r="BD320" s="629"/>
      <c r="BE320" s="629"/>
      <c r="BF320" s="629"/>
      <c r="BG320" s="629"/>
      <c r="BH320" s="629"/>
      <c r="BI320" s="629"/>
      <c r="BJ320" s="629"/>
      <c r="BK320" s="1688"/>
      <c r="BL320" s="629"/>
      <c r="BM320" s="629"/>
      <c r="BN320" s="629"/>
      <c r="BO320" s="629"/>
      <c r="BP320" s="629"/>
      <c r="BQ320" s="629"/>
      <c r="BR320" s="629"/>
      <c r="BS320" s="629"/>
      <c r="BT320" s="629"/>
      <c r="BU320" s="629"/>
      <c r="BV320" s="629"/>
      <c r="BW320" s="629"/>
      <c r="BX320" s="629"/>
      <c r="BY320" s="629"/>
      <c r="BZ320" s="629"/>
      <c r="CA320" s="629"/>
      <c r="CB320" s="629"/>
      <c r="CC320" s="629"/>
      <c r="CD320" s="629"/>
      <c r="CE320" s="629"/>
      <c r="CF320" s="629"/>
      <c r="CG320" s="629"/>
      <c r="CH320" s="629"/>
      <c r="CI320" s="629"/>
      <c r="CJ320" s="629"/>
      <c r="CK320" s="629"/>
      <c r="CL320" s="629"/>
      <c r="CM320" s="629"/>
      <c r="CN320" s="629"/>
      <c r="CO320" s="629"/>
      <c r="CP320" s="629"/>
      <c r="CQ320" s="629"/>
      <c r="CR320" s="629"/>
      <c r="CS320" s="629"/>
      <c r="CT320" s="629"/>
      <c r="CU320" s="629"/>
      <c r="CV320" s="629"/>
      <c r="CW320" s="629"/>
    </row>
    <row r="321" spans="1:101" s="9" customFormat="1" ht="11.25">
      <c r="A321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321" s="4"/>
      <c r="C321" s="4"/>
      <c r="D321" s="4"/>
      <c r="E321" s="4"/>
      <c r="F321" s="4"/>
      <c r="G321" s="4"/>
      <c r="H321" s="12"/>
      <c r="I321" s="624"/>
      <c r="J321" s="4"/>
      <c r="K321" s="4"/>
      <c r="L321" s="12"/>
      <c r="M321" s="624"/>
      <c r="N321" s="4"/>
      <c r="O321" s="4"/>
      <c r="P321" s="625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2179"/>
      <c r="AF321" s="4"/>
      <c r="AG321" s="631"/>
      <c r="AH321" s="4"/>
      <c r="AI321" s="4"/>
      <c r="AJ321" s="4"/>
      <c r="AK321" s="4"/>
      <c r="AL321" s="4"/>
      <c r="AM321" s="4"/>
      <c r="AN321" s="4"/>
      <c r="AO321" s="4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626"/>
      <c r="BR321" s="626"/>
      <c r="BS321" s="626"/>
      <c r="BT321" s="626"/>
      <c r="BU321" s="626"/>
      <c r="BV321" s="626"/>
      <c r="BW321" s="626"/>
      <c r="BX321" s="626"/>
      <c r="BY321" s="626"/>
      <c r="BZ321" s="626"/>
      <c r="CA321" s="626"/>
      <c r="CB321" s="626"/>
      <c r="CC321" s="626"/>
      <c r="CD321" s="626"/>
      <c r="CE321" s="626"/>
      <c r="CF321" s="626"/>
      <c r="CG321" s="626"/>
      <c r="CH321" s="626"/>
      <c r="CI321" s="626"/>
      <c r="CJ321" s="626"/>
      <c r="CK321" s="626" t="s">
        <v>281</v>
      </c>
      <c r="CL321" s="626" t="s">
        <v>281</v>
      </c>
      <c r="CM321" s="626" t="s">
        <v>281</v>
      </c>
      <c r="CN321" s="626" t="s">
        <v>281</v>
      </c>
      <c r="CO321" s="626" t="s">
        <v>281</v>
      </c>
      <c r="CP321" s="626" t="s">
        <v>281</v>
      </c>
      <c r="CQ321" s="626" t="s">
        <v>281</v>
      </c>
      <c r="CR321" s="626" t="s">
        <v>281</v>
      </c>
      <c r="CS321" s="626" t="s">
        <v>281</v>
      </c>
      <c r="CT321" s="626" t="s">
        <v>281</v>
      </c>
      <c r="CU321" s="626" t="s">
        <v>281</v>
      </c>
      <c r="CV321" s="626" t="s">
        <v>281</v>
      </c>
      <c r="CW321" s="626" t="s">
        <v>281</v>
      </c>
    </row>
    <row r="322" spans="1:101" s="9" customFormat="1" ht="11.25">
      <c r="AE322" s="2119"/>
    </row>
    <row r="323" spans="1:101" s="9" customFormat="1" ht="11.25">
      <c r="AE323" s="2119"/>
    </row>
    <row r="324" spans="1:101" s="9" customFormat="1" ht="11.25">
      <c r="AE324" s="2119"/>
    </row>
    <row r="325" spans="1:101" s="9" customFormat="1" ht="11.25">
      <c r="AE325" s="2119"/>
    </row>
    <row r="326" spans="1:101" s="9" customFormat="1" ht="11.25">
      <c r="AE326" s="2119"/>
    </row>
    <row r="327" spans="1:101" s="9" customFormat="1" ht="11.25">
      <c r="AE327" s="2119"/>
    </row>
    <row r="328" spans="1:101" s="9" customFormat="1" ht="11.25">
      <c r="AE328" s="2119"/>
    </row>
    <row r="329" spans="1:101" s="9" customFormat="1" ht="11.25">
      <c r="AE329" s="2119"/>
    </row>
    <row r="330" spans="1:101" s="9" customFormat="1" ht="11.25">
      <c r="AE330" s="2119"/>
    </row>
    <row r="331" spans="1:101" s="9" customFormat="1" ht="11.25">
      <c r="AE331" s="2119"/>
    </row>
    <row r="332" spans="1:101" s="9" customFormat="1" ht="11.25">
      <c r="AE332" s="2119"/>
    </row>
    <row r="333" spans="1:101" s="9" customFormat="1" ht="11.25">
      <c r="AE333" s="2119"/>
    </row>
    <row r="334" spans="1:101" s="9" customFormat="1" ht="11.25">
      <c r="AE334" s="2119"/>
    </row>
    <row r="335" spans="1:101" s="9" customFormat="1" ht="11.25">
      <c r="AE335" s="2119"/>
    </row>
    <row r="336" spans="1:101" s="9" customFormat="1" ht="11.25">
      <c r="AE336" s="2119"/>
    </row>
    <row r="337" spans="31:31" s="9" customFormat="1" ht="11.25">
      <c r="AE337" s="2119"/>
    </row>
    <row r="338" spans="31:31" s="9" customFormat="1" ht="11.25">
      <c r="AE338" s="2119"/>
    </row>
    <row r="339" spans="31:31" s="9" customFormat="1" ht="11.25">
      <c r="AE339" s="2119"/>
    </row>
    <row r="340" spans="31:31" s="9" customFormat="1" ht="11.25">
      <c r="AE340" s="2119"/>
    </row>
    <row r="341" spans="31:31" s="9" customFormat="1" ht="11.25">
      <c r="AE341" s="2119"/>
    </row>
    <row r="342" spans="31:31" s="9" customFormat="1" ht="11.25">
      <c r="AE342" s="2119"/>
    </row>
    <row r="343" spans="31:31" s="9" customFormat="1" ht="11.25">
      <c r="AE343" s="2119"/>
    </row>
    <row r="344" spans="31:31" s="9" customFormat="1" ht="11.25">
      <c r="AE344" s="2119"/>
    </row>
    <row r="345" spans="31:31" s="9" customFormat="1" ht="11.25">
      <c r="AE345" s="2119"/>
    </row>
    <row r="346" spans="31:31" s="9" customFormat="1" ht="11.25">
      <c r="AE346" s="2119"/>
    </row>
    <row r="347" spans="31:31" s="9" customFormat="1" ht="11.25">
      <c r="AE347" s="2119"/>
    </row>
    <row r="348" spans="31:31" s="9" customFormat="1" ht="11.25">
      <c r="AE348" s="2119"/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theme="3" tint="0.59999389629810485"/>
    <pageSetUpPr fitToPage="1"/>
  </sheetPr>
  <dimension ref="A1:CX189"/>
  <sheetViews>
    <sheetView showGridLines="0" zoomScaleNormal="100" workbookViewId="0">
      <pane xSplit="29" ySplit="4" topLeftCell="AD5" activePane="bottomRight" state="frozen"/>
      <selection pane="topRight" activeCell="AD1" sqref="AD1"/>
      <selection pane="bottomLeft" activeCell="A5" sqref="A5"/>
      <selection pane="bottomRight"/>
    </sheetView>
  </sheetViews>
  <sheetFormatPr baseColWidth="10" defaultColWidth="9.42578125" defaultRowHeight="11.25" outlineLevelCol="1"/>
  <cols>
    <col min="1" max="1" width="36.5703125" style="9" customWidth="1"/>
    <col min="2" max="29" width="9.42578125" style="9" hidden="1" customWidth="1" outlineLevel="1"/>
    <col min="30" max="30" width="8.5703125" style="9" customWidth="1" collapsed="1"/>
    <col min="31" max="69" width="8.5703125" style="9" customWidth="1"/>
    <col min="70" max="73" width="9.42578125" style="9"/>
    <col min="74" max="101" width="9.42578125" style="9" hidden="1" customWidth="1" outlineLevel="1"/>
    <col min="102" max="102" width="9.42578125" style="9" collapsed="1"/>
    <col min="103" max="16384" width="9.42578125" style="9"/>
  </cols>
  <sheetData>
    <row r="1" spans="1:101" ht="18">
      <c r="A1" s="24" t="str">
        <f>Index!$G$12</f>
        <v>Alsea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2"/>
      <c r="AD1" s="552"/>
      <c r="AE1" s="409"/>
      <c r="AF1" s="552"/>
      <c r="AG1" s="552"/>
      <c r="AH1" s="552"/>
      <c r="AI1" s="552"/>
      <c r="AJ1" s="552"/>
      <c r="AK1" s="552"/>
      <c r="AL1" s="552"/>
      <c r="AM1" s="552"/>
      <c r="AN1" s="552"/>
      <c r="AO1" s="552"/>
      <c r="AP1" s="552"/>
      <c r="AQ1" s="552"/>
      <c r="AR1" s="552"/>
      <c r="AS1" s="552"/>
      <c r="AT1" s="552"/>
      <c r="AU1" s="552"/>
      <c r="AV1" s="552"/>
      <c r="AW1" s="552"/>
      <c r="AX1" s="552"/>
      <c r="AY1" s="552"/>
      <c r="AZ1" s="552"/>
      <c r="BA1" s="552"/>
      <c r="BB1" s="552"/>
      <c r="BC1" s="552"/>
      <c r="BD1" s="552"/>
      <c r="BE1" s="552"/>
      <c r="BF1" s="552"/>
      <c r="BG1" s="552"/>
      <c r="BH1" s="552"/>
      <c r="BI1" s="552"/>
      <c r="BJ1" s="552"/>
      <c r="BK1" s="1970"/>
      <c r="BL1" s="552"/>
      <c r="BM1" s="1948"/>
      <c r="BN1" s="552"/>
      <c r="BO1" s="409"/>
      <c r="BP1" s="409"/>
      <c r="BQ1" s="409"/>
      <c r="BR1" s="409"/>
      <c r="BS1" s="409"/>
      <c r="BT1" s="409"/>
      <c r="BU1" s="409"/>
      <c r="BV1" s="409"/>
      <c r="BW1" s="409"/>
      <c r="BX1" s="409"/>
      <c r="BY1" s="409"/>
      <c r="BZ1" s="409"/>
      <c r="CA1" s="409"/>
      <c r="CB1" s="409"/>
      <c r="CC1" s="409"/>
      <c r="CD1" s="409"/>
      <c r="CE1" s="409"/>
      <c r="CF1" s="409"/>
      <c r="CG1" s="409"/>
      <c r="CH1" s="409"/>
      <c r="CI1" s="409"/>
      <c r="CJ1" s="409"/>
      <c r="CK1" s="409"/>
      <c r="CL1" s="409"/>
      <c r="CM1" s="409"/>
      <c r="CN1" s="409"/>
      <c r="CO1" s="409"/>
      <c r="CP1" s="409"/>
      <c r="CQ1" s="409"/>
      <c r="CR1" s="409"/>
      <c r="CS1" s="409"/>
      <c r="CT1" s="409"/>
      <c r="CU1" s="409"/>
      <c r="CV1" s="409"/>
      <c r="CW1" s="409"/>
    </row>
    <row r="2" spans="1:101" ht="12.75">
      <c r="A2" s="551" t="s">
        <v>579</v>
      </c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409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948"/>
      <c r="BN2" s="2041"/>
      <c r="BO2" s="409"/>
      <c r="BP2" s="409"/>
      <c r="BQ2" s="409"/>
      <c r="BR2" s="409"/>
      <c r="BS2" s="409"/>
      <c r="BT2" s="409"/>
      <c r="BU2" s="409"/>
      <c r="BV2" s="409"/>
      <c r="BW2" s="409"/>
      <c r="BX2" s="409"/>
      <c r="BY2" s="409"/>
      <c r="BZ2" s="409"/>
      <c r="CA2" s="409"/>
      <c r="CB2" s="409"/>
      <c r="CC2" s="409"/>
      <c r="CD2" s="409"/>
      <c r="CE2" s="409"/>
      <c r="CF2" s="409"/>
      <c r="CG2" s="409"/>
      <c r="CH2" s="409"/>
      <c r="CI2" s="409"/>
      <c r="CJ2" s="409"/>
      <c r="CK2" s="131"/>
      <c r="CL2" s="409"/>
      <c r="CM2" s="409"/>
      <c r="CN2" s="409"/>
      <c r="CO2" s="409"/>
      <c r="CP2" s="409"/>
      <c r="CQ2" s="409"/>
      <c r="CR2" s="409"/>
      <c r="CS2" s="409"/>
      <c r="CT2" s="409"/>
      <c r="CU2" s="409"/>
      <c r="CV2" s="409"/>
      <c r="CW2" s="131" t="s">
        <v>317</v>
      </c>
    </row>
    <row r="3" spans="1:101">
      <c r="A3" s="290"/>
      <c r="B3" s="29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1954">
        <f t="shared" ref="AD3:BI3" si="0">YEAR(AD4)</f>
        <v>2016</v>
      </c>
      <c r="AE3" s="1954">
        <f t="shared" si="0"/>
        <v>2016</v>
      </c>
      <c r="AF3" s="1954">
        <f t="shared" si="0"/>
        <v>2016</v>
      </c>
      <c r="AG3" s="1954">
        <f t="shared" si="0"/>
        <v>2016</v>
      </c>
      <c r="AH3" s="1954">
        <f t="shared" si="0"/>
        <v>2017</v>
      </c>
      <c r="AI3" s="1954">
        <f t="shared" si="0"/>
        <v>2017</v>
      </c>
      <c r="AJ3" s="1954">
        <f t="shared" si="0"/>
        <v>2017</v>
      </c>
      <c r="AK3" s="1954">
        <f t="shared" si="0"/>
        <v>2017</v>
      </c>
      <c r="AL3" s="1954">
        <f t="shared" si="0"/>
        <v>2018</v>
      </c>
      <c r="AM3" s="1954">
        <f t="shared" si="0"/>
        <v>2018</v>
      </c>
      <c r="AN3" s="1954">
        <f t="shared" si="0"/>
        <v>2018</v>
      </c>
      <c r="AO3" s="1954">
        <f t="shared" si="0"/>
        <v>2018</v>
      </c>
      <c r="AP3" s="1954">
        <f t="shared" si="0"/>
        <v>2019</v>
      </c>
      <c r="AQ3" s="1954">
        <f t="shared" si="0"/>
        <v>2019</v>
      </c>
      <c r="AR3" s="1954">
        <f t="shared" si="0"/>
        <v>2019</v>
      </c>
      <c r="AS3" s="1954">
        <f t="shared" si="0"/>
        <v>2019</v>
      </c>
      <c r="AT3" s="1954">
        <f t="shared" si="0"/>
        <v>2020</v>
      </c>
      <c r="AU3" s="1954">
        <f t="shared" si="0"/>
        <v>2020</v>
      </c>
      <c r="AV3" s="1954">
        <f t="shared" si="0"/>
        <v>2020</v>
      </c>
      <c r="AW3" s="1954">
        <f t="shared" si="0"/>
        <v>2020</v>
      </c>
      <c r="AX3" s="1954">
        <f t="shared" si="0"/>
        <v>2021</v>
      </c>
      <c r="AY3" s="1954">
        <f t="shared" si="0"/>
        <v>2021</v>
      </c>
      <c r="AZ3" s="1954">
        <f t="shared" si="0"/>
        <v>2021</v>
      </c>
      <c r="BA3" s="1954">
        <f t="shared" si="0"/>
        <v>2021</v>
      </c>
      <c r="BB3" s="1954">
        <f t="shared" si="0"/>
        <v>2022</v>
      </c>
      <c r="BC3" s="1954">
        <f t="shared" si="0"/>
        <v>2022</v>
      </c>
      <c r="BD3" s="1954">
        <f t="shared" si="0"/>
        <v>2022</v>
      </c>
      <c r="BE3" s="1954">
        <f t="shared" si="0"/>
        <v>2022</v>
      </c>
      <c r="BF3" s="1954">
        <f t="shared" si="0"/>
        <v>2023</v>
      </c>
      <c r="BG3" s="1954">
        <f t="shared" si="0"/>
        <v>2023</v>
      </c>
      <c r="BH3" s="1954">
        <f t="shared" si="0"/>
        <v>2023</v>
      </c>
      <c r="BI3" s="1954">
        <f t="shared" si="0"/>
        <v>2023</v>
      </c>
      <c r="BJ3" s="1954">
        <f>YEAR(BJ4)</f>
        <v>2024</v>
      </c>
      <c r="BK3" s="1954">
        <f t="shared" ref="BK3" si="1">YEAR(BK4)</f>
        <v>2024</v>
      </c>
      <c r="BL3" s="1954">
        <f t="shared" ref="BL3:CW3" si="2">YEAR(BL4)</f>
        <v>2024</v>
      </c>
      <c r="BM3" s="1954">
        <f t="shared" si="2"/>
        <v>2024</v>
      </c>
      <c r="BN3" s="1954">
        <f t="shared" si="2"/>
        <v>2025</v>
      </c>
      <c r="BO3" s="1954">
        <f t="shared" si="2"/>
        <v>2025</v>
      </c>
      <c r="BP3" s="1954">
        <f t="shared" si="2"/>
        <v>2025</v>
      </c>
      <c r="BQ3" s="1954">
        <f t="shared" si="2"/>
        <v>2025</v>
      </c>
      <c r="BR3" s="1954">
        <f t="shared" si="2"/>
        <v>2026</v>
      </c>
      <c r="BS3" s="1954">
        <f t="shared" si="2"/>
        <v>2026</v>
      </c>
      <c r="BT3" s="1954">
        <f t="shared" si="2"/>
        <v>2026</v>
      </c>
      <c r="BU3" s="1954">
        <f t="shared" si="2"/>
        <v>2026</v>
      </c>
      <c r="BV3" s="1954">
        <f t="shared" si="2"/>
        <v>2027</v>
      </c>
      <c r="BW3" s="1954">
        <f t="shared" si="2"/>
        <v>2027</v>
      </c>
      <c r="BX3" s="1954">
        <f t="shared" si="2"/>
        <v>2027</v>
      </c>
      <c r="BY3" s="1954">
        <f t="shared" si="2"/>
        <v>2027</v>
      </c>
      <c r="BZ3" s="1954">
        <f t="shared" si="2"/>
        <v>2028</v>
      </c>
      <c r="CA3" s="1954">
        <f t="shared" si="2"/>
        <v>2028</v>
      </c>
      <c r="CB3" s="1954">
        <f t="shared" si="2"/>
        <v>2028</v>
      </c>
      <c r="CC3" s="1954">
        <f t="shared" si="2"/>
        <v>2028</v>
      </c>
      <c r="CD3" s="1954">
        <f t="shared" si="2"/>
        <v>2029</v>
      </c>
      <c r="CE3" s="1954">
        <f t="shared" si="2"/>
        <v>2029</v>
      </c>
      <c r="CF3" s="1954">
        <f t="shared" si="2"/>
        <v>2029</v>
      </c>
      <c r="CG3" s="1954">
        <f t="shared" si="2"/>
        <v>2029</v>
      </c>
      <c r="CH3" s="1954">
        <f t="shared" si="2"/>
        <v>2030</v>
      </c>
      <c r="CI3" s="1954">
        <f t="shared" si="2"/>
        <v>2030</v>
      </c>
      <c r="CJ3" s="1954">
        <f t="shared" si="2"/>
        <v>2030</v>
      </c>
      <c r="CK3" s="1954">
        <f t="shared" si="2"/>
        <v>2030</v>
      </c>
      <c r="CL3" s="1954">
        <f t="shared" si="2"/>
        <v>2031</v>
      </c>
      <c r="CM3" s="1954">
        <f t="shared" si="2"/>
        <v>2031</v>
      </c>
      <c r="CN3" s="1954">
        <f t="shared" si="2"/>
        <v>2031</v>
      </c>
      <c r="CO3" s="1954">
        <f t="shared" si="2"/>
        <v>2031</v>
      </c>
      <c r="CP3" s="1954">
        <f t="shared" si="2"/>
        <v>2032</v>
      </c>
      <c r="CQ3" s="1954">
        <f t="shared" si="2"/>
        <v>2032</v>
      </c>
      <c r="CR3" s="1954">
        <f t="shared" si="2"/>
        <v>2032</v>
      </c>
      <c r="CS3" s="1954">
        <f t="shared" si="2"/>
        <v>2032</v>
      </c>
      <c r="CT3" s="1954">
        <f t="shared" si="2"/>
        <v>2033</v>
      </c>
      <c r="CU3" s="1954">
        <f t="shared" si="2"/>
        <v>2033</v>
      </c>
      <c r="CV3" s="1954">
        <f t="shared" si="2"/>
        <v>2033</v>
      </c>
      <c r="CW3" s="1954">
        <f t="shared" si="2"/>
        <v>2033</v>
      </c>
    </row>
    <row r="4" spans="1:101">
      <c r="A4" s="465" t="s">
        <v>517</v>
      </c>
      <c r="B4" s="598">
        <f>Q_IS!B4</f>
        <v>39903</v>
      </c>
      <c r="C4" s="598">
        <f>Q_IS!C4</f>
        <v>39994</v>
      </c>
      <c r="D4" s="598">
        <f>Q_IS!D4</f>
        <v>40086</v>
      </c>
      <c r="E4" s="598">
        <f>Q_IS!E4</f>
        <v>40178</v>
      </c>
      <c r="F4" s="598">
        <f>Q_IS!F4</f>
        <v>40268</v>
      </c>
      <c r="G4" s="598">
        <f>Q_IS!G4</f>
        <v>40359</v>
      </c>
      <c r="H4" s="598">
        <f>Q_IS!H4</f>
        <v>40451</v>
      </c>
      <c r="I4" s="598">
        <f>Q_IS!I4</f>
        <v>40543</v>
      </c>
      <c r="J4" s="598">
        <f>Q_IS!J4</f>
        <v>40633</v>
      </c>
      <c r="K4" s="598">
        <f>Q_IS!K4</f>
        <v>40724</v>
      </c>
      <c r="L4" s="598">
        <f>Q_IS!L4</f>
        <v>40816</v>
      </c>
      <c r="M4" s="598">
        <f>Q_IS!M4</f>
        <v>40908</v>
      </c>
      <c r="N4" s="598">
        <f>Q_IS!N4</f>
        <v>40999</v>
      </c>
      <c r="O4" s="598">
        <f>Q_IS!O4</f>
        <v>41090</v>
      </c>
      <c r="P4" s="598">
        <f>Q_IS!P4</f>
        <v>41182</v>
      </c>
      <c r="Q4" s="598">
        <f>Q_IS!Q4</f>
        <v>41274</v>
      </c>
      <c r="R4" s="598">
        <f>Q_IS!R4</f>
        <v>41364</v>
      </c>
      <c r="S4" s="598">
        <f>Q_IS!S4</f>
        <v>41455</v>
      </c>
      <c r="T4" s="598">
        <f>Q_IS!T4</f>
        <v>41547</v>
      </c>
      <c r="U4" s="598">
        <f>Q_IS!U4</f>
        <v>41639</v>
      </c>
      <c r="V4" s="598">
        <f>Q_IS!V4</f>
        <v>41729</v>
      </c>
      <c r="W4" s="598">
        <f>Q_IS!W4</f>
        <v>41820</v>
      </c>
      <c r="X4" s="598">
        <f>Q_IS!X4</f>
        <v>41912</v>
      </c>
      <c r="Y4" s="598">
        <f>Q_IS!Y4</f>
        <v>42004</v>
      </c>
      <c r="Z4" s="598">
        <f>Q_IS!Z4</f>
        <v>42094</v>
      </c>
      <c r="AA4" s="598">
        <f>Q_IS!AA4</f>
        <v>42185</v>
      </c>
      <c r="AB4" s="598">
        <f>Q_IS!AB4</f>
        <v>42277</v>
      </c>
      <c r="AC4" s="598">
        <f>Q_IS!AC4</f>
        <v>42369</v>
      </c>
      <c r="AD4" s="598">
        <f>Q_IS!AD4</f>
        <v>42460</v>
      </c>
      <c r="AE4" s="598">
        <f>Q_IS!AE4</f>
        <v>42551</v>
      </c>
      <c r="AF4" s="598">
        <f>Q_IS!AF4</f>
        <v>42643</v>
      </c>
      <c r="AG4" s="598">
        <f>Q_IS!AG4</f>
        <v>42735</v>
      </c>
      <c r="AH4" s="598">
        <f>Q_IS!AH4</f>
        <v>42825</v>
      </c>
      <c r="AI4" s="598">
        <f>Q_IS!AI4</f>
        <v>42916</v>
      </c>
      <c r="AJ4" s="598">
        <f>Q_IS!AJ4</f>
        <v>43008</v>
      </c>
      <c r="AK4" s="598">
        <f>Q_IS!AK4</f>
        <v>43100</v>
      </c>
      <c r="AL4" s="598">
        <f>Q_IS!AL4</f>
        <v>43190</v>
      </c>
      <c r="AM4" s="598">
        <f>Q_IS!AM4</f>
        <v>43281</v>
      </c>
      <c r="AN4" s="598">
        <f>Q_IS!AN4</f>
        <v>43373</v>
      </c>
      <c r="AO4" s="598">
        <f>Q_IS!AO4</f>
        <v>43465</v>
      </c>
      <c r="AP4" s="598">
        <f>Q_IS!AP4</f>
        <v>43555</v>
      </c>
      <c r="AQ4" s="598">
        <f>Q_IS!AQ4</f>
        <v>43646</v>
      </c>
      <c r="AR4" s="598">
        <f>Q_IS!AR4</f>
        <v>43738</v>
      </c>
      <c r="AS4" s="598">
        <f>Q_IS!AS4</f>
        <v>43830</v>
      </c>
      <c r="AT4" s="598">
        <f>Q_IS!AT4</f>
        <v>43921</v>
      </c>
      <c r="AU4" s="598">
        <f>Q_IS!AU4</f>
        <v>44012</v>
      </c>
      <c r="AV4" s="598">
        <f>Q_IS!AV4</f>
        <v>44104</v>
      </c>
      <c r="AW4" s="598">
        <f>Q_IS!AW4</f>
        <v>44196</v>
      </c>
      <c r="AX4" s="598">
        <f>Q_IS!AX4</f>
        <v>44286</v>
      </c>
      <c r="AY4" s="598">
        <f>Q_IS!AY4</f>
        <v>44377</v>
      </c>
      <c r="AZ4" s="598">
        <f>Q_IS!AZ4</f>
        <v>44469</v>
      </c>
      <c r="BA4" s="598">
        <f>Q_IS!BA4</f>
        <v>44561</v>
      </c>
      <c r="BB4" s="598">
        <f>Q_IS!BB4</f>
        <v>44651</v>
      </c>
      <c r="BC4" s="598">
        <f>Q_IS!BC4</f>
        <v>44742</v>
      </c>
      <c r="BD4" s="598">
        <f>Q_IS!BD4</f>
        <v>44834</v>
      </c>
      <c r="BE4" s="598">
        <f>Q_IS!BE4</f>
        <v>44926</v>
      </c>
      <c r="BF4" s="598">
        <f>Q_IS!BF4</f>
        <v>45016</v>
      </c>
      <c r="BG4" s="598">
        <f>Q_IS!BG4</f>
        <v>45107</v>
      </c>
      <c r="BH4" s="598">
        <f>Q_IS!BH4</f>
        <v>45199</v>
      </c>
      <c r="BI4" s="598">
        <f>Q_IS!BI4</f>
        <v>45291</v>
      </c>
      <c r="BJ4" s="598">
        <f>Q_IS!BJ4</f>
        <v>45382</v>
      </c>
      <c r="BK4" s="1330">
        <f>Q_IS!BK4</f>
        <v>45473</v>
      </c>
      <c r="BL4" s="600">
        <f>Q_IS!BL4</f>
        <v>45565</v>
      </c>
      <c r="BM4" s="600">
        <f>Q_IS!BM4</f>
        <v>45657</v>
      </c>
      <c r="BN4" s="600">
        <f>Q_IS!BN4</f>
        <v>45747</v>
      </c>
      <c r="BO4" s="600">
        <f>Q_IS!BO4</f>
        <v>45838</v>
      </c>
      <c r="BP4" s="600">
        <f>Q_IS!BP4</f>
        <v>45930</v>
      </c>
      <c r="BQ4" s="600">
        <f>Q_IS!BQ4</f>
        <v>46022</v>
      </c>
      <c r="BR4" s="600">
        <f>Q_IS!BR4</f>
        <v>46112</v>
      </c>
      <c r="BS4" s="600">
        <f>Q_IS!BS4</f>
        <v>46203</v>
      </c>
      <c r="BT4" s="600">
        <f>Q_IS!BT4</f>
        <v>46295</v>
      </c>
      <c r="BU4" s="600">
        <f>Q_IS!BU4</f>
        <v>46387</v>
      </c>
      <c r="BV4" s="600">
        <f>Q_IS!BV4</f>
        <v>46477</v>
      </c>
      <c r="BW4" s="600">
        <f>Q_IS!BW4</f>
        <v>46568</v>
      </c>
      <c r="BX4" s="600">
        <f>Q_IS!BX4</f>
        <v>46660</v>
      </c>
      <c r="BY4" s="600">
        <f>Q_IS!BY4</f>
        <v>46752</v>
      </c>
      <c r="BZ4" s="600">
        <f>Q_IS!BZ4</f>
        <v>46843</v>
      </c>
      <c r="CA4" s="600">
        <f>Q_IS!CA4</f>
        <v>46934</v>
      </c>
      <c r="CB4" s="600">
        <f>Q_IS!CB4</f>
        <v>47026</v>
      </c>
      <c r="CC4" s="600">
        <f>Q_IS!CC4</f>
        <v>47118</v>
      </c>
      <c r="CD4" s="600">
        <f>Q_IS!CD4</f>
        <v>47208</v>
      </c>
      <c r="CE4" s="600">
        <f>Q_IS!CE4</f>
        <v>47299</v>
      </c>
      <c r="CF4" s="600">
        <f>Q_IS!CF4</f>
        <v>47391</v>
      </c>
      <c r="CG4" s="600">
        <f>Q_IS!CG4</f>
        <v>47483</v>
      </c>
      <c r="CH4" s="600">
        <f>Q_IS!CH4</f>
        <v>47573</v>
      </c>
      <c r="CI4" s="600">
        <f>Q_IS!CI4</f>
        <v>47664</v>
      </c>
      <c r="CJ4" s="600">
        <f>Q_IS!CJ4</f>
        <v>47756</v>
      </c>
      <c r="CK4" s="600">
        <f>Q_IS!CK4</f>
        <v>47848</v>
      </c>
      <c r="CL4" s="600">
        <f>Q_IS!CL4</f>
        <v>47938</v>
      </c>
      <c r="CM4" s="600">
        <f>Q_IS!CM4</f>
        <v>48029</v>
      </c>
      <c r="CN4" s="600">
        <f>Q_IS!CN4</f>
        <v>48121</v>
      </c>
      <c r="CO4" s="600">
        <f>Q_IS!CO4</f>
        <v>48213</v>
      </c>
      <c r="CP4" s="600">
        <f>Q_IS!CP4</f>
        <v>48304</v>
      </c>
      <c r="CQ4" s="600">
        <f>Q_IS!CQ4</f>
        <v>48395</v>
      </c>
      <c r="CR4" s="600">
        <f>Q_IS!CR4</f>
        <v>48487</v>
      </c>
      <c r="CS4" s="600">
        <f>Q_IS!CS4</f>
        <v>48579</v>
      </c>
      <c r="CT4" s="600">
        <f>Q_IS!CT4</f>
        <v>48669</v>
      </c>
      <c r="CU4" s="600">
        <f>Q_IS!CU4</f>
        <v>48760</v>
      </c>
      <c r="CV4" s="600">
        <f>Q_IS!CV4</f>
        <v>48852</v>
      </c>
      <c r="CW4" s="600">
        <f>Q_IS!CW4</f>
        <v>48944</v>
      </c>
    </row>
    <row r="5" spans="1:101">
      <c r="A5" s="319" t="s">
        <v>26</v>
      </c>
      <c r="B5" s="431"/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  <c r="AE5" s="431"/>
      <c r="AF5" s="431"/>
      <c r="AG5" s="431"/>
      <c r="AH5" s="431"/>
      <c r="AI5" s="431"/>
      <c r="AJ5" s="431"/>
      <c r="AK5" s="431"/>
      <c r="AL5" s="431"/>
      <c r="AM5" s="431"/>
      <c r="AN5" s="431"/>
      <c r="AO5" s="431"/>
      <c r="AP5" s="320"/>
      <c r="AQ5" s="320"/>
      <c r="AR5" s="320"/>
      <c r="AS5" s="320"/>
      <c r="AT5" s="320"/>
      <c r="AU5" s="320"/>
      <c r="AV5" s="320"/>
      <c r="AW5" s="320"/>
      <c r="AX5" s="320"/>
      <c r="AY5" s="320"/>
      <c r="AZ5" s="320"/>
      <c r="BA5" s="320"/>
      <c r="BB5" s="320"/>
      <c r="BC5" s="320"/>
      <c r="BD5" s="320"/>
      <c r="BE5" s="320"/>
      <c r="BF5" s="320"/>
      <c r="BG5" s="320"/>
      <c r="BH5" s="320"/>
      <c r="BI5" s="320"/>
      <c r="BJ5" s="320"/>
      <c r="BK5" s="1331"/>
      <c r="BL5" s="320"/>
      <c r="BM5" s="320"/>
      <c r="BN5" s="320"/>
      <c r="BO5" s="320"/>
      <c r="BP5" s="320"/>
      <c r="BQ5" s="320"/>
      <c r="BR5" s="321"/>
      <c r="BS5" s="47"/>
    </row>
    <row r="6" spans="1:101">
      <c r="A6" s="322" t="s">
        <v>546</v>
      </c>
      <c r="B6" s="119">
        <f>Q_Financials!B69</f>
        <v>167.983</v>
      </c>
      <c r="C6" s="119">
        <f>Q_Financials!C69</f>
        <v>166.66399999999999</v>
      </c>
      <c r="D6" s="119">
        <f>Q_Financials!D69</f>
        <v>172.02699999999999</v>
      </c>
      <c r="E6" s="119">
        <f>Q_Financials!E69</f>
        <v>196.14699999999999</v>
      </c>
      <c r="F6" s="119">
        <f>Q_Financials!F69</f>
        <v>208.50600000000003</v>
      </c>
      <c r="G6" s="119">
        <f>Q_Financials!G69</f>
        <v>207.13600000000002</v>
      </c>
      <c r="H6" s="119">
        <f>Q_Financials!H69</f>
        <v>207.78200000000001</v>
      </c>
      <c r="I6" s="119">
        <f>Q_Financials!I69</f>
        <v>246.70599999999999</v>
      </c>
      <c r="J6" s="119">
        <f>Q_Financials!J69</f>
        <v>263.93600000000004</v>
      </c>
      <c r="K6" s="119">
        <f>Q_Financials!K69</f>
        <v>275.56299999999999</v>
      </c>
      <c r="L6" s="119">
        <f>Q_Financials!L69</f>
        <v>286.93799999999999</v>
      </c>
      <c r="M6" s="119">
        <f>Q_Financials!M69</f>
        <v>385.57799999999997</v>
      </c>
      <c r="N6" s="119">
        <f>Q_Financials!N69</f>
        <v>448.58000000000004</v>
      </c>
      <c r="O6" s="119">
        <f>Q_Financials!O69</f>
        <v>399.63499999999999</v>
      </c>
      <c r="P6" s="119">
        <f>Q_Financials!P69</f>
        <v>476.51099999999997</v>
      </c>
      <c r="Q6" s="119">
        <f>Q_Financials!Q69</f>
        <v>535.93100000000004</v>
      </c>
      <c r="R6" s="119">
        <f>Q_Financials!R69</f>
        <v>487.41800000000001</v>
      </c>
      <c r="S6" s="119">
        <f>Q_Financials!S69</f>
        <v>527.06700000000001</v>
      </c>
      <c r="T6" s="119">
        <f>Q_Financials!T69</f>
        <v>530.23400000000004</v>
      </c>
      <c r="U6" s="119">
        <f>Q_Financials!U69</f>
        <v>628.81799999999998</v>
      </c>
      <c r="V6" s="119">
        <f>Q_Financials!V69</f>
        <v>584.34699999999998</v>
      </c>
      <c r="W6" s="119">
        <f>Q_Financials!W69</f>
        <v>624.02499999999998</v>
      </c>
      <c r="X6" s="119">
        <f>Q_Financials!X69</f>
        <v>791.16800000000001</v>
      </c>
      <c r="Y6" s="119">
        <f>Q_Financials!Y69</f>
        <v>895.54300000000001</v>
      </c>
      <c r="Z6" s="119">
        <f>Q_Financials!Z69</f>
        <v>871.36699999999996</v>
      </c>
      <c r="AA6" s="119">
        <f>Q_Financials!AA69</f>
        <v>774.21299999999997</v>
      </c>
      <c r="AB6" s="119">
        <f>Q_Financials!AB69</f>
        <v>771.38400000000001</v>
      </c>
      <c r="AC6" s="119">
        <f>Q_Financials!AC69</f>
        <v>904.85299999999995</v>
      </c>
      <c r="AD6" s="119">
        <f>Q_Financials!AD69</f>
        <v>871.30300000000011</v>
      </c>
      <c r="AE6" s="119">
        <f>Q_Financials!AE69</f>
        <v>857.072</v>
      </c>
      <c r="AF6" s="119">
        <f>Q_Financials!AF69</f>
        <v>890.53200000000004</v>
      </c>
      <c r="AG6" s="119">
        <f>Q_Financials!AG69</f>
        <v>953.63800000000003</v>
      </c>
      <c r="AH6" s="119">
        <f>Q_Financials!AH69</f>
        <v>857.31100000000004</v>
      </c>
      <c r="AI6" s="119">
        <f>Q_Financials!AI69</f>
        <v>915.72199999999998</v>
      </c>
      <c r="AJ6" s="119">
        <f>Q_Financials!AJ69</f>
        <v>968.53099999999995</v>
      </c>
      <c r="AK6" s="119">
        <f>Q_Financials!AK69</f>
        <v>1250.588</v>
      </c>
      <c r="AL6" s="119">
        <f>Q_Financials!AL69</f>
        <v>901.28500000000008</v>
      </c>
      <c r="AM6" s="119">
        <f>Q_Financials!AM69</f>
        <v>892.02400000000011</v>
      </c>
      <c r="AN6" s="119">
        <f>Q_Financials!AN69</f>
        <v>793.15899999999999</v>
      </c>
      <c r="AO6" s="119">
        <f>Q_Financials!AO69</f>
        <v>1025.1179999999999</v>
      </c>
      <c r="AP6" s="119">
        <f>Q_Financials!AP69</f>
        <v>1144.451</v>
      </c>
      <c r="AQ6" s="119">
        <f>Q_Financials!AQ69</f>
        <v>1384.633</v>
      </c>
      <c r="AR6" s="119">
        <f>Q_Financials!AR69</f>
        <v>1668.3879999999999</v>
      </c>
      <c r="AS6" s="119">
        <f>Q_Financials!AS69</f>
        <v>1447.221</v>
      </c>
      <c r="AT6" s="1736">
        <f>Q_Financials!AT69</f>
        <v>1748.4580000000001</v>
      </c>
      <c r="AU6" s="1736">
        <f>Q_Financials!AU69</f>
        <v>1468.375</v>
      </c>
      <c r="AV6" s="1736">
        <f>Q_Financials!AV69</f>
        <v>1557.7670000000001</v>
      </c>
      <c r="AW6" s="1736">
        <f>Q_Financials!AW69</f>
        <v>1706</v>
      </c>
      <c r="AX6" s="1736">
        <f>Q_Financials!AX69</f>
        <v>1675.6599999999999</v>
      </c>
      <c r="AY6" s="1736">
        <f>Q_Financials!AY69</f>
        <v>1645.194</v>
      </c>
      <c r="AZ6" s="1736">
        <f>Q_Financials!AZ69</f>
        <v>1791.5250000000001</v>
      </c>
      <c r="BA6" s="1736">
        <f>Q_Financials!BA69</f>
        <v>1751.527</v>
      </c>
      <c r="BB6" s="1736">
        <f>Q_Financials!BB69</f>
        <v>1690.9190000000001</v>
      </c>
      <c r="BC6" s="1736">
        <f>Q_Financials!BC69</f>
        <v>1794.4059999999999</v>
      </c>
      <c r="BD6" s="1736">
        <f>Q_Financials!BD69</f>
        <v>1827.136</v>
      </c>
      <c r="BE6" s="1736">
        <f>Q_Financials!BE69</f>
        <v>2029.42</v>
      </c>
      <c r="BF6" s="1736">
        <f>Q_Financials!BF69</f>
        <v>2284.6800000000003</v>
      </c>
      <c r="BG6" s="1736">
        <f>Q_Financials!BG69</f>
        <v>2204.9180000000001</v>
      </c>
      <c r="BH6" s="1736">
        <f>Q_Financials!BH69</f>
        <v>2389.8820000000001</v>
      </c>
      <c r="BI6" s="1736">
        <f>Q_Financials!BI69</f>
        <v>2372.241</v>
      </c>
      <c r="BJ6" s="1736">
        <f>Q_Financials!BJ69</f>
        <v>2153.0259999999998</v>
      </c>
      <c r="BK6" s="1689">
        <f>Q_Financials!BK69</f>
        <v>1987.982</v>
      </c>
      <c r="BL6" s="324">
        <f>Q_IS!BL$245/90*BL7</f>
        <v>2468.1942333185043</v>
      </c>
      <c r="BM6" s="324">
        <f>Q_IS!BM$245/90*BM7</f>
        <v>2470.8553474906266</v>
      </c>
      <c r="BN6" s="324">
        <f>Q_IS!BN$245/90*BN7</f>
        <v>2355.1381032501395</v>
      </c>
      <c r="BO6" s="324">
        <f>Q_IS!BO$245/90*BO7</f>
        <v>2210.9687163127187</v>
      </c>
      <c r="BP6" s="324">
        <f>Q_IS!BP$245/90*BP7</f>
        <v>2695.533321000376</v>
      </c>
      <c r="BQ6" s="324">
        <f>Q_IS!BQ$245/90*BQ7</f>
        <v>2674.727110579985</v>
      </c>
      <c r="BR6" s="324">
        <f>Q_IS!BR$245/90*BR7</f>
        <v>2537.8990218453409</v>
      </c>
      <c r="BS6" s="324">
        <f>Q_IS!BS$245/90*BS7</f>
        <v>2355.9039583212334</v>
      </c>
      <c r="BT6" s="324">
        <f>Q_IS!BT$245/90*BT7</f>
        <v>2871.7030781668673</v>
      </c>
      <c r="BU6" s="324">
        <f>Q_IS!BU$245/90*BU7</f>
        <v>2848.6329347755423</v>
      </c>
      <c r="BV6" s="324">
        <f>Q_IS!BV$245/90*BV7</f>
        <v>2689.7640591333038</v>
      </c>
      <c r="BW6" s="324">
        <f>Q_IS!BW$245/90*BW7</f>
        <v>2492.8045822122081</v>
      </c>
      <c r="BX6" s="324">
        <f>Q_IS!BX$245/90*BX7</f>
        <v>3039.7067585511745</v>
      </c>
      <c r="BY6" s="324">
        <f>Q_IS!BY$245/90*BY7</f>
        <v>3018.4303820045948</v>
      </c>
      <c r="BZ6" s="324">
        <f>Q_IS!BZ$245/90*BZ7</f>
        <v>2831.831937833053</v>
      </c>
      <c r="CA6" s="324">
        <f>Q_IS!CA$245/90*CA7</f>
        <v>2621.6953078258971</v>
      </c>
      <c r="CB6" s="324">
        <f>Q_IS!CB$245/90*CB7</f>
        <v>3199.1468014951647</v>
      </c>
      <c r="CC6" s="324">
        <f>Q_IS!CC$245/90*CC7</f>
        <v>3180.7981301458003</v>
      </c>
      <c r="CD6" s="324">
        <f>Q_IS!CD$245/90*CD7</f>
        <v>2980.7651328744369</v>
      </c>
      <c r="CE6" s="324">
        <f>Q_IS!CE$245/90*CE7</f>
        <v>2756.6738291734941</v>
      </c>
      <c r="CF6" s="324">
        <f>Q_IS!CF$245/90*CF7</f>
        <v>3366.1854402724348</v>
      </c>
      <c r="CG6" s="324">
        <f>Q_IS!CG$245/90*CG7</f>
        <v>3351.0032516326623</v>
      </c>
      <c r="CH6" s="324">
        <f>Q_IS!CH$245/90*CH7</f>
        <v>3135.9575962305616</v>
      </c>
      <c r="CI6" s="324">
        <f>Q_IS!CI$245/90*CI7</f>
        <v>2895.9249298973837</v>
      </c>
      <c r="CJ6" s="324">
        <f>Q_IS!CJ$245/90*CJ7</f>
        <v>3537.0468702190383</v>
      </c>
      <c r="CK6" s="324">
        <f>Q_IS!CK$245/90*CK7</f>
        <v>3522.9335880553758</v>
      </c>
      <c r="CL6" s="324">
        <f>Q_IS!CL$245/90*CL7</f>
        <v>3292.2617960871153</v>
      </c>
      <c r="CM6" s="324">
        <f>Q_IS!CM$245/90*CM7</f>
        <v>3037.42456105981</v>
      </c>
      <c r="CN6" s="324">
        <f>Q_IS!CN$245/90*CN7</f>
        <v>3712.5654145625099</v>
      </c>
      <c r="CO6" s="324">
        <f>Q_IS!CO$245/90*CO7</f>
        <v>3701.8956798081135</v>
      </c>
      <c r="CP6" s="324">
        <f>Q_IS!CP$245/90*CP7</f>
        <v>3455.9481560705558</v>
      </c>
      <c r="CQ6" s="324">
        <f>Q_IS!CQ$245/90*CQ7</f>
        <v>3185.4969425237273</v>
      </c>
      <c r="CR6" s="324">
        <f>Q_IS!CR$245/90*CR7</f>
        <v>3896.4790374219183</v>
      </c>
      <c r="CS6" s="324">
        <f>Q_IS!CS$245/90*CS7</f>
        <v>3889.5857357949376</v>
      </c>
      <c r="CT6" s="324">
        <f>Q_IS!CT$245/90*CT7</f>
        <v>3627.4857831379168</v>
      </c>
      <c r="CU6" s="324">
        <f>Q_IS!CU$245/90*CU7</f>
        <v>3340.4633866172067</v>
      </c>
      <c r="CV6" s="324">
        <f>Q_IS!CV$245/90*CV7</f>
        <v>4088.9202590635582</v>
      </c>
      <c r="CW6" s="324">
        <f>Q_IS!CW$245/90*CW7</f>
        <v>4083.8483426410867</v>
      </c>
    </row>
    <row r="7" spans="1:101">
      <c r="A7" s="325" t="s">
        <v>34</v>
      </c>
      <c r="B7" s="434">
        <f>B6/(Q_IS!B$245/90)</f>
        <v>7.2541856136668867</v>
      </c>
      <c r="C7" s="434">
        <f>C6/(Q_IS!C$245/90)</f>
        <v>7.2367412336332437</v>
      </c>
      <c r="D7" s="434">
        <f>D6/(Q_IS!D$245/90)</f>
        <v>7.3044353326322549</v>
      </c>
      <c r="E7" s="434">
        <f>E6/(Q_IS!E$245/90)</f>
        <v>7.6399014654674726</v>
      </c>
      <c r="F7" s="434">
        <f>F6/(Q_IS!F$245/90)</f>
        <v>8.9538022862672246</v>
      </c>
      <c r="G7" s="434">
        <f>G6/(Q_IS!G$245/90)</f>
        <v>8.6039784003323039</v>
      </c>
      <c r="H7" s="434">
        <f>H6/(Q_IS!H$245/90)</f>
        <v>8.2202182489532625</v>
      </c>
      <c r="I7" s="434">
        <f>I6/(Q_IS!I$245/90)</f>
        <v>9.0849293186530105</v>
      </c>
      <c r="J7" s="434">
        <f>J6/(Q_IS!J$245/90)</f>
        <v>9.9110459857206283</v>
      </c>
      <c r="K7" s="434">
        <f>K6/(Q_IS!K$245/90)</f>
        <v>9.556553229334126</v>
      </c>
      <c r="L7" s="434">
        <f>L6/(Q_IS!L$245/90)</f>
        <v>9.3270032288589189</v>
      </c>
      <c r="M7" s="434">
        <f>M6/(Q_IS!M$245/90)</f>
        <v>11.820165459058964</v>
      </c>
      <c r="N7" s="434">
        <f>N6/(Q_IS!N$245/90)</f>
        <v>13.629826390389354</v>
      </c>
      <c r="O7" s="434">
        <f>O6/(Q_IS!O$245/90)</f>
        <v>10.496558361928532</v>
      </c>
      <c r="P7" s="434">
        <f>P6/(Q_IS!P$245/90)</f>
        <v>12.244561809840647</v>
      </c>
      <c r="Q7" s="434">
        <f>Q6/(Q_IS!Q$245/90)</f>
        <v>13.293232614393983</v>
      </c>
      <c r="R7" s="434">
        <f>R6/(Q_IS!R$245/90)</f>
        <v>12.907001582348313</v>
      </c>
      <c r="S7" s="434">
        <f>S6/(Q_IS!S$245/90)</f>
        <v>12.415771023970672</v>
      </c>
      <c r="T7" s="434">
        <f>T6/(Q_IS!T$245/90)</f>
        <v>11.689631022984116</v>
      </c>
      <c r="U7" s="434">
        <f>U6/(Q_IS!U$245/90)</f>
        <v>12.830253611976191</v>
      </c>
      <c r="V7" s="434">
        <f>V6/(Q_IS!V$245/90)</f>
        <v>13.174037007682296</v>
      </c>
      <c r="W7" s="434">
        <f>W6/(Q_IS!W$245/90)</f>
        <v>10.79352898511452</v>
      </c>
      <c r="X7" s="434">
        <f>X6/(Q_IS!X$245/90)</f>
        <v>12.489170545427056</v>
      </c>
      <c r="Y7" s="434">
        <f>Y6/(Q_IS!Y$245/90)</f>
        <v>10.197813790876598</v>
      </c>
      <c r="Z7" s="434">
        <f>Z6/(Q_IS!Z$245/90)</f>
        <v>10.678176920833403</v>
      </c>
      <c r="AA7" s="434">
        <f>AA6/(Q_IS!AA$245/90)</f>
        <v>8.9770279138906215</v>
      </c>
      <c r="AB7" s="434">
        <f>AB6/(Q_IS!AB$245/90)</f>
        <v>8.4413184517143804</v>
      </c>
      <c r="AC7" s="434">
        <f>AC6/(Q_IS!AC$245/90)</f>
        <v>9.0911310400536927</v>
      </c>
      <c r="AD7" s="434">
        <f>AD6/(Q_IS!AD$245/90)</f>
        <v>9.1879877114294963</v>
      </c>
      <c r="AE7" s="434">
        <f>AE6/(Q_IS!AE$245/90)</f>
        <v>8.5087310579987925</v>
      </c>
      <c r="AF7" s="434">
        <f>AF6/(Q_IS!AF$245/90)</f>
        <v>8.3470124507601753</v>
      </c>
      <c r="AG7" s="434">
        <f>AG6/(Q_IS!AG$245/90)</f>
        <v>8.1743864382823848</v>
      </c>
      <c r="AH7" s="434">
        <f>AH6/(Q_IS!AH$245/90)</f>
        <v>7.6445214817045866</v>
      </c>
      <c r="AI7" s="434">
        <f>AI6/(Q_IS!AI$245/90)</f>
        <v>7.9671083966856271</v>
      </c>
      <c r="AJ7" s="434">
        <f>AJ6/(Q_IS!AJ$245/90)</f>
        <v>8.3212261848143747</v>
      </c>
      <c r="AK7" s="434">
        <f>AK6/(Q_IS!AK$245/90)</f>
        <v>9.689369707141557</v>
      </c>
      <c r="AL7" s="434">
        <f>AL6/(Q_IS!AL$245/90)</f>
        <v>7.3209962395751225</v>
      </c>
      <c r="AM7" s="434">
        <f>AM6/(Q_IS!AM$245/90)</f>
        <v>7.0886144798096486</v>
      </c>
      <c r="AN7" s="434">
        <f>AN6/(Q_IS!AN$245/90)</f>
        <v>6.2753252721927222</v>
      </c>
      <c r="AO7" s="434">
        <f>AO6/(Q_IS!AO$245/90)</f>
        <v>7.4549084497175215</v>
      </c>
      <c r="AP7" s="434">
        <f>AP6/(Q_IS!AP$245/90)</f>
        <v>7.523459912751739</v>
      </c>
      <c r="AQ7" s="434">
        <f>AQ6/(Q_IS!AQ$245/90)</f>
        <v>8.5468024943114234</v>
      </c>
      <c r="AR7" s="434">
        <f>AR6/(Q_IS!AR$245/90)</f>
        <v>10.362302963107476</v>
      </c>
      <c r="AS7" s="434">
        <f>AS6/(Q_IS!AS$245/90)</f>
        <v>8.4616329100824235</v>
      </c>
      <c r="AT7" s="434">
        <f>AT6/(Q_IS!AT$245/90)</f>
        <v>12.999591081107203</v>
      </c>
      <c r="AU7" s="434">
        <f>AU6/(Q_IS!AU$245/90)</f>
        <v>25.425051901995797</v>
      </c>
      <c r="AV7" s="434">
        <f>AV6/(Q_IS!AV$245/90)</f>
        <v>14.16793239120984</v>
      </c>
      <c r="AW7" s="434">
        <f>AW6/(Q_IS!AW$245/90)</f>
        <v>13.591178003005037</v>
      </c>
      <c r="AX7" s="434">
        <f>AX6/(Q_IS!AX$245/90)</f>
        <v>14.768274943853694</v>
      </c>
      <c r="AY7" s="434">
        <f>AY6/(Q_IS!AY$245/90)</f>
        <v>11.86688250278424</v>
      </c>
      <c r="AZ7" s="434">
        <f>AZ6/(Q_IS!AZ$245/90)</f>
        <v>11.551373647531662</v>
      </c>
      <c r="BA7" s="434">
        <f>BA6/(Q_IS!BA$245/90)</f>
        <v>9.4212511845486091</v>
      </c>
      <c r="BB7" s="434">
        <f>BB6/(Q_IS!BB$245/90)</f>
        <v>9.9934975784685403</v>
      </c>
      <c r="BC7" s="434">
        <f>BC6/(Q_IS!BC$245/90)</f>
        <v>9.533934686602521</v>
      </c>
      <c r="BD7" s="434">
        <f>BD6/(Q_IS!BD$245/90)</f>
        <v>9.3869498742334816</v>
      </c>
      <c r="BE7" s="434">
        <f>BE6/(Q_IS!BE$245/90)</f>
        <v>9.5398224615827516</v>
      </c>
      <c r="BF7" s="434">
        <f>BF6/(Q_IS!BF$245/90)</f>
        <v>11.639607652071845</v>
      </c>
      <c r="BG7" s="434">
        <f>BG6/(Q_IS!BG$245/90)</f>
        <v>10.472605716033589</v>
      </c>
      <c r="BH7" s="434">
        <f>BH6/(Q_IS!BH$245/90)</f>
        <v>11.047235091325753</v>
      </c>
      <c r="BI7" s="434">
        <f>BI6/(Q_IS!BI$245/90)</f>
        <v>10.59735659842536</v>
      </c>
      <c r="BJ7" s="434">
        <f>BJ6/(Q_IS!BJ$245/90)</f>
        <v>10.645177771278176</v>
      </c>
      <c r="BK7" s="800">
        <f>BK6/(Q_IS!BK$245/90)</f>
        <v>9.292510595567963</v>
      </c>
      <c r="BL7" s="326">
        <f>Inputs!BL254</f>
        <v>11.047235091325753</v>
      </c>
      <c r="BM7" s="326">
        <f>Inputs!BM254</f>
        <v>10.59735659842536</v>
      </c>
      <c r="BN7" s="326">
        <f>Inputs!BN254</f>
        <v>10.645177771278176</v>
      </c>
      <c r="BO7" s="326">
        <f>Inputs!BO254</f>
        <v>9.292510595567963</v>
      </c>
      <c r="BP7" s="326">
        <f>Inputs!BP254</f>
        <v>11.047235091325753</v>
      </c>
      <c r="BQ7" s="326">
        <f>Inputs!BQ254</f>
        <v>10.59735659842536</v>
      </c>
      <c r="BR7" s="326">
        <f>Inputs!BR254</f>
        <v>10.645177771278176</v>
      </c>
      <c r="BS7" s="326">
        <f>Inputs!BS254</f>
        <v>9.292510595567963</v>
      </c>
      <c r="BT7" s="326">
        <f>Inputs!BT254</f>
        <v>11.047235091325753</v>
      </c>
      <c r="BU7" s="326">
        <f>Inputs!BU254</f>
        <v>10.59735659842536</v>
      </c>
      <c r="BV7" s="326">
        <f>Inputs!BV254</f>
        <v>10.645177771278176</v>
      </c>
      <c r="BW7" s="326">
        <f>Inputs!BW254</f>
        <v>9.292510595567963</v>
      </c>
      <c r="BX7" s="326">
        <f>Inputs!BX254</f>
        <v>11.047235091325753</v>
      </c>
      <c r="BY7" s="326">
        <f>Inputs!BY254</f>
        <v>10.59735659842536</v>
      </c>
      <c r="BZ7" s="326">
        <f>Inputs!BZ254</f>
        <v>10.645177771278176</v>
      </c>
      <c r="CA7" s="326">
        <f>Inputs!CA254</f>
        <v>9.292510595567963</v>
      </c>
      <c r="CB7" s="326">
        <f>Inputs!CB254</f>
        <v>11.047235091325753</v>
      </c>
      <c r="CC7" s="326">
        <f>Inputs!CC254</f>
        <v>10.59735659842536</v>
      </c>
      <c r="CD7" s="326">
        <f>Inputs!CD254</f>
        <v>10.645177771278176</v>
      </c>
      <c r="CE7" s="326">
        <f>Inputs!CE254</f>
        <v>9.292510595567963</v>
      </c>
      <c r="CF7" s="326">
        <f>Inputs!CF254</f>
        <v>11.047235091325753</v>
      </c>
      <c r="CG7" s="326">
        <f>Inputs!CG254</f>
        <v>10.59735659842536</v>
      </c>
      <c r="CH7" s="326">
        <f>Inputs!CH254</f>
        <v>10.645177771278176</v>
      </c>
      <c r="CI7" s="326">
        <f>Inputs!CI254</f>
        <v>9.292510595567963</v>
      </c>
      <c r="CJ7" s="326">
        <f>Inputs!CJ254</f>
        <v>11.047235091325753</v>
      </c>
      <c r="CK7" s="326">
        <f>Inputs!CK254</f>
        <v>10.59735659842536</v>
      </c>
      <c r="CL7" s="326">
        <f>Inputs!CL254</f>
        <v>10.645177771278176</v>
      </c>
      <c r="CM7" s="326">
        <f>Inputs!CM254</f>
        <v>9.292510595567963</v>
      </c>
      <c r="CN7" s="326">
        <f>Inputs!CN254</f>
        <v>11.047235091325753</v>
      </c>
      <c r="CO7" s="326">
        <f>Inputs!CO254</f>
        <v>10.59735659842536</v>
      </c>
      <c r="CP7" s="326">
        <f>Inputs!CP254</f>
        <v>10.645177771278176</v>
      </c>
      <c r="CQ7" s="326">
        <f>Inputs!CQ254</f>
        <v>9.292510595567963</v>
      </c>
      <c r="CR7" s="326">
        <f>Inputs!CR254</f>
        <v>11.047235091325753</v>
      </c>
      <c r="CS7" s="326">
        <f>Inputs!CS254</f>
        <v>10.59735659842536</v>
      </c>
      <c r="CT7" s="326">
        <f>Inputs!CT254</f>
        <v>10.645177771278176</v>
      </c>
      <c r="CU7" s="326">
        <f>Inputs!CU254</f>
        <v>9.292510595567963</v>
      </c>
      <c r="CV7" s="326">
        <f>Inputs!CV254</f>
        <v>11.047235091325753</v>
      </c>
      <c r="CW7" s="326">
        <f>Inputs!CW254</f>
        <v>10.59735659842536</v>
      </c>
    </row>
    <row r="8" spans="1:101">
      <c r="A8" s="322" t="s">
        <v>345</v>
      </c>
      <c r="B8" s="119">
        <f>Q_Financials!B70</f>
        <v>271.16699999999997</v>
      </c>
      <c r="C8" s="119">
        <f>Q_Financials!C70</f>
        <v>300.27300000000002</v>
      </c>
      <c r="D8" s="119">
        <f>Q_Financials!D70</f>
        <v>305.875</v>
      </c>
      <c r="E8" s="119">
        <f>Q_Financials!E70</f>
        <v>336.87</v>
      </c>
      <c r="F8" s="119">
        <f>Q_Financials!F70</f>
        <v>287.654</v>
      </c>
      <c r="G8" s="119">
        <f>Q_Financials!G70</f>
        <v>293.36799999999999</v>
      </c>
      <c r="H8" s="119">
        <f>Q_Financials!H70</f>
        <v>298.52800000000002</v>
      </c>
      <c r="I8" s="119">
        <f>Q_Financials!I70</f>
        <v>352.32499999999999</v>
      </c>
      <c r="J8" s="119">
        <f>Q_Financials!J70</f>
        <v>356.12799999999999</v>
      </c>
      <c r="K8" s="119">
        <f>Q_Financials!K70</f>
        <v>391.274</v>
      </c>
      <c r="L8" s="119">
        <f>Q_Financials!L70</f>
        <v>360.94600000000003</v>
      </c>
      <c r="M8" s="119">
        <f>Q_Financials!M70</f>
        <v>403.13</v>
      </c>
      <c r="N8" s="119">
        <f>Q_Financials!N70</f>
        <v>429.62900000000002</v>
      </c>
      <c r="O8" s="119">
        <f>Q_Financials!O70</f>
        <v>511.29199999999997</v>
      </c>
      <c r="P8" s="119">
        <f>Q_Financials!P70</f>
        <v>515.822</v>
      </c>
      <c r="Q8" s="119">
        <f>Q_Financials!Q70</f>
        <v>550.39400000000001</v>
      </c>
      <c r="R8" s="119">
        <f>Q_Financials!R70</f>
        <v>430.70800000000003</v>
      </c>
      <c r="S8" s="119">
        <f>Q_Financials!S70</f>
        <v>472.08800000000002</v>
      </c>
      <c r="T8" s="119">
        <f>Q_Financials!T70</f>
        <v>570.65499999999997</v>
      </c>
      <c r="U8" s="119">
        <f>Q_Financials!U70</f>
        <v>641.88</v>
      </c>
      <c r="V8" s="119">
        <f>Q_Financials!V70</f>
        <v>577.10599999999999</v>
      </c>
      <c r="W8" s="119">
        <f>Q_Financials!W70</f>
        <v>740.17499999999995</v>
      </c>
      <c r="X8" s="119">
        <f>Q_Financials!X70</f>
        <v>871.73199999999997</v>
      </c>
      <c r="Y8" s="119">
        <f>Q_Financials!Y70</f>
        <v>1055.174</v>
      </c>
      <c r="Z8" s="119">
        <f>Q_Financials!Z70</f>
        <v>1144.989</v>
      </c>
      <c r="AA8" s="119">
        <f>Q_Financials!AA70</f>
        <v>1356.4670000000001</v>
      </c>
      <c r="AB8" s="119">
        <f>Q_Financials!AB70</f>
        <v>1365.3109999999999</v>
      </c>
      <c r="AC8" s="119">
        <f>Q_Financials!AC70</f>
        <v>1377.981</v>
      </c>
      <c r="AD8" s="119">
        <f>Q_Financials!AD70</f>
        <v>1398.3330000000001</v>
      </c>
      <c r="AE8" s="119">
        <f>Q_Financials!AE70</f>
        <v>1451.13</v>
      </c>
      <c r="AF8" s="119">
        <f>Q_Financials!AF70</f>
        <v>1520.452</v>
      </c>
      <c r="AG8" s="119">
        <f>Q_Financials!AG70</f>
        <v>1575.3630000000001</v>
      </c>
      <c r="AH8" s="119">
        <f>Q_Financials!AH70</f>
        <v>1562.0930000000001</v>
      </c>
      <c r="AI8" s="119">
        <f>Q_Financials!AI70</f>
        <v>1723.0440000000001</v>
      </c>
      <c r="AJ8" s="119">
        <f>Q_Financials!AJ70</f>
        <v>1874.7619999999999</v>
      </c>
      <c r="AK8" s="119">
        <f>Q_Financials!AK70</f>
        <v>2009.779</v>
      </c>
      <c r="AL8" s="119">
        <f>Q_Financials!AL70</f>
        <v>1868.28</v>
      </c>
      <c r="AM8" s="119">
        <f>Q_Financials!AM70</f>
        <v>2103.2249999999999</v>
      </c>
      <c r="AN8" s="119">
        <f>Q_Financials!AN70</f>
        <v>1747.806</v>
      </c>
      <c r="AO8" s="119">
        <f>Q_Financials!AO70</f>
        <v>2120.2080000000001</v>
      </c>
      <c r="AP8" s="119">
        <f>Q_Financials!AP70</f>
        <v>1959.8320000000001</v>
      </c>
      <c r="AQ8" s="119">
        <f>Q_Financials!AQ70</f>
        <v>2081.0300000000002</v>
      </c>
      <c r="AR8" s="119">
        <f>Q_Financials!AR70</f>
        <v>1988.1869999999999</v>
      </c>
      <c r="AS8" s="119">
        <f>Q_Financials!AS70</f>
        <v>1779.646</v>
      </c>
      <c r="AT8" s="1736">
        <f>Q_Financials!AT70</f>
        <v>2049.672</v>
      </c>
      <c r="AU8" s="1736">
        <f>Q_Financials!AU70</f>
        <v>1926.6110000000001</v>
      </c>
      <c r="AV8" s="1736">
        <f>Q_Financials!AV70</f>
        <v>1659.6859999999999</v>
      </c>
      <c r="AW8" s="1736">
        <f>Q_Financials!AW70</f>
        <v>1618</v>
      </c>
      <c r="AX8" s="1736">
        <f>Q_Financials!AX70</f>
        <v>1539.345</v>
      </c>
      <c r="AY8" s="1736">
        <f>Q_Financials!AY70</f>
        <v>1740.337</v>
      </c>
      <c r="AZ8" s="1736">
        <f>Q_Financials!AZ70</f>
        <v>1853.0840000000001</v>
      </c>
      <c r="BA8" s="1736">
        <f>Q_Financials!BA70</f>
        <v>2009.258</v>
      </c>
      <c r="BB8" s="1736">
        <f>Q_Financials!BB70</f>
        <v>2080.9679999999998</v>
      </c>
      <c r="BC8" s="1736">
        <f>Q_Financials!BC70</f>
        <v>2717.7370000000001</v>
      </c>
      <c r="BD8" s="1736">
        <f>Q_Financials!BD70</f>
        <v>2805.7539999999999</v>
      </c>
      <c r="BE8" s="1736">
        <f>Q_Financials!BE70</f>
        <v>2895.326</v>
      </c>
      <c r="BF8" s="1736">
        <f>Q_Financials!BF70</f>
        <v>2812.51</v>
      </c>
      <c r="BG8" s="1736">
        <f>Q_Financials!BG70</f>
        <v>2873.944</v>
      </c>
      <c r="BH8" s="1736">
        <f>Q_Financials!BH70</f>
        <v>2928.02</v>
      </c>
      <c r="BI8" s="1736">
        <f>Q_Financials!BI70</f>
        <v>2750.665</v>
      </c>
      <c r="BJ8" s="1736">
        <f>Q_Financials!BJ70</f>
        <v>2515.373</v>
      </c>
      <c r="BK8" s="1689">
        <f>Q_Financials!BK70</f>
        <v>2937.4140000000002</v>
      </c>
      <c r="BL8" s="433">
        <f>-Q_IS!BL283/90*BL9</f>
        <v>3051.7321243461674</v>
      </c>
      <c r="BM8" s="433">
        <f>-Q_IS!BM283/90*BM9</f>
        <v>2949.8939755864417</v>
      </c>
      <c r="BN8" s="433">
        <f>-Q_IS!BN283/90*BN9</f>
        <v>2846.1905874582144</v>
      </c>
      <c r="BO8" s="433">
        <f>-Q_IS!BO283/90*BO9</f>
        <v>3379.9708420040765</v>
      </c>
      <c r="BP8" s="433">
        <f>-Q_IS!BP283/90*BP9</f>
        <v>3342.918854422016</v>
      </c>
      <c r="BQ8" s="433">
        <f>-Q_IS!BQ283/90*BQ9</f>
        <v>3202.9098523431808</v>
      </c>
      <c r="BR8" s="433">
        <f>-Q_IS!BR283/90*BR9</f>
        <v>3076.3338912781537</v>
      </c>
      <c r="BS8" s="433">
        <f>-Q_IS!BS283/90*BS9</f>
        <v>3612.4908565714941</v>
      </c>
      <c r="BT8" s="433">
        <f>-Q_IS!BT283/90*BT9</f>
        <v>3572.1587705069342</v>
      </c>
      <c r="BU8" s="433">
        <f>-Q_IS!BU283/90*BU9</f>
        <v>3421.400859520812</v>
      </c>
      <c r="BV8" s="433">
        <f>-Q_IS!BV283/90*BV9</f>
        <v>3270.2496025803748</v>
      </c>
      <c r="BW8" s="433">
        <f>-Q_IS!BW283/90*BW9</f>
        <v>3834.0011148462931</v>
      </c>
      <c r="BX8" s="433">
        <f>-Q_IS!BX283/90*BX9</f>
        <v>3792.530296281941</v>
      </c>
      <c r="BY8" s="433">
        <f>-Q_IS!BY283/90*BY9</f>
        <v>3636.1933887556324</v>
      </c>
      <c r="BZ8" s="433">
        <f>-Q_IS!BZ283/90*BZ9</f>
        <v>3494.7305750941041</v>
      </c>
      <c r="CA8" s="433">
        <f>-Q_IS!CA283/90*CA9</f>
        <v>4093.1842251065191</v>
      </c>
      <c r="CB8" s="433">
        <f>-Q_IS!CB283/90*CB9</f>
        <v>4051.3895706801964</v>
      </c>
      <c r="CC8" s="433">
        <f>-Q_IS!CC283/90*CC9</f>
        <v>3888.9828384477514</v>
      </c>
      <c r="CD8" s="433">
        <f>-Q_IS!CD283/90*CD9</f>
        <v>3678.5272840032694</v>
      </c>
      <c r="CE8" s="433">
        <f>-Q_IS!CE283/90*CE9</f>
        <v>4303.9226555636997</v>
      </c>
      <c r="CF8" s="433">
        <f>-Q_IS!CF283/90*CF9</f>
        <v>4262.9267838917212</v>
      </c>
      <c r="CG8" s="433">
        <f>-Q_IS!CG283/90*CG9</f>
        <v>4097.0830602772903</v>
      </c>
      <c r="CH8" s="433">
        <f>-Q_IS!CH283/90*CH9</f>
        <v>3870.0484825140243</v>
      </c>
      <c r="CI8" s="433">
        <f>-Q_IS!CI283/90*CI9</f>
        <v>4521.3317523074456</v>
      </c>
      <c r="CJ8" s="433">
        <f>-Q_IS!CJ283/90*CJ9</f>
        <v>4479.3051679638902</v>
      </c>
      <c r="CK8" s="433">
        <f>-Q_IS!CK283/90*CK9</f>
        <v>4307.2926053029696</v>
      </c>
      <c r="CL8" s="433">
        <f>-Q_IS!CL283/90*CL9</f>
        <v>4062.9416619985054</v>
      </c>
      <c r="CM8" s="433">
        <f>-Q_IS!CM283/90*CM9</f>
        <v>4742.2514207386093</v>
      </c>
      <c r="CN8" s="433">
        <f>-Q_IS!CN283/90*CN9</f>
        <v>4701.5813072400788</v>
      </c>
      <c r="CO8" s="433">
        <f>-Q_IS!CO283/90*CO9</f>
        <v>4526.0994817793471</v>
      </c>
      <c r="CP8" s="433">
        <f>-Q_IS!CP283/90*CP9</f>
        <v>4264.945078697634</v>
      </c>
      <c r="CQ8" s="433">
        <f>-Q_IS!CQ283/90*CQ9</f>
        <v>4973.432952083178</v>
      </c>
      <c r="CR8" s="433">
        <f>-Q_IS!CR283/90*CR9</f>
        <v>4934.4889478680052</v>
      </c>
      <c r="CS8" s="433">
        <f>-Q_IS!CS283/90*CS9</f>
        <v>4755.5775488601412</v>
      </c>
      <c r="CT8" s="433">
        <f>-Q_IS!CT283/90*CT9</f>
        <v>4476.6376520041285</v>
      </c>
      <c r="CU8" s="433">
        <f>-Q_IS!CU283/90*CU9</f>
        <v>5215.3780028641904</v>
      </c>
      <c r="CV8" s="433">
        <f>-Q_IS!CV283/90*CV9</f>
        <v>5178.19591310121</v>
      </c>
      <c r="CW8" s="433">
        <f>-Q_IS!CW283/90*CW9</f>
        <v>4993.0915039322172</v>
      </c>
    </row>
    <row r="9" spans="1:101">
      <c r="A9" s="325" t="s">
        <v>545</v>
      </c>
      <c r="B9" s="434">
        <f>B8/(-Q_IS!B283/90)</f>
        <v>30.793086610417781</v>
      </c>
      <c r="C9" s="434">
        <f>C8/(-Q_IS!C283/90)</f>
        <v>35.002247173547858</v>
      </c>
      <c r="D9" s="434">
        <f>D8/(-Q_IS!D283/90)</f>
        <v>35.048603021217268</v>
      </c>
      <c r="E9" s="434">
        <f>E8/(-Q_IS!E283/90)</f>
        <v>37.137303033866417</v>
      </c>
      <c r="F9" s="434">
        <f>F8/(-Q_IS!F283/90)</f>
        <v>35.109108834893128</v>
      </c>
      <c r="G9" s="434">
        <f>G8/(-Q_IS!G283/90)</f>
        <v>35.273672650904039</v>
      </c>
      <c r="H9" s="434">
        <f>H8/(-Q_IS!H283/90)</f>
        <v>33.410789186688667</v>
      </c>
      <c r="I9" s="434">
        <f>I8/(-Q_IS!I283/90)</f>
        <v>35.907521507087118</v>
      </c>
      <c r="J9" s="434">
        <f>J8/(-Q_IS!J283/90)</f>
        <v>38.400322044213986</v>
      </c>
      <c r="K9" s="434">
        <f>K8/(-Q_IS!K283/90)</f>
        <v>39.214019411767332</v>
      </c>
      <c r="L9" s="434">
        <f>L8/(-Q_IS!L283/90)</f>
        <v>32.651827579794855</v>
      </c>
      <c r="M9" s="434">
        <f>M8/(-Q_IS!M283/90)</f>
        <v>34.227243911458608</v>
      </c>
      <c r="N9" s="434">
        <f>N8/(-Q_IS!N283/90)</f>
        <v>36.332808386125606</v>
      </c>
      <c r="O9" s="434">
        <f>O8/(-Q_IS!O283/90)</f>
        <v>37.668706333061827</v>
      </c>
      <c r="P9" s="434">
        <f>P8/(-Q_IS!P283/90)</f>
        <v>37.746725089663144</v>
      </c>
      <c r="Q9" s="434">
        <f>Q8/(-Q_IS!Q283/90)</f>
        <v>39.830772051255664</v>
      </c>
      <c r="R9" s="434">
        <f>R8/(-Q_IS!R283/90)</f>
        <v>33.349696861764322</v>
      </c>
      <c r="S9" s="434">
        <f>S8/(-Q_IS!S283/90)</f>
        <v>33.833349259436218</v>
      </c>
      <c r="T9" s="434">
        <f>T8/(-Q_IS!T283/90)</f>
        <v>37.628195641311564</v>
      </c>
      <c r="U9" s="434">
        <f>U8/(-Q_IS!U283/90)</f>
        <v>40.042420461634435</v>
      </c>
      <c r="V9" s="434">
        <f>V8/(-Q_IS!V283/90)</f>
        <v>38.863054779883811</v>
      </c>
      <c r="W9" s="434">
        <f>W8/(-Q_IS!W283/90)</f>
        <v>40.319154151618648</v>
      </c>
      <c r="X9" s="434">
        <f>X8/(-Q_IS!X283/90)</f>
        <v>42.908197558709269</v>
      </c>
      <c r="Y9" s="434">
        <f>Y8/(-Q_IS!Y283/90)</f>
        <v>38.613988441703711</v>
      </c>
      <c r="Z9" s="434">
        <f>Z8/(-Q_IS!Z283/90)</f>
        <v>44.662492637444132</v>
      </c>
      <c r="AA9" s="434">
        <f>AA8/(-Q_IS!AA283/90)</f>
        <v>49.784492355874903</v>
      </c>
      <c r="AB9" s="434">
        <f>AB8/(-Q_IS!AB283/90)</f>
        <v>47.159137443424804</v>
      </c>
      <c r="AC9" s="434">
        <f>AC8/(-Q_IS!AC283/90)</f>
        <v>44.543919574165464</v>
      </c>
      <c r="AD9" s="434">
        <f>AD8/(-Q_IS!AD283/90)</f>
        <v>46.406105326581432</v>
      </c>
      <c r="AE9" s="434">
        <f>AE8/(-Q_IS!AE283/90)</f>
        <v>46.179002475812922</v>
      </c>
      <c r="AF9" s="434">
        <f>AF8/(-Q_IS!AF283/90)</f>
        <v>45.776019091756645</v>
      </c>
      <c r="AG9" s="434">
        <f>AG8/(-Q_IS!AG283/90)</f>
        <v>43.622900083656674</v>
      </c>
      <c r="AH9" s="434">
        <f>AH8/(-Q_IS!AH283/90)</f>
        <v>45.224676830729592</v>
      </c>
      <c r="AI9" s="434">
        <f>AI8/(-Q_IS!AI283/90)</f>
        <v>49.533128566281405</v>
      </c>
      <c r="AJ9" s="434">
        <f>AJ8/(-Q_IS!AJ283/90)</f>
        <v>53.259073657416877</v>
      </c>
      <c r="AK9" s="434">
        <f>AK8/(-Q_IS!AK283/90)</f>
        <v>51.448674090994807</v>
      </c>
      <c r="AL9" s="434">
        <f>AL8/(-Q_IS!AL283/90)</f>
        <v>50.369552017221096</v>
      </c>
      <c r="AM9" s="434">
        <f>AM8/(-Q_IS!AM283/90)</f>
        <v>54.832091605883811</v>
      </c>
      <c r="AN9" s="434">
        <f>AN8/(-Q_IS!AN283/90)</f>
        <v>44.576249092478498</v>
      </c>
      <c r="AO9" s="434">
        <f>AO8/(-Q_IS!AO283/90)</f>
        <v>49.329405636391606</v>
      </c>
      <c r="AP9" s="434">
        <f>AP8/(-Q_IS!AP283/90)</f>
        <v>42.973463073640765</v>
      </c>
      <c r="AQ9" s="434">
        <f>AQ8/(-Q_IS!AQ283/90)</f>
        <v>43.551803087020041</v>
      </c>
      <c r="AR9" s="434">
        <f>AR8/(-Q_IS!AR283/90)</f>
        <v>41.820910592021534</v>
      </c>
      <c r="AS9" s="434">
        <f>AS8/(-Q_IS!AS283/90)</f>
        <v>35.748529376316277</v>
      </c>
      <c r="AT9" s="434">
        <f>AT8/(-Q_IS!AT283/90)</f>
        <v>51.086695117324346</v>
      </c>
      <c r="AU9" s="434">
        <f>AU8/(-Q_IS!AU283/90)</f>
        <v>98.510309509701045</v>
      </c>
      <c r="AV9" s="434">
        <f>AV8/(-Q_IS!AV283/90)</f>
        <v>53.307906765603541</v>
      </c>
      <c r="AW9" s="434">
        <f>AW8/(-Q_IS!AW283/90)</f>
        <v>44.372978008225544</v>
      </c>
      <c r="AX9" s="434">
        <f>AX8/(-Q_IS!AX283/90)</f>
        <v>41.588582348611382</v>
      </c>
      <c r="AY9" s="434">
        <f>AY8/(-Q_IS!AY283/90)</f>
        <v>39.557099313794495</v>
      </c>
      <c r="AZ9" s="434">
        <f>AZ8/(-Q_IS!AZ283/90)</f>
        <v>38.609482681386552</v>
      </c>
      <c r="BA9" s="434">
        <f>BA8/(-Q_IS!BA283/90)</f>
        <v>35.163561219928091</v>
      </c>
      <c r="BB9" s="434">
        <f>BB8/(-Q_IS!BB283/90)</f>
        <v>38.669615918028811</v>
      </c>
      <c r="BC9" s="434">
        <f>BC8/(-Q_IS!BC283/90)</f>
        <v>44.10672798182906</v>
      </c>
      <c r="BD9" s="434">
        <f>BD8/(-Q_IS!BD283/90)</f>
        <v>43.863429537125029</v>
      </c>
      <c r="BE9" s="434">
        <f>BE8/(-Q_IS!BE283/90)</f>
        <v>40.930760114319909</v>
      </c>
      <c r="BF9" s="434">
        <f>BF8/(-Q_IS!BF283/90)</f>
        <v>43.231230283426783</v>
      </c>
      <c r="BG9" s="434">
        <f>BG8/(-Q_IS!BG283/90)</f>
        <v>41.15091811800486</v>
      </c>
      <c r="BH9" s="434">
        <f>BH8/(-Q_IS!BH283/90)</f>
        <v>41.391077513027689</v>
      </c>
      <c r="BI9" s="434">
        <f>BI8/(-Q_IS!BI283/90)</f>
        <v>38.108210079870894</v>
      </c>
      <c r="BJ9" s="434">
        <f>BJ8/(-Q_IS!BJ283/90)</f>
        <v>38.909099752709913</v>
      </c>
      <c r="BK9" s="800">
        <f>BK8/(-Q_IS!BK283/90)</f>
        <v>43.203978265250043</v>
      </c>
      <c r="BL9" s="326">
        <f>Inputs!BL259</f>
        <v>41.391077513027689</v>
      </c>
      <c r="BM9" s="326">
        <f>Inputs!BM259</f>
        <v>38.108210079870894</v>
      </c>
      <c r="BN9" s="326">
        <f>Inputs!BN259</f>
        <v>38.909099752709913</v>
      </c>
      <c r="BO9" s="326">
        <f>Inputs!BO259</f>
        <v>43.203978265250043</v>
      </c>
      <c r="BP9" s="326">
        <f>Inputs!BP259</f>
        <v>41.391077513027689</v>
      </c>
      <c r="BQ9" s="326">
        <f>Inputs!BQ259</f>
        <v>38.108210079870894</v>
      </c>
      <c r="BR9" s="326">
        <f>Inputs!BR259</f>
        <v>38.909099752709913</v>
      </c>
      <c r="BS9" s="326">
        <f>Inputs!BS259</f>
        <v>43.203978265250043</v>
      </c>
      <c r="BT9" s="326">
        <f>Inputs!BT259</f>
        <v>41.391077513027689</v>
      </c>
      <c r="BU9" s="326">
        <f>Inputs!BU259</f>
        <v>38.108210079870894</v>
      </c>
      <c r="BV9" s="326">
        <f>Inputs!BV259</f>
        <v>38.909099752709913</v>
      </c>
      <c r="BW9" s="326">
        <f>Inputs!BW259</f>
        <v>43.203978265250043</v>
      </c>
      <c r="BX9" s="326">
        <f>Inputs!BX259</f>
        <v>41.391077513027689</v>
      </c>
      <c r="BY9" s="326">
        <f>Inputs!BY259</f>
        <v>38.108210079870894</v>
      </c>
      <c r="BZ9" s="326">
        <f>Inputs!BZ259</f>
        <v>38.909099752709913</v>
      </c>
      <c r="CA9" s="326">
        <f>Inputs!CA259</f>
        <v>43.203978265250043</v>
      </c>
      <c r="CB9" s="326">
        <f>Inputs!CB259</f>
        <v>41.391077513027689</v>
      </c>
      <c r="CC9" s="326">
        <f>Inputs!CC259</f>
        <v>38.108210079870894</v>
      </c>
      <c r="CD9" s="326">
        <f>Inputs!CD259</f>
        <v>38.909099752709913</v>
      </c>
      <c r="CE9" s="326">
        <f>Inputs!CE259</f>
        <v>43.203978265250043</v>
      </c>
      <c r="CF9" s="326">
        <f>Inputs!CF259</f>
        <v>41.391077513027689</v>
      </c>
      <c r="CG9" s="326">
        <f>Inputs!CG259</f>
        <v>38.108210079870894</v>
      </c>
      <c r="CH9" s="326">
        <f>Inputs!CH259</f>
        <v>38.909099752709913</v>
      </c>
      <c r="CI9" s="326">
        <f>Inputs!CI259</f>
        <v>43.203978265250043</v>
      </c>
      <c r="CJ9" s="326">
        <f>Inputs!CJ259</f>
        <v>41.391077513027689</v>
      </c>
      <c r="CK9" s="326">
        <f>Inputs!CK259</f>
        <v>38.108210079870894</v>
      </c>
      <c r="CL9" s="326">
        <f>Inputs!CL259</f>
        <v>38.909099752709913</v>
      </c>
      <c r="CM9" s="326">
        <f>Inputs!CM259</f>
        <v>43.203978265250043</v>
      </c>
      <c r="CN9" s="326">
        <f>Inputs!CN259</f>
        <v>41.391077513027689</v>
      </c>
      <c r="CO9" s="326">
        <f>Inputs!CO259</f>
        <v>38.108210079870894</v>
      </c>
      <c r="CP9" s="326">
        <f>Inputs!CP259</f>
        <v>38.909099752709913</v>
      </c>
      <c r="CQ9" s="326">
        <f>Inputs!CQ259</f>
        <v>43.203978265250043</v>
      </c>
      <c r="CR9" s="326">
        <f>Inputs!CR259</f>
        <v>41.391077513027689</v>
      </c>
      <c r="CS9" s="326">
        <f>Inputs!CS259</f>
        <v>38.108210079870894</v>
      </c>
      <c r="CT9" s="326">
        <f>Inputs!CT259</f>
        <v>38.909099752709913</v>
      </c>
      <c r="CU9" s="326">
        <f>Inputs!CU259</f>
        <v>43.203978265250043</v>
      </c>
      <c r="CV9" s="326">
        <f>Inputs!CV259</f>
        <v>41.391077513027689</v>
      </c>
      <c r="CW9" s="326">
        <f>Inputs!CW259</f>
        <v>38.108210079870894</v>
      </c>
    </row>
    <row r="10" spans="1:101">
      <c r="A10" s="325" t="s">
        <v>34</v>
      </c>
      <c r="B10" s="434">
        <f>B8/(Q_IS!B$245/90)</f>
        <v>11.710088225006151</v>
      </c>
      <c r="C10" s="434">
        <f>C8/(Q_IS!C$245/90)</f>
        <v>13.038196613826354</v>
      </c>
      <c r="D10" s="434">
        <f>D8/(Q_IS!D$245/90)</f>
        <v>12.987752837455115</v>
      </c>
      <c r="E10" s="434">
        <f>E8/(Q_IS!E$245/90)</f>
        <v>13.121044964603218</v>
      </c>
      <c r="F10" s="434">
        <f>F8/(Q_IS!F$245/90)</f>
        <v>12.352627947655758</v>
      </c>
      <c r="G10" s="434">
        <f>G8/(Q_IS!G$245/90)</f>
        <v>12.185867909724466</v>
      </c>
      <c r="H10" s="434">
        <f>H8/(Q_IS!H$245/90)</f>
        <v>11.810288251261031</v>
      </c>
      <c r="I10" s="434">
        <f>I8/(Q_IS!I$245/90)</f>
        <v>12.97434080320066</v>
      </c>
      <c r="J10" s="434">
        <f>J8/(Q_IS!J$245/90)</f>
        <v>13.372942625495254</v>
      </c>
      <c r="K10" s="434">
        <f>K8/(Q_IS!K$245/90)</f>
        <v>13.569422630231493</v>
      </c>
      <c r="L10" s="434">
        <f>L8/(Q_IS!L$245/90)</f>
        <v>11.732654815478298</v>
      </c>
      <c r="M10" s="434">
        <f>M8/(Q_IS!M$245/90)</f>
        <v>12.358234394883631</v>
      </c>
      <c r="N10" s="434">
        <f>N8/(Q_IS!N$245/90)</f>
        <v>13.054011953891363</v>
      </c>
      <c r="O10" s="434">
        <f>O8/(Q_IS!O$245/90)</f>
        <v>13.429270003846417</v>
      </c>
      <c r="P10" s="434">
        <f>P8/(Q_IS!P$245/90)</f>
        <v>13.254708415704197</v>
      </c>
      <c r="Q10" s="434">
        <f>Q8/(Q_IS!Q$245/90)</f>
        <v>13.651972868833415</v>
      </c>
      <c r="R10" s="434">
        <f>R8/(Q_IS!R$245/90)</f>
        <v>11.405300660890811</v>
      </c>
      <c r="S10" s="434">
        <f>S8/(Q_IS!S$245/90)</f>
        <v>11.120666843426484</v>
      </c>
      <c r="T10" s="434">
        <f>T8/(Q_IS!T$245/90)</f>
        <v>12.580759422106089</v>
      </c>
      <c r="U10" s="434">
        <f>U8/(Q_IS!U$245/90)</f>
        <v>13.096767567810206</v>
      </c>
      <c r="V10" s="434">
        <f>V8/(Q_IS!V$245/90)</f>
        <v>13.01078948185838</v>
      </c>
      <c r="W10" s="434">
        <f>W8/(Q_IS!W$245/90)</f>
        <v>12.802532457124538</v>
      </c>
      <c r="X10" s="434">
        <f>X8/(Q_IS!X$245/90)</f>
        <v>13.760932719607236</v>
      </c>
      <c r="Y10" s="434">
        <f>Y8/(Q_IS!Y$245/90)</f>
        <v>12.015579340103629</v>
      </c>
      <c r="Z10" s="434">
        <f>Z8/(Q_IS!Z$245/90)</f>
        <v>14.031280866050835</v>
      </c>
      <c r="AA10" s="434">
        <f>AA8/(Q_IS!AA$245/90)</f>
        <v>15.728284236084219</v>
      </c>
      <c r="AB10" s="434">
        <f>AB8/(Q_IS!AB$245/90)</f>
        <v>14.940710381118366</v>
      </c>
      <c r="AC10" s="434">
        <f>AC8/(Q_IS!AC$245/90)</f>
        <v>13.844686199531003</v>
      </c>
      <c r="AD10" s="434">
        <f>AD8/(Q_IS!AD$245/90)</f>
        <v>14.745578083039241</v>
      </c>
      <c r="AE10" s="434">
        <f>AE8/(Q_IS!AE$245/90)</f>
        <v>14.406344974744</v>
      </c>
      <c r="AF10" s="434">
        <f>AF8/(Q_IS!AF$245/90)</f>
        <v>14.251292232938525</v>
      </c>
      <c r="AG10" s="434">
        <f>AG8/(Q_IS!AG$245/90)</f>
        <v>13.503683727548454</v>
      </c>
      <c r="AH10" s="434">
        <f>AH8/(Q_IS!AH$245/90)</f>
        <v>13.928963345764096</v>
      </c>
      <c r="AI10" s="434">
        <f>AI8/(Q_IS!AI$245/90)</f>
        <v>14.99109808463572</v>
      </c>
      <c r="AJ10" s="434">
        <f>AJ8/(Q_IS!AJ$245/90)</f>
        <v>16.107195995476619</v>
      </c>
      <c r="AK10" s="434">
        <f>AK8/(Q_IS!AK$245/90)</f>
        <v>15.571468589694808</v>
      </c>
      <c r="AL10" s="434">
        <f>AL8/(Q_IS!AL$245/90)</f>
        <v>15.175744469810779</v>
      </c>
      <c r="AM10" s="434">
        <f>AM8/(Q_IS!AM$245/90)</f>
        <v>16.713621146177285</v>
      </c>
      <c r="AN10" s="434">
        <f>AN8/(Q_IS!AN$245/90)</f>
        <v>13.828313317619887</v>
      </c>
      <c r="AO10" s="434">
        <f>AO8/(Q_IS!AO$245/90)</f>
        <v>15.418670371955901</v>
      </c>
      <c r="AP10" s="434">
        <f>AP8/(Q_IS!AP$245/90)</f>
        <v>12.88365992753562</v>
      </c>
      <c r="AQ10" s="434">
        <f>AQ8/(Q_IS!AQ$245/90)</f>
        <v>12.845391085390066</v>
      </c>
      <c r="AR10" s="434">
        <f>AR8/(Q_IS!AR$245/90)</f>
        <v>12.348564027859085</v>
      </c>
      <c r="AS10" s="434">
        <f>AS8/(Q_IS!AS$245/90)</f>
        <v>10.405260262182862</v>
      </c>
      <c r="AT10" s="434">
        <f>AT8/(Q_IS!AT$245/90)</f>
        <v>15.239083724284578</v>
      </c>
      <c r="AU10" s="434">
        <f>AU8/(Q_IS!AU$245/90)</f>
        <v>33.359451550153075</v>
      </c>
      <c r="AV10" s="434">
        <f>AV8/(Q_IS!AV$245/90)</f>
        <v>15.094888413117939</v>
      </c>
      <c r="AW10" s="434">
        <f>AW8/(Q_IS!AW$245/90)</f>
        <v>12.890109032158353</v>
      </c>
      <c r="AX10" s="434">
        <f>AX8/(Q_IS!AX$245/90)</f>
        <v>13.566875257180136</v>
      </c>
      <c r="AY10" s="434">
        <f>AY8/(Q_IS!AY$245/90)</f>
        <v>12.55315463966439</v>
      </c>
      <c r="AZ10" s="434">
        <f>AZ8/(Q_IS!AZ$245/90)</f>
        <v>11.948293037642546</v>
      </c>
      <c r="BA10" s="434">
        <f>BA8/(Q_IS!BA$245/90)</f>
        <v>10.807554957796123</v>
      </c>
      <c r="BB10" s="434">
        <f>BB8/(Q_IS!BB$245/90)</f>
        <v>12.298725526693188</v>
      </c>
      <c r="BC10" s="434">
        <f>BC8/(Q_IS!BC$245/90)</f>
        <v>14.439723815771391</v>
      </c>
      <c r="BD10" s="434">
        <f>BD8/(Q_IS!BD$245/90)</f>
        <v>14.414620563236721</v>
      </c>
      <c r="BE10" s="434">
        <f>BE8/(Q_IS!BE$245/90)</f>
        <v>13.6102413538866</v>
      </c>
      <c r="BF10" s="434">
        <f>BF8/(Q_IS!BF$245/90)</f>
        <v>14.328708141852944</v>
      </c>
      <c r="BG10" s="434">
        <f>BG8/(Q_IS!BG$245/90)</f>
        <v>13.650250196134476</v>
      </c>
      <c r="BH10" s="434">
        <f>BH8/(Q_IS!BH$245/90)</f>
        <v>13.534779245211114</v>
      </c>
      <c r="BI10" s="434">
        <f>BI8/(Q_IS!BI$245/90)</f>
        <v>12.287865308713446</v>
      </c>
      <c r="BJ10" s="434">
        <f>BJ8/(Q_IS!BJ$245/90)</f>
        <v>12.436725216543275</v>
      </c>
      <c r="BK10" s="800">
        <f>BK8/(Q_IS!BK$245/90)</f>
        <v>13.730481824568672</v>
      </c>
      <c r="BL10" s="433">
        <f>BL8/(Q_IS!BL$245/90)</f>
        <v>13.659055579299135</v>
      </c>
      <c r="BM10" s="433">
        <f>BM8/(Q_IS!BM$245/90)</f>
        <v>12.651925746517135</v>
      </c>
      <c r="BN10" s="433">
        <f>BN8/(Q_IS!BN$245/90)</f>
        <v>12.864725313823087</v>
      </c>
      <c r="BO10" s="433">
        <f>BO8/(Q_IS!BO$245/90)</f>
        <v>14.20572558548642</v>
      </c>
      <c r="BP10" s="433">
        <f>BP8/(Q_IS!BP$245/90)</f>
        <v>13.700446656812161</v>
      </c>
      <c r="BQ10" s="433">
        <f>BQ8/(Q_IS!BQ$245/90)</f>
        <v>12.690033956597006</v>
      </c>
      <c r="BR10" s="433">
        <f>BR8/(Q_IS!BR$245/90)</f>
        <v>12.903634413575798</v>
      </c>
      <c r="BS10" s="433">
        <f>BS8/(Q_IS!BS$245/90)</f>
        <v>14.248929563751668</v>
      </c>
      <c r="BT10" s="433">
        <f>BT8/(Q_IS!BT$245/90)</f>
        <v>13.741837734325191</v>
      </c>
      <c r="BU10" s="433">
        <f>BU8/(Q_IS!BU$245/90)</f>
        <v>12.728142166676875</v>
      </c>
      <c r="BV10" s="433">
        <f>BV8/(Q_IS!BV$245/90)</f>
        <v>12.942543513328506</v>
      </c>
      <c r="BW10" s="433">
        <f>BW8/(Q_IS!BW$245/90)</f>
        <v>14.292133542016916</v>
      </c>
      <c r="BX10" s="433">
        <f>BX8/(Q_IS!BX$245/90)</f>
        <v>13.783228811838219</v>
      </c>
      <c r="BY10" s="433">
        <f>BY8/(Q_IS!BY$245/90)</f>
        <v>12.766250376756748</v>
      </c>
      <c r="BZ10" s="433">
        <f>BZ8/(Q_IS!BZ$245/90)</f>
        <v>13.137089012092057</v>
      </c>
      <c r="CA10" s="433">
        <f>CA8/(Q_IS!CA$245/90)</f>
        <v>14.508153433343171</v>
      </c>
      <c r="CB10" s="433">
        <f>CB8/(Q_IS!CB$245/90)</f>
        <v>13.990184199403359</v>
      </c>
      <c r="CC10" s="433">
        <f>CC8/(Q_IS!CC$245/90)</f>
        <v>12.956791427156103</v>
      </c>
      <c r="CD10" s="433">
        <f>CD8/(Q_IS!CD$245/90)</f>
        <v>13.137089012092057</v>
      </c>
      <c r="CE10" s="433">
        <f>CE8/(Q_IS!CE$245/90)</f>
        <v>14.508153433343168</v>
      </c>
      <c r="CF10" s="433">
        <f>CF8/(Q_IS!CF$245/90)</f>
        <v>13.990184199403359</v>
      </c>
      <c r="CG10" s="433">
        <f>CG8/(Q_IS!CG$245/90)</f>
        <v>12.956791427156105</v>
      </c>
      <c r="CH10" s="433">
        <f>CH8/(Q_IS!CH$245/90)</f>
        <v>13.137089012092055</v>
      </c>
      <c r="CI10" s="433">
        <f>CI8/(Q_IS!CI$245/90)</f>
        <v>14.508153433343169</v>
      </c>
      <c r="CJ10" s="433">
        <f>CJ8/(Q_IS!CJ$245/90)</f>
        <v>13.990184199403357</v>
      </c>
      <c r="CK10" s="433">
        <f>CK8/(Q_IS!CK$245/90)</f>
        <v>12.956791427156105</v>
      </c>
      <c r="CL10" s="433">
        <f>CL8/(Q_IS!CL$245/90)</f>
        <v>13.137089012092057</v>
      </c>
      <c r="CM10" s="433">
        <f>CM8/(Q_IS!CM$245/90)</f>
        <v>14.508153433343171</v>
      </c>
      <c r="CN10" s="433">
        <f>CN8/(Q_IS!CN$245/90)</f>
        <v>13.990184199403357</v>
      </c>
      <c r="CO10" s="433">
        <f>CO8/(Q_IS!CO$245/90)</f>
        <v>12.9567914271561</v>
      </c>
      <c r="CP10" s="433">
        <f>CP8/(Q_IS!CP$245/90)</f>
        <v>13.137089012092057</v>
      </c>
      <c r="CQ10" s="433">
        <f>CQ8/(Q_IS!CQ$245/90)</f>
        <v>14.508153433343169</v>
      </c>
      <c r="CR10" s="433">
        <f>CR8/(Q_IS!CR$245/90)</f>
        <v>13.990184199403357</v>
      </c>
      <c r="CS10" s="433">
        <f>CS8/(Q_IS!CS$245/90)</f>
        <v>12.956791427156105</v>
      </c>
      <c r="CT10" s="433">
        <f>CT8/(Q_IS!CT$245/90)</f>
        <v>13.137089012092057</v>
      </c>
      <c r="CU10" s="433">
        <f>CU8/(Q_IS!CU$245/90)</f>
        <v>14.508153433343168</v>
      </c>
      <c r="CV10" s="433">
        <f>CV8/(Q_IS!CV$245/90)</f>
        <v>13.990184199403359</v>
      </c>
      <c r="CW10" s="433">
        <f>CW8/(Q_IS!CW$245/90)</f>
        <v>12.956791427156102</v>
      </c>
    </row>
    <row r="11" spans="1:101">
      <c r="A11" s="322" t="s">
        <v>6</v>
      </c>
      <c r="B11" s="119">
        <f>Q_Financials!B71</f>
        <v>809.16200000000003</v>
      </c>
      <c r="C11" s="119">
        <f>Q_Financials!C71</f>
        <v>733.11299999999994</v>
      </c>
      <c r="D11" s="119">
        <f>Q_Financials!D71</f>
        <v>454.51100000000002</v>
      </c>
      <c r="E11" s="119">
        <f>Q_Financials!E71</f>
        <v>439.12700000000001</v>
      </c>
      <c r="F11" s="119">
        <f>Q_Financials!F71</f>
        <v>551.13599999999997</v>
      </c>
      <c r="G11" s="119">
        <f>Q_Financials!G71</f>
        <v>386.17899999999997</v>
      </c>
      <c r="H11" s="119">
        <f>Q_Financials!H71</f>
        <v>424.89300000000003</v>
      </c>
      <c r="I11" s="119">
        <f>Q_Financials!I71</f>
        <v>396.60400000000004</v>
      </c>
      <c r="J11" s="119">
        <f>Q_Financials!J71</f>
        <v>440.17200000000003</v>
      </c>
      <c r="K11" s="119">
        <f>Q_Financials!K71</f>
        <v>421.005</v>
      </c>
      <c r="L11" s="119">
        <f>Q_Financials!L71</f>
        <v>443.40899999999999</v>
      </c>
      <c r="M11" s="119">
        <f>Q_Financials!M71</f>
        <v>2722.1579999999999</v>
      </c>
      <c r="N11" s="119">
        <f>Q_Financials!N71</f>
        <v>724.75099999999998</v>
      </c>
      <c r="O11" s="119">
        <f>Q_Financials!O71</f>
        <v>793.59400000000005</v>
      </c>
      <c r="P11" s="119">
        <f>Q_Financials!P71</f>
        <v>690.20100000000002</v>
      </c>
      <c r="Q11" s="119">
        <f>Q_Financials!Q71</f>
        <v>566.47500000000002</v>
      </c>
      <c r="R11" s="119">
        <f>Q_Financials!R71</f>
        <v>684.97</v>
      </c>
      <c r="S11" s="119">
        <f>Q_Financials!S71</f>
        <v>699.03899999999999</v>
      </c>
      <c r="T11" s="119">
        <f>Q_Financials!T71</f>
        <v>916.80099999999993</v>
      </c>
      <c r="U11" s="119">
        <f>Q_Financials!U71</f>
        <v>801.78099999999995</v>
      </c>
      <c r="V11" s="119">
        <f>Q_Financials!V71</f>
        <v>878.15000000000009</v>
      </c>
      <c r="W11" s="119">
        <f>Q_Financials!W71</f>
        <v>1387.279</v>
      </c>
      <c r="X11" s="119">
        <f>Q_Financials!X71</f>
        <v>950.46299999999997</v>
      </c>
      <c r="Y11" s="119">
        <f>Q_Financials!Y71</f>
        <v>1012.6589999999999</v>
      </c>
      <c r="Z11" s="119">
        <f>Q_Financials!Z71</f>
        <v>1104.1210000000001</v>
      </c>
      <c r="AA11" s="119">
        <f>Q_Financials!AA71</f>
        <v>1288.5329999999999</v>
      </c>
      <c r="AB11" s="119">
        <f>Q_Financials!AB71</f>
        <v>1149.838</v>
      </c>
      <c r="AC11" s="119">
        <f>Q_Financials!AC71</f>
        <v>912.16700000000014</v>
      </c>
      <c r="AD11" s="119">
        <f>Q_Financials!AD71</f>
        <v>1045.981</v>
      </c>
      <c r="AE11" s="119">
        <f>Q_Financials!AE71</f>
        <v>1070.674</v>
      </c>
      <c r="AF11" s="119">
        <f>Q_Financials!AF71</f>
        <v>1233.2750000000001</v>
      </c>
      <c r="AG11" s="119">
        <f>Q_Financials!AG71</f>
        <v>1127.9279999999999</v>
      </c>
      <c r="AH11" s="119">
        <f>Q_Financials!AH71</f>
        <v>1179.461</v>
      </c>
      <c r="AI11" s="119">
        <f>Q_Financials!AI71</f>
        <v>2459.62</v>
      </c>
      <c r="AJ11" s="119">
        <f>Q_Financials!AJ71</f>
        <v>2477.2599999999998</v>
      </c>
      <c r="AK11" s="119">
        <f>Q_Financials!AK71</f>
        <v>1271.9299999999998</v>
      </c>
      <c r="AL11" s="119">
        <f>Q_Financials!AL71</f>
        <v>1518.8450000000003</v>
      </c>
      <c r="AM11" s="119">
        <f>Q_Financials!AM71</f>
        <v>1695.5730000000001</v>
      </c>
      <c r="AN11" s="119">
        <f>Q_Financials!AN71</f>
        <v>1525.155</v>
      </c>
      <c r="AO11" s="119">
        <f>Q_Financials!AO71</f>
        <v>1439.9290000000001</v>
      </c>
      <c r="AP11" s="119">
        <f>Q_Financials!AP71</f>
        <v>1814.191</v>
      </c>
      <c r="AQ11" s="119">
        <f>Q_Financials!AQ71</f>
        <v>1959.463</v>
      </c>
      <c r="AR11" s="119">
        <f>Q_Financials!AR71</f>
        <v>1940.269</v>
      </c>
      <c r="AS11" s="119">
        <f>Q_Financials!AS71</f>
        <v>1378.26</v>
      </c>
      <c r="AT11" s="1736">
        <f>Q_Financials!AT71</f>
        <v>1839.5119999999999</v>
      </c>
      <c r="AU11" s="1736">
        <f>Q_Financials!AU71</f>
        <v>2308.7730000000001</v>
      </c>
      <c r="AV11" s="1736">
        <f>Q_Financials!AV71</f>
        <v>1494.3130000000001</v>
      </c>
      <c r="AW11" s="1736">
        <f>Q_Financials!AW71</f>
        <v>1274</v>
      </c>
      <c r="AX11" s="1736">
        <f>Q_Financials!AX71</f>
        <v>1686.3509999999999</v>
      </c>
      <c r="AY11" s="1736">
        <f>Q_Financials!AY71</f>
        <v>1388.6970000000001</v>
      </c>
      <c r="AZ11" s="1736">
        <f>Q_Financials!AZ71</f>
        <v>1421.3589999999999</v>
      </c>
      <c r="BA11" s="1736">
        <f>Q_Financials!BA71</f>
        <v>1090.8989999999999</v>
      </c>
      <c r="BB11" s="1736">
        <f>Q_Financials!BB71</f>
        <v>1403.184</v>
      </c>
      <c r="BC11" s="1736">
        <f>Q_Financials!BC71</f>
        <v>1418.77</v>
      </c>
      <c r="BD11" s="1736">
        <f>Q_Financials!BD71</f>
        <v>1510.8809999999999</v>
      </c>
      <c r="BE11" s="1736">
        <f>Q_Financials!BE71</f>
        <v>1349.377</v>
      </c>
      <c r="BF11" s="1736">
        <f>Q_Financials!BF71</f>
        <v>1539.9040000000002</v>
      </c>
      <c r="BG11" s="1736">
        <f>Q_Financials!BG71</f>
        <v>2026.2270000000001</v>
      </c>
      <c r="BH11" s="1736">
        <f>Q_Financials!BH71</f>
        <v>2040.2339999999999</v>
      </c>
      <c r="BI11" s="1736">
        <f>Q_Financials!BI71</f>
        <v>1139.5920000000001</v>
      </c>
      <c r="BJ11" s="1736">
        <f>Q_Financials!BJ71</f>
        <v>1700.2080000000001</v>
      </c>
      <c r="BK11" s="1689">
        <f>Q_Financials!BK71</f>
        <v>2499.0859999999998</v>
      </c>
      <c r="BL11" s="324">
        <f>Q_IS!BL$245/90*BL12</f>
        <v>2107.0888828069105</v>
      </c>
      <c r="BM11" s="324">
        <f>Q_IS!BM$245/90*BM12</f>
        <v>1186.9649783295788</v>
      </c>
      <c r="BN11" s="324">
        <f>Q_IS!BN$245/90*BN12</f>
        <v>1859.8124891435189</v>
      </c>
      <c r="BO11" s="324">
        <f>Q_IS!BO$245/90*BO12</f>
        <v>2779.401908757266</v>
      </c>
      <c r="BP11" s="324">
        <f>Q_IS!BP$245/90*BP12</f>
        <v>2301.1674758995969</v>
      </c>
      <c r="BQ11" s="324">
        <f>Q_IS!BQ$245/90*BQ12</f>
        <v>1284.9021736830559</v>
      </c>
      <c r="BR11" s="324">
        <f>Q_IS!BR$245/90*BR12</f>
        <v>2004.1356770116217</v>
      </c>
      <c r="BS11" s="324">
        <f>Q_IS!BS$245/90*BS12</f>
        <v>2961.5995514975375</v>
      </c>
      <c r="BT11" s="324">
        <f>Q_IS!BT$245/90*BT12</f>
        <v>2451.5629884574632</v>
      </c>
      <c r="BU11" s="324">
        <f>Q_IS!BU$245/90*BU12</f>
        <v>1368.4441434941602</v>
      </c>
      <c r="BV11" s="324">
        <f>Q_IS!BV$245/90*BV12</f>
        <v>2124.0609130827575</v>
      </c>
      <c r="BW11" s="324">
        <f>Q_IS!BW$245/90*BW12</f>
        <v>3133.6969007477824</v>
      </c>
      <c r="BX11" s="324">
        <f>Q_IS!BX$245/90*BX12</f>
        <v>2594.9871495018988</v>
      </c>
      <c r="BY11" s="324">
        <f>Q_IS!BY$245/90*BY12</f>
        <v>1450.0125054281502</v>
      </c>
      <c r="BZ11" s="324">
        <f>Q_IS!BZ$245/90*BZ12</f>
        <v>2236.2494997084382</v>
      </c>
      <c r="CA11" s="324">
        <f>Q_IS!CA$245/90*CA12</f>
        <v>3295.7250317424355</v>
      </c>
      <c r="CB11" s="324">
        <f>Q_IS!CB$245/90*CB12</f>
        <v>2731.1005628736839</v>
      </c>
      <c r="CC11" s="324">
        <f>Q_IS!CC$245/90*CC12</f>
        <v>1528.01174194743</v>
      </c>
      <c r="CD11" s="324">
        <f>Q_IS!CD$245/90*CD12</f>
        <v>2353.8595098406531</v>
      </c>
      <c r="CE11" s="324">
        <f>Q_IS!CE$245/90*CE12</f>
        <v>3465.4061118530608</v>
      </c>
      <c r="CF11" s="324">
        <f>Q_IS!CF$245/90*CF12</f>
        <v>2873.7008712349775</v>
      </c>
      <c r="CG11" s="324">
        <f>Q_IS!CG$245/90*CG12</f>
        <v>1609.7759449965536</v>
      </c>
      <c r="CH11" s="324">
        <f>Q_IS!CH$245/90*CH12</f>
        <v>2476.4123576640372</v>
      </c>
      <c r="CI11" s="324">
        <f>Q_IS!CI$245/90*CI12</f>
        <v>3640.4582382323042</v>
      </c>
      <c r="CJ11" s="324">
        <f>Q_IS!CJ$245/90*CJ12</f>
        <v>3019.5646831996178</v>
      </c>
      <c r="CK11" s="324">
        <f>Q_IS!CK$245/90*CK12</f>
        <v>1692.3689176096366</v>
      </c>
      <c r="CL11" s="324">
        <f>Q_IS!CL$245/90*CL12</f>
        <v>2599.8431248864076</v>
      </c>
      <c r="CM11" s="324">
        <f>Q_IS!CM$245/90*CM12</f>
        <v>3818.3369852446936</v>
      </c>
      <c r="CN11" s="324">
        <f>Q_IS!CN$245/90*CN12</f>
        <v>3169.404257622145</v>
      </c>
      <c r="CO11" s="324">
        <f>Q_IS!CO$245/90*CO12</f>
        <v>1778.3398489208678</v>
      </c>
      <c r="CP11" s="324">
        <f>Q_IS!CP$245/90*CP12</f>
        <v>2729.1034583587975</v>
      </c>
      <c r="CQ11" s="324">
        <f>Q_IS!CQ$245/90*CQ12</f>
        <v>4004.4783162542981</v>
      </c>
      <c r="CR11" s="324">
        <f>Q_IS!CR$245/90*CR12</f>
        <v>3326.4106815463983</v>
      </c>
      <c r="CS11" s="324">
        <f>Q_IS!CS$245/90*CS12</f>
        <v>1868.5035743948551</v>
      </c>
      <c r="CT11" s="324">
        <f>Q_IS!CT$245/90*CT12</f>
        <v>2864.5638038636562</v>
      </c>
      <c r="CU11" s="324">
        <f>Q_IS!CU$245/90*CU12</f>
        <v>4199.2861519911394</v>
      </c>
      <c r="CV11" s="324">
        <f>Q_IS!CV$245/90*CV12</f>
        <v>3490.6970870655032</v>
      </c>
      <c r="CW11" s="324">
        <f>Q_IS!CW$245/90*CW12</f>
        <v>1961.8246630452143</v>
      </c>
    </row>
    <row r="12" spans="1:101">
      <c r="A12" s="325" t="s">
        <v>34</v>
      </c>
      <c r="B12" s="434">
        <f>B11/(Q_IS!B$245/90)</f>
        <v>34.94288909905125</v>
      </c>
      <c r="C12" s="434">
        <f>C11/(Q_IS!C$245/90)</f>
        <v>31.832603777735855</v>
      </c>
      <c r="D12" s="434">
        <f>D11/(Q_IS!D$245/90)</f>
        <v>19.298983342556802</v>
      </c>
      <c r="E12" s="434">
        <f>E11/(Q_IS!E$245/90)</f>
        <v>17.103942506519779</v>
      </c>
      <c r="F12" s="434">
        <f>F11/(Q_IS!F$245/90)</f>
        <v>23.667245915437309</v>
      </c>
      <c r="G12" s="434">
        <f>G11/(Q_IS!G$245/90)</f>
        <v>16.041034753311489</v>
      </c>
      <c r="H12" s="434">
        <f>H11/(Q_IS!H$245/90)</f>
        <v>16.809508005758431</v>
      </c>
      <c r="I12" s="434">
        <f>I11/(Q_IS!I$245/90)</f>
        <v>14.604911544490442</v>
      </c>
      <c r="J12" s="434">
        <f>J11/(Q_IS!J$245/90)</f>
        <v>16.528874172627532</v>
      </c>
      <c r="K12" s="434">
        <f>K11/(Q_IS!K$245/90)</f>
        <v>14.600496773209079</v>
      </c>
      <c r="L12" s="434">
        <f>L11/(Q_IS!L$245/90)</f>
        <v>14.413138638678406</v>
      </c>
      <c r="M12" s="434">
        <f>M11/(Q_IS!M$245/90)</f>
        <v>83.449672869564736</v>
      </c>
      <c r="N12" s="434">
        <f>N11/(Q_IS!N$245/90)</f>
        <v>22.021111744306644</v>
      </c>
      <c r="O12" s="434">
        <f>O11/(Q_IS!O$245/90)</f>
        <v>20.844034523193194</v>
      </c>
      <c r="P12" s="434">
        <f>P11/(Q_IS!P$245/90)</f>
        <v>17.735600659195331</v>
      </c>
      <c r="Q12" s="434">
        <f>Q11/(Q_IS!Q$245/90)</f>
        <v>14.050845995545753</v>
      </c>
      <c r="R12" s="434">
        <f>R11/(Q_IS!R$245/90)</f>
        <v>18.138248636408839</v>
      </c>
      <c r="S12" s="434">
        <f>S11/(Q_IS!S$245/90)</f>
        <v>16.466802438447928</v>
      </c>
      <c r="T12" s="434">
        <f>T11/(Q_IS!T$245/90)</f>
        <v>20.211954366379484</v>
      </c>
      <c r="U12" s="434">
        <f>U11/(Q_IS!U$245/90)</f>
        <v>16.35934971846207</v>
      </c>
      <c r="V12" s="434">
        <f>V11/(Q_IS!V$245/90)</f>
        <v>19.797792404677715</v>
      </c>
      <c r="W12" s="434">
        <f>W11/(Q_IS!W$245/90)</f>
        <v>23.995250345644305</v>
      </c>
      <c r="X12" s="434">
        <f>X11/(Q_IS!X$245/90)</f>
        <v>15.003759636535142</v>
      </c>
      <c r="Y12" s="434">
        <f>Y11/(Q_IS!Y$245/90)</f>
        <v>11.531448423643873</v>
      </c>
      <c r="Z12" s="434">
        <f>Z11/(Q_IS!Z$245/90)</f>
        <v>13.530463490133892</v>
      </c>
      <c r="AA12" s="434">
        <f>AA11/(Q_IS!AA$245/90)</f>
        <v>14.940587033502698</v>
      </c>
      <c r="AB12" s="434">
        <f>AB11/(Q_IS!AB$245/90)</f>
        <v>12.582771649246496</v>
      </c>
      <c r="AC12" s="434">
        <f>AC11/(Q_IS!AC$245/90)</f>
        <v>9.164615387706796</v>
      </c>
      <c r="AD12" s="434">
        <f>AD11/(Q_IS!AD$245/90)</f>
        <v>11.029986783459639</v>
      </c>
      <c r="AE12" s="434">
        <f>AE11/(Q_IS!AE$245/90)</f>
        <v>10.629301991888429</v>
      </c>
      <c r="AF12" s="434">
        <f>AF11/(Q_IS!AF$245/90)</f>
        <v>11.559564148409329</v>
      </c>
      <c r="AG12" s="434">
        <f>AG11/(Q_IS!AG$245/90)</f>
        <v>9.6683640401902728</v>
      </c>
      <c r="AH12" s="434">
        <f>AH11/(Q_IS!AH$245/90)</f>
        <v>10.517087674522749</v>
      </c>
      <c r="AI12" s="434">
        <f>AI11/(Q_IS!AI$245/90)</f>
        <v>21.399572309779501</v>
      </c>
      <c r="AJ12" s="434">
        <f>AJ11/(Q_IS!AJ$245/90)</f>
        <v>21.283614854447876</v>
      </c>
      <c r="AK12" s="434">
        <f>AK11/(Q_IS!AK$245/90)</f>
        <v>9.8547243469508405</v>
      </c>
      <c r="AL12" s="434">
        <f>AL11/(Q_IS!AL$245/90)</f>
        <v>12.337338947721838</v>
      </c>
      <c r="AM12" s="434">
        <f>AM11/(Q_IS!AM$245/90)</f>
        <v>13.474147914601271</v>
      </c>
      <c r="AN12" s="434">
        <f>AN11/(Q_IS!AN$245/90)</f>
        <v>12.066740357874135</v>
      </c>
      <c r="AO12" s="434">
        <f>AO11/(Q_IS!AO$245/90)</f>
        <v>10.471515346616977</v>
      </c>
      <c r="AP12" s="434">
        <f>AP11/(Q_IS!AP$245/90)</f>
        <v>11.926236477206093</v>
      </c>
      <c r="AQ12" s="434">
        <f>AQ11/(Q_IS!AQ$245/90)</f>
        <v>12.095005142814699</v>
      </c>
      <c r="AR12" s="434">
        <f>AR11/(Q_IS!AR$245/90)</f>
        <v>12.050946906790015</v>
      </c>
      <c r="AS12" s="434">
        <f>AS11/(Q_IS!AS$245/90)</f>
        <v>8.058430726647968</v>
      </c>
      <c r="AT12" s="434">
        <f>AT11/(Q_IS!AT$245/90)</f>
        <v>13.676567460464977</v>
      </c>
      <c r="AU12" s="434">
        <f>AU11/(Q_IS!AU$245/90)</f>
        <v>39.976622698511306</v>
      </c>
      <c r="AV12" s="434">
        <f>AV11/(Q_IS!AV$245/90)</f>
        <v>13.590816569683367</v>
      </c>
      <c r="AW12" s="434">
        <f>AW11/(Q_IS!AW$245/90)</f>
        <v>10.14956669157586</v>
      </c>
      <c r="AX12" s="434">
        <f>AX11/(Q_IS!AX$245/90)</f>
        <v>14.862499086833022</v>
      </c>
      <c r="AY12" s="434">
        <f>AY11/(Q_IS!AY$245/90)</f>
        <v>10.016754334728287</v>
      </c>
      <c r="AZ12" s="434">
        <f>AZ11/(Q_IS!AZ$245/90)</f>
        <v>9.1646217028966692</v>
      </c>
      <c r="BA12" s="434">
        <f>BA11/(Q_IS!BA$245/90)</f>
        <v>5.8678133400015486</v>
      </c>
      <c r="BB12" s="434">
        <f>BB11/(Q_IS!BB$245/90)</f>
        <v>8.2929554320140699</v>
      </c>
      <c r="BC12" s="434">
        <f>BC11/(Q_IS!BC$245/90)</f>
        <v>7.5381271102030754</v>
      </c>
      <c r="BD12" s="434">
        <f>BD11/(Q_IS!BD$245/90)</f>
        <v>7.7621831176944438</v>
      </c>
      <c r="BE12" s="434">
        <f>BE11/(Q_IS!BE$245/90)</f>
        <v>6.343101484041326</v>
      </c>
      <c r="BF12" s="434">
        <f>BF11/(Q_IS!BF$245/90)</f>
        <v>7.8452467662237346</v>
      </c>
      <c r="BG12" s="434">
        <f>BG11/(Q_IS!BG$245/90)</f>
        <v>9.6238846352479275</v>
      </c>
      <c r="BH12" s="434">
        <f>BH11/(Q_IS!BH$245/90)</f>
        <v>9.4309863998791172</v>
      </c>
      <c r="BI12" s="434">
        <f>BI11/(Q_IS!BI$245/90)</f>
        <v>5.0908245834688612</v>
      </c>
      <c r="BJ12" s="434">
        <f>BJ11/(Q_IS!BJ$245/90)</f>
        <v>8.4063157658798957</v>
      </c>
      <c r="BK12" s="800">
        <f>BK11/(Q_IS!BK$245/90)</f>
        <v>11.681586218705984</v>
      </c>
      <c r="BL12" s="433">
        <f t="shared" ref="BL12:BQ12" si="3">+BH12</f>
        <v>9.4309863998791172</v>
      </c>
      <c r="BM12" s="433">
        <f t="shared" si="3"/>
        <v>5.0908245834688612</v>
      </c>
      <c r="BN12" s="433">
        <f t="shared" si="3"/>
        <v>8.4063157658798957</v>
      </c>
      <c r="BO12" s="433">
        <f t="shared" si="3"/>
        <v>11.681586218705984</v>
      </c>
      <c r="BP12" s="433">
        <f t="shared" si="3"/>
        <v>9.4309863998791172</v>
      </c>
      <c r="BQ12" s="433">
        <f t="shared" si="3"/>
        <v>5.0908245834688612</v>
      </c>
      <c r="BR12" s="433">
        <f t="shared" ref="BR12:CK12" si="4">+BN12</f>
        <v>8.4063157658798957</v>
      </c>
      <c r="BS12" s="433">
        <f t="shared" si="4"/>
        <v>11.681586218705984</v>
      </c>
      <c r="BT12" s="433">
        <f t="shared" si="4"/>
        <v>9.4309863998791172</v>
      </c>
      <c r="BU12" s="433">
        <f t="shared" si="4"/>
        <v>5.0908245834688612</v>
      </c>
      <c r="BV12" s="433">
        <f t="shared" si="4"/>
        <v>8.4063157658798957</v>
      </c>
      <c r="BW12" s="433">
        <f t="shared" si="4"/>
        <v>11.681586218705984</v>
      </c>
      <c r="BX12" s="433">
        <f t="shared" si="4"/>
        <v>9.4309863998791172</v>
      </c>
      <c r="BY12" s="433">
        <f t="shared" si="4"/>
        <v>5.0908245834688612</v>
      </c>
      <c r="BZ12" s="433">
        <f t="shared" si="4"/>
        <v>8.4063157658798957</v>
      </c>
      <c r="CA12" s="433">
        <f t="shared" si="4"/>
        <v>11.681586218705984</v>
      </c>
      <c r="CB12" s="433">
        <f t="shared" si="4"/>
        <v>9.4309863998791172</v>
      </c>
      <c r="CC12" s="433">
        <f t="shared" si="4"/>
        <v>5.0908245834688612</v>
      </c>
      <c r="CD12" s="433">
        <f t="shared" si="4"/>
        <v>8.4063157658798957</v>
      </c>
      <c r="CE12" s="433">
        <f t="shared" si="4"/>
        <v>11.681586218705984</v>
      </c>
      <c r="CF12" s="433">
        <f t="shared" si="4"/>
        <v>9.4309863998791172</v>
      </c>
      <c r="CG12" s="433">
        <f t="shared" si="4"/>
        <v>5.0908245834688612</v>
      </c>
      <c r="CH12" s="433">
        <f t="shared" si="4"/>
        <v>8.4063157658798957</v>
      </c>
      <c r="CI12" s="433">
        <f t="shared" si="4"/>
        <v>11.681586218705984</v>
      </c>
      <c r="CJ12" s="433">
        <f t="shared" si="4"/>
        <v>9.4309863998791172</v>
      </c>
      <c r="CK12" s="433">
        <f t="shared" si="4"/>
        <v>5.0908245834688612</v>
      </c>
      <c r="CL12" s="433">
        <f t="shared" ref="CL12" si="5">+CH12</f>
        <v>8.4063157658798957</v>
      </c>
      <c r="CM12" s="433">
        <f t="shared" ref="CM12" si="6">+CI12</f>
        <v>11.681586218705984</v>
      </c>
      <c r="CN12" s="433">
        <f t="shared" ref="CN12" si="7">+CJ12</f>
        <v>9.4309863998791172</v>
      </c>
      <c r="CO12" s="433">
        <f t="shared" ref="CO12" si="8">+CK12</f>
        <v>5.0908245834688612</v>
      </c>
      <c r="CP12" s="433">
        <f t="shared" ref="CP12" si="9">+CL12</f>
        <v>8.4063157658798957</v>
      </c>
      <c r="CQ12" s="433">
        <f t="shared" ref="CQ12" si="10">+CM12</f>
        <v>11.681586218705984</v>
      </c>
      <c r="CR12" s="433">
        <f t="shared" ref="CR12" si="11">+CN12</f>
        <v>9.4309863998791172</v>
      </c>
      <c r="CS12" s="433">
        <f t="shared" ref="CS12" si="12">+CO12</f>
        <v>5.0908245834688612</v>
      </c>
      <c r="CT12" s="433">
        <f t="shared" ref="CT12" si="13">+CP12</f>
        <v>8.4063157658798957</v>
      </c>
      <c r="CU12" s="433">
        <f t="shared" ref="CU12" si="14">+CQ12</f>
        <v>11.681586218705984</v>
      </c>
      <c r="CV12" s="433">
        <f t="shared" ref="CV12" si="15">+CR12</f>
        <v>9.4309863998791172</v>
      </c>
      <c r="CW12" s="433">
        <f t="shared" ref="CW12" si="16">+CS12</f>
        <v>5.0908245834688612</v>
      </c>
    </row>
    <row r="13" spans="1:101">
      <c r="A13" s="290"/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2"/>
      <c r="S13" s="432"/>
      <c r="T13" s="432"/>
      <c r="U13" s="432"/>
      <c r="V13" s="432"/>
      <c r="W13" s="432"/>
      <c r="X13" s="432"/>
      <c r="Y13" s="432"/>
      <c r="Z13" s="432"/>
      <c r="AA13" s="432"/>
      <c r="AB13" s="432"/>
      <c r="AC13" s="432"/>
      <c r="AD13" s="432"/>
      <c r="AE13" s="432"/>
      <c r="AF13" s="432"/>
      <c r="AG13" s="432"/>
      <c r="AH13" s="432"/>
      <c r="AI13" s="432"/>
      <c r="AJ13" s="432"/>
      <c r="AK13" s="432"/>
      <c r="AL13" s="432"/>
      <c r="AM13" s="432"/>
      <c r="AN13" s="432"/>
      <c r="AO13" s="432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1332"/>
      <c r="BL13" s="318"/>
      <c r="BM13" s="318"/>
      <c r="BN13" s="318"/>
      <c r="BO13" s="318"/>
      <c r="BP13" s="318"/>
      <c r="BQ13" s="318"/>
      <c r="BR13" s="318"/>
      <c r="BS13" s="318"/>
      <c r="BT13" s="318"/>
      <c r="BU13" s="318"/>
      <c r="BV13" s="318"/>
      <c r="BW13" s="318"/>
      <c r="BX13" s="318"/>
      <c r="BY13" s="318"/>
      <c r="BZ13" s="318"/>
      <c r="CA13" s="318"/>
      <c r="CB13" s="318"/>
      <c r="CC13" s="318"/>
      <c r="CD13" s="318"/>
      <c r="CE13" s="318"/>
      <c r="CF13" s="318"/>
      <c r="CG13" s="318"/>
      <c r="CH13" s="318"/>
      <c r="CI13" s="318"/>
      <c r="CJ13" s="318"/>
      <c r="CK13" s="318"/>
      <c r="CL13" s="318"/>
      <c r="CM13" s="318"/>
      <c r="CN13" s="318"/>
      <c r="CO13" s="318"/>
      <c r="CP13" s="318"/>
      <c r="CQ13" s="318"/>
      <c r="CR13" s="318"/>
      <c r="CS13" s="318"/>
      <c r="CT13" s="318"/>
      <c r="CU13" s="318"/>
      <c r="CV13" s="318"/>
      <c r="CW13" s="318"/>
    </row>
    <row r="14" spans="1:101">
      <c r="A14" s="319" t="s">
        <v>27</v>
      </c>
      <c r="B14" s="431"/>
      <c r="C14" s="431"/>
      <c r="D14" s="431"/>
      <c r="E14" s="431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  <c r="AE14" s="431"/>
      <c r="AF14" s="431"/>
      <c r="AG14" s="431"/>
      <c r="AH14" s="431"/>
      <c r="AI14" s="431"/>
      <c r="AJ14" s="431"/>
      <c r="AK14" s="431"/>
      <c r="AL14" s="431"/>
      <c r="AM14" s="431"/>
      <c r="AN14" s="431"/>
      <c r="AO14" s="431"/>
      <c r="AP14" s="320"/>
      <c r="AQ14" s="320"/>
      <c r="AR14" s="320"/>
      <c r="AS14" s="320"/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20"/>
      <c r="BK14" s="1331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20"/>
      <c r="CB14" s="320"/>
      <c r="CC14" s="320"/>
      <c r="CD14" s="320"/>
      <c r="CE14" s="320"/>
      <c r="CF14" s="320"/>
      <c r="CG14" s="320"/>
      <c r="CH14" s="320"/>
      <c r="CI14" s="320"/>
      <c r="CJ14" s="320"/>
      <c r="CK14" s="320"/>
      <c r="CL14" s="320"/>
      <c r="CM14" s="320"/>
      <c r="CN14" s="320"/>
      <c r="CO14" s="320"/>
      <c r="CP14" s="320"/>
      <c r="CQ14" s="320"/>
      <c r="CR14" s="320"/>
      <c r="CS14" s="320"/>
      <c r="CT14" s="320"/>
      <c r="CU14" s="320"/>
      <c r="CV14" s="320"/>
      <c r="CW14" s="320"/>
    </row>
    <row r="15" spans="1:101">
      <c r="A15" s="364" t="s">
        <v>544</v>
      </c>
      <c r="B15" s="119">
        <f>Q_Financials!B83</f>
        <v>430.06700000000001</v>
      </c>
      <c r="C15" s="119">
        <f>Q_Financials!C83</f>
        <v>411.69799999999998</v>
      </c>
      <c r="D15" s="119">
        <f>Q_Financials!D83</f>
        <v>437.00099999999998</v>
      </c>
      <c r="E15" s="119">
        <f>Q_Financials!E83</f>
        <v>559.149</v>
      </c>
      <c r="F15" s="119">
        <f>Q_Financials!F83</f>
        <v>426.32799999999997</v>
      </c>
      <c r="G15" s="119">
        <f>Q_Financials!G83</f>
        <v>462.06799999999998</v>
      </c>
      <c r="H15" s="119">
        <f>Q_Financials!H83</f>
        <v>537.52599999999995</v>
      </c>
      <c r="I15" s="119">
        <f>Q_Financials!I83</f>
        <v>710.548</v>
      </c>
      <c r="J15" s="119">
        <f>Q_Financials!J83</f>
        <v>591.25300000000004</v>
      </c>
      <c r="K15" s="119">
        <f>Q_Financials!K83</f>
        <v>687.82799999999997</v>
      </c>
      <c r="L15" s="119">
        <f>Q_Financials!L83</f>
        <v>676.72699999999998</v>
      </c>
      <c r="M15" s="119">
        <f>Q_Financials!M83</f>
        <v>1021.424</v>
      </c>
      <c r="N15" s="119">
        <f>Q_Financials!N83</f>
        <v>840.87699999999995</v>
      </c>
      <c r="O15" s="119">
        <f>Q_Financials!O83</f>
        <v>1012.2910000000001</v>
      </c>
      <c r="P15" s="119">
        <f>Q_Financials!P83</f>
        <v>930.31799999999998</v>
      </c>
      <c r="Q15" s="119">
        <f>Q_Financials!Q83</f>
        <v>1129.6120000000001</v>
      </c>
      <c r="R15" s="119">
        <f>Q_Financials!R83</f>
        <v>1024.924</v>
      </c>
      <c r="S15" s="119">
        <f>Q_Financials!S83</f>
        <v>1006.899</v>
      </c>
      <c r="T15" s="119">
        <f>Q_Financials!T83</f>
        <v>1108.04</v>
      </c>
      <c r="U15" s="119">
        <f>Q_Financials!U83</f>
        <v>1408.5650000000001</v>
      </c>
      <c r="V15" s="119">
        <f>Q_Financials!V83</f>
        <v>1214.6210000000001</v>
      </c>
      <c r="W15" s="119">
        <f>Q_Financials!W83</f>
        <v>1385.3520000000001</v>
      </c>
      <c r="X15" s="119">
        <f>Q_Financials!X83</f>
        <v>1390.9760000000001</v>
      </c>
      <c r="Y15" s="119">
        <f>Q_Financials!Y83</f>
        <v>2694.0149999999999</v>
      </c>
      <c r="Z15" s="119">
        <f>Q_Financials!Z83</f>
        <v>2509.165</v>
      </c>
      <c r="AA15" s="119">
        <f>Q_Financials!AA83</f>
        <v>2498.08</v>
      </c>
      <c r="AB15" s="119">
        <f>Q_Financials!AB83</f>
        <v>2468.52</v>
      </c>
      <c r="AC15" s="119">
        <f>Q_Financials!AC83</f>
        <v>3013.0909999999999</v>
      </c>
      <c r="AD15" s="119">
        <f>Q_Financials!AD83</f>
        <v>2953.6080000000002</v>
      </c>
      <c r="AE15" s="119">
        <f>Q_Financials!AE83</f>
        <v>3134.134</v>
      </c>
      <c r="AF15" s="119">
        <f>Q_Financials!AF83</f>
        <v>3482.9850000000001</v>
      </c>
      <c r="AG15" s="119">
        <f>Q_Financials!AG83</f>
        <v>3901.9720000000002</v>
      </c>
      <c r="AH15" s="119">
        <f>Q_Financials!AH83</f>
        <v>3030.5630000000001</v>
      </c>
      <c r="AI15" s="119">
        <f>Q_Financials!AI83</f>
        <v>3440.826</v>
      </c>
      <c r="AJ15" s="119">
        <f>Q_Financials!AJ83</f>
        <v>3120.4560000000001</v>
      </c>
      <c r="AK15" s="119">
        <f>Q_Financials!AK83</f>
        <v>3960.806</v>
      </c>
      <c r="AL15" s="119">
        <f>Q_Financials!AL83</f>
        <v>3371.9110000000001</v>
      </c>
      <c r="AM15" s="119">
        <f>Q_Financials!AM83</f>
        <v>4024.087</v>
      </c>
      <c r="AN15" s="119">
        <f>Q_Financials!AN83</f>
        <v>3347.2669999999998</v>
      </c>
      <c r="AO15" s="434">
        <f>Q_Financials!AO83</f>
        <v>5215.8770000000004</v>
      </c>
      <c r="AP15" s="434">
        <f>Q_Financials!AP83</f>
        <v>4803</v>
      </c>
      <c r="AQ15" s="434">
        <f>Q_Financials!AQ83</f>
        <v>4952.8999999999996</v>
      </c>
      <c r="AR15" s="434">
        <f>Q_Financials!AR83</f>
        <v>4800.8909999999996</v>
      </c>
      <c r="AS15" s="434">
        <f>Q_Financials!AS83</f>
        <v>5450.5550000000003</v>
      </c>
      <c r="AT15" s="434">
        <f>Q_Financials!AT83</f>
        <v>5743.25</v>
      </c>
      <c r="AU15" s="434">
        <f>Q_Financials!AU83</f>
        <v>5735.4880000000003</v>
      </c>
      <c r="AV15" s="434">
        <f>Q_Financials!AV83</f>
        <v>6237.9560000000001</v>
      </c>
      <c r="AW15" s="434">
        <f>Q_Financials!AW83</f>
        <v>3604</v>
      </c>
      <c r="AX15" s="434">
        <f>Q_Financials!AX83</f>
        <v>3384.3539999999998</v>
      </c>
      <c r="AY15" s="434">
        <f>Q_Financials!AY83</f>
        <v>3385.5160000000001</v>
      </c>
      <c r="AZ15" s="434">
        <f>Q_Financials!AZ83</f>
        <v>3175.5279999999998</v>
      </c>
      <c r="BA15" s="434">
        <f>Q_Financials!BA83</f>
        <v>3979.2370000000001</v>
      </c>
      <c r="BB15" s="434">
        <f>Q_Financials!BB83</f>
        <v>3925.8809999999999</v>
      </c>
      <c r="BC15" s="434">
        <f>Q_Financials!BC83</f>
        <v>4351.8729999999996</v>
      </c>
      <c r="BD15" s="434">
        <f>Q_Financials!BD83</f>
        <v>4163.7060000000001</v>
      </c>
      <c r="BE15" s="434">
        <f>Q_Financials!BE83</f>
        <v>5628.5950000000003</v>
      </c>
      <c r="BF15" s="434">
        <f>Q_Financials!BF83</f>
        <v>4755.6419999999998</v>
      </c>
      <c r="BG15" s="434">
        <f>Q_Financials!BG83</f>
        <v>5057.9849999999997</v>
      </c>
      <c r="BH15" s="434">
        <f>Q_Financials!BH83</f>
        <v>5437.0159999999996</v>
      </c>
      <c r="BI15" s="434">
        <f>Q_Financials!BI83</f>
        <v>5767.8990000000003</v>
      </c>
      <c r="BJ15" s="434">
        <f>Q_Financials!BJ83</f>
        <v>5237.9539999999997</v>
      </c>
      <c r="BK15" s="800">
        <f>Q_Financials!BK83</f>
        <v>5129.6390000000001</v>
      </c>
      <c r="BL15" s="323">
        <f>-Q_IS!BL$283/90*BL16</f>
        <v>5666.7360153906393</v>
      </c>
      <c r="BM15" s="323">
        <f>-Q_IS!BM$283/90*BM16</f>
        <v>6185.6643800284883</v>
      </c>
      <c r="BN15" s="323">
        <f>-Q_IS!BN$283/90*BN16</f>
        <v>5926.8408193691766</v>
      </c>
      <c r="BO15" s="323">
        <f>-Q_IS!BO$283/90*BO16</f>
        <v>5902.4809747645195</v>
      </c>
      <c r="BP15" s="323">
        <f>-Q_IS!BP$283/90*BP16</f>
        <v>6207.4382340947705</v>
      </c>
      <c r="BQ15" s="323">
        <f>-Q_IS!BQ$283/90*BQ16</f>
        <v>6716.2160911708188</v>
      </c>
      <c r="BR15" s="323">
        <f>-Q_IS!BR$283/90*BR16</f>
        <v>6406.0858612841794</v>
      </c>
      <c r="BS15" s="323">
        <f>-Q_IS!BS$283/90*BS16</f>
        <v>6308.5332830212365</v>
      </c>
      <c r="BT15" s="323">
        <f>-Q_IS!BT$283/90*BT16</f>
        <v>6633.1119288073596</v>
      </c>
      <c r="BU15" s="323">
        <f>-Q_IS!BU$283/90*BU16</f>
        <v>7174.3722322526492</v>
      </c>
      <c r="BV15" s="323">
        <f>-Q_IS!BV$283/90*BV16</f>
        <v>6809.8914104724363</v>
      </c>
      <c r="BW15" s="323">
        <f>-Q_IS!BW$283/90*BW16</f>
        <v>6695.3591304320817</v>
      </c>
      <c r="BX15" s="323">
        <f>-Q_IS!BX$283/90*BX16</f>
        <v>7042.3179832684382</v>
      </c>
      <c r="BY15" s="323">
        <f>-Q_IS!BY$283/90*BY16</f>
        <v>7624.7729951885176</v>
      </c>
      <c r="BZ15" s="323">
        <f>-Q_IS!BZ$283/90*BZ16</f>
        <v>7277.3453458936165</v>
      </c>
      <c r="CA15" s="323">
        <f>-Q_IS!CA$283/90*CA16</f>
        <v>7147.9735016212144</v>
      </c>
      <c r="CB15" s="323">
        <f>-Q_IS!CB$283/90*CB16</f>
        <v>7522.9916182339448</v>
      </c>
      <c r="CC15" s="323">
        <f>-Q_IS!CC$283/90*CC16</f>
        <v>8154.849908985625</v>
      </c>
      <c r="CD15" s="323">
        <f>-Q_IS!CD$283/90*CD16</f>
        <v>7660.0793207822708</v>
      </c>
      <c r="CE15" s="323">
        <f>-Q_IS!CE$283/90*CE16</f>
        <v>7515.9883853495357</v>
      </c>
      <c r="CF15" s="323">
        <f>-Q_IS!CF$283/90*CF16</f>
        <v>7915.793311127597</v>
      </c>
      <c r="CG15" s="323">
        <f>-Q_IS!CG$283/90*CG16</f>
        <v>8591.2175006008802</v>
      </c>
      <c r="CH15" s="323">
        <f>-Q_IS!CH$283/90*CH16</f>
        <v>8058.8985924466333</v>
      </c>
      <c r="CI15" s="323">
        <f>-Q_IS!CI$283/90*CI16</f>
        <v>7895.6523283999504</v>
      </c>
      <c r="CJ15" s="323">
        <f>-Q_IS!CJ$283/90*CJ16</f>
        <v>8317.5845339520747</v>
      </c>
      <c r="CK15" s="323">
        <f>-Q_IS!CK$283/90*CK16</f>
        <v>9032.0081546950969</v>
      </c>
      <c r="CL15" s="323">
        <f>-Q_IS!CL$283/90*CL16</f>
        <v>8460.5748452542502</v>
      </c>
      <c r="CM15" s="323">
        <f>-Q_IS!CM$283/90*CM16</f>
        <v>8281.4468221456609</v>
      </c>
      <c r="CN15" s="323">
        <f>-Q_IS!CN$283/90*CN16</f>
        <v>8730.3272493921559</v>
      </c>
      <c r="CO15" s="323">
        <f>-Q_IS!CO$283/90*CO16</f>
        <v>9490.8266455041285</v>
      </c>
      <c r="CP15" s="323">
        <f>-Q_IS!CP$283/90*CP16</f>
        <v>8881.2220433091188</v>
      </c>
      <c r="CQ15" s="323">
        <f>-Q_IS!CQ$283/90*CQ16</f>
        <v>8685.1617221443757</v>
      </c>
      <c r="CR15" s="323">
        <f>-Q_IS!CR$283/90*CR16</f>
        <v>9162.8115113221593</v>
      </c>
      <c r="CS15" s="323">
        <f>-Q_IS!CS$283/90*CS16</f>
        <v>9972.0216705752446</v>
      </c>
      <c r="CT15" s="323">
        <f>-Q_IS!CT$283/90*CT16</f>
        <v>9322.0457148365804</v>
      </c>
      <c r="CU15" s="323">
        <f>-Q_IS!CU$283/90*CU16</f>
        <v>9107.6730768064226</v>
      </c>
      <c r="CV15" s="323">
        <f>-Q_IS!CV$283/90*CV16</f>
        <v>9615.3489493466168</v>
      </c>
      <c r="CW15" s="323">
        <f>-Q_IS!CW$283/90*CW16</f>
        <v>10470.067235537272</v>
      </c>
    </row>
    <row r="16" spans="1:101">
      <c r="A16" s="325" t="s">
        <v>545</v>
      </c>
      <c r="B16" s="434">
        <f>-B15/(Q_IS!B$283/90)</f>
        <v>48.837396804487803</v>
      </c>
      <c r="C16" s="434">
        <f>-C15/(Q_IS!C$283/90)</f>
        <v>47.990845520094396</v>
      </c>
      <c r="D16" s="434">
        <f>-D15/(Q_IS!D$283/90)</f>
        <v>50.073639783816809</v>
      </c>
      <c r="E16" s="434">
        <f>-E15/(Q_IS!E$283/90)</f>
        <v>61.641837664628412</v>
      </c>
      <c r="F16" s="434">
        <f>-F15/(Q_IS!F$283/90)</f>
        <v>52.034722796701303</v>
      </c>
      <c r="G16" s="434">
        <f>-G15/(Q_IS!G$283/90)</f>
        <v>55.557645600262909</v>
      </c>
      <c r="H16" s="434">
        <f>-H15/(Q_IS!H$283/90)</f>
        <v>60.1590734147685</v>
      </c>
      <c r="I16" s="434">
        <f>-I15/(Q_IS!I$283/90)</f>
        <v>72.416143026517389</v>
      </c>
      <c r="J16" s="434">
        <f>-J15/(Q_IS!J$283/90)</f>
        <v>63.753216847896418</v>
      </c>
      <c r="K16" s="434">
        <f>-K15/(Q_IS!K$283/90)</f>
        <v>68.935069909978935</v>
      </c>
      <c r="L16" s="434">
        <f>-L15/(Q_IS!L$283/90)</f>
        <v>61.217947622613437</v>
      </c>
      <c r="M16" s="434">
        <f>-M15/(Q_IS!M$283/90)</f>
        <v>86.722715712097084</v>
      </c>
      <c r="N16" s="434">
        <f>-N15/(Q_IS!N$283/90)</f>
        <v>71.11117479802374</v>
      </c>
      <c r="O16" s="434">
        <f>-O15/(Q_IS!O$283/90)</f>
        <v>74.579090622582584</v>
      </c>
      <c r="P16" s="434">
        <f>-P15/(Q_IS!P$283/90)</f>
        <v>68.078635250077042</v>
      </c>
      <c r="Q16" s="434">
        <f>-Q15/(Q_IS!Q$283/90)</f>
        <v>81.747471953478808</v>
      </c>
      <c r="R16" s="434">
        <f>-R15/(Q_IS!R$283/90)</f>
        <v>79.359809212614891</v>
      </c>
      <c r="S16" s="434">
        <f>-S15/(Q_IS!S$283/90)</f>
        <v>72.16189679885332</v>
      </c>
      <c r="T16" s="434">
        <f>-T15/(Q_IS!T$283/90)</f>
        <v>73.062613835678064</v>
      </c>
      <c r="U16" s="434">
        <f>-U15/(Q_IS!U$283/90)</f>
        <v>87.870555208983149</v>
      </c>
      <c r="V16" s="434">
        <f>-V15/(Q_IS!V$283/90)</f>
        <v>81.794128738563202</v>
      </c>
      <c r="W16" s="434">
        <f>-W15/(Q_IS!W$283/90)</f>
        <v>75.463533410684235</v>
      </c>
      <c r="X16" s="434">
        <f>-X15/(Q_IS!X$283/90)</f>
        <v>68.466309608254818</v>
      </c>
      <c r="Y16" s="434">
        <f>-Y15/(Q_IS!Y$283/90)</f>
        <v>98.587213172212756</v>
      </c>
      <c r="Z16" s="434">
        <f>-Z15/(Q_IS!Z$283/90)</f>
        <v>97.874794726091253</v>
      </c>
      <c r="AA16" s="434">
        <f>-AA15/(Q_IS!AA$283/90)</f>
        <v>91.683501820806526</v>
      </c>
      <c r="AB16" s="434">
        <f>-AB15/(Q_IS!AB$283/90)</f>
        <v>85.265023105975857</v>
      </c>
      <c r="AC16" s="434">
        <f>-AC15/(Q_IS!AC$283/90)</f>
        <v>97.399661659806483</v>
      </c>
      <c r="AD16" s="434">
        <f>-AD15/(Q_IS!AD$283/90)</f>
        <v>98.020603061955569</v>
      </c>
      <c r="AE16" s="434">
        <f>-AE15/(Q_IS!AE$283/90)</f>
        <v>99.736882116370992</v>
      </c>
      <c r="AF16" s="434">
        <f>-AF15/(Q_IS!AF$283/90)</f>
        <v>104.8617041881638</v>
      </c>
      <c r="AG16" s="434">
        <f>-AG15/(Q_IS!AG$283/90)</f>
        <v>108.04832580505318</v>
      </c>
      <c r="AH16" s="434">
        <f>-AH15/(Q_IS!AH$283/90)</f>
        <v>87.738842879499728</v>
      </c>
      <c r="AI16" s="434">
        <f>-AI15/(Q_IS!AI$283/90)</f>
        <v>98.91498802828238</v>
      </c>
      <c r="AJ16" s="434">
        <f>-AJ15/(Q_IS!AJ$283/90)</f>
        <v>88.647303470375675</v>
      </c>
      <c r="AK16" s="434">
        <f>-AK15/(Q_IS!AK$283/90)</f>
        <v>101.39334575177509</v>
      </c>
      <c r="AL16" s="434">
        <f>-AL15/(Q_IS!AL$283/90)</f>
        <v>90.908025837636757</v>
      </c>
      <c r="AM16" s="434">
        <f>-AM15/(Q_IS!AM$283/90)</f>
        <v>104.90989172059393</v>
      </c>
      <c r="AN16" s="434">
        <f>-AN15/(Q_IS!AN$283/90)</f>
        <v>85.369089916748891</v>
      </c>
      <c r="AO16" s="434">
        <f>-AO15/(Q_IS!AO$283/90)</f>
        <v>121.35418425103828</v>
      </c>
      <c r="AP16" s="434">
        <f>-AP15/(Q_IS!AP$283/90)</f>
        <v>105.31593684698309</v>
      </c>
      <c r="AQ16" s="434">
        <f>-AQ15/(Q_IS!AQ$283/90)</f>
        <v>103.65430844807692</v>
      </c>
      <c r="AR16" s="434">
        <f>-AR15/(Q_IS!AR$283/90)</f>
        <v>100.98528622963578</v>
      </c>
      <c r="AS16" s="434">
        <f>-AS15/(Q_IS!AS$283/90)</f>
        <v>109.4876877394311</v>
      </c>
      <c r="AT16" s="434">
        <f>-AT15/(Q_IS!AT$283/90)</f>
        <v>143.14664089306635</v>
      </c>
      <c r="AU16" s="434">
        <f>-AU15/(Q_IS!AU$283/90)</f>
        <v>293.263506784284</v>
      </c>
      <c r="AV16" s="434">
        <f>-AV15/(Q_IS!AV$283/90)</f>
        <v>200.35860810776089</v>
      </c>
      <c r="AW16" s="434">
        <f>-AW15/(Q_IS!AW$283/90)</f>
        <v>98.838203177778041</v>
      </c>
      <c r="AX16" s="434">
        <f>-AX15/(Q_IS!AX$283/90)</f>
        <v>91.435308540874416</v>
      </c>
      <c r="AY16" s="434">
        <f>-AY15/(Q_IS!AY$283/90)</f>
        <v>76.951298880872088</v>
      </c>
      <c r="AZ16" s="434">
        <f>-AZ15/(Q_IS!AZ$283/90)</f>
        <v>66.16294421637555</v>
      </c>
      <c r="BA16" s="434">
        <f>-BA15/(Q_IS!BA$283/90)</f>
        <v>69.639709712790989</v>
      </c>
      <c r="BB16" s="434">
        <f>-BB15/(Q_IS!BB$283/90)</f>
        <v>72.952736615789803</v>
      </c>
      <c r="BC16" s="434">
        <f>-BC15/(Q_IS!BC$283/90)</f>
        <v>70.627466389303436</v>
      </c>
      <c r="BD16" s="434">
        <f>-BD15/(Q_IS!BD$283/90)</f>
        <v>65.092814531959931</v>
      </c>
      <c r="BE16" s="434">
        <f>-BE15/(Q_IS!BE$283/90)</f>
        <v>79.570546365300657</v>
      </c>
      <c r="BF16" s="434">
        <f>-BF15/(Q_IS!BF$283/90)</f>
        <v>73.099208339716583</v>
      </c>
      <c r="BG16" s="434">
        <f>-BG15/(Q_IS!BG$283/90)</f>
        <v>72.423375882444745</v>
      </c>
      <c r="BH16" s="434">
        <f>-BH15/(Q_IS!BH$283/90)</f>
        <v>76.858747787095623</v>
      </c>
      <c r="BI16" s="434">
        <f>-BI15/(Q_IS!BI$283/90)</f>
        <v>79.909515266845375</v>
      </c>
      <c r="BJ16" s="434">
        <f>-BJ15/(Q_IS!BJ$283/90)</f>
        <v>81.023400778375972</v>
      </c>
      <c r="BK16" s="800">
        <f>-BK15/(Q_IS!BK$283/90)</f>
        <v>75.447591611049361</v>
      </c>
      <c r="BL16" s="326">
        <f>Inputs!BL264</f>
        <v>76.858747787095623</v>
      </c>
      <c r="BM16" s="326">
        <f>Inputs!BM264</f>
        <v>79.909515266845375</v>
      </c>
      <c r="BN16" s="326">
        <f>Inputs!BN264</f>
        <v>81.023400778375972</v>
      </c>
      <c r="BO16" s="326">
        <f>Inputs!BO264</f>
        <v>75.447591611049361</v>
      </c>
      <c r="BP16" s="326">
        <f>Inputs!BP264</f>
        <v>76.858747787095623</v>
      </c>
      <c r="BQ16" s="326">
        <f>Inputs!BQ264</f>
        <v>79.909515266845375</v>
      </c>
      <c r="BR16" s="326">
        <f>Inputs!BR264</f>
        <v>81.023400778375972</v>
      </c>
      <c r="BS16" s="326">
        <f>Inputs!BS264</f>
        <v>75.447591611049361</v>
      </c>
      <c r="BT16" s="326">
        <f>Inputs!BT264</f>
        <v>76.858747787095623</v>
      </c>
      <c r="BU16" s="326">
        <f>Inputs!BU264</f>
        <v>79.909515266845375</v>
      </c>
      <c r="BV16" s="326">
        <f>Inputs!BV264</f>
        <v>81.023400778375972</v>
      </c>
      <c r="BW16" s="326">
        <f>Inputs!BW264</f>
        <v>75.447591611049361</v>
      </c>
      <c r="BX16" s="326">
        <f>Inputs!BX264</f>
        <v>76.858747787095623</v>
      </c>
      <c r="BY16" s="326">
        <f>Inputs!BY264</f>
        <v>79.909515266845375</v>
      </c>
      <c r="BZ16" s="326">
        <f>Inputs!BZ264</f>
        <v>81.023400778375972</v>
      </c>
      <c r="CA16" s="326">
        <f>Inputs!CA264</f>
        <v>75.447591611049361</v>
      </c>
      <c r="CB16" s="326">
        <f>Inputs!CB264</f>
        <v>76.858747787095623</v>
      </c>
      <c r="CC16" s="326">
        <f>Inputs!CC264</f>
        <v>79.909515266845375</v>
      </c>
      <c r="CD16" s="326">
        <f>Inputs!CD264</f>
        <v>81.023400778375972</v>
      </c>
      <c r="CE16" s="326">
        <f>Inputs!CE264</f>
        <v>75.447591611049361</v>
      </c>
      <c r="CF16" s="326">
        <f>Inputs!CF264</f>
        <v>76.858747787095623</v>
      </c>
      <c r="CG16" s="326">
        <f>Inputs!CG264</f>
        <v>79.909515266845375</v>
      </c>
      <c r="CH16" s="326">
        <f>Inputs!CH264</f>
        <v>81.023400778375972</v>
      </c>
      <c r="CI16" s="326">
        <f>Inputs!CI264</f>
        <v>75.447591611049361</v>
      </c>
      <c r="CJ16" s="326">
        <f>Inputs!CJ264</f>
        <v>76.858747787095623</v>
      </c>
      <c r="CK16" s="326">
        <f>Inputs!CK264</f>
        <v>79.909515266845375</v>
      </c>
      <c r="CL16" s="326">
        <f>Inputs!CL264</f>
        <v>81.023400778375972</v>
      </c>
      <c r="CM16" s="326">
        <f>Inputs!CM264</f>
        <v>75.447591611049361</v>
      </c>
      <c r="CN16" s="326">
        <f>Inputs!CN264</f>
        <v>76.858747787095623</v>
      </c>
      <c r="CO16" s="326">
        <f>Inputs!CO264</f>
        <v>79.909515266845375</v>
      </c>
      <c r="CP16" s="326">
        <f>Inputs!CP264</f>
        <v>81.023400778375972</v>
      </c>
      <c r="CQ16" s="326">
        <f>Inputs!CQ264</f>
        <v>75.447591611049361</v>
      </c>
      <c r="CR16" s="326">
        <f>Inputs!CR264</f>
        <v>76.858747787095623</v>
      </c>
      <c r="CS16" s="326">
        <f>Inputs!CS264</f>
        <v>79.909515266845375</v>
      </c>
      <c r="CT16" s="326">
        <f>Inputs!CT264</f>
        <v>81.023400778375972</v>
      </c>
      <c r="CU16" s="326">
        <f>Inputs!CU264</f>
        <v>75.447591611049361</v>
      </c>
      <c r="CV16" s="326">
        <f>Inputs!CV264</f>
        <v>76.858747787095623</v>
      </c>
      <c r="CW16" s="326">
        <f>Inputs!CW264</f>
        <v>79.909515266845375</v>
      </c>
    </row>
    <row r="17" spans="1:101">
      <c r="A17" s="325" t="s">
        <v>34</v>
      </c>
      <c r="B17" s="434">
        <f>B15/(Q_IS!B$245/90)</f>
        <v>18.572033148073775</v>
      </c>
      <c r="C17" s="434">
        <f>C15/(Q_IS!C$245/90)</f>
        <v>17.876397376784066</v>
      </c>
      <c r="D17" s="434">
        <f>D15/(Q_IS!D$245/90)</f>
        <v>18.555491549556919</v>
      </c>
      <c r="E17" s="434">
        <f>E15/(Q_IS!E$245/90)</f>
        <v>21.778784608047392</v>
      </c>
      <c r="F17" s="434">
        <f>F15/(Q_IS!F$245/90)</f>
        <v>18.307658394001766</v>
      </c>
      <c r="G17" s="434">
        <f>G15/(Q_IS!G$245/90)</f>
        <v>19.19329856463747</v>
      </c>
      <c r="H17" s="434">
        <f>H15/(Q_IS!H$245/90)</f>
        <v>21.265465894480034</v>
      </c>
      <c r="I17" s="434">
        <f>I15/(Q_IS!I$245/90)</f>
        <v>26.165874999028233</v>
      </c>
      <c r="J17" s="434">
        <f>J15/(Q_IS!J$245/90)</f>
        <v>22.202108360342198</v>
      </c>
      <c r="K17" s="434">
        <f>K15/(Q_IS!K$245/90)</f>
        <v>23.853945902121957</v>
      </c>
      <c r="L17" s="434">
        <f>L15/(Q_IS!L$245/90)</f>
        <v>21.997208156661056</v>
      </c>
      <c r="M17" s="434">
        <f>M15/(Q_IS!M$245/90)</f>
        <v>31.312472920793834</v>
      </c>
      <c r="N17" s="434">
        <f>N15/(Q_IS!N$245/90)</f>
        <v>25.54952856942224</v>
      </c>
      <c r="O17" s="434">
        <f>O15/(Q_IS!O$245/90)</f>
        <v>26.588190625833565</v>
      </c>
      <c r="P17" s="434">
        <f>P15/(Q_IS!P$245/90)</f>
        <v>23.905715196096903</v>
      </c>
      <c r="Q17" s="434">
        <f>Q15/(Q_IS!Q$245/90)</f>
        <v>28.018896238528495</v>
      </c>
      <c r="R17" s="434">
        <f>R15/(Q_IS!R$245/90)</f>
        <v>27.14035117658101</v>
      </c>
      <c r="S17" s="434">
        <f>S15/(Q_IS!S$245/90)</f>
        <v>23.718858187412692</v>
      </c>
      <c r="T17" s="434">
        <f>T15/(Q_IS!T$245/90)</f>
        <v>24.428042635340848</v>
      </c>
      <c r="U17" s="434">
        <f>U15/(Q_IS!U$245/90)</f>
        <v>28.740026810544936</v>
      </c>
      <c r="V17" s="434">
        <f>V15/(Q_IS!V$245/90)</f>
        <v>27.383493034631957</v>
      </c>
      <c r="W17" s="434">
        <f>W15/(Q_IS!W$245/90)</f>
        <v>23.961919741334679</v>
      </c>
      <c r="X17" s="434">
        <f>X15/(Q_IS!X$245/90)</f>
        <v>21.957582319552795</v>
      </c>
      <c r="Y17" s="434">
        <f>Y15/(Q_IS!Y$245/90)</f>
        <v>30.677547945579853</v>
      </c>
      <c r="Z17" s="434">
        <f>Z15/(Q_IS!Z$245/90)</f>
        <v>30.748591343903254</v>
      </c>
      <c r="AA17" s="434">
        <f>AA15/(Q_IS!AA$245/90)</f>
        <v>28.965328522166232</v>
      </c>
      <c r="AB17" s="434">
        <f>AB15/(Q_IS!AB$245/90)</f>
        <v>27.013217054574607</v>
      </c>
      <c r="AC17" s="434">
        <f>AC15/(Q_IS!AC$245/90)</f>
        <v>30.272768191746525</v>
      </c>
      <c r="AD17" s="434">
        <f>AD15/(Q_IS!AD$245/90)</f>
        <v>31.146127131870141</v>
      </c>
      <c r="AE17" s="434">
        <f>AE15/(Q_IS!AE$245/90)</f>
        <v>31.11465933519003</v>
      </c>
      <c r="AF17" s="434">
        <f>AF15/(Q_IS!AF$245/90)</f>
        <v>32.646237485919578</v>
      </c>
      <c r="AG17" s="434">
        <f>AG15/(Q_IS!AG$245/90)</f>
        <v>33.44689179684282</v>
      </c>
      <c r="AH17" s="434">
        <f>AH15/(Q_IS!AH$245/90)</f>
        <v>27.023103582199571</v>
      </c>
      <c r="AI17" s="434">
        <f>AI15/(Q_IS!AI$245/90)</f>
        <v>29.936414890255143</v>
      </c>
      <c r="AJ17" s="434">
        <f>AJ15/(Q_IS!AJ$245/90)</f>
        <v>26.809694450421439</v>
      </c>
      <c r="AK17" s="434">
        <f>AK15/(Q_IS!AK$245/90)</f>
        <v>30.687735427066723</v>
      </c>
      <c r="AL17" s="434">
        <f>AL15/(Q_IS!AL$245/90)</f>
        <v>27.389502489425638</v>
      </c>
      <c r="AM17" s="434">
        <f>AM15/(Q_IS!AM$245/90)</f>
        <v>31.978064913291309</v>
      </c>
      <c r="AN17" s="434">
        <f>AN15/(Q_IS!AN$245/90)</f>
        <v>26.482948813386365</v>
      </c>
      <c r="AO17" s="434">
        <f>AO15/(Q_IS!AO$245/90)</f>
        <v>37.931131362425873</v>
      </c>
      <c r="AP17" s="434">
        <f>AP15/(Q_IS!AP$245/90)</f>
        <v>31.574246482327862</v>
      </c>
      <c r="AQ17" s="434">
        <f>AQ15/(Q_IS!AQ$245/90)</f>
        <v>30.572330772179377</v>
      </c>
      <c r="AR17" s="434">
        <f>AR15/(Q_IS!AR$245/90)</f>
        <v>29.81817600873179</v>
      </c>
      <c r="AS17" s="434">
        <f>AS15/(Q_IS!AS$245/90)</f>
        <v>31.868384694676418</v>
      </c>
      <c r="AT17" s="434">
        <f>AT15/(Q_IS!AT$245/90)</f>
        <v>42.700426019137403</v>
      </c>
      <c r="AU17" s="434">
        <f>AU15/(Q_IS!AU$245/90)</f>
        <v>99.310516784386877</v>
      </c>
      <c r="AV17" s="434">
        <f>AV15/(Q_IS!AV$245/90)</f>
        <v>56.734376108456381</v>
      </c>
      <c r="AW17" s="434">
        <f>AW15/(Q_IS!AW$245/90)</f>
        <v>28.71196103331193</v>
      </c>
      <c r="AX17" s="434">
        <f>AX15/(Q_IS!AX$245/90)</f>
        <v>29.827692001558209</v>
      </c>
      <c r="AY17" s="434">
        <f>AY15/(Q_IS!AY$245/90)</f>
        <v>24.419928946553473</v>
      </c>
      <c r="AZ17" s="434">
        <f>AZ15/(Q_IS!AZ$245/90)</f>
        <v>20.475131776670111</v>
      </c>
      <c r="BA17" s="434">
        <f>BA15/(Q_IS!BA$245/90)</f>
        <v>21.403832941113471</v>
      </c>
      <c r="BB17" s="434">
        <f>BB15/(Q_IS!BB$245/90)</f>
        <v>23.202342789249897</v>
      </c>
      <c r="BC17" s="434">
        <f>BC15/(Q_IS!BC$245/90)</f>
        <v>23.122121162317207</v>
      </c>
      <c r="BD17" s="434">
        <f>BD15/(Q_IS!BD$245/90)</f>
        <v>21.391127706446152</v>
      </c>
      <c r="BE17" s="434">
        <f>BE15/(Q_IS!BE$245/90)</f>
        <v>26.458691157154444</v>
      </c>
      <c r="BF17" s="434">
        <f>BF15/(Q_IS!BF$245/90)</f>
        <v>24.228253853368631</v>
      </c>
      <c r="BG17" s="434">
        <f>BG15/(Q_IS!BG$245/90)</f>
        <v>24.023697308748961</v>
      </c>
      <c r="BH17" s="434">
        <f>BH15/(Q_IS!BH$245/90)</f>
        <v>25.132619077971036</v>
      </c>
      <c r="BI17" s="434">
        <f>BI15/(Q_IS!BI$245/90)</f>
        <v>25.766556823990918</v>
      </c>
      <c r="BJ17" s="434">
        <f>BJ15/(Q_IS!BJ$245/90)</f>
        <v>25.897946187262768</v>
      </c>
      <c r="BK17" s="800">
        <f>BK15/(Q_IS!BK$245/90)</f>
        <v>23.977694344787153</v>
      </c>
      <c r="BL17" s="433">
        <f>BL15/(Q_IS!BL$245/90)</f>
        <v>25.363386769741549</v>
      </c>
      <c r="BM17" s="433">
        <f>BM15/(Q_IS!BM$245/90)</f>
        <v>26.52995906859266</v>
      </c>
      <c r="BN17" s="433">
        <f>BN15/(Q_IS!BN$245/90)</f>
        <v>26.789203595824908</v>
      </c>
      <c r="BO17" s="433">
        <f>BO15/(Q_IS!BO$245/90)</f>
        <v>24.807617852508688</v>
      </c>
      <c r="BP17" s="433">
        <f>BP15/(Q_IS!BP$245/90)</f>
        <v>25.440245517528645</v>
      </c>
      <c r="BQ17" s="433">
        <f>BQ15/(Q_IS!BQ$245/90)</f>
        <v>26.609868583859509</v>
      </c>
      <c r="BR17" s="433">
        <f>BR15/(Q_IS!BR$245/90)</f>
        <v>26.870226996603289</v>
      </c>
      <c r="BS17" s="433">
        <f>BS15/(Q_IS!BS$245/90)</f>
        <v>24.88306544411974</v>
      </c>
      <c r="BT17" s="433">
        <f>BT15/(Q_IS!BT$245/90)</f>
        <v>25.517104265315744</v>
      </c>
      <c r="BU17" s="433">
        <f>BU15/(Q_IS!BU$245/90)</f>
        <v>26.68977809912635</v>
      </c>
      <c r="BV17" s="433">
        <f>BV15/(Q_IS!BV$245/90)</f>
        <v>26.95125039738166</v>
      </c>
      <c r="BW17" s="433">
        <f>BW15/(Q_IS!BW$245/90)</f>
        <v>24.958513035730785</v>
      </c>
      <c r="BX17" s="433">
        <f>BX15/(Q_IS!BX$245/90)</f>
        <v>25.593963013102844</v>
      </c>
      <c r="BY17" s="433">
        <f>BY15/(Q_IS!BY$245/90)</f>
        <v>26.769687614393199</v>
      </c>
      <c r="BZ17" s="433">
        <f>BZ15/(Q_IS!BZ$245/90)</f>
        <v>27.356367401273545</v>
      </c>
      <c r="CA17" s="433">
        <f>CA15/(Q_IS!CA$245/90)</f>
        <v>25.335750993786039</v>
      </c>
      <c r="CB17" s="433">
        <f>CB15/(Q_IS!CB$245/90)</f>
        <v>25.97825675203832</v>
      </c>
      <c r="CC17" s="433">
        <f>CC15/(Q_IS!CC$245/90)</f>
        <v>27.169235190727424</v>
      </c>
      <c r="CD17" s="433">
        <f>CD15/(Q_IS!CD$245/90)</f>
        <v>27.356367401273545</v>
      </c>
      <c r="CE17" s="433">
        <f>CE15/(Q_IS!CE$245/90)</f>
        <v>25.335750993786036</v>
      </c>
      <c r="CF17" s="433">
        <f>CF15/(Q_IS!CF$245/90)</f>
        <v>25.97825675203832</v>
      </c>
      <c r="CG17" s="433">
        <f>CG15/(Q_IS!CG$245/90)</f>
        <v>27.169235190727431</v>
      </c>
      <c r="CH17" s="433">
        <f>CH15/(Q_IS!CH$245/90)</f>
        <v>27.356367401273545</v>
      </c>
      <c r="CI17" s="433">
        <f>CI15/(Q_IS!CI$245/90)</f>
        <v>25.335750993786039</v>
      </c>
      <c r="CJ17" s="433">
        <f>CJ15/(Q_IS!CJ$245/90)</f>
        <v>25.978256752038316</v>
      </c>
      <c r="CK17" s="433">
        <f>CK15/(Q_IS!CK$245/90)</f>
        <v>27.169235190727427</v>
      </c>
      <c r="CL17" s="433">
        <f>CL15/(Q_IS!CL$245/90)</f>
        <v>27.356367401273541</v>
      </c>
      <c r="CM17" s="433">
        <f>CM15/(Q_IS!CM$245/90)</f>
        <v>25.335750993786036</v>
      </c>
      <c r="CN17" s="433">
        <f>CN15/(Q_IS!CN$245/90)</f>
        <v>25.97825675203832</v>
      </c>
      <c r="CO17" s="433">
        <f>CO15/(Q_IS!CO$245/90)</f>
        <v>27.16923519072742</v>
      </c>
      <c r="CP17" s="433">
        <f>CP15/(Q_IS!CP$245/90)</f>
        <v>27.356367401273545</v>
      </c>
      <c r="CQ17" s="433">
        <f>CQ15/(Q_IS!CQ$245/90)</f>
        <v>25.335750993786036</v>
      </c>
      <c r="CR17" s="433">
        <f>CR15/(Q_IS!CR$245/90)</f>
        <v>25.97825675203832</v>
      </c>
      <c r="CS17" s="433">
        <f>CS15/(Q_IS!CS$245/90)</f>
        <v>27.169235190727427</v>
      </c>
      <c r="CT17" s="433">
        <f>CT15/(Q_IS!CT$245/90)</f>
        <v>27.356367401273545</v>
      </c>
      <c r="CU17" s="433">
        <f>CU15/(Q_IS!CU$245/90)</f>
        <v>25.335750993786032</v>
      </c>
      <c r="CV17" s="433">
        <f>CV15/(Q_IS!CV$245/90)</f>
        <v>25.97825675203832</v>
      </c>
      <c r="CW17" s="433">
        <f>CW15/(Q_IS!CW$245/90)</f>
        <v>27.169235190727424</v>
      </c>
    </row>
    <row r="18" spans="1:101">
      <c r="A18" s="325"/>
      <c r="B18" s="434"/>
      <c r="C18" s="434"/>
      <c r="D18" s="434"/>
      <c r="E18" s="434"/>
      <c r="F18" s="434"/>
      <c r="G18" s="434"/>
      <c r="H18" s="434"/>
      <c r="I18" s="434"/>
      <c r="J18" s="434"/>
      <c r="K18" s="434"/>
      <c r="L18" s="434"/>
      <c r="M18" s="434"/>
      <c r="N18" s="434"/>
      <c r="O18" s="434"/>
      <c r="P18" s="434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  <c r="AE18" s="434"/>
      <c r="AF18" s="434"/>
      <c r="AG18" s="434"/>
      <c r="AH18" s="434"/>
      <c r="AI18" s="434"/>
      <c r="AJ18" s="434"/>
      <c r="AK18" s="434"/>
      <c r="AL18" s="434"/>
      <c r="AM18" s="434"/>
      <c r="AN18" s="434"/>
      <c r="AO18" s="434"/>
      <c r="AP18" s="434"/>
      <c r="AQ18" s="434"/>
      <c r="AR18" s="434"/>
      <c r="AS18" s="434"/>
      <c r="AT18" s="434"/>
      <c r="AU18" s="434"/>
      <c r="AV18" s="434"/>
      <c r="AW18" s="434"/>
      <c r="AX18" s="434"/>
      <c r="AY18" s="434"/>
      <c r="AZ18" s="434"/>
      <c r="BA18" s="434"/>
      <c r="BB18" s="434"/>
      <c r="BC18" s="434"/>
      <c r="BD18" s="434"/>
      <c r="BE18" s="434"/>
      <c r="BF18" s="434"/>
      <c r="BG18" s="434"/>
      <c r="BH18" s="434"/>
      <c r="BI18" s="434"/>
      <c r="BJ18" s="434"/>
      <c r="BK18" s="800"/>
      <c r="BL18" s="433"/>
      <c r="BM18" s="433"/>
      <c r="BN18" s="433"/>
      <c r="BO18" s="433"/>
      <c r="BP18" s="433"/>
      <c r="BQ18" s="433"/>
      <c r="BR18" s="433"/>
      <c r="BS18" s="433"/>
      <c r="BT18" s="433"/>
      <c r="BU18" s="433"/>
      <c r="BV18" s="433"/>
      <c r="BW18" s="433"/>
      <c r="BX18" s="433"/>
      <c r="BY18" s="433"/>
      <c r="BZ18" s="433"/>
      <c r="CA18" s="433"/>
      <c r="CB18" s="433"/>
      <c r="CC18" s="433"/>
      <c r="CD18" s="433"/>
      <c r="CE18" s="433"/>
      <c r="CF18" s="433"/>
      <c r="CG18" s="433"/>
      <c r="CH18" s="433"/>
      <c r="CI18" s="433"/>
      <c r="CJ18" s="433"/>
      <c r="CK18" s="433"/>
      <c r="CL18" s="433"/>
      <c r="CM18" s="433"/>
      <c r="CN18" s="433"/>
      <c r="CO18" s="433"/>
      <c r="CP18" s="433"/>
      <c r="CQ18" s="433"/>
      <c r="CR18" s="433"/>
      <c r="CS18" s="433"/>
      <c r="CT18" s="433"/>
      <c r="CU18" s="433"/>
      <c r="CV18" s="433"/>
      <c r="CW18" s="433"/>
    </row>
    <row r="19" spans="1:101">
      <c r="A19" s="364" t="str">
        <f>Q_Financials!A85</f>
        <v>Other current liabilities</v>
      </c>
      <c r="B19" s="119">
        <f>Q_Financials!B84</f>
        <v>59.936</v>
      </c>
      <c r="C19" s="119">
        <f>Q_Financials!C84</f>
        <v>62.405999999999999</v>
      </c>
      <c r="D19" s="119">
        <f>Q_Financials!D84</f>
        <v>105.825</v>
      </c>
      <c r="E19" s="119">
        <f>Q_Financials!E84</f>
        <v>213.63800000000001</v>
      </c>
      <c r="F19" s="119">
        <f>Q_Financials!F84</f>
        <v>189.57400000000001</v>
      </c>
      <c r="G19" s="119">
        <f>Q_Financials!G84</f>
        <v>177.852</v>
      </c>
      <c r="H19" s="119">
        <f>Q_Financials!H84</f>
        <v>171.38200000000001</v>
      </c>
      <c r="I19" s="119">
        <f>Q_Financials!I84</f>
        <v>176.59299999999999</v>
      </c>
      <c r="J19" s="119">
        <f>Q_Financials!J84</f>
        <v>136.739</v>
      </c>
      <c r="K19" s="119">
        <f>Q_Financials!K84</f>
        <v>149.93799999999999</v>
      </c>
      <c r="L19" s="119">
        <f>Q_Financials!L84</f>
        <v>235.38499999999999</v>
      </c>
      <c r="M19" s="119">
        <f>Q_Financials!M84</f>
        <v>265.23500000000001</v>
      </c>
      <c r="N19" s="119">
        <f>Q_Financials!N84</f>
        <v>334.68</v>
      </c>
      <c r="O19" s="119">
        <f>Q_Financials!O84</f>
        <v>226.797</v>
      </c>
      <c r="P19" s="119">
        <f>Q_Financials!P84</f>
        <v>335.21600000000001</v>
      </c>
      <c r="Q19" s="119">
        <f>Q_Financials!Q84</f>
        <v>383.20299999999997</v>
      </c>
      <c r="R19" s="119">
        <f>Q_Financials!R84</f>
        <v>381.55399999999997</v>
      </c>
      <c r="S19" s="119">
        <f>Q_Financials!S84</f>
        <v>362.13299999999998</v>
      </c>
      <c r="T19" s="119">
        <f>Q_Financials!T84</f>
        <v>330.90499999999997</v>
      </c>
      <c r="U19" s="119">
        <f>Q_Financials!U84</f>
        <v>386.98099999999999</v>
      </c>
      <c r="V19" s="119">
        <f>Q_Financials!V84</f>
        <v>379.17</v>
      </c>
      <c r="W19" s="119">
        <f>Q_Financials!W84</f>
        <v>263.98500000000001</v>
      </c>
      <c r="X19" s="119">
        <f>Q_Financials!X84</f>
        <v>153.11600000000001</v>
      </c>
      <c r="Y19" s="119">
        <f>Q_Financials!Y84</f>
        <v>341.85599999999999</v>
      </c>
      <c r="Z19" s="119">
        <f>Q_Financials!Z84</f>
        <v>131.958</v>
      </c>
      <c r="AA19" s="119">
        <f>Q_Financials!AA84</f>
        <v>150.602</v>
      </c>
      <c r="AB19" s="119">
        <f>Q_Financials!AB84</f>
        <v>130.23500000000001</v>
      </c>
      <c r="AC19" s="119">
        <f>Q_Financials!AC84</f>
        <v>210.76599999999999</v>
      </c>
      <c r="AD19" s="119">
        <f>Q_Financials!AD85</f>
        <v>2915.61</v>
      </c>
      <c r="AE19" s="119">
        <f>Q_Financials!AE85</f>
        <v>2866.7939999999999</v>
      </c>
      <c r="AF19" s="119">
        <f>Q_Financials!AF85</f>
        <v>3298.9290000000001</v>
      </c>
      <c r="AG19" s="119">
        <f>Q_Financials!AG85</f>
        <v>3447.8380000000002</v>
      </c>
      <c r="AH19" s="119">
        <f>Q_Financials!AH85</f>
        <v>3593.96</v>
      </c>
      <c r="AI19" s="119">
        <f>Q_Financials!AI85</f>
        <v>3671.5630000000001</v>
      </c>
      <c r="AJ19" s="119">
        <f>Q_Financials!AJ85</f>
        <v>4064.8649999999998</v>
      </c>
      <c r="AK19" s="119">
        <f>Q_Financials!AK85</f>
        <v>4220.7070000000003</v>
      </c>
      <c r="AL19" s="119">
        <f>Q_Financials!AL85</f>
        <v>3774.364</v>
      </c>
      <c r="AM19" s="119">
        <f>Q_Financials!AM85</f>
        <v>3390.3980000000001</v>
      </c>
      <c r="AN19" s="119">
        <f>Q_Financials!AN85</f>
        <v>3111.951</v>
      </c>
      <c r="AO19" s="119">
        <f>Q_Financials!AO85</f>
        <v>3655.7190000000001</v>
      </c>
      <c r="AP19" s="119">
        <f>Q_Financials!AP85</f>
        <v>3469.5010000000002</v>
      </c>
      <c r="AQ19" s="119">
        <f>Q_Financials!AQ85</f>
        <v>4518.3019999999997</v>
      </c>
      <c r="AR19" s="119">
        <f>Q_Financials!AR85</f>
        <v>4507.6400000000003</v>
      </c>
      <c r="AS19" s="119">
        <f>Q_Financials!AS85</f>
        <v>3603.4609999999998</v>
      </c>
      <c r="AT19" s="119">
        <f>Q_Financials!AT85</f>
        <v>3706.0160000000001</v>
      </c>
      <c r="AU19" s="119">
        <f>Q_Financials!AU85</f>
        <v>4260.2529999999997</v>
      </c>
      <c r="AV19" s="119">
        <f>Q_Financials!AV85</f>
        <v>4647.2439999999997</v>
      </c>
      <c r="AW19" s="119">
        <f>Q_Financials!AW85</f>
        <v>3659</v>
      </c>
      <c r="AX19" s="119">
        <f>Q_Financials!AX85</f>
        <v>2915.9219999999987</v>
      </c>
      <c r="AY19" s="119">
        <f>Q_Financials!AY85</f>
        <v>2942.6100000000006</v>
      </c>
      <c r="AZ19" s="119">
        <f>Q_Financials!AZ85</f>
        <v>2543.0680000000002</v>
      </c>
      <c r="BA19" s="119">
        <f>Q_Financials!BA85</f>
        <v>3524.3969999999999</v>
      </c>
      <c r="BB19" s="119">
        <f>Q_Financials!BB85</f>
        <v>3514.8779999999997</v>
      </c>
      <c r="BC19" s="119">
        <f>Q_Financials!BC85</f>
        <v>4082.116</v>
      </c>
      <c r="BD19" s="119">
        <f>Q_Financials!BD85</f>
        <v>4988.723</v>
      </c>
      <c r="BE19" s="119">
        <f>Q_Financials!BE85</f>
        <v>5435.5949999999993</v>
      </c>
      <c r="BF19" s="119">
        <f>Q_Financials!BF85</f>
        <v>5728.5859999999993</v>
      </c>
      <c r="BG19" s="119">
        <f>Q_Financials!BG85</f>
        <v>5488.1550000000007</v>
      </c>
      <c r="BH19" s="119">
        <f>Q_Financials!BH85</f>
        <v>5494.2870000000003</v>
      </c>
      <c r="BI19" s="119">
        <f>Q_Financials!BI85</f>
        <v>6818.0380000000005</v>
      </c>
      <c r="BJ19" s="119">
        <f>Q_Financials!BJ85</f>
        <v>7541.02</v>
      </c>
      <c r="BK19" s="119">
        <f>Q_Financials!BK85</f>
        <v>6898.9840000000004</v>
      </c>
      <c r="BL19" s="2022">
        <f>Q_IS!BL$245/90*BL21</f>
        <v>6702.6569442426035</v>
      </c>
      <c r="BM19" s="2022">
        <f>Q_IS!BM$245/90*BM21</f>
        <v>6528.415750397362</v>
      </c>
      <c r="BN19" s="2022">
        <f>Q_IS!BN$245/90*BN21</f>
        <v>6637.1971061053191</v>
      </c>
      <c r="BO19" s="2024">
        <f>-Q_IS!BO283/90*BO20</f>
        <v>7040.9575227714586</v>
      </c>
      <c r="BP19" s="2017">
        <f>-Q_IS!BP283/90*BP20</f>
        <v>7268.7814614945946</v>
      </c>
      <c r="BQ19" s="2017">
        <f>-Q_IS!BQ283/90*BQ20</f>
        <v>7088.3656498139726</v>
      </c>
      <c r="BR19" s="2018">
        <f>-Q_IS!BR283/90*BR20</f>
        <v>7173.8816404559702</v>
      </c>
      <c r="BS19" s="2018">
        <f>-Q_IS!BS283/90*BS20</f>
        <v>7525.3296142160907</v>
      </c>
      <c r="BT19" s="2018">
        <f>-Q_IS!BT283/90*BT20</f>
        <v>7767.2365317002177</v>
      </c>
      <c r="BU19" s="2018">
        <f>-Q_IS!BU283/90*BU20</f>
        <v>7571.9084972463324</v>
      </c>
      <c r="BV19" s="2018">
        <f>-Q_IS!BV283/90*BV20</f>
        <v>7626.0849481174082</v>
      </c>
      <c r="BW19" s="2018">
        <f>-Q_IS!BW283/90*BW20</f>
        <v>7986.7668254454757</v>
      </c>
      <c r="BX19" s="2018">
        <f>-Q_IS!BX283/90*BX20</f>
        <v>8246.4083366262457</v>
      </c>
      <c r="BY19" s="2018">
        <f>-Q_IS!BY283/90*BY20</f>
        <v>8047.2662363818608</v>
      </c>
      <c r="BZ19" s="2018">
        <f>-Q_IS!BZ283/90*BZ20</f>
        <v>8149.5651632896497</v>
      </c>
      <c r="CA19" s="2018">
        <f>-Q_IS!CA283/90*CA20</f>
        <v>8526.681917991069</v>
      </c>
      <c r="CB19" s="2018">
        <f>-Q_IS!CB283/90*CB20</f>
        <v>8809.2671964496039</v>
      </c>
      <c r="CC19" s="2018">
        <f>-Q_IS!CC283/90*CC20</f>
        <v>8606.715029647803</v>
      </c>
      <c r="CD19" s="2018">
        <f>-Q_IS!CD283/90*CD20</f>
        <v>8578.1713816711872</v>
      </c>
      <c r="CE19" s="2018">
        <f>-Q_IS!CE283/90*CE20</f>
        <v>8965.6798876850189</v>
      </c>
      <c r="CF19" s="2018">
        <f>-Q_IS!CF283/90*CF20</f>
        <v>9269.2298341230253</v>
      </c>
      <c r="CG19" s="2018">
        <f>-Q_IS!CG283/90*CG20</f>
        <v>9067.2620110297576</v>
      </c>
      <c r="CH19" s="2018">
        <f>-Q_IS!CH283/90*CH20</f>
        <v>9024.7907859074348</v>
      </c>
      <c r="CI19" s="2018">
        <f>-Q_IS!CI283/90*CI20</f>
        <v>9418.5737991393526</v>
      </c>
      <c r="CJ19" s="2018">
        <f>-Q_IS!CJ283/90*CJ20</f>
        <v>9739.7190249484102</v>
      </c>
      <c r="CK19" s="2018">
        <f>-Q_IS!CK283/90*CK20</f>
        <v>9532.4771394333766</v>
      </c>
      <c r="CL19" s="2018">
        <f>-Q_IS!CL283/90*CL20</f>
        <v>9474.609592245768</v>
      </c>
      <c r="CM19" s="2018">
        <f>-Q_IS!CM283/90*CM20</f>
        <v>9878.7807281572041</v>
      </c>
      <c r="CN19" s="2018">
        <f>-Q_IS!CN283/90*CN20</f>
        <v>10223.032186548528</v>
      </c>
      <c r="CO19" s="2018">
        <f>-Q_IS!CO283/90*CO20</f>
        <v>10016.719037788267</v>
      </c>
      <c r="CP19" s="2018">
        <f>-Q_IS!CP283/90*CP20</f>
        <v>9945.6730897665657</v>
      </c>
      <c r="CQ19" s="2018">
        <f>-Q_IS!CQ283/90*CQ20</f>
        <v>10360.364569656036</v>
      </c>
      <c r="CR19" s="2018">
        <f>-Q_IS!CR283/90*CR20</f>
        <v>10729.462289749292</v>
      </c>
      <c r="CS19" s="2018">
        <f>-Q_IS!CS283/90*CS20</f>
        <v>10524.577367578973</v>
      </c>
      <c r="CT19" s="2018">
        <f>-Q_IS!CT283/90*CT20</f>
        <v>10439.331294218935</v>
      </c>
      <c r="CU19" s="2018">
        <f>-Q_IS!CU283/90*CU20</f>
        <v>10864.3703451567</v>
      </c>
      <c r="CV19" s="2018">
        <f>-Q_IS!CV283/90*CV20</f>
        <v>11259.374246355999</v>
      </c>
      <c r="CW19" s="2018">
        <f>-Q_IS!CW283/90*CW20</f>
        <v>11050.219935774481</v>
      </c>
    </row>
    <row r="20" spans="1:101">
      <c r="A20" s="325" t="s">
        <v>545</v>
      </c>
      <c r="B20" s="434">
        <f>-B19/(Q_IS!B$283/90)</f>
        <v>6.8061911629438692</v>
      </c>
      <c r="C20" s="434">
        <f>-C19/(Q_IS!C$283/90)</f>
        <v>7.2745476187084002</v>
      </c>
      <c r="D20" s="434">
        <f>-D19/(Q_IS!D$283/90)</f>
        <v>12.125928613715791</v>
      </c>
      <c r="E20" s="434">
        <f>-E19/(Q_IS!E$283/90)</f>
        <v>23.551931444026344</v>
      </c>
      <c r="F20" s="434">
        <f>-F19/(Q_IS!F$283/90)</f>
        <v>23.138124963553544</v>
      </c>
      <c r="G20" s="434">
        <f>-G19/(Q_IS!G$283/90)</f>
        <v>21.384381487785259</v>
      </c>
      <c r="H20" s="434">
        <f>-H19/(Q_IS!H$283/90)</f>
        <v>19.180806733013579</v>
      </c>
      <c r="I20" s="434">
        <f>-I19/(Q_IS!I$283/90)</f>
        <v>17.997635550985695</v>
      </c>
      <c r="J20" s="434">
        <f>-J19/(Q_IS!J$283/90)</f>
        <v>14.744197692974932</v>
      </c>
      <c r="K20" s="434">
        <f>-K19/(Q_IS!K$283/90)</f>
        <v>15.026992957777846</v>
      </c>
      <c r="L20" s="434">
        <f>-L19/(Q_IS!L$283/90)</f>
        <v>21.293352564843524</v>
      </c>
      <c r="M20" s="434">
        <f>-M19/(Q_IS!M$283/90)</f>
        <v>22.519442956008547</v>
      </c>
      <c r="N20" s="434">
        <f>-N19/(Q_IS!N$283/90)</f>
        <v>28.303173926035065</v>
      </c>
      <c r="O20" s="434">
        <f>-O19/(Q_IS!O$283/90)</f>
        <v>16.708944380548541</v>
      </c>
      <c r="P20" s="434">
        <f>-P19/(Q_IS!P$283/90)</f>
        <v>24.530373263754786</v>
      </c>
      <c r="Q20" s="434">
        <f>-Q19/(Q_IS!Q$283/90)</f>
        <v>27.731536576265952</v>
      </c>
      <c r="R20" s="434">
        <f>-R19/(Q_IS!R$283/90)</f>
        <v>29.543705332600329</v>
      </c>
      <c r="S20" s="434">
        <f>-S19/(Q_IS!S$283/90)</f>
        <v>25.95315336837076</v>
      </c>
      <c r="T20" s="434">
        <f>-T19/(Q_IS!T$283/90)</f>
        <v>21.819414670314291</v>
      </c>
      <c r="U20" s="434">
        <f>-U19/(Q_IS!U$283/90)</f>
        <v>24.141048034934496</v>
      </c>
      <c r="V20" s="434">
        <f>-V19/(Q_IS!V$283/90)</f>
        <v>25.533791852603411</v>
      </c>
      <c r="W20" s="434">
        <f>-W19/(Q_IS!W$283/90)</f>
        <v>14.379912735116761</v>
      </c>
      <c r="X20" s="434">
        <f>-X19/(Q_IS!X$283/90)</f>
        <v>7.5366415106928839</v>
      </c>
      <c r="Y20" s="434">
        <f>-Y19/(Q_IS!Y$283/90)</f>
        <v>12.510186597402006</v>
      </c>
      <c r="Z20" s="434">
        <f>-Z19/(Q_IS!Z$283/90)</f>
        <v>5.1472749550011851</v>
      </c>
      <c r="AA20" s="434">
        <f>-AA19/(Q_IS!AA$283/90)</f>
        <v>5.5273324878375014</v>
      </c>
      <c r="AB20" s="434">
        <f>-AB19/(Q_IS!AB$283/90)</f>
        <v>4.4984404761584944</v>
      </c>
      <c r="AC20" s="434">
        <f>-AC19/(Q_IS!AC$283/90)</f>
        <v>6.8131155313234055</v>
      </c>
      <c r="AD20" s="434">
        <f>-AD19/(Q_IS!AD$283/90)</f>
        <v>96.759573543093154</v>
      </c>
      <c r="AE20" s="434">
        <f>-AE19/(Q_IS!AE$283/90)</f>
        <v>91.229377949353676</v>
      </c>
      <c r="AF20" s="434">
        <f>-AF19/(Q_IS!AF$283/90)</f>
        <v>99.32035795036586</v>
      </c>
      <c r="AG20" s="434">
        <f>-AG19/(Q_IS!AG$283/90)</f>
        <v>95.473038644829572</v>
      </c>
      <c r="AH20" s="434">
        <f>-AH19/(Q_IS!AH$283/90)</f>
        <v>104.04993783505138</v>
      </c>
      <c r="AI20" s="434">
        <f>-AI19/(Q_IS!AI$283/90)</f>
        <v>105.54808938030709</v>
      </c>
      <c r="AJ20" s="434">
        <f>-AJ19/(Q_IS!AJ$283/90)</f>
        <v>115.47649485238971</v>
      </c>
      <c r="AK20" s="434">
        <f>-AK19/(Q_IS!AK$283/90)</f>
        <v>108.04659560905972</v>
      </c>
      <c r="AL20" s="434">
        <f>-AL19/(Q_IS!AL$283/90)</f>
        <v>101.75831450849267</v>
      </c>
      <c r="AM20" s="434">
        <f>-AM19/(Q_IS!AM$283/90)</f>
        <v>88.389313419346621</v>
      </c>
      <c r="AN20" s="434">
        <f>-AN19/(Q_IS!AN$283/90)</f>
        <v>79.367563070264978</v>
      </c>
      <c r="AO20" s="434">
        <f>-AO19/(Q_IS!AO$283/90)</f>
        <v>85.05507263611112</v>
      </c>
      <c r="AP20" s="434">
        <f>-AP19/(Q_IS!AP$283/90)</f>
        <v>76.076149949311827</v>
      </c>
      <c r="AQ20" s="434">
        <f>-AQ19/(Q_IS!AQ$283/90)</f>
        <v>94.559039990624257</v>
      </c>
      <c r="AR20" s="434">
        <f>-AR19/(Q_IS!AR$283/90)</f>
        <v>94.81684037820385</v>
      </c>
      <c r="AS20" s="434">
        <f>-AS19/(Q_IS!AS$283/90)</f>
        <v>72.384300818763975</v>
      </c>
      <c r="AT20" s="434">
        <f>-AT19/(Q_IS!AT$283/90)</f>
        <v>92.369954554643826</v>
      </c>
      <c r="AU20" s="434">
        <f>-AU19/(Q_IS!AU$283/90)</f>
        <v>217.83268216553958</v>
      </c>
      <c r="AV20" s="434">
        <f>-AV19/(Q_IS!AV$283/90)</f>
        <v>149.26609603805204</v>
      </c>
      <c r="AW20" s="434">
        <f>-AW19/(Q_IS!AW$283/90)</f>
        <v>100.34655533504157</v>
      </c>
      <c r="AX20" s="434">
        <f>-AX19/(Q_IS!AX$283/90)</f>
        <v>78.779651227715391</v>
      </c>
      <c r="AY20" s="434">
        <f>-AY19/(Q_IS!AY$283/90)</f>
        <v>66.884239093787485</v>
      </c>
      <c r="AZ20" s="434">
        <f>-AZ19/(Q_IS!AZ$283/90)</f>
        <v>52.985477130873903</v>
      </c>
      <c r="BA20" s="434">
        <f>-BA19/(Q_IS!BA$283/90)</f>
        <v>61.679659691702554</v>
      </c>
      <c r="BB20" s="434">
        <f>-BB19/(Q_IS!BB$283/90)</f>
        <v>65.315267826669739</v>
      </c>
      <c r="BC20" s="434">
        <f>-BC19/(Q_IS!BC$283/90)</f>
        <v>66.249523041512887</v>
      </c>
      <c r="BD20" s="434">
        <f>-BD19/(Q_IS!BD$283/90)</f>
        <v>77.990622054084213</v>
      </c>
      <c r="BE20" s="434">
        <f>-BE19/(Q_IS!BE$283/90)</f>
        <v>76.842136264999766</v>
      </c>
      <c r="BF20" s="434">
        <f>-BF19/(Q_IS!BF$283/90)</f>
        <v>88.054378674001043</v>
      </c>
      <c r="BG20" s="434">
        <f>-BG19/(Q_IS!BG$283/90)</f>
        <v>78.582817558003569</v>
      </c>
      <c r="BH20" s="434">
        <f>-BH19/(Q_IS!BH$283/90)</f>
        <v>77.66834212055258</v>
      </c>
      <c r="BI20" s="434">
        <f>-BI19/(Q_IS!BI$283/90)</f>
        <v>94.458330780572254</v>
      </c>
      <c r="BJ20" s="434">
        <f>-BJ19/(Q_IS!BJ$283/90)</f>
        <v>116.6484252702007</v>
      </c>
      <c r="BK20" s="2014">
        <f>-BK19/(Q_IS!BK$283/90)</f>
        <v>101.47141492084799</v>
      </c>
      <c r="BL20" s="2023">
        <f>-BL19/(Q_IS!BL$283/90)</f>
        <v>90.909090909090921</v>
      </c>
      <c r="BM20" s="2023">
        <f>-BM19/(Q_IS!BM$283/90)</f>
        <v>84.337349397590373</v>
      </c>
      <c r="BN20" s="2023">
        <f>-BN19/(Q_IS!BN$283/90)</f>
        <v>90.734389122717459</v>
      </c>
      <c r="BO20" s="326">
        <v>90</v>
      </c>
      <c r="BP20" s="326">
        <v>90</v>
      </c>
      <c r="BQ20" s="326">
        <f t="shared" ref="BQ20" si="17">+BM20</f>
        <v>84.337349397590373</v>
      </c>
      <c r="BR20" s="326">
        <f t="shared" ref="BR20:CK20" si="18">+BN20</f>
        <v>90.734389122717459</v>
      </c>
      <c r="BS20" s="326">
        <f t="shared" si="18"/>
        <v>90</v>
      </c>
      <c r="BT20" s="326">
        <f t="shared" si="18"/>
        <v>90</v>
      </c>
      <c r="BU20" s="326">
        <f t="shared" si="18"/>
        <v>84.337349397590373</v>
      </c>
      <c r="BV20" s="433">
        <f t="shared" si="18"/>
        <v>90.734389122717459</v>
      </c>
      <c r="BW20" s="433">
        <f t="shared" si="18"/>
        <v>90</v>
      </c>
      <c r="BX20" s="433">
        <f t="shared" si="18"/>
        <v>90</v>
      </c>
      <c r="BY20" s="433">
        <f t="shared" si="18"/>
        <v>84.337349397590373</v>
      </c>
      <c r="BZ20" s="433">
        <f t="shared" si="18"/>
        <v>90.734389122717459</v>
      </c>
      <c r="CA20" s="433">
        <f t="shared" si="18"/>
        <v>90</v>
      </c>
      <c r="CB20" s="433">
        <f t="shared" si="18"/>
        <v>90</v>
      </c>
      <c r="CC20" s="433">
        <f t="shared" si="18"/>
        <v>84.337349397590373</v>
      </c>
      <c r="CD20" s="433">
        <f t="shared" si="18"/>
        <v>90.734389122717459</v>
      </c>
      <c r="CE20" s="433">
        <f t="shared" si="18"/>
        <v>90</v>
      </c>
      <c r="CF20" s="433">
        <f t="shared" si="18"/>
        <v>90</v>
      </c>
      <c r="CG20" s="433">
        <f t="shared" si="18"/>
        <v>84.337349397590373</v>
      </c>
      <c r="CH20" s="433">
        <f t="shared" si="18"/>
        <v>90.734389122717459</v>
      </c>
      <c r="CI20" s="433">
        <f t="shared" si="18"/>
        <v>90</v>
      </c>
      <c r="CJ20" s="433">
        <f t="shared" si="18"/>
        <v>90</v>
      </c>
      <c r="CK20" s="433">
        <f t="shared" si="18"/>
        <v>84.337349397590373</v>
      </c>
      <c r="CL20" s="433">
        <f t="shared" ref="CL20" si="19">+CH20</f>
        <v>90.734389122717459</v>
      </c>
      <c r="CM20" s="433">
        <f t="shared" ref="CM20" si="20">+CI20</f>
        <v>90</v>
      </c>
      <c r="CN20" s="433">
        <f t="shared" ref="CN20" si="21">+CJ20</f>
        <v>90</v>
      </c>
      <c r="CO20" s="433">
        <f t="shared" ref="CO20" si="22">+CK20</f>
        <v>84.337349397590373</v>
      </c>
      <c r="CP20" s="433">
        <f t="shared" ref="CP20" si="23">+CL20</f>
        <v>90.734389122717459</v>
      </c>
      <c r="CQ20" s="433">
        <f t="shared" ref="CQ20" si="24">+CM20</f>
        <v>90</v>
      </c>
      <c r="CR20" s="433">
        <f t="shared" ref="CR20" si="25">+CN20</f>
        <v>90</v>
      </c>
      <c r="CS20" s="433">
        <f t="shared" ref="CS20" si="26">+CO20</f>
        <v>84.337349397590373</v>
      </c>
      <c r="CT20" s="433">
        <f t="shared" ref="CT20" si="27">+CP20</f>
        <v>90.734389122717459</v>
      </c>
      <c r="CU20" s="433">
        <f t="shared" ref="CU20" si="28">+CQ20</f>
        <v>90</v>
      </c>
      <c r="CV20" s="433">
        <f t="shared" ref="CV20" si="29">+CR20</f>
        <v>90</v>
      </c>
      <c r="CW20" s="433">
        <f t="shared" ref="CW20" si="30">+CS20</f>
        <v>84.337349397590373</v>
      </c>
    </row>
    <row r="21" spans="1:101">
      <c r="A21" s="325" t="s">
        <v>34</v>
      </c>
      <c r="B21" s="434">
        <f>B19/(Q_IS!B$245/90)</f>
        <v>2.5882789862113338</v>
      </c>
      <c r="C21" s="434">
        <f>C19/(Q_IS!C$245/90)</f>
        <v>2.70973979639344</v>
      </c>
      <c r="D21" s="434">
        <f>D19/(Q_IS!D$245/90)</f>
        <v>4.4934334091497758</v>
      </c>
      <c r="E21" s="434">
        <f>E19/(Q_IS!E$245/90)</f>
        <v>8.3211737588621801</v>
      </c>
      <c r="F21" s="434">
        <f>F19/(Q_IS!F$245/90)</f>
        <v>8.1408118453033609</v>
      </c>
      <c r="G21" s="434">
        <f>G19/(Q_IS!G$245/90)</f>
        <v>7.3875848063875953</v>
      </c>
      <c r="H21" s="434">
        <f>H19/(Q_IS!H$245/90)</f>
        <v>6.7801707748607098</v>
      </c>
      <c r="I21" s="434">
        <f>I19/(Q_IS!I$245/90)</f>
        <v>6.5030235307162814</v>
      </c>
      <c r="J21" s="434">
        <f>J19/(Q_IS!J$245/90)</f>
        <v>5.1346785472290737</v>
      </c>
      <c r="K21" s="434">
        <f>K19/(Q_IS!K$245/90)</f>
        <v>5.199865287066479</v>
      </c>
      <c r="L21" s="434">
        <f>L19/(Q_IS!L$245/90)</f>
        <v>7.6512579547670807</v>
      </c>
      <c r="M21" s="434">
        <f>M19/(Q_IS!M$245/90)</f>
        <v>8.1309659408304018</v>
      </c>
      <c r="N21" s="434">
        <f>N19/(Q_IS!N$245/90)</f>
        <v>10.169045201158118</v>
      </c>
      <c r="O21" s="434">
        <f>O19/(Q_IS!O$245/90)</f>
        <v>5.9569055433340559</v>
      </c>
      <c r="P21" s="434">
        <f>P19/(Q_IS!P$245/90)</f>
        <v>8.613805414035653</v>
      </c>
      <c r="Q21" s="434">
        <f>Q19/(Q_IS!Q$245/90)</f>
        <v>9.5049672766337761</v>
      </c>
      <c r="R21" s="434">
        <f>R19/(Q_IS!R$245/90)</f>
        <v>10.10368530040197</v>
      </c>
      <c r="S21" s="434">
        <f>S19/(Q_IS!S$245/90)</f>
        <v>8.5305291513670394</v>
      </c>
      <c r="T21" s="434">
        <f>T19/(Q_IS!T$245/90)</f>
        <v>7.2951892063891766</v>
      </c>
      <c r="U21" s="434">
        <f>U19/(Q_IS!U$245/90)</f>
        <v>7.8958687140256147</v>
      </c>
      <c r="V21" s="434">
        <f>V19/(Q_IS!V$245/90)</f>
        <v>8.548344754406024</v>
      </c>
      <c r="W21" s="434">
        <f>W19/(Q_IS!W$245/90)</f>
        <v>4.5660506376114043</v>
      </c>
      <c r="X21" s="434">
        <f>X19/(Q_IS!X$245/90)</f>
        <v>2.4170490176973907</v>
      </c>
      <c r="Y21" s="434">
        <f>Y19/(Q_IS!Y$245/90)</f>
        <v>3.89281567863733</v>
      </c>
      <c r="Z21" s="434">
        <f>Z19/(Q_IS!Z$245/90)</f>
        <v>1.6170808283069409</v>
      </c>
      <c r="AA21" s="434">
        <f>AA19/(Q_IS!AA$245/90)</f>
        <v>1.7462356714337728</v>
      </c>
      <c r="AB21" s="434">
        <f>AB19/(Q_IS!AB$245/90)</f>
        <v>1.4251722988278501</v>
      </c>
      <c r="AC21" s="434">
        <f>AC19/(Q_IS!AC$245/90)</f>
        <v>2.1175829939094597</v>
      </c>
      <c r="AD21" s="434">
        <f>AD19/(Q_IS!AD$245/90)</f>
        <v>30.745433966508724</v>
      </c>
      <c r="AE21" s="434">
        <f>AE19/(Q_IS!AE$245/90)</f>
        <v>28.460595077991805</v>
      </c>
      <c r="AF21" s="434">
        <f>AF19/(Q_IS!AF$245/90)</f>
        <v>30.921069020735715</v>
      </c>
      <c r="AG21" s="434">
        <f>AG19/(Q_IS!AG$245/90)</f>
        <v>29.554149675867215</v>
      </c>
      <c r="AH21" s="434">
        <f>AH19/(Q_IS!AH$245/90)</f>
        <v>32.046835307592012</v>
      </c>
      <c r="AI21" s="434">
        <f>AI19/(Q_IS!AI$245/90)</f>
        <v>31.943909184512631</v>
      </c>
      <c r="AJ21" s="434">
        <f>AJ19/(Q_IS!AJ$245/90)</f>
        <v>34.923674178457354</v>
      </c>
      <c r="AK21" s="434">
        <f>AK19/(Q_IS!AK$245/90)</f>
        <v>32.701409695695403</v>
      </c>
      <c r="AL21" s="434">
        <f>AL19/(Q_IS!AL$245/90)</f>
        <v>30.658564883236394</v>
      </c>
      <c r="AM21" s="434">
        <f>AM19/(Q_IS!AM$245/90)</f>
        <v>26.942351724973399</v>
      </c>
      <c r="AN21" s="434">
        <f>AN19/(Q_IS!AN$245/90)</f>
        <v>24.621172748623433</v>
      </c>
      <c r="AO21" s="434">
        <f>AO19/(Q_IS!AO$245/90)</f>
        <v>26.585281365552934</v>
      </c>
      <c r="AP21" s="434">
        <f>AP19/(Q_IS!AP$245/90)</f>
        <v>22.808011606221736</v>
      </c>
      <c r="AQ21" s="434">
        <f>AQ19/(Q_IS!AQ$245/90)</f>
        <v>27.88972587223639</v>
      </c>
      <c r="AR21" s="434">
        <f>AR19/(Q_IS!AR$245/90)</f>
        <v>27.996803698313453</v>
      </c>
      <c r="AS21" s="434">
        <f>AS19/(Q_IS!AS$245/90)</f>
        <v>21.068768479588478</v>
      </c>
      <c r="AT21" s="434">
        <f>AT19/(Q_IS!AT$245/90)</f>
        <v>27.553817443736477</v>
      </c>
      <c r="AU21" s="434">
        <f>AU19/(Q_IS!AU$245/90)</f>
        <v>73.766683334048381</v>
      </c>
      <c r="AV21" s="434">
        <f>AV19/(Q_IS!AV$245/90)</f>
        <v>42.266808064014434</v>
      </c>
      <c r="AW21" s="434">
        <f>AW19/(Q_IS!AW$245/90)</f>
        <v>29.150129140091106</v>
      </c>
      <c r="AX21" s="434">
        <f>AX19/(Q_IS!AX$245/90)</f>
        <v>25.69920975068435</v>
      </c>
      <c r="AY21" s="434">
        <f>AY19/(Q_IS!AY$245/90)</f>
        <v>21.225221537106226</v>
      </c>
      <c r="AZ21" s="434">
        <f>AZ19/(Q_IS!AZ$245/90)</f>
        <v>16.397163689639303</v>
      </c>
      <c r="BA21" s="434">
        <f>BA19/(Q_IS!BA$245/90)</f>
        <v>18.957303776116248</v>
      </c>
      <c r="BB21" s="434">
        <f>BB19/(Q_IS!BB$245/90)</f>
        <v>20.773274640365589</v>
      </c>
      <c r="BC21" s="434">
        <f>BC19/(Q_IS!BC$245/90)</f>
        <v>21.688863795113893</v>
      </c>
      <c r="BD21" s="434">
        <f>BD19/(Q_IS!BD$245/90)</f>
        <v>25.629670006740426</v>
      </c>
      <c r="BE21" s="434">
        <f>BE19/(Q_IS!BE$245/90)</f>
        <v>25.55144389681135</v>
      </c>
      <c r="BF21" s="434">
        <f>BF19/(Q_IS!BF$245/90)</f>
        <v>29.185047114323066</v>
      </c>
      <c r="BG21" s="434">
        <f>BG19/(Q_IS!BG$245/90)</f>
        <v>26.066857553649761</v>
      </c>
      <c r="BH21" s="434">
        <f>BH19/(Q_IS!BH$245/90)</f>
        <v>25.397354408382881</v>
      </c>
      <c r="BI21" s="434">
        <f>BI19/(Q_IS!BI$245/90)</f>
        <v>30.457773888746907</v>
      </c>
      <c r="BJ21" s="434">
        <f>BJ19/(Q_IS!BJ$245/90)</f>
        <v>37.284964731853755</v>
      </c>
      <c r="BK21" s="2014">
        <f>BK19/(Q_IS!BK$245/90)</f>
        <v>32.248220516410036</v>
      </c>
      <c r="BL21" s="2019">
        <v>30</v>
      </c>
      <c r="BM21" s="2019">
        <v>28</v>
      </c>
      <c r="BN21" s="2019">
        <v>30</v>
      </c>
      <c r="BO21" s="433">
        <f>BO19/(Q_IS!BO$245/90)</f>
        <v>29.592536475330029</v>
      </c>
      <c r="BP21" s="433">
        <f>BP19/(Q_IS!BP$245/90)</f>
        <v>29.789999999999996</v>
      </c>
      <c r="BQ21" s="433">
        <f>BQ19/(Q_IS!BQ$245/90)</f>
        <v>28.08433734939759</v>
      </c>
      <c r="BR21" s="433">
        <f>BR19/(Q_IS!BR$245/90)</f>
        <v>30.090734389122719</v>
      </c>
      <c r="BS21" s="433">
        <f>BS19/(Q_IS!BS$245/90)</f>
        <v>29.682536475330025</v>
      </c>
      <c r="BT21" s="433">
        <f>BT19/(Q_IS!BT$245/90)</f>
        <v>29.879999999999995</v>
      </c>
      <c r="BU21" s="433">
        <f>BU19/(Q_IS!BU$245/90)</f>
        <v>28.168674698795179</v>
      </c>
      <c r="BV21" s="433">
        <f>BV19/(Q_IS!BV$245/90)</f>
        <v>30.181468778245431</v>
      </c>
      <c r="BW21" s="433">
        <f>BW19/(Q_IS!BW$245/90)</f>
        <v>29.772536475330028</v>
      </c>
      <c r="BX21" s="433">
        <f>BX19/(Q_IS!BX$245/90)</f>
        <v>29.969999999999995</v>
      </c>
      <c r="BY21" s="433">
        <f>BY19/(Q_IS!BY$245/90)</f>
        <v>28.253012048192772</v>
      </c>
      <c r="BZ21" s="433">
        <f>BZ19/(Q_IS!BZ$245/90)</f>
        <v>30.635140723859028</v>
      </c>
      <c r="CA21" s="433">
        <f>CA19/(Q_IS!CA$245/90)</f>
        <v>30.222536475330031</v>
      </c>
      <c r="CB21" s="433">
        <f>CB19/(Q_IS!CB$245/90)</f>
        <v>30.419999999999998</v>
      </c>
      <c r="CC21" s="433">
        <f>CC19/(Q_IS!CC$245/90)</f>
        <v>28.674698795180721</v>
      </c>
      <c r="CD21" s="433">
        <f>CD19/(Q_IS!CD$245/90)</f>
        <v>30.635140723859024</v>
      </c>
      <c r="CE21" s="433">
        <f>CE19/(Q_IS!CE$245/90)</f>
        <v>30.222536475330028</v>
      </c>
      <c r="CF21" s="433">
        <f>CF19/(Q_IS!CF$245/90)</f>
        <v>30.42</v>
      </c>
      <c r="CG21" s="433">
        <f>CG19/(Q_IS!CG$245/90)</f>
        <v>28.674698795180728</v>
      </c>
      <c r="CH21" s="433">
        <f>CH19/(Q_IS!CH$245/90)</f>
        <v>30.635140723859021</v>
      </c>
      <c r="CI21" s="433">
        <f>CI19/(Q_IS!CI$245/90)</f>
        <v>30.222536475330031</v>
      </c>
      <c r="CJ21" s="433">
        <f>CJ19/(Q_IS!CJ$245/90)</f>
        <v>30.419999999999995</v>
      </c>
      <c r="CK21" s="433">
        <f>CK19/(Q_IS!CK$245/90)</f>
        <v>28.674698795180728</v>
      </c>
      <c r="CL21" s="433">
        <f>CL19/(Q_IS!CL$245/90)</f>
        <v>30.635140723859024</v>
      </c>
      <c r="CM21" s="433">
        <f>CM19/(Q_IS!CM$245/90)</f>
        <v>30.222536475330031</v>
      </c>
      <c r="CN21" s="433">
        <f>CN19/(Q_IS!CN$245/90)</f>
        <v>30.419999999999995</v>
      </c>
      <c r="CO21" s="433">
        <f>CO19/(Q_IS!CO$245/90)</f>
        <v>28.674698795180721</v>
      </c>
      <c r="CP21" s="433">
        <f>CP19/(Q_IS!CP$245/90)</f>
        <v>30.635140723859021</v>
      </c>
      <c r="CQ21" s="433">
        <f>CQ19/(Q_IS!CQ$245/90)</f>
        <v>30.222536475330028</v>
      </c>
      <c r="CR21" s="433">
        <f>CR19/(Q_IS!CR$245/90)</f>
        <v>30.419999999999998</v>
      </c>
      <c r="CS21" s="433">
        <f>CS19/(Q_IS!CS$245/90)</f>
        <v>28.674698795180728</v>
      </c>
      <c r="CT21" s="433">
        <f>CT19/(Q_IS!CT$245/90)</f>
        <v>30.635140723859024</v>
      </c>
      <c r="CU21" s="433">
        <f>CU19/(Q_IS!CU$245/90)</f>
        <v>30.222536475330028</v>
      </c>
      <c r="CV21" s="433">
        <f>CV19/(Q_IS!CV$245/90)</f>
        <v>30.42</v>
      </c>
      <c r="CW21" s="433">
        <f>CW19/(Q_IS!CW$245/90)</f>
        <v>28.674698795180721</v>
      </c>
    </row>
    <row r="22" spans="1:101">
      <c r="A22" s="2016" t="s">
        <v>1531</v>
      </c>
      <c r="B22" s="316"/>
      <c r="C22" s="316"/>
      <c r="D22" s="316"/>
      <c r="E22" s="316"/>
      <c r="F22" s="316"/>
      <c r="G22" s="316"/>
      <c r="H22" s="316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  <c r="AA22" s="316"/>
      <c r="AB22" s="316"/>
      <c r="AC22" s="316"/>
      <c r="AD22" s="316"/>
      <c r="AE22" s="316"/>
      <c r="AF22" s="316"/>
      <c r="AG22" s="316"/>
      <c r="AH22" s="316"/>
      <c r="AI22" s="316"/>
      <c r="AJ22" s="316"/>
      <c r="AK22" s="316"/>
      <c r="AL22" s="316"/>
      <c r="AM22" s="316"/>
      <c r="AN22" s="316"/>
      <c r="AO22" s="316"/>
    </row>
    <row r="23" spans="1:101">
      <c r="A23" s="364" t="str">
        <f>Q_Financials!A87</f>
        <v>Bank loans</v>
      </c>
      <c r="B23" s="119">
        <f>Q_Financials!B87</f>
        <v>1040.8389999999999</v>
      </c>
      <c r="C23" s="119">
        <f>Q_Financials!C87</f>
        <v>845.41399999999999</v>
      </c>
      <c r="D23" s="119">
        <f>Q_Financials!D87</f>
        <v>670.45699999999999</v>
      </c>
      <c r="E23" s="119">
        <f>Q_Financials!E87</f>
        <v>408.78699999999998</v>
      </c>
      <c r="F23" s="119">
        <f>Q_Financials!F87</f>
        <v>317.35599999999999</v>
      </c>
      <c r="G23" s="119">
        <f>Q_Financials!G87</f>
        <v>370.64600000000002</v>
      </c>
      <c r="H23" s="119">
        <f>Q_Financials!H87</f>
        <v>290.14999999999998</v>
      </c>
      <c r="I23" s="119">
        <f>Q_Financials!I87</f>
        <v>668</v>
      </c>
      <c r="J23" s="119">
        <f>Q_Financials!J87</f>
        <v>626.5</v>
      </c>
      <c r="K23" s="119">
        <f>Q_Financials!K87</f>
        <v>604</v>
      </c>
      <c r="L23" s="119">
        <f>Q_Financials!L87</f>
        <v>562.5</v>
      </c>
      <c r="M23" s="119">
        <f>Q_Financials!M87</f>
        <v>2877.6669999999999</v>
      </c>
      <c r="N23" s="119">
        <f>Q_Financials!N87</f>
        <v>2767.0819999999999</v>
      </c>
      <c r="O23" s="119">
        <f>Q_Financials!O87</f>
        <v>2387.4169999999999</v>
      </c>
      <c r="P23" s="119">
        <f>Q_Financials!P87</f>
        <v>2177.0610000000001</v>
      </c>
      <c r="Q23" s="119">
        <f>Q_Financials!Q87</f>
        <v>2077.8330000000001</v>
      </c>
      <c r="R23" s="119">
        <f>Q_Financials!R87</f>
        <v>1945.9390000000001</v>
      </c>
      <c r="S23" s="119">
        <f>Q_Financials!S87</f>
        <v>895.55600000000004</v>
      </c>
      <c r="T23" s="119">
        <f>Q_Financials!T87</f>
        <v>2309.7060000000001</v>
      </c>
      <c r="U23" s="119">
        <f>Q_Financials!U87</f>
        <v>2166.2809999999999</v>
      </c>
      <c r="V23" s="119">
        <f>Q_Financials!V87</f>
        <v>2064.9270000000001</v>
      </c>
      <c r="W23" s="119">
        <f>Q_Financials!W87</f>
        <v>3187.0790000000002</v>
      </c>
      <c r="X23" s="119">
        <f>Q_Financials!X87</f>
        <v>3829.864</v>
      </c>
      <c r="Y23" s="119">
        <f>Q_Financials!Y87</f>
        <v>7370.6660000000002</v>
      </c>
      <c r="Z23" s="119">
        <f>Q_Financials!Z87</f>
        <v>4210.8710000000001</v>
      </c>
      <c r="AA23" s="119">
        <f>Q_Financials!AA87</f>
        <v>4306.2550000000001</v>
      </c>
      <c r="AB23" s="119">
        <f>Q_Financials!AB87</f>
        <v>5162.3320000000003</v>
      </c>
      <c r="AC23" s="119">
        <f>Q_Financials!AC87</f>
        <v>5018.7219999999998</v>
      </c>
      <c r="AD23" s="119">
        <f>Q_Financials!AD87</f>
        <v>5047.8209999999999</v>
      </c>
      <c r="AE23" s="119">
        <f>Q_Financials!AE87</f>
        <v>6336.0839999999998</v>
      </c>
      <c r="AF23" s="119">
        <f>Q_Financials!AF87</f>
        <v>8986.2000000000007</v>
      </c>
      <c r="AG23" s="119">
        <f>Q_Financials!AG87</f>
        <v>9743.8060000000005</v>
      </c>
      <c r="AH23" s="119">
        <f>Q_Financials!AH87</f>
        <v>9588.8439999999991</v>
      </c>
      <c r="AI23" s="119">
        <f>Q_Financials!AI87</f>
        <v>10148.556</v>
      </c>
      <c r="AJ23" s="119">
        <f>Q_Financials!AJ87</f>
        <v>10468.618</v>
      </c>
      <c r="AK23" s="119">
        <f>Q_Financials!AK87</f>
        <v>6693.4539999999997</v>
      </c>
      <c r="AL23" s="119">
        <f>Q_Financials!AL87</f>
        <v>6458.473</v>
      </c>
      <c r="AM23" s="119">
        <f>Q_Financials!AM87</f>
        <v>7736.6629999999996</v>
      </c>
      <c r="AN23" s="119">
        <f>Q_Financials!AN87</f>
        <v>5739.0469999999996</v>
      </c>
      <c r="AO23" s="119">
        <f>Q_Financials!AO87</f>
        <v>16038.415999999999</v>
      </c>
      <c r="AP23" s="119">
        <f>Q_Financials!AP87</f>
        <v>17616.066999999999</v>
      </c>
      <c r="AQ23" s="119">
        <f>Q_Financials!AQ87</f>
        <v>18452.894</v>
      </c>
      <c r="AR23" s="119">
        <f>Q_Financials!AR87</f>
        <v>18216.196</v>
      </c>
      <c r="AS23" s="119">
        <f>Q_Financials!AS87</f>
        <v>17102.448</v>
      </c>
      <c r="AT23" s="1736">
        <f>Q_Financials!AT87</f>
        <v>19895.825000000001</v>
      </c>
      <c r="AU23" s="1736">
        <f>Q_Financials!AU87</f>
        <v>20853.526000000002</v>
      </c>
      <c r="AV23" s="1736">
        <f>Q_Financials!AV87</f>
        <v>20751.552</v>
      </c>
      <c r="AW23" s="1736">
        <f>Q_Financials!AW87</f>
        <v>24854</v>
      </c>
      <c r="AX23" s="1736">
        <f>Q_Financials!AX87</f>
        <v>19894.120999999999</v>
      </c>
      <c r="AY23" s="1736">
        <f>Q_Financials!AY87</f>
        <v>0</v>
      </c>
      <c r="AZ23" s="1736">
        <f>Q_Financials!AZ87</f>
        <v>0</v>
      </c>
      <c r="BA23" s="1736">
        <f>Q_Financials!BA87</f>
        <v>9184.7459999999992</v>
      </c>
      <c r="BB23" s="1736">
        <f>Q_Financials!BB87</f>
        <v>5295.5590000000002</v>
      </c>
      <c r="BC23" s="1736">
        <f>Q_Financials!BC87</f>
        <v>4667.2579999999998</v>
      </c>
      <c r="BD23" s="1736">
        <f>Q_Financials!BD87</f>
        <v>4280.7839999999997</v>
      </c>
      <c r="BE23" s="1736">
        <f>Q_Financials!BE87</f>
        <v>3762.76</v>
      </c>
      <c r="BF23" s="1736">
        <f>Q_Financials!BF87</f>
        <v>3340.5889999999999</v>
      </c>
      <c r="BG23" s="1736">
        <f>Q_Financials!BG87</f>
        <v>2561.8620000000001</v>
      </c>
      <c r="BH23" s="1736">
        <f>Q_Financials!BH87</f>
        <v>4780.2830000000004</v>
      </c>
      <c r="BI23" s="1736">
        <f>Q_Financials!BI87</f>
        <v>4828.1120000000001</v>
      </c>
      <c r="BJ23" s="1736">
        <f>Q_Financials!BJ87</f>
        <v>6825.1329999999998</v>
      </c>
      <c r="BK23" s="1689">
        <f>Q_Financials!BK87</f>
        <v>6787.1769999999997</v>
      </c>
      <c r="BL23" s="323">
        <f>Q_Financials!BL87</f>
        <v>7163.950364475545</v>
      </c>
      <c r="BM23" s="323">
        <f>Q_Financials!BM87</f>
        <v>7318.3088166252301</v>
      </c>
      <c r="BN23" s="323">
        <f>Q_Financials!BN87</f>
        <v>8272.3927002933415</v>
      </c>
      <c r="BO23" s="323">
        <f>Q_Financials!BO87</f>
        <v>9133.8296508097665</v>
      </c>
      <c r="BP23" s="323">
        <f>Q_Financials!BP87</f>
        <v>9833.8296508097665</v>
      </c>
      <c r="BQ23" s="323">
        <f>Q_Financials!BQ87</f>
        <v>10977.507550450387</v>
      </c>
      <c r="BR23" s="323">
        <f>Q_Financials!BR87</f>
        <v>12464.326668568548</v>
      </c>
      <c r="BS23" s="323">
        <f>Q_Financials!BS87</f>
        <v>13164.326668568548</v>
      </c>
      <c r="BT23" s="323">
        <f>Q_Financials!BT87</f>
        <v>13864.326668568548</v>
      </c>
      <c r="BU23" s="323">
        <f>Q_Financials!BU87</f>
        <v>14564.326668568548</v>
      </c>
    </row>
    <row r="24" spans="1:101">
      <c r="A24" s="325" t="s">
        <v>545</v>
      </c>
      <c r="B24" s="434">
        <f>-B23/(Q_IS!B$283/90)</f>
        <v>118.19522830765038</v>
      </c>
      <c r="C24" s="434">
        <f>-C23/(Q_IS!C$283/90)</f>
        <v>98.548287032060117</v>
      </c>
      <c r="D24" s="434">
        <f>-D23/(Q_IS!D$283/90)</f>
        <v>76.824131543265281</v>
      </c>
      <c r="E24" s="434">
        <f>-E23/(Q_IS!E$283/90)</f>
        <v>45.065594132173096</v>
      </c>
      <c r="F24" s="434">
        <f>-F23/(Q_IS!F$283/90)</f>
        <v>38.734334802945007</v>
      </c>
      <c r="G24" s="434">
        <f>-G23/(Q_IS!G$283/90)</f>
        <v>44.565343436799445</v>
      </c>
      <c r="H24" s="434">
        <f>-H23/(Q_IS!H$283/90)</f>
        <v>32.473136464645584</v>
      </c>
      <c r="I24" s="434">
        <f>-I23/(Q_IS!I$283/90)</f>
        <v>68.079825067009708</v>
      </c>
      <c r="J24" s="434">
        <f>-J23/(Q_IS!J$283/90)</f>
        <v>67.553805824591336</v>
      </c>
      <c r="K24" s="434">
        <f>-K23/(Q_IS!K$283/90)</f>
        <v>60.533712244379814</v>
      </c>
      <c r="L24" s="434">
        <f>-L23/(Q_IS!L$283/90)</f>
        <v>50.88476673417798</v>
      </c>
      <c r="M24" s="434">
        <f>-M23/(Q_IS!M$283/90)</f>
        <v>244.32468510146941</v>
      </c>
      <c r="N24" s="434">
        <f>-N23/(Q_IS!N$283/90)</f>
        <v>234.00622419505484</v>
      </c>
      <c r="O24" s="434">
        <f>-O23/(Q_IS!O$283/90)</f>
        <v>175.88953057657753</v>
      </c>
      <c r="P24" s="434">
        <f>-P23/(Q_IS!P$283/90)</f>
        <v>159.31255950778979</v>
      </c>
      <c r="Q24" s="434">
        <f>-Q23/(Q_IS!Q$283/90)</f>
        <v>150.36808646819679</v>
      </c>
      <c r="R24" s="434">
        <f>-R23/(Q_IS!R$283/90)</f>
        <v>150.6739502435172</v>
      </c>
      <c r="S24" s="434">
        <f>-S23/(Q_IS!S$283/90)</f>
        <v>64.182226469182993</v>
      </c>
      <c r="T24" s="434">
        <f>-T23/(Q_IS!T$283/90)</f>
        <v>152.29879566798007</v>
      </c>
      <c r="U24" s="434">
        <f>-U23/(Q_IS!U$283/90)</f>
        <v>135.13917654398003</v>
      </c>
      <c r="V24" s="434">
        <f>-V23/(Q_IS!V$283/90)</f>
        <v>139.0548202885798</v>
      </c>
      <c r="W24" s="434">
        <f>-W23/(Q_IS!W$283/90)</f>
        <v>173.60803795641115</v>
      </c>
      <c r="X24" s="434">
        <f>-X23/(Q_IS!X$283/90)</f>
        <v>188.51270933611309</v>
      </c>
      <c r="Y24" s="434">
        <f>-Y23/(Q_IS!Y$283/90)</f>
        <v>269.72879518606271</v>
      </c>
      <c r="Z24" s="434">
        <f>-Z23/(Q_IS!Z$283/90)</f>
        <v>164.25310202519589</v>
      </c>
      <c r="AA24" s="434">
        <f>-AA23/(Q_IS!AA$283/90)</f>
        <v>158.04639488461427</v>
      </c>
      <c r="AB24" s="434">
        <f>-AB23/(Q_IS!AB$283/90)</f>
        <v>178.31184566489983</v>
      </c>
      <c r="AC24" s="434">
        <f>-AC23/(Q_IS!AC$283/90)</f>
        <v>162.23267892162144</v>
      </c>
      <c r="AD24" s="434">
        <f>-AD23/(Q_IS!AD$283/90)</f>
        <v>167.52069285050814</v>
      </c>
      <c r="AE24" s="434">
        <f>-AE23/(Q_IS!AE$283/90)</f>
        <v>201.63185842960905</v>
      </c>
      <c r="AF24" s="434">
        <f>-AF23/(Q_IS!AF$283/90)</f>
        <v>270.54616835147942</v>
      </c>
      <c r="AG24" s="434">
        <f>-AG23/(Q_IS!AG$283/90)</f>
        <v>269.81278319506958</v>
      </c>
      <c r="AH24" s="434">
        <f>-AH23/(Q_IS!AH$283/90)</f>
        <v>277.60982929971544</v>
      </c>
      <c r="AI24" s="434">
        <f>-AI23/(Q_IS!AI$283/90)</f>
        <v>291.74514934621902</v>
      </c>
      <c r="AJ24" s="434">
        <f>-AJ23/(Q_IS!AJ$283/90)</f>
        <v>297.39716142814939</v>
      </c>
      <c r="AK24" s="434">
        <f>-AK23/(Q_IS!AK$283/90)</f>
        <v>171.3468661922856</v>
      </c>
      <c r="AL24" s="434">
        <f>-AL23/(Q_IS!AL$283/90)</f>
        <v>174.12293217575416</v>
      </c>
      <c r="AM24" s="434">
        <f>-AM23/(Q_IS!AM$283/90)</f>
        <v>201.69854121164016</v>
      </c>
      <c r="AN24" s="434">
        <f>-AN23/(Q_IS!AN$283/90)</f>
        <v>146.36932738841807</v>
      </c>
      <c r="AO24" s="434">
        <f>-AO23/(Q_IS!AO$283/90)</f>
        <v>373.1546756870992</v>
      </c>
      <c r="AP24" s="434">
        <f>-AP23/(Q_IS!AP$283/90)</f>
        <v>386.2695398010041</v>
      </c>
      <c r="AQ24" s="434">
        <f>-AQ23/(Q_IS!AQ$283/90)</f>
        <v>386.18222989272306</v>
      </c>
      <c r="AR24" s="434">
        <f>-AR23/(Q_IS!AR$283/90)</f>
        <v>383.17215847540518</v>
      </c>
      <c r="AS24" s="434">
        <f>-AS23/(Q_IS!AS$283/90)</f>
        <v>343.54437047307255</v>
      </c>
      <c r="AT24" s="434">
        <f>-AT23/(Q_IS!AT$283/90)</f>
        <v>495.89004771623934</v>
      </c>
      <c r="AU24" s="434">
        <f>-AU23/(Q_IS!AU$283/90)</f>
        <v>1066.2698908231075</v>
      </c>
      <c r="AV24" s="434">
        <f>-AV23/(Q_IS!AV$283/90)</f>
        <v>666.5247518250884</v>
      </c>
      <c r="AW24" s="434">
        <f>-AW23/(Q_IS!AW$283/90)</f>
        <v>681.6106275750542</v>
      </c>
      <c r="AX24" s="434">
        <f>-AX23/(Q_IS!AX$283/90)</f>
        <v>537.48073983527991</v>
      </c>
      <c r="AY24" s="434">
        <f>-AY23/(Q_IS!AY$283/90)</f>
        <v>0</v>
      </c>
      <c r="AZ24" s="434">
        <f>-AZ23/(Q_IS!AZ$283/90)</f>
        <v>0</v>
      </c>
      <c r="BA24" s="434">
        <f>-BA23/(Q_IS!BA$283/90)</f>
        <v>160.74012310041297</v>
      </c>
      <c r="BB24" s="434">
        <f>-BB23/(Q_IS!BB$283/90)</f>
        <v>98.40479651838028</v>
      </c>
      <c r="BC24" s="434">
        <f>-BC23/(Q_IS!BC$283/90)</f>
        <v>75.745916189467749</v>
      </c>
      <c r="BD24" s="434">
        <f>-BD23/(Q_IS!BD$283/90)</f>
        <v>66.923139857468698</v>
      </c>
      <c r="BE24" s="434">
        <f>-BE23/(Q_IS!BE$283/90)</f>
        <v>53.193535694342678</v>
      </c>
      <c r="BF24" s="434">
        <f>-BF23/(Q_IS!BF$283/90)</f>
        <v>51.348358704958343</v>
      </c>
      <c r="BG24" s="434">
        <f>-BG23/(Q_IS!BG$283/90)</f>
        <v>36.682333890858061</v>
      </c>
      <c r="BH24" s="434">
        <f>-BH23/(Q_IS!BH$283/90)</f>
        <v>67.575038485805621</v>
      </c>
      <c r="BI24" s="434">
        <f>-BI23/(Q_IS!BI$283/90)</f>
        <v>66.889536306727862</v>
      </c>
      <c r="BJ24" s="434">
        <f>-BJ23/(Q_IS!BJ$283/90)</f>
        <v>105.57471226832453</v>
      </c>
      <c r="BK24" s="800">
        <f>-BK23/(Q_IS!BK$283/90)</f>
        <v>99.826938793920419</v>
      </c>
      <c r="BL24" s="433">
        <f>-BL23/(Q_IS!BL$283/90)</f>
        <v>97.165679277639853</v>
      </c>
      <c r="BM24" s="433">
        <f>-BM23/(Q_IS!BM$283/90)</f>
        <v>94.541584247238063</v>
      </c>
      <c r="BN24" s="433">
        <f>-BN23/(Q_IS!BN$283/90)</f>
        <v>113.08847488556611</v>
      </c>
      <c r="BO24" s="433">
        <f>-BO23/(Q_IS!BO$283/90)</f>
        <v>116.7518289826731</v>
      </c>
      <c r="BP24" s="433">
        <f>-BP23/(Q_IS!BP$283/90)</f>
        <v>121.7597025390412</v>
      </c>
      <c r="BQ24" s="433">
        <f>-BQ23/(Q_IS!BQ$283/90)</f>
        <v>130.61034595771986</v>
      </c>
      <c r="BR24" s="433">
        <f>-BR23/(Q_IS!BR$283/90)</f>
        <v>157.64729929760603</v>
      </c>
      <c r="BS24" s="433">
        <f>-BS23/(Q_IS!BS$283/90)</f>
        <v>157.44020008545343</v>
      </c>
      <c r="BT24" s="433">
        <f>-BT23/(Q_IS!BT$283/90)</f>
        <v>160.64779218176238</v>
      </c>
      <c r="BU24" s="433">
        <f>-BU23/(Q_IS!BU$283/90)</f>
        <v>162.22022590928162</v>
      </c>
    </row>
    <row r="25" spans="1:101">
      <c r="A25" s="316"/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  <c r="AA25" s="316"/>
      <c r="AB25" s="316"/>
      <c r="AC25" s="316"/>
      <c r="AD25" s="316"/>
      <c r="AE25" s="316"/>
      <c r="AF25" s="316"/>
      <c r="AG25" s="316"/>
      <c r="AH25" s="316"/>
      <c r="AI25" s="316"/>
      <c r="AJ25" s="316"/>
      <c r="AK25" s="316"/>
      <c r="AL25" s="316"/>
      <c r="AM25" s="316"/>
      <c r="AN25" s="316"/>
      <c r="AO25" s="316"/>
      <c r="BK25" s="1318"/>
    </row>
    <row r="26" spans="1:101">
      <c r="A26" s="319" t="s">
        <v>32</v>
      </c>
      <c r="B26" s="431">
        <f t="shared" ref="B26:AG26" si="31">B6+B8-B15</f>
        <v>9.08299999999997</v>
      </c>
      <c r="C26" s="431">
        <f t="shared" si="31"/>
        <v>55.239000000000033</v>
      </c>
      <c r="D26" s="431">
        <f t="shared" si="31"/>
        <v>40.90100000000001</v>
      </c>
      <c r="E26" s="431">
        <f t="shared" si="31"/>
        <v>-26.131999999999948</v>
      </c>
      <c r="F26" s="431">
        <f t="shared" si="31"/>
        <v>69.83200000000005</v>
      </c>
      <c r="G26" s="431">
        <f t="shared" si="31"/>
        <v>38.436000000000035</v>
      </c>
      <c r="H26" s="431">
        <f t="shared" si="31"/>
        <v>-31.215999999999894</v>
      </c>
      <c r="I26" s="431">
        <f t="shared" si="31"/>
        <v>-111.51700000000005</v>
      </c>
      <c r="J26" s="431">
        <f t="shared" si="31"/>
        <v>28.811000000000035</v>
      </c>
      <c r="K26" s="431">
        <f t="shared" si="31"/>
        <v>-20.990999999999985</v>
      </c>
      <c r="L26" s="431">
        <f t="shared" si="31"/>
        <v>-28.842999999999961</v>
      </c>
      <c r="M26" s="431">
        <f t="shared" si="31"/>
        <v>-232.71600000000001</v>
      </c>
      <c r="N26" s="431">
        <f t="shared" si="31"/>
        <v>37.332000000000107</v>
      </c>
      <c r="O26" s="431">
        <f t="shared" si="31"/>
        <v>-101.36400000000015</v>
      </c>
      <c r="P26" s="431">
        <f t="shared" si="31"/>
        <v>62.014999999999986</v>
      </c>
      <c r="Q26" s="431">
        <f t="shared" si="31"/>
        <v>-43.287000000000035</v>
      </c>
      <c r="R26" s="431">
        <f t="shared" si="31"/>
        <v>-106.798</v>
      </c>
      <c r="S26" s="431">
        <f t="shared" si="31"/>
        <v>-7.7440000000000282</v>
      </c>
      <c r="T26" s="431">
        <f t="shared" si="31"/>
        <v>-7.1509999999998399</v>
      </c>
      <c r="U26" s="431">
        <f t="shared" si="31"/>
        <v>-137.86700000000019</v>
      </c>
      <c r="V26" s="431">
        <f t="shared" si="31"/>
        <v>-53.16800000000012</v>
      </c>
      <c r="W26" s="431">
        <f t="shared" si="31"/>
        <v>-21.152000000000271</v>
      </c>
      <c r="X26" s="431">
        <f t="shared" si="31"/>
        <v>271.92399999999998</v>
      </c>
      <c r="Y26" s="431">
        <f t="shared" si="31"/>
        <v>-743.29799999999977</v>
      </c>
      <c r="Z26" s="431">
        <f t="shared" si="31"/>
        <v>-492.80899999999997</v>
      </c>
      <c r="AA26" s="431">
        <f t="shared" si="31"/>
        <v>-367.39999999999964</v>
      </c>
      <c r="AB26" s="431">
        <f t="shared" si="31"/>
        <v>-331.82500000000027</v>
      </c>
      <c r="AC26" s="431">
        <f t="shared" si="31"/>
        <v>-730.25700000000006</v>
      </c>
      <c r="AD26" s="431">
        <f t="shared" si="31"/>
        <v>-683.97199999999975</v>
      </c>
      <c r="AE26" s="431">
        <f t="shared" si="31"/>
        <v>-825.93199999999979</v>
      </c>
      <c r="AF26" s="431">
        <f t="shared" si="31"/>
        <v>-1072.0010000000002</v>
      </c>
      <c r="AG26" s="431">
        <f t="shared" si="31"/>
        <v>-1372.971</v>
      </c>
      <c r="AH26" s="431">
        <f t="shared" ref="AH26:BQ26" si="32">AH6+AH8-AH15</f>
        <v>-611.15900000000011</v>
      </c>
      <c r="AI26" s="431">
        <f t="shared" si="32"/>
        <v>-802.06</v>
      </c>
      <c r="AJ26" s="431">
        <f t="shared" si="32"/>
        <v>-277.16300000000047</v>
      </c>
      <c r="AK26" s="431">
        <f t="shared" si="32"/>
        <v>-700.43899999999985</v>
      </c>
      <c r="AL26" s="431">
        <f t="shared" si="32"/>
        <v>-602.346</v>
      </c>
      <c r="AM26" s="431">
        <f t="shared" si="32"/>
        <v>-1028.8380000000002</v>
      </c>
      <c r="AN26" s="431">
        <f t="shared" si="32"/>
        <v>-806.30199999999968</v>
      </c>
      <c r="AO26" s="431">
        <f t="shared" ref="AO26:BC26" si="33">AO6+AO8-AO15</f>
        <v>-2070.5510000000004</v>
      </c>
      <c r="AP26" s="431">
        <f t="shared" si="33"/>
        <v>-1698.7169999999996</v>
      </c>
      <c r="AQ26" s="431">
        <f t="shared" si="33"/>
        <v>-1487.2369999999992</v>
      </c>
      <c r="AR26" s="431">
        <f t="shared" si="33"/>
        <v>-1144.3159999999998</v>
      </c>
      <c r="AS26" s="431">
        <f t="shared" si="33"/>
        <v>-2223.6880000000001</v>
      </c>
      <c r="AT26" s="431">
        <f t="shared" si="33"/>
        <v>-1945.12</v>
      </c>
      <c r="AU26" s="431">
        <f t="shared" si="33"/>
        <v>-2340.5020000000004</v>
      </c>
      <c r="AV26" s="431">
        <f t="shared" si="33"/>
        <v>-3020.5030000000002</v>
      </c>
      <c r="AW26" s="431">
        <f t="shared" si="33"/>
        <v>-280</v>
      </c>
      <c r="AX26" s="431">
        <f t="shared" si="33"/>
        <v>-169.34899999999971</v>
      </c>
      <c r="AY26" s="431">
        <f t="shared" si="33"/>
        <v>1.4999999999872671E-2</v>
      </c>
      <c r="AZ26" s="431">
        <f t="shared" si="33"/>
        <v>469.08100000000059</v>
      </c>
      <c r="BA26" s="431">
        <f t="shared" si="33"/>
        <v>-218.45200000000023</v>
      </c>
      <c r="BB26" s="431">
        <f t="shared" si="33"/>
        <v>-153.99400000000014</v>
      </c>
      <c r="BC26" s="431">
        <f t="shared" si="33"/>
        <v>160.27000000000044</v>
      </c>
      <c r="BD26" s="431">
        <f t="shared" ref="BD26:BI26" si="34">BD6+BD8-BD15</f>
        <v>469.18399999999929</v>
      </c>
      <c r="BE26" s="431">
        <f t="shared" si="34"/>
        <v>-703.84900000000016</v>
      </c>
      <c r="BF26" s="431">
        <f t="shared" si="34"/>
        <v>341.54800000000068</v>
      </c>
      <c r="BG26" s="431">
        <f t="shared" si="34"/>
        <v>20.877000000000407</v>
      </c>
      <c r="BH26" s="431">
        <f t="shared" si="34"/>
        <v>-119.11399999999958</v>
      </c>
      <c r="BI26" s="431">
        <f t="shared" si="34"/>
        <v>-644.99300000000039</v>
      </c>
      <c r="BJ26" s="431">
        <f t="shared" ref="BJ26:BK26" si="35">BJ6+BJ8-BJ15</f>
        <v>-569.55500000000029</v>
      </c>
      <c r="BK26" s="1333">
        <f t="shared" si="35"/>
        <v>-204.24299999999948</v>
      </c>
      <c r="BL26" s="320">
        <f t="shared" si="32"/>
        <v>-146.80965772596755</v>
      </c>
      <c r="BM26" s="320">
        <f t="shared" si="32"/>
        <v>-764.9150569514195</v>
      </c>
      <c r="BN26" s="320">
        <f t="shared" si="32"/>
        <v>-725.51212866082278</v>
      </c>
      <c r="BO26" s="320">
        <f t="shared" si="32"/>
        <v>-311.54141644772426</v>
      </c>
      <c r="BP26" s="320">
        <f t="shared" si="32"/>
        <v>-168.98605867237893</v>
      </c>
      <c r="BQ26" s="320">
        <f t="shared" si="32"/>
        <v>-838.57912824765299</v>
      </c>
      <c r="BR26" s="320">
        <f t="shared" ref="BR26:CK26" si="36">BR6+BR8-BR15</f>
        <v>-791.85294816068472</v>
      </c>
      <c r="BS26" s="320">
        <f t="shared" si="36"/>
        <v>-340.13846812850898</v>
      </c>
      <c r="BT26" s="320">
        <f t="shared" si="36"/>
        <v>-189.25008013355819</v>
      </c>
      <c r="BU26" s="320">
        <f t="shared" si="36"/>
        <v>-904.33843795629491</v>
      </c>
      <c r="BV26" s="320">
        <f t="shared" si="36"/>
        <v>-849.87774875875766</v>
      </c>
      <c r="BW26" s="320">
        <f t="shared" si="36"/>
        <v>-368.55343337358045</v>
      </c>
      <c r="BX26" s="320">
        <f t="shared" si="36"/>
        <v>-210.08092843532268</v>
      </c>
      <c r="BY26" s="320">
        <f t="shared" si="36"/>
        <v>-970.14922442829084</v>
      </c>
      <c r="BZ26" s="320">
        <f t="shared" si="36"/>
        <v>-950.78283296645895</v>
      </c>
      <c r="CA26" s="320">
        <f t="shared" si="36"/>
        <v>-433.09396868879776</v>
      </c>
      <c r="CB26" s="320">
        <f t="shared" si="36"/>
        <v>-272.45524605858373</v>
      </c>
      <c r="CC26" s="320">
        <f t="shared" si="36"/>
        <v>-1085.0689403920733</v>
      </c>
      <c r="CD26" s="320">
        <f t="shared" si="36"/>
        <v>-1000.7869039045645</v>
      </c>
      <c r="CE26" s="320">
        <f t="shared" si="36"/>
        <v>-455.39190061234149</v>
      </c>
      <c r="CF26" s="320">
        <f t="shared" si="36"/>
        <v>-286.68108696344098</v>
      </c>
      <c r="CG26" s="320">
        <f t="shared" si="36"/>
        <v>-1143.131188690928</v>
      </c>
      <c r="CH26" s="320">
        <f t="shared" si="36"/>
        <v>-1052.8925137020478</v>
      </c>
      <c r="CI26" s="320">
        <f t="shared" si="36"/>
        <v>-478.39564619512112</v>
      </c>
      <c r="CJ26" s="320">
        <f t="shared" si="36"/>
        <v>-301.23249576914623</v>
      </c>
      <c r="CK26" s="320">
        <f t="shared" si="36"/>
        <v>-1201.7819613367519</v>
      </c>
      <c r="CL26" s="320">
        <f t="shared" ref="CL26:CP26" si="37">CL6+CL8-CL15</f>
        <v>-1105.3713871686296</v>
      </c>
      <c r="CM26" s="320">
        <f t="shared" si="37"/>
        <v>-501.77084034724157</v>
      </c>
      <c r="CN26" s="320">
        <f t="shared" si="37"/>
        <v>-316.18052758956765</v>
      </c>
      <c r="CO26" s="320">
        <f t="shared" si="37"/>
        <v>-1262.8314839166687</v>
      </c>
      <c r="CP26" s="320">
        <f t="shared" si="37"/>
        <v>-1160.3288085409295</v>
      </c>
      <c r="CQ26" s="320">
        <f t="shared" ref="CQ26:CT26" si="38">CQ6+CQ8-CQ15</f>
        <v>-526.23182753747096</v>
      </c>
      <c r="CR26" s="320">
        <f t="shared" si="38"/>
        <v>-331.84352603223488</v>
      </c>
      <c r="CS26" s="320">
        <f t="shared" si="38"/>
        <v>-1326.8583859201663</v>
      </c>
      <c r="CT26" s="320">
        <f t="shared" si="38"/>
        <v>-1217.9222796945351</v>
      </c>
      <c r="CU26" s="320">
        <f t="shared" ref="CU26:CW26" si="39">CU6+CU8-CU15</f>
        <v>-551.831687325026</v>
      </c>
      <c r="CV26" s="320">
        <f t="shared" si="39"/>
        <v>-348.23277718184909</v>
      </c>
      <c r="CW26" s="320">
        <f t="shared" si="39"/>
        <v>-1393.1273889639688</v>
      </c>
    </row>
    <row r="27" spans="1:101">
      <c r="A27" s="366" t="s">
        <v>39</v>
      </c>
      <c r="B27" s="432"/>
      <c r="C27" s="432">
        <f t="shared" ref="C27:AA27" si="40">C26-B26</f>
        <v>46.156000000000063</v>
      </c>
      <c r="D27" s="432">
        <f t="shared" si="40"/>
        <v>-14.338000000000022</v>
      </c>
      <c r="E27" s="432">
        <f t="shared" si="40"/>
        <v>-67.032999999999959</v>
      </c>
      <c r="F27" s="432">
        <f t="shared" si="40"/>
        <v>95.963999999999999</v>
      </c>
      <c r="G27" s="432">
        <f t="shared" si="40"/>
        <v>-31.396000000000015</v>
      </c>
      <c r="H27" s="432">
        <f t="shared" si="40"/>
        <v>-69.65199999999993</v>
      </c>
      <c r="I27" s="432">
        <f t="shared" si="40"/>
        <v>-80.301000000000158</v>
      </c>
      <c r="J27" s="432">
        <f t="shared" si="40"/>
        <v>140.32800000000009</v>
      </c>
      <c r="K27" s="432">
        <f t="shared" si="40"/>
        <v>-49.802000000000021</v>
      </c>
      <c r="L27" s="432">
        <f t="shared" si="40"/>
        <v>-7.8519999999999754</v>
      </c>
      <c r="M27" s="432">
        <f t="shared" si="40"/>
        <v>-203.87300000000005</v>
      </c>
      <c r="N27" s="432">
        <f t="shared" si="40"/>
        <v>270.04800000000012</v>
      </c>
      <c r="O27" s="432">
        <f t="shared" si="40"/>
        <v>-138.69600000000025</v>
      </c>
      <c r="P27" s="432">
        <f t="shared" si="40"/>
        <v>163.37900000000013</v>
      </c>
      <c r="Q27" s="432">
        <f t="shared" si="40"/>
        <v>-105.30200000000002</v>
      </c>
      <c r="R27" s="432">
        <f t="shared" si="40"/>
        <v>-63.510999999999967</v>
      </c>
      <c r="S27" s="432">
        <f t="shared" si="40"/>
        <v>99.053999999999974</v>
      </c>
      <c r="T27" s="432">
        <f t="shared" si="40"/>
        <v>0.59300000000018827</v>
      </c>
      <c r="U27" s="432">
        <f t="shared" si="40"/>
        <v>-130.71600000000035</v>
      </c>
      <c r="V27" s="432">
        <f t="shared" si="40"/>
        <v>84.699000000000069</v>
      </c>
      <c r="W27" s="432">
        <f t="shared" si="40"/>
        <v>32.015999999999849</v>
      </c>
      <c r="X27" s="432">
        <f t="shared" si="40"/>
        <v>293.07600000000025</v>
      </c>
      <c r="Y27" s="432">
        <f t="shared" si="40"/>
        <v>-1015.2219999999998</v>
      </c>
      <c r="Z27" s="432">
        <f t="shared" si="40"/>
        <v>250.48899999999981</v>
      </c>
      <c r="AA27" s="432">
        <f t="shared" si="40"/>
        <v>125.40900000000033</v>
      </c>
      <c r="AB27" s="432">
        <f t="shared" ref="AB27:AZ27" si="41">AB26-AA26</f>
        <v>35.574999999999363</v>
      </c>
      <c r="AC27" s="432">
        <f t="shared" si="41"/>
        <v>-398.43199999999979</v>
      </c>
      <c r="AD27" s="432">
        <f t="shared" si="41"/>
        <v>46.285000000000309</v>
      </c>
      <c r="AE27" s="432">
        <f t="shared" si="41"/>
        <v>-141.96000000000004</v>
      </c>
      <c r="AF27" s="432">
        <f t="shared" si="41"/>
        <v>-246.06900000000041</v>
      </c>
      <c r="AG27" s="432">
        <f t="shared" si="41"/>
        <v>-300.9699999999998</v>
      </c>
      <c r="AH27" s="432">
        <f t="shared" si="41"/>
        <v>761.8119999999999</v>
      </c>
      <c r="AI27" s="432">
        <f t="shared" si="41"/>
        <v>-190.90099999999984</v>
      </c>
      <c r="AJ27" s="432">
        <f t="shared" si="41"/>
        <v>524.89699999999948</v>
      </c>
      <c r="AK27" s="432">
        <f t="shared" si="41"/>
        <v>-423.27599999999939</v>
      </c>
      <c r="AL27" s="432">
        <f t="shared" si="41"/>
        <v>98.092999999999847</v>
      </c>
      <c r="AM27" s="432">
        <f t="shared" si="41"/>
        <v>-426.49200000000019</v>
      </c>
      <c r="AN27" s="432">
        <f t="shared" si="41"/>
        <v>222.53600000000051</v>
      </c>
      <c r="AO27" s="432">
        <f>AO26-AN26</f>
        <v>-1264.2490000000007</v>
      </c>
      <c r="AP27" s="432">
        <f t="shared" si="41"/>
        <v>371.83400000000074</v>
      </c>
      <c r="AQ27" s="432">
        <f t="shared" si="41"/>
        <v>211.48000000000047</v>
      </c>
      <c r="AR27" s="432">
        <f t="shared" si="41"/>
        <v>342.92099999999937</v>
      </c>
      <c r="AS27" s="432">
        <f t="shared" si="41"/>
        <v>-1079.3720000000003</v>
      </c>
      <c r="AT27" s="432">
        <f t="shared" si="41"/>
        <v>278.56800000000021</v>
      </c>
      <c r="AU27" s="432">
        <f t="shared" si="41"/>
        <v>-395.38200000000052</v>
      </c>
      <c r="AV27" s="432">
        <f t="shared" si="41"/>
        <v>-680.00099999999975</v>
      </c>
      <c r="AW27" s="432">
        <f t="shared" si="41"/>
        <v>2740.5030000000002</v>
      </c>
      <c r="AX27" s="432">
        <f t="shared" si="41"/>
        <v>110.65100000000029</v>
      </c>
      <c r="AY27" s="432">
        <f t="shared" si="41"/>
        <v>169.36399999999958</v>
      </c>
      <c r="AZ27" s="432">
        <f t="shared" si="41"/>
        <v>469.06600000000071</v>
      </c>
      <c r="BA27" s="432">
        <f t="shared" ref="BA27:BJ27" si="42">BA26-AZ26</f>
        <v>-687.53300000000081</v>
      </c>
      <c r="BB27" s="432">
        <f t="shared" si="42"/>
        <v>64.458000000000084</v>
      </c>
      <c r="BC27" s="432">
        <f t="shared" si="42"/>
        <v>314.26400000000058</v>
      </c>
      <c r="BD27" s="432">
        <f t="shared" si="42"/>
        <v>308.91399999999885</v>
      </c>
      <c r="BE27" s="432">
        <f t="shared" si="42"/>
        <v>-1173.0329999999994</v>
      </c>
      <c r="BF27" s="432">
        <f t="shared" si="42"/>
        <v>1045.3970000000008</v>
      </c>
      <c r="BG27" s="432">
        <f t="shared" si="42"/>
        <v>-320.67100000000028</v>
      </c>
      <c r="BH27" s="432">
        <f t="shared" si="42"/>
        <v>-139.99099999999999</v>
      </c>
      <c r="BI27" s="432">
        <f t="shared" si="42"/>
        <v>-525.87900000000081</v>
      </c>
      <c r="BJ27" s="432">
        <f t="shared" si="42"/>
        <v>75.438000000000102</v>
      </c>
      <c r="BK27" s="1334">
        <f t="shared" ref="BK27" si="43">BK26-BJ26</f>
        <v>365.31200000000081</v>
      </c>
      <c r="BL27" s="317">
        <f t="shared" ref="BL27:BQ27" si="44">BL26-BK26</f>
        <v>57.433342274031929</v>
      </c>
      <c r="BM27" s="317">
        <f t="shared" si="44"/>
        <v>-618.10539922545195</v>
      </c>
      <c r="BN27" s="317">
        <f t="shared" si="44"/>
        <v>39.402928290596719</v>
      </c>
      <c r="BO27" s="317">
        <f t="shared" si="44"/>
        <v>413.97071221309852</v>
      </c>
      <c r="BP27" s="317">
        <f t="shared" si="44"/>
        <v>142.55535777534533</v>
      </c>
      <c r="BQ27" s="317">
        <f t="shared" si="44"/>
        <v>-669.59306957527406</v>
      </c>
      <c r="BR27" s="317">
        <f t="shared" ref="BR27:CK27" si="45">BR26-BQ26</f>
        <v>46.72618008696827</v>
      </c>
      <c r="BS27" s="317">
        <f t="shared" si="45"/>
        <v>451.71448003217574</v>
      </c>
      <c r="BT27" s="317">
        <f t="shared" si="45"/>
        <v>150.88838799495079</v>
      </c>
      <c r="BU27" s="317">
        <f t="shared" si="45"/>
        <v>-715.08835782273673</v>
      </c>
      <c r="BV27" s="317">
        <f t="shared" si="45"/>
        <v>54.460689197537249</v>
      </c>
      <c r="BW27" s="317">
        <f t="shared" si="45"/>
        <v>481.32431538517721</v>
      </c>
      <c r="BX27" s="317">
        <f t="shared" si="45"/>
        <v>158.47250493825777</v>
      </c>
      <c r="BY27" s="317">
        <f t="shared" si="45"/>
        <v>-760.06829599296816</v>
      </c>
      <c r="BZ27" s="317">
        <f t="shared" si="45"/>
        <v>19.366391461831881</v>
      </c>
      <c r="CA27" s="317">
        <f t="shared" si="45"/>
        <v>517.6888642776612</v>
      </c>
      <c r="CB27" s="317">
        <f t="shared" si="45"/>
        <v>160.63872263021403</v>
      </c>
      <c r="CC27" s="317">
        <f t="shared" si="45"/>
        <v>-812.61369433348955</v>
      </c>
      <c r="CD27" s="317">
        <f t="shared" si="45"/>
        <v>84.282036487508776</v>
      </c>
      <c r="CE27" s="317">
        <f t="shared" si="45"/>
        <v>545.39500329222301</v>
      </c>
      <c r="CF27" s="317">
        <f t="shared" si="45"/>
        <v>168.71081364890051</v>
      </c>
      <c r="CG27" s="317">
        <f t="shared" si="45"/>
        <v>-856.45010172748698</v>
      </c>
      <c r="CH27" s="317">
        <f t="shared" si="45"/>
        <v>90.238674988880121</v>
      </c>
      <c r="CI27" s="317">
        <f t="shared" si="45"/>
        <v>574.49686750692672</v>
      </c>
      <c r="CJ27" s="317">
        <f t="shared" si="45"/>
        <v>177.16315042597489</v>
      </c>
      <c r="CK27" s="317">
        <f t="shared" si="45"/>
        <v>-900.54946556760569</v>
      </c>
      <c r="CL27" s="317">
        <f t="shared" ref="CL27" si="46">CL26-CK26</f>
        <v>96.410574168122366</v>
      </c>
      <c r="CM27" s="317">
        <f t="shared" ref="CM27" si="47">CM26-CL26</f>
        <v>603.60054682138798</v>
      </c>
      <c r="CN27" s="317">
        <f t="shared" ref="CN27" si="48">CN26-CM26</f>
        <v>185.59031275767393</v>
      </c>
      <c r="CO27" s="317">
        <f t="shared" ref="CO27" si="49">CO26-CN26</f>
        <v>-946.65095632710108</v>
      </c>
      <c r="CP27" s="317">
        <f t="shared" ref="CP27" si="50">CP26-CO26</f>
        <v>102.50267537573927</v>
      </c>
      <c r="CQ27" s="317">
        <f t="shared" ref="CQ27" si="51">CQ26-CP26</f>
        <v>634.0969810034585</v>
      </c>
      <c r="CR27" s="317">
        <f t="shared" ref="CR27" si="52">CR26-CQ26</f>
        <v>194.38830150523609</v>
      </c>
      <c r="CS27" s="317">
        <f t="shared" ref="CS27" si="53">CS26-CR26</f>
        <v>-995.01485988793138</v>
      </c>
      <c r="CT27" s="317">
        <f t="shared" ref="CT27" si="54">CT26-CS26</f>
        <v>108.93610622563119</v>
      </c>
      <c r="CU27" s="317">
        <f t="shared" ref="CU27" si="55">CU26-CT26</f>
        <v>666.09059236950907</v>
      </c>
      <c r="CV27" s="317">
        <f t="shared" ref="CV27" si="56">CV26-CU26</f>
        <v>203.59891014317691</v>
      </c>
      <c r="CW27" s="317">
        <f t="shared" ref="CW27" si="57">CW26-CV26</f>
        <v>-1044.8946117821197</v>
      </c>
    </row>
    <row r="28" spans="1:101">
      <c r="A28" s="319" t="s">
        <v>38</v>
      </c>
      <c r="B28" s="685">
        <f>B26/Q_IS!B$245*90</f>
        <v>0.39224069059926364</v>
      </c>
      <c r="C28" s="685">
        <f>C26/Q_IS!C$245*90</f>
        <v>2.3985404706755329</v>
      </c>
      <c r="D28" s="685">
        <f>D26/Q_IS!D$245*90</f>
        <v>1.7366966205304515</v>
      </c>
      <c r="E28" s="685">
        <f>E26/Q_IS!E$245*90</f>
        <v>-1.0178381779766992</v>
      </c>
      <c r="F28" s="685">
        <f>F26/Q_IS!F$245*90</f>
        <v>2.9987718399212162</v>
      </c>
      <c r="G28" s="685">
        <f>G26/Q_IS!G$245*90</f>
        <v>1.5965477454193027</v>
      </c>
      <c r="H28" s="685">
        <f>H26/Q_IS!H$245*90</f>
        <v>-1.2349593942657409</v>
      </c>
      <c r="I28" s="685">
        <f>I26/Q_IS!I$245*90</f>
        <v>-4.1066048771745649</v>
      </c>
      <c r="J28" s="685">
        <f>J26/Q_IS!J$245*90</f>
        <v>1.0818802508736867</v>
      </c>
      <c r="K28" s="685">
        <f>K26/Q_IS!K$245*90</f>
        <v>-0.72797004255633924</v>
      </c>
      <c r="L28" s="685">
        <f>L26/Q_IS!L$245*90</f>
        <v>-0.937550112323838</v>
      </c>
      <c r="M28" s="685">
        <f>M26/Q_IS!M$245*90</f>
        <v>-7.1340730668512364</v>
      </c>
      <c r="N28" s="685">
        <f>N26/Q_IS!N$245*90</f>
        <v>1.1343097748584796</v>
      </c>
      <c r="O28" s="685">
        <f>O26/Q_IS!O$245*90</f>
        <v>-2.6623622600586168</v>
      </c>
      <c r="P28" s="685">
        <f>P26/Q_IS!P$245*90</f>
        <v>1.5935550294479406</v>
      </c>
      <c r="Q28" s="685">
        <f>Q26/Q_IS!Q$245*90</f>
        <v>-1.0736907553010979</v>
      </c>
      <c r="R28" s="685">
        <f>R26/Q_IS!R$245*90</f>
        <v>-2.8280489333418859</v>
      </c>
      <c r="S28" s="685">
        <f>S26/Q_IS!S$245*90</f>
        <v>-0.18242032001553737</v>
      </c>
      <c r="T28" s="685">
        <f>T26/Q_IS!T$245*90</f>
        <v>-0.15765219025063942</v>
      </c>
      <c r="U28" s="685">
        <f>U26/Q_IS!U$245*90</f>
        <v>-2.8130056307585409</v>
      </c>
      <c r="V28" s="685">
        <f>V26/Q_IS!V$245*90</f>
        <v>-1.1986665450912795</v>
      </c>
      <c r="W28" s="685">
        <f>W26/Q_IS!W$245*90</f>
        <v>-0.36585829909562156</v>
      </c>
      <c r="X28" s="685">
        <f>X26/Q_IS!X$245*90</f>
        <v>4.292520945481499</v>
      </c>
      <c r="Y28" s="685">
        <f>Y26/Q_IS!Y$245*90</f>
        <v>-8.4641548145996257</v>
      </c>
      <c r="Z28" s="685">
        <f>Z26/Q_IS!Z$245*90</f>
        <v>-6.0391335570190163</v>
      </c>
      <c r="AA28" s="685">
        <f>AA26/Q_IS!AA$245*90</f>
        <v>-4.2600163721913882</v>
      </c>
      <c r="AB28" s="685">
        <f>AB26/Q_IS!AB$245*90</f>
        <v>-3.6311882217418647</v>
      </c>
      <c r="AC28" s="685">
        <f>AC26/Q_IS!AC$245*90</f>
        <v>-7.336950952161831</v>
      </c>
      <c r="AD28" s="685">
        <f>AD26/Q_IS!AD$245*90</f>
        <v>-7.2125613374014002</v>
      </c>
      <c r="AE28" s="685">
        <f>AE26/Q_IS!AE$245*90</f>
        <v>-8.1995833024472358</v>
      </c>
      <c r="AF28" s="685">
        <f>AF26/Q_IS!AF$245*90</f>
        <v>-10.047932802220876</v>
      </c>
      <c r="AG28" s="685">
        <f>AG26/Q_IS!AG$245*90</f>
        <v>-11.768821631011981</v>
      </c>
      <c r="AH28" s="685">
        <f>AH26/Q_IS!AH$245*90</f>
        <v>-5.4496187547308903</v>
      </c>
      <c r="AI28" s="685">
        <f>AI26/Q_IS!AI$245*90</f>
        <v>-6.9782084089337966</v>
      </c>
      <c r="AJ28" s="685">
        <f>AJ26/Q_IS!AJ$245*90</f>
        <v>-2.3812722701304456</v>
      </c>
      <c r="AK28" s="685">
        <f>AK26/Q_IS!AK$245*90</f>
        <v>-5.4268971302303584</v>
      </c>
      <c r="AL28" s="685">
        <f>AL26/Q_IS!AL$245*90</f>
        <v>-4.8927617800397387</v>
      </c>
      <c r="AM28" s="685">
        <f>AM26/Q_IS!AM$245*90</f>
        <v>-8.1758292873043779</v>
      </c>
      <c r="AN28" s="685">
        <f>AN26/Q_IS!AN$245*90</f>
        <v>-6.3793102235737518</v>
      </c>
      <c r="AO28" s="685">
        <f>AO26/Q_IS!AO$245*90</f>
        <v>-15.057552540752447</v>
      </c>
      <c r="AP28" s="685">
        <f>AP26/Q_IS!AP$245*90</f>
        <v>-11.1671266420405</v>
      </c>
      <c r="AQ28" s="685">
        <f>AQ26/Q_IS!AQ$245*90</f>
        <v>-9.1801371924778845</v>
      </c>
      <c r="AR28" s="685">
        <f>AR26/Q_IS!AR$245*90</f>
        <v>-7.1073090177652283</v>
      </c>
      <c r="AS28" s="685">
        <f>AS26/Q_IS!AS$245*90</f>
        <v>-13.001491522411133</v>
      </c>
      <c r="AT28" s="685">
        <f>AT26/Q_IS!AT$245*90</f>
        <v>-14.461751213745622</v>
      </c>
      <c r="AU28" s="685">
        <f>AU26/Q_IS!AU$245*90</f>
        <v>-40.526013332238001</v>
      </c>
      <c r="AV28" s="685">
        <f>AV26/Q_IS!AV$245*90</f>
        <v>-27.471555304128596</v>
      </c>
      <c r="AW28" s="685">
        <f>AW26/Q_IS!AW$245*90</f>
        <v>-2.2306739981485406</v>
      </c>
      <c r="AX28" s="685">
        <f>AX26/Q_IS!AX$245*90</f>
        <v>-1.4925418005243756</v>
      </c>
      <c r="AY28" s="685">
        <f>AY26/Q_IS!AY$245*90</f>
        <v>1.0819589515902235E-4</v>
      </c>
      <c r="AZ28" s="685">
        <f>AZ26/Q_IS!AZ$245*90</f>
        <v>3.0245349085040991</v>
      </c>
      <c r="BA28" s="685">
        <f>BA26/Q_IS!BA$245*90</f>
        <v>-1.1750267987687399</v>
      </c>
      <c r="BB28" s="685">
        <f>BB26/Q_IS!BB$245*90</f>
        <v>-0.91011968408817079</v>
      </c>
      <c r="BC28" s="685">
        <f>BC26/Q_IS!BC$245*90</f>
        <v>0.85153734005670412</v>
      </c>
      <c r="BD28" s="685">
        <f>BD26/Q_IS!BD$245*90</f>
        <v>2.4104427310240482</v>
      </c>
      <c r="BE28" s="685">
        <f>BE26/Q_IS!BE$245*90</f>
        <v>-3.3086273416850922</v>
      </c>
      <c r="BF28" s="685">
        <f>BF26/Q_IS!BF$245*90</f>
        <v>1.7400619405561573</v>
      </c>
      <c r="BG28" s="685">
        <f>BG26/Q_IS!BG$245*90</f>
        <v>9.9158603419101057E-2</v>
      </c>
      <c r="BH28" s="685">
        <f>BH26/Q_IS!BH$245*90</f>
        <v>-0.55060474143416749</v>
      </c>
      <c r="BI28" s="685">
        <f>BI26/Q_IS!BI$245*90</f>
        <v>-2.8813349168521127</v>
      </c>
      <c r="BJ28" s="685">
        <f>BJ26/Q_IS!BJ$245*90</f>
        <v>-2.8160431994413191</v>
      </c>
      <c r="BK28" s="1335">
        <f>BK26/Q_IS!BK$245*90</f>
        <v>-0.9547019246505164</v>
      </c>
      <c r="BL28" s="533">
        <f>BL26/Q_IS!BL$245*90</f>
        <v>-0.65709609911666289</v>
      </c>
      <c r="BM28" s="533">
        <f>BM26/Q_IS!BM$245*90</f>
        <v>-3.2806767236501639</v>
      </c>
      <c r="BN28" s="533">
        <f>BN26/Q_IS!BN$245*90</f>
        <v>-3.279300510723647</v>
      </c>
      <c r="BO28" s="533">
        <f>BO26/Q_IS!BO$245*90</f>
        <v>-1.3093816714543061</v>
      </c>
      <c r="BP28" s="533">
        <f>BP26/Q_IS!BP$245*90</f>
        <v>-0.69256376939073161</v>
      </c>
      <c r="BQ28" s="533">
        <f>BQ26/Q_IS!BQ$245*90</f>
        <v>-3.3224780288371414</v>
      </c>
      <c r="BR28" s="533">
        <f>BR26/Q_IS!BR$245*90</f>
        <v>-3.3214148117493139</v>
      </c>
      <c r="BS28" s="533">
        <f>BS26/Q_IS!BS$245*90</f>
        <v>-1.3416252848001078</v>
      </c>
      <c r="BT28" s="533">
        <f>BT26/Q_IS!BT$245*90</f>
        <v>-0.72803143966479744</v>
      </c>
      <c r="BU28" s="533">
        <f>BU26/Q_IS!BU$245*90</f>
        <v>-3.3642793340241166</v>
      </c>
      <c r="BV28" s="533">
        <f>BV26/Q_IS!BV$245*90</f>
        <v>-3.3635291127749785</v>
      </c>
      <c r="BW28" s="533">
        <f>BW26/Q_IS!BW$245*90</f>
        <v>-1.3738688981459044</v>
      </c>
      <c r="BX28" s="533">
        <f>BX26/Q_IS!BX$245*90</f>
        <v>-0.76349910993887038</v>
      </c>
      <c r="BY28" s="533">
        <f>BY26/Q_IS!BY$245*90</f>
        <v>-3.4060806392110932</v>
      </c>
      <c r="BZ28" s="533">
        <f>BZ26/Q_IS!BZ$245*90</f>
        <v>-3.5741006179033086</v>
      </c>
      <c r="CA28" s="533">
        <f>CA26/Q_IS!CA$245*90</f>
        <v>-1.5350869648749037</v>
      </c>
      <c r="CB28" s="533">
        <f>CB26/Q_IS!CB$245*90</f>
        <v>-0.94083746130920654</v>
      </c>
      <c r="CC28" s="533">
        <f>CC26/Q_IS!CC$245*90</f>
        <v>-3.61508716514596</v>
      </c>
      <c r="CD28" s="533">
        <f>CD26/Q_IS!CD$245*90</f>
        <v>-3.5741006179033139</v>
      </c>
      <c r="CE28" s="533">
        <f>CE26/Q_IS!CE$245*90</f>
        <v>-1.5350869648749033</v>
      </c>
      <c r="CF28" s="533">
        <f>CF26/Q_IS!CF$245*90</f>
        <v>-0.94083746130920753</v>
      </c>
      <c r="CG28" s="533">
        <f>CG26/Q_IS!CG$245*90</f>
        <v>-3.6150871651459644</v>
      </c>
      <c r="CH28" s="533">
        <f>CH26/Q_IS!CH$245*90</f>
        <v>-3.5741006179033139</v>
      </c>
      <c r="CI28" s="533">
        <f>CI26/Q_IS!CI$245*90</f>
        <v>-1.5350869648749046</v>
      </c>
      <c r="CJ28" s="533">
        <f>CJ26/Q_IS!CJ$245*90</f>
        <v>-0.94083746130920498</v>
      </c>
      <c r="CK28" s="533">
        <f>CK26/Q_IS!CK$245*90</f>
        <v>-3.6150871651459613</v>
      </c>
      <c r="CL28" s="533">
        <f>CL26/Q_IS!CL$245*90</f>
        <v>-3.5741006179033095</v>
      </c>
      <c r="CM28" s="533">
        <f>CM26/Q_IS!CM$245*90</f>
        <v>-1.5350869648749015</v>
      </c>
      <c r="CN28" s="533">
        <f>CN26/Q_IS!CN$245*90</f>
        <v>-0.94083746130920876</v>
      </c>
      <c r="CO28" s="533">
        <f>CO26/Q_IS!CO$245*90</f>
        <v>-3.6150871651459626</v>
      </c>
      <c r="CP28" s="533">
        <f>CP26/Q_IS!CP$245*90</f>
        <v>-3.5741006179033139</v>
      </c>
      <c r="CQ28" s="533">
        <f>CQ26/Q_IS!CQ$245*90</f>
        <v>-1.5350869648749061</v>
      </c>
      <c r="CR28" s="533">
        <f>CR26/Q_IS!CR$245*90</f>
        <v>-0.94083746130920598</v>
      </c>
      <c r="CS28" s="533">
        <f>CS26/Q_IS!CS$245*90</f>
        <v>-3.6150871651459631</v>
      </c>
      <c r="CT28" s="533">
        <f>CT26/Q_IS!CT$245*90</f>
        <v>-3.5741006179033112</v>
      </c>
      <c r="CU28" s="533">
        <f>CU26/Q_IS!CU$245*90</f>
        <v>-1.5350869648749041</v>
      </c>
      <c r="CV28" s="533">
        <f>CV26/Q_IS!CV$245*90</f>
        <v>-0.94083746130920731</v>
      </c>
      <c r="CW28" s="533">
        <f>CW26/Q_IS!CW$245*90</f>
        <v>-3.615087165145964</v>
      </c>
    </row>
    <row r="29" spans="1:101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446"/>
      <c r="AJ29" s="1446"/>
      <c r="AK29" s="12"/>
      <c r="AL29" s="1446"/>
      <c r="AM29" s="1446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447"/>
      <c r="BL29" s="12"/>
      <c r="BM29" s="12"/>
      <c r="BN29" s="12"/>
      <c r="BO29" s="12"/>
      <c r="BP29" s="12"/>
      <c r="BQ29" s="1789"/>
      <c r="BU29" s="1789"/>
      <c r="BY29" s="1789"/>
      <c r="CC29" s="1789"/>
      <c r="CG29" s="1789"/>
      <c r="CK29" s="1789"/>
      <c r="CL29" s="1789"/>
      <c r="CM29" s="1789"/>
      <c r="CN29" s="1789"/>
      <c r="CO29" s="1789"/>
      <c r="CP29" s="1789"/>
      <c r="CQ29" s="1789"/>
      <c r="CR29" s="1789"/>
      <c r="CS29" s="1789"/>
      <c r="CT29" s="1789"/>
      <c r="CU29" s="1789"/>
      <c r="CV29" s="1789"/>
      <c r="CW29" s="1789"/>
    </row>
    <row r="30" spans="1:101">
      <c r="A30" s="509" t="s">
        <v>541</v>
      </c>
      <c r="B30" s="976">
        <f>Q_IS!B4</f>
        <v>39903</v>
      </c>
      <c r="C30" s="976">
        <f>Q_IS!C4</f>
        <v>39994</v>
      </c>
      <c r="D30" s="976">
        <f>Q_IS!D4</f>
        <v>40086</v>
      </c>
      <c r="E30" s="976">
        <f>Q_IS!E4</f>
        <v>40178</v>
      </c>
      <c r="F30" s="976">
        <f>Q_IS!F4</f>
        <v>40268</v>
      </c>
      <c r="G30" s="976">
        <f>Q_IS!G4</f>
        <v>40359</v>
      </c>
      <c r="H30" s="976">
        <f>Q_IS!H4</f>
        <v>40451</v>
      </c>
      <c r="I30" s="976">
        <f>Q_IS!I4</f>
        <v>40543</v>
      </c>
      <c r="J30" s="976">
        <f>Q_IS!J4</f>
        <v>40633</v>
      </c>
      <c r="K30" s="976">
        <f>Q_IS!K4</f>
        <v>40724</v>
      </c>
      <c r="L30" s="976">
        <f>Q_IS!L4</f>
        <v>40816</v>
      </c>
      <c r="M30" s="976">
        <f>Q_IS!M4</f>
        <v>40908</v>
      </c>
      <c r="N30" s="976">
        <f>Q_IS!N4</f>
        <v>40999</v>
      </c>
      <c r="O30" s="976">
        <f>Q_IS!O4</f>
        <v>41090</v>
      </c>
      <c r="P30" s="976">
        <f>Q_IS!P4</f>
        <v>41182</v>
      </c>
      <c r="Q30" s="976">
        <f>Q_IS!Q4</f>
        <v>41274</v>
      </c>
      <c r="R30" s="976">
        <f>Q_IS!R4</f>
        <v>41364</v>
      </c>
      <c r="S30" s="976">
        <f>Q_IS!S4</f>
        <v>41455</v>
      </c>
      <c r="T30" s="976">
        <f>Q_IS!T4</f>
        <v>41547</v>
      </c>
      <c r="U30" s="976">
        <f>Q_IS!U4</f>
        <v>41639</v>
      </c>
      <c r="V30" s="976">
        <f>Q_IS!V4</f>
        <v>41729</v>
      </c>
      <c r="W30" s="976">
        <f>Q_IS!W4</f>
        <v>41820</v>
      </c>
      <c r="X30" s="976">
        <f>Q_IS!X4</f>
        <v>41912</v>
      </c>
      <c r="Y30" s="976">
        <f>Q_IS!Y4</f>
        <v>42004</v>
      </c>
      <c r="Z30" s="976">
        <f>Q_IS!Z4</f>
        <v>42094</v>
      </c>
      <c r="AA30" s="976">
        <f>Q_IS!AA4</f>
        <v>42185</v>
      </c>
      <c r="AB30" s="976">
        <f>Q_IS!AB4</f>
        <v>42277</v>
      </c>
      <c r="AC30" s="976">
        <f>Q_IS!AC4</f>
        <v>42369</v>
      </c>
      <c r="AD30" s="976">
        <f>Q_IS!AD4</f>
        <v>42460</v>
      </c>
      <c r="AE30" s="976">
        <f>Q_IS!AE4</f>
        <v>42551</v>
      </c>
      <c r="AF30" s="976">
        <f>Q_IS!AF4</f>
        <v>42643</v>
      </c>
      <c r="AG30" s="976">
        <f>Q_IS!AG4</f>
        <v>42735</v>
      </c>
      <c r="AH30" s="976">
        <f>Q_IS!AH4</f>
        <v>42825</v>
      </c>
      <c r="AI30" s="976">
        <f>Q_IS!AI4</f>
        <v>42916</v>
      </c>
      <c r="AJ30" s="976">
        <f>Q_IS!AJ4</f>
        <v>43008</v>
      </c>
      <c r="AK30" s="976">
        <f>Q_IS!AK4</f>
        <v>43100</v>
      </c>
      <c r="AL30" s="976">
        <f>Q_IS!AL4</f>
        <v>43190</v>
      </c>
      <c r="AM30" s="976">
        <f>Q_IS!AM4</f>
        <v>43281</v>
      </c>
      <c r="AN30" s="976">
        <f>Q_IS!AN4</f>
        <v>43373</v>
      </c>
      <c r="AO30" s="976">
        <f>Q_IS!AO4</f>
        <v>43465</v>
      </c>
      <c r="AP30" s="976">
        <f>Q_IS!AP4</f>
        <v>43555</v>
      </c>
      <c r="AQ30" s="976">
        <f>Q_IS!AQ4</f>
        <v>43646</v>
      </c>
      <c r="AR30" s="976">
        <f>Q_IS!AR4</f>
        <v>43738</v>
      </c>
      <c r="AS30" s="976">
        <f>Q_IS!AS4</f>
        <v>43830</v>
      </c>
      <c r="AT30" s="976">
        <f>Q_IS!AT4</f>
        <v>43921</v>
      </c>
      <c r="AU30" s="976">
        <f>Q_IS!AU4</f>
        <v>44012</v>
      </c>
      <c r="AV30" s="976">
        <f>Q_IS!AV4</f>
        <v>44104</v>
      </c>
      <c r="AW30" s="976">
        <f>Q_IS!AW4</f>
        <v>44196</v>
      </c>
      <c r="AX30" s="976">
        <f>Q_IS!AX4</f>
        <v>44286</v>
      </c>
      <c r="AY30" s="976">
        <f>Q_IS!AY4</f>
        <v>44377</v>
      </c>
      <c r="AZ30" s="976">
        <f>Q_IS!AZ4</f>
        <v>44469</v>
      </c>
      <c r="BA30" s="976">
        <f>Q_IS!BA4</f>
        <v>44561</v>
      </c>
      <c r="BB30" s="976">
        <f>Q_IS!BB4</f>
        <v>44651</v>
      </c>
      <c r="BC30" s="976">
        <f>Q_IS!BC4</f>
        <v>44742</v>
      </c>
      <c r="BD30" s="976">
        <f>Q_IS!BD4</f>
        <v>44834</v>
      </c>
      <c r="BE30" s="976">
        <f>Q_IS!BE4</f>
        <v>44926</v>
      </c>
      <c r="BF30" s="976">
        <f>Q_IS!BF4</f>
        <v>45016</v>
      </c>
      <c r="BG30" s="976">
        <f>Q_IS!BG4</f>
        <v>45107</v>
      </c>
      <c r="BH30" s="976">
        <f>Q_IS!BH4</f>
        <v>45199</v>
      </c>
      <c r="BI30" s="976">
        <f>Q_IS!BI4</f>
        <v>45291</v>
      </c>
      <c r="BJ30" s="976">
        <f>Q_IS!BJ4</f>
        <v>45382</v>
      </c>
      <c r="BK30" s="1336">
        <f>Q_IS!BK4</f>
        <v>45473</v>
      </c>
      <c r="BL30" s="600">
        <f>Q_IS!BL4</f>
        <v>45565</v>
      </c>
      <c r="BM30" s="600">
        <f>Q_IS!BM4</f>
        <v>45657</v>
      </c>
      <c r="BN30" s="600">
        <f>Q_IS!BN4</f>
        <v>45747</v>
      </c>
      <c r="BO30" s="600">
        <f>Q_IS!BO4</f>
        <v>45838</v>
      </c>
      <c r="BP30" s="600">
        <f>Q_IS!BP4</f>
        <v>45930</v>
      </c>
      <c r="BQ30" s="600">
        <f>Q_IS!BQ4</f>
        <v>46022</v>
      </c>
      <c r="BR30" s="600">
        <f>Q_IS!BR4</f>
        <v>46112</v>
      </c>
      <c r="BS30" s="600">
        <f>Q_IS!BS4</f>
        <v>46203</v>
      </c>
      <c r="BT30" s="600">
        <f>Q_IS!BT4</f>
        <v>46295</v>
      </c>
      <c r="BU30" s="600">
        <f>Q_IS!BU4</f>
        <v>46387</v>
      </c>
      <c r="BV30" s="600">
        <f>Q_IS!BV4</f>
        <v>46477</v>
      </c>
      <c r="BW30" s="600">
        <f>Q_IS!BW4</f>
        <v>46568</v>
      </c>
      <c r="BX30" s="600">
        <f>Q_IS!BX4</f>
        <v>46660</v>
      </c>
      <c r="BY30" s="600">
        <f>Q_IS!BY4</f>
        <v>46752</v>
      </c>
      <c r="BZ30" s="600">
        <f>Q_IS!BZ4</f>
        <v>46843</v>
      </c>
      <c r="CA30" s="600">
        <f>Q_IS!CA4</f>
        <v>46934</v>
      </c>
      <c r="CB30" s="600">
        <f>Q_IS!CB4</f>
        <v>47026</v>
      </c>
      <c r="CC30" s="600">
        <f>Q_IS!CC4</f>
        <v>47118</v>
      </c>
      <c r="CD30" s="600">
        <f>Q_IS!CD4</f>
        <v>47208</v>
      </c>
      <c r="CE30" s="600">
        <f>Q_IS!CE4</f>
        <v>47299</v>
      </c>
      <c r="CF30" s="600">
        <f>Q_IS!CF4</f>
        <v>47391</v>
      </c>
      <c r="CG30" s="600">
        <f>Q_IS!CG4</f>
        <v>47483</v>
      </c>
      <c r="CH30" s="600">
        <f>Q_IS!CH4</f>
        <v>47573</v>
      </c>
      <c r="CI30" s="600">
        <f>Q_IS!CI4</f>
        <v>47664</v>
      </c>
      <c r="CJ30" s="600">
        <f>Q_IS!CJ4</f>
        <v>47756</v>
      </c>
      <c r="CK30" s="600">
        <f>Q_IS!CK4</f>
        <v>47848</v>
      </c>
      <c r="CL30" s="600">
        <f>Q_IS!CL4</f>
        <v>47938</v>
      </c>
      <c r="CM30" s="600">
        <f>Q_IS!CM4</f>
        <v>48029</v>
      </c>
      <c r="CN30" s="600">
        <f>Q_IS!CN4</f>
        <v>48121</v>
      </c>
      <c r="CO30" s="600">
        <f>Q_IS!CO4</f>
        <v>48213</v>
      </c>
      <c r="CP30" s="600">
        <f>Q_IS!CP4</f>
        <v>48304</v>
      </c>
      <c r="CQ30" s="600">
        <f>Q_IS!CQ4</f>
        <v>48395</v>
      </c>
      <c r="CR30" s="600">
        <f>Q_IS!CR4</f>
        <v>48487</v>
      </c>
      <c r="CS30" s="600">
        <f>Q_IS!CS4</f>
        <v>48579</v>
      </c>
      <c r="CT30" s="600">
        <f>Q_IS!CT4</f>
        <v>48669</v>
      </c>
      <c r="CU30" s="600">
        <f>Q_IS!CU4</f>
        <v>48760</v>
      </c>
      <c r="CV30" s="600">
        <f>Q_IS!CV4</f>
        <v>48852</v>
      </c>
      <c r="CW30" s="600">
        <f>Q_IS!CW4</f>
        <v>48944</v>
      </c>
    </row>
    <row r="31" spans="1:101" s="374" customFormat="1">
      <c r="A31" s="842" t="s">
        <v>476</v>
      </c>
      <c r="B31" s="977">
        <f t="shared" ref="B31:AK31" si="58">+B42</f>
        <v>62.723999999999997</v>
      </c>
      <c r="C31" s="977">
        <f t="shared" si="58"/>
        <v>52.923999999999999</v>
      </c>
      <c r="D31" s="977">
        <f t="shared" si="58"/>
        <v>-12.967999999999989</v>
      </c>
      <c r="E31" s="977">
        <f t="shared" si="58"/>
        <v>20.766999999999989</v>
      </c>
      <c r="F31" s="977">
        <f t="shared" si="58"/>
        <v>19.079999999999998</v>
      </c>
      <c r="G31" s="977">
        <f t="shared" si="58"/>
        <v>173.00799999999998</v>
      </c>
      <c r="H31" s="977">
        <f t="shared" si="58"/>
        <v>140.64800000000002</v>
      </c>
      <c r="I31" s="977">
        <f t="shared" si="58"/>
        <v>180.66899999999998</v>
      </c>
      <c r="J31" s="977">
        <f t="shared" si="58"/>
        <v>159.255</v>
      </c>
      <c r="K31" s="977">
        <f t="shared" si="58"/>
        <v>228.476</v>
      </c>
      <c r="L31" s="977">
        <f t="shared" si="58"/>
        <v>221.23699999999997</v>
      </c>
      <c r="M31" s="977">
        <f t="shared" si="58"/>
        <v>349.56200000000001</v>
      </c>
      <c r="N31" s="977">
        <f t="shared" si="58"/>
        <v>78.176000000000002</v>
      </c>
      <c r="O31" s="977">
        <f t="shared" si="58"/>
        <v>235.99099999999999</v>
      </c>
      <c r="P31" s="977">
        <f t="shared" si="58"/>
        <v>183.59500000000003</v>
      </c>
      <c r="Q31" s="977">
        <f t="shared" si="58"/>
        <v>302.29500000000002</v>
      </c>
      <c r="R31" s="977">
        <f t="shared" si="58"/>
        <v>92.738</v>
      </c>
      <c r="S31" s="977">
        <f t="shared" si="58"/>
        <v>370.74599999999998</v>
      </c>
      <c r="T31" s="977">
        <f t="shared" si="58"/>
        <v>28.333000000000027</v>
      </c>
      <c r="U31" s="977">
        <f t="shared" si="58"/>
        <v>447.71</v>
      </c>
      <c r="V31" s="977">
        <f t="shared" si="58"/>
        <v>230.23400000000001</v>
      </c>
      <c r="W31" s="977">
        <f t="shared" si="58"/>
        <v>525.05899999999997</v>
      </c>
      <c r="X31" s="977">
        <f t="shared" si="58"/>
        <v>558.54100000000005</v>
      </c>
      <c r="Y31" s="977">
        <f t="shared" si="58"/>
        <v>735.71199999999965</v>
      </c>
      <c r="Z31" s="977">
        <f t="shared" si="58"/>
        <v>703.84699999999998</v>
      </c>
      <c r="AA31" s="977">
        <f t="shared" si="58"/>
        <v>759.02800000000002</v>
      </c>
      <c r="AB31" s="977">
        <f t="shared" si="58"/>
        <v>617.05799999999999</v>
      </c>
      <c r="AC31" s="977">
        <f t="shared" si="58"/>
        <v>904.88500000000022</v>
      </c>
      <c r="AD31" s="977">
        <f t="shared" si="58"/>
        <v>577.80200000000002</v>
      </c>
      <c r="AE31" s="977">
        <f t="shared" si="58"/>
        <v>872.91099999999994</v>
      </c>
      <c r="AF31" s="977">
        <f t="shared" si="58"/>
        <v>1089.1589999999997</v>
      </c>
      <c r="AG31" s="977">
        <f t="shared" si="58"/>
        <v>1555.0420000000004</v>
      </c>
      <c r="AH31" s="977">
        <f t="shared" si="58"/>
        <v>948.97199999999998</v>
      </c>
      <c r="AI31" s="977">
        <f t="shared" si="58"/>
        <v>1129.5719999999999</v>
      </c>
      <c r="AJ31" s="977">
        <f t="shared" si="58"/>
        <v>957.92200000000003</v>
      </c>
      <c r="AK31" s="977">
        <f t="shared" si="58"/>
        <v>1348.9110000000007</v>
      </c>
      <c r="AL31" s="977">
        <f t="shared" ref="AL31:AQ31" si="59">+AL42</f>
        <v>900.43200000000002</v>
      </c>
      <c r="AM31" s="977">
        <f t="shared" si="59"/>
        <v>943.84199999999987</v>
      </c>
      <c r="AN31" s="977">
        <f t="shared" si="59"/>
        <v>1096.806</v>
      </c>
      <c r="AO31" s="977">
        <f t="shared" si="59"/>
        <v>1145.1750000000002</v>
      </c>
      <c r="AP31" s="977">
        <f t="shared" si="59"/>
        <v>648.33199999999999</v>
      </c>
      <c r="AQ31" s="977">
        <f t="shared" si="59"/>
        <v>403.75400000000002</v>
      </c>
      <c r="AR31" s="977">
        <f t="shared" ref="AR31:BC31" si="60">+AR42</f>
        <v>612.72599999999989</v>
      </c>
      <c r="AS31" s="977">
        <f t="shared" si="60"/>
        <v>1675.2460000000001</v>
      </c>
      <c r="AT31" s="977">
        <f t="shared" si="60"/>
        <v>434.79300000000001</v>
      </c>
      <c r="AU31" s="977">
        <f t="shared" si="60"/>
        <v>378.08299999999997</v>
      </c>
      <c r="AV31" s="977">
        <f t="shared" si="60"/>
        <v>166.52499999999998</v>
      </c>
      <c r="AW31" s="977">
        <f t="shared" si="60"/>
        <v>350.55800000000022</v>
      </c>
      <c r="AX31" s="977">
        <f t="shared" si="60"/>
        <v>276.077</v>
      </c>
      <c r="AY31" s="977">
        <f t="shared" si="60"/>
        <v>469.97900000000004</v>
      </c>
      <c r="AZ31" s="977">
        <f t="shared" si="60"/>
        <v>503.75800000000004</v>
      </c>
      <c r="BA31" s="977">
        <f t="shared" si="60"/>
        <v>1063.6969999999999</v>
      </c>
      <c r="BB31" s="977">
        <f t="shared" si="60"/>
        <v>640.19899999999996</v>
      </c>
      <c r="BC31" s="977">
        <f t="shared" si="60"/>
        <v>850.46500000000003</v>
      </c>
      <c r="BD31" s="977">
        <f t="shared" ref="BD31:BH31" si="61">+BD42</f>
        <v>783.2729999999998</v>
      </c>
      <c r="BE31" s="977">
        <f t="shared" si="61"/>
        <v>1561.6420000000003</v>
      </c>
      <c r="BF31" s="977">
        <f t="shared" si="61"/>
        <v>559.61699999999996</v>
      </c>
      <c r="BG31" s="977">
        <f t="shared" si="61"/>
        <v>893.65900000000011</v>
      </c>
      <c r="BH31" s="977">
        <f t="shared" si="61"/>
        <v>1260.9039999999998</v>
      </c>
      <c r="BI31" s="977">
        <f>+BI42</f>
        <v>1527.8980000000006</v>
      </c>
      <c r="BJ31" s="977">
        <f>+BJ42</f>
        <v>890.702</v>
      </c>
      <c r="BK31" s="1337">
        <f t="shared" ref="BK31" si="62">+BK42</f>
        <v>1393.82</v>
      </c>
      <c r="BL31" s="849">
        <f t="shared" ref="BL31:BQ31" si="63">BL32+BL35</f>
        <v>1323.4927458072957</v>
      </c>
      <c r="BM31" s="849">
        <f t="shared" si="63"/>
        <v>1602.6703197870638</v>
      </c>
      <c r="BN31" s="849">
        <f t="shared" si="63"/>
        <v>1127.7288787776904</v>
      </c>
      <c r="BO31" s="849">
        <f t="shared" si="63"/>
        <v>1076.2389176739421</v>
      </c>
      <c r="BP31" s="849">
        <f t="shared" si="63"/>
        <v>1093.7220748272721</v>
      </c>
      <c r="BQ31" s="849">
        <f t="shared" si="63"/>
        <v>1577.8995816952088</v>
      </c>
      <c r="BR31" s="849">
        <f t="shared" ref="BR31:CK31" si="64">BR32+BR35</f>
        <v>1125.3820384283586</v>
      </c>
      <c r="BS31" s="849">
        <f t="shared" si="64"/>
        <v>1063.0012697099855</v>
      </c>
      <c r="BT31" s="849">
        <f t="shared" si="64"/>
        <v>1082.0701554995662</v>
      </c>
      <c r="BU31" s="849">
        <f t="shared" si="64"/>
        <v>1513.7973922379365</v>
      </c>
      <c r="BV31" s="849">
        <f t="shared" si="64"/>
        <v>1183.6173662179554</v>
      </c>
      <c r="BW31" s="849">
        <f t="shared" si="64"/>
        <v>1117.6043524856022</v>
      </c>
      <c r="BX31" s="849">
        <f t="shared" si="64"/>
        <v>1138.7057977704239</v>
      </c>
      <c r="BY31" s="849">
        <f t="shared" si="64"/>
        <v>1489.7634138903152</v>
      </c>
      <c r="BZ31" s="849">
        <f t="shared" si="64"/>
        <v>1433.0891839280348</v>
      </c>
      <c r="CA31" s="849">
        <f t="shared" si="64"/>
        <v>1378.3346617795819</v>
      </c>
      <c r="CB31" s="849">
        <f t="shared" si="64"/>
        <v>1408.4056556691849</v>
      </c>
      <c r="CC31" s="849">
        <f t="shared" si="64"/>
        <v>1711.8445726584159</v>
      </c>
      <c r="CD31" s="849">
        <f t="shared" si="64"/>
        <v>1575.2370701188515</v>
      </c>
      <c r="CE31" s="849">
        <f t="shared" si="64"/>
        <v>1520.5376793793721</v>
      </c>
      <c r="CF31" s="849">
        <f t="shared" si="64"/>
        <v>1555.0365986396037</v>
      </c>
      <c r="CG31" s="849">
        <f t="shared" si="64"/>
        <v>1874.7859651328188</v>
      </c>
      <c r="CH31" s="849">
        <f t="shared" si="64"/>
        <v>1684.5500310498783</v>
      </c>
      <c r="CI31" s="849">
        <f t="shared" si="64"/>
        <v>1629.3292061826785</v>
      </c>
      <c r="CJ31" s="849">
        <f t="shared" si="64"/>
        <v>1668.0399171488029</v>
      </c>
      <c r="CK31" s="849">
        <f t="shared" si="64"/>
        <v>1960.9519839811492</v>
      </c>
      <c r="CL31" s="849">
        <f t="shared" ref="CL31:CP31" si="65">CL32+CL35</f>
        <v>1843.6515365965279</v>
      </c>
      <c r="CM31" s="849">
        <f t="shared" si="65"/>
        <v>1788.7257540828139</v>
      </c>
      <c r="CN31" s="849">
        <f t="shared" si="65"/>
        <v>1832.7506344345734</v>
      </c>
      <c r="CO31" s="849">
        <f t="shared" si="65"/>
        <v>2142.2878842312616</v>
      </c>
      <c r="CP31" s="849">
        <f t="shared" si="65"/>
        <v>2014.2538339231332</v>
      </c>
      <c r="CQ31" s="849">
        <f t="shared" ref="CQ31:CT31" si="66">CQ32+CQ35</f>
        <v>1959.6550613861486</v>
      </c>
      <c r="CR31" s="849">
        <f t="shared" si="66"/>
        <v>2009.592267320606</v>
      </c>
      <c r="CS31" s="849">
        <f t="shared" si="66"/>
        <v>2336.9019853996201</v>
      </c>
      <c r="CT31" s="849">
        <f t="shared" si="66"/>
        <v>2197.1450423529041</v>
      </c>
      <c r="CU31" s="849">
        <f t="shared" ref="CU31:CW31" si="67">CU32+CU35</f>
        <v>2142.8456607940052</v>
      </c>
      <c r="CV31" s="849">
        <f t="shared" si="67"/>
        <v>2199.2136180235866</v>
      </c>
      <c r="CW31" s="849">
        <f t="shared" si="67"/>
        <v>2424.1221742022854</v>
      </c>
    </row>
    <row r="32" spans="1:101" s="374" customFormat="1">
      <c r="A32" s="854" t="s">
        <v>911</v>
      </c>
      <c r="B32" s="978">
        <v>0</v>
      </c>
      <c r="C32" s="978">
        <v>0</v>
      </c>
      <c r="D32" s="978">
        <v>0</v>
      </c>
      <c r="E32" s="978">
        <v>0</v>
      </c>
      <c r="F32" s="978">
        <f>F31*CF!N48</f>
        <v>16.63776</v>
      </c>
      <c r="G32" s="978">
        <f>(SUM(F31,G31)*CF!O48)-Q_BS!F32</f>
        <v>158.54649599999999</v>
      </c>
      <c r="H32" s="978">
        <f>(SUM(F31,G31,H31)*CF!P48)-SUM(Q_BS!G32,F32)</f>
        <v>124.61088000000001</v>
      </c>
      <c r="I32" s="978">
        <f>(SUM(F31,G31,H31,I31)*CF!Q48)-SUM(Q_BS!H32,G32,F32)</f>
        <v>168.94362899999999</v>
      </c>
      <c r="J32" s="978">
        <f>J31*CF!R48</f>
        <v>106.38234</v>
      </c>
      <c r="K32" s="978">
        <f>(SUM(J31,K31)*CF!S48)-Q_BS!J32</f>
        <v>146.806003</v>
      </c>
      <c r="L32" s="978">
        <f>(SUM(J31,K31,L31)*CF!T48)-SUM(Q_BS!K32,J32)</f>
        <v>196.83900899999995</v>
      </c>
      <c r="M32" s="978">
        <f>(SUM(J31,K31,L31,M31)*CF!U48)-SUM(Q_BS!L32,K32,J32)</f>
        <v>339.80136800000002</v>
      </c>
      <c r="N32" s="978">
        <f>N31*CF!V48</f>
        <v>77.706944000000007</v>
      </c>
      <c r="O32" s="978">
        <f>(SUM(N31,O31)*CF!W48)-Q_BS!N32</f>
        <v>230.17671599999994</v>
      </c>
      <c r="P32" s="978">
        <f>(SUM(N31,O31,P31)*CF!X48)-SUM(Q_BS!O32,N32)</f>
        <v>174.94548000000003</v>
      </c>
      <c r="Q32" s="978">
        <f>(SUM(N31,O31,P31,Q31)*CF!Y48)-SUM(Q_BS!P32,O32,N32)</f>
        <v>277.22500999999994</v>
      </c>
      <c r="R32" s="978">
        <f>R31*CF!Z48</f>
        <v>67.698740000000001</v>
      </c>
      <c r="S32" s="978">
        <f>(SUM(R31,S31)*CF!AA48)-Q_BS!R32</f>
        <v>371.68409199999996</v>
      </c>
      <c r="T32" s="978">
        <f>(SUM(R31,S31,T31)*CF!AB48)-SUM(Q_BS!S32,R32)</f>
        <v>39.646926000000065</v>
      </c>
      <c r="U32" s="978">
        <f>(SUM(R31,S31,T31,U31)*CF!AC48)-SUM(Q_BS!T32,S32,R32)</f>
        <v>436.06953999999996</v>
      </c>
      <c r="V32" s="978">
        <f>V31*CF!AD48</f>
        <v>221.02464000000001</v>
      </c>
      <c r="W32" s="978">
        <f>(SUM(V31,W31)*CF!AE48)-Q_BS!V32</f>
        <v>465.536697</v>
      </c>
      <c r="X32" s="978">
        <f>(SUM(V31,W31,X31)*CF!AF48)-SUM(Q_BS!W32,V32)</f>
        <v>518.22444100000018</v>
      </c>
      <c r="Y32" s="978">
        <f>(SUM(V31,W31,X31,Y31)*CF!AG48)-SUM(Q_BS!X32,W32,V32)</f>
        <v>486.08967199999961</v>
      </c>
      <c r="Z32" s="978">
        <f>Z31*CF!AH48</f>
        <v>646.83539299999995</v>
      </c>
      <c r="AA32" s="978">
        <f>(SUM(Z31,AA31)*CF!AI48)-Q_BS!Z32</f>
        <v>425.45198199999993</v>
      </c>
      <c r="AB32" s="978">
        <f>(SUM(Z31,AA31,AB31)*CF!AJ48)-SUM(Q_BS!AA32,Z32)</f>
        <v>394.06538999999998</v>
      </c>
      <c r="AC32" s="978">
        <f>(SUM(Z31,AA31,AB31,AC31)*CF!AK48)-SUM(Q_BS!AB32,AA32,Z32)</f>
        <v>533.47529500000041</v>
      </c>
      <c r="AD32" s="978">
        <f>AD31*CF!AL48</f>
        <v>364.01526000000001</v>
      </c>
      <c r="AE32" s="978">
        <f>(SUM(AD31,AE31)*CF!AM48)-Q_BS!AD32</f>
        <v>607.96244999999999</v>
      </c>
      <c r="AF32" s="978">
        <f>(SUM(AD31,AE31,AF31)*CF!AN48)-SUM(Q_BS!AE32,AD32)</f>
        <v>894.82820999999956</v>
      </c>
      <c r="AG32" s="978">
        <f>(SUM(AD31,AE31,AF31,AG31)*CF!AO48)-SUM(Q_BS!AF32,AE32,AD32)</f>
        <v>753.9390400000002</v>
      </c>
      <c r="AH32" s="978">
        <f>AH31*CF!AP48</f>
        <v>835.09536000000003</v>
      </c>
      <c r="AI32" s="978">
        <f t="array" ref="AI32">(SUM((AF31:AI31)*(YEAR(AF30:AI30)=YEAR(AI30)))*CF!AQ48)-SUM((AF32:AH32)*(YEAR(AF30:AH30)=YEAR(AI30)))</f>
        <v>536.74368000000004</v>
      </c>
      <c r="AJ32" s="978">
        <f t="array" ref="AJ32">(SUM((AG31:AJ31)*(YEAR(AG30:AJ30)=YEAR(AJ30)))*CF!AR48)-SUM((AG32:AI32)*(YEAR(AG30:AI30)=YEAR(AJ30)))</f>
        <v>662.59318000000007</v>
      </c>
      <c r="AK32" s="978">
        <f t="array" ref="AK32">(SUM((AH31:AK31)*(YEAR(AH30:AK30)=YEAR(AK30)))*CF!AS48)-SUM((AH32:AJ32)*(YEAR(AH30:AJ30)=YEAR(AK30)))</f>
        <v>684.50152000000026</v>
      </c>
      <c r="AL32" s="978">
        <f t="array" ref="AL32">(SUM((AI31:AL31)*(YEAR(AI30:AL30)=YEAR(AL30)))*CF!AT48)-SUM((AI32:AK32)*(YEAR(AI30:AK30)=YEAR(AL30)))</f>
        <v>693.33264000000008</v>
      </c>
      <c r="AM32" s="978">
        <f t="array" ref="AM32">(SUM((AJ31:AM31)*(YEAR(AJ30:AM30)=YEAR(AM30)))*CF!AU48)-SUM((AJ32:AL32)*(YEAR(AJ30:AL30)=YEAR(AM30)))</f>
        <v>726.75833999999986</v>
      </c>
      <c r="AN32" s="978">
        <f t="array" ref="AN32">(SUM((AK31:AN31)*(YEAR(AK30:AN30)=YEAR(AN30)))*CF!AV48)-SUM((AK32:AM32)*(YEAR(AK30:AM30)=YEAR(AN30)))</f>
        <v>668.07582000000002</v>
      </c>
      <c r="AO32" s="978">
        <f t="array" ref="AO32">(SUM((AL31:AO31)*(YEAR(AL30:AO30)=YEAR(AO30)))*CF!AW48)-SUM((AL32:AN32)*(YEAR(AL30:AN30)=YEAR(AO30)))</f>
        <v>813.07425000000012</v>
      </c>
      <c r="AP32" s="1287">
        <f t="array" ref="AP32">(SUM((AM31:AP31)*(YEAR(AM30:AP30)=YEAR(AP30)))*CF!AX48)-SUM((AM32:AO32)*(YEAR(AM30:AO30)=YEAR(AP30)))</f>
        <v>525.14891999999998</v>
      </c>
      <c r="AQ32" s="1287">
        <f t="array" ref="AQ32">(SUM((AN31:AQ31)*(YEAR(AN30:AQ30)=YEAR(AQ30)))*CF!AY48)-SUM((AN32:AP32)*(YEAR(AN30:AP30)=YEAR(AQ30)))</f>
        <v>148.18612000000007</v>
      </c>
      <c r="AR32" s="1287">
        <f t="array" ref="AR32">(SUM((AO31:AR31)*(YEAR(AO30:AR30)=YEAR(AR30)))*CF!AZ48)-SUM((AO32:AQ32)*(YEAR(AO30:AQ30)=YEAR(AR30)))</f>
        <v>318.8929119999998</v>
      </c>
      <c r="AS32" s="1287">
        <f t="array" ref="AS32">(SUM((AP31:AS31)*(YEAR(AP30:AS30)=YEAR(AS30)))*CF!BA48)-SUM((AP32:AR32)*(YEAR(AP30:AR30)=YEAR(AS30)))</f>
        <v>1085.2881240000002</v>
      </c>
      <c r="AT32" s="1287">
        <f t="array" ref="AT32">(SUM((AQ31:AT31)*(YEAR(AQ30:AT30)=YEAR(AT30)))*CF!BB48)-SUM((AQ32:AS32)*(YEAR(AQ30:AS30)=YEAR(AT30)))</f>
        <v>256.52787000000001</v>
      </c>
      <c r="AU32" s="1287">
        <f t="array" ref="AU32">(SUM((AR31:AU31)*(YEAR(AR30:AU30)=YEAR(AU30)))*CF!BC48)-SUM((AR32:AT32)*(YEAR(AR30:AT30)=YEAR(AU30)))</f>
        <v>141.78136999999998</v>
      </c>
      <c r="AV32" s="1287">
        <f t="array" ref="AV32">(SUM((AS31:AV31)*(YEAR(AS30:AV30)=YEAR(AV30)))*CF!BD48)-SUM((AS32:AU32)*(YEAR(AS30:AU30)=YEAR(AV30)))</f>
        <v>32.627200000000016</v>
      </c>
      <c r="AW32" s="1287">
        <f t="array" ref="AW32">(SUM((AT31:AW31)*(YEAR(AT30:AW30)=YEAR(AW30)))*CF!BE48)-SUM((AT32:AV32)*(YEAR(AT30:AV30)=YEAR(AW30)))</f>
        <v>111.68683200000004</v>
      </c>
      <c r="AX32" s="1287">
        <f t="array" ref="AX32">(SUM((AU31:AX31)*(YEAR(AU30:AX30)=YEAR(AX30)))*CF!BF48)-SUM((AU32:AW32)*(YEAR(AU30:AW30)=YEAR(AX30)))</f>
        <v>73.436481999999998</v>
      </c>
      <c r="AY32" s="1287">
        <f t="array" ref="AY32">(SUM((AV31:AY31)*(YEAR(AV30:AY30)=YEAR(AY30)))*CF!BG48)-SUM((AV32:AX32)*(YEAR(AV30:AX30)=YEAR(AY30)))</f>
        <v>142.919758</v>
      </c>
      <c r="AZ32" s="1287">
        <f t="array" ref="AZ32">(SUM((AW31:AZ31)*(YEAR(AW30:AZ30)=YEAR(AZ30)))*CF!BH48)-SUM((AW32:AY32)*(YEAR(AW30:AY30)=YEAR(AZ30)))</f>
        <v>176.08535599999999</v>
      </c>
      <c r="BA32" s="1287">
        <f t="array" ref="BA32">(SUM((AX31:BA31)*(YEAR(AX30:BA30)=YEAR(BA30)))*CF!BI48)-SUM((AX32:AZ32)*(YEAR(AX30:AZ30)=YEAR(BA30)))</f>
        <v>317.80628100000001</v>
      </c>
      <c r="BB32" s="1287">
        <f t="array" ref="BB32">(SUM((AY31:BB31)*(YEAR(AY30:BB30)=YEAR(BB30)))*CF!BJ48)-SUM((AY32:BA32)*(YEAR(AY30:BA30)=YEAR(BB30)))</f>
        <v>313.69750999999997</v>
      </c>
      <c r="BC32" s="1287">
        <f t="array" ref="BC32">(SUM((AZ31:BC31)*(YEAR(AZ30:BC30)=YEAR(BC30)))*CF!BK48)-SUM((AZ32:BB32)*(YEAR(AZ30:BB30)=YEAR(BC30)))</f>
        <v>357.10129000000006</v>
      </c>
      <c r="BD32" s="1287">
        <f t="array" ref="BD32">(SUM((BA31:BD31)*(YEAR(BA30:BD30)=YEAR(BD30)))*CF!BL48)-SUM((BA32:BC32)*(YEAR(BA30:BC30)=YEAR(BD30)))</f>
        <v>434.33458199999995</v>
      </c>
      <c r="BE32" s="1287">
        <f t="array" ref="BE32">(SUM((BB31:BE31)*(YEAR(BB30:BE30)=YEAR(BE30)))*CF!BM48)-SUM((BB32:BD32)*(YEAR(BB30:BD30)=YEAR(BE30)))</f>
        <v>851.01190800000018</v>
      </c>
      <c r="BF32" s="1287">
        <f t="array" ref="BF32">(SUM((BC31:BF31)*(YEAR(BC30:BF30)=YEAR(BF30)))*CF!BN48)-SUM((BC32:BE32)*(YEAR(BC30:BE30)=YEAR(BF30)))</f>
        <v>431.46470699999998</v>
      </c>
      <c r="BG32" s="1287">
        <f t="array" ref="BG32">(SUM((BD31:BG31)*(YEAR(BD30:BG30)=YEAR(BG30)))*CF!BO48)-SUM((BD32:BF32)*(YEAR(BD30:BF30)=YEAR(BG30)))</f>
        <v>793.64696100000003</v>
      </c>
      <c r="BH32" s="1287">
        <f t="array" ref="BH32">(SUM((BE31:BH31)*(YEAR(BE30:BH30)=YEAR(BH30)))*CF!BP48)-SUM((BE32:BG32)*(YEAR(BE30:BG30)=YEAR(BH30)))</f>
        <v>1062.9420719999998</v>
      </c>
      <c r="BI32" s="1287">
        <f t="array" ref="BI32">(SUM((BF31:BI31)*(YEAR(BF30:BI30)=YEAR(BI30)))*CF!BQ48)-SUM((BF32:BH32)*(YEAR(BF30:BH30)=YEAR(BI30)))</f>
        <v>2.6683800000005249</v>
      </c>
      <c r="BJ32" s="1287" cm="1">
        <f t="array" ref="BJ32">(SUM((BG31:BJ31)*(YEAR(BG30:BJ30)=YEAR(BJ30)))*CF!BR48)-SUM((BG32:BI32)*(YEAR(BG30:BI30)=YEAR(BJ30)))</f>
        <v>552.23523999999998</v>
      </c>
      <c r="BK32" s="1338" cm="1">
        <f t="array" ref="BK32">(SUM((BH31:BK31)*(YEAR(BH30:BK30)=YEAR(BK30)))*CF!BS48)-SUM((BH32:BJ32)*(YEAR(BH30:BJ30)=YEAR(BK30)))</f>
        <v>727.09708000000001</v>
      </c>
      <c r="BL32" s="848">
        <f t="shared" ref="BL32:BQ32" si="68">BL34*BL33</f>
        <v>458.84999999999997</v>
      </c>
      <c r="BM32" s="848">
        <f t="shared" si="68"/>
        <v>700.34999999999991</v>
      </c>
      <c r="BN32" s="848">
        <f t="shared" si="68"/>
        <v>391</v>
      </c>
      <c r="BO32" s="848">
        <f t="shared" si="68"/>
        <v>391</v>
      </c>
      <c r="BP32" s="848">
        <f t="shared" si="68"/>
        <v>391</v>
      </c>
      <c r="BQ32" s="848">
        <f t="shared" si="68"/>
        <v>851</v>
      </c>
      <c r="BR32" s="848">
        <f t="shared" ref="BR32:CK32" si="69">BR34*BR33</f>
        <v>310.02556048117083</v>
      </c>
      <c r="BS32" s="848">
        <f t="shared" si="69"/>
        <v>310.02556048117083</v>
      </c>
      <c r="BT32" s="848">
        <f t="shared" si="69"/>
        <v>310.02556048117083</v>
      </c>
      <c r="BU32" s="848">
        <f t="shared" si="69"/>
        <v>715.44360111039418</v>
      </c>
      <c r="BV32" s="848">
        <f t="shared" si="69"/>
        <v>296.73017180858483</v>
      </c>
      <c r="BW32" s="848">
        <f t="shared" si="69"/>
        <v>296.73017180858483</v>
      </c>
      <c r="BX32" s="848">
        <f t="shared" si="69"/>
        <v>296.73017180858483</v>
      </c>
      <c r="BY32" s="848">
        <f t="shared" si="69"/>
        <v>618.18785793455174</v>
      </c>
      <c r="BZ32" s="848">
        <f t="shared" si="69"/>
        <v>240.78680832911903</v>
      </c>
      <c r="CA32" s="848">
        <f t="shared" si="69"/>
        <v>240.78680832911903</v>
      </c>
      <c r="CB32" s="848">
        <f t="shared" si="69"/>
        <v>240.78680832911903</v>
      </c>
      <c r="CC32" s="848">
        <f t="shared" si="69"/>
        <v>501.63918401899792</v>
      </c>
      <c r="CD32" s="848">
        <f t="shared" si="69"/>
        <v>249.6657699287872</v>
      </c>
      <c r="CE32" s="848">
        <f t="shared" si="69"/>
        <v>249.6657699287872</v>
      </c>
      <c r="CF32" s="848">
        <f t="shared" si="69"/>
        <v>249.6657699287872</v>
      </c>
      <c r="CG32" s="848">
        <f t="shared" si="69"/>
        <v>520.13702068497332</v>
      </c>
      <c r="CH32" s="848">
        <f t="shared" si="69"/>
        <v>215.72678443460231</v>
      </c>
      <c r="CI32" s="848">
        <f t="shared" si="69"/>
        <v>215.72678443460231</v>
      </c>
      <c r="CJ32" s="848">
        <f t="shared" si="69"/>
        <v>215.72678443460231</v>
      </c>
      <c r="CK32" s="848">
        <f t="shared" si="69"/>
        <v>453.02624731266485</v>
      </c>
      <c r="CL32" s="848">
        <f t="shared" ref="CL32:CP32" si="70">CL34*CL33</f>
        <v>223.68166306066317</v>
      </c>
      <c r="CM32" s="848">
        <f t="shared" si="70"/>
        <v>223.68166306066317</v>
      </c>
      <c r="CN32" s="848">
        <f t="shared" si="70"/>
        <v>223.68166306066317</v>
      </c>
      <c r="CO32" s="848">
        <f t="shared" si="70"/>
        <v>469.73149242739265</v>
      </c>
      <c r="CP32" s="848">
        <f t="shared" si="70"/>
        <v>231.92987611954015</v>
      </c>
      <c r="CQ32" s="848">
        <f t="shared" ref="CQ32:CT32" si="71">CQ34*CQ33</f>
        <v>231.92987611954015</v>
      </c>
      <c r="CR32" s="848">
        <f t="shared" si="71"/>
        <v>231.92987611954015</v>
      </c>
      <c r="CS32" s="848">
        <f t="shared" si="71"/>
        <v>487.05273985103435</v>
      </c>
      <c r="CT32" s="848">
        <f t="shared" si="71"/>
        <v>240.48224025514702</v>
      </c>
      <c r="CU32" s="848">
        <f t="shared" ref="CU32:CW32" si="72">CU34*CU33</f>
        <v>240.48224025514702</v>
      </c>
      <c r="CV32" s="848">
        <f t="shared" si="72"/>
        <v>240.48224025514702</v>
      </c>
      <c r="CW32" s="848">
        <f t="shared" si="72"/>
        <v>384.77158440823524</v>
      </c>
    </row>
    <row r="33" spans="1:101" s="374" customFormat="1">
      <c r="A33" s="855" t="s">
        <v>967</v>
      </c>
      <c r="B33" s="979"/>
      <c r="C33" s="978">
        <f>Q_IS!C229</f>
        <v>3</v>
      </c>
      <c r="D33" s="978">
        <f>Q_IS!D229</f>
        <v>-3</v>
      </c>
      <c r="E33" s="978">
        <f>Q_IS!E229</f>
        <v>12</v>
      </c>
      <c r="F33" s="978">
        <f>Q_IS!F229</f>
        <v>2</v>
      </c>
      <c r="G33" s="978">
        <f>Q_IS!G229</f>
        <v>15</v>
      </c>
      <c r="H33" s="978">
        <f>Q_IS!H229</f>
        <v>6</v>
      </c>
      <c r="I33" s="978">
        <f>Q_IS!I229</f>
        <v>36</v>
      </c>
      <c r="J33" s="978">
        <f>Q_IS!J229</f>
        <v>5</v>
      </c>
      <c r="K33" s="978">
        <f>Q_IS!K229</f>
        <v>15</v>
      </c>
      <c r="L33" s="978">
        <f>Q_IS!L229</f>
        <v>9</v>
      </c>
      <c r="M33" s="978">
        <f>Q_IS!M229</f>
        <v>37</v>
      </c>
      <c r="N33" s="978">
        <f>Q_IS!N229</f>
        <v>45</v>
      </c>
      <c r="O33" s="978">
        <f>Q_IS!O229</f>
        <v>-1</v>
      </c>
      <c r="P33" s="978">
        <f>Q_IS!P229</f>
        <v>21</v>
      </c>
      <c r="Q33" s="978">
        <f>Q_IS!Q229</f>
        <v>19</v>
      </c>
      <c r="R33" s="978">
        <f>Q_IS!R229</f>
        <v>8</v>
      </c>
      <c r="S33" s="978">
        <f>Q_IS!S229</f>
        <v>116</v>
      </c>
      <c r="T33" s="978">
        <f>Q_IS!T229</f>
        <v>86</v>
      </c>
      <c r="U33" s="978">
        <f>Q_IS!U229</f>
        <v>40</v>
      </c>
      <c r="V33" s="978">
        <f>Q_IS!V229</f>
        <v>16</v>
      </c>
      <c r="W33" s="978">
        <f>Q_IS!W229</f>
        <v>352</v>
      </c>
      <c r="X33" s="978">
        <f>Q_IS!X229</f>
        <v>37</v>
      </c>
      <c r="Y33" s="978">
        <f>Q_IS!Y229</f>
        <v>345</v>
      </c>
      <c r="Z33" s="978">
        <f>Q_IS!Z229</f>
        <v>-1</v>
      </c>
      <c r="AA33" s="978">
        <f>Q_IS!AA229</f>
        <v>38</v>
      </c>
      <c r="AB33" s="978">
        <f>Q_IS!AB229</f>
        <v>54</v>
      </c>
      <c r="AC33" s="978">
        <f>Q_IS!AC229</f>
        <v>31</v>
      </c>
      <c r="AD33" s="978">
        <f>Q_IS!AD229</f>
        <v>50</v>
      </c>
      <c r="AE33" s="978">
        <f>Q_IS!AE229</f>
        <v>30</v>
      </c>
      <c r="AF33" s="978">
        <f>Q_IS!AF229</f>
        <v>62</v>
      </c>
      <c r="AG33" s="978">
        <f>Q_IS!AG229</f>
        <v>77</v>
      </c>
      <c r="AH33" s="978">
        <f>Q_IS!AH229</f>
        <v>51</v>
      </c>
      <c r="AI33" s="978">
        <f>Q_IS!AI229</f>
        <v>44</v>
      </c>
      <c r="AJ33" s="978">
        <f>Q_IS!AJ229</f>
        <v>54</v>
      </c>
      <c r="AK33" s="978">
        <f>Q_IS!AK229</f>
        <v>65</v>
      </c>
      <c r="AL33" s="978">
        <f>Q_IS!AL229</f>
        <v>21</v>
      </c>
      <c r="AM33" s="978">
        <f>Q_IS!AM229</f>
        <v>56</v>
      </c>
      <c r="AN33" s="978">
        <f>Q_IS!AN229</f>
        <v>63</v>
      </c>
      <c r="AO33" s="978">
        <f>Q_IS!AO229</f>
        <v>91</v>
      </c>
      <c r="AP33" s="978">
        <f>Q_IS!AP229</f>
        <v>462</v>
      </c>
      <c r="AQ33" s="978">
        <f>Q_IS!AQ229</f>
        <v>6</v>
      </c>
      <c r="AR33" s="978">
        <f>Q_IS!AR229</f>
        <v>7</v>
      </c>
      <c r="AS33" s="978">
        <f>Q_IS!AS229</f>
        <v>-3</v>
      </c>
      <c r="AT33" s="978">
        <f>Q_IS!AT229</f>
        <v>-7</v>
      </c>
      <c r="AU33" s="978">
        <f>Q_IS!AU229</f>
        <v>-54</v>
      </c>
      <c r="AV33" s="978">
        <f>Q_IS!AV229</f>
        <v>-23</v>
      </c>
      <c r="AW33" s="978">
        <f>Q_IS!AW229</f>
        <v>-51</v>
      </c>
      <c r="AX33" s="978">
        <f>Q_IS!AX229</f>
        <v>-10</v>
      </c>
      <c r="AY33" s="978">
        <f>Q_IS!AY229</f>
        <v>2</v>
      </c>
      <c r="AZ33" s="978">
        <f>Q_IS!AZ229</f>
        <v>-12</v>
      </c>
      <c r="BA33" s="978">
        <f>Q_IS!BA229</f>
        <v>25</v>
      </c>
      <c r="BB33" s="978">
        <f>Q_IS!BB229</f>
        <v>20</v>
      </c>
      <c r="BC33" s="978">
        <f>Q_IS!BC229</f>
        <v>29</v>
      </c>
      <c r="BD33" s="978">
        <f>Q_IS!BD229</f>
        <v>24</v>
      </c>
      <c r="BE33" s="978">
        <f>Q_IS!BE229</f>
        <v>74</v>
      </c>
      <c r="BF33" s="978">
        <f>Q_IS!BF229</f>
        <v>5</v>
      </c>
      <c r="BG33" s="978">
        <f>Q_IS!BG229</f>
        <v>19</v>
      </c>
      <c r="BH33" s="978">
        <f>Q_IS!BH229</f>
        <v>20</v>
      </c>
      <c r="BI33" s="978">
        <f>Q_IS!BI229</f>
        <v>72</v>
      </c>
      <c r="BJ33" s="978">
        <f>Q_IS!BJ229</f>
        <v>19</v>
      </c>
      <c r="BK33" s="1339">
        <f>Q_IS!BK229</f>
        <v>38</v>
      </c>
      <c r="BL33" s="848">
        <f>Q_IS!BL229</f>
        <v>19</v>
      </c>
      <c r="BM33" s="848">
        <f>Q_IS!BM229</f>
        <v>29</v>
      </c>
      <c r="BN33" s="848">
        <f>Q_IS!BN229</f>
        <v>17</v>
      </c>
      <c r="BO33" s="848">
        <f>Q_IS!BO229</f>
        <v>17</v>
      </c>
      <c r="BP33" s="848">
        <f>Q_IS!BP229</f>
        <v>17</v>
      </c>
      <c r="BQ33" s="848">
        <f>Q_IS!BQ229</f>
        <v>37</v>
      </c>
      <c r="BR33" s="848">
        <f>Q_IS!BR229</f>
        <v>13</v>
      </c>
      <c r="BS33" s="848">
        <f>Q_IS!BS229</f>
        <v>13</v>
      </c>
      <c r="BT33" s="848">
        <f>Q_IS!BT229</f>
        <v>13</v>
      </c>
      <c r="BU33" s="848">
        <f>Q_IS!BU229</f>
        <v>30</v>
      </c>
      <c r="BV33" s="848">
        <f>Q_IS!BV229</f>
        <v>12</v>
      </c>
      <c r="BW33" s="848">
        <f>Q_IS!BW229</f>
        <v>12</v>
      </c>
      <c r="BX33" s="848">
        <f>Q_IS!BX229</f>
        <v>12</v>
      </c>
      <c r="BY33" s="848">
        <f>Q_IS!BY229</f>
        <v>25</v>
      </c>
      <c r="BZ33" s="848">
        <f>Q_IS!BZ229</f>
        <v>12</v>
      </c>
      <c r="CA33" s="848">
        <f>Q_IS!CA229</f>
        <v>12</v>
      </c>
      <c r="CB33" s="848">
        <f>Q_IS!CB229</f>
        <v>12</v>
      </c>
      <c r="CC33" s="848">
        <f>Q_IS!CC229</f>
        <v>25</v>
      </c>
      <c r="CD33" s="848">
        <f>Q_IS!CD229</f>
        <v>12</v>
      </c>
      <c r="CE33" s="848">
        <f>Q_IS!CE229</f>
        <v>12</v>
      </c>
      <c r="CF33" s="848">
        <f>Q_IS!CF229</f>
        <v>12</v>
      </c>
      <c r="CG33" s="848">
        <f>Q_IS!CG229</f>
        <v>25</v>
      </c>
      <c r="CH33" s="848">
        <f>Q_IS!CH229</f>
        <v>10</v>
      </c>
      <c r="CI33" s="848">
        <f>Q_IS!CI229</f>
        <v>10</v>
      </c>
      <c r="CJ33" s="848">
        <f>Q_IS!CJ229</f>
        <v>10</v>
      </c>
      <c r="CK33" s="848">
        <f>Q_IS!CK229</f>
        <v>21</v>
      </c>
      <c r="CL33" s="848">
        <f>Q_IS!CL229</f>
        <v>10</v>
      </c>
      <c r="CM33" s="848">
        <f>Q_IS!CM229</f>
        <v>10</v>
      </c>
      <c r="CN33" s="848">
        <f>Q_IS!CN229</f>
        <v>10</v>
      </c>
      <c r="CO33" s="848">
        <f>Q_IS!CO229</f>
        <v>21</v>
      </c>
      <c r="CP33" s="848">
        <f>Q_IS!CP229</f>
        <v>10</v>
      </c>
      <c r="CQ33" s="848">
        <f>Q_IS!CQ229</f>
        <v>10</v>
      </c>
      <c r="CR33" s="848">
        <f>Q_IS!CR229</f>
        <v>10</v>
      </c>
      <c r="CS33" s="848">
        <f>Q_IS!CS229</f>
        <v>21</v>
      </c>
      <c r="CT33" s="848">
        <f>Q_IS!CT229</f>
        <v>10</v>
      </c>
      <c r="CU33" s="848">
        <f>Q_IS!CU229</f>
        <v>10</v>
      </c>
      <c r="CV33" s="848">
        <f>Q_IS!CV229</f>
        <v>10</v>
      </c>
      <c r="CW33" s="848">
        <f>Q_IS!CW229</f>
        <v>16</v>
      </c>
    </row>
    <row r="34" spans="1:101" s="852" customFormat="1">
      <c r="A34" s="856" t="s">
        <v>922</v>
      </c>
      <c r="B34" s="971">
        <v>0</v>
      </c>
      <c r="C34" s="971">
        <f t="shared" ref="C34:AJ34" si="73">C32/C33</f>
        <v>0</v>
      </c>
      <c r="D34" s="971">
        <v>0</v>
      </c>
      <c r="E34" s="971">
        <f t="shared" si="73"/>
        <v>0</v>
      </c>
      <c r="F34" s="971">
        <v>0</v>
      </c>
      <c r="G34" s="971">
        <f t="shared" si="73"/>
        <v>10.569766399999999</v>
      </c>
      <c r="H34" s="971">
        <v>0</v>
      </c>
      <c r="I34" s="971">
        <f t="shared" si="73"/>
        <v>4.6928785833333331</v>
      </c>
      <c r="J34" s="971">
        <f t="shared" si="73"/>
        <v>21.276468000000001</v>
      </c>
      <c r="K34" s="971">
        <f t="shared" si="73"/>
        <v>9.7870668666666667</v>
      </c>
      <c r="L34" s="971">
        <f t="shared" si="73"/>
        <v>21.871000999999993</v>
      </c>
      <c r="M34" s="971">
        <f t="shared" si="73"/>
        <v>9.1838207567567576</v>
      </c>
      <c r="N34" s="971">
        <f t="shared" si="73"/>
        <v>1.7268209777777779</v>
      </c>
      <c r="O34" s="971">
        <f t="shared" si="73"/>
        <v>-230.17671599999994</v>
      </c>
      <c r="P34" s="971">
        <f t="shared" si="73"/>
        <v>8.330737142857144</v>
      </c>
      <c r="Q34" s="971">
        <f t="shared" si="73"/>
        <v>14.590789999999997</v>
      </c>
      <c r="R34" s="971">
        <f t="shared" si="73"/>
        <v>8.4623425000000001</v>
      </c>
      <c r="S34" s="971">
        <f t="shared" si="73"/>
        <v>3.2041732068965514</v>
      </c>
      <c r="T34" s="971">
        <f t="shared" si="73"/>
        <v>0.4610107674418612</v>
      </c>
      <c r="U34" s="971">
        <f t="shared" si="73"/>
        <v>10.901738499999999</v>
      </c>
      <c r="V34" s="971">
        <f t="shared" si="73"/>
        <v>13.81404</v>
      </c>
      <c r="W34" s="971">
        <f t="shared" si="73"/>
        <v>1.3225474346590909</v>
      </c>
      <c r="X34" s="971">
        <f t="shared" si="73"/>
        <v>14.006065972972978</v>
      </c>
      <c r="Y34" s="971">
        <f t="shared" si="73"/>
        <v>1.4089555710144916</v>
      </c>
      <c r="Z34" s="971">
        <f t="shared" si="73"/>
        <v>-646.83539299999995</v>
      </c>
      <c r="AA34" s="971">
        <f t="shared" si="73"/>
        <v>11.196104789473683</v>
      </c>
      <c r="AB34" s="971">
        <f t="shared" si="73"/>
        <v>7.2975072222222215</v>
      </c>
      <c r="AC34" s="971">
        <f t="shared" si="73"/>
        <v>17.208880483870981</v>
      </c>
      <c r="AD34" s="971">
        <f t="shared" si="73"/>
        <v>7.2803051999999999</v>
      </c>
      <c r="AE34" s="971">
        <f t="shared" si="73"/>
        <v>20.265415000000001</v>
      </c>
      <c r="AF34" s="971">
        <f t="shared" si="73"/>
        <v>14.432713064516122</v>
      </c>
      <c r="AG34" s="971">
        <f t="shared" si="73"/>
        <v>9.7914161038961058</v>
      </c>
      <c r="AH34" s="971">
        <f t="shared" si="73"/>
        <v>16.374418823529414</v>
      </c>
      <c r="AI34" s="971">
        <f t="shared" si="73"/>
        <v>12.198720000000002</v>
      </c>
      <c r="AJ34" s="971">
        <f t="shared" si="73"/>
        <v>12.270244074074075</v>
      </c>
      <c r="AK34" s="971">
        <f t="shared" ref="AK34:AQ34" si="74">AK32/AK33</f>
        <v>10.53079261538462</v>
      </c>
      <c r="AL34" s="971">
        <f t="shared" si="74"/>
        <v>33.015840000000004</v>
      </c>
      <c r="AM34" s="971">
        <f t="shared" si="74"/>
        <v>12.977827499999998</v>
      </c>
      <c r="AN34" s="971">
        <f t="shared" si="74"/>
        <v>10.604378095238095</v>
      </c>
      <c r="AO34" s="971">
        <f t="shared" si="74"/>
        <v>8.9348818681318694</v>
      </c>
      <c r="AP34" s="971">
        <f t="shared" si="74"/>
        <v>1.136685974025974</v>
      </c>
      <c r="AQ34" s="971">
        <f t="shared" si="74"/>
        <v>24.69768666666668</v>
      </c>
      <c r="AR34" s="971">
        <f t="shared" ref="AR34:BC34" si="75">AR32/AR33</f>
        <v>45.556130285714254</v>
      </c>
      <c r="AS34" s="971">
        <f t="shared" si="75"/>
        <v>-361.76270800000003</v>
      </c>
      <c r="AT34" s="971">
        <f t="shared" si="75"/>
        <v>-36.646838571428574</v>
      </c>
      <c r="AU34" s="971">
        <f t="shared" si="75"/>
        <v>-2.6255809259259255</v>
      </c>
      <c r="AV34" s="971">
        <f t="shared" si="75"/>
        <v>-1.4185739130434789</v>
      </c>
      <c r="AW34" s="971">
        <f t="shared" si="75"/>
        <v>-2.1899378823529418</v>
      </c>
      <c r="AX34" s="971">
        <f t="shared" si="75"/>
        <v>-7.3436481999999996</v>
      </c>
      <c r="AY34" s="971">
        <f t="shared" si="75"/>
        <v>71.459879000000001</v>
      </c>
      <c r="AZ34" s="971">
        <f t="shared" si="75"/>
        <v>-14.673779666666666</v>
      </c>
      <c r="BA34" s="971">
        <f t="shared" si="75"/>
        <v>12.712251240000001</v>
      </c>
      <c r="BB34" s="971">
        <f t="shared" si="75"/>
        <v>15.684875499999999</v>
      </c>
      <c r="BC34" s="971">
        <f t="shared" si="75"/>
        <v>12.313837586206899</v>
      </c>
      <c r="BD34" s="971">
        <f t="shared" ref="BD34:BI34" si="76">BD32/BD33</f>
        <v>18.097274249999998</v>
      </c>
      <c r="BE34" s="971">
        <f t="shared" si="76"/>
        <v>11.500160918918921</v>
      </c>
      <c r="BF34" s="971">
        <f t="shared" si="76"/>
        <v>86.292941399999989</v>
      </c>
      <c r="BG34" s="971">
        <f t="shared" si="76"/>
        <v>41.77089268421053</v>
      </c>
      <c r="BH34" s="971">
        <f t="shared" si="76"/>
        <v>53.147103599999994</v>
      </c>
      <c r="BI34" s="971">
        <f t="shared" si="76"/>
        <v>3.706083333334062E-2</v>
      </c>
      <c r="BJ34" s="971">
        <f t="shared" ref="BJ34:BK34" si="77">BJ32/BJ33</f>
        <v>29.065012631578945</v>
      </c>
      <c r="BK34" s="1340">
        <f t="shared" si="77"/>
        <v>19.134133684210525</v>
      </c>
      <c r="BL34" s="851">
        <f>Inputs!BL270</f>
        <v>24.15</v>
      </c>
      <c r="BM34" s="851">
        <f>Inputs!BM270</f>
        <v>24.15</v>
      </c>
      <c r="BN34" s="851">
        <f>Inputs!BN270</f>
        <v>23</v>
      </c>
      <c r="BO34" s="851">
        <f>Inputs!BO270</f>
        <v>23</v>
      </c>
      <c r="BP34" s="851">
        <f>Inputs!BP270</f>
        <v>23</v>
      </c>
      <c r="BQ34" s="851">
        <f>Inputs!BQ270</f>
        <v>23</v>
      </c>
      <c r="BR34" s="851">
        <f>Inputs!BR270</f>
        <v>23.848120037013139</v>
      </c>
      <c r="BS34" s="851">
        <f>Inputs!BS270</f>
        <v>23.848120037013139</v>
      </c>
      <c r="BT34" s="851">
        <f>Inputs!BT270</f>
        <v>23.848120037013139</v>
      </c>
      <c r="BU34" s="851">
        <f>Inputs!BU270</f>
        <v>23.848120037013139</v>
      </c>
      <c r="BV34" s="851">
        <f>Inputs!BV270</f>
        <v>24.72751431738207</v>
      </c>
      <c r="BW34" s="851">
        <f>Inputs!BW270</f>
        <v>24.72751431738207</v>
      </c>
      <c r="BX34" s="851">
        <f>Inputs!BX270</f>
        <v>24.72751431738207</v>
      </c>
      <c r="BY34" s="851">
        <f>Inputs!BY270</f>
        <v>24.72751431738207</v>
      </c>
      <c r="BZ34" s="851">
        <f>Inputs!BZ270</f>
        <v>20.065567360759918</v>
      </c>
      <c r="CA34" s="851">
        <f>Inputs!CA270</f>
        <v>20.065567360759918</v>
      </c>
      <c r="CB34" s="851">
        <f>Inputs!CB270</f>
        <v>20.065567360759918</v>
      </c>
      <c r="CC34" s="851">
        <f>Inputs!CC270</f>
        <v>20.065567360759918</v>
      </c>
      <c r="CD34" s="851">
        <f>Inputs!CD270</f>
        <v>20.805480827398934</v>
      </c>
      <c r="CE34" s="851">
        <f>Inputs!CE270</f>
        <v>20.805480827398934</v>
      </c>
      <c r="CF34" s="851">
        <f>Inputs!CF270</f>
        <v>20.805480827398934</v>
      </c>
      <c r="CG34" s="851">
        <f>Inputs!CG270</f>
        <v>20.805480827398934</v>
      </c>
      <c r="CH34" s="851">
        <f>Inputs!CH270</f>
        <v>21.57267844346023</v>
      </c>
      <c r="CI34" s="851">
        <f>Inputs!CI270</f>
        <v>21.57267844346023</v>
      </c>
      <c r="CJ34" s="851">
        <f>Inputs!CJ270</f>
        <v>21.57267844346023</v>
      </c>
      <c r="CK34" s="851">
        <f>Inputs!CK270</f>
        <v>21.57267844346023</v>
      </c>
      <c r="CL34" s="851">
        <f>Inputs!CL270</f>
        <v>22.368166306066318</v>
      </c>
      <c r="CM34" s="851">
        <f>Inputs!CM270</f>
        <v>22.368166306066318</v>
      </c>
      <c r="CN34" s="851">
        <f>Inputs!CN270</f>
        <v>22.368166306066318</v>
      </c>
      <c r="CO34" s="851">
        <f>Inputs!CO270</f>
        <v>22.368166306066318</v>
      </c>
      <c r="CP34" s="851">
        <f>Inputs!CP270</f>
        <v>23.192987611954017</v>
      </c>
      <c r="CQ34" s="851">
        <f>Inputs!CQ270</f>
        <v>23.192987611954017</v>
      </c>
      <c r="CR34" s="851">
        <f>Inputs!CR270</f>
        <v>23.192987611954017</v>
      </c>
      <c r="CS34" s="851">
        <f>Inputs!CS270</f>
        <v>23.192987611954017</v>
      </c>
      <c r="CT34" s="851">
        <f>Inputs!CT270</f>
        <v>24.048224025514703</v>
      </c>
      <c r="CU34" s="851">
        <f>Inputs!CU270</f>
        <v>24.048224025514703</v>
      </c>
      <c r="CV34" s="851">
        <f>Inputs!CV270</f>
        <v>24.048224025514703</v>
      </c>
      <c r="CW34" s="851">
        <f>Inputs!CW270</f>
        <v>24.048224025514703</v>
      </c>
    </row>
    <row r="35" spans="1:101" s="374" customFormat="1">
      <c r="A35" s="854" t="s">
        <v>912</v>
      </c>
      <c r="B35" s="978">
        <f t="shared" ref="B35:AL35" si="78">B31-B32</f>
        <v>62.723999999999997</v>
      </c>
      <c r="C35" s="978">
        <f t="shared" si="78"/>
        <v>52.923999999999999</v>
      </c>
      <c r="D35" s="978">
        <f t="shared" si="78"/>
        <v>-12.967999999999989</v>
      </c>
      <c r="E35" s="978">
        <f t="shared" si="78"/>
        <v>20.766999999999989</v>
      </c>
      <c r="F35" s="978">
        <f t="shared" si="78"/>
        <v>2.4422399999999982</v>
      </c>
      <c r="G35" s="978">
        <f t="shared" si="78"/>
        <v>14.461503999999991</v>
      </c>
      <c r="H35" s="978">
        <f t="shared" si="78"/>
        <v>16.037120000000016</v>
      </c>
      <c r="I35" s="978">
        <f t="shared" si="78"/>
        <v>11.725370999999996</v>
      </c>
      <c r="J35" s="978">
        <f t="shared" si="78"/>
        <v>52.872659999999996</v>
      </c>
      <c r="K35" s="978">
        <f t="shared" si="78"/>
        <v>81.669996999999995</v>
      </c>
      <c r="L35" s="978">
        <f t="shared" si="78"/>
        <v>24.397991000000019</v>
      </c>
      <c r="M35" s="978">
        <f t="shared" si="78"/>
        <v>9.7606319999999869</v>
      </c>
      <c r="N35" s="978">
        <f t="shared" si="78"/>
        <v>0.46905599999999481</v>
      </c>
      <c r="O35" s="978">
        <f t="shared" si="78"/>
        <v>5.8142840000000433</v>
      </c>
      <c r="P35" s="978">
        <f t="shared" si="78"/>
        <v>8.6495199999999954</v>
      </c>
      <c r="Q35" s="978">
        <f t="shared" si="78"/>
        <v>25.069990000000075</v>
      </c>
      <c r="R35" s="978">
        <f t="shared" si="78"/>
        <v>25.039259999999999</v>
      </c>
      <c r="S35" s="978">
        <f t="shared" si="78"/>
        <v>-0.93809199999998327</v>
      </c>
      <c r="T35" s="978">
        <f t="shared" si="78"/>
        <v>-11.313926000000038</v>
      </c>
      <c r="U35" s="978">
        <f t="shared" si="78"/>
        <v>11.640460000000019</v>
      </c>
      <c r="V35" s="978">
        <f t="shared" si="78"/>
        <v>9.2093600000000038</v>
      </c>
      <c r="W35" s="978">
        <f t="shared" si="78"/>
        <v>59.522302999999965</v>
      </c>
      <c r="X35" s="978">
        <f t="shared" si="78"/>
        <v>40.31655899999987</v>
      </c>
      <c r="Y35" s="978">
        <f t="shared" si="78"/>
        <v>249.62232800000004</v>
      </c>
      <c r="Z35" s="978">
        <f t="shared" si="78"/>
        <v>57.011607000000026</v>
      </c>
      <c r="AA35" s="978">
        <f t="shared" si="78"/>
        <v>333.57601800000009</v>
      </c>
      <c r="AB35" s="978">
        <f t="shared" si="78"/>
        <v>222.99261000000001</v>
      </c>
      <c r="AC35" s="978">
        <f t="shared" si="78"/>
        <v>371.4097049999998</v>
      </c>
      <c r="AD35" s="978">
        <f t="shared" si="78"/>
        <v>213.78674000000001</v>
      </c>
      <c r="AE35" s="978">
        <f t="shared" si="78"/>
        <v>264.94854999999995</v>
      </c>
      <c r="AF35" s="978">
        <f t="shared" si="78"/>
        <v>194.33079000000009</v>
      </c>
      <c r="AG35" s="978">
        <f t="shared" si="78"/>
        <v>801.10296000000017</v>
      </c>
      <c r="AH35" s="978">
        <f t="shared" si="78"/>
        <v>113.87663999999995</v>
      </c>
      <c r="AI35" s="978">
        <f t="shared" si="78"/>
        <v>592.82831999999985</v>
      </c>
      <c r="AJ35" s="978">
        <f t="shared" si="78"/>
        <v>295.32881999999995</v>
      </c>
      <c r="AK35" s="978">
        <f t="shared" si="78"/>
        <v>664.40948000000049</v>
      </c>
      <c r="AL35" s="978">
        <f t="shared" si="78"/>
        <v>207.09935999999993</v>
      </c>
      <c r="AM35" s="978">
        <f t="shared" ref="AM35:AR35" si="79">AM31-AM32</f>
        <v>217.08366000000001</v>
      </c>
      <c r="AN35" s="978">
        <f t="shared" si="79"/>
        <v>428.73018000000002</v>
      </c>
      <c r="AO35" s="978">
        <f t="shared" si="79"/>
        <v>332.10075000000006</v>
      </c>
      <c r="AP35" s="978">
        <f t="shared" si="79"/>
        <v>123.18308000000002</v>
      </c>
      <c r="AQ35" s="978">
        <f t="shared" si="79"/>
        <v>255.56787999999995</v>
      </c>
      <c r="AR35" s="978">
        <f t="shared" si="79"/>
        <v>293.83308800000009</v>
      </c>
      <c r="AS35" s="978">
        <f t="shared" ref="AS35:BC35" si="80">AS31-AS32</f>
        <v>589.95787599999994</v>
      </c>
      <c r="AT35" s="978">
        <f t="shared" si="80"/>
        <v>178.26513</v>
      </c>
      <c r="AU35" s="978">
        <f t="shared" si="80"/>
        <v>236.30162999999999</v>
      </c>
      <c r="AV35" s="978">
        <f t="shared" si="80"/>
        <v>133.89779999999996</v>
      </c>
      <c r="AW35" s="978">
        <f t="shared" si="80"/>
        <v>238.87116800000018</v>
      </c>
      <c r="AX35" s="978">
        <f t="shared" si="80"/>
        <v>202.64051799999999</v>
      </c>
      <c r="AY35" s="978">
        <f t="shared" si="80"/>
        <v>327.05924200000004</v>
      </c>
      <c r="AZ35" s="978">
        <f t="shared" si="80"/>
        <v>327.67264400000005</v>
      </c>
      <c r="BA35" s="978">
        <f t="shared" si="80"/>
        <v>745.89071899999988</v>
      </c>
      <c r="BB35" s="978">
        <f t="shared" si="80"/>
        <v>326.50148999999999</v>
      </c>
      <c r="BC35" s="978">
        <f t="shared" si="80"/>
        <v>493.36370999999997</v>
      </c>
      <c r="BD35" s="978">
        <f t="shared" ref="BD35:BI35" si="81">BD31-BD32</f>
        <v>348.93841799999984</v>
      </c>
      <c r="BE35" s="978">
        <f t="shared" si="81"/>
        <v>710.6300920000001</v>
      </c>
      <c r="BF35" s="978">
        <f t="shared" si="81"/>
        <v>128.15229299999999</v>
      </c>
      <c r="BG35" s="978">
        <f t="shared" si="81"/>
        <v>100.01203900000007</v>
      </c>
      <c r="BH35" s="978">
        <f t="shared" si="81"/>
        <v>197.96192799999994</v>
      </c>
      <c r="BI35" s="978">
        <f t="shared" si="81"/>
        <v>1525.2296200000001</v>
      </c>
      <c r="BJ35" s="978">
        <f>BJ31-BJ32</f>
        <v>338.46676000000002</v>
      </c>
      <c r="BK35" s="1339">
        <f t="shared" ref="BK35" si="82">BK31-BK32</f>
        <v>666.72291999999993</v>
      </c>
      <c r="BL35" s="848">
        <f>+BL36*Q_IS!BL245</f>
        <v>864.64274580729568</v>
      </c>
      <c r="BM35" s="848">
        <f>+BM36*Q_IS!BM245</f>
        <v>902.32031978706402</v>
      </c>
      <c r="BN35" s="848">
        <f>+BN36*Q_IS!BN245</f>
        <v>736.7288787776904</v>
      </c>
      <c r="BO35" s="848">
        <f>+BO36*Q_IS!BO245</f>
        <v>685.23891767394207</v>
      </c>
      <c r="BP35" s="848">
        <f>+BP36*Q_IS!BP245</f>
        <v>702.72207482727208</v>
      </c>
      <c r="BQ35" s="848">
        <f>+BQ36*Q_IS!BQ245</f>
        <v>726.89958169520889</v>
      </c>
      <c r="BR35" s="848">
        <f>+BR36*Q_IS!BR245</f>
        <v>815.35647794718761</v>
      </c>
      <c r="BS35" s="848">
        <f>+BS36*Q_IS!BS245</f>
        <v>752.97570922881482</v>
      </c>
      <c r="BT35" s="848">
        <f>+BT36*Q_IS!BT245</f>
        <v>772.04459501839528</v>
      </c>
      <c r="BU35" s="848">
        <f>+BU36*Q_IS!BU245</f>
        <v>798.35379112754219</v>
      </c>
      <c r="BV35" s="848">
        <f>+BV36*Q_IS!BV245</f>
        <v>886.88719440937041</v>
      </c>
      <c r="BW35" s="848">
        <f>+BW36*Q_IS!BW245</f>
        <v>820.87418067701753</v>
      </c>
      <c r="BX35" s="848">
        <f>+BX36*Q_IS!BX245</f>
        <v>841.97562596183911</v>
      </c>
      <c r="BY35" s="848">
        <f>+BY36*Q_IS!BY245</f>
        <v>871.57555595576343</v>
      </c>
      <c r="BZ35" s="848">
        <f>+BZ36*Q_IS!BZ245</f>
        <v>1192.3023755989159</v>
      </c>
      <c r="CA35" s="848">
        <f>+CA36*Q_IS!CA245</f>
        <v>1137.5478534504628</v>
      </c>
      <c r="CB35" s="848">
        <f>+CB36*Q_IS!CB245</f>
        <v>1167.6188473400659</v>
      </c>
      <c r="CC35" s="848">
        <f>+CC36*Q_IS!CC245</f>
        <v>1210.2053886394181</v>
      </c>
      <c r="CD35" s="848">
        <f>+CD36*Q_IS!CD245</f>
        <v>1325.5713001900642</v>
      </c>
      <c r="CE35" s="848">
        <f>+CE36*Q_IS!CE245</f>
        <v>1270.8719094505848</v>
      </c>
      <c r="CF35" s="848">
        <f>+CF36*Q_IS!CF245</f>
        <v>1305.3708287108166</v>
      </c>
      <c r="CG35" s="848">
        <f>+CG36*Q_IS!CG245</f>
        <v>1354.6489444478455</v>
      </c>
      <c r="CH35" s="848">
        <f>+CH36*Q_IS!CH245</f>
        <v>1468.823246615276</v>
      </c>
      <c r="CI35" s="848">
        <f>+CI36*Q_IS!CI245</f>
        <v>1413.6024217480763</v>
      </c>
      <c r="CJ35" s="848">
        <f>+CJ36*Q_IS!CJ245</f>
        <v>1452.3131327142007</v>
      </c>
      <c r="CK35" s="848">
        <f>+CK36*Q_IS!CK245</f>
        <v>1507.9257366684842</v>
      </c>
      <c r="CL35" s="848">
        <f>+CL36*Q_IS!CL245</f>
        <v>1619.9698735358647</v>
      </c>
      <c r="CM35" s="848">
        <f>+CM36*Q_IS!CM245</f>
        <v>1565.0440910221507</v>
      </c>
      <c r="CN35" s="848">
        <f>+CN36*Q_IS!CN245</f>
        <v>1609.0689713739102</v>
      </c>
      <c r="CO35" s="848">
        <f>+CO36*Q_IS!CO245</f>
        <v>1672.556391803869</v>
      </c>
      <c r="CP35" s="848">
        <f>+CP36*Q_IS!CP245</f>
        <v>1782.323957803593</v>
      </c>
      <c r="CQ35" s="848">
        <f>+CQ36*Q_IS!CQ245</f>
        <v>1727.7251852666086</v>
      </c>
      <c r="CR35" s="848">
        <f>+CR36*Q_IS!CR245</f>
        <v>1777.6623912010659</v>
      </c>
      <c r="CS35" s="848">
        <f>+CS36*Q_IS!CS245</f>
        <v>1849.8492455485859</v>
      </c>
      <c r="CT35" s="848">
        <f>+CT36*Q_IS!CT245</f>
        <v>1956.6628020977571</v>
      </c>
      <c r="CU35" s="848">
        <f>+CU36*Q_IS!CU245</f>
        <v>1902.3634205388582</v>
      </c>
      <c r="CV35" s="848">
        <f>+CV36*Q_IS!CV245</f>
        <v>1958.7313777684396</v>
      </c>
      <c r="CW35" s="848">
        <f>+CW36*Q_IS!CW245</f>
        <v>2039.3505897940499</v>
      </c>
    </row>
    <row r="36" spans="1:101" s="374" customFormat="1">
      <c r="A36" s="665" t="s">
        <v>33</v>
      </c>
      <c r="B36" s="980">
        <f>+B35/Q_IS!B245</f>
        <v>3.0096401185546011E-2</v>
      </c>
      <c r="C36" s="980">
        <f>+C35/Q_IS!C245</f>
        <v>2.55335614069029E-2</v>
      </c>
      <c r="D36" s="980">
        <f>+D35/Q_IS!D245</f>
        <v>-6.1181557025334534E-3</v>
      </c>
      <c r="E36" s="980">
        <f>+E35/Q_IS!E245</f>
        <v>8.9874676607829239E-3</v>
      </c>
      <c r="F36" s="980">
        <f>+F35/Q_IS!F245</f>
        <v>1.1652920244028813E-3</v>
      </c>
      <c r="G36" s="980">
        <f>+G35/Q_IS!G245</f>
        <v>6.6744376240365499E-3</v>
      </c>
      <c r="H36" s="980">
        <f>+H35/Q_IS!H245</f>
        <v>7.0495159181071972E-3</v>
      </c>
      <c r="I36" s="980">
        <f>+I35/Q_IS!I245</f>
        <v>4.7976208645100615E-3</v>
      </c>
      <c r="J36" s="980">
        <f>+J35/Q_IS!J245</f>
        <v>2.2060203342534702E-2</v>
      </c>
      <c r="K36" s="980">
        <f>+K35/Q_IS!K245</f>
        <v>3.1470265665002529E-2</v>
      </c>
      <c r="L36" s="980">
        <f>+L35/Q_IS!L245</f>
        <v>8.8118200073678717E-3</v>
      </c>
      <c r="M36" s="980">
        <f>+M35/Q_IS!M245</f>
        <v>3.3246561792364096E-3</v>
      </c>
      <c r="N36" s="980">
        <f>+N35/Q_IS!N245</f>
        <v>1.5835530011667429E-4</v>
      </c>
      <c r="O36" s="980">
        <f>+O35/Q_IS!O245</f>
        <v>1.6968253347520647E-3</v>
      </c>
      <c r="P36" s="980">
        <f>+P35/Q_IS!P245</f>
        <v>2.4695613244664011E-3</v>
      </c>
      <c r="Q36" s="980">
        <f>+Q35/Q_IS!Q245</f>
        <v>6.9092892909831879E-3</v>
      </c>
      <c r="R36" s="980">
        <f>+R35/Q_IS!R245</f>
        <v>7.3672054340041884E-3</v>
      </c>
      <c r="S36" s="980">
        <f>+S35/Q_IS!S245</f>
        <v>-2.4553352106865793E-4</v>
      </c>
      <c r="T36" s="980">
        <f>+T35/Q_IS!T245</f>
        <v>-2.7714309020241174E-3</v>
      </c>
      <c r="U36" s="980">
        <f>+U35/Q_IS!U245</f>
        <v>2.6389910021671105E-3</v>
      </c>
      <c r="V36" s="980">
        <f>+V35/Q_IS!V245</f>
        <v>2.3069331038096858E-3</v>
      </c>
      <c r="W36" s="980">
        <f>+W35/Q_IS!W245</f>
        <v>1.1439279991297867E-2</v>
      </c>
      <c r="X36" s="980">
        <f>+X35/Q_IS!X245</f>
        <v>7.0714069600018997E-3</v>
      </c>
      <c r="Y36" s="980">
        <f>+Y35/Q_IS!Y245</f>
        <v>3.1583594397652501E-2</v>
      </c>
      <c r="Z36" s="980">
        <f>+Z35/Q_IS!Z245</f>
        <v>7.7627710391580691E-3</v>
      </c>
      <c r="AA36" s="980">
        <f>+AA35/Q_IS!AA245</f>
        <v>4.2975845220178159E-2</v>
      </c>
      <c r="AB36" s="980">
        <f>+AB35/Q_IS!AB245</f>
        <v>2.7113627128338282E-2</v>
      </c>
      <c r="AC36" s="980">
        <f>+AC35/Q_IS!AC245</f>
        <v>4.1462036101170066E-2</v>
      </c>
      <c r="AD36" s="980">
        <f>+AD35/Q_IS!AD245</f>
        <v>2.5048945723136914E-2</v>
      </c>
      <c r="AE36" s="980">
        <f>+AE35/Q_IS!AE245</f>
        <v>2.9225808024384129E-2</v>
      </c>
      <c r="AF36" s="980">
        <f>+AF35/Q_IS!AF245</f>
        <v>2.0238607979350943E-2</v>
      </c>
      <c r="AG36" s="980">
        <f>+AG35/Q_IS!AG245</f>
        <v>7.6298753613843653E-2</v>
      </c>
      <c r="AH36" s="980">
        <f>+AH35/Q_IS!AH245</f>
        <v>1.128246628436458E-2</v>
      </c>
      <c r="AI36" s="980">
        <f>+AI35/Q_IS!AI245</f>
        <v>5.7309089756073871E-2</v>
      </c>
      <c r="AJ36" s="980">
        <f>+AJ35/Q_IS!AJ245</f>
        <v>2.8192729334015822E-2</v>
      </c>
      <c r="AK36" s="980">
        <f>+AK35/Q_IS!AK245</f>
        <v>5.7197175236765763E-2</v>
      </c>
      <c r="AL36" s="980">
        <f>+AL35/Q_IS!AL245</f>
        <v>1.8691505717804317E-2</v>
      </c>
      <c r="AM36" s="980">
        <f>+AM35/Q_IS!AM245</f>
        <v>1.9167675304277744E-2</v>
      </c>
      <c r="AN36" s="980">
        <f>+AN35/Q_IS!AN245</f>
        <v>3.7689253191713061E-2</v>
      </c>
      <c r="AO36" s="980">
        <f>+AO35/Q_IS!AO245</f>
        <v>2.6834641771673839E-2</v>
      </c>
      <c r="AP36" s="980">
        <f>+AP35/Q_IS!AP245</f>
        <v>8.9976471426939462E-3</v>
      </c>
      <c r="AQ36" s="980">
        <f>+AQ35/Q_IS!AQ245</f>
        <v>1.7528015600522803E-2</v>
      </c>
      <c r="AR36" s="980">
        <f>+AR35/Q_IS!AR245</f>
        <v>2.0277640442560398E-2</v>
      </c>
      <c r="AS36" s="980">
        <f>+AS35/Q_IS!AS245</f>
        <v>3.8326381535707436E-2</v>
      </c>
      <c r="AT36" s="980">
        <f>+AT35/Q_IS!AT245</f>
        <v>1.4726460521978771E-2</v>
      </c>
      <c r="AU36" s="980">
        <f>+AU35/Q_IS!AU245</f>
        <v>4.5462056182864329E-2</v>
      </c>
      <c r="AV36" s="980">
        <f>+AV35/Q_IS!AV245</f>
        <v>1.3531156226485562E-2</v>
      </c>
      <c r="AW36" s="980">
        <f>+AW35/Q_IS!AW245</f>
        <v>2.114459140337191E-2</v>
      </c>
      <c r="AX36" s="980">
        <f>+AX35/Q_IS!AX245</f>
        <v>1.9843928061440027E-2</v>
      </c>
      <c r="AY36" s="980">
        <f>+AY35/Q_IS!AY245</f>
        <v>2.6212198117423483E-2</v>
      </c>
      <c r="AZ36" s="980">
        <f>+AZ35/Q_IS!AZ245</f>
        <v>2.3475153197655158E-2</v>
      </c>
      <c r="BA36" s="980">
        <f>+BA35/Q_IS!BA245</f>
        <v>4.457839625983856E-2</v>
      </c>
      <c r="BB36" s="980">
        <f>+BB35/Q_IS!BB245</f>
        <v>2.1440621274791138E-2</v>
      </c>
      <c r="BC36" s="980">
        <f>+BC35/Q_IS!BC245</f>
        <v>2.9125685218270973E-2</v>
      </c>
      <c r="BD36" s="980">
        <f>+BD35/Q_IS!BD245</f>
        <v>1.9918650092338373E-2</v>
      </c>
      <c r="BE36" s="980">
        <f>+BE35/Q_IS!BE245</f>
        <v>3.7116707201171974E-2</v>
      </c>
      <c r="BF36" s="980">
        <f>+BF35/Q_IS!BF245</f>
        <v>7.2543220749288137E-3</v>
      </c>
      <c r="BG36" s="980">
        <f>+BG35/Q_IS!BG245</f>
        <v>5.2780327698937601E-3</v>
      </c>
      <c r="BH36" s="980">
        <f>+BH35/Q_IS!BH245</f>
        <v>1.0167549684452581E-2</v>
      </c>
      <c r="BI36" s="980">
        <f>+BI35/Q_IS!BI245</f>
        <v>7.570620250182003E-2</v>
      </c>
      <c r="BJ36" s="980">
        <f>+BJ35/Q_IS!BJ245</f>
        <v>1.8594185474916314E-2</v>
      </c>
      <c r="BK36" s="1341">
        <f>+BK35/Q_IS!BK245</f>
        <v>3.4627687766947204E-2</v>
      </c>
      <c r="BL36" s="853">
        <f>Inputs!BL275</f>
        <v>4.2999999999999997E-2</v>
      </c>
      <c r="BM36" s="853">
        <f>Inputs!BM275</f>
        <v>4.2999999999999997E-2</v>
      </c>
      <c r="BN36" s="853">
        <f>Inputs!BN275</f>
        <v>3.6999999999999998E-2</v>
      </c>
      <c r="BO36" s="853">
        <f>Inputs!BO275</f>
        <v>3.2000000000000001E-2</v>
      </c>
      <c r="BP36" s="853">
        <f>Inputs!BP275</f>
        <v>3.2000000000000001E-2</v>
      </c>
      <c r="BQ36" s="853">
        <f>Inputs!BQ275</f>
        <v>3.2000000000000001E-2</v>
      </c>
      <c r="BR36" s="853">
        <f>Inputs!BR275</f>
        <v>3.7999999999999999E-2</v>
      </c>
      <c r="BS36" s="853">
        <f>Inputs!BS275</f>
        <v>3.3000000000000002E-2</v>
      </c>
      <c r="BT36" s="853">
        <f>Inputs!BT275</f>
        <v>3.3000000000000002E-2</v>
      </c>
      <c r="BU36" s="853">
        <f>Inputs!BU275</f>
        <v>3.3000000000000002E-2</v>
      </c>
      <c r="BV36" s="853">
        <f>Inputs!BV275</f>
        <v>3.9E-2</v>
      </c>
      <c r="BW36" s="853">
        <f>Inputs!BW275</f>
        <v>3.4000000000000002E-2</v>
      </c>
      <c r="BX36" s="853">
        <f>Inputs!BX275</f>
        <v>3.4000000000000002E-2</v>
      </c>
      <c r="BY36" s="853">
        <f>Inputs!BY275</f>
        <v>3.4000000000000002E-2</v>
      </c>
      <c r="BZ36" s="853">
        <f>Inputs!BZ275</f>
        <v>4.9799999999999997E-2</v>
      </c>
      <c r="CA36" s="853">
        <f>Inputs!CA275</f>
        <v>4.48E-2</v>
      </c>
      <c r="CB36" s="853">
        <f>Inputs!CB275</f>
        <v>4.48E-2</v>
      </c>
      <c r="CC36" s="853">
        <f>Inputs!CC275</f>
        <v>4.48E-2</v>
      </c>
      <c r="CD36" s="853">
        <f>Inputs!CD275</f>
        <v>5.2599999999999994E-2</v>
      </c>
      <c r="CE36" s="853">
        <f>Inputs!CE275</f>
        <v>4.7599999999999996E-2</v>
      </c>
      <c r="CF36" s="853">
        <f>Inputs!CF275</f>
        <v>4.7599999999999996E-2</v>
      </c>
      <c r="CG36" s="853">
        <f>Inputs!CG275</f>
        <v>4.7599999999999996E-2</v>
      </c>
      <c r="CH36" s="853">
        <f>Inputs!CH275</f>
        <v>5.5399999999999991E-2</v>
      </c>
      <c r="CI36" s="853">
        <f>Inputs!CI275</f>
        <v>5.0399999999999993E-2</v>
      </c>
      <c r="CJ36" s="853">
        <f>Inputs!CJ275</f>
        <v>5.0399999999999993E-2</v>
      </c>
      <c r="CK36" s="853">
        <f>Inputs!CK275</f>
        <v>5.0399999999999993E-2</v>
      </c>
      <c r="CL36" s="853">
        <f>Inputs!CL275</f>
        <v>5.8199999999999988E-2</v>
      </c>
      <c r="CM36" s="853">
        <f>Inputs!CM275</f>
        <v>5.319999999999999E-2</v>
      </c>
      <c r="CN36" s="853">
        <f>Inputs!CN275</f>
        <v>5.319999999999999E-2</v>
      </c>
      <c r="CO36" s="853">
        <f>Inputs!CO275</f>
        <v>5.319999999999999E-2</v>
      </c>
      <c r="CP36" s="853">
        <f>Inputs!CP275</f>
        <v>6.0999999999999985E-2</v>
      </c>
      <c r="CQ36" s="853">
        <f>Inputs!CQ275</f>
        <v>5.5999999999999987E-2</v>
      </c>
      <c r="CR36" s="853">
        <f>Inputs!CR275</f>
        <v>5.5999999999999987E-2</v>
      </c>
      <c r="CS36" s="853">
        <f>Inputs!CS275</f>
        <v>5.5999999999999987E-2</v>
      </c>
      <c r="CT36" s="853">
        <f>Inputs!CT275</f>
        <v>6.3799999999999982E-2</v>
      </c>
      <c r="CU36" s="853">
        <f>Inputs!CU275</f>
        <v>5.8799999999999984E-2</v>
      </c>
      <c r="CV36" s="853">
        <f>Inputs!CV275</f>
        <v>5.8799999999999984E-2</v>
      </c>
      <c r="CW36" s="853">
        <f>Inputs!CW275</f>
        <v>5.8799999999999984E-2</v>
      </c>
    </row>
    <row r="37" spans="1:101" s="374" customFormat="1">
      <c r="A37" s="841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81"/>
      <c r="AA37" s="979"/>
      <c r="AB37" s="979"/>
      <c r="AC37" s="979"/>
      <c r="AD37" s="979"/>
      <c r="AE37" s="979"/>
      <c r="AF37" s="979"/>
      <c r="AG37" s="979"/>
      <c r="AH37" s="979"/>
      <c r="AI37" s="979"/>
      <c r="AJ37" s="979"/>
      <c r="AK37" s="979"/>
      <c r="AL37" s="979"/>
      <c r="AM37" s="979"/>
      <c r="AN37" s="979"/>
      <c r="AO37" s="979"/>
      <c r="AP37" s="836"/>
      <c r="AQ37" s="836"/>
      <c r="AR37" s="836"/>
      <c r="AS37" s="836"/>
      <c r="AT37" s="836"/>
      <c r="AU37" s="836"/>
      <c r="AV37" s="836"/>
      <c r="AW37" s="836"/>
      <c r="AX37" s="836"/>
      <c r="AY37" s="836"/>
      <c r="AZ37" s="836"/>
      <c r="BA37" s="836"/>
      <c r="BB37" s="836"/>
      <c r="BC37" s="836"/>
      <c r="BD37" s="836"/>
      <c r="BE37" s="836"/>
      <c r="BF37" s="836"/>
      <c r="BG37" s="836"/>
      <c r="BH37" s="836"/>
      <c r="BI37" s="836"/>
      <c r="BJ37" s="836"/>
      <c r="BK37" s="2032"/>
      <c r="BL37" s="836"/>
      <c r="BM37" s="836"/>
      <c r="BN37" s="836"/>
      <c r="BO37" s="836"/>
      <c r="BP37" s="836"/>
      <c r="BQ37" s="836"/>
      <c r="BR37" s="836"/>
      <c r="BS37" s="836"/>
      <c r="BT37" s="836"/>
      <c r="BU37" s="836"/>
      <c r="BV37" s="836"/>
      <c r="BW37" s="836"/>
      <c r="BX37" s="836"/>
      <c r="BY37" s="836"/>
      <c r="BZ37" s="836"/>
      <c r="CA37" s="836"/>
      <c r="CB37" s="836"/>
      <c r="CC37" s="836"/>
      <c r="CD37" s="836"/>
      <c r="CE37" s="836"/>
      <c r="CF37" s="836"/>
      <c r="CG37" s="836"/>
      <c r="CH37" s="836"/>
      <c r="CI37" s="836"/>
      <c r="CJ37" s="836"/>
      <c r="CK37" s="836"/>
      <c r="CL37" s="836"/>
      <c r="CM37" s="836"/>
      <c r="CN37" s="836"/>
      <c r="CO37" s="836"/>
      <c r="CP37" s="836"/>
      <c r="CQ37" s="836"/>
      <c r="CR37" s="836"/>
      <c r="CS37" s="836"/>
      <c r="CT37" s="836"/>
      <c r="CU37" s="836"/>
      <c r="CV37" s="836"/>
      <c r="CW37" s="836"/>
    </row>
    <row r="38" spans="1:101" s="13" customFormat="1">
      <c r="A38" s="168" t="s">
        <v>1255</v>
      </c>
      <c r="B38" s="982">
        <f>Q_Financials!B107</f>
        <v>169.16900000000001</v>
      </c>
      <c r="C38" s="982">
        <f>Q_Financials!C107</f>
        <v>341.77100000000002</v>
      </c>
      <c r="D38" s="982">
        <f>Q_Financials!D107</f>
        <v>-6.4870000000000516</v>
      </c>
      <c r="E38" s="982">
        <f>Q_Financials!E107</f>
        <v>160.71400000000008</v>
      </c>
      <c r="F38" s="982">
        <f>Q_Financials!F107</f>
        <v>168.875</v>
      </c>
      <c r="G38" s="982">
        <f>Q_Financials!G107</f>
        <v>160.601</v>
      </c>
      <c r="H38" s="982">
        <f>Q_Financials!H107</f>
        <v>164.47500000000002</v>
      </c>
      <c r="I38" s="982">
        <f>Q_Financials!I107</f>
        <v>181.08199999999999</v>
      </c>
      <c r="J38" s="982">
        <f>Q_Financials!J107</f>
        <v>177.20599999999999</v>
      </c>
      <c r="K38" s="982">
        <f>Q_Financials!K107</f>
        <v>184.21799999999999</v>
      </c>
      <c r="L38" s="982">
        <f>Q_Financials!L107</f>
        <v>180.29100000000008</v>
      </c>
      <c r="M38" s="982">
        <f>Q_Financials!M107</f>
        <v>182.13699999999997</v>
      </c>
      <c r="N38" s="982">
        <f>Q_Financials!N107</f>
        <v>185.19900000000001</v>
      </c>
      <c r="O38" s="982">
        <f>Q_Financials!O107</f>
        <v>202.31</v>
      </c>
      <c r="P38" s="982">
        <f>Q_Financials!P107</f>
        <v>210.16800000000001</v>
      </c>
      <c r="Q38" s="982">
        <f>Q_Financials!Q107</f>
        <v>213.62099999999998</v>
      </c>
      <c r="R38" s="982">
        <f>Q_Financials!R107</f>
        <v>204.09899999999999</v>
      </c>
      <c r="S38" s="982">
        <f>Q_Financials!S107</f>
        <v>230.19600000000003</v>
      </c>
      <c r="T38" s="982">
        <f>Q_Financials!T107</f>
        <v>240.52500000000003</v>
      </c>
      <c r="U38" s="982">
        <f>Q_Financials!U107</f>
        <v>248.30099999999999</v>
      </c>
      <c r="V38" s="982">
        <f>Q_Financials!V107</f>
        <v>245.75299999999999</v>
      </c>
      <c r="W38" s="982">
        <f>Q_Financials!W107</f>
        <v>311.56099999999998</v>
      </c>
      <c r="X38" s="982">
        <f>Q_Financials!X107</f>
        <v>355.95</v>
      </c>
      <c r="Y38" s="982">
        <f>Q_Financials!Y107</f>
        <v>420.05599999999998</v>
      </c>
      <c r="Z38" s="982">
        <f>Q_Financials!Z107</f>
        <v>431.24400000000003</v>
      </c>
      <c r="AA38" s="982">
        <f>Q_Financials!AA107</f>
        <v>450.29899999999998</v>
      </c>
      <c r="AB38" s="982">
        <f>Q_Financials!AB107</f>
        <v>492.45300000000009</v>
      </c>
      <c r="AC38" s="982">
        <f>Q_Financials!AC107</f>
        <v>573.90099999999995</v>
      </c>
      <c r="AD38" s="982">
        <f>Q_Financials!AD107</f>
        <v>548.78200000000004</v>
      </c>
      <c r="AE38" s="982">
        <f>Q_Financials!AE107</f>
        <v>580.17299999999989</v>
      </c>
      <c r="AF38" s="982">
        <f>Q_Financials!AF107</f>
        <v>584.04300000000023</v>
      </c>
      <c r="AG38" s="982">
        <f>Q_Financials!AG107</f>
        <v>675.23700000000019</v>
      </c>
      <c r="AH38" s="982">
        <f>Q_Financials!AH107</f>
        <v>673.96199999999999</v>
      </c>
      <c r="AI38" s="982">
        <f>Q_Financials!AI107</f>
        <v>659.40100000000007</v>
      </c>
      <c r="AJ38" s="982">
        <f>Q_Financials!AJ107</f>
        <v>663.125</v>
      </c>
      <c r="AK38" s="982">
        <f>Q_Financials!AK107</f>
        <v>755.18799999999987</v>
      </c>
      <c r="AL38" s="982">
        <f>Q_Financials!AL107</f>
        <v>754.327</v>
      </c>
      <c r="AM38" s="982">
        <f>Q_Financials!AM107</f>
        <v>741.63799999999992</v>
      </c>
      <c r="AN38" s="982">
        <f>Q_Financials!AN107</f>
        <v>711.2650000000001</v>
      </c>
      <c r="AO38" s="982">
        <f>Q_Financials!AO107</f>
        <v>815.95800000000008</v>
      </c>
      <c r="AP38" s="982">
        <f>Q_Financials!AP107</f>
        <v>986.25599999999997</v>
      </c>
      <c r="AQ38" s="982">
        <f>Q_Financials!AQ107</f>
        <v>943.774</v>
      </c>
      <c r="AR38" s="982">
        <f>Q_Financials!AR107</f>
        <v>936.52000000000032</v>
      </c>
      <c r="AS38" s="982">
        <f>Q_Financials!AS107</f>
        <v>1215.2359999999999</v>
      </c>
      <c r="AT38" s="982">
        <f>Q_Financials!AT107</f>
        <v>1029.412</v>
      </c>
      <c r="AU38" s="982">
        <f>Q_Financials!AU107</f>
        <v>1186.7009999999998</v>
      </c>
      <c r="AV38" s="982">
        <f>Q_Financials!AV107</f>
        <v>1024.1930000000004</v>
      </c>
      <c r="AW38" s="982">
        <f>Q_Financials!AW107</f>
        <v>1113.0579999999993</v>
      </c>
      <c r="AX38" s="982">
        <f>Q_Financials!AX107</f>
        <v>924.75099999999998</v>
      </c>
      <c r="AY38" s="982">
        <f>Q_Financials!AY107</f>
        <v>948.34300000000007</v>
      </c>
      <c r="AZ38" s="982">
        <f>Q_Financials!AZ107</f>
        <v>906.15499999999975</v>
      </c>
      <c r="BA38" s="982">
        <f>Q_Financials!BA107</f>
        <v>727.27800000000025</v>
      </c>
      <c r="BB38" s="982">
        <f>Q_Financials!BB107</f>
        <v>809.755</v>
      </c>
      <c r="BC38" s="982">
        <f>Q_Financials!BC107</f>
        <v>797.96500000000003</v>
      </c>
      <c r="BD38" s="982">
        <f>Q_Financials!BD107</f>
        <v>816.93</v>
      </c>
      <c r="BE38" s="982">
        <f>Q_Financials!BE107</f>
        <v>926.3449999999998</v>
      </c>
      <c r="BF38" s="982">
        <f>Q_Financials!BF107</f>
        <v>975.60400000000004</v>
      </c>
      <c r="BG38" s="982">
        <f>Q_Financials!BG107</f>
        <v>1052.0419999999999</v>
      </c>
      <c r="BH38" s="982">
        <f>Q_Financials!BH107</f>
        <v>990.71699999999987</v>
      </c>
      <c r="BI38" s="982">
        <f>Q_Financials!BI107</f>
        <v>895.24099999999999</v>
      </c>
      <c r="BJ38" s="982">
        <f>Q_Financials!BJ107</f>
        <v>1009.179</v>
      </c>
      <c r="BK38" s="1342">
        <f>Q_Financials!BK107</f>
        <v>1040.1680000000001</v>
      </c>
      <c r="BL38" s="309">
        <f t="shared" ref="BL38:BQ38" si="83">BL44+BL53</f>
        <v>1079.3370951699237</v>
      </c>
      <c r="BM38" s="309">
        <f t="shared" si="83"/>
        <v>998.64321553060017</v>
      </c>
      <c r="BN38" s="309">
        <f t="shared" si="83"/>
        <v>1110.0173421545605</v>
      </c>
      <c r="BO38" s="309">
        <f t="shared" si="83"/>
        <v>1169.8559332582136</v>
      </c>
      <c r="BP38" s="309">
        <f t="shared" si="83"/>
        <v>1141.4255824512677</v>
      </c>
      <c r="BQ38" s="309">
        <f t="shared" si="83"/>
        <v>1055.6542329951003</v>
      </c>
      <c r="BR38" s="309">
        <f t="shared" ref="BR38:CK38" si="84">BR44+BR53</f>
        <v>1158.9711804435926</v>
      </c>
      <c r="BS38" s="309">
        <f t="shared" si="84"/>
        <v>1213.6049664882962</v>
      </c>
      <c r="BT38" s="309">
        <f t="shared" si="84"/>
        <v>1184.628209643168</v>
      </c>
      <c r="BU38" s="309">
        <f t="shared" si="84"/>
        <v>1101.7787747739694</v>
      </c>
      <c r="BV38" s="309">
        <f t="shared" si="84"/>
        <v>1196.3420399479401</v>
      </c>
      <c r="BW38" s="309">
        <f t="shared" si="84"/>
        <v>1248.4930769401651</v>
      </c>
      <c r="BX38" s="309">
        <f t="shared" si="84"/>
        <v>1221.5711017089588</v>
      </c>
      <c r="BY38" s="309">
        <f t="shared" si="84"/>
        <v>1143.9739879943038</v>
      </c>
      <c r="BZ38" s="309">
        <f t="shared" si="84"/>
        <v>1242.7023125682226</v>
      </c>
      <c r="CA38" s="309">
        <f t="shared" si="84"/>
        <v>1265.6019117942135</v>
      </c>
      <c r="CB38" s="309">
        <f t="shared" si="84"/>
        <v>1279.1789205595851</v>
      </c>
      <c r="CC38" s="309">
        <f t="shared" si="84"/>
        <v>1293.3149784432658</v>
      </c>
      <c r="CD38" s="309">
        <f t="shared" si="84"/>
        <v>1400.8760696827246</v>
      </c>
      <c r="CE38" s="309">
        <f t="shared" si="84"/>
        <v>1432.2962822928512</v>
      </c>
      <c r="CF38" s="309">
        <f t="shared" si="84"/>
        <v>1446.0253448353528</v>
      </c>
      <c r="CG38" s="309">
        <f t="shared" si="84"/>
        <v>1460.5469580103734</v>
      </c>
      <c r="CH38" s="309">
        <f t="shared" si="84"/>
        <v>1573.3291085616988</v>
      </c>
      <c r="CI38" s="309">
        <f t="shared" si="84"/>
        <v>1612.5068324342103</v>
      </c>
      <c r="CJ38" s="309">
        <f t="shared" si="84"/>
        <v>1624.0611379055249</v>
      </c>
      <c r="CK38" s="309">
        <f t="shared" si="84"/>
        <v>1636.7740423295049</v>
      </c>
      <c r="CL38" s="309">
        <f t="shared" ref="CL38:CP38" si="85">CL44+CL53</f>
        <v>1749.2503709479677</v>
      </c>
      <c r="CM38" s="309">
        <f t="shared" si="85"/>
        <v>1799.2881410660655</v>
      </c>
      <c r="CN38" s="309">
        <f t="shared" si="85"/>
        <v>1810.3030501289245</v>
      </c>
      <c r="CO38" s="309">
        <f t="shared" si="85"/>
        <v>1822.8711631056476</v>
      </c>
      <c r="CP38" s="309">
        <f t="shared" si="85"/>
        <v>1937.6831395694323</v>
      </c>
      <c r="CQ38" s="309">
        <f t="shared" ref="CQ38:CT38" si="86">CQ44+CQ53</f>
        <v>1999.7948593680294</v>
      </c>
      <c r="CR38" s="309">
        <f t="shared" si="86"/>
        <v>2009.9181621549333</v>
      </c>
      <c r="CS38" s="309">
        <f t="shared" si="86"/>
        <v>2022.0953363765193</v>
      </c>
      <c r="CT38" s="309">
        <f t="shared" si="86"/>
        <v>2138.2751547729204</v>
      </c>
      <c r="CU38" s="309">
        <f t="shared" ref="CU38:CW38" si="87">CU44+CU53</f>
        <v>2213.7157240830011</v>
      </c>
      <c r="CV38" s="309">
        <f t="shared" si="87"/>
        <v>2222.6102600388676</v>
      </c>
      <c r="CW38" s="309">
        <f t="shared" si="87"/>
        <v>2234.1762869702638</v>
      </c>
    </row>
    <row r="39" spans="1:101">
      <c r="A39" s="244" t="s">
        <v>33</v>
      </c>
      <c r="B39" s="345">
        <f>B38/Q_Financials!B$5</f>
        <v>8.1171132136943325E-2</v>
      </c>
      <c r="C39" s="345">
        <f>C38/Q_Financials!C$5</f>
        <v>0.16488985744839035</v>
      </c>
      <c r="D39" s="345">
        <f>D38/Q_Financials!D$5</f>
        <v>-3.0604932173299553E-3</v>
      </c>
      <c r="E39" s="345">
        <f>E38/Q_Financials!E$5</f>
        <v>6.9553227603171772E-2</v>
      </c>
      <c r="F39" s="345">
        <f>F38/Q_Financials!F$5</f>
        <v>8.057713026608225E-2</v>
      </c>
      <c r="G39" s="345">
        <f>G38/Q_Financials!G$5</f>
        <v>7.4122398116952051E-2</v>
      </c>
      <c r="H39" s="345">
        <f>H38/Q_Financials!H$5</f>
        <v>7.2299086783080765E-2</v>
      </c>
      <c r="I39" s="345">
        <f>I38/Q_Financials!I$5</f>
        <v>7.4092562306745879E-2</v>
      </c>
      <c r="J39" s="345">
        <f>J38/Q_Financials!J$5</f>
        <v>7.3936140029973993E-2</v>
      </c>
      <c r="K39" s="345">
        <f>K38/Q_Financials!K$5</f>
        <v>7.0985546874397912E-2</v>
      </c>
      <c r="L39" s="345">
        <f>L38/Q_Financials!L$5</f>
        <v>6.5115682719464912E-2</v>
      </c>
      <c r="M39" s="345">
        <f>M38/Q_Financials!M$5</f>
        <v>6.2039312876213622E-2</v>
      </c>
      <c r="N39" s="345">
        <f>N38/Q_Financials!N$5</f>
        <v>6.2523969901905715E-2</v>
      </c>
      <c r="O39" s="345">
        <f>O38/Q_Financials!O$5</f>
        <v>5.9041617759587883E-2</v>
      </c>
      <c r="P39" s="345">
        <f>P38/Q_Financials!P$5</f>
        <v>6.000596153780266E-2</v>
      </c>
      <c r="Q39" s="345">
        <f>Q38/Q_Financials!Q$5</f>
        <v>5.8873948000342839E-2</v>
      </c>
      <c r="R39" s="345">
        <f>R38/Q_Financials!R$5</f>
        <v>6.0051265966918385E-2</v>
      </c>
      <c r="S39" s="345">
        <f>S38/Q_Financials!S$5</f>
        <v>6.025084364425002E-2</v>
      </c>
      <c r="T39" s="345">
        <f>T38/Q_Financials!T$5</f>
        <v>5.8918400006270924E-2</v>
      </c>
      <c r="U39" s="345">
        <f>U38/Q_Financials!U$5</f>
        <v>5.629194248587209E-2</v>
      </c>
      <c r="V39" s="345">
        <f>V38/Q_Financials!V$5</f>
        <v>6.156081758781734E-2</v>
      </c>
      <c r="W39" s="345">
        <f>W38/Q_Financials!W$5</f>
        <v>5.9877278494562897E-2</v>
      </c>
      <c r="X39" s="345">
        <f>X38/Q_Financials!X$5</f>
        <v>6.2432592707445202E-2</v>
      </c>
      <c r="Y39" s="345">
        <f>Y38/Q_Financials!Y$5</f>
        <v>5.3147803061512656E-2</v>
      </c>
      <c r="Z39" s="345">
        <f>Z38/Q_Financials!Z$5</f>
        <v>5.8718717295772438E-2</v>
      </c>
      <c r="AA39" s="345">
        <f>AA38/Q_Financials!AA$5</f>
        <v>5.8013703271681233E-2</v>
      </c>
      <c r="AB39" s="345">
        <f>AB38/Q_Financials!AB$5</f>
        <v>5.9877262391034275E-2</v>
      </c>
      <c r="AC39" s="345">
        <f>AC38/Q_Financials!AC$5</f>
        <v>6.4066995719720382E-2</v>
      </c>
      <c r="AD39" s="345">
        <f>AD38/Q_Financials!AD$5</f>
        <v>6.4299640528849081E-2</v>
      </c>
      <c r="AE39" s="345">
        <f>AE38/Q_Financials!AE$5</f>
        <v>6.399742409962618E-2</v>
      </c>
      <c r="AF39" s="345">
        <f>AF38/Q_Financials!AF$5</f>
        <v>6.0825241949997021E-2</v>
      </c>
      <c r="AG39" s="345">
        <f>AG38/Q_Financials!AG$5</f>
        <v>6.4311011276192195E-2</v>
      </c>
      <c r="AH39" s="345">
        <f>AH38/Q_Financials!AH$5</f>
        <v>6.677360292631504E-2</v>
      </c>
      <c r="AI39" s="345">
        <f>AI38/Q_Financials!AI$5</f>
        <v>6.374471296216902E-2</v>
      </c>
      <c r="AJ39" s="345">
        <f>AJ38/Q_Financials!AJ$5</f>
        <v>6.3303349939295608E-2</v>
      </c>
      <c r="AK39" s="345">
        <f>AK38/Q_Financials!AK$5</f>
        <v>6.5012047047707119E-2</v>
      </c>
      <c r="AL39" s="345">
        <f>AL38/Q_Financials!AL$5</f>
        <v>6.8080883656975968E-2</v>
      </c>
      <c r="AM39" s="410">
        <f>AM38/Q_Financials!AM$5</f>
        <v>6.548386173935862E-2</v>
      </c>
      <c r="AN39" s="410">
        <f>AN38/Q_Financials!AN$5</f>
        <v>6.2526614458081289E-2</v>
      </c>
      <c r="AO39" s="410">
        <f>AO38/Q_Financials!AO$5</f>
        <v>6.5931620542053704E-2</v>
      </c>
      <c r="AP39" s="410">
        <f>AP38/Q_Financials!AP$5</f>
        <v>7.2038980356431734E-2</v>
      </c>
      <c r="AQ39" s="410">
        <f>AQ38/Q_Financials!AQ$5</f>
        <v>6.4728342995871824E-2</v>
      </c>
      <c r="AR39" s="410">
        <f>AR38/Q_Financials!AR$5</f>
        <v>6.4629943334586826E-2</v>
      </c>
      <c r="AS39" s="410">
        <f>AS38/Q_Financials!AS$5</f>
        <v>7.8947329100369473E-2</v>
      </c>
      <c r="AT39" s="1737">
        <f>AT38/Q_Financials!AT$5</f>
        <v>8.5039599044699377E-2</v>
      </c>
      <c r="AU39" s="1737">
        <f>AU38/Q_Financials!AU$5</f>
        <v>0.22830933300909212</v>
      </c>
      <c r="AV39" s="1737">
        <f>AV38/Q_Financials!AV$5</f>
        <v>0.10350069597165105</v>
      </c>
      <c r="AW39" s="1737">
        <f>AW38/Q_Financials!AW$5</f>
        <v>9.8526569009175266E-2</v>
      </c>
      <c r="AX39" s="1737">
        <f>AX38/Q_Financials!AX$5</f>
        <v>9.0557863253906246E-2</v>
      </c>
      <c r="AY39" s="1737">
        <f>AY38/Q_Financials!AY$5</f>
        <v>7.6005051706417581E-2</v>
      </c>
      <c r="AZ39" s="1808">
        <f>AZ38/Q_Financials!AZ$5</f>
        <v>6.4918838466787601E-2</v>
      </c>
      <c r="BA39" s="1808">
        <f>BA38/Q_Financials!BA$5</f>
        <v>4.346600118383144E-2</v>
      </c>
      <c r="BB39" s="1737">
        <f>BB38/Q_Financials!BB$5</f>
        <v>5.3174796477555117E-2</v>
      </c>
      <c r="BC39" s="1737">
        <f>BC38/Q_Financials!BC$5</f>
        <v>4.7107796812208988E-2</v>
      </c>
      <c r="BD39" s="1808">
        <f>BD38/Q_Financials!BD$5</f>
        <v>4.6633279629112068E-2</v>
      </c>
      <c r="BE39" s="1808">
        <f>BE38/Q_Financials!BE$5</f>
        <v>4.8383647863127141E-2</v>
      </c>
      <c r="BF39" s="1808">
        <f>BF38/Q_Financials!BF$5</f>
        <v>5.522605540572615E-2</v>
      </c>
      <c r="BG39" s="1808">
        <f>BG38/Q_Financials!BG$5</f>
        <v>5.5520437407586172E-2</v>
      </c>
      <c r="BH39" s="1808">
        <f>BH38/Q_Financials!BH$5</f>
        <v>5.0884351463438005E-2</v>
      </c>
      <c r="BI39" s="1808">
        <f>BI38/Q_Financials!BI$5</f>
        <v>4.4436126564295193E-2</v>
      </c>
      <c r="BJ39" s="1808">
        <f>BJ38/Q_Financials!BJ$5</f>
        <v>5.5440780959969509E-2</v>
      </c>
      <c r="BK39" s="1809">
        <f>BK38/Q_Financials!BK$5</f>
        <v>5.4023360602587271E-2</v>
      </c>
      <c r="BL39" s="314">
        <f>BL38/Q_Financials!BL$5</f>
        <v>5.3677076824340253E-2</v>
      </c>
      <c r="BM39" s="314">
        <f>BM38/Q_Financials!BM$5</f>
        <v>4.7590259607529932E-2</v>
      </c>
      <c r="BN39" s="314">
        <f>BN38/Q_Financials!BN$5</f>
        <v>5.5747294347764938E-2</v>
      </c>
      <c r="BO39" s="314">
        <f>BO38/Q_Financials!BO$5</f>
        <v>5.4631149659943506E-2</v>
      </c>
      <c r="BP39" s="314">
        <f>BP38/Q_Financials!BP$5</f>
        <v>5.197733207316492E-2</v>
      </c>
      <c r="BQ39" s="314">
        <f>BQ38/Q_Financials!BQ$5</f>
        <v>4.6472630204384482E-2</v>
      </c>
      <c r="BR39" s="314">
        <f>BR38/Q_Financials!BR$5</f>
        <v>5.4014294419709195E-2</v>
      </c>
      <c r="BS39" s="314">
        <f>BS38/Q_Financials!BS$5</f>
        <v>5.3187590785805379E-2</v>
      </c>
      <c r="BT39" s="314">
        <f>BT38/Q_Financials!BT$5</f>
        <v>5.0635327506299163E-2</v>
      </c>
      <c r="BU39" s="314">
        <f>BU38/Q_Financials!BU$5</f>
        <v>4.5542089198562417E-2</v>
      </c>
      <c r="BV39" s="314">
        <f>BV38/Q_Financials!BV$5</f>
        <v>5.2607975233018765E-2</v>
      </c>
      <c r="BW39" s="314">
        <f>BW38/Q_Financials!BW$5</f>
        <v>5.1711657663487377E-2</v>
      </c>
      <c r="BX39" s="314">
        <f>BX38/Q_Financials!BX$5</f>
        <v>4.9328527070672021E-2</v>
      </c>
      <c r="BY39" s="314">
        <f>BY38/Q_Financials!BY$5</f>
        <v>4.4626212066209488E-2</v>
      </c>
      <c r="BZ39" s="314">
        <f>BZ38/Q_Financials!BZ$5</f>
        <v>5.190510094791239E-2</v>
      </c>
      <c r="CA39" s="314">
        <f>CA38/Q_Financials!CA$5</f>
        <v>4.9843147676292332E-2</v>
      </c>
      <c r="CB39" s="314">
        <f>CB38/Q_Financials!CB$5</f>
        <v>4.9080413331473775E-2</v>
      </c>
      <c r="CC39" s="314">
        <f>CC38/Q_Financials!CC$5</f>
        <v>4.7876593161924628E-2</v>
      </c>
      <c r="CD39" s="314">
        <f>CD38/Q_Financials!CD$5</f>
        <v>5.55881688557575E-2</v>
      </c>
      <c r="CE39" s="314">
        <f>CE38/Q_Financials!CE$5</f>
        <v>5.3646085439573284E-2</v>
      </c>
      <c r="CF39" s="314">
        <f>CF38/Q_Financials!CF$5</f>
        <v>5.2728929512037628E-2</v>
      </c>
      <c r="CG39" s="314">
        <f>CG38/Q_Financials!CG$5</f>
        <v>5.1321071400997495E-2</v>
      </c>
      <c r="CH39" s="314">
        <f>CH38/Q_Financials!CH$5</f>
        <v>5.9341675599956151E-2</v>
      </c>
      <c r="CI39" s="314">
        <f>CI38/Q_Financials!CI$5</f>
        <v>5.7491656143446888E-2</v>
      </c>
      <c r="CJ39" s="314">
        <f>CJ38/Q_Financials!CJ$5</f>
        <v>5.6360215649544881E-2</v>
      </c>
      <c r="CK39" s="314">
        <f>CK38/Q_Financials!CK$5</f>
        <v>5.4706548026471631E-2</v>
      </c>
      <c r="CL39" s="314">
        <f>CL38/Q_Financials!CL$5</f>
        <v>6.2844607947530315E-2</v>
      </c>
      <c r="CM39" s="314">
        <f>CM38/Q_Financials!CM$5</f>
        <v>6.1162576603319391E-2</v>
      </c>
      <c r="CN39" s="314">
        <f>CN38/Q_Financials!CN$5</f>
        <v>5.9853321380391594E-2</v>
      </c>
      <c r="CO39" s="314">
        <f>CO38/Q_Financials!CO$5</f>
        <v>5.7981151698347243E-2</v>
      </c>
      <c r="CP39" s="314">
        <f>CP38/Q_Financials!CP$5</f>
        <v>6.6317164731037354E-2</v>
      </c>
      <c r="CQ39" s="314">
        <f>CQ38/Q_Financials!CQ$5</f>
        <v>6.4818475229513117E-2</v>
      </c>
      <c r="CR39" s="314">
        <f>CR38/Q_Financials!CR$5</f>
        <v>6.3316531664164261E-2</v>
      </c>
      <c r="CS39" s="314">
        <f>CS38/Q_Financials!CS$5</f>
        <v>6.1214360634833091E-2</v>
      </c>
      <c r="CT39" s="314">
        <f>CT38/Q_Financials!CT$5</f>
        <v>6.9721750077863687E-2</v>
      </c>
      <c r="CU39" s="314">
        <f>CU38/Q_Financials!CU$5</f>
        <v>6.8423563642329613E-2</v>
      </c>
      <c r="CV39" s="314">
        <f>CV38/Q_Financials!CV$5</f>
        <v>6.6721493704347767E-2</v>
      </c>
      <c r="CW39" s="314">
        <f>CW38/Q_Financials!CW$5</f>
        <v>6.4417352431353284E-2</v>
      </c>
    </row>
    <row r="40" spans="1:101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BK40" s="1318"/>
      <c r="BL40" s="173"/>
      <c r="BM40" s="173"/>
      <c r="BN40" s="173"/>
      <c r="BO40" s="173"/>
      <c r="BP40" s="173"/>
      <c r="BQ40" s="173"/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  <c r="CC40" s="173"/>
      <c r="CD40" s="173"/>
      <c r="CE40" s="173"/>
      <c r="CF40" s="173"/>
      <c r="CG40" s="173"/>
      <c r="CH40" s="173"/>
      <c r="CI40" s="173"/>
      <c r="CJ40" s="173"/>
      <c r="CK40" s="173"/>
      <c r="CL40" s="173"/>
      <c r="CM40" s="173"/>
      <c r="CN40" s="173"/>
      <c r="CO40" s="173"/>
      <c r="CP40" s="173"/>
      <c r="CQ40" s="173"/>
      <c r="CR40" s="173"/>
      <c r="CS40" s="173"/>
      <c r="CT40" s="173"/>
      <c r="CU40" s="173"/>
      <c r="CV40" s="173"/>
      <c r="CW40" s="173"/>
    </row>
    <row r="41" spans="1:101">
      <c r="A41" s="13" t="s">
        <v>921</v>
      </c>
      <c r="B41" s="982">
        <f>Q_Financials!B74</f>
        <v>3025.2759999999998</v>
      </c>
      <c r="C41" s="982">
        <f>Q_Financials!C74</f>
        <v>2942.279</v>
      </c>
      <c r="D41" s="982">
        <f>Q_Financials!D74</f>
        <v>2912.8110000000001</v>
      </c>
      <c r="E41" s="982">
        <f>Q_Financials!E74</f>
        <v>2897.6779999999999</v>
      </c>
      <c r="F41" s="982">
        <f>Q_Financials!F74</f>
        <v>2829.375</v>
      </c>
      <c r="G41" s="982">
        <f>Q_Financials!G74</f>
        <v>2858.7060000000001</v>
      </c>
      <c r="H41" s="982">
        <f>Q_Financials!H74</f>
        <v>2886.7379999999998</v>
      </c>
      <c r="I41" s="982">
        <f>Q_Financials!I74</f>
        <v>2994.123</v>
      </c>
      <c r="J41" s="982">
        <f>Q_Financials!J74</f>
        <v>3035.6779999999999</v>
      </c>
      <c r="K41" s="982">
        <f>Q_Financials!K74</f>
        <v>3150.2159999999999</v>
      </c>
      <c r="L41" s="982">
        <f>Q_Financials!L74</f>
        <v>3254.1590000000001</v>
      </c>
      <c r="M41" s="982">
        <f>Q_Financials!M74</f>
        <v>3472.42</v>
      </c>
      <c r="N41" s="982">
        <f>Q_Financials!N74</f>
        <v>3588.1010000000001</v>
      </c>
      <c r="O41" s="982">
        <f>Q_Financials!O74</f>
        <v>3667.4859999999999</v>
      </c>
      <c r="P41" s="982">
        <f>Q_Financials!P74</f>
        <v>3706.7950000000001</v>
      </c>
      <c r="Q41" s="982">
        <f>Q_Financials!Q74</f>
        <v>3924.1080000000002</v>
      </c>
      <c r="R41" s="982">
        <f>Q_Financials!R74</f>
        <v>3873.7</v>
      </c>
      <c r="S41" s="982">
        <f>Q_Financials!S74</f>
        <v>4259.6130000000003</v>
      </c>
      <c r="T41" s="982">
        <f>Q_Financials!T74</f>
        <v>4454.17</v>
      </c>
      <c r="U41" s="982">
        <f>Q_Financials!U74</f>
        <v>4764.3959999999997</v>
      </c>
      <c r="V41" s="982">
        <f>Q_Financials!V74</f>
        <v>4666.1360000000004</v>
      </c>
      <c r="W41" s="982">
        <f>Q_Financials!W74</f>
        <v>8624.7109999999993</v>
      </c>
      <c r="X41" s="982">
        <f>Q_Financials!X74</f>
        <v>8742.6929999999993</v>
      </c>
      <c r="Y41" s="982">
        <f>Q_Financials!Y74</f>
        <v>9947.0660000000007</v>
      </c>
      <c r="Z41" s="982">
        <f>Q_Financials!Z74</f>
        <v>9988.143</v>
      </c>
      <c r="AA41" s="982">
        <f>Q_Financials!AA74</f>
        <v>10401.437</v>
      </c>
      <c r="AB41" s="982">
        <f>Q_Financials!AB74</f>
        <v>10684.641</v>
      </c>
      <c r="AC41" s="982">
        <f>Q_Financials!AC74</f>
        <v>11063.805</v>
      </c>
      <c r="AD41" s="982">
        <f>Q_Financials!AD74</f>
        <v>11346.28</v>
      </c>
      <c r="AE41" s="982">
        <f>Q_Financials!AE74</f>
        <v>11956.361999999999</v>
      </c>
      <c r="AF41" s="982">
        <f>Q_Financials!AF74</f>
        <v>12822.540999999999</v>
      </c>
      <c r="AG41" s="982">
        <f>Q_Financials!AG74</f>
        <v>13673.445</v>
      </c>
      <c r="AH41" s="982">
        <f>Q_Financials!AH74</f>
        <v>13720.78</v>
      </c>
      <c r="AI41" s="982">
        <f>Q_Financials!AI74</f>
        <v>14062.337</v>
      </c>
      <c r="AJ41" s="982">
        <f>Q_Financials!AJ74</f>
        <v>14695.46</v>
      </c>
      <c r="AK41" s="982">
        <f>Q_Financials!AK74</f>
        <v>15772.478999999999</v>
      </c>
      <c r="AL41" s="982">
        <f>Q_Financials!AL74</f>
        <v>15689.567999999999</v>
      </c>
      <c r="AM41" s="982">
        <f>Q_Financials!AM74</f>
        <v>15702.707</v>
      </c>
      <c r="AN41" s="982">
        <f>Q_Financials!AN74</f>
        <v>15604.516</v>
      </c>
      <c r="AO41" s="982">
        <f>Q_Financials!AO74</f>
        <v>17993.148000000001</v>
      </c>
      <c r="AP41" s="982">
        <f>Q_Financials!AP74</f>
        <v>18567.893</v>
      </c>
      <c r="AQ41" s="982">
        <f>Q_Financials!AQ74</f>
        <v>19578.465</v>
      </c>
      <c r="AR41" s="982">
        <f>Q_Financials!AR74</f>
        <v>19021.768</v>
      </c>
      <c r="AS41" s="982">
        <f>Q_Financials!AS74</f>
        <v>17538.350999999999</v>
      </c>
      <c r="AT41" s="982">
        <f>Q_Financials!AT74</f>
        <v>18309.967000000001</v>
      </c>
      <c r="AU41" s="982">
        <f>Q_Financials!AU74</f>
        <v>17949.008999999998</v>
      </c>
      <c r="AV41" s="982">
        <f>Q_Financials!AV74</f>
        <v>17123.440999999999</v>
      </c>
      <c r="AW41" s="982">
        <f>Q_Financials!AW74</f>
        <v>15880</v>
      </c>
      <c r="AX41" s="982">
        <f>Q_Financials!AX74</f>
        <v>15514.76</v>
      </c>
      <c r="AY41" s="982">
        <f>Q_Financials!AY74</f>
        <v>14807.117</v>
      </c>
      <c r="AZ41" s="982">
        <f>Q_Financials!AZ74</f>
        <v>14737.663</v>
      </c>
      <c r="BA41" s="982">
        <f>Q_Financials!BA74</f>
        <v>15277.931</v>
      </c>
      <c r="BB41" s="982">
        <f>Q_Financials!BB74</f>
        <v>15589.303</v>
      </c>
      <c r="BC41" s="982">
        <f>Q_Financials!BC74</f>
        <v>15371.686</v>
      </c>
      <c r="BD41" s="982">
        <f>Q_Financials!BD74</f>
        <v>14273.255999999999</v>
      </c>
      <c r="BE41" s="982">
        <f>Q_Financials!BE74</f>
        <v>15428.754999999999</v>
      </c>
      <c r="BF41" s="982">
        <f>Q_Financials!BF74</f>
        <v>14933.611999999999</v>
      </c>
      <c r="BG41" s="982">
        <f>Q_Financials!BG74</f>
        <v>14732.118</v>
      </c>
      <c r="BH41" s="982">
        <f>Q_Financials!BH74</f>
        <v>14950.329</v>
      </c>
      <c r="BI41" s="982">
        <f>Q_Financials!BI74</f>
        <v>15644.915000000001</v>
      </c>
      <c r="BJ41" s="982">
        <f>Q_Financials!BJ74</f>
        <v>15533.481</v>
      </c>
      <c r="BK41" s="1342">
        <f>Q_Financials!BK74</f>
        <v>17235.226999999999</v>
      </c>
      <c r="BL41" s="309">
        <f t="shared" ref="BL41:BQ41" si="88">BK41+BL42-BL44+BL43</f>
        <v>17955.486800807295</v>
      </c>
      <c r="BM41" s="309">
        <f t="shared" si="88"/>
        <v>18929.715082566101</v>
      </c>
      <c r="BN41" s="309">
        <f t="shared" si="88"/>
        <v>19394.903933453978</v>
      </c>
      <c r="BO41" s="309">
        <f t="shared" si="88"/>
        <v>19792.321213457031</v>
      </c>
      <c r="BP41" s="309">
        <f t="shared" si="88"/>
        <v>20193.312045813305</v>
      </c>
      <c r="BQ41" s="309">
        <f t="shared" si="88"/>
        <v>21064.445705905047</v>
      </c>
      <c r="BR41" s="309">
        <f t="shared" ref="BR41:CK41" si="89">BQ41+BR42-BR44+BR43</f>
        <v>21452.572144626727</v>
      </c>
      <c r="BS41" s="309">
        <f t="shared" si="89"/>
        <v>21764.733389274777</v>
      </c>
      <c r="BT41" s="309">
        <f t="shared" si="89"/>
        <v>22085.037876149727</v>
      </c>
      <c r="BU41" s="309">
        <f t="shared" si="89"/>
        <v>22825.858942722421</v>
      </c>
      <c r="BV41" s="309">
        <f t="shared" si="89"/>
        <v>23210.571245945095</v>
      </c>
      <c r="BW41" s="309">
        <f t="shared" si="89"/>
        <v>23515.805604822621</v>
      </c>
      <c r="BX41" s="309">
        <f t="shared" si="89"/>
        <v>23831.458206424253</v>
      </c>
      <c r="BY41" s="309">
        <f t="shared" si="89"/>
        <v>24487.12058308972</v>
      </c>
      <c r="BZ41" s="309">
        <f t="shared" si="89"/>
        <v>24984.859071025941</v>
      </c>
      <c r="CA41" s="309">
        <f t="shared" si="89"/>
        <v>25402.442618661007</v>
      </c>
      <c r="CB41" s="309">
        <f t="shared" si="89"/>
        <v>25834.03968083395</v>
      </c>
      <c r="CC41" s="309">
        <f t="shared" si="89"/>
        <v>26552.4793142987</v>
      </c>
      <c r="CD41" s="309">
        <f t="shared" si="89"/>
        <v>27024.310084722718</v>
      </c>
      <c r="CE41" s="309">
        <f t="shared" si="89"/>
        <v>27407.600838203092</v>
      </c>
      <c r="CF41" s="309">
        <f t="shared" si="89"/>
        <v>27809.260728915793</v>
      </c>
      <c r="CG41" s="309">
        <f t="shared" si="89"/>
        <v>28513.767187325444</v>
      </c>
      <c r="CH41" s="309">
        <f t="shared" si="89"/>
        <v>28912.89375040312</v>
      </c>
      <c r="CI41" s="309">
        <f t="shared" si="89"/>
        <v>29215.279171319537</v>
      </c>
      <c r="CJ41" s="309">
        <f t="shared" si="89"/>
        <v>29542.497465220724</v>
      </c>
      <c r="CK41" s="309">
        <f t="shared" si="89"/>
        <v>30147.610294839385</v>
      </c>
      <c r="CL41" s="309">
        <f t="shared" ref="CL41" si="90">CK41+CL42-CL44+CL43</f>
        <v>30520.660473752796</v>
      </c>
      <c r="CM41" s="309">
        <f t="shared" ref="CM41" si="91">CL41+CM42-CM44+CM43</f>
        <v>30786.47982474219</v>
      </c>
      <c r="CN41" s="309">
        <f t="shared" ref="CN41" si="92">CM41+CN42-CN44+CN43</f>
        <v>31083.060319800963</v>
      </c>
      <c r="CO41" s="309">
        <f t="shared" ref="CO41" si="93">CN41+CO42-CO44+CO43</f>
        <v>31674.379422426977</v>
      </c>
      <c r="CP41" s="309">
        <f t="shared" ref="CP41" si="94">CO41+CP42-CP44+CP43</f>
        <v>32020.640118110608</v>
      </c>
      <c r="CQ41" s="309">
        <f t="shared" ref="CQ41" si="95">CP41+CQ42-CQ44+CQ43</f>
        <v>32247.99594269734</v>
      </c>
      <c r="CR41" s="309">
        <f t="shared" ref="CR41" si="96">CQ41+CR42-CR44+CR43</f>
        <v>32512.989146607913</v>
      </c>
      <c r="CS41" s="309">
        <f t="shared" ref="CS41" si="97">CR41+CS42-CS44+CS43</f>
        <v>33090.956080210075</v>
      </c>
      <c r="CT41" s="309">
        <f t="shared" ref="CT41" si="98">CS41+CT42-CT44+CT43</f>
        <v>33410.845003763476</v>
      </c>
      <c r="CU41" s="309">
        <f t="shared" ref="CU41" si="99">CT41+CU42-CU44+CU43</f>
        <v>33598.870150477283</v>
      </c>
      <c r="CV41" s="309">
        <f t="shared" ref="CV41" si="100">CU41+CV42-CV44+CV43</f>
        <v>33832.26217336698</v>
      </c>
      <c r="CW41" s="309">
        <f t="shared" ref="CW41" si="101">CV41+CW42-CW44+CW43</f>
        <v>34276.907320670143</v>
      </c>
    </row>
    <row r="42" spans="1:101">
      <c r="A42" s="36" t="s">
        <v>35</v>
      </c>
      <c r="B42" s="686">
        <f>-Q_Financials!B119</f>
        <v>62.723999999999997</v>
      </c>
      <c r="C42" s="686">
        <f>-Q_Financials!C119</f>
        <v>52.923999999999999</v>
      </c>
      <c r="D42" s="686">
        <f>-Q_Financials!D119</f>
        <v>-12.967999999999989</v>
      </c>
      <c r="E42" s="686">
        <f>-Q_Financials!E119</f>
        <v>20.766999999999989</v>
      </c>
      <c r="F42" s="686">
        <f>-Q_Financials!F119</f>
        <v>19.079999999999998</v>
      </c>
      <c r="G42" s="686">
        <f>-Q_Financials!G119</f>
        <v>173.00799999999998</v>
      </c>
      <c r="H42" s="686">
        <f>-Q_Financials!H119</f>
        <v>140.64800000000002</v>
      </c>
      <c r="I42" s="686">
        <f>-Q_Financials!I119</f>
        <v>180.66899999999998</v>
      </c>
      <c r="J42" s="686">
        <f>-Q_Financials!J119</f>
        <v>159.255</v>
      </c>
      <c r="K42" s="686">
        <f>-Q_Financials!K119</f>
        <v>228.476</v>
      </c>
      <c r="L42" s="686">
        <f>-Q_Financials!L119</f>
        <v>221.23699999999997</v>
      </c>
      <c r="M42" s="686">
        <f>-Q_Financials!M119</f>
        <v>349.56200000000001</v>
      </c>
      <c r="N42" s="686">
        <f>-Q_Financials!N119</f>
        <v>78.176000000000002</v>
      </c>
      <c r="O42" s="686">
        <f>-Q_Financials!O119</f>
        <v>235.99099999999999</v>
      </c>
      <c r="P42" s="686">
        <f>-Q_Financials!P119</f>
        <v>183.59500000000003</v>
      </c>
      <c r="Q42" s="686">
        <f>-Q_Financials!Q119</f>
        <v>302.29500000000002</v>
      </c>
      <c r="R42" s="686">
        <f>-Q_Financials!R119</f>
        <v>92.738</v>
      </c>
      <c r="S42" s="686">
        <f>-Q_Financials!S119</f>
        <v>370.74599999999998</v>
      </c>
      <c r="T42" s="686">
        <f>-Q_Financials!T119</f>
        <v>28.333000000000027</v>
      </c>
      <c r="U42" s="686">
        <f>-Q_Financials!U119</f>
        <v>447.71</v>
      </c>
      <c r="V42" s="686">
        <f>-Q_Financials!V119</f>
        <v>230.23400000000001</v>
      </c>
      <c r="W42" s="686">
        <f>-Q_Financials!W119</f>
        <v>525.05899999999997</v>
      </c>
      <c r="X42" s="686">
        <f>-Q_Financials!X119</f>
        <v>558.54100000000005</v>
      </c>
      <c r="Y42" s="686">
        <f>-Q_Financials!Y119</f>
        <v>735.71199999999965</v>
      </c>
      <c r="Z42" s="686">
        <f>-Q_Financials!Z119</f>
        <v>703.84699999999998</v>
      </c>
      <c r="AA42" s="686">
        <f>-Q_Financials!AA119</f>
        <v>759.02800000000002</v>
      </c>
      <c r="AB42" s="686">
        <f>-Q_Financials!AB119</f>
        <v>617.05799999999999</v>
      </c>
      <c r="AC42" s="686">
        <f>-Q_Financials!AC119</f>
        <v>904.88500000000022</v>
      </c>
      <c r="AD42" s="686">
        <f>-Q_Financials!AD119</f>
        <v>577.80200000000002</v>
      </c>
      <c r="AE42" s="686">
        <f>-Q_Financials!AE119</f>
        <v>872.91099999999994</v>
      </c>
      <c r="AF42" s="686">
        <f>-Q_Financials!AF119</f>
        <v>1089.1589999999997</v>
      </c>
      <c r="AG42" s="686">
        <f>-Q_Financials!AG119</f>
        <v>1555.0420000000004</v>
      </c>
      <c r="AH42" s="686">
        <f>-Q_Financials!AH119</f>
        <v>948.97199999999998</v>
      </c>
      <c r="AI42" s="686">
        <f>-Q_Financials!AI119</f>
        <v>1129.5719999999999</v>
      </c>
      <c r="AJ42" s="686">
        <f>-Q_Financials!AJ119</f>
        <v>957.92200000000003</v>
      </c>
      <c r="AK42" s="686">
        <f>-Q_Financials!AK119</f>
        <v>1348.9110000000007</v>
      </c>
      <c r="AL42" s="686">
        <f>-Q_Financials!AL119</f>
        <v>900.43200000000002</v>
      </c>
      <c r="AM42" s="686">
        <f>-Q_Financials!AM119</f>
        <v>943.84199999999987</v>
      </c>
      <c r="AN42" s="686">
        <f>-Q_Financials!AN119</f>
        <v>1096.806</v>
      </c>
      <c r="AO42" s="686">
        <f>-Q_Financials!AO119</f>
        <v>1145.1750000000002</v>
      </c>
      <c r="AP42" s="686">
        <f>-Q_Financials!AP119</f>
        <v>648.33199999999999</v>
      </c>
      <c r="AQ42" s="686">
        <f>-Q_Financials!AQ119</f>
        <v>403.75400000000002</v>
      </c>
      <c r="AR42" s="686">
        <f>-Q_Financials!AR119</f>
        <v>612.72599999999989</v>
      </c>
      <c r="AS42" s="686">
        <f>-Q_Financials!AS119</f>
        <v>1675.2460000000001</v>
      </c>
      <c r="AT42" s="686">
        <f>-Q_Financials!AT119</f>
        <v>434.79300000000001</v>
      </c>
      <c r="AU42" s="686">
        <f>-Q_Financials!AU119</f>
        <v>378.08299999999997</v>
      </c>
      <c r="AV42" s="686">
        <f>-Q_Financials!AV119</f>
        <v>166.52499999999998</v>
      </c>
      <c r="AW42" s="686">
        <f>-Q_Financials!AW119</f>
        <v>350.55800000000022</v>
      </c>
      <c r="AX42" s="686">
        <f>-Q_Financials!AX119</f>
        <v>276.077</v>
      </c>
      <c r="AY42" s="686">
        <f>-Q_Financials!AY119</f>
        <v>469.97900000000004</v>
      </c>
      <c r="AZ42" s="686">
        <f>-Q_Financials!AZ119</f>
        <v>503.75800000000004</v>
      </c>
      <c r="BA42" s="686">
        <f>-Q_Financials!BA119</f>
        <v>1063.6969999999999</v>
      </c>
      <c r="BB42" s="686">
        <f>-Q_Financials!BB119</f>
        <v>640.19899999999996</v>
      </c>
      <c r="BC42" s="686">
        <f>-Q_Financials!BC119</f>
        <v>850.46500000000003</v>
      </c>
      <c r="BD42" s="686">
        <f>-Q_Financials!BD119</f>
        <v>783.2729999999998</v>
      </c>
      <c r="BE42" s="686">
        <f>-Q_Financials!BE119</f>
        <v>1561.6420000000003</v>
      </c>
      <c r="BF42" s="686">
        <f>-Q_Financials!BF119</f>
        <v>559.61699999999996</v>
      </c>
      <c r="BG42" s="686">
        <f>-Q_Financials!BG119</f>
        <v>893.65900000000011</v>
      </c>
      <c r="BH42" s="686">
        <f>-Q_Financials!BH119</f>
        <v>1260.9039999999998</v>
      </c>
      <c r="BI42" s="686">
        <f>-Q_Financials!BI119</f>
        <v>1527.8980000000006</v>
      </c>
      <c r="BJ42" s="686">
        <f>-Q_Financials!BJ119</f>
        <v>890.702</v>
      </c>
      <c r="BK42" s="1814">
        <f>-Q_Financials!BK119</f>
        <v>1393.82</v>
      </c>
      <c r="BL42" s="311">
        <f t="shared" ref="BL42:BQ42" si="102">+BL31</f>
        <v>1323.4927458072957</v>
      </c>
      <c r="BM42" s="311">
        <f t="shared" si="102"/>
        <v>1602.6703197870638</v>
      </c>
      <c r="BN42" s="311">
        <f t="shared" si="102"/>
        <v>1127.7288787776904</v>
      </c>
      <c r="BO42" s="311">
        <f t="shared" si="102"/>
        <v>1076.2389176739421</v>
      </c>
      <c r="BP42" s="311">
        <f t="shared" si="102"/>
        <v>1093.7220748272721</v>
      </c>
      <c r="BQ42" s="311">
        <f t="shared" si="102"/>
        <v>1577.8995816952088</v>
      </c>
      <c r="BR42" s="311">
        <f t="shared" ref="BR42:CK42" si="103">+BR31</f>
        <v>1125.3820384283586</v>
      </c>
      <c r="BS42" s="311">
        <f t="shared" si="103"/>
        <v>1063.0012697099855</v>
      </c>
      <c r="BT42" s="311">
        <f t="shared" si="103"/>
        <v>1082.0701554995662</v>
      </c>
      <c r="BU42" s="311">
        <f t="shared" si="103"/>
        <v>1513.7973922379365</v>
      </c>
      <c r="BV42" s="311">
        <f t="shared" si="103"/>
        <v>1183.6173662179554</v>
      </c>
      <c r="BW42" s="311">
        <f t="shared" si="103"/>
        <v>1117.6043524856022</v>
      </c>
      <c r="BX42" s="311">
        <f t="shared" si="103"/>
        <v>1138.7057977704239</v>
      </c>
      <c r="BY42" s="311">
        <f t="shared" si="103"/>
        <v>1489.7634138903152</v>
      </c>
      <c r="BZ42" s="311">
        <f t="shared" si="103"/>
        <v>1433.0891839280348</v>
      </c>
      <c r="CA42" s="311">
        <f t="shared" si="103"/>
        <v>1378.3346617795819</v>
      </c>
      <c r="CB42" s="311">
        <f t="shared" si="103"/>
        <v>1408.4056556691849</v>
      </c>
      <c r="CC42" s="311">
        <f t="shared" si="103"/>
        <v>1711.8445726584159</v>
      </c>
      <c r="CD42" s="311">
        <f t="shared" si="103"/>
        <v>1575.2370701188515</v>
      </c>
      <c r="CE42" s="311">
        <f t="shared" si="103"/>
        <v>1520.5376793793721</v>
      </c>
      <c r="CF42" s="311">
        <f t="shared" si="103"/>
        <v>1555.0365986396037</v>
      </c>
      <c r="CG42" s="311">
        <f t="shared" si="103"/>
        <v>1874.7859651328188</v>
      </c>
      <c r="CH42" s="311">
        <f t="shared" si="103"/>
        <v>1684.5500310498783</v>
      </c>
      <c r="CI42" s="311">
        <f t="shared" si="103"/>
        <v>1629.3292061826785</v>
      </c>
      <c r="CJ42" s="311">
        <f t="shared" si="103"/>
        <v>1668.0399171488029</v>
      </c>
      <c r="CK42" s="311">
        <f t="shared" si="103"/>
        <v>1960.9519839811492</v>
      </c>
      <c r="CL42" s="311">
        <f t="shared" ref="CL42:CP42" si="104">+CL31</f>
        <v>1843.6515365965279</v>
      </c>
      <c r="CM42" s="311">
        <f t="shared" si="104"/>
        <v>1788.7257540828139</v>
      </c>
      <c r="CN42" s="311">
        <f t="shared" si="104"/>
        <v>1832.7506344345734</v>
      </c>
      <c r="CO42" s="311">
        <f t="shared" si="104"/>
        <v>2142.2878842312616</v>
      </c>
      <c r="CP42" s="311">
        <f t="shared" si="104"/>
        <v>2014.2538339231332</v>
      </c>
      <c r="CQ42" s="311">
        <f t="shared" ref="CQ42:CT42" si="105">+CQ31</f>
        <v>1959.6550613861486</v>
      </c>
      <c r="CR42" s="311">
        <f t="shared" si="105"/>
        <v>2009.592267320606</v>
      </c>
      <c r="CS42" s="311">
        <f t="shared" si="105"/>
        <v>2336.9019853996201</v>
      </c>
      <c r="CT42" s="311">
        <f t="shared" si="105"/>
        <v>2197.1450423529041</v>
      </c>
      <c r="CU42" s="311">
        <f t="shared" ref="CU42:CW42" si="106">+CU31</f>
        <v>2142.8456607940052</v>
      </c>
      <c r="CV42" s="311">
        <f t="shared" si="106"/>
        <v>2199.2136180235866</v>
      </c>
      <c r="CW42" s="311">
        <f t="shared" si="106"/>
        <v>2424.1221742022854</v>
      </c>
    </row>
    <row r="43" spans="1:101">
      <c r="A43" s="36" t="s">
        <v>1090</v>
      </c>
      <c r="B43" s="686">
        <f>-Q_Financials!B121</f>
        <v>4.9980000000000002</v>
      </c>
      <c r="C43" s="686">
        <f>-Q_Financials!C121</f>
        <v>3.8969999999999998</v>
      </c>
      <c r="D43" s="686">
        <f>-Q_Financials!D121</f>
        <v>-7.548</v>
      </c>
      <c r="E43" s="686">
        <f>-Q_Financials!E121</f>
        <v>-0.70500000000000096</v>
      </c>
      <c r="F43" s="686">
        <f>-Q_Financials!F121</f>
        <v>5.9240000000000004</v>
      </c>
      <c r="G43" s="686">
        <f>-Q_Financials!G121</f>
        <v>0.38899999999999935</v>
      </c>
      <c r="H43" s="686">
        <f>-Q_Financials!H121</f>
        <v>2.0930000000000009</v>
      </c>
      <c r="I43" s="686">
        <f>-Q_Financials!I121</f>
        <v>7.1629999999999994</v>
      </c>
      <c r="J43" s="686">
        <f>-Q_Financials!J121</f>
        <v>-0.52100000000000002</v>
      </c>
      <c r="K43" s="686">
        <f>-Q_Financials!K121</f>
        <v>2.5659999999999998</v>
      </c>
      <c r="L43" s="686">
        <f>-Q_Financials!L121</f>
        <v>2.4169999999999998</v>
      </c>
      <c r="M43" s="686">
        <f>-Q_Financials!M121</f>
        <v>5.1490000000000009</v>
      </c>
      <c r="N43" s="686">
        <f>-Q_Financials!N121</f>
        <v>1910.0060000000001</v>
      </c>
      <c r="O43" s="686">
        <f>-Q_Financials!O121</f>
        <v>0</v>
      </c>
      <c r="P43" s="686">
        <f>-Q_Financials!P121</f>
        <v>-23.923000000000002</v>
      </c>
      <c r="Q43" s="686">
        <f>-Q_Financials!Q121</f>
        <v>-121.08300000000008</v>
      </c>
      <c r="R43" s="686">
        <f>-Q_Financials!R121</f>
        <v>0</v>
      </c>
      <c r="S43" s="686">
        <f>-Q_Financials!S121</f>
        <v>610.995</v>
      </c>
      <c r="T43" s="686">
        <f>-Q_Financials!T121</f>
        <v>1350.2049999999999</v>
      </c>
      <c r="U43" s="686">
        <f>-Q_Financials!U121</f>
        <v>-17.141999999999939</v>
      </c>
      <c r="V43" s="983">
        <f>-Q_Financials!V121</f>
        <v>92.7</v>
      </c>
      <c r="W43" s="983">
        <f>-Q_Financials!W121</f>
        <v>7501.9000000000005</v>
      </c>
      <c r="X43" s="983">
        <f>-Q_Financials!X121</f>
        <v>605.39999999999941</v>
      </c>
      <c r="Y43" s="983">
        <f>-Q_Financials!Y121</f>
        <v>1704.9580000000003</v>
      </c>
      <c r="Z43" s="983">
        <f>-Q_Financials!Z121</f>
        <v>0</v>
      </c>
      <c r="AA43" s="983">
        <f>-Q_Financials!AA121</f>
        <v>0</v>
      </c>
      <c r="AB43" s="983">
        <f>-Q_Financials!AB121</f>
        <v>0</v>
      </c>
      <c r="AC43" s="983">
        <f>-Q_Financials!AC121</f>
        <v>0</v>
      </c>
      <c r="AD43" s="983">
        <f>-Q_Financials!AD121</f>
        <v>295.68900000000002</v>
      </c>
      <c r="AE43" s="983">
        <f>-Q_Financials!AE121</f>
        <v>-2.6620000000000346</v>
      </c>
      <c r="AF43" s="983">
        <f>-Q_Financials!AF121</f>
        <v>208.8</v>
      </c>
      <c r="AG43" s="983">
        <f>-Q_Financials!AG121</f>
        <v>-11.560999999999979</v>
      </c>
      <c r="AH43" s="983">
        <f>-Q_Financials!AH121</f>
        <v>0</v>
      </c>
      <c r="AI43" s="983">
        <f>-Q_Financials!AI121</f>
        <v>0</v>
      </c>
      <c r="AJ43" s="983">
        <f>-Q_Financials!AJ121</f>
        <v>0</v>
      </c>
      <c r="AK43" s="983">
        <f>-Q_Financials!AK121</f>
        <v>0</v>
      </c>
      <c r="AL43" s="983">
        <f>-Q_Financials!AL121</f>
        <v>0</v>
      </c>
      <c r="AM43" s="983">
        <f>-Q_Financials!AM121</f>
        <v>0</v>
      </c>
      <c r="AN43" s="983">
        <f>-Q_Financials!AN121</f>
        <v>0</v>
      </c>
      <c r="AO43" s="99">
        <f>-Q_Financials!AO121</f>
        <v>13101.41</v>
      </c>
      <c r="AP43" s="99">
        <f>-Q_Financials!AP121</f>
        <v>1124.239</v>
      </c>
      <c r="AQ43" s="99">
        <f>-Q_Financials!AQ121</f>
        <v>-189.61500000000001</v>
      </c>
      <c r="AR43" s="99">
        <f>-Q_Financials!AR121</f>
        <v>0</v>
      </c>
      <c r="AS43" s="99">
        <f>-Q_Financials!AS121</f>
        <v>127.64300000000003</v>
      </c>
      <c r="AT43" s="99">
        <f>-Q_Financials!AT121</f>
        <v>0</v>
      </c>
      <c r="AU43" s="99">
        <f>-Q_Financials!AU121</f>
        <v>0</v>
      </c>
      <c r="AV43" s="99">
        <f>-Q_Financials!AV121</f>
        <v>0</v>
      </c>
      <c r="AW43" s="99">
        <f>-Q_Financials!AW121</f>
        <v>0</v>
      </c>
      <c r="AX43" s="99">
        <f>-Q_Financials!AX121</f>
        <v>0</v>
      </c>
      <c r="AY43" s="99">
        <f>-Q_Financials!AY121</f>
        <v>0</v>
      </c>
      <c r="AZ43" s="99">
        <f>-Q_Financials!AZ121</f>
        <v>-141.99199999999999</v>
      </c>
      <c r="BA43" s="99">
        <f>-Q_Financials!BA121</f>
        <v>0</v>
      </c>
      <c r="BB43" s="99">
        <f>-Q_Financials!BB121</f>
        <v>0</v>
      </c>
      <c r="BC43" s="99">
        <f>-Q_Financials!BC121</f>
        <v>0</v>
      </c>
      <c r="BD43" s="99">
        <f>-Q_Financials!BD121</f>
        <v>0</v>
      </c>
      <c r="BE43" s="99">
        <f>-Q_Financials!BE121</f>
        <v>0</v>
      </c>
      <c r="BF43" s="99">
        <f>-Q_Financials!BF121</f>
        <v>0</v>
      </c>
      <c r="BG43" s="99">
        <f>-Q_Financials!BG121</f>
        <v>0</v>
      </c>
      <c r="BH43" s="99">
        <f>-Q_Financials!BH121</f>
        <v>0</v>
      </c>
      <c r="BI43" s="99">
        <f>-Q_Financials!BI121</f>
        <v>0</v>
      </c>
      <c r="BJ43" s="99">
        <f>-Q_Financials!BJ121</f>
        <v>0</v>
      </c>
      <c r="BK43" s="1173">
        <f>-Q_Financials!BK121</f>
        <v>0</v>
      </c>
      <c r="BL43" s="311">
        <v>0</v>
      </c>
      <c r="BM43" s="311">
        <v>0</v>
      </c>
      <c r="BN43" s="311">
        <v>0</v>
      </c>
      <c r="BO43" s="311">
        <v>0</v>
      </c>
      <c r="BP43" s="311">
        <v>0</v>
      </c>
      <c r="BQ43" s="311">
        <v>0</v>
      </c>
      <c r="BR43" s="311">
        <v>0</v>
      </c>
      <c r="BS43" s="311">
        <v>0</v>
      </c>
      <c r="BT43" s="311">
        <v>0</v>
      </c>
      <c r="BU43" s="311">
        <v>0</v>
      </c>
      <c r="BV43" s="311">
        <v>0</v>
      </c>
      <c r="BW43" s="311">
        <v>0</v>
      </c>
      <c r="BX43" s="311">
        <v>0</v>
      </c>
      <c r="BY43" s="311">
        <v>0</v>
      </c>
      <c r="BZ43" s="311">
        <v>0</v>
      </c>
      <c r="CA43" s="311">
        <v>0</v>
      </c>
      <c r="CB43" s="311">
        <v>0</v>
      </c>
      <c r="CC43" s="311">
        <v>0</v>
      </c>
      <c r="CD43" s="311">
        <v>0</v>
      </c>
      <c r="CE43" s="311">
        <v>0</v>
      </c>
      <c r="CF43" s="311">
        <v>0</v>
      </c>
      <c r="CG43" s="311">
        <v>0</v>
      </c>
      <c r="CH43" s="311">
        <v>0</v>
      </c>
      <c r="CI43" s="311">
        <v>0</v>
      </c>
      <c r="CJ43" s="311">
        <v>0</v>
      </c>
      <c r="CK43" s="311">
        <v>0</v>
      </c>
      <c r="CL43" s="311">
        <v>0</v>
      </c>
      <c r="CM43" s="311">
        <v>0</v>
      </c>
      <c r="CN43" s="311">
        <v>0</v>
      </c>
      <c r="CO43" s="311">
        <v>0</v>
      </c>
      <c r="CP43" s="311">
        <v>0</v>
      </c>
      <c r="CQ43" s="311">
        <v>0</v>
      </c>
      <c r="CR43" s="311">
        <v>0</v>
      </c>
      <c r="CS43" s="311">
        <v>0</v>
      </c>
      <c r="CT43" s="311">
        <v>0</v>
      </c>
      <c r="CU43" s="311">
        <v>0</v>
      </c>
      <c r="CV43" s="311">
        <v>0</v>
      </c>
      <c r="CW43" s="311">
        <v>0</v>
      </c>
    </row>
    <row r="44" spans="1:101">
      <c r="A44" s="36" t="s">
        <v>36</v>
      </c>
      <c r="B44" s="686">
        <f>IS!C46</f>
        <v>104.50174999999996</v>
      </c>
      <c r="C44" s="686">
        <f>IS!D46</f>
        <v>104.50174999999996</v>
      </c>
      <c r="D44" s="686">
        <f>IS!E46</f>
        <v>104.50174999999996</v>
      </c>
      <c r="E44" s="686">
        <f>IS!F46</f>
        <v>104.50174999999996</v>
      </c>
      <c r="F44" s="686">
        <f>IS!G46</f>
        <v>91.266750000000002</v>
      </c>
      <c r="G44" s="686">
        <f>IS!H46</f>
        <v>91.266750000000002</v>
      </c>
      <c r="H44" s="686">
        <f>IS!I46</f>
        <v>91.266750000000002</v>
      </c>
      <c r="I44" s="686">
        <f>IS!J46</f>
        <v>91.266750000000002</v>
      </c>
      <c r="J44" s="686">
        <f>IS!K46</f>
        <v>111.09225000000004</v>
      </c>
      <c r="K44" s="686">
        <f>IS!L46</f>
        <v>111.09225000000004</v>
      </c>
      <c r="L44" s="686">
        <f>IS!M46</f>
        <v>111.09225000000004</v>
      </c>
      <c r="M44" s="686">
        <f>IS!N46</f>
        <v>111.09225000000004</v>
      </c>
      <c r="N44" s="686">
        <f>IS!O46</f>
        <v>104.84924999999998</v>
      </c>
      <c r="O44" s="686">
        <f>IS!P46</f>
        <v>104.84924999999998</v>
      </c>
      <c r="P44" s="686">
        <f>IS!Q46</f>
        <v>104.84924999999998</v>
      </c>
      <c r="Q44" s="686">
        <f>IS!R46</f>
        <v>104.84924999999998</v>
      </c>
      <c r="R44" s="686">
        <f>IS!S46</f>
        <v>123.20000000000005</v>
      </c>
      <c r="S44" s="686">
        <f>IS!T46</f>
        <v>123.20000000000005</v>
      </c>
      <c r="T44" s="686">
        <f>IS!U46</f>
        <v>123.20000000000005</v>
      </c>
      <c r="U44" s="686">
        <f>IS!V46</f>
        <v>123.20000000000005</v>
      </c>
      <c r="V44" s="983">
        <f t="shared" ref="V44:BQ44" si="107">V46*U41</f>
        <v>166.75386</v>
      </c>
      <c r="W44" s="983">
        <f t="shared" si="107"/>
        <v>163.31476000000004</v>
      </c>
      <c r="X44" s="983">
        <f t="shared" si="107"/>
        <v>301.86488500000002</v>
      </c>
      <c r="Y44" s="983">
        <f t="shared" si="107"/>
        <v>305.99425500000001</v>
      </c>
      <c r="Z44" s="983">
        <f t="shared" si="107"/>
        <v>348.14731000000006</v>
      </c>
      <c r="AA44" s="983">
        <f t="shared" si="107"/>
        <v>349.58500500000002</v>
      </c>
      <c r="AB44" s="983">
        <f t="shared" si="107"/>
        <v>364.05029500000001</v>
      </c>
      <c r="AC44" s="983">
        <f t="shared" si="107"/>
        <v>373.96243500000003</v>
      </c>
      <c r="AD44" s="983">
        <f t="shared" si="107"/>
        <v>387.23317500000007</v>
      </c>
      <c r="AE44" s="983">
        <f t="shared" si="107"/>
        <v>397.11980000000005</v>
      </c>
      <c r="AF44" s="983">
        <f t="shared" si="107"/>
        <v>418.47266999999999</v>
      </c>
      <c r="AG44" s="983">
        <f t="shared" si="107"/>
        <v>448.78893500000004</v>
      </c>
      <c r="AH44" s="983">
        <f t="shared" si="107"/>
        <v>478.57057500000002</v>
      </c>
      <c r="AI44" s="983">
        <f t="shared" si="107"/>
        <v>480.22730000000007</v>
      </c>
      <c r="AJ44" s="983">
        <f t="shared" si="107"/>
        <v>492.18179500000002</v>
      </c>
      <c r="AK44" s="983">
        <f t="shared" si="107"/>
        <v>514.34109999999998</v>
      </c>
      <c r="AL44" s="983">
        <f t="shared" si="107"/>
        <v>552.03676500000006</v>
      </c>
      <c r="AM44" s="983">
        <f t="shared" si="107"/>
        <v>549.13488000000007</v>
      </c>
      <c r="AN44" s="983">
        <f t="shared" si="107"/>
        <v>549.5947450000001</v>
      </c>
      <c r="AO44" s="983">
        <f t="shared" si="107"/>
        <v>546.15806000000009</v>
      </c>
      <c r="AP44" s="983">
        <f t="shared" si="107"/>
        <v>629.7601800000001</v>
      </c>
      <c r="AQ44" s="983">
        <f t="shared" si="107"/>
        <v>649.87625500000001</v>
      </c>
      <c r="AR44" s="983">
        <f t="shared" si="107"/>
        <v>685.24627500000008</v>
      </c>
      <c r="AS44" s="983">
        <f t="shared" si="107"/>
        <v>665.76188000000002</v>
      </c>
      <c r="AT44" s="983">
        <f t="shared" si="107"/>
        <v>613.84228500000006</v>
      </c>
      <c r="AU44" s="983">
        <f t="shared" si="107"/>
        <v>640.8488450000001</v>
      </c>
      <c r="AV44" s="983">
        <f t="shared" si="107"/>
        <v>628.21531500000003</v>
      </c>
      <c r="AW44" s="983">
        <f t="shared" si="107"/>
        <v>599.32043499999997</v>
      </c>
      <c r="AX44" s="983">
        <f>AX46*AW41</f>
        <v>555.80000000000007</v>
      </c>
      <c r="AY44" s="983">
        <f t="shared" si="107"/>
        <v>543.01660000000004</v>
      </c>
      <c r="AZ44" s="983">
        <f t="shared" ref="AZ44:BJ44" si="108">AZ46*AY41</f>
        <v>518.24909500000001</v>
      </c>
      <c r="BA44" s="983">
        <f t="shared" si="108"/>
        <v>515.81820500000003</v>
      </c>
      <c r="BB44" s="983">
        <f t="shared" si="108"/>
        <v>534.72758500000009</v>
      </c>
      <c r="BC44" s="983">
        <f t="shared" si="108"/>
        <v>545.62560500000006</v>
      </c>
      <c r="BD44" s="983">
        <f t="shared" si="108"/>
        <v>538.00900999999999</v>
      </c>
      <c r="BE44" s="983">
        <f t="shared" si="108"/>
        <v>499.56396000000001</v>
      </c>
      <c r="BF44" s="983">
        <f t="shared" si="108"/>
        <v>540.00642500000004</v>
      </c>
      <c r="BG44" s="983">
        <f t="shared" si="108"/>
        <v>522.67642000000001</v>
      </c>
      <c r="BH44" s="983">
        <f t="shared" si="108"/>
        <v>515.62413000000004</v>
      </c>
      <c r="BI44" s="983">
        <f t="shared" si="108"/>
        <v>523.26151500000003</v>
      </c>
      <c r="BJ44" s="983">
        <f t="shared" si="108"/>
        <v>547.57202500000005</v>
      </c>
      <c r="BK44" s="1343">
        <f t="shared" ref="BK44" si="109">BK46*BJ41</f>
        <v>543.67183499999999</v>
      </c>
      <c r="BL44" s="311">
        <f t="shared" si="107"/>
        <v>603.23294499999997</v>
      </c>
      <c r="BM44" s="311">
        <f t="shared" si="107"/>
        <v>628.44203802825541</v>
      </c>
      <c r="BN44" s="311">
        <f t="shared" si="107"/>
        <v>662.54002788981359</v>
      </c>
      <c r="BO44" s="311">
        <f t="shared" si="107"/>
        <v>678.82163767088923</v>
      </c>
      <c r="BP44" s="311">
        <f t="shared" si="107"/>
        <v>692.73124247099611</v>
      </c>
      <c r="BQ44" s="311">
        <f t="shared" si="107"/>
        <v>706.7659216034657</v>
      </c>
      <c r="BR44" s="311">
        <f t="shared" ref="BR44:CK44" si="110">BR46*BQ41</f>
        <v>737.25559970667678</v>
      </c>
      <c r="BS44" s="311">
        <f t="shared" si="110"/>
        <v>750.84002506193553</v>
      </c>
      <c r="BT44" s="311">
        <f t="shared" si="110"/>
        <v>761.76566862461732</v>
      </c>
      <c r="BU44" s="311">
        <f t="shared" si="110"/>
        <v>772.97632566524055</v>
      </c>
      <c r="BV44" s="311">
        <f t="shared" si="110"/>
        <v>798.90506299528488</v>
      </c>
      <c r="BW44" s="311">
        <f t="shared" si="110"/>
        <v>812.3699936080784</v>
      </c>
      <c r="BX44" s="311">
        <f t="shared" si="110"/>
        <v>823.05319616879183</v>
      </c>
      <c r="BY44" s="311">
        <f t="shared" si="110"/>
        <v>834.10103722484894</v>
      </c>
      <c r="BZ44" s="311">
        <f t="shared" si="110"/>
        <v>935.35069599181156</v>
      </c>
      <c r="CA44" s="311">
        <f t="shared" si="110"/>
        <v>960.75111414451771</v>
      </c>
      <c r="CB44" s="311">
        <f t="shared" si="110"/>
        <v>976.80859349624473</v>
      </c>
      <c r="CC44" s="311">
        <f t="shared" si="110"/>
        <v>993.40493919366827</v>
      </c>
      <c r="CD44" s="311">
        <f t="shared" si="110"/>
        <v>1103.4062996948339</v>
      </c>
      <c r="CE44" s="311">
        <f t="shared" si="110"/>
        <v>1137.2469258989995</v>
      </c>
      <c r="CF44" s="311">
        <f t="shared" si="110"/>
        <v>1153.3767079269035</v>
      </c>
      <c r="CG44" s="311">
        <f t="shared" si="110"/>
        <v>1170.2795067231687</v>
      </c>
      <c r="CH44" s="311">
        <f t="shared" si="110"/>
        <v>1285.4234679722035</v>
      </c>
      <c r="CI44" s="311">
        <f t="shared" si="110"/>
        <v>1326.9437852662638</v>
      </c>
      <c r="CJ44" s="311">
        <f t="shared" si="110"/>
        <v>1340.8216232476166</v>
      </c>
      <c r="CK44" s="311">
        <f t="shared" si="110"/>
        <v>1355.8391543624866</v>
      </c>
      <c r="CL44" s="311">
        <f t="shared" ref="CL44" si="111">CL46*CK41</f>
        <v>1470.6013576831176</v>
      </c>
      <c r="CM44" s="311">
        <f t="shared" ref="CM44" si="112">CM46*CL41</f>
        <v>1522.9064030934214</v>
      </c>
      <c r="CN44" s="311">
        <f t="shared" ref="CN44" si="113">CN46*CM41</f>
        <v>1536.1701393758003</v>
      </c>
      <c r="CO44" s="311">
        <f t="shared" ref="CO44" si="114">CO46*CN41</f>
        <v>1550.9687816052517</v>
      </c>
      <c r="CP44" s="311">
        <f t="shared" ref="CP44" si="115">CP46*CO41</f>
        <v>1667.993138239505</v>
      </c>
      <c r="CQ44" s="311">
        <f t="shared" ref="CQ44" si="116">CQ46*CP41</f>
        <v>1732.2992367994191</v>
      </c>
      <c r="CR44" s="311">
        <f t="shared" ref="CR44" si="117">CR46*CQ41</f>
        <v>1744.599063410029</v>
      </c>
      <c r="CS44" s="311">
        <f t="shared" ref="CS44" si="118">CS46*CR41</f>
        <v>1758.9350517974592</v>
      </c>
      <c r="CT44" s="311">
        <f t="shared" ref="CT44" si="119">CT46*CS41</f>
        <v>1877.2561187994993</v>
      </c>
      <c r="CU44" s="311">
        <f t="shared" ref="CU44" si="120">CU46*CT41</f>
        <v>1954.8205140801942</v>
      </c>
      <c r="CV44" s="311">
        <f t="shared" ref="CV44" si="121">CV46*CU41</f>
        <v>1965.8215951338966</v>
      </c>
      <c r="CW44" s="311">
        <f t="shared" ref="CW44" si="122">CW46*CV41</f>
        <v>1979.4770268991233</v>
      </c>
    </row>
    <row r="45" spans="1:101">
      <c r="A45" s="312" t="s">
        <v>33</v>
      </c>
      <c r="B45" s="345"/>
      <c r="C45" s="345"/>
      <c r="D45" s="345"/>
      <c r="E45" s="345"/>
      <c r="F45" s="345">
        <f>F44/Q_Financials!F$5</f>
        <v>4.3547078038264769E-2</v>
      </c>
      <c r="G45" s="345">
        <f>G44/Q_Financials!G$5</f>
        <v>4.2122467346656207E-2</v>
      </c>
      <c r="H45" s="345">
        <f>H44/Q_Financials!H$5</f>
        <v>4.0118575337648489E-2</v>
      </c>
      <c r="I45" s="345">
        <f>I44/Q_Financials!I$5</f>
        <v>3.734323323637468E-2</v>
      </c>
      <c r="J45" s="345">
        <f>J44/Q_Financials!J$5</f>
        <v>4.6351320791874324E-2</v>
      </c>
      <c r="K45" s="345">
        <f>K44/Q_Financials!K$5</f>
        <v>4.2807674167330736E-2</v>
      </c>
      <c r="L45" s="345">
        <f>L44/Q_Financials!L$5</f>
        <v>4.0123176994921961E-2</v>
      </c>
      <c r="M45" s="345">
        <f>M44/Q_Financials!M$5</f>
        <v>3.7840125048027286E-2</v>
      </c>
      <c r="N45" s="345">
        <f>N44/Q_Financials!N$5</f>
        <v>3.5397552639255002E-2</v>
      </c>
      <c r="O45" s="345">
        <f>O44/Q_Financials!O$5</f>
        <v>3.0598929073597295E-2</v>
      </c>
      <c r="P45" s="345">
        <f>P44/Q_Financials!P$5</f>
        <v>2.9935956295760791E-2</v>
      </c>
      <c r="Q45" s="345">
        <f>Q44/Q_Financials!Q$5</f>
        <v>2.8896453496495878E-2</v>
      </c>
      <c r="R45" s="345">
        <f>R44/Q_Financials!R$5</f>
        <v>3.624866347764736E-2</v>
      </c>
      <c r="S45" s="345">
        <f>S44/Q_Financials!S$5</f>
        <v>3.2246016164362561E-2</v>
      </c>
      <c r="T45" s="345">
        <f>T44/Q_Financials!T$5</f>
        <v>3.017876262663997E-2</v>
      </c>
      <c r="U45" s="345">
        <f>U44/Q_Financials!U$5</f>
        <v>2.7930484831955749E-2</v>
      </c>
      <c r="V45" s="345">
        <f>V44/Q_Financials!V$5</f>
        <v>4.1771632319949022E-2</v>
      </c>
      <c r="W45" s="345">
        <f>W44/Q_Financials!W$5</f>
        <v>3.1386609257232786E-2</v>
      </c>
      <c r="X45" s="345">
        <f>X44/Q_Financials!X$5</f>
        <v>5.2946221148714105E-2</v>
      </c>
      <c r="Y45" s="345">
        <f>Y44/Q_Financials!Y$5</f>
        <v>3.8716081671715877E-2</v>
      </c>
      <c r="Z45" s="345">
        <f>Z44/Q_Financials!Z$5</f>
        <v>4.7404169039276259E-2</v>
      </c>
      <c r="AA45" s="345">
        <f>AA44/Q_Financials!AA$5</f>
        <v>4.5038342852858217E-2</v>
      </c>
      <c r="AB45" s="345">
        <f>AB44/Q_Financials!AB$5</f>
        <v>4.4264803011147109E-2</v>
      </c>
      <c r="AC45" s="345">
        <f>AC44/Q_Financials!AC$5</f>
        <v>4.1747008146842776E-2</v>
      </c>
      <c r="AD45" s="345">
        <f>AD44/Q_Financials!AD$5</f>
        <v>4.537130218072917E-2</v>
      </c>
      <c r="AE45" s="345">
        <f>AE44/Q_Financials!AE$5</f>
        <v>4.3805286111140533E-2</v>
      </c>
      <c r="AF45" s="345">
        <f>AF44/Q_Financials!AF$5</f>
        <v>4.3581896199785378E-2</v>
      </c>
      <c r="AG45" s="345">
        <f>AG44/Q_Financials!AG$5</f>
        <v>4.2743614848438818E-2</v>
      </c>
      <c r="AH45" s="345">
        <f>AH44/Q_Financials!AH$5</f>
        <v>4.7414960409145133E-2</v>
      </c>
      <c r="AI45" s="345">
        <f>AI44/Q_Financials!AI$5</f>
        <v>4.6423877724021394E-2</v>
      </c>
      <c r="AJ45" s="345">
        <f>AJ44/Q_Financials!AJ$5</f>
        <v>4.6984741040732372E-2</v>
      </c>
      <c r="AK45" s="345">
        <f>AK44/Q_Financials!AK$5</f>
        <v>4.4278203297416593E-2</v>
      </c>
      <c r="AL45" s="345">
        <f>AL44/Q_Financials!AL$5</f>
        <v>4.9823419779934146E-2</v>
      </c>
      <c r="AM45" s="410">
        <f>AM44/Q_Financials!AM$5</f>
        <v>4.8486556188031486E-2</v>
      </c>
      <c r="AN45" s="410">
        <f>AN44/Q_Financials!AN$5</f>
        <v>4.8314339562332609E-2</v>
      </c>
      <c r="AO45" s="410">
        <f>AO44/Q_Financials!AO$5</f>
        <v>4.4131053274683502E-2</v>
      </c>
      <c r="AP45" s="410">
        <f>AP44/Q_Financials!AP$5</f>
        <v>4.5999498341488337E-2</v>
      </c>
      <c r="AQ45" s="410">
        <f>AQ44/Q_Financials!AQ$5</f>
        <v>4.4571489719480155E-2</v>
      </c>
      <c r="AR45" s="410">
        <f>AR44/Q_Financials!AR$5</f>
        <v>4.7289356258794997E-2</v>
      </c>
      <c r="AS45" s="410">
        <f>AS44/Q_Financials!AS$5</f>
        <v>4.325095886135754E-2</v>
      </c>
      <c r="AT45" s="1737">
        <f>AT44/Q_Financials!AT$5</f>
        <v>5.0709435865408686E-2</v>
      </c>
      <c r="AU45" s="1737">
        <f>AU44/Q_Financials!AU$5</f>
        <v>0.12329287020201138</v>
      </c>
      <c r="AV45" s="1737">
        <f>AV44/Q_Financials!AV$5</f>
        <v>6.3484833739881022E-2</v>
      </c>
      <c r="AW45" s="1737">
        <f>AW44/Q_Financials!AW$5</f>
        <v>5.3051131385459228E-2</v>
      </c>
      <c r="AX45" s="1737">
        <f>AX44/Q_Financials!AX$5</f>
        <v>5.4427689612145433E-2</v>
      </c>
      <c r="AY45" s="1737">
        <f>AY44/Q_Financials!AY$5</f>
        <v>4.3520123795338893E-2</v>
      </c>
      <c r="AZ45" s="1808">
        <f>AZ44/Q_Financials!AZ$5</f>
        <v>3.7128448536799856E-2</v>
      </c>
      <c r="BA45" s="1808">
        <f>BA44/Q_Financials!BA$5</f>
        <v>3.0828039221826867E-2</v>
      </c>
      <c r="BB45" s="1737">
        <f>BB44/Q_Financials!BB$5</f>
        <v>3.511436237295177E-2</v>
      </c>
      <c r="BC45" s="1737">
        <f>BC44/Q_Financials!BC$5</f>
        <v>3.2210961803937017E-2</v>
      </c>
      <c r="BD45" s="1808">
        <f>BD44/Q_Financials!BD$5</f>
        <v>3.0711474185440311E-2</v>
      </c>
      <c r="BE45" s="1808">
        <f>BE44/Q_Financials!BE$5</f>
        <v>2.6092575364199448E-2</v>
      </c>
      <c r="BF45" s="1808">
        <f>BF44/Q_Financials!BF$5</f>
        <v>3.0568165717338291E-2</v>
      </c>
      <c r="BG45" s="1808">
        <f>BG44/Q_Financials!BG$5</f>
        <v>2.758371192502887E-2</v>
      </c>
      <c r="BH45" s="1808">
        <f>BH44/Q_Financials!BH$5</f>
        <v>2.648304152845813E-2</v>
      </c>
      <c r="BI45" s="1808">
        <f>BI44/Q_Financials!BI$5</f>
        <v>2.5972575995474794E-2</v>
      </c>
      <c r="BJ45" s="1808">
        <f>BJ44/Q_Financials!BJ$5</f>
        <v>3.0081700766496283E-2</v>
      </c>
      <c r="BK45" s="1809">
        <f>BK44/Q_Financials!BK$5</f>
        <v>2.8236765206846707E-2</v>
      </c>
      <c r="BL45" s="314">
        <f>BL44/Q_Financials!BL$5</f>
        <v>2.9999692660095556E-2</v>
      </c>
      <c r="BM45" s="314">
        <f>BM44/Q_Financials!BM$5</f>
        <v>2.9948353198553771E-2</v>
      </c>
      <c r="BN45" s="314">
        <f>BN44/Q_Financials!BN$5</f>
        <v>3.3274087304130576E-2</v>
      </c>
      <c r="BO45" s="314">
        <f>BO44/Q_Financials!BO$5</f>
        <v>3.1700319180943827E-2</v>
      </c>
      <c r="BP45" s="314">
        <f>BP44/Q_Financials!BP$5</f>
        <v>3.1545045407205381E-2</v>
      </c>
      <c r="BQ45" s="314">
        <f>BQ44/Q_Financials!BQ$5</f>
        <v>3.1113664199072369E-2</v>
      </c>
      <c r="BR45" s="314">
        <f>BR44/Q_Financials!BR$5</f>
        <v>3.4360078746646511E-2</v>
      </c>
      <c r="BS45" s="314">
        <f>BS44/Q_Financials!BS$5</f>
        <v>3.2906401260169207E-2</v>
      </c>
      <c r="BT45" s="314">
        <f>BT44/Q_Financials!BT$5</f>
        <v>3.2560641220489871E-2</v>
      </c>
      <c r="BU45" s="314">
        <f>BU44/Q_Financials!BU$5</f>
        <v>3.1951021001512148E-2</v>
      </c>
      <c r="BV45" s="314">
        <f>BV44/Q_Financials!BV$5</f>
        <v>3.5131071519829034E-2</v>
      </c>
      <c r="BW45" s="314">
        <f>BW44/Q_Financials!BW$5</f>
        <v>3.3647762876272393E-2</v>
      </c>
      <c r="BX45" s="314">
        <f>BX44/Q_Financials!BX$5</f>
        <v>3.3235889266712851E-2</v>
      </c>
      <c r="BY45" s="314">
        <f>BY44/Q_Financials!BY$5</f>
        <v>3.2538126008531891E-2</v>
      </c>
      <c r="BZ45" s="314">
        <f>BZ44/Q_Financials!BZ$5</f>
        <v>3.9067660698901122E-2</v>
      </c>
      <c r="CA45" s="314">
        <f>CA44/Q_Financials!CA$5</f>
        <v>3.783722133809006E-2</v>
      </c>
      <c r="CB45" s="314">
        <f>CB44/Q_Financials!CB$5</f>
        <v>3.7478861435238965E-2</v>
      </c>
      <c r="CC45" s="314">
        <f>CC44/Q_Financials!CC$5</f>
        <v>3.6774370444599393E-2</v>
      </c>
      <c r="CD45" s="314">
        <f>CD44/Q_Financials!CD$5</f>
        <v>4.3784269737604027E-2</v>
      </c>
      <c r="CE45" s="314">
        <f>CE44/Q_Financials!CE$5</f>
        <v>4.2595129587996626E-2</v>
      </c>
      <c r="CF45" s="314">
        <f>CF44/Q_Financials!CF$5</f>
        <v>4.2057574820743106E-2</v>
      </c>
      <c r="CG45" s="314">
        <f>CG44/Q_Financials!CG$5</f>
        <v>4.1121579689214822E-2</v>
      </c>
      <c r="CH45" s="314">
        <f>CH44/Q_Financials!CH$5</f>
        <v>4.8482661402425714E-2</v>
      </c>
      <c r="CI45" s="314">
        <f>CI44/Q_Financials!CI$5</f>
        <v>4.7310308576521583E-2</v>
      </c>
      <c r="CJ45" s="314">
        <f>CJ44/Q_Financials!CJ$5</f>
        <v>4.6530881178073295E-2</v>
      </c>
      <c r="CK45" s="314">
        <f>CK44/Q_Financials!CK$5</f>
        <v>4.5316749835998413E-2</v>
      </c>
      <c r="CL45" s="314">
        <f>CL44/Q_Financials!CL$5</f>
        <v>5.2833697968928652E-2</v>
      </c>
      <c r="CM45" s="314">
        <f>CM44/Q_Financials!CM$5</f>
        <v>5.1767628215289248E-2</v>
      </c>
      <c r="CN45" s="314">
        <f>CN44/Q_Financials!CN$5</f>
        <v>5.0789775248112561E-2</v>
      </c>
      <c r="CO45" s="314">
        <f>CO44/Q_Financials!CO$5</f>
        <v>4.9332590270639451E-2</v>
      </c>
      <c r="CP45" s="314">
        <f>CP44/Q_Financials!CP$5</f>
        <v>5.7087030103099852E-2</v>
      </c>
      <c r="CQ45" s="314">
        <f>CQ44/Q_Financials!CQ$5</f>
        <v>5.6148256729728604E-2</v>
      </c>
      <c r="CR45" s="314">
        <f>CR44/Q_Financials!CR$5</f>
        <v>5.4958437572025641E-2</v>
      </c>
      <c r="CS45" s="314">
        <f>CS44/Q_Financials!CS$5</f>
        <v>5.3247778508267958E-2</v>
      </c>
      <c r="CT45" s="314">
        <f>CT44/Q_Financials!CT$5</f>
        <v>6.1210822963978555E-2</v>
      </c>
      <c r="CU45" s="314">
        <f>CU44/Q_Financials!CU$5</f>
        <v>6.0421392141443105E-2</v>
      </c>
      <c r="CV45" s="314">
        <f>CV44/Q_Financials!CV$5</f>
        <v>5.9012844285755921E-2</v>
      </c>
      <c r="CW45" s="314">
        <f>CW44/Q_Financials!CW$5</f>
        <v>5.707368304604396E-2</v>
      </c>
    </row>
    <row r="46" spans="1:101">
      <c r="A46" s="312" t="s">
        <v>37</v>
      </c>
      <c r="B46" s="345"/>
      <c r="C46" s="345"/>
      <c r="D46" s="345"/>
      <c r="E46" s="345"/>
      <c r="F46" s="345">
        <f t="shared" ref="F46:U46" si="123">F44/E41</f>
        <v>3.1496512034808563E-2</v>
      </c>
      <c r="G46" s="345">
        <f t="shared" si="123"/>
        <v>3.2256858846918493E-2</v>
      </c>
      <c r="H46" s="345">
        <f t="shared" si="123"/>
        <v>3.192589584238463E-2</v>
      </c>
      <c r="I46" s="345">
        <f t="shared" si="123"/>
        <v>3.1615875773970487E-2</v>
      </c>
      <c r="J46" s="345">
        <f t="shared" si="123"/>
        <v>3.7103435630399965E-2</v>
      </c>
      <c r="K46" s="345">
        <f t="shared" si="123"/>
        <v>3.6595531541882914E-2</v>
      </c>
      <c r="L46" s="345">
        <f t="shared" si="123"/>
        <v>3.5264962783504383E-2</v>
      </c>
      <c r="M46" s="345">
        <f t="shared" si="123"/>
        <v>3.413854393715858E-2</v>
      </c>
      <c r="N46" s="345">
        <f t="shared" si="123"/>
        <v>3.0194864100540827E-2</v>
      </c>
      <c r="O46" s="345">
        <f t="shared" si="123"/>
        <v>2.9221376432826161E-2</v>
      </c>
      <c r="P46" s="345">
        <f t="shared" si="123"/>
        <v>2.8588861688906238E-2</v>
      </c>
      <c r="Q46" s="345">
        <f t="shared" si="123"/>
        <v>2.8285688849801507E-2</v>
      </c>
      <c r="R46" s="345">
        <f t="shared" si="123"/>
        <v>3.1395670047817244E-2</v>
      </c>
      <c r="S46" s="345">
        <f t="shared" si="123"/>
        <v>3.1804218189328048E-2</v>
      </c>
      <c r="T46" s="345">
        <f t="shared" si="123"/>
        <v>2.8922815288618953E-2</v>
      </c>
      <c r="U46" s="345">
        <f t="shared" si="123"/>
        <v>2.7659474155678845E-2</v>
      </c>
      <c r="V46" s="984">
        <v>3.5000000000000003E-2</v>
      </c>
      <c r="W46" s="984">
        <f t="shared" ref="W46:AZ46" si="124">+V46</f>
        <v>3.5000000000000003E-2</v>
      </c>
      <c r="X46" s="984">
        <f t="shared" si="124"/>
        <v>3.5000000000000003E-2</v>
      </c>
      <c r="Y46" s="984">
        <f t="shared" si="124"/>
        <v>3.5000000000000003E-2</v>
      </c>
      <c r="Z46" s="984">
        <f t="shared" si="124"/>
        <v>3.5000000000000003E-2</v>
      </c>
      <c r="AA46" s="984">
        <f t="shared" si="124"/>
        <v>3.5000000000000003E-2</v>
      </c>
      <c r="AB46" s="984">
        <f t="shared" si="124"/>
        <v>3.5000000000000003E-2</v>
      </c>
      <c r="AC46" s="984">
        <f t="shared" si="124"/>
        <v>3.5000000000000003E-2</v>
      </c>
      <c r="AD46" s="984">
        <f t="shared" si="124"/>
        <v>3.5000000000000003E-2</v>
      </c>
      <c r="AE46" s="984">
        <f t="shared" si="124"/>
        <v>3.5000000000000003E-2</v>
      </c>
      <c r="AF46" s="984">
        <f t="shared" si="124"/>
        <v>3.5000000000000003E-2</v>
      </c>
      <c r="AG46" s="984">
        <f t="shared" si="124"/>
        <v>3.5000000000000003E-2</v>
      </c>
      <c r="AH46" s="984">
        <f t="shared" si="124"/>
        <v>3.5000000000000003E-2</v>
      </c>
      <c r="AI46" s="984">
        <f t="shared" si="124"/>
        <v>3.5000000000000003E-2</v>
      </c>
      <c r="AJ46" s="984">
        <f t="shared" si="124"/>
        <v>3.5000000000000003E-2</v>
      </c>
      <c r="AK46" s="984">
        <f t="shared" si="124"/>
        <v>3.5000000000000003E-2</v>
      </c>
      <c r="AL46" s="984">
        <f t="shared" si="124"/>
        <v>3.5000000000000003E-2</v>
      </c>
      <c r="AM46" s="992">
        <f t="shared" si="124"/>
        <v>3.5000000000000003E-2</v>
      </c>
      <c r="AN46" s="992">
        <f t="shared" si="124"/>
        <v>3.5000000000000003E-2</v>
      </c>
      <c r="AO46" s="992">
        <f t="shared" si="124"/>
        <v>3.5000000000000003E-2</v>
      </c>
      <c r="AP46" s="992">
        <f t="shared" si="124"/>
        <v>3.5000000000000003E-2</v>
      </c>
      <c r="AQ46" s="992">
        <f t="shared" si="124"/>
        <v>3.5000000000000003E-2</v>
      </c>
      <c r="AR46" s="992">
        <f t="shared" si="124"/>
        <v>3.5000000000000003E-2</v>
      </c>
      <c r="AS46" s="992">
        <f t="shared" si="124"/>
        <v>3.5000000000000003E-2</v>
      </c>
      <c r="AT46" s="1738">
        <f t="shared" si="124"/>
        <v>3.5000000000000003E-2</v>
      </c>
      <c r="AU46" s="1738">
        <f t="shared" si="124"/>
        <v>3.5000000000000003E-2</v>
      </c>
      <c r="AV46" s="1738">
        <f t="shared" si="124"/>
        <v>3.5000000000000003E-2</v>
      </c>
      <c r="AW46" s="1738">
        <f t="shared" si="124"/>
        <v>3.5000000000000003E-2</v>
      </c>
      <c r="AX46" s="1738">
        <f t="shared" si="124"/>
        <v>3.5000000000000003E-2</v>
      </c>
      <c r="AY46" s="1738">
        <f t="shared" si="124"/>
        <v>3.5000000000000003E-2</v>
      </c>
      <c r="AZ46" s="1738">
        <f t="shared" si="124"/>
        <v>3.5000000000000003E-2</v>
      </c>
      <c r="BA46" s="1738">
        <f t="shared" ref="BA46:BJ46" si="125">+AZ46</f>
        <v>3.5000000000000003E-2</v>
      </c>
      <c r="BB46" s="1738">
        <f t="shared" si="125"/>
        <v>3.5000000000000003E-2</v>
      </c>
      <c r="BC46" s="1738">
        <f t="shared" si="125"/>
        <v>3.5000000000000003E-2</v>
      </c>
      <c r="BD46" s="1738">
        <f t="shared" si="125"/>
        <v>3.5000000000000003E-2</v>
      </c>
      <c r="BE46" s="1738">
        <f t="shared" si="125"/>
        <v>3.5000000000000003E-2</v>
      </c>
      <c r="BF46" s="1738">
        <f t="shared" si="125"/>
        <v>3.5000000000000003E-2</v>
      </c>
      <c r="BG46" s="1738">
        <f t="shared" si="125"/>
        <v>3.5000000000000003E-2</v>
      </c>
      <c r="BH46" s="1738">
        <f t="shared" si="125"/>
        <v>3.5000000000000003E-2</v>
      </c>
      <c r="BI46" s="1738">
        <f t="shared" si="125"/>
        <v>3.5000000000000003E-2</v>
      </c>
      <c r="BJ46" s="1738">
        <f t="shared" si="125"/>
        <v>3.5000000000000003E-2</v>
      </c>
      <c r="BK46" s="1690">
        <f t="shared" ref="BK46" si="126">+BJ46</f>
        <v>3.5000000000000003E-2</v>
      </c>
      <c r="BL46" s="340">
        <f>Inputs!BL$285</f>
        <v>3.5000000000000003E-2</v>
      </c>
      <c r="BM46" s="340">
        <f>Inputs!BM$285</f>
        <v>3.5000000000000003E-2</v>
      </c>
      <c r="BN46" s="340">
        <f>Inputs!BN$285</f>
        <v>3.5000000000000003E-2</v>
      </c>
      <c r="BO46" s="340">
        <f>Inputs!BO$285</f>
        <v>3.5000000000000003E-2</v>
      </c>
      <c r="BP46" s="340">
        <f>Inputs!BP$285</f>
        <v>3.5000000000000003E-2</v>
      </c>
      <c r="BQ46" s="340">
        <f>Inputs!BQ$285</f>
        <v>3.5000000000000003E-2</v>
      </c>
      <c r="BR46" s="340">
        <f>Inputs!BR$285</f>
        <v>3.5000000000000003E-2</v>
      </c>
      <c r="BS46" s="340">
        <f>Inputs!BS$285</f>
        <v>3.5000000000000003E-2</v>
      </c>
      <c r="BT46" s="340">
        <f>Inputs!BT$285</f>
        <v>3.5000000000000003E-2</v>
      </c>
      <c r="BU46" s="340">
        <f>Inputs!BU$285</f>
        <v>3.5000000000000003E-2</v>
      </c>
      <c r="BV46" s="340">
        <f>Inputs!BV$285</f>
        <v>3.5000000000000003E-2</v>
      </c>
      <c r="BW46" s="340">
        <f>Inputs!BW$285</f>
        <v>3.5000000000000003E-2</v>
      </c>
      <c r="BX46" s="340">
        <f>Inputs!BX$285</f>
        <v>3.5000000000000003E-2</v>
      </c>
      <c r="BY46" s="340">
        <f>Inputs!BY$285</f>
        <v>3.5000000000000003E-2</v>
      </c>
      <c r="BZ46" s="340">
        <f>Inputs!BZ$285</f>
        <v>3.8197659574468086E-2</v>
      </c>
      <c r="CA46" s="340">
        <f>Inputs!CA$285</f>
        <v>3.8453333333333339E-2</v>
      </c>
      <c r="CB46" s="340">
        <f>Inputs!CB$285</f>
        <v>3.8453333333333339E-2</v>
      </c>
      <c r="CC46" s="340">
        <f>Inputs!CC$285</f>
        <v>3.8453333333333339E-2</v>
      </c>
      <c r="CD46" s="340">
        <f>Inputs!CD$285</f>
        <v>4.1555678723404252E-2</v>
      </c>
      <c r="CE46" s="340">
        <f>Inputs!CE$285</f>
        <v>4.2082366666666676E-2</v>
      </c>
      <c r="CF46" s="340">
        <f>Inputs!CF$285</f>
        <v>4.2082366666666676E-2</v>
      </c>
      <c r="CG46" s="340">
        <f>Inputs!CG$285</f>
        <v>4.2082366666666676E-2</v>
      </c>
      <c r="CH46" s="340">
        <f>Inputs!CH$285</f>
        <v>4.5080801127659574E-2</v>
      </c>
      <c r="CI46" s="340">
        <f>Inputs!CI$285</f>
        <v>4.5894534000000008E-2</v>
      </c>
      <c r="CJ46" s="340">
        <f>Inputs!CJ$285</f>
        <v>4.5894534000000008E-2</v>
      </c>
      <c r="CK46" s="340">
        <f>Inputs!CK$285</f>
        <v>4.5894534000000008E-2</v>
      </c>
      <c r="CL46" s="340">
        <f>Inputs!CL$285</f>
        <v>4.878003076531915E-2</v>
      </c>
      <c r="CM46" s="340">
        <f>Inputs!CM$285</f>
        <v>4.9897557243333342E-2</v>
      </c>
      <c r="CN46" s="340">
        <f>Inputs!CN$285</f>
        <v>4.9897557243333342E-2</v>
      </c>
      <c r="CO46" s="340">
        <f>Inputs!CO$285</f>
        <v>4.9897557243333342E-2</v>
      </c>
      <c r="CP46" s="340">
        <f>Inputs!CP$285</f>
        <v>5.2660641460223402E-2</v>
      </c>
      <c r="CQ46" s="340">
        <f>Inputs!CQ$285</f>
        <v>5.4099456800666676E-2</v>
      </c>
      <c r="CR46" s="340">
        <f>Inputs!CR$285</f>
        <v>5.4099456800666676E-2</v>
      </c>
      <c r="CS46" s="340">
        <f>Inputs!CS$285</f>
        <v>5.4099456800666676E-2</v>
      </c>
      <c r="CT46" s="340">
        <f>Inputs!CT$285</f>
        <v>5.6730186769133134E-2</v>
      </c>
      <c r="CU46" s="340">
        <f>Inputs!CU$285</f>
        <v>5.850856252992101E-2</v>
      </c>
      <c r="CV46" s="340">
        <f>Inputs!CV$285</f>
        <v>5.850856252992101E-2</v>
      </c>
      <c r="CW46" s="340">
        <f>Inputs!CW$285</f>
        <v>5.850856252992101E-2</v>
      </c>
    </row>
    <row r="47" spans="1:101"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686"/>
      <c r="S47" s="686"/>
      <c r="T47" s="686"/>
      <c r="U47" s="686"/>
      <c r="V47" s="686"/>
      <c r="W47" s="686"/>
      <c r="X47" s="686"/>
      <c r="Y47" s="686"/>
      <c r="Z47" s="686"/>
      <c r="AA47" s="686"/>
      <c r="AB47" s="686"/>
      <c r="AC47" s="686"/>
      <c r="AD47" s="686"/>
      <c r="AE47" s="686"/>
      <c r="AF47" s="686"/>
      <c r="AG47" s="686"/>
      <c r="AH47" s="686"/>
      <c r="AI47" s="686"/>
      <c r="AJ47" s="686"/>
      <c r="AK47" s="686"/>
      <c r="AL47" s="686"/>
      <c r="AM47" s="686"/>
      <c r="AN47" s="686"/>
      <c r="AO47" s="686"/>
      <c r="AP47" s="311"/>
      <c r="AQ47" s="311"/>
      <c r="AR47" s="311"/>
      <c r="AS47" s="311"/>
      <c r="AT47" s="311"/>
      <c r="AU47" s="311"/>
      <c r="AV47" s="311"/>
      <c r="AW47" s="311"/>
      <c r="AX47" s="311"/>
      <c r="AY47" s="311"/>
      <c r="AZ47" s="311"/>
      <c r="BA47" s="311"/>
      <c r="BB47" s="311"/>
      <c r="BC47" s="311"/>
      <c r="BD47" s="311"/>
      <c r="BE47" s="311"/>
      <c r="BF47" s="311"/>
      <c r="BG47" s="311"/>
      <c r="BH47" s="311"/>
      <c r="BI47" s="311"/>
      <c r="BJ47" s="311"/>
      <c r="BK47" s="1880"/>
      <c r="BL47" s="311"/>
      <c r="BM47" s="311"/>
      <c r="BN47" s="311"/>
      <c r="BO47" s="311"/>
      <c r="BP47" s="311"/>
      <c r="BQ47" s="311"/>
      <c r="BR47" s="311"/>
      <c r="BS47" s="311"/>
      <c r="BT47" s="311"/>
      <c r="BU47" s="311"/>
      <c r="BV47" s="311"/>
      <c r="BW47" s="311"/>
      <c r="BX47" s="311"/>
      <c r="BY47" s="311"/>
      <c r="BZ47" s="311"/>
      <c r="CA47" s="311"/>
      <c r="CB47" s="311"/>
      <c r="CC47" s="311"/>
      <c r="CD47" s="311"/>
      <c r="CE47" s="311"/>
      <c r="CF47" s="311"/>
      <c r="CG47" s="311"/>
      <c r="CH47" s="311"/>
      <c r="CI47" s="311"/>
      <c r="CJ47" s="311"/>
      <c r="CK47" s="311"/>
      <c r="CL47" s="311"/>
      <c r="CM47" s="311"/>
      <c r="CN47" s="311"/>
      <c r="CO47" s="311"/>
      <c r="CP47" s="311"/>
      <c r="CQ47" s="311"/>
      <c r="CR47" s="311"/>
      <c r="CS47" s="311"/>
      <c r="CT47" s="311"/>
      <c r="CU47" s="311"/>
      <c r="CV47" s="311"/>
      <c r="CW47" s="311"/>
    </row>
    <row r="48" spans="1:101">
      <c r="A48" s="13" t="s">
        <v>359</v>
      </c>
      <c r="B48" s="982">
        <f>Q_Financials!B75</f>
        <v>1034.0509999999999</v>
      </c>
      <c r="C48" s="982">
        <f>Q_Financials!C75</f>
        <v>1009.004</v>
      </c>
      <c r="D48" s="982">
        <f>Q_Financials!D75</f>
        <v>985.66800000000001</v>
      </c>
      <c r="E48" s="982">
        <f>Q_Financials!E75</f>
        <v>992.6</v>
      </c>
      <c r="F48" s="982">
        <f>Q_Financials!F75</f>
        <v>977.39300000000003</v>
      </c>
      <c r="G48" s="982">
        <f>Q_Financials!G75</f>
        <v>968.45799999999997</v>
      </c>
      <c r="H48" s="982">
        <f>Q_Financials!H75</f>
        <v>955.24199999999996</v>
      </c>
      <c r="I48" s="982">
        <f>Q_Financials!I75</f>
        <v>955.31</v>
      </c>
      <c r="J48" s="982">
        <f>Q_Financials!J75</f>
        <v>923.16300000000001</v>
      </c>
      <c r="K48" s="982">
        <f>Q_Financials!K75</f>
        <v>891.28</v>
      </c>
      <c r="L48" s="982">
        <f>Q_Financials!L75</f>
        <v>910.87800000000004</v>
      </c>
      <c r="M48" s="982">
        <f>Q_Financials!M75</f>
        <v>928.69399999999996</v>
      </c>
      <c r="N48" s="982">
        <f>Q_Financials!N75</f>
        <v>2544.7289999999998</v>
      </c>
      <c r="O48" s="982">
        <f>Q_Financials!O75</f>
        <v>2523.5410000000002</v>
      </c>
      <c r="P48" s="982">
        <f>Q_Financials!P75</f>
        <v>2478.018</v>
      </c>
      <c r="Q48" s="982">
        <f>Q_Financials!Q75</f>
        <v>2418.83</v>
      </c>
      <c r="R48" s="982">
        <f>Q_Financials!R75</f>
        <v>2407.8150000000001</v>
      </c>
      <c r="S48" s="982">
        <f>Q_Financials!S75</f>
        <v>2551.2040000000002</v>
      </c>
      <c r="T48" s="982">
        <f>Q_Financials!T75</f>
        <v>3761.34</v>
      </c>
      <c r="U48" s="982">
        <f>Q_Financials!U75</f>
        <v>3386.0430000000001</v>
      </c>
      <c r="V48" s="982">
        <f>Q_Financials!V75</f>
        <v>3319.866</v>
      </c>
      <c r="W48" s="982">
        <f>Q_Financials!W75</f>
        <v>7768.9129999999996</v>
      </c>
      <c r="X48" s="982">
        <f>Q_Financials!X75</f>
        <v>8689.1929999999993</v>
      </c>
      <c r="Y48" s="982">
        <f>Q_Financials!Y75</f>
        <v>13597.599</v>
      </c>
      <c r="Z48" s="982">
        <f>Q_Financials!Z75</f>
        <v>13210.082</v>
      </c>
      <c r="AA48" s="982">
        <f>Q_Financials!AA75</f>
        <v>13397.785</v>
      </c>
      <c r="AB48" s="982">
        <f>Q_Financials!AB75</f>
        <v>13637.831</v>
      </c>
      <c r="AC48" s="982">
        <f>Q_Financials!AC75</f>
        <v>13753.902</v>
      </c>
      <c r="AD48" s="982">
        <f>Q_Financials!AD75</f>
        <v>15135.695</v>
      </c>
      <c r="AE48" s="982">
        <f>Q_Financials!AE75</f>
        <v>15036.611999999999</v>
      </c>
      <c r="AF48" s="982">
        <f>Q_Financials!AF75</f>
        <v>15059.2</v>
      </c>
      <c r="AG48" s="982">
        <f>Q_Financials!AG75</f>
        <v>15215.335999999999</v>
      </c>
      <c r="AH48" s="982">
        <f>Q_Financials!AH75</f>
        <v>15139.791999999999</v>
      </c>
      <c r="AI48" s="982">
        <f>Q_Financials!AI75</f>
        <v>15164.124</v>
      </c>
      <c r="AJ48" s="982">
        <f>Q_Financials!AJ75</f>
        <v>15254.995999999999</v>
      </c>
      <c r="AK48" s="982">
        <f>Q_Financials!AK75</f>
        <v>15358.005999999999</v>
      </c>
      <c r="AL48" s="982">
        <f>Q_Financials!AL75</f>
        <v>15238.194</v>
      </c>
      <c r="AM48" s="982">
        <f>Q_Financials!AM75</f>
        <v>15124.357</v>
      </c>
      <c r="AN48" s="982">
        <f>Q_Financials!AN75</f>
        <v>15048.837</v>
      </c>
      <c r="AO48" s="982">
        <f>Q_Financials!AO75</f>
        <v>25749.010999999999</v>
      </c>
      <c r="AP48" s="982">
        <f>Q_Financials!AP75</f>
        <v>25934.328000000001</v>
      </c>
      <c r="AQ48" s="982">
        <f>Q_Financials!AQ75</f>
        <v>25909.170999999998</v>
      </c>
      <c r="AR48" s="982">
        <f>Q_Financials!AR75</f>
        <v>25816.252</v>
      </c>
      <c r="AS48" s="982">
        <f>Q_Financials!AS75</f>
        <v>27375.208999999999</v>
      </c>
      <c r="AT48" s="982">
        <f>Q_Financials!AT75</f>
        <v>28972.52</v>
      </c>
      <c r="AU48" s="982">
        <f>Q_Financials!AU75</f>
        <v>29421.368999999999</v>
      </c>
      <c r="AV48" s="982">
        <f>Q_Financials!AV75</f>
        <v>29871.771000000001</v>
      </c>
      <c r="AW48" s="982">
        <f>Q_Financials!AW75</f>
        <v>28817</v>
      </c>
      <c r="AX48" s="982">
        <f>Q_Financials!AX75</f>
        <v>28553.613000000001</v>
      </c>
      <c r="AY48" s="982">
        <f>Q_Financials!AY75</f>
        <v>28182.726999999999</v>
      </c>
      <c r="AZ48" s="982">
        <f>Q_Financials!AZ75</f>
        <v>28277.452000000001</v>
      </c>
      <c r="BA48" s="982">
        <f>Q_Financials!BA75</f>
        <v>27796.563999999998</v>
      </c>
      <c r="BB48" s="982">
        <f>Q_Financials!BB75</f>
        <v>27115.330999999998</v>
      </c>
      <c r="BC48" s="982">
        <f>Q_Financials!BC75</f>
        <v>26325.57</v>
      </c>
      <c r="BD48" s="982">
        <f>Q_Financials!BD75</f>
        <v>26176.780999999999</v>
      </c>
      <c r="BE48" s="982">
        <f>Q_Financials!BE75</f>
        <v>26671.732</v>
      </c>
      <c r="BF48" s="982">
        <f>Q_Financials!BF75</f>
        <v>25683.412</v>
      </c>
      <c r="BG48" s="982">
        <f>Q_Financials!BG75</f>
        <v>24777.38</v>
      </c>
      <c r="BH48" s="982">
        <f>Q_Financials!BH75</f>
        <v>24542.161</v>
      </c>
      <c r="BI48" s="982">
        <f>Q_Financials!BI75</f>
        <v>24991.065999999999</v>
      </c>
      <c r="BJ48" s="982">
        <f>Q_Financials!BJ75</f>
        <v>24091.131000000001</v>
      </c>
      <c r="BK48" s="1342">
        <f>Q_Financials!BK75</f>
        <v>24830.120999999999</v>
      </c>
      <c r="BL48" s="309">
        <f t="shared" ref="BL48:BQ48" si="127">BK48+BL49-BL53</f>
        <v>24424.833269103867</v>
      </c>
      <c r="BM48" s="309">
        <f t="shared" si="127"/>
        <v>24226.096441226942</v>
      </c>
      <c r="BN48" s="309">
        <f t="shared" si="127"/>
        <v>23826.108587338127</v>
      </c>
      <c r="BO48" s="309">
        <f t="shared" si="127"/>
        <v>23400.62515680437</v>
      </c>
      <c r="BP48" s="309">
        <f t="shared" si="127"/>
        <v>23018.670261322699</v>
      </c>
      <c r="BQ48" s="309">
        <f t="shared" si="127"/>
        <v>22831.37491894397</v>
      </c>
      <c r="BR48" s="309">
        <f t="shared" ref="BR48:CK48" si="128">BQ48+BR49-BR53</f>
        <v>22454.414781048272</v>
      </c>
      <c r="BS48" s="309">
        <f t="shared" si="128"/>
        <v>22053.426873323147</v>
      </c>
      <c r="BT48" s="309">
        <f t="shared" si="128"/>
        <v>21693.461517698299</v>
      </c>
      <c r="BU48" s="309">
        <f t="shared" si="128"/>
        <v>21516.948962619736</v>
      </c>
      <c r="BV48" s="309">
        <f t="shared" si="128"/>
        <v>21161.690811201363</v>
      </c>
      <c r="BW48" s="309">
        <f t="shared" si="128"/>
        <v>20783.788193606913</v>
      </c>
      <c r="BX48" s="309">
        <f t="shared" si="128"/>
        <v>20444.546417201036</v>
      </c>
      <c r="BY48" s="309">
        <f t="shared" si="128"/>
        <v>20278.195873163684</v>
      </c>
      <c r="BZ48" s="309">
        <f t="shared" si="128"/>
        <v>20113.198868742071</v>
      </c>
      <c r="CA48" s="309">
        <f t="shared" si="128"/>
        <v>19949.544390629919</v>
      </c>
      <c r="CB48" s="309">
        <f t="shared" si="128"/>
        <v>19787.221515132591</v>
      </c>
      <c r="CC48" s="309">
        <f t="shared" si="128"/>
        <v>19626.219407437969</v>
      </c>
      <c r="CD48" s="309">
        <f t="shared" si="128"/>
        <v>19466.527320893223</v>
      </c>
      <c r="CE48" s="309">
        <f t="shared" si="128"/>
        <v>19308.134596287506</v>
      </c>
      <c r="CF48" s="309">
        <f t="shared" si="128"/>
        <v>19151.030661140452</v>
      </c>
      <c r="CG48" s="309">
        <f t="shared" si="128"/>
        <v>18995.205028996501</v>
      </c>
      <c r="CH48" s="309">
        <f t="shared" si="128"/>
        <v>18840.647298724918</v>
      </c>
      <c r="CI48" s="309">
        <f t="shared" si="128"/>
        <v>18687.347153825551</v>
      </c>
      <c r="CJ48" s="309">
        <f t="shared" si="128"/>
        <v>18535.294361740212</v>
      </c>
      <c r="CK48" s="309">
        <f t="shared" si="128"/>
        <v>18384.478773169671</v>
      </c>
      <c r="CL48" s="309">
        <f t="shared" ref="CL48" si="129">CK48+CL49-CL53</f>
        <v>18234.8903213962</v>
      </c>
      <c r="CM48" s="309">
        <f t="shared" ref="CM48" si="130">CL48+CM49-CM53</f>
        <v>18086.51902161165</v>
      </c>
      <c r="CN48" s="309">
        <f t="shared" ref="CN48" si="131">CM48+CN49-CN53</f>
        <v>17939.354970250959</v>
      </c>
      <c r="CO48" s="309">
        <f t="shared" ref="CO48" si="132">CN48+CO49-CO53</f>
        <v>17793.388344331117</v>
      </c>
      <c r="CP48" s="309">
        <f t="shared" ref="CP48" si="133">CO48+CP49-CP53</f>
        <v>17648.609400795493</v>
      </c>
      <c r="CQ48" s="309">
        <f t="shared" ref="CQ48" si="134">CP48+CQ49-CQ53</f>
        <v>17505.008475863502</v>
      </c>
      <c r="CR48" s="309">
        <f t="shared" ref="CR48" si="135">CQ48+CR49-CR53</f>
        <v>17362.575984385559</v>
      </c>
      <c r="CS48" s="309">
        <f t="shared" ref="CS48" si="136">CR48+CS49-CS53</f>
        <v>17221.30241920329</v>
      </c>
      <c r="CT48" s="309">
        <f t="shared" ref="CT48" si="137">CS48+CT49-CT53</f>
        <v>17081.178350514929</v>
      </c>
      <c r="CU48" s="309">
        <f t="shared" ref="CU48" si="138">CT48+CU49-CU53</f>
        <v>16942.194425245911</v>
      </c>
      <c r="CV48" s="309">
        <f t="shared" ref="CV48" si="139">CU48+CV49-CV53</f>
        <v>16804.341366424556</v>
      </c>
      <c r="CW48" s="309">
        <f t="shared" ref="CW48" si="140">CV48+CW49-CW53</f>
        <v>16667.609972562856</v>
      </c>
    </row>
    <row r="49" spans="1:101">
      <c r="A49" s="36" t="s">
        <v>538</v>
      </c>
      <c r="B49" s="686">
        <f>-Q_Financials!B120</f>
        <v>132.685</v>
      </c>
      <c r="C49" s="686">
        <f>-Q_Financials!C120</f>
        <v>222.78</v>
      </c>
      <c r="D49" s="686">
        <f>-Q_Financials!D120</f>
        <v>-55.715000000000003</v>
      </c>
      <c r="E49" s="686">
        <f>-Q_Financials!E120</f>
        <v>143.77400000000006</v>
      </c>
      <c r="F49" s="686">
        <f>-Q_Financials!F120</f>
        <v>74.018000000000001</v>
      </c>
      <c r="G49" s="686">
        <f>-Q_Financials!G120</f>
        <v>11.844999999999999</v>
      </c>
      <c r="H49" s="686">
        <f>-Q_Financials!H120</f>
        <v>46.884000000000015</v>
      </c>
      <c r="I49" s="686">
        <f>-Q_Financials!I120</f>
        <v>100.226</v>
      </c>
      <c r="J49" s="686">
        <f>-Q_Financials!J120</f>
        <v>74.713999999999999</v>
      </c>
      <c r="K49" s="686">
        <f>-Q_Financials!K120</f>
        <v>42.097999999999999</v>
      </c>
      <c r="L49" s="686">
        <f>-Q_Financials!L120</f>
        <v>87.881000000000029</v>
      </c>
      <c r="M49" s="686">
        <f>-Q_Financials!M120</f>
        <v>82.174999999999955</v>
      </c>
      <c r="N49" s="686">
        <f>-Q_Financials!N120</f>
        <v>78.031999999999996</v>
      </c>
      <c r="O49" s="686">
        <f>-Q_Financials!O120</f>
        <v>24.680999999999997</v>
      </c>
      <c r="P49" s="686">
        <f>-Q_Financials!P120</f>
        <v>51.080000000000027</v>
      </c>
      <c r="Q49" s="686">
        <f>-Q_Financials!Q120</f>
        <v>32.198000000000008</v>
      </c>
      <c r="R49" s="686">
        <f>-Q_Financials!R120</f>
        <v>53.463999999999999</v>
      </c>
      <c r="S49" s="686">
        <f>-Q_Financials!S120</f>
        <v>448.238</v>
      </c>
      <c r="T49" s="686">
        <f>-Q_Financials!T120</f>
        <v>-231.34499999999997</v>
      </c>
      <c r="U49" s="686">
        <f>-Q_Financials!U120</f>
        <v>48.808999999999969</v>
      </c>
      <c r="V49" s="686">
        <f>-Q_Financials!V120</f>
        <v>85.765000000000001</v>
      </c>
      <c r="W49" s="686">
        <f>-Q_Financials!W120</f>
        <v>52.26700000000001</v>
      </c>
      <c r="X49" s="686">
        <f>-Q_Financials!X120</f>
        <v>106.11299999999999</v>
      </c>
      <c r="Y49" s="686">
        <f>-Q_Financials!Y120</f>
        <v>211.75800000000004</v>
      </c>
      <c r="Z49" s="686">
        <f>-Q_Financials!Z120</f>
        <v>104.029</v>
      </c>
      <c r="AA49" s="686">
        <f>-Q_Financials!AA120</f>
        <v>142.767</v>
      </c>
      <c r="AB49" s="686">
        <f>-Q_Financials!AB120</f>
        <v>103.52300000000002</v>
      </c>
      <c r="AC49" s="686">
        <f>-Q_Financials!AC120</f>
        <v>104.05500000000001</v>
      </c>
      <c r="AD49" s="686">
        <f>-Q_Financials!AD120</f>
        <v>196.57400000000001</v>
      </c>
      <c r="AE49" s="686">
        <f>-Q_Financials!AE120</f>
        <v>58.620999999999981</v>
      </c>
      <c r="AF49" s="686">
        <f>-Q_Financials!AF120</f>
        <v>100.05500000000001</v>
      </c>
      <c r="AG49" s="686">
        <f>-Q_Financials!AG120</f>
        <v>98.158999999999992</v>
      </c>
      <c r="AH49" s="686">
        <f>-Q_Financials!AH120</f>
        <v>81.988</v>
      </c>
      <c r="AI49" s="686">
        <f>-Q_Financials!AI120</f>
        <v>176.40899999999999</v>
      </c>
      <c r="AJ49" s="686">
        <f>-Q_Financials!AJ120</f>
        <v>159.89100000000002</v>
      </c>
      <c r="AK49" s="686">
        <f>-Q_Financials!AK120</f>
        <v>78.060999999999979</v>
      </c>
      <c r="AL49" s="686">
        <f>-Q_Financials!AL120</f>
        <v>68.638000000000005</v>
      </c>
      <c r="AM49" s="686">
        <f>-Q_Financials!AM120</f>
        <v>33.262999999999991</v>
      </c>
      <c r="AN49" s="686">
        <f>-Q_Financials!AN120</f>
        <v>142.52800000000002</v>
      </c>
      <c r="AO49" s="686">
        <f>-Q_Financials!AO120</f>
        <v>51.335999999999956</v>
      </c>
      <c r="AP49" s="686">
        <f>-Q_Financials!AP120</f>
        <v>148.66999999999999</v>
      </c>
      <c r="AQ49" s="686">
        <f>-Q_Financials!AQ120</f>
        <v>74.460000000000008</v>
      </c>
      <c r="AR49" s="686">
        <f>-Q_Financials!AR120</f>
        <v>39.908000000000015</v>
      </c>
      <c r="AS49" s="686">
        <f>-Q_Financials!AS120</f>
        <v>162.53499999999997</v>
      </c>
      <c r="AT49" s="686">
        <f>-Q_Financials!AT120</f>
        <v>174.90199999999999</v>
      </c>
      <c r="AU49" s="686">
        <f>-Q_Financials!AU120</f>
        <v>89.600999999999999</v>
      </c>
      <c r="AV49" s="686">
        <f>-Q_Financials!AV120</f>
        <v>57.467000000000041</v>
      </c>
      <c r="AW49" s="686">
        <f>-Q_Financials!AW120</f>
        <v>121.80199999999996</v>
      </c>
      <c r="AX49" s="686">
        <f>-Q_Financials!AX120</f>
        <v>36.137</v>
      </c>
      <c r="AY49" s="686">
        <f>-Q_Financials!AY120</f>
        <v>33.454999999999998</v>
      </c>
      <c r="AZ49" s="686">
        <f>-Q_Financials!AZ120</f>
        <v>25.024000000000001</v>
      </c>
      <c r="BA49" s="686">
        <f>-Q_Financials!BA120</f>
        <v>275.65199999999999</v>
      </c>
      <c r="BB49" s="686">
        <f>-Q_Financials!BB120</f>
        <v>71.626000000000005</v>
      </c>
      <c r="BC49" s="686">
        <f>-Q_Financials!BC120</f>
        <v>12.503999999999991</v>
      </c>
      <c r="BD49" s="686">
        <f>-Q_Financials!BD120</f>
        <v>132.33700000000002</v>
      </c>
      <c r="BE49" s="686">
        <f>-Q_Financials!BE120</f>
        <v>162.03399999999996</v>
      </c>
      <c r="BF49" s="686">
        <f>-Q_Financials!BF120</f>
        <v>42.784999999999997</v>
      </c>
      <c r="BG49" s="686">
        <f>-Q_Financials!BG120</f>
        <v>211.696</v>
      </c>
      <c r="BH49" s="686">
        <f>-Q_Financials!BH120</f>
        <v>70.665999999999997</v>
      </c>
      <c r="BI49" s="686">
        <f>-Q_Financials!BI120</f>
        <v>172.28800000000001</v>
      </c>
      <c r="BJ49" s="686">
        <f>-Q_Financials!BJ120</f>
        <v>48.988999999999997</v>
      </c>
      <c r="BK49" s="1814">
        <f>-Q_Financials!BK120</f>
        <v>66.28</v>
      </c>
      <c r="BL49" s="311">
        <f t="shared" ref="BL49:BQ49" si="141">+BL52*BL53</f>
        <v>70.816419273789236</v>
      </c>
      <c r="BM49" s="311">
        <f t="shared" si="141"/>
        <v>171.46434962542079</v>
      </c>
      <c r="BN49" s="311">
        <f t="shared" si="141"/>
        <v>47.489460375930605</v>
      </c>
      <c r="BO49" s="311">
        <f t="shared" si="141"/>
        <v>65.550865053565602</v>
      </c>
      <c r="BP49" s="311">
        <f t="shared" si="141"/>
        <v>66.739444498600633</v>
      </c>
      <c r="BQ49" s="311">
        <f t="shared" si="141"/>
        <v>161.59296901290662</v>
      </c>
      <c r="BR49" s="311">
        <f t="shared" ref="BR49:CK49" si="142">+BR52*BR53</f>
        <v>44.755442841219576</v>
      </c>
      <c r="BS49" s="311">
        <f t="shared" si="142"/>
        <v>61.77703370123551</v>
      </c>
      <c r="BT49" s="311">
        <f t="shared" si="142"/>
        <v>62.897185393703992</v>
      </c>
      <c r="BU49" s="311">
        <f t="shared" si="142"/>
        <v>152.28989403016323</v>
      </c>
      <c r="BV49" s="311">
        <f t="shared" si="142"/>
        <v>42.178825534284051</v>
      </c>
      <c r="BW49" s="311">
        <f t="shared" si="142"/>
        <v>58.22046573763707</v>
      </c>
      <c r="BX49" s="311">
        <f t="shared" si="142"/>
        <v>59.276129134292091</v>
      </c>
      <c r="BY49" s="311">
        <f t="shared" si="142"/>
        <v>143.52240673210204</v>
      </c>
      <c r="BZ49" s="311">
        <f t="shared" si="142"/>
        <v>142.35461215479864</v>
      </c>
      <c r="CA49" s="311">
        <f t="shared" si="142"/>
        <v>141.19631953754333</v>
      </c>
      <c r="CB49" s="311">
        <f t="shared" si="142"/>
        <v>140.04745156601521</v>
      </c>
      <c r="CC49" s="311">
        <f t="shared" si="142"/>
        <v>138.90793155497448</v>
      </c>
      <c r="CD49" s="311">
        <f t="shared" si="142"/>
        <v>137.77768344314393</v>
      </c>
      <c r="CE49" s="311">
        <f t="shared" si="142"/>
        <v>136.65663178813193</v>
      </c>
      <c r="CF49" s="311">
        <f t="shared" si="142"/>
        <v>135.54470176139671</v>
      </c>
      <c r="CG49" s="311">
        <f t="shared" si="142"/>
        <v>134.44181914325173</v>
      </c>
      <c r="CH49" s="311">
        <f t="shared" si="142"/>
        <v>133.34791031791167</v>
      </c>
      <c r="CI49" s="311">
        <f t="shared" si="142"/>
        <v>132.2629022685785</v>
      </c>
      <c r="CJ49" s="311">
        <f t="shared" si="142"/>
        <v>131.18672257256793</v>
      </c>
      <c r="CK49" s="311">
        <f t="shared" si="142"/>
        <v>130.11929939647524</v>
      </c>
      <c r="CL49" s="311">
        <f t="shared" ref="CL49:CP49" si="143">+CL52*CL53</f>
        <v>129.06056149138033</v>
      </c>
      <c r="CM49" s="311">
        <f t="shared" si="143"/>
        <v>128.01043818809225</v>
      </c>
      <c r="CN49" s="311">
        <f t="shared" si="143"/>
        <v>126.96885939243199</v>
      </c>
      <c r="CO49" s="311">
        <f t="shared" si="143"/>
        <v>125.93575558055369</v>
      </c>
      <c r="CP49" s="311">
        <f t="shared" si="143"/>
        <v>124.91105779430424</v>
      </c>
      <c r="CQ49" s="311">
        <f t="shared" ref="CQ49:CT49" si="144">+CQ52*CQ53</f>
        <v>123.89469763662026</v>
      </c>
      <c r="CR49" s="311">
        <f t="shared" si="144"/>
        <v>122.8866072669628</v>
      </c>
      <c r="CS49" s="311">
        <f t="shared" si="144"/>
        <v>121.88671939678902</v>
      </c>
      <c r="CT49" s="311">
        <f t="shared" si="144"/>
        <v>120.89496728506086</v>
      </c>
      <c r="CU49" s="311">
        <f t="shared" ref="CU49:CW49" si="145">+CU52*CU53</f>
        <v>119.91128473378998</v>
      </c>
      <c r="CV49" s="311">
        <f t="shared" si="145"/>
        <v>118.93560608361943</v>
      </c>
      <c r="CW49" s="311">
        <f t="shared" si="145"/>
        <v>117.96786620944073</v>
      </c>
    </row>
    <row r="50" spans="1:101">
      <c r="A50" s="312" t="s">
        <v>33</v>
      </c>
      <c r="B50" s="345">
        <f>B49/Q_Financials!B$5</f>
        <v>6.366527949914183E-2</v>
      </c>
      <c r="C50" s="345">
        <f>C49/Q_Financials!C$5</f>
        <v>0.10748180051072913</v>
      </c>
      <c r="D50" s="345">
        <f>D49/Q_Financials!D$5</f>
        <v>-2.6285706737095287E-2</v>
      </c>
      <c r="E50" s="345">
        <f>E49/Q_Financials!E$5</f>
        <v>6.2221995255039492E-2</v>
      </c>
      <c r="F50" s="345">
        <f>F49/Q_Financials!F$5</f>
        <v>3.5316997945432284E-2</v>
      </c>
      <c r="G50" s="345">
        <f>G49/Q_Financials!G$5</f>
        <v>5.4668389717081279E-3</v>
      </c>
      <c r="H50" s="345">
        <f>H49/Q_Financials!H$5</f>
        <v>2.0609031066958255E-2</v>
      </c>
      <c r="I50" s="345">
        <f>I49/Q_Financials!I$5</f>
        <v>4.1009051975104717E-2</v>
      </c>
      <c r="J50" s="345">
        <f>J49/Q_Financials!J$5</f>
        <v>3.1173124872744019E-2</v>
      </c>
      <c r="K50" s="345">
        <f>K49/Q_Financials!K$5</f>
        <v>1.6221810856259448E-2</v>
      </c>
      <c r="L50" s="345">
        <f>L49/Q_Financials!L$5</f>
        <v>3.1739972117683611E-2</v>
      </c>
      <c r="M50" s="345">
        <f>M49/Q_Financials!M$5</f>
        <v>2.7990361846318167E-2</v>
      </c>
      <c r="N50" s="345">
        <f>N49/Q_Financials!N$5</f>
        <v>2.6343935007130202E-2</v>
      </c>
      <c r="O50" s="345">
        <f>O49/Q_Financials!O$5</f>
        <v>7.202838060028611E-3</v>
      </c>
      <c r="P50" s="345">
        <f>P49/Q_Financials!P$5</f>
        <v>1.4584068532559483E-2</v>
      </c>
      <c r="Q50" s="345">
        <f>Q49/Q_Financials!Q$5</f>
        <v>8.8737688603416302E-3</v>
      </c>
      <c r="R50" s="345">
        <f>R49/Q_Financials!R$5</f>
        <v>1.5730507663708908E-2</v>
      </c>
      <c r="S50" s="345">
        <f>S49/Q_Financials!S$5</f>
        <v>0.11732053403799952</v>
      </c>
      <c r="T50" s="345">
        <f>T49/Q_Financials!T$5</f>
        <v>-5.6669690258604064E-2</v>
      </c>
      <c r="U50" s="345">
        <f>U49/Q_Financials!U$5</f>
        <v>1.1065414238335444E-2</v>
      </c>
      <c r="V50" s="345">
        <f>V49/Q_Financials!V$5</f>
        <v>2.1484024693164089E-2</v>
      </c>
      <c r="W50" s="345">
        <f>W49/Q_Financials!W$5</f>
        <v>1.0044921267666106E-2</v>
      </c>
      <c r="X50" s="345">
        <f>X49/Q_Financials!X$5</f>
        <v>1.8611910970543984E-2</v>
      </c>
      <c r="Y50" s="345">
        <f>Y49/Q_Financials!Y$5</f>
        <v>2.6792790677194946E-2</v>
      </c>
      <c r="Z50" s="345">
        <f>Z49/Q_Financials!Z$5</f>
        <v>1.4164717518532224E-2</v>
      </c>
      <c r="AA50" s="345">
        <f>AA49/Q_Financials!AA$5</f>
        <v>1.8393206236274374E-2</v>
      </c>
      <c r="AB50" s="345">
        <f>AB49/Q_Financials!AB$5</f>
        <v>1.2587340993977174E-2</v>
      </c>
      <c r="AC50" s="345">
        <f>AC49/Q_Financials!AC$5</f>
        <v>1.1616099709907294E-2</v>
      </c>
      <c r="AD50" s="345">
        <f>AD49/Q_Financials!AD$5</f>
        <v>2.3032164934924944E-2</v>
      </c>
      <c r="AE50" s="345">
        <f>AE49/Q_Financials!AE$5</f>
        <v>6.4663350382458094E-3</v>
      </c>
      <c r="AF50" s="345">
        <f>AF49/Q_Financials!AF$5</f>
        <v>1.0420242316587905E-2</v>
      </c>
      <c r="AG50" s="345">
        <f>AG49/Q_Financials!AG$5</f>
        <v>9.3488724045923833E-3</v>
      </c>
      <c r="AH50" s="345">
        <f>AH49/Q_Financials!AH$5</f>
        <v>8.123060583122961E-3</v>
      </c>
      <c r="AI50" s="345">
        <f>AI49/Q_Financials!AI$5</f>
        <v>1.7053569935355378E-2</v>
      </c>
      <c r="AJ50" s="345">
        <f>AJ49/Q_Financials!AJ$5</f>
        <v>1.5263541451677912E-2</v>
      </c>
      <c r="AK50" s="345">
        <f>AK49/Q_Financials!AK$5</f>
        <v>6.7200556743368077E-3</v>
      </c>
      <c r="AL50" s="345">
        <f>AL49/Q_Financials!AL$5</f>
        <v>6.1948408216165093E-3</v>
      </c>
      <c r="AM50" s="410">
        <f>AM49/Q_Financials!AM$5</f>
        <v>2.936998499316763E-3</v>
      </c>
      <c r="AN50" s="410">
        <f>AN49/Q_Financials!AN$5</f>
        <v>1.2529497874183898E-2</v>
      </c>
      <c r="AO50" s="410">
        <f>AO49/Q_Financials!AO$5</f>
        <v>4.1480881027538986E-3</v>
      </c>
      <c r="AP50" s="410">
        <f>AP49/Q_Financials!AP$5</f>
        <v>1.0859285225733182E-2</v>
      </c>
      <c r="AQ50" s="410">
        <f>AQ49/Q_Financials!AQ$5</f>
        <v>5.1068077945277332E-3</v>
      </c>
      <c r="AR50" s="410">
        <f>AR49/Q_Financials!AR$5</f>
        <v>2.7540808296637456E-3</v>
      </c>
      <c r="AS50" s="410">
        <f>AS49/Q_Financials!AS$5</f>
        <v>1.055902239180583E-2</v>
      </c>
      <c r="AT50" s="1737">
        <f>AT49/Q_Financials!AT$5</f>
        <v>1.4448632765225206E-2</v>
      </c>
      <c r="AU50" s="1737">
        <f>AU49/Q_Financials!AU$5</f>
        <v>1.7238330924931947E-2</v>
      </c>
      <c r="AV50" s="1737">
        <f>AV49/Q_Financials!AV$5</f>
        <v>5.8073766325320254E-3</v>
      </c>
      <c r="AW50" s="1737">
        <f>AW49/Q_Financials!AW$5</f>
        <v>1.0781768028670178E-2</v>
      </c>
      <c r="AX50" s="1737">
        <f>AX49/Q_Financials!AX$5</f>
        <v>3.5387790923247556E-3</v>
      </c>
      <c r="AY50" s="1737">
        <f>AY49/Q_Financials!AY$5</f>
        <v>2.6812545722783841E-3</v>
      </c>
      <c r="AZ50" s="1808">
        <f>AZ49/Q_Financials!AZ$5</f>
        <v>1.7927716712845966E-3</v>
      </c>
      <c r="BA50" s="1808">
        <f>BA49/Q_Financials!BA$5</f>
        <v>1.6474429528083482E-2</v>
      </c>
      <c r="BB50" s="1737">
        <f>BB49/Q_Financials!BB$5</f>
        <v>4.7035189316538498E-3</v>
      </c>
      <c r="BC50" s="1737">
        <f>BC49/Q_Financials!BC$5</f>
        <v>7.3817259070242517E-4</v>
      </c>
      <c r="BD50" s="1808">
        <f>BD49/Q_Financials!BD$5</f>
        <v>7.5542682069183473E-3</v>
      </c>
      <c r="BE50" s="1808">
        <f>BE49/Q_Financials!BE$5</f>
        <v>8.4631492563288432E-3</v>
      </c>
      <c r="BF50" s="1808">
        <f>BF49/Q_Financials!BF$5</f>
        <v>2.4219322394475559E-3</v>
      </c>
      <c r="BG50" s="1808">
        <f>BG49/Q_Financials!BG$5</f>
        <v>1.1172039250748889E-2</v>
      </c>
      <c r="BH50" s="1808">
        <f>BH49/Q_Financials!BH$5</f>
        <v>3.6294860999814384E-3</v>
      </c>
      <c r="BI50" s="1808">
        <f>BI49/Q_Financials!BI$5</f>
        <v>8.5516764463527597E-3</v>
      </c>
      <c r="BJ50" s="1808">
        <f>BJ49/Q_Financials!BJ$5</f>
        <v>2.6912851124012154E-3</v>
      </c>
      <c r="BK50" s="1809">
        <f>BK49/Q_Financials!BK$5</f>
        <v>3.4423942485631975E-3</v>
      </c>
      <c r="BL50" s="314">
        <f>BL49/Q_Financials!BL$5</f>
        <v>3.521808334758879E-3</v>
      </c>
      <c r="BM50" s="314">
        <f>BM49/Q_Financials!BM$5</f>
        <v>8.1711193599552524E-3</v>
      </c>
      <c r="BN50" s="314">
        <f>BN49/Q_Financials!BN$5</f>
        <v>2.3850158240364626E-3</v>
      </c>
      <c r="BO50" s="314">
        <f>BO49/Q_Financials!BO$5</f>
        <v>3.0611625049472391E-3</v>
      </c>
      <c r="BP50" s="314">
        <f>BP49/Q_Financials!BP$5</f>
        <v>3.039127843650226E-3</v>
      </c>
      <c r="BQ50" s="314">
        <f>BQ49/Q_Financials!BQ$5</f>
        <v>7.1137405201881334E-3</v>
      </c>
      <c r="BR50" s="314">
        <f>BR49/Q_Financials!BR$5</f>
        <v>2.0858445035577462E-3</v>
      </c>
      <c r="BS50" s="314">
        <f>BS49/Q_Financials!BS$5</f>
        <v>2.7074473813089076E-3</v>
      </c>
      <c r="BT50" s="314">
        <f>BT49/Q_Financials!BT$5</f>
        <v>2.6884549563393769E-3</v>
      </c>
      <c r="BU50" s="314">
        <f>BU49/Q_Financials!BU$5</f>
        <v>6.2949115528061917E-3</v>
      </c>
      <c r="BV50" s="314">
        <f>BV49/Q_Financials!BV$5</f>
        <v>1.8547727447260772E-3</v>
      </c>
      <c r="BW50" s="314">
        <f>BW49/Q_Financials!BW$5</f>
        <v>2.4114485285029524E-3</v>
      </c>
      <c r="BX50" s="314">
        <f>BX49/Q_Financials!BX$5</f>
        <v>2.3936422010597189E-3</v>
      </c>
      <c r="BY50" s="314">
        <f>BY49/Q_Financials!BY$5</f>
        <v>5.5987823379699524E-3</v>
      </c>
      <c r="BZ50" s="314">
        <f>BZ49/Q_Financials!BZ$5</f>
        <v>5.9458572174259936E-3</v>
      </c>
      <c r="CA50" s="314">
        <f>CA49/Q_Financials!CA$5</f>
        <v>5.560728804590377E-3</v>
      </c>
      <c r="CB50" s="314">
        <f>CB49/Q_Financials!CB$5</f>
        <v>5.3734365837366099E-3</v>
      </c>
      <c r="CC50" s="314">
        <f>CC49/Q_Financials!CC$5</f>
        <v>5.1421646210476658E-3</v>
      </c>
      <c r="CD50" s="314">
        <f>CD49/Q_Financials!CD$5</f>
        <v>5.4671568010489198E-3</v>
      </c>
      <c r="CE50" s="314">
        <f>CE49/Q_Financials!CE$5</f>
        <v>5.1184195863824052E-3</v>
      </c>
      <c r="CF50" s="314">
        <f>CF49/Q_Financials!CF$5</f>
        <v>4.9426014906541176E-3</v>
      </c>
      <c r="CG50" s="314">
        <f>CG49/Q_Financials!CG$5</f>
        <v>4.7240509192048924E-3</v>
      </c>
      <c r="CH50" s="314">
        <f>CH49/Q_Financials!CH$5</f>
        <v>5.0295188673217407E-3</v>
      </c>
      <c r="CI50" s="314">
        <f>CI49/Q_Financials!CI$5</f>
        <v>4.7156471804094989E-3</v>
      </c>
      <c r="CJ50" s="314">
        <f>CJ49/Q_Financials!CJ$5</f>
        <v>4.5526069197630503E-3</v>
      </c>
      <c r="CK50" s="314">
        <f>CK49/Q_Financials!CK$5</f>
        <v>4.3490289542184018E-3</v>
      </c>
      <c r="CL50" s="314">
        <f>CL49/Q_Financials!CL$5</f>
        <v>4.6367063989922021E-3</v>
      </c>
      <c r="CM50" s="314">
        <f>CM49/Q_Financials!CM$5</f>
        <v>4.3514143471566381E-3</v>
      </c>
      <c r="CN50" s="314">
        <f>CN49/Q_Financials!CN$5</f>
        <v>4.1979203128314725E-3</v>
      </c>
      <c r="CO50" s="314">
        <f>CO49/Q_Financials!CO$5</f>
        <v>4.0057137862237772E-3</v>
      </c>
      <c r="CP50" s="314">
        <f>CP49/Q_Financials!CP$5</f>
        <v>4.2750783279838587E-3</v>
      </c>
      <c r="CQ50" s="314">
        <f>CQ49/Q_Financials!CQ$5</f>
        <v>4.0157445911052697E-3</v>
      </c>
      <c r="CR50" s="314">
        <f>CR49/Q_Financials!CR$5</f>
        <v>3.8711793876116001E-3</v>
      </c>
      <c r="CS50" s="314">
        <f>CS49/Q_Financials!CS$5</f>
        <v>3.6898446198495418E-3</v>
      </c>
      <c r="CT50" s="314">
        <f>CT49/Q_Financials!CT$5</f>
        <v>3.9419663441843901E-3</v>
      </c>
      <c r="CU50" s="314">
        <f>CU49/Q_Financials!CU$5</f>
        <v>3.7063283840632635E-3</v>
      </c>
      <c r="CV50" s="314">
        <f>CV49/Q_Financials!CV$5</f>
        <v>3.5703791326834908E-3</v>
      </c>
      <c r="CW50" s="314">
        <f>CW49/Q_Financials!CW$5</f>
        <v>3.4013330360306601E-3</v>
      </c>
    </row>
    <row r="51" spans="1:101">
      <c r="A51" s="312" t="s">
        <v>358</v>
      </c>
      <c r="B51" s="345"/>
      <c r="C51" s="345">
        <f t="shared" ref="C51:AP51" si="146">+C49/B48</f>
        <v>0.21544391911037272</v>
      </c>
      <c r="D51" s="345">
        <f t="shared" si="146"/>
        <v>-5.5217818759885989E-2</v>
      </c>
      <c r="E51" s="345">
        <f t="shared" si="146"/>
        <v>0.14586453045041542</v>
      </c>
      <c r="F51" s="345">
        <f t="shared" si="146"/>
        <v>7.4569816643159384E-2</v>
      </c>
      <c r="G51" s="345">
        <f t="shared" si="146"/>
        <v>1.2118973637011927E-2</v>
      </c>
      <c r="H51" s="345">
        <f t="shared" si="146"/>
        <v>4.8410979102862503E-2</v>
      </c>
      <c r="I51" s="345">
        <f t="shared" si="146"/>
        <v>0.10492210350884908</v>
      </c>
      <c r="J51" s="345">
        <f t="shared" si="146"/>
        <v>7.8209167704724122E-2</v>
      </c>
      <c r="K51" s="345">
        <f t="shared" si="146"/>
        <v>4.5601914288159295E-2</v>
      </c>
      <c r="L51" s="345">
        <f t="shared" si="146"/>
        <v>9.86008886096401E-2</v>
      </c>
      <c r="M51" s="345">
        <f t="shared" si="146"/>
        <v>9.021515504820618E-2</v>
      </c>
      <c r="N51" s="345">
        <f t="shared" si="146"/>
        <v>8.4023370453561674E-2</v>
      </c>
      <c r="O51" s="345">
        <f t="shared" si="146"/>
        <v>9.698871667670703E-3</v>
      </c>
      <c r="P51" s="345">
        <f t="shared" si="146"/>
        <v>2.0241398891478295E-2</v>
      </c>
      <c r="Q51" s="345">
        <f t="shared" si="146"/>
        <v>1.299344879657856E-2</v>
      </c>
      <c r="R51" s="345">
        <f t="shared" si="146"/>
        <v>2.2103248264656879E-2</v>
      </c>
      <c r="S51" s="345">
        <f t="shared" si="146"/>
        <v>0.1861596509698627</v>
      </c>
      <c r="T51" s="345">
        <f t="shared" si="146"/>
        <v>-9.0680713890382722E-2</v>
      </c>
      <c r="U51" s="345">
        <f t="shared" si="146"/>
        <v>1.2976492420254475E-2</v>
      </c>
      <c r="V51" s="345">
        <f t="shared" si="146"/>
        <v>2.5328975444198435E-2</v>
      </c>
      <c r="W51" s="345">
        <f t="shared" si="146"/>
        <v>1.5743707727962516E-2</v>
      </c>
      <c r="X51" s="345">
        <f t="shared" si="146"/>
        <v>1.3658667563917886E-2</v>
      </c>
      <c r="Y51" s="345">
        <f t="shared" si="146"/>
        <v>2.4370272360160497E-2</v>
      </c>
      <c r="Z51" s="345">
        <f t="shared" si="146"/>
        <v>7.6505418346283043E-3</v>
      </c>
      <c r="AA51" s="345">
        <f t="shared" si="146"/>
        <v>1.0807427236257883E-2</v>
      </c>
      <c r="AB51" s="345">
        <f t="shared" si="146"/>
        <v>7.7268742557071949E-3</v>
      </c>
      <c r="AC51" s="345">
        <f t="shared" si="146"/>
        <v>7.6298789741565216E-3</v>
      </c>
      <c r="AD51" s="345">
        <f t="shared" si="146"/>
        <v>1.4292235032647463E-2</v>
      </c>
      <c r="AE51" s="345">
        <f t="shared" si="146"/>
        <v>3.8730299467583077E-3</v>
      </c>
      <c r="AF51" s="345">
        <f t="shared" si="146"/>
        <v>6.6540920255174513E-3</v>
      </c>
      <c r="AG51" s="345">
        <f t="shared" si="146"/>
        <v>6.5182081385465355E-3</v>
      </c>
      <c r="AH51" s="345">
        <f t="shared" si="146"/>
        <v>5.3885106447862869E-3</v>
      </c>
      <c r="AI51" s="345">
        <f t="shared" si="146"/>
        <v>1.165200948599558E-2</v>
      </c>
      <c r="AJ51" s="345">
        <f t="shared" si="146"/>
        <v>1.0544031425751993E-2</v>
      </c>
      <c r="AK51" s="345">
        <f t="shared" si="146"/>
        <v>5.1170777101482018E-3</v>
      </c>
      <c r="AL51" s="345">
        <f t="shared" si="146"/>
        <v>4.4691999729652406E-3</v>
      </c>
      <c r="AM51" s="410">
        <f t="shared" si="146"/>
        <v>2.1828702272723389E-3</v>
      </c>
      <c r="AN51" s="410">
        <f t="shared" si="146"/>
        <v>9.423739468725845E-3</v>
      </c>
      <c r="AO51" s="410">
        <f t="shared" si="146"/>
        <v>3.4112935105882242E-3</v>
      </c>
      <c r="AP51" s="410">
        <f t="shared" si="146"/>
        <v>5.7738139923121708E-3</v>
      </c>
      <c r="AQ51" s="410">
        <f t="shared" ref="AQ51:AZ51" si="147">+AQ49/AP48</f>
        <v>2.871098105954394E-3</v>
      </c>
      <c r="AR51" s="410">
        <f t="shared" si="147"/>
        <v>1.5403040104988313E-3</v>
      </c>
      <c r="AS51" s="410">
        <f t="shared" si="147"/>
        <v>6.2958403102045942E-3</v>
      </c>
      <c r="AT51" s="1737">
        <f t="shared" si="147"/>
        <v>6.389065376633289E-3</v>
      </c>
      <c r="AU51" s="1737">
        <f t="shared" si="147"/>
        <v>3.0926201793975809E-3</v>
      </c>
      <c r="AV51" s="1737">
        <f t="shared" si="147"/>
        <v>1.9532401772330869E-3</v>
      </c>
      <c r="AW51" s="1737">
        <f t="shared" si="147"/>
        <v>4.077495103989648E-3</v>
      </c>
      <c r="AX51" s="1737">
        <f t="shared" si="147"/>
        <v>1.2540167262379846E-3</v>
      </c>
      <c r="AY51" s="1737">
        <f t="shared" si="147"/>
        <v>1.1716555799786176E-3</v>
      </c>
      <c r="AZ51" s="1808">
        <f t="shared" si="147"/>
        <v>8.8791975311686491E-4</v>
      </c>
      <c r="BA51" s="1808">
        <f t="shared" ref="BA51:BJ51" si="148">+BA49/AZ48</f>
        <v>9.7481201630189307E-3</v>
      </c>
      <c r="BB51" s="1737">
        <f t="shared" si="148"/>
        <v>2.5767933043810741E-3</v>
      </c>
      <c r="BC51" s="1737">
        <f t="shared" si="148"/>
        <v>4.6114133734897025E-4</v>
      </c>
      <c r="BD51" s="1808">
        <f t="shared" si="148"/>
        <v>5.0269376883387527E-3</v>
      </c>
      <c r="BE51" s="1808">
        <f t="shared" si="148"/>
        <v>6.1899895178096943E-3</v>
      </c>
      <c r="BF51" s="1808">
        <f t="shared" si="148"/>
        <v>1.6041327949755943E-3</v>
      </c>
      <c r="BG51" s="1808">
        <f t="shared" si="148"/>
        <v>8.2425185563351159E-3</v>
      </c>
      <c r="BH51" s="1808">
        <f t="shared" si="148"/>
        <v>2.8520368174520467E-3</v>
      </c>
      <c r="BI51" s="1808">
        <f t="shared" si="148"/>
        <v>7.0200827058383335E-3</v>
      </c>
      <c r="BJ51" s="1808">
        <f t="shared" si="148"/>
        <v>1.9602605186989624E-3</v>
      </c>
      <c r="BK51" s="1809">
        <f t="shared" ref="BK51" si="149">+BK49/BJ48</f>
        <v>2.7512199406495279E-3</v>
      </c>
      <c r="BL51" s="314">
        <f t="shared" ref="BL51:BQ51" si="150">+BL49/BK48</f>
        <v>2.8520368174520471E-3</v>
      </c>
      <c r="BM51" s="314">
        <f t="shared" si="150"/>
        <v>7.0200827058383326E-3</v>
      </c>
      <c r="BN51" s="314">
        <f t="shared" si="150"/>
        <v>1.9602605186989619E-3</v>
      </c>
      <c r="BO51" s="314">
        <f t="shared" si="150"/>
        <v>2.7512199406495275E-3</v>
      </c>
      <c r="BP51" s="314">
        <f t="shared" si="150"/>
        <v>2.8520368174520467E-3</v>
      </c>
      <c r="BQ51" s="314">
        <f t="shared" si="150"/>
        <v>7.0200827058383335E-3</v>
      </c>
      <c r="BR51" s="314">
        <f t="shared" ref="BR51:CK51" si="151">+BR49/BQ48</f>
        <v>1.9602605186989619E-3</v>
      </c>
      <c r="BS51" s="314">
        <f t="shared" si="151"/>
        <v>2.7512199406495279E-3</v>
      </c>
      <c r="BT51" s="314">
        <f t="shared" si="151"/>
        <v>2.8520368174520467E-3</v>
      </c>
      <c r="BU51" s="314">
        <f t="shared" si="151"/>
        <v>7.0200827058383326E-3</v>
      </c>
      <c r="BV51" s="314">
        <f t="shared" si="151"/>
        <v>1.9602605186989619E-3</v>
      </c>
      <c r="BW51" s="314">
        <f t="shared" si="151"/>
        <v>2.7512199406495279E-3</v>
      </c>
      <c r="BX51" s="314">
        <f t="shared" si="151"/>
        <v>2.8520368174520471E-3</v>
      </c>
      <c r="BY51" s="314">
        <f t="shared" si="151"/>
        <v>7.0200827058383326E-3</v>
      </c>
      <c r="BZ51" s="314">
        <f t="shared" si="151"/>
        <v>7.0200827058383335E-3</v>
      </c>
      <c r="CA51" s="314">
        <f t="shared" si="151"/>
        <v>7.0200827058383326E-3</v>
      </c>
      <c r="CB51" s="314">
        <f t="shared" si="151"/>
        <v>7.0200827058383326E-3</v>
      </c>
      <c r="CC51" s="314">
        <f t="shared" si="151"/>
        <v>7.0200827058383335E-3</v>
      </c>
      <c r="CD51" s="314">
        <f t="shared" si="151"/>
        <v>7.0200827058383318E-3</v>
      </c>
      <c r="CE51" s="314">
        <f t="shared" si="151"/>
        <v>7.0200827058383326E-3</v>
      </c>
      <c r="CF51" s="314">
        <f t="shared" si="151"/>
        <v>7.0200827058383326E-3</v>
      </c>
      <c r="CG51" s="314">
        <f t="shared" si="151"/>
        <v>7.0200827058383326E-3</v>
      </c>
      <c r="CH51" s="314">
        <f t="shared" si="151"/>
        <v>7.0200827058383335E-3</v>
      </c>
      <c r="CI51" s="314">
        <f t="shared" si="151"/>
        <v>7.0200827058383326E-3</v>
      </c>
      <c r="CJ51" s="314">
        <f t="shared" si="151"/>
        <v>7.0200827058383326E-3</v>
      </c>
      <c r="CK51" s="314">
        <f t="shared" si="151"/>
        <v>7.0200827058383335E-3</v>
      </c>
      <c r="CL51" s="314">
        <f t="shared" ref="CL51" si="152">+CL49/CK48</f>
        <v>7.0200827058383326E-3</v>
      </c>
      <c r="CM51" s="314">
        <f t="shared" ref="CM51" si="153">+CM49/CL48</f>
        <v>7.0200827058383318E-3</v>
      </c>
      <c r="CN51" s="314">
        <f t="shared" ref="CN51" si="154">+CN49/CM48</f>
        <v>7.0200827058383335E-3</v>
      </c>
      <c r="CO51" s="314">
        <f t="shared" ref="CO51" si="155">+CO49/CN48</f>
        <v>7.0200827058383326E-3</v>
      </c>
      <c r="CP51" s="314">
        <f t="shared" ref="CP51" si="156">+CP49/CO48</f>
        <v>7.0200827058383326E-3</v>
      </c>
      <c r="CQ51" s="314">
        <f t="shared" ref="CQ51" si="157">+CQ49/CP48</f>
        <v>7.0200827058383335E-3</v>
      </c>
      <c r="CR51" s="314">
        <f t="shared" ref="CR51" si="158">+CR49/CQ48</f>
        <v>7.0200827058383326E-3</v>
      </c>
      <c r="CS51" s="314">
        <f t="shared" ref="CS51" si="159">+CS49/CR48</f>
        <v>7.0200827058383318E-3</v>
      </c>
      <c r="CT51" s="314">
        <f t="shared" ref="CT51" si="160">+CT49/CS48</f>
        <v>7.0200827058383326E-3</v>
      </c>
      <c r="CU51" s="314">
        <f t="shared" ref="CU51" si="161">+CU49/CT48</f>
        <v>7.0200827058383326E-3</v>
      </c>
      <c r="CV51" s="314">
        <f t="shared" ref="CV51" si="162">+CV49/CU48</f>
        <v>7.0200827058383326E-3</v>
      </c>
      <c r="CW51" s="314">
        <f t="shared" ref="CW51" si="163">+CW49/CV48</f>
        <v>7.0200827058383326E-3</v>
      </c>
    </row>
    <row r="52" spans="1:101">
      <c r="A52" s="312" t="s">
        <v>1313</v>
      </c>
      <c r="B52" s="345"/>
      <c r="C52" s="345" t="e">
        <f t="shared" ref="C52:AP52" si="164">+C49/C53</f>
        <v>#DIV/0!</v>
      </c>
      <c r="D52" s="345" t="e">
        <f t="shared" si="164"/>
        <v>#DIV/0!</v>
      </c>
      <c r="E52" s="345" t="e">
        <f t="shared" si="164"/>
        <v>#DIV/0!</v>
      </c>
      <c r="F52" s="345">
        <f t="shared" si="164"/>
        <v>0.95373880998476324</v>
      </c>
      <c r="G52" s="345">
        <f t="shared" si="164"/>
        <v>0.17083908746398785</v>
      </c>
      <c r="H52" s="345">
        <f t="shared" si="164"/>
        <v>0.6404196248373647</v>
      </c>
      <c r="I52" s="345">
        <f t="shared" si="164"/>
        <v>1.1159129435146036</v>
      </c>
      <c r="J52" s="345">
        <f t="shared" si="164"/>
        <v>1.1300826227524539</v>
      </c>
      <c r="K52" s="345">
        <f t="shared" si="164"/>
        <v>0.57569324075308659</v>
      </c>
      <c r="L52" s="345">
        <f t="shared" si="164"/>
        <v>1.2699795877815707</v>
      </c>
      <c r="M52" s="345">
        <f t="shared" si="164"/>
        <v>1.1566653412109977</v>
      </c>
      <c r="N52" s="345">
        <f t="shared" si="164"/>
        <v>0.97115423507851573</v>
      </c>
      <c r="O52" s="345">
        <f t="shared" si="164"/>
        <v>0.25324040703565276</v>
      </c>
      <c r="P52" s="345">
        <f t="shared" si="164"/>
        <v>0.48500385733784362</v>
      </c>
      <c r="Q52" s="345">
        <f t="shared" si="164"/>
        <v>0.29601436034632161</v>
      </c>
      <c r="R52" s="345">
        <f t="shared" si="164"/>
        <v>0.66087343477669735</v>
      </c>
      <c r="S52" s="345">
        <f t="shared" si="164"/>
        <v>4.189296796141913</v>
      </c>
      <c r="T52" s="345">
        <f t="shared" si="164"/>
        <v>-1.971830385680801</v>
      </c>
      <c r="U52" s="345">
        <f t="shared" si="164"/>
        <v>0.39015675334329852</v>
      </c>
      <c r="V52" s="345">
        <f t="shared" si="164"/>
        <v>1.085644729803388</v>
      </c>
      <c r="W52" s="345">
        <f t="shared" si="164"/>
        <v>0.35256880714141575</v>
      </c>
      <c r="X52" s="345">
        <f t="shared" si="164"/>
        <v>1.961963102047579</v>
      </c>
      <c r="Y52" s="345">
        <f t="shared" si="164"/>
        <v>1.8565207817923537</v>
      </c>
      <c r="Z52" s="345">
        <f t="shared" si="164"/>
        <v>1.2519030541409055</v>
      </c>
      <c r="AA52" s="345">
        <f t="shared" si="164"/>
        <v>1.417548772640784</v>
      </c>
      <c r="AB52" s="345">
        <f t="shared" si="164"/>
        <v>0.80623690910561396</v>
      </c>
      <c r="AC52" s="345">
        <f t="shared" si="164"/>
        <v>0.52043486457952748</v>
      </c>
      <c r="AD52" s="345">
        <f t="shared" si="164"/>
        <v>1.2168086026004834</v>
      </c>
      <c r="AE52" s="345">
        <f t="shared" si="164"/>
        <v>0.32024023617177977</v>
      </c>
      <c r="AF52" s="345">
        <f t="shared" si="164"/>
        <v>0.60430513123939456</v>
      </c>
      <c r="AG52" s="345">
        <f t="shared" si="164"/>
        <v>0.43347246089296426</v>
      </c>
      <c r="AH52" s="345">
        <f t="shared" si="164"/>
        <v>0.41960899768247256</v>
      </c>
      <c r="AI52" s="345">
        <f t="shared" si="164"/>
        <v>0.98456972200719184</v>
      </c>
      <c r="AJ52" s="345">
        <f t="shared" si="164"/>
        <v>0.93534574831447692</v>
      </c>
      <c r="AK52" s="345">
        <f t="shared" si="164"/>
        <v>0.32411046187432768</v>
      </c>
      <c r="AL52" s="345">
        <f t="shared" si="164"/>
        <v>0.33930456405866566</v>
      </c>
      <c r="AM52" s="410">
        <f t="shared" si="164"/>
        <v>0.17279200461789926</v>
      </c>
      <c r="AN52" s="410">
        <f t="shared" si="164"/>
        <v>0.88159692702903214</v>
      </c>
      <c r="AO52" s="410">
        <f t="shared" si="164"/>
        <v>0.19027431955692783</v>
      </c>
      <c r="AP52" s="410">
        <f t="shared" si="164"/>
        <v>0.41703153770498641</v>
      </c>
      <c r="AQ52" s="410">
        <f t="shared" ref="AQ52:AV52" si="165">+AQ49/AQ53</f>
        <v>0.2533534239944577</v>
      </c>
      <c r="AR52" s="410">
        <f t="shared" si="165"/>
        <v>0.15882281364675108</v>
      </c>
      <c r="AS52" s="410">
        <f t="shared" si="165"/>
        <v>0.29580101060992647</v>
      </c>
      <c r="AT52" s="1737">
        <f t="shared" si="165"/>
        <v>0.4208728251528146</v>
      </c>
      <c r="AU52" s="1737">
        <f t="shared" si="165"/>
        <v>0.16414884356369364</v>
      </c>
      <c r="AV52" s="1737">
        <f t="shared" si="165"/>
        <v>0.14512686491411753</v>
      </c>
      <c r="AW52" s="1737">
        <f t="shared" ref="AW52:BC52" si="166">+AW49/AW53</f>
        <v>0.23708992352934152</v>
      </c>
      <c r="AX52" s="1737">
        <f t="shared" si="166"/>
        <v>9.7945255603047579E-2</v>
      </c>
      <c r="AY52" s="1737">
        <f t="shared" si="166"/>
        <v>8.2538418420315077E-2</v>
      </c>
      <c r="AZ52" s="1808">
        <f t="shared" si="166"/>
        <v>6.4510489985967132E-2</v>
      </c>
      <c r="BA52" s="1808">
        <f t="shared" si="166"/>
        <v>1.303566949925397</v>
      </c>
      <c r="BB52" s="1737">
        <f t="shared" si="166"/>
        <v>0.26043221909350395</v>
      </c>
      <c r="BC52" s="1737">
        <f t="shared" si="166"/>
        <v>4.9552310292255368E-2</v>
      </c>
      <c r="BD52" s="1808">
        <f t="shared" ref="BD52:BI52" si="167">+BD49/BD53</f>
        <v>0.47446052733428212</v>
      </c>
      <c r="BE52" s="1808">
        <f t="shared" si="167"/>
        <v>0.37966541344010979</v>
      </c>
      <c r="BF52" s="1808">
        <f t="shared" si="167"/>
        <v>9.8221391613578193E-2</v>
      </c>
      <c r="BG52" s="1808">
        <f t="shared" si="167"/>
        <v>0.39990510905525822</v>
      </c>
      <c r="BH52" s="1808">
        <f t="shared" si="167"/>
        <v>0.14874144501474001</v>
      </c>
      <c r="BI52" s="1808">
        <f t="shared" si="167"/>
        <v>0.46316532751799477</v>
      </c>
      <c r="BJ52" s="1808">
        <f t="shared" ref="BJ52:BK52" si="168">+BJ49/BJ53</f>
        <v>0.10612707921062069</v>
      </c>
      <c r="BK52" s="1809">
        <f t="shared" si="168"/>
        <v>0.13349549235692482</v>
      </c>
      <c r="BL52" s="340">
        <f>Inputs!BL282</f>
        <v>0.14874144501474001</v>
      </c>
      <c r="BM52" s="340">
        <f>Inputs!BM282</f>
        <v>0.46316532751799477</v>
      </c>
      <c r="BN52" s="340">
        <f>Inputs!BN282</f>
        <v>0.10612707921062069</v>
      </c>
      <c r="BO52" s="340">
        <f>Inputs!BO282</f>
        <v>0.13349549235692482</v>
      </c>
      <c r="BP52" s="340">
        <f>Inputs!BP282</f>
        <v>0.14874144501474001</v>
      </c>
      <c r="BQ52" s="340">
        <f>Inputs!BQ282</f>
        <v>0.46316532751799477</v>
      </c>
      <c r="BR52" s="340">
        <f>Inputs!BR282</f>
        <v>0.10612707921062069</v>
      </c>
      <c r="BS52" s="340">
        <f>Inputs!BS282</f>
        <v>0.13349549235692482</v>
      </c>
      <c r="BT52" s="340">
        <f>Inputs!BT282</f>
        <v>0.14874144501474001</v>
      </c>
      <c r="BU52" s="340">
        <f>Inputs!BU282</f>
        <v>0.46316532751799477</v>
      </c>
      <c r="BV52" s="340">
        <f>Inputs!BV282</f>
        <v>0.10612707921062069</v>
      </c>
      <c r="BW52" s="340">
        <f>Inputs!BW282</f>
        <v>0.13349549235692482</v>
      </c>
      <c r="BX52" s="340">
        <f>Inputs!BX282</f>
        <v>0.14874144501474001</v>
      </c>
      <c r="BY52" s="340">
        <f>Inputs!BY282</f>
        <v>0.46316532751799477</v>
      </c>
      <c r="BZ52" s="340">
        <f>Inputs!BZ282</f>
        <v>0.46316532751799477</v>
      </c>
      <c r="CA52" s="340">
        <f>Inputs!CA282</f>
        <v>0.46316532751799477</v>
      </c>
      <c r="CB52" s="340">
        <f>Inputs!CB282</f>
        <v>0.46316532751799477</v>
      </c>
      <c r="CC52" s="340">
        <f>Inputs!CC282</f>
        <v>0.46316532751799477</v>
      </c>
      <c r="CD52" s="340">
        <f>Inputs!CD282</f>
        <v>0.46316532751799477</v>
      </c>
      <c r="CE52" s="340">
        <f>Inputs!CE282</f>
        <v>0.46316532751799477</v>
      </c>
      <c r="CF52" s="340">
        <f>Inputs!CF282</f>
        <v>0.46316532751799477</v>
      </c>
      <c r="CG52" s="340">
        <f>Inputs!CG282</f>
        <v>0.46316532751799477</v>
      </c>
      <c r="CH52" s="340">
        <f>Inputs!CH282</f>
        <v>0.46316532751799477</v>
      </c>
      <c r="CI52" s="340">
        <f>Inputs!CI282</f>
        <v>0.46316532751799477</v>
      </c>
      <c r="CJ52" s="340">
        <f>Inputs!CJ282</f>
        <v>0.46316532751799477</v>
      </c>
      <c r="CK52" s="340">
        <f>Inputs!CK282</f>
        <v>0.46316532751799477</v>
      </c>
      <c r="CL52" s="340">
        <f>Inputs!CL282</f>
        <v>0.46316532751799477</v>
      </c>
      <c r="CM52" s="340">
        <f>Inputs!CM282</f>
        <v>0.46316532751799477</v>
      </c>
      <c r="CN52" s="340">
        <f>Inputs!CN282</f>
        <v>0.46316532751799477</v>
      </c>
      <c r="CO52" s="340">
        <f>Inputs!CO282</f>
        <v>0.46316532751799477</v>
      </c>
      <c r="CP52" s="340">
        <f>Inputs!CP282</f>
        <v>0.46316532751799477</v>
      </c>
      <c r="CQ52" s="340">
        <f>Inputs!CQ282</f>
        <v>0.46316532751799477</v>
      </c>
      <c r="CR52" s="340">
        <f>Inputs!CR282</f>
        <v>0.46316532751799477</v>
      </c>
      <c r="CS52" s="340">
        <f>Inputs!CS282</f>
        <v>0.46316532751799477</v>
      </c>
      <c r="CT52" s="340">
        <f>Inputs!CT282</f>
        <v>0.46316532751799477</v>
      </c>
      <c r="CU52" s="340">
        <f>Inputs!CU282</f>
        <v>0.46316532751799477</v>
      </c>
      <c r="CV52" s="340">
        <f>Inputs!CV282</f>
        <v>0.46316532751799477</v>
      </c>
      <c r="CW52" s="340">
        <f>Inputs!CW282</f>
        <v>0.46316532751799477</v>
      </c>
    </row>
    <row r="53" spans="1:101">
      <c r="A53" s="36" t="s">
        <v>357</v>
      </c>
      <c r="B53" s="686"/>
      <c r="C53" s="686"/>
      <c r="D53" s="686"/>
      <c r="E53" s="686"/>
      <c r="F53" s="686">
        <f t="shared" ref="F53:AN53" si="169">F38-F44</f>
        <v>77.608249999999998</v>
      </c>
      <c r="G53" s="686">
        <f t="shared" si="169"/>
        <v>69.334249999999997</v>
      </c>
      <c r="H53" s="686">
        <f t="shared" si="169"/>
        <v>73.208250000000021</v>
      </c>
      <c r="I53" s="686">
        <f t="shared" si="169"/>
        <v>89.815249999999992</v>
      </c>
      <c r="J53" s="686">
        <f t="shared" si="169"/>
        <v>66.113749999999953</v>
      </c>
      <c r="K53" s="686">
        <f t="shared" si="169"/>
        <v>73.125749999999954</v>
      </c>
      <c r="L53" s="686">
        <f t="shared" si="169"/>
        <v>69.198750000000047</v>
      </c>
      <c r="M53" s="686">
        <f t="shared" si="169"/>
        <v>71.044749999999937</v>
      </c>
      <c r="N53" s="686">
        <f t="shared" si="169"/>
        <v>80.349750000000029</v>
      </c>
      <c r="O53" s="686">
        <f t="shared" si="169"/>
        <v>97.460750000000019</v>
      </c>
      <c r="P53" s="686">
        <f t="shared" si="169"/>
        <v>105.31875000000002</v>
      </c>
      <c r="Q53" s="686">
        <f t="shared" si="169"/>
        <v>108.77175</v>
      </c>
      <c r="R53" s="686">
        <f t="shared" si="169"/>
        <v>80.898999999999944</v>
      </c>
      <c r="S53" s="686">
        <f t="shared" si="169"/>
        <v>106.99599999999998</v>
      </c>
      <c r="T53" s="686">
        <f t="shared" si="169"/>
        <v>117.32499999999999</v>
      </c>
      <c r="U53" s="686">
        <f t="shared" si="169"/>
        <v>125.10099999999994</v>
      </c>
      <c r="V53" s="983">
        <f t="shared" si="169"/>
        <v>78.999139999999983</v>
      </c>
      <c r="W53" s="983">
        <f t="shared" si="169"/>
        <v>148.24623999999994</v>
      </c>
      <c r="X53" s="983">
        <f t="shared" si="169"/>
        <v>54.085114999999973</v>
      </c>
      <c r="Y53" s="983">
        <f t="shared" si="169"/>
        <v>114.06174499999997</v>
      </c>
      <c r="Z53" s="983">
        <f t="shared" si="169"/>
        <v>83.096689999999967</v>
      </c>
      <c r="AA53" s="983">
        <f t="shared" si="169"/>
        <v>100.71399499999995</v>
      </c>
      <c r="AB53" s="983">
        <f t="shared" si="169"/>
        <v>128.40270500000008</v>
      </c>
      <c r="AC53" s="983">
        <f t="shared" si="169"/>
        <v>199.93856499999993</v>
      </c>
      <c r="AD53" s="983">
        <f t="shared" si="169"/>
        <v>161.54882499999997</v>
      </c>
      <c r="AE53" s="983">
        <f t="shared" si="169"/>
        <v>183.05319999999983</v>
      </c>
      <c r="AF53" s="983">
        <f t="shared" si="169"/>
        <v>165.57033000000024</v>
      </c>
      <c r="AG53" s="983">
        <f t="shared" si="169"/>
        <v>226.44806500000016</v>
      </c>
      <c r="AH53" s="983">
        <f t="shared" si="169"/>
        <v>195.39142499999997</v>
      </c>
      <c r="AI53" s="983">
        <f t="shared" si="169"/>
        <v>179.1737</v>
      </c>
      <c r="AJ53" s="983">
        <f t="shared" si="169"/>
        <v>170.94320499999998</v>
      </c>
      <c r="AK53" s="983">
        <f t="shared" si="169"/>
        <v>240.84689999999989</v>
      </c>
      <c r="AL53" s="983">
        <f t="shared" si="169"/>
        <v>202.29023499999994</v>
      </c>
      <c r="AM53" s="983">
        <f t="shared" si="169"/>
        <v>192.50311999999985</v>
      </c>
      <c r="AN53" s="983">
        <f t="shared" si="169"/>
        <v>161.670255</v>
      </c>
      <c r="AO53" s="983">
        <f t="shared" ref="AO53:BC53" si="170">AO38-AO44</f>
        <v>269.79993999999999</v>
      </c>
      <c r="AP53" s="983">
        <f t="shared" si="170"/>
        <v>356.49581999999987</v>
      </c>
      <c r="AQ53" s="983">
        <f t="shared" si="170"/>
        <v>293.89774499999999</v>
      </c>
      <c r="AR53" s="983">
        <f t="shared" si="170"/>
        <v>251.27372500000024</v>
      </c>
      <c r="AS53" s="983">
        <f t="shared" si="170"/>
        <v>549.47411999999986</v>
      </c>
      <c r="AT53" s="983">
        <f t="shared" si="170"/>
        <v>415.56971499999997</v>
      </c>
      <c r="AU53" s="983">
        <f t="shared" si="170"/>
        <v>545.8521549999997</v>
      </c>
      <c r="AV53" s="983">
        <f t="shared" si="170"/>
        <v>395.97768500000041</v>
      </c>
      <c r="AW53" s="983">
        <f t="shared" si="170"/>
        <v>513.73756499999934</v>
      </c>
      <c r="AX53" s="983">
        <f t="shared" si="170"/>
        <v>368.95099999999991</v>
      </c>
      <c r="AY53" s="983">
        <f t="shared" si="170"/>
        <v>405.32640000000004</v>
      </c>
      <c r="AZ53" s="983">
        <f t="shared" si="170"/>
        <v>387.90590499999973</v>
      </c>
      <c r="BA53" s="983">
        <f t="shared" si="170"/>
        <v>211.45979500000021</v>
      </c>
      <c r="BB53" s="983">
        <f t="shared" si="170"/>
        <v>275.02741499999991</v>
      </c>
      <c r="BC53" s="983">
        <f t="shared" si="170"/>
        <v>252.33939499999997</v>
      </c>
      <c r="BD53" s="983">
        <f t="shared" ref="BD53:BI53" si="171">BD38-BD44</f>
        <v>278.92098999999996</v>
      </c>
      <c r="BE53" s="983">
        <f t="shared" si="171"/>
        <v>426.78103999999979</v>
      </c>
      <c r="BF53" s="983">
        <f t="shared" si="171"/>
        <v>435.59757500000001</v>
      </c>
      <c r="BG53" s="983">
        <f t="shared" si="171"/>
        <v>529.36557999999991</v>
      </c>
      <c r="BH53" s="983">
        <f t="shared" si="171"/>
        <v>475.09286999999983</v>
      </c>
      <c r="BI53" s="983">
        <f t="shared" si="171"/>
        <v>371.97948499999995</v>
      </c>
      <c r="BJ53" s="983">
        <f t="shared" ref="BJ53:BK53" si="172">BJ38-BJ44</f>
        <v>461.60697499999992</v>
      </c>
      <c r="BK53" s="1343">
        <f t="shared" si="172"/>
        <v>496.49616500000013</v>
      </c>
      <c r="BL53" s="311">
        <f t="shared" ref="BL53" si="173">BL55*BK48</f>
        <v>476.10415016992374</v>
      </c>
      <c r="BM53" s="311">
        <f t="shared" ref="BM53" si="174">BM55*BL48</f>
        <v>370.20117750234471</v>
      </c>
      <c r="BN53" s="311">
        <f t="shared" ref="BN53" si="175">BN55*BM48</f>
        <v>447.47731426474695</v>
      </c>
      <c r="BO53" s="311">
        <f t="shared" ref="BO53" si="176">BO55*BN48</f>
        <v>491.03429558732427</v>
      </c>
      <c r="BP53" s="311">
        <f t="shared" ref="BP53:BQ53" si="177">BP55*BO48</f>
        <v>448.69433998027165</v>
      </c>
      <c r="BQ53" s="311">
        <f t="shared" si="177"/>
        <v>348.88831139163466</v>
      </c>
      <c r="BR53" s="311">
        <f t="shared" ref="BR53:CK53" si="178">BR55*BQ48</f>
        <v>421.71558073691591</v>
      </c>
      <c r="BS53" s="311">
        <f t="shared" si="178"/>
        <v>462.76494142636079</v>
      </c>
      <c r="BT53" s="311">
        <f t="shared" si="178"/>
        <v>422.86254101855064</v>
      </c>
      <c r="BU53" s="311">
        <f t="shared" si="178"/>
        <v>328.80244910872887</v>
      </c>
      <c r="BV53" s="311">
        <f t="shared" si="178"/>
        <v>397.43697695265507</v>
      </c>
      <c r="BW53" s="311">
        <f t="shared" si="178"/>
        <v>436.12308333208676</v>
      </c>
      <c r="BX53" s="311">
        <f t="shared" si="178"/>
        <v>398.51790554016691</v>
      </c>
      <c r="BY53" s="311">
        <f t="shared" si="178"/>
        <v>309.87295076945486</v>
      </c>
      <c r="BZ53" s="311">
        <f t="shared" si="178"/>
        <v>307.35161657641117</v>
      </c>
      <c r="CA53" s="311">
        <f t="shared" si="178"/>
        <v>304.85079764969583</v>
      </c>
      <c r="CB53" s="311">
        <f t="shared" si="178"/>
        <v>302.37032706334031</v>
      </c>
      <c r="CC53" s="311">
        <f t="shared" si="178"/>
        <v>299.91003924959745</v>
      </c>
      <c r="CD53" s="311">
        <f t="shared" si="178"/>
        <v>297.46976998789063</v>
      </c>
      <c r="CE53" s="311">
        <f t="shared" si="178"/>
        <v>295.04935639385178</v>
      </c>
      <c r="CF53" s="311">
        <f t="shared" si="178"/>
        <v>292.64863690844942</v>
      </c>
      <c r="CG53" s="311">
        <f t="shared" si="178"/>
        <v>290.26745128720466</v>
      </c>
      <c r="CH53" s="311">
        <f t="shared" si="178"/>
        <v>287.90564058949525</v>
      </c>
      <c r="CI53" s="311">
        <f t="shared" si="178"/>
        <v>285.56304716794642</v>
      </c>
      <c r="CJ53" s="311">
        <f t="shared" si="178"/>
        <v>283.23951465790822</v>
      </c>
      <c r="CK53" s="311">
        <f t="shared" si="178"/>
        <v>280.93488796701837</v>
      </c>
      <c r="CL53" s="311">
        <f t="shared" ref="CL53" si="179">CL55*CK48</f>
        <v>278.64901326485</v>
      </c>
      <c r="CM53" s="311">
        <f t="shared" ref="CM53" si="180">CM55*CL48</f>
        <v>276.38173797264398</v>
      </c>
      <c r="CN53" s="311">
        <f t="shared" ref="CN53" si="181">CN55*CM48</f>
        <v>274.13291075312418</v>
      </c>
      <c r="CO53" s="311">
        <f t="shared" ref="CO53" si="182">CO55*CN48</f>
        <v>271.90238150039602</v>
      </c>
      <c r="CP53" s="311">
        <f t="shared" ref="CP53" si="183">CP55*CO48</f>
        <v>269.69000132992733</v>
      </c>
      <c r="CQ53" s="311">
        <f t="shared" ref="CQ53" si="184">CQ55*CP48</f>
        <v>267.4956225686102</v>
      </c>
      <c r="CR53" s="311">
        <f t="shared" ref="CR53" si="185">CR55*CQ48</f>
        <v>265.3190987449043</v>
      </c>
      <c r="CS53" s="311">
        <f t="shared" ref="CS53" si="186">CS55*CR48</f>
        <v>263.16028457905998</v>
      </c>
      <c r="CT53" s="311">
        <f t="shared" ref="CT53" si="187">CT55*CS48</f>
        <v>261.01903597342113</v>
      </c>
      <c r="CU53" s="311">
        <f t="shared" ref="CU53" si="188">CU55*CT48</f>
        <v>258.89521000280666</v>
      </c>
      <c r="CV53" s="311">
        <f t="shared" ref="CV53" si="189">CV55*CU48</f>
        <v>256.78866490497086</v>
      </c>
      <c r="CW53" s="311">
        <f t="shared" ref="CW53" si="190">CW55*CV48</f>
        <v>254.69926007114051</v>
      </c>
    </row>
    <row r="54" spans="1:101">
      <c r="A54" s="312" t="s">
        <v>33</v>
      </c>
      <c r="B54" s="345"/>
      <c r="C54" s="345"/>
      <c r="D54" s="345"/>
      <c r="E54" s="345"/>
      <c r="F54" s="345">
        <f>F53/Q_Financials!F$5</f>
        <v>3.7030052227817488E-2</v>
      </c>
      <c r="G54" s="345">
        <f>G53/Q_Financials!G$5</f>
        <v>3.1999930770295844E-2</v>
      </c>
      <c r="H54" s="345">
        <f>H53/Q_Financials!H$5</f>
        <v>3.2180511445432276E-2</v>
      </c>
      <c r="I54" s="345">
        <f>I53/Q_Financials!I$5</f>
        <v>3.6749329070371199E-2</v>
      </c>
      <c r="J54" s="345">
        <f>J53/Q_Financials!J$5</f>
        <v>2.7584819238099668E-2</v>
      </c>
      <c r="K54" s="345">
        <f>K53/Q_Financials!K$5</f>
        <v>2.8177872707067168E-2</v>
      </c>
      <c r="L54" s="345">
        <f>L53/Q_Financials!L$5</f>
        <v>2.4992505724542955E-2</v>
      </c>
      <c r="M54" s="345">
        <f>M53/Q_Financials!M$5</f>
        <v>2.4199187828186332E-2</v>
      </c>
      <c r="N54" s="345">
        <f>N53/Q_Financials!N$5</f>
        <v>2.7126417262650717E-2</v>
      </c>
      <c r="O54" s="345">
        <f>O53/Q_Financials!O$5</f>
        <v>2.8442688685990588E-2</v>
      </c>
      <c r="P54" s="345">
        <f>P53/Q_Financials!P$5</f>
        <v>3.0070005242041866E-2</v>
      </c>
      <c r="Q54" s="345">
        <f>Q53/Q_Financials!Q$5</f>
        <v>2.9977494503846961E-2</v>
      </c>
      <c r="R54" s="345">
        <f>R53/Q_Financials!R$5</f>
        <v>2.3802602489271026E-2</v>
      </c>
      <c r="S54" s="345">
        <f>S53/Q_Financials!S$5</f>
        <v>2.8004827479887459E-2</v>
      </c>
      <c r="T54" s="345">
        <f>T53/Q_Financials!T$5</f>
        <v>2.873963737963095E-2</v>
      </c>
      <c r="U54" s="345">
        <f>U53/Q_Financials!U$5</f>
        <v>2.8361457653916341E-2</v>
      </c>
      <c r="V54" s="345">
        <f>V53/Q_Financials!V$5</f>
        <v>1.9789185267868322E-2</v>
      </c>
      <c r="W54" s="345">
        <f>W53/Q_Financials!W$5</f>
        <v>2.8490669237330114E-2</v>
      </c>
      <c r="X54" s="345">
        <f>X53/Q_Financials!X$5</f>
        <v>9.4863715587310948E-3</v>
      </c>
      <c r="Y54" s="345">
        <f>Y53/Q_Financials!Y$5</f>
        <v>1.4431721389796776E-2</v>
      </c>
      <c r="Z54" s="345">
        <f>Z53/Q_Financials!Z$5</f>
        <v>1.1314548256496179E-2</v>
      </c>
      <c r="AA54" s="345">
        <f>AA53/Q_Financials!AA$5</f>
        <v>1.2975360418823016E-2</v>
      </c>
      <c r="AB54" s="345">
        <f>AB53/Q_Financials!AB$5</f>
        <v>1.561245937988716E-2</v>
      </c>
      <c r="AC54" s="345">
        <f>AC53/Q_Financials!AC$5</f>
        <v>2.2319987572877609E-2</v>
      </c>
      <c r="AD54" s="345">
        <f>AD53/Q_Financials!AD$5</f>
        <v>1.8928338348119918E-2</v>
      </c>
      <c r="AE54" s="345">
        <f>AE53/Q_Financials!AE$5</f>
        <v>2.0192137988485646E-2</v>
      </c>
      <c r="AF54" s="345">
        <f>AF53/Q_Financials!AF$5</f>
        <v>1.7243345750211646E-2</v>
      </c>
      <c r="AG54" s="345">
        <f>AG53/Q_Financials!AG$5</f>
        <v>2.156739642775338E-2</v>
      </c>
      <c r="AH54" s="345">
        <f>AH53/Q_Financials!AH$5</f>
        <v>1.9358642517169906E-2</v>
      </c>
      <c r="AI54" s="345">
        <f>AI53/Q_Financials!AI$5</f>
        <v>1.7320835238147623E-2</v>
      </c>
      <c r="AJ54" s="345">
        <f>AJ53/Q_Financials!AJ$5</f>
        <v>1.6318608898563236E-2</v>
      </c>
      <c r="AK54" s="345">
        <f>AK53/Q_Financials!AK$5</f>
        <v>2.0733843750290536E-2</v>
      </c>
      <c r="AL54" s="345">
        <f>AL53/Q_Financials!AL$5</f>
        <v>1.8257463877041819E-2</v>
      </c>
      <c r="AM54" s="410">
        <f>AM53/Q_Financials!AM$5</f>
        <v>1.6997305551327134E-2</v>
      </c>
      <c r="AN54" s="410">
        <f>AN53/Q_Financials!AN$5</f>
        <v>1.4212274895748684E-2</v>
      </c>
      <c r="AO54" s="410">
        <f>AO53/Q_Financials!AO$5</f>
        <v>2.1800567267370199E-2</v>
      </c>
      <c r="AP54" s="410">
        <f>AP53/Q_Financials!AP$5</f>
        <v>2.6039482014943396E-2</v>
      </c>
      <c r="AQ54" s="410">
        <f>AQ53/Q_Financials!AQ$5</f>
        <v>2.0156853276391672E-2</v>
      </c>
      <c r="AR54" s="410">
        <f>AR53/Q_Financials!AR$5</f>
        <v>1.7340587075791829E-2</v>
      </c>
      <c r="AS54" s="410">
        <f>AS53/Q_Financials!AS$5</f>
        <v>3.5696370239011926E-2</v>
      </c>
      <c r="AT54" s="1737">
        <f>AT53/Q_Financials!AT$5</f>
        <v>3.433016317929069E-2</v>
      </c>
      <c r="AU54" s="1737">
        <f>AU53/Q_Financials!AU$5</f>
        <v>0.10501646280708074</v>
      </c>
      <c r="AV54" s="1737">
        <f>AV53/Q_Financials!AV$5</f>
        <v>4.0015862231770019E-2</v>
      </c>
      <c r="AW54" s="1737">
        <f>AW53/Q_Financials!AW$5</f>
        <v>4.5475437623716045E-2</v>
      </c>
      <c r="AX54" s="1737">
        <f>AX53/Q_Financials!AX$5</f>
        <v>3.6130173641760813E-2</v>
      </c>
      <c r="AY54" s="1737">
        <f>AY53/Q_Financials!AY$5</f>
        <v>3.2484927911078681E-2</v>
      </c>
      <c r="AZ54" s="1808">
        <f>AZ53/Q_Financials!AZ$5</f>
        <v>2.7790389929987749E-2</v>
      </c>
      <c r="BA54" s="1808">
        <f>BA53/Q_Financials!BA$5</f>
        <v>1.2637961962004569E-2</v>
      </c>
      <c r="BB54" s="1737">
        <f>BB53/Q_Financials!BB$5</f>
        <v>1.806043410460335E-2</v>
      </c>
      <c r="BC54" s="1737">
        <f>BC53/Q_Financials!BC$5</f>
        <v>1.4896835008271971E-2</v>
      </c>
      <c r="BD54" s="1808">
        <f>BD53/Q_Financials!BD$5</f>
        <v>1.592180544367176E-2</v>
      </c>
      <c r="BE54" s="1808">
        <f>BE53/Q_Financials!BE$5</f>
        <v>2.2291072498927693E-2</v>
      </c>
      <c r="BF54" s="1808">
        <f>BF53/Q_Financials!BF$5</f>
        <v>2.4657889688387863E-2</v>
      </c>
      <c r="BG54" s="1808">
        <f>BG53/Q_Financials!BG$5</f>
        <v>2.7936725482557299E-2</v>
      </c>
      <c r="BH54" s="1808">
        <f>BH53/Q_Financials!BH$5</f>
        <v>2.4401309934979874E-2</v>
      </c>
      <c r="BI54" s="1808">
        <f>BI53/Q_Financials!BI$5</f>
        <v>1.8463550568820399E-2</v>
      </c>
      <c r="BJ54" s="1808">
        <f>BJ53/Q_Financials!BJ$5</f>
        <v>2.5359080193473226E-2</v>
      </c>
      <c r="BK54" s="1809">
        <f>BK53/Q_Financials!BK$5</f>
        <v>2.5786595395740568E-2</v>
      </c>
      <c r="BL54" s="314">
        <f>BL53/Q_Financials!BL$5</f>
        <v>2.36773841642447E-2</v>
      </c>
      <c r="BM54" s="314">
        <f>BM53/Q_Financials!BM$5</f>
        <v>1.7641906408976157E-2</v>
      </c>
      <c r="BN54" s="314">
        <f>BN53/Q_Financials!BN$5</f>
        <v>2.2473207043634362E-2</v>
      </c>
      <c r="BO54" s="314">
        <f>BO53/Q_Financials!BO$5</f>
        <v>2.2930830478999669E-2</v>
      </c>
      <c r="BP54" s="314">
        <f>BP53/Q_Financials!BP$5</f>
        <v>2.0432286665959538E-2</v>
      </c>
      <c r="BQ54" s="314">
        <f>BQ53/Q_Financials!BQ$5</f>
        <v>1.5358966005312114E-2</v>
      </c>
      <c r="BR54" s="314">
        <f>BR53/Q_Financials!BR$5</f>
        <v>1.9654215673062685E-2</v>
      </c>
      <c r="BS54" s="314">
        <f>BS53/Q_Financials!BS$5</f>
        <v>2.0281189525636172E-2</v>
      </c>
      <c r="BT54" s="314">
        <f>BT53/Q_Financials!BT$5</f>
        <v>1.8074686285809285E-2</v>
      </c>
      <c r="BU54" s="314">
        <f>BU53/Q_Financials!BU$5</f>
        <v>1.3591068197050271E-2</v>
      </c>
      <c r="BV54" s="314">
        <f>BV53/Q_Financials!BV$5</f>
        <v>1.7476903713189728E-2</v>
      </c>
      <c r="BW54" s="314">
        <f>BW53/Q_Financials!BW$5</f>
        <v>1.8063894787214988E-2</v>
      </c>
      <c r="BX54" s="314">
        <f>BX53/Q_Financials!BX$5</f>
        <v>1.6092637803959167E-2</v>
      </c>
      <c r="BY54" s="314">
        <f>BY53/Q_Financials!BY$5</f>
        <v>1.20880860576776E-2</v>
      </c>
      <c r="BZ54" s="314">
        <f>BZ53/Q_Financials!BZ$5</f>
        <v>1.2837440249011269E-2</v>
      </c>
      <c r="CA54" s="314">
        <f>CA53/Q_Financials!CA$5</f>
        <v>1.2005926338202275E-2</v>
      </c>
      <c r="CB54" s="314">
        <f>CB53/Q_Financials!CB$5</f>
        <v>1.1601551896234812E-2</v>
      </c>
      <c r="CC54" s="314">
        <f>CC53/Q_Financials!CC$5</f>
        <v>1.1102222717325238E-2</v>
      </c>
      <c r="CD54" s="314">
        <f>CD53/Q_Financials!CD$5</f>
        <v>1.1803899118153468E-2</v>
      </c>
      <c r="CE54" s="314">
        <f>CE53/Q_Financials!CE$5</f>
        <v>1.1050955851576661E-2</v>
      </c>
      <c r="CF54" s="314">
        <f>CF53/Q_Financials!CF$5</f>
        <v>1.0671354691294523E-2</v>
      </c>
      <c r="CG54" s="314">
        <f>CG53/Q_Financials!CG$5</f>
        <v>1.0199491711782669E-2</v>
      </c>
      <c r="CH54" s="314">
        <f>CH53/Q_Financials!CH$5</f>
        <v>1.0859014197530438E-2</v>
      </c>
      <c r="CI54" s="314">
        <f>CI53/Q_Financials!CI$5</f>
        <v>1.0181347566925307E-2</v>
      </c>
      <c r="CJ54" s="314">
        <f>CJ53/Q_Financials!CJ$5</f>
        <v>9.8293344714715791E-3</v>
      </c>
      <c r="CK54" s="314">
        <f>CK53/Q_Financials!CK$5</f>
        <v>9.3897981904732166E-3</v>
      </c>
      <c r="CL54" s="314">
        <f>CL53/Q_Financials!CL$5</f>
        <v>1.0010909978601665E-2</v>
      </c>
      <c r="CM54" s="314">
        <f>CM53/Q_Financials!CM$5</f>
        <v>9.3949483880301429E-3</v>
      </c>
      <c r="CN54" s="314">
        <f>CN53/Q_Financials!CN$5</f>
        <v>9.0635461322790319E-3</v>
      </c>
      <c r="CO54" s="314">
        <f>CO53/Q_Financials!CO$5</f>
        <v>8.6485614277077936E-3</v>
      </c>
      <c r="CP54" s="314">
        <f>CP53/Q_Financials!CP$5</f>
        <v>9.2301346279375016E-3</v>
      </c>
      <c r="CQ54" s="314">
        <f>CQ53/Q_Financials!CQ$5</f>
        <v>8.6702184997845093E-3</v>
      </c>
      <c r="CR54" s="314">
        <f>CR53/Q_Financials!CR$5</f>
        <v>8.3580940921386179E-3</v>
      </c>
      <c r="CS54" s="314">
        <f>CS53/Q_Financials!CS$5</f>
        <v>7.9665821265651297E-3</v>
      </c>
      <c r="CT54" s="314">
        <f>CT53/Q_Financials!CT$5</f>
        <v>8.5109271138851337E-3</v>
      </c>
      <c r="CU54" s="314">
        <f>CU53/Q_Financials!CU$5</f>
        <v>8.0021715008865082E-3</v>
      </c>
      <c r="CV54" s="314">
        <f>CV53/Q_Financials!CV$5</f>
        <v>7.7086494185918432E-3</v>
      </c>
      <c r="CW54" s="314">
        <f>CW53/Q_Financials!CW$5</f>
        <v>7.3436693853093146E-3</v>
      </c>
    </row>
    <row r="55" spans="1:101">
      <c r="A55" s="312" t="s">
        <v>358</v>
      </c>
      <c r="B55" s="345"/>
      <c r="C55" s="345"/>
      <c r="D55" s="345"/>
      <c r="E55" s="345"/>
      <c r="F55" s="345">
        <f t="shared" ref="F55:AA55" si="191">F53/E48</f>
        <v>7.8186832560951033E-2</v>
      </c>
      <c r="G55" s="345">
        <f t="shared" si="191"/>
        <v>7.0937944102321168E-2</v>
      </c>
      <c r="H55" s="345">
        <f t="shared" si="191"/>
        <v>7.5592591521780009E-2</v>
      </c>
      <c r="I55" s="345">
        <f t="shared" si="191"/>
        <v>9.4023556334415781E-2</v>
      </c>
      <c r="J55" s="345">
        <f t="shared" si="191"/>
        <v>6.9206592624383667E-2</v>
      </c>
      <c r="K55" s="345">
        <f t="shared" si="191"/>
        <v>7.921217596459125E-2</v>
      </c>
      <c r="L55" s="345">
        <f t="shared" si="191"/>
        <v>7.7639742841755732E-2</v>
      </c>
      <c r="M55" s="345">
        <f t="shared" si="191"/>
        <v>7.7995900658485481E-2</v>
      </c>
      <c r="N55" s="345">
        <f t="shared" si="191"/>
        <v>8.6519079481508471E-2</v>
      </c>
      <c r="O55" s="345">
        <f t="shared" si="191"/>
        <v>3.8299068388028754E-2</v>
      </c>
      <c r="P55" s="345">
        <f t="shared" si="191"/>
        <v>4.1734511149214545E-2</v>
      </c>
      <c r="Q55" s="345">
        <f t="shared" si="191"/>
        <v>4.3894656939537965E-2</v>
      </c>
      <c r="R55" s="345">
        <f t="shared" si="191"/>
        <v>3.3445508779037778E-2</v>
      </c>
      <c r="S55" s="345">
        <f t="shared" si="191"/>
        <v>4.4436968787053811E-2</v>
      </c>
      <c r="T55" s="345">
        <f t="shared" si="191"/>
        <v>4.5988090329115189E-2</v>
      </c>
      <c r="U55" s="345">
        <f t="shared" si="191"/>
        <v>3.3259689366023797E-2</v>
      </c>
      <c r="V55" s="345">
        <f t="shared" si="191"/>
        <v>2.3330814168632821E-2</v>
      </c>
      <c r="W55" s="345">
        <f t="shared" si="191"/>
        <v>4.4654284239183134E-2</v>
      </c>
      <c r="X55" s="345">
        <f t="shared" si="191"/>
        <v>6.9617351874065236E-3</v>
      </c>
      <c r="Y55" s="345">
        <f t="shared" si="191"/>
        <v>1.3126851365828793E-2</v>
      </c>
      <c r="Z55" s="345">
        <f t="shared" si="191"/>
        <v>6.1111296192805781E-3</v>
      </c>
      <c r="AA55" s="345">
        <f t="shared" si="191"/>
        <v>7.6240249682023135E-3</v>
      </c>
      <c r="AB55" s="345">
        <f t="shared" ref="AB55:AZ55" si="192">AB53/AA48</f>
        <v>9.5838756182458577E-3</v>
      </c>
      <c r="AC55" s="345">
        <f t="shared" si="192"/>
        <v>1.4660583856773114E-2</v>
      </c>
      <c r="AD55" s="345">
        <f t="shared" si="192"/>
        <v>1.1745672246319623E-2</v>
      </c>
      <c r="AE55" s="345">
        <f t="shared" si="192"/>
        <v>1.2094139053409825E-2</v>
      </c>
      <c r="AF55" s="345">
        <f t="shared" si="192"/>
        <v>1.1011145994855772E-2</v>
      </c>
      <c r="AG55" s="345">
        <f t="shared" si="192"/>
        <v>1.5037190886634093E-2</v>
      </c>
      <c r="AH55" s="345">
        <f t="shared" si="192"/>
        <v>1.2841742370986745E-2</v>
      </c>
      <c r="AI55" s="345">
        <f t="shared" si="192"/>
        <v>1.1834620977619772E-2</v>
      </c>
      <c r="AJ55" s="345">
        <f t="shared" si="192"/>
        <v>1.1272870427596081E-2</v>
      </c>
      <c r="AK55" s="345">
        <f t="shared" si="192"/>
        <v>1.5788067069961862E-2</v>
      </c>
      <c r="AL55" s="345">
        <f t="shared" si="192"/>
        <v>1.317164708751904E-2</v>
      </c>
      <c r="AM55" s="410">
        <f t="shared" si="192"/>
        <v>1.2632935372787606E-2</v>
      </c>
      <c r="AN55" s="410">
        <f t="shared" si="192"/>
        <v>1.0689396911220755E-2</v>
      </c>
      <c r="AO55" s="410">
        <f t="shared" si="192"/>
        <v>1.7928291734437683E-2</v>
      </c>
      <c r="AP55" s="410">
        <f t="shared" si="192"/>
        <v>1.3845029620749313E-2</v>
      </c>
      <c r="AQ55" s="410">
        <f t="shared" si="192"/>
        <v>1.133238327979811E-2</v>
      </c>
      <c r="AR55" s="410">
        <f t="shared" si="192"/>
        <v>9.6982541432915886E-3</v>
      </c>
      <c r="AS55" s="410">
        <f t="shared" si="192"/>
        <v>2.1284039216846809E-2</v>
      </c>
      <c r="AT55" s="1737">
        <f t="shared" si="192"/>
        <v>1.5180512959736672E-2</v>
      </c>
      <c r="AU55" s="1737">
        <f t="shared" si="192"/>
        <v>1.8840340950666345E-2</v>
      </c>
      <c r="AV55" s="1737">
        <f t="shared" si="192"/>
        <v>1.345884635755734E-2</v>
      </c>
      <c r="AW55" s="1737">
        <f t="shared" si="192"/>
        <v>1.7198095318821216E-2</v>
      </c>
      <c r="AX55" s="1737">
        <f t="shared" si="192"/>
        <v>1.280324114238123E-2</v>
      </c>
      <c r="AY55" s="1737">
        <f t="shared" si="192"/>
        <v>1.4195275392994925E-2</v>
      </c>
      <c r="AZ55" s="1808">
        <f t="shared" si="192"/>
        <v>1.3763959215160397E-2</v>
      </c>
      <c r="BA55" s="1808">
        <f t="shared" ref="BA55:BJ55" si="193">BA53/AZ48</f>
        <v>7.4780356801595919E-3</v>
      </c>
      <c r="BB55" s="1737">
        <f t="shared" si="193"/>
        <v>9.8942953884516051E-3</v>
      </c>
      <c r="BC55" s="1737">
        <f t="shared" si="193"/>
        <v>9.306152117412838E-3</v>
      </c>
      <c r="BD55" s="1808">
        <f t="shared" si="193"/>
        <v>1.0595059860052412E-2</v>
      </c>
      <c r="BE55" s="1808">
        <f t="shared" si="193"/>
        <v>1.630380144907809E-2</v>
      </c>
      <c r="BF55" s="1808">
        <f t="shared" si="193"/>
        <v>1.6331806835791541E-2</v>
      </c>
      <c r="BG55" s="1808">
        <f t="shared" si="193"/>
        <v>2.0611185928100205E-2</v>
      </c>
      <c r="BH55" s="1808">
        <f t="shared" si="193"/>
        <v>1.9174459527197783E-2</v>
      </c>
      <c r="BI55" s="1808">
        <f t="shared" si="193"/>
        <v>1.5156753514900336E-2</v>
      </c>
      <c r="BJ55" s="1808">
        <f t="shared" si="193"/>
        <v>1.8470879753588739E-2</v>
      </c>
      <c r="BK55" s="1809">
        <f t="shared" ref="BK55" si="194">BK53/BJ48</f>
        <v>2.0609084936693098E-2</v>
      </c>
      <c r="BL55" s="340">
        <f>Inputs!BL290</f>
        <v>1.9174459527197783E-2</v>
      </c>
      <c r="BM55" s="340">
        <f>Inputs!BM290</f>
        <v>1.5156753514900336E-2</v>
      </c>
      <c r="BN55" s="340">
        <f>Inputs!BN290</f>
        <v>1.8470879753588739E-2</v>
      </c>
      <c r="BO55" s="340">
        <f>Inputs!BO290</f>
        <v>2.0609084936693098E-2</v>
      </c>
      <c r="BP55" s="340">
        <f>Inputs!BP290</f>
        <v>1.9174459527197783E-2</v>
      </c>
      <c r="BQ55" s="340">
        <f>Inputs!BQ290</f>
        <v>1.5156753514900336E-2</v>
      </c>
      <c r="BR55" s="340">
        <f>Inputs!BR290</f>
        <v>1.8470879753588739E-2</v>
      </c>
      <c r="BS55" s="340">
        <f>Inputs!BS290</f>
        <v>2.0609084936693098E-2</v>
      </c>
      <c r="BT55" s="340">
        <f>Inputs!BT290</f>
        <v>1.9174459527197783E-2</v>
      </c>
      <c r="BU55" s="340">
        <f>Inputs!BU290</f>
        <v>1.5156753514900336E-2</v>
      </c>
      <c r="BV55" s="340">
        <f>Inputs!BV290</f>
        <v>1.8470879753588739E-2</v>
      </c>
      <c r="BW55" s="340">
        <f>Inputs!BW290</f>
        <v>2.0609084936693098E-2</v>
      </c>
      <c r="BX55" s="340">
        <f>Inputs!BX290</f>
        <v>1.9174459527197783E-2</v>
      </c>
      <c r="BY55" s="340">
        <f>Inputs!BY290</f>
        <v>1.5156753514900336E-2</v>
      </c>
      <c r="BZ55" s="340">
        <f>Inputs!BZ290</f>
        <v>1.5156753514900336E-2</v>
      </c>
      <c r="CA55" s="340">
        <f>Inputs!CA290</f>
        <v>1.5156753514900336E-2</v>
      </c>
      <c r="CB55" s="340">
        <f>Inputs!CB290</f>
        <v>1.5156753514900336E-2</v>
      </c>
      <c r="CC55" s="340">
        <f>Inputs!CC290</f>
        <v>1.5156753514900336E-2</v>
      </c>
      <c r="CD55" s="340">
        <f>Inputs!CD290</f>
        <v>1.5156753514900336E-2</v>
      </c>
      <c r="CE55" s="340">
        <f>Inputs!CE290</f>
        <v>1.5156753514900336E-2</v>
      </c>
      <c r="CF55" s="340">
        <f>Inputs!CF290</f>
        <v>1.5156753514900336E-2</v>
      </c>
      <c r="CG55" s="340">
        <f>Inputs!CG290</f>
        <v>1.5156753514900336E-2</v>
      </c>
      <c r="CH55" s="340">
        <f>Inputs!CH290</f>
        <v>1.5156753514900336E-2</v>
      </c>
      <c r="CI55" s="340">
        <f>Inputs!CI290</f>
        <v>1.5156753514900336E-2</v>
      </c>
      <c r="CJ55" s="340">
        <f>Inputs!CJ290</f>
        <v>1.5156753514900336E-2</v>
      </c>
      <c r="CK55" s="340">
        <f>Inputs!CK290</f>
        <v>1.5156753514900336E-2</v>
      </c>
      <c r="CL55" s="340">
        <f>Inputs!CL290</f>
        <v>1.5156753514900336E-2</v>
      </c>
      <c r="CM55" s="340">
        <f>Inputs!CM290</f>
        <v>1.5156753514900336E-2</v>
      </c>
      <c r="CN55" s="340">
        <f>Inputs!CN290</f>
        <v>1.5156753514900336E-2</v>
      </c>
      <c r="CO55" s="340">
        <f>Inputs!CO290</f>
        <v>1.5156753514900336E-2</v>
      </c>
      <c r="CP55" s="340">
        <f>Inputs!CP290</f>
        <v>1.5156753514900336E-2</v>
      </c>
      <c r="CQ55" s="340">
        <f>Inputs!CQ290</f>
        <v>1.5156753514900336E-2</v>
      </c>
      <c r="CR55" s="340">
        <f>Inputs!CR290</f>
        <v>1.5156753514900336E-2</v>
      </c>
      <c r="CS55" s="340">
        <f>Inputs!CS290</f>
        <v>1.5156753514900336E-2</v>
      </c>
      <c r="CT55" s="340">
        <f>Inputs!CT290</f>
        <v>1.5156753514900336E-2</v>
      </c>
      <c r="CU55" s="340">
        <f>Inputs!CU290</f>
        <v>1.5156753514900336E-2</v>
      </c>
      <c r="CV55" s="340">
        <f>Inputs!CV290</f>
        <v>1.5156753514900336E-2</v>
      </c>
      <c r="CW55" s="340">
        <f>Inputs!CW290</f>
        <v>1.5156753514900336E-2</v>
      </c>
    </row>
    <row r="56" spans="1:101">
      <c r="A56" s="312"/>
      <c r="B56" s="345"/>
      <c r="C56" s="345"/>
      <c r="D56" s="345"/>
      <c r="E56" s="345"/>
      <c r="F56" s="345"/>
      <c r="G56" s="345"/>
      <c r="H56" s="345"/>
      <c r="I56" s="345"/>
      <c r="J56" s="345"/>
      <c r="K56" s="345"/>
      <c r="L56" s="345"/>
      <c r="M56" s="345"/>
      <c r="N56" s="345"/>
      <c r="O56" s="345"/>
      <c r="P56" s="345"/>
      <c r="Q56" s="345"/>
      <c r="R56" s="345"/>
      <c r="S56" s="345"/>
      <c r="T56" s="345"/>
      <c r="U56" s="345"/>
      <c r="V56" s="345"/>
      <c r="W56" s="345"/>
      <c r="X56" s="345"/>
      <c r="Y56" s="345"/>
      <c r="Z56" s="345"/>
      <c r="AA56" s="345"/>
      <c r="AB56" s="345"/>
      <c r="AC56" s="345"/>
      <c r="AD56" s="345"/>
      <c r="AE56" s="345"/>
      <c r="AF56" s="345"/>
      <c r="AG56" s="345"/>
      <c r="AH56" s="345"/>
      <c r="AI56" s="345"/>
      <c r="AJ56" s="345"/>
      <c r="AK56" s="345"/>
      <c r="AL56" s="345"/>
      <c r="AM56" s="410"/>
      <c r="AN56" s="410"/>
      <c r="AO56" s="410"/>
      <c r="AP56" s="410"/>
      <c r="AQ56" s="410"/>
      <c r="AR56" s="410"/>
      <c r="AS56" s="410"/>
      <c r="AT56" s="1737"/>
      <c r="AU56" s="1737"/>
      <c r="AV56" s="1737"/>
      <c r="AW56" s="1737"/>
      <c r="AX56" s="1737"/>
      <c r="AY56" s="1737"/>
      <c r="AZ56" s="1737"/>
      <c r="BA56" s="1737"/>
      <c r="BB56" s="1737"/>
      <c r="BC56" s="1737"/>
      <c r="BD56" s="1737"/>
      <c r="BE56" s="1737"/>
      <c r="BF56" s="1737"/>
      <c r="BG56" s="1737"/>
      <c r="BH56" s="1737"/>
      <c r="BI56" s="1737"/>
      <c r="BJ56" s="1737"/>
      <c r="BK56" s="1684"/>
      <c r="BL56" s="340"/>
      <c r="BM56" s="340"/>
      <c r="BN56" s="340"/>
      <c r="BO56" s="326"/>
      <c r="BP56" s="340"/>
      <c r="BQ56" s="340"/>
      <c r="BR56" s="340"/>
      <c r="BS56" s="340"/>
      <c r="BT56" s="340"/>
      <c r="BU56" s="340"/>
      <c r="BV56" s="340"/>
      <c r="BW56" s="340"/>
      <c r="BX56" s="340"/>
      <c r="BY56" s="340"/>
      <c r="BZ56" s="340"/>
      <c r="CA56" s="340"/>
      <c r="CB56" s="340"/>
      <c r="CC56" s="340"/>
      <c r="CD56" s="340"/>
      <c r="CE56" s="340"/>
      <c r="CF56" s="340"/>
      <c r="CG56" s="340"/>
      <c r="CH56" s="340"/>
      <c r="CI56" s="340"/>
      <c r="CJ56" s="340"/>
      <c r="CK56" s="340"/>
      <c r="CL56" s="340"/>
      <c r="CM56" s="340"/>
      <c r="CN56" s="340"/>
      <c r="CO56" s="340"/>
      <c r="CP56" s="340"/>
      <c r="CQ56" s="340"/>
      <c r="CR56" s="340"/>
      <c r="CS56" s="340"/>
      <c r="CT56" s="340"/>
      <c r="CU56" s="340"/>
      <c r="CV56" s="340"/>
      <c r="CW56" s="340"/>
    </row>
    <row r="57" spans="1:101" s="13" customFormat="1">
      <c r="A57" s="1198" t="s">
        <v>1200</v>
      </c>
      <c r="B57" s="1199"/>
      <c r="C57" s="1199"/>
      <c r="D57" s="1199"/>
      <c r="E57" s="1199"/>
      <c r="F57" s="1199"/>
      <c r="G57" s="1199"/>
      <c r="H57" s="1199"/>
      <c r="I57" s="1199"/>
      <c r="J57" s="1199"/>
      <c r="K57" s="1199"/>
      <c r="L57" s="1199"/>
      <c r="M57" s="1199"/>
      <c r="N57" s="1199"/>
      <c r="O57" s="1199"/>
      <c r="P57" s="1199"/>
      <c r="Q57" s="1199"/>
      <c r="R57" s="1199"/>
      <c r="S57" s="1199"/>
      <c r="T57" s="1199"/>
      <c r="U57" s="1199"/>
      <c r="V57" s="1199"/>
      <c r="W57" s="1199"/>
      <c r="X57" s="1199"/>
      <c r="Y57" s="1199"/>
      <c r="Z57" s="1199"/>
      <c r="AA57" s="1199"/>
      <c r="AB57" s="1199"/>
      <c r="AC57" s="1199"/>
      <c r="AD57" s="1199"/>
      <c r="AE57" s="1199"/>
      <c r="AF57" s="1199"/>
      <c r="AG57" s="1199"/>
      <c r="AH57" s="1199"/>
      <c r="AI57" s="1199"/>
      <c r="AJ57" s="1199"/>
      <c r="AK57" s="1199"/>
      <c r="AL57" s="1199"/>
      <c r="AM57" s="1200"/>
      <c r="AN57" s="1200"/>
      <c r="AO57" s="1200"/>
      <c r="AP57" s="1288">
        <f>AP150</f>
        <v>932.37699999999995</v>
      </c>
      <c r="AQ57" s="1288">
        <f t="shared" ref="AQ57:AV57" si="195">AQ150</f>
        <v>887.42399999999998</v>
      </c>
      <c r="AR57" s="1288">
        <f t="shared" si="195"/>
        <v>1141.644</v>
      </c>
      <c r="AS57" s="1288">
        <f t="shared" si="195"/>
        <v>827.93600000000004</v>
      </c>
      <c r="AT57" s="1739">
        <f t="shared" si="195"/>
        <v>932.37699999999995</v>
      </c>
      <c r="AU57" s="1739">
        <f t="shared" si="195"/>
        <v>895.09</v>
      </c>
      <c r="AV57" s="1739">
        <f t="shared" si="195"/>
        <v>1004.271</v>
      </c>
      <c r="AW57" s="1739">
        <f t="shared" ref="AW57:BC57" si="196">AW150</f>
        <v>1127.739</v>
      </c>
      <c r="AX57" s="1739">
        <f t="shared" si="196"/>
        <v>1081.73</v>
      </c>
      <c r="AY57" s="1739">
        <f t="shared" si="196"/>
        <v>1040.7850000000001</v>
      </c>
      <c r="AZ57" s="1739">
        <f t="shared" si="196"/>
        <v>1011.796</v>
      </c>
      <c r="BA57" s="1739">
        <f t="shared" si="196"/>
        <v>1303.9680000000001</v>
      </c>
      <c r="BB57" s="1739">
        <f t="shared" si="196"/>
        <v>1212.691</v>
      </c>
      <c r="BC57" s="1739">
        <f t="shared" si="196"/>
        <v>1149.9460000000001</v>
      </c>
      <c r="BD57" s="1739">
        <f t="shared" ref="BD57:BQ57" si="197">BD150</f>
        <v>1116.008</v>
      </c>
      <c r="BE57" s="1739">
        <f t="shared" si="197"/>
        <v>878.65700000000004</v>
      </c>
      <c r="BF57" s="1739">
        <f t="shared" ref="BF57:BG57" si="198">BF150</f>
        <v>1072.2629999999999</v>
      </c>
      <c r="BG57" s="1739">
        <f t="shared" si="198"/>
        <v>1042.6420000000003</v>
      </c>
      <c r="BH57" s="1739">
        <f t="shared" ref="BH57" si="199">BH150</f>
        <v>1009.6009999999997</v>
      </c>
      <c r="BI57" s="1739">
        <f t="shared" ref="BI57" si="200">BI150</f>
        <v>1021.919</v>
      </c>
      <c r="BJ57" s="1739">
        <f t="shared" ref="BJ57:BK57" si="201">BJ150</f>
        <v>943.62400000000002</v>
      </c>
      <c r="BK57" s="2021">
        <f t="shared" si="201"/>
        <v>1009.978</v>
      </c>
      <c r="BL57" s="309">
        <f t="shared" si="197"/>
        <v>1170.95350828552</v>
      </c>
      <c r="BM57" s="309">
        <f t="shared" si="197"/>
        <v>1106.1540279999028</v>
      </c>
      <c r="BN57" s="309">
        <f t="shared" si="197"/>
        <v>1097.4985516785925</v>
      </c>
      <c r="BO57" s="309">
        <f t="shared" si="197"/>
        <v>1087.9554709278959</v>
      </c>
      <c r="BP57" s="309">
        <f t="shared" si="197"/>
        <v>1080.0828827039277</v>
      </c>
      <c r="BQ57" s="309">
        <f t="shared" si="197"/>
        <v>1083.0564500773119</v>
      </c>
      <c r="BR57" s="309">
        <f t="shared" ref="BR57:CK57" si="202">BR150</f>
        <v>1089.9488459548324</v>
      </c>
      <c r="BS57" s="309">
        <f t="shared" si="202"/>
        <v>1092.1063772637115</v>
      </c>
      <c r="BT57" s="309">
        <f t="shared" si="202"/>
        <v>1089.018826612896</v>
      </c>
      <c r="BU57" s="309">
        <f t="shared" si="202"/>
        <v>1093.4173086109765</v>
      </c>
      <c r="BV57" s="309">
        <f t="shared" si="202"/>
        <v>1101.1004786386181</v>
      </c>
      <c r="BW57" s="309">
        <f t="shared" si="202"/>
        <v>1103.9706322395623</v>
      </c>
      <c r="BX57" s="309">
        <f t="shared" si="202"/>
        <v>1102.0286327185045</v>
      </c>
      <c r="BY57" s="309">
        <f t="shared" si="202"/>
        <v>1107.501120657616</v>
      </c>
      <c r="BZ57" s="309">
        <f t="shared" si="202"/>
        <v>1115.0634352635939</v>
      </c>
      <c r="CA57" s="309">
        <f t="shared" si="202"/>
        <v>1118.0325011883622</v>
      </c>
      <c r="CB57" s="309">
        <f t="shared" si="202"/>
        <v>1119.613157430977</v>
      </c>
      <c r="CC57" s="309">
        <f t="shared" si="202"/>
        <v>1128.4020149661817</v>
      </c>
      <c r="CD57" s="309">
        <f t="shared" si="202"/>
        <v>1138.9730512040755</v>
      </c>
      <c r="CE57" s="309">
        <f t="shared" si="202"/>
        <v>1145.0082465355931</v>
      </c>
      <c r="CF57" s="309">
        <f t="shared" si="202"/>
        <v>1149.5542266519794</v>
      </c>
      <c r="CG57" s="309">
        <f t="shared" si="202"/>
        <v>1161.3112478517148</v>
      </c>
      <c r="CH57" s="309">
        <f t="shared" si="202"/>
        <v>1174.4971745321402</v>
      </c>
      <c r="CI57" s="309">
        <f t="shared" si="202"/>
        <v>1182.4681293012911</v>
      </c>
      <c r="CJ57" s="309">
        <f t="shared" si="202"/>
        <v>1188.856998438049</v>
      </c>
      <c r="CK57" s="309">
        <f t="shared" si="202"/>
        <v>1202.494117706965</v>
      </c>
      <c r="CL57" s="309">
        <f t="shared" ref="CL57:CP57" si="203">CL150</f>
        <v>1216.5610505660968</v>
      </c>
      <c r="CM57" s="309">
        <f t="shared" si="203"/>
        <v>1225.4535495054249</v>
      </c>
      <c r="CN57" s="309">
        <f t="shared" si="203"/>
        <v>1234.1316603446469</v>
      </c>
      <c r="CO57" s="309">
        <f t="shared" si="203"/>
        <v>1250.130603052711</v>
      </c>
      <c r="CP57" s="309">
        <f t="shared" si="203"/>
        <v>1266.2169952302888</v>
      </c>
      <c r="CQ57" s="309">
        <f t="shared" ref="CQ57:CT57" si="204">CQ150</f>
        <v>1276.7799411531289</v>
      </c>
      <c r="CR57" s="309">
        <f t="shared" si="204"/>
        <v>1287.4880421108026</v>
      </c>
      <c r="CS57" s="309">
        <f t="shared" si="204"/>
        <v>1305.5984913607006</v>
      </c>
      <c r="CT57" s="309">
        <f t="shared" si="204"/>
        <v>1323.4586432165411</v>
      </c>
      <c r="CU57" s="309">
        <f t="shared" ref="CU57:CW57" si="205">CU150</f>
        <v>1335.4463069231172</v>
      </c>
      <c r="CV57" s="309">
        <f t="shared" si="205"/>
        <v>1347.997781971965</v>
      </c>
      <c r="CW57" s="309">
        <f t="shared" si="205"/>
        <v>1368.0561368145882</v>
      </c>
    </row>
    <row r="58" spans="1:101">
      <c r="A58" s="312"/>
      <c r="B58" s="345"/>
      <c r="C58" s="345"/>
      <c r="D58" s="345"/>
      <c r="E58" s="345"/>
      <c r="F58" s="345"/>
      <c r="G58" s="345"/>
      <c r="H58" s="345"/>
      <c r="I58" s="345"/>
      <c r="J58" s="345"/>
      <c r="K58" s="345"/>
      <c r="L58" s="345"/>
      <c r="M58" s="345"/>
      <c r="N58" s="345"/>
      <c r="O58" s="345"/>
      <c r="P58" s="345"/>
      <c r="Q58" s="345"/>
      <c r="R58" s="345"/>
      <c r="S58" s="345"/>
      <c r="T58" s="345"/>
      <c r="U58" s="345"/>
      <c r="V58" s="345"/>
      <c r="W58" s="345"/>
      <c r="X58" s="345"/>
      <c r="Y58" s="345"/>
      <c r="Z58" s="345"/>
      <c r="AA58" s="345"/>
      <c r="AB58" s="345"/>
      <c r="AC58" s="345"/>
      <c r="AD58" s="345"/>
      <c r="AE58" s="345"/>
      <c r="AF58" s="345"/>
      <c r="AG58" s="345"/>
      <c r="AH58" s="345"/>
      <c r="AI58" s="345"/>
      <c r="AJ58" s="345"/>
      <c r="AK58" s="345"/>
      <c r="AL58" s="345"/>
      <c r="AM58" s="410"/>
      <c r="AN58" s="410"/>
      <c r="AO58" s="410"/>
      <c r="AP58" s="410"/>
      <c r="AQ58" s="410"/>
      <c r="AR58" s="410"/>
      <c r="AS58" s="410"/>
      <c r="AT58" s="1737"/>
      <c r="AU58" s="1737"/>
      <c r="AV58" s="1737"/>
      <c r="AW58" s="1737"/>
      <c r="AX58" s="1737"/>
      <c r="AY58" s="1737"/>
      <c r="AZ58" s="1737"/>
      <c r="BA58" s="1737"/>
      <c r="BB58" s="1737"/>
      <c r="BC58" s="1737"/>
      <c r="BD58" s="1737"/>
      <c r="BE58" s="1737"/>
      <c r="BF58" s="1737"/>
      <c r="BG58" s="1737"/>
      <c r="BH58" s="1737"/>
      <c r="BI58" s="1737"/>
      <c r="BJ58" s="1737"/>
      <c r="BK58" s="1998"/>
      <c r="BL58" s="340"/>
      <c r="BM58" s="326"/>
      <c r="BN58" s="340"/>
      <c r="BO58" s="340"/>
      <c r="BP58" s="340"/>
      <c r="BQ58" s="340"/>
    </row>
    <row r="59" spans="1:101">
      <c r="A59" s="312"/>
      <c r="B59" s="345"/>
      <c r="C59" s="34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45"/>
      <c r="P59" s="345"/>
      <c r="Q59" s="345"/>
      <c r="R59" s="345"/>
      <c r="S59" s="345"/>
      <c r="T59" s="345"/>
      <c r="U59" s="345"/>
      <c r="V59" s="345"/>
      <c r="W59" s="345"/>
      <c r="X59" s="345"/>
      <c r="Y59" s="345"/>
      <c r="Z59" s="345"/>
      <c r="AA59" s="345"/>
      <c r="AB59" s="345"/>
      <c r="AC59" s="345"/>
      <c r="AD59" s="345"/>
      <c r="AE59" s="345"/>
      <c r="AF59" s="345"/>
      <c r="AG59" s="345"/>
      <c r="AH59" s="345"/>
      <c r="AI59" s="345"/>
      <c r="AJ59" s="345"/>
      <c r="AK59" s="345"/>
      <c r="AL59" s="345"/>
      <c r="AM59" s="410"/>
      <c r="AN59" s="410"/>
      <c r="AO59" s="410"/>
      <c r="AP59" s="534"/>
      <c r="AQ59" s="534"/>
      <c r="AR59" s="534"/>
      <c r="AS59" s="534"/>
      <c r="AT59" s="1687"/>
      <c r="AU59" s="1687"/>
      <c r="AV59" s="1687"/>
      <c r="AW59" s="1687"/>
      <c r="AX59" s="1687"/>
      <c r="AY59" s="1687"/>
      <c r="AZ59" s="1687"/>
      <c r="BA59" s="1687"/>
      <c r="BB59" s="1687"/>
      <c r="BC59" s="1687"/>
      <c r="BD59" s="1687"/>
      <c r="BE59" s="1687"/>
      <c r="BF59" s="1687"/>
      <c r="BG59" s="1687"/>
      <c r="BH59" s="1687"/>
      <c r="BI59" s="1687"/>
      <c r="BJ59" s="1687"/>
      <c r="BK59" s="1691"/>
      <c r="BL59" s="340"/>
      <c r="BM59" s="340"/>
      <c r="BN59" s="340"/>
      <c r="BO59" s="340"/>
      <c r="BP59" s="340"/>
      <c r="BQ59" s="340"/>
    </row>
    <row r="60" spans="1:101">
      <c r="A60" s="291" t="s">
        <v>542</v>
      </c>
      <c r="B60" s="976">
        <f>Q_IS!B4</f>
        <v>39903</v>
      </c>
      <c r="C60" s="976">
        <f>Q_IS!C4</f>
        <v>39994</v>
      </c>
      <c r="D60" s="976">
        <f>Q_IS!D4</f>
        <v>40086</v>
      </c>
      <c r="E60" s="976">
        <f>Q_IS!E4</f>
        <v>40178</v>
      </c>
      <c r="F60" s="976">
        <f>Q_IS!F4</f>
        <v>40268</v>
      </c>
      <c r="G60" s="976">
        <f>Q_IS!G4</f>
        <v>40359</v>
      </c>
      <c r="H60" s="976">
        <f>Q_IS!H4</f>
        <v>40451</v>
      </c>
      <c r="I60" s="976">
        <f>Q_IS!I4</f>
        <v>40543</v>
      </c>
      <c r="J60" s="976">
        <f>Q_IS!J4</f>
        <v>40633</v>
      </c>
      <c r="K60" s="976">
        <f>Q_IS!K4</f>
        <v>40724</v>
      </c>
      <c r="L60" s="976">
        <f>Q_IS!L4</f>
        <v>40816</v>
      </c>
      <c r="M60" s="976">
        <f>Q_IS!M4</f>
        <v>40908</v>
      </c>
      <c r="N60" s="976">
        <f>Q_IS!N4</f>
        <v>40999</v>
      </c>
      <c r="O60" s="976">
        <f>Q_IS!O4</f>
        <v>41090</v>
      </c>
      <c r="P60" s="976">
        <f>Q_IS!P4</f>
        <v>41182</v>
      </c>
      <c r="Q60" s="976">
        <f>Q_IS!Q4</f>
        <v>41274</v>
      </c>
      <c r="R60" s="976">
        <f>Q_IS!R4</f>
        <v>41364</v>
      </c>
      <c r="S60" s="976">
        <f>Q_IS!S4</f>
        <v>41455</v>
      </c>
      <c r="T60" s="976">
        <f>Q_IS!T4</f>
        <v>41547</v>
      </c>
      <c r="U60" s="976">
        <f>Q_IS!U4</f>
        <v>41639</v>
      </c>
      <c r="V60" s="976">
        <f>Q_IS!V4</f>
        <v>41729</v>
      </c>
      <c r="W60" s="976">
        <f>Q_IS!W4</f>
        <v>41820</v>
      </c>
      <c r="X60" s="976">
        <f>Q_IS!X4</f>
        <v>41912</v>
      </c>
      <c r="Y60" s="976">
        <f>Q_IS!Y4</f>
        <v>42004</v>
      </c>
      <c r="Z60" s="976">
        <f>Q_IS!Z4</f>
        <v>42094</v>
      </c>
      <c r="AA60" s="976">
        <f>Q_IS!AA4</f>
        <v>42185</v>
      </c>
      <c r="AB60" s="976">
        <f>Q_IS!AB4</f>
        <v>42277</v>
      </c>
      <c r="AC60" s="976">
        <f>Q_IS!AC4</f>
        <v>42369</v>
      </c>
      <c r="AD60" s="976">
        <f>Q_IS!AD4</f>
        <v>42460</v>
      </c>
      <c r="AE60" s="976">
        <f>Q_IS!AE4</f>
        <v>42551</v>
      </c>
      <c r="AF60" s="976">
        <f>Q_IS!AF4</f>
        <v>42643</v>
      </c>
      <c r="AG60" s="976">
        <f>Q_IS!AG4</f>
        <v>42735</v>
      </c>
      <c r="AH60" s="976">
        <f>Q_IS!AH4</f>
        <v>42825</v>
      </c>
      <c r="AI60" s="976">
        <f>Q_IS!AI4</f>
        <v>42916</v>
      </c>
      <c r="AJ60" s="976">
        <f>Q_IS!AJ4</f>
        <v>43008</v>
      </c>
      <c r="AK60" s="976">
        <f>Q_IS!AK4</f>
        <v>43100</v>
      </c>
      <c r="AL60" s="976">
        <f>Q_IS!AL4</f>
        <v>43190</v>
      </c>
      <c r="AM60" s="976">
        <f>Q_IS!AM4</f>
        <v>43281</v>
      </c>
      <c r="AN60" s="976">
        <f>Q_IS!AN4</f>
        <v>43373</v>
      </c>
      <c r="AO60" s="976">
        <f>Q_IS!AO4</f>
        <v>43465</v>
      </c>
      <c r="AP60" s="976">
        <f>Q_IS!AP4</f>
        <v>43555</v>
      </c>
      <c r="AQ60" s="976">
        <f>Q_IS!AQ4</f>
        <v>43646</v>
      </c>
      <c r="AR60" s="976">
        <f>Q_IS!AR4</f>
        <v>43738</v>
      </c>
      <c r="AS60" s="976">
        <f>Q_IS!AS4</f>
        <v>43830</v>
      </c>
      <c r="AT60" s="976">
        <f>Q_IS!AT4</f>
        <v>43921</v>
      </c>
      <c r="AU60" s="976">
        <f>Q_IS!AU4</f>
        <v>44012</v>
      </c>
      <c r="AV60" s="976">
        <f>Q_IS!AV4</f>
        <v>44104</v>
      </c>
      <c r="AW60" s="976">
        <f>Q_IS!AW4</f>
        <v>44196</v>
      </c>
      <c r="AX60" s="976">
        <f>Q_IS!AX4</f>
        <v>44286</v>
      </c>
      <c r="AY60" s="976">
        <f>Q_IS!AY4</f>
        <v>44377</v>
      </c>
      <c r="AZ60" s="976">
        <f>Q_IS!AZ4</f>
        <v>44469</v>
      </c>
      <c r="BA60" s="976">
        <f>Q_IS!BA4</f>
        <v>44561</v>
      </c>
      <c r="BB60" s="976">
        <f>Q_IS!BB4</f>
        <v>44651</v>
      </c>
      <c r="BC60" s="976">
        <f>Q_IS!BC4</f>
        <v>44742</v>
      </c>
      <c r="BD60" s="976">
        <f>Q_IS!BD4</f>
        <v>44834</v>
      </c>
      <c r="BE60" s="976">
        <f>Q_IS!BE4</f>
        <v>44926</v>
      </c>
      <c r="BF60" s="976">
        <f>Q_IS!BF4</f>
        <v>45016</v>
      </c>
      <c r="BG60" s="976">
        <f>Q_IS!BG4</f>
        <v>45107</v>
      </c>
      <c r="BH60" s="976">
        <f>Q_IS!BH4</f>
        <v>45199</v>
      </c>
      <c r="BI60" s="976">
        <f>Q_IS!BI4</f>
        <v>45291</v>
      </c>
      <c r="BJ60" s="976">
        <f>Q_IS!BJ4</f>
        <v>45382</v>
      </c>
      <c r="BK60" s="1336">
        <f>Q_IS!BK4</f>
        <v>45473</v>
      </c>
      <c r="BL60" s="600">
        <f>Q_IS!BL4</f>
        <v>45565</v>
      </c>
      <c r="BM60" s="600">
        <f>Q_IS!BM4</f>
        <v>45657</v>
      </c>
      <c r="BN60" s="600">
        <f>Q_IS!BN4</f>
        <v>45747</v>
      </c>
      <c r="BO60" s="600">
        <f>Q_IS!BO4</f>
        <v>45838</v>
      </c>
      <c r="BP60" s="600">
        <f>Q_IS!BP4</f>
        <v>45930</v>
      </c>
      <c r="BQ60" s="600">
        <f>Q_IS!BQ4</f>
        <v>46022</v>
      </c>
      <c r="BR60" s="600">
        <f>Q_IS!BR4</f>
        <v>46112</v>
      </c>
      <c r="BS60" s="600">
        <f>Q_IS!BS4</f>
        <v>46203</v>
      </c>
      <c r="BT60" s="600">
        <f>Q_IS!BT4</f>
        <v>46295</v>
      </c>
      <c r="BU60" s="600">
        <f>Q_IS!BU4</f>
        <v>46387</v>
      </c>
      <c r="BV60" s="600">
        <f>Q_IS!BV4</f>
        <v>46477</v>
      </c>
      <c r="BW60" s="600">
        <f>Q_IS!BW4</f>
        <v>46568</v>
      </c>
      <c r="BX60" s="600">
        <f>Q_IS!BX4</f>
        <v>46660</v>
      </c>
      <c r="BY60" s="600">
        <f>Q_IS!BY4</f>
        <v>46752</v>
      </c>
      <c r="BZ60" s="600">
        <f>Q_IS!BZ4</f>
        <v>46843</v>
      </c>
      <c r="CA60" s="600">
        <f>Q_IS!CA4</f>
        <v>46934</v>
      </c>
      <c r="CB60" s="600">
        <f>Q_IS!CB4</f>
        <v>47026</v>
      </c>
      <c r="CC60" s="600">
        <f>Q_IS!CC4</f>
        <v>47118</v>
      </c>
      <c r="CD60" s="600">
        <f>Q_IS!CD4</f>
        <v>47208</v>
      </c>
      <c r="CE60" s="600">
        <f>Q_IS!CE4</f>
        <v>47299</v>
      </c>
      <c r="CF60" s="600">
        <f>Q_IS!CF4</f>
        <v>47391</v>
      </c>
      <c r="CG60" s="600">
        <f>Q_IS!CG4</f>
        <v>47483</v>
      </c>
      <c r="CH60" s="600">
        <f>Q_IS!CH4</f>
        <v>47573</v>
      </c>
      <c r="CI60" s="600">
        <f>Q_IS!CI4</f>
        <v>47664</v>
      </c>
      <c r="CJ60" s="600">
        <f>Q_IS!CJ4</f>
        <v>47756</v>
      </c>
      <c r="CK60" s="600">
        <f>Q_IS!CK4</f>
        <v>47848</v>
      </c>
      <c r="CL60" s="600">
        <f>Q_IS!CL4</f>
        <v>47938</v>
      </c>
      <c r="CM60" s="600">
        <f>Q_IS!CM4</f>
        <v>48029</v>
      </c>
      <c r="CN60" s="600">
        <f>Q_IS!CN4</f>
        <v>48121</v>
      </c>
      <c r="CO60" s="600">
        <f>Q_IS!CO4</f>
        <v>48213</v>
      </c>
      <c r="CP60" s="600">
        <f>Q_IS!CP4</f>
        <v>48304</v>
      </c>
      <c r="CQ60" s="600">
        <f>Q_IS!CQ4</f>
        <v>48395</v>
      </c>
      <c r="CR60" s="600">
        <f>Q_IS!CR4</f>
        <v>48487</v>
      </c>
      <c r="CS60" s="600">
        <f>Q_IS!CS4</f>
        <v>48579</v>
      </c>
      <c r="CT60" s="600">
        <f>Q_IS!CT4</f>
        <v>48669</v>
      </c>
      <c r="CU60" s="600">
        <f>Q_IS!CU4</f>
        <v>48760</v>
      </c>
      <c r="CV60" s="600">
        <f>Q_IS!CV4</f>
        <v>48852</v>
      </c>
      <c r="CW60" s="600">
        <f>Q_IS!CW4</f>
        <v>48944</v>
      </c>
    </row>
    <row r="61" spans="1:101" s="13" customFormat="1">
      <c r="A61" s="93" t="s">
        <v>224</v>
      </c>
      <c r="B61" s="985"/>
      <c r="C61" s="985">
        <f t="shared" ref="C61:AA61" si="206">B67</f>
        <v>2937.9450000000002</v>
      </c>
      <c r="D61" s="985">
        <f t="shared" si="206"/>
        <v>2849.3679999999999</v>
      </c>
      <c r="E61" s="985">
        <f t="shared" si="206"/>
        <v>2893.0340000000001</v>
      </c>
      <c r="F61" s="985">
        <f t="shared" si="206"/>
        <v>2908.5889999999999</v>
      </c>
      <c r="G61" s="985">
        <f t="shared" si="206"/>
        <v>3004.9430000000002</v>
      </c>
      <c r="H61" s="985">
        <f t="shared" si="206"/>
        <v>2901.5820000000003</v>
      </c>
      <c r="I61" s="985">
        <f t="shared" si="206"/>
        <v>2906.4400000000005</v>
      </c>
      <c r="J61" s="985">
        <f t="shared" si="206"/>
        <v>2865.3280000000004</v>
      </c>
      <c r="K61" s="985">
        <f t="shared" si="206"/>
        <v>2923.7649999999999</v>
      </c>
      <c r="L61" s="985">
        <f t="shared" si="206"/>
        <v>2839.0590000000002</v>
      </c>
      <c r="M61" s="985">
        <f t="shared" si="206"/>
        <v>2941.8030000000003</v>
      </c>
      <c r="N61" s="985">
        <f t="shared" si="206"/>
        <v>2993.8649999999998</v>
      </c>
      <c r="O61" s="985">
        <f t="shared" si="206"/>
        <v>3136.7559999999999</v>
      </c>
      <c r="P61" s="985">
        <f t="shared" si="206"/>
        <v>3244.0209999999997</v>
      </c>
      <c r="Q61" s="985">
        <f t="shared" si="206"/>
        <v>3293.2780000000002</v>
      </c>
      <c r="R61" s="985">
        <f t="shared" si="206"/>
        <v>4520.71</v>
      </c>
      <c r="S61" s="985">
        <f t="shared" si="206"/>
        <v>4524.0230000000001</v>
      </c>
      <c r="T61" s="985">
        <f t="shared" si="206"/>
        <v>3884.89</v>
      </c>
      <c r="U61" s="985">
        <f t="shared" si="206"/>
        <v>4085.3839999999996</v>
      </c>
      <c r="V61" s="985">
        <f t="shared" si="206"/>
        <v>4271.4269999999997</v>
      </c>
      <c r="W61" s="985">
        <f t="shared" si="206"/>
        <v>4259.0080000000007</v>
      </c>
      <c r="X61" s="985">
        <f t="shared" si="206"/>
        <v>11013.197999999999</v>
      </c>
      <c r="Y61" s="985">
        <f t="shared" si="206"/>
        <v>11158.623</v>
      </c>
      <c r="Z61" s="985">
        <f t="shared" si="206"/>
        <v>8800.1280000000006</v>
      </c>
      <c r="AA61" s="985">
        <f t="shared" si="206"/>
        <v>9057.1429999999982</v>
      </c>
      <c r="AB61" s="985">
        <f t="shared" ref="AB61:AZ61" si="207">AA67</f>
        <v>8839.2959999999985</v>
      </c>
      <c r="AC61" s="985">
        <f t="shared" si="207"/>
        <v>8763.5839999999989</v>
      </c>
      <c r="AD61" s="985">
        <f t="shared" si="207"/>
        <v>9069.2769999999982</v>
      </c>
      <c r="AE61" s="985">
        <f t="shared" si="207"/>
        <v>8802.5370000000003</v>
      </c>
      <c r="AF61" s="985">
        <f t="shared" si="207"/>
        <v>8362.4929999999986</v>
      </c>
      <c r="AG61" s="985">
        <f t="shared" si="207"/>
        <v>8363.7999999999993</v>
      </c>
      <c r="AH61" s="985">
        <f t="shared" si="207"/>
        <v>8910.6229999999996</v>
      </c>
      <c r="AI61" s="985">
        <f t="shared" si="207"/>
        <v>9142.0829999999987</v>
      </c>
      <c r="AJ61" s="985">
        <f t="shared" si="207"/>
        <v>8579.5690000000013</v>
      </c>
      <c r="AK61" s="985">
        <f t="shared" si="207"/>
        <v>8751.848</v>
      </c>
      <c r="AL61" s="985">
        <f t="shared" si="207"/>
        <v>9460.389000000001</v>
      </c>
      <c r="AM61" s="985">
        <f t="shared" si="207"/>
        <v>9978.7659999999978</v>
      </c>
      <c r="AN61" s="985">
        <f t="shared" si="207"/>
        <v>9339.4629999999997</v>
      </c>
      <c r="AO61" s="985">
        <f t="shared" si="207"/>
        <v>9314.375</v>
      </c>
      <c r="AP61" s="985">
        <f t="shared" si="207"/>
        <v>11080.08</v>
      </c>
      <c r="AQ61" s="985">
        <f t="shared" si="207"/>
        <v>9361.3369999999995</v>
      </c>
      <c r="AR61" s="985">
        <f t="shared" si="207"/>
        <v>9050.6620000000003</v>
      </c>
      <c r="AS61" s="985">
        <f t="shared" si="207"/>
        <v>8942.5720000000001</v>
      </c>
      <c r="AT61" s="1544">
        <f t="shared" si="207"/>
        <v>9580.9979999999996</v>
      </c>
      <c r="AU61" s="1544">
        <f t="shared" si="207"/>
        <v>8786.0049999999992</v>
      </c>
      <c r="AV61" s="1544">
        <f t="shared" si="207"/>
        <v>6543.7939999999999</v>
      </c>
      <c r="AW61" s="1544">
        <f t="shared" si="207"/>
        <v>6281.5659999999998</v>
      </c>
      <c r="AX61" s="1544">
        <f t="shared" si="207"/>
        <v>6302.7489999999998</v>
      </c>
      <c r="AY61" s="1544">
        <f t="shared" si="207"/>
        <v>6103.7479999999996</v>
      </c>
      <c r="AZ61" s="1544">
        <f t="shared" si="207"/>
        <v>6352.5529999999999</v>
      </c>
      <c r="BA61" s="1544">
        <f t="shared" ref="BA61:BJ61" si="208">AZ67</f>
        <v>6947.5419999999986</v>
      </c>
      <c r="BB61" s="1544">
        <f t="shared" si="208"/>
        <v>7639.1659999999993</v>
      </c>
      <c r="BC61" s="1544">
        <f t="shared" si="208"/>
        <v>8261.08</v>
      </c>
      <c r="BD61" s="1544">
        <f t="shared" si="208"/>
        <v>8017.7849999999989</v>
      </c>
      <c r="BE61" s="1544">
        <f t="shared" si="208"/>
        <v>7559.6849999999995</v>
      </c>
      <c r="BF61" s="1544">
        <f t="shared" si="208"/>
        <v>7617.8669999999993</v>
      </c>
      <c r="BG61" s="1544">
        <f t="shared" si="208"/>
        <v>7570.5469999999996</v>
      </c>
      <c r="BH61" s="1544">
        <f t="shared" si="208"/>
        <v>7406.741</v>
      </c>
      <c r="BI61" s="1544">
        <f t="shared" si="208"/>
        <v>7846.8310000000001</v>
      </c>
      <c r="BJ61" s="1544">
        <f t="shared" si="208"/>
        <v>8375.1020000000008</v>
      </c>
      <c r="BK61" s="1692">
        <f t="shared" ref="BK61" si="209">BJ67</f>
        <v>6474.3810000000003</v>
      </c>
      <c r="BL61" s="302">
        <f t="shared" ref="BL61" si="210">BK67</f>
        <v>6968.8819999999996</v>
      </c>
      <c r="BM61" s="302">
        <f t="shared" ref="BM61" si="211">BL67</f>
        <v>7018.0126712790461</v>
      </c>
      <c r="BN61" s="302">
        <f t="shared" ref="BN61" si="212">BM67</f>
        <v>7548.2332842488358</v>
      </c>
      <c r="BO61" s="302">
        <f t="shared" ref="BO61" si="213">BN67</f>
        <v>7718.3052695781489</v>
      </c>
      <c r="BP61" s="302">
        <f t="shared" ref="BP61" si="214">BO67</f>
        <v>8157.8936036872337</v>
      </c>
      <c r="BQ61" s="302">
        <f t="shared" ref="BQ61" si="215">BP67</f>
        <v>8805.6264908123885</v>
      </c>
      <c r="BR61" s="302">
        <f t="shared" ref="BR61" si="216">BQ67</f>
        <v>9449.4250461535521</v>
      </c>
      <c r="BS61" s="302">
        <f t="shared" ref="BS61" si="217">BR67</f>
        <v>9534.9178161145392</v>
      </c>
      <c r="BT61" s="302">
        <f t="shared" ref="BT61" si="218">BS67</f>
        <v>10289.897578011261</v>
      </c>
      <c r="BU61" s="302">
        <f t="shared" ref="BU61" si="219">BT67</f>
        <v>11130.317239702192</v>
      </c>
      <c r="BV61" s="302">
        <f t="shared" ref="BV61" si="220">BU67</f>
        <v>12255.328053330748</v>
      </c>
      <c r="BW61" s="302">
        <f t="shared" ref="BW61" si="221">BV67</f>
        <v>12982.226929346185</v>
      </c>
      <c r="BX61" s="302">
        <f t="shared" ref="BX61" si="222">BW67</f>
        <v>13976.653209174541</v>
      </c>
      <c r="BY61" s="302">
        <f t="shared" ref="BY61" si="223">BX67</f>
        <v>14942.875766352205</v>
      </c>
      <c r="BZ61" s="302">
        <f t="shared" ref="BZ61" si="224">BY67</f>
        <v>16097.09642074678</v>
      </c>
      <c r="CA61" s="302">
        <f t="shared" ref="CA61" si="225">BZ67</f>
        <v>16892.201046741953</v>
      </c>
      <c r="CB61" s="302">
        <f t="shared" ref="CB61" si="226">CA67</f>
        <v>17979.794150784288</v>
      </c>
      <c r="CC61" s="302">
        <f t="shared" ref="CC61" si="227">CB67</f>
        <v>19002.329865241016</v>
      </c>
      <c r="CD61" s="302">
        <f t="shared" ref="CD61" si="228">CC67</f>
        <v>20157.813050596953</v>
      </c>
      <c r="CE61" s="302">
        <f t="shared" ref="CE61" si="229">CD67</f>
        <v>21029.6753469016</v>
      </c>
      <c r="CF61" s="302">
        <f t="shared" ref="CF61" si="230">CE67</f>
        <v>22191.741798336676</v>
      </c>
      <c r="CG61" s="302">
        <f t="shared" ref="CG61" si="231">CF67</f>
        <v>23291.806506167228</v>
      </c>
      <c r="CH61" s="302">
        <f t="shared" ref="CH61" si="232">CG67</f>
        <v>24540.226800953533</v>
      </c>
      <c r="CI61" s="302">
        <f t="shared" ref="CI61" si="233">CH67</f>
        <v>25479.162110381851</v>
      </c>
      <c r="CJ61" s="302">
        <f t="shared" ref="CJ61" si="234">CI67</f>
        <v>26709.167587870459</v>
      </c>
      <c r="CK61" s="302">
        <f t="shared" ref="CK61" si="235">CJ67</f>
        <v>27881.928744116543</v>
      </c>
      <c r="CL61" s="302">
        <f t="shared" ref="CL61" si="236">CK67</f>
        <v>29219.405213415663</v>
      </c>
      <c r="CM61" s="302">
        <f t="shared" ref="CM61" si="237">CL67</f>
        <v>30227.007861378275</v>
      </c>
      <c r="CN61" s="302">
        <f t="shared" ref="CN61" si="238">CM67</f>
        <v>31526.181803082327</v>
      </c>
      <c r="CO61" s="302">
        <f t="shared" ref="CO61" si="239">CN67</f>
        <v>32772.852148718768</v>
      </c>
      <c r="CP61" s="302">
        <f t="shared" ref="CP61" si="240">CO67</f>
        <v>34201.542541180199</v>
      </c>
      <c r="CQ61" s="302">
        <f t="shared" ref="CQ61" si="241">CP67</f>
        <v>35276.264257581322</v>
      </c>
      <c r="CR61" s="302">
        <f t="shared" ref="CR61" si="242">CQ67</f>
        <v>36641.886753446997</v>
      </c>
      <c r="CS61" s="302">
        <f t="shared" ref="CS61" si="243">CR67</f>
        <v>37960.716427398234</v>
      </c>
      <c r="CT61" s="302">
        <f t="shared" ref="CT61" si="244">CS67</f>
        <v>39478.15942180295</v>
      </c>
      <c r="CU61" s="302">
        <f t="shared" ref="CU61" si="245">CT67</f>
        <v>40617.982433364283</v>
      </c>
      <c r="CV61" s="302">
        <f t="shared" ref="CV61" si="246">CU67</f>
        <v>42050.099006016506</v>
      </c>
      <c r="CW61" s="302">
        <f t="shared" ref="CW61" si="247">CV67</f>
        <v>43438.524558174773</v>
      </c>
    </row>
    <row r="62" spans="1:101">
      <c r="A62" s="42" t="s">
        <v>40</v>
      </c>
      <c r="B62" s="986"/>
      <c r="C62" s="986">
        <f>Q_Financials!C51</f>
        <v>-41.907000000000131</v>
      </c>
      <c r="D62" s="986">
        <f>Q_Financials!D51</f>
        <v>64.426999999999737</v>
      </c>
      <c r="E62" s="986">
        <f>Q_Financials!E51</f>
        <v>124.52899999999985</v>
      </c>
      <c r="F62" s="986">
        <f>Q_Financials!F51</f>
        <v>-0.65799999999988446</v>
      </c>
      <c r="G62" s="986">
        <f>Q_Financials!G51</f>
        <v>98.703999999999979</v>
      </c>
      <c r="H62" s="986">
        <f>Q_Financials!H51</f>
        <v>16.437999999999942</v>
      </c>
      <c r="I62" s="986">
        <f>Q_Financials!I51</f>
        <v>36.741999999999813</v>
      </c>
      <c r="J62" s="986">
        <f>Q_Financials!J51</f>
        <v>13.282000000000078</v>
      </c>
      <c r="K62" s="986">
        <f>Q_Financials!K51</f>
        <v>50.061000000000277</v>
      </c>
      <c r="L62" s="986">
        <f>Q_Financials!L51</f>
        <v>82.179000000000116</v>
      </c>
      <c r="M62" s="986">
        <f>Q_Financials!M51</f>
        <v>64.121999999999943</v>
      </c>
      <c r="N62" s="986">
        <f>Q_Financials!N51</f>
        <v>17.043999999999834</v>
      </c>
      <c r="O62" s="986">
        <f>Q_Financials!O51</f>
        <v>132.85499999999971</v>
      </c>
      <c r="P62" s="986">
        <f>Q_Financials!P51</f>
        <v>84.255999999999887</v>
      </c>
      <c r="Q62" s="986">
        <f>Q_Financials!Q51</f>
        <v>132.40999999999991</v>
      </c>
      <c r="R62" s="986">
        <f>Q_Financials!R51</f>
        <v>65.149000000000115</v>
      </c>
      <c r="S62" s="986">
        <f>Q_Financials!S51</f>
        <v>157.44300000000004</v>
      </c>
      <c r="T62" s="986">
        <f>Q_Financials!T51</f>
        <v>183.82299999999978</v>
      </c>
      <c r="U62" s="986">
        <f>Q_Financials!U51</f>
        <v>274.5980000000003</v>
      </c>
      <c r="V62" s="986">
        <f>Q_Financials!V51</f>
        <v>86.735000000000156</v>
      </c>
      <c r="W62" s="986">
        <f>Q_Financials!W51</f>
        <v>88.162999999999911</v>
      </c>
      <c r="X62" s="986">
        <f>Q_Financials!X51</f>
        <v>194.54700000000045</v>
      </c>
      <c r="Y62" s="986">
        <f>Q_Financials!Y51</f>
        <v>297.22099999999966</v>
      </c>
      <c r="Z62" s="986">
        <f>Q_Financials!Z51</f>
        <v>298.81400000000133</v>
      </c>
      <c r="AA62" s="986">
        <f>Q_Financials!AA51</f>
        <v>92.592999999999847</v>
      </c>
      <c r="AB62" s="986">
        <f>Q_Financials!AB51</f>
        <v>120.26199999999994</v>
      </c>
      <c r="AC62" s="986">
        <f>Q_Financials!AC51</f>
        <v>469.53699999999924</v>
      </c>
      <c r="AD62" s="986">
        <f>Q_Financials!AD49</f>
        <v>34.092000000000269</v>
      </c>
      <c r="AE62" s="986">
        <f>Q_Financials!AE49</f>
        <v>210.31999999999888</v>
      </c>
      <c r="AF62" s="986">
        <f>Q_Financials!AF49</f>
        <v>164.80799999999996</v>
      </c>
      <c r="AG62" s="986">
        <f>Q_Financials!AG49</f>
        <v>587.25200000000029</v>
      </c>
      <c r="AH62" s="986">
        <f>Q_Financials!AH49</f>
        <v>172.08199999999974</v>
      </c>
      <c r="AI62" s="986">
        <f>Q_Financials!AI49</f>
        <v>59.435000000000365</v>
      </c>
      <c r="AJ62" s="986">
        <f>Q_Financials!AJ49</f>
        <v>206.30399999999892</v>
      </c>
      <c r="AK62" s="986">
        <f>Q_Financials!AK49</f>
        <v>651.64800000000059</v>
      </c>
      <c r="AL62" s="986">
        <f>Q_Financials!AL49</f>
        <v>198.39900000000003</v>
      </c>
      <c r="AM62" s="986">
        <f>Q_Financials!AM49</f>
        <v>204.69599999999988</v>
      </c>
      <c r="AN62" s="986">
        <f>Q_Financials!AN49</f>
        <v>299.92100000000045</v>
      </c>
      <c r="AO62" s="986">
        <f>Q_Financials!AO49</f>
        <v>250.23699999999874</v>
      </c>
      <c r="AP62" s="986">
        <f>Q_Financials!AP49</f>
        <v>106.47100000000003</v>
      </c>
      <c r="AQ62" s="986">
        <f>Q_Financials!AQ49</f>
        <v>173.29000000000138</v>
      </c>
      <c r="AR62" s="986">
        <f>Q_Financials!AR49</f>
        <v>190.60599999999855</v>
      </c>
      <c r="AS62" s="986">
        <f>Q_Financials!AS49</f>
        <v>456.30299999999926</v>
      </c>
      <c r="AT62" s="1740">
        <f>Q_Financials!AT49</f>
        <v>-279.94900000000041</v>
      </c>
      <c r="AU62" s="1740">
        <f>Q_Financials!AU49</f>
        <v>-2595.4480000000008</v>
      </c>
      <c r="AV62" s="1740">
        <f>Q_Financials!AV49</f>
        <v>-476.11100000000073</v>
      </c>
      <c r="AW62" s="1740">
        <f>Q_Financials!AW49</f>
        <v>165.46099999999987</v>
      </c>
      <c r="AX62" s="1740">
        <f>Q_Financials!AX49</f>
        <v>-312.10800000000006</v>
      </c>
      <c r="AY62" s="1740">
        <f>Q_Financials!AY49</f>
        <v>139.00099999999961</v>
      </c>
      <c r="AZ62" s="1740">
        <f>Q_Financials!AZ49</f>
        <v>173.02799999999945</v>
      </c>
      <c r="BA62" s="1740">
        <f>Q_Financials!BA49</f>
        <v>835.20900000000006</v>
      </c>
      <c r="BB62" s="1740">
        <f>Q_Financials!BB49</f>
        <v>525.44199999999989</v>
      </c>
      <c r="BC62" s="1740">
        <f>Q_Financials!BC49</f>
        <v>211.42200000000017</v>
      </c>
      <c r="BD62" s="1740">
        <f>Q_Financials!BD49</f>
        <v>316.76199999999852</v>
      </c>
      <c r="BE62" s="1740">
        <f>Q_Financials!BE49</f>
        <v>578.70899999999972</v>
      </c>
      <c r="BF62" s="1740">
        <f>Q_Financials!BF49</f>
        <v>588.22499999999991</v>
      </c>
      <c r="BG62" s="1740">
        <f>Q_Financials!BG49</f>
        <v>443.80899999999946</v>
      </c>
      <c r="BH62" s="1740">
        <f>Q_Financials!BH49</f>
        <v>494.62499999999784</v>
      </c>
      <c r="BI62" s="1740">
        <f>Q_Financials!BI49</f>
        <v>1404.0699999999995</v>
      </c>
      <c r="BJ62" s="1740">
        <f>Q_Financials!BJ49</f>
        <v>404.12800000000078</v>
      </c>
      <c r="BK62" s="1693">
        <f>Q_Financials!BK49</f>
        <v>140.07700000000168</v>
      </c>
      <c r="BL62" s="294">
        <f>Q_Financials!BL49</f>
        <v>49.130671279046084</v>
      </c>
      <c r="BM62" s="294">
        <f>Q_Financials!BM49</f>
        <v>530.22061296978973</v>
      </c>
      <c r="BN62" s="294">
        <f>Q_Financials!BN49</f>
        <v>170.07198532931281</v>
      </c>
      <c r="BO62" s="294">
        <f>Q_Financials!BO49</f>
        <v>439.58833410908449</v>
      </c>
      <c r="BP62" s="294">
        <f>Q_Financials!BP49</f>
        <v>647.73288712515387</v>
      </c>
      <c r="BQ62" s="294">
        <f>Q_Financials!BQ49</f>
        <v>643.79855534116416</v>
      </c>
      <c r="BR62" s="294">
        <f>Q_Financials!BR49</f>
        <v>85.492769960986266</v>
      </c>
      <c r="BS62" s="294">
        <f>Q_Financials!BS49</f>
        <v>754.97976189672306</v>
      </c>
      <c r="BT62" s="294">
        <f>Q_Financials!BT49</f>
        <v>840.41966169092984</v>
      </c>
      <c r="BU62" s="294">
        <f>Q_Financials!BU49</f>
        <v>1125.0108136285567</v>
      </c>
      <c r="BV62" s="294">
        <f>Q_Financials!BV49</f>
        <v>726.89887601543739</v>
      </c>
      <c r="BW62" s="294">
        <f>Q_Financials!BW49</f>
        <v>994.42627982835586</v>
      </c>
      <c r="BX62" s="294">
        <f>Q_Financials!BX49</f>
        <v>966.22255717766279</v>
      </c>
      <c r="BY62" s="294">
        <f>Q_Financials!BY49</f>
        <v>1154.2206543945758</v>
      </c>
      <c r="BZ62" s="294">
        <f>Q_Financials!BZ49</f>
        <v>795.10462599517405</v>
      </c>
      <c r="CA62" s="294">
        <f>Q_Financials!CA49</f>
        <v>1087.5931040423361</v>
      </c>
      <c r="CB62" s="294">
        <f>Q_Financials!CB49</f>
        <v>1022.5357144567292</v>
      </c>
      <c r="CC62" s="294">
        <f>Q_Financials!CC49</f>
        <v>1155.4831853559367</v>
      </c>
      <c r="CD62" s="294">
        <f>Q_Financials!CD49</f>
        <v>871.86229630464766</v>
      </c>
      <c r="CE62" s="294">
        <f>Q_Financials!CE49</f>
        <v>1162.0664514350742</v>
      </c>
      <c r="CF62" s="294">
        <f>Q_Financials!CF49</f>
        <v>1100.0647078305515</v>
      </c>
      <c r="CG62" s="294">
        <f>Q_Financials!CG49</f>
        <v>1248.4202947863062</v>
      </c>
      <c r="CH62" s="294">
        <f>Q_Financials!CH49</f>
        <v>938.93530942831808</v>
      </c>
      <c r="CI62" s="294">
        <f>Q_Financials!CI49</f>
        <v>1230.0054774886098</v>
      </c>
      <c r="CJ62" s="294">
        <f>Q_Financials!CJ49</f>
        <v>1172.7611562460847</v>
      </c>
      <c r="CK62" s="294">
        <f>Q_Financials!CK49</f>
        <v>1337.476469299118</v>
      </c>
      <c r="CL62" s="294">
        <f>Q_Financials!CL49</f>
        <v>1007.6026479626109</v>
      </c>
      <c r="CM62" s="294">
        <f>Q_Financials!CM49</f>
        <v>1299.1739417040503</v>
      </c>
      <c r="CN62" s="294">
        <f>Q_Financials!CN49</f>
        <v>1246.6703456364442</v>
      </c>
      <c r="CO62" s="294">
        <f>Q_Financials!CO49</f>
        <v>1428.6903924614335</v>
      </c>
      <c r="CP62" s="294">
        <f>Q_Financials!CP49</f>
        <v>1074.7217164011254</v>
      </c>
      <c r="CQ62" s="294">
        <f>Q_Financials!CQ49</f>
        <v>1365.6224958656776</v>
      </c>
      <c r="CR62" s="294">
        <f>Q_Financials!CR49</f>
        <v>1318.8296739512398</v>
      </c>
      <c r="CS62" s="294">
        <f>Q_Financials!CS49</f>
        <v>1517.4429944047151</v>
      </c>
      <c r="CT62" s="294">
        <f>Q_Financials!CT49</f>
        <v>1139.8230115613362</v>
      </c>
      <c r="CU62" s="294">
        <f>Q_Financials!CU49</f>
        <v>1432.1165726522222</v>
      </c>
      <c r="CV62" s="294">
        <f>Q_Financials!CV49</f>
        <v>1388.4255521582704</v>
      </c>
      <c r="CW62" s="294">
        <f>Q_Financials!CW49</f>
        <v>1603.7250697479922</v>
      </c>
    </row>
    <row r="63" spans="1:101">
      <c r="A63" s="537" t="s">
        <v>225</v>
      </c>
      <c r="B63" s="986"/>
      <c r="C63" s="986">
        <f>Q_Financials!C126</f>
        <v>0</v>
      </c>
      <c r="D63" s="986">
        <f>Q_Financials!D126</f>
        <v>0</v>
      </c>
      <c r="E63" s="986">
        <f>Q_Financials!E126</f>
        <v>0</v>
      </c>
      <c r="F63" s="986">
        <f>Q_Financials!F126</f>
        <v>0</v>
      </c>
      <c r="G63" s="986">
        <f>Q_Financials!G126</f>
        <v>0</v>
      </c>
      <c r="H63" s="986">
        <f>Q_Financials!H126</f>
        <v>0</v>
      </c>
      <c r="I63" s="986">
        <f>Q_Financials!I126</f>
        <v>0</v>
      </c>
      <c r="J63" s="986">
        <f>Q_Financials!J126</f>
        <v>0</v>
      </c>
      <c r="K63" s="986">
        <f>Q_Financials!K126</f>
        <v>0</v>
      </c>
      <c r="L63" s="986">
        <f>Q_Financials!L126</f>
        <v>0</v>
      </c>
      <c r="M63" s="986">
        <f>Q_Financials!M126</f>
        <v>0</v>
      </c>
      <c r="N63" s="986">
        <f>Q_Financials!N126</f>
        <v>0</v>
      </c>
      <c r="O63" s="986">
        <f>Q_Financials!O126</f>
        <v>0</v>
      </c>
      <c r="P63" s="986">
        <f>Q_Financials!P126</f>
        <v>0</v>
      </c>
      <c r="Q63" s="986">
        <f>Q_Financials!Q126</f>
        <v>0</v>
      </c>
      <c r="R63" s="986">
        <f>Q_Financials!R126</f>
        <v>0</v>
      </c>
      <c r="S63" s="986">
        <f>Q_Financials!S126</f>
        <v>0</v>
      </c>
      <c r="T63" s="986">
        <f>Q_Financials!T126</f>
        <v>0</v>
      </c>
      <c r="U63" s="986">
        <f>Q_Financials!U126</f>
        <v>0</v>
      </c>
      <c r="V63" s="986">
        <f>Q_Financials!V126</f>
        <v>0</v>
      </c>
      <c r="W63" s="986">
        <f>Q_Financials!W126</f>
        <v>6657.4610000000002</v>
      </c>
      <c r="X63" s="986">
        <f>Q_Financials!X126</f>
        <v>-4.5640000000003056</v>
      </c>
      <c r="Y63" s="986">
        <f>Q_Financials!Y126</f>
        <v>-1.2899999999999636</v>
      </c>
      <c r="Z63" s="986">
        <f>Q_Financials!Z126</f>
        <v>0</v>
      </c>
      <c r="AA63" s="986">
        <f>Q_Financials!AA126</f>
        <v>0</v>
      </c>
      <c r="AB63" s="986">
        <f>Q_Financials!AB126</f>
        <v>0</v>
      </c>
      <c r="AC63" s="986">
        <f>Q_Financials!AC126</f>
        <v>0</v>
      </c>
      <c r="AD63" s="986">
        <f>Q_Financials!AD126</f>
        <v>0</v>
      </c>
      <c r="AE63" s="986">
        <f>Q_Financials!AE126</f>
        <v>0</v>
      </c>
      <c r="AF63" s="986">
        <f>Q_Financials!AF126</f>
        <v>0</v>
      </c>
      <c r="AG63" s="986">
        <f>Q_Financials!AG126</f>
        <v>0</v>
      </c>
      <c r="AH63" s="986">
        <f>Q_Financials!AH126</f>
        <v>0</v>
      </c>
      <c r="AI63" s="986">
        <f>Q_Financials!AI126</f>
        <v>0</v>
      </c>
      <c r="AJ63" s="986">
        <f>Q_Financials!AJ126</f>
        <v>0</v>
      </c>
      <c r="AK63" s="986">
        <f>Q_Financials!AK126</f>
        <v>0</v>
      </c>
      <c r="AL63" s="986">
        <f>Q_Financials!AL126</f>
        <v>0</v>
      </c>
      <c r="AM63" s="986">
        <f>Q_Financials!AM126</f>
        <v>0</v>
      </c>
      <c r="AN63" s="986">
        <f>Q_Financials!AN126</f>
        <v>0</v>
      </c>
      <c r="AO63" s="986">
        <f>Q_Financials!AO126</f>
        <v>0</v>
      </c>
      <c r="AP63" s="986">
        <f>Q_Financials!AP126</f>
        <v>0</v>
      </c>
      <c r="AQ63" s="986">
        <f>Q_Financials!AQ126</f>
        <v>0</v>
      </c>
      <c r="AR63" s="986">
        <f>Q_Financials!AR126</f>
        <v>0</v>
      </c>
      <c r="AS63" s="986">
        <f>Q_Financials!AS126</f>
        <v>0</v>
      </c>
      <c r="AT63" s="1740">
        <f>Q_Financials!AT126</f>
        <v>0</v>
      </c>
      <c r="AU63" s="1740">
        <f>Q_Financials!AU126</f>
        <v>0</v>
      </c>
      <c r="AV63" s="1740">
        <f>Q_Financials!AV126</f>
        <v>0</v>
      </c>
      <c r="AW63" s="1740">
        <f>Q_Financials!AW126</f>
        <v>0</v>
      </c>
      <c r="AX63" s="1740">
        <f>Q_Financials!AX126</f>
        <v>0</v>
      </c>
      <c r="AY63" s="1740">
        <f>Q_Financials!AY126</f>
        <v>0</v>
      </c>
      <c r="AZ63" s="1740">
        <f>Q_Financials!AZ126</f>
        <v>0</v>
      </c>
      <c r="BA63" s="1740">
        <f>Q_Financials!BA126</f>
        <v>0</v>
      </c>
      <c r="BB63" s="1740">
        <f>Q_Financials!BB126</f>
        <v>0</v>
      </c>
      <c r="BC63" s="1740">
        <f>Q_Financials!BC126</f>
        <v>0</v>
      </c>
      <c r="BD63" s="1740">
        <f>Q_Financials!BD126</f>
        <v>0</v>
      </c>
      <c r="BE63" s="1740">
        <f>Q_Financials!BE126</f>
        <v>0</v>
      </c>
      <c r="BF63" s="1740">
        <f>Q_Financials!BF126</f>
        <v>0</v>
      </c>
      <c r="BG63" s="1740">
        <f>Q_Financials!BG126</f>
        <v>0</v>
      </c>
      <c r="BH63" s="1740">
        <f>Q_Financials!BH126</f>
        <v>0</v>
      </c>
      <c r="BI63" s="1740">
        <f>Q_Financials!BI126</f>
        <v>0</v>
      </c>
      <c r="BJ63" s="1740">
        <f>Q_Financials!BJ126</f>
        <v>0</v>
      </c>
      <c r="BK63" s="1693">
        <f>Q_Financials!BK126</f>
        <v>0</v>
      </c>
      <c r="BL63" s="294">
        <f t="shared" ref="BL63:CW63" si="248">BL78</f>
        <v>0</v>
      </c>
      <c r="BM63" s="294">
        <f t="shared" si="248"/>
        <v>0</v>
      </c>
      <c r="BN63" s="294">
        <f t="shared" si="248"/>
        <v>0</v>
      </c>
      <c r="BO63" s="294">
        <f t="shared" si="248"/>
        <v>0</v>
      </c>
      <c r="BP63" s="294">
        <f t="shared" si="248"/>
        <v>0</v>
      </c>
      <c r="BQ63" s="294">
        <f t="shared" si="248"/>
        <v>0</v>
      </c>
      <c r="BR63" s="294">
        <f t="shared" si="248"/>
        <v>0</v>
      </c>
      <c r="BS63" s="294">
        <f t="shared" si="248"/>
        <v>0</v>
      </c>
      <c r="BT63" s="294">
        <f t="shared" si="248"/>
        <v>0</v>
      </c>
      <c r="BU63" s="294">
        <f t="shared" si="248"/>
        <v>0</v>
      </c>
      <c r="BV63" s="294">
        <f t="shared" si="248"/>
        <v>0</v>
      </c>
      <c r="BW63" s="294">
        <f t="shared" si="248"/>
        <v>0</v>
      </c>
      <c r="BX63" s="294">
        <f t="shared" si="248"/>
        <v>0</v>
      </c>
      <c r="BY63" s="294">
        <f t="shared" si="248"/>
        <v>0</v>
      </c>
      <c r="BZ63" s="294">
        <f t="shared" si="248"/>
        <v>0</v>
      </c>
      <c r="CA63" s="294">
        <f t="shared" si="248"/>
        <v>0</v>
      </c>
      <c r="CB63" s="294">
        <f t="shared" si="248"/>
        <v>0</v>
      </c>
      <c r="CC63" s="294">
        <f t="shared" si="248"/>
        <v>0</v>
      </c>
      <c r="CD63" s="294">
        <f t="shared" si="248"/>
        <v>0</v>
      </c>
      <c r="CE63" s="294">
        <f t="shared" si="248"/>
        <v>0</v>
      </c>
      <c r="CF63" s="294">
        <f t="shared" si="248"/>
        <v>0</v>
      </c>
      <c r="CG63" s="294">
        <f t="shared" si="248"/>
        <v>0</v>
      </c>
      <c r="CH63" s="294">
        <f t="shared" si="248"/>
        <v>0</v>
      </c>
      <c r="CI63" s="294">
        <f t="shared" si="248"/>
        <v>0</v>
      </c>
      <c r="CJ63" s="294">
        <f t="shared" si="248"/>
        <v>0</v>
      </c>
      <c r="CK63" s="294">
        <f t="shared" si="248"/>
        <v>0</v>
      </c>
      <c r="CL63" s="294">
        <f t="shared" si="248"/>
        <v>0</v>
      </c>
      <c r="CM63" s="294">
        <f t="shared" si="248"/>
        <v>0</v>
      </c>
      <c r="CN63" s="294">
        <f t="shared" si="248"/>
        <v>0</v>
      </c>
      <c r="CO63" s="294">
        <f t="shared" si="248"/>
        <v>0</v>
      </c>
      <c r="CP63" s="294">
        <f t="shared" si="248"/>
        <v>0</v>
      </c>
      <c r="CQ63" s="294">
        <f t="shared" si="248"/>
        <v>0</v>
      </c>
      <c r="CR63" s="294">
        <f t="shared" si="248"/>
        <v>0</v>
      </c>
      <c r="CS63" s="294">
        <f t="shared" si="248"/>
        <v>0</v>
      </c>
      <c r="CT63" s="294">
        <f t="shared" si="248"/>
        <v>0</v>
      </c>
      <c r="CU63" s="294">
        <f t="shared" si="248"/>
        <v>0</v>
      </c>
      <c r="CV63" s="294">
        <f t="shared" si="248"/>
        <v>0</v>
      </c>
      <c r="CW63" s="294">
        <f t="shared" si="248"/>
        <v>0</v>
      </c>
    </row>
    <row r="64" spans="1:101">
      <c r="A64" s="42" t="s">
        <v>226</v>
      </c>
      <c r="B64" s="438"/>
      <c r="C64" s="438">
        <f>Q_Financials!C127</f>
        <v>-35.116999999999997</v>
      </c>
      <c r="D64" s="438">
        <f>Q_Financials!D127</f>
        <v>-40.649000000000008</v>
      </c>
      <c r="E64" s="438">
        <f>Q_Financials!E127</f>
        <v>-40.545999999999999</v>
      </c>
      <c r="F64" s="438">
        <f>Q_Financials!F127</f>
        <v>100.68899999999999</v>
      </c>
      <c r="G64" s="438">
        <f>Q_Financials!G127</f>
        <v>37.260000000000019</v>
      </c>
      <c r="H64" s="438">
        <f>Q_Financials!H127</f>
        <v>-7.5730000000000075</v>
      </c>
      <c r="I64" s="438">
        <f>Q_Financials!I127</f>
        <v>-68.281000000000006</v>
      </c>
      <c r="J64" s="438">
        <f>Q_Financials!J127</f>
        <v>89.372</v>
      </c>
      <c r="K64" s="438">
        <f>Q_Financials!K127</f>
        <v>1.5430000000000064</v>
      </c>
      <c r="L64" s="438">
        <f>Q_Financials!L127</f>
        <v>-45.452000000000005</v>
      </c>
      <c r="M64" s="438">
        <f>Q_Financials!M127</f>
        <v>-18.290000000000006</v>
      </c>
      <c r="N64" s="438">
        <f>Q_Financials!N127</f>
        <v>187.27799999999999</v>
      </c>
      <c r="O64" s="438">
        <f>Q_Financials!O127</f>
        <v>-1.0900000000000034</v>
      </c>
      <c r="P64" s="438">
        <f>Q_Financials!P127</f>
        <v>3.3000000000015461E-2</v>
      </c>
      <c r="Q64" s="438">
        <f>Q_Financials!Q127</f>
        <v>4.9999999999954525E-3</v>
      </c>
      <c r="R64" s="438">
        <f>Q_Financials!R127</f>
        <v>0</v>
      </c>
      <c r="S64" s="438">
        <f>Q_Financials!S127</f>
        <v>-42.113</v>
      </c>
      <c r="T64" s="438">
        <f>Q_Financials!T127</f>
        <v>47.183</v>
      </c>
      <c r="U64" s="438">
        <f>Q_Financials!U127</f>
        <v>0</v>
      </c>
      <c r="V64" s="438">
        <f>Q_Financials!V127</f>
        <v>0</v>
      </c>
      <c r="W64" s="438">
        <f>Q_Financials!W127</f>
        <v>0</v>
      </c>
      <c r="X64" s="438">
        <f>Q_Financials!X127</f>
        <v>-5.0000000000000001E-3</v>
      </c>
      <c r="Y64" s="438">
        <f>Q_Financials!Y127</f>
        <v>-38.338000000000001</v>
      </c>
      <c r="Z64" s="438">
        <f>Q_Financials!Z127</f>
        <v>20.823</v>
      </c>
      <c r="AA64" s="438">
        <f>Q_Financials!AA127</f>
        <v>21.058</v>
      </c>
      <c r="AB64" s="438">
        <f>Q_Financials!AB127</f>
        <v>-38.424999999999997</v>
      </c>
      <c r="AC64" s="438">
        <f>Q_Financials!AC127</f>
        <v>-17.301000000000002</v>
      </c>
      <c r="AD64" s="438">
        <f>Q_Financials!AD127</f>
        <v>-5.6820000000000004</v>
      </c>
      <c r="AE64" s="438">
        <f>Q_Financials!AE127</f>
        <v>0</v>
      </c>
      <c r="AF64" s="438">
        <f>Q_Financials!AF127</f>
        <v>-96.442999999999998</v>
      </c>
      <c r="AG64" s="438">
        <f>Q_Financials!AG127</f>
        <v>-96.87700000000001</v>
      </c>
      <c r="AH64" s="438">
        <f>Q_Financials!AH127</f>
        <v>-37.128999999999998</v>
      </c>
      <c r="AI64" s="438">
        <f>Q_Financials!AI127</f>
        <v>101.613</v>
      </c>
      <c r="AJ64" s="438">
        <f>Q_Financials!AJ127</f>
        <v>-50.395000000000003</v>
      </c>
      <c r="AK64" s="438">
        <f>Q_Financials!AK127</f>
        <v>-74.665999999999997</v>
      </c>
      <c r="AL64" s="438">
        <f>Q_Financials!AL127</f>
        <v>321.64299999999997</v>
      </c>
      <c r="AM64" s="438">
        <f>Q_Financials!AM127</f>
        <v>48.547000000000025</v>
      </c>
      <c r="AN64" s="438">
        <f>Q_Financials!AN127</f>
        <v>0</v>
      </c>
      <c r="AO64" s="438">
        <f>Q_Financials!AO127</f>
        <v>-148.995</v>
      </c>
      <c r="AP64" s="438">
        <f>Q_Financials!AP127</f>
        <v>15.010999999999999</v>
      </c>
      <c r="AQ64" s="438">
        <f>Q_Financials!AQ127</f>
        <v>-165.94200000000001</v>
      </c>
      <c r="AR64" s="438">
        <f>Q_Financials!AR127</f>
        <v>-13.49199999999999</v>
      </c>
      <c r="AS64" s="438">
        <f>Q_Financials!AS127</f>
        <v>392.346</v>
      </c>
      <c r="AT64" s="1545">
        <f>Q_Financials!AT127</f>
        <v>-126.45399999999999</v>
      </c>
      <c r="AU64" s="1545">
        <f>Q_Financials!AU127</f>
        <v>-21.058000000000007</v>
      </c>
      <c r="AV64" s="1545">
        <f>Q_Financials!AV127</f>
        <v>-0.84399999999999409</v>
      </c>
      <c r="AW64" s="1545">
        <f>Q_Financials!AW127</f>
        <v>152.84100000000001</v>
      </c>
      <c r="AX64" s="1545">
        <f>Q_Financials!AX127</f>
        <v>0</v>
      </c>
      <c r="AY64" s="1545">
        <f>Q_Financials!AY127</f>
        <v>0</v>
      </c>
      <c r="AZ64" s="1545">
        <f>Q_Financials!AZ127</f>
        <v>0</v>
      </c>
      <c r="BA64" s="1545">
        <f>Q_Financials!BA127</f>
        <v>0</v>
      </c>
      <c r="BB64" s="1545">
        <f>Q_Financials!BB127</f>
        <v>0</v>
      </c>
      <c r="BC64" s="1545">
        <f>Q_Financials!BC127</f>
        <v>-332.06599999999997</v>
      </c>
      <c r="BD64" s="1545">
        <f>Q_Financials!BD127</f>
        <v>-364.16400000000004</v>
      </c>
      <c r="BE64" s="1545">
        <f>Q_Financials!BE127</f>
        <v>-32.856999999999971</v>
      </c>
      <c r="BF64" s="1545">
        <f>Q_Financials!BF127</f>
        <v>-202.35</v>
      </c>
      <c r="BG64" s="1545">
        <f>Q_Financials!BG127</f>
        <v>0</v>
      </c>
      <c r="BH64" s="1545">
        <f>Q_Financials!BH127</f>
        <v>-145.88700000000003</v>
      </c>
      <c r="BI64" s="1545">
        <f>Q_Financials!BI127</f>
        <v>0</v>
      </c>
      <c r="BJ64" s="1545">
        <f>Q_Financials!BJ127</f>
        <v>360.03500000000003</v>
      </c>
      <c r="BK64" s="1697">
        <f>Q_Financials!BK127</f>
        <v>-3.6790000000000305</v>
      </c>
      <c r="BL64" s="294">
        <f t="shared" ref="BL64:CW64" si="249">BL82</f>
        <v>0</v>
      </c>
      <c r="BM64" s="294">
        <f t="shared" si="249"/>
        <v>0</v>
      </c>
      <c r="BN64" s="294">
        <f t="shared" si="249"/>
        <v>0</v>
      </c>
      <c r="BO64" s="294">
        <f t="shared" si="249"/>
        <v>0</v>
      </c>
      <c r="BP64" s="294">
        <f t="shared" si="249"/>
        <v>0</v>
      </c>
      <c r="BQ64" s="294">
        <f t="shared" si="249"/>
        <v>0</v>
      </c>
      <c r="BR64" s="294">
        <f t="shared" si="249"/>
        <v>0</v>
      </c>
      <c r="BS64" s="294">
        <f t="shared" si="249"/>
        <v>0</v>
      </c>
      <c r="BT64" s="294">
        <f t="shared" si="249"/>
        <v>0</v>
      </c>
      <c r="BU64" s="294">
        <f t="shared" si="249"/>
        <v>0</v>
      </c>
      <c r="BV64" s="294">
        <f t="shared" si="249"/>
        <v>0</v>
      </c>
      <c r="BW64" s="294">
        <f t="shared" si="249"/>
        <v>0</v>
      </c>
      <c r="BX64" s="294">
        <f t="shared" si="249"/>
        <v>0</v>
      </c>
      <c r="BY64" s="294">
        <f t="shared" si="249"/>
        <v>0</v>
      </c>
      <c r="BZ64" s="294">
        <f t="shared" si="249"/>
        <v>0</v>
      </c>
      <c r="CA64" s="294">
        <f t="shared" si="249"/>
        <v>0</v>
      </c>
      <c r="CB64" s="294">
        <f t="shared" si="249"/>
        <v>0</v>
      </c>
      <c r="CC64" s="294">
        <f t="shared" si="249"/>
        <v>0</v>
      </c>
      <c r="CD64" s="294">
        <f t="shared" si="249"/>
        <v>0</v>
      </c>
      <c r="CE64" s="294">
        <f t="shared" si="249"/>
        <v>0</v>
      </c>
      <c r="CF64" s="294">
        <f t="shared" si="249"/>
        <v>0</v>
      </c>
      <c r="CG64" s="294">
        <f t="shared" si="249"/>
        <v>0</v>
      </c>
      <c r="CH64" s="294">
        <f t="shared" si="249"/>
        <v>0</v>
      </c>
      <c r="CI64" s="294">
        <f t="shared" si="249"/>
        <v>0</v>
      </c>
      <c r="CJ64" s="294">
        <f t="shared" si="249"/>
        <v>0</v>
      </c>
      <c r="CK64" s="294">
        <f t="shared" si="249"/>
        <v>0</v>
      </c>
      <c r="CL64" s="294">
        <f t="shared" si="249"/>
        <v>0</v>
      </c>
      <c r="CM64" s="294">
        <f t="shared" si="249"/>
        <v>0</v>
      </c>
      <c r="CN64" s="294">
        <f t="shared" si="249"/>
        <v>0</v>
      </c>
      <c r="CO64" s="294">
        <f t="shared" si="249"/>
        <v>0</v>
      </c>
      <c r="CP64" s="294">
        <f t="shared" si="249"/>
        <v>0</v>
      </c>
      <c r="CQ64" s="294">
        <f t="shared" si="249"/>
        <v>0</v>
      </c>
      <c r="CR64" s="294">
        <f t="shared" si="249"/>
        <v>0</v>
      </c>
      <c r="CS64" s="294">
        <f t="shared" si="249"/>
        <v>0</v>
      </c>
      <c r="CT64" s="294">
        <f t="shared" si="249"/>
        <v>0</v>
      </c>
      <c r="CU64" s="294">
        <f t="shared" si="249"/>
        <v>0</v>
      </c>
      <c r="CV64" s="294">
        <f t="shared" si="249"/>
        <v>0</v>
      </c>
      <c r="CW64" s="294">
        <f t="shared" si="249"/>
        <v>0</v>
      </c>
    </row>
    <row r="65" spans="1:101">
      <c r="A65" s="537" t="s">
        <v>42</v>
      </c>
      <c r="B65" s="438"/>
      <c r="C65" s="438">
        <f>Q_Financials!C129</f>
        <v>0</v>
      </c>
      <c r="D65" s="438">
        <f>Q_Financials!D129</f>
        <v>0</v>
      </c>
      <c r="E65" s="438">
        <f>Q_Financials!E129</f>
        <v>-41.834000000000003</v>
      </c>
      <c r="F65" s="438">
        <f>Q_Financials!F129</f>
        <v>0</v>
      </c>
      <c r="G65" s="438">
        <f>Q_Financials!G129</f>
        <v>-245.958</v>
      </c>
      <c r="H65" s="438">
        <f>Q_Financials!H129</f>
        <v>0</v>
      </c>
      <c r="I65" s="438">
        <f>Q_Financials!I129</f>
        <v>0</v>
      </c>
      <c r="J65" s="438"/>
      <c r="K65" s="438">
        <f>Q_Financials!K129</f>
        <v>-122.648</v>
      </c>
      <c r="L65" s="438">
        <f>Q_Financials!L129</f>
        <v>0</v>
      </c>
      <c r="M65" s="438">
        <f>Q_Financials!M129</f>
        <v>0</v>
      </c>
      <c r="N65" s="438">
        <f>Q_Financials!N129</f>
        <v>0</v>
      </c>
      <c r="O65" s="438">
        <f>Q_Financials!O129</f>
        <v>0</v>
      </c>
      <c r="P65" s="438">
        <f>Q_Financials!P129</f>
        <v>0</v>
      </c>
      <c r="Q65" s="438">
        <f>Q_Financials!Q129</f>
        <v>0</v>
      </c>
      <c r="R65" s="438">
        <f>Q_Financials!R129</f>
        <v>-26.81</v>
      </c>
      <c r="S65" s="438">
        <f>Q_Financials!S129</f>
        <v>-347.66800000000001</v>
      </c>
      <c r="T65" s="438">
        <f>Q_Financials!T129</f>
        <v>0</v>
      </c>
      <c r="U65" s="438">
        <f>Q_Financials!U129</f>
        <v>30.600000000000019</v>
      </c>
      <c r="V65" s="438">
        <f>Q_Financials!V129</f>
        <v>0</v>
      </c>
      <c r="W65" s="438">
        <f>Q_Financials!W129</f>
        <v>0</v>
      </c>
      <c r="X65" s="438">
        <f>Q_Financials!X129</f>
        <v>0</v>
      </c>
      <c r="Y65" s="438">
        <f>Q_Financials!Y129</f>
        <v>0</v>
      </c>
      <c r="Z65" s="438">
        <f>Q_Financials!Z129</f>
        <v>0</v>
      </c>
      <c r="AA65" s="438">
        <f>Q_Financials!AA129</f>
        <v>-419.173</v>
      </c>
      <c r="AB65" s="438">
        <f>Q_Financials!AB129</f>
        <v>0</v>
      </c>
      <c r="AC65" s="438">
        <f>Q_Financials!AC129</f>
        <v>0</v>
      </c>
      <c r="AD65" s="438">
        <f>Q_Financials!AD129</f>
        <v>0</v>
      </c>
      <c r="AE65" s="438">
        <f>Q_Financials!AE129</f>
        <v>-644.77099999999996</v>
      </c>
      <c r="AF65" s="438">
        <f>Q_Financials!AF129</f>
        <v>0</v>
      </c>
      <c r="AG65" s="438">
        <f>Q_Financials!AG129</f>
        <v>0</v>
      </c>
      <c r="AH65" s="438">
        <f>Q_Financials!AH129</f>
        <v>-92.977000000000004</v>
      </c>
      <c r="AI65" s="438">
        <f>Q_Financials!AI129</f>
        <v>-567.76300000000003</v>
      </c>
      <c r="AJ65" s="438">
        <f>Q_Financials!AJ129</f>
        <v>-58.657999999999987</v>
      </c>
      <c r="AK65" s="438">
        <f>Q_Financials!AK129</f>
        <v>0</v>
      </c>
      <c r="AL65" s="438">
        <f>Q_Financials!AL129</f>
        <v>0</v>
      </c>
      <c r="AM65" s="438">
        <f>Q_Financials!AM129</f>
        <v>-720.14400000000001</v>
      </c>
      <c r="AN65" s="438">
        <f>Q_Financials!AN129</f>
        <v>0</v>
      </c>
      <c r="AO65" s="438">
        <f>Q_Financials!AO129</f>
        <v>0</v>
      </c>
      <c r="AP65" s="1289">
        <f>Q_Financials!AP129</f>
        <v>0</v>
      </c>
      <c r="AQ65" s="1289">
        <f>Q_Financials!AQ129</f>
        <v>0</v>
      </c>
      <c r="AR65" s="1289">
        <f>Q_Financials!AR129</f>
        <v>0</v>
      </c>
      <c r="AS65" s="1289">
        <f>Q_Financials!AS129</f>
        <v>0</v>
      </c>
      <c r="AT65" s="1741">
        <f>Q_Financials!AT129</f>
        <v>0</v>
      </c>
      <c r="AU65" s="1741">
        <f>Q_Financials!AU129</f>
        <v>0</v>
      </c>
      <c r="AV65" s="1741">
        <f>Q_Financials!AV129</f>
        <v>0</v>
      </c>
      <c r="AW65" s="1741">
        <f>Q_Financials!AW129</f>
        <v>0</v>
      </c>
      <c r="AX65" s="1741">
        <f>Q_Financials!AX129</f>
        <v>0</v>
      </c>
      <c r="AY65" s="1741">
        <f>Q_Financials!AY129</f>
        <v>0</v>
      </c>
      <c r="AZ65" s="1545">
        <f>Q_Financials!AZ129</f>
        <v>0</v>
      </c>
      <c r="BA65" s="1545">
        <f>Q_Financials!BA129</f>
        <v>0</v>
      </c>
      <c r="BB65" s="1741">
        <f>Q_Financials!BB129</f>
        <v>0</v>
      </c>
      <c r="BC65" s="1741">
        <f>Q_Financials!BC129</f>
        <v>0</v>
      </c>
      <c r="BD65" s="1545">
        <f>Q_Financials!BD129</f>
        <v>0</v>
      </c>
      <c r="BE65" s="1545">
        <f>Q_Financials!BE129</f>
        <v>0</v>
      </c>
      <c r="BF65" s="1545">
        <f>Q_Financials!BF129</f>
        <v>0</v>
      </c>
      <c r="BG65" s="1545">
        <f>Q_Financials!BG129</f>
        <v>0</v>
      </c>
      <c r="BH65" s="1545">
        <f>Q_Financials!BH129</f>
        <v>0</v>
      </c>
      <c r="BI65" s="1545">
        <f>Q_Financials!BI129</f>
        <v>0</v>
      </c>
      <c r="BJ65" s="1545">
        <f>Q_Financials!BJ129</f>
        <v>0</v>
      </c>
      <c r="BK65" s="1697">
        <f>Q_Financials!BK129</f>
        <v>-978.01700000000005</v>
      </c>
      <c r="BL65" s="294">
        <f t="shared" ref="BL65:CW65" si="250">BL70</f>
        <v>0</v>
      </c>
      <c r="BM65" s="294">
        <f t="shared" si="250"/>
        <v>0</v>
      </c>
      <c r="BN65" s="294">
        <f t="shared" si="250"/>
        <v>0</v>
      </c>
      <c r="BO65" s="294">
        <f t="shared" si="250"/>
        <v>0</v>
      </c>
      <c r="BP65" s="294">
        <f t="shared" si="250"/>
        <v>0</v>
      </c>
      <c r="BQ65" s="294">
        <f t="shared" si="250"/>
        <v>0</v>
      </c>
      <c r="BR65" s="294">
        <f t="shared" si="250"/>
        <v>0</v>
      </c>
      <c r="BS65" s="294">
        <f t="shared" si="250"/>
        <v>0</v>
      </c>
      <c r="BT65" s="294">
        <f t="shared" si="250"/>
        <v>0</v>
      </c>
      <c r="BU65" s="294">
        <f t="shared" si="250"/>
        <v>0</v>
      </c>
      <c r="BV65" s="294">
        <f t="shared" si="250"/>
        <v>0</v>
      </c>
      <c r="BW65" s="294">
        <f t="shared" si="250"/>
        <v>0</v>
      </c>
      <c r="BX65" s="294">
        <f t="shared" si="250"/>
        <v>0</v>
      </c>
      <c r="BY65" s="294">
        <f t="shared" si="250"/>
        <v>0</v>
      </c>
      <c r="BZ65" s="294">
        <f t="shared" si="250"/>
        <v>0</v>
      </c>
      <c r="CA65" s="294">
        <f t="shared" si="250"/>
        <v>0</v>
      </c>
      <c r="CB65" s="294">
        <f t="shared" si="250"/>
        <v>0</v>
      </c>
      <c r="CC65" s="294">
        <f t="shared" si="250"/>
        <v>0</v>
      </c>
      <c r="CD65" s="294">
        <f t="shared" si="250"/>
        <v>0</v>
      </c>
      <c r="CE65" s="294">
        <f t="shared" si="250"/>
        <v>0</v>
      </c>
      <c r="CF65" s="294">
        <f t="shared" si="250"/>
        <v>0</v>
      </c>
      <c r="CG65" s="294">
        <f t="shared" si="250"/>
        <v>0</v>
      </c>
      <c r="CH65" s="294">
        <f t="shared" si="250"/>
        <v>0</v>
      </c>
      <c r="CI65" s="294">
        <f t="shared" si="250"/>
        <v>0</v>
      </c>
      <c r="CJ65" s="294">
        <f t="shared" si="250"/>
        <v>0</v>
      </c>
      <c r="CK65" s="294">
        <f t="shared" si="250"/>
        <v>0</v>
      </c>
      <c r="CL65" s="294">
        <f t="shared" si="250"/>
        <v>0</v>
      </c>
      <c r="CM65" s="294">
        <f t="shared" si="250"/>
        <v>0</v>
      </c>
      <c r="CN65" s="294">
        <f t="shared" si="250"/>
        <v>0</v>
      </c>
      <c r="CO65" s="294">
        <f t="shared" si="250"/>
        <v>0</v>
      </c>
      <c r="CP65" s="294">
        <f t="shared" si="250"/>
        <v>0</v>
      </c>
      <c r="CQ65" s="294">
        <f t="shared" si="250"/>
        <v>0</v>
      </c>
      <c r="CR65" s="294">
        <f t="shared" si="250"/>
        <v>0</v>
      </c>
      <c r="CS65" s="294">
        <f t="shared" si="250"/>
        <v>0</v>
      </c>
      <c r="CT65" s="294">
        <f t="shared" si="250"/>
        <v>0</v>
      </c>
      <c r="CU65" s="294">
        <f t="shared" si="250"/>
        <v>0</v>
      </c>
      <c r="CV65" s="294">
        <f t="shared" si="250"/>
        <v>0</v>
      </c>
      <c r="CW65" s="294">
        <f t="shared" si="250"/>
        <v>0</v>
      </c>
    </row>
    <row r="66" spans="1:101">
      <c r="A66" s="42" t="s">
        <v>80</v>
      </c>
      <c r="B66" s="438"/>
      <c r="C66" s="438">
        <f t="shared" ref="C66:AA66" si="251">C67-SUM(C61:C65)</f>
        <v>-11.552999999999884</v>
      </c>
      <c r="D66" s="438">
        <f t="shared" si="251"/>
        <v>19.888000000000375</v>
      </c>
      <c r="E66" s="438">
        <f t="shared" si="251"/>
        <v>-26.594000000000506</v>
      </c>
      <c r="F66" s="438">
        <f t="shared" si="251"/>
        <v>-3.6769999999996799</v>
      </c>
      <c r="G66" s="438">
        <f t="shared" si="251"/>
        <v>6.6329999999998108</v>
      </c>
      <c r="H66" s="438">
        <f t="shared" si="251"/>
        <v>-4.0070000000000618</v>
      </c>
      <c r="I66" s="438">
        <f t="shared" si="251"/>
        <v>-9.5729999999998654</v>
      </c>
      <c r="J66" s="438">
        <f t="shared" si="251"/>
        <v>-44.217000000000553</v>
      </c>
      <c r="K66" s="438">
        <f t="shared" si="251"/>
        <v>-13.661999999999807</v>
      </c>
      <c r="L66" s="438">
        <f t="shared" si="251"/>
        <v>66.01700000000028</v>
      </c>
      <c r="M66" s="438">
        <f t="shared" si="251"/>
        <v>6.2299999999995634</v>
      </c>
      <c r="N66" s="438">
        <f t="shared" si="251"/>
        <v>-61.430999999999585</v>
      </c>
      <c r="O66" s="438">
        <f t="shared" si="251"/>
        <v>-24.499999999999545</v>
      </c>
      <c r="P66" s="438">
        <f t="shared" si="251"/>
        <v>-35.031999999999243</v>
      </c>
      <c r="Q66" s="438">
        <f t="shared" si="251"/>
        <v>1095.0169999999998</v>
      </c>
      <c r="R66" s="438">
        <f t="shared" si="251"/>
        <v>-35.02599999999984</v>
      </c>
      <c r="S66" s="438">
        <f t="shared" si="251"/>
        <v>-406.79500000000053</v>
      </c>
      <c r="T66" s="438">
        <f t="shared" si="251"/>
        <v>-30.512000000000171</v>
      </c>
      <c r="U66" s="438">
        <f t="shared" si="251"/>
        <v>-119.15500000000065</v>
      </c>
      <c r="V66" s="438">
        <f t="shared" si="251"/>
        <v>-99.153999999999542</v>
      </c>
      <c r="W66" s="438">
        <f t="shared" si="251"/>
        <v>8.5659999999970751</v>
      </c>
      <c r="X66" s="438">
        <f t="shared" si="251"/>
        <v>-44.552999999999884</v>
      </c>
      <c r="Y66" s="438">
        <f t="shared" si="251"/>
        <v>-2616.0879999999997</v>
      </c>
      <c r="Z66" s="438">
        <f t="shared" si="251"/>
        <v>-62.622000000004846</v>
      </c>
      <c r="AA66" s="438">
        <f t="shared" si="251"/>
        <v>87.675000000001091</v>
      </c>
      <c r="AB66" s="438">
        <f t="shared" ref="AB66:AL66" si="252">AB67-SUM(AB61:AB65)</f>
        <v>-157.54900000000089</v>
      </c>
      <c r="AC66" s="438">
        <f t="shared" si="252"/>
        <v>-146.54299999999967</v>
      </c>
      <c r="AD66" s="438">
        <f t="shared" si="252"/>
        <v>-295.14999999999782</v>
      </c>
      <c r="AE66" s="438">
        <f t="shared" si="252"/>
        <v>-5.5930000000007567</v>
      </c>
      <c r="AF66" s="438">
        <f t="shared" si="252"/>
        <v>-67.057999999999083</v>
      </c>
      <c r="AG66" s="438">
        <f t="shared" si="252"/>
        <v>56.44800000000032</v>
      </c>
      <c r="AH66" s="438">
        <f t="shared" si="252"/>
        <v>189.48400000000038</v>
      </c>
      <c r="AI66" s="438">
        <f t="shared" si="252"/>
        <v>-155.79899999999543</v>
      </c>
      <c r="AJ66" s="438">
        <f t="shared" si="252"/>
        <v>75.028000000000247</v>
      </c>
      <c r="AK66" s="438">
        <f t="shared" si="252"/>
        <v>131.55899999999929</v>
      </c>
      <c r="AL66" s="438">
        <f t="shared" si="252"/>
        <v>-1.6650000000026921</v>
      </c>
      <c r="AM66" s="438">
        <f t="shared" ref="AM66:AR66" si="253">AM67-SUM(AM61:AM65)</f>
        <v>-172.40199999999822</v>
      </c>
      <c r="AN66" s="438">
        <f t="shared" si="253"/>
        <v>-325.00900000000001</v>
      </c>
      <c r="AO66" s="438">
        <f t="shared" si="253"/>
        <v>1664.4630000000016</v>
      </c>
      <c r="AP66" s="438">
        <f t="shared" si="253"/>
        <v>-1840.2250000000004</v>
      </c>
      <c r="AQ66" s="438">
        <f t="shared" si="253"/>
        <v>-318.02300000000105</v>
      </c>
      <c r="AR66" s="438">
        <f t="shared" si="253"/>
        <v>-285.2039999999979</v>
      </c>
      <c r="AS66" s="438">
        <f t="shared" ref="AS66:BC66" si="254">AS67-SUM(AS61:AS65)</f>
        <v>-210.22299999999996</v>
      </c>
      <c r="AT66" s="1545">
        <f t="shared" si="254"/>
        <v>-388.59000000000015</v>
      </c>
      <c r="AU66" s="1545">
        <f t="shared" si="254"/>
        <v>374.29500000000098</v>
      </c>
      <c r="AV66" s="1545">
        <f t="shared" si="254"/>
        <v>214.72700000000077</v>
      </c>
      <c r="AW66" s="1545">
        <f t="shared" si="254"/>
        <v>-297.1190000000006</v>
      </c>
      <c r="AX66" s="1545">
        <f t="shared" si="254"/>
        <v>113.10699999999997</v>
      </c>
      <c r="AY66" s="1545">
        <f t="shared" si="254"/>
        <v>109.804000000001</v>
      </c>
      <c r="AZ66" s="1545">
        <f t="shared" si="254"/>
        <v>421.96099999999933</v>
      </c>
      <c r="BA66" s="1545">
        <f t="shared" si="254"/>
        <v>-143.58499999999913</v>
      </c>
      <c r="BB66" s="1545">
        <f t="shared" si="254"/>
        <v>96.472000000000662</v>
      </c>
      <c r="BC66" s="1545">
        <f t="shared" si="254"/>
        <v>-122.65100000000166</v>
      </c>
      <c r="BD66" s="1545">
        <f t="shared" ref="BD66:BI66" si="255">BD67-SUM(BD61:BD65)</f>
        <v>-410.69799999999759</v>
      </c>
      <c r="BE66" s="1545">
        <f t="shared" si="255"/>
        <v>-487.67000000000007</v>
      </c>
      <c r="BF66" s="1545">
        <f t="shared" si="255"/>
        <v>-433.1949999999988</v>
      </c>
      <c r="BG66" s="1545">
        <f t="shared" si="255"/>
        <v>-607.61499999999887</v>
      </c>
      <c r="BH66" s="1545">
        <f t="shared" si="255"/>
        <v>91.352000000001681</v>
      </c>
      <c r="BI66" s="1545">
        <f t="shared" si="255"/>
        <v>-875.79899999999907</v>
      </c>
      <c r="BJ66" s="1545">
        <f t="shared" ref="BJ66:BK66" si="256">BJ67-SUM(BJ61:BJ65)</f>
        <v>-2664.8840000000009</v>
      </c>
      <c r="BK66" s="1697">
        <f t="shared" si="256"/>
        <v>1336.1199999999972</v>
      </c>
      <c r="BL66" s="294">
        <f t="shared" ref="BL66:CW66" si="257">BL90</f>
        <v>0</v>
      </c>
      <c r="BM66" s="294">
        <f t="shared" si="257"/>
        <v>0</v>
      </c>
      <c r="BN66" s="294">
        <f t="shared" si="257"/>
        <v>0</v>
      </c>
      <c r="BO66" s="294">
        <f t="shared" si="257"/>
        <v>0</v>
      </c>
      <c r="BP66" s="294">
        <f t="shared" si="257"/>
        <v>0</v>
      </c>
      <c r="BQ66" s="294">
        <f t="shared" si="257"/>
        <v>0</v>
      </c>
      <c r="BR66" s="294">
        <f t="shared" si="257"/>
        <v>0</v>
      </c>
      <c r="BS66" s="294">
        <f t="shared" si="257"/>
        <v>0</v>
      </c>
      <c r="BT66" s="294">
        <f t="shared" si="257"/>
        <v>0</v>
      </c>
      <c r="BU66" s="294">
        <f t="shared" si="257"/>
        <v>0</v>
      </c>
      <c r="BV66" s="294">
        <f t="shared" si="257"/>
        <v>0</v>
      </c>
      <c r="BW66" s="294">
        <f t="shared" si="257"/>
        <v>0</v>
      </c>
      <c r="BX66" s="294">
        <f t="shared" si="257"/>
        <v>0</v>
      </c>
      <c r="BY66" s="294">
        <f t="shared" si="257"/>
        <v>0</v>
      </c>
      <c r="BZ66" s="294">
        <f t="shared" si="257"/>
        <v>0</v>
      </c>
      <c r="CA66" s="294">
        <f t="shared" si="257"/>
        <v>0</v>
      </c>
      <c r="CB66" s="294">
        <f t="shared" si="257"/>
        <v>0</v>
      </c>
      <c r="CC66" s="294">
        <f t="shared" si="257"/>
        <v>0</v>
      </c>
      <c r="CD66" s="294">
        <f t="shared" si="257"/>
        <v>0</v>
      </c>
      <c r="CE66" s="294">
        <f t="shared" si="257"/>
        <v>0</v>
      </c>
      <c r="CF66" s="294">
        <f t="shared" si="257"/>
        <v>0</v>
      </c>
      <c r="CG66" s="294">
        <f t="shared" si="257"/>
        <v>0</v>
      </c>
      <c r="CH66" s="294">
        <f t="shared" si="257"/>
        <v>0</v>
      </c>
      <c r="CI66" s="294">
        <f t="shared" si="257"/>
        <v>0</v>
      </c>
      <c r="CJ66" s="294">
        <f t="shared" si="257"/>
        <v>0</v>
      </c>
      <c r="CK66" s="294">
        <f t="shared" si="257"/>
        <v>0</v>
      </c>
      <c r="CL66" s="294">
        <f t="shared" si="257"/>
        <v>0</v>
      </c>
      <c r="CM66" s="294">
        <f t="shared" si="257"/>
        <v>0</v>
      </c>
      <c r="CN66" s="294">
        <f t="shared" si="257"/>
        <v>0</v>
      </c>
      <c r="CO66" s="294">
        <f t="shared" si="257"/>
        <v>0</v>
      </c>
      <c r="CP66" s="294">
        <f t="shared" si="257"/>
        <v>0</v>
      </c>
      <c r="CQ66" s="294">
        <f t="shared" si="257"/>
        <v>0</v>
      </c>
      <c r="CR66" s="294">
        <f t="shared" si="257"/>
        <v>0</v>
      </c>
      <c r="CS66" s="294">
        <f t="shared" si="257"/>
        <v>0</v>
      </c>
      <c r="CT66" s="294">
        <f t="shared" si="257"/>
        <v>0</v>
      </c>
      <c r="CU66" s="294">
        <f t="shared" si="257"/>
        <v>0</v>
      </c>
      <c r="CV66" s="294">
        <f t="shared" si="257"/>
        <v>0</v>
      </c>
      <c r="CW66" s="294">
        <f t="shared" si="257"/>
        <v>0</v>
      </c>
    </row>
    <row r="67" spans="1:101" s="13" customFormat="1">
      <c r="A67" s="93" t="s">
        <v>228</v>
      </c>
      <c r="B67" s="987">
        <f>Q_Financials!B99</f>
        <v>2937.9450000000002</v>
      </c>
      <c r="C67" s="987">
        <f>Q_Financials!C99</f>
        <v>2849.3679999999999</v>
      </c>
      <c r="D67" s="987">
        <f>Q_Financials!D99</f>
        <v>2893.0340000000001</v>
      </c>
      <c r="E67" s="987">
        <f>Q_Financials!E99</f>
        <v>2908.5889999999999</v>
      </c>
      <c r="F67" s="987">
        <f>Q_Financials!F99</f>
        <v>3004.9430000000002</v>
      </c>
      <c r="G67" s="987">
        <f>Q_Financials!G99</f>
        <v>2901.5820000000003</v>
      </c>
      <c r="H67" s="987">
        <f>Q_Financials!H99</f>
        <v>2906.4400000000005</v>
      </c>
      <c r="I67" s="987">
        <f>Q_Financials!I99</f>
        <v>2865.3280000000004</v>
      </c>
      <c r="J67" s="987">
        <f>Q_Financials!J99</f>
        <v>2923.7649999999999</v>
      </c>
      <c r="K67" s="987">
        <f>Q_Financials!K99</f>
        <v>2839.0590000000002</v>
      </c>
      <c r="L67" s="987">
        <f>Q_Financials!L99</f>
        <v>2941.8030000000003</v>
      </c>
      <c r="M67" s="987">
        <f>Q_Financials!M99</f>
        <v>2993.8649999999998</v>
      </c>
      <c r="N67" s="987">
        <f>Q_Financials!N99</f>
        <v>3136.7559999999999</v>
      </c>
      <c r="O67" s="987">
        <f>Q_Financials!O99</f>
        <v>3244.0209999999997</v>
      </c>
      <c r="P67" s="987">
        <f>Q_Financials!P99</f>
        <v>3293.2780000000002</v>
      </c>
      <c r="Q67" s="987">
        <f>Q_Financials!Q99</f>
        <v>4520.71</v>
      </c>
      <c r="R67" s="987">
        <f>Q_Financials!R99</f>
        <v>4524.0230000000001</v>
      </c>
      <c r="S67" s="987">
        <f>Q_Financials!S99</f>
        <v>3884.89</v>
      </c>
      <c r="T67" s="987">
        <f>Q_Financials!T99</f>
        <v>4085.3839999999996</v>
      </c>
      <c r="U67" s="987">
        <f>Q_Financials!U99</f>
        <v>4271.4269999999997</v>
      </c>
      <c r="V67" s="987">
        <f>Q_Financials!V99</f>
        <v>4259.0080000000007</v>
      </c>
      <c r="W67" s="987">
        <f>Q_Financials!W99</f>
        <v>11013.197999999999</v>
      </c>
      <c r="X67" s="987">
        <f>Q_Financials!X99</f>
        <v>11158.623</v>
      </c>
      <c r="Y67" s="987">
        <f>Q_Financials!Y99</f>
        <v>8800.1280000000006</v>
      </c>
      <c r="Z67" s="987">
        <f>Q_Financials!Z99</f>
        <v>9057.1429999999982</v>
      </c>
      <c r="AA67" s="987">
        <f>Q_Financials!AA99</f>
        <v>8839.2959999999985</v>
      </c>
      <c r="AB67" s="987">
        <f>Q_Financials!AB99</f>
        <v>8763.5839999999989</v>
      </c>
      <c r="AC67" s="987">
        <f>Q_Financials!AC99</f>
        <v>9069.2769999999982</v>
      </c>
      <c r="AD67" s="987">
        <f>Q_Financials!AD99</f>
        <v>8802.5370000000003</v>
      </c>
      <c r="AE67" s="987">
        <f>Q_Financials!AE99</f>
        <v>8362.4929999999986</v>
      </c>
      <c r="AF67" s="987">
        <f>Q_Financials!AF99</f>
        <v>8363.7999999999993</v>
      </c>
      <c r="AG67" s="987">
        <f>Q_Financials!AG99</f>
        <v>8910.6229999999996</v>
      </c>
      <c r="AH67" s="987">
        <f>Q_Financials!AH99</f>
        <v>9142.0829999999987</v>
      </c>
      <c r="AI67" s="987">
        <f>Q_Financials!AI99</f>
        <v>8579.5690000000013</v>
      </c>
      <c r="AJ67" s="987">
        <f>Q_Financials!AJ99</f>
        <v>8751.848</v>
      </c>
      <c r="AK67" s="987">
        <f>Q_Financials!AK99</f>
        <v>9460.389000000001</v>
      </c>
      <c r="AL67" s="987">
        <f>Q_Financials!AL99</f>
        <v>9978.7659999999978</v>
      </c>
      <c r="AM67" s="987">
        <f>Q_Financials!AM99</f>
        <v>9339.4629999999997</v>
      </c>
      <c r="AN67" s="987">
        <f>Q_Financials!AN99</f>
        <v>9314.375</v>
      </c>
      <c r="AO67" s="987">
        <f>Q_Financials!AO99</f>
        <v>11080.08</v>
      </c>
      <c r="AP67" s="987">
        <f>Q_Financials!AP99</f>
        <v>9361.3369999999995</v>
      </c>
      <c r="AQ67" s="987">
        <f>Q_Financials!AQ99</f>
        <v>9050.6620000000003</v>
      </c>
      <c r="AR67" s="987">
        <f>Q_Financials!AR99</f>
        <v>8942.5720000000001</v>
      </c>
      <c r="AS67" s="987">
        <f>Q_Financials!AS99</f>
        <v>9580.9979999999996</v>
      </c>
      <c r="AT67" s="1742">
        <f>Q_Financials!AT99</f>
        <v>8786.0049999999992</v>
      </c>
      <c r="AU67" s="1742">
        <f>Q_Financials!AU99</f>
        <v>6543.7939999999999</v>
      </c>
      <c r="AV67" s="1742">
        <f>Q_Financials!AV99</f>
        <v>6281.5659999999998</v>
      </c>
      <c r="AW67" s="1742">
        <f>Q_Financials!AW99</f>
        <v>6302.7489999999998</v>
      </c>
      <c r="AX67" s="1742">
        <f>Q_Financials!AX99</f>
        <v>6103.7479999999996</v>
      </c>
      <c r="AY67" s="1742">
        <f>Q_Financials!AY99</f>
        <v>6352.5529999999999</v>
      </c>
      <c r="AZ67" s="1742">
        <f>Q_Financials!AZ99</f>
        <v>6947.5419999999986</v>
      </c>
      <c r="BA67" s="1742">
        <f>Q_Financials!BA99</f>
        <v>7639.1659999999993</v>
      </c>
      <c r="BB67" s="1742">
        <f>Q_Financials!BB99</f>
        <v>8261.08</v>
      </c>
      <c r="BC67" s="1742">
        <f>Q_Financials!BC99</f>
        <v>8017.7849999999989</v>
      </c>
      <c r="BD67" s="1742">
        <f>Q_Financials!BD99</f>
        <v>7559.6849999999995</v>
      </c>
      <c r="BE67" s="1742">
        <f>Q_Financials!BE99</f>
        <v>7617.8669999999993</v>
      </c>
      <c r="BF67" s="1742">
        <f>Q_Financials!BF99</f>
        <v>7570.5469999999996</v>
      </c>
      <c r="BG67" s="1742">
        <f>Q_Financials!BG99</f>
        <v>7406.741</v>
      </c>
      <c r="BH67" s="1742">
        <f>Q_Financials!BH99</f>
        <v>7846.8310000000001</v>
      </c>
      <c r="BI67" s="1742">
        <f>Q_Financials!BI99</f>
        <v>8375.1020000000008</v>
      </c>
      <c r="BJ67" s="1742">
        <f>Q_Financials!BJ99</f>
        <v>6474.3810000000003</v>
      </c>
      <c r="BK67" s="1694">
        <f>Q_Financials!BK99</f>
        <v>6968.8819999999996</v>
      </c>
      <c r="BL67" s="302">
        <f t="shared" ref="BL67:CW67" si="258">SUM(BL61:BL66)</f>
        <v>7018.0126712790461</v>
      </c>
      <c r="BM67" s="302">
        <f t="shared" si="258"/>
        <v>7548.2332842488358</v>
      </c>
      <c r="BN67" s="302">
        <f t="shared" si="258"/>
        <v>7718.3052695781489</v>
      </c>
      <c r="BO67" s="302">
        <f t="shared" si="258"/>
        <v>8157.8936036872337</v>
      </c>
      <c r="BP67" s="302">
        <f t="shared" si="258"/>
        <v>8805.6264908123885</v>
      </c>
      <c r="BQ67" s="302">
        <f t="shared" si="258"/>
        <v>9449.4250461535521</v>
      </c>
      <c r="BR67" s="302">
        <f t="shared" si="258"/>
        <v>9534.9178161145392</v>
      </c>
      <c r="BS67" s="302">
        <f t="shared" si="258"/>
        <v>10289.897578011261</v>
      </c>
      <c r="BT67" s="302">
        <f t="shared" si="258"/>
        <v>11130.317239702192</v>
      </c>
      <c r="BU67" s="302">
        <f t="shared" si="258"/>
        <v>12255.328053330748</v>
      </c>
      <c r="BV67" s="302">
        <f t="shared" si="258"/>
        <v>12982.226929346185</v>
      </c>
      <c r="BW67" s="302">
        <f t="shared" si="258"/>
        <v>13976.653209174541</v>
      </c>
      <c r="BX67" s="302">
        <f t="shared" si="258"/>
        <v>14942.875766352205</v>
      </c>
      <c r="BY67" s="302">
        <f t="shared" si="258"/>
        <v>16097.09642074678</v>
      </c>
      <c r="BZ67" s="302">
        <f t="shared" si="258"/>
        <v>16892.201046741953</v>
      </c>
      <c r="CA67" s="302">
        <f t="shared" si="258"/>
        <v>17979.794150784288</v>
      </c>
      <c r="CB67" s="302">
        <f t="shared" si="258"/>
        <v>19002.329865241016</v>
      </c>
      <c r="CC67" s="302">
        <f t="shared" si="258"/>
        <v>20157.813050596953</v>
      </c>
      <c r="CD67" s="302">
        <f t="shared" si="258"/>
        <v>21029.6753469016</v>
      </c>
      <c r="CE67" s="302">
        <f t="shared" si="258"/>
        <v>22191.741798336676</v>
      </c>
      <c r="CF67" s="302">
        <f t="shared" si="258"/>
        <v>23291.806506167228</v>
      </c>
      <c r="CG67" s="302">
        <f t="shared" si="258"/>
        <v>24540.226800953533</v>
      </c>
      <c r="CH67" s="302">
        <f t="shared" si="258"/>
        <v>25479.162110381851</v>
      </c>
      <c r="CI67" s="302">
        <f t="shared" si="258"/>
        <v>26709.167587870459</v>
      </c>
      <c r="CJ67" s="302">
        <f t="shared" si="258"/>
        <v>27881.928744116543</v>
      </c>
      <c r="CK67" s="302">
        <f t="shared" si="258"/>
        <v>29219.405213415663</v>
      </c>
      <c r="CL67" s="302">
        <f t="shared" si="258"/>
        <v>30227.007861378275</v>
      </c>
      <c r="CM67" s="302">
        <f t="shared" si="258"/>
        <v>31526.181803082327</v>
      </c>
      <c r="CN67" s="302">
        <f t="shared" si="258"/>
        <v>32772.852148718768</v>
      </c>
      <c r="CO67" s="302">
        <f t="shared" si="258"/>
        <v>34201.542541180199</v>
      </c>
      <c r="CP67" s="302">
        <f t="shared" si="258"/>
        <v>35276.264257581322</v>
      </c>
      <c r="CQ67" s="302">
        <f t="shared" si="258"/>
        <v>36641.886753446997</v>
      </c>
      <c r="CR67" s="302">
        <f t="shared" si="258"/>
        <v>37960.716427398234</v>
      </c>
      <c r="CS67" s="302">
        <f t="shared" si="258"/>
        <v>39478.15942180295</v>
      </c>
      <c r="CT67" s="302">
        <f t="shared" si="258"/>
        <v>40617.982433364283</v>
      </c>
      <c r="CU67" s="302">
        <f t="shared" si="258"/>
        <v>42050.099006016506</v>
      </c>
      <c r="CV67" s="302">
        <f t="shared" si="258"/>
        <v>43438.524558174773</v>
      </c>
      <c r="CW67" s="302">
        <f t="shared" si="258"/>
        <v>45042.249627922763</v>
      </c>
    </row>
    <row r="68" spans="1:101">
      <c r="A68" s="97"/>
      <c r="B68" s="438"/>
      <c r="C68" s="438"/>
      <c r="D68" s="438"/>
      <c r="E68" s="438"/>
      <c r="F68" s="438"/>
      <c r="G68" s="438"/>
      <c r="H68" s="438"/>
      <c r="I68" s="438"/>
      <c r="J68" s="438"/>
      <c r="K68" s="438"/>
      <c r="L68" s="438"/>
      <c r="M68" s="438"/>
      <c r="N68" s="438"/>
      <c r="O68" s="438"/>
      <c r="P68" s="438"/>
      <c r="Q68" s="438"/>
      <c r="R68" s="438"/>
      <c r="S68" s="438"/>
      <c r="T68" s="438"/>
      <c r="U68" s="438"/>
      <c r="V68" s="438"/>
      <c r="W68" s="438"/>
      <c r="X68" s="438"/>
      <c r="Y68" s="438"/>
      <c r="Z68" s="438"/>
      <c r="AA68" s="438"/>
      <c r="AB68" s="438"/>
      <c r="AC68" s="438"/>
      <c r="AD68" s="438"/>
      <c r="AE68" s="438"/>
      <c r="AF68" s="438"/>
      <c r="AG68" s="438"/>
      <c r="AH68" s="438"/>
      <c r="AI68" s="438"/>
      <c r="AJ68" s="438"/>
      <c r="AK68" s="438"/>
      <c r="AL68" s="438"/>
      <c r="AM68" s="438"/>
      <c r="AN68" s="438"/>
      <c r="AO68" s="438"/>
      <c r="AP68" s="294"/>
      <c r="AQ68" s="294"/>
      <c r="AR68" s="294"/>
      <c r="AS68" s="294"/>
      <c r="AT68" s="1703"/>
      <c r="AU68" s="1703"/>
      <c r="AV68" s="1703"/>
      <c r="AW68" s="1703"/>
      <c r="AX68" s="1703"/>
      <c r="AY68" s="1703"/>
      <c r="AZ68" s="1703"/>
      <c r="BA68" s="1703"/>
      <c r="BB68" s="1703"/>
      <c r="BC68" s="1703"/>
      <c r="BD68" s="1703"/>
      <c r="BE68" s="1703"/>
      <c r="BF68" s="1703"/>
      <c r="BG68" s="1703"/>
      <c r="BH68" s="1703"/>
      <c r="BI68" s="1703"/>
      <c r="BJ68" s="1703"/>
      <c r="BK68" s="1695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</row>
    <row r="69" spans="1:101">
      <c r="A69" s="93" t="s">
        <v>244</v>
      </c>
      <c r="B69" s="988"/>
      <c r="C69" s="988"/>
      <c r="D69" s="988"/>
      <c r="E69" s="988"/>
      <c r="F69" s="988"/>
      <c r="G69" s="988"/>
      <c r="H69" s="988"/>
      <c r="I69" s="988"/>
      <c r="J69" s="988"/>
      <c r="K69" s="988"/>
      <c r="L69" s="988"/>
      <c r="M69" s="988"/>
      <c r="N69" s="988"/>
      <c r="O69" s="988"/>
      <c r="P69" s="988"/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8"/>
      <c r="AJ69" s="988"/>
      <c r="AK69" s="988"/>
      <c r="AL69" s="988"/>
      <c r="AM69" s="988"/>
      <c r="AN69" s="988"/>
      <c r="AO69" s="988"/>
      <c r="AP69" s="296"/>
      <c r="AQ69" s="296"/>
      <c r="AR69" s="296"/>
      <c r="AS69" s="296"/>
      <c r="AT69" s="1707"/>
      <c r="AU69" s="1707"/>
      <c r="AV69" s="1707"/>
      <c r="AW69" s="1707"/>
      <c r="AX69" s="1707"/>
      <c r="AY69" s="1707"/>
      <c r="AZ69" s="1707"/>
      <c r="BA69" s="1707"/>
      <c r="BB69" s="1707"/>
      <c r="BC69" s="1707"/>
      <c r="BD69" s="1707"/>
      <c r="BE69" s="1707"/>
      <c r="BF69" s="1707"/>
      <c r="BG69" s="1707"/>
      <c r="BH69" s="1707"/>
      <c r="BI69" s="1707"/>
      <c r="BJ69" s="1707"/>
      <c r="BK69" s="16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  <c r="CK69" s="296"/>
      <c r="CL69" s="296"/>
      <c r="CM69" s="296"/>
      <c r="CN69" s="296"/>
      <c r="CO69" s="296"/>
      <c r="CP69" s="296"/>
      <c r="CQ69" s="296"/>
      <c r="CR69" s="296"/>
      <c r="CS69" s="296"/>
      <c r="CT69" s="296"/>
      <c r="CU69" s="296"/>
      <c r="CV69" s="296"/>
      <c r="CW69" s="296"/>
    </row>
    <row r="70" spans="1:101">
      <c r="A70" s="42" t="s">
        <v>239</v>
      </c>
      <c r="B70" s="438"/>
      <c r="C70" s="438">
        <f t="shared" ref="C70:AA70" si="259">C65</f>
        <v>0</v>
      </c>
      <c r="D70" s="438">
        <f t="shared" si="259"/>
        <v>0</v>
      </c>
      <c r="E70" s="438">
        <f t="shared" si="259"/>
        <v>-41.834000000000003</v>
      </c>
      <c r="F70" s="438">
        <f t="shared" si="259"/>
        <v>0</v>
      </c>
      <c r="G70" s="438">
        <f t="shared" si="259"/>
        <v>-245.958</v>
      </c>
      <c r="H70" s="438">
        <f t="shared" si="259"/>
        <v>0</v>
      </c>
      <c r="I70" s="438">
        <f t="shared" si="259"/>
        <v>0</v>
      </c>
      <c r="J70" s="438">
        <f t="shared" si="259"/>
        <v>0</v>
      </c>
      <c r="K70" s="438">
        <f t="shared" si="259"/>
        <v>-122.648</v>
      </c>
      <c r="L70" s="438">
        <f t="shared" si="259"/>
        <v>0</v>
      </c>
      <c r="M70" s="438">
        <f t="shared" si="259"/>
        <v>0</v>
      </c>
      <c r="N70" s="438">
        <f t="shared" si="259"/>
        <v>0</v>
      </c>
      <c r="O70" s="438">
        <f t="shared" si="259"/>
        <v>0</v>
      </c>
      <c r="P70" s="438">
        <f t="shared" si="259"/>
        <v>0</v>
      </c>
      <c r="Q70" s="438">
        <f t="shared" si="259"/>
        <v>0</v>
      </c>
      <c r="R70" s="438">
        <f t="shared" si="259"/>
        <v>-26.81</v>
      </c>
      <c r="S70" s="438">
        <f t="shared" si="259"/>
        <v>-347.66800000000001</v>
      </c>
      <c r="T70" s="438">
        <f t="shared" si="259"/>
        <v>0</v>
      </c>
      <c r="U70" s="438">
        <f t="shared" si="259"/>
        <v>30.600000000000019</v>
      </c>
      <c r="V70" s="438">
        <f t="shared" si="259"/>
        <v>0</v>
      </c>
      <c r="W70" s="438">
        <f t="shared" si="259"/>
        <v>0</v>
      </c>
      <c r="X70" s="438">
        <f t="shared" si="259"/>
        <v>0</v>
      </c>
      <c r="Y70" s="438">
        <f t="shared" si="259"/>
        <v>0</v>
      </c>
      <c r="Z70" s="438">
        <f t="shared" si="259"/>
        <v>0</v>
      </c>
      <c r="AA70" s="438">
        <f t="shared" si="259"/>
        <v>-419.173</v>
      </c>
      <c r="AB70" s="438">
        <f t="shared" ref="AB70:AL70" si="260">AB65</f>
        <v>0</v>
      </c>
      <c r="AC70" s="438">
        <f t="shared" si="260"/>
        <v>0</v>
      </c>
      <c r="AD70" s="438">
        <f t="shared" si="260"/>
        <v>0</v>
      </c>
      <c r="AE70" s="438">
        <f t="shared" si="260"/>
        <v>-644.77099999999996</v>
      </c>
      <c r="AF70" s="438">
        <f t="shared" si="260"/>
        <v>0</v>
      </c>
      <c r="AG70" s="438">
        <f t="shared" si="260"/>
        <v>0</v>
      </c>
      <c r="AH70" s="438">
        <f t="shared" si="260"/>
        <v>-92.977000000000004</v>
      </c>
      <c r="AI70" s="438">
        <f t="shared" si="260"/>
        <v>-567.76300000000003</v>
      </c>
      <c r="AJ70" s="438">
        <f t="shared" si="260"/>
        <v>-58.657999999999987</v>
      </c>
      <c r="AK70" s="438">
        <f t="shared" si="260"/>
        <v>0</v>
      </c>
      <c r="AL70" s="438">
        <f t="shared" si="260"/>
        <v>0</v>
      </c>
      <c r="AM70" s="438">
        <f t="shared" ref="AM70:AR70" si="261">AM65</f>
        <v>-720.14400000000001</v>
      </c>
      <c r="AN70" s="438">
        <f t="shared" si="261"/>
        <v>0</v>
      </c>
      <c r="AO70" s="438">
        <f t="shared" si="261"/>
        <v>0</v>
      </c>
      <c r="AP70" s="438">
        <f t="shared" si="261"/>
        <v>0</v>
      </c>
      <c r="AQ70" s="438">
        <f t="shared" si="261"/>
        <v>0</v>
      </c>
      <c r="AR70" s="438">
        <f t="shared" si="261"/>
        <v>0</v>
      </c>
      <c r="AS70" s="438">
        <f t="shared" ref="AS70:BC70" si="262">AS65</f>
        <v>0</v>
      </c>
      <c r="AT70" s="1545">
        <f t="shared" si="262"/>
        <v>0</v>
      </c>
      <c r="AU70" s="1545">
        <f t="shared" si="262"/>
        <v>0</v>
      </c>
      <c r="AV70" s="1545">
        <f t="shared" si="262"/>
        <v>0</v>
      </c>
      <c r="AW70" s="1545">
        <f t="shared" si="262"/>
        <v>0</v>
      </c>
      <c r="AX70" s="1545">
        <f t="shared" si="262"/>
        <v>0</v>
      </c>
      <c r="AY70" s="1545">
        <f t="shared" si="262"/>
        <v>0</v>
      </c>
      <c r="AZ70" s="1545">
        <f t="shared" si="262"/>
        <v>0</v>
      </c>
      <c r="BA70" s="1545">
        <f t="shared" si="262"/>
        <v>0</v>
      </c>
      <c r="BB70" s="1545">
        <f t="shared" si="262"/>
        <v>0</v>
      </c>
      <c r="BC70" s="1545">
        <f t="shared" si="262"/>
        <v>0</v>
      </c>
      <c r="BD70" s="1545">
        <f t="shared" ref="BD70:BI70" si="263">BD65</f>
        <v>0</v>
      </c>
      <c r="BE70" s="1545">
        <f t="shared" si="263"/>
        <v>0</v>
      </c>
      <c r="BF70" s="1545">
        <f t="shared" si="263"/>
        <v>0</v>
      </c>
      <c r="BG70" s="1545">
        <f t="shared" si="263"/>
        <v>0</v>
      </c>
      <c r="BH70" s="1545">
        <f t="shared" si="263"/>
        <v>0</v>
      </c>
      <c r="BI70" s="1545">
        <f t="shared" si="263"/>
        <v>0</v>
      </c>
      <c r="BJ70" s="1545">
        <f t="shared" ref="BJ70:BK70" si="264">BJ65</f>
        <v>0</v>
      </c>
      <c r="BK70" s="1697">
        <f t="shared" si="264"/>
        <v>-978.01700000000005</v>
      </c>
      <c r="BL70" s="294">
        <f t="shared" ref="BL70:BQ70" si="265">IF(BL71&gt;0,BL71*-BL72,0)</f>
        <v>0</v>
      </c>
      <c r="BM70" s="294">
        <f t="shared" si="265"/>
        <v>0</v>
      </c>
      <c r="BN70" s="294">
        <f t="shared" si="265"/>
        <v>0</v>
      </c>
      <c r="BO70" s="294">
        <f t="shared" si="265"/>
        <v>0</v>
      </c>
      <c r="BP70" s="294">
        <f t="shared" si="265"/>
        <v>0</v>
      </c>
      <c r="BQ70" s="294">
        <f t="shared" si="265"/>
        <v>0</v>
      </c>
      <c r="BR70" s="294">
        <f t="shared" ref="BR70:CK70" si="266">IF(BR71&gt;0,BR71*-BR72,0)</f>
        <v>0</v>
      </c>
      <c r="BS70" s="294">
        <f t="shared" si="266"/>
        <v>0</v>
      </c>
      <c r="BT70" s="294">
        <f t="shared" si="266"/>
        <v>0</v>
      </c>
      <c r="BU70" s="294">
        <f t="shared" si="266"/>
        <v>0</v>
      </c>
      <c r="BV70" s="294">
        <f t="shared" si="266"/>
        <v>0</v>
      </c>
      <c r="BW70" s="294">
        <f t="shared" si="266"/>
        <v>0</v>
      </c>
      <c r="BX70" s="294">
        <f t="shared" si="266"/>
        <v>0</v>
      </c>
      <c r="BY70" s="294">
        <f t="shared" si="266"/>
        <v>0</v>
      </c>
      <c r="BZ70" s="294">
        <f t="shared" si="266"/>
        <v>0</v>
      </c>
      <c r="CA70" s="294">
        <f t="shared" si="266"/>
        <v>0</v>
      </c>
      <c r="CB70" s="294">
        <f t="shared" si="266"/>
        <v>0</v>
      </c>
      <c r="CC70" s="294">
        <f t="shared" si="266"/>
        <v>0</v>
      </c>
      <c r="CD70" s="294">
        <f t="shared" si="266"/>
        <v>0</v>
      </c>
      <c r="CE70" s="294">
        <f t="shared" si="266"/>
        <v>0</v>
      </c>
      <c r="CF70" s="294">
        <f t="shared" si="266"/>
        <v>0</v>
      </c>
      <c r="CG70" s="294">
        <f t="shared" si="266"/>
        <v>0</v>
      </c>
      <c r="CH70" s="294">
        <f t="shared" si="266"/>
        <v>0</v>
      </c>
      <c r="CI70" s="294">
        <f t="shared" si="266"/>
        <v>0</v>
      </c>
      <c r="CJ70" s="294">
        <f t="shared" si="266"/>
        <v>0</v>
      </c>
      <c r="CK70" s="294">
        <f t="shared" si="266"/>
        <v>0</v>
      </c>
      <c r="CL70" s="294">
        <f t="shared" ref="CL70:CP70" si="267">IF(CL71&gt;0,CL71*-CL72,0)</f>
        <v>0</v>
      </c>
      <c r="CM70" s="294">
        <f t="shared" si="267"/>
        <v>0</v>
      </c>
      <c r="CN70" s="294">
        <f t="shared" si="267"/>
        <v>0</v>
      </c>
      <c r="CO70" s="294">
        <f t="shared" si="267"/>
        <v>0</v>
      </c>
      <c r="CP70" s="294">
        <f t="shared" si="267"/>
        <v>0</v>
      </c>
      <c r="CQ70" s="294">
        <f t="shared" ref="CQ70:CT70" si="268">IF(CQ71&gt;0,CQ71*-CQ72,0)</f>
        <v>0</v>
      </c>
      <c r="CR70" s="294">
        <f t="shared" si="268"/>
        <v>0</v>
      </c>
      <c r="CS70" s="294">
        <f t="shared" si="268"/>
        <v>0</v>
      </c>
      <c r="CT70" s="294">
        <f t="shared" si="268"/>
        <v>0</v>
      </c>
      <c r="CU70" s="294">
        <f t="shared" ref="CU70:CW70" si="269">IF(CU71&gt;0,CU71*-CU72,0)</f>
        <v>0</v>
      </c>
      <c r="CV70" s="294">
        <f t="shared" si="269"/>
        <v>0</v>
      </c>
      <c r="CW70" s="294">
        <f t="shared" si="269"/>
        <v>0</v>
      </c>
    </row>
    <row r="71" spans="1:101">
      <c r="A71" s="42" t="s">
        <v>240</v>
      </c>
      <c r="B71" s="438"/>
      <c r="C71" s="438"/>
      <c r="D71" s="438"/>
      <c r="E71" s="438">
        <f t="shared" ref="E71:AA71" si="270">SUM(B62:E62)</f>
        <v>147.04899999999947</v>
      </c>
      <c r="F71" s="438">
        <f t="shared" si="270"/>
        <v>146.39099999999959</v>
      </c>
      <c r="G71" s="438">
        <f t="shared" si="270"/>
        <v>287.00199999999973</v>
      </c>
      <c r="H71" s="438">
        <f t="shared" si="270"/>
        <v>239.01299999999986</v>
      </c>
      <c r="I71" s="438">
        <f t="shared" si="270"/>
        <v>151.22599999999986</v>
      </c>
      <c r="J71" s="438">
        <f t="shared" si="270"/>
        <v>165.1659999999998</v>
      </c>
      <c r="K71" s="438">
        <f t="shared" si="270"/>
        <v>116.52300000000011</v>
      </c>
      <c r="L71" s="438">
        <f t="shared" si="270"/>
        <v>182.26400000000029</v>
      </c>
      <c r="M71" s="438">
        <f t="shared" si="270"/>
        <v>209.6440000000004</v>
      </c>
      <c r="N71" s="438">
        <f t="shared" si="270"/>
        <v>213.4060000000002</v>
      </c>
      <c r="O71" s="438">
        <f t="shared" si="270"/>
        <v>296.19999999999959</v>
      </c>
      <c r="P71" s="438">
        <f t="shared" si="270"/>
        <v>298.27699999999936</v>
      </c>
      <c r="Q71" s="438">
        <f t="shared" si="270"/>
        <v>366.56499999999937</v>
      </c>
      <c r="R71" s="438">
        <f t="shared" si="270"/>
        <v>414.66999999999962</v>
      </c>
      <c r="S71" s="438">
        <f t="shared" si="270"/>
        <v>439.25799999999998</v>
      </c>
      <c r="T71" s="438">
        <f t="shared" si="270"/>
        <v>538.82499999999982</v>
      </c>
      <c r="U71" s="438">
        <f t="shared" si="270"/>
        <v>681.01300000000026</v>
      </c>
      <c r="V71" s="438">
        <f t="shared" si="270"/>
        <v>702.59900000000027</v>
      </c>
      <c r="W71" s="438">
        <f t="shared" si="270"/>
        <v>633.31900000000007</v>
      </c>
      <c r="X71" s="438">
        <f t="shared" si="270"/>
        <v>644.0430000000008</v>
      </c>
      <c r="Y71" s="438">
        <f t="shared" si="270"/>
        <v>666.66600000000017</v>
      </c>
      <c r="Z71" s="438">
        <f t="shared" si="270"/>
        <v>878.74500000000137</v>
      </c>
      <c r="AA71" s="438">
        <f t="shared" si="270"/>
        <v>883.17500000000132</v>
      </c>
      <c r="AB71" s="438">
        <f t="shared" ref="AB71:AZ71" si="271">SUM(Y62:AB62)</f>
        <v>808.89000000000078</v>
      </c>
      <c r="AC71" s="438">
        <f t="shared" si="271"/>
        <v>981.20600000000036</v>
      </c>
      <c r="AD71" s="438">
        <f t="shared" si="271"/>
        <v>716.48399999999924</v>
      </c>
      <c r="AE71" s="438">
        <f t="shared" si="271"/>
        <v>834.21099999999831</v>
      </c>
      <c r="AF71" s="438">
        <f t="shared" si="271"/>
        <v>878.75699999999836</v>
      </c>
      <c r="AG71" s="438">
        <f t="shared" si="271"/>
        <v>996.47199999999941</v>
      </c>
      <c r="AH71" s="438">
        <f t="shared" si="271"/>
        <v>1134.4619999999989</v>
      </c>
      <c r="AI71" s="438">
        <f t="shared" si="271"/>
        <v>983.57700000000045</v>
      </c>
      <c r="AJ71" s="438">
        <f t="shared" si="271"/>
        <v>1025.0729999999994</v>
      </c>
      <c r="AK71" s="438">
        <f t="shared" si="271"/>
        <v>1089.4689999999996</v>
      </c>
      <c r="AL71" s="438">
        <f t="shared" si="271"/>
        <v>1115.7860000000001</v>
      </c>
      <c r="AM71" s="438">
        <f t="shared" si="271"/>
        <v>1261.0469999999996</v>
      </c>
      <c r="AN71" s="438">
        <f t="shared" si="271"/>
        <v>1354.6640000000009</v>
      </c>
      <c r="AO71" s="438">
        <f t="shared" si="271"/>
        <v>953.25299999999902</v>
      </c>
      <c r="AP71" s="438">
        <f t="shared" si="271"/>
        <v>861.32499999999902</v>
      </c>
      <c r="AQ71" s="438">
        <f t="shared" si="271"/>
        <v>829.91900000000055</v>
      </c>
      <c r="AR71" s="438">
        <f t="shared" si="271"/>
        <v>720.60399999999868</v>
      </c>
      <c r="AS71" s="438">
        <f t="shared" si="271"/>
        <v>926.66999999999916</v>
      </c>
      <c r="AT71" s="1545">
        <f t="shared" si="271"/>
        <v>540.24999999999875</v>
      </c>
      <c r="AU71" s="1545">
        <f t="shared" si="271"/>
        <v>-2228.4880000000035</v>
      </c>
      <c r="AV71" s="1545">
        <f t="shared" si="271"/>
        <v>-2895.2050000000027</v>
      </c>
      <c r="AW71" s="1545">
        <f t="shared" si="271"/>
        <v>-3186.0470000000023</v>
      </c>
      <c r="AX71" s="1545">
        <f t="shared" si="271"/>
        <v>-3218.2060000000019</v>
      </c>
      <c r="AY71" s="1545">
        <f t="shared" si="271"/>
        <v>-483.75700000000131</v>
      </c>
      <c r="AZ71" s="1545">
        <f t="shared" si="271"/>
        <v>165.38199999999887</v>
      </c>
      <c r="BA71" s="1545">
        <f t="shared" ref="BA71:BJ71" si="272">SUM(AX62:BA62)</f>
        <v>835.12999999999909</v>
      </c>
      <c r="BB71" s="1545">
        <f t="shared" si="272"/>
        <v>1672.6799999999989</v>
      </c>
      <c r="BC71" s="1545">
        <f t="shared" si="272"/>
        <v>1745.1009999999997</v>
      </c>
      <c r="BD71" s="1545">
        <f t="shared" si="272"/>
        <v>1888.8349999999987</v>
      </c>
      <c r="BE71" s="1545">
        <f t="shared" si="272"/>
        <v>1632.3349999999982</v>
      </c>
      <c r="BF71" s="1545">
        <f t="shared" si="272"/>
        <v>1695.1179999999983</v>
      </c>
      <c r="BG71" s="1545">
        <f t="shared" si="272"/>
        <v>1927.5049999999976</v>
      </c>
      <c r="BH71" s="1545">
        <f t="shared" si="272"/>
        <v>2105.3679999999972</v>
      </c>
      <c r="BI71" s="1545">
        <f t="shared" si="272"/>
        <v>2930.7289999999966</v>
      </c>
      <c r="BJ71" s="1545">
        <f t="shared" si="272"/>
        <v>2746.6319999999973</v>
      </c>
      <c r="BK71" s="1697">
        <f t="shared" ref="BK71" si="273">SUM(BH62:BK62)</f>
        <v>2442.8999999999996</v>
      </c>
      <c r="BL71" s="294">
        <f t="shared" ref="BL71:BQ71" si="274">SUM(BI62:BL62)</f>
        <v>1997.405671279048</v>
      </c>
      <c r="BM71" s="294">
        <f t="shared" si="274"/>
        <v>1123.5562842488382</v>
      </c>
      <c r="BN71" s="294">
        <f t="shared" si="274"/>
        <v>889.50026957815032</v>
      </c>
      <c r="BO71" s="294">
        <f t="shared" si="274"/>
        <v>1189.0116036872332</v>
      </c>
      <c r="BP71" s="294">
        <f t="shared" si="274"/>
        <v>1787.613819533341</v>
      </c>
      <c r="BQ71" s="294">
        <f t="shared" si="274"/>
        <v>1901.1917619047153</v>
      </c>
      <c r="BR71" s="294">
        <f t="shared" ref="BR71:CK71" si="275">SUM(BO62:BR62)</f>
        <v>1816.6125465363884</v>
      </c>
      <c r="BS71" s="294">
        <f t="shared" si="275"/>
        <v>2132.0039743240272</v>
      </c>
      <c r="BT71" s="294">
        <f t="shared" si="275"/>
        <v>2324.6907488898032</v>
      </c>
      <c r="BU71" s="294">
        <f t="shared" si="275"/>
        <v>2805.9030071771958</v>
      </c>
      <c r="BV71" s="294">
        <f t="shared" si="275"/>
        <v>3447.3091132316472</v>
      </c>
      <c r="BW71" s="294">
        <f t="shared" si="275"/>
        <v>3686.7556311632798</v>
      </c>
      <c r="BX71" s="294">
        <f t="shared" si="275"/>
        <v>3812.5585266500129</v>
      </c>
      <c r="BY71" s="294">
        <f t="shared" si="275"/>
        <v>3841.7683674160317</v>
      </c>
      <c r="BZ71" s="294">
        <f t="shared" si="275"/>
        <v>3909.9741173957686</v>
      </c>
      <c r="CA71" s="294">
        <f t="shared" si="275"/>
        <v>4003.1409416097486</v>
      </c>
      <c r="CB71" s="294">
        <f t="shared" si="275"/>
        <v>4059.4540988888152</v>
      </c>
      <c r="CC71" s="294">
        <f t="shared" si="275"/>
        <v>4060.7166298501761</v>
      </c>
      <c r="CD71" s="294">
        <f t="shared" si="275"/>
        <v>4137.4743001596498</v>
      </c>
      <c r="CE71" s="294">
        <f t="shared" si="275"/>
        <v>4211.9476475523879</v>
      </c>
      <c r="CF71" s="294">
        <f t="shared" si="275"/>
        <v>4289.4766409262102</v>
      </c>
      <c r="CG71" s="294">
        <f t="shared" si="275"/>
        <v>4382.4137503565798</v>
      </c>
      <c r="CH71" s="294">
        <f t="shared" si="275"/>
        <v>4449.4867634802495</v>
      </c>
      <c r="CI71" s="294">
        <f t="shared" si="275"/>
        <v>4517.4257895337851</v>
      </c>
      <c r="CJ71" s="294">
        <f t="shared" si="275"/>
        <v>4590.1222379493192</v>
      </c>
      <c r="CK71" s="294">
        <f t="shared" si="275"/>
        <v>4679.1784124621308</v>
      </c>
      <c r="CL71" s="294">
        <f t="shared" ref="CL71" si="276">SUM(CI62:CL62)</f>
        <v>4747.8457509964237</v>
      </c>
      <c r="CM71" s="294">
        <f t="shared" ref="CM71" si="277">SUM(CJ62:CM62)</f>
        <v>4817.0142152118642</v>
      </c>
      <c r="CN71" s="294">
        <f t="shared" ref="CN71" si="278">SUM(CK62:CN62)</f>
        <v>4890.9234046022239</v>
      </c>
      <c r="CO71" s="294">
        <f t="shared" ref="CO71" si="279">SUM(CL62:CO62)</f>
        <v>4982.1373277645389</v>
      </c>
      <c r="CP71" s="294">
        <f t="shared" ref="CP71" si="280">SUM(CM62:CP62)</f>
        <v>5049.2563962030536</v>
      </c>
      <c r="CQ71" s="294">
        <f t="shared" ref="CQ71" si="281">SUM(CN62:CQ62)</f>
        <v>5115.7049503646804</v>
      </c>
      <c r="CR71" s="294">
        <f t="shared" ref="CR71" si="282">SUM(CO62:CR62)</f>
        <v>5187.8642786794762</v>
      </c>
      <c r="CS71" s="294">
        <f t="shared" ref="CS71" si="283">SUM(CP62:CS62)</f>
        <v>5276.6168806227579</v>
      </c>
      <c r="CT71" s="294">
        <f t="shared" ref="CT71" si="284">SUM(CQ62:CT62)</f>
        <v>5341.7181757829685</v>
      </c>
      <c r="CU71" s="294">
        <f t="shared" ref="CU71" si="285">SUM(CR62:CU62)</f>
        <v>5408.2122525695131</v>
      </c>
      <c r="CV71" s="294">
        <f t="shared" ref="CV71" si="286">SUM(CS62:CV62)</f>
        <v>5477.8081307765442</v>
      </c>
      <c r="CW71" s="294">
        <f t="shared" ref="CW71" si="287">SUM(CT62:CW62)</f>
        <v>5564.0902061198212</v>
      </c>
    </row>
    <row r="72" spans="1:101">
      <c r="A72" s="535" t="s">
        <v>241</v>
      </c>
      <c r="B72" s="989"/>
      <c r="C72" s="989"/>
      <c r="D72" s="989"/>
      <c r="E72" s="989">
        <f t="shared" ref="E72:AA72" si="288">-E70/E71</f>
        <v>0.28449020394562463</v>
      </c>
      <c r="F72" s="989">
        <f t="shared" si="288"/>
        <v>0</v>
      </c>
      <c r="G72" s="989">
        <f t="shared" si="288"/>
        <v>0.8569905436199059</v>
      </c>
      <c r="H72" s="989">
        <f t="shared" si="288"/>
        <v>0</v>
      </c>
      <c r="I72" s="989">
        <f t="shared" si="288"/>
        <v>0</v>
      </c>
      <c r="J72" s="989">
        <f t="shared" si="288"/>
        <v>0</v>
      </c>
      <c r="K72" s="989">
        <f t="shared" si="288"/>
        <v>1.0525647297100134</v>
      </c>
      <c r="L72" s="989">
        <f t="shared" si="288"/>
        <v>0</v>
      </c>
      <c r="M72" s="989">
        <f t="shared" si="288"/>
        <v>0</v>
      </c>
      <c r="N72" s="989">
        <f t="shared" si="288"/>
        <v>0</v>
      </c>
      <c r="O72" s="989">
        <f t="shared" si="288"/>
        <v>0</v>
      </c>
      <c r="P72" s="989">
        <f t="shared" si="288"/>
        <v>0</v>
      </c>
      <c r="Q72" s="989">
        <f t="shared" si="288"/>
        <v>0</v>
      </c>
      <c r="R72" s="989">
        <f t="shared" si="288"/>
        <v>6.465382111076283E-2</v>
      </c>
      <c r="S72" s="989">
        <f t="shared" si="288"/>
        <v>0.79148928420199527</v>
      </c>
      <c r="T72" s="989">
        <f t="shared" si="288"/>
        <v>0</v>
      </c>
      <c r="U72" s="989">
        <f t="shared" si="288"/>
        <v>-4.4933062951808565E-2</v>
      </c>
      <c r="V72" s="989">
        <f t="shared" si="288"/>
        <v>0</v>
      </c>
      <c r="W72" s="989">
        <f t="shared" si="288"/>
        <v>0</v>
      </c>
      <c r="X72" s="989">
        <f t="shared" si="288"/>
        <v>0</v>
      </c>
      <c r="Y72" s="989">
        <f t="shared" si="288"/>
        <v>0</v>
      </c>
      <c r="Z72" s="989">
        <f t="shared" si="288"/>
        <v>0</v>
      </c>
      <c r="AA72" s="989">
        <f t="shared" si="288"/>
        <v>0.47462054519206204</v>
      </c>
      <c r="AB72" s="989">
        <f t="shared" ref="AB72:AL72" si="289">-AB70/AB71</f>
        <v>0</v>
      </c>
      <c r="AC72" s="989">
        <f t="shared" si="289"/>
        <v>0</v>
      </c>
      <c r="AD72" s="989">
        <f t="shared" si="289"/>
        <v>0</v>
      </c>
      <c r="AE72" s="989">
        <f t="shared" si="289"/>
        <v>0.77291116995580411</v>
      </c>
      <c r="AF72" s="989">
        <f t="shared" si="289"/>
        <v>0</v>
      </c>
      <c r="AG72" s="989">
        <f t="shared" si="289"/>
        <v>0</v>
      </c>
      <c r="AH72" s="989">
        <f t="shared" si="289"/>
        <v>8.1956909971422659E-2</v>
      </c>
      <c r="AI72" s="989">
        <f t="shared" si="289"/>
        <v>0.57724306282070414</v>
      </c>
      <c r="AJ72" s="989">
        <f t="shared" si="289"/>
        <v>5.7223241661813376E-2</v>
      </c>
      <c r="AK72" s="989">
        <f t="shared" si="289"/>
        <v>0</v>
      </c>
      <c r="AL72" s="989">
        <f t="shared" si="289"/>
        <v>0</v>
      </c>
      <c r="AM72" s="989">
        <f t="shared" ref="AM72:AR72" si="290">-AM70/AM71</f>
        <v>0.57106832655721818</v>
      </c>
      <c r="AN72" s="989">
        <f t="shared" si="290"/>
        <v>0</v>
      </c>
      <c r="AO72" s="989">
        <f t="shared" si="290"/>
        <v>0</v>
      </c>
      <c r="AP72" s="989">
        <f t="shared" si="290"/>
        <v>0</v>
      </c>
      <c r="AQ72" s="989">
        <f t="shared" si="290"/>
        <v>0</v>
      </c>
      <c r="AR72" s="989">
        <f t="shared" si="290"/>
        <v>0</v>
      </c>
      <c r="AS72" s="989">
        <f t="shared" ref="AS72:BC72" si="291">-AS70/AS71</f>
        <v>0</v>
      </c>
      <c r="AT72" s="1743">
        <f t="shared" si="291"/>
        <v>0</v>
      </c>
      <c r="AU72" s="1743">
        <f t="shared" si="291"/>
        <v>0</v>
      </c>
      <c r="AV72" s="1743">
        <f t="shared" si="291"/>
        <v>0</v>
      </c>
      <c r="AW72" s="1743">
        <f t="shared" si="291"/>
        <v>0</v>
      </c>
      <c r="AX72" s="1743">
        <f t="shared" si="291"/>
        <v>0</v>
      </c>
      <c r="AY72" s="1743">
        <f t="shared" si="291"/>
        <v>0</v>
      </c>
      <c r="AZ72" s="1743">
        <f t="shared" si="291"/>
        <v>0</v>
      </c>
      <c r="BA72" s="1743">
        <f t="shared" si="291"/>
        <v>0</v>
      </c>
      <c r="BB72" s="1743">
        <f t="shared" si="291"/>
        <v>0</v>
      </c>
      <c r="BC72" s="1743">
        <f t="shared" si="291"/>
        <v>0</v>
      </c>
      <c r="BD72" s="1743">
        <f t="shared" ref="BD72:BI72" si="292">-BD70/BD71</f>
        <v>0</v>
      </c>
      <c r="BE72" s="1743">
        <f t="shared" si="292"/>
        <v>0</v>
      </c>
      <c r="BF72" s="1743">
        <f t="shared" si="292"/>
        <v>0</v>
      </c>
      <c r="BG72" s="1743">
        <f t="shared" si="292"/>
        <v>0</v>
      </c>
      <c r="BH72" s="1743">
        <f t="shared" si="292"/>
        <v>0</v>
      </c>
      <c r="BI72" s="1743">
        <f t="shared" si="292"/>
        <v>0</v>
      </c>
      <c r="BJ72" s="1743">
        <f t="shared" ref="BJ72:BK72" si="293">-BJ70/BJ71</f>
        <v>0</v>
      </c>
      <c r="BK72" s="1698">
        <f t="shared" si="293"/>
        <v>0.40035081255884408</v>
      </c>
      <c r="BL72" s="536">
        <f>Inputs!BL322</f>
        <v>0</v>
      </c>
      <c r="BM72" s="536">
        <f>Inputs!BM322</f>
        <v>0</v>
      </c>
      <c r="BN72" s="536">
        <f>Inputs!BN322</f>
        <v>0</v>
      </c>
      <c r="BO72" s="536">
        <f>Inputs!BO322</f>
        <v>0</v>
      </c>
      <c r="BP72" s="536">
        <f>Inputs!BP322</f>
        <v>0</v>
      </c>
      <c r="BQ72" s="536">
        <f>Inputs!BQ322</f>
        <v>0</v>
      </c>
      <c r="BR72" s="536">
        <f>Inputs!BR322</f>
        <v>0</v>
      </c>
      <c r="BS72" s="536">
        <f>Inputs!BS322</f>
        <v>0</v>
      </c>
      <c r="BT72" s="536">
        <f>Inputs!BT322</f>
        <v>0</v>
      </c>
      <c r="BU72" s="536">
        <f>Inputs!BU322</f>
        <v>0</v>
      </c>
      <c r="BV72" s="536">
        <f>Inputs!BV322</f>
        <v>0</v>
      </c>
      <c r="BW72" s="536">
        <f>Inputs!BW322</f>
        <v>0</v>
      </c>
      <c r="BX72" s="536">
        <f>Inputs!BX322</f>
        <v>0</v>
      </c>
      <c r="BY72" s="536">
        <f>Inputs!BY322</f>
        <v>0</v>
      </c>
      <c r="BZ72" s="536">
        <f>Inputs!BZ322</f>
        <v>0</v>
      </c>
      <c r="CA72" s="536">
        <f>Inputs!CA322</f>
        <v>0</v>
      </c>
      <c r="CB72" s="536">
        <f>Inputs!CB322</f>
        <v>0</v>
      </c>
      <c r="CC72" s="536">
        <f>Inputs!CC322</f>
        <v>0</v>
      </c>
      <c r="CD72" s="536">
        <f>Inputs!CD322</f>
        <v>0</v>
      </c>
      <c r="CE72" s="536">
        <f>Inputs!CE322</f>
        <v>0</v>
      </c>
      <c r="CF72" s="536">
        <f>Inputs!CF322</f>
        <v>0</v>
      </c>
      <c r="CG72" s="536">
        <f>Inputs!CG322</f>
        <v>0</v>
      </c>
      <c r="CH72" s="536">
        <f>Inputs!CH322</f>
        <v>0</v>
      </c>
      <c r="CI72" s="536">
        <f>Inputs!CI322</f>
        <v>0</v>
      </c>
      <c r="CJ72" s="536">
        <f>Inputs!CJ322</f>
        <v>0</v>
      </c>
      <c r="CK72" s="536">
        <f>Inputs!CK322</f>
        <v>0</v>
      </c>
      <c r="CL72" s="536">
        <f>Inputs!CL322</f>
        <v>0</v>
      </c>
      <c r="CM72" s="536">
        <f>Inputs!CM322</f>
        <v>0</v>
      </c>
      <c r="CN72" s="536">
        <f>Inputs!CN322</f>
        <v>0</v>
      </c>
      <c r="CO72" s="536">
        <f>Inputs!CO322</f>
        <v>0</v>
      </c>
      <c r="CP72" s="536">
        <f>Inputs!CP322</f>
        <v>0</v>
      </c>
      <c r="CQ72" s="536">
        <f>Inputs!CQ322</f>
        <v>0</v>
      </c>
      <c r="CR72" s="536">
        <f>Inputs!CR322</f>
        <v>0</v>
      </c>
      <c r="CS72" s="536">
        <f>Inputs!CS322</f>
        <v>0</v>
      </c>
      <c r="CT72" s="536">
        <f>Inputs!CT322</f>
        <v>0</v>
      </c>
      <c r="CU72" s="536">
        <f>Inputs!CU322</f>
        <v>0</v>
      </c>
      <c r="CV72" s="536">
        <f>Inputs!CV322</f>
        <v>0</v>
      </c>
      <c r="CW72" s="536">
        <f>Inputs!CW322</f>
        <v>0</v>
      </c>
    </row>
    <row r="73" spans="1:101">
      <c r="A73" s="535" t="s">
        <v>1116</v>
      </c>
      <c r="B73" s="989"/>
      <c r="C73" s="989"/>
      <c r="D73" s="989"/>
      <c r="E73" s="1114">
        <f>-E70/Q_Financials!E60</f>
        <v>6.9514788966434038E-2</v>
      </c>
      <c r="F73" s="1114">
        <f>-F70/Q_Financials!F60</f>
        <v>0</v>
      </c>
      <c r="G73" s="1114">
        <f>-G70/Q_Financials!G60</f>
        <v>0.40208925944090235</v>
      </c>
      <c r="H73" s="1114">
        <f>-H70/Q_Financials!H60</f>
        <v>0</v>
      </c>
      <c r="I73" s="1114">
        <f>-I70/Q_Financials!I60</f>
        <v>0</v>
      </c>
      <c r="J73" s="1114">
        <f>-J70/Q_Financials!J60</f>
        <v>0</v>
      </c>
      <c r="K73" s="1114">
        <f>-K70/Q_Financials!K60</f>
        <v>0.2006347129069197</v>
      </c>
      <c r="L73" s="1114">
        <f>-L70/Q_Financials!L60</f>
        <v>0</v>
      </c>
      <c r="M73" s="1114">
        <f>-M70/Q_Financials!M60</f>
        <v>0</v>
      </c>
      <c r="N73" s="1114">
        <f>-N70/Q_Financials!N60</f>
        <v>0</v>
      </c>
      <c r="O73" s="1114">
        <f>-O70/Q_Financials!O60</f>
        <v>0</v>
      </c>
      <c r="P73" s="1114">
        <f>-P70/Q_Financials!P60</f>
        <v>0</v>
      </c>
      <c r="Q73" s="1114">
        <f>-Q70/Q_Financials!Q60</f>
        <v>0</v>
      </c>
      <c r="R73" s="1114">
        <f>-R70/Q_Financials!R60</f>
        <v>3.8979354463506831E-2</v>
      </c>
      <c r="S73" s="1114">
        <f>-S70/Q_Financials!S60</f>
        <v>0.50643554260742896</v>
      </c>
      <c r="T73" s="1114">
        <f>-T70/Q_Financials!T60</f>
        <v>0</v>
      </c>
      <c r="U73" s="1114">
        <f>-U70/Q_Financials!U60</f>
        <v>-4.4489677231753448E-2</v>
      </c>
      <c r="V73" s="1114">
        <f>-V70/Q_Financials!V60</f>
        <v>0</v>
      </c>
      <c r="W73" s="1114">
        <f>-W70/Q_Financials!W60</f>
        <v>0</v>
      </c>
      <c r="X73" s="1114">
        <f>-X70/Q_Financials!X60</f>
        <v>0</v>
      </c>
      <c r="Y73" s="1114">
        <f>-Y70/Q_Financials!Y60</f>
        <v>0</v>
      </c>
      <c r="Z73" s="1114">
        <f>-Z70/Q_Financials!Z60</f>
        <v>0</v>
      </c>
      <c r="AA73" s="1114">
        <f>-AA70/Q_Financials!AA60</f>
        <v>0.4999081693500298</v>
      </c>
      <c r="AB73" s="1114">
        <f>-AB70/Q_Financials!AB60</f>
        <v>0</v>
      </c>
      <c r="AC73" s="1114">
        <f>-AC70/Q_Financials!AC60</f>
        <v>0</v>
      </c>
      <c r="AD73" s="1114">
        <f>-AD70/Q_Financials!AD60</f>
        <v>0</v>
      </c>
      <c r="AE73" s="1114">
        <f>-AE70/Q_Financials!AE60</f>
        <v>0.76996775734416045</v>
      </c>
      <c r="AF73" s="1114">
        <f>-AF70/Q_Financials!AF60</f>
        <v>0</v>
      </c>
      <c r="AG73" s="1114">
        <f>-AG70/Q_Financials!AG60</f>
        <v>0</v>
      </c>
      <c r="AH73" s="1114">
        <f>-AH70/Q_Financials!AH60</f>
        <v>0.11156347492200624</v>
      </c>
      <c r="AI73" s="1114">
        <f>-AI70/Q_Financials!AI60</f>
        <v>0.68003713019523304</v>
      </c>
      <c r="AJ73" s="1114">
        <f>-AJ70/Q_Financials!AJ60</f>
        <v>7.0324901090996261E-2</v>
      </c>
      <c r="AK73" s="1114">
        <f>-AK70/Q_Financials!AK60</f>
        <v>0</v>
      </c>
      <c r="AL73" s="1114">
        <f>-AL70/Q_Financials!AL60</f>
        <v>0</v>
      </c>
      <c r="AM73" s="1115">
        <f>-AM70/Q_Financials!AM60</f>
        <v>0.85884794275491949</v>
      </c>
      <c r="AN73" s="1115">
        <f>-AN70/Q_Financials!AN60</f>
        <v>0</v>
      </c>
      <c r="AO73" s="1115">
        <f>-AO70/Q_Financials!AO60</f>
        <v>0</v>
      </c>
      <c r="AP73" s="1115">
        <f>-AP70/Q_Financials!AP60</f>
        <v>0</v>
      </c>
      <c r="AQ73" s="1115">
        <f>-AQ70/Q_Financials!AQ60</f>
        <v>0</v>
      </c>
      <c r="AR73" s="1115">
        <f>-AR70/Q_Financials!AR60</f>
        <v>0</v>
      </c>
      <c r="AS73" s="1115">
        <f>-AS70/Q_Financials!AS60</f>
        <v>0</v>
      </c>
      <c r="AT73" s="1115">
        <f>-AT70/Q_Financials!AT60</f>
        <v>0</v>
      </c>
      <c r="AU73" s="1115">
        <f>-AU70/Q_Financials!AU60</f>
        <v>0</v>
      </c>
      <c r="AV73" s="1115">
        <f>-AV70/Q_Financials!AV60</f>
        <v>0</v>
      </c>
      <c r="AW73" s="1115">
        <f>-AW70/Q_Financials!AW60</f>
        <v>0</v>
      </c>
      <c r="AX73" s="1115">
        <f>-AX70/Q_Financials!AX60</f>
        <v>0</v>
      </c>
      <c r="AY73" s="1115">
        <f>-AY70/Q_Financials!AY60</f>
        <v>0</v>
      </c>
      <c r="AZ73" s="1115">
        <f>-AZ70/Q_Financials!AZ60</f>
        <v>0</v>
      </c>
      <c r="BA73" s="1115">
        <f>-BA70/Q_Financials!BA60</f>
        <v>0</v>
      </c>
      <c r="BB73" s="1115">
        <f>-BB70/Q_Financials!BB60</f>
        <v>0</v>
      </c>
      <c r="BC73" s="1115">
        <f>-BC70/Q_Financials!BC60</f>
        <v>0</v>
      </c>
      <c r="BD73" s="1115">
        <f>-BD70/Q_Financials!BD60</f>
        <v>0</v>
      </c>
      <c r="BE73" s="1115">
        <f>-BE70/Q_Financials!BE60</f>
        <v>0</v>
      </c>
      <c r="BF73" s="1115">
        <f>-BF70/Q_Financials!BF60</f>
        <v>0</v>
      </c>
      <c r="BG73" s="1115">
        <f>-BG70/Q_Financials!BG60</f>
        <v>0</v>
      </c>
      <c r="BH73" s="1115">
        <f>-BH70/Q_Financials!BH60</f>
        <v>0</v>
      </c>
      <c r="BI73" s="1115">
        <f>-BI70/Q_Financials!BI60</f>
        <v>0</v>
      </c>
      <c r="BJ73" s="1115">
        <f>-BJ70/Q_Financials!BJ60</f>
        <v>0</v>
      </c>
      <c r="BK73" s="1344">
        <f>-BK70/Q_Financials!BK60</f>
        <v>1.2000208588957055</v>
      </c>
      <c r="BL73" s="1116">
        <f>-BL70/Q_Financials!BL60</f>
        <v>0</v>
      </c>
      <c r="BM73" s="1116">
        <f>-BM70/Q_Financials!BM60</f>
        <v>0</v>
      </c>
      <c r="BN73" s="1116">
        <f>-BN70/Q_Financials!BN60</f>
        <v>0</v>
      </c>
      <c r="BO73" s="1116">
        <f>-BO70/Q_Financials!BO60</f>
        <v>0</v>
      </c>
      <c r="BP73" s="1116">
        <f>-BP70/Q_Financials!BP60</f>
        <v>0</v>
      </c>
      <c r="BQ73" s="1116">
        <f>-BQ70/Q_Financials!BQ60</f>
        <v>0</v>
      </c>
      <c r="BR73" s="1116">
        <f>-BR70/Q_Financials!BR60</f>
        <v>0</v>
      </c>
      <c r="BS73" s="1116">
        <f>-BS70/Q_Financials!BS60</f>
        <v>0</v>
      </c>
      <c r="BT73" s="1116">
        <f>-BT70/Q_Financials!BT60</f>
        <v>0</v>
      </c>
      <c r="BU73" s="1116">
        <f>-BU70/Q_Financials!BU60</f>
        <v>0</v>
      </c>
      <c r="BV73" s="1116">
        <f>-BV70/Q_Financials!BV60</f>
        <v>0</v>
      </c>
      <c r="BW73" s="1116">
        <f>-BW70/Q_Financials!BW60</f>
        <v>0</v>
      </c>
      <c r="BX73" s="1116">
        <f>-BX70/Q_Financials!BX60</f>
        <v>0</v>
      </c>
      <c r="BY73" s="1116">
        <f>-BY70/Q_Financials!BY60</f>
        <v>0</v>
      </c>
      <c r="BZ73" s="1116">
        <f>-BZ70/Q_Financials!BZ60</f>
        <v>0</v>
      </c>
      <c r="CA73" s="1116">
        <f>-CA70/Q_Financials!CA60</f>
        <v>0</v>
      </c>
      <c r="CB73" s="1116">
        <f>-CB70/Q_Financials!CB60</f>
        <v>0</v>
      </c>
      <c r="CC73" s="1116">
        <f>-CC70/Q_Financials!CC60</f>
        <v>0</v>
      </c>
      <c r="CD73" s="1116">
        <f>-CD70/Q_Financials!CD60</f>
        <v>0</v>
      </c>
      <c r="CE73" s="1116">
        <f>-CE70/Q_Financials!CE60</f>
        <v>0</v>
      </c>
      <c r="CF73" s="1116">
        <f>-CF70/Q_Financials!CF60</f>
        <v>0</v>
      </c>
      <c r="CG73" s="1116">
        <f>-CG70/Q_Financials!CG60</f>
        <v>0</v>
      </c>
      <c r="CH73" s="1116">
        <f>-CH70/Q_Financials!CH60</f>
        <v>0</v>
      </c>
      <c r="CI73" s="1116">
        <f>-CI70/Q_Financials!CI60</f>
        <v>0</v>
      </c>
      <c r="CJ73" s="1116">
        <f>-CJ70/Q_Financials!CJ60</f>
        <v>0</v>
      </c>
      <c r="CK73" s="1116">
        <f>-CK70/Q_Financials!CK60</f>
        <v>0</v>
      </c>
      <c r="CL73" s="1116">
        <f>-CL70/Q_Financials!CL60</f>
        <v>0</v>
      </c>
      <c r="CM73" s="1116">
        <f>-CM70/Q_Financials!CM60</f>
        <v>0</v>
      </c>
      <c r="CN73" s="1116">
        <f>-CN70/Q_Financials!CN60</f>
        <v>0</v>
      </c>
      <c r="CO73" s="1116">
        <f>-CO70/Q_Financials!CO60</f>
        <v>0</v>
      </c>
      <c r="CP73" s="1116">
        <f>-CP70/Q_Financials!CP60</f>
        <v>0</v>
      </c>
      <c r="CQ73" s="1116">
        <f>-CQ70/Q_Financials!CQ60</f>
        <v>0</v>
      </c>
      <c r="CR73" s="1116">
        <f>-CR70/Q_Financials!CR60</f>
        <v>0</v>
      </c>
      <c r="CS73" s="1116">
        <f>-CS70/Q_Financials!CS60</f>
        <v>0</v>
      </c>
      <c r="CT73" s="1116">
        <f>-CT70/Q_Financials!CT60</f>
        <v>0</v>
      </c>
      <c r="CU73" s="1116">
        <f>-CU70/Q_Financials!CU60</f>
        <v>0</v>
      </c>
      <c r="CV73" s="1116">
        <f>-CV70/Q_Financials!CV60</f>
        <v>0</v>
      </c>
      <c r="CW73" s="1116">
        <f>-CW70/Q_Financials!CW60</f>
        <v>0</v>
      </c>
    </row>
    <row r="74" spans="1:101">
      <c r="A74" s="91"/>
      <c r="B74" s="988"/>
      <c r="C74" s="988"/>
      <c r="D74" s="988"/>
      <c r="E74" s="988"/>
      <c r="F74" s="988"/>
      <c r="G74" s="988"/>
      <c r="H74" s="988"/>
      <c r="I74" s="988"/>
      <c r="J74" s="988"/>
      <c r="K74" s="988"/>
      <c r="L74" s="988"/>
      <c r="M74" s="988"/>
      <c r="N74" s="988"/>
      <c r="O74" s="988"/>
      <c r="P74" s="988"/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8"/>
      <c r="AJ74" s="988"/>
      <c r="AK74" s="988"/>
      <c r="AL74" s="988"/>
      <c r="AM74" s="988"/>
      <c r="AN74" s="988"/>
      <c r="AO74" s="988"/>
      <c r="AP74" s="296"/>
      <c r="AQ74" s="296"/>
      <c r="AR74" s="296"/>
      <c r="AS74" s="296"/>
      <c r="AT74" s="1707"/>
      <c r="AU74" s="1707"/>
      <c r="AV74" s="1707"/>
      <c r="AW74" s="1707"/>
      <c r="AX74" s="1707"/>
      <c r="AY74" s="1707"/>
      <c r="AZ74" s="1707"/>
      <c r="BA74" s="1707"/>
      <c r="BB74" s="1707"/>
      <c r="BC74" s="1707"/>
      <c r="BD74" s="1707"/>
      <c r="BE74" s="1707"/>
      <c r="BF74" s="1707"/>
      <c r="BG74" s="1707"/>
      <c r="BH74" s="1707"/>
      <c r="BI74" s="1707"/>
      <c r="BJ74" s="1707"/>
      <c r="BK74" s="16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  <c r="CK74" s="296"/>
      <c r="CL74" s="296"/>
      <c r="CM74" s="296"/>
      <c r="CN74" s="296"/>
      <c r="CO74" s="296"/>
      <c r="CP74" s="296"/>
      <c r="CQ74" s="296"/>
      <c r="CR74" s="296"/>
      <c r="CS74" s="296"/>
      <c r="CT74" s="296"/>
      <c r="CU74" s="296"/>
      <c r="CV74" s="296"/>
      <c r="CW74" s="296"/>
    </row>
    <row r="75" spans="1:101">
      <c r="A75" s="93" t="s">
        <v>550</v>
      </c>
      <c r="B75" s="610"/>
      <c r="C75" s="610"/>
      <c r="D75" s="610"/>
      <c r="E75" s="610"/>
      <c r="F75" s="610"/>
      <c r="G75" s="610"/>
      <c r="H75" s="988"/>
      <c r="I75" s="988"/>
      <c r="J75" s="610"/>
      <c r="K75" s="610"/>
      <c r="L75" s="988"/>
      <c r="M75" s="988"/>
      <c r="N75" s="988"/>
      <c r="O75" s="988"/>
      <c r="P75" s="988"/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8"/>
      <c r="AJ75" s="988"/>
      <c r="AK75" s="988"/>
      <c r="AL75" s="988"/>
      <c r="AM75" s="988"/>
      <c r="AN75" s="988"/>
      <c r="AO75" s="988"/>
      <c r="AP75" s="296"/>
      <c r="AQ75" s="296"/>
      <c r="AR75" s="296"/>
      <c r="AS75" s="296"/>
      <c r="AT75" s="1707"/>
      <c r="AU75" s="1707"/>
      <c r="AV75" s="1707"/>
      <c r="AW75" s="1707"/>
      <c r="AX75" s="1707"/>
      <c r="AY75" s="1707"/>
      <c r="AZ75" s="1707"/>
      <c r="BA75" s="1707"/>
      <c r="BB75" s="1707"/>
      <c r="BC75" s="1707"/>
      <c r="BD75" s="1707"/>
      <c r="BE75" s="1707"/>
      <c r="BF75" s="1707"/>
      <c r="BG75" s="1707"/>
      <c r="BH75" s="1707"/>
      <c r="BI75" s="1707"/>
      <c r="BJ75" s="1707"/>
      <c r="BK75" s="1696"/>
      <c r="BL75" s="296"/>
      <c r="BM75" s="296"/>
      <c r="BN75" s="296"/>
      <c r="BO75" s="296"/>
      <c r="BP75" s="296"/>
      <c r="BQ75" s="296"/>
      <c r="BR75" s="296"/>
      <c r="BS75" s="296"/>
      <c r="BT75" s="296"/>
      <c r="BU75" s="296"/>
      <c r="BV75" s="296"/>
      <c r="BW75" s="296"/>
      <c r="BX75" s="296"/>
      <c r="BY75" s="296"/>
      <c r="BZ75" s="296"/>
      <c r="CA75" s="296"/>
      <c r="CB75" s="296"/>
      <c r="CC75" s="296"/>
      <c r="CD75" s="296"/>
      <c r="CE75" s="296"/>
      <c r="CF75" s="296"/>
      <c r="CG75" s="296"/>
      <c r="CH75" s="296"/>
      <c r="CI75" s="296"/>
      <c r="CJ75" s="296"/>
      <c r="CK75" s="296"/>
      <c r="CL75" s="296"/>
      <c r="CM75" s="296"/>
      <c r="CN75" s="296"/>
      <c r="CO75" s="296"/>
      <c r="CP75" s="296"/>
      <c r="CQ75" s="296"/>
      <c r="CR75" s="296"/>
      <c r="CS75" s="296"/>
      <c r="CT75" s="296"/>
      <c r="CU75" s="296"/>
      <c r="CV75" s="296"/>
      <c r="CW75" s="296"/>
    </row>
    <row r="76" spans="1:101">
      <c r="A76" s="42" t="s">
        <v>236</v>
      </c>
      <c r="B76" s="438">
        <f t="shared" ref="B76:AA76" si="294">B93</f>
        <v>0</v>
      </c>
      <c r="C76" s="438">
        <f t="shared" si="294"/>
        <v>0</v>
      </c>
      <c r="D76" s="438">
        <f t="shared" si="294"/>
        <v>0</v>
      </c>
      <c r="E76" s="438">
        <f t="shared" si="294"/>
        <v>0</v>
      </c>
      <c r="F76" s="438">
        <f t="shared" si="294"/>
        <v>7</v>
      </c>
      <c r="G76" s="438">
        <f t="shared" si="294"/>
        <v>2.9000000000000909</v>
      </c>
      <c r="H76" s="438">
        <f t="shared" si="294"/>
        <v>0</v>
      </c>
      <c r="I76" s="438">
        <f t="shared" si="294"/>
        <v>0</v>
      </c>
      <c r="J76" s="438">
        <f t="shared" si="294"/>
        <v>6.5</v>
      </c>
      <c r="K76" s="438">
        <f t="shared" si="294"/>
        <v>0</v>
      </c>
      <c r="L76" s="438">
        <f t="shared" si="294"/>
        <v>0</v>
      </c>
      <c r="M76" s="438">
        <f t="shared" si="294"/>
        <v>0</v>
      </c>
      <c r="N76" s="438">
        <f t="shared" si="294"/>
        <v>11.799999999999955</v>
      </c>
      <c r="O76" s="438">
        <f t="shared" si="294"/>
        <v>16.470000000000027</v>
      </c>
      <c r="P76" s="438">
        <f t="shared" si="294"/>
        <v>0</v>
      </c>
      <c r="Q76" s="438">
        <f t="shared" si="294"/>
        <v>53.529999999999973</v>
      </c>
      <c r="R76" s="438">
        <f t="shared" si="294"/>
        <v>0</v>
      </c>
      <c r="S76" s="438">
        <f t="shared" si="294"/>
        <v>0</v>
      </c>
      <c r="T76" s="438">
        <f t="shared" si="294"/>
        <v>1.2999999999999545</v>
      </c>
      <c r="U76" s="438">
        <f t="shared" si="294"/>
        <v>0</v>
      </c>
      <c r="V76" s="438">
        <f t="shared" si="294"/>
        <v>0</v>
      </c>
      <c r="W76" s="438">
        <f t="shared" si="294"/>
        <v>150.80000000000007</v>
      </c>
      <c r="X76" s="438">
        <f t="shared" si="294"/>
        <v>0</v>
      </c>
      <c r="Y76" s="438">
        <f t="shared" si="294"/>
        <v>0</v>
      </c>
      <c r="Z76" s="438">
        <f t="shared" si="294"/>
        <v>0.5</v>
      </c>
      <c r="AA76" s="438">
        <f t="shared" si="294"/>
        <v>0.39999999999997726</v>
      </c>
      <c r="AB76" s="438">
        <f t="shared" ref="AB76:AL76" si="295">AB93</f>
        <v>0</v>
      </c>
      <c r="AC76" s="438">
        <f t="shared" si="295"/>
        <v>0</v>
      </c>
      <c r="AD76" s="438">
        <f t="shared" si="295"/>
        <v>0</v>
      </c>
      <c r="AE76" s="438">
        <f t="shared" si="295"/>
        <v>0</v>
      </c>
      <c r="AF76" s="438">
        <f t="shared" si="295"/>
        <v>0</v>
      </c>
      <c r="AG76" s="438">
        <f t="shared" si="295"/>
        <v>0</v>
      </c>
      <c r="AH76" s="438">
        <f t="shared" si="295"/>
        <v>0</v>
      </c>
      <c r="AI76" s="438">
        <f t="shared" si="295"/>
        <v>1.5</v>
      </c>
      <c r="AJ76" s="438">
        <f t="shared" si="295"/>
        <v>0</v>
      </c>
      <c r="AK76" s="438">
        <f t="shared" si="295"/>
        <v>0</v>
      </c>
      <c r="AL76" s="438">
        <f t="shared" si="295"/>
        <v>5</v>
      </c>
      <c r="AM76" s="438">
        <f t="shared" ref="AM76:AR76" si="296">AM93</f>
        <v>0.70000000000004547</v>
      </c>
      <c r="AN76" s="438">
        <f t="shared" si="296"/>
        <v>0</v>
      </c>
      <c r="AO76" s="438">
        <f t="shared" si="296"/>
        <v>0</v>
      </c>
      <c r="AP76" s="438">
        <f t="shared" si="296"/>
        <v>0</v>
      </c>
      <c r="AQ76" s="438">
        <f t="shared" si="296"/>
        <v>0</v>
      </c>
      <c r="AR76" s="438">
        <f t="shared" si="296"/>
        <v>0</v>
      </c>
      <c r="AS76" s="438">
        <f t="shared" ref="AS76:BC76" si="297">AS93</f>
        <v>7.7999999999999545</v>
      </c>
      <c r="AT76" s="1545">
        <f t="shared" si="297"/>
        <v>0</v>
      </c>
      <c r="AU76" s="1545">
        <f t="shared" si="297"/>
        <v>0</v>
      </c>
      <c r="AV76" s="1545">
        <f t="shared" si="297"/>
        <v>0</v>
      </c>
      <c r="AW76" s="1545">
        <f t="shared" si="297"/>
        <v>5.6000000000000227</v>
      </c>
      <c r="AX76" s="1545">
        <f t="shared" si="297"/>
        <v>0.10000000000002274</v>
      </c>
      <c r="AY76" s="1545">
        <f t="shared" si="297"/>
        <v>0</v>
      </c>
      <c r="AZ76" s="1545">
        <f t="shared" si="297"/>
        <v>0</v>
      </c>
      <c r="BA76" s="1545">
        <f t="shared" si="297"/>
        <v>0</v>
      </c>
      <c r="BB76" s="1545">
        <f t="shared" si="297"/>
        <v>0</v>
      </c>
      <c r="BC76" s="1545">
        <f t="shared" si="297"/>
        <v>0</v>
      </c>
      <c r="BD76" s="1545">
        <f t="shared" ref="BD76:BI76" si="298">BD93</f>
        <v>0</v>
      </c>
      <c r="BE76" s="1545">
        <f t="shared" si="298"/>
        <v>0</v>
      </c>
      <c r="BF76" s="1545">
        <f t="shared" si="298"/>
        <v>0</v>
      </c>
      <c r="BG76" s="1545">
        <f t="shared" si="298"/>
        <v>0</v>
      </c>
      <c r="BH76" s="1545">
        <f t="shared" si="298"/>
        <v>0</v>
      </c>
      <c r="BI76" s="1545">
        <f t="shared" si="298"/>
        <v>0</v>
      </c>
      <c r="BJ76" s="1545">
        <f t="shared" ref="BJ76:BK76" si="299">BJ93</f>
        <v>5.3999999999999773</v>
      </c>
      <c r="BK76" s="1697">
        <f t="shared" si="299"/>
        <v>0</v>
      </c>
      <c r="BL76" s="538">
        <v>0</v>
      </c>
      <c r="BM76" s="538">
        <v>0</v>
      </c>
      <c r="BN76" s="538">
        <v>0</v>
      </c>
      <c r="BO76" s="538">
        <v>0</v>
      </c>
      <c r="BP76" s="538">
        <v>0</v>
      </c>
      <c r="BQ76" s="538">
        <v>0</v>
      </c>
      <c r="BR76" s="538">
        <v>0</v>
      </c>
      <c r="BS76" s="538">
        <v>0</v>
      </c>
      <c r="BT76" s="538">
        <v>0</v>
      </c>
      <c r="BU76" s="538">
        <v>0</v>
      </c>
      <c r="BV76" s="538">
        <v>0</v>
      </c>
      <c r="BW76" s="538">
        <v>0</v>
      </c>
      <c r="BX76" s="538">
        <v>0</v>
      </c>
      <c r="BY76" s="538">
        <v>0</v>
      </c>
      <c r="BZ76" s="538">
        <v>0</v>
      </c>
      <c r="CA76" s="538">
        <v>0</v>
      </c>
      <c r="CB76" s="538">
        <v>0</v>
      </c>
      <c r="CC76" s="538">
        <v>0</v>
      </c>
      <c r="CD76" s="538">
        <v>0</v>
      </c>
      <c r="CE76" s="538">
        <v>0</v>
      </c>
      <c r="CF76" s="538">
        <v>0</v>
      </c>
      <c r="CG76" s="538">
        <v>0</v>
      </c>
      <c r="CH76" s="538">
        <v>0</v>
      </c>
      <c r="CI76" s="538">
        <v>0</v>
      </c>
      <c r="CJ76" s="538">
        <v>0</v>
      </c>
      <c r="CK76" s="538">
        <v>0</v>
      </c>
      <c r="CL76" s="538">
        <v>0</v>
      </c>
      <c r="CM76" s="538">
        <v>0</v>
      </c>
      <c r="CN76" s="538">
        <v>0</v>
      </c>
      <c r="CO76" s="538">
        <v>0</v>
      </c>
      <c r="CP76" s="538">
        <v>0</v>
      </c>
      <c r="CQ76" s="538">
        <v>0</v>
      </c>
      <c r="CR76" s="538">
        <v>0</v>
      </c>
      <c r="CS76" s="538">
        <v>0</v>
      </c>
      <c r="CT76" s="538">
        <v>0</v>
      </c>
      <c r="CU76" s="538">
        <v>0</v>
      </c>
      <c r="CV76" s="538">
        <v>0</v>
      </c>
      <c r="CW76" s="538">
        <v>0</v>
      </c>
    </row>
    <row r="77" spans="1:101">
      <c r="A77" s="42" t="s">
        <v>388</v>
      </c>
      <c r="B77" s="610" t="str">
        <f t="shared" ref="B77:AA77" si="300">IFERROR(B78/B76,"NM")</f>
        <v>NM</v>
      </c>
      <c r="C77" s="610" t="str">
        <f t="shared" si="300"/>
        <v>NM</v>
      </c>
      <c r="D77" s="610" t="str">
        <f t="shared" si="300"/>
        <v>NM</v>
      </c>
      <c r="E77" s="610" t="str">
        <f t="shared" si="300"/>
        <v>NM</v>
      </c>
      <c r="F77" s="610">
        <f t="shared" si="300"/>
        <v>0</v>
      </c>
      <c r="G77" s="610">
        <f t="shared" si="300"/>
        <v>0</v>
      </c>
      <c r="H77" s="610" t="str">
        <f t="shared" si="300"/>
        <v>NM</v>
      </c>
      <c r="I77" s="610" t="str">
        <f t="shared" si="300"/>
        <v>NM</v>
      </c>
      <c r="J77" s="610">
        <f t="shared" si="300"/>
        <v>0</v>
      </c>
      <c r="K77" s="610" t="str">
        <f t="shared" si="300"/>
        <v>NM</v>
      </c>
      <c r="L77" s="610" t="str">
        <f t="shared" si="300"/>
        <v>NM</v>
      </c>
      <c r="M77" s="610" t="str">
        <f t="shared" si="300"/>
        <v>NM</v>
      </c>
      <c r="N77" s="610">
        <f t="shared" si="300"/>
        <v>0</v>
      </c>
      <c r="O77" s="610">
        <f t="shared" si="300"/>
        <v>0</v>
      </c>
      <c r="P77" s="610" t="str">
        <f t="shared" si="300"/>
        <v>NM</v>
      </c>
      <c r="Q77" s="610">
        <f t="shared" si="300"/>
        <v>0</v>
      </c>
      <c r="R77" s="610" t="str">
        <f t="shared" si="300"/>
        <v>NM</v>
      </c>
      <c r="S77" s="610" t="str">
        <f t="shared" si="300"/>
        <v>NM</v>
      </c>
      <c r="T77" s="610">
        <f t="shared" si="300"/>
        <v>0</v>
      </c>
      <c r="U77" s="610" t="str">
        <f t="shared" si="300"/>
        <v>NM</v>
      </c>
      <c r="V77" s="610" t="str">
        <f t="shared" si="300"/>
        <v>NM</v>
      </c>
      <c r="W77" s="610">
        <f t="shared" si="300"/>
        <v>44.147619363395208</v>
      </c>
      <c r="X77" s="610" t="str">
        <f t="shared" si="300"/>
        <v>NM</v>
      </c>
      <c r="Y77" s="610" t="str">
        <f t="shared" si="300"/>
        <v>NM</v>
      </c>
      <c r="Z77" s="610">
        <f t="shared" si="300"/>
        <v>0</v>
      </c>
      <c r="AA77" s="610">
        <f t="shared" si="300"/>
        <v>0</v>
      </c>
      <c r="AB77" s="610" t="str">
        <f t="shared" ref="AB77:AL77" si="301">IFERROR(AB78/AB76,"NM")</f>
        <v>NM</v>
      </c>
      <c r="AC77" s="610" t="str">
        <f t="shared" si="301"/>
        <v>NM</v>
      </c>
      <c r="AD77" s="610" t="str">
        <f t="shared" si="301"/>
        <v>NM</v>
      </c>
      <c r="AE77" s="610" t="str">
        <f t="shared" si="301"/>
        <v>NM</v>
      </c>
      <c r="AF77" s="610" t="str">
        <f t="shared" si="301"/>
        <v>NM</v>
      </c>
      <c r="AG77" s="610" t="str">
        <f t="shared" si="301"/>
        <v>NM</v>
      </c>
      <c r="AH77" s="610" t="str">
        <f t="shared" si="301"/>
        <v>NM</v>
      </c>
      <c r="AI77" s="610">
        <f t="shared" si="301"/>
        <v>0</v>
      </c>
      <c r="AJ77" s="610" t="str">
        <f t="shared" si="301"/>
        <v>NM</v>
      </c>
      <c r="AK77" s="610" t="str">
        <f t="shared" si="301"/>
        <v>NM</v>
      </c>
      <c r="AL77" s="610">
        <f t="shared" si="301"/>
        <v>0</v>
      </c>
      <c r="AM77" s="610">
        <f t="shared" ref="AM77:AR77" si="302">IFERROR(AM78/AM76,"NM")</f>
        <v>0</v>
      </c>
      <c r="AN77" s="610" t="str">
        <f t="shared" si="302"/>
        <v>NM</v>
      </c>
      <c r="AO77" s="610" t="str">
        <f t="shared" si="302"/>
        <v>NM</v>
      </c>
      <c r="AP77" s="610" t="str">
        <f t="shared" si="302"/>
        <v>NM</v>
      </c>
      <c r="AQ77" s="610" t="str">
        <f t="shared" si="302"/>
        <v>NM</v>
      </c>
      <c r="AR77" s="610" t="str">
        <f t="shared" si="302"/>
        <v>NM</v>
      </c>
      <c r="AS77" s="610">
        <f t="shared" ref="AS77:BC77" si="303">IFERROR(AS78/AS76,"NM")</f>
        <v>0</v>
      </c>
      <c r="AT77" s="1744" t="str">
        <f t="shared" si="303"/>
        <v>NM</v>
      </c>
      <c r="AU77" s="1744" t="str">
        <f t="shared" si="303"/>
        <v>NM</v>
      </c>
      <c r="AV77" s="1744" t="str">
        <f t="shared" si="303"/>
        <v>NM</v>
      </c>
      <c r="AW77" s="1744">
        <f t="shared" si="303"/>
        <v>0</v>
      </c>
      <c r="AX77" s="1744">
        <f t="shared" si="303"/>
        <v>0</v>
      </c>
      <c r="AY77" s="1744" t="str">
        <f t="shared" si="303"/>
        <v>NM</v>
      </c>
      <c r="AZ77" s="1744" t="str">
        <f t="shared" si="303"/>
        <v>NM</v>
      </c>
      <c r="BA77" s="1744" t="str">
        <f t="shared" si="303"/>
        <v>NM</v>
      </c>
      <c r="BB77" s="1744" t="str">
        <f t="shared" si="303"/>
        <v>NM</v>
      </c>
      <c r="BC77" s="1744" t="str">
        <f t="shared" si="303"/>
        <v>NM</v>
      </c>
      <c r="BD77" s="1744" t="str">
        <f t="shared" ref="BD77:BI77" si="304">IFERROR(BD78/BD76,"NM")</f>
        <v>NM</v>
      </c>
      <c r="BE77" s="1744" t="str">
        <f t="shared" si="304"/>
        <v>NM</v>
      </c>
      <c r="BF77" s="1744" t="str">
        <f t="shared" si="304"/>
        <v>NM</v>
      </c>
      <c r="BG77" s="1744" t="str">
        <f t="shared" si="304"/>
        <v>NM</v>
      </c>
      <c r="BH77" s="1744" t="str">
        <f t="shared" si="304"/>
        <v>NM</v>
      </c>
      <c r="BI77" s="1744" t="str">
        <f t="shared" si="304"/>
        <v>NM</v>
      </c>
      <c r="BJ77" s="1744">
        <f t="shared" ref="BJ77:BK77" si="305">IFERROR(BJ78/BJ76,"NM")</f>
        <v>0</v>
      </c>
      <c r="BK77" s="1699" t="str">
        <f t="shared" si="305"/>
        <v>NM</v>
      </c>
      <c r="BL77" s="636">
        <f>Index!$H$36</f>
        <v>61.26</v>
      </c>
      <c r="BM77" s="636">
        <f>Index!$H$36</f>
        <v>61.26</v>
      </c>
      <c r="BN77" s="636">
        <f>Index!$H$36</f>
        <v>61.26</v>
      </c>
      <c r="BO77" s="636">
        <f>Index!$H$36</f>
        <v>61.26</v>
      </c>
      <c r="BP77" s="636">
        <f>Index!$H$36</f>
        <v>61.26</v>
      </c>
      <c r="BQ77" s="636">
        <f>Index!$H$36</f>
        <v>61.26</v>
      </c>
      <c r="BR77" s="636">
        <f>Index!$H$36</f>
        <v>61.26</v>
      </c>
      <c r="BS77" s="636">
        <f>Index!$H$36</f>
        <v>61.26</v>
      </c>
      <c r="BT77" s="636">
        <f>Index!$H$36</f>
        <v>61.26</v>
      </c>
      <c r="BU77" s="636">
        <f>Index!$H$36</f>
        <v>61.26</v>
      </c>
      <c r="BV77" s="636">
        <f>Index!$H$36</f>
        <v>61.26</v>
      </c>
      <c r="BW77" s="636">
        <f>Index!$H$36</f>
        <v>61.26</v>
      </c>
      <c r="BX77" s="636">
        <f>Index!$H$36</f>
        <v>61.26</v>
      </c>
      <c r="BY77" s="636">
        <f>Index!$H$36</f>
        <v>61.26</v>
      </c>
      <c r="BZ77" s="636">
        <f>Index!$H$36</f>
        <v>61.26</v>
      </c>
      <c r="CA77" s="636">
        <f>Index!$H$36</f>
        <v>61.26</v>
      </c>
      <c r="CB77" s="636">
        <f>Index!$H$36</f>
        <v>61.26</v>
      </c>
      <c r="CC77" s="636">
        <f>Index!$H$36</f>
        <v>61.26</v>
      </c>
      <c r="CD77" s="636">
        <f>Index!$H$36</f>
        <v>61.26</v>
      </c>
      <c r="CE77" s="636">
        <f>Index!$H$36</f>
        <v>61.26</v>
      </c>
      <c r="CF77" s="636">
        <f>Index!$H$36</f>
        <v>61.26</v>
      </c>
      <c r="CG77" s="636">
        <f>Index!$H$36</f>
        <v>61.26</v>
      </c>
      <c r="CH77" s="636">
        <f>Index!$H$36</f>
        <v>61.26</v>
      </c>
      <c r="CI77" s="636">
        <f>Index!$H$36</f>
        <v>61.26</v>
      </c>
      <c r="CJ77" s="636">
        <f>Index!$H$36</f>
        <v>61.26</v>
      </c>
      <c r="CK77" s="636">
        <f>Index!$H$36</f>
        <v>61.26</v>
      </c>
      <c r="CL77" s="636">
        <f>Index!$H$36</f>
        <v>61.26</v>
      </c>
      <c r="CM77" s="636">
        <f>Index!$H$36</f>
        <v>61.26</v>
      </c>
      <c r="CN77" s="636">
        <f>Index!$H$36</f>
        <v>61.26</v>
      </c>
      <c r="CO77" s="636">
        <f>Index!$H$36</f>
        <v>61.26</v>
      </c>
      <c r="CP77" s="636">
        <f>Index!$H$36</f>
        <v>61.26</v>
      </c>
      <c r="CQ77" s="636">
        <f>Index!$H$36</f>
        <v>61.26</v>
      </c>
      <c r="CR77" s="636">
        <f>Index!$H$36</f>
        <v>61.26</v>
      </c>
      <c r="CS77" s="636">
        <f>Index!$H$36</f>
        <v>61.26</v>
      </c>
      <c r="CT77" s="636">
        <f>Index!$H$36</f>
        <v>61.26</v>
      </c>
      <c r="CU77" s="636">
        <f>Index!$H$36</f>
        <v>61.26</v>
      </c>
      <c r="CV77" s="636">
        <f>Index!$H$36</f>
        <v>61.26</v>
      </c>
      <c r="CW77" s="636">
        <f>Index!$H$36</f>
        <v>61.26</v>
      </c>
    </row>
    <row r="78" spans="1:101">
      <c r="A78" s="42" t="s">
        <v>770</v>
      </c>
      <c r="B78" s="438">
        <f t="shared" ref="B78:AA78" si="306">B63</f>
        <v>0</v>
      </c>
      <c r="C78" s="438">
        <f t="shared" si="306"/>
        <v>0</v>
      </c>
      <c r="D78" s="438">
        <f t="shared" si="306"/>
        <v>0</v>
      </c>
      <c r="E78" s="438">
        <f t="shared" si="306"/>
        <v>0</v>
      </c>
      <c r="F78" s="438">
        <f t="shared" si="306"/>
        <v>0</v>
      </c>
      <c r="G78" s="438">
        <f t="shared" si="306"/>
        <v>0</v>
      </c>
      <c r="H78" s="438">
        <f t="shared" si="306"/>
        <v>0</v>
      </c>
      <c r="I78" s="438">
        <f t="shared" si="306"/>
        <v>0</v>
      </c>
      <c r="J78" s="438">
        <f t="shared" si="306"/>
        <v>0</v>
      </c>
      <c r="K78" s="438">
        <f t="shared" si="306"/>
        <v>0</v>
      </c>
      <c r="L78" s="438">
        <f t="shared" si="306"/>
        <v>0</v>
      </c>
      <c r="M78" s="438">
        <f t="shared" si="306"/>
        <v>0</v>
      </c>
      <c r="N78" s="438">
        <f t="shared" si="306"/>
        <v>0</v>
      </c>
      <c r="O78" s="438">
        <f t="shared" si="306"/>
        <v>0</v>
      </c>
      <c r="P78" s="438">
        <f t="shared" si="306"/>
        <v>0</v>
      </c>
      <c r="Q78" s="438">
        <f t="shared" si="306"/>
        <v>0</v>
      </c>
      <c r="R78" s="438">
        <f t="shared" si="306"/>
        <v>0</v>
      </c>
      <c r="S78" s="438">
        <f t="shared" si="306"/>
        <v>0</v>
      </c>
      <c r="T78" s="438">
        <f t="shared" si="306"/>
        <v>0</v>
      </c>
      <c r="U78" s="438">
        <f t="shared" si="306"/>
        <v>0</v>
      </c>
      <c r="V78" s="438">
        <f t="shared" si="306"/>
        <v>0</v>
      </c>
      <c r="W78" s="438">
        <f t="shared" si="306"/>
        <v>6657.4610000000002</v>
      </c>
      <c r="X78" s="438">
        <f t="shared" si="306"/>
        <v>-4.5640000000003056</v>
      </c>
      <c r="Y78" s="438">
        <f t="shared" si="306"/>
        <v>-1.2899999999999636</v>
      </c>
      <c r="Z78" s="438">
        <f t="shared" si="306"/>
        <v>0</v>
      </c>
      <c r="AA78" s="438">
        <f t="shared" si="306"/>
        <v>0</v>
      </c>
      <c r="AB78" s="438">
        <f t="shared" ref="AB78:AL78" si="307">AB63</f>
        <v>0</v>
      </c>
      <c r="AC78" s="438">
        <f t="shared" si="307"/>
        <v>0</v>
      </c>
      <c r="AD78" s="438">
        <f t="shared" si="307"/>
        <v>0</v>
      </c>
      <c r="AE78" s="438">
        <f t="shared" si="307"/>
        <v>0</v>
      </c>
      <c r="AF78" s="438">
        <f t="shared" si="307"/>
        <v>0</v>
      </c>
      <c r="AG78" s="438">
        <f t="shared" si="307"/>
        <v>0</v>
      </c>
      <c r="AH78" s="438">
        <f t="shared" si="307"/>
        <v>0</v>
      </c>
      <c r="AI78" s="438">
        <f t="shared" si="307"/>
        <v>0</v>
      </c>
      <c r="AJ78" s="438">
        <f t="shared" si="307"/>
        <v>0</v>
      </c>
      <c r="AK78" s="438">
        <f t="shared" si="307"/>
        <v>0</v>
      </c>
      <c r="AL78" s="438">
        <f t="shared" si="307"/>
        <v>0</v>
      </c>
      <c r="AM78" s="438">
        <f t="shared" ref="AM78:AR78" si="308">AM63</f>
        <v>0</v>
      </c>
      <c r="AN78" s="438">
        <f t="shared" si="308"/>
        <v>0</v>
      </c>
      <c r="AO78" s="438">
        <f t="shared" si="308"/>
        <v>0</v>
      </c>
      <c r="AP78" s="438">
        <f t="shared" si="308"/>
        <v>0</v>
      </c>
      <c r="AQ78" s="438">
        <f t="shared" si="308"/>
        <v>0</v>
      </c>
      <c r="AR78" s="438">
        <f t="shared" si="308"/>
        <v>0</v>
      </c>
      <c r="AS78" s="438">
        <f t="shared" ref="AS78:BC78" si="309">AS63</f>
        <v>0</v>
      </c>
      <c r="AT78" s="1545">
        <f t="shared" si="309"/>
        <v>0</v>
      </c>
      <c r="AU78" s="1545">
        <f t="shared" si="309"/>
        <v>0</v>
      </c>
      <c r="AV78" s="1545">
        <f t="shared" si="309"/>
        <v>0</v>
      </c>
      <c r="AW78" s="1545">
        <f t="shared" si="309"/>
        <v>0</v>
      </c>
      <c r="AX78" s="1545">
        <f t="shared" si="309"/>
        <v>0</v>
      </c>
      <c r="AY78" s="1545">
        <f t="shared" si="309"/>
        <v>0</v>
      </c>
      <c r="AZ78" s="1545">
        <f t="shared" si="309"/>
        <v>0</v>
      </c>
      <c r="BA78" s="1545">
        <f t="shared" si="309"/>
        <v>0</v>
      </c>
      <c r="BB78" s="1545">
        <f t="shared" si="309"/>
        <v>0</v>
      </c>
      <c r="BC78" s="1545">
        <f t="shared" si="309"/>
        <v>0</v>
      </c>
      <c r="BD78" s="1545">
        <f t="shared" ref="BD78:BI78" si="310">BD63</f>
        <v>0</v>
      </c>
      <c r="BE78" s="1545">
        <f t="shared" si="310"/>
        <v>0</v>
      </c>
      <c r="BF78" s="1545">
        <f t="shared" si="310"/>
        <v>0</v>
      </c>
      <c r="BG78" s="1545">
        <f t="shared" si="310"/>
        <v>0</v>
      </c>
      <c r="BH78" s="1545">
        <f t="shared" si="310"/>
        <v>0</v>
      </c>
      <c r="BI78" s="1545">
        <f t="shared" si="310"/>
        <v>0</v>
      </c>
      <c r="BJ78" s="1545">
        <f t="shared" ref="BJ78:BK78" si="311">BJ63</f>
        <v>0</v>
      </c>
      <c r="BK78" s="1697">
        <f t="shared" si="311"/>
        <v>0</v>
      </c>
      <c r="BL78" s="294">
        <f t="shared" ref="BL78:BQ78" si="312">BL76*BL77</f>
        <v>0</v>
      </c>
      <c r="BM78" s="294">
        <f t="shared" si="312"/>
        <v>0</v>
      </c>
      <c r="BN78" s="294">
        <f t="shared" si="312"/>
        <v>0</v>
      </c>
      <c r="BO78" s="294">
        <f t="shared" si="312"/>
        <v>0</v>
      </c>
      <c r="BP78" s="294">
        <f t="shared" si="312"/>
        <v>0</v>
      </c>
      <c r="BQ78" s="294">
        <f t="shared" si="312"/>
        <v>0</v>
      </c>
      <c r="BR78" s="294">
        <f t="shared" ref="BR78:CK78" si="313">BR76*BR77</f>
        <v>0</v>
      </c>
      <c r="BS78" s="294">
        <f t="shared" si="313"/>
        <v>0</v>
      </c>
      <c r="BT78" s="294">
        <f t="shared" si="313"/>
        <v>0</v>
      </c>
      <c r="BU78" s="294">
        <f t="shared" si="313"/>
        <v>0</v>
      </c>
      <c r="BV78" s="294">
        <f t="shared" si="313"/>
        <v>0</v>
      </c>
      <c r="BW78" s="294">
        <f t="shared" si="313"/>
        <v>0</v>
      </c>
      <c r="BX78" s="294">
        <f t="shared" si="313"/>
        <v>0</v>
      </c>
      <c r="BY78" s="294">
        <f t="shared" si="313"/>
        <v>0</v>
      </c>
      <c r="BZ78" s="294">
        <f t="shared" si="313"/>
        <v>0</v>
      </c>
      <c r="CA78" s="294">
        <f t="shared" si="313"/>
        <v>0</v>
      </c>
      <c r="CB78" s="294">
        <f t="shared" si="313"/>
        <v>0</v>
      </c>
      <c r="CC78" s="294">
        <f t="shared" si="313"/>
        <v>0</v>
      </c>
      <c r="CD78" s="294">
        <f t="shared" si="313"/>
        <v>0</v>
      </c>
      <c r="CE78" s="294">
        <f t="shared" si="313"/>
        <v>0</v>
      </c>
      <c r="CF78" s="294">
        <f t="shared" si="313"/>
        <v>0</v>
      </c>
      <c r="CG78" s="294">
        <f t="shared" si="313"/>
        <v>0</v>
      </c>
      <c r="CH78" s="294">
        <f t="shared" si="313"/>
        <v>0</v>
      </c>
      <c r="CI78" s="294">
        <f t="shared" si="313"/>
        <v>0</v>
      </c>
      <c r="CJ78" s="294">
        <f t="shared" si="313"/>
        <v>0</v>
      </c>
      <c r="CK78" s="294">
        <f t="shared" si="313"/>
        <v>0</v>
      </c>
      <c r="CL78" s="294">
        <f t="shared" ref="CL78:CP78" si="314">CL76*CL77</f>
        <v>0</v>
      </c>
      <c r="CM78" s="294">
        <f t="shared" si="314"/>
        <v>0</v>
      </c>
      <c r="CN78" s="294">
        <f t="shared" si="314"/>
        <v>0</v>
      </c>
      <c r="CO78" s="294">
        <f t="shared" si="314"/>
        <v>0</v>
      </c>
      <c r="CP78" s="294">
        <f t="shared" si="314"/>
        <v>0</v>
      </c>
      <c r="CQ78" s="294">
        <f t="shared" ref="CQ78:CT78" si="315">CQ76*CQ77</f>
        <v>0</v>
      </c>
      <c r="CR78" s="294">
        <f t="shared" si="315"/>
        <v>0</v>
      </c>
      <c r="CS78" s="294">
        <f t="shared" si="315"/>
        <v>0</v>
      </c>
      <c r="CT78" s="294">
        <f t="shared" si="315"/>
        <v>0</v>
      </c>
      <c r="CU78" s="294">
        <f t="shared" ref="CU78:CW78" si="316">CU76*CU77</f>
        <v>0</v>
      </c>
      <c r="CV78" s="294">
        <f t="shared" si="316"/>
        <v>0</v>
      </c>
      <c r="CW78" s="294">
        <f t="shared" si="316"/>
        <v>0</v>
      </c>
    </row>
    <row r="79" spans="1:101">
      <c r="A79" s="42"/>
      <c r="B79" s="988"/>
      <c r="C79" s="988"/>
      <c r="D79" s="988"/>
      <c r="E79" s="988"/>
      <c r="F79" s="988"/>
      <c r="G79" s="988"/>
      <c r="H79" s="988"/>
      <c r="I79" s="988"/>
      <c r="J79" s="988"/>
      <c r="K79" s="988"/>
      <c r="L79" s="988"/>
      <c r="M79" s="988"/>
      <c r="N79" s="988"/>
      <c r="O79" s="988"/>
      <c r="P79" s="988"/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8"/>
      <c r="AJ79" s="988"/>
      <c r="AK79" s="988"/>
      <c r="AL79" s="988"/>
      <c r="AM79" s="988"/>
      <c r="AN79" s="988"/>
      <c r="AO79" s="988"/>
      <c r="AP79" s="296"/>
      <c r="AQ79" s="296"/>
      <c r="AR79" s="296"/>
      <c r="AS79" s="296"/>
      <c r="AT79" s="1707"/>
      <c r="AU79" s="1707"/>
      <c r="AV79" s="1707"/>
      <c r="AW79" s="1707"/>
      <c r="AX79" s="1707"/>
      <c r="AY79" s="1707"/>
      <c r="AZ79" s="1707"/>
      <c r="BA79" s="1707"/>
      <c r="BB79" s="1707"/>
      <c r="BC79" s="1707"/>
      <c r="BD79" s="1707"/>
      <c r="BE79" s="1707"/>
      <c r="BF79" s="1707"/>
      <c r="BG79" s="1707"/>
      <c r="BH79" s="1707"/>
      <c r="BI79" s="1707"/>
      <c r="BJ79" s="1707"/>
      <c r="BK79" s="1696"/>
      <c r="BL79" s="296"/>
      <c r="BM79" s="296"/>
      <c r="BN79" s="296"/>
      <c r="BO79" s="296"/>
      <c r="BP79" s="296"/>
      <c r="BQ79" s="296"/>
      <c r="BR79" s="296"/>
      <c r="BS79" s="296"/>
      <c r="BT79" s="296"/>
      <c r="BU79" s="296"/>
      <c r="BV79" s="296"/>
      <c r="BW79" s="296"/>
      <c r="BX79" s="296"/>
      <c r="BY79" s="296"/>
      <c r="BZ79" s="296"/>
      <c r="CA79" s="296"/>
      <c r="CB79" s="296"/>
      <c r="CC79" s="296"/>
      <c r="CD79" s="296"/>
      <c r="CE79" s="296"/>
      <c r="CF79" s="296"/>
      <c r="CG79" s="296"/>
      <c r="CH79" s="296"/>
      <c r="CI79" s="296"/>
      <c r="CJ79" s="296"/>
      <c r="CK79" s="296"/>
      <c r="CL79" s="296"/>
      <c r="CM79" s="296"/>
      <c r="CN79" s="296"/>
      <c r="CO79" s="296"/>
      <c r="CP79" s="296"/>
      <c r="CQ79" s="296"/>
      <c r="CR79" s="296"/>
      <c r="CS79" s="296"/>
      <c r="CT79" s="296"/>
      <c r="CU79" s="296"/>
      <c r="CV79" s="296"/>
      <c r="CW79" s="296"/>
    </row>
    <row r="80" spans="1:101">
      <c r="A80" s="42" t="s">
        <v>556</v>
      </c>
      <c r="B80" s="438" t="str">
        <f>IS!C27</f>
        <v>ND</v>
      </c>
      <c r="C80" s="438" t="str">
        <f>IS!D27</f>
        <v>ND</v>
      </c>
      <c r="D80" s="438" t="str">
        <f>IS!E27</f>
        <v>ND</v>
      </c>
      <c r="E80" s="438" t="str">
        <f>IS!F27</f>
        <v>ND</v>
      </c>
      <c r="F80" s="438" t="str">
        <f>IS!G27</f>
        <v>ND</v>
      </c>
      <c r="G80" s="438" t="str">
        <f>IS!H27</f>
        <v>ND</v>
      </c>
      <c r="H80" s="438" t="str">
        <f>IS!I27</f>
        <v>ND</v>
      </c>
      <c r="I80" s="438" t="str">
        <f>IS!J27</f>
        <v>ND</v>
      </c>
      <c r="J80" s="438" t="str">
        <f>IS!K27</f>
        <v>ND</v>
      </c>
      <c r="K80" s="438" t="str">
        <f>IS!L27</f>
        <v>ND</v>
      </c>
      <c r="L80" s="438" t="str">
        <f>IS!M27</f>
        <v>ND</v>
      </c>
      <c r="M80" s="438" t="str">
        <f>IS!N27</f>
        <v>ND</v>
      </c>
      <c r="N80" s="438" t="str">
        <f>IS!O27</f>
        <v>ND</v>
      </c>
      <c r="O80" s="438" t="str">
        <f>IS!P27</f>
        <v>ND</v>
      </c>
      <c r="P80" s="438" t="str">
        <f>IS!Q27</f>
        <v>ND</v>
      </c>
      <c r="Q80" s="438" t="str">
        <f>IS!R27</f>
        <v>ND</v>
      </c>
      <c r="R80" s="438" t="str">
        <f>IS!S27</f>
        <v>ND</v>
      </c>
      <c r="S80" s="438" t="str">
        <f>IS!T27</f>
        <v>ND</v>
      </c>
      <c r="T80" s="438" t="str">
        <f>IS!U27</f>
        <v>ND</v>
      </c>
      <c r="U80" s="438" t="str">
        <f>IS!V27</f>
        <v>ND</v>
      </c>
      <c r="V80" s="438" t="str">
        <f>IS!W27</f>
        <v>ND</v>
      </c>
      <c r="W80" s="438" t="str">
        <f>IS!X27</f>
        <v>ND</v>
      </c>
      <c r="X80" s="438" t="str">
        <f>IS!Y27</f>
        <v>ND</v>
      </c>
      <c r="Y80" s="438" t="str">
        <f>IS!Z27</f>
        <v>ND</v>
      </c>
      <c r="Z80" s="438" t="str">
        <f>IS!AA27</f>
        <v>ND</v>
      </c>
      <c r="AA80" s="438" t="str">
        <f>IS!AB27</f>
        <v>ND</v>
      </c>
      <c r="AB80" s="438" t="str">
        <f>IS!AC27</f>
        <v>ND</v>
      </c>
      <c r="AC80" s="438" t="str">
        <f>IS!AD27</f>
        <v>ND</v>
      </c>
      <c r="AD80" s="438" t="str">
        <f>IS!AE27</f>
        <v>ND</v>
      </c>
      <c r="AE80" s="438" t="str">
        <f>IS!AF27</f>
        <v>ND</v>
      </c>
      <c r="AF80" s="438" t="str">
        <f>IS!AG27</f>
        <v>ND</v>
      </c>
      <c r="AG80" s="438" t="str">
        <f>IS!AH27</f>
        <v>ND</v>
      </c>
      <c r="AH80" s="438" t="str">
        <f>IS!AI27</f>
        <v>ND</v>
      </c>
      <c r="AI80" s="438" t="str">
        <f>IS!AJ27</f>
        <v>ND</v>
      </c>
      <c r="AJ80" s="438" t="str">
        <f>IS!AK27</f>
        <v>ND</v>
      </c>
      <c r="AK80" s="438" t="str">
        <f>IS!AL27</f>
        <v>ND</v>
      </c>
      <c r="AL80" s="438" t="str">
        <f>IS!AM27</f>
        <v>ND</v>
      </c>
      <c r="AM80" s="438" t="str">
        <f>IS!AN27</f>
        <v>ND</v>
      </c>
      <c r="AN80" s="438" t="str">
        <f>IS!AO27</f>
        <v>ND</v>
      </c>
      <c r="AO80" s="438" t="str">
        <f>IS!AP27</f>
        <v>ND</v>
      </c>
      <c r="AP80" s="438" t="str">
        <f>IS!AQ27</f>
        <v>ND</v>
      </c>
      <c r="AQ80" s="438" t="str">
        <f>IS!AR27</f>
        <v>ND</v>
      </c>
      <c r="AR80" s="438" t="str">
        <f>IS!AS27</f>
        <v>ND</v>
      </c>
      <c r="AS80" s="438" t="str">
        <f>IS!AT27</f>
        <v>ND</v>
      </c>
      <c r="AT80" s="1545" t="str">
        <f>IS!AU27</f>
        <v>ND</v>
      </c>
      <c r="AU80" s="1545" t="str">
        <f>IS!AV27</f>
        <v>ND</v>
      </c>
      <c r="AV80" s="1545" t="str">
        <f>IS!AW27</f>
        <v>ND</v>
      </c>
      <c r="AW80" s="1545" t="str">
        <f>IS!AX27</f>
        <v>ND</v>
      </c>
      <c r="AX80" s="1545" t="str">
        <f>IS!AY27</f>
        <v>ND</v>
      </c>
      <c r="AY80" s="1545" t="str">
        <f>IS!AZ27</f>
        <v>ND</v>
      </c>
      <c r="AZ80" s="1545" t="str">
        <f>IS!BA27</f>
        <v>ND</v>
      </c>
      <c r="BA80" s="1545" t="str">
        <f>IS!BB27</f>
        <v>ND</v>
      </c>
      <c r="BB80" s="1545" t="str">
        <f>IS!BC27</f>
        <v>ND</v>
      </c>
      <c r="BC80" s="1545" t="str">
        <f>IS!BD27</f>
        <v>ND</v>
      </c>
      <c r="BD80" s="1545" t="str">
        <f>IS!BE27</f>
        <v>ND</v>
      </c>
      <c r="BE80" s="1545" t="str">
        <f>IS!BF27</f>
        <v>ND</v>
      </c>
      <c r="BF80" s="1545" t="str">
        <f>IS!BG27</f>
        <v>ND</v>
      </c>
      <c r="BG80" s="1545" t="str">
        <f>IS!BH27</f>
        <v>ND</v>
      </c>
      <c r="BH80" s="1545" t="str">
        <f>IS!BI27</f>
        <v>ND</v>
      </c>
      <c r="BI80" s="1545">
        <f>IS!BJ27</f>
        <v>9.7812409999999996</v>
      </c>
      <c r="BJ80" s="1545">
        <f>IS!BK27</f>
        <v>0</v>
      </c>
      <c r="BK80" s="1697">
        <f>IS!BL27</f>
        <v>0</v>
      </c>
      <c r="BL80" s="538">
        <v>0</v>
      </c>
      <c r="BM80" s="538">
        <v>0</v>
      </c>
      <c r="BN80" s="538">
        <v>0</v>
      </c>
      <c r="BO80" s="538">
        <v>0</v>
      </c>
      <c r="BP80" s="538">
        <v>0</v>
      </c>
      <c r="BQ80" s="538">
        <v>0</v>
      </c>
      <c r="BR80" s="538">
        <v>0</v>
      </c>
      <c r="BS80" s="538">
        <v>0</v>
      </c>
      <c r="BT80" s="538">
        <v>0</v>
      </c>
      <c r="BU80" s="538">
        <v>0</v>
      </c>
      <c r="BV80" s="538">
        <v>0</v>
      </c>
      <c r="BW80" s="538">
        <v>0</v>
      </c>
      <c r="BX80" s="538">
        <v>0</v>
      </c>
      <c r="BY80" s="538">
        <v>0</v>
      </c>
      <c r="BZ80" s="538">
        <v>0</v>
      </c>
      <c r="CA80" s="538">
        <v>0</v>
      </c>
      <c r="CB80" s="538">
        <v>0</v>
      </c>
      <c r="CC80" s="538">
        <v>0</v>
      </c>
      <c r="CD80" s="538">
        <v>0</v>
      </c>
      <c r="CE80" s="538">
        <v>0</v>
      </c>
      <c r="CF80" s="538">
        <v>0</v>
      </c>
      <c r="CG80" s="538">
        <v>0</v>
      </c>
      <c r="CH80" s="538">
        <v>0</v>
      </c>
      <c r="CI80" s="538">
        <v>0</v>
      </c>
      <c r="CJ80" s="538">
        <v>0</v>
      </c>
      <c r="CK80" s="538">
        <v>0</v>
      </c>
      <c r="CL80" s="538">
        <v>0</v>
      </c>
      <c r="CM80" s="538">
        <v>0</v>
      </c>
      <c r="CN80" s="538">
        <v>0</v>
      </c>
      <c r="CO80" s="538">
        <v>0</v>
      </c>
      <c r="CP80" s="538">
        <v>0</v>
      </c>
      <c r="CQ80" s="538">
        <v>0</v>
      </c>
      <c r="CR80" s="538">
        <v>0</v>
      </c>
      <c r="CS80" s="538">
        <v>0</v>
      </c>
      <c r="CT80" s="538">
        <v>0</v>
      </c>
      <c r="CU80" s="538">
        <v>0</v>
      </c>
      <c r="CV80" s="538">
        <v>0</v>
      </c>
      <c r="CW80" s="538">
        <v>0</v>
      </c>
    </row>
    <row r="81" spans="1:101">
      <c r="A81" s="42" t="s">
        <v>388</v>
      </c>
      <c r="B81" s="610" t="str">
        <f t="shared" ref="B81:AA81" si="317">IFERROR(-B82/B80,"NM")</f>
        <v>NM</v>
      </c>
      <c r="C81" s="610" t="str">
        <f t="shared" si="317"/>
        <v>NM</v>
      </c>
      <c r="D81" s="610" t="str">
        <f t="shared" si="317"/>
        <v>NM</v>
      </c>
      <c r="E81" s="610" t="str">
        <f t="shared" si="317"/>
        <v>NM</v>
      </c>
      <c r="F81" s="610" t="str">
        <f t="shared" si="317"/>
        <v>NM</v>
      </c>
      <c r="G81" s="610" t="str">
        <f t="shared" si="317"/>
        <v>NM</v>
      </c>
      <c r="H81" s="610" t="str">
        <f t="shared" si="317"/>
        <v>NM</v>
      </c>
      <c r="I81" s="610" t="str">
        <f t="shared" si="317"/>
        <v>NM</v>
      </c>
      <c r="J81" s="610" t="str">
        <f t="shared" si="317"/>
        <v>NM</v>
      </c>
      <c r="K81" s="610" t="str">
        <f t="shared" si="317"/>
        <v>NM</v>
      </c>
      <c r="L81" s="610" t="str">
        <f t="shared" si="317"/>
        <v>NM</v>
      </c>
      <c r="M81" s="610" t="str">
        <f t="shared" si="317"/>
        <v>NM</v>
      </c>
      <c r="N81" s="610" t="str">
        <f t="shared" si="317"/>
        <v>NM</v>
      </c>
      <c r="O81" s="610" t="str">
        <f t="shared" si="317"/>
        <v>NM</v>
      </c>
      <c r="P81" s="610" t="str">
        <f t="shared" si="317"/>
        <v>NM</v>
      </c>
      <c r="Q81" s="610" t="str">
        <f t="shared" si="317"/>
        <v>NM</v>
      </c>
      <c r="R81" s="610" t="str">
        <f t="shared" si="317"/>
        <v>NM</v>
      </c>
      <c r="S81" s="610" t="str">
        <f t="shared" si="317"/>
        <v>NM</v>
      </c>
      <c r="T81" s="610" t="str">
        <f t="shared" si="317"/>
        <v>NM</v>
      </c>
      <c r="U81" s="610" t="str">
        <f t="shared" si="317"/>
        <v>NM</v>
      </c>
      <c r="V81" s="610" t="str">
        <f t="shared" si="317"/>
        <v>NM</v>
      </c>
      <c r="W81" s="610" t="str">
        <f t="shared" si="317"/>
        <v>NM</v>
      </c>
      <c r="X81" s="610" t="str">
        <f t="shared" si="317"/>
        <v>NM</v>
      </c>
      <c r="Y81" s="610" t="str">
        <f t="shared" si="317"/>
        <v>NM</v>
      </c>
      <c r="Z81" s="610" t="str">
        <f t="shared" si="317"/>
        <v>NM</v>
      </c>
      <c r="AA81" s="610" t="str">
        <f t="shared" si="317"/>
        <v>NM</v>
      </c>
      <c r="AB81" s="610" t="str">
        <f>IFERROR(-AB82/AB80,"NM")</f>
        <v>NM</v>
      </c>
      <c r="AC81" s="610">
        <f>Index!$H$36</f>
        <v>61.26</v>
      </c>
      <c r="AD81" s="610">
        <f>Index!$H$36</f>
        <v>61.26</v>
      </c>
      <c r="AE81" s="610">
        <f>Index!$H$36</f>
        <v>61.26</v>
      </c>
      <c r="AF81" s="610">
        <f>Index!$H$36</f>
        <v>61.26</v>
      </c>
      <c r="AG81" s="610">
        <f>Index!$H$36</f>
        <v>61.26</v>
      </c>
      <c r="AH81" s="610">
        <f>Index!$H$36</f>
        <v>61.26</v>
      </c>
      <c r="AI81" s="610">
        <f>Index!$H$36</f>
        <v>61.26</v>
      </c>
      <c r="AJ81" s="610">
        <f>Index!$H$36</f>
        <v>61.26</v>
      </c>
      <c r="AK81" s="610">
        <f>Index!$H$36</f>
        <v>61.26</v>
      </c>
      <c r="AL81" s="610">
        <f>Index!$H$36</f>
        <v>61.26</v>
      </c>
      <c r="AM81" s="610">
        <f>Index!$H$36</f>
        <v>61.26</v>
      </c>
      <c r="AN81" s="610">
        <f>Index!$H$36</f>
        <v>61.26</v>
      </c>
      <c r="AO81" s="610">
        <f>Index!$H$36</f>
        <v>61.26</v>
      </c>
      <c r="AP81" s="610">
        <f>Index!$H$36</f>
        <v>61.26</v>
      </c>
      <c r="AQ81" s="610">
        <f>Index!$H$36</f>
        <v>61.26</v>
      </c>
      <c r="AR81" s="610">
        <f>Index!$H$36</f>
        <v>61.26</v>
      </c>
      <c r="AS81" s="610">
        <f>Index!$H$36</f>
        <v>61.26</v>
      </c>
      <c r="AT81" s="1744">
        <f>Index!$H$36</f>
        <v>61.26</v>
      </c>
      <c r="AU81" s="1744">
        <f>Index!$H$36</f>
        <v>61.26</v>
      </c>
      <c r="AV81" s="1744">
        <f>Index!$H$36</f>
        <v>61.26</v>
      </c>
      <c r="AW81" s="1744">
        <f>Index!$H$36</f>
        <v>61.26</v>
      </c>
      <c r="AX81" s="1744">
        <f>Index!$H$36</f>
        <v>61.26</v>
      </c>
      <c r="AY81" s="1744">
        <f>Index!$H$36</f>
        <v>61.26</v>
      </c>
      <c r="AZ81" s="1744">
        <f>Index!$H$36</f>
        <v>61.26</v>
      </c>
      <c r="BA81" s="1744">
        <f>Index!$H$36</f>
        <v>61.26</v>
      </c>
      <c r="BB81" s="1744">
        <f>Index!$H$36</f>
        <v>61.26</v>
      </c>
      <c r="BC81" s="1744">
        <f>Index!$H$36</f>
        <v>61.26</v>
      </c>
      <c r="BD81" s="1744">
        <f>Index!$H$36</f>
        <v>61.26</v>
      </c>
      <c r="BE81" s="1744">
        <f>Index!$H$36</f>
        <v>61.26</v>
      </c>
      <c r="BF81" s="1744">
        <f>Index!$H$36</f>
        <v>61.26</v>
      </c>
      <c r="BG81" s="1744">
        <f>Index!$H$36</f>
        <v>61.26</v>
      </c>
      <c r="BH81" s="1744">
        <f>Index!$H$36</f>
        <v>61.26</v>
      </c>
      <c r="BI81" s="1744">
        <f>Index!$H$36</f>
        <v>61.26</v>
      </c>
      <c r="BJ81" s="1744">
        <f>Index!$H$36</f>
        <v>61.26</v>
      </c>
      <c r="BK81" s="1699">
        <f>Index!$H$36</f>
        <v>61.26</v>
      </c>
      <c r="BL81" s="636">
        <f>Index!$H$36</f>
        <v>61.26</v>
      </c>
      <c r="BM81" s="636">
        <f>Index!$H$36</f>
        <v>61.26</v>
      </c>
      <c r="BN81" s="636">
        <f>Index!$H$36</f>
        <v>61.26</v>
      </c>
      <c r="BO81" s="636">
        <f>Index!$H$36</f>
        <v>61.26</v>
      </c>
      <c r="BP81" s="636">
        <f>Index!$H$36</f>
        <v>61.26</v>
      </c>
      <c r="BQ81" s="636">
        <f>Index!$H$36</f>
        <v>61.26</v>
      </c>
      <c r="BR81" s="636">
        <f>Index!$H$36</f>
        <v>61.26</v>
      </c>
      <c r="BS81" s="636">
        <f>Index!$H$36</f>
        <v>61.26</v>
      </c>
      <c r="BT81" s="636">
        <f>Index!$H$36</f>
        <v>61.26</v>
      </c>
      <c r="BU81" s="636">
        <f>Index!$H$36</f>
        <v>61.26</v>
      </c>
      <c r="BV81" s="636">
        <f>Index!$H$36</f>
        <v>61.26</v>
      </c>
      <c r="BW81" s="636">
        <f>Index!$H$36</f>
        <v>61.26</v>
      </c>
      <c r="BX81" s="636">
        <f>Index!$H$36</f>
        <v>61.26</v>
      </c>
      <c r="BY81" s="636">
        <f>Index!$H$36</f>
        <v>61.26</v>
      </c>
      <c r="BZ81" s="636">
        <f>Index!$H$36</f>
        <v>61.26</v>
      </c>
      <c r="CA81" s="636">
        <f>Index!$H$36</f>
        <v>61.26</v>
      </c>
      <c r="CB81" s="636">
        <f>Index!$H$36</f>
        <v>61.26</v>
      </c>
      <c r="CC81" s="636">
        <f>Index!$H$36</f>
        <v>61.26</v>
      </c>
      <c r="CD81" s="636">
        <f>Index!$H$36</f>
        <v>61.26</v>
      </c>
      <c r="CE81" s="636">
        <f>Index!$H$36</f>
        <v>61.26</v>
      </c>
      <c r="CF81" s="636">
        <f>Index!$H$36</f>
        <v>61.26</v>
      </c>
      <c r="CG81" s="636">
        <f>Index!$H$36</f>
        <v>61.26</v>
      </c>
      <c r="CH81" s="636">
        <f>Index!$H$36</f>
        <v>61.26</v>
      </c>
      <c r="CI81" s="636">
        <f>Index!$H$36</f>
        <v>61.26</v>
      </c>
      <c r="CJ81" s="636">
        <f>Index!$H$36</f>
        <v>61.26</v>
      </c>
      <c r="CK81" s="636">
        <f>Index!$H$36</f>
        <v>61.26</v>
      </c>
      <c r="CL81" s="636">
        <f>Index!$H$36</f>
        <v>61.26</v>
      </c>
      <c r="CM81" s="636">
        <f>Index!$H$36</f>
        <v>61.26</v>
      </c>
      <c r="CN81" s="636">
        <f>Index!$H$36</f>
        <v>61.26</v>
      </c>
      <c r="CO81" s="636">
        <f>Index!$H$36</f>
        <v>61.26</v>
      </c>
      <c r="CP81" s="636">
        <f>Index!$H$36</f>
        <v>61.26</v>
      </c>
      <c r="CQ81" s="636">
        <f>Index!$H$36</f>
        <v>61.26</v>
      </c>
      <c r="CR81" s="636">
        <f>Index!$H$36</f>
        <v>61.26</v>
      </c>
      <c r="CS81" s="636">
        <f>Index!$H$36</f>
        <v>61.26</v>
      </c>
      <c r="CT81" s="636">
        <f>Index!$H$36</f>
        <v>61.26</v>
      </c>
      <c r="CU81" s="636">
        <f>Index!$H$36</f>
        <v>61.26</v>
      </c>
      <c r="CV81" s="636">
        <f>Index!$H$36</f>
        <v>61.26</v>
      </c>
      <c r="CW81" s="636">
        <f>Index!$H$36</f>
        <v>61.26</v>
      </c>
    </row>
    <row r="82" spans="1:101">
      <c r="A82" s="42" t="s">
        <v>771</v>
      </c>
      <c r="B82" s="438">
        <f t="shared" ref="B82:AA82" si="318">B64</f>
        <v>0</v>
      </c>
      <c r="C82" s="438">
        <f t="shared" si="318"/>
        <v>-35.116999999999997</v>
      </c>
      <c r="D82" s="438">
        <f t="shared" si="318"/>
        <v>-40.649000000000008</v>
      </c>
      <c r="E82" s="438">
        <f t="shared" si="318"/>
        <v>-40.545999999999999</v>
      </c>
      <c r="F82" s="438">
        <f t="shared" si="318"/>
        <v>100.68899999999999</v>
      </c>
      <c r="G82" s="438">
        <f t="shared" si="318"/>
        <v>37.260000000000019</v>
      </c>
      <c r="H82" s="438">
        <f t="shared" si="318"/>
        <v>-7.5730000000000075</v>
      </c>
      <c r="I82" s="438">
        <f t="shared" si="318"/>
        <v>-68.281000000000006</v>
      </c>
      <c r="J82" s="438">
        <f t="shared" si="318"/>
        <v>89.372</v>
      </c>
      <c r="K82" s="438">
        <f t="shared" si="318"/>
        <v>1.5430000000000064</v>
      </c>
      <c r="L82" s="438">
        <f t="shared" si="318"/>
        <v>-45.452000000000005</v>
      </c>
      <c r="M82" s="438">
        <f t="shared" si="318"/>
        <v>-18.290000000000006</v>
      </c>
      <c r="N82" s="438">
        <f t="shared" si="318"/>
        <v>187.27799999999999</v>
      </c>
      <c r="O82" s="438">
        <f t="shared" si="318"/>
        <v>-1.0900000000000034</v>
      </c>
      <c r="P82" s="438">
        <f t="shared" si="318"/>
        <v>3.3000000000015461E-2</v>
      </c>
      <c r="Q82" s="438">
        <f t="shared" si="318"/>
        <v>4.9999999999954525E-3</v>
      </c>
      <c r="R82" s="438">
        <f t="shared" si="318"/>
        <v>0</v>
      </c>
      <c r="S82" s="438">
        <f t="shared" si="318"/>
        <v>-42.113</v>
      </c>
      <c r="T82" s="438">
        <f t="shared" si="318"/>
        <v>47.183</v>
      </c>
      <c r="U82" s="438">
        <f t="shared" si="318"/>
        <v>0</v>
      </c>
      <c r="V82" s="438">
        <f t="shared" si="318"/>
        <v>0</v>
      </c>
      <c r="W82" s="438">
        <f t="shared" si="318"/>
        <v>0</v>
      </c>
      <c r="X82" s="438">
        <f t="shared" si="318"/>
        <v>-5.0000000000000001E-3</v>
      </c>
      <c r="Y82" s="438">
        <f t="shared" si="318"/>
        <v>-38.338000000000001</v>
      </c>
      <c r="Z82" s="438">
        <f t="shared" si="318"/>
        <v>20.823</v>
      </c>
      <c r="AA82" s="438">
        <f t="shared" si="318"/>
        <v>21.058</v>
      </c>
      <c r="AB82" s="438">
        <f t="shared" ref="AB82:AL82" si="319">AB64</f>
        <v>-38.424999999999997</v>
      </c>
      <c r="AC82" s="438">
        <f t="shared" si="319"/>
        <v>-17.301000000000002</v>
      </c>
      <c r="AD82" s="438">
        <f t="shared" si="319"/>
        <v>-5.6820000000000004</v>
      </c>
      <c r="AE82" s="438">
        <f t="shared" si="319"/>
        <v>0</v>
      </c>
      <c r="AF82" s="438">
        <f t="shared" si="319"/>
        <v>-96.442999999999998</v>
      </c>
      <c r="AG82" s="438">
        <f t="shared" si="319"/>
        <v>-96.87700000000001</v>
      </c>
      <c r="AH82" s="438">
        <f t="shared" si="319"/>
        <v>-37.128999999999998</v>
      </c>
      <c r="AI82" s="438">
        <f t="shared" si="319"/>
        <v>101.613</v>
      </c>
      <c r="AJ82" s="438">
        <f t="shared" si="319"/>
        <v>-50.395000000000003</v>
      </c>
      <c r="AK82" s="438">
        <f t="shared" si="319"/>
        <v>-74.665999999999997</v>
      </c>
      <c r="AL82" s="438">
        <f t="shared" si="319"/>
        <v>321.64299999999997</v>
      </c>
      <c r="AM82" s="438">
        <f t="shared" ref="AM82:AR82" si="320">AM64</f>
        <v>48.547000000000025</v>
      </c>
      <c r="AN82" s="438">
        <f t="shared" si="320"/>
        <v>0</v>
      </c>
      <c r="AO82" s="438">
        <f t="shared" si="320"/>
        <v>-148.995</v>
      </c>
      <c r="AP82" s="438">
        <f t="shared" si="320"/>
        <v>15.010999999999999</v>
      </c>
      <c r="AQ82" s="438">
        <f t="shared" si="320"/>
        <v>-165.94200000000001</v>
      </c>
      <c r="AR82" s="438">
        <f t="shared" si="320"/>
        <v>-13.49199999999999</v>
      </c>
      <c r="AS82" s="438">
        <f t="shared" ref="AS82:BD82" si="321">AS64</f>
        <v>392.346</v>
      </c>
      <c r="AT82" s="1545">
        <f t="shared" si="321"/>
        <v>-126.45399999999999</v>
      </c>
      <c r="AU82" s="1545">
        <f t="shared" si="321"/>
        <v>-21.058000000000007</v>
      </c>
      <c r="AV82" s="1545">
        <f t="shared" si="321"/>
        <v>-0.84399999999999409</v>
      </c>
      <c r="AW82" s="1545">
        <f t="shared" si="321"/>
        <v>152.84100000000001</v>
      </c>
      <c r="AX82" s="1545">
        <f t="shared" si="321"/>
        <v>0</v>
      </c>
      <c r="AY82" s="1545">
        <f t="shared" si="321"/>
        <v>0</v>
      </c>
      <c r="AZ82" s="1545">
        <f t="shared" si="321"/>
        <v>0</v>
      </c>
      <c r="BA82" s="1545">
        <f t="shared" si="321"/>
        <v>0</v>
      </c>
      <c r="BB82" s="1545">
        <f t="shared" si="321"/>
        <v>0</v>
      </c>
      <c r="BC82" s="1545">
        <f t="shared" si="321"/>
        <v>-332.06599999999997</v>
      </c>
      <c r="BD82" s="1545">
        <f t="shared" si="321"/>
        <v>-364.16400000000004</v>
      </c>
      <c r="BE82" s="1545">
        <f t="shared" ref="BE82:BJ82" si="322">BE64</f>
        <v>-32.856999999999971</v>
      </c>
      <c r="BF82" s="1545">
        <f t="shared" si="322"/>
        <v>-202.35</v>
      </c>
      <c r="BG82" s="1545">
        <f t="shared" si="322"/>
        <v>0</v>
      </c>
      <c r="BH82" s="1545">
        <f t="shared" si="322"/>
        <v>-145.88700000000003</v>
      </c>
      <c r="BI82" s="1545">
        <f t="shared" si="322"/>
        <v>0</v>
      </c>
      <c r="BJ82" s="1545">
        <f t="shared" si="322"/>
        <v>360.03500000000003</v>
      </c>
      <c r="BK82" s="1697">
        <f t="shared" ref="BK82" si="323">BK64</f>
        <v>-3.6790000000000305</v>
      </c>
      <c r="BL82" s="294">
        <f t="shared" ref="BL82:BQ82" si="324">-BL80*BL81</f>
        <v>0</v>
      </c>
      <c r="BM82" s="294">
        <f t="shared" si="324"/>
        <v>0</v>
      </c>
      <c r="BN82" s="294">
        <f t="shared" si="324"/>
        <v>0</v>
      </c>
      <c r="BO82" s="294">
        <f t="shared" si="324"/>
        <v>0</v>
      </c>
      <c r="BP82" s="294">
        <f t="shared" si="324"/>
        <v>0</v>
      </c>
      <c r="BQ82" s="294">
        <f t="shared" si="324"/>
        <v>0</v>
      </c>
      <c r="BR82" s="294">
        <f t="shared" ref="BR82:CK82" si="325">-BR80*BR81</f>
        <v>0</v>
      </c>
      <c r="BS82" s="294">
        <f t="shared" si="325"/>
        <v>0</v>
      </c>
      <c r="BT82" s="294">
        <f t="shared" si="325"/>
        <v>0</v>
      </c>
      <c r="BU82" s="294">
        <f t="shared" si="325"/>
        <v>0</v>
      </c>
      <c r="BV82" s="294">
        <f t="shared" si="325"/>
        <v>0</v>
      </c>
      <c r="BW82" s="294">
        <f t="shared" si="325"/>
        <v>0</v>
      </c>
      <c r="BX82" s="294">
        <f t="shared" si="325"/>
        <v>0</v>
      </c>
      <c r="BY82" s="294">
        <f t="shared" si="325"/>
        <v>0</v>
      </c>
      <c r="BZ82" s="294">
        <f t="shared" si="325"/>
        <v>0</v>
      </c>
      <c r="CA82" s="294">
        <f t="shared" si="325"/>
        <v>0</v>
      </c>
      <c r="CB82" s="294">
        <f t="shared" si="325"/>
        <v>0</v>
      </c>
      <c r="CC82" s="294">
        <f t="shared" si="325"/>
        <v>0</v>
      </c>
      <c r="CD82" s="294">
        <f t="shared" si="325"/>
        <v>0</v>
      </c>
      <c r="CE82" s="294">
        <f t="shared" si="325"/>
        <v>0</v>
      </c>
      <c r="CF82" s="294">
        <f t="shared" si="325"/>
        <v>0</v>
      </c>
      <c r="CG82" s="294">
        <f t="shared" si="325"/>
        <v>0</v>
      </c>
      <c r="CH82" s="294">
        <f t="shared" si="325"/>
        <v>0</v>
      </c>
      <c r="CI82" s="294">
        <f t="shared" si="325"/>
        <v>0</v>
      </c>
      <c r="CJ82" s="294">
        <f t="shared" si="325"/>
        <v>0</v>
      </c>
      <c r="CK82" s="294">
        <f t="shared" si="325"/>
        <v>0</v>
      </c>
      <c r="CL82" s="294">
        <f t="shared" ref="CL82:CP82" si="326">-CL80*CL81</f>
        <v>0</v>
      </c>
      <c r="CM82" s="294">
        <f t="shared" si="326"/>
        <v>0</v>
      </c>
      <c r="CN82" s="294">
        <f t="shared" si="326"/>
        <v>0</v>
      </c>
      <c r="CO82" s="294">
        <f t="shared" si="326"/>
        <v>0</v>
      </c>
      <c r="CP82" s="294">
        <f t="shared" si="326"/>
        <v>0</v>
      </c>
      <c r="CQ82" s="294">
        <f t="shared" ref="CQ82:CT82" si="327">-CQ80*CQ81</f>
        <v>0</v>
      </c>
      <c r="CR82" s="294">
        <f t="shared" si="327"/>
        <v>0</v>
      </c>
      <c r="CS82" s="294">
        <f t="shared" si="327"/>
        <v>0</v>
      </c>
      <c r="CT82" s="294">
        <f t="shared" si="327"/>
        <v>0</v>
      </c>
      <c r="CU82" s="294">
        <f t="shared" ref="CU82:CW82" si="328">-CU80*CU81</f>
        <v>0</v>
      </c>
      <c r="CV82" s="294">
        <f t="shared" si="328"/>
        <v>0</v>
      </c>
      <c r="CW82" s="294">
        <f t="shared" si="328"/>
        <v>0</v>
      </c>
    </row>
    <row r="83" spans="1:101">
      <c r="A83" s="98"/>
      <c r="B83" s="988"/>
      <c r="C83" s="988"/>
      <c r="D83" s="988"/>
      <c r="E83" s="988"/>
      <c r="F83" s="988"/>
      <c r="G83" s="988"/>
      <c r="H83" s="988"/>
      <c r="I83" s="988"/>
      <c r="J83" s="988"/>
      <c r="K83" s="988"/>
      <c r="L83" s="988"/>
      <c r="M83" s="988"/>
      <c r="N83" s="988"/>
      <c r="O83" s="988"/>
      <c r="P83" s="988"/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8"/>
      <c r="AJ83" s="988"/>
      <c r="AK83" s="988"/>
      <c r="AL83" s="988"/>
      <c r="AM83" s="988"/>
      <c r="AN83" s="988"/>
      <c r="AO83" s="988"/>
      <c r="AP83" s="296"/>
      <c r="AQ83" s="296"/>
      <c r="AR83" s="296"/>
      <c r="AS83" s="296"/>
      <c r="AT83" s="1707"/>
      <c r="AU83" s="1707"/>
      <c r="AV83" s="1707"/>
      <c r="AW83" s="1707"/>
      <c r="AX83" s="1707"/>
      <c r="AY83" s="1707"/>
      <c r="AZ83" s="1707"/>
      <c r="BA83" s="1707"/>
      <c r="BB83" s="1707"/>
      <c r="BC83" s="1707"/>
      <c r="BD83" s="1707"/>
      <c r="BE83" s="1707"/>
      <c r="BF83" s="1707"/>
      <c r="BG83" s="1707"/>
      <c r="BH83" s="1707"/>
      <c r="BI83" s="1707"/>
      <c r="BJ83" s="1707"/>
      <c r="BK83" s="16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  <c r="CK83" s="296"/>
      <c r="CL83" s="296"/>
      <c r="CM83" s="296"/>
      <c r="CN83" s="296"/>
      <c r="CO83" s="296"/>
      <c r="CP83" s="296"/>
      <c r="CQ83" s="296"/>
      <c r="CR83" s="296"/>
      <c r="CS83" s="296"/>
      <c r="CT83" s="296"/>
      <c r="CU83" s="296"/>
      <c r="CV83" s="296"/>
      <c r="CW83" s="296"/>
    </row>
    <row r="84" spans="1:101">
      <c r="A84" s="42" t="s">
        <v>197</v>
      </c>
      <c r="B84" s="988"/>
      <c r="C84" s="988"/>
      <c r="D84" s="988"/>
      <c r="E84" s="988"/>
      <c r="F84" s="438"/>
      <c r="G84" s="438"/>
      <c r="H84" s="438"/>
      <c r="I84" s="438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8"/>
      <c r="V84" s="438"/>
      <c r="W84" s="438"/>
      <c r="X84" s="438"/>
      <c r="Y84" s="438"/>
      <c r="Z84" s="438"/>
      <c r="AA84" s="438"/>
      <c r="AB84" s="438"/>
      <c r="AC84" s="438"/>
      <c r="AD84" s="438"/>
      <c r="AE84" s="438"/>
      <c r="AF84" s="438"/>
      <c r="AG84" s="438"/>
      <c r="AH84" s="438"/>
      <c r="AI84" s="438"/>
      <c r="AJ84" s="438"/>
      <c r="AK84" s="438"/>
      <c r="AL84" s="438"/>
      <c r="AM84" s="438"/>
      <c r="AN84" s="438"/>
      <c r="AO84" s="438"/>
      <c r="AP84" s="294"/>
      <c r="AQ84" s="294"/>
      <c r="AR84" s="294"/>
      <c r="AS84" s="294"/>
      <c r="AT84" s="1703"/>
      <c r="AU84" s="1703"/>
      <c r="AV84" s="1703"/>
      <c r="AW84" s="1703"/>
      <c r="AX84" s="1703"/>
      <c r="AY84" s="1703"/>
      <c r="AZ84" s="1703"/>
      <c r="BA84" s="1703"/>
      <c r="BB84" s="1703"/>
      <c r="BC84" s="1703"/>
      <c r="BD84" s="1703"/>
      <c r="BE84" s="1703"/>
      <c r="BF84" s="1703"/>
      <c r="BG84" s="1703"/>
      <c r="BH84" s="1703"/>
      <c r="BI84" s="1703"/>
      <c r="BJ84" s="1703"/>
      <c r="BK84" s="1695"/>
      <c r="BL84" s="294">
        <f>IFERROR(VLOOKUP(BL$4,Ownership!$A$32:$C$36,2,0),0)</f>
        <v>0</v>
      </c>
      <c r="BM84" s="294">
        <f>IFERROR(VLOOKUP(BM$4,Ownership!$A$32:$C$36,2,0),0)</f>
        <v>0</v>
      </c>
      <c r="BN84" s="294">
        <f>IFERROR(VLOOKUP(BN$4,Ownership!$A$32:$C$36,2,0),0)</f>
        <v>0</v>
      </c>
      <c r="BO84" s="294">
        <f>IFERROR(VLOOKUP(BO$4,Ownership!$A$32:$C$36,2,0),0)</f>
        <v>0</v>
      </c>
      <c r="BP84" s="294">
        <f>IFERROR(VLOOKUP(BP$4,Ownership!$A$32:$C$36,2,0),0)</f>
        <v>0</v>
      </c>
      <c r="BQ84" s="294">
        <f>IFERROR(VLOOKUP(BQ$4,Ownership!$A$32:$C$36,2,0),0)</f>
        <v>0</v>
      </c>
      <c r="BR84" s="294">
        <f>IFERROR(VLOOKUP(BR$4,Ownership!$A$32:$C$36,2,0),0)</f>
        <v>0</v>
      </c>
      <c r="BS84" s="294">
        <f>IFERROR(VLOOKUP(BS$4,Ownership!$A$32:$C$36,2,0),0)</f>
        <v>0</v>
      </c>
      <c r="BT84" s="294">
        <f>IFERROR(VLOOKUP(BT$4,Ownership!$A$32:$C$36,2,0),0)</f>
        <v>0</v>
      </c>
      <c r="BU84" s="294">
        <f>IFERROR(VLOOKUP(BU$4,Ownership!$A$32:$C$36,2,0),0)</f>
        <v>0</v>
      </c>
      <c r="BV84" s="294">
        <f>IFERROR(VLOOKUP(BV$4,Ownership!$A$32:$C$36,2,0),0)</f>
        <v>0</v>
      </c>
      <c r="BW84" s="294">
        <f>IFERROR(VLOOKUP(BW$4,Ownership!$A$32:$C$36,2,0),0)</f>
        <v>0</v>
      </c>
      <c r="BX84" s="294">
        <f>IFERROR(VLOOKUP(BX$4,Ownership!$A$32:$C$36,2,0),0)</f>
        <v>0</v>
      </c>
      <c r="BY84" s="294">
        <f>IFERROR(VLOOKUP(BY$4,Ownership!$A$32:$C$36,2,0),0)</f>
        <v>0</v>
      </c>
      <c r="BZ84" s="294">
        <f>IFERROR(VLOOKUP(BZ$4,Ownership!$A$32:$C$36,2,0),0)</f>
        <v>0</v>
      </c>
      <c r="CA84" s="294">
        <f>IFERROR(VLOOKUP(CA$4,Ownership!$A$32:$C$36,2,0),0)</f>
        <v>0</v>
      </c>
      <c r="CB84" s="294">
        <f>IFERROR(VLOOKUP(CB$4,Ownership!$A$32:$C$36,2,0),0)</f>
        <v>0</v>
      </c>
      <c r="CC84" s="294">
        <f>IFERROR(VLOOKUP(CC$4,Ownership!$A$32:$C$36,2,0),0)</f>
        <v>0</v>
      </c>
      <c r="CD84" s="294">
        <f>IFERROR(VLOOKUP(CD$4,Ownership!$A$32:$C$36,2,0),0)</f>
        <v>0</v>
      </c>
      <c r="CE84" s="294">
        <f>IFERROR(VLOOKUP(CE$4,Ownership!$A$32:$C$36,2,0),0)</f>
        <v>0</v>
      </c>
      <c r="CF84" s="294">
        <f>IFERROR(VLOOKUP(CF$4,Ownership!$A$32:$C$36,2,0),0)</f>
        <v>0</v>
      </c>
      <c r="CG84" s="294">
        <f>IFERROR(VLOOKUP(CG$4,Ownership!$A$32:$C$36,2,0),0)</f>
        <v>0</v>
      </c>
      <c r="CH84" s="294">
        <f>IFERROR(VLOOKUP(CH$4,Ownership!$A$32:$C$36,2,0),0)</f>
        <v>0</v>
      </c>
      <c r="CI84" s="294">
        <f>IFERROR(VLOOKUP(CI$4,Ownership!$A$32:$C$36,2,0),0)</f>
        <v>0</v>
      </c>
      <c r="CJ84" s="294">
        <f>IFERROR(VLOOKUP(CJ$4,Ownership!$A$32:$C$36,2,0),0)</f>
        <v>0</v>
      </c>
      <c r="CK84" s="294">
        <f>IFERROR(VLOOKUP(CK$4,Ownership!$A$32:$C$36,2,0),0)</f>
        <v>0</v>
      </c>
      <c r="CL84" s="294">
        <f>IFERROR(VLOOKUP(CL$4,Ownership!$A$32:$C$36,2,0),0)</f>
        <v>0</v>
      </c>
      <c r="CM84" s="294">
        <f>IFERROR(VLOOKUP(CM$4,Ownership!$A$32:$C$36,2,0),0)</f>
        <v>0</v>
      </c>
      <c r="CN84" s="294">
        <f>IFERROR(VLOOKUP(CN$4,Ownership!$A$32:$C$36,2,0),0)</f>
        <v>0</v>
      </c>
      <c r="CO84" s="294">
        <f>IFERROR(VLOOKUP(CO$4,Ownership!$A$32:$C$36,2,0),0)</f>
        <v>0</v>
      </c>
      <c r="CP84" s="294">
        <f>IFERROR(VLOOKUP(CP$4,Ownership!$A$32:$C$36,2,0),0)</f>
        <v>0</v>
      </c>
      <c r="CQ84" s="294">
        <f>IFERROR(VLOOKUP(CQ$4,Ownership!$A$32:$C$36,2,0),0)</f>
        <v>0</v>
      </c>
      <c r="CR84" s="294">
        <f>IFERROR(VLOOKUP(CR$4,Ownership!$A$32:$C$36,2,0),0)</f>
        <v>0</v>
      </c>
      <c r="CS84" s="294">
        <f>IFERROR(VLOOKUP(CS$4,Ownership!$A$32:$C$36,2,0),0)</f>
        <v>0</v>
      </c>
      <c r="CT84" s="294">
        <f>IFERROR(VLOOKUP(CT$4,Ownership!$A$32:$C$36,2,0),0)</f>
        <v>0</v>
      </c>
      <c r="CU84" s="294">
        <f>IFERROR(VLOOKUP(CU$4,Ownership!$A$32:$C$36,2,0),0)</f>
        <v>0</v>
      </c>
      <c r="CV84" s="294">
        <f>IFERROR(VLOOKUP(CV$4,Ownership!$A$32:$C$36,2,0),0)</f>
        <v>0</v>
      </c>
      <c r="CW84" s="294">
        <f>IFERROR(VLOOKUP(CW$4,Ownership!$A$32:$C$36,2,0),0)</f>
        <v>0</v>
      </c>
    </row>
    <row r="85" spans="1:101">
      <c r="A85" s="537" t="s">
        <v>237</v>
      </c>
      <c r="B85" s="988"/>
      <c r="C85" s="988"/>
      <c r="D85" s="988"/>
      <c r="E85" s="988"/>
      <c r="F85" s="988"/>
      <c r="G85" s="988"/>
      <c r="H85" s="988"/>
      <c r="I85" s="988"/>
      <c r="J85" s="988"/>
      <c r="K85" s="988"/>
      <c r="L85" s="988"/>
      <c r="M85" s="988"/>
      <c r="N85" s="988"/>
      <c r="O85" s="988"/>
      <c r="P85" s="988"/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8"/>
      <c r="AJ85" s="988"/>
      <c r="AK85" s="988"/>
      <c r="AL85" s="988"/>
      <c r="AM85" s="988"/>
      <c r="AN85" s="988"/>
      <c r="AO85" s="988"/>
      <c r="AP85" s="294"/>
      <c r="AQ85" s="294"/>
      <c r="AR85" s="294"/>
      <c r="AS85" s="294"/>
      <c r="AT85" s="1703"/>
      <c r="AU85" s="1703"/>
      <c r="AV85" s="1703"/>
      <c r="AW85" s="1703"/>
      <c r="AX85" s="1703"/>
      <c r="AY85" s="1703"/>
      <c r="AZ85" s="1703"/>
      <c r="BA85" s="1703"/>
      <c r="BB85" s="1703"/>
      <c r="BC85" s="1703"/>
      <c r="BD85" s="1703"/>
      <c r="BE85" s="1703"/>
      <c r="BF85" s="1703"/>
      <c r="BG85" s="1703"/>
      <c r="BH85" s="1703"/>
      <c r="BI85" s="1703"/>
      <c r="BJ85" s="1703"/>
      <c r="BK85" s="1695"/>
      <c r="BL85" s="294">
        <f>IF(Index!$H$36&gt;=BL86,BL84,0)</f>
        <v>0</v>
      </c>
      <c r="BM85" s="294">
        <f>IF(Index!$H$36&gt;=BM86,BM84,0)</f>
        <v>0</v>
      </c>
      <c r="BN85" s="294">
        <f>IF(Index!$H$36&gt;=BN86,BN84,0)</f>
        <v>0</v>
      </c>
      <c r="BO85" s="294">
        <f>IF(Index!$H$36&gt;=BO86,BO84,0)</f>
        <v>0</v>
      </c>
      <c r="BP85" s="294">
        <f>IF(Index!$H$36&gt;=BP86,BP84,0)</f>
        <v>0</v>
      </c>
      <c r="BQ85" s="294">
        <f>IF(Index!$H$36&gt;=BQ86,BQ84,0)</f>
        <v>0</v>
      </c>
      <c r="BR85" s="294">
        <f>IF(Index!$H$36&gt;=BR86,BR84,0)</f>
        <v>0</v>
      </c>
      <c r="BS85" s="294">
        <f>IF(Index!$H$36&gt;=BS86,BS84,0)</f>
        <v>0</v>
      </c>
      <c r="BT85" s="294">
        <f>IF(Index!$H$36&gt;=BT86,BT84,0)</f>
        <v>0</v>
      </c>
      <c r="BU85" s="294">
        <f>IF(Index!$H$36&gt;=BU86,BU84,0)</f>
        <v>0</v>
      </c>
      <c r="BV85" s="294">
        <f>IF(Index!$H$36&gt;=BV86,BV84,0)</f>
        <v>0</v>
      </c>
      <c r="BW85" s="294">
        <f>IF(Index!$H$36&gt;=BW86,BW84,0)</f>
        <v>0</v>
      </c>
      <c r="BX85" s="294">
        <f>IF(Index!$H$36&gt;=BX86,BX84,0)</f>
        <v>0</v>
      </c>
      <c r="BY85" s="294">
        <f>IF(Index!$H$36&gt;=BY86,BY84,0)</f>
        <v>0</v>
      </c>
      <c r="BZ85" s="294">
        <f>IF(Index!$H$36&gt;=BZ86,BZ84,0)</f>
        <v>0</v>
      </c>
      <c r="CA85" s="294">
        <f>IF(Index!$H$36&gt;=CA86,CA84,0)</f>
        <v>0</v>
      </c>
      <c r="CB85" s="294">
        <f>IF(Index!$H$36&gt;=CB86,CB84,0)</f>
        <v>0</v>
      </c>
      <c r="CC85" s="294">
        <f>IF(Index!$H$36&gt;=CC86,CC84,0)</f>
        <v>0</v>
      </c>
      <c r="CD85" s="294">
        <f>IF(Index!$H$36&gt;=CD86,CD84,0)</f>
        <v>0</v>
      </c>
      <c r="CE85" s="294">
        <f>IF(Index!$H$36&gt;=CE86,CE84,0)</f>
        <v>0</v>
      </c>
      <c r="CF85" s="294">
        <f>IF(Index!$H$36&gt;=CF86,CF84,0)</f>
        <v>0</v>
      </c>
      <c r="CG85" s="294">
        <f>IF(Index!$H$36&gt;=CG86,CG84,0)</f>
        <v>0</v>
      </c>
      <c r="CH85" s="294">
        <f>IF(Index!$H$36&gt;=CH86,CH84,0)</f>
        <v>0</v>
      </c>
      <c r="CI85" s="294">
        <f>IF(Index!$H$36&gt;=CI86,CI84,0)</f>
        <v>0</v>
      </c>
      <c r="CJ85" s="294">
        <f>IF(Index!$H$36&gt;=CJ86,CJ84,0)</f>
        <v>0</v>
      </c>
      <c r="CK85" s="294">
        <f>IF(Index!$H$36&gt;=CK86,CK84,0)</f>
        <v>0</v>
      </c>
      <c r="CL85" s="294">
        <f>IF(Index!$H$36&gt;=CL86,CL84,0)</f>
        <v>0</v>
      </c>
      <c r="CM85" s="294">
        <f>IF(Index!$H$36&gt;=CM86,CM84,0)</f>
        <v>0</v>
      </c>
      <c r="CN85" s="294">
        <f>IF(Index!$H$36&gt;=CN86,CN84,0)</f>
        <v>0</v>
      </c>
      <c r="CO85" s="294">
        <f>IF(Index!$H$36&gt;=CO86,CO84,0)</f>
        <v>0</v>
      </c>
      <c r="CP85" s="294">
        <f>IF(Index!$H$36&gt;=CP86,CP84,0)</f>
        <v>0</v>
      </c>
      <c r="CQ85" s="294">
        <f>IF(Index!$H$36&gt;=CQ86,CQ84,0)</f>
        <v>0</v>
      </c>
      <c r="CR85" s="294">
        <f>IF(Index!$H$36&gt;=CR86,CR84,0)</f>
        <v>0</v>
      </c>
      <c r="CS85" s="294">
        <f>IF(Index!$H$36&gt;=CS86,CS84,0)</f>
        <v>0</v>
      </c>
      <c r="CT85" s="294">
        <f>IF(Index!$H$36&gt;=CT86,CT84,0)</f>
        <v>0</v>
      </c>
      <c r="CU85" s="294">
        <f>IF(Index!$H$36&gt;=CU86,CU84,0)</f>
        <v>0</v>
      </c>
      <c r="CV85" s="294">
        <f>IF(Index!$H$36&gt;=CV86,CV84,0)</f>
        <v>0</v>
      </c>
      <c r="CW85" s="294">
        <f>IF(Index!$H$36&gt;=CW86,CW84,0)</f>
        <v>0</v>
      </c>
    </row>
    <row r="86" spans="1:101">
      <c r="A86" s="42" t="s">
        <v>557</v>
      </c>
      <c r="B86" s="988"/>
      <c r="C86" s="988"/>
      <c r="D86" s="988"/>
      <c r="E86" s="988"/>
      <c r="F86" s="988"/>
      <c r="G86" s="988"/>
      <c r="H86" s="988"/>
      <c r="I86" s="988"/>
      <c r="J86" s="988"/>
      <c r="K86" s="988"/>
      <c r="L86" s="988"/>
      <c r="M86" s="988"/>
      <c r="N86" s="988"/>
      <c r="O86" s="988"/>
      <c r="P86" s="988"/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8"/>
      <c r="AJ86" s="988"/>
      <c r="AK86" s="988"/>
      <c r="AL86" s="988"/>
      <c r="AM86" s="988"/>
      <c r="AN86" s="988"/>
      <c r="AO86" s="988"/>
      <c r="AP86" s="294"/>
      <c r="AQ86" s="294"/>
      <c r="AR86" s="294"/>
      <c r="AS86" s="294"/>
      <c r="AT86" s="1703"/>
      <c r="AU86" s="1703"/>
      <c r="AV86" s="1703"/>
      <c r="AW86" s="1703"/>
      <c r="AX86" s="1703"/>
      <c r="AY86" s="1703"/>
      <c r="AZ86" s="1703"/>
      <c r="BA86" s="1703"/>
      <c r="BB86" s="1703"/>
      <c r="BC86" s="1703"/>
      <c r="BD86" s="1703"/>
      <c r="BE86" s="1703"/>
      <c r="BF86" s="1703"/>
      <c r="BG86" s="1703"/>
      <c r="BH86" s="1703"/>
      <c r="BI86" s="1703"/>
      <c r="BJ86" s="1703"/>
      <c r="BK86" s="1695"/>
      <c r="BL86" s="294">
        <f>IFERROR(VLOOKUP(BL$4,Ownership!$A$32:$C$36,3,0),0)</f>
        <v>0</v>
      </c>
      <c r="BM86" s="294">
        <f>IFERROR(VLOOKUP(BM$4,Ownership!$A$32:$C$36,3,0),0)</f>
        <v>0</v>
      </c>
      <c r="BN86" s="294">
        <f>IFERROR(VLOOKUP(BN$4,Ownership!$A$32:$C$36,3,0),0)</f>
        <v>0</v>
      </c>
      <c r="BO86" s="294">
        <f>IFERROR(VLOOKUP(BO$4,Ownership!$A$32:$C$36,3,0),0)</f>
        <v>0</v>
      </c>
      <c r="BP86" s="294">
        <f>IFERROR(VLOOKUP(BP$4,Ownership!$A$32:$C$36,3,0),0)</f>
        <v>0</v>
      </c>
      <c r="BQ86" s="294">
        <f>IFERROR(VLOOKUP(BQ$4,Ownership!$A$32:$C$36,3,0),0)</f>
        <v>0</v>
      </c>
      <c r="BR86" s="294">
        <f>IFERROR(VLOOKUP(BR$4,Ownership!$A$32:$C$36,3,0),0)</f>
        <v>0</v>
      </c>
      <c r="BS86" s="294">
        <f>IFERROR(VLOOKUP(BS$4,Ownership!$A$32:$C$36,3,0),0)</f>
        <v>0</v>
      </c>
      <c r="BT86" s="294">
        <f>IFERROR(VLOOKUP(BT$4,Ownership!$A$32:$C$36,3,0),0)</f>
        <v>0</v>
      </c>
      <c r="BU86" s="294">
        <f>IFERROR(VLOOKUP(BU$4,Ownership!$A$32:$C$36,3,0),0)</f>
        <v>0</v>
      </c>
      <c r="BV86" s="294">
        <f>IFERROR(VLOOKUP(BV$4,Ownership!$A$32:$C$36,3,0),0)</f>
        <v>0</v>
      </c>
      <c r="BW86" s="294">
        <f>IFERROR(VLOOKUP(BW$4,Ownership!$A$32:$C$36,3,0),0)</f>
        <v>0</v>
      </c>
      <c r="BX86" s="294">
        <f>IFERROR(VLOOKUP(BX$4,Ownership!$A$32:$C$36,3,0),0)</f>
        <v>0</v>
      </c>
      <c r="BY86" s="294">
        <f>IFERROR(VLOOKUP(BY$4,Ownership!$A$32:$C$36,3,0),0)</f>
        <v>0</v>
      </c>
      <c r="BZ86" s="294">
        <f>IFERROR(VLOOKUP(BZ$4,Ownership!$A$32:$C$36,3,0),0)</f>
        <v>0</v>
      </c>
      <c r="CA86" s="294">
        <f>IFERROR(VLOOKUP(CA$4,Ownership!$A$32:$C$36,3,0),0)</f>
        <v>0</v>
      </c>
      <c r="CB86" s="294">
        <f>IFERROR(VLOOKUP(CB$4,Ownership!$A$32:$C$36,3,0),0)</f>
        <v>0</v>
      </c>
      <c r="CC86" s="294">
        <f>IFERROR(VLOOKUP(CC$4,Ownership!$A$32:$C$36,3,0),0)</f>
        <v>0</v>
      </c>
      <c r="CD86" s="294">
        <f>IFERROR(VLOOKUP(CD$4,Ownership!$A$32:$C$36,3,0),0)</f>
        <v>0</v>
      </c>
      <c r="CE86" s="294">
        <f>IFERROR(VLOOKUP(CE$4,Ownership!$A$32:$C$36,3,0),0)</f>
        <v>0</v>
      </c>
      <c r="CF86" s="294">
        <f>IFERROR(VLOOKUP(CF$4,Ownership!$A$32:$C$36,3,0),0)</f>
        <v>0</v>
      </c>
      <c r="CG86" s="294">
        <f>IFERROR(VLOOKUP(CG$4,Ownership!$A$32:$C$36,3,0),0)</f>
        <v>0</v>
      </c>
      <c r="CH86" s="294">
        <f>IFERROR(VLOOKUP(CH$4,Ownership!$A$32:$C$36,3,0),0)</f>
        <v>0</v>
      </c>
      <c r="CI86" s="294">
        <f>IFERROR(VLOOKUP(CI$4,Ownership!$A$32:$C$36,3,0),0)</f>
        <v>0</v>
      </c>
      <c r="CJ86" s="294">
        <f>IFERROR(VLOOKUP(CJ$4,Ownership!$A$32:$C$36,3,0),0)</f>
        <v>0</v>
      </c>
      <c r="CK86" s="294">
        <f>IFERROR(VLOOKUP(CK$4,Ownership!$A$32:$C$36,3,0),0)</f>
        <v>0</v>
      </c>
      <c r="CL86" s="294">
        <f>IFERROR(VLOOKUP(CL$4,Ownership!$A$32:$C$36,3,0),0)</f>
        <v>0</v>
      </c>
      <c r="CM86" s="294">
        <f>IFERROR(VLOOKUP(CM$4,Ownership!$A$32:$C$36,3,0),0)</f>
        <v>0</v>
      </c>
      <c r="CN86" s="294">
        <f>IFERROR(VLOOKUP(CN$4,Ownership!$A$32:$C$36,3,0),0)</f>
        <v>0</v>
      </c>
      <c r="CO86" s="294">
        <f>IFERROR(VLOOKUP(CO$4,Ownership!$A$32:$C$36,3,0),0)</f>
        <v>0</v>
      </c>
      <c r="CP86" s="294">
        <f>IFERROR(VLOOKUP(CP$4,Ownership!$A$32:$C$36,3,0),0)</f>
        <v>0</v>
      </c>
      <c r="CQ86" s="294">
        <f>IFERROR(VLOOKUP(CQ$4,Ownership!$A$32:$C$36,3,0),0)</f>
        <v>0</v>
      </c>
      <c r="CR86" s="294">
        <f>IFERROR(VLOOKUP(CR$4,Ownership!$A$32:$C$36,3,0),0)</f>
        <v>0</v>
      </c>
      <c r="CS86" s="294">
        <f>IFERROR(VLOOKUP(CS$4,Ownership!$A$32:$C$36,3,0),0)</f>
        <v>0</v>
      </c>
      <c r="CT86" s="294">
        <f>IFERROR(VLOOKUP(CT$4,Ownership!$A$32:$C$36,3,0),0)</f>
        <v>0</v>
      </c>
      <c r="CU86" s="294">
        <f>IFERROR(VLOOKUP(CU$4,Ownership!$A$32:$C$36,3,0),0)</f>
        <v>0</v>
      </c>
      <c r="CV86" s="294">
        <f>IFERROR(VLOOKUP(CV$4,Ownership!$A$32:$C$36,3,0),0)</f>
        <v>0</v>
      </c>
      <c r="CW86" s="294">
        <f>IFERROR(VLOOKUP(CW$4,Ownership!$A$32:$C$36,3,0),0)</f>
        <v>0</v>
      </c>
    </row>
    <row r="87" spans="1:101">
      <c r="A87" s="42" t="s">
        <v>625</v>
      </c>
      <c r="B87" s="988" t="str">
        <f t="shared" ref="B87:AA87" si="329">B80</f>
        <v>ND</v>
      </c>
      <c r="C87" s="988" t="str">
        <f t="shared" si="329"/>
        <v>ND</v>
      </c>
      <c r="D87" s="988" t="str">
        <f t="shared" si="329"/>
        <v>ND</v>
      </c>
      <c r="E87" s="988" t="str">
        <f t="shared" si="329"/>
        <v>ND</v>
      </c>
      <c r="F87" s="438" t="str">
        <f t="shared" si="329"/>
        <v>ND</v>
      </c>
      <c r="G87" s="438" t="str">
        <f t="shared" si="329"/>
        <v>ND</v>
      </c>
      <c r="H87" s="438" t="str">
        <f t="shared" si="329"/>
        <v>ND</v>
      </c>
      <c r="I87" s="438" t="str">
        <f t="shared" si="329"/>
        <v>ND</v>
      </c>
      <c r="J87" s="438" t="str">
        <f t="shared" si="329"/>
        <v>ND</v>
      </c>
      <c r="K87" s="438" t="str">
        <f t="shared" si="329"/>
        <v>ND</v>
      </c>
      <c r="L87" s="438" t="str">
        <f t="shared" si="329"/>
        <v>ND</v>
      </c>
      <c r="M87" s="438" t="str">
        <f t="shared" si="329"/>
        <v>ND</v>
      </c>
      <c r="N87" s="438" t="str">
        <f t="shared" si="329"/>
        <v>ND</v>
      </c>
      <c r="O87" s="438" t="str">
        <f t="shared" si="329"/>
        <v>ND</v>
      </c>
      <c r="P87" s="438" t="str">
        <f t="shared" si="329"/>
        <v>ND</v>
      </c>
      <c r="Q87" s="438" t="str">
        <f t="shared" si="329"/>
        <v>ND</v>
      </c>
      <c r="R87" s="438" t="str">
        <f t="shared" si="329"/>
        <v>ND</v>
      </c>
      <c r="S87" s="438" t="str">
        <f t="shared" si="329"/>
        <v>ND</v>
      </c>
      <c r="T87" s="438" t="str">
        <f t="shared" si="329"/>
        <v>ND</v>
      </c>
      <c r="U87" s="438" t="str">
        <f t="shared" si="329"/>
        <v>ND</v>
      </c>
      <c r="V87" s="438" t="str">
        <f t="shared" si="329"/>
        <v>ND</v>
      </c>
      <c r="W87" s="438" t="str">
        <f t="shared" si="329"/>
        <v>ND</v>
      </c>
      <c r="X87" s="438" t="str">
        <f t="shared" si="329"/>
        <v>ND</v>
      </c>
      <c r="Y87" s="438" t="str">
        <f t="shared" si="329"/>
        <v>ND</v>
      </c>
      <c r="Z87" s="438" t="str">
        <f t="shared" si="329"/>
        <v>ND</v>
      </c>
      <c r="AA87" s="438" t="str">
        <f t="shared" si="329"/>
        <v>ND</v>
      </c>
      <c r="AB87" s="438" t="str">
        <f t="shared" ref="AB87:AL87" si="330">AB80</f>
        <v>ND</v>
      </c>
      <c r="AC87" s="438" t="str">
        <f t="shared" si="330"/>
        <v>ND</v>
      </c>
      <c r="AD87" s="438" t="str">
        <f t="shared" si="330"/>
        <v>ND</v>
      </c>
      <c r="AE87" s="438" t="str">
        <f t="shared" si="330"/>
        <v>ND</v>
      </c>
      <c r="AF87" s="438" t="str">
        <f t="shared" si="330"/>
        <v>ND</v>
      </c>
      <c r="AG87" s="438" t="str">
        <f t="shared" si="330"/>
        <v>ND</v>
      </c>
      <c r="AH87" s="438" t="str">
        <f t="shared" si="330"/>
        <v>ND</v>
      </c>
      <c r="AI87" s="438" t="str">
        <f t="shared" si="330"/>
        <v>ND</v>
      </c>
      <c r="AJ87" s="438" t="str">
        <f t="shared" si="330"/>
        <v>ND</v>
      </c>
      <c r="AK87" s="438" t="str">
        <f t="shared" si="330"/>
        <v>ND</v>
      </c>
      <c r="AL87" s="438" t="str">
        <f t="shared" si="330"/>
        <v>ND</v>
      </c>
      <c r="AM87" s="438">
        <v>0</v>
      </c>
      <c r="AN87" s="438">
        <v>0</v>
      </c>
      <c r="AO87" s="438">
        <v>0</v>
      </c>
      <c r="AP87" s="438">
        <v>0</v>
      </c>
      <c r="AQ87" s="438">
        <v>0</v>
      </c>
      <c r="AR87" s="438">
        <v>0</v>
      </c>
      <c r="AS87" s="438">
        <v>1</v>
      </c>
      <c r="AT87" s="1545">
        <v>0</v>
      </c>
      <c r="AU87" s="1545">
        <v>0</v>
      </c>
      <c r="AV87" s="1545">
        <v>0</v>
      </c>
      <c r="AW87" s="1545">
        <v>0</v>
      </c>
      <c r="AX87" s="1545">
        <v>0</v>
      </c>
      <c r="AY87" s="1545">
        <v>0</v>
      </c>
      <c r="AZ87" s="1545">
        <v>0</v>
      </c>
      <c r="BA87" s="1545">
        <v>0</v>
      </c>
      <c r="BB87" s="1545">
        <v>0</v>
      </c>
      <c r="BC87" s="1545">
        <v>0</v>
      </c>
      <c r="BD87" s="1545">
        <v>0</v>
      </c>
      <c r="BE87" s="1545">
        <f t="shared" ref="BE87:BQ87" si="331">BE89-BE88</f>
        <v>0</v>
      </c>
      <c r="BF87" s="1545">
        <f t="shared" ref="BF87:BG87" si="332">BF89-BF88</f>
        <v>0</v>
      </c>
      <c r="BG87" s="1545">
        <f t="shared" si="332"/>
        <v>0</v>
      </c>
      <c r="BH87" s="1545">
        <f t="shared" ref="BH87" si="333">BH89-BH88</f>
        <v>0</v>
      </c>
      <c r="BI87" s="1545">
        <f t="shared" ref="BI87" si="334">BI89-BI88</f>
        <v>0</v>
      </c>
      <c r="BJ87" s="1545">
        <f t="shared" ref="BJ87:BK87" si="335">BJ89-BJ88</f>
        <v>0</v>
      </c>
      <c r="BK87" s="1697">
        <f t="shared" si="335"/>
        <v>0</v>
      </c>
      <c r="BL87" s="294">
        <f t="shared" si="331"/>
        <v>0</v>
      </c>
      <c r="BM87" s="294">
        <f t="shared" si="331"/>
        <v>0</v>
      </c>
      <c r="BN87" s="294">
        <f t="shared" si="331"/>
        <v>0</v>
      </c>
      <c r="BO87" s="294">
        <f t="shared" si="331"/>
        <v>0</v>
      </c>
      <c r="BP87" s="294">
        <f t="shared" si="331"/>
        <v>0</v>
      </c>
      <c r="BQ87" s="294">
        <f t="shared" si="331"/>
        <v>0</v>
      </c>
      <c r="BR87" s="294">
        <f t="shared" ref="BR87:CK87" si="336">BR89-BR88</f>
        <v>0</v>
      </c>
      <c r="BS87" s="294">
        <f t="shared" si="336"/>
        <v>0</v>
      </c>
      <c r="BT87" s="294">
        <f t="shared" si="336"/>
        <v>0</v>
      </c>
      <c r="BU87" s="294">
        <f t="shared" si="336"/>
        <v>0</v>
      </c>
      <c r="BV87" s="294">
        <f t="shared" si="336"/>
        <v>0</v>
      </c>
      <c r="BW87" s="294">
        <f t="shared" si="336"/>
        <v>0</v>
      </c>
      <c r="BX87" s="294">
        <f t="shared" si="336"/>
        <v>0</v>
      </c>
      <c r="BY87" s="294">
        <f t="shared" si="336"/>
        <v>0</v>
      </c>
      <c r="BZ87" s="294">
        <f t="shared" si="336"/>
        <v>0</v>
      </c>
      <c r="CA87" s="294">
        <f t="shared" si="336"/>
        <v>0</v>
      </c>
      <c r="CB87" s="294">
        <f t="shared" si="336"/>
        <v>0</v>
      </c>
      <c r="CC87" s="294">
        <f t="shared" si="336"/>
        <v>0</v>
      </c>
      <c r="CD87" s="294">
        <f t="shared" si="336"/>
        <v>0</v>
      </c>
      <c r="CE87" s="294">
        <f t="shared" si="336"/>
        <v>0</v>
      </c>
      <c r="CF87" s="294">
        <f t="shared" si="336"/>
        <v>0</v>
      </c>
      <c r="CG87" s="294">
        <f t="shared" si="336"/>
        <v>0</v>
      </c>
      <c r="CH87" s="294">
        <f t="shared" si="336"/>
        <v>0</v>
      </c>
      <c r="CI87" s="294">
        <f t="shared" si="336"/>
        <v>0</v>
      </c>
      <c r="CJ87" s="294">
        <f t="shared" si="336"/>
        <v>0</v>
      </c>
      <c r="CK87" s="294">
        <f t="shared" si="336"/>
        <v>0</v>
      </c>
      <c r="CL87" s="294">
        <f t="shared" ref="CL87:CP87" si="337">CL89-CL88</f>
        <v>0</v>
      </c>
      <c r="CM87" s="294">
        <f t="shared" si="337"/>
        <v>0</v>
      </c>
      <c r="CN87" s="294">
        <f t="shared" si="337"/>
        <v>0</v>
      </c>
      <c r="CO87" s="294">
        <f t="shared" si="337"/>
        <v>0</v>
      </c>
      <c r="CP87" s="294">
        <f t="shared" si="337"/>
        <v>0</v>
      </c>
      <c r="CQ87" s="294">
        <f t="shared" ref="CQ87:CT87" si="338">CQ89-CQ88</f>
        <v>0</v>
      </c>
      <c r="CR87" s="294">
        <f t="shared" si="338"/>
        <v>0</v>
      </c>
      <c r="CS87" s="294">
        <f t="shared" si="338"/>
        <v>0</v>
      </c>
      <c r="CT87" s="294">
        <f t="shared" si="338"/>
        <v>0</v>
      </c>
      <c r="CU87" s="294">
        <f t="shared" ref="CU87:CW87" si="339">CU89-CU88</f>
        <v>0</v>
      </c>
      <c r="CV87" s="294">
        <f t="shared" si="339"/>
        <v>0</v>
      </c>
      <c r="CW87" s="294">
        <f t="shared" si="339"/>
        <v>0</v>
      </c>
    </row>
    <row r="88" spans="1:101">
      <c r="A88" s="86" t="s">
        <v>626</v>
      </c>
      <c r="B88" s="988"/>
      <c r="C88" s="988"/>
      <c r="D88" s="988"/>
      <c r="E88" s="988"/>
      <c r="F88" s="988"/>
      <c r="G88" s="988"/>
      <c r="H88" s="988"/>
      <c r="I88" s="988"/>
      <c r="J88" s="988"/>
      <c r="K88" s="988"/>
      <c r="L88" s="988"/>
      <c r="M88" s="988"/>
      <c r="N88" s="988"/>
      <c r="O88" s="988"/>
      <c r="P88" s="988"/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988"/>
      <c r="AJ88" s="988"/>
      <c r="AK88" s="988"/>
      <c r="AL88" s="988"/>
      <c r="AM88" s="988"/>
      <c r="AN88" s="988"/>
      <c r="AO88" s="988"/>
      <c r="AP88" s="294"/>
      <c r="AQ88" s="294"/>
      <c r="AR88" s="294"/>
      <c r="AS88" s="294"/>
      <c r="AT88" s="1703"/>
      <c r="AU88" s="1703"/>
      <c r="AV88" s="1703"/>
      <c r="AW88" s="1703"/>
      <c r="AX88" s="1703"/>
      <c r="AY88" s="1703"/>
      <c r="AZ88" s="1703"/>
      <c r="BA88" s="1703"/>
      <c r="BB88" s="1703"/>
      <c r="BC88" s="1703"/>
      <c r="BD88" s="1703"/>
      <c r="BE88" s="1703"/>
      <c r="BF88" s="1703"/>
      <c r="BG88" s="1703"/>
      <c r="BH88" s="1703"/>
      <c r="BI88" s="1703"/>
      <c r="BJ88" s="1703"/>
      <c r="BK88" s="1695"/>
      <c r="BL88" s="294">
        <f t="shared" ref="BL88:BQ88" si="340">IF(BL85&gt;0,IF(BL85-BL89&gt;0,BK87,BK87-BL89),0)</f>
        <v>0</v>
      </c>
      <c r="BM88" s="294">
        <f t="shared" si="340"/>
        <v>0</v>
      </c>
      <c r="BN88" s="294">
        <f t="shared" si="340"/>
        <v>0</v>
      </c>
      <c r="BO88" s="294">
        <f t="shared" si="340"/>
        <v>0</v>
      </c>
      <c r="BP88" s="294">
        <f t="shared" si="340"/>
        <v>0</v>
      </c>
      <c r="BQ88" s="294">
        <f t="shared" si="340"/>
        <v>0</v>
      </c>
      <c r="BR88" s="294">
        <f t="shared" ref="BR88:CK88" si="341">IF(BR85&gt;0,IF(BR85-BR89&gt;0,BQ87,BQ87-BR89),0)</f>
        <v>0</v>
      </c>
      <c r="BS88" s="294">
        <f t="shared" si="341"/>
        <v>0</v>
      </c>
      <c r="BT88" s="294">
        <f t="shared" si="341"/>
        <v>0</v>
      </c>
      <c r="BU88" s="294">
        <f t="shared" si="341"/>
        <v>0</v>
      </c>
      <c r="BV88" s="294">
        <f t="shared" si="341"/>
        <v>0</v>
      </c>
      <c r="BW88" s="294">
        <f t="shared" si="341"/>
        <v>0</v>
      </c>
      <c r="BX88" s="294">
        <f t="shared" si="341"/>
        <v>0</v>
      </c>
      <c r="BY88" s="294">
        <f t="shared" si="341"/>
        <v>0</v>
      </c>
      <c r="BZ88" s="294">
        <f t="shared" si="341"/>
        <v>0</v>
      </c>
      <c r="CA88" s="294">
        <f t="shared" si="341"/>
        <v>0</v>
      </c>
      <c r="CB88" s="294">
        <f t="shared" si="341"/>
        <v>0</v>
      </c>
      <c r="CC88" s="294">
        <f t="shared" si="341"/>
        <v>0</v>
      </c>
      <c r="CD88" s="294">
        <f t="shared" si="341"/>
        <v>0</v>
      </c>
      <c r="CE88" s="294">
        <f t="shared" si="341"/>
        <v>0</v>
      </c>
      <c r="CF88" s="294">
        <f t="shared" si="341"/>
        <v>0</v>
      </c>
      <c r="CG88" s="294">
        <f t="shared" si="341"/>
        <v>0</v>
      </c>
      <c r="CH88" s="294">
        <f t="shared" si="341"/>
        <v>0</v>
      </c>
      <c r="CI88" s="294">
        <f t="shared" si="341"/>
        <v>0</v>
      </c>
      <c r="CJ88" s="294">
        <f t="shared" si="341"/>
        <v>0</v>
      </c>
      <c r="CK88" s="294">
        <f t="shared" si="341"/>
        <v>0</v>
      </c>
      <c r="CL88" s="294">
        <f t="shared" ref="CL88" si="342">IF(CL85&gt;0,IF(CL85-CL89&gt;0,CK87,CK87-CL89),0)</f>
        <v>0</v>
      </c>
      <c r="CM88" s="294">
        <f t="shared" ref="CM88" si="343">IF(CM85&gt;0,IF(CM85-CM89&gt;0,CL87,CL87-CM89),0)</f>
        <v>0</v>
      </c>
      <c r="CN88" s="294">
        <f t="shared" ref="CN88" si="344">IF(CN85&gt;0,IF(CN85-CN89&gt;0,CM87,CM87-CN89),0)</f>
        <v>0</v>
      </c>
      <c r="CO88" s="294">
        <f t="shared" ref="CO88" si="345">IF(CO85&gt;0,IF(CO85-CO89&gt;0,CN87,CN87-CO89),0)</f>
        <v>0</v>
      </c>
      <c r="CP88" s="294">
        <f t="shared" ref="CP88" si="346">IF(CP85&gt;0,IF(CP85-CP89&gt;0,CO87,CO87-CP89),0)</f>
        <v>0</v>
      </c>
      <c r="CQ88" s="294">
        <f t="shared" ref="CQ88" si="347">IF(CQ85&gt;0,IF(CQ85-CQ89&gt;0,CP87,CP87-CQ89),0)</f>
        <v>0</v>
      </c>
      <c r="CR88" s="294">
        <f t="shared" ref="CR88" si="348">IF(CR85&gt;0,IF(CR85-CR89&gt;0,CQ87,CQ87-CR89),0)</f>
        <v>0</v>
      </c>
      <c r="CS88" s="294">
        <f t="shared" ref="CS88" si="349">IF(CS85&gt;0,IF(CS85-CS89&gt;0,CR87,CR87-CS89),0)</f>
        <v>0</v>
      </c>
      <c r="CT88" s="294">
        <f t="shared" ref="CT88" si="350">IF(CT85&gt;0,IF(CT85-CT89&gt;0,CS87,CS87-CT89),0)</f>
        <v>0</v>
      </c>
      <c r="CU88" s="294">
        <f t="shared" ref="CU88" si="351">IF(CU85&gt;0,IF(CU85-CU89&gt;0,CT87,CT87-CU89),0)</f>
        <v>0</v>
      </c>
      <c r="CV88" s="294">
        <f t="shared" ref="CV88" si="352">IF(CV85&gt;0,IF(CV85-CV89&gt;0,CU87,CU87-CV89),0)</f>
        <v>0</v>
      </c>
      <c r="CW88" s="294">
        <f t="shared" ref="CW88" si="353">IF(CW85&gt;0,IF(CW85-CW89&gt;0,CV87,CV87-CW89),0)</f>
        <v>0</v>
      </c>
    </row>
    <row r="89" spans="1:101">
      <c r="A89" s="86" t="s">
        <v>204</v>
      </c>
      <c r="B89" s="988"/>
      <c r="C89" s="988"/>
      <c r="D89" s="988"/>
      <c r="E89" s="988"/>
      <c r="F89" s="988"/>
      <c r="G89" s="988"/>
      <c r="H89" s="988"/>
      <c r="I89" s="988"/>
      <c r="J89" s="988"/>
      <c r="K89" s="988"/>
      <c r="L89" s="988"/>
      <c r="M89" s="988"/>
      <c r="N89" s="988"/>
      <c r="O89" s="988"/>
      <c r="P89" s="988"/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988"/>
      <c r="AJ89" s="988"/>
      <c r="AK89" s="988"/>
      <c r="AL89" s="988"/>
      <c r="AM89" s="988"/>
      <c r="AN89" s="988"/>
      <c r="AO89" s="988"/>
      <c r="AP89" s="294"/>
      <c r="AQ89" s="294"/>
      <c r="AR89" s="294"/>
      <c r="AS89" s="294"/>
      <c r="AT89" s="1703"/>
      <c r="AU89" s="1703"/>
      <c r="AV89" s="1703"/>
      <c r="AW89" s="1703"/>
      <c r="AX89" s="1703"/>
      <c r="AY89" s="1703"/>
      <c r="AZ89" s="1703"/>
      <c r="BA89" s="1703"/>
      <c r="BB89" s="1703"/>
      <c r="BC89" s="1703"/>
      <c r="BD89" s="1703"/>
      <c r="BE89" s="1703"/>
      <c r="BF89" s="1703"/>
      <c r="BG89" s="1703"/>
      <c r="BH89" s="1703"/>
      <c r="BI89" s="1703"/>
      <c r="BJ89" s="1703"/>
      <c r="BK89" s="1695"/>
      <c r="BL89" s="294">
        <f t="shared" ref="BL89:BQ89" si="354">BK87</f>
        <v>0</v>
      </c>
      <c r="BM89" s="294">
        <f t="shared" si="354"/>
        <v>0</v>
      </c>
      <c r="BN89" s="294">
        <f t="shared" si="354"/>
        <v>0</v>
      </c>
      <c r="BO89" s="294">
        <f t="shared" si="354"/>
        <v>0</v>
      </c>
      <c r="BP89" s="294">
        <f t="shared" si="354"/>
        <v>0</v>
      </c>
      <c r="BQ89" s="294">
        <f t="shared" si="354"/>
        <v>0</v>
      </c>
      <c r="BR89" s="294">
        <f t="shared" ref="BR89:CK89" si="355">BQ87</f>
        <v>0</v>
      </c>
      <c r="BS89" s="294">
        <f t="shared" si="355"/>
        <v>0</v>
      </c>
      <c r="BT89" s="294">
        <f t="shared" si="355"/>
        <v>0</v>
      </c>
      <c r="BU89" s="294">
        <f t="shared" si="355"/>
        <v>0</v>
      </c>
      <c r="BV89" s="294">
        <f t="shared" si="355"/>
        <v>0</v>
      </c>
      <c r="BW89" s="294">
        <f t="shared" si="355"/>
        <v>0</v>
      </c>
      <c r="BX89" s="294">
        <f t="shared" si="355"/>
        <v>0</v>
      </c>
      <c r="BY89" s="294">
        <f t="shared" si="355"/>
        <v>0</v>
      </c>
      <c r="BZ89" s="294">
        <f t="shared" si="355"/>
        <v>0</v>
      </c>
      <c r="CA89" s="294">
        <f t="shared" si="355"/>
        <v>0</v>
      </c>
      <c r="CB89" s="294">
        <f t="shared" si="355"/>
        <v>0</v>
      </c>
      <c r="CC89" s="294">
        <f t="shared" si="355"/>
        <v>0</v>
      </c>
      <c r="CD89" s="294">
        <f t="shared" si="355"/>
        <v>0</v>
      </c>
      <c r="CE89" s="294">
        <f t="shared" si="355"/>
        <v>0</v>
      </c>
      <c r="CF89" s="294">
        <f t="shared" si="355"/>
        <v>0</v>
      </c>
      <c r="CG89" s="294">
        <f t="shared" si="355"/>
        <v>0</v>
      </c>
      <c r="CH89" s="294">
        <f t="shared" si="355"/>
        <v>0</v>
      </c>
      <c r="CI89" s="294">
        <f t="shared" si="355"/>
        <v>0</v>
      </c>
      <c r="CJ89" s="294">
        <f t="shared" si="355"/>
        <v>0</v>
      </c>
      <c r="CK89" s="294">
        <f t="shared" si="355"/>
        <v>0</v>
      </c>
      <c r="CL89" s="294">
        <f t="shared" ref="CL89" si="356">CK87</f>
        <v>0</v>
      </c>
      <c r="CM89" s="294">
        <f t="shared" ref="CM89" si="357">CL87</f>
        <v>0</v>
      </c>
      <c r="CN89" s="294">
        <f t="shared" ref="CN89" si="358">CM87</f>
        <v>0</v>
      </c>
      <c r="CO89" s="294">
        <f t="shared" ref="CO89" si="359">CN87</f>
        <v>0</v>
      </c>
      <c r="CP89" s="294">
        <f t="shared" ref="CP89" si="360">CO87</f>
        <v>0</v>
      </c>
      <c r="CQ89" s="294">
        <f t="shared" ref="CQ89" si="361">CP87</f>
        <v>0</v>
      </c>
      <c r="CR89" s="294">
        <f t="shared" ref="CR89" si="362">CQ87</f>
        <v>0</v>
      </c>
      <c r="CS89" s="294">
        <f t="shared" ref="CS89" si="363">CR87</f>
        <v>0</v>
      </c>
      <c r="CT89" s="294">
        <f t="shared" ref="CT89" si="364">CS87</f>
        <v>0</v>
      </c>
      <c r="CU89" s="294">
        <f t="shared" ref="CU89" si="365">CT87</f>
        <v>0</v>
      </c>
      <c r="CV89" s="294">
        <f t="shared" ref="CV89" si="366">CU87</f>
        <v>0</v>
      </c>
      <c r="CW89" s="294">
        <f t="shared" ref="CW89" si="367">CV87</f>
        <v>0</v>
      </c>
    </row>
    <row r="90" spans="1:101">
      <c r="A90" s="42" t="s">
        <v>238</v>
      </c>
      <c r="B90" s="988"/>
      <c r="C90" s="988"/>
      <c r="D90" s="988"/>
      <c r="E90" s="988"/>
      <c r="F90" s="988"/>
      <c r="G90" s="988"/>
      <c r="H90" s="988"/>
      <c r="I90" s="988"/>
      <c r="J90" s="988"/>
      <c r="K90" s="988"/>
      <c r="L90" s="988"/>
      <c r="M90" s="988"/>
      <c r="N90" s="988"/>
      <c r="O90" s="988"/>
      <c r="P90" s="988"/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8"/>
      <c r="AJ90" s="988"/>
      <c r="AK90" s="988"/>
      <c r="AL90" s="988"/>
      <c r="AM90" s="988"/>
      <c r="AN90" s="988"/>
      <c r="AO90" s="988"/>
      <c r="AP90" s="294"/>
      <c r="AQ90" s="294"/>
      <c r="AR90" s="294"/>
      <c r="AS90" s="294"/>
      <c r="AT90" s="1703"/>
      <c r="AU90" s="1703"/>
      <c r="AV90" s="1703"/>
      <c r="AW90" s="1703"/>
      <c r="AX90" s="1703"/>
      <c r="AY90" s="1703"/>
      <c r="AZ90" s="1703"/>
      <c r="BA90" s="1703"/>
      <c r="BB90" s="1703"/>
      <c r="BC90" s="1703"/>
      <c r="BD90" s="1703"/>
      <c r="BE90" s="1703"/>
      <c r="BF90" s="1703"/>
      <c r="BG90" s="1703"/>
      <c r="BH90" s="1703"/>
      <c r="BI90" s="1703"/>
      <c r="BJ90" s="1703"/>
      <c r="BK90" s="1695"/>
      <c r="BL90" s="294">
        <f t="shared" ref="BL90:BQ90" si="368">BL85*BL86</f>
        <v>0</v>
      </c>
      <c r="BM90" s="294">
        <f t="shared" si="368"/>
        <v>0</v>
      </c>
      <c r="BN90" s="294">
        <f t="shared" si="368"/>
        <v>0</v>
      </c>
      <c r="BO90" s="294">
        <f t="shared" si="368"/>
        <v>0</v>
      </c>
      <c r="BP90" s="294">
        <f t="shared" si="368"/>
        <v>0</v>
      </c>
      <c r="BQ90" s="294">
        <f t="shared" si="368"/>
        <v>0</v>
      </c>
      <c r="BR90" s="294">
        <f t="shared" ref="BR90:CK90" si="369">BR85*BR86</f>
        <v>0</v>
      </c>
      <c r="BS90" s="294">
        <f t="shared" si="369"/>
        <v>0</v>
      </c>
      <c r="BT90" s="294">
        <f t="shared" si="369"/>
        <v>0</v>
      </c>
      <c r="BU90" s="294">
        <f t="shared" si="369"/>
        <v>0</v>
      </c>
      <c r="BV90" s="294">
        <f t="shared" si="369"/>
        <v>0</v>
      </c>
      <c r="BW90" s="294">
        <f t="shared" si="369"/>
        <v>0</v>
      </c>
      <c r="BX90" s="294">
        <f t="shared" si="369"/>
        <v>0</v>
      </c>
      <c r="BY90" s="294">
        <f t="shared" si="369"/>
        <v>0</v>
      </c>
      <c r="BZ90" s="294">
        <f t="shared" si="369"/>
        <v>0</v>
      </c>
      <c r="CA90" s="294">
        <f t="shared" si="369"/>
        <v>0</v>
      </c>
      <c r="CB90" s="294">
        <f t="shared" si="369"/>
        <v>0</v>
      </c>
      <c r="CC90" s="294">
        <f t="shared" si="369"/>
        <v>0</v>
      </c>
      <c r="CD90" s="294">
        <f t="shared" si="369"/>
        <v>0</v>
      </c>
      <c r="CE90" s="294">
        <f t="shared" si="369"/>
        <v>0</v>
      </c>
      <c r="CF90" s="294">
        <f t="shared" si="369"/>
        <v>0</v>
      </c>
      <c r="CG90" s="294">
        <f t="shared" si="369"/>
        <v>0</v>
      </c>
      <c r="CH90" s="294">
        <f t="shared" si="369"/>
        <v>0</v>
      </c>
      <c r="CI90" s="294">
        <f t="shared" si="369"/>
        <v>0</v>
      </c>
      <c r="CJ90" s="294">
        <f t="shared" si="369"/>
        <v>0</v>
      </c>
      <c r="CK90" s="294">
        <f t="shared" si="369"/>
        <v>0</v>
      </c>
      <c r="CL90" s="294">
        <f t="shared" ref="CL90:CP90" si="370">CL85*CL86</f>
        <v>0</v>
      </c>
      <c r="CM90" s="294">
        <f t="shared" si="370"/>
        <v>0</v>
      </c>
      <c r="CN90" s="294">
        <f t="shared" si="370"/>
        <v>0</v>
      </c>
      <c r="CO90" s="294">
        <f t="shared" si="370"/>
        <v>0</v>
      </c>
      <c r="CP90" s="294">
        <f t="shared" si="370"/>
        <v>0</v>
      </c>
      <c r="CQ90" s="294">
        <f t="shared" ref="CQ90:CT90" si="371">CQ85*CQ86</f>
        <v>0</v>
      </c>
      <c r="CR90" s="294">
        <f t="shared" si="371"/>
        <v>0</v>
      </c>
      <c r="CS90" s="294">
        <f t="shared" si="371"/>
        <v>0</v>
      </c>
      <c r="CT90" s="294">
        <f t="shared" si="371"/>
        <v>0</v>
      </c>
      <c r="CU90" s="294">
        <f t="shared" ref="CU90:CW90" si="372">CU85*CU86</f>
        <v>0</v>
      </c>
      <c r="CV90" s="294">
        <f t="shared" si="372"/>
        <v>0</v>
      </c>
      <c r="CW90" s="294">
        <f t="shared" si="372"/>
        <v>0</v>
      </c>
    </row>
    <row r="91" spans="1:101">
      <c r="A91" s="93"/>
      <c r="B91" s="988"/>
      <c r="C91" s="988"/>
      <c r="D91" s="988"/>
      <c r="E91" s="988"/>
      <c r="F91" s="988"/>
      <c r="G91" s="988"/>
      <c r="H91" s="988"/>
      <c r="I91" s="988"/>
      <c r="J91" s="988"/>
      <c r="K91" s="988"/>
      <c r="L91" s="988"/>
      <c r="M91" s="988"/>
      <c r="N91" s="988"/>
      <c r="O91" s="988"/>
      <c r="P91" s="988"/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988"/>
      <c r="AJ91" s="988"/>
      <c r="AK91" s="988"/>
      <c r="AL91" s="988"/>
      <c r="AM91" s="988"/>
      <c r="AN91" s="988"/>
      <c r="AO91" s="988"/>
      <c r="AP91" s="296"/>
      <c r="AQ91" s="296"/>
      <c r="AR91" s="296"/>
      <c r="AS91" s="296"/>
      <c r="AT91" s="1707"/>
      <c r="AU91" s="1707"/>
      <c r="AV91" s="1707"/>
      <c r="AW91" s="1707"/>
      <c r="AX91" s="1707"/>
      <c r="AY91" s="1707"/>
      <c r="AZ91" s="1707"/>
      <c r="BA91" s="1707"/>
      <c r="BB91" s="1707"/>
      <c r="BC91" s="1707"/>
      <c r="BD91" s="1707"/>
      <c r="BE91" s="1707"/>
      <c r="BF91" s="1707"/>
      <c r="BG91" s="1707"/>
      <c r="BH91" s="1707"/>
      <c r="BI91" s="1707"/>
      <c r="BJ91" s="1707"/>
      <c r="BK91" s="1696"/>
      <c r="BL91" s="296"/>
      <c r="BM91" s="296"/>
      <c r="BN91" s="296"/>
      <c r="BO91" s="296"/>
      <c r="BP91" s="296"/>
      <c r="BQ91" s="296"/>
      <c r="BR91" s="296"/>
      <c r="BS91" s="296"/>
      <c r="BT91" s="296"/>
      <c r="BU91" s="296"/>
      <c r="BV91" s="296"/>
      <c r="BW91" s="296"/>
      <c r="BX91" s="296"/>
      <c r="BY91" s="296"/>
      <c r="BZ91" s="296"/>
      <c r="CA91" s="296"/>
      <c r="CB91" s="296"/>
      <c r="CC91" s="296"/>
      <c r="CD91" s="296"/>
      <c r="CE91" s="296"/>
      <c r="CF91" s="296"/>
      <c r="CG91" s="296"/>
      <c r="CH91" s="296"/>
      <c r="CI91" s="296"/>
      <c r="CJ91" s="296"/>
      <c r="CK91" s="296"/>
      <c r="CL91" s="296"/>
      <c r="CM91" s="296"/>
      <c r="CN91" s="296"/>
      <c r="CO91" s="296"/>
      <c r="CP91" s="296"/>
      <c r="CQ91" s="296"/>
      <c r="CR91" s="296"/>
      <c r="CS91" s="296"/>
      <c r="CT91" s="296"/>
      <c r="CU91" s="296"/>
      <c r="CV91" s="296"/>
      <c r="CW91" s="296"/>
    </row>
    <row r="92" spans="1:101">
      <c r="A92" s="93" t="s">
        <v>555</v>
      </c>
      <c r="B92" s="438"/>
      <c r="C92" s="438">
        <f t="shared" ref="C92:AA92" si="373">B95</f>
        <v>617.5</v>
      </c>
      <c r="D92" s="438">
        <f t="shared" si="373"/>
        <v>612.4</v>
      </c>
      <c r="E92" s="438">
        <f t="shared" si="373"/>
        <v>606.5</v>
      </c>
      <c r="F92" s="438">
        <f t="shared" si="373"/>
        <v>601.79999999999995</v>
      </c>
      <c r="G92" s="438">
        <f t="shared" si="373"/>
        <v>608.79999999999995</v>
      </c>
      <c r="H92" s="438">
        <f t="shared" si="373"/>
        <v>611.70000000000005</v>
      </c>
      <c r="I92" s="438">
        <f t="shared" si="373"/>
        <v>610.79999999999995</v>
      </c>
      <c r="J92" s="438">
        <f t="shared" si="373"/>
        <v>605.20000000000005</v>
      </c>
      <c r="K92" s="438">
        <f t="shared" si="373"/>
        <v>611.70000000000005</v>
      </c>
      <c r="L92" s="438">
        <f t="shared" si="373"/>
        <v>611.29999999999995</v>
      </c>
      <c r="M92" s="438">
        <f t="shared" si="373"/>
        <v>607.4</v>
      </c>
      <c r="N92" s="438">
        <f t="shared" si="373"/>
        <v>606</v>
      </c>
      <c r="O92" s="438">
        <f t="shared" si="373"/>
        <v>617.79999999999995</v>
      </c>
      <c r="P92" s="438">
        <f t="shared" si="373"/>
        <v>634.27</v>
      </c>
      <c r="Q92" s="438">
        <f t="shared" si="373"/>
        <v>634.27</v>
      </c>
      <c r="R92" s="438">
        <f t="shared" si="373"/>
        <v>687.8</v>
      </c>
      <c r="S92" s="438">
        <f t="shared" si="373"/>
        <v>687.8</v>
      </c>
      <c r="T92" s="438">
        <f t="shared" si="373"/>
        <v>686.5</v>
      </c>
      <c r="U92" s="438">
        <f t="shared" si="373"/>
        <v>687.8</v>
      </c>
      <c r="V92" s="438">
        <f t="shared" si="373"/>
        <v>687.8</v>
      </c>
      <c r="W92" s="438">
        <f t="shared" si="373"/>
        <v>687.8</v>
      </c>
      <c r="X92" s="438">
        <f t="shared" si="373"/>
        <v>838.6</v>
      </c>
      <c r="Y92" s="438">
        <f t="shared" si="373"/>
        <v>838.6</v>
      </c>
      <c r="Z92" s="438">
        <f t="shared" si="373"/>
        <v>837.6</v>
      </c>
      <c r="AA92" s="438">
        <f t="shared" si="373"/>
        <v>838.1</v>
      </c>
      <c r="AB92" s="438">
        <f t="shared" ref="AB92:AZ92" si="374">AA95</f>
        <v>838.5</v>
      </c>
      <c r="AC92" s="438">
        <f t="shared" si="374"/>
        <v>837.8</v>
      </c>
      <c r="AD92" s="438">
        <f t="shared" si="374"/>
        <v>837.5</v>
      </c>
      <c r="AE92" s="438">
        <f t="shared" si="374"/>
        <v>837.4</v>
      </c>
      <c r="AF92" s="438">
        <f t="shared" si="374"/>
        <v>837.4</v>
      </c>
      <c r="AG92" s="438">
        <f t="shared" si="374"/>
        <v>835.9</v>
      </c>
      <c r="AH92" s="438">
        <f t="shared" si="374"/>
        <v>834.3</v>
      </c>
      <c r="AI92" s="438">
        <f t="shared" si="374"/>
        <v>833.4</v>
      </c>
      <c r="AJ92" s="438">
        <f t="shared" si="374"/>
        <v>834.9</v>
      </c>
      <c r="AK92" s="438">
        <f t="shared" si="374"/>
        <v>834.1</v>
      </c>
      <c r="AL92" s="438">
        <f t="shared" si="374"/>
        <v>832.8</v>
      </c>
      <c r="AM92" s="438">
        <f t="shared" si="374"/>
        <v>837.8</v>
      </c>
      <c r="AN92" s="438">
        <f t="shared" si="374"/>
        <v>838.5</v>
      </c>
      <c r="AO92" s="438">
        <f t="shared" si="374"/>
        <v>838.5</v>
      </c>
      <c r="AP92" s="438">
        <f t="shared" si="374"/>
        <v>835.6</v>
      </c>
      <c r="AQ92" s="438">
        <f t="shared" si="374"/>
        <v>835.6</v>
      </c>
      <c r="AR92" s="438">
        <f t="shared" si="374"/>
        <v>831.3</v>
      </c>
      <c r="AS92" s="438">
        <f t="shared" si="374"/>
        <v>830.7</v>
      </c>
      <c r="AT92" s="1545">
        <f t="shared" si="374"/>
        <v>838.5</v>
      </c>
      <c r="AU92" s="1545">
        <f t="shared" si="374"/>
        <v>834.1</v>
      </c>
      <c r="AV92" s="1545">
        <f t="shared" si="374"/>
        <v>832.9</v>
      </c>
      <c r="AW92" s="1545">
        <f t="shared" si="374"/>
        <v>832.9</v>
      </c>
      <c r="AX92" s="1545">
        <f t="shared" si="374"/>
        <v>838.5</v>
      </c>
      <c r="AY92" s="1545">
        <f t="shared" si="374"/>
        <v>838.6</v>
      </c>
      <c r="AZ92" s="1545">
        <f t="shared" si="374"/>
        <v>838.6</v>
      </c>
      <c r="BA92" s="1545">
        <f t="shared" ref="BA92:BJ92" si="375">AZ95</f>
        <v>838.6</v>
      </c>
      <c r="BB92" s="1545">
        <f t="shared" si="375"/>
        <v>838.6</v>
      </c>
      <c r="BC92" s="1545">
        <f t="shared" si="375"/>
        <v>838.2</v>
      </c>
      <c r="BD92" s="1545">
        <f t="shared" si="375"/>
        <v>830.7</v>
      </c>
      <c r="BE92" s="1545">
        <f t="shared" si="375"/>
        <v>820.9</v>
      </c>
      <c r="BF92" s="1545">
        <f t="shared" si="375"/>
        <v>820</v>
      </c>
      <c r="BG92" s="1545">
        <f t="shared" si="375"/>
        <v>815.1</v>
      </c>
      <c r="BH92" s="1545">
        <f t="shared" si="375"/>
        <v>815.1</v>
      </c>
      <c r="BI92" s="1545">
        <f t="shared" si="375"/>
        <v>812.6</v>
      </c>
      <c r="BJ92" s="1545">
        <f t="shared" si="375"/>
        <v>809.7</v>
      </c>
      <c r="BK92" s="1697">
        <f t="shared" ref="BK92" si="376">BJ95</f>
        <v>815.1</v>
      </c>
      <c r="BL92" s="294">
        <f t="shared" ref="BL92:BQ92" si="377">BK95</f>
        <v>815</v>
      </c>
      <c r="BM92" s="294">
        <f t="shared" si="377"/>
        <v>815</v>
      </c>
      <c r="BN92" s="294">
        <f t="shared" si="377"/>
        <v>815</v>
      </c>
      <c r="BO92" s="294">
        <f t="shared" si="377"/>
        <v>815</v>
      </c>
      <c r="BP92" s="294">
        <f t="shared" si="377"/>
        <v>815</v>
      </c>
      <c r="BQ92" s="294">
        <f t="shared" si="377"/>
        <v>815</v>
      </c>
      <c r="BR92" s="294">
        <f t="shared" ref="BR92:CK92" si="378">BQ95</f>
        <v>815</v>
      </c>
      <c r="BS92" s="294">
        <f t="shared" si="378"/>
        <v>815</v>
      </c>
      <c r="BT92" s="294">
        <f t="shared" si="378"/>
        <v>815</v>
      </c>
      <c r="BU92" s="294">
        <f t="shared" si="378"/>
        <v>815</v>
      </c>
      <c r="BV92" s="294">
        <f t="shared" si="378"/>
        <v>815</v>
      </c>
      <c r="BW92" s="294">
        <f t="shared" si="378"/>
        <v>815</v>
      </c>
      <c r="BX92" s="294">
        <f t="shared" si="378"/>
        <v>815</v>
      </c>
      <c r="BY92" s="294">
        <f t="shared" si="378"/>
        <v>815</v>
      </c>
      <c r="BZ92" s="294">
        <f t="shared" si="378"/>
        <v>815</v>
      </c>
      <c r="CA92" s="294">
        <f t="shared" si="378"/>
        <v>815</v>
      </c>
      <c r="CB92" s="294">
        <f t="shared" si="378"/>
        <v>815</v>
      </c>
      <c r="CC92" s="294">
        <f t="shared" si="378"/>
        <v>815</v>
      </c>
      <c r="CD92" s="294">
        <f t="shared" si="378"/>
        <v>815</v>
      </c>
      <c r="CE92" s="294">
        <f t="shared" si="378"/>
        <v>815</v>
      </c>
      <c r="CF92" s="294">
        <f t="shared" si="378"/>
        <v>815</v>
      </c>
      <c r="CG92" s="294">
        <f t="shared" si="378"/>
        <v>815</v>
      </c>
      <c r="CH92" s="294">
        <f t="shared" si="378"/>
        <v>815</v>
      </c>
      <c r="CI92" s="294">
        <f t="shared" si="378"/>
        <v>815</v>
      </c>
      <c r="CJ92" s="294">
        <f t="shared" si="378"/>
        <v>815</v>
      </c>
      <c r="CK92" s="294">
        <f t="shared" si="378"/>
        <v>815</v>
      </c>
      <c r="CL92" s="294">
        <f t="shared" ref="CL92" si="379">CK95</f>
        <v>815</v>
      </c>
      <c r="CM92" s="294">
        <f t="shared" ref="CM92" si="380">CL95</f>
        <v>815</v>
      </c>
      <c r="CN92" s="294">
        <f t="shared" ref="CN92" si="381">CM95</f>
        <v>815</v>
      </c>
      <c r="CO92" s="294">
        <f t="shared" ref="CO92" si="382">CN95</f>
        <v>815</v>
      </c>
      <c r="CP92" s="294">
        <f t="shared" ref="CP92" si="383">CO95</f>
        <v>815</v>
      </c>
      <c r="CQ92" s="294">
        <f t="shared" ref="CQ92" si="384">CP95</f>
        <v>815</v>
      </c>
      <c r="CR92" s="294">
        <f t="shared" ref="CR92" si="385">CQ95</f>
        <v>815</v>
      </c>
      <c r="CS92" s="294">
        <f t="shared" ref="CS92" si="386">CR95</f>
        <v>815</v>
      </c>
      <c r="CT92" s="294">
        <f t="shared" ref="CT92" si="387">CS95</f>
        <v>815</v>
      </c>
      <c r="CU92" s="294">
        <f t="shared" ref="CU92" si="388">CT95</f>
        <v>815</v>
      </c>
      <c r="CV92" s="294">
        <f t="shared" ref="CV92" si="389">CU95</f>
        <v>815</v>
      </c>
      <c r="CW92" s="294">
        <f t="shared" ref="CW92" si="390">CV95</f>
        <v>815</v>
      </c>
    </row>
    <row r="93" spans="1:101">
      <c r="A93" s="42" t="s">
        <v>242</v>
      </c>
      <c r="B93" s="438"/>
      <c r="C93" s="438">
        <f t="shared" ref="C93:U93" si="391">IF(C95&gt;C92,C95-C92,0)</f>
        <v>0</v>
      </c>
      <c r="D93" s="438">
        <f t="shared" si="391"/>
        <v>0</v>
      </c>
      <c r="E93" s="438">
        <f t="shared" si="391"/>
        <v>0</v>
      </c>
      <c r="F93" s="438">
        <f t="shared" si="391"/>
        <v>7</v>
      </c>
      <c r="G93" s="438">
        <f t="shared" si="391"/>
        <v>2.9000000000000909</v>
      </c>
      <c r="H93" s="438">
        <f t="shared" si="391"/>
        <v>0</v>
      </c>
      <c r="I93" s="438">
        <f t="shared" si="391"/>
        <v>0</v>
      </c>
      <c r="J93" s="438">
        <f t="shared" si="391"/>
        <v>6.5</v>
      </c>
      <c r="K93" s="438">
        <f t="shared" si="391"/>
        <v>0</v>
      </c>
      <c r="L93" s="438">
        <f t="shared" si="391"/>
        <v>0</v>
      </c>
      <c r="M93" s="438">
        <f t="shared" si="391"/>
        <v>0</v>
      </c>
      <c r="N93" s="438">
        <f t="shared" si="391"/>
        <v>11.799999999999955</v>
      </c>
      <c r="O93" s="438">
        <f t="shared" si="391"/>
        <v>16.470000000000027</v>
      </c>
      <c r="P93" s="438">
        <f t="shared" si="391"/>
        <v>0</v>
      </c>
      <c r="Q93" s="438">
        <f t="shared" si="391"/>
        <v>53.529999999999973</v>
      </c>
      <c r="R93" s="438">
        <f t="shared" si="391"/>
        <v>0</v>
      </c>
      <c r="S93" s="438">
        <f t="shared" si="391"/>
        <v>0</v>
      </c>
      <c r="T93" s="438">
        <f t="shared" si="391"/>
        <v>1.2999999999999545</v>
      </c>
      <c r="U93" s="438">
        <f t="shared" si="391"/>
        <v>0</v>
      </c>
      <c r="V93" s="438">
        <f t="shared" ref="V93:AN93" si="392">IF(V95&gt;V92,V95-V92,0)</f>
        <v>0</v>
      </c>
      <c r="W93" s="438">
        <f t="shared" si="392"/>
        <v>150.80000000000007</v>
      </c>
      <c r="X93" s="438">
        <f t="shared" si="392"/>
        <v>0</v>
      </c>
      <c r="Y93" s="438">
        <f t="shared" si="392"/>
        <v>0</v>
      </c>
      <c r="Z93" s="438">
        <f t="shared" si="392"/>
        <v>0.5</v>
      </c>
      <c r="AA93" s="438">
        <f t="shared" si="392"/>
        <v>0.39999999999997726</v>
      </c>
      <c r="AB93" s="438">
        <f t="shared" si="392"/>
        <v>0</v>
      </c>
      <c r="AC93" s="438">
        <f t="shared" si="392"/>
        <v>0</v>
      </c>
      <c r="AD93" s="438">
        <f t="shared" si="392"/>
        <v>0</v>
      </c>
      <c r="AE93" s="438">
        <f t="shared" si="392"/>
        <v>0</v>
      </c>
      <c r="AF93" s="438">
        <f t="shared" si="392"/>
        <v>0</v>
      </c>
      <c r="AG93" s="438">
        <f t="shared" si="392"/>
        <v>0</v>
      </c>
      <c r="AH93" s="438">
        <f t="shared" si="392"/>
        <v>0</v>
      </c>
      <c r="AI93" s="438">
        <f t="shared" si="392"/>
        <v>1.5</v>
      </c>
      <c r="AJ93" s="438">
        <f t="shared" si="392"/>
        <v>0</v>
      </c>
      <c r="AK93" s="438">
        <f t="shared" si="392"/>
        <v>0</v>
      </c>
      <c r="AL93" s="438">
        <f t="shared" si="392"/>
        <v>5</v>
      </c>
      <c r="AM93" s="438">
        <f t="shared" si="392"/>
        <v>0.70000000000004547</v>
      </c>
      <c r="AN93" s="438">
        <f t="shared" si="392"/>
        <v>0</v>
      </c>
      <c r="AO93" s="438">
        <f t="shared" ref="AO93:BC93" si="393">IF(AO95&gt;AO92,AO95-AO92,0)</f>
        <v>0</v>
      </c>
      <c r="AP93" s="438">
        <f t="shared" si="393"/>
        <v>0</v>
      </c>
      <c r="AQ93" s="438">
        <f t="shared" si="393"/>
        <v>0</v>
      </c>
      <c r="AR93" s="438">
        <f t="shared" si="393"/>
        <v>0</v>
      </c>
      <c r="AS93" s="438">
        <f t="shared" si="393"/>
        <v>7.7999999999999545</v>
      </c>
      <c r="AT93" s="1545">
        <f t="shared" si="393"/>
        <v>0</v>
      </c>
      <c r="AU93" s="1545">
        <f t="shared" si="393"/>
        <v>0</v>
      </c>
      <c r="AV93" s="1545">
        <f t="shared" si="393"/>
        <v>0</v>
      </c>
      <c r="AW93" s="1545">
        <f t="shared" si="393"/>
        <v>5.6000000000000227</v>
      </c>
      <c r="AX93" s="1545">
        <f t="shared" si="393"/>
        <v>0.10000000000002274</v>
      </c>
      <c r="AY93" s="1545">
        <f t="shared" si="393"/>
        <v>0</v>
      </c>
      <c r="AZ93" s="1545">
        <f t="shared" si="393"/>
        <v>0</v>
      </c>
      <c r="BA93" s="1545">
        <f t="shared" si="393"/>
        <v>0</v>
      </c>
      <c r="BB93" s="1545">
        <f t="shared" si="393"/>
        <v>0</v>
      </c>
      <c r="BC93" s="1545">
        <f t="shared" si="393"/>
        <v>0</v>
      </c>
      <c r="BD93" s="1545">
        <f t="shared" ref="BD93:BI93" si="394">IF(BD95&gt;BD92,BD95-BD92,0)</f>
        <v>0</v>
      </c>
      <c r="BE93" s="1545">
        <f t="shared" si="394"/>
        <v>0</v>
      </c>
      <c r="BF93" s="1545">
        <f t="shared" si="394"/>
        <v>0</v>
      </c>
      <c r="BG93" s="1545">
        <f t="shared" si="394"/>
        <v>0</v>
      </c>
      <c r="BH93" s="1545">
        <f t="shared" si="394"/>
        <v>0</v>
      </c>
      <c r="BI93" s="1545">
        <f t="shared" si="394"/>
        <v>0</v>
      </c>
      <c r="BJ93" s="1545">
        <f t="shared" ref="BJ93:BK93" si="395">IF(BJ95&gt;BJ92,BJ95-BJ92,0)</f>
        <v>5.3999999999999773</v>
      </c>
      <c r="BK93" s="1697">
        <f t="shared" si="395"/>
        <v>0</v>
      </c>
      <c r="BL93" s="294">
        <f t="shared" ref="BL93:BQ93" si="396">BL76</f>
        <v>0</v>
      </c>
      <c r="BM93" s="294">
        <f t="shared" si="396"/>
        <v>0</v>
      </c>
      <c r="BN93" s="294">
        <f t="shared" si="396"/>
        <v>0</v>
      </c>
      <c r="BO93" s="294">
        <f t="shared" si="396"/>
        <v>0</v>
      </c>
      <c r="BP93" s="294">
        <f t="shared" si="396"/>
        <v>0</v>
      </c>
      <c r="BQ93" s="294">
        <f t="shared" si="396"/>
        <v>0</v>
      </c>
      <c r="BR93" s="294">
        <f t="shared" ref="BR93:CK93" si="397">BR76</f>
        <v>0</v>
      </c>
      <c r="BS93" s="294">
        <f t="shared" si="397"/>
        <v>0</v>
      </c>
      <c r="BT93" s="294">
        <f t="shared" si="397"/>
        <v>0</v>
      </c>
      <c r="BU93" s="294">
        <f t="shared" si="397"/>
        <v>0</v>
      </c>
      <c r="BV93" s="294">
        <f t="shared" si="397"/>
        <v>0</v>
      </c>
      <c r="BW93" s="294">
        <f t="shared" si="397"/>
        <v>0</v>
      </c>
      <c r="BX93" s="294">
        <f t="shared" si="397"/>
        <v>0</v>
      </c>
      <c r="BY93" s="294">
        <f t="shared" si="397"/>
        <v>0</v>
      </c>
      <c r="BZ93" s="294">
        <f t="shared" si="397"/>
        <v>0</v>
      </c>
      <c r="CA93" s="294">
        <f t="shared" si="397"/>
        <v>0</v>
      </c>
      <c r="CB93" s="294">
        <f t="shared" si="397"/>
        <v>0</v>
      </c>
      <c r="CC93" s="294">
        <f t="shared" si="397"/>
        <v>0</v>
      </c>
      <c r="CD93" s="294">
        <f t="shared" si="397"/>
        <v>0</v>
      </c>
      <c r="CE93" s="294">
        <f t="shared" si="397"/>
        <v>0</v>
      </c>
      <c r="CF93" s="294">
        <f t="shared" si="397"/>
        <v>0</v>
      </c>
      <c r="CG93" s="294">
        <f t="shared" si="397"/>
        <v>0</v>
      </c>
      <c r="CH93" s="294">
        <f t="shared" si="397"/>
        <v>0</v>
      </c>
      <c r="CI93" s="294">
        <f t="shared" si="397"/>
        <v>0</v>
      </c>
      <c r="CJ93" s="294">
        <f t="shared" si="397"/>
        <v>0</v>
      </c>
      <c r="CK93" s="294">
        <f t="shared" si="397"/>
        <v>0</v>
      </c>
      <c r="CL93" s="294">
        <f t="shared" ref="CL93:CP93" si="398">CL76</f>
        <v>0</v>
      </c>
      <c r="CM93" s="294">
        <f t="shared" si="398"/>
        <v>0</v>
      </c>
      <c r="CN93" s="294">
        <f t="shared" si="398"/>
        <v>0</v>
      </c>
      <c r="CO93" s="294">
        <f t="shared" si="398"/>
        <v>0</v>
      </c>
      <c r="CP93" s="294">
        <f t="shared" si="398"/>
        <v>0</v>
      </c>
      <c r="CQ93" s="294">
        <f t="shared" ref="CQ93:CT93" si="399">CQ76</f>
        <v>0</v>
      </c>
      <c r="CR93" s="294">
        <f t="shared" si="399"/>
        <v>0</v>
      </c>
      <c r="CS93" s="294">
        <f t="shared" si="399"/>
        <v>0</v>
      </c>
      <c r="CT93" s="294">
        <f t="shared" si="399"/>
        <v>0</v>
      </c>
      <c r="CU93" s="294">
        <f t="shared" ref="CU93:CW93" si="400">CU76</f>
        <v>0</v>
      </c>
      <c r="CV93" s="294">
        <f t="shared" si="400"/>
        <v>0</v>
      </c>
      <c r="CW93" s="294">
        <f t="shared" si="400"/>
        <v>0</v>
      </c>
    </row>
    <row r="94" spans="1:101">
      <c r="A94" s="42" t="s">
        <v>235</v>
      </c>
      <c r="B94" s="438"/>
      <c r="C94" s="438">
        <f t="shared" ref="C94:U94" si="401">IF(C93=0,C95-C92,0)</f>
        <v>-5.1000000000000227</v>
      </c>
      <c r="D94" s="438">
        <f t="shared" si="401"/>
        <v>-5.8999999999999773</v>
      </c>
      <c r="E94" s="438">
        <f t="shared" si="401"/>
        <v>-4.7000000000000455</v>
      </c>
      <c r="F94" s="438">
        <f t="shared" si="401"/>
        <v>0</v>
      </c>
      <c r="G94" s="438">
        <f t="shared" si="401"/>
        <v>0</v>
      </c>
      <c r="H94" s="438">
        <f t="shared" si="401"/>
        <v>-0.90000000000009095</v>
      </c>
      <c r="I94" s="438">
        <f t="shared" si="401"/>
        <v>-5.5999999999999091</v>
      </c>
      <c r="J94" s="438">
        <f t="shared" si="401"/>
        <v>0</v>
      </c>
      <c r="K94" s="438">
        <f t="shared" si="401"/>
        <v>-0.40000000000009095</v>
      </c>
      <c r="L94" s="438">
        <f t="shared" si="401"/>
        <v>-3.8999999999999773</v>
      </c>
      <c r="M94" s="438">
        <f t="shared" si="401"/>
        <v>-1.3999999999999773</v>
      </c>
      <c r="N94" s="438">
        <f t="shared" si="401"/>
        <v>0</v>
      </c>
      <c r="O94" s="438">
        <f t="shared" si="401"/>
        <v>0</v>
      </c>
      <c r="P94" s="438">
        <f t="shared" si="401"/>
        <v>0</v>
      </c>
      <c r="Q94" s="438">
        <f t="shared" si="401"/>
        <v>0</v>
      </c>
      <c r="R94" s="438">
        <f t="shared" si="401"/>
        <v>0</v>
      </c>
      <c r="S94" s="438">
        <f t="shared" si="401"/>
        <v>-1.2999999999999545</v>
      </c>
      <c r="T94" s="438">
        <f t="shared" si="401"/>
        <v>0</v>
      </c>
      <c r="U94" s="438">
        <f t="shared" si="401"/>
        <v>0</v>
      </c>
      <c r="V94" s="438">
        <f t="shared" ref="V94:AN94" si="402">IF(V93=0,V95-V92,0)</f>
        <v>0</v>
      </c>
      <c r="W94" s="438">
        <f t="shared" si="402"/>
        <v>0</v>
      </c>
      <c r="X94" s="438">
        <f t="shared" si="402"/>
        <v>0</v>
      </c>
      <c r="Y94" s="438">
        <f t="shared" si="402"/>
        <v>-1</v>
      </c>
      <c r="Z94" s="438">
        <f t="shared" si="402"/>
        <v>0</v>
      </c>
      <c r="AA94" s="438">
        <f t="shared" si="402"/>
        <v>0</v>
      </c>
      <c r="AB94" s="438">
        <f t="shared" si="402"/>
        <v>-0.70000000000004547</v>
      </c>
      <c r="AC94" s="438">
        <f t="shared" si="402"/>
        <v>-0.29999999999995453</v>
      </c>
      <c r="AD94" s="438">
        <f t="shared" si="402"/>
        <v>-0.10000000000002274</v>
      </c>
      <c r="AE94" s="438">
        <f t="shared" si="402"/>
        <v>0</v>
      </c>
      <c r="AF94" s="438">
        <f t="shared" si="402"/>
        <v>-1.5</v>
      </c>
      <c r="AG94" s="438">
        <f t="shared" si="402"/>
        <v>-1.6000000000000227</v>
      </c>
      <c r="AH94" s="438">
        <f t="shared" si="402"/>
        <v>-0.89999999999997726</v>
      </c>
      <c r="AI94" s="438">
        <f t="shared" si="402"/>
        <v>0</v>
      </c>
      <c r="AJ94" s="438">
        <f t="shared" si="402"/>
        <v>-0.79999999999995453</v>
      </c>
      <c r="AK94" s="438">
        <f t="shared" si="402"/>
        <v>-1.3000000000000682</v>
      </c>
      <c r="AL94" s="438">
        <f t="shared" si="402"/>
        <v>0</v>
      </c>
      <c r="AM94" s="438">
        <f t="shared" si="402"/>
        <v>0</v>
      </c>
      <c r="AN94" s="438">
        <f t="shared" si="402"/>
        <v>0</v>
      </c>
      <c r="AO94" s="438">
        <f t="shared" ref="AO94:BC94" si="403">IF(AO93=0,AO95-AO92,0)</f>
        <v>-2.8999999999999773</v>
      </c>
      <c r="AP94" s="438">
        <f t="shared" si="403"/>
        <v>0</v>
      </c>
      <c r="AQ94" s="438">
        <f t="shared" si="403"/>
        <v>-4.3000000000000682</v>
      </c>
      <c r="AR94" s="438">
        <f t="shared" si="403"/>
        <v>-0.59999999999990905</v>
      </c>
      <c r="AS94" s="438">
        <f t="shared" si="403"/>
        <v>0</v>
      </c>
      <c r="AT94" s="1545">
        <f t="shared" si="403"/>
        <v>-4.3999999999999773</v>
      </c>
      <c r="AU94" s="1545">
        <f t="shared" si="403"/>
        <v>-1.2000000000000455</v>
      </c>
      <c r="AV94" s="1545">
        <f t="shared" si="403"/>
        <v>0</v>
      </c>
      <c r="AW94" s="1545">
        <f t="shared" si="403"/>
        <v>0</v>
      </c>
      <c r="AX94" s="1545">
        <f t="shared" si="403"/>
        <v>0</v>
      </c>
      <c r="AY94" s="1545">
        <f t="shared" si="403"/>
        <v>0</v>
      </c>
      <c r="AZ94" s="1545">
        <f t="shared" si="403"/>
        <v>0</v>
      </c>
      <c r="BA94" s="1545">
        <f t="shared" si="403"/>
        <v>0</v>
      </c>
      <c r="BB94" s="1545">
        <f t="shared" si="403"/>
        <v>-0.39999999999997726</v>
      </c>
      <c r="BC94" s="1545">
        <f t="shared" si="403"/>
        <v>-7.5</v>
      </c>
      <c r="BD94" s="1545">
        <f t="shared" ref="BD94:BI94" si="404">IF(BD93=0,BD95-BD92,0)</f>
        <v>-9.8000000000000682</v>
      </c>
      <c r="BE94" s="1545">
        <f t="shared" si="404"/>
        <v>-0.89999999999997726</v>
      </c>
      <c r="BF94" s="1545">
        <f t="shared" si="404"/>
        <v>-4.8999999999999773</v>
      </c>
      <c r="BG94" s="1545">
        <f t="shared" si="404"/>
        <v>0</v>
      </c>
      <c r="BH94" s="1545">
        <f t="shared" si="404"/>
        <v>-2.5</v>
      </c>
      <c r="BI94" s="1545">
        <f t="shared" si="404"/>
        <v>-2.8999999999999773</v>
      </c>
      <c r="BJ94" s="1545">
        <f t="shared" ref="BJ94:BK94" si="405">IF(BJ93=0,BJ95-BJ92,0)</f>
        <v>0</v>
      </c>
      <c r="BK94" s="1697">
        <f t="shared" si="405"/>
        <v>-0.10000000000002274</v>
      </c>
      <c r="BL94" s="294">
        <f t="shared" ref="BL94:BQ94" si="406">-BL80</f>
        <v>0</v>
      </c>
      <c r="BM94" s="294">
        <f t="shared" si="406"/>
        <v>0</v>
      </c>
      <c r="BN94" s="294">
        <f t="shared" si="406"/>
        <v>0</v>
      </c>
      <c r="BO94" s="294">
        <f t="shared" si="406"/>
        <v>0</v>
      </c>
      <c r="BP94" s="294">
        <f t="shared" si="406"/>
        <v>0</v>
      </c>
      <c r="BQ94" s="294">
        <f t="shared" si="406"/>
        <v>0</v>
      </c>
      <c r="BR94" s="294">
        <f t="shared" ref="BR94:CK94" si="407">-BR80</f>
        <v>0</v>
      </c>
      <c r="BS94" s="294">
        <f t="shared" si="407"/>
        <v>0</v>
      </c>
      <c r="BT94" s="294">
        <f t="shared" si="407"/>
        <v>0</v>
      </c>
      <c r="BU94" s="294">
        <f t="shared" si="407"/>
        <v>0</v>
      </c>
      <c r="BV94" s="294">
        <f t="shared" si="407"/>
        <v>0</v>
      </c>
      <c r="BW94" s="294">
        <f t="shared" si="407"/>
        <v>0</v>
      </c>
      <c r="BX94" s="294">
        <f t="shared" si="407"/>
        <v>0</v>
      </c>
      <c r="BY94" s="294">
        <f t="shared" si="407"/>
        <v>0</v>
      </c>
      <c r="BZ94" s="294">
        <f t="shared" si="407"/>
        <v>0</v>
      </c>
      <c r="CA94" s="294">
        <f t="shared" si="407"/>
        <v>0</v>
      </c>
      <c r="CB94" s="294">
        <f t="shared" si="407"/>
        <v>0</v>
      </c>
      <c r="CC94" s="294">
        <f t="shared" si="407"/>
        <v>0</v>
      </c>
      <c r="CD94" s="294">
        <f t="shared" si="407"/>
        <v>0</v>
      </c>
      <c r="CE94" s="294">
        <f t="shared" si="407"/>
        <v>0</v>
      </c>
      <c r="CF94" s="294">
        <f t="shared" si="407"/>
        <v>0</v>
      </c>
      <c r="CG94" s="294">
        <f t="shared" si="407"/>
        <v>0</v>
      </c>
      <c r="CH94" s="294">
        <f t="shared" si="407"/>
        <v>0</v>
      </c>
      <c r="CI94" s="294">
        <f t="shared" si="407"/>
        <v>0</v>
      </c>
      <c r="CJ94" s="294">
        <f t="shared" si="407"/>
        <v>0</v>
      </c>
      <c r="CK94" s="294">
        <f t="shared" si="407"/>
        <v>0</v>
      </c>
      <c r="CL94" s="294">
        <f t="shared" ref="CL94:CP94" si="408">-CL80</f>
        <v>0</v>
      </c>
      <c r="CM94" s="294">
        <f t="shared" si="408"/>
        <v>0</v>
      </c>
      <c r="CN94" s="294">
        <f t="shared" si="408"/>
        <v>0</v>
      </c>
      <c r="CO94" s="294">
        <f t="shared" si="408"/>
        <v>0</v>
      </c>
      <c r="CP94" s="294">
        <f t="shared" si="408"/>
        <v>0</v>
      </c>
      <c r="CQ94" s="294">
        <f t="shared" ref="CQ94:CT94" si="409">-CQ80</f>
        <v>0</v>
      </c>
      <c r="CR94" s="294">
        <f t="shared" si="409"/>
        <v>0</v>
      </c>
      <c r="CS94" s="294">
        <f t="shared" si="409"/>
        <v>0</v>
      </c>
      <c r="CT94" s="294">
        <f t="shared" si="409"/>
        <v>0</v>
      </c>
      <c r="CU94" s="294">
        <f t="shared" ref="CU94:CW94" si="410">-CU80</f>
        <v>0</v>
      </c>
      <c r="CV94" s="294">
        <f t="shared" si="410"/>
        <v>0</v>
      </c>
      <c r="CW94" s="294">
        <f t="shared" si="410"/>
        <v>0</v>
      </c>
    </row>
    <row r="95" spans="1:101">
      <c r="A95" s="93" t="s">
        <v>554</v>
      </c>
      <c r="B95" s="986">
        <f>IS!C26</f>
        <v>617.5</v>
      </c>
      <c r="C95" s="986">
        <f>IS!D26</f>
        <v>612.4</v>
      </c>
      <c r="D95" s="986">
        <f>IS!E26</f>
        <v>606.5</v>
      </c>
      <c r="E95" s="986">
        <f>IS!F26</f>
        <v>601.79999999999995</v>
      </c>
      <c r="F95" s="986">
        <f>IS!G26</f>
        <v>608.79999999999995</v>
      </c>
      <c r="G95" s="986">
        <f>IS!H26</f>
        <v>611.70000000000005</v>
      </c>
      <c r="H95" s="986">
        <f>IS!I26</f>
        <v>610.79999999999995</v>
      </c>
      <c r="I95" s="986">
        <f>IS!J26</f>
        <v>605.20000000000005</v>
      </c>
      <c r="J95" s="986">
        <f>IS!K26</f>
        <v>611.70000000000005</v>
      </c>
      <c r="K95" s="986">
        <f>IS!L26</f>
        <v>611.29999999999995</v>
      </c>
      <c r="L95" s="986">
        <f>IS!M26</f>
        <v>607.4</v>
      </c>
      <c r="M95" s="986">
        <f>IS!N26</f>
        <v>606</v>
      </c>
      <c r="N95" s="986">
        <f>IS!O26</f>
        <v>617.79999999999995</v>
      </c>
      <c r="O95" s="986">
        <f>IS!P26</f>
        <v>634.27</v>
      </c>
      <c r="P95" s="986">
        <f>IS!Q26</f>
        <v>634.27</v>
      </c>
      <c r="Q95" s="986">
        <f>IS!R26</f>
        <v>687.8</v>
      </c>
      <c r="R95" s="986">
        <f>IS!S26</f>
        <v>687.8</v>
      </c>
      <c r="S95" s="986">
        <f>IS!T26</f>
        <v>686.5</v>
      </c>
      <c r="T95" s="986">
        <f>IS!U26</f>
        <v>687.8</v>
      </c>
      <c r="U95" s="986">
        <f>IS!V26</f>
        <v>687.8</v>
      </c>
      <c r="V95" s="986">
        <f>IS!W26</f>
        <v>687.8</v>
      </c>
      <c r="W95" s="986">
        <f>IS!X26</f>
        <v>838.6</v>
      </c>
      <c r="X95" s="986">
        <f>IS!Y26</f>
        <v>838.6</v>
      </c>
      <c r="Y95" s="986">
        <f>IS!Z26</f>
        <v>837.6</v>
      </c>
      <c r="Z95" s="986">
        <f>IS!AA26</f>
        <v>838.1</v>
      </c>
      <c r="AA95" s="986">
        <f>IS!AB26</f>
        <v>838.5</v>
      </c>
      <c r="AB95" s="986">
        <f>IS!AC26</f>
        <v>837.8</v>
      </c>
      <c r="AC95" s="986">
        <f>IS!AD26</f>
        <v>837.5</v>
      </c>
      <c r="AD95" s="986">
        <f>IS!AE26</f>
        <v>837.4</v>
      </c>
      <c r="AE95" s="986">
        <f>IS!AF26</f>
        <v>837.4</v>
      </c>
      <c r="AF95" s="986">
        <f>IS!AG26</f>
        <v>835.9</v>
      </c>
      <c r="AG95" s="986">
        <f>IS!AH26</f>
        <v>834.3</v>
      </c>
      <c r="AH95" s="986">
        <f>IS!AI26</f>
        <v>833.4</v>
      </c>
      <c r="AI95" s="986">
        <f>IS!AJ26</f>
        <v>834.9</v>
      </c>
      <c r="AJ95" s="986">
        <f>IS!AK26</f>
        <v>834.1</v>
      </c>
      <c r="AK95" s="986">
        <f>IS!AL26</f>
        <v>832.8</v>
      </c>
      <c r="AL95" s="986">
        <f>IS!AM26</f>
        <v>837.8</v>
      </c>
      <c r="AM95" s="986">
        <f>IS!AN26</f>
        <v>838.5</v>
      </c>
      <c r="AN95" s="986">
        <f>IS!AO26</f>
        <v>838.5</v>
      </c>
      <c r="AO95" s="986">
        <f>IS!AP26</f>
        <v>835.6</v>
      </c>
      <c r="AP95" s="986">
        <f>IS!AQ26</f>
        <v>835.6</v>
      </c>
      <c r="AQ95" s="986">
        <f>IS!AR26</f>
        <v>831.3</v>
      </c>
      <c r="AR95" s="986">
        <f>IS!AS26</f>
        <v>830.7</v>
      </c>
      <c r="AS95" s="986">
        <f>IS!AT26</f>
        <v>838.5</v>
      </c>
      <c r="AT95" s="1740">
        <f>IS!AU26</f>
        <v>834.1</v>
      </c>
      <c r="AU95" s="1740">
        <f>IS!AV26</f>
        <v>832.9</v>
      </c>
      <c r="AV95" s="1740">
        <f>IS!AW26</f>
        <v>832.9</v>
      </c>
      <c r="AW95" s="1740">
        <f>IS!AX26</f>
        <v>838.5</v>
      </c>
      <c r="AX95" s="1740">
        <f>IS!AY26</f>
        <v>838.6</v>
      </c>
      <c r="AY95" s="1740">
        <f>IS!AZ26</f>
        <v>838.6</v>
      </c>
      <c r="AZ95" s="1740">
        <f>IS!BA26</f>
        <v>838.6</v>
      </c>
      <c r="BA95" s="1740">
        <f>IS!BB26</f>
        <v>838.6</v>
      </c>
      <c r="BB95" s="1740">
        <f>IS!BC26</f>
        <v>838.2</v>
      </c>
      <c r="BC95" s="1740">
        <f>IS!BD26</f>
        <v>830.7</v>
      </c>
      <c r="BD95" s="1740">
        <f>IS!BE26</f>
        <v>820.9</v>
      </c>
      <c r="BE95" s="1740">
        <f>IS!BF26</f>
        <v>820</v>
      </c>
      <c r="BF95" s="1740">
        <f>IS!BG26</f>
        <v>815.1</v>
      </c>
      <c r="BG95" s="1740">
        <f>IS!BH26</f>
        <v>815.1</v>
      </c>
      <c r="BH95" s="1740">
        <f>IS!BI26</f>
        <v>812.6</v>
      </c>
      <c r="BI95" s="1740">
        <f>IS!BJ26</f>
        <v>809.7</v>
      </c>
      <c r="BJ95" s="1740">
        <f>IS!BK26</f>
        <v>815.1</v>
      </c>
      <c r="BK95" s="1693">
        <f>IS!BL26</f>
        <v>815</v>
      </c>
      <c r="BL95" s="294">
        <f t="shared" ref="BL95:BQ95" si="411">SUM(BL92:BL94)</f>
        <v>815</v>
      </c>
      <c r="BM95" s="294">
        <f t="shared" si="411"/>
        <v>815</v>
      </c>
      <c r="BN95" s="294">
        <f t="shared" si="411"/>
        <v>815</v>
      </c>
      <c r="BO95" s="294">
        <f t="shared" si="411"/>
        <v>815</v>
      </c>
      <c r="BP95" s="294">
        <f t="shared" si="411"/>
        <v>815</v>
      </c>
      <c r="BQ95" s="294">
        <f t="shared" si="411"/>
        <v>815</v>
      </c>
      <c r="BR95" s="294">
        <f t="shared" ref="BR95:CK95" si="412">SUM(BR92:BR94)</f>
        <v>815</v>
      </c>
      <c r="BS95" s="294">
        <f t="shared" si="412"/>
        <v>815</v>
      </c>
      <c r="BT95" s="294">
        <f t="shared" si="412"/>
        <v>815</v>
      </c>
      <c r="BU95" s="294">
        <f t="shared" si="412"/>
        <v>815</v>
      </c>
      <c r="BV95" s="294">
        <f t="shared" si="412"/>
        <v>815</v>
      </c>
      <c r="BW95" s="294">
        <f t="shared" si="412"/>
        <v>815</v>
      </c>
      <c r="BX95" s="294">
        <f t="shared" si="412"/>
        <v>815</v>
      </c>
      <c r="BY95" s="294">
        <f t="shared" si="412"/>
        <v>815</v>
      </c>
      <c r="BZ95" s="294">
        <f t="shared" si="412"/>
        <v>815</v>
      </c>
      <c r="CA95" s="294">
        <f t="shared" si="412"/>
        <v>815</v>
      </c>
      <c r="CB95" s="294">
        <f t="shared" si="412"/>
        <v>815</v>
      </c>
      <c r="CC95" s="294">
        <f t="shared" si="412"/>
        <v>815</v>
      </c>
      <c r="CD95" s="294">
        <f t="shared" si="412"/>
        <v>815</v>
      </c>
      <c r="CE95" s="294">
        <f t="shared" si="412"/>
        <v>815</v>
      </c>
      <c r="CF95" s="294">
        <f t="shared" si="412"/>
        <v>815</v>
      </c>
      <c r="CG95" s="294">
        <f t="shared" si="412"/>
        <v>815</v>
      </c>
      <c r="CH95" s="294">
        <f t="shared" si="412"/>
        <v>815</v>
      </c>
      <c r="CI95" s="294">
        <f t="shared" si="412"/>
        <v>815</v>
      </c>
      <c r="CJ95" s="294">
        <f t="shared" si="412"/>
        <v>815</v>
      </c>
      <c r="CK95" s="294">
        <f t="shared" si="412"/>
        <v>815</v>
      </c>
      <c r="CL95" s="294">
        <f t="shared" ref="CL95:CP95" si="413">SUM(CL92:CL94)</f>
        <v>815</v>
      </c>
      <c r="CM95" s="294">
        <f t="shared" si="413"/>
        <v>815</v>
      </c>
      <c r="CN95" s="294">
        <f t="shared" si="413"/>
        <v>815</v>
      </c>
      <c r="CO95" s="294">
        <f t="shared" si="413"/>
        <v>815</v>
      </c>
      <c r="CP95" s="294">
        <f t="shared" si="413"/>
        <v>815</v>
      </c>
      <c r="CQ95" s="294">
        <f t="shared" ref="CQ95:CT95" si="414">SUM(CQ92:CQ94)</f>
        <v>815</v>
      </c>
      <c r="CR95" s="294">
        <f t="shared" si="414"/>
        <v>815</v>
      </c>
      <c r="CS95" s="294">
        <f t="shared" si="414"/>
        <v>815</v>
      </c>
      <c r="CT95" s="294">
        <f t="shared" si="414"/>
        <v>815</v>
      </c>
      <c r="CU95" s="294">
        <f t="shared" ref="CU95:CW95" si="415">SUM(CU92:CU94)</f>
        <v>815</v>
      </c>
      <c r="CV95" s="294">
        <f t="shared" si="415"/>
        <v>815</v>
      </c>
      <c r="CW95" s="294">
        <f t="shared" si="415"/>
        <v>815</v>
      </c>
    </row>
    <row r="96" spans="1:101">
      <c r="A96" s="42" t="s">
        <v>477</v>
      </c>
      <c r="B96" s="990">
        <v>0</v>
      </c>
      <c r="C96" s="990">
        <v>0</v>
      </c>
      <c r="D96" s="990">
        <v>0</v>
      </c>
      <c r="E96" s="990">
        <v>0</v>
      </c>
      <c r="F96" s="990">
        <v>0</v>
      </c>
      <c r="G96" s="990">
        <v>0</v>
      </c>
      <c r="H96" s="990">
        <v>0</v>
      </c>
      <c r="I96" s="990">
        <v>0</v>
      </c>
      <c r="J96" s="990">
        <v>0</v>
      </c>
      <c r="K96" s="990">
        <v>0</v>
      </c>
      <c r="L96" s="990">
        <v>0</v>
      </c>
      <c r="M96" s="990">
        <v>0</v>
      </c>
      <c r="N96" s="990">
        <v>0</v>
      </c>
      <c r="O96" s="990">
        <v>0</v>
      </c>
      <c r="P96" s="990">
        <v>0</v>
      </c>
      <c r="Q96" s="990">
        <v>0</v>
      </c>
      <c r="R96" s="990">
        <v>0</v>
      </c>
      <c r="S96" s="990">
        <v>0</v>
      </c>
      <c r="T96" s="990">
        <v>0</v>
      </c>
      <c r="U96" s="990">
        <v>0</v>
      </c>
      <c r="V96" s="990">
        <v>0</v>
      </c>
      <c r="W96" s="990">
        <v>0</v>
      </c>
      <c r="X96" s="990">
        <v>0</v>
      </c>
      <c r="Y96" s="990">
        <v>0</v>
      </c>
      <c r="Z96" s="990">
        <v>0</v>
      </c>
      <c r="AA96" s="990">
        <v>0</v>
      </c>
      <c r="AB96" s="990">
        <v>0</v>
      </c>
      <c r="AC96" s="990">
        <v>0</v>
      </c>
      <c r="AD96" s="990">
        <v>0</v>
      </c>
      <c r="AE96" s="990">
        <v>0</v>
      </c>
      <c r="AF96" s="990">
        <v>0</v>
      </c>
      <c r="AG96" s="990">
        <v>0</v>
      </c>
      <c r="AH96" s="990">
        <v>0</v>
      </c>
      <c r="AI96" s="990">
        <v>0</v>
      </c>
      <c r="AJ96" s="990">
        <v>0</v>
      </c>
      <c r="AK96" s="990">
        <v>0</v>
      </c>
      <c r="AL96" s="990">
        <v>0</v>
      </c>
      <c r="AM96" s="990">
        <v>0</v>
      </c>
      <c r="AN96" s="990">
        <v>0</v>
      </c>
      <c r="AO96" s="990">
        <v>0</v>
      </c>
      <c r="AP96" s="990">
        <v>0</v>
      </c>
      <c r="AQ96" s="990">
        <v>0</v>
      </c>
      <c r="AR96" s="990">
        <v>0</v>
      </c>
      <c r="AS96" s="990">
        <v>0</v>
      </c>
      <c r="AT96" s="1745">
        <v>0</v>
      </c>
      <c r="AU96" s="1745">
        <v>0</v>
      </c>
      <c r="AV96" s="1745">
        <v>0</v>
      </c>
      <c r="AW96" s="1745">
        <v>0</v>
      </c>
      <c r="AX96" s="1745">
        <v>0</v>
      </c>
      <c r="AY96" s="1745">
        <v>0</v>
      </c>
      <c r="AZ96" s="1745">
        <v>0</v>
      </c>
      <c r="BA96" s="1745">
        <v>0</v>
      </c>
      <c r="BB96" s="1745">
        <v>0</v>
      </c>
      <c r="BC96" s="1745">
        <v>0</v>
      </c>
      <c r="BD96" s="1745">
        <v>0</v>
      </c>
      <c r="BE96" s="1745">
        <f t="shared" ref="BE96:BK96" si="416">SUM($AC$85:$CK$85)</f>
        <v>0</v>
      </c>
      <c r="BF96" s="1745">
        <f t="shared" si="416"/>
        <v>0</v>
      </c>
      <c r="BG96" s="1745">
        <f t="shared" si="416"/>
        <v>0</v>
      </c>
      <c r="BH96" s="1745">
        <f t="shared" si="416"/>
        <v>0</v>
      </c>
      <c r="BI96" s="1745">
        <f t="shared" si="416"/>
        <v>0</v>
      </c>
      <c r="BJ96" s="1745">
        <f t="shared" si="416"/>
        <v>0</v>
      </c>
      <c r="BK96" s="1700">
        <f t="shared" si="416"/>
        <v>0</v>
      </c>
      <c r="BL96" s="294">
        <f t="shared" ref="BL96:CW96" si="417">SUM($AC$85:$CK$85)</f>
        <v>0</v>
      </c>
      <c r="BM96" s="294">
        <f t="shared" si="417"/>
        <v>0</v>
      </c>
      <c r="BN96" s="294">
        <f t="shared" si="417"/>
        <v>0</v>
      </c>
      <c r="BO96" s="294">
        <f t="shared" si="417"/>
        <v>0</v>
      </c>
      <c r="BP96" s="294">
        <f t="shared" si="417"/>
        <v>0</v>
      </c>
      <c r="BQ96" s="294">
        <f t="shared" si="417"/>
        <v>0</v>
      </c>
      <c r="BR96" s="294">
        <f t="shared" si="417"/>
        <v>0</v>
      </c>
      <c r="BS96" s="294">
        <f t="shared" si="417"/>
        <v>0</v>
      </c>
      <c r="BT96" s="294">
        <f t="shared" si="417"/>
        <v>0</v>
      </c>
      <c r="BU96" s="294">
        <f t="shared" si="417"/>
        <v>0</v>
      </c>
      <c r="BV96" s="294">
        <f t="shared" si="417"/>
        <v>0</v>
      </c>
      <c r="BW96" s="294">
        <f t="shared" si="417"/>
        <v>0</v>
      </c>
      <c r="BX96" s="294">
        <f t="shared" si="417"/>
        <v>0</v>
      </c>
      <c r="BY96" s="294">
        <f t="shared" si="417"/>
        <v>0</v>
      </c>
      <c r="BZ96" s="294">
        <f t="shared" si="417"/>
        <v>0</v>
      </c>
      <c r="CA96" s="294">
        <f t="shared" si="417"/>
        <v>0</v>
      </c>
      <c r="CB96" s="294">
        <f t="shared" si="417"/>
        <v>0</v>
      </c>
      <c r="CC96" s="294">
        <f t="shared" si="417"/>
        <v>0</v>
      </c>
      <c r="CD96" s="294">
        <f t="shared" si="417"/>
        <v>0</v>
      </c>
      <c r="CE96" s="294">
        <f t="shared" si="417"/>
        <v>0</v>
      </c>
      <c r="CF96" s="294">
        <f t="shared" si="417"/>
        <v>0</v>
      </c>
      <c r="CG96" s="294">
        <f t="shared" si="417"/>
        <v>0</v>
      </c>
      <c r="CH96" s="294">
        <f t="shared" si="417"/>
        <v>0</v>
      </c>
      <c r="CI96" s="294">
        <f t="shared" si="417"/>
        <v>0</v>
      </c>
      <c r="CJ96" s="294">
        <f t="shared" si="417"/>
        <v>0</v>
      </c>
      <c r="CK96" s="294">
        <f t="shared" si="417"/>
        <v>0</v>
      </c>
      <c r="CL96" s="294">
        <f t="shared" si="417"/>
        <v>0</v>
      </c>
      <c r="CM96" s="294">
        <f t="shared" si="417"/>
        <v>0</v>
      </c>
      <c r="CN96" s="294">
        <f t="shared" si="417"/>
        <v>0</v>
      </c>
      <c r="CO96" s="294">
        <f t="shared" si="417"/>
        <v>0</v>
      </c>
      <c r="CP96" s="294">
        <f t="shared" si="417"/>
        <v>0</v>
      </c>
      <c r="CQ96" s="294">
        <f t="shared" si="417"/>
        <v>0</v>
      </c>
      <c r="CR96" s="294">
        <f t="shared" si="417"/>
        <v>0</v>
      </c>
      <c r="CS96" s="294">
        <f t="shared" si="417"/>
        <v>0</v>
      </c>
      <c r="CT96" s="294">
        <f t="shared" si="417"/>
        <v>0</v>
      </c>
      <c r="CU96" s="294">
        <f t="shared" si="417"/>
        <v>0</v>
      </c>
      <c r="CV96" s="294">
        <f t="shared" si="417"/>
        <v>0</v>
      </c>
      <c r="CW96" s="294">
        <f t="shared" si="417"/>
        <v>0</v>
      </c>
    </row>
    <row r="97" spans="1:101">
      <c r="A97" s="43" t="s">
        <v>553</v>
      </c>
      <c r="B97" s="986">
        <f t="shared" ref="B97:AA97" si="418">B96+B95</f>
        <v>617.5</v>
      </c>
      <c r="C97" s="986">
        <f t="shared" si="418"/>
        <v>612.4</v>
      </c>
      <c r="D97" s="986">
        <f t="shared" si="418"/>
        <v>606.5</v>
      </c>
      <c r="E97" s="986">
        <f t="shared" si="418"/>
        <v>601.79999999999995</v>
      </c>
      <c r="F97" s="986">
        <f t="shared" si="418"/>
        <v>608.79999999999995</v>
      </c>
      <c r="G97" s="986">
        <f t="shared" si="418"/>
        <v>611.70000000000005</v>
      </c>
      <c r="H97" s="986">
        <f t="shared" si="418"/>
        <v>610.79999999999995</v>
      </c>
      <c r="I97" s="986">
        <f t="shared" si="418"/>
        <v>605.20000000000005</v>
      </c>
      <c r="J97" s="986">
        <f t="shared" si="418"/>
        <v>611.70000000000005</v>
      </c>
      <c r="K97" s="986">
        <f t="shared" si="418"/>
        <v>611.29999999999995</v>
      </c>
      <c r="L97" s="986">
        <f t="shared" si="418"/>
        <v>607.4</v>
      </c>
      <c r="M97" s="986">
        <f t="shared" si="418"/>
        <v>606</v>
      </c>
      <c r="N97" s="986">
        <f t="shared" si="418"/>
        <v>617.79999999999995</v>
      </c>
      <c r="O97" s="986">
        <f t="shared" si="418"/>
        <v>634.27</v>
      </c>
      <c r="P97" s="986">
        <f t="shared" si="418"/>
        <v>634.27</v>
      </c>
      <c r="Q97" s="986">
        <f t="shared" si="418"/>
        <v>687.8</v>
      </c>
      <c r="R97" s="986">
        <f t="shared" si="418"/>
        <v>687.8</v>
      </c>
      <c r="S97" s="986">
        <f t="shared" si="418"/>
        <v>686.5</v>
      </c>
      <c r="T97" s="986">
        <f t="shared" si="418"/>
        <v>687.8</v>
      </c>
      <c r="U97" s="986">
        <f t="shared" si="418"/>
        <v>687.8</v>
      </c>
      <c r="V97" s="986">
        <f t="shared" si="418"/>
        <v>687.8</v>
      </c>
      <c r="W97" s="986">
        <f t="shared" si="418"/>
        <v>838.6</v>
      </c>
      <c r="X97" s="986">
        <f t="shared" si="418"/>
        <v>838.6</v>
      </c>
      <c r="Y97" s="986">
        <f t="shared" si="418"/>
        <v>837.6</v>
      </c>
      <c r="Z97" s="986">
        <f t="shared" si="418"/>
        <v>838.1</v>
      </c>
      <c r="AA97" s="986">
        <f t="shared" si="418"/>
        <v>838.5</v>
      </c>
      <c r="AB97" s="986">
        <f t="shared" ref="AB97:AM97" si="419">AB96+AB95</f>
        <v>837.8</v>
      </c>
      <c r="AC97" s="986">
        <f t="shared" si="419"/>
        <v>837.5</v>
      </c>
      <c r="AD97" s="986">
        <f t="shared" si="419"/>
        <v>837.4</v>
      </c>
      <c r="AE97" s="986">
        <f t="shared" si="419"/>
        <v>837.4</v>
      </c>
      <c r="AF97" s="986">
        <f t="shared" si="419"/>
        <v>835.9</v>
      </c>
      <c r="AG97" s="986">
        <f t="shared" si="419"/>
        <v>834.3</v>
      </c>
      <c r="AH97" s="986">
        <f t="shared" si="419"/>
        <v>833.4</v>
      </c>
      <c r="AI97" s="986">
        <f t="shared" si="419"/>
        <v>834.9</v>
      </c>
      <c r="AJ97" s="986">
        <f t="shared" si="419"/>
        <v>834.1</v>
      </c>
      <c r="AK97" s="986">
        <f t="shared" si="419"/>
        <v>832.8</v>
      </c>
      <c r="AL97" s="986">
        <f t="shared" si="419"/>
        <v>837.8</v>
      </c>
      <c r="AM97" s="986">
        <f t="shared" si="419"/>
        <v>838.5</v>
      </c>
      <c r="AN97" s="986">
        <f t="shared" ref="AN97:AT97" si="420">AN96+AN95</f>
        <v>838.5</v>
      </c>
      <c r="AO97" s="986">
        <f t="shared" si="420"/>
        <v>835.6</v>
      </c>
      <c r="AP97" s="986">
        <f t="shared" si="420"/>
        <v>835.6</v>
      </c>
      <c r="AQ97" s="986">
        <f t="shared" si="420"/>
        <v>831.3</v>
      </c>
      <c r="AR97" s="986">
        <f t="shared" si="420"/>
        <v>830.7</v>
      </c>
      <c r="AS97" s="986">
        <f t="shared" si="420"/>
        <v>838.5</v>
      </c>
      <c r="AT97" s="1740">
        <f t="shared" si="420"/>
        <v>834.1</v>
      </c>
      <c r="AU97" s="1740">
        <f t="shared" ref="AU97:BC97" si="421">AU96+AU95</f>
        <v>832.9</v>
      </c>
      <c r="AV97" s="1740">
        <f t="shared" si="421"/>
        <v>832.9</v>
      </c>
      <c r="AW97" s="1740">
        <f t="shared" si="421"/>
        <v>838.5</v>
      </c>
      <c r="AX97" s="1740">
        <f t="shared" si="421"/>
        <v>838.6</v>
      </c>
      <c r="AY97" s="1740">
        <f t="shared" si="421"/>
        <v>838.6</v>
      </c>
      <c r="AZ97" s="1740">
        <f t="shared" si="421"/>
        <v>838.6</v>
      </c>
      <c r="BA97" s="1740">
        <f t="shared" si="421"/>
        <v>838.6</v>
      </c>
      <c r="BB97" s="1740">
        <f t="shared" si="421"/>
        <v>838.2</v>
      </c>
      <c r="BC97" s="1740">
        <f t="shared" si="421"/>
        <v>830.7</v>
      </c>
      <c r="BD97" s="1740">
        <f t="shared" ref="BD97:BI97" si="422">BD96+BD95</f>
        <v>820.9</v>
      </c>
      <c r="BE97" s="1740">
        <f t="shared" si="422"/>
        <v>820</v>
      </c>
      <c r="BF97" s="1740">
        <f t="shared" si="422"/>
        <v>815.1</v>
      </c>
      <c r="BG97" s="1740">
        <f t="shared" si="422"/>
        <v>815.1</v>
      </c>
      <c r="BH97" s="1740">
        <f t="shared" si="422"/>
        <v>812.6</v>
      </c>
      <c r="BI97" s="1740">
        <f t="shared" si="422"/>
        <v>809.7</v>
      </c>
      <c r="BJ97" s="1740">
        <f t="shared" ref="BJ97:BK97" si="423">BJ96+BJ95</f>
        <v>815.1</v>
      </c>
      <c r="BK97" s="1693">
        <f t="shared" si="423"/>
        <v>815</v>
      </c>
      <c r="BL97" s="294">
        <f t="shared" ref="BL97:BQ97" si="424">BL96+BL95</f>
        <v>815</v>
      </c>
      <c r="BM97" s="294">
        <f t="shared" si="424"/>
        <v>815</v>
      </c>
      <c r="BN97" s="294">
        <f t="shared" si="424"/>
        <v>815</v>
      </c>
      <c r="BO97" s="294">
        <f t="shared" si="424"/>
        <v>815</v>
      </c>
      <c r="BP97" s="294">
        <f t="shared" si="424"/>
        <v>815</v>
      </c>
      <c r="BQ97" s="294">
        <f t="shared" si="424"/>
        <v>815</v>
      </c>
      <c r="BR97" s="294">
        <f t="shared" ref="BR97:CK97" si="425">BR96+BR95</f>
        <v>815</v>
      </c>
      <c r="BS97" s="294">
        <f t="shared" si="425"/>
        <v>815</v>
      </c>
      <c r="BT97" s="294">
        <f t="shared" si="425"/>
        <v>815</v>
      </c>
      <c r="BU97" s="294">
        <f t="shared" si="425"/>
        <v>815</v>
      </c>
      <c r="BV97" s="294">
        <f t="shared" si="425"/>
        <v>815</v>
      </c>
      <c r="BW97" s="294">
        <f t="shared" si="425"/>
        <v>815</v>
      </c>
      <c r="BX97" s="294">
        <f t="shared" si="425"/>
        <v>815</v>
      </c>
      <c r="BY97" s="294">
        <f t="shared" si="425"/>
        <v>815</v>
      </c>
      <c r="BZ97" s="294">
        <f t="shared" si="425"/>
        <v>815</v>
      </c>
      <c r="CA97" s="294">
        <f t="shared" si="425"/>
        <v>815</v>
      </c>
      <c r="CB97" s="294">
        <f t="shared" si="425"/>
        <v>815</v>
      </c>
      <c r="CC97" s="294">
        <f t="shared" si="425"/>
        <v>815</v>
      </c>
      <c r="CD97" s="294">
        <f t="shared" si="425"/>
        <v>815</v>
      </c>
      <c r="CE97" s="294">
        <f t="shared" si="425"/>
        <v>815</v>
      </c>
      <c r="CF97" s="294">
        <f t="shared" si="425"/>
        <v>815</v>
      </c>
      <c r="CG97" s="294">
        <f t="shared" si="425"/>
        <v>815</v>
      </c>
      <c r="CH97" s="294">
        <f t="shared" si="425"/>
        <v>815</v>
      </c>
      <c r="CI97" s="294">
        <f t="shared" si="425"/>
        <v>815</v>
      </c>
      <c r="CJ97" s="294">
        <f t="shared" si="425"/>
        <v>815</v>
      </c>
      <c r="CK97" s="294">
        <f t="shared" si="425"/>
        <v>815</v>
      </c>
      <c r="CL97" s="294">
        <f t="shared" ref="CL97:CP97" si="426">CL96+CL95</f>
        <v>815</v>
      </c>
      <c r="CM97" s="294">
        <f t="shared" si="426"/>
        <v>815</v>
      </c>
      <c r="CN97" s="294">
        <f t="shared" si="426"/>
        <v>815</v>
      </c>
      <c r="CO97" s="294">
        <f t="shared" si="426"/>
        <v>815</v>
      </c>
      <c r="CP97" s="294">
        <f t="shared" si="426"/>
        <v>815</v>
      </c>
      <c r="CQ97" s="294">
        <f t="shared" ref="CQ97:CT97" si="427">CQ96+CQ95</f>
        <v>815</v>
      </c>
      <c r="CR97" s="294">
        <f t="shared" si="427"/>
        <v>815</v>
      </c>
      <c r="CS97" s="294">
        <f t="shared" si="427"/>
        <v>815</v>
      </c>
      <c r="CT97" s="294">
        <f t="shared" si="427"/>
        <v>815</v>
      </c>
      <c r="CU97" s="294">
        <f t="shared" ref="CU97:CW97" si="428">CU96+CU95</f>
        <v>815</v>
      </c>
      <c r="CV97" s="294">
        <f t="shared" si="428"/>
        <v>815</v>
      </c>
      <c r="CW97" s="294">
        <f t="shared" si="428"/>
        <v>815</v>
      </c>
    </row>
    <row r="98" spans="1:101">
      <c r="A98" s="535" t="s">
        <v>243</v>
      </c>
      <c r="B98" s="991">
        <f t="shared" ref="B98:AA98" si="429">B96/B95</f>
        <v>0</v>
      </c>
      <c r="C98" s="991">
        <f t="shared" si="429"/>
        <v>0</v>
      </c>
      <c r="D98" s="991">
        <f t="shared" si="429"/>
        <v>0</v>
      </c>
      <c r="E98" s="991">
        <f t="shared" si="429"/>
        <v>0</v>
      </c>
      <c r="F98" s="991">
        <f t="shared" si="429"/>
        <v>0</v>
      </c>
      <c r="G98" s="991">
        <f t="shared" si="429"/>
        <v>0</v>
      </c>
      <c r="H98" s="991">
        <f t="shared" si="429"/>
        <v>0</v>
      </c>
      <c r="I98" s="991">
        <f t="shared" si="429"/>
        <v>0</v>
      </c>
      <c r="J98" s="991">
        <f t="shared" si="429"/>
        <v>0</v>
      </c>
      <c r="K98" s="991">
        <f t="shared" si="429"/>
        <v>0</v>
      </c>
      <c r="L98" s="991">
        <f t="shared" si="429"/>
        <v>0</v>
      </c>
      <c r="M98" s="991">
        <f t="shared" si="429"/>
        <v>0</v>
      </c>
      <c r="N98" s="991">
        <f t="shared" si="429"/>
        <v>0</v>
      </c>
      <c r="O98" s="991">
        <f t="shared" si="429"/>
        <v>0</v>
      </c>
      <c r="P98" s="991">
        <f t="shared" si="429"/>
        <v>0</v>
      </c>
      <c r="Q98" s="991">
        <f t="shared" si="429"/>
        <v>0</v>
      </c>
      <c r="R98" s="991">
        <f t="shared" si="429"/>
        <v>0</v>
      </c>
      <c r="S98" s="991">
        <f t="shared" si="429"/>
        <v>0</v>
      </c>
      <c r="T98" s="991">
        <f t="shared" si="429"/>
        <v>0</v>
      </c>
      <c r="U98" s="991">
        <f t="shared" si="429"/>
        <v>0</v>
      </c>
      <c r="V98" s="991">
        <f t="shared" si="429"/>
        <v>0</v>
      </c>
      <c r="W98" s="991">
        <f t="shared" si="429"/>
        <v>0</v>
      </c>
      <c r="X98" s="991">
        <f t="shared" si="429"/>
        <v>0</v>
      </c>
      <c r="Y98" s="991">
        <f t="shared" si="429"/>
        <v>0</v>
      </c>
      <c r="Z98" s="991">
        <f t="shared" si="429"/>
        <v>0</v>
      </c>
      <c r="AA98" s="991">
        <f t="shared" si="429"/>
        <v>0</v>
      </c>
      <c r="AB98" s="991">
        <f t="shared" ref="AB98:AM98" si="430">AB96/AB95</f>
        <v>0</v>
      </c>
      <c r="AC98" s="991">
        <f t="shared" si="430"/>
        <v>0</v>
      </c>
      <c r="AD98" s="991">
        <f t="shared" si="430"/>
        <v>0</v>
      </c>
      <c r="AE98" s="991">
        <f t="shared" si="430"/>
        <v>0</v>
      </c>
      <c r="AF98" s="991">
        <f t="shared" si="430"/>
        <v>0</v>
      </c>
      <c r="AG98" s="991">
        <f t="shared" si="430"/>
        <v>0</v>
      </c>
      <c r="AH98" s="991">
        <f t="shared" si="430"/>
        <v>0</v>
      </c>
      <c r="AI98" s="991">
        <f t="shared" si="430"/>
        <v>0</v>
      </c>
      <c r="AJ98" s="991">
        <f t="shared" si="430"/>
        <v>0</v>
      </c>
      <c r="AK98" s="991">
        <f t="shared" si="430"/>
        <v>0</v>
      </c>
      <c r="AL98" s="991">
        <f t="shared" si="430"/>
        <v>0</v>
      </c>
      <c r="AM98" s="991">
        <f t="shared" si="430"/>
        <v>0</v>
      </c>
      <c r="AN98" s="991">
        <f t="shared" ref="AN98:AT98" si="431">AN96/AN95</f>
        <v>0</v>
      </c>
      <c r="AO98" s="991">
        <f t="shared" si="431"/>
        <v>0</v>
      </c>
      <c r="AP98" s="991">
        <f t="shared" si="431"/>
        <v>0</v>
      </c>
      <c r="AQ98" s="991">
        <f t="shared" si="431"/>
        <v>0</v>
      </c>
      <c r="AR98" s="991">
        <f t="shared" si="431"/>
        <v>0</v>
      </c>
      <c r="AS98" s="991">
        <f t="shared" si="431"/>
        <v>0</v>
      </c>
      <c r="AT98" s="1746">
        <f t="shared" si="431"/>
        <v>0</v>
      </c>
      <c r="AU98" s="1746">
        <f t="shared" ref="AU98:BC98" si="432">AU96/AU95</f>
        <v>0</v>
      </c>
      <c r="AV98" s="1746">
        <f t="shared" si="432"/>
        <v>0</v>
      </c>
      <c r="AW98" s="1746">
        <f t="shared" si="432"/>
        <v>0</v>
      </c>
      <c r="AX98" s="1746">
        <f t="shared" si="432"/>
        <v>0</v>
      </c>
      <c r="AY98" s="1746">
        <f t="shared" si="432"/>
        <v>0</v>
      </c>
      <c r="AZ98" s="1746">
        <f t="shared" si="432"/>
        <v>0</v>
      </c>
      <c r="BA98" s="1746">
        <f t="shared" si="432"/>
        <v>0</v>
      </c>
      <c r="BB98" s="1746">
        <f t="shared" si="432"/>
        <v>0</v>
      </c>
      <c r="BC98" s="1746">
        <f t="shared" si="432"/>
        <v>0</v>
      </c>
      <c r="BD98" s="1746">
        <f t="shared" ref="BD98:BI98" si="433">BD96/BD95</f>
        <v>0</v>
      </c>
      <c r="BE98" s="1746">
        <f t="shared" si="433"/>
        <v>0</v>
      </c>
      <c r="BF98" s="1746">
        <f t="shared" si="433"/>
        <v>0</v>
      </c>
      <c r="BG98" s="1746">
        <f t="shared" si="433"/>
        <v>0</v>
      </c>
      <c r="BH98" s="1746">
        <f t="shared" si="433"/>
        <v>0</v>
      </c>
      <c r="BI98" s="1746">
        <f t="shared" si="433"/>
        <v>0</v>
      </c>
      <c r="BJ98" s="1746">
        <f t="shared" ref="BJ98:BK98" si="434">BJ96/BJ95</f>
        <v>0</v>
      </c>
      <c r="BK98" s="1701">
        <f t="shared" si="434"/>
        <v>0</v>
      </c>
      <c r="BL98" s="308">
        <f t="shared" ref="BL98:BQ98" si="435">BL96/BL95</f>
        <v>0</v>
      </c>
      <c r="BM98" s="308">
        <f t="shared" si="435"/>
        <v>0</v>
      </c>
      <c r="BN98" s="308">
        <f t="shared" si="435"/>
        <v>0</v>
      </c>
      <c r="BO98" s="308">
        <f t="shared" si="435"/>
        <v>0</v>
      </c>
      <c r="BP98" s="308">
        <f t="shared" si="435"/>
        <v>0</v>
      </c>
      <c r="BQ98" s="308">
        <f t="shared" si="435"/>
        <v>0</v>
      </c>
      <c r="BR98" s="308">
        <f t="shared" ref="BR98:CK98" si="436">BR96/BR95</f>
        <v>0</v>
      </c>
      <c r="BS98" s="308">
        <f t="shared" si="436"/>
        <v>0</v>
      </c>
      <c r="BT98" s="308">
        <f t="shared" si="436"/>
        <v>0</v>
      </c>
      <c r="BU98" s="308">
        <f t="shared" si="436"/>
        <v>0</v>
      </c>
      <c r="BV98" s="308">
        <f t="shared" si="436"/>
        <v>0</v>
      </c>
      <c r="BW98" s="308">
        <f t="shared" si="436"/>
        <v>0</v>
      </c>
      <c r="BX98" s="308">
        <f t="shared" si="436"/>
        <v>0</v>
      </c>
      <c r="BY98" s="308">
        <f t="shared" si="436"/>
        <v>0</v>
      </c>
      <c r="BZ98" s="308">
        <f t="shared" si="436"/>
        <v>0</v>
      </c>
      <c r="CA98" s="308">
        <f t="shared" si="436"/>
        <v>0</v>
      </c>
      <c r="CB98" s="308">
        <f t="shared" si="436"/>
        <v>0</v>
      </c>
      <c r="CC98" s="308">
        <f t="shared" si="436"/>
        <v>0</v>
      </c>
      <c r="CD98" s="308">
        <f t="shared" si="436"/>
        <v>0</v>
      </c>
      <c r="CE98" s="308">
        <f t="shared" si="436"/>
        <v>0</v>
      </c>
      <c r="CF98" s="308">
        <f t="shared" si="436"/>
        <v>0</v>
      </c>
      <c r="CG98" s="308">
        <f t="shared" si="436"/>
        <v>0</v>
      </c>
      <c r="CH98" s="308">
        <f t="shared" si="436"/>
        <v>0</v>
      </c>
      <c r="CI98" s="308">
        <f t="shared" si="436"/>
        <v>0</v>
      </c>
      <c r="CJ98" s="308">
        <f t="shared" si="436"/>
        <v>0</v>
      </c>
      <c r="CK98" s="308">
        <f t="shared" si="436"/>
        <v>0</v>
      </c>
      <c r="CL98" s="308">
        <f t="shared" ref="CL98:CP98" si="437">CL96/CL95</f>
        <v>0</v>
      </c>
      <c r="CM98" s="308">
        <f t="shared" si="437"/>
        <v>0</v>
      </c>
      <c r="CN98" s="308">
        <f t="shared" si="437"/>
        <v>0</v>
      </c>
      <c r="CO98" s="308">
        <f t="shared" si="437"/>
        <v>0</v>
      </c>
      <c r="CP98" s="308">
        <f t="shared" si="437"/>
        <v>0</v>
      </c>
      <c r="CQ98" s="308">
        <f t="shared" ref="CQ98:CT98" si="438">CQ96/CQ95</f>
        <v>0</v>
      </c>
      <c r="CR98" s="308">
        <f t="shared" si="438"/>
        <v>0</v>
      </c>
      <c r="CS98" s="308">
        <f t="shared" si="438"/>
        <v>0</v>
      </c>
      <c r="CT98" s="308">
        <f t="shared" si="438"/>
        <v>0</v>
      </c>
      <c r="CU98" s="308">
        <f t="shared" ref="CU98:CW98" si="439">CU96/CU95</f>
        <v>0</v>
      </c>
      <c r="CV98" s="308">
        <f t="shared" si="439"/>
        <v>0</v>
      </c>
      <c r="CW98" s="308">
        <f t="shared" si="439"/>
        <v>0</v>
      </c>
    </row>
    <row r="99" spans="1:101"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30"/>
      <c r="S99" s="230"/>
      <c r="T99" s="230"/>
      <c r="U99" s="230"/>
      <c r="V99" s="230"/>
      <c r="W99" s="230"/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  <c r="BH99" s="230"/>
      <c r="BI99" s="230"/>
      <c r="BJ99" s="230"/>
      <c r="BK99" s="1345"/>
      <c r="BL99" s="230"/>
      <c r="BM99" s="230"/>
      <c r="BN99" s="230"/>
      <c r="BO99" s="230"/>
      <c r="BP99" s="230"/>
      <c r="BQ99" s="230"/>
    </row>
    <row r="100" spans="1:101">
      <c r="A100" s="291" t="s">
        <v>543</v>
      </c>
      <c r="B100" s="598">
        <f>Q_IS!B4</f>
        <v>39903</v>
      </c>
      <c r="C100" s="598">
        <f>Q_IS!C4</f>
        <v>39994</v>
      </c>
      <c r="D100" s="598">
        <f>Q_IS!D4</f>
        <v>40086</v>
      </c>
      <c r="E100" s="598">
        <f>Q_IS!E4</f>
        <v>40178</v>
      </c>
      <c r="F100" s="598">
        <f>Q_IS!F4</f>
        <v>40268</v>
      </c>
      <c r="G100" s="598">
        <f>Q_IS!G4</f>
        <v>40359</v>
      </c>
      <c r="H100" s="598">
        <f>Q_IS!H4</f>
        <v>40451</v>
      </c>
      <c r="I100" s="598">
        <f>Q_IS!I4</f>
        <v>40543</v>
      </c>
      <c r="J100" s="598">
        <f>Q_IS!J4</f>
        <v>40633</v>
      </c>
      <c r="K100" s="598">
        <f>Q_IS!K4</f>
        <v>40724</v>
      </c>
      <c r="L100" s="598">
        <f>Q_IS!L4</f>
        <v>40816</v>
      </c>
      <c r="M100" s="598">
        <f>Q_IS!M4</f>
        <v>40908</v>
      </c>
      <c r="N100" s="598">
        <f>Q_IS!N4</f>
        <v>40999</v>
      </c>
      <c r="O100" s="598">
        <f>Q_IS!O4</f>
        <v>41090</v>
      </c>
      <c r="P100" s="598">
        <f>Q_IS!P4</f>
        <v>41182</v>
      </c>
      <c r="Q100" s="598">
        <f>Q_IS!Q4</f>
        <v>41274</v>
      </c>
      <c r="R100" s="598">
        <f>Q_IS!R4</f>
        <v>41364</v>
      </c>
      <c r="S100" s="598">
        <f>Q_IS!S4</f>
        <v>41455</v>
      </c>
      <c r="T100" s="598">
        <f>Q_IS!T4</f>
        <v>41547</v>
      </c>
      <c r="U100" s="598">
        <f>Q_IS!U4</f>
        <v>41639</v>
      </c>
      <c r="V100" s="598">
        <f>Q_IS!V4</f>
        <v>41729</v>
      </c>
      <c r="W100" s="598">
        <f>Q_IS!W4</f>
        <v>41820</v>
      </c>
      <c r="X100" s="598">
        <f>Q_IS!X4</f>
        <v>41912</v>
      </c>
      <c r="Y100" s="598">
        <f>Q_IS!Y4</f>
        <v>42004</v>
      </c>
      <c r="Z100" s="598">
        <f>Q_IS!Z4</f>
        <v>42094</v>
      </c>
      <c r="AA100" s="598">
        <f>Q_IS!AA4</f>
        <v>42185</v>
      </c>
      <c r="AB100" s="598">
        <f>Q_IS!AB4</f>
        <v>42277</v>
      </c>
      <c r="AC100" s="598">
        <f>Q_IS!AC4</f>
        <v>42369</v>
      </c>
      <c r="AD100" s="598">
        <f>Q_IS!AD4</f>
        <v>42460</v>
      </c>
      <c r="AE100" s="598">
        <f>Q_IS!AE4</f>
        <v>42551</v>
      </c>
      <c r="AF100" s="598">
        <f>Q_IS!AF4</f>
        <v>42643</v>
      </c>
      <c r="AG100" s="598">
        <f>Q_IS!AG4</f>
        <v>42735</v>
      </c>
      <c r="AH100" s="598">
        <f>Q_IS!AH4</f>
        <v>42825</v>
      </c>
      <c r="AI100" s="598">
        <f>Q_IS!AI4</f>
        <v>42916</v>
      </c>
      <c r="AJ100" s="598">
        <f>Q_IS!AJ4</f>
        <v>43008</v>
      </c>
      <c r="AK100" s="598">
        <f>Q_IS!AK4</f>
        <v>43100</v>
      </c>
      <c r="AL100" s="598">
        <f>Q_IS!AL4</f>
        <v>43190</v>
      </c>
      <c r="AM100" s="598">
        <f>Q_IS!AM4</f>
        <v>43281</v>
      </c>
      <c r="AN100" s="598">
        <f>Q_IS!AN4</f>
        <v>43373</v>
      </c>
      <c r="AO100" s="598">
        <f>Q_IS!AO4</f>
        <v>43465</v>
      </c>
      <c r="AP100" s="598">
        <f>Q_IS!AP4</f>
        <v>43555</v>
      </c>
      <c r="AQ100" s="598">
        <f>Q_IS!AQ4</f>
        <v>43646</v>
      </c>
      <c r="AR100" s="598">
        <f>Q_IS!AR4</f>
        <v>43738</v>
      </c>
      <c r="AS100" s="598">
        <f>Q_IS!AS4</f>
        <v>43830</v>
      </c>
      <c r="AT100" s="598">
        <f>Q_IS!AT4</f>
        <v>43921</v>
      </c>
      <c r="AU100" s="598">
        <f>Q_IS!AU4</f>
        <v>44012</v>
      </c>
      <c r="AV100" s="598">
        <f>Q_IS!AV4</f>
        <v>44104</v>
      </c>
      <c r="AW100" s="598">
        <f>Q_IS!AW4</f>
        <v>44196</v>
      </c>
      <c r="AX100" s="598">
        <f>Q_IS!AX4</f>
        <v>44286</v>
      </c>
      <c r="AY100" s="598">
        <f>Q_IS!AY4</f>
        <v>44377</v>
      </c>
      <c r="AZ100" s="598">
        <f>Q_IS!AZ4</f>
        <v>44469</v>
      </c>
      <c r="BA100" s="598">
        <f>Q_IS!BA4</f>
        <v>44561</v>
      </c>
      <c r="BB100" s="598">
        <f>Q_IS!BB4</f>
        <v>44651</v>
      </c>
      <c r="BC100" s="598">
        <f>Q_IS!BC4</f>
        <v>44742</v>
      </c>
      <c r="BD100" s="598">
        <f>Q_IS!BD4</f>
        <v>44834</v>
      </c>
      <c r="BE100" s="598">
        <f>Q_IS!BE4</f>
        <v>44926</v>
      </c>
      <c r="BF100" s="598">
        <f>Q_IS!BF4</f>
        <v>45016</v>
      </c>
      <c r="BG100" s="598">
        <f>Q_IS!BG4</f>
        <v>45107</v>
      </c>
      <c r="BH100" s="598">
        <f>Q_IS!BH4</f>
        <v>45199</v>
      </c>
      <c r="BI100" s="598">
        <f>Q_IS!BI4</f>
        <v>45291</v>
      </c>
      <c r="BJ100" s="598">
        <f>Q_IS!BJ4</f>
        <v>45382</v>
      </c>
      <c r="BK100" s="1330">
        <f>Q_IS!BK4</f>
        <v>45473</v>
      </c>
      <c r="BL100" s="600">
        <f>Q_IS!BL4</f>
        <v>45565</v>
      </c>
      <c r="BM100" s="600">
        <f>Q_IS!BM4</f>
        <v>45657</v>
      </c>
      <c r="BN100" s="600">
        <f>Q_IS!BN4</f>
        <v>45747</v>
      </c>
      <c r="BO100" s="600">
        <f>Q_IS!BO4</f>
        <v>45838</v>
      </c>
      <c r="BP100" s="600">
        <f>Q_IS!BP4</f>
        <v>45930</v>
      </c>
      <c r="BQ100" s="600">
        <f>Q_IS!BQ4</f>
        <v>46022</v>
      </c>
      <c r="BR100" s="600">
        <f>Q_IS!BR4</f>
        <v>46112</v>
      </c>
      <c r="BS100" s="600">
        <f>Q_IS!BS4</f>
        <v>46203</v>
      </c>
      <c r="BT100" s="600">
        <f>Q_IS!BT4</f>
        <v>46295</v>
      </c>
      <c r="BU100" s="600">
        <f>Q_IS!BU4</f>
        <v>46387</v>
      </c>
      <c r="BV100" s="600">
        <f>Q_IS!BV4</f>
        <v>46477</v>
      </c>
      <c r="BW100" s="600">
        <f>Q_IS!BW4</f>
        <v>46568</v>
      </c>
      <c r="BX100" s="600">
        <f>Q_IS!BX4</f>
        <v>46660</v>
      </c>
      <c r="BY100" s="600">
        <f>Q_IS!BY4</f>
        <v>46752</v>
      </c>
      <c r="BZ100" s="600">
        <f>Q_IS!BZ4</f>
        <v>46843</v>
      </c>
      <c r="CA100" s="600">
        <f>Q_IS!CA4</f>
        <v>46934</v>
      </c>
      <c r="CB100" s="600">
        <f>Q_IS!CB4</f>
        <v>47026</v>
      </c>
      <c r="CC100" s="600">
        <f>Q_IS!CC4</f>
        <v>47118</v>
      </c>
      <c r="CD100" s="600">
        <f>Q_IS!CD4</f>
        <v>47208</v>
      </c>
      <c r="CE100" s="600">
        <f>Q_IS!CE4</f>
        <v>47299</v>
      </c>
      <c r="CF100" s="600">
        <f>Q_IS!CF4</f>
        <v>47391</v>
      </c>
      <c r="CG100" s="600">
        <f>Q_IS!CG4</f>
        <v>47483</v>
      </c>
      <c r="CH100" s="600">
        <f>Q_IS!CH4</f>
        <v>47573</v>
      </c>
      <c r="CI100" s="600">
        <f>Q_IS!CI4</f>
        <v>47664</v>
      </c>
      <c r="CJ100" s="600">
        <f>Q_IS!CJ4</f>
        <v>47756</v>
      </c>
      <c r="CK100" s="600">
        <f>Q_IS!CK4</f>
        <v>47848</v>
      </c>
      <c r="CL100" s="600">
        <f>Q_IS!CL4</f>
        <v>47938</v>
      </c>
      <c r="CM100" s="600">
        <f>Q_IS!CM4</f>
        <v>48029</v>
      </c>
      <c r="CN100" s="600">
        <f>Q_IS!CN4</f>
        <v>48121</v>
      </c>
      <c r="CO100" s="600">
        <f>Q_IS!CO4</f>
        <v>48213</v>
      </c>
      <c r="CP100" s="600">
        <f>Q_IS!CP4</f>
        <v>48304</v>
      </c>
      <c r="CQ100" s="600">
        <f>Q_IS!CQ4</f>
        <v>48395</v>
      </c>
      <c r="CR100" s="600">
        <f>Q_IS!CR4</f>
        <v>48487</v>
      </c>
      <c r="CS100" s="600">
        <f>Q_IS!CS4</f>
        <v>48579</v>
      </c>
      <c r="CT100" s="600">
        <f>Q_IS!CT4</f>
        <v>48669</v>
      </c>
      <c r="CU100" s="600">
        <f>Q_IS!CU4</f>
        <v>48760</v>
      </c>
      <c r="CV100" s="600">
        <f>Q_IS!CV4</f>
        <v>48852</v>
      </c>
      <c r="CW100" s="600">
        <f>Q_IS!CW4</f>
        <v>48944</v>
      </c>
    </row>
    <row r="101" spans="1:101">
      <c r="A101" s="91" t="s">
        <v>564</v>
      </c>
      <c r="B101" s="85">
        <f>Q_Financials!B68</f>
        <v>395.62900000000002</v>
      </c>
      <c r="C101" s="85">
        <f>Q_Financials!C68</f>
        <v>305.07299999999998</v>
      </c>
      <c r="D101" s="85">
        <f>Q_Financials!D68</f>
        <v>476.21</v>
      </c>
      <c r="E101" s="85">
        <f>Q_Financials!E68</f>
        <v>463.214</v>
      </c>
      <c r="F101" s="85">
        <f>Q_Financials!F68</f>
        <v>669.14</v>
      </c>
      <c r="G101" s="85">
        <f>Q_Financials!G68</f>
        <v>480.30399999999997</v>
      </c>
      <c r="H101" s="85">
        <f>Q_Financials!H68</f>
        <v>482.51799999999997</v>
      </c>
      <c r="I101" s="85">
        <f>Q_Financials!I68</f>
        <v>640.20299999999997</v>
      </c>
      <c r="J101" s="85">
        <f>Q_Financials!J68</f>
        <v>370.92599999999999</v>
      </c>
      <c r="K101" s="85">
        <f>Q_Financials!K68</f>
        <v>575.827</v>
      </c>
      <c r="L101" s="85">
        <f>Q_Financials!L68</f>
        <v>684.85199999999998</v>
      </c>
      <c r="M101" s="85">
        <f>Q_Financials!M68</f>
        <v>739.37900000000002</v>
      </c>
      <c r="N101" s="85">
        <f>Q_Financials!N68</f>
        <v>983.89700000000005</v>
      </c>
      <c r="O101" s="85">
        <f>Q_Financials!O68</f>
        <v>738.50099999999998</v>
      </c>
      <c r="P101" s="85">
        <f>Q_Financials!P68</f>
        <v>718.36099999999999</v>
      </c>
      <c r="Q101" s="85">
        <f>Q_Financials!Q68</f>
        <v>932.59400000000005</v>
      </c>
      <c r="R101" s="85">
        <f>Q_Financials!R68</f>
        <v>849.21799999999996</v>
      </c>
      <c r="S101" s="85">
        <f>Q_Financials!S68</f>
        <v>641.95100000000002</v>
      </c>
      <c r="T101" s="85">
        <f>Q_Financials!T68</f>
        <v>581.05600000000004</v>
      </c>
      <c r="U101" s="85">
        <f>Q_Financials!U68</f>
        <v>663.27</v>
      </c>
      <c r="V101" s="85">
        <f>Q_Financials!V68</f>
        <v>530.78399999999999</v>
      </c>
      <c r="W101" s="85">
        <f>Q_Financials!W68</f>
        <v>1130.0150000000001</v>
      </c>
      <c r="X101" s="85">
        <f>Q_Financials!X68</f>
        <v>499.95400000000001</v>
      </c>
      <c r="Y101" s="85">
        <f>Q_Financials!Y68</f>
        <v>1112.8499999999999</v>
      </c>
      <c r="Z101" s="85">
        <f>Q_Financials!Z68</f>
        <v>890.928</v>
      </c>
      <c r="AA101" s="85">
        <f>Q_Financials!AA68</f>
        <v>752.43499999999995</v>
      </c>
      <c r="AB101" s="85">
        <f>Q_Financials!AB68</f>
        <v>624.96699999999998</v>
      </c>
      <c r="AC101" s="85">
        <f>Q_Financials!AC68</f>
        <v>1195.8139999999999</v>
      </c>
      <c r="AD101" s="85">
        <f>Q_Financials!AD68</f>
        <v>1082.8710000000001</v>
      </c>
      <c r="AE101" s="85">
        <f>Q_Financials!AE68</f>
        <v>1157.0650000000001</v>
      </c>
      <c r="AF101" s="85">
        <f>Q_Financials!AF68</f>
        <v>1319.8440000000001</v>
      </c>
      <c r="AG101" s="85">
        <f>Q_Financials!AG68</f>
        <v>2547.8420000000001</v>
      </c>
      <c r="AH101" s="85">
        <f>Q_Financials!AH68</f>
        <v>1710.086</v>
      </c>
      <c r="AI101" s="85">
        <f>Q_Financials!AI68</f>
        <v>1255.6289999999999</v>
      </c>
      <c r="AJ101" s="85">
        <f>Q_Financials!AJ68</f>
        <v>1020.539</v>
      </c>
      <c r="AK101" s="85">
        <f>Q_Financials!AK68</f>
        <v>1540.403</v>
      </c>
      <c r="AL101" s="85">
        <f>Q_Financials!AL68</f>
        <v>2064.4929999999999</v>
      </c>
      <c r="AM101" s="85">
        <f>Q_Financials!AM68</f>
        <v>2307.886</v>
      </c>
      <c r="AN101" s="85">
        <f>Q_Financials!AN68</f>
        <v>2474.4690000000001</v>
      </c>
      <c r="AO101" s="85">
        <f>Q_Financials!AO68</f>
        <v>1987.857</v>
      </c>
      <c r="AP101" s="85">
        <f>Q_Financials!AP68</f>
        <v>1722.913</v>
      </c>
      <c r="AQ101" s="85">
        <f>Q_Financials!AQ68</f>
        <v>1852.7180000000001</v>
      </c>
      <c r="AR101" s="85">
        <f>Q_Financials!AR68</f>
        <v>1623.644</v>
      </c>
      <c r="AS101" s="85">
        <f>Q_Financials!AS68</f>
        <v>2625.3890000000001</v>
      </c>
      <c r="AT101" s="952">
        <f>Q_Financials!AT68</f>
        <v>3844.203</v>
      </c>
      <c r="AU101" s="952">
        <f>Q_Financials!AU68</f>
        <v>4329.4210000000003</v>
      </c>
      <c r="AV101" s="952">
        <f>Q_Financials!AV68</f>
        <v>4599.5140000000001</v>
      </c>
      <c r="AW101" s="952">
        <f>Q_Financials!AW68</f>
        <v>3932</v>
      </c>
      <c r="AX101" s="952">
        <f>Q_Financials!AX68</f>
        <v>3367.77</v>
      </c>
      <c r="AY101" s="952">
        <f>Q_Financials!AY68</f>
        <v>3830.3429999999998</v>
      </c>
      <c r="AZ101" s="952">
        <f>Q_Financials!AZ68</f>
        <v>3585.1289999999999</v>
      </c>
      <c r="BA101" s="952">
        <f>Q_Financials!BA68</f>
        <v>6893.433</v>
      </c>
      <c r="BB101" s="952">
        <f>Q_Financials!BB68</f>
        <v>5070.4719999999998</v>
      </c>
      <c r="BC101" s="952">
        <f>Q_Financials!BC68</f>
        <v>5042.7520000000004</v>
      </c>
      <c r="BD101" s="952">
        <f>Q_Financials!BD68</f>
        <v>5128.1019999999999</v>
      </c>
      <c r="BE101" s="952">
        <f>Q_Financials!BE68</f>
        <v>6099.7089999999998</v>
      </c>
      <c r="BF101" s="952">
        <f>Q_Financials!BF68</f>
        <v>4468.9740000000002</v>
      </c>
      <c r="BG101" s="952">
        <f>Q_Financials!BG68</f>
        <v>4349.6880000000001</v>
      </c>
      <c r="BH101" s="952">
        <f>Q_Financials!BH68</f>
        <v>5151.4669999999996</v>
      </c>
      <c r="BI101" s="952">
        <f>Q_Financials!BI68</f>
        <v>6409.7979999999998</v>
      </c>
      <c r="BJ101" s="952">
        <f>Q_Financials!BJ68</f>
        <v>5443.558</v>
      </c>
      <c r="BK101" s="1702">
        <f>Q_Financials!BK68</f>
        <v>4030.7370000000001</v>
      </c>
      <c r="BL101" s="294">
        <f>Q_Financials!BL68</f>
        <v>4536.7544559739044</v>
      </c>
      <c r="BM101" s="294">
        <f>Q_Financials!BM68</f>
        <v>5027.6001092946917</v>
      </c>
      <c r="BN101" s="294">
        <f>Q_Financials!BN68</f>
        <v>4894.6821625748435</v>
      </c>
      <c r="BO101" s="294">
        <f>Q_Financials!BO68</f>
        <v>5359.4265845170503</v>
      </c>
      <c r="BP101" s="294">
        <f>Q_Financials!BP68</f>
        <v>7302.3167892004685</v>
      </c>
      <c r="BQ101" s="294">
        <f>Q_Financials!BQ68</f>
        <v>10021.567702024999</v>
      </c>
      <c r="BR101" s="294">
        <f>Q_Financials!BR68</f>
        <v>11031.367921651978</v>
      </c>
      <c r="BS101" s="294">
        <f>Q_Financials!BS68</f>
        <v>11535.120497699143</v>
      </c>
      <c r="BT101" s="294">
        <f>Q_Financials!BT68</f>
        <v>13727.217044477242</v>
      </c>
      <c r="BU101" s="294">
        <f>Q_Financials!BU68</f>
        <v>16668.287619622075</v>
      </c>
      <c r="BV101" s="294">
        <f>Q_Financials!BV68</f>
        <v>17484.074447025658</v>
      </c>
      <c r="BW101" s="294">
        <f>Q_Financials!BW68</f>
        <v>18029.834764064031</v>
      </c>
      <c r="BX101" s="294">
        <f>Q_Financials!BX68</f>
        <v>20444.695707435207</v>
      </c>
      <c r="BY101" s="294">
        <f>Q_Financials!BY68</f>
        <v>23837.458151008566</v>
      </c>
      <c r="BZ101" s="294">
        <f>Q_Financials!BZ68</f>
        <v>23721.874228444205</v>
      </c>
      <c r="CA101" s="294">
        <f>Q_Financials!CA68</f>
        <v>23204.151342357978</v>
      </c>
      <c r="CB101" s="294">
        <f>Q_Financials!CB68</f>
        <v>24683.35589359916</v>
      </c>
      <c r="CC101" s="294">
        <f>Q_Financials!CC68</f>
        <v>27372.725024565363</v>
      </c>
      <c r="CD101" s="294">
        <f>Q_Financials!CD68</f>
        <v>27070.572967394135</v>
      </c>
      <c r="CE101" s="294">
        <f>Q_Financials!CE68</f>
        <v>26536.978369051285</v>
      </c>
      <c r="CF101" s="294">
        <f>Q_Financials!CF68</f>
        <v>28115.614783937384</v>
      </c>
      <c r="CG101" s="294">
        <f>Q_Financials!CG68</f>
        <v>30976.411823377985</v>
      </c>
      <c r="CH101" s="294">
        <f>Q_Financials!CH68</f>
        <v>30707.907496850185</v>
      </c>
      <c r="CI101" s="294">
        <f>Q_Financials!CI68</f>
        <v>30200.427819707547</v>
      </c>
      <c r="CJ101" s="294">
        <f>Q_Financials!CJ68</f>
        <v>31924.02761599157</v>
      </c>
      <c r="CK101" s="294">
        <f>Q_Financials!CK68</f>
        <v>35042.007675271117</v>
      </c>
      <c r="CL101" s="294">
        <f>Q_Financials!CL68</f>
        <v>34765.006206661536</v>
      </c>
      <c r="CM101" s="294">
        <f>Q_Financials!CM68</f>
        <v>34245.28985451172</v>
      </c>
      <c r="CN101" s="294">
        <f>Q_Financials!CN68</f>
        <v>36078.380126999138</v>
      </c>
      <c r="CO101" s="294">
        <f>Q_Financials!CO68</f>
        <v>39381.865596393211</v>
      </c>
      <c r="CP101" s="294">
        <f>Q_Financials!CP68</f>
        <v>39098.835705553778</v>
      </c>
      <c r="CQ101" s="294">
        <f>Q_Financials!CQ68</f>
        <v>38566.67847188063</v>
      </c>
      <c r="CR101" s="294">
        <f>Q_Financials!CR68</f>
        <v>41015.168929860825</v>
      </c>
      <c r="CS101" s="294">
        <f>Q_Financials!CS68</f>
        <v>45014.538811507904</v>
      </c>
      <c r="CT101" s="294">
        <f>Q_Financials!CT68</f>
        <v>44724.930938113474</v>
      </c>
      <c r="CU101" s="294">
        <f>Q_Financials!CU68</f>
        <v>44327.922089143045</v>
      </c>
      <c r="CV101" s="294">
        <f>Q_Financials!CV68</f>
        <v>46397.160129130956</v>
      </c>
      <c r="CW101" s="294">
        <f>Q_Financials!CW68</f>
        <v>50215.361753652185</v>
      </c>
    </row>
    <row r="102" spans="1:101">
      <c r="A102" s="91" t="s">
        <v>630</v>
      </c>
      <c r="B102" s="85">
        <f>Q_Financials!B116+Q_Financials!B123+Q_Financials!B126+SUM(Q_Financials!B129:B131)</f>
        <v>-81.96</v>
      </c>
      <c r="C102" s="85">
        <f>Q_Financials!C116+Q_Financials!C123+Q_Financials!C126+SUM(Q_Financials!C129:C131)</f>
        <v>-143.892</v>
      </c>
      <c r="D102" s="85">
        <f>Q_Financials!D116+Q_Financials!D123+Q_Financials!D126+SUM(Q_Financials!D129:D131)</f>
        <v>576.05300000000011</v>
      </c>
      <c r="E102" s="85">
        <f>Q_Financials!E116+Q_Financials!E123+Q_Financials!E126+SUM(Q_Financials!E129:E131)</f>
        <v>77.478999999999957</v>
      </c>
      <c r="F102" s="85">
        <f>Q_Financials!F116+Q_Financials!F123+Q_Financials!F126+SUM(Q_Financials!F129:F131)</f>
        <v>-152.33399999999997</v>
      </c>
      <c r="G102" s="85">
        <f>Q_Financials!G116+Q_Financials!G123+Q_Financials!G126+SUM(Q_Financials!G129:G131)</f>
        <v>-123.72700000000009</v>
      </c>
      <c r="H102" s="85">
        <f>Q_Financials!H116+Q_Financials!H123+Q_Financials!H126+SUM(Q_Financials!H129:H131)</f>
        <v>111.83499999999995</v>
      </c>
      <c r="I102" s="85">
        <f>Q_Financials!I116+Q_Financials!I123+Q_Financials!I126+SUM(Q_Financials!I129:I131)</f>
        <v>-36.995999999999967</v>
      </c>
      <c r="J102" s="85">
        <f>Q_Financials!J116+Q_Financials!J123+Q_Financials!J126+SUM(Q_Financials!J129:J131)</f>
        <v>-264.76</v>
      </c>
      <c r="K102" s="85">
        <f>Q_Financials!K116+Q_Financials!K123+Q_Financials!K126+SUM(Q_Financials!K129:K131)</f>
        <v>-26.850000000000009</v>
      </c>
      <c r="L102" s="85">
        <f>Q_Financials!L116+Q_Financials!L123+Q_Financials!L126+SUM(Q_Financials!L129:L131)</f>
        <v>76.446000000000012</v>
      </c>
      <c r="M102" s="85">
        <f>Q_Financials!M116+Q_Financials!M123+Q_Financials!M126+SUM(Q_Financials!M129:M131)</f>
        <v>-2205.893</v>
      </c>
      <c r="N102" s="85">
        <f>Q_Financials!N116+Q_Financials!N123+Q_Financials!N126+SUM(Q_Financials!N129:N131)</f>
        <v>187.23100000000036</v>
      </c>
      <c r="O102" s="85">
        <f>Q_Financials!O116+Q_Financials!O123+Q_Financials!O126+SUM(Q_Financials!O129:O131)</f>
        <v>92.510999999999967</v>
      </c>
      <c r="P102" s="85">
        <f>Q_Financials!P116+Q_Financials!P123+Q_Financials!P126+SUM(Q_Financials!P129:P131)</f>
        <v>214.09600000000006</v>
      </c>
      <c r="Q102" s="85">
        <f>Q_Financials!Q116+Q_Financials!Q123+Q_Financials!Q126+SUM(Q_Financials!Q129:Q131)</f>
        <v>1286.5570000000002</v>
      </c>
      <c r="R102" s="85">
        <f>Q_Financials!R116+Q_Financials!R123+Q_Financials!R126+SUM(Q_Financials!R129:R131)</f>
        <v>43.691999999999922</v>
      </c>
      <c r="S102" s="85">
        <f>Q_Financials!S116+Q_Financials!S123+Q_Financials!S126+SUM(Q_Financials!S129:S131)</f>
        <v>-1214.693</v>
      </c>
      <c r="T102" s="85">
        <f>Q_Financials!T116+Q_Financials!T123+Q_Financials!T126+SUM(Q_Financials!T129:T131)</f>
        <v>-1667.3829999999998</v>
      </c>
      <c r="U102" s="85">
        <f>Q_Financials!U116+Q_Financials!U123+Q_Financials!U126+SUM(Q_Financials!U129:U131)</f>
        <v>159.34099999999981</v>
      </c>
      <c r="V102" s="85">
        <f>Q_Financials!V116+Q_Financials!V123+Q_Financials!V126+SUM(Q_Financials!V129:V131)</f>
        <v>-212.24599999999992</v>
      </c>
      <c r="W102" s="85">
        <f>Q_Financials!W116+Q_Financials!W123+Q_Financials!W126+SUM(Q_Financials!W129:W131)</f>
        <v>-1562.9769999999999</v>
      </c>
      <c r="X102" s="85">
        <f>Q_Financials!X116+Q_Financials!X123+Q_Financials!X126+SUM(Q_Financials!X129:X131)</f>
        <v>-560.95699999999965</v>
      </c>
      <c r="Y102" s="85">
        <f>Q_Financials!Y116+Q_Financials!Y123+Q_Financials!Y126+SUM(Q_Financials!Y129:Y131)</f>
        <v>-1352.643</v>
      </c>
      <c r="Z102" s="85">
        <f>Q_Financials!Z116+Q_Financials!Z123+Q_Financials!Z126+SUM(Q_Financials!Z129:Z131)</f>
        <v>-721.33299999999997</v>
      </c>
      <c r="AA102" s="85">
        <f>Q_Financials!AA116+Q_Financials!AA123+Q_Financials!AA126+SUM(Q_Financials!AA129:AA131)</f>
        <v>-831.82799999999997</v>
      </c>
      <c r="AB102" s="85">
        <f>Q_Financials!AB116+Q_Financials!AB123+Q_Financials!AB126+SUM(Q_Financials!AB129:AB131)</f>
        <v>40.125000000000213</v>
      </c>
      <c r="AC102" s="85">
        <f>Q_Financials!AC116+Q_Financials!AC123+Q_Financials!AC126+SUM(Q_Financials!AC129:AC131)</f>
        <v>718.46199999999953</v>
      </c>
      <c r="AD102" s="85">
        <f>Q_Financials!AD116+Q_Financials!AD123+Q_Financials!AD126+SUM(Q_Financials!AD129:AD131)</f>
        <v>-271.46400000000017</v>
      </c>
      <c r="AE102" s="85">
        <f>Q_Financials!AE116+Q_Financials!AE123+Q_Financials!AE126+SUM(Q_Financials!AE129:AE131)</f>
        <v>-799.0590000000002</v>
      </c>
      <c r="AF102" s="85">
        <f>Q_Financials!AF116+Q_Financials!AF123+Q_Financials!AF126+SUM(Q_Financials!AF129:AF131)</f>
        <v>-269.03799999999956</v>
      </c>
      <c r="AG102" s="85">
        <f>Q_Financials!AG116+Q_Financials!AG123+Q_Financials!AG126+SUM(Q_Financials!AG129:AG131)</f>
        <v>121.28199999999993</v>
      </c>
      <c r="AH102" s="85">
        <f>Q_Financials!AH116+Q_Financials!AH123+Q_Financials!AH126+SUM(Q_Financials!AH129:AH131)</f>
        <v>-1283.654</v>
      </c>
      <c r="AI102" s="85">
        <f>Q_Financials!AI116+Q_Financials!AI123+Q_Financials!AI126+SUM(Q_Financials!AI129:AI131)</f>
        <v>-1239.6629999999998</v>
      </c>
      <c r="AJ102" s="85">
        <f>Q_Financials!AJ116+Q_Financials!AJ123+Q_Financials!AJ126+SUM(Q_Financials!AJ129:AJ131)</f>
        <v>-712.97</v>
      </c>
      <c r="AK102" s="85">
        <f>Q_Financials!AK116+Q_Financials!AK123+Q_Financials!AK126+SUM(Q_Financials!AK129:AK131)</f>
        <v>1680.6609999999996</v>
      </c>
      <c r="AL102" s="85">
        <f>Q_Financials!AL116+Q_Financials!AL123+Q_Financials!AL126+SUM(Q_Financials!AL129:AL131)</f>
        <v>-742.24199999999996</v>
      </c>
      <c r="AM102" s="85">
        <f>Q_Financials!AM116+Q_Financials!AM123+Q_Financials!AM126+SUM(Q_Financials!AM129:AM131)</f>
        <v>-695.06999999999982</v>
      </c>
      <c r="AN102" s="85">
        <f>Q_Financials!AN116+Q_Financials!AN123+Q_Financials!AN126+SUM(Q_Financials!AN129:AN131)</f>
        <v>-433.67500000000018</v>
      </c>
      <c r="AO102" s="85">
        <f>Q_Financials!AO116+Q_Financials!AO123+Q_Financials!AO126+SUM(Q_Financials!AO129:AO131)</f>
        <v>-9438.2630000000008</v>
      </c>
      <c r="AP102" s="85">
        <f>Q_Financials!AP116+Q_Financials!AP123+Q_Financials!AP126+SUM(Q_Financials!AP129:AP131)</f>
        <v>-2069.0920000000001</v>
      </c>
      <c r="AQ102" s="85">
        <f>Q_Financials!AQ116+Q_Financials!AQ123+Q_Financials!AQ126+SUM(Q_Financials!AQ129:AQ131)</f>
        <v>357.42300000000023</v>
      </c>
      <c r="AR102" s="85">
        <f>Q_Financials!AR116+Q_Financials!AR123+Q_Financials!AR126+SUM(Q_Financials!AR129:AR131)</f>
        <v>636.17700000000036</v>
      </c>
      <c r="AS102" s="85">
        <f>Q_Financials!AS116+Q_Financials!AS123+Q_Financials!AS126+SUM(Q_Financials!AS129:AS131)</f>
        <v>2123.8349999999996</v>
      </c>
      <c r="AT102" s="952">
        <f>Q_Financials!AT116+Q_Financials!AT123+Q_Financials!AT126+SUM(Q_Financials!AT129:AT131)</f>
        <v>-227.32399999999996</v>
      </c>
      <c r="AU102" s="952">
        <f>Q_Financials!AU116+Q_Financials!AU123+Q_Financials!AU126+SUM(Q_Financials!AU129:AU131)</f>
        <v>-1235.832000000001</v>
      </c>
      <c r="AV102" s="952">
        <f>Q_Financials!AV116+Q_Financials!AV123+Q_Financials!AV126+SUM(Q_Financials!AV129:AV131)</f>
        <v>-929.21499999999946</v>
      </c>
      <c r="AW102" s="952">
        <f>Q_Financials!AW116+Q_Financials!AW123+Q_Financials!AW126+SUM(Q_Financials!AW129:AW131)</f>
        <v>-192.16500000000065</v>
      </c>
      <c r="AX102" s="952">
        <f>Q_Financials!AX116+Q_Financials!AX123+Q_Financials!AX126+SUM(Q_Financials!AX129:AX131)</f>
        <v>-141.94200000000001</v>
      </c>
      <c r="AY102" s="952">
        <f>Q_Financials!AY116+Q_Financials!AY123+Q_Financials!AY126+SUM(Q_Financials!AY129:AY131)</f>
        <v>327.20100000000002</v>
      </c>
      <c r="AZ102" s="952">
        <f>Q_Financials!AZ116+Q_Financials!AZ123+Q_Financials!AZ126+SUM(Q_Financials!AZ129:AZ131)</f>
        <v>-380.56500000000005</v>
      </c>
      <c r="BA102" s="952">
        <f>Q_Financials!BA116+Q_Financials!BA123+Q_Financials!BA126+SUM(Q_Financials!BA129:BA131)</f>
        <v>1851.5680000000002</v>
      </c>
      <c r="BB102" s="952">
        <f>Q_Financials!BB116+Q_Financials!BB123+Q_Financials!BB126+SUM(Q_Financials!BB129:BB131)</f>
        <v>-1226.0430000000001</v>
      </c>
      <c r="BC102" s="952">
        <f>Q_Financials!BC116+Q_Financials!BC123+Q_Financials!BC126+SUM(Q_Financials!BC129:BC131)</f>
        <v>988.78100000000063</v>
      </c>
      <c r="BD102" s="952">
        <f>Q_Financials!BD116+Q_Financials!BD123+Q_Financials!BD126+SUM(Q_Financials!BD129:BD131)</f>
        <v>823.62600000000009</v>
      </c>
      <c r="BE102" s="952">
        <f>Q_Financials!BE116+Q_Financials!BE123+Q_Financials!BE126+SUM(Q_Financials!BE129:BE131)</f>
        <v>1739.3880000000008</v>
      </c>
      <c r="BF102" s="952">
        <f>Q_Financials!BF116+Q_Financials!BF123+Q_Financials!BF126+SUM(Q_Financials!BF129:BF131)</f>
        <v>-79.613000000000397</v>
      </c>
      <c r="BG102" s="952">
        <f>Q_Financials!BG116+Q_Financials!BG123+Q_Financials!BG126+SUM(Q_Financials!BG129:BG131)</f>
        <v>28.263999999999669</v>
      </c>
      <c r="BH102" s="952">
        <f>Q_Financials!BH116+Q_Financials!BH123+Q_Financials!BH126+SUM(Q_Financials!BH129:BH131)</f>
        <v>-662.52499999999964</v>
      </c>
      <c r="BI102" s="952">
        <f>Q_Financials!BI116+Q_Financials!BI123+Q_Financials!BI126+SUM(Q_Financials!BI129:BI131)</f>
        <v>3247.8500000000004</v>
      </c>
      <c r="BJ102" s="952">
        <f>Q_Financials!BJ116+Q_Financials!BJ123+Q_Financials!BJ126+SUM(Q_Financials!BJ129:BJ131)</f>
        <v>-3132.038</v>
      </c>
      <c r="BK102" s="1702">
        <f>Q_Financials!BK116+Q_Financials!BK123+Q_Financials!BK126+SUM(Q_Financials!BK129:BK131)</f>
        <v>-2537.2349999999997</v>
      </c>
      <c r="BL102" s="294">
        <f>Q_Financials!BL116+Q_Financials!BL123+Q_Financials!BL126+SUM(Q_Financials!BL129:BL131)</f>
        <v>129.24409149835697</v>
      </c>
      <c r="BM102" s="294">
        <f>Q_Financials!BM116+Q_Financials!BM123+Q_Financials!BM126+SUM(Q_Financials!BM129:BM131)</f>
        <v>336.48720117110133</v>
      </c>
      <c r="BN102" s="294">
        <f>Q_Financials!BN116+Q_Financials!BN123+Q_Financials!BN126+SUM(Q_Financials!BN129:BN131)</f>
        <v>-1087.0018303879604</v>
      </c>
      <c r="BO102" s="294">
        <f>Q_Financials!BO116+Q_Financials!BO123+Q_Financials!BO126+SUM(Q_Financials!BO129:BO131)</f>
        <v>-396.69252857421657</v>
      </c>
      <c r="BP102" s="294">
        <f>Q_Financials!BP116+Q_Financials!BP123+Q_Financials!BP126+SUM(Q_Financials!BP129:BP131)</f>
        <v>1242.8902046834182</v>
      </c>
      <c r="BQ102" s="294">
        <f>Q_Financials!BQ116+Q_Financials!BQ123+Q_Financials!BQ126+SUM(Q_Financials!BQ129:BQ131)</f>
        <v>1575.5730131839109</v>
      </c>
      <c r="BR102" s="294">
        <f>Q_Financials!BR116+Q_Financials!BR123+Q_Financials!BR126+SUM(Q_Financials!BR129:BR131)</f>
        <v>-477.01889849118606</v>
      </c>
      <c r="BS102" s="294">
        <f>Q_Financials!BS116+Q_Financials!BS123+Q_Financials!BS126+SUM(Q_Financials!BS129:BS131)</f>
        <v>-196.2474239528342</v>
      </c>
      <c r="BT102" s="294">
        <f>Q_Financials!BT116+Q_Financials!BT123+Q_Financials!BT126+SUM(Q_Financials!BT129:BT131)</f>
        <v>1492.0965467780982</v>
      </c>
      <c r="BU102" s="294">
        <f>Q_Financials!BU116+Q_Financials!BU123+Q_Financials!BU126+SUM(Q_Financials!BU129:BU131)</f>
        <v>2241.0705751448336</v>
      </c>
      <c r="BV102" s="294">
        <f>Q_Financials!BV116+Q_Financials!BV123+Q_Financials!BV126+SUM(Q_Financials!BV129:BV131)</f>
        <v>41.684256031278096</v>
      </c>
      <c r="BW102" s="294">
        <f>Q_Financials!BW116+Q_Financials!BW123+Q_Financials!BW126+SUM(Q_Financials!BW129:BW131)</f>
        <v>-73.783065961099965</v>
      </c>
      <c r="BX102" s="294">
        <f>Q_Financials!BX116+Q_Financials!BX123+Q_Financials!BX126+SUM(Q_Financials!BX129:BX131)</f>
        <v>1615.4803935601085</v>
      </c>
      <c r="BY102" s="294">
        <f>Q_Financials!BY116+Q_Financials!BY123+Q_Financials!BY126+SUM(Q_Financials!BY129:BY131)</f>
        <v>2426.09371361276</v>
      </c>
      <c r="BZ102" s="294">
        <f>Q_Financials!BZ116+Q_Financials!BZ123+Q_Financials!BZ126+SUM(Q_Financials!BZ129:BZ131)</f>
        <v>-195.79889388778793</v>
      </c>
      <c r="CA102" s="294">
        <f>Q_Financials!CA116+Q_Financials!CA123+Q_Financials!CA126+SUM(Q_Financials!CA129:CA131)</f>
        <v>-432.18975777548098</v>
      </c>
      <c r="CB102" s="294">
        <f>Q_Financials!CB116+Q_Financials!CB123+Q_Financials!CB126+SUM(Q_Financials!CB129:CB131)</f>
        <v>1375.4163433876449</v>
      </c>
      <c r="CC102" s="294">
        <f>Q_Financials!CC116+Q_Financials!CC123+Q_Financials!CC126+SUM(Q_Financials!CC129:CC131)</f>
        <v>2415.6869172538895</v>
      </c>
      <c r="CD102" s="294">
        <f>Q_Financials!CD116+Q_Financials!CD123+Q_Financials!CD126+SUM(Q_Financials!CD129:CD131)</f>
        <v>-383.08695346059676</v>
      </c>
      <c r="CE102" s="294">
        <f>Q_Financials!CE116+Q_Financials!CE123+Q_Financials!CE126+SUM(Q_Financials!CE129:CE131)</f>
        <v>-447.29381489902926</v>
      </c>
      <c r="CF102" s="294">
        <f>Q_Financials!CF116+Q_Financials!CF123+Q_Financials!CF126+SUM(Q_Financials!CF129:CF131)</f>
        <v>1473.916713562312</v>
      </c>
      <c r="CG102" s="294">
        <f>Q_Financials!CG116+Q_Financials!CG123+Q_Financials!CG126+SUM(Q_Financials!CG129:CG131)</f>
        <v>2584.6585428781586</v>
      </c>
      <c r="CH102" s="294">
        <f>Q_Financials!CH116+Q_Financials!CH123+Q_Financials!CH126+SUM(Q_Financials!CH129:CH131)</f>
        <v>-350.16560907017538</v>
      </c>
      <c r="CI102" s="294">
        <f>Q_Financials!CI116+Q_Financials!CI123+Q_Financials!CI126+SUM(Q_Financials!CI129:CI131)</f>
        <v>-420.40434890304505</v>
      </c>
      <c r="CJ102" s="294">
        <f>Q_Financials!CJ116+Q_Financials!CJ123+Q_Financials!CJ126+SUM(Q_Financials!CJ129:CJ131)</f>
        <v>1617.940241387204</v>
      </c>
      <c r="CK102" s="294">
        <f>Q_Financials!CK116+Q_Financials!CK123+Q_Financials!CK126+SUM(Q_Financials!CK129:CK131)</f>
        <v>2839.3632348631836</v>
      </c>
      <c r="CL102" s="294">
        <f>Q_Financials!CL116+Q_Financials!CL123+Q_Financials!CL126+SUM(Q_Financials!CL129:CL131)</f>
        <v>-359.39565668171736</v>
      </c>
      <c r="CM102" s="294">
        <f>Q_Financials!CM116+Q_Financials!CM123+Q_Financials!CM126+SUM(Q_Financials!CM129:CM131)</f>
        <v>-431.8595276174176</v>
      </c>
      <c r="CN102" s="294">
        <f>Q_Financials!CN116+Q_Financials!CN123+Q_Financials!CN126+SUM(Q_Financials!CN129:CN131)</f>
        <v>1726.4824288833256</v>
      </c>
      <c r="CO102" s="294">
        <f>Q_Financials!CO116+Q_Financials!CO123+Q_Financials!CO126+SUM(Q_Financials!CO129:CO131)</f>
        <v>3022.3680742672896</v>
      </c>
      <c r="CP102" s="294">
        <f>Q_Financials!CP116+Q_Financials!CP123+Q_Financials!CP126+SUM(Q_Financials!CP129:CP131)</f>
        <v>-366.16356222824265</v>
      </c>
      <c r="CQ102" s="294">
        <f>Q_Financials!CQ116+Q_Financials!CQ123+Q_Financials!CQ126+SUM(Q_Financials!CQ129:CQ131)</f>
        <v>-443.51189896159349</v>
      </c>
      <c r="CR102" s="294">
        <f>Q_Financials!CR116+Q_Financials!CR123+Q_Financials!CR126+SUM(Q_Financials!CR129:CR131)</f>
        <v>1840.9258148297195</v>
      </c>
      <c r="CS102" s="294">
        <f>Q_Financials!CS116+Q_Financials!CS123+Q_Financials!CS126+SUM(Q_Financials!CS129:CS131)</f>
        <v>3212.4371869685092</v>
      </c>
      <c r="CT102" s="294">
        <f>Q_Financials!CT116+Q_Financials!CT123+Q_Financials!CT126+SUM(Q_Financials!CT129:CT131)</f>
        <v>-375.42852417202175</v>
      </c>
      <c r="CU102" s="294">
        <f>Q_Financials!CU116+Q_Financials!CU123+Q_Financials!CU126+SUM(Q_Financials!CU129:CU131)</f>
        <v>-455.4983913393387</v>
      </c>
      <c r="CV102" s="294">
        <f>Q_Financials!CV116+Q_Financials!CV123+Q_Financials!CV126+SUM(Q_Financials!CV129:CV131)</f>
        <v>1957.821282620816</v>
      </c>
      <c r="CW102" s="294">
        <f>Q_Financials!CW116+Q_Financials!CW123+Q_Financials!CW126+SUM(Q_Financials!CW129:CW131)</f>
        <v>3524.4034615940536</v>
      </c>
    </row>
    <row r="103" spans="1:101">
      <c r="A103" s="42" t="s">
        <v>562</v>
      </c>
      <c r="B103" s="293"/>
      <c r="C103" s="293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540"/>
      <c r="AQ103" s="540"/>
      <c r="AR103" s="540"/>
      <c r="AS103" s="540"/>
      <c r="AT103" s="1705"/>
      <c r="AU103" s="1705"/>
      <c r="AV103" s="1705"/>
      <c r="AW103" s="1705"/>
      <c r="AX103" s="1705"/>
      <c r="AY103" s="1705"/>
      <c r="AZ103" s="1705"/>
      <c r="BA103" s="1705"/>
      <c r="BB103" s="1705"/>
      <c r="BC103" s="1705"/>
      <c r="BD103" s="1705"/>
      <c r="BE103" s="1705"/>
      <c r="BF103" s="1705"/>
      <c r="BG103" s="1705"/>
      <c r="BH103" s="1705"/>
      <c r="BI103" s="1705"/>
      <c r="BJ103" s="1705"/>
      <c r="BK103" s="1704"/>
      <c r="BL103" s="540">
        <f>Inputs!BL327</f>
        <v>1000</v>
      </c>
      <c r="BM103" s="540">
        <f>Inputs!BM327</f>
        <v>1000</v>
      </c>
      <c r="BN103" s="540">
        <f>Inputs!BN327</f>
        <v>1000</v>
      </c>
      <c r="BO103" s="540">
        <f>Inputs!BO327</f>
        <v>1000</v>
      </c>
      <c r="BP103" s="540">
        <f>Inputs!BP327</f>
        <v>1000</v>
      </c>
      <c r="BQ103" s="540">
        <f>Inputs!BQ327</f>
        <v>1000</v>
      </c>
      <c r="BR103" s="540">
        <f>Inputs!BR327</f>
        <v>1000</v>
      </c>
      <c r="BS103" s="540">
        <f>Inputs!BS327</f>
        <v>1000</v>
      </c>
      <c r="BT103" s="540">
        <f>Inputs!BT327</f>
        <v>1000</v>
      </c>
      <c r="BU103" s="540">
        <f>Inputs!BU327</f>
        <v>1000</v>
      </c>
      <c r="BV103" s="540">
        <f>Inputs!BV327</f>
        <v>1000</v>
      </c>
      <c r="BW103" s="540">
        <f>Inputs!BW327</f>
        <v>1000</v>
      </c>
      <c r="BX103" s="540">
        <f>Inputs!BX327</f>
        <v>1000</v>
      </c>
      <c r="BY103" s="540">
        <f>Inputs!BY327</f>
        <v>1000</v>
      </c>
      <c r="BZ103" s="540">
        <f>Inputs!BZ327</f>
        <v>1000</v>
      </c>
      <c r="CA103" s="540">
        <f>Inputs!CA327</f>
        <v>1000</v>
      </c>
      <c r="CB103" s="540">
        <f>Inputs!CB327</f>
        <v>1000</v>
      </c>
      <c r="CC103" s="540">
        <f>Inputs!CC327</f>
        <v>1000</v>
      </c>
      <c r="CD103" s="540">
        <f>Inputs!CD327</f>
        <v>1000</v>
      </c>
      <c r="CE103" s="540">
        <f>Inputs!CE327</f>
        <v>1000</v>
      </c>
      <c r="CF103" s="540">
        <f>Inputs!CF327</f>
        <v>1000</v>
      </c>
      <c r="CG103" s="540">
        <f>Inputs!CG327</f>
        <v>1000</v>
      </c>
      <c r="CH103" s="540">
        <f>Inputs!CH327</f>
        <v>1000</v>
      </c>
      <c r="CI103" s="540">
        <f>Inputs!CI327</f>
        <v>1000</v>
      </c>
      <c r="CJ103" s="540">
        <f>Inputs!CJ327</f>
        <v>1000</v>
      </c>
      <c r="CK103" s="540">
        <f>Inputs!CK327</f>
        <v>1000</v>
      </c>
      <c r="CL103" s="540">
        <f>Inputs!CL327</f>
        <v>1000</v>
      </c>
      <c r="CM103" s="540">
        <f>Inputs!CM327</f>
        <v>1000</v>
      </c>
      <c r="CN103" s="540">
        <f>Inputs!CN327</f>
        <v>1000</v>
      </c>
      <c r="CO103" s="540">
        <f>Inputs!CO327</f>
        <v>1000</v>
      </c>
      <c r="CP103" s="540">
        <f>Inputs!CP327</f>
        <v>1000</v>
      </c>
      <c r="CQ103" s="540">
        <f>Inputs!CQ327</f>
        <v>1000</v>
      </c>
      <c r="CR103" s="540">
        <f>Inputs!CR327</f>
        <v>1000</v>
      </c>
      <c r="CS103" s="540">
        <f>Inputs!CS327</f>
        <v>1000</v>
      </c>
      <c r="CT103" s="540">
        <f>Inputs!CT327</f>
        <v>1000</v>
      </c>
      <c r="CU103" s="540">
        <f>Inputs!CU327</f>
        <v>1000</v>
      </c>
      <c r="CV103" s="540">
        <f>Inputs!CV327</f>
        <v>1000</v>
      </c>
      <c r="CW103" s="540">
        <f>Inputs!CW327</f>
        <v>1000</v>
      </c>
    </row>
    <row r="104" spans="1:101">
      <c r="A104" s="91"/>
      <c r="B104" s="91"/>
      <c r="C104" s="91"/>
      <c r="D104" s="91"/>
      <c r="E104" s="91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294"/>
      <c r="AQ104" s="294"/>
      <c r="AR104" s="294"/>
      <c r="AS104" s="294"/>
      <c r="AT104" s="1703"/>
      <c r="AU104" s="1703"/>
      <c r="AV104" s="1703"/>
      <c r="AW104" s="1703"/>
      <c r="AX104" s="1703"/>
      <c r="AY104" s="1703"/>
      <c r="AZ104" s="1703"/>
      <c r="BA104" s="1703"/>
      <c r="BB104" s="1703"/>
      <c r="BC104" s="1703"/>
      <c r="BD104" s="1703"/>
      <c r="BE104" s="1703"/>
      <c r="BF104" s="1703"/>
      <c r="BG104" s="1703"/>
      <c r="BH104" s="1703"/>
      <c r="BI104" s="1703"/>
      <c r="BJ104" s="1703"/>
      <c r="BK104" s="1695"/>
      <c r="BL104" s="294"/>
      <c r="BM104" s="294"/>
      <c r="BN104" s="294"/>
      <c r="BO104" s="294"/>
      <c r="BP104" s="294"/>
      <c r="BQ104" s="294"/>
      <c r="BR104" s="294"/>
      <c r="BS104" s="294"/>
      <c r="BT104" s="294"/>
      <c r="BU104" s="294"/>
      <c r="BV104" s="294"/>
      <c r="BW104" s="294"/>
      <c r="BX104" s="294"/>
      <c r="BY104" s="294"/>
      <c r="BZ104" s="294"/>
      <c r="CA104" s="294"/>
      <c r="CB104" s="294"/>
      <c r="CC104" s="294"/>
      <c r="CD104" s="294"/>
      <c r="CE104" s="294"/>
      <c r="CF104" s="294"/>
      <c r="CG104" s="294"/>
      <c r="CH104" s="294"/>
      <c r="CI104" s="294"/>
      <c r="CJ104" s="294"/>
      <c r="CK104" s="294"/>
      <c r="CL104" s="294"/>
      <c r="CM104" s="294"/>
      <c r="CN104" s="294"/>
      <c r="CO104" s="294"/>
      <c r="CP104" s="294"/>
      <c r="CQ104" s="294"/>
      <c r="CR104" s="294"/>
      <c r="CS104" s="294"/>
      <c r="CT104" s="294"/>
      <c r="CU104" s="294"/>
      <c r="CV104" s="294"/>
      <c r="CW104" s="294"/>
    </row>
    <row r="105" spans="1:101">
      <c r="A105" s="299" t="s">
        <v>558</v>
      </c>
      <c r="B105" s="85"/>
      <c r="C105" s="85">
        <f t="shared" ref="C105:AA105" si="440">B108</f>
        <v>735.83400000000006</v>
      </c>
      <c r="D105" s="85">
        <f t="shared" si="440"/>
        <v>810.44099999999992</v>
      </c>
      <c r="E105" s="85">
        <f t="shared" si="440"/>
        <v>687.74800000000005</v>
      </c>
      <c r="F105" s="85">
        <f t="shared" si="440"/>
        <v>619.34699999999998</v>
      </c>
      <c r="G105" s="85">
        <f t="shared" si="440"/>
        <v>557.80799999999999</v>
      </c>
      <c r="H105" s="85">
        <f t="shared" si="440"/>
        <v>390.48</v>
      </c>
      <c r="I105" s="85">
        <f t="shared" si="440"/>
        <v>369.589</v>
      </c>
      <c r="J105" s="85">
        <f t="shared" si="440"/>
        <v>288.04700000000003</v>
      </c>
      <c r="K105" s="85">
        <f t="shared" si="440"/>
        <v>197.81800000000001</v>
      </c>
      <c r="L105" s="85">
        <f t="shared" si="440"/>
        <v>166.17599999999999</v>
      </c>
      <c r="M105" s="85">
        <f t="shared" si="440"/>
        <v>229.251</v>
      </c>
      <c r="N105" s="85">
        <f t="shared" si="440"/>
        <v>185.333</v>
      </c>
      <c r="O105" s="85">
        <f t="shared" si="440"/>
        <v>277.95800000000003</v>
      </c>
      <c r="P105" s="85">
        <f t="shared" si="440"/>
        <v>342.44</v>
      </c>
      <c r="Q105" s="85">
        <f t="shared" si="440"/>
        <v>355.78500000000003</v>
      </c>
      <c r="R105" s="85">
        <f t="shared" si="440"/>
        <v>396.64699999999999</v>
      </c>
      <c r="S105" s="85">
        <f t="shared" si="440"/>
        <v>470.16199999999998</v>
      </c>
      <c r="T105" s="85">
        <f t="shared" si="440"/>
        <v>81.775999999999996</v>
      </c>
      <c r="U105" s="85">
        <f t="shared" si="440"/>
        <v>252.816</v>
      </c>
      <c r="V105" s="85">
        <f t="shared" si="440"/>
        <v>388.48599999999999</v>
      </c>
      <c r="W105" s="85">
        <f t="shared" si="440"/>
        <v>556.13300000000004</v>
      </c>
      <c r="X105" s="85">
        <f t="shared" si="440"/>
        <v>1593.835</v>
      </c>
      <c r="Y105" s="85">
        <f t="shared" si="440"/>
        <v>901.71799999999996</v>
      </c>
      <c r="Z105" s="85">
        <f t="shared" si="440"/>
        <v>1377.1569999999999</v>
      </c>
      <c r="AA105" s="85">
        <f t="shared" si="440"/>
        <v>890.76199999999994</v>
      </c>
      <c r="AB105" s="85">
        <f t="shared" ref="AB105:AZ105" si="441">AA108</f>
        <v>1546.692</v>
      </c>
      <c r="AC105" s="85">
        <f t="shared" si="441"/>
        <v>738.66200000000003</v>
      </c>
      <c r="AD105" s="85">
        <f t="shared" si="441"/>
        <v>734.82399999999996</v>
      </c>
      <c r="AE105" s="85">
        <f t="shared" si="441"/>
        <v>912.33699999999999</v>
      </c>
      <c r="AF105" s="85">
        <f t="shared" si="441"/>
        <v>433.52</v>
      </c>
      <c r="AG105" s="85">
        <f t="shared" si="441"/>
        <v>562.63</v>
      </c>
      <c r="AH105" s="85">
        <f t="shared" si="441"/>
        <v>1107.2380000000001</v>
      </c>
      <c r="AI105" s="85">
        <f t="shared" si="441"/>
        <v>1427.3889999999999</v>
      </c>
      <c r="AJ105" s="85">
        <f t="shared" si="441"/>
        <v>1388.2660000000001</v>
      </c>
      <c r="AK105" s="85">
        <f t="shared" si="441"/>
        <v>1638.116</v>
      </c>
      <c r="AL105" s="85">
        <f t="shared" si="441"/>
        <v>4367.53</v>
      </c>
      <c r="AM105" s="85">
        <f t="shared" si="441"/>
        <v>5065.7740000000003</v>
      </c>
      <c r="AN105" s="85">
        <f t="shared" si="441"/>
        <v>4781.3890000000001</v>
      </c>
      <c r="AO105" s="85">
        <f t="shared" si="441"/>
        <v>7122.1980000000003</v>
      </c>
      <c r="AP105" s="85">
        <f t="shared" si="441"/>
        <v>5094.2719999999999</v>
      </c>
      <c r="AQ105" s="85">
        <f t="shared" si="441"/>
        <v>10507.088</v>
      </c>
      <c r="AR105" s="85">
        <f t="shared" si="441"/>
        <v>3263.317</v>
      </c>
      <c r="AS105" s="85">
        <f t="shared" si="441"/>
        <v>2989.527</v>
      </c>
      <c r="AT105" s="952">
        <f t="shared" si="441"/>
        <v>2610.5320000000002</v>
      </c>
      <c r="AU105" s="952">
        <f t="shared" si="441"/>
        <v>4914.0079999999998</v>
      </c>
      <c r="AV105" s="952">
        <f t="shared" si="441"/>
        <v>6954.5599999999995</v>
      </c>
      <c r="AW105" s="952">
        <f t="shared" si="441"/>
        <v>7504.9880000000003</v>
      </c>
      <c r="AX105" s="952">
        <f t="shared" si="441"/>
        <v>5535</v>
      </c>
      <c r="AY105" s="952">
        <f t="shared" si="441"/>
        <v>9734.9709999999995</v>
      </c>
      <c r="AZ105" s="952">
        <f t="shared" si="441"/>
        <v>29115.600999999999</v>
      </c>
      <c r="BA105" s="952">
        <f t="shared" ref="BA105:BJ105" si="442">AZ108</f>
        <v>29503.537</v>
      </c>
      <c r="BB105" s="952">
        <f t="shared" si="442"/>
        <v>10185.467000000001</v>
      </c>
      <c r="BC105" s="952">
        <f t="shared" si="442"/>
        <v>6708.5370000000003</v>
      </c>
      <c r="BD105" s="952">
        <f t="shared" si="442"/>
        <v>6626.7039999999997</v>
      </c>
      <c r="BE105" s="952">
        <f t="shared" si="442"/>
        <v>6481.8890000000001</v>
      </c>
      <c r="BF105" s="952">
        <f t="shared" si="442"/>
        <v>6138.6379999999999</v>
      </c>
      <c r="BG105" s="952">
        <f t="shared" si="442"/>
        <v>6116.3850000000002</v>
      </c>
      <c r="BH105" s="952">
        <f t="shared" si="442"/>
        <v>8171.5339999999997</v>
      </c>
      <c r="BI105" s="952">
        <f t="shared" si="442"/>
        <v>6825.2749999999996</v>
      </c>
      <c r="BJ105" s="952">
        <f t="shared" si="442"/>
        <v>7034.2170000000006</v>
      </c>
      <c r="BK105" s="1702">
        <f t="shared" ref="BK105" si="443">BJ108</f>
        <v>8351.0079999999998</v>
      </c>
      <c r="BL105" s="294">
        <f t="shared" ref="BL105:BQ105" si="444">BK108</f>
        <v>8716.3770000000004</v>
      </c>
      <c r="BM105" s="294">
        <f t="shared" si="444"/>
        <v>8716.3770000000004</v>
      </c>
      <c r="BN105" s="294">
        <f t="shared" si="444"/>
        <v>7709.2170000000006</v>
      </c>
      <c r="BO105" s="294">
        <f t="shared" si="444"/>
        <v>6884.6570000000011</v>
      </c>
      <c r="BP105" s="294">
        <f t="shared" si="444"/>
        <v>6884.6570000000011</v>
      </c>
      <c r="BQ105" s="294">
        <f t="shared" si="444"/>
        <v>6884.6570000000011</v>
      </c>
      <c r="BR105" s="294">
        <f t="shared" ref="BR105:CK105" si="445">BQ108</f>
        <v>6884.6570000000011</v>
      </c>
      <c r="BS105" s="294">
        <f t="shared" si="445"/>
        <v>6884.6570000000011</v>
      </c>
      <c r="BT105" s="294">
        <f t="shared" si="445"/>
        <v>6884.6570000000011</v>
      </c>
      <c r="BU105" s="294">
        <f t="shared" si="445"/>
        <v>6884.6570000000011</v>
      </c>
      <c r="BV105" s="294">
        <f t="shared" si="445"/>
        <v>6884.6570000000011</v>
      </c>
      <c r="BW105" s="294">
        <f t="shared" si="445"/>
        <v>6884.6570000000011</v>
      </c>
      <c r="BX105" s="294">
        <f t="shared" si="445"/>
        <v>6884.6570000000011</v>
      </c>
      <c r="BY105" s="294">
        <f t="shared" si="445"/>
        <v>6884.6570000000011</v>
      </c>
      <c r="BZ105" s="294">
        <f t="shared" si="445"/>
        <v>6884.6570000000011</v>
      </c>
      <c r="CA105" s="294">
        <f t="shared" si="445"/>
        <v>6884.6570000000011</v>
      </c>
      <c r="CB105" s="294">
        <f t="shared" si="445"/>
        <v>6884.6570000000011</v>
      </c>
      <c r="CC105" s="294">
        <f t="shared" si="445"/>
        <v>6884.6570000000011</v>
      </c>
      <c r="CD105" s="294">
        <f t="shared" si="445"/>
        <v>6884.6570000000011</v>
      </c>
      <c r="CE105" s="294">
        <f t="shared" si="445"/>
        <v>6884.6570000000011</v>
      </c>
      <c r="CF105" s="294">
        <f t="shared" si="445"/>
        <v>6884.6570000000011</v>
      </c>
      <c r="CG105" s="294">
        <f t="shared" si="445"/>
        <v>6884.6570000000011</v>
      </c>
      <c r="CH105" s="294">
        <f t="shared" si="445"/>
        <v>6884.6570000000011</v>
      </c>
      <c r="CI105" s="294">
        <f t="shared" si="445"/>
        <v>6884.6570000000011</v>
      </c>
      <c r="CJ105" s="294">
        <f t="shared" si="445"/>
        <v>6884.6570000000011</v>
      </c>
      <c r="CK105" s="294">
        <f t="shared" si="445"/>
        <v>6884.6570000000011</v>
      </c>
      <c r="CL105" s="294">
        <f t="shared" ref="CL105" si="446">CK108</f>
        <v>6884.6570000000011</v>
      </c>
      <c r="CM105" s="294">
        <f t="shared" ref="CM105" si="447">CL108</f>
        <v>6884.6570000000011</v>
      </c>
      <c r="CN105" s="294">
        <f t="shared" ref="CN105" si="448">CM108</f>
        <v>6884.6570000000011</v>
      </c>
      <c r="CO105" s="294">
        <f t="shared" ref="CO105" si="449">CN108</f>
        <v>6884.6570000000011</v>
      </c>
      <c r="CP105" s="294">
        <f t="shared" ref="CP105" si="450">CO108</f>
        <v>6884.6570000000011</v>
      </c>
      <c r="CQ105" s="294">
        <f t="shared" ref="CQ105" si="451">CP108</f>
        <v>6884.6570000000011</v>
      </c>
      <c r="CR105" s="294">
        <f t="shared" ref="CR105" si="452">CQ108</f>
        <v>6884.6570000000011</v>
      </c>
      <c r="CS105" s="294">
        <f t="shared" ref="CS105" si="453">CR108</f>
        <v>6884.6570000000011</v>
      </c>
      <c r="CT105" s="294">
        <f t="shared" ref="CT105" si="454">CS108</f>
        <v>6884.6570000000011</v>
      </c>
      <c r="CU105" s="294">
        <f t="shared" ref="CU105" si="455">CT108</f>
        <v>6884.6570000000011</v>
      </c>
      <c r="CV105" s="294">
        <f t="shared" ref="CV105" si="456">CU108</f>
        <v>6884.6570000000011</v>
      </c>
      <c r="CW105" s="294">
        <f t="shared" ref="CW105" si="457">CV108</f>
        <v>6884.6570000000011</v>
      </c>
    </row>
    <row r="106" spans="1:101">
      <c r="A106" s="300" t="s">
        <v>262</v>
      </c>
      <c r="B106" s="39"/>
      <c r="C106" s="99">
        <f t="shared" ref="C106:AA106" si="458">IF(C108&gt;C105,C108-C105,0)</f>
        <v>74.606999999999857</v>
      </c>
      <c r="D106" s="99">
        <f t="shared" si="458"/>
        <v>0</v>
      </c>
      <c r="E106" s="99">
        <f t="shared" si="458"/>
        <v>0</v>
      </c>
      <c r="F106" s="99">
        <f t="shared" si="458"/>
        <v>0</v>
      </c>
      <c r="G106" s="99">
        <f t="shared" si="458"/>
        <v>0</v>
      </c>
      <c r="H106" s="99">
        <f t="shared" si="458"/>
        <v>0</v>
      </c>
      <c r="I106" s="99">
        <f t="shared" si="458"/>
        <v>0</v>
      </c>
      <c r="J106" s="99">
        <f t="shared" si="458"/>
        <v>0</v>
      </c>
      <c r="K106" s="99">
        <f t="shared" si="458"/>
        <v>0</v>
      </c>
      <c r="L106" s="99">
        <f t="shared" si="458"/>
        <v>63.075000000000017</v>
      </c>
      <c r="M106" s="99">
        <f t="shared" si="458"/>
        <v>0</v>
      </c>
      <c r="N106" s="99">
        <f t="shared" si="458"/>
        <v>92.625000000000028</v>
      </c>
      <c r="O106" s="99">
        <f t="shared" si="458"/>
        <v>64.481999999999971</v>
      </c>
      <c r="P106" s="99">
        <f t="shared" si="458"/>
        <v>13.345000000000027</v>
      </c>
      <c r="Q106" s="99">
        <f t="shared" si="458"/>
        <v>40.861999999999966</v>
      </c>
      <c r="R106" s="99">
        <f t="shared" si="458"/>
        <v>73.514999999999986</v>
      </c>
      <c r="S106" s="99">
        <f t="shared" si="458"/>
        <v>0</v>
      </c>
      <c r="T106" s="99">
        <f t="shared" si="458"/>
        <v>171.04000000000002</v>
      </c>
      <c r="U106" s="99">
        <f t="shared" si="458"/>
        <v>135.66999999999999</v>
      </c>
      <c r="V106" s="99">
        <f t="shared" si="458"/>
        <v>167.64700000000005</v>
      </c>
      <c r="W106" s="99">
        <f t="shared" si="458"/>
        <v>1037.702</v>
      </c>
      <c r="X106" s="99">
        <f t="shared" si="458"/>
        <v>0</v>
      </c>
      <c r="Y106" s="99">
        <f t="shared" si="458"/>
        <v>475.43899999999996</v>
      </c>
      <c r="Z106" s="99">
        <f t="shared" si="458"/>
        <v>0</v>
      </c>
      <c r="AA106" s="99">
        <f t="shared" si="458"/>
        <v>655.93000000000006</v>
      </c>
      <c r="AB106" s="99">
        <f t="shared" ref="AB106:AM106" si="459">IF(AB108&gt;AB105,AB108-AB105,0)</f>
        <v>0</v>
      </c>
      <c r="AC106" s="99">
        <f t="shared" si="459"/>
        <v>0</v>
      </c>
      <c r="AD106" s="99">
        <f t="shared" si="459"/>
        <v>177.51300000000003</v>
      </c>
      <c r="AE106" s="99">
        <f t="shared" si="459"/>
        <v>0</v>
      </c>
      <c r="AF106" s="99">
        <f t="shared" si="459"/>
        <v>129.11000000000001</v>
      </c>
      <c r="AG106" s="99">
        <f t="shared" si="459"/>
        <v>544.60800000000006</v>
      </c>
      <c r="AH106" s="99">
        <f t="shared" si="459"/>
        <v>320.15099999999984</v>
      </c>
      <c r="AI106" s="99">
        <f t="shared" si="459"/>
        <v>0</v>
      </c>
      <c r="AJ106" s="99">
        <f t="shared" si="459"/>
        <v>249.84999999999991</v>
      </c>
      <c r="AK106" s="99">
        <f t="shared" si="459"/>
        <v>2729.4139999999998</v>
      </c>
      <c r="AL106" s="99">
        <f t="shared" si="459"/>
        <v>698.2440000000006</v>
      </c>
      <c r="AM106" s="99">
        <f t="shared" si="459"/>
        <v>0</v>
      </c>
      <c r="AN106" s="99">
        <f t="shared" ref="AN106:AT106" si="460">IF(AN108&gt;AN105,AN108-AN105,0)</f>
        <v>2340.8090000000002</v>
      </c>
      <c r="AO106" s="99">
        <f t="shared" si="460"/>
        <v>0</v>
      </c>
      <c r="AP106" s="99">
        <f t="shared" si="460"/>
        <v>5412.8159999999998</v>
      </c>
      <c r="AQ106" s="99">
        <f t="shared" si="460"/>
        <v>0</v>
      </c>
      <c r="AR106" s="99">
        <f t="shared" si="460"/>
        <v>0</v>
      </c>
      <c r="AS106" s="99">
        <f t="shared" si="460"/>
        <v>0</v>
      </c>
      <c r="AT106" s="99">
        <f t="shared" si="460"/>
        <v>2303.4759999999997</v>
      </c>
      <c r="AU106" s="99">
        <f t="shared" ref="AU106:BC106" si="461">IF(AU108&gt;AU105,AU108-AU105,0)</f>
        <v>2040.5519999999997</v>
      </c>
      <c r="AV106" s="99">
        <f t="shared" si="461"/>
        <v>550.42800000000079</v>
      </c>
      <c r="AW106" s="99">
        <f t="shared" si="461"/>
        <v>0</v>
      </c>
      <c r="AX106" s="99">
        <f t="shared" si="461"/>
        <v>4199.9709999999995</v>
      </c>
      <c r="AY106" s="99">
        <f t="shared" si="461"/>
        <v>19380.629999999997</v>
      </c>
      <c r="AZ106" s="99">
        <f t="shared" si="461"/>
        <v>387.93600000000151</v>
      </c>
      <c r="BA106" s="99">
        <f t="shared" si="461"/>
        <v>0</v>
      </c>
      <c r="BB106" s="99">
        <f t="shared" si="461"/>
        <v>0</v>
      </c>
      <c r="BC106" s="99">
        <f t="shared" si="461"/>
        <v>0</v>
      </c>
      <c r="BD106" s="99">
        <f t="shared" ref="BD106:BI106" si="462">IF(BD108&gt;BD105,BD108-BD105,0)</f>
        <v>0</v>
      </c>
      <c r="BE106" s="99">
        <f t="shared" si="462"/>
        <v>0</v>
      </c>
      <c r="BF106" s="99">
        <f t="shared" si="462"/>
        <v>0</v>
      </c>
      <c r="BG106" s="99">
        <f t="shared" si="462"/>
        <v>2055.1489999999994</v>
      </c>
      <c r="BH106" s="99">
        <f t="shared" si="462"/>
        <v>0</v>
      </c>
      <c r="BI106" s="99">
        <f t="shared" si="462"/>
        <v>208.94200000000092</v>
      </c>
      <c r="BJ106" s="99">
        <f t="shared" ref="BJ106:BK106" si="463">IF(BJ108&gt;BJ105,BJ108-BJ105,0)</f>
        <v>1316.7909999999993</v>
      </c>
      <c r="BK106" s="1173">
        <f t="shared" si="463"/>
        <v>365.3690000000006</v>
      </c>
      <c r="BL106" s="294">
        <f t="shared" ref="BL106:BQ106" si="464">IF(BK101&lt;BL103,1000,0)-BL107</f>
        <v>0</v>
      </c>
      <c r="BM106" s="294"/>
      <c r="BN106" s="294"/>
      <c r="BO106" s="294">
        <f t="shared" si="464"/>
        <v>365.3690000000006</v>
      </c>
      <c r="BP106" s="294">
        <f t="shared" si="464"/>
        <v>0</v>
      </c>
      <c r="BQ106" s="294">
        <f t="shared" si="464"/>
        <v>0</v>
      </c>
      <c r="BR106" s="294">
        <f t="shared" ref="BR106:CK106" si="465">IF(BQ101&lt;BR103,1000,0)-BR107</f>
        <v>0</v>
      </c>
      <c r="BS106" s="294">
        <f t="shared" si="465"/>
        <v>365.3690000000006</v>
      </c>
      <c r="BT106" s="294">
        <f t="shared" si="465"/>
        <v>0</v>
      </c>
      <c r="BU106" s="294">
        <f t="shared" si="465"/>
        <v>0</v>
      </c>
      <c r="BV106" s="294">
        <f t="shared" si="465"/>
        <v>0</v>
      </c>
      <c r="BW106" s="294">
        <f t="shared" si="465"/>
        <v>365.3690000000006</v>
      </c>
      <c r="BX106" s="294">
        <f t="shared" si="465"/>
        <v>0</v>
      </c>
      <c r="BY106" s="294">
        <f t="shared" si="465"/>
        <v>0</v>
      </c>
      <c r="BZ106" s="294">
        <f t="shared" si="465"/>
        <v>0</v>
      </c>
      <c r="CA106" s="294">
        <f t="shared" si="465"/>
        <v>365.3690000000006</v>
      </c>
      <c r="CB106" s="294">
        <f t="shared" si="465"/>
        <v>0</v>
      </c>
      <c r="CC106" s="294">
        <f t="shared" si="465"/>
        <v>0</v>
      </c>
      <c r="CD106" s="294">
        <f t="shared" si="465"/>
        <v>0</v>
      </c>
      <c r="CE106" s="294">
        <f t="shared" si="465"/>
        <v>365.3690000000006</v>
      </c>
      <c r="CF106" s="294">
        <f t="shared" si="465"/>
        <v>0</v>
      </c>
      <c r="CG106" s="294">
        <f t="shared" si="465"/>
        <v>0</v>
      </c>
      <c r="CH106" s="294">
        <f t="shared" si="465"/>
        <v>0</v>
      </c>
      <c r="CI106" s="294">
        <f t="shared" si="465"/>
        <v>365.3690000000006</v>
      </c>
      <c r="CJ106" s="294">
        <f t="shared" si="465"/>
        <v>0</v>
      </c>
      <c r="CK106" s="294">
        <f t="shared" si="465"/>
        <v>0</v>
      </c>
      <c r="CL106" s="294">
        <f t="shared" ref="CL106" si="466">IF(CK101&lt;CL103,1000,0)-CL107</f>
        <v>0</v>
      </c>
      <c r="CM106" s="294">
        <f t="shared" ref="CM106" si="467">IF(CL101&lt;CM103,1000,0)-CM107</f>
        <v>365.3690000000006</v>
      </c>
      <c r="CN106" s="294">
        <f t="shared" ref="CN106" si="468">IF(CM101&lt;CN103,1000,0)-CN107</f>
        <v>0</v>
      </c>
      <c r="CO106" s="294">
        <f t="shared" ref="CO106" si="469">IF(CN101&lt;CO103,1000,0)-CO107</f>
        <v>0</v>
      </c>
      <c r="CP106" s="294">
        <f t="shared" ref="CP106" si="470">IF(CO101&lt;CP103,1000,0)-CP107</f>
        <v>0</v>
      </c>
      <c r="CQ106" s="294">
        <f t="shared" ref="CQ106" si="471">IF(CP101&lt;CQ103,1000,0)-CQ107</f>
        <v>365.3690000000006</v>
      </c>
      <c r="CR106" s="294">
        <f t="shared" ref="CR106" si="472">IF(CQ101&lt;CR103,1000,0)-CR107</f>
        <v>0</v>
      </c>
      <c r="CS106" s="294">
        <f t="shared" ref="CS106" si="473">IF(CR101&lt;CS103,1000,0)-CS107</f>
        <v>0</v>
      </c>
      <c r="CT106" s="294">
        <f t="shared" ref="CT106" si="474">IF(CS101&lt;CT103,1000,0)-CT107</f>
        <v>0</v>
      </c>
      <c r="CU106" s="294">
        <f t="shared" ref="CU106" si="475">IF(CT101&lt;CU103,1000,0)-CU107</f>
        <v>365.3690000000006</v>
      </c>
      <c r="CV106" s="294">
        <f t="shared" ref="CV106" si="476">IF(CU101&lt;CV103,1000,0)-CV107</f>
        <v>0</v>
      </c>
      <c r="CW106" s="294">
        <f t="shared" ref="CW106" si="477">IF(CV101&lt;CW103,1000,0)-CW107</f>
        <v>0</v>
      </c>
    </row>
    <row r="107" spans="1:101">
      <c r="A107" s="300" t="s">
        <v>263</v>
      </c>
      <c r="B107" s="85"/>
      <c r="C107" s="85">
        <f t="shared" ref="C107:AA107" si="478">IF(C108&lt;C105,C108-C105,0)</f>
        <v>0</v>
      </c>
      <c r="D107" s="85">
        <f t="shared" si="478"/>
        <v>-122.69299999999987</v>
      </c>
      <c r="E107" s="85">
        <f t="shared" si="478"/>
        <v>-68.401000000000067</v>
      </c>
      <c r="F107" s="85">
        <f t="shared" si="478"/>
        <v>-61.538999999999987</v>
      </c>
      <c r="G107" s="85">
        <f t="shared" si="478"/>
        <v>-167.32799999999997</v>
      </c>
      <c r="H107" s="85">
        <f t="shared" si="478"/>
        <v>-20.89100000000002</v>
      </c>
      <c r="I107" s="85">
        <f t="shared" si="478"/>
        <v>-81.541999999999973</v>
      </c>
      <c r="J107" s="85">
        <f t="shared" si="478"/>
        <v>-90.229000000000013</v>
      </c>
      <c r="K107" s="85">
        <f t="shared" si="478"/>
        <v>-31.642000000000024</v>
      </c>
      <c r="L107" s="85">
        <f t="shared" si="478"/>
        <v>0</v>
      </c>
      <c r="M107" s="85">
        <f t="shared" si="478"/>
        <v>-43.918000000000006</v>
      </c>
      <c r="N107" s="85">
        <f t="shared" si="478"/>
        <v>0</v>
      </c>
      <c r="O107" s="85">
        <f t="shared" si="478"/>
        <v>0</v>
      </c>
      <c r="P107" s="85">
        <f t="shared" si="478"/>
        <v>0</v>
      </c>
      <c r="Q107" s="85">
        <f t="shared" si="478"/>
        <v>0</v>
      </c>
      <c r="R107" s="85">
        <f t="shared" si="478"/>
        <v>0</v>
      </c>
      <c r="S107" s="85">
        <f t="shared" si="478"/>
        <v>-388.38599999999997</v>
      </c>
      <c r="T107" s="85">
        <f t="shared" si="478"/>
        <v>0</v>
      </c>
      <c r="U107" s="85">
        <f t="shared" si="478"/>
        <v>0</v>
      </c>
      <c r="V107" s="85">
        <f t="shared" si="478"/>
        <v>0</v>
      </c>
      <c r="W107" s="85">
        <f t="shared" si="478"/>
        <v>0</v>
      </c>
      <c r="X107" s="85">
        <f t="shared" si="478"/>
        <v>-692.11700000000008</v>
      </c>
      <c r="Y107" s="85">
        <f t="shared" si="478"/>
        <v>0</v>
      </c>
      <c r="Z107" s="85">
        <f t="shared" si="478"/>
        <v>-486.39499999999998</v>
      </c>
      <c r="AA107" s="85">
        <f t="shared" si="478"/>
        <v>0</v>
      </c>
      <c r="AB107" s="85">
        <f t="shared" ref="AB107:AM107" si="479">IF(AB108&lt;AB105,AB108-AB105,0)</f>
        <v>-808.03</v>
      </c>
      <c r="AC107" s="85">
        <f t="shared" si="479"/>
        <v>-3.8380000000000791</v>
      </c>
      <c r="AD107" s="85">
        <f t="shared" si="479"/>
        <v>0</v>
      </c>
      <c r="AE107" s="85">
        <f t="shared" si="479"/>
        <v>-478.81700000000001</v>
      </c>
      <c r="AF107" s="85">
        <f t="shared" si="479"/>
        <v>0</v>
      </c>
      <c r="AG107" s="85">
        <f t="shared" si="479"/>
        <v>0</v>
      </c>
      <c r="AH107" s="85">
        <f t="shared" si="479"/>
        <v>0</v>
      </c>
      <c r="AI107" s="85">
        <f t="shared" si="479"/>
        <v>-39.12299999999982</v>
      </c>
      <c r="AJ107" s="85">
        <f t="shared" si="479"/>
        <v>0</v>
      </c>
      <c r="AK107" s="85">
        <f t="shared" si="479"/>
        <v>0</v>
      </c>
      <c r="AL107" s="85">
        <f t="shared" si="479"/>
        <v>0</v>
      </c>
      <c r="AM107" s="85">
        <f t="shared" si="479"/>
        <v>-284.38500000000022</v>
      </c>
      <c r="AN107" s="85">
        <f t="shared" ref="AN107:AT107" si="480">IF(AN108&lt;AN105,AN108-AN105,0)</f>
        <v>0</v>
      </c>
      <c r="AO107" s="85">
        <f t="shared" si="480"/>
        <v>-2027.9260000000004</v>
      </c>
      <c r="AP107" s="85">
        <f t="shared" si="480"/>
        <v>0</v>
      </c>
      <c r="AQ107" s="85">
        <f t="shared" si="480"/>
        <v>-7243.7709999999997</v>
      </c>
      <c r="AR107" s="85">
        <f t="shared" si="480"/>
        <v>-273.78999999999996</v>
      </c>
      <c r="AS107" s="85">
        <f t="shared" si="480"/>
        <v>-378.99499999999989</v>
      </c>
      <c r="AT107" s="952">
        <f t="shared" si="480"/>
        <v>0</v>
      </c>
      <c r="AU107" s="952">
        <f t="shared" ref="AU107:BC107" si="481">IF(AU108&lt;AU105,AU108-AU105,0)</f>
        <v>0</v>
      </c>
      <c r="AV107" s="952">
        <f t="shared" si="481"/>
        <v>0</v>
      </c>
      <c r="AW107" s="952">
        <f t="shared" si="481"/>
        <v>-1969.9880000000003</v>
      </c>
      <c r="AX107" s="952">
        <f t="shared" si="481"/>
        <v>0</v>
      </c>
      <c r="AY107" s="952">
        <f t="shared" si="481"/>
        <v>0</v>
      </c>
      <c r="AZ107" s="952">
        <f t="shared" si="481"/>
        <v>0</v>
      </c>
      <c r="BA107" s="952">
        <f t="shared" si="481"/>
        <v>-19318.07</v>
      </c>
      <c r="BB107" s="952">
        <f t="shared" si="481"/>
        <v>-3476.9300000000003</v>
      </c>
      <c r="BC107" s="952">
        <f t="shared" si="481"/>
        <v>-81.833000000000538</v>
      </c>
      <c r="BD107" s="952">
        <f t="shared" ref="BD107:BI107" si="482">IF(BD108&lt;BD105,BD108-BD105,0)</f>
        <v>-144.8149999999996</v>
      </c>
      <c r="BE107" s="952">
        <f t="shared" si="482"/>
        <v>-343.2510000000002</v>
      </c>
      <c r="BF107" s="952">
        <f t="shared" si="482"/>
        <v>-22.252999999999702</v>
      </c>
      <c r="BG107" s="952">
        <f t="shared" si="482"/>
        <v>0</v>
      </c>
      <c r="BH107" s="952">
        <f t="shared" si="482"/>
        <v>-1346.259</v>
      </c>
      <c r="BI107" s="952">
        <f t="shared" si="482"/>
        <v>0</v>
      </c>
      <c r="BJ107" s="952">
        <f t="shared" ref="BJ107:BK107" si="483">IF(BJ108&lt;BJ105,BJ108-BJ105,0)</f>
        <v>0</v>
      </c>
      <c r="BK107" s="1702">
        <f t="shared" si="483"/>
        <v>0</v>
      </c>
      <c r="BL107" s="294">
        <f t="shared" ref="BL107:BQ107" si="484">-BH106</f>
        <v>0</v>
      </c>
      <c r="BM107" s="2015">
        <f>-50*Inputs!BM20*Inputs!BM31</f>
        <v>-1007.1600000000001</v>
      </c>
      <c r="BN107" s="2015">
        <f>-40*Inputs!BN20*Inputs!BN31</f>
        <v>-824.56</v>
      </c>
      <c r="BO107" s="294">
        <f t="shared" si="484"/>
        <v>-365.3690000000006</v>
      </c>
      <c r="BP107" s="294">
        <f t="shared" si="484"/>
        <v>0</v>
      </c>
      <c r="BQ107" s="294">
        <f t="shared" si="484"/>
        <v>0</v>
      </c>
      <c r="BR107" s="294">
        <f t="shared" ref="BR107:CK107" si="485">-BN106</f>
        <v>0</v>
      </c>
      <c r="BS107" s="294">
        <f t="shared" si="485"/>
        <v>-365.3690000000006</v>
      </c>
      <c r="BT107" s="294">
        <f t="shared" si="485"/>
        <v>0</v>
      </c>
      <c r="BU107" s="294">
        <f t="shared" si="485"/>
        <v>0</v>
      </c>
      <c r="BV107" s="294">
        <f t="shared" si="485"/>
        <v>0</v>
      </c>
      <c r="BW107" s="294">
        <f t="shared" si="485"/>
        <v>-365.3690000000006</v>
      </c>
      <c r="BX107" s="294">
        <f t="shared" si="485"/>
        <v>0</v>
      </c>
      <c r="BY107" s="294">
        <f t="shared" si="485"/>
        <v>0</v>
      </c>
      <c r="BZ107" s="294">
        <f t="shared" si="485"/>
        <v>0</v>
      </c>
      <c r="CA107" s="294">
        <f t="shared" si="485"/>
        <v>-365.3690000000006</v>
      </c>
      <c r="CB107" s="294">
        <f t="shared" si="485"/>
        <v>0</v>
      </c>
      <c r="CC107" s="294">
        <f t="shared" si="485"/>
        <v>0</v>
      </c>
      <c r="CD107" s="294">
        <f t="shared" si="485"/>
        <v>0</v>
      </c>
      <c r="CE107" s="294">
        <f t="shared" si="485"/>
        <v>-365.3690000000006</v>
      </c>
      <c r="CF107" s="294">
        <f t="shared" si="485"/>
        <v>0</v>
      </c>
      <c r="CG107" s="294">
        <f t="shared" si="485"/>
        <v>0</v>
      </c>
      <c r="CH107" s="294">
        <f t="shared" si="485"/>
        <v>0</v>
      </c>
      <c r="CI107" s="294">
        <f t="shared" si="485"/>
        <v>-365.3690000000006</v>
      </c>
      <c r="CJ107" s="294">
        <f t="shared" si="485"/>
        <v>0</v>
      </c>
      <c r="CK107" s="294">
        <f t="shared" si="485"/>
        <v>0</v>
      </c>
      <c r="CL107" s="294">
        <f t="shared" ref="CL107" si="486">-CH106</f>
        <v>0</v>
      </c>
      <c r="CM107" s="294">
        <f t="shared" ref="CM107" si="487">-CI106</f>
        <v>-365.3690000000006</v>
      </c>
      <c r="CN107" s="294">
        <f t="shared" ref="CN107" si="488">-CJ106</f>
        <v>0</v>
      </c>
      <c r="CO107" s="294">
        <f t="shared" ref="CO107" si="489">-CK106</f>
        <v>0</v>
      </c>
      <c r="CP107" s="294">
        <f t="shared" ref="CP107" si="490">-CL106</f>
        <v>0</v>
      </c>
      <c r="CQ107" s="294">
        <f t="shared" ref="CQ107" si="491">-CM106</f>
        <v>-365.3690000000006</v>
      </c>
      <c r="CR107" s="294">
        <f t="shared" ref="CR107" si="492">-CN106</f>
        <v>0</v>
      </c>
      <c r="CS107" s="294">
        <f t="shared" ref="CS107" si="493">-CO106</f>
        <v>0</v>
      </c>
      <c r="CT107" s="294">
        <f t="shared" ref="CT107" si="494">-CP106</f>
        <v>0</v>
      </c>
      <c r="CU107" s="294">
        <f t="shared" ref="CU107" si="495">-CQ106</f>
        <v>-365.3690000000006</v>
      </c>
      <c r="CV107" s="294">
        <f t="shared" ref="CV107" si="496">-CR106</f>
        <v>0</v>
      </c>
      <c r="CW107" s="294">
        <f t="shared" ref="CW107" si="497">-CS106</f>
        <v>0</v>
      </c>
    </row>
    <row r="108" spans="1:101">
      <c r="A108" s="301" t="s">
        <v>559</v>
      </c>
      <c r="B108" s="87">
        <f>Q_Financials!B82</f>
        <v>735.83400000000006</v>
      </c>
      <c r="C108" s="87">
        <f>Q_Financials!C82</f>
        <v>810.44099999999992</v>
      </c>
      <c r="D108" s="87">
        <f>Q_Financials!D82</f>
        <v>687.74800000000005</v>
      </c>
      <c r="E108" s="87">
        <f>Q_Financials!E82</f>
        <v>619.34699999999998</v>
      </c>
      <c r="F108" s="87">
        <f>Q_Financials!F82</f>
        <v>557.80799999999999</v>
      </c>
      <c r="G108" s="87">
        <f>Q_Financials!G82</f>
        <v>390.48</v>
      </c>
      <c r="H108" s="87">
        <f>Q_Financials!H82</f>
        <v>369.589</v>
      </c>
      <c r="I108" s="87">
        <f>Q_Financials!I82</f>
        <v>288.04700000000003</v>
      </c>
      <c r="J108" s="87">
        <f>Q_Financials!J82</f>
        <v>197.81800000000001</v>
      </c>
      <c r="K108" s="87">
        <f>Q_Financials!K82</f>
        <v>166.17599999999999</v>
      </c>
      <c r="L108" s="87">
        <f>Q_Financials!L82</f>
        <v>229.251</v>
      </c>
      <c r="M108" s="87">
        <f>Q_Financials!M82</f>
        <v>185.333</v>
      </c>
      <c r="N108" s="87">
        <f>Q_Financials!N82</f>
        <v>277.95800000000003</v>
      </c>
      <c r="O108" s="87">
        <f>Q_Financials!O82</f>
        <v>342.44</v>
      </c>
      <c r="P108" s="87">
        <f>Q_Financials!P82</f>
        <v>355.78500000000003</v>
      </c>
      <c r="Q108" s="87">
        <f>Q_Financials!Q82</f>
        <v>396.64699999999999</v>
      </c>
      <c r="R108" s="87">
        <f>Q_Financials!R82</f>
        <v>470.16199999999998</v>
      </c>
      <c r="S108" s="87">
        <f>Q_Financials!S82</f>
        <v>81.775999999999996</v>
      </c>
      <c r="T108" s="87">
        <f>Q_Financials!T82</f>
        <v>252.816</v>
      </c>
      <c r="U108" s="87">
        <f>Q_Financials!U82</f>
        <v>388.48599999999999</v>
      </c>
      <c r="V108" s="87">
        <f>Q_Financials!V82</f>
        <v>556.13300000000004</v>
      </c>
      <c r="W108" s="87">
        <f>Q_Financials!W82</f>
        <v>1593.835</v>
      </c>
      <c r="X108" s="87">
        <f>Q_Financials!X82</f>
        <v>901.71799999999996</v>
      </c>
      <c r="Y108" s="87">
        <f>Q_Financials!Y82</f>
        <v>1377.1569999999999</v>
      </c>
      <c r="Z108" s="87">
        <f>Q_Financials!Z82</f>
        <v>890.76199999999994</v>
      </c>
      <c r="AA108" s="87">
        <f>Q_Financials!AA82</f>
        <v>1546.692</v>
      </c>
      <c r="AB108" s="87">
        <f>Q_Financials!AB82</f>
        <v>738.66200000000003</v>
      </c>
      <c r="AC108" s="87">
        <f>Q_Financials!AC82</f>
        <v>734.82399999999996</v>
      </c>
      <c r="AD108" s="87">
        <f>Q_Financials!AD82</f>
        <v>912.33699999999999</v>
      </c>
      <c r="AE108" s="87">
        <f>Q_Financials!AE82</f>
        <v>433.52</v>
      </c>
      <c r="AF108" s="87">
        <f>Q_Financials!AF82</f>
        <v>562.63</v>
      </c>
      <c r="AG108" s="87">
        <f>Q_Financials!AG82</f>
        <v>1107.2380000000001</v>
      </c>
      <c r="AH108" s="87">
        <f>Q_Financials!AH82</f>
        <v>1427.3889999999999</v>
      </c>
      <c r="AI108" s="87">
        <f>Q_Financials!AI82</f>
        <v>1388.2660000000001</v>
      </c>
      <c r="AJ108" s="87">
        <f>Q_Financials!AJ82</f>
        <v>1638.116</v>
      </c>
      <c r="AK108" s="87">
        <f>Q_Financials!AK82</f>
        <v>4367.53</v>
      </c>
      <c r="AL108" s="87">
        <f>Q_Financials!AL82</f>
        <v>5065.7740000000003</v>
      </c>
      <c r="AM108" s="87">
        <f>Q_Financials!AM82</f>
        <v>4781.3890000000001</v>
      </c>
      <c r="AN108" s="87">
        <f>Q_Financials!AN82</f>
        <v>7122.1980000000003</v>
      </c>
      <c r="AO108" s="87">
        <f>Q_Financials!AO82</f>
        <v>5094.2719999999999</v>
      </c>
      <c r="AP108" s="87">
        <f>Q_Financials!AP82</f>
        <v>10507.088</v>
      </c>
      <c r="AQ108" s="87">
        <f>Q_Financials!AQ82</f>
        <v>3263.317</v>
      </c>
      <c r="AR108" s="87">
        <f>Q_Financials!AR82</f>
        <v>2989.527</v>
      </c>
      <c r="AS108" s="87">
        <f>Q_Financials!AS82</f>
        <v>2610.5320000000002</v>
      </c>
      <c r="AT108" s="951">
        <f>Q_Financials!AT82</f>
        <v>4914.0079999999998</v>
      </c>
      <c r="AU108" s="951">
        <f>Q_Financials!AU82</f>
        <v>6954.5599999999995</v>
      </c>
      <c r="AV108" s="951">
        <f>Q_Financials!AV82</f>
        <v>7504.9880000000003</v>
      </c>
      <c r="AW108" s="951">
        <f>Q_Financials!AW82</f>
        <v>5535</v>
      </c>
      <c r="AX108" s="951">
        <f>Q_Financials!AX82</f>
        <v>9734.9709999999995</v>
      </c>
      <c r="AY108" s="951">
        <f>Q_Financials!AY82</f>
        <v>29115.600999999999</v>
      </c>
      <c r="AZ108" s="951">
        <f>Q_Financials!AZ82</f>
        <v>29503.537</v>
      </c>
      <c r="BA108" s="951">
        <f>Q_Financials!BA82</f>
        <v>10185.467000000001</v>
      </c>
      <c r="BB108" s="951">
        <f>Q_Financials!BB82</f>
        <v>6708.5370000000003</v>
      </c>
      <c r="BC108" s="951">
        <f>Q_Financials!BC82</f>
        <v>6626.7039999999997</v>
      </c>
      <c r="BD108" s="951">
        <f>Q_Financials!BD82</f>
        <v>6481.8890000000001</v>
      </c>
      <c r="BE108" s="951">
        <f>Q_Financials!BE82</f>
        <v>6138.6379999999999</v>
      </c>
      <c r="BF108" s="951">
        <f>Q_Financials!BF82</f>
        <v>6116.3850000000002</v>
      </c>
      <c r="BG108" s="951">
        <f>Q_Financials!BG82</f>
        <v>8171.5339999999997</v>
      </c>
      <c r="BH108" s="951">
        <f>Q_Financials!BH82</f>
        <v>6825.2749999999996</v>
      </c>
      <c r="BI108" s="951">
        <f>Q_Financials!BI82</f>
        <v>7034.2170000000006</v>
      </c>
      <c r="BJ108" s="951">
        <f>Q_Financials!BJ82</f>
        <v>8351.0079999999998</v>
      </c>
      <c r="BK108" s="1706">
        <f>Q_Financials!BK82</f>
        <v>8716.3770000000004</v>
      </c>
      <c r="BL108" s="302">
        <f t="shared" ref="BL108:BQ108" si="498">SUM(BL105:BL107)</f>
        <v>8716.3770000000004</v>
      </c>
      <c r="BM108" s="302">
        <f t="shared" si="498"/>
        <v>7709.2170000000006</v>
      </c>
      <c r="BN108" s="302">
        <f t="shared" si="498"/>
        <v>6884.6570000000011</v>
      </c>
      <c r="BO108" s="302">
        <f t="shared" si="498"/>
        <v>6884.6570000000011</v>
      </c>
      <c r="BP108" s="302">
        <f t="shared" si="498"/>
        <v>6884.6570000000011</v>
      </c>
      <c r="BQ108" s="302">
        <f t="shared" si="498"/>
        <v>6884.6570000000011</v>
      </c>
      <c r="BR108" s="302">
        <f t="shared" ref="BR108:CK108" si="499">SUM(BR105:BR107)</f>
        <v>6884.6570000000011</v>
      </c>
      <c r="BS108" s="302">
        <f t="shared" si="499"/>
        <v>6884.6570000000011</v>
      </c>
      <c r="BT108" s="302">
        <f t="shared" si="499"/>
        <v>6884.6570000000011</v>
      </c>
      <c r="BU108" s="302">
        <f t="shared" si="499"/>
        <v>6884.6570000000011</v>
      </c>
      <c r="BV108" s="302">
        <f t="shared" si="499"/>
        <v>6884.6570000000011</v>
      </c>
      <c r="BW108" s="302">
        <f t="shared" si="499"/>
        <v>6884.6570000000011</v>
      </c>
      <c r="BX108" s="302">
        <f t="shared" si="499"/>
        <v>6884.6570000000011</v>
      </c>
      <c r="BY108" s="302">
        <f t="shared" si="499"/>
        <v>6884.6570000000011</v>
      </c>
      <c r="BZ108" s="302">
        <f t="shared" si="499"/>
        <v>6884.6570000000011</v>
      </c>
      <c r="CA108" s="302">
        <f t="shared" si="499"/>
        <v>6884.6570000000011</v>
      </c>
      <c r="CB108" s="302">
        <f t="shared" si="499"/>
        <v>6884.6570000000011</v>
      </c>
      <c r="CC108" s="302">
        <f t="shared" si="499"/>
        <v>6884.6570000000011</v>
      </c>
      <c r="CD108" s="302">
        <f t="shared" si="499"/>
        <v>6884.6570000000011</v>
      </c>
      <c r="CE108" s="302">
        <f t="shared" si="499"/>
        <v>6884.6570000000011</v>
      </c>
      <c r="CF108" s="302">
        <f t="shared" si="499"/>
        <v>6884.6570000000011</v>
      </c>
      <c r="CG108" s="302">
        <f t="shared" si="499"/>
        <v>6884.6570000000011</v>
      </c>
      <c r="CH108" s="302">
        <f t="shared" si="499"/>
        <v>6884.6570000000011</v>
      </c>
      <c r="CI108" s="302">
        <f t="shared" si="499"/>
        <v>6884.6570000000011</v>
      </c>
      <c r="CJ108" s="302">
        <f t="shared" si="499"/>
        <v>6884.6570000000011</v>
      </c>
      <c r="CK108" s="302">
        <f t="shared" si="499"/>
        <v>6884.6570000000011</v>
      </c>
      <c r="CL108" s="302">
        <f t="shared" ref="CL108:CP108" si="500">SUM(CL105:CL107)</f>
        <v>6884.6570000000011</v>
      </c>
      <c r="CM108" s="302">
        <f t="shared" si="500"/>
        <v>6884.6570000000011</v>
      </c>
      <c r="CN108" s="302">
        <f t="shared" si="500"/>
        <v>6884.6570000000011</v>
      </c>
      <c r="CO108" s="302">
        <f t="shared" si="500"/>
        <v>6884.6570000000011</v>
      </c>
      <c r="CP108" s="302">
        <f t="shared" si="500"/>
        <v>6884.6570000000011</v>
      </c>
      <c r="CQ108" s="302">
        <f t="shared" ref="CQ108:CT108" si="501">SUM(CQ105:CQ107)</f>
        <v>6884.6570000000011</v>
      </c>
      <c r="CR108" s="302">
        <f t="shared" si="501"/>
        <v>6884.6570000000011</v>
      </c>
      <c r="CS108" s="302">
        <f t="shared" si="501"/>
        <v>6884.6570000000011</v>
      </c>
      <c r="CT108" s="302">
        <f t="shared" si="501"/>
        <v>6884.6570000000011</v>
      </c>
      <c r="CU108" s="302">
        <f t="shared" ref="CU108:CW108" si="502">SUM(CU105:CU107)</f>
        <v>6884.6570000000011</v>
      </c>
      <c r="CV108" s="302">
        <f t="shared" si="502"/>
        <v>6884.6570000000011</v>
      </c>
      <c r="CW108" s="302">
        <f t="shared" si="502"/>
        <v>6884.6570000000011</v>
      </c>
    </row>
    <row r="109" spans="1:101" s="12" customFormat="1">
      <c r="A109" s="247" t="s">
        <v>264</v>
      </c>
      <c r="B109" s="84">
        <f t="shared" ref="B109:AA109" si="503">B108/(B$108+B$116)</f>
        <v>0.41416400204201903</v>
      </c>
      <c r="C109" s="84">
        <f t="shared" si="503"/>
        <v>0.48943959465049774</v>
      </c>
      <c r="D109" s="84">
        <f t="shared" si="503"/>
        <v>0.50636538666843378</v>
      </c>
      <c r="E109" s="84">
        <f t="shared" si="503"/>
        <v>0.46632869876081778</v>
      </c>
      <c r="F109" s="84">
        <f t="shared" si="503"/>
        <v>0.354126935354033</v>
      </c>
      <c r="G109" s="84">
        <f t="shared" si="503"/>
        <v>0.26724594593484752</v>
      </c>
      <c r="H109" s="84">
        <f t="shared" si="503"/>
        <v>0.27180878094987349</v>
      </c>
      <c r="I109" s="84">
        <f t="shared" si="503"/>
        <v>0.17393648851753604</v>
      </c>
      <c r="J109" s="84">
        <f t="shared" si="503"/>
        <v>0.13016448714726198</v>
      </c>
      <c r="K109" s="84">
        <f t="shared" si="503"/>
        <v>9.4268744433540011E-2</v>
      </c>
      <c r="L109" s="84">
        <f t="shared" si="503"/>
        <v>0.12844474126831695</v>
      </c>
      <c r="M109" s="84">
        <f t="shared" si="503"/>
        <v>4.5687559148444815E-2</v>
      </c>
      <c r="N109" s="84">
        <f t="shared" si="503"/>
        <v>6.8821893224773098E-2</v>
      </c>
      <c r="O109" s="84">
        <f t="shared" si="503"/>
        <v>9.194641846897561E-2</v>
      </c>
      <c r="P109" s="84">
        <f t="shared" si="503"/>
        <v>0.10084091490771024</v>
      </c>
      <c r="Q109" s="84">
        <f t="shared" si="503"/>
        <v>0.16029509230222108</v>
      </c>
      <c r="R109" s="84">
        <f t="shared" si="503"/>
        <v>0.19459534183380578</v>
      </c>
      <c r="S109" s="84">
        <f t="shared" si="503"/>
        <v>2.3612686794930619E-2</v>
      </c>
      <c r="T109" s="84">
        <f t="shared" si="503"/>
        <v>5.0039981948743935E-2</v>
      </c>
      <c r="U109" s="84">
        <f t="shared" si="503"/>
        <v>7.7025277692576583E-2</v>
      </c>
      <c r="V109" s="84">
        <f t="shared" si="503"/>
        <v>0.10881804319551903</v>
      </c>
      <c r="W109" s="84">
        <f t="shared" si="503"/>
        <v>0.21919985146778706</v>
      </c>
      <c r="X109" s="84">
        <f t="shared" si="503"/>
        <v>0.12485221085908707</v>
      </c>
      <c r="Y109" s="84">
        <f t="shared" si="503"/>
        <v>0.12253181482384078</v>
      </c>
      <c r="Z109" s="84">
        <f t="shared" si="503"/>
        <v>7.6928923037222638E-2</v>
      </c>
      <c r="AA109" s="84">
        <f t="shared" si="503"/>
        <v>0.12543988736547704</v>
      </c>
      <c r="AB109" s="84">
        <f t="shared" ref="AB109:AM109" si="504">AB108/(AB$108+AB$116)</f>
        <v>5.9668551488563391E-2</v>
      </c>
      <c r="AC109" s="84">
        <f t="shared" si="504"/>
        <v>6.0067319303859834E-2</v>
      </c>
      <c r="AD109" s="84">
        <f t="shared" si="504"/>
        <v>5.1140015099790173E-2</v>
      </c>
      <c r="AE109" s="84">
        <f t="shared" si="504"/>
        <v>2.3133260053819299E-2</v>
      </c>
      <c r="AF109" s="84">
        <f t="shared" si="504"/>
        <v>2.9290945462449224E-2</v>
      </c>
      <c r="AG109" s="84">
        <f t="shared" si="504"/>
        <v>5.4303034274082805E-2</v>
      </c>
      <c r="AH109" s="84">
        <f t="shared" si="504"/>
        <v>7.0165418436177046E-2</v>
      </c>
      <c r="AI109" s="84">
        <f t="shared" si="504"/>
        <v>6.6099541596094241E-2</v>
      </c>
      <c r="AJ109" s="84">
        <f t="shared" si="504"/>
        <v>7.5559723910113161E-2</v>
      </c>
      <c r="AK109" s="84">
        <f t="shared" si="504"/>
        <v>0.21179420097640458</v>
      </c>
      <c r="AL109" s="84">
        <f t="shared" si="504"/>
        <v>0.23949488436244692</v>
      </c>
      <c r="AM109" s="84">
        <f t="shared" si="504"/>
        <v>0.21674353311629316</v>
      </c>
      <c r="AN109" s="84">
        <f t="shared" ref="AN109:AT109" si="505">AN108/(AN$108+AN$116)</f>
        <v>0.31872116620242613</v>
      </c>
      <c r="AO109" s="84">
        <f t="shared" si="505"/>
        <v>0.16562681297055953</v>
      </c>
      <c r="AP109" s="84">
        <f t="shared" si="505"/>
        <v>0.30396325185361939</v>
      </c>
      <c r="AQ109" s="84">
        <f t="shared" si="505"/>
        <v>0.10070548091345904</v>
      </c>
      <c r="AR109" s="84">
        <f t="shared" si="505"/>
        <v>9.3777602503373539E-2</v>
      </c>
      <c r="AS109" s="84">
        <f t="shared" si="505"/>
        <v>7.9876016073654063E-2</v>
      </c>
      <c r="AT109" s="84">
        <f t="shared" si="505"/>
        <v>0.13015971582954117</v>
      </c>
      <c r="AU109" s="84">
        <f t="shared" ref="AU109:BC109" si="506">AU108/(AU$108+AU$116)</f>
        <v>0.17064631023876878</v>
      </c>
      <c r="AV109" s="84">
        <f t="shared" si="506"/>
        <v>0.18314116169955566</v>
      </c>
      <c r="AW109" s="84">
        <f t="shared" si="506"/>
        <v>0.12800307410887718</v>
      </c>
      <c r="AX109" s="84">
        <f t="shared" si="506"/>
        <v>0.22798419080078358</v>
      </c>
      <c r="AY109" s="84">
        <f t="shared" si="506"/>
        <v>0.6881931514908417</v>
      </c>
      <c r="AZ109" s="84">
        <f t="shared" si="506"/>
        <v>0.69100556330976437</v>
      </c>
      <c r="BA109" s="84">
        <f t="shared" si="506"/>
        <v>0.24021642306905866</v>
      </c>
      <c r="BB109" s="84">
        <f t="shared" si="506"/>
        <v>0.16738829416212681</v>
      </c>
      <c r="BC109" s="84">
        <f t="shared" si="506"/>
        <v>0.16980889508818836</v>
      </c>
      <c r="BD109" s="84">
        <f t="shared" ref="BD109:BI109" si="507">BD108/(BD$108+BD$116)</f>
        <v>0.17031770813708494</v>
      </c>
      <c r="BE109" s="84">
        <f t="shared" si="507"/>
        <v>0.15994527303100878</v>
      </c>
      <c r="BF109" s="84">
        <f t="shared" si="507"/>
        <v>0.16457052460521571</v>
      </c>
      <c r="BG109" s="84">
        <f t="shared" si="507"/>
        <v>0.22324480902314528</v>
      </c>
      <c r="BH109" s="84">
        <f t="shared" si="507"/>
        <v>0.18413669498444529</v>
      </c>
      <c r="BI109" s="84">
        <f t="shared" si="507"/>
        <v>0.19281586521353303</v>
      </c>
      <c r="BJ109" s="84">
        <f t="shared" ref="BJ109:BK109" si="508">BJ108/(BJ$108+BJ$116)</f>
        <v>0.22356238760653335</v>
      </c>
      <c r="BK109" s="801">
        <f t="shared" si="508"/>
        <v>0.22210035316658575</v>
      </c>
      <c r="BL109" s="298">
        <f t="shared" ref="BL109:BQ109" si="509">BL108/(BL$108+BL$116)</f>
        <v>0.21998835696649535</v>
      </c>
      <c r="BM109" s="298">
        <f t="shared" si="509"/>
        <v>0.19884905610911255</v>
      </c>
      <c r="BN109" s="298">
        <f t="shared" si="509"/>
        <v>0.17698931836295564</v>
      </c>
      <c r="BO109" s="298">
        <f t="shared" si="509"/>
        <v>0.17315469670397463</v>
      </c>
      <c r="BP109" s="298">
        <f t="shared" si="509"/>
        <v>0.17015895193418565</v>
      </c>
      <c r="BQ109" s="298">
        <f t="shared" si="509"/>
        <v>0.16548132886784869</v>
      </c>
      <c r="BR109" s="298">
        <f t="shared" ref="BR109:CK109" si="510">BR108/(BR$108+BR$116)</f>
        <v>0.15977148668504151</v>
      </c>
      <c r="BS109" s="298">
        <f t="shared" si="510"/>
        <v>0.15721751582413934</v>
      </c>
      <c r="BT109" s="298">
        <f t="shared" si="510"/>
        <v>0.15474391149670577</v>
      </c>
      <c r="BU109" s="298">
        <f t="shared" si="510"/>
        <v>0.15234693908672498</v>
      </c>
      <c r="BV109" s="298">
        <f t="shared" si="510"/>
        <v>0.14978123049249989</v>
      </c>
      <c r="BW109" s="298">
        <f t="shared" si="510"/>
        <v>0.14778922930411117</v>
      </c>
      <c r="BX109" s="298">
        <f t="shared" si="510"/>
        <v>0.14529596902097441</v>
      </c>
      <c r="BY109" s="298">
        <f t="shared" si="510"/>
        <v>0.14239106579785543</v>
      </c>
      <c r="BZ109" s="298">
        <f t="shared" si="510"/>
        <v>0.14215522513185375</v>
      </c>
      <c r="CA109" s="298">
        <f t="shared" si="510"/>
        <v>0.14240672941639371</v>
      </c>
      <c r="CB109" s="298">
        <f t="shared" si="510"/>
        <v>0.14210166231513149</v>
      </c>
      <c r="CC109" s="298">
        <f t="shared" si="510"/>
        <v>0.14130345408333089</v>
      </c>
      <c r="CD109" s="298">
        <f t="shared" si="510"/>
        <v>0.14106911850174719</v>
      </c>
      <c r="CE109" s="298">
        <f t="shared" si="510"/>
        <v>0.14131901777488629</v>
      </c>
      <c r="CF109" s="298">
        <f t="shared" si="510"/>
        <v>0.14101589764858266</v>
      </c>
      <c r="CG109" s="298">
        <f t="shared" si="510"/>
        <v>0.14022279147101463</v>
      </c>
      <c r="CH109" s="298">
        <f t="shared" si="510"/>
        <v>0.13998995587643551</v>
      </c>
      <c r="CI109" s="298">
        <f t="shared" si="510"/>
        <v>0.14023825557346994</v>
      </c>
      <c r="CJ109" s="298">
        <f t="shared" si="510"/>
        <v>0.13993707582650489</v>
      </c>
      <c r="CK109" s="298">
        <f t="shared" si="510"/>
        <v>0.13914905429632857</v>
      </c>
      <c r="CL109" s="298">
        <f t="shared" ref="CL109:CP109" si="511">CL108/(CL$108+CL$116)</f>
        <v>0.13891771353740823</v>
      </c>
      <c r="CM109" s="298">
        <f t="shared" si="511"/>
        <v>0.13916441915115574</v>
      </c>
      <c r="CN109" s="298">
        <f t="shared" si="511"/>
        <v>0.13886517311816762</v>
      </c>
      <c r="CO109" s="298">
        <f t="shared" si="511"/>
        <v>0.13808221864770326</v>
      </c>
      <c r="CP109" s="298">
        <f t="shared" si="511"/>
        <v>0.13785236752045843</v>
      </c>
      <c r="CQ109" s="298">
        <f t="shared" ref="CQ109:CT109" si="512">CQ108/(CQ$108+CQ$116)</f>
        <v>0.13809748459987761</v>
      </c>
      <c r="CR109" s="298">
        <f t="shared" si="512"/>
        <v>0.13643475749808559</v>
      </c>
      <c r="CS109" s="298">
        <f t="shared" si="512"/>
        <v>0.13433975352182967</v>
      </c>
      <c r="CT109" s="298">
        <f t="shared" si="512"/>
        <v>0.13411516274187132</v>
      </c>
      <c r="CU109" s="298">
        <f t="shared" ref="CU109:CW109" si="513">CU108/(CU$108+CU$116)</f>
        <v>0.13396252668913197</v>
      </c>
      <c r="CV109" s="298">
        <f t="shared" si="513"/>
        <v>0.13367272937735314</v>
      </c>
      <c r="CW109" s="298">
        <f t="shared" si="513"/>
        <v>0.132914532395741</v>
      </c>
    </row>
    <row r="110" spans="1:101">
      <c r="A110" s="299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952"/>
      <c r="AU110" s="952"/>
      <c r="AV110" s="952"/>
      <c r="AW110" s="952"/>
      <c r="AX110" s="952"/>
      <c r="AY110" s="952"/>
      <c r="AZ110" s="952"/>
      <c r="BA110" s="952"/>
      <c r="BB110" s="952"/>
      <c r="BC110" s="952"/>
      <c r="BD110" s="952"/>
      <c r="BE110" s="952"/>
      <c r="BF110" s="952"/>
      <c r="BG110" s="952"/>
      <c r="BH110" s="952"/>
      <c r="BI110" s="952"/>
      <c r="BJ110" s="952"/>
      <c r="BK110" s="1702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294"/>
      <c r="BY110" s="294"/>
      <c r="BZ110" s="294"/>
      <c r="CA110" s="294"/>
      <c r="CB110" s="294"/>
      <c r="CC110" s="294"/>
      <c r="CD110" s="294"/>
      <c r="CE110" s="294"/>
      <c r="CF110" s="294"/>
      <c r="CG110" s="294"/>
      <c r="CH110" s="294"/>
      <c r="CI110" s="294"/>
      <c r="CJ110" s="294"/>
      <c r="CK110" s="29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</row>
    <row r="111" spans="1:101">
      <c r="A111" s="299" t="s">
        <v>560</v>
      </c>
      <c r="B111" s="85"/>
      <c r="C111" s="85">
        <f t="shared" ref="C111:AA111" si="514">B116</f>
        <v>1040.8389999999999</v>
      </c>
      <c r="D111" s="85">
        <f t="shared" si="514"/>
        <v>845.41399999999999</v>
      </c>
      <c r="E111" s="85">
        <f t="shared" si="514"/>
        <v>670.45699999999999</v>
      </c>
      <c r="F111" s="85">
        <f t="shared" si="514"/>
        <v>708.78700000000003</v>
      </c>
      <c r="G111" s="85">
        <f t="shared" si="514"/>
        <v>1017.356</v>
      </c>
      <c r="H111" s="85">
        <f t="shared" si="514"/>
        <v>1070.646</v>
      </c>
      <c r="I111" s="85">
        <f t="shared" si="514"/>
        <v>990.15</v>
      </c>
      <c r="J111" s="85">
        <f t="shared" si="514"/>
        <v>1368</v>
      </c>
      <c r="K111" s="85">
        <f t="shared" si="514"/>
        <v>1321.9360000000001</v>
      </c>
      <c r="L111" s="85">
        <f t="shared" si="514"/>
        <v>1596.614</v>
      </c>
      <c r="M111" s="85">
        <f t="shared" si="514"/>
        <v>1555.5709999999999</v>
      </c>
      <c r="N111" s="85">
        <f t="shared" si="514"/>
        <v>3871.1979999999999</v>
      </c>
      <c r="O111" s="85">
        <f t="shared" si="514"/>
        <v>3760.8440000000001</v>
      </c>
      <c r="P111" s="85">
        <f t="shared" si="514"/>
        <v>3381.9029999999998</v>
      </c>
      <c r="Q111" s="85">
        <f t="shared" si="514"/>
        <v>3172.3960000000002</v>
      </c>
      <c r="R111" s="85">
        <f t="shared" si="514"/>
        <v>2077.8330000000001</v>
      </c>
      <c r="S111" s="85">
        <f t="shared" si="514"/>
        <v>1945.9390000000001</v>
      </c>
      <c r="T111" s="85">
        <f t="shared" si="514"/>
        <v>3381.4470000000001</v>
      </c>
      <c r="U111" s="85">
        <f t="shared" si="514"/>
        <v>4799.4639999999999</v>
      </c>
      <c r="V111" s="85">
        <f t="shared" si="514"/>
        <v>4655.1309999999994</v>
      </c>
      <c r="W111" s="85">
        <f t="shared" si="514"/>
        <v>4554.5360000000001</v>
      </c>
      <c r="X111" s="85">
        <f t="shared" si="514"/>
        <v>5677.3150000000005</v>
      </c>
      <c r="Y111" s="85">
        <f t="shared" si="514"/>
        <v>6320.5650000000005</v>
      </c>
      <c r="Z111" s="85">
        <f t="shared" si="514"/>
        <v>9862.0220000000008</v>
      </c>
      <c r="AA111" s="85">
        <f t="shared" si="514"/>
        <v>10688.263999999999</v>
      </c>
      <c r="AB111" s="85">
        <f t="shared" ref="AB111:AZ111" si="515">AA116</f>
        <v>10783.453000000001</v>
      </c>
      <c r="AC111" s="85">
        <f t="shared" si="515"/>
        <v>11640.757000000001</v>
      </c>
      <c r="AD111" s="85">
        <f t="shared" si="515"/>
        <v>11498.517</v>
      </c>
      <c r="AE111" s="85">
        <f t="shared" si="515"/>
        <v>16927.646000000001</v>
      </c>
      <c r="AF111" s="85">
        <f t="shared" si="515"/>
        <v>18306.597000000002</v>
      </c>
      <c r="AG111" s="85">
        <f t="shared" si="515"/>
        <v>18645.695</v>
      </c>
      <c r="AH111" s="85">
        <f t="shared" si="515"/>
        <v>19282.745999999999</v>
      </c>
      <c r="AI111" s="85">
        <f t="shared" si="515"/>
        <v>18915.808999999997</v>
      </c>
      <c r="AJ111" s="85">
        <f t="shared" si="515"/>
        <v>19614.391000000003</v>
      </c>
      <c r="AK111" s="85">
        <f t="shared" si="515"/>
        <v>20041.635000000002</v>
      </c>
      <c r="AL111" s="85">
        <f t="shared" si="515"/>
        <v>16254.044999999998</v>
      </c>
      <c r="AM111" s="85">
        <f t="shared" si="515"/>
        <v>16086.134999999998</v>
      </c>
      <c r="AN111" s="85">
        <f t="shared" si="515"/>
        <v>17278.734</v>
      </c>
      <c r="AO111" s="85">
        <f t="shared" si="515"/>
        <v>15223.974</v>
      </c>
      <c r="AP111" s="85">
        <f t="shared" si="515"/>
        <v>25663.26</v>
      </c>
      <c r="AQ111" s="85">
        <f t="shared" si="515"/>
        <v>24059.879999999997</v>
      </c>
      <c r="AR111" s="85">
        <f t="shared" si="515"/>
        <v>29141.244999999999</v>
      </c>
      <c r="AS111" s="85">
        <f t="shared" si="515"/>
        <v>28889.375</v>
      </c>
      <c r="AT111" s="952">
        <f t="shared" si="515"/>
        <v>30071.769</v>
      </c>
      <c r="AU111" s="952">
        <f t="shared" si="515"/>
        <v>32839.67</v>
      </c>
      <c r="AV111" s="952">
        <f t="shared" si="515"/>
        <v>33799.676000000007</v>
      </c>
      <c r="AW111" s="952">
        <f t="shared" si="515"/>
        <v>33474.264999999999</v>
      </c>
      <c r="AX111" s="952">
        <f t="shared" si="515"/>
        <v>37706.148999999998</v>
      </c>
      <c r="AY111" s="952">
        <f t="shared" si="515"/>
        <v>32965.231</v>
      </c>
      <c r="AZ111" s="952">
        <f t="shared" si="515"/>
        <v>13191.708999999999</v>
      </c>
      <c r="BA111" s="952">
        <f t="shared" ref="BA111:BJ111" si="516">AZ116</f>
        <v>13192.989</v>
      </c>
      <c r="BB111" s="952">
        <f t="shared" si="516"/>
        <v>32215.742999999999</v>
      </c>
      <c r="BC111" s="952">
        <f t="shared" si="516"/>
        <v>33369.158000000003</v>
      </c>
      <c r="BD111" s="952">
        <f t="shared" si="516"/>
        <v>32397.776999999998</v>
      </c>
      <c r="BE111" s="952">
        <f t="shared" si="516"/>
        <v>31575.744999999999</v>
      </c>
      <c r="BF111" s="952">
        <f t="shared" si="516"/>
        <v>32240.976999999999</v>
      </c>
      <c r="BG111" s="952">
        <f t="shared" si="516"/>
        <v>31049.352999999999</v>
      </c>
      <c r="BH111" s="952">
        <f t="shared" si="516"/>
        <v>28431.932999999997</v>
      </c>
      <c r="BI111" s="952">
        <f t="shared" si="516"/>
        <v>30241.074000000001</v>
      </c>
      <c r="BJ111" s="952">
        <f t="shared" si="516"/>
        <v>29447.309000000001</v>
      </c>
      <c r="BK111" s="1702">
        <f t="shared" ref="BK111" si="517">BJ116</f>
        <v>29003.254000000001</v>
      </c>
      <c r="BL111" s="294">
        <f t="shared" ref="BL111:BQ111" si="518">BK116</f>
        <v>30528.841999999997</v>
      </c>
      <c r="BM111" s="294">
        <f t="shared" si="518"/>
        <v>30905.615364475543</v>
      </c>
      <c r="BN111" s="294">
        <f t="shared" si="518"/>
        <v>31059.973816625228</v>
      </c>
      <c r="BO111" s="294">
        <f t="shared" si="518"/>
        <v>32014.057700293339</v>
      </c>
      <c r="BP111" s="294">
        <f t="shared" si="518"/>
        <v>32875.494650809764</v>
      </c>
      <c r="BQ111" s="294">
        <f t="shared" si="518"/>
        <v>33575.494650809764</v>
      </c>
      <c r="BR111" s="294">
        <f t="shared" ref="BR111:CK111" si="519">BQ116</f>
        <v>34719.172550450385</v>
      </c>
      <c r="BS111" s="294">
        <f t="shared" si="519"/>
        <v>36205.991668568546</v>
      </c>
      <c r="BT111" s="294">
        <f t="shared" si="519"/>
        <v>36905.991668568546</v>
      </c>
      <c r="BU111" s="294">
        <f t="shared" si="519"/>
        <v>37605.991668568546</v>
      </c>
      <c r="BV111" s="294">
        <f t="shared" si="519"/>
        <v>38305.991668568546</v>
      </c>
      <c r="BW111" s="294">
        <f t="shared" si="519"/>
        <v>39080.094239940852</v>
      </c>
      <c r="BX111" s="294">
        <f t="shared" si="519"/>
        <v>39699.637622940325</v>
      </c>
      <c r="BY111" s="294">
        <f t="shared" si="519"/>
        <v>40499.018172751392</v>
      </c>
      <c r="BZ111" s="294">
        <f t="shared" si="519"/>
        <v>41465.68690271199</v>
      </c>
      <c r="CA111" s="294">
        <f t="shared" si="519"/>
        <v>41545.901874035415</v>
      </c>
      <c r="CB111" s="294">
        <f t="shared" si="519"/>
        <v>41460.368745724671</v>
      </c>
      <c r="CC111" s="294">
        <f t="shared" si="519"/>
        <v>41564.156953578211</v>
      </c>
      <c r="CD111" s="294">
        <f t="shared" si="519"/>
        <v>41837.83916729052</v>
      </c>
      <c r="CE111" s="294">
        <f t="shared" si="519"/>
        <v>41918.774063579891</v>
      </c>
      <c r="CF111" s="294">
        <f t="shared" si="519"/>
        <v>41832.473280136073</v>
      </c>
      <c r="CG111" s="294">
        <f t="shared" si="519"/>
        <v>41937.192981459862</v>
      </c>
      <c r="CH111" s="294">
        <f t="shared" si="519"/>
        <v>42213.331478022308</v>
      </c>
      <c r="CI111" s="294">
        <f t="shared" si="519"/>
        <v>42294.992760564681</v>
      </c>
      <c r="CJ111" s="294">
        <f t="shared" si="519"/>
        <v>42207.917432325085</v>
      </c>
      <c r="CK111" s="294">
        <f t="shared" si="519"/>
        <v>42313.576987221903</v>
      </c>
      <c r="CL111" s="294">
        <f t="shared" ref="CL111" si="520">CK116</f>
        <v>42592.193811638266</v>
      </c>
      <c r="CM111" s="294">
        <f t="shared" ref="CM111" si="521">CL116</f>
        <v>42674.587999710406</v>
      </c>
      <c r="CN111" s="294">
        <f t="shared" ref="CN111" si="522">CM116</f>
        <v>42586.731175178007</v>
      </c>
      <c r="CO111" s="294">
        <f t="shared" ref="CO111" si="523">CN116</f>
        <v>42693.339018782099</v>
      </c>
      <c r="CP111" s="294">
        <f t="shared" ref="CP111" si="524">CO116</f>
        <v>42974.456413908883</v>
      </c>
      <c r="CQ111" s="294">
        <f t="shared" ref="CQ111" si="525">CP116</f>
        <v>43057.590085297692</v>
      </c>
      <c r="CR111" s="294">
        <f t="shared" ref="CR111" si="526">CQ116</f>
        <v>42968.944750586139</v>
      </c>
      <c r="CS111" s="294">
        <f t="shared" ref="CS111" si="527">CR116</f>
        <v>43576.509393736618</v>
      </c>
      <c r="CT111" s="294">
        <f t="shared" ref="CT111" si="528">CS116</f>
        <v>44363.442088415191</v>
      </c>
      <c r="CU111" s="294">
        <f t="shared" ref="CU111" si="529">CT116</f>
        <v>44449.262739192782</v>
      </c>
      <c r="CV111" s="294">
        <f t="shared" ref="CV111" si="530">CU116</f>
        <v>44507.75228156169</v>
      </c>
      <c r="CW111" s="294">
        <f t="shared" ref="CW111" si="531">CV116</f>
        <v>44619.169038928783</v>
      </c>
    </row>
    <row r="112" spans="1:101">
      <c r="A112" s="300" t="s">
        <v>262</v>
      </c>
      <c r="B112" s="85"/>
      <c r="C112" s="99">
        <f t="shared" ref="C112:AA112" si="532">IF(C116&gt;C111,C116-C111,0)</f>
        <v>0</v>
      </c>
      <c r="D112" s="99">
        <f t="shared" si="532"/>
        <v>0</v>
      </c>
      <c r="E112" s="99">
        <f t="shared" si="532"/>
        <v>38.330000000000041</v>
      </c>
      <c r="F112" s="99">
        <f t="shared" si="532"/>
        <v>308.56899999999996</v>
      </c>
      <c r="G112" s="99">
        <f t="shared" si="532"/>
        <v>53.289999999999964</v>
      </c>
      <c r="H112" s="99">
        <f t="shared" si="532"/>
        <v>0</v>
      </c>
      <c r="I112" s="99">
        <f t="shared" si="532"/>
        <v>377.85</v>
      </c>
      <c r="J112" s="99">
        <f t="shared" si="532"/>
        <v>0</v>
      </c>
      <c r="K112" s="99">
        <f t="shared" si="532"/>
        <v>274.67799999999988</v>
      </c>
      <c r="L112" s="99">
        <f t="shared" si="532"/>
        <v>0</v>
      </c>
      <c r="M112" s="99">
        <f t="shared" si="532"/>
        <v>2315.627</v>
      </c>
      <c r="N112" s="99">
        <f t="shared" si="532"/>
        <v>0</v>
      </c>
      <c r="O112" s="99">
        <f t="shared" si="532"/>
        <v>0</v>
      </c>
      <c r="P112" s="99">
        <f t="shared" si="532"/>
        <v>0</v>
      </c>
      <c r="Q112" s="99">
        <f t="shared" si="532"/>
        <v>0</v>
      </c>
      <c r="R112" s="99">
        <f t="shared" si="532"/>
        <v>0</v>
      </c>
      <c r="S112" s="99">
        <f t="shared" si="532"/>
        <v>1435.508</v>
      </c>
      <c r="T112" s="99">
        <f t="shared" si="532"/>
        <v>1418.0169999999998</v>
      </c>
      <c r="U112" s="99">
        <f t="shared" si="532"/>
        <v>0</v>
      </c>
      <c r="V112" s="99">
        <f t="shared" si="532"/>
        <v>0</v>
      </c>
      <c r="W112" s="99">
        <f t="shared" si="532"/>
        <v>1122.7790000000005</v>
      </c>
      <c r="X112" s="99">
        <f t="shared" si="532"/>
        <v>643.25</v>
      </c>
      <c r="Y112" s="99">
        <f t="shared" si="532"/>
        <v>3541.4570000000003</v>
      </c>
      <c r="Z112" s="99">
        <f t="shared" si="532"/>
        <v>826.24199999999837</v>
      </c>
      <c r="AA112" s="99">
        <f t="shared" si="532"/>
        <v>95.189000000002125</v>
      </c>
      <c r="AB112" s="99">
        <f t="shared" ref="AB112:AM112" si="533">IF(AB116&gt;AB111,AB116-AB111,0)</f>
        <v>857.30400000000009</v>
      </c>
      <c r="AC112" s="99">
        <f t="shared" si="533"/>
        <v>0</v>
      </c>
      <c r="AD112" s="99">
        <f t="shared" si="533"/>
        <v>5429.1290000000008</v>
      </c>
      <c r="AE112" s="99">
        <f t="shared" si="533"/>
        <v>1378.9510000000009</v>
      </c>
      <c r="AF112" s="99">
        <f t="shared" si="533"/>
        <v>339.09799999999814</v>
      </c>
      <c r="AG112" s="99">
        <f t="shared" si="533"/>
        <v>637.05099999999948</v>
      </c>
      <c r="AH112" s="99">
        <f t="shared" si="533"/>
        <v>0</v>
      </c>
      <c r="AI112" s="99">
        <f t="shared" si="533"/>
        <v>698.58200000000579</v>
      </c>
      <c r="AJ112" s="99">
        <f t="shared" si="533"/>
        <v>427.24399999999878</v>
      </c>
      <c r="AK112" s="99">
        <f t="shared" si="533"/>
        <v>0</v>
      </c>
      <c r="AL112" s="99">
        <f t="shared" si="533"/>
        <v>0</v>
      </c>
      <c r="AM112" s="99">
        <f t="shared" si="533"/>
        <v>1192.599000000002</v>
      </c>
      <c r="AN112" s="99">
        <f t="shared" ref="AN112:AT112" si="534">IF(AN116&gt;AN111,AN116-AN111,0)</f>
        <v>0</v>
      </c>
      <c r="AO112" s="85">
        <f t="shared" si="534"/>
        <v>10439.285999999998</v>
      </c>
      <c r="AP112" s="85">
        <f t="shared" si="534"/>
        <v>0</v>
      </c>
      <c r="AQ112" s="85">
        <f t="shared" si="534"/>
        <v>5081.3650000000016</v>
      </c>
      <c r="AR112" s="85">
        <f t="shared" si="534"/>
        <v>0</v>
      </c>
      <c r="AS112" s="85">
        <f t="shared" si="534"/>
        <v>1182.3940000000002</v>
      </c>
      <c r="AT112" s="952">
        <f t="shared" si="534"/>
        <v>2767.900999999998</v>
      </c>
      <c r="AU112" s="952">
        <f t="shared" ref="AU112:BC112" si="535">IF(AU116&gt;AU111,AU116-AU111,0)</f>
        <v>960.0060000000085</v>
      </c>
      <c r="AV112" s="952">
        <f t="shared" si="535"/>
        <v>0</v>
      </c>
      <c r="AW112" s="952">
        <f t="shared" si="535"/>
        <v>4231.8839999999982</v>
      </c>
      <c r="AX112" s="952">
        <f t="shared" si="535"/>
        <v>0</v>
      </c>
      <c r="AY112" s="952">
        <f t="shared" si="535"/>
        <v>0</v>
      </c>
      <c r="AZ112" s="952">
        <f t="shared" si="535"/>
        <v>1.2800000000006548</v>
      </c>
      <c r="BA112" s="952">
        <f t="shared" si="535"/>
        <v>19022.754000000001</v>
      </c>
      <c r="BB112" s="952">
        <f t="shared" si="535"/>
        <v>1153.4150000000045</v>
      </c>
      <c r="BC112" s="952">
        <f t="shared" si="535"/>
        <v>0</v>
      </c>
      <c r="BD112" s="952">
        <f t="shared" ref="BD112:BI112" si="536">IF(BD116&gt;BD111,BD116-BD111,0)</f>
        <v>0</v>
      </c>
      <c r="BE112" s="952">
        <f t="shared" si="536"/>
        <v>665.23199999999997</v>
      </c>
      <c r="BF112" s="952">
        <f t="shared" si="536"/>
        <v>0</v>
      </c>
      <c r="BG112" s="952">
        <f t="shared" si="536"/>
        <v>0</v>
      </c>
      <c r="BH112" s="952">
        <f t="shared" si="536"/>
        <v>1809.1410000000033</v>
      </c>
      <c r="BI112" s="952">
        <f t="shared" si="536"/>
        <v>0</v>
      </c>
      <c r="BJ112" s="952">
        <f t="shared" ref="BJ112:BK112" si="537">IF(BJ116&gt;BJ111,BJ116-BJ111,0)</f>
        <v>0</v>
      </c>
      <c r="BK112" s="1702">
        <f t="shared" si="537"/>
        <v>1525.5879999999961</v>
      </c>
      <c r="BL112" s="294">
        <f t="shared" ref="BL112:BQ112" si="538">+BL113+BL114</f>
        <v>376.77336447554711</v>
      </c>
      <c r="BM112" s="294">
        <f t="shared" si="538"/>
        <v>154.35845214968512</v>
      </c>
      <c r="BN112" s="294">
        <f t="shared" si="538"/>
        <v>954.08388366811221</v>
      </c>
      <c r="BO112" s="294">
        <f t="shared" si="538"/>
        <v>861.43695051642317</v>
      </c>
      <c r="BP112" s="294">
        <f t="shared" si="538"/>
        <v>700</v>
      </c>
      <c r="BQ112" s="294">
        <f t="shared" si="538"/>
        <v>1143.6778996406194</v>
      </c>
      <c r="BR112" s="294">
        <f t="shared" ref="BR112:CK112" si="539">+BR113+BR114</f>
        <v>1486.8191181181644</v>
      </c>
      <c r="BS112" s="294">
        <f t="shared" si="539"/>
        <v>700</v>
      </c>
      <c r="BT112" s="294">
        <f t="shared" si="539"/>
        <v>700</v>
      </c>
      <c r="BU112" s="294">
        <f t="shared" si="539"/>
        <v>700</v>
      </c>
      <c r="BV112" s="294">
        <f t="shared" si="539"/>
        <v>774.10257137230587</v>
      </c>
      <c r="BW112" s="294">
        <f t="shared" si="539"/>
        <v>619.54338299947278</v>
      </c>
      <c r="BX112" s="294">
        <f t="shared" si="539"/>
        <v>799.38054981106802</v>
      </c>
      <c r="BY112" s="294">
        <f t="shared" si="539"/>
        <v>966.66872996059953</v>
      </c>
      <c r="BZ112" s="294">
        <f t="shared" si="539"/>
        <v>80.214971323426909</v>
      </c>
      <c r="CA112" s="294">
        <f t="shared" si="539"/>
        <v>-85.533128310745255</v>
      </c>
      <c r="CB112" s="294">
        <f t="shared" si="539"/>
        <v>103.788207853538</v>
      </c>
      <c r="CC112" s="294">
        <f t="shared" si="539"/>
        <v>273.6822137123113</v>
      </c>
      <c r="CD112" s="294">
        <f t="shared" si="539"/>
        <v>80.934896289370201</v>
      </c>
      <c r="CE112" s="294">
        <f t="shared" si="539"/>
        <v>-86.300783443819839</v>
      </c>
      <c r="CF112" s="294">
        <f t="shared" si="539"/>
        <v>104.71970132378642</v>
      </c>
      <c r="CG112" s="294">
        <f t="shared" si="539"/>
        <v>276.13849656244241</v>
      </c>
      <c r="CH112" s="294">
        <f t="shared" si="539"/>
        <v>81.661282542374707</v>
      </c>
      <c r="CI112" s="294">
        <f t="shared" si="539"/>
        <v>-87.075328239593034</v>
      </c>
      <c r="CJ112" s="294">
        <f t="shared" si="539"/>
        <v>105.65955489681917</v>
      </c>
      <c r="CK112" s="294">
        <f t="shared" si="539"/>
        <v>278.61682441636503</v>
      </c>
      <c r="CL112" s="294">
        <f t="shared" ref="CL112:CP112" si="540">+CL113+CL114</f>
        <v>82.394188072137126</v>
      </c>
      <c r="CM112" s="294">
        <f t="shared" si="540"/>
        <v>-87.856824532397923</v>
      </c>
      <c r="CN112" s="294">
        <f t="shared" si="540"/>
        <v>106.60784360409012</v>
      </c>
      <c r="CO112" s="294">
        <f t="shared" si="540"/>
        <v>281.11739512678503</v>
      </c>
      <c r="CP112" s="294">
        <f t="shared" si="540"/>
        <v>83.133671388811948</v>
      </c>
      <c r="CQ112" s="294">
        <f t="shared" ref="CQ112:CT112" si="541">+CQ113+CQ114</f>
        <v>-88.645334711550476</v>
      </c>
      <c r="CR112" s="294">
        <f t="shared" si="541"/>
        <v>607.56464315047936</v>
      </c>
      <c r="CS112" s="294">
        <f t="shared" si="541"/>
        <v>786.93269467857203</v>
      </c>
      <c r="CT112" s="294">
        <f t="shared" si="541"/>
        <v>85.82065077759141</v>
      </c>
      <c r="CU112" s="294">
        <f t="shared" ref="CU112:CW112" si="542">+CU113+CU114</f>
        <v>58.489542368910193</v>
      </c>
      <c r="CV112" s="294">
        <f t="shared" si="542"/>
        <v>111.41675736709388</v>
      </c>
      <c r="CW112" s="294">
        <f t="shared" si="542"/>
        <v>293.79816292717379</v>
      </c>
    </row>
    <row r="113" spans="1:101">
      <c r="A113" s="1401" t="s">
        <v>1257</v>
      </c>
      <c r="B113" s="85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9"/>
      <c r="AI113" s="99"/>
      <c r="AJ113" s="99"/>
      <c r="AK113" s="99"/>
      <c r="AL113" s="99"/>
      <c r="AM113" s="99"/>
      <c r="AN113" s="99"/>
      <c r="AO113" s="85"/>
      <c r="AP113" s="85"/>
      <c r="AQ113" s="85"/>
      <c r="AR113" s="85"/>
      <c r="AS113" s="85"/>
      <c r="AT113" s="952"/>
      <c r="AU113" s="952"/>
      <c r="AV113" s="952"/>
      <c r="AW113" s="952"/>
      <c r="AX113" s="952"/>
      <c r="AY113" s="952"/>
      <c r="AZ113" s="952"/>
      <c r="BA113" s="952"/>
      <c r="BB113" s="952"/>
      <c r="BC113" s="952"/>
      <c r="BD113" s="952"/>
      <c r="BE113" s="952"/>
      <c r="BF113" s="952"/>
      <c r="BG113" s="952"/>
      <c r="BH113" s="952"/>
      <c r="BI113" s="952"/>
      <c r="BJ113" s="952"/>
      <c r="BK113" s="1702"/>
      <c r="BL113" s="294">
        <f>Inputs!BL329</f>
        <v>0</v>
      </c>
      <c r="BM113" s="294">
        <f>Inputs!BM329</f>
        <v>0</v>
      </c>
      <c r="BN113" s="294">
        <f>Inputs!BN329</f>
        <v>700</v>
      </c>
      <c r="BO113" s="294">
        <f>Inputs!BO329</f>
        <v>700</v>
      </c>
      <c r="BP113" s="294">
        <f>Inputs!BP329</f>
        <v>700</v>
      </c>
      <c r="BQ113" s="294">
        <f>Inputs!BQ329</f>
        <v>700</v>
      </c>
      <c r="BR113" s="294">
        <f>Inputs!BR329</f>
        <v>700</v>
      </c>
      <c r="BS113" s="294">
        <f>Inputs!BS329</f>
        <v>700</v>
      </c>
      <c r="BT113" s="294">
        <f>Inputs!BT329</f>
        <v>700</v>
      </c>
      <c r="BU113" s="294">
        <f>Inputs!BU329</f>
        <v>700</v>
      </c>
      <c r="BV113" s="294">
        <f>Inputs!BV329</f>
        <v>700</v>
      </c>
      <c r="BW113" s="294">
        <f>Inputs!BW329</f>
        <v>700</v>
      </c>
      <c r="BX113" s="294">
        <f>Inputs!BX329</f>
        <v>700</v>
      </c>
      <c r="BY113" s="294">
        <f>Inputs!BY329</f>
        <v>700</v>
      </c>
      <c r="BZ113" s="294">
        <f>Inputs!BZ329</f>
        <v>0</v>
      </c>
      <c r="CA113" s="294">
        <f>Inputs!CA329</f>
        <v>0</v>
      </c>
      <c r="CB113" s="294">
        <f>Inputs!CB329</f>
        <v>0</v>
      </c>
      <c r="CC113" s="294">
        <f>Inputs!CC329</f>
        <v>0</v>
      </c>
      <c r="CD113" s="294">
        <f>Inputs!CD329</f>
        <v>0</v>
      </c>
      <c r="CE113" s="294">
        <f>Inputs!CE329</f>
        <v>0</v>
      </c>
      <c r="CF113" s="294">
        <f>Inputs!CF329</f>
        <v>0</v>
      </c>
      <c r="CG113" s="294">
        <f>Inputs!CG329</f>
        <v>0</v>
      </c>
      <c r="CH113" s="294">
        <f>Inputs!CH329</f>
        <v>0</v>
      </c>
      <c r="CI113" s="294">
        <f>Inputs!CI329</f>
        <v>0</v>
      </c>
      <c r="CJ113" s="294">
        <f>Inputs!CJ329</f>
        <v>0</v>
      </c>
      <c r="CK113" s="294">
        <f>Inputs!CK329</f>
        <v>0</v>
      </c>
      <c r="CL113" s="294">
        <f>Inputs!CL329</f>
        <v>0</v>
      </c>
      <c r="CM113" s="294">
        <f>Inputs!CM329</f>
        <v>0</v>
      </c>
      <c r="CN113" s="294">
        <f>Inputs!CN329</f>
        <v>0</v>
      </c>
      <c r="CO113" s="294">
        <f>Inputs!CO329</f>
        <v>0</v>
      </c>
      <c r="CP113" s="294">
        <f>Inputs!CP329</f>
        <v>0</v>
      </c>
      <c r="CQ113" s="294">
        <f>Inputs!CQ329</f>
        <v>0</v>
      </c>
      <c r="CR113" s="294">
        <f>Inputs!CR329</f>
        <v>500</v>
      </c>
      <c r="CS113" s="294">
        <f>Inputs!CS329</f>
        <v>500</v>
      </c>
      <c r="CT113" s="294">
        <f>Inputs!CT329</f>
        <v>0</v>
      </c>
      <c r="CU113" s="294">
        <f>Inputs!CU329</f>
        <v>150</v>
      </c>
      <c r="CV113" s="294">
        <f>Inputs!CV329</f>
        <v>0</v>
      </c>
      <c r="CW113" s="294">
        <f>Inputs!CW329</f>
        <v>0</v>
      </c>
    </row>
    <row r="114" spans="1:101">
      <c r="A114" s="1401" t="s">
        <v>1258</v>
      </c>
      <c r="B114" s="85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9"/>
      <c r="AI114" s="99"/>
      <c r="AJ114" s="99"/>
      <c r="AK114" s="99"/>
      <c r="AL114" s="99"/>
      <c r="AM114" s="99"/>
      <c r="AN114" s="99"/>
      <c r="AO114" s="85"/>
      <c r="AP114" s="85"/>
      <c r="AQ114" s="85"/>
      <c r="AR114" s="85"/>
      <c r="AS114" s="85"/>
      <c r="AT114" s="952"/>
      <c r="AU114" s="952"/>
      <c r="AV114" s="952"/>
      <c r="AW114" s="952"/>
      <c r="AX114" s="952"/>
      <c r="AY114" s="952"/>
      <c r="AZ114" s="952"/>
      <c r="BA114" s="952"/>
      <c r="BB114" s="952"/>
      <c r="BC114" s="952"/>
      <c r="BD114" s="952"/>
      <c r="BE114" s="952"/>
      <c r="BF114" s="952"/>
      <c r="BG114" s="952"/>
      <c r="BH114" s="952"/>
      <c r="BI114" s="952"/>
      <c r="BJ114" s="952"/>
      <c r="BK114" s="540"/>
      <c r="BL114" s="2072">
        <f>+BL111*BL127*(Inputs!BL374/Inputs!BK374-1)*0.5</f>
        <v>376.77336447554711</v>
      </c>
      <c r="BM114" s="540">
        <f>+BM111*BM127*(Inputs!BM374/Inputs!BL374-1)</f>
        <v>154.35845214968512</v>
      </c>
      <c r="BN114" s="540">
        <f>+BN111*BN127*(Inputs!BN374/Inputs!BM374-1)</f>
        <v>254.08388366811218</v>
      </c>
      <c r="BO114" s="540">
        <f>+BO111*BO127*(Inputs!BO374/Inputs!BN374-1)</f>
        <v>161.43695051642317</v>
      </c>
      <c r="BP114" s="540">
        <f>+BP111*BP127*(Inputs!BP374/Inputs!BO374-1)</f>
        <v>0</v>
      </c>
      <c r="BQ114" s="540">
        <f>+BQ111*BQ127*(Inputs!BQ374/Inputs!BP374-1)</f>
        <v>443.6778996406195</v>
      </c>
      <c r="BR114" s="540">
        <f>+BR111*BR127*(Inputs!BR374/Inputs!BQ374-1)</f>
        <v>786.8191181181644</v>
      </c>
      <c r="BS114" s="540">
        <f>+BS111*BS127*(Inputs!BS374/Inputs!BR374-1)</f>
        <v>0</v>
      </c>
      <c r="BT114" s="540">
        <f>+BT111*BT127*(Inputs!BT374/Inputs!BS374-1)</f>
        <v>0</v>
      </c>
      <c r="BU114" s="540">
        <f>+BU111*BU127*(Inputs!BU374/Inputs!BT374-1)</f>
        <v>0</v>
      </c>
      <c r="BV114" s="540">
        <f>+BV111*BV127*(Q_IS!BV101/Q_IS!BU101-1)</f>
        <v>74.102571372305846</v>
      </c>
      <c r="BW114" s="540">
        <f>+BW111*BW127*(Q_IS!BW101/Q_IS!BV101-1)</f>
        <v>-80.456617000527174</v>
      </c>
      <c r="BX114" s="540">
        <f>+BX111*BX127*(Q_IS!BX101/Q_IS!BW101-1)</f>
        <v>99.38054981106805</v>
      </c>
      <c r="BY114" s="540">
        <f>+BY111*BY127*(Q_IS!BY101/Q_IS!BX101-1)</f>
        <v>266.66872996059953</v>
      </c>
      <c r="BZ114" s="540">
        <f>+BZ111*BZ127*(Q_IS!BZ101/Q_IS!BY101-1)</f>
        <v>80.214971323426909</v>
      </c>
      <c r="CA114" s="540">
        <f>+CA111*CA127*(Q_IS!CA101/Q_IS!BZ101-1)</f>
        <v>-85.533128310745255</v>
      </c>
      <c r="CB114" s="540">
        <f>+CB111*CB127*(Q_IS!CB101/Q_IS!CA101-1)</f>
        <v>103.788207853538</v>
      </c>
      <c r="CC114" s="540">
        <f>+CC111*CC127*(Q_IS!CC101/Q_IS!CB101-1)</f>
        <v>273.6822137123113</v>
      </c>
      <c r="CD114" s="540">
        <f>+CD111*CD127*(Q_IS!CD101/Q_IS!CC101-1)</f>
        <v>80.934896289370201</v>
      </c>
      <c r="CE114" s="540">
        <f>+CE111*CE127*(Q_IS!CE101/Q_IS!CD101-1)</f>
        <v>-86.300783443819839</v>
      </c>
      <c r="CF114" s="540">
        <f>+CF111*CF127*(Q_IS!CF101/Q_IS!CE101-1)</f>
        <v>104.71970132378642</v>
      </c>
      <c r="CG114" s="540">
        <f>+CG111*CG127*(Q_IS!CG101/Q_IS!CF101-1)</f>
        <v>276.13849656244241</v>
      </c>
      <c r="CH114" s="540">
        <f>+CH111*CH127*(Q_IS!CH101/Q_IS!CG101-1)</f>
        <v>81.661282542374707</v>
      </c>
      <c r="CI114" s="540">
        <f>+CI111*CI127*(Q_IS!CI101/Q_IS!CH101-1)</f>
        <v>-87.075328239593034</v>
      </c>
      <c r="CJ114" s="540">
        <f>+CJ111*CJ127*(Q_IS!CJ101/Q_IS!CI101-1)</f>
        <v>105.65955489681917</v>
      </c>
      <c r="CK114" s="540">
        <f>+CK111*CK127*(Q_IS!CK101/Q_IS!CJ101-1)</f>
        <v>278.61682441636503</v>
      </c>
      <c r="CL114" s="540">
        <f>+CL111*CL127*(Q_IS!CL101/Q_IS!CK101-1)</f>
        <v>82.394188072137126</v>
      </c>
      <c r="CM114" s="540">
        <f>+CM111*CM127*(Q_IS!CM101/Q_IS!CL101-1)</f>
        <v>-87.856824532397923</v>
      </c>
      <c r="CN114" s="540">
        <f>+CN111*CN127*(Q_IS!CN101/Q_IS!CM101-1)</f>
        <v>106.60784360409012</v>
      </c>
      <c r="CO114" s="540">
        <f>+CO111*CO127*(Q_IS!CO101/Q_IS!CN101-1)</f>
        <v>281.11739512678503</v>
      </c>
      <c r="CP114" s="540">
        <f>+CP111*CP127*(Q_IS!CP101/Q_IS!CO101-1)</f>
        <v>83.133671388811948</v>
      </c>
      <c r="CQ114" s="540">
        <f>+CQ111*CQ127*(Q_IS!CQ101/Q_IS!CP101-1)</f>
        <v>-88.645334711550476</v>
      </c>
      <c r="CR114" s="540">
        <f>+CR111*CR127*(Q_IS!CR101/Q_IS!CQ101-1)</f>
        <v>107.5646431504794</v>
      </c>
      <c r="CS114" s="540">
        <f>+CS111*CS127*(Q_IS!CS101/Q_IS!CR101-1)</f>
        <v>286.93269467857209</v>
      </c>
      <c r="CT114" s="540">
        <f>+CT111*CT127*(Q_IS!CT101/Q_IS!CS101-1)</f>
        <v>85.82065077759141</v>
      </c>
      <c r="CU114" s="540">
        <f>+CU111*CU127*(Q_IS!CU101/Q_IS!CT101-1)</f>
        <v>-91.510457631089807</v>
      </c>
      <c r="CV114" s="540">
        <f>+CV111*CV127*(Q_IS!CV101/Q_IS!CU101-1)</f>
        <v>111.41675736709388</v>
      </c>
      <c r="CW114" s="540">
        <f>+CW111*CW127*(Q_IS!CW101/Q_IS!CV101-1)</f>
        <v>293.79816292717379</v>
      </c>
    </row>
    <row r="115" spans="1:101">
      <c r="A115" s="300" t="s">
        <v>265</v>
      </c>
      <c r="B115" s="85"/>
      <c r="C115" s="85">
        <f t="shared" ref="C115:AA115" si="543">IF(C116&lt;C111,C116-C111,0)</f>
        <v>-195.42499999999995</v>
      </c>
      <c r="D115" s="85">
        <f t="shared" si="543"/>
        <v>-174.95699999999999</v>
      </c>
      <c r="E115" s="85">
        <f t="shared" si="543"/>
        <v>0</v>
      </c>
      <c r="F115" s="85">
        <f t="shared" si="543"/>
        <v>0</v>
      </c>
      <c r="G115" s="85">
        <f t="shared" si="543"/>
        <v>0</v>
      </c>
      <c r="H115" s="85">
        <f t="shared" si="543"/>
        <v>-80.495999999999981</v>
      </c>
      <c r="I115" s="85">
        <f t="shared" si="543"/>
        <v>0</v>
      </c>
      <c r="J115" s="85">
        <f t="shared" si="543"/>
        <v>-46.063999999999851</v>
      </c>
      <c r="K115" s="85">
        <f t="shared" si="543"/>
        <v>0</v>
      </c>
      <c r="L115" s="85">
        <f t="shared" si="543"/>
        <v>-41.04300000000012</v>
      </c>
      <c r="M115" s="85">
        <f t="shared" si="543"/>
        <v>0</v>
      </c>
      <c r="N115" s="85">
        <f t="shared" si="543"/>
        <v>-110.35399999999981</v>
      </c>
      <c r="O115" s="85">
        <f t="shared" si="543"/>
        <v>-378.94100000000026</v>
      </c>
      <c r="P115" s="85">
        <f t="shared" si="543"/>
        <v>-209.50699999999961</v>
      </c>
      <c r="Q115" s="85">
        <f t="shared" si="543"/>
        <v>-1094.5630000000001</v>
      </c>
      <c r="R115" s="85">
        <f t="shared" si="543"/>
        <v>-131.89400000000001</v>
      </c>
      <c r="S115" s="85">
        <f t="shared" si="543"/>
        <v>0</v>
      </c>
      <c r="T115" s="85">
        <f t="shared" si="543"/>
        <v>0</v>
      </c>
      <c r="U115" s="85">
        <f t="shared" si="543"/>
        <v>-144.33300000000054</v>
      </c>
      <c r="V115" s="85">
        <f t="shared" si="543"/>
        <v>-100.59499999999935</v>
      </c>
      <c r="W115" s="85">
        <f t="shared" si="543"/>
        <v>0</v>
      </c>
      <c r="X115" s="85">
        <f t="shared" si="543"/>
        <v>0</v>
      </c>
      <c r="Y115" s="85">
        <f t="shared" si="543"/>
        <v>0</v>
      </c>
      <c r="Z115" s="85">
        <f t="shared" si="543"/>
        <v>0</v>
      </c>
      <c r="AA115" s="85">
        <f t="shared" si="543"/>
        <v>0</v>
      </c>
      <c r="AB115" s="85">
        <f t="shared" ref="AB115:AM115" si="544">IF(AB116&lt;AB111,AB116-AB111,0)</f>
        <v>0</v>
      </c>
      <c r="AC115" s="85">
        <f t="shared" si="544"/>
        <v>-142.2400000000016</v>
      </c>
      <c r="AD115" s="85">
        <f t="shared" si="544"/>
        <v>0</v>
      </c>
      <c r="AE115" s="85">
        <f t="shared" si="544"/>
        <v>0</v>
      </c>
      <c r="AF115" s="85">
        <f t="shared" si="544"/>
        <v>0</v>
      </c>
      <c r="AG115" s="85">
        <f t="shared" si="544"/>
        <v>0</v>
      </c>
      <c r="AH115" s="85">
        <f t="shared" si="544"/>
        <v>-366.93700000000172</v>
      </c>
      <c r="AI115" s="85">
        <f t="shared" si="544"/>
        <v>0</v>
      </c>
      <c r="AJ115" s="85">
        <f t="shared" si="544"/>
        <v>0</v>
      </c>
      <c r="AK115" s="85">
        <f t="shared" si="544"/>
        <v>-3787.5900000000038</v>
      </c>
      <c r="AL115" s="85">
        <f t="shared" si="544"/>
        <v>-167.90999999999985</v>
      </c>
      <c r="AM115" s="85">
        <f t="shared" si="544"/>
        <v>0</v>
      </c>
      <c r="AN115" s="85">
        <f t="shared" ref="AN115:AT115" si="545">IF(AN116&lt;AN111,AN116-AN111,0)</f>
        <v>-2054.7600000000002</v>
      </c>
      <c r="AO115" s="85">
        <f t="shared" si="545"/>
        <v>0</v>
      </c>
      <c r="AP115" s="85">
        <f t="shared" si="545"/>
        <v>-1603.380000000001</v>
      </c>
      <c r="AQ115" s="85">
        <f t="shared" si="545"/>
        <v>0</v>
      </c>
      <c r="AR115" s="85">
        <f t="shared" si="545"/>
        <v>-251.86999999999898</v>
      </c>
      <c r="AS115" s="85">
        <f t="shared" si="545"/>
        <v>0</v>
      </c>
      <c r="AT115" s="952">
        <f t="shared" si="545"/>
        <v>0</v>
      </c>
      <c r="AU115" s="952">
        <f t="shared" ref="AU115:BC115" si="546">IF(AU116&lt;AU111,AU116-AU111,0)</f>
        <v>0</v>
      </c>
      <c r="AV115" s="952">
        <f t="shared" si="546"/>
        <v>-325.41100000000733</v>
      </c>
      <c r="AW115" s="952">
        <f t="shared" si="546"/>
        <v>0</v>
      </c>
      <c r="AX115" s="952">
        <f t="shared" si="546"/>
        <v>-4740.9179999999978</v>
      </c>
      <c r="AY115" s="952">
        <f t="shared" si="546"/>
        <v>-19773.522000000001</v>
      </c>
      <c r="AZ115" s="952">
        <f t="shared" si="546"/>
        <v>0</v>
      </c>
      <c r="BA115" s="952">
        <f t="shared" si="546"/>
        <v>0</v>
      </c>
      <c r="BB115" s="952">
        <f t="shared" si="546"/>
        <v>0</v>
      </c>
      <c r="BC115" s="952">
        <f t="shared" si="546"/>
        <v>-971.38100000000486</v>
      </c>
      <c r="BD115" s="952">
        <f t="shared" ref="BD115:BI115" si="547">IF(BD116&lt;BD111,BD116-BD111,0)</f>
        <v>-822.03199999999924</v>
      </c>
      <c r="BE115" s="952">
        <f t="shared" si="547"/>
        <v>0</v>
      </c>
      <c r="BF115" s="952">
        <f t="shared" si="547"/>
        <v>-1191.6239999999998</v>
      </c>
      <c r="BG115" s="952">
        <f t="shared" si="547"/>
        <v>-2617.4200000000019</v>
      </c>
      <c r="BH115" s="952">
        <f t="shared" si="547"/>
        <v>0</v>
      </c>
      <c r="BI115" s="952">
        <f t="shared" si="547"/>
        <v>-793.76499999999942</v>
      </c>
      <c r="BJ115" s="952">
        <f t="shared" ref="BJ115:BK115" si="548">IF(BJ116&lt;BJ111,BJ116-BJ111,0)</f>
        <v>-444.05500000000029</v>
      </c>
      <c r="BK115" s="1702">
        <f t="shared" si="548"/>
        <v>0</v>
      </c>
      <c r="BL115" s="294">
        <v>0</v>
      </c>
      <c r="BM115" s="294">
        <v>0</v>
      </c>
      <c r="BN115" s="294">
        <v>0</v>
      </c>
      <c r="BO115" s="294">
        <v>0</v>
      </c>
      <c r="BP115" s="294">
        <v>0</v>
      </c>
      <c r="BQ115" s="294">
        <v>0</v>
      </c>
      <c r="BR115" s="294">
        <v>0</v>
      </c>
      <c r="BS115" s="294">
        <v>0</v>
      </c>
      <c r="BT115" s="294">
        <v>0</v>
      </c>
      <c r="BU115" s="294">
        <v>0</v>
      </c>
      <c r="BV115" s="294">
        <v>0</v>
      </c>
      <c r="BW115" s="294">
        <v>0</v>
      </c>
      <c r="BX115" s="294">
        <v>0</v>
      </c>
      <c r="BY115" s="294">
        <v>0</v>
      </c>
      <c r="BZ115" s="294">
        <v>0</v>
      </c>
      <c r="CA115" s="294">
        <v>0</v>
      </c>
      <c r="CB115" s="294">
        <v>0</v>
      </c>
      <c r="CC115" s="294">
        <v>0</v>
      </c>
      <c r="CD115" s="294">
        <v>0</v>
      </c>
      <c r="CE115" s="294">
        <v>0</v>
      </c>
      <c r="CF115" s="294">
        <v>0</v>
      </c>
      <c r="CG115" s="294">
        <v>0</v>
      </c>
      <c r="CH115" s="294">
        <v>0</v>
      </c>
      <c r="CI115" s="294">
        <v>0</v>
      </c>
      <c r="CJ115" s="294">
        <v>0</v>
      </c>
      <c r="CK115" s="294">
        <v>0</v>
      </c>
      <c r="CL115" s="294">
        <v>0</v>
      </c>
      <c r="CM115" s="294">
        <v>0</v>
      </c>
      <c r="CN115" s="294">
        <v>0</v>
      </c>
      <c r="CO115" s="294">
        <v>0</v>
      </c>
      <c r="CP115" s="294">
        <v>0</v>
      </c>
      <c r="CQ115" s="294">
        <v>0</v>
      </c>
      <c r="CR115" s="294">
        <v>0</v>
      </c>
      <c r="CS115" s="294">
        <v>0</v>
      </c>
      <c r="CT115" s="294">
        <v>0</v>
      </c>
      <c r="CU115" s="294">
        <v>0</v>
      </c>
      <c r="CV115" s="294">
        <v>0</v>
      </c>
      <c r="CW115" s="294">
        <v>0</v>
      </c>
    </row>
    <row r="116" spans="1:101">
      <c r="A116" s="301" t="s">
        <v>561</v>
      </c>
      <c r="B116" s="87">
        <f>Q_Financials!B87+Q_Financials!B88</f>
        <v>1040.8389999999999</v>
      </c>
      <c r="C116" s="87">
        <f>Q_Financials!C87+Q_Financials!C88</f>
        <v>845.41399999999999</v>
      </c>
      <c r="D116" s="87">
        <f>Q_Financials!D87+Q_Financials!D88</f>
        <v>670.45699999999999</v>
      </c>
      <c r="E116" s="87">
        <f>Q_Financials!E87+Q_Financials!E88</f>
        <v>708.78700000000003</v>
      </c>
      <c r="F116" s="87">
        <f>Q_Financials!F87+Q_Financials!F88</f>
        <v>1017.356</v>
      </c>
      <c r="G116" s="87">
        <f>Q_Financials!G87+Q_Financials!G88</f>
        <v>1070.646</v>
      </c>
      <c r="H116" s="87">
        <f>Q_Financials!H87+Q_Financials!H88</f>
        <v>990.15</v>
      </c>
      <c r="I116" s="87">
        <f>Q_Financials!I87+Q_Financials!I88</f>
        <v>1368</v>
      </c>
      <c r="J116" s="87">
        <f>Q_Financials!J87+Q_Financials!J88</f>
        <v>1321.9360000000001</v>
      </c>
      <c r="K116" s="87">
        <f>Q_Financials!K87+Q_Financials!K88</f>
        <v>1596.614</v>
      </c>
      <c r="L116" s="87">
        <f>Q_Financials!L87+Q_Financials!L88</f>
        <v>1555.5709999999999</v>
      </c>
      <c r="M116" s="87">
        <f>Q_Financials!M87+Q_Financials!M88</f>
        <v>3871.1979999999999</v>
      </c>
      <c r="N116" s="87">
        <f>Q_Financials!N87+Q_Financials!N88</f>
        <v>3760.8440000000001</v>
      </c>
      <c r="O116" s="87">
        <f>Q_Financials!O87+Q_Financials!O88</f>
        <v>3381.9029999999998</v>
      </c>
      <c r="P116" s="87">
        <f>Q_Financials!P87+Q_Financials!P88</f>
        <v>3172.3960000000002</v>
      </c>
      <c r="Q116" s="87">
        <f>Q_Financials!Q87+Q_Financials!Q88</f>
        <v>2077.8330000000001</v>
      </c>
      <c r="R116" s="87">
        <f>Q_Financials!R87+Q_Financials!R88</f>
        <v>1945.9390000000001</v>
      </c>
      <c r="S116" s="87">
        <f>Q_Financials!S87+Q_Financials!S88</f>
        <v>3381.4470000000001</v>
      </c>
      <c r="T116" s="87">
        <f>Q_Financials!T87+Q_Financials!T88</f>
        <v>4799.4639999999999</v>
      </c>
      <c r="U116" s="87">
        <f>Q_Financials!U87+Q_Financials!U88</f>
        <v>4655.1309999999994</v>
      </c>
      <c r="V116" s="87">
        <f>Q_Financials!V87+Q_Financials!V88</f>
        <v>4554.5360000000001</v>
      </c>
      <c r="W116" s="87">
        <f>Q_Financials!W87+Q_Financials!W88</f>
        <v>5677.3150000000005</v>
      </c>
      <c r="X116" s="87">
        <f>Q_Financials!X87+Q_Financials!X88</f>
        <v>6320.5650000000005</v>
      </c>
      <c r="Y116" s="87">
        <f>Q_Financials!Y87+Q_Financials!Y88</f>
        <v>9862.0220000000008</v>
      </c>
      <c r="Z116" s="87">
        <f>Q_Financials!Z87+Q_Financials!Z88</f>
        <v>10688.263999999999</v>
      </c>
      <c r="AA116" s="87">
        <f>Q_Financials!AA87+Q_Financials!AA88</f>
        <v>10783.453000000001</v>
      </c>
      <c r="AB116" s="87">
        <f>Q_Financials!AB87+Q_Financials!AB88</f>
        <v>11640.757000000001</v>
      </c>
      <c r="AC116" s="87">
        <f>Q_Financials!AC87+Q_Financials!AC88</f>
        <v>11498.517</v>
      </c>
      <c r="AD116" s="1706">
        <f>Q_Financials!AD87+Q_Financials!AD88++Q_Financials!AD90</f>
        <v>16927.646000000001</v>
      </c>
      <c r="AE116" s="1706">
        <f>Q_Financials!AE87+Q_Financials!AE88++Q_Financials!AE90</f>
        <v>18306.597000000002</v>
      </c>
      <c r="AF116" s="1706">
        <f>Q_Financials!AF87+Q_Financials!AF88++Q_Financials!AF90</f>
        <v>18645.695</v>
      </c>
      <c r="AG116" s="1706">
        <f>Q_Financials!AG87+Q_Financials!AG88++Q_Financials!AG90</f>
        <v>19282.745999999999</v>
      </c>
      <c r="AH116" s="1706">
        <f>Q_Financials!AH87+Q_Financials!AH88++Q_Financials!AH90</f>
        <v>18915.808999999997</v>
      </c>
      <c r="AI116" s="1706">
        <f>Q_Financials!AI87+Q_Financials!AI88++Q_Financials!AI90</f>
        <v>19614.391000000003</v>
      </c>
      <c r="AJ116" s="1706">
        <f>Q_Financials!AJ87+Q_Financials!AJ88++Q_Financials!AJ90</f>
        <v>20041.635000000002</v>
      </c>
      <c r="AK116" s="1706">
        <f>Q_Financials!AK87+Q_Financials!AK88++Q_Financials!AK90</f>
        <v>16254.044999999998</v>
      </c>
      <c r="AL116" s="1706">
        <f>Q_Financials!AL87+Q_Financials!AL88++Q_Financials!AL90</f>
        <v>16086.134999999998</v>
      </c>
      <c r="AM116" s="1706">
        <f>Q_Financials!AM87+Q_Financials!AM88++Q_Financials!AM90</f>
        <v>17278.734</v>
      </c>
      <c r="AN116" s="1706">
        <f>Q_Financials!AN87+Q_Financials!AN88++Q_Financials!AN90</f>
        <v>15223.974</v>
      </c>
      <c r="AO116" s="1706">
        <f>Q_Financials!AO87+Q_Financials!AO88++Q_Financials!AO90</f>
        <v>25663.26</v>
      </c>
      <c r="AP116" s="1706">
        <f>Q_Financials!AP87+Q_Financials!AP88++Q_Financials!AP90</f>
        <v>24059.879999999997</v>
      </c>
      <c r="AQ116" s="1706">
        <f>Q_Financials!AQ87+Q_Financials!AQ88++Q_Financials!AQ90</f>
        <v>29141.244999999999</v>
      </c>
      <c r="AR116" s="1706">
        <f>Q_Financials!AR87+Q_Financials!AR88++Q_Financials!AR90</f>
        <v>28889.375</v>
      </c>
      <c r="AS116" s="1706">
        <f>Q_Financials!AS87+Q_Financials!AS88++Q_Financials!AS90</f>
        <v>30071.769</v>
      </c>
      <c r="AT116" s="1706">
        <f>Q_Financials!AT87+Q_Financials!AT88++Q_Financials!AT90</f>
        <v>32839.67</v>
      </c>
      <c r="AU116" s="1706">
        <f>Q_Financials!AU87+Q_Financials!AU88++Q_Financials!AU90</f>
        <v>33799.676000000007</v>
      </c>
      <c r="AV116" s="1706">
        <f>Q_Financials!AV87+Q_Financials!AV88++Q_Financials!AV90</f>
        <v>33474.264999999999</v>
      </c>
      <c r="AW116" s="1706">
        <f>Q_Financials!AW87+Q_Financials!AW88++Q_Financials!AW90</f>
        <v>37706.148999999998</v>
      </c>
      <c r="AX116" s="1706">
        <f>Q_Financials!AX87+Q_Financials!AX88++Q_Financials!AX90</f>
        <v>32965.231</v>
      </c>
      <c r="AY116" s="1706">
        <f>Q_Financials!AY87+Q_Financials!AY88++Q_Financials!AY90</f>
        <v>13191.708999999999</v>
      </c>
      <c r="AZ116" s="1706">
        <f>Q_Financials!AZ87+Q_Financials!AZ88++Q_Financials!AZ90</f>
        <v>13192.989</v>
      </c>
      <c r="BA116" s="1706">
        <f>Q_Financials!BA87+Q_Financials!BA88++Q_Financials!BA90</f>
        <v>32215.742999999999</v>
      </c>
      <c r="BB116" s="1706">
        <f>Q_Financials!BB87+Q_Financials!BB88++Q_Financials!BB90</f>
        <v>33369.158000000003</v>
      </c>
      <c r="BC116" s="1706">
        <f>Q_Financials!BC87+Q_Financials!BC88++Q_Financials!BC90</f>
        <v>32397.776999999998</v>
      </c>
      <c r="BD116" s="1706">
        <f>Q_Financials!BD87+Q_Financials!BD88++Q_Financials!BD90</f>
        <v>31575.744999999999</v>
      </c>
      <c r="BE116" s="1706">
        <f>Q_Financials!BE87+Q_Financials!BE88++Q_Financials!BE90</f>
        <v>32240.976999999999</v>
      </c>
      <c r="BF116" s="1706">
        <f>Q_Financials!BF87+Q_Financials!BF88++Q_Financials!BF90</f>
        <v>31049.352999999999</v>
      </c>
      <c r="BG116" s="1706">
        <f>Q_Financials!BG87+Q_Financials!BG88++Q_Financials!BG90</f>
        <v>28431.932999999997</v>
      </c>
      <c r="BH116" s="1706">
        <f>Q_Financials!BH87+Q_Financials!BH88++Q_Financials!BH90</f>
        <v>30241.074000000001</v>
      </c>
      <c r="BI116" s="1706">
        <f>Q_Financials!BI87+Q_Financials!BI88++Q_Financials!BI90</f>
        <v>29447.309000000001</v>
      </c>
      <c r="BJ116" s="1706">
        <f>Q_Financials!BJ87+Q_Financials!BJ88++Q_Financials!BJ90</f>
        <v>29003.254000000001</v>
      </c>
      <c r="BK116" s="1706">
        <f>Q_Financials!BK87+Q_Financials!BK88++Q_Financials!BK90</f>
        <v>30528.841999999997</v>
      </c>
      <c r="BL116" s="302">
        <f t="shared" ref="BL116:BQ116" si="549">+BL115+BL112+BL111</f>
        <v>30905.615364475543</v>
      </c>
      <c r="BM116" s="302">
        <f t="shared" si="549"/>
        <v>31059.973816625228</v>
      </c>
      <c r="BN116" s="302">
        <f t="shared" si="549"/>
        <v>32014.057700293339</v>
      </c>
      <c r="BO116" s="302">
        <f t="shared" si="549"/>
        <v>32875.494650809764</v>
      </c>
      <c r="BP116" s="302">
        <f t="shared" si="549"/>
        <v>33575.494650809764</v>
      </c>
      <c r="BQ116" s="302">
        <f t="shared" si="549"/>
        <v>34719.172550450385</v>
      </c>
      <c r="BR116" s="302">
        <f t="shared" ref="BR116:CK116" si="550">+BR115+BR112+BR111</f>
        <v>36205.991668568546</v>
      </c>
      <c r="BS116" s="302">
        <f t="shared" si="550"/>
        <v>36905.991668568546</v>
      </c>
      <c r="BT116" s="302">
        <f t="shared" si="550"/>
        <v>37605.991668568546</v>
      </c>
      <c r="BU116" s="302">
        <f t="shared" si="550"/>
        <v>38305.991668568546</v>
      </c>
      <c r="BV116" s="302">
        <f t="shared" si="550"/>
        <v>39080.094239940852</v>
      </c>
      <c r="BW116" s="302">
        <f t="shared" si="550"/>
        <v>39699.637622940325</v>
      </c>
      <c r="BX116" s="302">
        <f t="shared" si="550"/>
        <v>40499.018172751392</v>
      </c>
      <c r="BY116" s="302">
        <f t="shared" si="550"/>
        <v>41465.68690271199</v>
      </c>
      <c r="BZ116" s="302">
        <f t="shared" si="550"/>
        <v>41545.901874035415</v>
      </c>
      <c r="CA116" s="302">
        <f t="shared" si="550"/>
        <v>41460.368745724671</v>
      </c>
      <c r="CB116" s="302">
        <f t="shared" si="550"/>
        <v>41564.156953578211</v>
      </c>
      <c r="CC116" s="302">
        <f t="shared" si="550"/>
        <v>41837.83916729052</v>
      </c>
      <c r="CD116" s="302">
        <f t="shared" si="550"/>
        <v>41918.774063579891</v>
      </c>
      <c r="CE116" s="302">
        <f t="shared" si="550"/>
        <v>41832.473280136073</v>
      </c>
      <c r="CF116" s="302">
        <f t="shared" si="550"/>
        <v>41937.192981459862</v>
      </c>
      <c r="CG116" s="302">
        <f t="shared" si="550"/>
        <v>42213.331478022308</v>
      </c>
      <c r="CH116" s="302">
        <f t="shared" si="550"/>
        <v>42294.992760564681</v>
      </c>
      <c r="CI116" s="302">
        <f t="shared" si="550"/>
        <v>42207.917432325085</v>
      </c>
      <c r="CJ116" s="302">
        <f t="shared" si="550"/>
        <v>42313.576987221903</v>
      </c>
      <c r="CK116" s="302">
        <f t="shared" si="550"/>
        <v>42592.193811638266</v>
      </c>
      <c r="CL116" s="302">
        <f t="shared" ref="CL116:CP116" si="551">+CL115+CL112+CL111</f>
        <v>42674.587999710406</v>
      </c>
      <c r="CM116" s="302">
        <f t="shared" si="551"/>
        <v>42586.731175178007</v>
      </c>
      <c r="CN116" s="302">
        <f t="shared" si="551"/>
        <v>42693.339018782099</v>
      </c>
      <c r="CO116" s="302">
        <f t="shared" si="551"/>
        <v>42974.456413908883</v>
      </c>
      <c r="CP116" s="302">
        <f t="shared" si="551"/>
        <v>43057.590085297692</v>
      </c>
      <c r="CQ116" s="302">
        <f t="shared" ref="CQ116:CT116" si="552">+CQ115+CQ112+CQ111</f>
        <v>42968.944750586139</v>
      </c>
      <c r="CR116" s="302">
        <f t="shared" si="552"/>
        <v>43576.509393736618</v>
      </c>
      <c r="CS116" s="302">
        <f t="shared" si="552"/>
        <v>44363.442088415191</v>
      </c>
      <c r="CT116" s="302">
        <f t="shared" si="552"/>
        <v>44449.262739192782</v>
      </c>
      <c r="CU116" s="302">
        <f t="shared" ref="CU116:CW116" si="553">+CU115+CU112+CU111</f>
        <v>44507.75228156169</v>
      </c>
      <c r="CV116" s="302">
        <f t="shared" si="553"/>
        <v>44619.169038928783</v>
      </c>
      <c r="CW116" s="302">
        <f t="shared" si="553"/>
        <v>44912.967201855958</v>
      </c>
    </row>
    <row r="117" spans="1:101">
      <c r="A117" s="303" t="s">
        <v>264</v>
      </c>
      <c r="B117" s="84">
        <f t="shared" ref="B117:AA117" si="554">B116/(B108+B116)</f>
        <v>0.58583599795798103</v>
      </c>
      <c r="C117" s="84">
        <f t="shared" si="554"/>
        <v>0.5105604053495022</v>
      </c>
      <c r="D117" s="84">
        <f t="shared" si="554"/>
        <v>0.49363461333156633</v>
      </c>
      <c r="E117" s="84">
        <f t="shared" si="554"/>
        <v>0.53367130123918216</v>
      </c>
      <c r="F117" s="84">
        <f t="shared" si="554"/>
        <v>0.64587306464596705</v>
      </c>
      <c r="G117" s="84">
        <f t="shared" si="554"/>
        <v>0.73275405406515248</v>
      </c>
      <c r="H117" s="84">
        <f t="shared" si="554"/>
        <v>0.72819121905012651</v>
      </c>
      <c r="I117" s="84">
        <f t="shared" si="554"/>
        <v>0.82606351148246393</v>
      </c>
      <c r="J117" s="84">
        <f t="shared" si="554"/>
        <v>0.86983551285273808</v>
      </c>
      <c r="K117" s="84">
        <f t="shared" si="554"/>
        <v>0.90573125556646006</v>
      </c>
      <c r="L117" s="84">
        <f t="shared" si="554"/>
        <v>0.87155525873168305</v>
      </c>
      <c r="M117" s="84">
        <f t="shared" si="554"/>
        <v>0.9543124408515552</v>
      </c>
      <c r="N117" s="84">
        <f t="shared" si="554"/>
        <v>0.93117810677522694</v>
      </c>
      <c r="O117" s="84">
        <f t="shared" si="554"/>
        <v>0.90805358153102433</v>
      </c>
      <c r="P117" s="84">
        <f t="shared" si="554"/>
        <v>0.89915908509228981</v>
      </c>
      <c r="Q117" s="84">
        <f t="shared" si="554"/>
        <v>0.83970490769777895</v>
      </c>
      <c r="R117" s="84">
        <f t="shared" si="554"/>
        <v>0.80540465816619422</v>
      </c>
      <c r="S117" s="84">
        <f t="shared" si="554"/>
        <v>0.97638731320506944</v>
      </c>
      <c r="T117" s="84">
        <f t="shared" si="554"/>
        <v>0.94996001805125607</v>
      </c>
      <c r="U117" s="84">
        <f t="shared" si="554"/>
        <v>0.92297472230742339</v>
      </c>
      <c r="V117" s="84">
        <f t="shared" si="554"/>
        <v>0.89118195680448098</v>
      </c>
      <c r="W117" s="84">
        <f t="shared" si="554"/>
        <v>0.78080014853221291</v>
      </c>
      <c r="X117" s="84">
        <f t="shared" si="554"/>
        <v>0.87514778914091296</v>
      </c>
      <c r="Y117" s="84">
        <f t="shared" si="554"/>
        <v>0.87746818517615932</v>
      </c>
      <c r="Z117" s="84">
        <f t="shared" si="554"/>
        <v>0.92307107696277735</v>
      </c>
      <c r="AA117" s="84">
        <f t="shared" si="554"/>
        <v>0.87456011263452305</v>
      </c>
      <c r="AB117" s="84">
        <f t="shared" ref="AB117:AM117" si="555">AB116/(AB108+AB116)</f>
        <v>0.94033144851143657</v>
      </c>
      <c r="AC117" s="84">
        <f t="shared" si="555"/>
        <v>0.93993268069614011</v>
      </c>
      <c r="AD117" s="84">
        <f t="shared" si="555"/>
        <v>0.94885998490020984</v>
      </c>
      <c r="AE117" s="84">
        <f t="shared" si="555"/>
        <v>0.97686673994618067</v>
      </c>
      <c r="AF117" s="84">
        <f t="shared" si="555"/>
        <v>0.97070905453755074</v>
      </c>
      <c r="AG117" s="84">
        <f t="shared" si="555"/>
        <v>0.9456969657259171</v>
      </c>
      <c r="AH117" s="84">
        <f t="shared" si="555"/>
        <v>0.92983458156382304</v>
      </c>
      <c r="AI117" s="84">
        <f t="shared" si="555"/>
        <v>0.93390045840390579</v>
      </c>
      <c r="AJ117" s="84">
        <f t="shared" si="555"/>
        <v>0.92444027608988677</v>
      </c>
      <c r="AK117" s="84">
        <f t="shared" si="555"/>
        <v>0.78820579902359544</v>
      </c>
      <c r="AL117" s="84">
        <f t="shared" si="555"/>
        <v>0.76050511563755308</v>
      </c>
      <c r="AM117" s="84">
        <f t="shared" si="555"/>
        <v>0.78325646688370687</v>
      </c>
      <c r="AN117" s="84">
        <f t="shared" ref="AN117:AT117" si="556">AN116/(AN108+AN116)</f>
        <v>0.68127883379757392</v>
      </c>
      <c r="AO117" s="84">
        <f t="shared" si="556"/>
        <v>0.83437318702944041</v>
      </c>
      <c r="AP117" s="84">
        <f t="shared" si="556"/>
        <v>0.69603674814638072</v>
      </c>
      <c r="AQ117" s="84">
        <f t="shared" si="556"/>
        <v>0.89929451908654101</v>
      </c>
      <c r="AR117" s="84">
        <f t="shared" si="556"/>
        <v>0.90622239749662636</v>
      </c>
      <c r="AS117" s="84">
        <f t="shared" si="556"/>
        <v>0.92012398392634598</v>
      </c>
      <c r="AT117" s="84">
        <f t="shared" si="556"/>
        <v>0.86984028417045878</v>
      </c>
      <c r="AU117" s="84">
        <f t="shared" ref="AU117:BC117" si="557">AU116/(AU108+AU116)</f>
        <v>0.82935368976123125</v>
      </c>
      <c r="AV117" s="84">
        <f t="shared" si="557"/>
        <v>0.81685883830044437</v>
      </c>
      <c r="AW117" s="84">
        <f t="shared" si="557"/>
        <v>0.87199692589112288</v>
      </c>
      <c r="AX117" s="84">
        <f t="shared" si="557"/>
        <v>0.77201580919921653</v>
      </c>
      <c r="AY117" s="84">
        <f t="shared" si="557"/>
        <v>0.31180684850915835</v>
      </c>
      <c r="AZ117" s="84">
        <f t="shared" si="557"/>
        <v>0.30899443669023563</v>
      </c>
      <c r="BA117" s="84">
        <f t="shared" si="557"/>
        <v>0.75978357693094134</v>
      </c>
      <c r="BB117" s="84">
        <f t="shared" si="557"/>
        <v>0.83261170583787314</v>
      </c>
      <c r="BC117" s="84">
        <f t="shared" si="557"/>
        <v>0.83019110491181158</v>
      </c>
      <c r="BD117" s="84">
        <f t="shared" ref="BD117:BI117" si="558">BD116/(BD108+BD116)</f>
        <v>0.82968229186291509</v>
      </c>
      <c r="BE117" s="84">
        <f t="shared" si="558"/>
        <v>0.84005472696899119</v>
      </c>
      <c r="BF117" s="84">
        <f t="shared" si="558"/>
        <v>0.83542947539478429</v>
      </c>
      <c r="BG117" s="84">
        <f t="shared" si="558"/>
        <v>0.77675519097685475</v>
      </c>
      <c r="BH117" s="84">
        <f t="shared" si="558"/>
        <v>0.8158633050155546</v>
      </c>
      <c r="BI117" s="84">
        <f t="shared" si="558"/>
        <v>0.80718413478646711</v>
      </c>
      <c r="BJ117" s="84">
        <f t="shared" ref="BJ117:BK117" si="559">BJ116/(BJ108+BJ116)</f>
        <v>0.77643761239346665</v>
      </c>
      <c r="BK117" s="801">
        <f t="shared" si="559"/>
        <v>0.77789964683341428</v>
      </c>
      <c r="BL117" s="305">
        <f t="shared" ref="BL117:BQ117" si="560">BL116/(BL108+BL116)</f>
        <v>0.78001164303350456</v>
      </c>
      <c r="BM117" s="305">
        <f t="shared" si="560"/>
        <v>0.80115094389088759</v>
      </c>
      <c r="BN117" s="305">
        <f t="shared" si="560"/>
        <v>0.82301068163704427</v>
      </c>
      <c r="BO117" s="305">
        <f t="shared" si="560"/>
        <v>0.82684530329602546</v>
      </c>
      <c r="BP117" s="305">
        <f t="shared" si="560"/>
        <v>0.82984104806581438</v>
      </c>
      <c r="BQ117" s="305">
        <f t="shared" si="560"/>
        <v>0.83451867113215139</v>
      </c>
      <c r="BR117" s="305">
        <f t="shared" ref="BR117:CK117" si="561">BR116/(BR108+BR116)</f>
        <v>0.84022851331495851</v>
      </c>
      <c r="BS117" s="305">
        <f t="shared" si="561"/>
        <v>0.84278248417586066</v>
      </c>
      <c r="BT117" s="305">
        <f t="shared" si="561"/>
        <v>0.84525608850329426</v>
      </c>
      <c r="BU117" s="305">
        <f t="shared" si="561"/>
        <v>0.84765306091327508</v>
      </c>
      <c r="BV117" s="305">
        <f t="shared" si="561"/>
        <v>0.85021876950750019</v>
      </c>
      <c r="BW117" s="305">
        <f t="shared" si="561"/>
        <v>0.85221077069588891</v>
      </c>
      <c r="BX117" s="305">
        <f t="shared" si="561"/>
        <v>0.85470403097902559</v>
      </c>
      <c r="BY117" s="305">
        <f t="shared" si="561"/>
        <v>0.85760893420214457</v>
      </c>
      <c r="BZ117" s="305">
        <f t="shared" si="561"/>
        <v>0.85784477486814625</v>
      </c>
      <c r="CA117" s="305">
        <f t="shared" si="561"/>
        <v>0.85759327058360635</v>
      </c>
      <c r="CB117" s="305">
        <f t="shared" si="561"/>
        <v>0.85789833768486856</v>
      </c>
      <c r="CC117" s="305">
        <f t="shared" si="561"/>
        <v>0.85869654591666911</v>
      </c>
      <c r="CD117" s="305">
        <f t="shared" si="561"/>
        <v>0.85893088149825281</v>
      </c>
      <c r="CE117" s="305">
        <f t="shared" si="561"/>
        <v>0.85868098222511369</v>
      </c>
      <c r="CF117" s="305">
        <f t="shared" si="561"/>
        <v>0.85898410235141742</v>
      </c>
      <c r="CG117" s="305">
        <f t="shared" si="561"/>
        <v>0.85977720852898543</v>
      </c>
      <c r="CH117" s="305">
        <f t="shared" si="561"/>
        <v>0.86001004412356452</v>
      </c>
      <c r="CI117" s="305">
        <f t="shared" si="561"/>
        <v>0.85976174442653008</v>
      </c>
      <c r="CJ117" s="305">
        <f t="shared" si="561"/>
        <v>0.86006292417349517</v>
      </c>
      <c r="CK117" s="305">
        <f t="shared" si="561"/>
        <v>0.86085094570367149</v>
      </c>
      <c r="CL117" s="305">
        <f t="shared" ref="CL117:CP117" si="562">CL116/(CL108+CL116)</f>
        <v>0.86108228646259177</v>
      </c>
      <c r="CM117" s="305">
        <f t="shared" si="562"/>
        <v>0.86083558084884426</v>
      </c>
      <c r="CN117" s="305">
        <f t="shared" si="562"/>
        <v>0.8611348268818324</v>
      </c>
      <c r="CO117" s="305">
        <f t="shared" si="562"/>
        <v>0.8619177813522968</v>
      </c>
      <c r="CP117" s="305">
        <f t="shared" si="562"/>
        <v>0.86214763247954163</v>
      </c>
      <c r="CQ117" s="305">
        <f t="shared" ref="CQ117:CT117" si="563">CQ116/(CQ108+CQ116)</f>
        <v>0.86190251540012242</v>
      </c>
      <c r="CR117" s="305">
        <f t="shared" si="563"/>
        <v>0.86356524250191447</v>
      </c>
      <c r="CS117" s="305">
        <f t="shared" si="563"/>
        <v>0.8656602464781703</v>
      </c>
      <c r="CT117" s="305">
        <f t="shared" si="563"/>
        <v>0.8658848372581287</v>
      </c>
      <c r="CU117" s="305">
        <f t="shared" ref="CU117:CW117" si="564">CU116/(CU108+CU116)</f>
        <v>0.86603747331086811</v>
      </c>
      <c r="CV117" s="305">
        <f t="shared" si="564"/>
        <v>0.86632727062264692</v>
      </c>
      <c r="CW117" s="305">
        <f t="shared" si="564"/>
        <v>0.86708546760425909</v>
      </c>
    </row>
    <row r="118" spans="1:101">
      <c r="A118" s="303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01"/>
      <c r="BL118" s="305"/>
      <c r="BM118" s="305"/>
      <c r="BN118" s="305"/>
      <c r="BO118" s="305"/>
      <c r="BP118" s="305"/>
      <c r="BQ118" s="305"/>
      <c r="BR118" s="305"/>
      <c r="BS118" s="305"/>
      <c r="BT118" s="305"/>
      <c r="BU118" s="305"/>
      <c r="BV118" s="305"/>
      <c r="BW118" s="305"/>
      <c r="BX118" s="305"/>
      <c r="BY118" s="305"/>
      <c r="BZ118" s="305"/>
      <c r="CA118" s="305"/>
      <c r="CB118" s="305"/>
      <c r="CC118" s="305"/>
      <c r="CD118" s="305"/>
      <c r="CE118" s="305"/>
      <c r="CF118" s="305"/>
      <c r="CG118" s="305"/>
      <c r="CH118" s="305"/>
      <c r="CI118" s="305"/>
      <c r="CJ118" s="305"/>
      <c r="CK118" s="305"/>
      <c r="CL118" s="305"/>
      <c r="CM118" s="305"/>
      <c r="CN118" s="305"/>
      <c r="CO118" s="305"/>
      <c r="CP118" s="305"/>
      <c r="CQ118" s="305"/>
      <c r="CR118" s="305"/>
      <c r="CS118" s="305"/>
      <c r="CT118" s="305"/>
      <c r="CU118" s="305"/>
      <c r="CV118" s="305"/>
      <c r="CW118" s="305"/>
    </row>
    <row r="119" spans="1:101">
      <c r="A119" s="259" t="s">
        <v>968</v>
      </c>
      <c r="B119" s="99">
        <f>+B116+B108</f>
        <v>1776.673</v>
      </c>
      <c r="C119" s="99">
        <f t="shared" ref="C119:AM119" si="565">+C116+C108</f>
        <v>1655.855</v>
      </c>
      <c r="D119" s="99">
        <f t="shared" si="565"/>
        <v>1358.2049999999999</v>
      </c>
      <c r="E119" s="99">
        <f t="shared" si="565"/>
        <v>1328.134</v>
      </c>
      <c r="F119" s="99">
        <f t="shared" si="565"/>
        <v>1575.164</v>
      </c>
      <c r="G119" s="99">
        <f t="shared" si="565"/>
        <v>1461.126</v>
      </c>
      <c r="H119" s="99">
        <f t="shared" si="565"/>
        <v>1359.739</v>
      </c>
      <c r="I119" s="99">
        <f t="shared" si="565"/>
        <v>1656.047</v>
      </c>
      <c r="J119" s="99">
        <f t="shared" si="565"/>
        <v>1519.7540000000001</v>
      </c>
      <c r="K119" s="99">
        <f t="shared" si="565"/>
        <v>1762.79</v>
      </c>
      <c r="L119" s="99">
        <f t="shared" si="565"/>
        <v>1784.8219999999999</v>
      </c>
      <c r="M119" s="99">
        <f t="shared" si="565"/>
        <v>4056.5309999999999</v>
      </c>
      <c r="N119" s="99">
        <f t="shared" si="565"/>
        <v>4038.8020000000001</v>
      </c>
      <c r="O119" s="99">
        <f t="shared" si="565"/>
        <v>3724.3429999999998</v>
      </c>
      <c r="P119" s="99">
        <f t="shared" si="565"/>
        <v>3528.181</v>
      </c>
      <c r="Q119" s="99">
        <f t="shared" si="565"/>
        <v>2474.48</v>
      </c>
      <c r="R119" s="99">
        <f t="shared" si="565"/>
        <v>2416.1010000000001</v>
      </c>
      <c r="S119" s="99">
        <f t="shared" si="565"/>
        <v>3463.223</v>
      </c>
      <c r="T119" s="99">
        <f t="shared" si="565"/>
        <v>5052.28</v>
      </c>
      <c r="U119" s="99">
        <f t="shared" si="565"/>
        <v>5043.6169999999993</v>
      </c>
      <c r="V119" s="99">
        <f t="shared" si="565"/>
        <v>5110.6689999999999</v>
      </c>
      <c r="W119" s="99">
        <f t="shared" si="565"/>
        <v>7271.1500000000005</v>
      </c>
      <c r="X119" s="99">
        <f t="shared" si="565"/>
        <v>7222.2830000000004</v>
      </c>
      <c r="Y119" s="99">
        <f t="shared" si="565"/>
        <v>11239.179</v>
      </c>
      <c r="Z119" s="99">
        <f t="shared" si="565"/>
        <v>11579.026</v>
      </c>
      <c r="AA119" s="99">
        <f t="shared" si="565"/>
        <v>12330.145</v>
      </c>
      <c r="AB119" s="99">
        <f t="shared" si="565"/>
        <v>12379.419000000002</v>
      </c>
      <c r="AC119" s="99">
        <f t="shared" si="565"/>
        <v>12233.341</v>
      </c>
      <c r="AD119" s="99">
        <f t="shared" si="565"/>
        <v>17839.983</v>
      </c>
      <c r="AE119" s="99">
        <f t="shared" si="565"/>
        <v>18740.117000000002</v>
      </c>
      <c r="AF119" s="99">
        <f t="shared" si="565"/>
        <v>19208.325000000001</v>
      </c>
      <c r="AG119" s="99">
        <f t="shared" si="565"/>
        <v>20389.984</v>
      </c>
      <c r="AH119" s="99">
        <f t="shared" si="565"/>
        <v>20343.197999999997</v>
      </c>
      <c r="AI119" s="99">
        <f t="shared" si="565"/>
        <v>21002.657000000003</v>
      </c>
      <c r="AJ119" s="99">
        <f t="shared" si="565"/>
        <v>21679.751000000004</v>
      </c>
      <c r="AK119" s="99">
        <f t="shared" si="565"/>
        <v>20621.574999999997</v>
      </c>
      <c r="AL119" s="99">
        <f t="shared" si="565"/>
        <v>21151.909</v>
      </c>
      <c r="AM119" s="85">
        <f t="shared" si="565"/>
        <v>22060.123</v>
      </c>
      <c r="AN119" s="85">
        <f t="shared" ref="AN119:AT119" si="566">+AN116+AN108</f>
        <v>22346.171999999999</v>
      </c>
      <c r="AO119" s="85">
        <f t="shared" si="566"/>
        <v>30757.531999999999</v>
      </c>
      <c r="AP119" s="85">
        <f t="shared" si="566"/>
        <v>34566.967999999993</v>
      </c>
      <c r="AQ119" s="85">
        <f t="shared" si="566"/>
        <v>32404.561999999998</v>
      </c>
      <c r="AR119" s="85">
        <f t="shared" si="566"/>
        <v>31878.902000000002</v>
      </c>
      <c r="AS119" s="85">
        <f t="shared" si="566"/>
        <v>32682.300999999999</v>
      </c>
      <c r="AT119" s="952">
        <f t="shared" si="566"/>
        <v>37753.678</v>
      </c>
      <c r="AU119" s="952">
        <f t="shared" ref="AU119:BC119" si="567">+AU116+AU108</f>
        <v>40754.236000000004</v>
      </c>
      <c r="AV119" s="952">
        <f t="shared" si="567"/>
        <v>40979.252999999997</v>
      </c>
      <c r="AW119" s="952">
        <f t="shared" si="567"/>
        <v>43241.148999999998</v>
      </c>
      <c r="AX119" s="952">
        <f t="shared" si="567"/>
        <v>42700.201999999997</v>
      </c>
      <c r="AY119" s="952">
        <f t="shared" si="567"/>
        <v>42307.31</v>
      </c>
      <c r="AZ119" s="952">
        <f t="shared" si="567"/>
        <v>42696.525999999998</v>
      </c>
      <c r="BA119" s="952">
        <f t="shared" si="567"/>
        <v>42401.21</v>
      </c>
      <c r="BB119" s="952">
        <f t="shared" si="567"/>
        <v>40077.695000000007</v>
      </c>
      <c r="BC119" s="952">
        <f t="shared" si="567"/>
        <v>39024.481</v>
      </c>
      <c r="BD119" s="952">
        <f t="shared" ref="BD119:BI119" si="568">+BD116+BD108</f>
        <v>38057.633999999998</v>
      </c>
      <c r="BE119" s="952">
        <f t="shared" si="568"/>
        <v>38379.614999999998</v>
      </c>
      <c r="BF119" s="952">
        <f t="shared" si="568"/>
        <v>37165.737999999998</v>
      </c>
      <c r="BG119" s="952">
        <f t="shared" si="568"/>
        <v>36603.466999999997</v>
      </c>
      <c r="BH119" s="952">
        <f t="shared" si="568"/>
        <v>37066.349000000002</v>
      </c>
      <c r="BI119" s="952">
        <f t="shared" si="568"/>
        <v>36481.525999999998</v>
      </c>
      <c r="BJ119" s="952">
        <f t="shared" ref="BJ119:BK119" si="569">+BJ116+BJ108</f>
        <v>37354.262000000002</v>
      </c>
      <c r="BK119" s="1702">
        <f t="shared" si="569"/>
        <v>39245.218999999997</v>
      </c>
      <c r="BL119" s="295">
        <f t="shared" ref="BL119:BQ119" si="570">+BL116+BL108</f>
        <v>39621.992364475547</v>
      </c>
      <c r="BM119" s="295">
        <f t="shared" si="570"/>
        <v>38769.190816625225</v>
      </c>
      <c r="BN119" s="295">
        <f t="shared" si="570"/>
        <v>38898.714700293342</v>
      </c>
      <c r="BO119" s="295">
        <f t="shared" si="570"/>
        <v>39760.151650809763</v>
      </c>
      <c r="BP119" s="295">
        <f t="shared" si="570"/>
        <v>40460.151650809763</v>
      </c>
      <c r="BQ119" s="295">
        <f t="shared" si="570"/>
        <v>41603.829550450384</v>
      </c>
      <c r="BR119" s="295">
        <f t="shared" ref="BR119:CK119" si="571">+BR116+BR108</f>
        <v>43090.648668568545</v>
      </c>
      <c r="BS119" s="295">
        <f t="shared" si="571"/>
        <v>43790.648668568545</v>
      </c>
      <c r="BT119" s="295">
        <f t="shared" si="571"/>
        <v>44490.648668568545</v>
      </c>
      <c r="BU119" s="295">
        <f t="shared" si="571"/>
        <v>45190.648668568545</v>
      </c>
      <c r="BV119" s="295">
        <f t="shared" si="571"/>
        <v>45964.751239940852</v>
      </c>
      <c r="BW119" s="295">
        <f t="shared" si="571"/>
        <v>46584.294622940324</v>
      </c>
      <c r="BX119" s="295">
        <f t="shared" si="571"/>
        <v>47383.675172751391</v>
      </c>
      <c r="BY119" s="295">
        <f t="shared" si="571"/>
        <v>48350.343902711989</v>
      </c>
      <c r="BZ119" s="295">
        <f t="shared" si="571"/>
        <v>48430.558874035414</v>
      </c>
      <c r="CA119" s="295">
        <f t="shared" si="571"/>
        <v>48345.02574572467</v>
      </c>
      <c r="CB119" s="295">
        <f t="shared" si="571"/>
        <v>48448.81395357821</v>
      </c>
      <c r="CC119" s="295">
        <f t="shared" si="571"/>
        <v>48722.496167290519</v>
      </c>
      <c r="CD119" s="295">
        <f t="shared" si="571"/>
        <v>48803.43106357989</v>
      </c>
      <c r="CE119" s="295">
        <f t="shared" si="571"/>
        <v>48717.130280136073</v>
      </c>
      <c r="CF119" s="295">
        <f t="shared" si="571"/>
        <v>48821.849981459862</v>
      </c>
      <c r="CG119" s="295">
        <f t="shared" si="571"/>
        <v>49097.988478022307</v>
      </c>
      <c r="CH119" s="295">
        <f t="shared" si="571"/>
        <v>49179.64976056468</v>
      </c>
      <c r="CI119" s="295">
        <f t="shared" si="571"/>
        <v>49092.574432325084</v>
      </c>
      <c r="CJ119" s="295">
        <f t="shared" si="571"/>
        <v>49198.233987221902</v>
      </c>
      <c r="CK119" s="295">
        <f t="shared" si="571"/>
        <v>49476.850811638265</v>
      </c>
      <c r="CL119" s="295">
        <f t="shared" ref="CL119:CP119" si="572">+CL116+CL108</f>
        <v>49559.244999710405</v>
      </c>
      <c r="CM119" s="295">
        <f t="shared" si="572"/>
        <v>49471.388175178006</v>
      </c>
      <c r="CN119" s="295">
        <f t="shared" si="572"/>
        <v>49577.996018782098</v>
      </c>
      <c r="CO119" s="295">
        <f t="shared" si="572"/>
        <v>49859.113413908883</v>
      </c>
      <c r="CP119" s="295">
        <f t="shared" si="572"/>
        <v>49942.247085297691</v>
      </c>
      <c r="CQ119" s="295">
        <f t="shared" ref="CQ119:CT119" si="573">+CQ116+CQ108</f>
        <v>49853.601750586138</v>
      </c>
      <c r="CR119" s="295">
        <f t="shared" si="573"/>
        <v>50461.166393736617</v>
      </c>
      <c r="CS119" s="295">
        <f t="shared" si="573"/>
        <v>51248.099088415191</v>
      </c>
      <c r="CT119" s="295">
        <f t="shared" si="573"/>
        <v>51333.919739192781</v>
      </c>
      <c r="CU119" s="295">
        <f t="shared" ref="CU119:CW119" si="574">+CU116+CU108</f>
        <v>51392.40928156169</v>
      </c>
      <c r="CV119" s="295">
        <f t="shared" si="574"/>
        <v>51503.826038928783</v>
      </c>
      <c r="CW119" s="295">
        <f t="shared" si="574"/>
        <v>51797.624201855957</v>
      </c>
    </row>
    <row r="120" spans="1:101">
      <c r="A120" s="259" t="s">
        <v>98</v>
      </c>
      <c r="B120" s="99">
        <f t="shared" ref="B120:AM120" si="575">+B119-B101</f>
        <v>1381.0439999999999</v>
      </c>
      <c r="C120" s="99">
        <f t="shared" si="575"/>
        <v>1350.7820000000002</v>
      </c>
      <c r="D120" s="99">
        <f t="shared" si="575"/>
        <v>881.99499999999989</v>
      </c>
      <c r="E120" s="99">
        <f t="shared" si="575"/>
        <v>864.92000000000007</v>
      </c>
      <c r="F120" s="99">
        <f t="shared" si="575"/>
        <v>906.024</v>
      </c>
      <c r="G120" s="99">
        <f t="shared" si="575"/>
        <v>980.822</v>
      </c>
      <c r="H120" s="99">
        <f t="shared" si="575"/>
        <v>877.221</v>
      </c>
      <c r="I120" s="99">
        <f t="shared" si="575"/>
        <v>1015.8440000000001</v>
      </c>
      <c r="J120" s="99">
        <f t="shared" si="575"/>
        <v>1148.8280000000002</v>
      </c>
      <c r="K120" s="99">
        <f t="shared" si="575"/>
        <v>1186.963</v>
      </c>
      <c r="L120" s="99">
        <f t="shared" si="575"/>
        <v>1099.9699999999998</v>
      </c>
      <c r="M120" s="99">
        <f t="shared" si="575"/>
        <v>3317.152</v>
      </c>
      <c r="N120" s="99">
        <f t="shared" si="575"/>
        <v>3054.9050000000002</v>
      </c>
      <c r="O120" s="99">
        <f t="shared" si="575"/>
        <v>2985.8419999999996</v>
      </c>
      <c r="P120" s="99">
        <f t="shared" si="575"/>
        <v>2809.82</v>
      </c>
      <c r="Q120" s="99">
        <f t="shared" si="575"/>
        <v>1541.886</v>
      </c>
      <c r="R120" s="99">
        <f t="shared" si="575"/>
        <v>1566.8830000000003</v>
      </c>
      <c r="S120" s="99">
        <f t="shared" si="575"/>
        <v>2821.2719999999999</v>
      </c>
      <c r="T120" s="99">
        <f t="shared" si="575"/>
        <v>4471.2240000000002</v>
      </c>
      <c r="U120" s="99">
        <f t="shared" si="575"/>
        <v>4380.3469999999998</v>
      </c>
      <c r="V120" s="99">
        <f t="shared" si="575"/>
        <v>4579.8850000000002</v>
      </c>
      <c r="W120" s="99">
        <f t="shared" si="575"/>
        <v>6141.1350000000002</v>
      </c>
      <c r="X120" s="99">
        <f t="shared" si="575"/>
        <v>6722.3290000000006</v>
      </c>
      <c r="Y120" s="99">
        <f t="shared" si="575"/>
        <v>10126.329</v>
      </c>
      <c r="Z120" s="99">
        <f t="shared" si="575"/>
        <v>10688.098</v>
      </c>
      <c r="AA120" s="99">
        <f t="shared" si="575"/>
        <v>11577.710000000001</v>
      </c>
      <c r="AB120" s="99">
        <f t="shared" si="575"/>
        <v>11754.452000000001</v>
      </c>
      <c r="AC120" s="99">
        <f t="shared" si="575"/>
        <v>11037.527</v>
      </c>
      <c r="AD120" s="99">
        <f t="shared" si="575"/>
        <v>16757.112000000001</v>
      </c>
      <c r="AE120" s="99">
        <f t="shared" si="575"/>
        <v>17583.052000000003</v>
      </c>
      <c r="AF120" s="99">
        <f t="shared" si="575"/>
        <v>17888.481</v>
      </c>
      <c r="AG120" s="99">
        <f t="shared" si="575"/>
        <v>17842.142</v>
      </c>
      <c r="AH120" s="99">
        <f t="shared" si="575"/>
        <v>18633.111999999997</v>
      </c>
      <c r="AI120" s="99">
        <f t="shared" si="575"/>
        <v>19747.028000000002</v>
      </c>
      <c r="AJ120" s="99">
        <f t="shared" si="575"/>
        <v>20659.212000000003</v>
      </c>
      <c r="AK120" s="99">
        <f t="shared" si="575"/>
        <v>19081.171999999999</v>
      </c>
      <c r="AL120" s="99">
        <f t="shared" si="575"/>
        <v>19087.416000000001</v>
      </c>
      <c r="AM120" s="85">
        <f t="shared" si="575"/>
        <v>19752.237000000001</v>
      </c>
      <c r="AN120" s="85">
        <f t="shared" ref="AN120:AT120" si="576">+AN119-AN101</f>
        <v>19871.702999999998</v>
      </c>
      <c r="AO120" s="85">
        <f t="shared" si="576"/>
        <v>28769.674999999999</v>
      </c>
      <c r="AP120" s="85">
        <f t="shared" si="576"/>
        <v>32844.054999999993</v>
      </c>
      <c r="AQ120" s="85">
        <f t="shared" si="576"/>
        <v>30551.843999999997</v>
      </c>
      <c r="AR120" s="85">
        <f t="shared" si="576"/>
        <v>30255.258000000002</v>
      </c>
      <c r="AS120" s="85">
        <f t="shared" si="576"/>
        <v>30056.912</v>
      </c>
      <c r="AT120" s="952">
        <f t="shared" si="576"/>
        <v>33909.474999999999</v>
      </c>
      <c r="AU120" s="952">
        <f t="shared" ref="AU120:BC120" si="577">+AU119-AU101</f>
        <v>36424.815000000002</v>
      </c>
      <c r="AV120" s="952">
        <f t="shared" si="577"/>
        <v>36379.738999999994</v>
      </c>
      <c r="AW120" s="952">
        <f t="shared" si="577"/>
        <v>39309.148999999998</v>
      </c>
      <c r="AX120" s="952">
        <f t="shared" si="577"/>
        <v>39332.432000000001</v>
      </c>
      <c r="AY120" s="952">
        <f t="shared" si="577"/>
        <v>38476.966999999997</v>
      </c>
      <c r="AZ120" s="952">
        <f t="shared" si="577"/>
        <v>39111.396999999997</v>
      </c>
      <c r="BA120" s="952">
        <f t="shared" si="577"/>
        <v>35507.777000000002</v>
      </c>
      <c r="BB120" s="952">
        <f t="shared" si="577"/>
        <v>35007.223000000005</v>
      </c>
      <c r="BC120" s="952">
        <f t="shared" si="577"/>
        <v>33981.728999999999</v>
      </c>
      <c r="BD120" s="952">
        <f t="shared" ref="BD120:BG120" si="578">+BD119-BD101</f>
        <v>32929.531999999999</v>
      </c>
      <c r="BE120" s="952">
        <f t="shared" si="578"/>
        <v>32279.905999999999</v>
      </c>
      <c r="BF120" s="952">
        <f t="shared" si="578"/>
        <v>32696.763999999996</v>
      </c>
      <c r="BG120" s="952">
        <f t="shared" si="578"/>
        <v>32253.778999999995</v>
      </c>
      <c r="BH120" s="952">
        <f t="shared" ref="BH120" si="579">+BH119-BH101</f>
        <v>31914.882000000001</v>
      </c>
      <c r="BI120" s="952">
        <f t="shared" ref="BI120" si="580">+BI119-BI101</f>
        <v>30071.727999999999</v>
      </c>
      <c r="BJ120" s="952">
        <f t="shared" ref="BJ120:BK120" si="581">+BJ119-BJ101</f>
        <v>31910.704000000002</v>
      </c>
      <c r="BK120" s="1702">
        <f t="shared" si="581"/>
        <v>35214.481999999996</v>
      </c>
      <c r="BL120" s="295">
        <f t="shared" ref="BL120:CW120" si="582">+BL119-BL101</f>
        <v>35085.237908501644</v>
      </c>
      <c r="BM120" s="295">
        <f t="shared" si="582"/>
        <v>33741.590707330535</v>
      </c>
      <c r="BN120" s="295">
        <f t="shared" si="582"/>
        <v>34004.0325377185</v>
      </c>
      <c r="BO120" s="295">
        <f t="shared" si="582"/>
        <v>34400.725066292711</v>
      </c>
      <c r="BP120" s="295">
        <f t="shared" si="582"/>
        <v>33157.834861609292</v>
      </c>
      <c r="BQ120" s="295">
        <f t="shared" si="582"/>
        <v>31582.261848425384</v>
      </c>
      <c r="BR120" s="295">
        <f t="shared" si="582"/>
        <v>32059.280746916567</v>
      </c>
      <c r="BS120" s="295">
        <f t="shared" si="582"/>
        <v>32255.528170869402</v>
      </c>
      <c r="BT120" s="295">
        <f t="shared" si="582"/>
        <v>30763.431624091303</v>
      </c>
      <c r="BU120" s="295">
        <f t="shared" si="582"/>
        <v>28522.36104894647</v>
      </c>
      <c r="BV120" s="295">
        <f t="shared" si="582"/>
        <v>28480.676792915194</v>
      </c>
      <c r="BW120" s="295">
        <f t="shared" si="582"/>
        <v>28554.459858876293</v>
      </c>
      <c r="BX120" s="295">
        <f t="shared" si="582"/>
        <v>26938.979465316184</v>
      </c>
      <c r="BY120" s="295">
        <f t="shared" si="582"/>
        <v>24512.885751703423</v>
      </c>
      <c r="BZ120" s="295">
        <f t="shared" si="582"/>
        <v>24708.684645591209</v>
      </c>
      <c r="CA120" s="295">
        <f t="shared" si="582"/>
        <v>25140.874403366692</v>
      </c>
      <c r="CB120" s="295">
        <f t="shared" si="582"/>
        <v>23765.45805997905</v>
      </c>
      <c r="CC120" s="295">
        <f t="shared" si="582"/>
        <v>21349.771142725156</v>
      </c>
      <c r="CD120" s="295">
        <f t="shared" si="582"/>
        <v>21732.858096185755</v>
      </c>
      <c r="CE120" s="295">
        <f t="shared" si="582"/>
        <v>22180.151911084788</v>
      </c>
      <c r="CF120" s="295">
        <f t="shared" si="582"/>
        <v>20706.235197522477</v>
      </c>
      <c r="CG120" s="295">
        <f t="shared" si="582"/>
        <v>18121.576654644323</v>
      </c>
      <c r="CH120" s="295">
        <f t="shared" si="582"/>
        <v>18471.742263714495</v>
      </c>
      <c r="CI120" s="295">
        <f t="shared" si="582"/>
        <v>18892.146612617536</v>
      </c>
      <c r="CJ120" s="295">
        <f t="shared" si="582"/>
        <v>17274.206371230332</v>
      </c>
      <c r="CK120" s="295">
        <f t="shared" si="582"/>
        <v>14434.843136367148</v>
      </c>
      <c r="CL120" s="295">
        <f t="shared" si="582"/>
        <v>14794.238793048869</v>
      </c>
      <c r="CM120" s="295">
        <f t="shared" si="582"/>
        <v>15226.098320666286</v>
      </c>
      <c r="CN120" s="295">
        <f t="shared" si="582"/>
        <v>13499.61589178296</v>
      </c>
      <c r="CO120" s="295">
        <f t="shared" si="582"/>
        <v>10477.247817515672</v>
      </c>
      <c r="CP120" s="295">
        <f t="shared" si="582"/>
        <v>10843.411379743913</v>
      </c>
      <c r="CQ120" s="295">
        <f t="shared" si="582"/>
        <v>11286.923278705508</v>
      </c>
      <c r="CR120" s="295">
        <f t="shared" si="582"/>
        <v>9445.9974638757922</v>
      </c>
      <c r="CS120" s="295">
        <f t="shared" si="582"/>
        <v>6233.5602769072866</v>
      </c>
      <c r="CT120" s="295">
        <f t="shared" si="582"/>
        <v>6608.9888010793074</v>
      </c>
      <c r="CU120" s="295">
        <f t="shared" si="582"/>
        <v>7064.4871924186446</v>
      </c>
      <c r="CV120" s="295">
        <f t="shared" si="582"/>
        <v>5106.6659097978263</v>
      </c>
      <c r="CW120" s="295">
        <f t="shared" si="582"/>
        <v>1582.2624482037718</v>
      </c>
    </row>
    <row r="121" spans="1:101">
      <c r="A121" s="259" t="s">
        <v>998</v>
      </c>
      <c r="B121" s="99"/>
      <c r="C121" s="99"/>
      <c r="D121" s="99"/>
      <c r="E121" s="99"/>
      <c r="F121" s="938">
        <f>+F120/SUM(Q_Financials!C20:F20)</f>
        <v>0.86273867518844571</v>
      </c>
      <c r="G121" s="938">
        <f>+G120/SUM(Q_Financials!D20:G20)</f>
        <v>0.88068305279849468</v>
      </c>
      <c r="H121" s="938">
        <f>+H120/SUM(Q_Financials!E20:H20)</f>
        <v>0.78745576726625099</v>
      </c>
      <c r="I121" s="938">
        <f>+I120/SUM(Q_Financials!F20:I20)</f>
        <v>1.0172365969011579</v>
      </c>
      <c r="J121" s="938">
        <f>+J120/SUM(Q_Financials!G20:J20)</f>
        <v>1.1462180614740241</v>
      </c>
      <c r="K121" s="938">
        <f>+K120/SUM(Q_Financials!H20:K20)</f>
        <v>1.1203112051601989</v>
      </c>
      <c r="L121" s="938">
        <f>+L120/SUM(Q_Financials!I20:L20)</f>
        <v>0.99437799508040625</v>
      </c>
      <c r="M121" s="938">
        <f>+M120/SUM(Q_Financials!J20:M20)</f>
        <v>2.9754325032941731</v>
      </c>
      <c r="N121" s="938">
        <f>+N120/SUM(Q_Financials!K20:N20)</f>
        <v>2.6049028268551235</v>
      </c>
      <c r="O121" s="938">
        <f>+O120/SUM(Q_Financials!L20:O20)</f>
        <v>2.3089144589306985</v>
      </c>
      <c r="P121" s="938">
        <f>+P120/SUM(Q_Financials!M20:P20)</f>
        <v>1.9766751460441463</v>
      </c>
      <c r="Q121" s="938">
        <f>+Q120/SUM(Q_Financials!N20:Q20)</f>
        <v>0.95884556905349005</v>
      </c>
      <c r="R121" s="938">
        <f>+R120/SUM(Q_Financials!O20:R20)</f>
        <v>0.9237199156976319</v>
      </c>
      <c r="S121" s="938">
        <f>+S120/SUM(Q_Financials!P20:S20)</f>
        <v>1.5938516363792492</v>
      </c>
      <c r="T121" s="938">
        <f>+T120/SUM(Q_Financials!Q20:T20)</f>
        <v>2.3489426085037866</v>
      </c>
      <c r="U121" s="938">
        <f>+U120/SUM(Q_Financials!R20:U20)</f>
        <v>2.148574940575517</v>
      </c>
      <c r="V121" s="938">
        <f>+V120/SUM(Q_Financials!S20:V20)</f>
        <v>2.1923731263834316</v>
      </c>
      <c r="W121" s="938">
        <f>+W120/SUM(Q_Financials!T20:W20)</f>
        <v>2.7884932795656203</v>
      </c>
      <c r="X121" s="938">
        <f>+X120/SUM(Q_Financials!U20:X20)</f>
        <v>2.8459205458887515</v>
      </c>
      <c r="Y121" s="938">
        <f>+Y120/SUM(Q_Financials!V20:Y20)</f>
        <v>3.625490674850667</v>
      </c>
      <c r="Z121" s="938">
        <f>+Z120/SUM(Q_Financials!W20:Z20)</f>
        <v>3.3197253176119927</v>
      </c>
      <c r="AA121" s="938">
        <f>+AA120/SUM(Q_Financials!X20:AA20)</f>
        <v>3.2169590056685795</v>
      </c>
      <c r="AB121" s="938">
        <f>+AB120/SUM(Q_Financials!Y20:AB20)</f>
        <v>2.9532285279849977</v>
      </c>
      <c r="AC121" s="938">
        <f>+AC120/SUM(Q_Financials!Z20:AC20)</f>
        <v>2.5658350398177103</v>
      </c>
      <c r="AD121" s="938">
        <f>+AD120/SUM(Q_Financials!AA20:AD20)</f>
        <v>3.7348769919340845</v>
      </c>
      <c r="AE121" s="938">
        <f>+AE120/SUM(Q_Financials!AB20:AE20)</f>
        <v>3.7315752557584809</v>
      </c>
      <c r="AF121" s="938">
        <f>+AF120/SUM(Q_Financials!AC20:AF20)</f>
        <v>3.6118403717704965</v>
      </c>
      <c r="AG121" s="938">
        <f>+AG120/SUM(Q_Financials!AD20:AG20)</f>
        <v>3.4609734797889065</v>
      </c>
      <c r="AH121" s="938">
        <f>+AH120/SUM(Q_Financials!AE20:AH20)</f>
        <v>3.445993125439462</v>
      </c>
      <c r="AI121" s="938">
        <f>+AI120/SUM(Q_Financials!AF20:AI20)</f>
        <v>3.5321555920649588</v>
      </c>
      <c r="AJ121" s="938">
        <f>+AJ120/SUM(Q_Financials!AG20:AJ20)</f>
        <v>3.638605420460769</v>
      </c>
      <c r="AK121" s="938">
        <f>+AK120/SUM(Q_Financials!AH20:AK20)</f>
        <v>2.9508895736071823</v>
      </c>
      <c r="AL121" s="938">
        <f>+AL120/SUM(Q_Financials!AI20:AL20)</f>
        <v>2.8889415598037376</v>
      </c>
      <c r="AM121" s="993">
        <f>+AM120/SUM(Q_Financials!AJ20:AM20)</f>
        <v>2.9135331785820124</v>
      </c>
      <c r="AN121" s="993">
        <f>+AN120/SUM(Q_Financials!AK20:AN20)</f>
        <v>2.8793089033729067</v>
      </c>
      <c r="AO121" s="993">
        <f>+AO120/SUM(Q_Financials!AL20:AO20)</f>
        <v>4.4894275673316413</v>
      </c>
      <c r="AP121" s="993">
        <f>+AP120/SUM(Q_Financials!AM20:AP20)</f>
        <v>5.0340839282342289</v>
      </c>
      <c r="AQ121" s="993">
        <f>+AQ120/SUM(Q_Financials!AN20:AQ20)</f>
        <v>4.5058965426004951</v>
      </c>
      <c r="AR121" s="993">
        <f>+AR120/SUM(Q_Financials!AO20:AR20)</f>
        <v>4.2238844914607903</v>
      </c>
      <c r="AS121" s="993">
        <f>+AS120/SUM(Q_Financials!AP20:AS20)</f>
        <v>3.9196986920867296</v>
      </c>
      <c r="AT121" s="1747">
        <f>+AT120/SUM(Q_Financials!AQ20:AT20)</f>
        <v>4.6129961445311753</v>
      </c>
      <c r="AU121" s="1747">
        <f>+AU120/SUM(Q_Financials!AR20:AU20)</f>
        <v>9.6761585150096181</v>
      </c>
      <c r="AV121" s="1747">
        <f>+AV120/SUM(Q_Financials!AS20:AV20)</f>
        <v>16.087591328027383</v>
      </c>
      <c r="AW121" s="1747">
        <f>+AW120/SUM(Q_Financials!AT20:AW20)</f>
        <v>27.359921962328695</v>
      </c>
      <c r="AX121" s="1747">
        <f>+AX120/SUM(Q_Financials!AU20:AX20)</f>
        <v>43.664665446988472</v>
      </c>
      <c r="AY121" s="1747">
        <f>+AY120/SUM(Q_Financials!AV20:AY20)</f>
        <v>9.1992345958652333</v>
      </c>
      <c r="AZ121" s="1747">
        <f>+AZ120/SUM(Q_Financials!AW20:AZ20)</f>
        <v>6.9561348748331735</v>
      </c>
      <c r="BA121" s="1747">
        <f>+BA120/SUM(Q_Financials!AX20:BA20)</f>
        <v>5.4324078792745798</v>
      </c>
      <c r="BB121" s="1747">
        <f>+BB120/SUM(Q_Financials!AY20:BB20)</f>
        <v>4.5418006599820844</v>
      </c>
      <c r="BC121" s="1747">
        <f>+BC120/SUM(Q_Financials!AZ20:BC20)</f>
        <v>4.0457695166896768</v>
      </c>
      <c r="BD121" s="1747">
        <f>+BD120/SUM(Q_Financials!BA20:BD20)</f>
        <v>3.7947124718287863</v>
      </c>
      <c r="BE121" s="1747">
        <f>+BE120/SUM(Q_Financials!BB20:BE20)</f>
        <v>3.6579844809443167</v>
      </c>
      <c r="BF121" s="1747">
        <f>+BF120/SUM(Q_Financials!BC20:BF20)</f>
        <v>3.5283853783914974</v>
      </c>
      <c r="BG121" s="1747">
        <f>+BG120/SUM(Q_Financials!BD20:BG20)</f>
        <v>3.3530489262196315</v>
      </c>
      <c r="BH121" s="1747">
        <f>+BH120/SUM(Q_Financials!BE20:BH20)</f>
        <v>3.1319664307697934</v>
      </c>
      <c r="BI121" s="1747">
        <f>+BI120/SUM(Q_Financials!BF20:BI20)</f>
        <v>2.7858046811984005</v>
      </c>
      <c r="BJ121" s="1747">
        <f>+BJ120/SUM(Q_Financials!BG20:BJ20)</f>
        <v>2.8802055000692737</v>
      </c>
      <c r="BK121" s="1996">
        <f>+BK120/SUM(Q_Financials!BH20:BK20)</f>
        <v>3.1297168744391377</v>
      </c>
      <c r="BL121" s="939">
        <f>+BL120/SUM(Q_Financials!BI20:BL20)</f>
        <v>3.1166273037848842</v>
      </c>
      <c r="BM121" s="939">
        <f>+BM120/SUM(Q_Financials!BJ20:BM20)</f>
        <v>3.0411226702630736</v>
      </c>
      <c r="BN121" s="939">
        <f>+BN120/SUM(Q_Financials!BK20:BN20)</f>
        <v>3.0401621144431012</v>
      </c>
      <c r="BO121" s="939">
        <f>+BO120/SUM(Q_Financials!BL20:BO20)</f>
        <v>3.0436208718748095</v>
      </c>
      <c r="BP121" s="939">
        <f>+BP120/SUM(Q_Financials!BM20:BP20)</f>
        <v>2.8714931652494862</v>
      </c>
      <c r="BQ121" s="939">
        <f>+BQ120/SUM(Q_Financials!BN20:BQ20)</f>
        <v>2.6730590757616897</v>
      </c>
      <c r="BR121" s="939">
        <f>+BR120/SUM(Q_Financials!BO20:BR20)</f>
        <v>2.6639724114378476</v>
      </c>
      <c r="BS121" s="939">
        <f>+BS120/SUM(Q_Financials!BP20:BS20)</f>
        <v>2.6335826436299339</v>
      </c>
      <c r="BT121" s="939">
        <f>+BT120/SUM(Q_Financials!BQ20:BT20)</f>
        <v>2.4670616508175294</v>
      </c>
      <c r="BU121" s="939">
        <f>+BU120/SUM(Q_Financials!BR20:BU20)</f>
        <v>2.2430702539182006</v>
      </c>
      <c r="BV121" s="939">
        <f>+BV120/SUM(Q_Financials!BS20:BV20)</f>
        <v>2.2050587884447825</v>
      </c>
      <c r="BW121" s="939">
        <f>+BW120/SUM(Q_Financials!BT20:BW20)</f>
        <v>2.1753127215307471</v>
      </c>
      <c r="BX121" s="939">
        <f>+BX120/SUM(Q_Financials!BU20:BX20)</f>
        <v>2.018352381023087</v>
      </c>
      <c r="BY121" s="939">
        <f>+BY120/SUM(Q_Financials!BV20:BY20)</f>
        <v>1.8032611199445889</v>
      </c>
      <c r="BZ121" s="939">
        <f>+BZ120/SUM(Q_Financials!BW20:BZ20)</f>
        <v>1.8159650855191745</v>
      </c>
      <c r="CA121" s="939">
        <f>+CA120/SUM(Q_Financials!BX20:CA20)</f>
        <v>1.8456489272315439</v>
      </c>
      <c r="CB121" s="939">
        <f>+CB120/SUM(Q_Financials!BY20:CB20)</f>
        <v>1.7418500653422009</v>
      </c>
      <c r="CC121" s="939">
        <f>+CC120/SUM(Q_Financials!BZ20:CC20)</f>
        <v>1.5605036715809892</v>
      </c>
      <c r="CD121" s="939">
        <f>+CD120/SUM(Q_Financials!CA20:CD20)</f>
        <v>1.5705485707551545</v>
      </c>
      <c r="CE121" s="939">
        <f>+CE120/SUM(Q_Financials!CB20:CE20)</f>
        <v>1.5840607356408438</v>
      </c>
      <c r="CF121" s="939">
        <f>+CF120/SUM(Q_Financials!CC20:CF20)</f>
        <v>1.4603931577843932</v>
      </c>
      <c r="CG121" s="939">
        <f>+CG120/SUM(Q_Financials!CD20:CG20)</f>
        <v>1.2598747261914276</v>
      </c>
      <c r="CH121" s="939">
        <f>+CH120/SUM(Q_Financials!CE20:CH20)</f>
        <v>1.2698442368241303</v>
      </c>
      <c r="CI121" s="939">
        <f>+CI120/SUM(Q_Financials!CF20:CI20)</f>
        <v>1.283796485196159</v>
      </c>
      <c r="CJ121" s="939">
        <f>+CJ120/SUM(Q_Financials!CG20:CJ20)</f>
        <v>1.1596306289628973</v>
      </c>
      <c r="CK121" s="939">
        <f>+CK120/SUM(Q_Financials!CH20:CK20)</f>
        <v>0.95573038748250871</v>
      </c>
      <c r="CL121" s="939">
        <f>+CL120/SUM(Q_Financials!CI20:CL20)</f>
        <v>0.96906152278203417</v>
      </c>
      <c r="CM121" s="939">
        <f>+CM120/SUM(Q_Financials!CJ20:CM20)</f>
        <v>0.98629426445951196</v>
      </c>
      <c r="CN121" s="939">
        <f>+CN120/SUM(Q_Financials!CK20:CN20)</f>
        <v>0.86411674356802948</v>
      </c>
      <c r="CO121" s="939">
        <f>+CO120/SUM(Q_Financials!CL20:CO20)</f>
        <v>0.66152585732702918</v>
      </c>
      <c r="CP121" s="939">
        <f>+CP120/SUM(Q_Financials!CM20:CP20)</f>
        <v>0.67734872794051026</v>
      </c>
      <c r="CQ121" s="939">
        <f>+CQ120/SUM(Q_Financials!CN20:CQ20)</f>
        <v>0.69726174587870715</v>
      </c>
      <c r="CR121" s="939">
        <f>+CR120/SUM(Q_Financials!CO20:CR20)</f>
        <v>0.57664118429338107</v>
      </c>
      <c r="CS121" s="939">
        <f>+CS120/SUM(Q_Financials!CP20:CS20)</f>
        <v>0.37535147790868822</v>
      </c>
      <c r="CT121" s="939">
        <f>+CT120/SUM(Q_Financials!CQ20:CT20)</f>
        <v>0.39372527904125293</v>
      </c>
      <c r="CU121" s="939">
        <f>+CU120/SUM(Q_Financials!CR20:CU20)</f>
        <v>0.41622882445430787</v>
      </c>
      <c r="CV121" s="939">
        <f>+CV120/SUM(Q_Financials!CS20:CV20)</f>
        <v>0.29733393631497446</v>
      </c>
      <c r="CW121" s="939">
        <f>+CW120/SUM(Q_Financials!CT20:CW20)</f>
        <v>9.0886468655077629E-2</v>
      </c>
    </row>
    <row r="122" spans="1:101">
      <c r="A122" s="304"/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91"/>
      <c r="AL122" s="91"/>
      <c r="AM122" s="91"/>
      <c r="AN122" s="91"/>
      <c r="AO122" s="91"/>
      <c r="AP122" s="296"/>
      <c r="AQ122" s="296"/>
      <c r="AR122" s="296"/>
      <c r="AS122" s="296"/>
      <c r="AT122" s="1707"/>
      <c r="AU122" s="1707"/>
      <c r="AV122" s="1707"/>
      <c r="AW122" s="1707"/>
      <c r="AX122" s="1707"/>
      <c r="AY122" s="1707"/>
      <c r="AZ122" s="1707"/>
      <c r="BA122" s="1707"/>
      <c r="BB122" s="1707"/>
      <c r="BC122" s="1707"/>
      <c r="BD122" s="1707"/>
      <c r="BE122" s="1707"/>
      <c r="BF122" s="1707"/>
      <c r="BG122" s="1707"/>
      <c r="BH122" s="1707"/>
      <c r="BI122" s="1707"/>
      <c r="BJ122" s="1707"/>
      <c r="BK122" s="1696"/>
      <c r="BL122" s="296"/>
      <c r="BM122" s="296"/>
      <c r="BN122" s="296"/>
      <c r="BO122" s="296"/>
      <c r="BP122" s="296"/>
      <c r="BQ122" s="296"/>
      <c r="BR122" s="296"/>
      <c r="BS122" s="296"/>
      <c r="BT122" s="296"/>
      <c r="BU122" s="296"/>
      <c r="BV122" s="296"/>
      <c r="BW122" s="296"/>
      <c r="BX122" s="296"/>
      <c r="BY122" s="296"/>
      <c r="BZ122" s="296"/>
      <c r="CA122" s="296"/>
      <c r="CB122" s="296"/>
      <c r="CC122" s="296"/>
      <c r="CD122" s="296"/>
      <c r="CE122" s="296"/>
      <c r="CF122" s="296"/>
      <c r="CG122" s="296"/>
      <c r="CH122" s="296"/>
      <c r="CI122" s="296"/>
      <c r="CJ122" s="296"/>
      <c r="CK122" s="296"/>
      <c r="CL122" s="296"/>
      <c r="CM122" s="296"/>
      <c r="CN122" s="296"/>
      <c r="CO122" s="296"/>
      <c r="CP122" s="296"/>
      <c r="CQ122" s="296"/>
      <c r="CR122" s="296"/>
      <c r="CS122" s="296"/>
      <c r="CT122" s="296"/>
      <c r="CU122" s="296"/>
      <c r="CV122" s="296"/>
      <c r="CW122" s="296"/>
    </row>
    <row r="123" spans="1:101">
      <c r="A123" s="91" t="s">
        <v>1181</v>
      </c>
      <c r="B123" s="39"/>
      <c r="C123" s="39">
        <f t="shared" ref="C123:AZ123" si="583">+AVERAGE(B120:C120)</f>
        <v>1365.913</v>
      </c>
      <c r="D123" s="39">
        <f t="shared" si="583"/>
        <v>1116.3885</v>
      </c>
      <c r="E123" s="39">
        <f t="shared" si="583"/>
        <v>873.45749999999998</v>
      </c>
      <c r="F123" s="39">
        <f t="shared" si="583"/>
        <v>885.47199999999998</v>
      </c>
      <c r="G123" s="39">
        <f t="shared" si="583"/>
        <v>943.423</v>
      </c>
      <c r="H123" s="39">
        <f t="shared" si="583"/>
        <v>929.02150000000006</v>
      </c>
      <c r="I123" s="39">
        <f t="shared" si="583"/>
        <v>946.53250000000003</v>
      </c>
      <c r="J123" s="39">
        <f t="shared" si="583"/>
        <v>1082.3360000000002</v>
      </c>
      <c r="K123" s="39">
        <f t="shared" si="583"/>
        <v>1167.8955000000001</v>
      </c>
      <c r="L123" s="39">
        <f t="shared" si="583"/>
        <v>1143.4665</v>
      </c>
      <c r="M123" s="39">
        <f t="shared" si="583"/>
        <v>2208.5609999999997</v>
      </c>
      <c r="N123" s="39">
        <f t="shared" si="583"/>
        <v>3186.0285000000003</v>
      </c>
      <c r="O123" s="39">
        <f t="shared" si="583"/>
        <v>3020.3734999999997</v>
      </c>
      <c r="P123" s="39">
        <f t="shared" si="583"/>
        <v>2897.8310000000001</v>
      </c>
      <c r="Q123" s="39">
        <f t="shared" si="583"/>
        <v>2175.8530000000001</v>
      </c>
      <c r="R123" s="39">
        <f t="shared" si="583"/>
        <v>1554.3845000000001</v>
      </c>
      <c r="S123" s="39">
        <f t="shared" si="583"/>
        <v>2194.0775000000003</v>
      </c>
      <c r="T123" s="39">
        <f t="shared" si="583"/>
        <v>3646.248</v>
      </c>
      <c r="U123" s="39">
        <f t="shared" si="583"/>
        <v>4425.7855</v>
      </c>
      <c r="V123" s="39">
        <f t="shared" si="583"/>
        <v>4480.116</v>
      </c>
      <c r="W123" s="39">
        <f t="shared" si="583"/>
        <v>5360.51</v>
      </c>
      <c r="X123" s="39">
        <f t="shared" si="583"/>
        <v>6431.732</v>
      </c>
      <c r="Y123" s="39">
        <f t="shared" si="583"/>
        <v>8424.3289999999997</v>
      </c>
      <c r="Z123" s="39">
        <f t="shared" si="583"/>
        <v>10407.2135</v>
      </c>
      <c r="AA123" s="39">
        <f t="shared" si="583"/>
        <v>11132.904</v>
      </c>
      <c r="AB123" s="39">
        <f t="shared" si="583"/>
        <v>11666.081000000002</v>
      </c>
      <c r="AC123" s="39">
        <f t="shared" si="583"/>
        <v>11395.9895</v>
      </c>
      <c r="AD123" s="39">
        <f t="shared" si="583"/>
        <v>13897.319500000001</v>
      </c>
      <c r="AE123" s="39">
        <f t="shared" si="583"/>
        <v>17170.082000000002</v>
      </c>
      <c r="AF123" s="39">
        <f t="shared" si="583"/>
        <v>17735.766500000002</v>
      </c>
      <c r="AG123" s="39">
        <f t="shared" si="583"/>
        <v>17865.3115</v>
      </c>
      <c r="AH123" s="39">
        <f t="shared" si="583"/>
        <v>18237.627</v>
      </c>
      <c r="AI123" s="39">
        <f t="shared" si="583"/>
        <v>19190.07</v>
      </c>
      <c r="AJ123" s="39">
        <f t="shared" si="583"/>
        <v>20203.120000000003</v>
      </c>
      <c r="AK123" s="39">
        <f t="shared" si="583"/>
        <v>19870.192000000003</v>
      </c>
      <c r="AL123" s="39">
        <f t="shared" si="583"/>
        <v>19084.294000000002</v>
      </c>
      <c r="AM123" s="39">
        <f t="shared" si="583"/>
        <v>19419.826500000003</v>
      </c>
      <c r="AN123" s="39">
        <f t="shared" si="583"/>
        <v>19811.97</v>
      </c>
      <c r="AO123" s="39">
        <f t="shared" si="583"/>
        <v>24320.688999999998</v>
      </c>
      <c r="AP123" s="39">
        <f t="shared" si="583"/>
        <v>30806.864999999998</v>
      </c>
      <c r="AQ123" s="39">
        <f t="shared" si="583"/>
        <v>31697.949499999995</v>
      </c>
      <c r="AR123" s="39">
        <f t="shared" si="583"/>
        <v>30403.550999999999</v>
      </c>
      <c r="AS123" s="39">
        <f t="shared" si="583"/>
        <v>30156.084999999999</v>
      </c>
      <c r="AT123" s="39">
        <f t="shared" si="583"/>
        <v>31983.193500000001</v>
      </c>
      <c r="AU123" s="39">
        <f t="shared" si="583"/>
        <v>35167.145000000004</v>
      </c>
      <c r="AV123" s="39">
        <f t="shared" si="583"/>
        <v>36402.277000000002</v>
      </c>
      <c r="AW123" s="39">
        <f t="shared" si="583"/>
        <v>37844.443999999996</v>
      </c>
      <c r="AX123" s="39">
        <f t="shared" si="583"/>
        <v>39320.790500000003</v>
      </c>
      <c r="AY123" s="39">
        <f t="shared" si="583"/>
        <v>38904.699500000002</v>
      </c>
      <c r="AZ123" s="39">
        <f t="shared" si="583"/>
        <v>38794.182000000001</v>
      </c>
      <c r="BA123" s="39">
        <f t="shared" ref="BA123:BJ123" si="584">+AVERAGE(AZ120:BA120)</f>
        <v>37309.587</v>
      </c>
      <c r="BB123" s="39">
        <f t="shared" si="584"/>
        <v>35257.5</v>
      </c>
      <c r="BC123" s="39">
        <f t="shared" si="584"/>
        <v>34494.476000000002</v>
      </c>
      <c r="BD123" s="39">
        <f t="shared" si="584"/>
        <v>33455.630499999999</v>
      </c>
      <c r="BE123" s="39">
        <f t="shared" si="584"/>
        <v>32604.718999999997</v>
      </c>
      <c r="BF123" s="39">
        <f t="shared" si="584"/>
        <v>32488.334999999999</v>
      </c>
      <c r="BG123" s="39">
        <f t="shared" si="584"/>
        <v>32475.271499999995</v>
      </c>
      <c r="BH123" s="39">
        <f t="shared" si="584"/>
        <v>32084.330499999996</v>
      </c>
      <c r="BI123" s="39">
        <f t="shared" si="584"/>
        <v>30993.305</v>
      </c>
      <c r="BJ123" s="39">
        <f t="shared" si="584"/>
        <v>30991.216</v>
      </c>
      <c r="BK123" s="1346">
        <f t="shared" ref="BK123" si="585">+AVERAGE(BJ120:BK120)</f>
        <v>33562.593000000001</v>
      </c>
      <c r="BL123" s="46">
        <f t="shared" ref="BL123:BQ123" si="586">+BK120</f>
        <v>35214.481999999996</v>
      </c>
      <c r="BM123" s="46">
        <f t="shared" si="586"/>
        <v>35085.237908501644</v>
      </c>
      <c r="BN123" s="46">
        <f t="shared" si="586"/>
        <v>33741.590707330535</v>
      </c>
      <c r="BO123" s="46">
        <f t="shared" si="586"/>
        <v>34004.0325377185</v>
      </c>
      <c r="BP123" s="46">
        <f t="shared" si="586"/>
        <v>34400.725066292711</v>
      </c>
      <c r="BQ123" s="46">
        <f t="shared" si="586"/>
        <v>33157.834861609292</v>
      </c>
      <c r="BR123" s="46">
        <f t="shared" ref="BR123:CK123" si="587">+BQ120</f>
        <v>31582.261848425384</v>
      </c>
      <c r="BS123" s="46">
        <f t="shared" si="587"/>
        <v>32059.280746916567</v>
      </c>
      <c r="BT123" s="46">
        <f t="shared" si="587"/>
        <v>32255.528170869402</v>
      </c>
      <c r="BU123" s="46">
        <f t="shared" si="587"/>
        <v>30763.431624091303</v>
      </c>
      <c r="BV123" s="46">
        <f t="shared" si="587"/>
        <v>28522.36104894647</v>
      </c>
      <c r="BW123" s="46">
        <f t="shared" si="587"/>
        <v>28480.676792915194</v>
      </c>
      <c r="BX123" s="46">
        <f t="shared" si="587"/>
        <v>28554.459858876293</v>
      </c>
      <c r="BY123" s="46">
        <f t="shared" si="587"/>
        <v>26938.979465316184</v>
      </c>
      <c r="BZ123" s="46">
        <f t="shared" si="587"/>
        <v>24512.885751703423</v>
      </c>
      <c r="CA123" s="46">
        <f t="shared" si="587"/>
        <v>24708.684645591209</v>
      </c>
      <c r="CB123" s="46">
        <f t="shared" si="587"/>
        <v>25140.874403366692</v>
      </c>
      <c r="CC123" s="46">
        <f t="shared" si="587"/>
        <v>23765.45805997905</v>
      </c>
      <c r="CD123" s="46">
        <f t="shared" si="587"/>
        <v>21349.771142725156</v>
      </c>
      <c r="CE123" s="46">
        <f t="shared" si="587"/>
        <v>21732.858096185755</v>
      </c>
      <c r="CF123" s="46">
        <f t="shared" si="587"/>
        <v>22180.151911084788</v>
      </c>
      <c r="CG123" s="46">
        <f t="shared" si="587"/>
        <v>20706.235197522477</v>
      </c>
      <c r="CH123" s="46">
        <f t="shared" si="587"/>
        <v>18121.576654644323</v>
      </c>
      <c r="CI123" s="46">
        <f t="shared" si="587"/>
        <v>18471.742263714495</v>
      </c>
      <c r="CJ123" s="46">
        <f t="shared" si="587"/>
        <v>18892.146612617536</v>
      </c>
      <c r="CK123" s="46">
        <f t="shared" si="587"/>
        <v>17274.206371230332</v>
      </c>
      <c r="CL123" s="46">
        <f t="shared" ref="CL123" si="588">+CK120</f>
        <v>14434.843136367148</v>
      </c>
      <c r="CM123" s="46">
        <f t="shared" ref="CM123" si="589">+CL120</f>
        <v>14794.238793048869</v>
      </c>
      <c r="CN123" s="46">
        <f t="shared" ref="CN123" si="590">+CM120</f>
        <v>15226.098320666286</v>
      </c>
      <c r="CO123" s="46">
        <f t="shared" ref="CO123" si="591">+CN120</f>
        <v>13499.61589178296</v>
      </c>
      <c r="CP123" s="46">
        <f t="shared" ref="CP123" si="592">+CO120</f>
        <v>10477.247817515672</v>
      </c>
      <c r="CQ123" s="46">
        <f t="shared" ref="CQ123" si="593">+CP120</f>
        <v>10843.411379743913</v>
      </c>
      <c r="CR123" s="46">
        <f t="shared" ref="CR123" si="594">+CQ120</f>
        <v>11286.923278705508</v>
      </c>
      <c r="CS123" s="46">
        <f t="shared" ref="CS123" si="595">+CR120</f>
        <v>9445.9974638757922</v>
      </c>
      <c r="CT123" s="46">
        <f t="shared" ref="CT123" si="596">+CS120</f>
        <v>6233.5602769072866</v>
      </c>
      <c r="CU123" s="46">
        <f t="shared" ref="CU123" si="597">+CT120</f>
        <v>6608.9888010793074</v>
      </c>
      <c r="CV123" s="46">
        <f t="shared" ref="CV123" si="598">+CU120</f>
        <v>7064.4871924186446</v>
      </c>
      <c r="CW123" s="46">
        <f t="shared" ref="CW123" si="599">+CV120</f>
        <v>5106.6659097978263</v>
      </c>
    </row>
    <row r="124" spans="1:101">
      <c r="A124" s="4" t="s">
        <v>1113</v>
      </c>
      <c r="B124" s="39"/>
      <c r="C124" s="84">
        <f t="shared" ref="C124:AQ124" si="600">-C130/C123</f>
        <v>2.4017635090961137E-2</v>
      </c>
      <c r="D124" s="84">
        <f t="shared" si="600"/>
        <v>2.4963531960424171E-2</v>
      </c>
      <c r="E124" s="84">
        <f t="shared" si="600"/>
        <v>3.2287775879192751E-2</v>
      </c>
      <c r="F124" s="84">
        <f t="shared" si="600"/>
        <v>2.4842118101984029E-2</v>
      </c>
      <c r="G124" s="84">
        <f t="shared" si="600"/>
        <v>2.3513312692185796E-2</v>
      </c>
      <c r="H124" s="84">
        <f t="shared" si="600"/>
        <v>2.5487031247393089E-2</v>
      </c>
      <c r="I124" s="84">
        <f t="shared" si="600"/>
        <v>2.5744493717859661E-2</v>
      </c>
      <c r="J124" s="84">
        <f t="shared" si="600"/>
        <v>2.1410172072258517E-2</v>
      </c>
      <c r="K124" s="84">
        <f t="shared" si="600"/>
        <v>3.1253652402976118E-2</v>
      </c>
      <c r="L124" s="84">
        <f t="shared" si="600"/>
        <v>2.1752276957829549E-2</v>
      </c>
      <c r="M124" s="84">
        <f t="shared" si="600"/>
        <v>2.1034963489801734E-2</v>
      </c>
      <c r="N124" s="84">
        <f t="shared" si="600"/>
        <v>1.3858946961711107E-2</v>
      </c>
      <c r="O124" s="84">
        <f t="shared" si="600"/>
        <v>1.8811249668294339E-2</v>
      </c>
      <c r="P124" s="84">
        <f t="shared" si="600"/>
        <v>1.631668651484507E-2</v>
      </c>
      <c r="Q124" s="84">
        <f t="shared" si="600"/>
        <v>2.2889873534655145E-2</v>
      </c>
      <c r="R124" s="84">
        <f t="shared" si="600"/>
        <v>2.1374376803165493E-2</v>
      </c>
      <c r="S124" s="84">
        <f t="shared" si="600"/>
        <v>1.647845164995311E-2</v>
      </c>
      <c r="T124" s="84">
        <f t="shared" si="600"/>
        <v>1.668591933406614E-2</v>
      </c>
      <c r="U124" s="84">
        <f t="shared" si="600"/>
        <v>1.6296768110429211E-2</v>
      </c>
      <c r="V124" s="84">
        <f t="shared" si="600"/>
        <v>1.9049953170855397E-2</v>
      </c>
      <c r="W124" s="84">
        <f t="shared" si="600"/>
        <v>3.2801356587339632E-2</v>
      </c>
      <c r="X124" s="84">
        <f t="shared" si="600"/>
        <v>1.396855465992675E-2</v>
      </c>
      <c r="Y124" s="84">
        <f t="shared" si="600"/>
        <v>1.6975120511081652E-2</v>
      </c>
      <c r="Z124" s="84">
        <f t="shared" si="600"/>
        <v>1.7461061983594362E-2</v>
      </c>
      <c r="AA124" s="84">
        <f t="shared" si="600"/>
        <v>1.2880736239169941E-2</v>
      </c>
      <c r="AB124" s="84">
        <f t="shared" si="600"/>
        <v>1.6486170462900091E-2</v>
      </c>
      <c r="AC124" s="84">
        <f t="shared" si="600"/>
        <v>1.429783697150651E-2</v>
      </c>
      <c r="AD124" s="84">
        <f t="shared" si="600"/>
        <v>1.2017785156338959E-2</v>
      </c>
      <c r="AE124" s="84">
        <f t="shared" si="600"/>
        <v>1.1862552549253986E-2</v>
      </c>
      <c r="AF124" s="84">
        <f t="shared" si="600"/>
        <v>1.2476145307844461E-2</v>
      </c>
      <c r="AG124" s="84">
        <f t="shared" si="600"/>
        <v>1.4139803831576068E-2</v>
      </c>
      <c r="AH124" s="84">
        <f t="shared" si="600"/>
        <v>1.5624072144912276E-2</v>
      </c>
      <c r="AI124" s="84">
        <f t="shared" si="600"/>
        <v>1.706538850561775E-2</v>
      </c>
      <c r="AJ124" s="84">
        <f t="shared" si="600"/>
        <v>1.6534426365828643E-2</v>
      </c>
      <c r="AK124" s="84">
        <f t="shared" si="600"/>
        <v>1.590336922763504E-2</v>
      </c>
      <c r="AL124" s="84">
        <f t="shared" si="600"/>
        <v>1.6669885718591421E-2</v>
      </c>
      <c r="AM124" s="84">
        <f t="shared" si="600"/>
        <v>1.9042755093615277E-2</v>
      </c>
      <c r="AN124" s="84">
        <f t="shared" si="600"/>
        <v>2.1588564892840032E-2</v>
      </c>
      <c r="AO124" s="84">
        <f t="shared" si="600"/>
        <v>1.873960067496443E-2</v>
      </c>
      <c r="AP124" s="84">
        <f t="shared" si="600"/>
        <v>1.5919860719355899E-2</v>
      </c>
      <c r="AQ124" s="84">
        <f t="shared" si="600"/>
        <v>1.5184767708712518E-2</v>
      </c>
      <c r="AR124" s="84">
        <f t="shared" ref="AR124:BC124" si="601">-AR130/AR123</f>
        <v>1.8765176475603131E-2</v>
      </c>
      <c r="AS124" s="84">
        <f t="shared" si="601"/>
        <v>1.5977073947098901E-2</v>
      </c>
      <c r="AT124" s="84">
        <f t="shared" si="601"/>
        <v>1.544232910950559E-2</v>
      </c>
      <c r="AU124" s="84">
        <f t="shared" si="601"/>
        <v>1.5064344859385086E-2</v>
      </c>
      <c r="AV124" s="84">
        <f t="shared" si="601"/>
        <v>1.4974530302046764E-2</v>
      </c>
      <c r="AW124" s="84">
        <f t="shared" si="601"/>
        <v>1.5598326665864087E-2</v>
      </c>
      <c r="AX124" s="84">
        <f t="shared" si="601"/>
        <v>1.3941911976566185E-2</v>
      </c>
      <c r="AY124" s="84">
        <f t="shared" si="601"/>
        <v>1.4635866805756974E-2</v>
      </c>
      <c r="AZ124" s="84">
        <f t="shared" si="601"/>
        <v>1.4766544117362753E-2</v>
      </c>
      <c r="BA124" s="84">
        <f t="shared" si="601"/>
        <v>1.8515911205342475E-2</v>
      </c>
      <c r="BB124" s="84">
        <f t="shared" si="601"/>
        <v>1.8924512515067715E-2</v>
      </c>
      <c r="BC124" s="84">
        <f t="shared" si="601"/>
        <v>1.9356374626476422E-2</v>
      </c>
      <c r="BD124" s="84">
        <f t="shared" ref="BD124:BI124" si="602">-BD130/BD123</f>
        <v>1.9742506422050544E-2</v>
      </c>
      <c r="BE124" s="84">
        <f t="shared" si="602"/>
        <v>1.7838798119989931E-2</v>
      </c>
      <c r="BF124" s="84">
        <f t="shared" si="602"/>
        <v>2.4876159396903536E-2</v>
      </c>
      <c r="BG124" s="84">
        <f t="shared" si="602"/>
        <v>2.4454206641505681E-2</v>
      </c>
      <c r="BH124" s="84">
        <f t="shared" si="602"/>
        <v>2.2932222319552532E-2</v>
      </c>
      <c r="BI124" s="84">
        <f t="shared" si="602"/>
        <v>1.9322786001686493E-2</v>
      </c>
      <c r="BJ124" s="84">
        <f t="shared" ref="BJ124:BK124" si="603">-BJ130/BJ123</f>
        <v>2.4757563562526876E-2</v>
      </c>
      <c r="BK124" s="801">
        <f t="shared" si="603"/>
        <v>2.6819799054262586E-2</v>
      </c>
      <c r="BL124" s="305">
        <f t="shared" ref="BL124:BQ124" si="604">-BL130/BL123</f>
        <v>2.6269225658045944E-2</v>
      </c>
      <c r="BM124" s="305">
        <f t="shared" si="604"/>
        <v>2.4701645864303855E-2</v>
      </c>
      <c r="BN124" s="305">
        <f t="shared" si="604"/>
        <v>2.4332498043001548E-2</v>
      </c>
      <c r="BO124" s="305">
        <f t="shared" si="604"/>
        <v>2.3571107015174671E-2</v>
      </c>
      <c r="BP124" s="305">
        <f t="shared" si="604"/>
        <v>2.2746486570260696E-2</v>
      </c>
      <c r="BQ124" s="305">
        <f t="shared" si="604"/>
        <v>2.2039600305708101E-2</v>
      </c>
      <c r="BR124" s="305">
        <f t="shared" ref="BR124:CK124" si="605">-BR130/BR123</f>
        <v>2.197118737144858E-2</v>
      </c>
      <c r="BS124" s="305">
        <f t="shared" si="605"/>
        <v>2.1912437849032573E-2</v>
      </c>
      <c r="BT124" s="305">
        <f t="shared" si="605"/>
        <v>2.197955597745236E-2</v>
      </c>
      <c r="BU124" s="305">
        <f t="shared" si="605"/>
        <v>2.2039600305708104E-2</v>
      </c>
      <c r="BV124" s="305">
        <f t="shared" si="605"/>
        <v>2.1971187371448576E-2</v>
      </c>
      <c r="BW124" s="305">
        <f t="shared" si="605"/>
        <v>2.1912437849032577E-2</v>
      </c>
      <c r="BX124" s="305">
        <f t="shared" si="605"/>
        <v>2.197955597745236E-2</v>
      </c>
      <c r="BY124" s="305">
        <f t="shared" si="605"/>
        <v>2.2039600305708108E-2</v>
      </c>
      <c r="BZ124" s="305">
        <f t="shared" si="605"/>
        <v>2.197118737144858E-2</v>
      </c>
      <c r="CA124" s="305">
        <f t="shared" si="605"/>
        <v>2.1912437849032573E-2</v>
      </c>
      <c r="CB124" s="305">
        <f t="shared" si="605"/>
        <v>2.197955597745236E-2</v>
      </c>
      <c r="CC124" s="305">
        <f t="shared" si="605"/>
        <v>2.2039600305708104E-2</v>
      </c>
      <c r="CD124" s="305">
        <f t="shared" si="605"/>
        <v>2.197118737144858E-2</v>
      </c>
      <c r="CE124" s="305">
        <f t="shared" si="605"/>
        <v>2.1912437849032573E-2</v>
      </c>
      <c r="CF124" s="305">
        <f t="shared" si="605"/>
        <v>2.1979555977452363E-2</v>
      </c>
      <c r="CG124" s="305">
        <f t="shared" si="605"/>
        <v>2.2039600305708108E-2</v>
      </c>
      <c r="CH124" s="305">
        <f t="shared" si="605"/>
        <v>2.1971187371448583E-2</v>
      </c>
      <c r="CI124" s="305">
        <f t="shared" si="605"/>
        <v>2.1912437849032573E-2</v>
      </c>
      <c r="CJ124" s="305">
        <f t="shared" si="605"/>
        <v>2.1979555977452363E-2</v>
      </c>
      <c r="CK124" s="305">
        <f t="shared" si="605"/>
        <v>2.2039600305708104E-2</v>
      </c>
      <c r="CL124" s="305">
        <f t="shared" ref="CL124:CP124" si="606">-CL130/CL123</f>
        <v>2.1971187371448576E-2</v>
      </c>
      <c r="CM124" s="305">
        <f t="shared" si="606"/>
        <v>2.1912437849032573E-2</v>
      </c>
      <c r="CN124" s="305">
        <f t="shared" si="606"/>
        <v>2.197955597745236E-2</v>
      </c>
      <c r="CO124" s="305">
        <f t="shared" si="606"/>
        <v>2.2039600305708104E-2</v>
      </c>
      <c r="CP124" s="305">
        <f t="shared" si="606"/>
        <v>2.1971187371448576E-2</v>
      </c>
      <c r="CQ124" s="305">
        <f t="shared" ref="CQ124:CT124" si="607">-CQ130/CQ123</f>
        <v>2.1912437849032577E-2</v>
      </c>
      <c r="CR124" s="305">
        <f t="shared" si="607"/>
        <v>2.197955597745236E-2</v>
      </c>
      <c r="CS124" s="305">
        <f t="shared" si="607"/>
        <v>2.2039600305708104E-2</v>
      </c>
      <c r="CT124" s="305">
        <f t="shared" si="607"/>
        <v>2.197118737144858E-2</v>
      </c>
      <c r="CU124" s="305">
        <f t="shared" ref="CU124:CW124" si="608">-CU130/CU123</f>
        <v>2.1912437849032577E-2</v>
      </c>
      <c r="CV124" s="305">
        <f t="shared" si="608"/>
        <v>2.1979555977452363E-2</v>
      </c>
      <c r="CW124" s="305">
        <f t="shared" si="608"/>
        <v>2.2039600305708104E-2</v>
      </c>
    </row>
    <row r="125" spans="1:101">
      <c r="A125" s="535" t="s">
        <v>981</v>
      </c>
      <c r="B125" s="84"/>
      <c r="C125" s="84">
        <f>(1+Inputs!C$15)^(1/4)-1</f>
        <v>1.1669152699110397E-2</v>
      </c>
      <c r="D125" s="84">
        <f>(1+Inputs!D$15)^(1/4)-1</f>
        <v>1.1064990499148664E-2</v>
      </c>
      <c r="E125" s="84">
        <f>(1+Inputs!E$15)^(1/4)-1</f>
        <v>1.1064990499148664E-2</v>
      </c>
      <c r="F125" s="84">
        <f>(1+Inputs!F$15)^(1/4)-1</f>
        <v>1.1064990499148664E-2</v>
      </c>
      <c r="G125" s="84">
        <f>(1+Inputs!G$15)^(1/4)-1</f>
        <v>1.1064990499148664E-2</v>
      </c>
      <c r="H125" s="84">
        <f>(1+Inputs!H$15)^(1/4)-1</f>
        <v>1.1064990499148664E-2</v>
      </c>
      <c r="I125" s="84">
        <f>(1+Inputs!I$15)^(1/4)-1</f>
        <v>1.1064990499148664E-2</v>
      </c>
      <c r="J125" s="84">
        <f>(1+Inputs!J$15)^(1/4)-1</f>
        <v>1.1064990499148664E-2</v>
      </c>
      <c r="K125" s="84">
        <f>(1+Inputs!K$15)^(1/4)-1</f>
        <v>1.1064990499148664E-2</v>
      </c>
      <c r="L125" s="84">
        <f>(1+Inputs!L$15)^(1/4)-1</f>
        <v>1.1064990499148664E-2</v>
      </c>
      <c r="M125" s="84">
        <f>(1+Inputs!M$15)^(1/4)-1</f>
        <v>1.1064990499148664E-2</v>
      </c>
      <c r="N125" s="84">
        <f>(1+Inputs!N$15)^(1/4)-1</f>
        <v>1.1064990499148664E-2</v>
      </c>
      <c r="O125" s="84">
        <f>(1+Inputs!O$15)^(1/4)-1</f>
        <v>1.1064990499148664E-2</v>
      </c>
      <c r="P125" s="84">
        <f>(1+Inputs!P$15)^(1/4)-1</f>
        <v>1.1064990499148664E-2</v>
      </c>
      <c r="Q125" s="84">
        <f>(1+Inputs!Q$15)^(1/4)-1</f>
        <v>1.1064990499148664E-2</v>
      </c>
      <c r="R125" s="84">
        <f>(1+Inputs!R$15)^(1/4)-1</f>
        <v>9.8534065489688238E-3</v>
      </c>
      <c r="S125" s="84">
        <f>(1+Inputs!S$15)^(1/4)-1</f>
        <v>9.8534065489688238E-3</v>
      </c>
      <c r="T125" s="84">
        <f>(1+Inputs!T$15)^(1/4)-1</f>
        <v>9.2459756536897864E-3</v>
      </c>
      <c r="U125" s="84">
        <f>(1+Inputs!U$15)^(1/4)-1</f>
        <v>8.6374459977134332E-3</v>
      </c>
      <c r="V125" s="84">
        <f>(1+Inputs!V$15)^(1/4)-1</f>
        <v>8.6374459977134332E-3</v>
      </c>
      <c r="W125" s="84">
        <f>(1+Inputs!W$15)^(1/4)-1</f>
        <v>7.4170717777328754E-3</v>
      </c>
      <c r="X125" s="84">
        <f>(1+Inputs!X$15)^(1/4)-1</f>
        <v>7.4170717777328754E-3</v>
      </c>
      <c r="Y125" s="84">
        <f>(1+Inputs!Y$15)^(1/4)-1</f>
        <v>7.4170717777328754E-3</v>
      </c>
      <c r="Z125" s="84">
        <f>(1+Inputs!Z$15)^(1/4)-1</f>
        <v>7.4170717777328754E-3</v>
      </c>
      <c r="AA125" s="84">
        <f>(1+Inputs!AA$15)^(1/4)-1</f>
        <v>7.4170717777328754E-3</v>
      </c>
      <c r="AB125" s="84">
        <f>(1+Inputs!AB$15)^(1/4)-1</f>
        <v>7.4170717777328754E-3</v>
      </c>
      <c r="AC125" s="84">
        <f>(1+Inputs!AC$15)^(1/4)-1</f>
        <v>8.0278129323012593E-3</v>
      </c>
      <c r="AD125" s="84">
        <f>(1+Inputs!AD$15)^(1/4)-1</f>
        <v>9.2459756536897864E-3</v>
      </c>
      <c r="AE125" s="84">
        <f>(1+Inputs!AE$15)^(1/4)-1</f>
        <v>1.0459743301585833E-2</v>
      </c>
      <c r="AF125" s="84">
        <f>(1+Inputs!AF$15)^(1/4)-1</f>
        <v>1.1669152699110397E-2</v>
      </c>
      <c r="AG125" s="84">
        <f>(1+Inputs!AG$15)^(1/4)-1</f>
        <v>1.4075041631612439E-2</v>
      </c>
      <c r="AH125" s="84">
        <f>(1+Inputs!AH$15)^(1/4)-1</f>
        <v>1.586828478278357E-2</v>
      </c>
      <c r="AI125" s="84">
        <f>(1+Inputs!AI$15)^(1/4)-1</f>
        <v>1.7058525001811375E-2</v>
      </c>
      <c r="AJ125" s="84">
        <f>(1+Inputs!AJ$15)^(1/4)-1</f>
        <v>1.7058525001811375E-2</v>
      </c>
      <c r="AK125" s="84">
        <f>(1+Inputs!AK$15)^(1/4)-1</f>
        <v>1.7652081440606482E-2</v>
      </c>
      <c r="AL125" s="84">
        <f>(1+Inputs!AL$15)^(1/4)-1</f>
        <v>1.8244601098569957E-2</v>
      </c>
      <c r="AM125" s="84">
        <f>(1+Inputs!AM$15)^(1/4)-1</f>
        <v>1.8836088191488631E-2</v>
      </c>
      <c r="AN125" s="84">
        <f>(1+Inputs!AN$15)^(1/4)-1</f>
        <v>1.8836088191488631E-2</v>
      </c>
      <c r="AO125" s="84">
        <f>(1+Inputs!AO$15)^(1/4)-1</f>
        <v>2.0015981411193762E-2</v>
      </c>
      <c r="AP125" s="84">
        <f>(1+Inputs!AP$15)^(1/4)-1</f>
        <v>2.0015981411193762E-2</v>
      </c>
      <c r="AQ125" s="84">
        <f>(1+Inputs!AQ$15)^(1/4)-1</f>
        <v>2.0015981411193762E-2</v>
      </c>
      <c r="AR125" s="84">
        <f>(1+Inputs!AR$15)^(1/4)-1</f>
        <v>1.8836088191488631E-2</v>
      </c>
      <c r="AS125" s="84">
        <f>(1+Inputs!AS$15)^(1/4)-1</f>
        <v>1.7652081440606482E-2</v>
      </c>
      <c r="AT125" s="84">
        <f>(1+Inputs!AT$15)^(1/4)-1</f>
        <v>1.586828478278357E-2</v>
      </c>
      <c r="AU125" s="84">
        <f>(1+Inputs!AU$15)^(1/4)-1</f>
        <v>1.2272234429039353E-2</v>
      </c>
      <c r="AV125" s="84">
        <f>(1+Inputs!AV$15)^(1/4)-1</f>
        <v>1.0459743301585833E-2</v>
      </c>
      <c r="AW125" s="84">
        <f>(1+Inputs!AW$15)^(1/4)-1</f>
        <v>1.0459743301585833E-2</v>
      </c>
      <c r="AX125" s="84">
        <f>(1+Inputs!AX$15)^(1/4)-1</f>
        <v>9.8534065489688238E-3</v>
      </c>
      <c r="AY125" s="84">
        <f>(1+Inputs!AY$15)^(1/4)-1</f>
        <v>1.0459743301585833E-2</v>
      </c>
      <c r="AZ125" s="84">
        <f>(1+Inputs!AZ$15)^(1/4)-1</f>
        <v>1.1064990499148664E-2</v>
      </c>
      <c r="BA125" s="84">
        <f>(1+Inputs!BA$15)^(1/4)-1</f>
        <v>1.3475174441242466E-2</v>
      </c>
      <c r="BB125" s="84">
        <f>(1+Inputs!BB$15)^(1/4)-1</f>
        <v>1.586828478278357E-2</v>
      </c>
      <c r="BC125" s="84">
        <f>(1+Inputs!BC$15)^(1/4)-1</f>
        <v>1.8836088191488631E-2</v>
      </c>
      <c r="BD125" s="84">
        <f>(1+Inputs!BD$15)^(1/4)-1</f>
        <v>2.2363559609957839E-2</v>
      </c>
      <c r="BE125" s="84">
        <f>(1+Inputs!BE$15)^(1/4)-1</f>
        <v>2.5275476192341051E-2</v>
      </c>
      <c r="BF125" s="84">
        <f>(1+Inputs!BF$15)^(1/4)-1</f>
        <v>2.7010786450877289E-2</v>
      </c>
      <c r="BG125" s="84">
        <f>(1+Inputs!BG$15)^(1/4)-1</f>
        <v>2.7010786450877289E-2</v>
      </c>
      <c r="BH125" s="84">
        <f>(1+Inputs!BH$15)^(1/4)-1</f>
        <v>2.7010786450877289E-2</v>
      </c>
      <c r="BI125" s="84">
        <f>(1+Inputs!BI$15)^(1/4)-1</f>
        <v>2.7010786450877289E-2</v>
      </c>
      <c r="BJ125" s="84">
        <f>(1+Inputs!BJ$15)^(1/4)-1</f>
        <v>2.6433327247938676E-2</v>
      </c>
      <c r="BK125" s="801">
        <f>(1+Inputs!BK$15)^(1/4)-1</f>
        <v>2.5854891781707856E-2</v>
      </c>
      <c r="BL125" s="305">
        <f>(1+Inputs!BL$15)^(1/4)-1</f>
        <v>2.4695076595959931E-2</v>
      </c>
      <c r="BM125" s="305">
        <f>(1+Inputs!BM$15)^(1/4)-1</f>
        <v>2.3531309725231653E-2</v>
      </c>
      <c r="BN125" s="305">
        <f>(1+Inputs!BN$15)^(1/4)-1</f>
        <v>2.2363559609957839E-2</v>
      </c>
      <c r="BO125" s="305">
        <f>(1+Inputs!BO$15)^(1/4)-1</f>
        <v>2.1191794292683586E-2</v>
      </c>
      <c r="BP125" s="305">
        <f>(1+Inputs!BP$15)^(1/4)-1</f>
        <v>2.0015981411193762E-2</v>
      </c>
      <c r="BQ125" s="305">
        <f>(1+Inputs!BQ$15)^(1/4)-1</f>
        <v>1.8836088191488631E-2</v>
      </c>
      <c r="BR125" s="305">
        <f>(1+Inputs!BR$15)^(1/4)-1</f>
        <v>1.8836088191488631E-2</v>
      </c>
      <c r="BS125" s="305">
        <f>(1+Inputs!BS$15)^(1/4)-1</f>
        <v>1.8836088191488631E-2</v>
      </c>
      <c r="BT125" s="305">
        <f>(1+Inputs!BT$15)^(1/4)-1</f>
        <v>1.8836088191488631E-2</v>
      </c>
      <c r="BU125" s="305">
        <f>(1+Inputs!BU$15)^(1/4)-1</f>
        <v>1.8836088191488631E-2</v>
      </c>
      <c r="BV125" s="305">
        <f>(1+Inputs!BV$15)^(1/4)-1</f>
        <v>1.8836088191488631E-2</v>
      </c>
      <c r="BW125" s="305">
        <f>(1+Inputs!BW$15)^(1/4)-1</f>
        <v>1.8836088191488631E-2</v>
      </c>
      <c r="BX125" s="305">
        <f>(1+Inputs!BX$15)^(1/4)-1</f>
        <v>1.8836088191488631E-2</v>
      </c>
      <c r="BY125" s="305">
        <f>(1+Inputs!BY$15)^(1/4)-1</f>
        <v>1.8836088191488631E-2</v>
      </c>
      <c r="BZ125" s="305">
        <f>(1+Inputs!BZ$15)^(1/4)-1</f>
        <v>1.8836088191488631E-2</v>
      </c>
      <c r="CA125" s="305">
        <f>(1+Inputs!CA$15)^(1/4)-1</f>
        <v>1.8836088191488631E-2</v>
      </c>
      <c r="CB125" s="305">
        <f>(1+Inputs!CB$15)^(1/4)-1</f>
        <v>1.8836088191488631E-2</v>
      </c>
      <c r="CC125" s="305">
        <f>(1+Inputs!CC$15)^(1/4)-1</f>
        <v>1.8836088191488631E-2</v>
      </c>
      <c r="CD125" s="305">
        <f>(1+Inputs!CD$15)^(1/4)-1</f>
        <v>1.8836088191488631E-2</v>
      </c>
      <c r="CE125" s="305">
        <f>(1+Inputs!CE$15)^(1/4)-1</f>
        <v>1.8836088191488631E-2</v>
      </c>
      <c r="CF125" s="305">
        <f>(1+Inputs!CF$15)^(1/4)-1</f>
        <v>1.8836088191488631E-2</v>
      </c>
      <c r="CG125" s="305">
        <f>(1+Inputs!CG$15)^(1/4)-1</f>
        <v>1.8836088191488631E-2</v>
      </c>
      <c r="CH125" s="305">
        <f>(1+Inputs!CH$15)^(1/4)-1</f>
        <v>1.8836088191488631E-2</v>
      </c>
      <c r="CI125" s="305">
        <f>(1+Inputs!CI$15)^(1/4)-1</f>
        <v>1.8836088191488631E-2</v>
      </c>
      <c r="CJ125" s="305">
        <f>(1+Inputs!CJ$15)^(1/4)-1</f>
        <v>1.8836088191488631E-2</v>
      </c>
      <c r="CK125" s="305">
        <f>(1+Inputs!CK$15)^(1/4)-1</f>
        <v>1.8836088191488631E-2</v>
      </c>
      <c r="CL125" s="305">
        <f>(1+Inputs!CL$15)^(1/4)-1</f>
        <v>1.8836088191488631E-2</v>
      </c>
      <c r="CM125" s="305">
        <f>(1+Inputs!CM$15)^(1/4)-1</f>
        <v>1.8836088191488631E-2</v>
      </c>
      <c r="CN125" s="305">
        <f>(1+Inputs!CN$15)^(1/4)-1</f>
        <v>1.8836088191488631E-2</v>
      </c>
      <c r="CO125" s="305">
        <f>(1+Inputs!CO$15)^(1/4)-1</f>
        <v>1.8836088191488631E-2</v>
      </c>
      <c r="CP125" s="305">
        <f>(1+Inputs!CP$15)^(1/4)-1</f>
        <v>1.8836088191488631E-2</v>
      </c>
      <c r="CQ125" s="305">
        <f>(1+Inputs!CQ$15)^(1/4)-1</f>
        <v>1.8836088191488631E-2</v>
      </c>
      <c r="CR125" s="305">
        <f>(1+Inputs!CR$15)^(1/4)-1</f>
        <v>1.8836088191488631E-2</v>
      </c>
      <c r="CS125" s="305">
        <f>(1+Inputs!CS$15)^(1/4)-1</f>
        <v>1.8836088191488631E-2</v>
      </c>
      <c r="CT125" s="305">
        <f>(1+Inputs!CT$15)^(1/4)-1</f>
        <v>1.8836088191488631E-2</v>
      </c>
      <c r="CU125" s="305">
        <f>(1+Inputs!CU$15)^(1/4)-1</f>
        <v>1.8836088191488631E-2</v>
      </c>
      <c r="CV125" s="305">
        <f>(1+Inputs!CV$15)^(1/4)-1</f>
        <v>1.8836088191488631E-2</v>
      </c>
      <c r="CW125" s="305">
        <f>(1+Inputs!CW$15)^(1/4)-1</f>
        <v>1.8836088191488631E-2</v>
      </c>
    </row>
    <row r="126" spans="1:101">
      <c r="A126" s="535" t="s">
        <v>1101</v>
      </c>
      <c r="B126" s="84"/>
      <c r="C126" s="84"/>
      <c r="D126" s="84"/>
      <c r="E126" s="84">
        <f>(1+Inputs!E$36)^(1/4)-1</f>
        <v>2.540303880931738E-3</v>
      </c>
      <c r="F126" s="84">
        <f>(1+Inputs!F$36)^(1/4)-1</f>
        <v>2.1601902811205775E-3</v>
      </c>
      <c r="G126" s="84">
        <f>(1+Inputs!G$36)^(1/4)-1</f>
        <v>2.8735404037794066E-3</v>
      </c>
      <c r="H126" s="84">
        <f>(1+Inputs!H$36)^(1/4)-1</f>
        <v>2.2281668403938415E-3</v>
      </c>
      <c r="I126" s="84">
        <f>(1+Inputs!I$36)^(1/4)-1</f>
        <v>1.9023894831962096E-3</v>
      </c>
      <c r="J126" s="84">
        <f>(1+Inputs!J$36)^(1/4)-1</f>
        <v>1.9784955842918617E-3</v>
      </c>
      <c r="K126" s="84">
        <f>(1+Inputs!K$36)^(1/4)-1</f>
        <v>1.8212684280374258E-3</v>
      </c>
      <c r="L126" s="84">
        <f>(1+Inputs!L$36)^(1/4)-1</f>
        <v>1.9749665535222505E-3</v>
      </c>
      <c r="M126" s="84">
        <f>(1+Inputs!M$36)^(1/4)-1</f>
        <v>2.593493233587818E-3</v>
      </c>
      <c r="N126" s="84">
        <f>(1+Inputs!N$36)^(1/4)-1</f>
        <v>2.6545364366858948E-3</v>
      </c>
      <c r="O126" s="84">
        <f>(1+Inputs!O$36)^(1/4)-1</f>
        <v>2.6623489634340913E-3</v>
      </c>
      <c r="P126" s="84">
        <f>(1+Inputs!P$36)^(1/4)-1</f>
        <v>2.5899210795632399E-3</v>
      </c>
      <c r="Q126" s="84">
        <f>(1+Inputs!Q$36)^(1/4)-1</f>
        <v>2.1406168253406133E-3</v>
      </c>
      <c r="R126" s="84">
        <f>(1+Inputs!R$36)^(1/4)-1</f>
        <v>1.8834223959454111E-3</v>
      </c>
      <c r="S126" s="84">
        <f>(1+Inputs!S$36)^(1/4)-1</f>
        <v>1.7103321406883865E-3</v>
      </c>
      <c r="T126" s="84">
        <f>(1+Inputs!T$36)^(1/4)-1</f>
        <v>1.6847377044264533E-3</v>
      </c>
      <c r="U126" s="84">
        <f>(1+Inputs!U$36)^(1/4)-1</f>
        <v>1.4321703933528607E-3</v>
      </c>
      <c r="V126" s="84">
        <f>(1+Inputs!V$36)^(1/4)-1</f>
        <v>1.3853684715137149E-3</v>
      </c>
      <c r="W126" s="84">
        <f>(1+Inputs!W$36)^(1/4)-1</f>
        <v>1.3358209889695605E-3</v>
      </c>
      <c r="X126" s="84">
        <f>(1+Inputs!X$36)^(1/4)-1</f>
        <v>1.4110107626965629E-3</v>
      </c>
      <c r="Y126" s="84">
        <f>(1+Inputs!Y$36)^(1/4)-1</f>
        <v>1.4077744656308955E-3</v>
      </c>
      <c r="Z126" s="84">
        <f>(1+Inputs!Z$36)^(1/4)-1</f>
        <v>1.6917023711733314E-3</v>
      </c>
      <c r="AA126" s="84">
        <f>(1+Inputs!AA$36)^(1/4)-1</f>
        <v>1.8389213310936459E-3</v>
      </c>
      <c r="AB126" s="84">
        <f>(1+Inputs!AB$36)^(1/4)-1</f>
        <v>2.1129189224866618E-3</v>
      </c>
      <c r="AC126" s="84">
        <f>(1+Inputs!AC$36)^(1/4)-1</f>
        <v>2.3947589524846435E-3</v>
      </c>
      <c r="AD126" s="84">
        <f>(1+Inputs!AD$36)^(1/4)-1</f>
        <v>2.8800341985992794E-3</v>
      </c>
      <c r="AE126" s="84">
        <f>(1+Inputs!AE$36)^(1/4)-1</f>
        <v>3.2417029494902216E-3</v>
      </c>
      <c r="AF126" s="84">
        <f>(1+Inputs!AF$36)^(1/4)-1</f>
        <v>3.8057195751846074E-3</v>
      </c>
      <c r="AG126" s="84">
        <f>(1+Inputs!AG$36)^(1/4)-1</f>
        <v>4.0492390349597951E-3</v>
      </c>
      <c r="AH126" s="84">
        <f>(1+Inputs!AH$36)^(1/4)-1</f>
        <v>4.3324632340433489E-3</v>
      </c>
      <c r="AI126" s="84">
        <f>(1+Inputs!AI$36)^(1/4)-1</f>
        <v>4.2714540037753768E-3</v>
      </c>
      <c r="AJ126" s="84">
        <f>(1+Inputs!AJ$36)^(1/4)-1</f>
        <v>4.2920137769444366E-3</v>
      </c>
      <c r="AK126" s="84">
        <f>(1+Inputs!AK$36)^(1/4)-1</f>
        <v>4.7907381571199448E-3</v>
      </c>
      <c r="AL126" s="84">
        <f>(1+Inputs!AL$36)^(1/4)-1</f>
        <v>6.0933058564283105E-3</v>
      </c>
      <c r="AM126" s="84">
        <f>(1+Inputs!AM$36)^(1/4)-1</f>
        <v>6.8152367326954622E-3</v>
      </c>
      <c r="AN126" s="84">
        <f>(1+Inputs!AN$36)^(1/4)-1</f>
        <v>6.9570616279033271E-3</v>
      </c>
      <c r="AO126" s="84">
        <f>(1+Inputs!AO$36)^(1/4)-1</f>
        <v>7.7121984031092161E-3</v>
      </c>
      <c r="AP126" s="84">
        <f>(1+Inputs!AP$36)^(1/4)-1</f>
        <v>7.7121984031092161E-3</v>
      </c>
      <c r="AQ126" s="84">
        <f>(1+Inputs!AQ$36)^(1/4)-1</f>
        <v>7.7121984031092161E-3</v>
      </c>
      <c r="AR126" s="84">
        <f>(1+Inputs!AR$36)^(1/4)-1</f>
        <v>7.7121984031092161E-3</v>
      </c>
      <c r="AS126" s="84">
        <f>(1+Inputs!AS$36)^(1/4)-1</f>
        <v>7.7121984031092161E-3</v>
      </c>
      <c r="AT126" s="84">
        <f>(1+Inputs!AT$36)^(1/4)-1</f>
        <v>7.7121984031092161E-3</v>
      </c>
      <c r="AU126" s="84">
        <f>(1+Inputs!AU$36)^(1/4)-1</f>
        <v>7.7121984031092161E-3</v>
      </c>
      <c r="AV126" s="84">
        <f>(1+Inputs!AV$36)^(1/4)-1</f>
        <v>7.7121984031092161E-3</v>
      </c>
      <c r="AW126" s="84">
        <f>(1+Inputs!AW$36)^(1/4)-1</f>
        <v>7.7121984031092161E-3</v>
      </c>
      <c r="AX126" s="84">
        <f>(1+Inputs!AX$36)^(1/4)-1</f>
        <v>7.7121984031092161E-3</v>
      </c>
      <c r="AY126" s="84">
        <f>(1+Inputs!AY$36)^(1/4)-1</f>
        <v>7.7121984031092161E-3</v>
      </c>
      <c r="AZ126" s="84">
        <f>(1+Inputs!AZ$36)^(1/4)-1</f>
        <v>7.7121984031092161E-3</v>
      </c>
      <c r="BA126" s="84">
        <f>(1+Inputs!BA$36)^(1/4)-1</f>
        <v>7.7121984031092161E-3</v>
      </c>
      <c r="BB126" s="84">
        <f>(1+Inputs!BB$36)^(1/4)-1</f>
        <v>7.7121984031092161E-3</v>
      </c>
      <c r="BC126" s="84">
        <f>(1+Inputs!BC$36)^(1/4)-1</f>
        <v>7.7121984031092161E-3</v>
      </c>
      <c r="BD126" s="84">
        <f>(1+Inputs!BD$36)^(1/4)-1</f>
        <v>7.7121984031092161E-3</v>
      </c>
      <c r="BE126" s="84">
        <f>(1+Inputs!BE$36)^(1/4)-1</f>
        <v>7.7121984031092161E-3</v>
      </c>
      <c r="BF126" s="84">
        <f>(1+Inputs!BF$36)^(1/4)-1</f>
        <v>7.7121984031092161E-3</v>
      </c>
      <c r="BG126" s="84">
        <f>(1+Inputs!BG$36)^(1/4)-1</f>
        <v>7.7121984031092161E-3</v>
      </c>
      <c r="BH126" s="84">
        <f>(1+Inputs!BH$36)^(1/4)-1</f>
        <v>7.7121984031092161E-3</v>
      </c>
      <c r="BI126" s="84">
        <f>(1+Inputs!BI$36)^(1/4)-1</f>
        <v>7.7121984031092161E-3</v>
      </c>
      <c r="BJ126" s="84">
        <f>(1+Inputs!BJ$36)^(1/4)-1</f>
        <v>7.7121984031092161E-3</v>
      </c>
      <c r="BK126" s="801">
        <f>(1+Inputs!BK$36)^(1/4)-1</f>
        <v>7.7121984031092161E-3</v>
      </c>
      <c r="BL126" s="305">
        <f>(1+Inputs!BL$36)^(1/4)-1</f>
        <v>7.7121984031092161E-3</v>
      </c>
      <c r="BM126" s="305">
        <f>(1+Inputs!BM$36)^(1/4)-1</f>
        <v>7.7121984031092161E-3</v>
      </c>
      <c r="BN126" s="305">
        <f>(1+Inputs!BN$36)^(1/4)-1</f>
        <v>7.7121984031092161E-3</v>
      </c>
      <c r="BO126" s="305">
        <f>(1+Inputs!BO$36)^(1/4)-1</f>
        <v>7.7121984031092161E-3</v>
      </c>
      <c r="BP126" s="305">
        <f>(1+Inputs!BP$36)^(1/4)-1</f>
        <v>7.7121984031092161E-3</v>
      </c>
      <c r="BQ126" s="305">
        <f>(1+Inputs!BQ$36)^(1/4)-1</f>
        <v>7.7121984031092161E-3</v>
      </c>
      <c r="BR126" s="305">
        <f>(1+Inputs!BR$36)^(1/4)-1</f>
        <v>7.7121984031092161E-3</v>
      </c>
      <c r="BS126" s="305">
        <f>(1+Inputs!BS$36)^(1/4)-1</f>
        <v>7.7121984031092161E-3</v>
      </c>
      <c r="BT126" s="305">
        <f>(1+Inputs!BT$36)^(1/4)-1</f>
        <v>7.7121984031092161E-3</v>
      </c>
      <c r="BU126" s="305">
        <f>(1+Inputs!BU$36)^(1/4)-1</f>
        <v>7.7121984031092161E-3</v>
      </c>
      <c r="BV126" s="305">
        <f>(1+Inputs!BV$36)^(1/4)-1</f>
        <v>7.7121984031092161E-3</v>
      </c>
      <c r="BW126" s="305">
        <f>(1+Inputs!BW$36)^(1/4)-1</f>
        <v>7.7121984031092161E-3</v>
      </c>
      <c r="BX126" s="305">
        <f>(1+Inputs!BX$36)^(1/4)-1</f>
        <v>7.7121984031092161E-3</v>
      </c>
      <c r="BY126" s="305">
        <f>(1+Inputs!BY$36)^(1/4)-1</f>
        <v>7.7121984031092161E-3</v>
      </c>
      <c r="BZ126" s="305">
        <f>(1+Inputs!BZ$36)^(1/4)-1</f>
        <v>7.7121984031092161E-3</v>
      </c>
      <c r="CA126" s="305">
        <f>(1+Inputs!CA$36)^(1/4)-1</f>
        <v>7.7121984031092161E-3</v>
      </c>
      <c r="CB126" s="305">
        <f>(1+Inputs!CB$36)^(1/4)-1</f>
        <v>7.7121984031092161E-3</v>
      </c>
      <c r="CC126" s="305">
        <f>(1+Inputs!CC$36)^(1/4)-1</f>
        <v>7.7121984031092161E-3</v>
      </c>
      <c r="CD126" s="305">
        <f>(1+Inputs!CD$36)^(1/4)-1</f>
        <v>7.7121984031092161E-3</v>
      </c>
      <c r="CE126" s="305">
        <f>(1+Inputs!CE$36)^(1/4)-1</f>
        <v>7.7121984031092161E-3</v>
      </c>
      <c r="CF126" s="305">
        <f>(1+Inputs!CF$36)^(1/4)-1</f>
        <v>7.7121984031092161E-3</v>
      </c>
      <c r="CG126" s="305">
        <f>(1+Inputs!CG$36)^(1/4)-1</f>
        <v>7.7121984031092161E-3</v>
      </c>
      <c r="CH126" s="305">
        <f>(1+Inputs!CH$36)^(1/4)-1</f>
        <v>7.7121984031092161E-3</v>
      </c>
      <c r="CI126" s="305">
        <f>(1+Inputs!CI$36)^(1/4)-1</f>
        <v>7.7121984031092161E-3</v>
      </c>
      <c r="CJ126" s="305">
        <f>(1+Inputs!CJ$36)^(1/4)-1</f>
        <v>7.7121984031092161E-3</v>
      </c>
      <c r="CK126" s="305">
        <f>(1+Inputs!CK$36)^(1/4)-1</f>
        <v>7.7121984031092161E-3</v>
      </c>
      <c r="CL126" s="305">
        <f>(1+Inputs!CL$36)^(1/4)-1</f>
        <v>7.7121984031092161E-3</v>
      </c>
      <c r="CM126" s="305">
        <f>(1+Inputs!CM$36)^(1/4)-1</f>
        <v>7.7121984031092161E-3</v>
      </c>
      <c r="CN126" s="305">
        <f>(1+Inputs!CN$36)^(1/4)-1</f>
        <v>7.7121984031092161E-3</v>
      </c>
      <c r="CO126" s="305">
        <f>(1+Inputs!CO$36)^(1/4)-1</f>
        <v>7.7121984031092161E-3</v>
      </c>
      <c r="CP126" s="305">
        <f>(1+Inputs!CP$36)^(1/4)-1</f>
        <v>7.7121984031092161E-3</v>
      </c>
      <c r="CQ126" s="305">
        <f>(1+Inputs!CQ$36)^(1/4)-1</f>
        <v>7.7121984031092161E-3</v>
      </c>
      <c r="CR126" s="305">
        <f>(1+Inputs!CR$36)^(1/4)-1</f>
        <v>7.7121984031092161E-3</v>
      </c>
      <c r="CS126" s="305">
        <f>(1+Inputs!CS$36)^(1/4)-1</f>
        <v>7.7121984031092161E-3</v>
      </c>
      <c r="CT126" s="305">
        <f>(1+Inputs!CT$36)^(1/4)-1</f>
        <v>7.7121984031092161E-3</v>
      </c>
      <c r="CU126" s="305">
        <f>(1+Inputs!CU$36)^(1/4)-1</f>
        <v>7.7121984031092161E-3</v>
      </c>
      <c r="CV126" s="305">
        <f>(1+Inputs!CV$36)^(1/4)-1</f>
        <v>7.7121984031092161E-3</v>
      </c>
      <c r="CW126" s="305">
        <f>(1+Inputs!CW$36)^(1/4)-1</f>
        <v>7.7121984031092161E-3</v>
      </c>
    </row>
    <row r="127" spans="1:101">
      <c r="A127" s="535" t="s">
        <v>1103</v>
      </c>
      <c r="B127" s="84"/>
      <c r="C127" s="84"/>
      <c r="D127" s="84"/>
      <c r="E127" s="84">
        <f>+BS!E52</f>
        <v>0</v>
      </c>
      <c r="F127" s="84">
        <f>+BS!F52</f>
        <v>0</v>
      </c>
      <c r="G127" s="84">
        <f>+BS!G52</f>
        <v>0</v>
      </c>
      <c r="H127" s="84">
        <f>+BS!H52</f>
        <v>0</v>
      </c>
      <c r="I127" s="84">
        <f>+BS!I52</f>
        <v>0</v>
      </c>
      <c r="J127" s="84">
        <f>+BS!J52</f>
        <v>0</v>
      </c>
      <c r="K127" s="84">
        <f>+BS!K52</f>
        <v>0</v>
      </c>
      <c r="L127" s="84">
        <f>+BS!L52</f>
        <v>0</v>
      </c>
      <c r="M127" s="84">
        <f>+BS!M52</f>
        <v>0</v>
      </c>
      <c r="N127" s="84">
        <f>+BS!N52</f>
        <v>0</v>
      </c>
      <c r="O127" s="84">
        <f>+BS!O52</f>
        <v>0</v>
      </c>
      <c r="P127" s="84">
        <f>+BS!P52</f>
        <v>0</v>
      </c>
      <c r="Q127" s="84">
        <f>+BS!Q52</f>
        <v>0</v>
      </c>
      <c r="R127" s="84">
        <f>+BS!R52</f>
        <v>0</v>
      </c>
      <c r="S127" s="84">
        <f>+BS!S52</f>
        <v>0</v>
      </c>
      <c r="T127" s="84">
        <f>+BS!T52</f>
        <v>0</v>
      </c>
      <c r="U127" s="84">
        <f>+BS!U52</f>
        <v>0</v>
      </c>
      <c r="V127" s="84">
        <f>+BS!V52</f>
        <v>0</v>
      </c>
      <c r="W127" s="84">
        <f>+BS!W52</f>
        <v>0</v>
      </c>
      <c r="X127" s="84">
        <f>+BS!X52</f>
        <v>0</v>
      </c>
      <c r="Y127" s="84">
        <f>+BS!Y52</f>
        <v>0.186</v>
      </c>
      <c r="Z127" s="84">
        <f>+BS!Z52</f>
        <v>0.16500000000000001</v>
      </c>
      <c r="AA127" s="84">
        <f>+BS!AA52</f>
        <v>0.16</v>
      </c>
      <c r="AB127" s="84">
        <f>+BS!AB52</f>
        <v>0.17</v>
      </c>
      <c r="AC127" s="84">
        <f>+BS!AC52</f>
        <v>0.17</v>
      </c>
      <c r="AD127" s="84">
        <f>+BS!AD52</f>
        <v>0.17</v>
      </c>
      <c r="AE127" s="84">
        <f>+BS!AE52</f>
        <v>0.16</v>
      </c>
      <c r="AF127" s="84">
        <f>+BS!AF52</f>
        <v>0.17</v>
      </c>
      <c r="AG127" s="84">
        <f>+BS!AG52</f>
        <v>0.15</v>
      </c>
      <c r="AH127" s="84">
        <f>+BS!AH52</f>
        <v>0.14000000000000001</v>
      </c>
      <c r="AI127" s="84">
        <f>+BS!AI52</f>
        <v>0.13</v>
      </c>
      <c r="AJ127" s="84">
        <f>+BS!AJ52</f>
        <v>0.13</v>
      </c>
      <c r="AK127" s="84">
        <f>+BS!AK52</f>
        <v>0.16</v>
      </c>
      <c r="AL127" s="84">
        <f>+BS!AL52</f>
        <v>0.15</v>
      </c>
      <c r="AM127" s="84">
        <f>+BS!AM52</f>
        <v>0.14000000000000001</v>
      </c>
      <c r="AN127" s="1162">
        <f>+BS!AN52</f>
        <v>0.13</v>
      </c>
      <c r="AO127" s="1162">
        <f>+BS!AO52</f>
        <v>0.38</v>
      </c>
      <c r="AP127" s="1162">
        <f>+BS!AP52</f>
        <v>0.4</v>
      </c>
      <c r="AQ127" s="1162">
        <f>+BS!AQ52</f>
        <v>0.39</v>
      </c>
      <c r="AR127" s="1162">
        <f>+BS!AR52</f>
        <v>0.4</v>
      </c>
      <c r="AS127" s="1162">
        <f>+BS!AS52</f>
        <v>0.38</v>
      </c>
      <c r="AT127" s="1162">
        <f>+BS!AT52</f>
        <v>0.43</v>
      </c>
      <c r="AU127" s="1162">
        <f>+BS!AU52</f>
        <v>0.43</v>
      </c>
      <c r="AV127" s="1162">
        <f>+BS!AV52</f>
        <v>0.44</v>
      </c>
      <c r="AW127" s="1162">
        <f>+BS!AW52</f>
        <v>0.42</v>
      </c>
      <c r="AX127" s="1162">
        <f>+BS!AX52</f>
        <v>0.41499999999999998</v>
      </c>
      <c r="AY127" s="1162">
        <f>+BS!AY52</f>
        <v>0.41</v>
      </c>
      <c r="AZ127" s="1162">
        <f>+BS!AZ52</f>
        <v>0.41</v>
      </c>
      <c r="BA127" s="1162">
        <f>+BS!BA52</f>
        <v>0.36</v>
      </c>
      <c r="BB127" s="1162">
        <f>+BS!BB52</f>
        <v>0.38</v>
      </c>
      <c r="BC127" s="1162">
        <f>+BS!BC52</f>
        <v>0.36</v>
      </c>
      <c r="BD127" s="1162">
        <f>+BS!BD52</f>
        <v>0.34</v>
      </c>
      <c r="BE127" s="1162">
        <f>+BS!BE52</f>
        <v>0.36</v>
      </c>
      <c r="BF127" s="1162">
        <f>+BS!BF52</f>
        <v>0.35</v>
      </c>
      <c r="BG127" s="1162">
        <f>+BS!BG52</f>
        <v>0.35</v>
      </c>
      <c r="BH127" s="1162">
        <f>+BS!BH52</f>
        <v>0.36</v>
      </c>
      <c r="BI127" s="1162">
        <f>+BS!BI52</f>
        <v>0.38</v>
      </c>
      <c r="BJ127" s="1162">
        <f>+BS!BJ52</f>
        <v>0.33</v>
      </c>
      <c r="BK127" s="1347">
        <f>+BS!BK52</f>
        <v>0.35</v>
      </c>
      <c r="BL127" s="2069">
        <v>0.35</v>
      </c>
      <c r="BM127" s="539">
        <f t="shared" ref="BM127:BQ127" si="609">+BL127</f>
        <v>0.35</v>
      </c>
      <c r="BN127" s="539">
        <f t="shared" si="609"/>
        <v>0.35</v>
      </c>
      <c r="BO127" s="539">
        <f t="shared" si="609"/>
        <v>0.35</v>
      </c>
      <c r="BP127" s="539">
        <f t="shared" si="609"/>
        <v>0.35</v>
      </c>
      <c r="BQ127" s="539">
        <f t="shared" si="609"/>
        <v>0.35</v>
      </c>
      <c r="BR127" s="539">
        <f t="shared" ref="BR127:CK127" si="610">+BQ127</f>
        <v>0.35</v>
      </c>
      <c r="BS127" s="539">
        <f t="shared" si="610"/>
        <v>0.35</v>
      </c>
      <c r="BT127" s="539">
        <f t="shared" si="610"/>
        <v>0.35</v>
      </c>
      <c r="BU127" s="539">
        <f t="shared" si="610"/>
        <v>0.35</v>
      </c>
      <c r="BV127" s="539">
        <f t="shared" si="610"/>
        <v>0.35</v>
      </c>
      <c r="BW127" s="539">
        <f t="shared" si="610"/>
        <v>0.35</v>
      </c>
      <c r="BX127" s="539">
        <f t="shared" si="610"/>
        <v>0.35</v>
      </c>
      <c r="BY127" s="539">
        <f t="shared" si="610"/>
        <v>0.35</v>
      </c>
      <c r="BZ127" s="539">
        <f t="shared" si="610"/>
        <v>0.35</v>
      </c>
      <c r="CA127" s="539">
        <f t="shared" si="610"/>
        <v>0.35</v>
      </c>
      <c r="CB127" s="539">
        <f t="shared" si="610"/>
        <v>0.35</v>
      </c>
      <c r="CC127" s="539">
        <f t="shared" si="610"/>
        <v>0.35</v>
      </c>
      <c r="CD127" s="539">
        <f t="shared" si="610"/>
        <v>0.35</v>
      </c>
      <c r="CE127" s="539">
        <f t="shared" si="610"/>
        <v>0.35</v>
      </c>
      <c r="CF127" s="539">
        <f t="shared" si="610"/>
        <v>0.35</v>
      </c>
      <c r="CG127" s="539">
        <f t="shared" si="610"/>
        <v>0.35</v>
      </c>
      <c r="CH127" s="539">
        <f t="shared" si="610"/>
        <v>0.35</v>
      </c>
      <c r="CI127" s="539">
        <f t="shared" si="610"/>
        <v>0.35</v>
      </c>
      <c r="CJ127" s="539">
        <f t="shared" si="610"/>
        <v>0.35</v>
      </c>
      <c r="CK127" s="539">
        <f t="shared" si="610"/>
        <v>0.35</v>
      </c>
      <c r="CL127" s="539">
        <f t="shared" ref="CL127" si="611">+CK127</f>
        <v>0.35</v>
      </c>
      <c r="CM127" s="539">
        <f t="shared" ref="CM127" si="612">+CL127</f>
        <v>0.35</v>
      </c>
      <c r="CN127" s="539">
        <f t="shared" ref="CN127" si="613">+CM127</f>
        <v>0.35</v>
      </c>
      <c r="CO127" s="539">
        <f t="shared" ref="CO127" si="614">+CN127</f>
        <v>0.35</v>
      </c>
      <c r="CP127" s="539">
        <f t="shared" ref="CP127" si="615">+CO127</f>
        <v>0.35</v>
      </c>
      <c r="CQ127" s="539">
        <f t="shared" ref="CQ127" si="616">+CP127</f>
        <v>0.35</v>
      </c>
      <c r="CR127" s="539">
        <f t="shared" ref="CR127" si="617">+CQ127</f>
        <v>0.35</v>
      </c>
      <c r="CS127" s="539">
        <f t="shared" ref="CS127" si="618">+CR127</f>
        <v>0.35</v>
      </c>
      <c r="CT127" s="539">
        <f t="shared" ref="CT127" si="619">+CS127</f>
        <v>0.35</v>
      </c>
      <c r="CU127" s="539">
        <f t="shared" ref="CU127" si="620">+CT127</f>
        <v>0.35</v>
      </c>
      <c r="CV127" s="539">
        <f t="shared" ref="CV127" si="621">+CU127</f>
        <v>0.35</v>
      </c>
      <c r="CW127" s="539">
        <f t="shared" ref="CW127" si="622">+CV127</f>
        <v>0.35</v>
      </c>
    </row>
    <row r="128" spans="1:101">
      <c r="A128" s="535" t="s">
        <v>1109</v>
      </c>
      <c r="B128" s="297"/>
      <c r="C128" s="297">
        <f t="shared" ref="C128:AM128" si="623">C124-(C127*C126+(1-C127)*C125)</f>
        <v>1.234848239185074E-2</v>
      </c>
      <c r="D128" s="297">
        <f t="shared" si="623"/>
        <v>1.3898541461275508E-2</v>
      </c>
      <c r="E128" s="297">
        <f t="shared" si="623"/>
        <v>2.1222785380044087E-2</v>
      </c>
      <c r="F128" s="297">
        <f t="shared" si="623"/>
        <v>1.3777127602835365E-2</v>
      </c>
      <c r="G128" s="297">
        <f t="shared" si="623"/>
        <v>1.2448322193037133E-2</v>
      </c>
      <c r="H128" s="297">
        <f t="shared" si="623"/>
        <v>1.4422040748244425E-2</v>
      </c>
      <c r="I128" s="297">
        <f t="shared" si="623"/>
        <v>1.4679503218710997E-2</v>
      </c>
      <c r="J128" s="297">
        <f t="shared" si="623"/>
        <v>1.0345181573109853E-2</v>
      </c>
      <c r="K128" s="297">
        <f t="shared" si="623"/>
        <v>2.0188661903827454E-2</v>
      </c>
      <c r="L128" s="297">
        <f t="shared" si="623"/>
        <v>1.0687286458680886E-2</v>
      </c>
      <c r="M128" s="297">
        <f t="shared" si="623"/>
        <v>9.9699729906530705E-3</v>
      </c>
      <c r="N128" s="297">
        <f t="shared" si="623"/>
        <v>2.7939564625624434E-3</v>
      </c>
      <c r="O128" s="297">
        <f t="shared" si="623"/>
        <v>7.746259169145675E-3</v>
      </c>
      <c r="P128" s="297">
        <f t="shared" si="623"/>
        <v>5.2516960156964061E-3</v>
      </c>
      <c r="Q128" s="297">
        <f t="shared" si="623"/>
        <v>1.1824883035506481E-2</v>
      </c>
      <c r="R128" s="297">
        <f t="shared" si="623"/>
        <v>1.1520970254196669E-2</v>
      </c>
      <c r="S128" s="297">
        <f t="shared" si="623"/>
        <v>6.6250451009842865E-3</v>
      </c>
      <c r="T128" s="297">
        <f t="shared" si="623"/>
        <v>7.4399436803763534E-3</v>
      </c>
      <c r="U128" s="297">
        <f t="shared" si="623"/>
        <v>7.6593221127157773E-3</v>
      </c>
      <c r="V128" s="297">
        <f t="shared" si="623"/>
        <v>1.0412507173141964E-2</v>
      </c>
      <c r="W128" s="297">
        <f t="shared" si="623"/>
        <v>2.5384284809606757E-2</v>
      </c>
      <c r="X128" s="297">
        <f t="shared" si="623"/>
        <v>6.5514828821938743E-3</v>
      </c>
      <c r="Y128" s="297">
        <f t="shared" si="623"/>
        <v>1.0675778033399745E-2</v>
      </c>
      <c r="Z128" s="297">
        <f t="shared" si="623"/>
        <v>1.0988676157943812E-2</v>
      </c>
      <c r="AA128" s="297">
        <f t="shared" si="623"/>
        <v>6.3561685328993424E-3</v>
      </c>
      <c r="AB128" s="297">
        <f t="shared" si="623"/>
        <v>9.9708046705590733E-3</v>
      </c>
      <c r="AC128" s="297">
        <f t="shared" si="623"/>
        <v>7.2276432157740763E-3</v>
      </c>
      <c r="AD128" s="297">
        <f t="shared" si="623"/>
        <v>3.8540195500145584E-3</v>
      </c>
      <c r="AE128" s="297">
        <f t="shared" si="623"/>
        <v>2.5576957040034497E-3</v>
      </c>
      <c r="AF128" s="297">
        <f t="shared" si="623"/>
        <v>2.1437762398014495E-3</v>
      </c>
      <c r="AG128" s="297">
        <f t="shared" si="623"/>
        <v>1.5686325894615251E-3</v>
      </c>
      <c r="AH128" s="297">
        <f t="shared" si="623"/>
        <v>1.3708023789523373E-3</v>
      </c>
      <c r="AI128" s="297">
        <f t="shared" si="623"/>
        <v>1.6691827335510549E-3</v>
      </c>
      <c r="AJ128" s="297">
        <f t="shared" si="623"/>
        <v>1.1355478232499706E-3</v>
      </c>
      <c r="AK128" s="297">
        <f t="shared" si="623"/>
        <v>3.0910271238640367E-4</v>
      </c>
      <c r="AL128" s="297">
        <f t="shared" si="623"/>
        <v>2.4797890634271208E-4</v>
      </c>
      <c r="AM128" s="297">
        <f t="shared" si="623"/>
        <v>1.8895861063576887E-3</v>
      </c>
      <c r="AN128" s="84">
        <f t="shared" ref="AN128:AT128" si="624">AN124-(AN127*AN126+(1-AN127)*AN125)</f>
        <v>4.2967501546174909E-3</v>
      </c>
      <c r="AO128" s="84">
        <f t="shared" si="624"/>
        <v>3.3990568068427967E-3</v>
      </c>
      <c r="AP128" s="84">
        <f t="shared" si="624"/>
        <v>8.2539251139595628E-4</v>
      </c>
      <c r="AQ128" s="84">
        <f t="shared" si="624"/>
        <v>-3.2738329328270421E-5</v>
      </c>
      <c r="AR128" s="84">
        <f t="shared" si="624"/>
        <v>4.3786441994662657E-3</v>
      </c>
      <c r="AS128" s="84">
        <f t="shared" si="624"/>
        <v>2.1021480607413805E-3</v>
      </c>
      <c r="AT128" s="84">
        <f t="shared" si="624"/>
        <v>3.0811614699819915E-3</v>
      </c>
      <c r="AU128" s="84">
        <f t="shared" ref="AU128:BC128" si="625">AU124-(AU127*AU126+(1-AU127)*AU125)</f>
        <v>4.7529259214956921E-3</v>
      </c>
      <c r="AV128" s="84">
        <f t="shared" si="625"/>
        <v>5.7237067557906422E-3</v>
      </c>
      <c r="AW128" s="84">
        <f t="shared" si="625"/>
        <v>6.2925522216384314E-3</v>
      </c>
      <c r="AX128" s="84">
        <f t="shared" si="625"/>
        <v>4.9771068081290986E-3</v>
      </c>
      <c r="AY128" s="84">
        <f t="shared" si="625"/>
        <v>5.3026169125465535E-3</v>
      </c>
      <c r="AZ128" s="84">
        <f t="shared" si="625"/>
        <v>5.0761983775902617E-3</v>
      </c>
      <c r="BA128" s="84">
        <f t="shared" si="625"/>
        <v>7.1154081378279783E-3</v>
      </c>
      <c r="BB128" s="84">
        <f t="shared" si="625"/>
        <v>6.1555405565603995E-3</v>
      </c>
      <c r="BC128" s="84">
        <f t="shared" si="625"/>
        <v>4.5248867588043792E-3</v>
      </c>
      <c r="BD128" s="84">
        <f t="shared" ref="BD128:BI128" si="626">BD124-(BD127*BD126+(1-BD127)*BD125)</f>
        <v>2.3604096224212369E-3</v>
      </c>
      <c r="BE128" s="84">
        <f t="shared" si="626"/>
        <v>-1.1138980682276617E-3</v>
      </c>
      <c r="BF128" s="84">
        <f t="shared" si="626"/>
        <v>4.6198787627450728E-3</v>
      </c>
      <c r="BG128" s="84">
        <f t="shared" si="626"/>
        <v>4.1979260073472177E-3</v>
      </c>
      <c r="BH128" s="84">
        <f t="shared" si="626"/>
        <v>2.868927565871749E-3</v>
      </c>
      <c r="BI128" s="84">
        <f t="shared" si="626"/>
        <v>-3.5453699103892705E-4</v>
      </c>
      <c r="BJ128" s="84">
        <f t="shared" ref="BJ128:BK128" si="627">BJ124-(BJ127*BJ126+(1-BJ127)*BJ125)</f>
        <v>4.5022088333819231E-3</v>
      </c>
      <c r="BK128" s="801">
        <f t="shared" si="627"/>
        <v>7.3148499550642516E-3</v>
      </c>
      <c r="BL128" s="2020">
        <f>BK128</f>
        <v>7.3148499550642516E-3</v>
      </c>
      <c r="BM128" s="2020">
        <v>6.4999999999999997E-3</v>
      </c>
      <c r="BN128" s="2020">
        <v>7.0000000000000001E-3</v>
      </c>
      <c r="BO128" s="2020">
        <v>7.0000000000000001E-3</v>
      </c>
      <c r="BP128" s="2020">
        <v>7.0000000000000001E-3</v>
      </c>
      <c r="BQ128" s="2020">
        <v>7.0000000000000001E-3</v>
      </c>
      <c r="BR128" s="539">
        <f>Inputs!BR227</f>
        <v>7.0000000000000001E-3</v>
      </c>
      <c r="BS128" s="539">
        <f>Inputs!BS227</f>
        <v>7.0000000000000001E-3</v>
      </c>
      <c r="BT128" s="539">
        <f>Inputs!BT227</f>
        <v>7.0000000000000001E-3</v>
      </c>
      <c r="BU128" s="539">
        <f>Inputs!BU227</f>
        <v>7.0000000000000001E-3</v>
      </c>
      <c r="BV128" s="539">
        <f>Inputs!BV227</f>
        <v>7.0000000000000001E-3</v>
      </c>
      <c r="BW128" s="539">
        <f>Inputs!BW227</f>
        <v>7.0000000000000001E-3</v>
      </c>
      <c r="BX128" s="539">
        <f>Inputs!BX227</f>
        <v>7.0000000000000001E-3</v>
      </c>
      <c r="BY128" s="539">
        <f>Inputs!BY227</f>
        <v>7.0000000000000001E-3</v>
      </c>
      <c r="BZ128" s="539">
        <f>Inputs!BZ227</f>
        <v>7.0000000000000001E-3</v>
      </c>
      <c r="CA128" s="539">
        <f>Inputs!CA227</f>
        <v>7.0000000000000001E-3</v>
      </c>
      <c r="CB128" s="539">
        <f>Inputs!CB227</f>
        <v>7.0000000000000001E-3</v>
      </c>
      <c r="CC128" s="539">
        <f>Inputs!CC227</f>
        <v>7.0000000000000001E-3</v>
      </c>
      <c r="CD128" s="539">
        <f>Inputs!CD227</f>
        <v>7.0000000000000001E-3</v>
      </c>
      <c r="CE128" s="539">
        <f>Inputs!CE227</f>
        <v>7.0000000000000001E-3</v>
      </c>
      <c r="CF128" s="539">
        <f>Inputs!CF227</f>
        <v>7.0000000000000001E-3</v>
      </c>
      <c r="CG128" s="539">
        <f>Inputs!CG227</f>
        <v>7.0000000000000001E-3</v>
      </c>
      <c r="CH128" s="539">
        <f>Inputs!CH227</f>
        <v>7.0000000000000001E-3</v>
      </c>
      <c r="CI128" s="539">
        <f>Inputs!CI227</f>
        <v>7.0000000000000001E-3</v>
      </c>
      <c r="CJ128" s="539">
        <f>Inputs!CJ227</f>
        <v>7.0000000000000001E-3</v>
      </c>
      <c r="CK128" s="539">
        <f>Inputs!CK227</f>
        <v>7.0000000000000001E-3</v>
      </c>
      <c r="CL128" s="539">
        <f>Inputs!CL227</f>
        <v>7.0000000000000001E-3</v>
      </c>
      <c r="CM128" s="539">
        <f>Inputs!CM227</f>
        <v>7.0000000000000001E-3</v>
      </c>
      <c r="CN128" s="539">
        <f>Inputs!CN227</f>
        <v>7.0000000000000001E-3</v>
      </c>
      <c r="CO128" s="539">
        <f>Inputs!CO227</f>
        <v>7.0000000000000001E-3</v>
      </c>
      <c r="CP128" s="539">
        <f>Inputs!CP227</f>
        <v>7.0000000000000001E-3</v>
      </c>
      <c r="CQ128" s="539">
        <f>Inputs!CQ227</f>
        <v>7.0000000000000001E-3</v>
      </c>
      <c r="CR128" s="539">
        <f>Inputs!CR227</f>
        <v>7.0000000000000001E-3</v>
      </c>
      <c r="CS128" s="539">
        <f>Inputs!CS227</f>
        <v>7.0000000000000001E-3</v>
      </c>
      <c r="CT128" s="539">
        <f>Inputs!CT227</f>
        <v>7.0000000000000001E-3</v>
      </c>
      <c r="CU128" s="539">
        <f>Inputs!CU227</f>
        <v>7.0000000000000001E-3</v>
      </c>
      <c r="CV128" s="539">
        <f>Inputs!CV227</f>
        <v>7.0000000000000001E-3</v>
      </c>
      <c r="CW128" s="539">
        <f>Inputs!CW227</f>
        <v>7.0000000000000001E-3</v>
      </c>
    </row>
    <row r="129" spans="1:102">
      <c r="A129" s="4" t="s">
        <v>1114</v>
      </c>
      <c r="B129" s="39"/>
      <c r="C129" s="84">
        <f>+(1+C124)^4-1</f>
        <v>9.9587371871582953E-2</v>
      </c>
      <c r="D129" s="84">
        <f t="shared" ref="D129:BO129" si="628">+(1+D124)^4-1</f>
        <v>0.1036558106485459</v>
      </c>
      <c r="E129" s="84">
        <f t="shared" si="628"/>
        <v>0.13554183323762903</v>
      </c>
      <c r="F129" s="84">
        <f t="shared" si="628"/>
        <v>0.10313296159718788</v>
      </c>
      <c r="G129" s="84">
        <f t="shared" si="628"/>
        <v>9.7422811456236991E-2</v>
      </c>
      <c r="H129" s="84">
        <f t="shared" si="628"/>
        <v>0.10591230388224626</v>
      </c>
      <c r="I129" s="84">
        <f t="shared" si="628"/>
        <v>0.10702333952287568</v>
      </c>
      <c r="J129" s="84">
        <f t="shared" si="628"/>
        <v>8.8430528527823737E-2</v>
      </c>
      <c r="K129" s="84">
        <f t="shared" si="628"/>
        <v>0.13099842158240516</v>
      </c>
      <c r="L129" s="84">
        <f t="shared" si="628"/>
        <v>8.9889470394847626E-2</v>
      </c>
      <c r="M129" s="84">
        <f t="shared" si="628"/>
        <v>8.6832097207751646E-2</v>
      </c>
      <c r="N129" s="84">
        <f t="shared" si="628"/>
        <v>5.6598894777762254E-2</v>
      </c>
      <c r="O129" s="84">
        <f t="shared" si="628"/>
        <v>7.7394929006328272E-2</v>
      </c>
      <c r="P129" s="84">
        <f t="shared" si="628"/>
        <v>6.6881598736765913E-2</v>
      </c>
      <c r="Q129" s="84">
        <f t="shared" si="628"/>
        <v>9.4751418780091079E-2</v>
      </c>
      <c r="R129" s="84">
        <f t="shared" si="628"/>
        <v>8.8277960571447656E-2</v>
      </c>
      <c r="S129" s="84">
        <f t="shared" si="628"/>
        <v>6.7561014739558445E-2</v>
      </c>
      <c r="T129" s="84">
        <f t="shared" si="628"/>
        <v>6.843285704628288E-2</v>
      </c>
      <c r="U129" s="84">
        <f t="shared" si="628"/>
        <v>6.6797963567867713E-2</v>
      </c>
      <c r="V129" s="84">
        <f t="shared" si="628"/>
        <v>7.8405001641789429E-2</v>
      </c>
      <c r="W129" s="84">
        <f t="shared" si="628"/>
        <v>0.13780332565875364</v>
      </c>
      <c r="X129" s="84">
        <f t="shared" si="628"/>
        <v>5.7055882034004357E-2</v>
      </c>
      <c r="Y129" s="84">
        <f t="shared" si="628"/>
        <v>6.9649059219806686E-2</v>
      </c>
      <c r="Z129" s="84">
        <f t="shared" si="628"/>
        <v>7.1694967726007031E-2</v>
      </c>
      <c r="AA129" s="84">
        <f t="shared" si="628"/>
        <v>5.2527001025529874E-2</v>
      </c>
      <c r="AB129" s="84">
        <f t="shared" si="628"/>
        <v>6.7593441979429958E-2</v>
      </c>
      <c r="AC129" s="84">
        <f t="shared" si="628"/>
        <v>5.8429650050264348E-2</v>
      </c>
      <c r="AD129" s="84">
        <f t="shared" si="628"/>
        <v>4.8944667223265625E-2</v>
      </c>
      <c r="AE129" s="84">
        <f t="shared" si="628"/>
        <v>4.8301228117918038E-2</v>
      </c>
      <c r="AF129" s="84">
        <f t="shared" si="628"/>
        <v>5.0846298527817524E-2</v>
      </c>
      <c r="AG129" s="84">
        <f t="shared" si="628"/>
        <v>5.7770167727422939E-2</v>
      </c>
      <c r="AH129" s="84">
        <f t="shared" si="628"/>
        <v>6.3976274023372692E-2</v>
      </c>
      <c r="AI129" s="84">
        <f t="shared" si="628"/>
        <v>7.0028883385694796E-2</v>
      </c>
      <c r="AJ129" s="84">
        <f t="shared" si="628"/>
        <v>6.7796184941153026E-2</v>
      </c>
      <c r="AK129" s="84">
        <f t="shared" si="628"/>
        <v>6.5147132733829105E-2</v>
      </c>
      <c r="AL129" s="84">
        <f t="shared" si="628"/>
        <v>6.8365459884478286E-2</v>
      </c>
      <c r="AM129" s="84">
        <f t="shared" si="628"/>
        <v>7.8374532633949334E-2</v>
      </c>
      <c r="AN129" s="84">
        <f t="shared" si="628"/>
        <v>8.9191120389719991E-2</v>
      </c>
      <c r="AO129" s="84">
        <f t="shared" ref="AO129:BC129" si="629">+(1+AO124)^4-1</f>
        <v>7.7091885162494878E-2</v>
      </c>
      <c r="AP129" s="84">
        <f t="shared" si="629"/>
        <v>6.5216297945348778E-2</v>
      </c>
      <c r="AQ129" s="84">
        <f t="shared" si="629"/>
        <v>6.2136592065970442E-2</v>
      </c>
      <c r="AR129" s="84">
        <f t="shared" si="629"/>
        <v>7.7200052253307838E-2</v>
      </c>
      <c r="AS129" s="84">
        <f t="shared" si="629"/>
        <v>6.5456275973081013E-2</v>
      </c>
      <c r="AT129" s="84">
        <f t="shared" si="629"/>
        <v>6.3214896326467152E-2</v>
      </c>
      <c r="AU129" s="84">
        <f t="shared" si="629"/>
        <v>6.1632712330488726E-2</v>
      </c>
      <c r="AV129" s="84">
        <f t="shared" si="629"/>
        <v>6.1257022185338794E-2</v>
      </c>
      <c r="AW129" s="84">
        <f t="shared" si="629"/>
        <v>6.3868393408642588E-2</v>
      </c>
      <c r="AX129" s="84">
        <f t="shared" si="629"/>
        <v>5.6944787089075355E-2</v>
      </c>
      <c r="AY129" s="84">
        <f t="shared" si="629"/>
        <v>5.9841305205272421E-2</v>
      </c>
      <c r="AZ129" s="84">
        <f t="shared" si="629"/>
        <v>6.0387408395152553E-2</v>
      </c>
      <c r="BA129" s="84">
        <f t="shared" si="629"/>
        <v>7.6146188070052467E-2</v>
      </c>
      <c r="BB129" s="84">
        <f t="shared" si="629"/>
        <v>7.7874111651824451E-2</v>
      </c>
      <c r="BC129" s="84">
        <f t="shared" si="629"/>
        <v>7.9702663267606999E-2</v>
      </c>
      <c r="BD129" s="84">
        <f t="shared" ref="BD129:BI129" si="630">+(1+BD124)^4-1</f>
        <v>8.1339556840362981E-2</v>
      </c>
      <c r="BE129" s="84">
        <f t="shared" si="630"/>
        <v>7.3287336899173106E-2</v>
      </c>
      <c r="BF129" s="84">
        <f t="shared" si="630"/>
        <v>0.10327953615676799</v>
      </c>
      <c r="BG129" s="84">
        <f t="shared" si="630"/>
        <v>0.10146372878123144</v>
      </c>
      <c r="BH129" s="84">
        <f t="shared" si="630"/>
        <v>9.4932725772169935E-2</v>
      </c>
      <c r="BI129" s="84">
        <f t="shared" si="630"/>
        <v>7.9560361964136517E-2</v>
      </c>
      <c r="BJ129" s="84">
        <f t="shared" ref="BJ129:BK129" si="631">+(1+BJ124)^4-1</f>
        <v>0.10276895096548122</v>
      </c>
      <c r="BK129" s="801">
        <f t="shared" si="631"/>
        <v>0.11167268943951103</v>
      </c>
      <c r="BL129" s="305">
        <f t="shared" si="628"/>
        <v>0.10929032278300843</v>
      </c>
      <c r="BM129" s="305">
        <f t="shared" si="628"/>
        <v>0.10252827255898112</v>
      </c>
      <c r="BN129" s="305">
        <f t="shared" si="628"/>
        <v>0.10094039169884872</v>
      </c>
      <c r="BO129" s="305">
        <f t="shared" si="628"/>
        <v>9.7670703417823912E-2</v>
      </c>
      <c r="BP129" s="305">
        <f>+(1+BP124)^4-1</f>
        <v>9.4137706264128651E-2</v>
      </c>
      <c r="BQ129" s="305">
        <f>+(1+BQ124)^4-1</f>
        <v>9.1115923472685489E-2</v>
      </c>
      <c r="BR129" s="305">
        <f t="shared" ref="BR129:CK129" si="632">+(1+BR124)^4-1</f>
        <v>9.0823805839405303E-2</v>
      </c>
      <c r="BS129" s="305">
        <f t="shared" si="632"/>
        <v>9.0572997000279765E-2</v>
      </c>
      <c r="BT129" s="305">
        <f t="shared" si="632"/>
        <v>9.0859535953490056E-2</v>
      </c>
      <c r="BU129" s="305">
        <f t="shared" si="632"/>
        <v>9.1115923472685489E-2</v>
      </c>
      <c r="BV129" s="305">
        <f t="shared" si="632"/>
        <v>9.0823805839405303E-2</v>
      </c>
      <c r="BW129" s="305">
        <f t="shared" si="632"/>
        <v>9.0572997000279765E-2</v>
      </c>
      <c r="BX129" s="305">
        <f t="shared" si="632"/>
        <v>9.0859535953490056E-2</v>
      </c>
      <c r="BY129" s="305">
        <f t="shared" si="632"/>
        <v>9.1115923472685489E-2</v>
      </c>
      <c r="BZ129" s="305">
        <f t="shared" si="632"/>
        <v>9.0823805839405303E-2</v>
      </c>
      <c r="CA129" s="305">
        <f t="shared" si="632"/>
        <v>9.0572997000279765E-2</v>
      </c>
      <c r="CB129" s="305">
        <f t="shared" si="632"/>
        <v>9.0859535953490056E-2</v>
      </c>
      <c r="CC129" s="305">
        <f t="shared" si="632"/>
        <v>9.1115923472685489E-2</v>
      </c>
      <c r="CD129" s="305">
        <f t="shared" si="632"/>
        <v>9.0823805839405303E-2</v>
      </c>
      <c r="CE129" s="305">
        <f t="shared" si="632"/>
        <v>9.0572997000279765E-2</v>
      </c>
      <c r="CF129" s="305">
        <f t="shared" si="632"/>
        <v>9.0859535953490056E-2</v>
      </c>
      <c r="CG129" s="305">
        <f t="shared" si="632"/>
        <v>9.1115923472685489E-2</v>
      </c>
      <c r="CH129" s="305">
        <f t="shared" si="632"/>
        <v>9.0823805839405303E-2</v>
      </c>
      <c r="CI129" s="305">
        <f t="shared" si="632"/>
        <v>9.0572997000279765E-2</v>
      </c>
      <c r="CJ129" s="305">
        <f t="shared" si="632"/>
        <v>9.0859535953490056E-2</v>
      </c>
      <c r="CK129" s="305">
        <f t="shared" si="632"/>
        <v>9.1115923472685489E-2</v>
      </c>
      <c r="CL129" s="305">
        <f t="shared" ref="CL129:CP129" si="633">+(1+CL124)^4-1</f>
        <v>9.0823805839405303E-2</v>
      </c>
      <c r="CM129" s="305">
        <f t="shared" si="633"/>
        <v>9.0572997000279765E-2</v>
      </c>
      <c r="CN129" s="305">
        <f t="shared" si="633"/>
        <v>9.0859535953490056E-2</v>
      </c>
      <c r="CO129" s="305">
        <f t="shared" si="633"/>
        <v>9.1115923472685489E-2</v>
      </c>
      <c r="CP129" s="305">
        <f t="shared" si="633"/>
        <v>9.0823805839405303E-2</v>
      </c>
      <c r="CQ129" s="305">
        <f t="shared" ref="CQ129:CT129" si="634">+(1+CQ124)^4-1</f>
        <v>9.0572997000279765E-2</v>
      </c>
      <c r="CR129" s="305">
        <f t="shared" si="634"/>
        <v>9.0859535953490056E-2</v>
      </c>
      <c r="CS129" s="305">
        <f t="shared" si="634"/>
        <v>9.1115923472685489E-2</v>
      </c>
      <c r="CT129" s="305">
        <f t="shared" si="634"/>
        <v>9.0823805839405303E-2</v>
      </c>
      <c r="CU129" s="305">
        <f t="shared" ref="CU129:CW129" si="635">+(1+CU124)^4-1</f>
        <v>9.0572997000279765E-2</v>
      </c>
      <c r="CV129" s="305">
        <f t="shared" si="635"/>
        <v>9.0859535953490056E-2</v>
      </c>
      <c r="CW129" s="305">
        <f t="shared" si="635"/>
        <v>9.1115923472685489E-2</v>
      </c>
    </row>
    <row r="130" spans="1:102" s="13" customFormat="1">
      <c r="A130" s="93" t="s">
        <v>982</v>
      </c>
      <c r="B130" s="87">
        <f>Q_Financials!B39</f>
        <v>-33.610999999999997</v>
      </c>
      <c r="C130" s="87">
        <f>Q_Financials!C39</f>
        <v>-32.805999999999997</v>
      </c>
      <c r="D130" s="87">
        <f>Q_Financials!D39</f>
        <v>-27.869</v>
      </c>
      <c r="E130" s="87">
        <f>Q_Financials!E39</f>
        <v>-28.202000000000002</v>
      </c>
      <c r="F130" s="87">
        <f>Q_Financials!F39</f>
        <v>-21.997</v>
      </c>
      <c r="G130" s="87">
        <f>Q_Financials!G39</f>
        <v>-22.183</v>
      </c>
      <c r="H130" s="87">
        <f>Q_Financials!H39</f>
        <v>-23.678000000000001</v>
      </c>
      <c r="I130" s="87">
        <f>Q_Financials!I39</f>
        <v>-24.367999999999999</v>
      </c>
      <c r="J130" s="87">
        <f>Q_Financials!J39</f>
        <v>-23.172999999999998</v>
      </c>
      <c r="K130" s="87">
        <f>Q_Financials!K39</f>
        <v>-36.500999999999998</v>
      </c>
      <c r="L130" s="87">
        <f>Q_Financials!L39</f>
        <v>-24.873000000000001</v>
      </c>
      <c r="M130" s="87">
        <f>Q_Financials!M39</f>
        <v>-46.457000000000001</v>
      </c>
      <c r="N130" s="87">
        <f>Q_Financials!N39</f>
        <v>-44.155000000000001</v>
      </c>
      <c r="O130" s="87">
        <f>Q_Financials!O39</f>
        <v>-56.817</v>
      </c>
      <c r="P130" s="87">
        <f>Q_Financials!P39</f>
        <v>-47.283000000000001</v>
      </c>
      <c r="Q130" s="87">
        <f>Q_Financials!Q39</f>
        <v>-49.805</v>
      </c>
      <c r="R130" s="87">
        <f>Q_Financials!R39</f>
        <v>-33.223999999999997</v>
      </c>
      <c r="S130" s="87">
        <f>Q_Financials!S39</f>
        <v>-36.155000000000001</v>
      </c>
      <c r="T130" s="87">
        <f>Q_Financials!T39</f>
        <v>-60.841000000000001</v>
      </c>
      <c r="U130" s="87">
        <f>Q_Financials!U39</f>
        <v>-72.126000000000005</v>
      </c>
      <c r="V130" s="87">
        <f>Q_Financials!V39</f>
        <v>-85.346000000000004</v>
      </c>
      <c r="W130" s="87">
        <f>Q_Financials!W39</f>
        <v>-175.83199999999999</v>
      </c>
      <c r="X130" s="87">
        <f>Q_Financials!X39</f>
        <v>-89.841999999999999</v>
      </c>
      <c r="Y130" s="87">
        <f>Q_Financials!Y39</f>
        <v>-143.00399999999999</v>
      </c>
      <c r="Z130" s="87">
        <f>Q_Financials!Z39</f>
        <v>-181.721</v>
      </c>
      <c r="AA130" s="87">
        <f>Q_Financials!AA39</f>
        <v>-143.4</v>
      </c>
      <c r="AB130" s="87">
        <f>Q_Financials!AB39</f>
        <v>-192.32900000000001</v>
      </c>
      <c r="AC130" s="87">
        <f>Q_Financials!AC39</f>
        <v>-162.93799999999999</v>
      </c>
      <c r="AD130" s="87">
        <f>Q_Financials!AD39</f>
        <v>-167.01499999999999</v>
      </c>
      <c r="AE130" s="87">
        <f>Q_Financials!AE39</f>
        <v>-203.68100000000001</v>
      </c>
      <c r="AF130" s="87">
        <f>Q_Financials!AF39</f>
        <v>-221.274</v>
      </c>
      <c r="AG130" s="87">
        <f>Q_Financials!AG39</f>
        <v>-252.61199999999999</v>
      </c>
      <c r="AH130" s="87">
        <f>Q_Financials!AH39</f>
        <v>-284.94600000000003</v>
      </c>
      <c r="AI130" s="87">
        <f>Q_Financials!AI39</f>
        <v>-327.48599999999999</v>
      </c>
      <c r="AJ130" s="87">
        <f>Q_Financials!AJ39</f>
        <v>-334.04700000000003</v>
      </c>
      <c r="AK130" s="87">
        <f>Q_Financials!AK39</f>
        <v>-316.00299999999999</v>
      </c>
      <c r="AL130" s="87">
        <f>Q_Financials!AL39</f>
        <v>-318.13299999999998</v>
      </c>
      <c r="AM130" s="87">
        <f>Q_Financials!AM39</f>
        <v>-369.80700000000002</v>
      </c>
      <c r="AN130" s="87">
        <f>Q_Financials!AN39</f>
        <v>-427.71199999999999</v>
      </c>
      <c r="AO130" s="87">
        <f>Q_Financials!AO39</f>
        <v>-455.76</v>
      </c>
      <c r="AP130" s="87">
        <f>Q_Financials!AP39</f>
        <v>-490.44100000000003</v>
      </c>
      <c r="AQ130" s="87">
        <f>Q_Financials!AQ39</f>
        <v>-481.32600000000002</v>
      </c>
      <c r="AR130" s="87">
        <f>Q_Financials!AR39</f>
        <v>-570.52800000000002</v>
      </c>
      <c r="AS130" s="87">
        <f>Q_Financials!AS39</f>
        <v>-481.80599999999998</v>
      </c>
      <c r="AT130" s="951">
        <f>Q_Financials!AT39</f>
        <v>-493.89499999999998</v>
      </c>
      <c r="AU130" s="951">
        <f>Q_Financials!AU39</f>
        <v>-529.77</v>
      </c>
      <c r="AV130" s="951">
        <f>Q_Financials!AV39</f>
        <v>-545.10699999999997</v>
      </c>
      <c r="AW130" s="951">
        <f>Q_Financials!AW39</f>
        <v>-590.31000000000006</v>
      </c>
      <c r="AX130" s="951">
        <f>Q_Financials!AX39</f>
        <v>-548.20699999999988</v>
      </c>
      <c r="AY130" s="951">
        <f>Q_Financials!AY39</f>
        <v>-569.404</v>
      </c>
      <c r="AZ130" s="951">
        <f>Q_Financials!AZ39</f>
        <v>-572.85599999999999</v>
      </c>
      <c r="BA130" s="951">
        <f>Q_Financials!BA39</f>
        <v>-690.82099999999991</v>
      </c>
      <c r="BB130" s="951">
        <f>Q_Financials!BB39</f>
        <v>-667.23099999999999</v>
      </c>
      <c r="BC130" s="951">
        <f>Q_Financials!BC39</f>
        <v>-667.68799999999999</v>
      </c>
      <c r="BD130" s="951">
        <f>Q_Financials!BD39</f>
        <v>-660.49800000000005</v>
      </c>
      <c r="BE130" s="951">
        <f>Q_Financials!BE39</f>
        <v>-581.62899999999991</v>
      </c>
      <c r="BF130" s="951">
        <f>Q_Financials!BF39</f>
        <v>-808.18500000000006</v>
      </c>
      <c r="BG130" s="951">
        <f>Q_Financials!BG39</f>
        <v>-794.15700000000004</v>
      </c>
      <c r="BH130" s="951">
        <f>Q_Financials!BH39</f>
        <v>-735.76499999999999</v>
      </c>
      <c r="BI130" s="951">
        <f>Q_Financials!BI39</f>
        <v>-598.87699999999995</v>
      </c>
      <c r="BJ130" s="951">
        <f>Q_Financials!BJ39</f>
        <v>-767.26699999999994</v>
      </c>
      <c r="BK130" s="1706">
        <f>Q_Financials!BK39</f>
        <v>-900.14200000000005</v>
      </c>
      <c r="BL130" s="599">
        <f>-BL127*BL123*(BL126+Q_BS!BL128)*Q_IS!BL101/Q_IS!BK101-(1-Q_BS!BL127)*Q_BS!BL123*(Q_BS!BL125+Q_BS!BL128)</f>
        <v>-925.05717408919702</v>
      </c>
      <c r="BM130" s="599">
        <f>-BM127*BM123*(BM126+Q_BS!BM128)*Q_IS!BM101/Q_IS!BL101-(1-Q_BS!BM127)*Q_BS!BM123*(Q_BS!BM125+Q_BS!BM128)</f>
        <v>-866.66312188065649</v>
      </c>
      <c r="BN130" s="599">
        <f>-BN127*BN123*(BN126+Q_BS!BN128)*Q_IS!BN101/Q_IS!BM101-(1-Q_BS!BN127)*Q_BS!BN123*(Q_BS!BN125+Q_BS!BN128)</f>
        <v>-821.01718985387947</v>
      </c>
      <c r="BO130" s="599">
        <f>-BO127*BO123*(BO126+Q_BS!BO128)*Q_IS!BO101/Q_IS!BN101-(1-Q_BS!BO127)*Q_BS!BO123*(Q_BS!BO125+Q_BS!BO128)</f>
        <v>-801.51268989404434</v>
      </c>
      <c r="BP130" s="599">
        <f>-BP127*BP123*(BP126+Q_BS!BP128)*Q_IS!BP101/Q_IS!BO101-(1-Q_BS!BP127)*Q_BS!BP123*(Q_BS!BP125+Q_BS!BP128)</f>
        <v>-782.49563072765761</v>
      </c>
      <c r="BQ130" s="599">
        <f>-BQ127*BQ123*(BQ126+Q_BS!BQ128)*Q_IS!BQ101/Q_IS!BP101-(1-Q_BS!BQ127)*Q_BS!BQ123*(Q_BS!BQ125+Q_BS!BQ128)</f>
        <v>-730.78542735254291</v>
      </c>
      <c r="BR130" s="599">
        <f>-BR127*BR123*(BR126+Q_BS!BR128)*Q_IS!BR101/Q_IS!BQ101-(1-Q_BS!BR127)*Q_BS!BR123*(Q_BS!BR125+Q_BS!BR128)</f>
        <v>-693.89979268590605</v>
      </c>
      <c r="BS130" s="599">
        <f>-BS127*BS123*(BS126+Q_BS!BS128)*Q_IS!BS101/Q_IS!BR101-(1-Q_BS!BS127)*Q_BS!BS123*(Q_BS!BS125+Q_BS!BS128)</f>
        <v>-702.49699685149585</v>
      </c>
      <c r="BT130" s="599">
        <f>-BT127*BT123*(BT126+Q_BS!BT128)*Q_IS!BT101/Q_IS!BS101-(1-Q_BS!BT127)*Q_BS!BT123*(Q_BS!BT125+Q_BS!BT128)</f>
        <v>-708.96218701391558</v>
      </c>
      <c r="BU130" s="599">
        <f>-BU127*BU123*(BU126+Q_BS!BU128)*Q_IS!BU101/Q_IS!BT101-(1-Q_BS!BU127)*Q_BS!BU123*(Q_BS!BU125+Q_BS!BU128)</f>
        <v>-678.01373702695309</v>
      </c>
      <c r="BV130" s="599">
        <f>-BV127*BV123*(BV126+Q_BS!BV128)*Q_IS!BV101/Q_IS!BU101-(1-Q_BS!BV127)*Q_BS!BV123*(Q_BS!BV125+Q_BS!BV128)</f>
        <v>-626.67013888250949</v>
      </c>
      <c r="BW130" s="599">
        <f>-BW127*BW123*(BW126+Q_BS!BW128)*Q_IS!BW101/Q_IS!BV101-(1-Q_BS!BW127)*Q_BS!BW123*(Q_BS!BW125+Q_BS!BW128)</f>
        <v>-624.08106012313863</v>
      </c>
      <c r="BX130" s="599">
        <f>-BX127*BX123*(BX126+Q_BS!BX128)*Q_IS!BX101/Q_IS!BW101-(1-Q_BS!BX127)*Q_BS!BX123*(Q_BS!BX125+Q_BS!BX128)</f>
        <v>-627.61434887408791</v>
      </c>
      <c r="BY130" s="599">
        <f>-BY127*BY123*(BY126+Q_BS!BY128)*Q_IS!BY101/Q_IS!BX101-(1-Q_BS!BY127)*Q_BS!BY123*(Q_BS!BY125+Q_BS!BY128)</f>
        <v>-593.72434005924697</v>
      </c>
      <c r="BZ130" s="599">
        <f>-BZ127*BZ123*(BZ126+Q_BS!BZ128)*Q_IS!BZ101/Q_IS!BY101-(1-Q_BS!BZ127)*Q_BS!BZ123*(Q_BS!BZ125+Q_BS!BZ128)</f>
        <v>-538.5772058655881</v>
      </c>
      <c r="CA130" s="599">
        <f>-CA127*CA123*(CA126+Q_BS!CA128)*Q_IS!CA101/Q_IS!BZ101-(1-Q_BS!CA127)*Q_BS!CA123*(Q_BS!CA125+Q_BS!CA128)</f>
        <v>-541.42751662786281</v>
      </c>
      <c r="CB130" s="599">
        <f>-CB127*CB123*(CB126+Q_BS!CB128)*Q_IS!CB101/Q_IS!CA101-(1-Q_BS!CB127)*Q_BS!CB123*(Q_BS!CB125+Q_BS!CB128)</f>
        <v>-552.58525627089739</v>
      </c>
      <c r="CC130" s="599">
        <f>-CC127*CC123*(CC126+Q_BS!CC128)*Q_IS!CC101/Q_IS!CB101-(1-Q_BS!CC127)*Q_BS!CC123*(Q_BS!CC125+Q_BS!CC128)</f>
        <v>-523.78119672400737</v>
      </c>
      <c r="CD130" s="599">
        <f>-CD127*CD123*(CD126+Q_BS!CD128)*Q_IS!CD101/Q_IS!CC101-(1-Q_BS!CD127)*Q_BS!CD123*(Q_BS!CD125+Q_BS!CD128)</f>
        <v>-469.07982211436024</v>
      </c>
      <c r="CE130" s="599">
        <f>-CE127*CE123*(CE126+Q_BS!CE128)*Q_IS!CE101/Q_IS!CD101-(1-Q_BS!CE127)*Q_BS!CE123*(Q_BS!CE125+Q_BS!CE128)</f>
        <v>-476.21990231451474</v>
      </c>
      <c r="CF130" s="599">
        <f>-CF127*CF123*(CF126+Q_BS!CF128)*Q_IS!CF101/Q_IS!CE101-(1-Q_BS!CF127)*Q_BS!CF123*(Q_BS!CF125+Q_BS!CF128)</f>
        <v>-487.50989051808511</v>
      </c>
      <c r="CG130" s="599">
        <f>-CG127*CG123*(CG126+Q_BS!CG128)*Q_IS!CG101/Q_IS!CF101-(1-Q_BS!CG127)*Q_BS!CG123*(Q_BS!CG125+Q_BS!CG128)</f>
        <v>-456.35714758938036</v>
      </c>
      <c r="CH130" s="599">
        <f>-CH127*CH123*(CH126+Q_BS!CH128)*Q_IS!CH101/Q_IS!CG101-(1-Q_BS!CH127)*Q_BS!CH123*(Q_BS!CH125+Q_BS!CH128)</f>
        <v>-398.15255614525881</v>
      </c>
      <c r="CI130" s="599">
        <f>-CI127*CI123*(CI126+Q_BS!CI128)*Q_IS!CI101/Q_IS!CH101-(1-Q_BS!CI127)*Q_BS!CI123*(Q_BS!CI125+Q_BS!CI128)</f>
        <v>-404.76090431699214</v>
      </c>
      <c r="CJ130" s="599">
        <f>-CJ127*CJ123*(CJ126+Q_BS!CJ128)*Q_IS!CJ101/Q_IS!CI101-(1-Q_BS!CJ127)*Q_BS!CJ123*(Q_BS!CJ125+Q_BS!CJ128)</f>
        <v>-415.2409940062642</v>
      </c>
      <c r="CK130" s="599">
        <f>-CK127*CK123*(CK126+Q_BS!CK128)*Q_IS!CK101/Q_IS!CJ101-(1-Q_BS!CK127)*Q_BS!CK123*(Q_BS!CK125+Q_BS!CK128)</f>
        <v>-380.71660402023292</v>
      </c>
      <c r="CL130" s="599">
        <f>-CL127*CL123*(CL126+Q_BS!CL128)*Q_IS!CL101/Q_IS!CK101-(1-Q_BS!CL127)*Q_BS!CL123*(Q_BS!CL125+Q_BS!CL128)</f>
        <v>-317.15064322659106</v>
      </c>
      <c r="CM130" s="599">
        <f>-CM127*CM123*(CM126+Q_BS!CM128)*Q_IS!CM101/Q_IS!CL101-(1-Q_BS!CM127)*Q_BS!CM123*(Q_BS!CM125+Q_BS!CM128)</f>
        <v>-324.17783807643002</v>
      </c>
      <c r="CN130" s="599">
        <f>-CN127*CN123*(CN126+Q_BS!CN128)*Q_IS!CN101/Q_IS!CM101-(1-Q_BS!CN127)*Q_BS!CN123*(Q_BS!CN125+Q_BS!CN128)</f>
        <v>-334.66288035727803</v>
      </c>
      <c r="CO130" s="599">
        <f>-CO127*CO123*(CO126+Q_BS!CO128)*Q_IS!CO101/Q_IS!CN101-(1-Q_BS!CO127)*Q_BS!CO123*(Q_BS!CO125+Q_BS!CO128)</f>
        <v>-297.52613853548172</v>
      </c>
      <c r="CP130" s="599">
        <f>-CP127*CP123*(CP126+Q_BS!CP128)*Q_IS!CP101/Q_IS!CO101-(1-Q_BS!CP127)*Q_BS!CP123*(Q_BS!CP125+Q_BS!CP128)</f>
        <v>-230.19757493573749</v>
      </c>
      <c r="CQ130" s="599">
        <f>-CQ127*CQ123*(CQ126+Q_BS!CQ128)*Q_IS!CQ101/Q_IS!CP101-(1-Q_BS!CQ127)*Q_BS!CQ123*(Q_BS!CQ125+Q_BS!CQ128)</f>
        <v>-237.60557793013106</v>
      </c>
      <c r="CR130" s="599">
        <f>-CR127*CR123*(CR126+Q_BS!CR128)*Q_IS!CR101/Q_IS!CQ101-(1-Q_BS!CR127)*Q_BS!CR123*(Q_BS!CR125+Q_BS!CR128)</f>
        <v>-248.08156201751785</v>
      </c>
      <c r="CS130" s="599">
        <f>-CS127*CS123*(CS126+Q_BS!CS128)*Q_IS!CS101/Q_IS!CR101-(1-Q_BS!CS127)*Q_BS!CS123*(Q_BS!CS125+Q_BS!CS128)</f>
        <v>-208.18600859255488</v>
      </c>
      <c r="CT130" s="599">
        <f>-CT127*CT123*(CT126+Q_BS!CT128)*Q_IS!CT101/Q_IS!CS101-(1-Q_BS!CT127)*Q_BS!CT123*(Q_BS!CT125+Q_BS!CT128)</f>
        <v>-136.95872083514888</v>
      </c>
      <c r="CU130" s="599">
        <f>-CU127*CU123*(CU126+Q_BS!CU128)*Q_IS!CU101/Q_IS!CT101-(1-Q_BS!CU127)*Q_BS!CU123*(Q_BS!CU125+Q_BS!CU128)</f>
        <v>-144.81905634860266</v>
      </c>
      <c r="CV130" s="599">
        <f>-CV127*CV123*(CV126+Q_BS!CV128)*Q_IS!CV101/Q_IS!CU101-(1-Q_BS!CV127)*Q_BS!CV123*(Q_BS!CV125+Q_BS!CV128)</f>
        <v>-155.27429169776087</v>
      </c>
      <c r="CW130" s="599">
        <f>-CW127*CW123*(CW126+Q_BS!CW128)*Q_IS!CW101/Q_IS!CV101-(1-Q_BS!CW127)*Q_BS!CW123*(Q_BS!CW125+Q_BS!CW128)</f>
        <v>-112.54887554672933</v>
      </c>
    </row>
    <row r="131" spans="1:102" s="241" customFormat="1">
      <c r="A131" s="1182" t="s">
        <v>1184</v>
      </c>
      <c r="B131" s="1204"/>
      <c r="C131" s="1204"/>
      <c r="D131" s="1204"/>
      <c r="E131" s="1204"/>
      <c r="F131" s="1204"/>
      <c r="G131" s="1204"/>
      <c r="H131" s="1204"/>
      <c r="I131" s="1204"/>
      <c r="J131" s="1204"/>
      <c r="K131" s="1204"/>
      <c r="L131" s="1204"/>
      <c r="M131" s="1204"/>
      <c r="N131" s="1204"/>
      <c r="O131" s="1204"/>
      <c r="P131" s="1204"/>
      <c r="Q131" s="1204"/>
      <c r="R131" s="1204"/>
      <c r="S131" s="1204"/>
      <c r="T131" s="1204"/>
      <c r="U131" s="1204"/>
      <c r="V131" s="1204"/>
      <c r="W131" s="1204"/>
      <c r="X131" s="1204"/>
      <c r="Y131" s="1204"/>
      <c r="Z131" s="1204"/>
      <c r="AA131" s="1204"/>
      <c r="AB131" s="1204"/>
      <c r="AC131" s="1204"/>
      <c r="AD131" s="1204"/>
      <c r="AE131" s="1204"/>
      <c r="AF131" s="1204"/>
      <c r="AG131" s="1204"/>
      <c r="AH131" s="1204"/>
      <c r="AI131" s="1204"/>
      <c r="AJ131" s="1204"/>
      <c r="AK131" s="1204"/>
      <c r="AL131" s="1204"/>
      <c r="AM131" s="1204"/>
      <c r="AN131" s="1204"/>
      <c r="AO131" s="1204"/>
      <c r="AP131" s="1204">
        <f>-IS!AQ56</f>
        <v>-253.21299999999999</v>
      </c>
      <c r="AQ131" s="1204">
        <f>-IS!AR56</f>
        <v>-293.24</v>
      </c>
      <c r="AR131" s="1204">
        <f>-IS!AS56</f>
        <v>-376.99</v>
      </c>
      <c r="AS131" s="1204">
        <f>-IS!AT56</f>
        <v>-74.31</v>
      </c>
      <c r="AT131" s="1732">
        <f>-IS!AU56</f>
        <v>-221.86099999999999</v>
      </c>
      <c r="AU131" s="1732">
        <f>-IS!AV56</f>
        <v>-284.89699999999999</v>
      </c>
      <c r="AV131" s="1732">
        <f>-IS!AW56</f>
        <v>-243.471</v>
      </c>
      <c r="AW131" s="1732">
        <f>-IS!AX56</f>
        <v>-190.428</v>
      </c>
      <c r="AX131" s="1732">
        <f>-IS!AY56</f>
        <v>-232.02600000000001</v>
      </c>
      <c r="AY131" s="1732">
        <f>-IS!AZ56</f>
        <v>-242.10400000000001</v>
      </c>
      <c r="AZ131" s="1732">
        <f>-IS!BA56</f>
        <v>-265.33699999999999</v>
      </c>
      <c r="BA131" s="1732">
        <f>-IS!BB56</f>
        <v>-249.988</v>
      </c>
      <c r="BB131" s="1732">
        <f>-IS!BC56</f>
        <v>-243.684</v>
      </c>
      <c r="BC131" s="1732">
        <f>-IS!BD56</f>
        <v>-245.46100000000001</v>
      </c>
      <c r="BD131" s="1732">
        <f>-IS!BE56</f>
        <v>-245.392</v>
      </c>
      <c r="BE131" s="1732">
        <f>-IS!BF56</f>
        <v>-205.78200000000001</v>
      </c>
      <c r="BF131" s="1732">
        <f>-IS!BG56</f>
        <v>-226.88900000000001</v>
      </c>
      <c r="BG131" s="1732">
        <f>-IS!BH56</f>
        <v>-220.804</v>
      </c>
      <c r="BH131" s="1732">
        <f>-IS!BI56</f>
        <v>-214.32599999999999</v>
      </c>
      <c r="BI131" s="1732">
        <f>-IS!BJ56</f>
        <v>-216.483</v>
      </c>
      <c r="BJ131" s="1732">
        <f>-IS!BK56</f>
        <v>-210.98500000000001</v>
      </c>
      <c r="BK131" s="1708">
        <f>-IS!BL56</f>
        <v>-266.154</v>
      </c>
      <c r="BL131" s="1197">
        <f>-BL156</f>
        <v>-245.33388316193628</v>
      </c>
      <c r="BM131" s="1197">
        <f t="shared" ref="BM131:BQ131" si="636">-BM156</f>
        <v>-257.16321727572301</v>
      </c>
      <c r="BN131" s="1197">
        <f t="shared" si="636"/>
        <v>-269.17858607585157</v>
      </c>
      <c r="BO131" s="1197">
        <f t="shared" si="636"/>
        <v>-242.62832889942086</v>
      </c>
      <c r="BP131" s="1197">
        <f t="shared" si="636"/>
        <v>-241.89492015881581</v>
      </c>
      <c r="BQ131" s="1197">
        <f t="shared" si="636"/>
        <v>-243.13821298797384</v>
      </c>
      <c r="BR131" s="1197">
        <f t="shared" ref="BR131:CK131" si="637">-BR156</f>
        <v>-245.92618143348722</v>
      </c>
      <c r="BS131" s="1197">
        <f t="shared" si="637"/>
        <v>-248.01118016142738</v>
      </c>
      <c r="BT131" s="1197">
        <f t="shared" si="637"/>
        <v>-247.62112389652364</v>
      </c>
      <c r="BU131" s="1197">
        <f t="shared" si="637"/>
        <v>-248.63989620982517</v>
      </c>
      <c r="BV131" s="1197">
        <f t="shared" si="637"/>
        <v>-251.16702351079365</v>
      </c>
      <c r="BW131" s="1197">
        <f t="shared" si="637"/>
        <v>-253.02328278774874</v>
      </c>
      <c r="BX131" s="1197">
        <f t="shared" si="637"/>
        <v>-252.49967769001702</v>
      </c>
      <c r="BY131" s="1197">
        <f t="shared" si="637"/>
        <v>-253.41039544943808</v>
      </c>
      <c r="BZ131" s="1197">
        <f t="shared" si="637"/>
        <v>-255.62887129043318</v>
      </c>
      <c r="CA131" s="1197">
        <f t="shared" si="637"/>
        <v>-256.80017987644783</v>
      </c>
      <c r="CB131" s="1197">
        <f t="shared" si="637"/>
        <v>-256.27263129636708</v>
      </c>
      <c r="CC131" s="1197">
        <f t="shared" si="637"/>
        <v>-257.20228957936195</v>
      </c>
      <c r="CD131" s="1197">
        <f t="shared" si="637"/>
        <v>-259.37075034982445</v>
      </c>
      <c r="CE131" s="1197">
        <f t="shared" si="637"/>
        <v>-260.52290171711445</v>
      </c>
      <c r="CF131" s="1197">
        <f t="shared" si="637"/>
        <v>-259.95679074770567</v>
      </c>
      <c r="CG131" s="1197">
        <f t="shared" si="637"/>
        <v>-260.91896204383784</v>
      </c>
      <c r="CH131" s="1197">
        <f t="shared" si="637"/>
        <v>-263.12295383838944</v>
      </c>
      <c r="CI131" s="1197">
        <f t="shared" si="637"/>
        <v>-264.13568967841127</v>
      </c>
      <c r="CJ131" s="1197">
        <f t="shared" si="637"/>
        <v>-263.40537773399598</v>
      </c>
      <c r="CK131" s="1197">
        <f t="shared" si="637"/>
        <v>-264.27665158394967</v>
      </c>
      <c r="CL131" s="1197">
        <f t="shared" ref="CL131:CP131" si="638">-CL156</f>
        <v>-266.26152374613463</v>
      </c>
      <c r="CM131" s="1197">
        <f t="shared" si="638"/>
        <v>-266.98933773401251</v>
      </c>
      <c r="CN131" s="1197">
        <f t="shared" si="638"/>
        <v>-266.21519949522286</v>
      </c>
      <c r="CO131" s="1197">
        <f t="shared" si="638"/>
        <v>-267.12457709678148</v>
      </c>
      <c r="CP131" s="1197">
        <f t="shared" si="638"/>
        <v>-269.15326736773085</v>
      </c>
      <c r="CQ131" s="1197">
        <f t="shared" ref="CQ131:CT131" si="639">-CQ156</f>
        <v>-269.78788082274912</v>
      </c>
      <c r="CR131" s="1197">
        <f t="shared" si="639"/>
        <v>-268.97145397724711</v>
      </c>
      <c r="CS131" s="1197">
        <f t="shared" si="639"/>
        <v>-269.9212206785034</v>
      </c>
      <c r="CT131" s="1197">
        <f t="shared" si="639"/>
        <v>-271.99688316180311</v>
      </c>
      <c r="CU131" s="1197">
        <f t="shared" ref="CU131:CW131" si="640">-CU156</f>
        <v>-272.52964042358713</v>
      </c>
      <c r="CV131" s="1197">
        <f t="shared" si="640"/>
        <v>-271.6687202676211</v>
      </c>
      <c r="CW131" s="1197">
        <f t="shared" si="640"/>
        <v>-272.66228484019916</v>
      </c>
    </row>
    <row r="132" spans="1:102" s="165" customFormat="1">
      <c r="A132" s="1179" t="s">
        <v>1209</v>
      </c>
      <c r="B132" s="1180">
        <f t="shared" ref="B132:AC132" si="641">B131+B130</f>
        <v>-33.610999999999997</v>
      </c>
      <c r="C132" s="1180">
        <f t="shared" si="641"/>
        <v>-32.805999999999997</v>
      </c>
      <c r="D132" s="1180">
        <f t="shared" si="641"/>
        <v>-27.869</v>
      </c>
      <c r="E132" s="1180">
        <f t="shared" si="641"/>
        <v>-28.202000000000002</v>
      </c>
      <c r="F132" s="1180">
        <f t="shared" si="641"/>
        <v>-21.997</v>
      </c>
      <c r="G132" s="1180">
        <f t="shared" si="641"/>
        <v>-22.183</v>
      </c>
      <c r="H132" s="1180">
        <f t="shared" si="641"/>
        <v>-23.678000000000001</v>
      </c>
      <c r="I132" s="1180">
        <f t="shared" si="641"/>
        <v>-24.367999999999999</v>
      </c>
      <c r="J132" s="1180">
        <f t="shared" si="641"/>
        <v>-23.172999999999998</v>
      </c>
      <c r="K132" s="1180">
        <f t="shared" si="641"/>
        <v>-36.500999999999998</v>
      </c>
      <c r="L132" s="1180">
        <f t="shared" si="641"/>
        <v>-24.873000000000001</v>
      </c>
      <c r="M132" s="1180">
        <f t="shared" si="641"/>
        <v>-46.457000000000001</v>
      </c>
      <c r="N132" s="1180">
        <f t="shared" si="641"/>
        <v>-44.155000000000001</v>
      </c>
      <c r="O132" s="1180">
        <f t="shared" si="641"/>
        <v>-56.817</v>
      </c>
      <c r="P132" s="1180">
        <f t="shared" si="641"/>
        <v>-47.283000000000001</v>
      </c>
      <c r="Q132" s="1180">
        <f t="shared" si="641"/>
        <v>-49.805</v>
      </c>
      <c r="R132" s="1180">
        <f t="shared" si="641"/>
        <v>-33.223999999999997</v>
      </c>
      <c r="S132" s="1180">
        <f t="shared" si="641"/>
        <v>-36.155000000000001</v>
      </c>
      <c r="T132" s="1180">
        <f t="shared" si="641"/>
        <v>-60.841000000000001</v>
      </c>
      <c r="U132" s="1180">
        <f t="shared" si="641"/>
        <v>-72.126000000000005</v>
      </c>
      <c r="V132" s="1180">
        <f t="shared" si="641"/>
        <v>-85.346000000000004</v>
      </c>
      <c r="W132" s="1180">
        <f t="shared" si="641"/>
        <v>-175.83199999999999</v>
      </c>
      <c r="X132" s="1180">
        <f t="shared" si="641"/>
        <v>-89.841999999999999</v>
      </c>
      <c r="Y132" s="1180">
        <f t="shared" si="641"/>
        <v>-143.00399999999999</v>
      </c>
      <c r="Z132" s="1180">
        <f t="shared" si="641"/>
        <v>-181.721</v>
      </c>
      <c r="AA132" s="1180">
        <f t="shared" si="641"/>
        <v>-143.4</v>
      </c>
      <c r="AB132" s="1180">
        <f t="shared" si="641"/>
        <v>-192.32900000000001</v>
      </c>
      <c r="AC132" s="1180">
        <f t="shared" si="641"/>
        <v>-162.93799999999999</v>
      </c>
      <c r="AD132" s="1180">
        <f t="shared" ref="AD132:AP132" si="642">AD131+AD130</f>
        <v>-167.01499999999999</v>
      </c>
      <c r="AE132" s="1180">
        <f t="shared" si="642"/>
        <v>-203.68100000000001</v>
      </c>
      <c r="AF132" s="1180">
        <f t="shared" si="642"/>
        <v>-221.274</v>
      </c>
      <c r="AG132" s="1180">
        <f t="shared" si="642"/>
        <v>-252.61199999999999</v>
      </c>
      <c r="AH132" s="1180">
        <f t="shared" si="642"/>
        <v>-284.94600000000003</v>
      </c>
      <c r="AI132" s="1180">
        <f t="shared" si="642"/>
        <v>-327.48599999999999</v>
      </c>
      <c r="AJ132" s="1180">
        <f t="shared" si="642"/>
        <v>-334.04700000000003</v>
      </c>
      <c r="AK132" s="1180">
        <f t="shared" si="642"/>
        <v>-316.00299999999999</v>
      </c>
      <c r="AL132" s="1180">
        <f t="shared" si="642"/>
        <v>-318.13299999999998</v>
      </c>
      <c r="AM132" s="1180">
        <f t="shared" si="642"/>
        <v>-369.80700000000002</v>
      </c>
      <c r="AN132" s="1180">
        <f t="shared" si="642"/>
        <v>-427.71199999999999</v>
      </c>
      <c r="AO132" s="1180">
        <f t="shared" si="642"/>
        <v>-455.76</v>
      </c>
      <c r="AP132" s="1180">
        <f t="shared" si="642"/>
        <v>-743.654</v>
      </c>
      <c r="AQ132" s="1180">
        <f t="shared" ref="AQ132:AV132" si="643">AQ131+AQ130</f>
        <v>-774.56600000000003</v>
      </c>
      <c r="AR132" s="1180">
        <f t="shared" si="643"/>
        <v>-947.51800000000003</v>
      </c>
      <c r="AS132" s="1180">
        <f t="shared" si="643"/>
        <v>-556.11599999999999</v>
      </c>
      <c r="AT132" s="1733">
        <f t="shared" si="643"/>
        <v>-715.75599999999997</v>
      </c>
      <c r="AU132" s="1733">
        <f t="shared" si="643"/>
        <v>-814.66699999999992</v>
      </c>
      <c r="AV132" s="1733">
        <f t="shared" si="643"/>
        <v>-788.57799999999997</v>
      </c>
      <c r="AW132" s="1733">
        <f t="shared" ref="AW132:BC132" si="644">AW131+AW130</f>
        <v>-780.73800000000006</v>
      </c>
      <c r="AX132" s="1733">
        <f t="shared" si="644"/>
        <v>-780.23299999999995</v>
      </c>
      <c r="AY132" s="1733">
        <f t="shared" si="644"/>
        <v>-811.50800000000004</v>
      </c>
      <c r="AZ132" s="1733">
        <f t="shared" si="644"/>
        <v>-838.19299999999998</v>
      </c>
      <c r="BA132" s="1733">
        <f t="shared" si="644"/>
        <v>-940.80899999999997</v>
      </c>
      <c r="BB132" s="1733">
        <f t="shared" si="644"/>
        <v>-910.91499999999996</v>
      </c>
      <c r="BC132" s="1733">
        <f t="shared" si="644"/>
        <v>-913.149</v>
      </c>
      <c r="BD132" s="1733">
        <f t="shared" ref="BD132:BI132" si="645">BD131+BD130</f>
        <v>-905.8900000000001</v>
      </c>
      <c r="BE132" s="1733">
        <f t="shared" si="645"/>
        <v>-787.41099999999994</v>
      </c>
      <c r="BF132" s="1733">
        <f t="shared" si="645"/>
        <v>-1035.0740000000001</v>
      </c>
      <c r="BG132" s="1733">
        <f t="shared" si="645"/>
        <v>-1014.961</v>
      </c>
      <c r="BH132" s="1733">
        <f t="shared" si="645"/>
        <v>-950.09100000000001</v>
      </c>
      <c r="BI132" s="1733">
        <f t="shared" si="645"/>
        <v>-815.3599999999999</v>
      </c>
      <c r="BJ132" s="1733">
        <f t="shared" ref="BJ132:BK132" si="646">BJ131+BJ130</f>
        <v>-978.25199999999995</v>
      </c>
      <c r="BK132" s="1709">
        <f t="shared" si="646"/>
        <v>-1166.296</v>
      </c>
      <c r="BL132" s="1181">
        <f t="shared" ref="BL132:BQ132" si="647">BL131+BL130</f>
        <v>-1170.3910572511334</v>
      </c>
      <c r="BM132" s="1181">
        <f t="shared" si="647"/>
        <v>-1123.8263391563796</v>
      </c>
      <c r="BN132" s="1181">
        <f t="shared" si="647"/>
        <v>-1090.1957759297311</v>
      </c>
      <c r="BO132" s="1181">
        <f t="shared" si="647"/>
        <v>-1044.1410187934653</v>
      </c>
      <c r="BP132" s="1181">
        <f t="shared" si="647"/>
        <v>-1024.3905508864734</v>
      </c>
      <c r="BQ132" s="1181">
        <f t="shared" si="647"/>
        <v>-973.92364034051673</v>
      </c>
      <c r="BR132" s="1181">
        <f t="shared" ref="BR132:CK132" si="648">BR131+BR130</f>
        <v>-939.82597411939332</v>
      </c>
      <c r="BS132" s="1181">
        <f t="shared" si="648"/>
        <v>-950.50817701292317</v>
      </c>
      <c r="BT132" s="1181">
        <f t="shared" si="648"/>
        <v>-956.5833109104392</v>
      </c>
      <c r="BU132" s="1181">
        <f t="shared" si="648"/>
        <v>-926.65363323677821</v>
      </c>
      <c r="BV132" s="1181">
        <f t="shared" si="648"/>
        <v>-877.83716239330317</v>
      </c>
      <c r="BW132" s="1181">
        <f t="shared" si="648"/>
        <v>-877.10434291088734</v>
      </c>
      <c r="BX132" s="1181">
        <f t="shared" si="648"/>
        <v>-880.11402656410496</v>
      </c>
      <c r="BY132" s="1181">
        <f t="shared" si="648"/>
        <v>-847.13473550868503</v>
      </c>
      <c r="BZ132" s="1181">
        <f t="shared" si="648"/>
        <v>-794.20607715602125</v>
      </c>
      <c r="CA132" s="1181">
        <f t="shared" si="648"/>
        <v>-798.22769650431064</v>
      </c>
      <c r="CB132" s="1181">
        <f t="shared" si="648"/>
        <v>-808.85788756726447</v>
      </c>
      <c r="CC132" s="1181">
        <f t="shared" si="648"/>
        <v>-780.98348630336932</v>
      </c>
      <c r="CD132" s="1181">
        <f t="shared" si="648"/>
        <v>-728.45057246418469</v>
      </c>
      <c r="CE132" s="1181">
        <f t="shared" si="648"/>
        <v>-736.74280403162925</v>
      </c>
      <c r="CF132" s="1181">
        <f t="shared" si="648"/>
        <v>-747.46668126579084</v>
      </c>
      <c r="CG132" s="1181">
        <f t="shared" si="648"/>
        <v>-717.2761096332182</v>
      </c>
      <c r="CH132" s="1181">
        <f t="shared" si="648"/>
        <v>-661.27550998364825</v>
      </c>
      <c r="CI132" s="1181">
        <f t="shared" si="648"/>
        <v>-668.89659399540346</v>
      </c>
      <c r="CJ132" s="1181">
        <f t="shared" si="648"/>
        <v>-678.64637174026018</v>
      </c>
      <c r="CK132" s="1181">
        <f t="shared" si="648"/>
        <v>-644.99325560418265</v>
      </c>
      <c r="CL132" s="1181">
        <f t="shared" ref="CL132:CP132" si="649">CL131+CL130</f>
        <v>-583.41216697272569</v>
      </c>
      <c r="CM132" s="1181">
        <f t="shared" si="649"/>
        <v>-591.16717581044259</v>
      </c>
      <c r="CN132" s="1181">
        <f t="shared" si="649"/>
        <v>-600.87807985250083</v>
      </c>
      <c r="CO132" s="1181">
        <f t="shared" si="649"/>
        <v>-564.6507156322632</v>
      </c>
      <c r="CP132" s="1181">
        <f t="shared" si="649"/>
        <v>-499.35084230346831</v>
      </c>
      <c r="CQ132" s="1181">
        <f t="shared" ref="CQ132:CT132" si="650">CQ131+CQ130</f>
        <v>-507.39345875288018</v>
      </c>
      <c r="CR132" s="1181">
        <f t="shared" si="650"/>
        <v>-517.05301599476502</v>
      </c>
      <c r="CS132" s="1181">
        <f t="shared" si="650"/>
        <v>-478.10722927105826</v>
      </c>
      <c r="CT132" s="1181">
        <f t="shared" si="650"/>
        <v>-408.95560399695199</v>
      </c>
      <c r="CU132" s="1181">
        <f t="shared" ref="CU132:CW132" si="651">CU131+CU130</f>
        <v>-417.34869677218978</v>
      </c>
      <c r="CV132" s="1181">
        <f t="shared" si="651"/>
        <v>-426.94301196538197</v>
      </c>
      <c r="CW132" s="1181">
        <f t="shared" si="651"/>
        <v>-385.2111603869285</v>
      </c>
    </row>
    <row r="133" spans="1:102" s="165" customFormat="1">
      <c r="A133" s="1179"/>
      <c r="B133" s="1180"/>
      <c r="C133" s="1180"/>
      <c r="D133" s="1180"/>
      <c r="E133" s="1180"/>
      <c r="F133" s="1180"/>
      <c r="G133" s="1180"/>
      <c r="H133" s="1180"/>
      <c r="I133" s="1180"/>
      <c r="J133" s="1180"/>
      <c r="K133" s="1180"/>
      <c r="L133" s="1180"/>
      <c r="M133" s="1180"/>
      <c r="N133" s="1180"/>
      <c r="O133" s="1180"/>
      <c r="P133" s="1180"/>
      <c r="Q133" s="1180"/>
      <c r="R133" s="1180"/>
      <c r="S133" s="1180"/>
      <c r="T133" s="1180"/>
      <c r="U133" s="1180"/>
      <c r="V133" s="1180"/>
      <c r="W133" s="1180"/>
      <c r="X133" s="1180"/>
      <c r="Y133" s="1180"/>
      <c r="Z133" s="1180"/>
      <c r="AA133" s="1180"/>
      <c r="AB133" s="1180"/>
      <c r="AC133" s="1180"/>
      <c r="AD133" s="1180"/>
      <c r="AE133" s="1180"/>
      <c r="AF133" s="1180"/>
      <c r="AG133" s="1180"/>
      <c r="AH133" s="1180"/>
      <c r="AI133" s="1180"/>
      <c r="AJ133" s="1180"/>
      <c r="AK133" s="1180"/>
      <c r="AL133" s="1180"/>
      <c r="AM133" s="1180"/>
      <c r="AN133" s="1180"/>
      <c r="AO133" s="1180"/>
      <c r="AP133" s="1180"/>
      <c r="AQ133" s="1180"/>
      <c r="AR133" s="1180"/>
      <c r="AS133" s="1180"/>
      <c r="AT133" s="1733"/>
      <c r="AU133" s="1733"/>
      <c r="AV133" s="1733"/>
      <c r="AW133" s="1733"/>
      <c r="AX133" s="1733"/>
      <c r="AY133" s="1733"/>
      <c r="AZ133" s="1733"/>
      <c r="BA133" s="1733"/>
      <c r="BB133" s="1733"/>
      <c r="BC133" s="1733"/>
      <c r="BD133" s="1733"/>
      <c r="BE133" s="1733"/>
      <c r="BF133" s="1733"/>
      <c r="BG133" s="1733"/>
      <c r="BH133" s="1733"/>
      <c r="BI133" s="1733"/>
      <c r="BJ133" s="1733"/>
      <c r="BK133" s="1733"/>
      <c r="BL133" s="1181"/>
      <c r="BM133" s="1181"/>
      <c r="BN133" s="1181"/>
      <c r="BO133" s="1181"/>
      <c r="BP133" s="1181"/>
      <c r="BQ133" s="1181"/>
    </row>
    <row r="134" spans="1:102" s="780" customFormat="1">
      <c r="A134" s="1182" t="s">
        <v>1266</v>
      </c>
      <c r="B134" s="750"/>
      <c r="C134" s="750"/>
      <c r="D134" s="750"/>
      <c r="E134" s="750"/>
      <c r="F134" s="750"/>
      <c r="G134" s="750"/>
      <c r="H134" s="750"/>
      <c r="I134" s="750"/>
      <c r="J134" s="750"/>
      <c r="K134" s="750"/>
      <c r="L134" s="750"/>
      <c r="M134" s="750"/>
      <c r="N134" s="750"/>
      <c r="O134" s="750"/>
      <c r="P134" s="750"/>
      <c r="Q134" s="750"/>
      <c r="R134" s="750"/>
      <c r="S134" s="750"/>
      <c r="T134" s="750"/>
      <c r="U134" s="750"/>
      <c r="V134" s="750"/>
      <c r="W134" s="750"/>
      <c r="X134" s="750"/>
      <c r="Y134" s="750"/>
      <c r="Z134" s="750" t="str">
        <f>BS!Z59</f>
        <v>ND</v>
      </c>
      <c r="AA134" s="750" t="str">
        <f>BS!AA59</f>
        <v>ND</v>
      </c>
      <c r="AB134" s="750" t="str">
        <f>BS!AB59</f>
        <v>ND</v>
      </c>
      <c r="AC134" s="750" t="str">
        <f>BS!AC59</f>
        <v>ND</v>
      </c>
      <c r="AD134" s="750" t="str">
        <f>BS!AD59</f>
        <v>ND</v>
      </c>
      <c r="AE134" s="750" t="str">
        <f>BS!AE59</f>
        <v>ND</v>
      </c>
      <c r="AF134" s="750" t="str">
        <f>BS!AF59</f>
        <v>ND</v>
      </c>
      <c r="AG134" s="750" t="str">
        <f>BS!AG59</f>
        <v>ND</v>
      </c>
      <c r="AH134" s="750" t="str">
        <f>BS!AH59</f>
        <v>ND</v>
      </c>
      <c r="AI134" s="750" t="str">
        <f>BS!AI59</f>
        <v>ND</v>
      </c>
      <c r="AJ134" s="750" t="str">
        <f>BS!AJ59</f>
        <v>ND</v>
      </c>
      <c r="AK134" s="750">
        <f>BS!AK59</f>
        <v>8.4400000000000003E-2</v>
      </c>
      <c r="AL134" s="750">
        <f>BS!AL59</f>
        <v>8.6300000000000002E-2</v>
      </c>
      <c r="AM134" s="750">
        <f>BS!AM59</f>
        <v>8.8999999999999996E-2</v>
      </c>
      <c r="AN134" s="750">
        <f>BS!AN59</f>
        <v>9.1499999999999998E-2</v>
      </c>
      <c r="AO134" s="750">
        <f>BS!AO59</f>
        <v>9.4299999999999995E-2</v>
      </c>
      <c r="AP134" s="750">
        <f>BS!AP59</f>
        <v>9.5000000000000001E-2</v>
      </c>
      <c r="AQ134" s="750">
        <f>BS!AQ59</f>
        <v>9.5799999999999996E-2</v>
      </c>
      <c r="AR134" s="750">
        <f>BS!AR59</f>
        <v>9.3700000000000006E-2</v>
      </c>
      <c r="AS134" s="750">
        <f>BS!AS59</f>
        <v>8.8400000000000006E-2</v>
      </c>
      <c r="AT134" s="750">
        <f>BS!AT59</f>
        <v>8.0600000000000005E-2</v>
      </c>
      <c r="AU134" s="750">
        <f>BS!AU59</f>
        <v>7.51E-2</v>
      </c>
      <c r="AV134" s="750">
        <f>BS!AV59</f>
        <v>7.1099999999999997E-2</v>
      </c>
      <c r="AW134" s="750">
        <f>BS!AW59</f>
        <v>6.9000000000000006E-2</v>
      </c>
      <c r="AX134" s="750">
        <f>BS!AX59</f>
        <v>6.6000000000000003E-2</v>
      </c>
      <c r="AY134" s="750">
        <f>BS!AY59</f>
        <v>6.6000000000000003E-2</v>
      </c>
      <c r="AZ134" s="750">
        <f>BS!AZ59</f>
        <v>6.9000000000000006E-2</v>
      </c>
      <c r="BA134" s="750">
        <f>BS!BA59</f>
        <v>6.8303000000000003E-2</v>
      </c>
      <c r="BB134" s="750">
        <f>BS!BB59</f>
        <v>8.1760899999999997E-2</v>
      </c>
      <c r="BC134" s="750">
        <f>BS!BC59</f>
        <v>8.5755999999999999E-2</v>
      </c>
      <c r="BD134" s="750">
        <f>BS!BD59</f>
        <v>8.6328800000000011E-2</v>
      </c>
      <c r="BE134" s="750">
        <f>BS!BE59</f>
        <v>9.603600000000001E-2</v>
      </c>
      <c r="BF134" s="750">
        <f>BS!BF59</f>
        <v>9.8604800000000006E-2</v>
      </c>
      <c r="BG134" s="750">
        <f>BS!BG59</f>
        <v>0</v>
      </c>
      <c r="BH134" s="750">
        <f>BS!BH59</f>
        <v>0.10561479999999999</v>
      </c>
      <c r="BI134" s="750">
        <f>BS!BI59</f>
        <v>0</v>
      </c>
      <c r="BJ134" s="750">
        <f>BS!BJ59</f>
        <v>0.1048</v>
      </c>
      <c r="BK134" s="1408">
        <f>BS!BK59</f>
        <v>0.1048</v>
      </c>
      <c r="BL134" s="1409"/>
      <c r="BM134" s="1409"/>
      <c r="BN134" s="1409"/>
      <c r="BO134" s="1409"/>
      <c r="BP134" s="1409"/>
      <c r="BQ134" s="1409"/>
    </row>
    <row r="135" spans="1:102" s="165" customFormat="1">
      <c r="A135" s="1179"/>
      <c r="B135" s="1180"/>
      <c r="C135" s="1180"/>
      <c r="D135" s="1180"/>
      <c r="E135" s="1180"/>
      <c r="F135" s="1180"/>
      <c r="G135" s="1180"/>
      <c r="H135" s="1180"/>
      <c r="I135" s="1180"/>
      <c r="J135" s="1180"/>
      <c r="K135" s="1180"/>
      <c r="L135" s="1180"/>
      <c r="M135" s="1180"/>
      <c r="N135" s="1180"/>
      <c r="O135" s="1180"/>
      <c r="P135" s="1180"/>
      <c r="Q135" s="1180"/>
      <c r="R135" s="1180"/>
      <c r="S135" s="1180"/>
      <c r="T135" s="1180"/>
      <c r="U135" s="1180"/>
      <c r="V135" s="1180"/>
      <c r="W135" s="1180"/>
      <c r="X135" s="1180"/>
      <c r="Y135" s="1180"/>
      <c r="Z135" s="1180"/>
      <c r="AA135" s="1180"/>
      <c r="AB135" s="1180"/>
      <c r="AC135" s="1180"/>
      <c r="AD135" s="1180"/>
      <c r="AE135" s="1180"/>
      <c r="AF135" s="1180"/>
      <c r="AG135" s="1180"/>
      <c r="AH135" s="1180"/>
      <c r="AI135" s="1180"/>
      <c r="AJ135" s="1180"/>
      <c r="AK135" s="1180"/>
      <c r="AL135" s="1180"/>
      <c r="AM135" s="1180"/>
      <c r="AN135" s="1180"/>
      <c r="AO135" s="1180"/>
      <c r="AP135" s="1180"/>
      <c r="AQ135" s="1180"/>
      <c r="AR135" s="1180"/>
      <c r="AS135" s="1180"/>
      <c r="AT135" s="1733"/>
      <c r="AU135" s="1733"/>
      <c r="AV135" s="1733"/>
      <c r="AW135" s="1733"/>
      <c r="AX135" s="1733"/>
      <c r="AY135" s="1733"/>
      <c r="AZ135" s="1733"/>
      <c r="BA135" s="1733"/>
      <c r="BB135" s="1733"/>
      <c r="BC135" s="1733"/>
      <c r="BD135" s="1733"/>
      <c r="BE135" s="1733"/>
      <c r="BF135" s="1733"/>
      <c r="BG135" s="1733"/>
      <c r="BH135" s="1733"/>
      <c r="BI135" s="1733"/>
      <c r="BJ135" s="1733"/>
      <c r="BK135" s="1709"/>
      <c r="BL135" s="1181"/>
      <c r="BM135" s="1181"/>
      <c r="BN135" s="1181"/>
      <c r="BO135" s="1181"/>
      <c r="BP135" s="1181"/>
      <c r="BQ135" s="1181"/>
    </row>
    <row r="136" spans="1:102" s="165" customFormat="1">
      <c r="A136" s="465" t="s">
        <v>1189</v>
      </c>
      <c r="B136" s="1180"/>
      <c r="C136" s="1180"/>
      <c r="D136" s="1180"/>
      <c r="E136" s="1180"/>
      <c r="F136" s="1180"/>
      <c r="G136" s="1180"/>
      <c r="H136" s="1180"/>
      <c r="I136" s="1180"/>
      <c r="J136" s="1180"/>
      <c r="K136" s="1180"/>
      <c r="L136" s="1180"/>
      <c r="M136" s="1180"/>
      <c r="N136" s="1180"/>
      <c r="O136" s="1180"/>
      <c r="P136" s="1180"/>
      <c r="Q136" s="1180"/>
      <c r="R136" s="1180"/>
      <c r="S136" s="1180"/>
      <c r="T136" s="1180"/>
      <c r="U136" s="1180"/>
      <c r="V136" s="1180"/>
      <c r="W136" s="1180"/>
      <c r="X136" s="1180"/>
      <c r="Y136" s="1180"/>
      <c r="Z136" s="1180"/>
      <c r="AA136" s="1180"/>
      <c r="AB136" s="1180"/>
      <c r="AC136" s="1180"/>
      <c r="AD136" s="1180"/>
      <c r="AE136" s="1180"/>
      <c r="AF136" s="1180"/>
      <c r="AG136" s="1180"/>
      <c r="AH136" s="1180"/>
      <c r="AI136" s="1180"/>
      <c r="AJ136" s="1180"/>
      <c r="AK136" s="1180"/>
      <c r="AL136" s="1180"/>
      <c r="AM136" s="1180"/>
      <c r="AN136" s="1180"/>
      <c r="AO136" s="1180"/>
      <c r="AP136" s="1180"/>
      <c r="AQ136" s="1180"/>
      <c r="AR136" s="1180"/>
      <c r="AS136" s="1180"/>
      <c r="AT136" s="1733"/>
      <c r="AU136" s="1733"/>
      <c r="AV136" s="1733"/>
      <c r="AW136" s="1733"/>
      <c r="AX136" s="1733"/>
      <c r="AY136" s="1733"/>
      <c r="AZ136" s="1733"/>
      <c r="BA136" s="1733"/>
      <c r="BB136" s="1733"/>
      <c r="BC136" s="1733"/>
      <c r="BD136" s="1733"/>
      <c r="BE136" s="1733"/>
      <c r="BF136" s="1733"/>
      <c r="BG136" s="1733"/>
      <c r="BH136" s="1733"/>
      <c r="BI136" s="1733"/>
      <c r="BJ136" s="1733"/>
      <c r="BK136" s="1709"/>
      <c r="BL136" s="1181"/>
      <c r="BM136" s="1181"/>
      <c r="BN136" s="1181"/>
      <c r="BO136" s="1181"/>
      <c r="BP136" s="1181"/>
      <c r="BQ136" s="1181"/>
    </row>
    <row r="137" spans="1:102" s="165" customFormat="1">
      <c r="A137" s="1179"/>
      <c r="B137" s="1180"/>
      <c r="C137" s="1180"/>
      <c r="D137" s="1180"/>
      <c r="E137" s="1180"/>
      <c r="F137" s="1180"/>
      <c r="G137" s="1180"/>
      <c r="H137" s="1180"/>
      <c r="I137" s="1180"/>
      <c r="J137" s="1180"/>
      <c r="K137" s="1180"/>
      <c r="L137" s="1180"/>
      <c r="M137" s="1180"/>
      <c r="N137" s="1180"/>
      <c r="O137" s="1180"/>
      <c r="P137" s="1180"/>
      <c r="Q137" s="1180"/>
      <c r="R137" s="1180"/>
      <c r="S137" s="1180"/>
      <c r="T137" s="1180"/>
      <c r="U137" s="1180"/>
      <c r="V137" s="1180"/>
      <c r="W137" s="1180"/>
      <c r="X137" s="1180"/>
      <c r="Y137" s="1180"/>
      <c r="Z137" s="1180"/>
      <c r="AA137" s="1180"/>
      <c r="AB137" s="1180"/>
      <c r="AC137" s="1180"/>
      <c r="AD137" s="1180"/>
      <c r="AE137" s="1180"/>
      <c r="AF137" s="1180"/>
      <c r="AG137" s="1180"/>
      <c r="AH137" s="1180"/>
      <c r="AI137" s="1180"/>
      <c r="AJ137" s="1180"/>
      <c r="AK137" s="1180"/>
      <c r="AL137" s="1180"/>
      <c r="AM137" s="1180"/>
      <c r="AN137" s="1180"/>
      <c r="AO137" s="1180"/>
      <c r="AP137" s="1204"/>
      <c r="AQ137" s="1204"/>
      <c r="AR137" s="1204"/>
      <c r="AS137" s="1204"/>
      <c r="AT137" s="1732"/>
      <c r="AU137" s="1732"/>
      <c r="AV137" s="1732"/>
      <c r="AW137" s="1732"/>
      <c r="AX137" s="1732"/>
      <c r="AY137" s="1732"/>
      <c r="AZ137" s="1732"/>
      <c r="BA137" s="1732"/>
      <c r="BB137" s="1732"/>
      <c r="BC137" s="1732"/>
      <c r="BD137" s="1732"/>
      <c r="BE137" s="1732"/>
      <c r="BF137" s="1732"/>
      <c r="BG137" s="1732"/>
      <c r="BH137" s="1732"/>
      <c r="BI137" s="1732"/>
      <c r="BJ137" s="1732"/>
      <c r="BK137" s="1708"/>
      <c r="BL137" s="1181"/>
      <c r="BM137" s="1181"/>
      <c r="BN137" s="1181"/>
      <c r="BO137" s="1181"/>
      <c r="BP137" s="1181"/>
      <c r="BQ137" s="1181"/>
    </row>
    <row r="138" spans="1:102" s="165" customFormat="1">
      <c r="A138" s="1189" t="s">
        <v>1182</v>
      </c>
      <c r="B138" s="1180"/>
      <c r="C138" s="1180"/>
      <c r="D138" s="1180"/>
      <c r="E138" s="1180"/>
      <c r="F138" s="1180"/>
      <c r="G138" s="1180"/>
      <c r="H138" s="1180"/>
      <c r="I138" s="1180"/>
      <c r="J138" s="1180"/>
      <c r="K138" s="1180"/>
      <c r="L138" s="1180"/>
      <c r="M138" s="1180"/>
      <c r="N138" s="1180"/>
      <c r="O138" s="1180"/>
      <c r="P138" s="1180"/>
      <c r="Q138" s="1180"/>
      <c r="R138" s="1180"/>
      <c r="S138" s="1180"/>
      <c r="T138" s="1180"/>
      <c r="U138" s="1180"/>
      <c r="V138" s="1180"/>
      <c r="W138" s="1180"/>
      <c r="X138" s="1180"/>
      <c r="Y138" s="1180"/>
      <c r="Z138" s="1180"/>
      <c r="AA138" s="1180"/>
      <c r="AB138" s="1180"/>
      <c r="AC138" s="1180"/>
      <c r="AD138" s="1180"/>
      <c r="AE138" s="1180"/>
      <c r="AF138" s="1180"/>
      <c r="AG138" s="1180"/>
      <c r="AH138" s="1180"/>
      <c r="AI138" s="1180"/>
      <c r="AJ138" s="1180"/>
      <c r="AK138" s="1180"/>
      <c r="AL138" s="1180"/>
      <c r="AM138" s="1180"/>
      <c r="AN138" s="1180"/>
      <c r="AO138" s="1180"/>
      <c r="AP138" s="1180"/>
      <c r="AQ138" s="1180"/>
      <c r="AR138" s="1180"/>
      <c r="AS138" s="1180"/>
      <c r="AT138" s="1733"/>
      <c r="AU138" s="1733"/>
      <c r="AV138" s="1733"/>
      <c r="AW138" s="1733"/>
      <c r="AX138" s="1733"/>
      <c r="AY138" s="1733"/>
      <c r="AZ138" s="1733"/>
      <c r="BA138" s="1733"/>
      <c r="BB138" s="1733"/>
      <c r="BC138" s="1733"/>
      <c r="BD138" s="1733"/>
      <c r="BE138" s="1733"/>
      <c r="BF138" s="1181"/>
      <c r="BG138" s="1181"/>
      <c r="BH138" s="1181"/>
      <c r="BI138" s="1181"/>
      <c r="BJ138" s="1181"/>
      <c r="BK138" s="1181"/>
      <c r="BL138" s="1181"/>
      <c r="BM138" s="1181"/>
      <c r="BN138" s="1181"/>
      <c r="BO138" s="1181"/>
      <c r="BP138" s="1181"/>
      <c r="BQ138" s="1181"/>
    </row>
    <row r="139" spans="1:102" s="165" customFormat="1">
      <c r="A139" s="165" t="s">
        <v>1190</v>
      </c>
      <c r="B139" s="1180"/>
      <c r="C139" s="1180"/>
      <c r="D139" s="1180"/>
      <c r="E139" s="1180"/>
      <c r="F139" s="1180"/>
      <c r="G139" s="1180"/>
      <c r="H139" s="1180"/>
      <c r="I139" s="1180"/>
      <c r="J139" s="1180"/>
      <c r="K139" s="1180"/>
      <c r="L139" s="1180"/>
      <c r="M139" s="1180"/>
      <c r="N139" s="1180"/>
      <c r="O139" s="1180"/>
      <c r="P139" s="1180"/>
      <c r="Q139" s="1180"/>
      <c r="R139" s="1180"/>
      <c r="S139" s="1180"/>
      <c r="T139" s="1180"/>
      <c r="U139" s="1180"/>
      <c r="V139" s="1180"/>
      <c r="W139" s="1180"/>
      <c r="X139" s="1180"/>
      <c r="Y139" s="1180"/>
      <c r="Z139" s="1180"/>
      <c r="AA139" s="1180"/>
      <c r="AB139" s="1180"/>
      <c r="AC139" s="1180"/>
      <c r="AD139" s="1180"/>
      <c r="AE139" s="1180"/>
      <c r="AF139" s="1180"/>
      <c r="AG139" s="1180"/>
      <c r="AH139" s="1180"/>
      <c r="AI139" s="1180"/>
      <c r="AJ139" s="1180"/>
      <c r="AK139" s="1180"/>
      <c r="AL139" s="1180"/>
      <c r="AM139" s="1180"/>
      <c r="AN139" s="1180"/>
      <c r="AO139" s="1180"/>
      <c r="AP139" s="1180">
        <f t="shared" ref="AP139:BI139" si="652">AO142</f>
        <v>0</v>
      </c>
      <c r="AQ139" s="1180">
        <f t="shared" si="652"/>
        <v>23193.905000000002</v>
      </c>
      <c r="AR139" s="1180">
        <f t="shared" si="652"/>
        <v>23274.847000000002</v>
      </c>
      <c r="AS139" s="1180">
        <f t="shared" si="652"/>
        <v>23725.017</v>
      </c>
      <c r="AT139" s="1733">
        <f t="shared" si="652"/>
        <v>22561.86</v>
      </c>
      <c r="AU139" s="1733">
        <f t="shared" si="652"/>
        <v>26506.576000000001</v>
      </c>
      <c r="AV139" s="1733">
        <f t="shared" si="652"/>
        <v>25038.143</v>
      </c>
      <c r="AW139" s="1733">
        <f t="shared" si="652"/>
        <v>24722.078999999998</v>
      </c>
      <c r="AX139" s="1733">
        <f t="shared" si="652"/>
        <v>25300</v>
      </c>
      <c r="AY139" s="1733">
        <f t="shared" si="652"/>
        <v>25861.155000000002</v>
      </c>
      <c r="AZ139" s="1733">
        <f t="shared" si="652"/>
        <v>24335.841999999997</v>
      </c>
      <c r="BA139" s="1733">
        <f t="shared" si="652"/>
        <v>23740.431</v>
      </c>
      <c r="BB139" s="1733">
        <f t="shared" si="652"/>
        <v>23763.274000000001</v>
      </c>
      <c r="BC139" s="1733">
        <f t="shared" si="652"/>
        <v>24058.278999999999</v>
      </c>
      <c r="BD139" s="1733">
        <f t="shared" si="652"/>
        <v>22759.263999999999</v>
      </c>
      <c r="BE139" s="1733">
        <f t="shared" si="652"/>
        <v>21220.836000000003</v>
      </c>
      <c r="BF139" s="1733">
        <f t="shared" si="652"/>
        <v>21981.811000000002</v>
      </c>
      <c r="BG139" s="1733">
        <f t="shared" si="652"/>
        <v>20384.777999999998</v>
      </c>
      <c r="BH139" s="1733">
        <f t="shared" si="652"/>
        <v>19529.699000000001</v>
      </c>
      <c r="BI139" s="1733">
        <f t="shared" si="652"/>
        <v>19119.918000000001</v>
      </c>
      <c r="BJ139" s="1733">
        <f>BI142</f>
        <v>18330.066999999999</v>
      </c>
      <c r="BK139" s="1709">
        <f t="shared" ref="BK139" si="653">BJ142</f>
        <v>16921.289000000001</v>
      </c>
      <c r="BL139" s="1181">
        <f t="shared" ref="BL139" si="654">BK142</f>
        <v>19511.353999999999</v>
      </c>
      <c r="BM139" s="1181">
        <f t="shared" ref="BM139" si="655">BL142</f>
        <v>18758.328350299802</v>
      </c>
      <c r="BN139" s="1181">
        <f t="shared" ref="BN139" si="656">BM142</f>
        <v>18848.366087448117</v>
      </c>
      <c r="BO139" s="1181">
        <f t="shared" ref="BO139" si="657">BN142</f>
        <v>18935.797191029069</v>
      </c>
      <c r="BP139" s="1181">
        <f t="shared" ref="BP139" si="658">BO142</f>
        <v>18878.558701058748</v>
      </c>
      <c r="BQ139" s="1181">
        <f t="shared" ref="BQ139" si="659">BP142</f>
        <v>18975.590819974081</v>
      </c>
      <c r="BR139" s="1181">
        <f t="shared" ref="BR139" si="660">BQ142</f>
        <v>19193.176315034365</v>
      </c>
      <c r="BS139" s="1181">
        <f t="shared" ref="BS139" si="661">BR142</f>
        <v>19355.898917275073</v>
      </c>
      <c r="BT139" s="1181">
        <f t="shared" ref="BT139" si="662">BS142</f>
        <v>19325.457186258704</v>
      </c>
      <c r="BU139" s="1181">
        <f t="shared" ref="BU139" si="663">BT142</f>
        <v>19404.966722494722</v>
      </c>
      <c r="BV139" s="1181">
        <f t="shared" ref="BV139" si="664">BU142</f>
        <v>19602.195010980726</v>
      </c>
      <c r="BW139" s="1181">
        <f t="shared" ref="BW139" si="665">BV142</f>
        <v>19747.065766023345</v>
      </c>
      <c r="BX139" s="1181">
        <f t="shared" ref="BX139" si="666">BW142</f>
        <v>19706.201288310411</v>
      </c>
      <c r="BY139" s="1181">
        <f t="shared" ref="BY139" si="667">BX142</f>
        <v>19777.27776511298</v>
      </c>
      <c r="BZ139" s="1181">
        <f t="shared" ref="BZ139" si="668">BY142</f>
        <v>19950.417516719212</v>
      </c>
      <c r="CA139" s="1181">
        <f t="shared" ref="CA139" si="669">BZ142</f>
        <v>20041.831664166431</v>
      </c>
      <c r="CB139" s="1181">
        <f t="shared" ref="CB139" si="670">CA142</f>
        <v>20000.659419498475</v>
      </c>
      <c r="CC139" s="1181">
        <f t="shared" ref="CC139" si="671">CB142</f>
        <v>20073.214099257442</v>
      </c>
      <c r="CD139" s="1181">
        <f t="shared" ref="CD139" si="672">CC142</f>
        <v>20242.450451634097</v>
      </c>
      <c r="CE139" s="1181">
        <f t="shared" ref="CE139" si="673">CD142</f>
        <v>20332.369484268631</v>
      </c>
      <c r="CF139" s="1181">
        <f t="shared" ref="CF139" si="674">CE142</f>
        <v>20288.187658704541</v>
      </c>
      <c r="CG139" s="1181">
        <f t="shared" ref="CG139" si="675">CF142</f>
        <v>20363.279799054486</v>
      </c>
      <c r="CH139" s="1181">
        <f t="shared" ref="CH139" si="676">CG142</f>
        <v>20535.289151060624</v>
      </c>
      <c r="CI139" s="1181">
        <f t="shared" ref="CI139" si="677">CH142</f>
        <v>20614.327573992225</v>
      </c>
      <c r="CJ139" s="1181">
        <f t="shared" ref="CJ139" si="678">CI142</f>
        <v>20557.330771811852</v>
      </c>
      <c r="CK139" s="1181">
        <f t="shared" ref="CK139" si="679">CJ142</f>
        <v>20625.32886995401</v>
      </c>
      <c r="CL139" s="1181">
        <f t="shared" ref="CL139" si="680">CK142</f>
        <v>20780.237148322587</v>
      </c>
      <c r="CM139" s="1181">
        <f t="shared" ref="CM139" si="681">CL142</f>
        <v>20837.038998830991</v>
      </c>
      <c r="CN139" s="1181">
        <f t="shared" ref="CN139" si="682">CM142</f>
        <v>20776.621797121552</v>
      </c>
      <c r="CO139" s="1181">
        <f t="shared" ref="CO139" si="683">CN142</f>
        <v>20847.593682025876</v>
      </c>
      <c r="CP139" s="1181">
        <f t="shared" ref="CP139" si="684">CO142</f>
        <v>21005.921721082006</v>
      </c>
      <c r="CQ139" s="1181">
        <f t="shared" ref="CQ139" si="685">CP142</f>
        <v>21055.449786223588</v>
      </c>
      <c r="CR139" s="1181">
        <f t="shared" ref="CR139" si="686">CQ142</f>
        <v>20991.732192990086</v>
      </c>
      <c r="CS139" s="1181">
        <f t="shared" ref="CS139" si="687">CR142</f>
        <v>21065.856223417042</v>
      </c>
      <c r="CT139" s="1181">
        <f t="shared" ref="CT139" si="688">CS142</f>
        <v>21227.850183475533</v>
      </c>
      <c r="CU139" s="1181">
        <f t="shared" ref="CU139" si="689">CT142</f>
        <v>21269.428936900375</v>
      </c>
      <c r="CV139" s="1181">
        <f t="shared" ref="CV139" si="690">CU142</f>
        <v>21202.238887226496</v>
      </c>
      <c r="CW139" s="1181">
        <f t="shared" ref="CW139" si="691">CV142</f>
        <v>21279.781098920699</v>
      </c>
    </row>
    <row r="140" spans="1:102" s="165" customFormat="1">
      <c r="A140" s="241" t="s">
        <v>262</v>
      </c>
      <c r="B140" s="1180"/>
      <c r="C140" s="1180"/>
      <c r="D140" s="1180"/>
      <c r="E140" s="1180"/>
      <c r="F140" s="1180"/>
      <c r="G140" s="1180"/>
      <c r="H140" s="1180"/>
      <c r="I140" s="1180"/>
      <c r="J140" s="1180"/>
      <c r="K140" s="1180"/>
      <c r="L140" s="1180"/>
      <c r="M140" s="1180"/>
      <c r="N140" s="1180"/>
      <c r="O140" s="1180"/>
      <c r="P140" s="1180"/>
      <c r="Q140" s="1180"/>
      <c r="R140" s="1180"/>
      <c r="S140" s="1180"/>
      <c r="T140" s="1180"/>
      <c r="U140" s="1180"/>
      <c r="V140" s="1180"/>
      <c r="W140" s="1180"/>
      <c r="X140" s="1180"/>
      <c r="Y140" s="1180"/>
      <c r="Z140" s="1180"/>
      <c r="AA140" s="1180"/>
      <c r="AB140" s="1180"/>
      <c r="AC140" s="1180"/>
      <c r="AD140" s="1180"/>
      <c r="AE140" s="1180"/>
      <c r="AF140" s="1180"/>
      <c r="AG140" s="1180"/>
      <c r="AH140" s="1180"/>
      <c r="AI140" s="1180"/>
      <c r="AJ140" s="1180"/>
      <c r="AK140" s="1180"/>
      <c r="AL140" s="1180"/>
      <c r="AM140" s="1180"/>
      <c r="AN140" s="1180"/>
      <c r="AO140" s="1180"/>
      <c r="AP140" s="1180"/>
      <c r="AQ140" s="1180"/>
      <c r="AR140" s="1180"/>
      <c r="AS140" s="1180"/>
      <c r="AT140" s="1733"/>
      <c r="AU140" s="1733"/>
      <c r="AV140" s="1733"/>
      <c r="AW140" s="1733"/>
      <c r="AX140" s="1733"/>
      <c r="AY140" s="1733"/>
      <c r="AZ140" s="1733"/>
      <c r="BA140" s="1733"/>
      <c r="BB140" s="1733"/>
      <c r="BC140" s="1733"/>
      <c r="BD140" s="1732">
        <f t="shared" ref="BD140:BI140" si="692">(BD142+BD141-BD139)</f>
        <v>-922.83199999999488</v>
      </c>
      <c r="BE140" s="1732">
        <f t="shared" si="692"/>
        <v>1671.9099999999962</v>
      </c>
      <c r="BF140" s="1732">
        <f t="shared" si="692"/>
        <v>-522.35100000000239</v>
      </c>
      <c r="BG140" s="1732">
        <f t="shared" si="692"/>
        <v>189.42700000000332</v>
      </c>
      <c r="BH140" s="1732">
        <f t="shared" si="692"/>
        <v>600.95700000000215</v>
      </c>
      <c r="BI140" s="1732">
        <f t="shared" si="692"/>
        <v>1210.4229999999989</v>
      </c>
      <c r="BJ140" s="1732">
        <f>(BJ142+BJ141-BJ139)</f>
        <v>-473.65799999999945</v>
      </c>
      <c r="BK140" s="1708">
        <f t="shared" ref="BK140" si="693">(BK142+BK141-BK139)</f>
        <v>3644.5479999999989</v>
      </c>
      <c r="BL140" s="1197">
        <f>BL145*Q_IS!BL$16-BL139</f>
        <v>161.07908761651197</v>
      </c>
      <c r="BM140" s="1197">
        <f>BM145*Q_IS!BM$16-BM139</f>
        <v>971.2618329225661</v>
      </c>
      <c r="BN140" s="1197">
        <f>BN145*Q_IS!BN$16-BN139</f>
        <v>948.7733905811765</v>
      </c>
      <c r="BO140" s="1197">
        <f>BO145*Q_IS!BO$16-BO139</f>
        <v>965.26427901087663</v>
      </c>
      <c r="BP140" s="1197">
        <f>BP145*Q_IS!BP$16-BP139</f>
        <v>1126.4247609918493</v>
      </c>
      <c r="BQ140" s="1197">
        <f>BQ145*Q_IS!BQ$16-BQ139</f>
        <v>1190.4717296930285</v>
      </c>
      <c r="BR140" s="1197">
        <f>BR145*Q_IS!BR$16-BR139</f>
        <v>1123.5731230481906</v>
      </c>
      <c r="BS140" s="1197">
        <f>BS145*Q_IS!BS$16-BS139</f>
        <v>1043.9881144160026</v>
      </c>
      <c r="BT140" s="1197">
        <f>BT145*Q_IS!BT$16-BT139</f>
        <v>1157.5674390408967</v>
      </c>
      <c r="BU140" s="1197">
        <f>BU145*Q_IS!BU$16-BU139</f>
        <v>1213.156492418726</v>
      </c>
      <c r="BV140" s="1197">
        <f>BV145*Q_IS!BV$16-BV139</f>
        <v>1145.8306939460381</v>
      </c>
      <c r="BW140" s="1197">
        <f>BW145*Q_IS!BW$16-BW139</f>
        <v>1073.7053333108743</v>
      </c>
      <c r="BX140" s="1197">
        <f>BX145*Q_IS!BX$16-BX139</f>
        <v>1187.3152054312668</v>
      </c>
      <c r="BY140" s="1197">
        <f>BY145*Q_IS!BY$16-BY139</f>
        <v>1225.3568202398819</v>
      </c>
      <c r="BZ140" s="1197">
        <f>BZ145*Q_IS!BZ$16-BZ139</f>
        <v>1161.3351602448347</v>
      </c>
      <c r="CA140" s="1197">
        <f>CA145*Q_IS!CA$16-CA139</f>
        <v>1142.6664072050735</v>
      </c>
      <c r="CB140" s="1197">
        <f>CB145*Q_IS!CB$16-CB139</f>
        <v>1256.5840462804845</v>
      </c>
      <c r="CC140" s="1197">
        <f>CC145*Q_IS!CC$16-CC139</f>
        <v>1293.147458132702</v>
      </c>
      <c r="CD140" s="1197">
        <f>CD145*Q_IS!CD$16-CD139</f>
        <v>1233.0291973672356</v>
      </c>
      <c r="CE140" s="1197">
        <f>CE145*Q_IS!CE$16-CE139</f>
        <v>1215.8555591401564</v>
      </c>
      <c r="CF140" s="1197">
        <f>CF145*Q_IS!CF$16-CF139</f>
        <v>1332.7827791117052</v>
      </c>
      <c r="CG140" s="1197">
        <f>CG145*Q_IS!CG$16-CG139</f>
        <v>1366.8087303729444</v>
      </c>
      <c r="CH140" s="1197">
        <f>CH145*Q_IS!CH$16-CH139</f>
        <v>1298.7213703774578</v>
      </c>
      <c r="CI140" s="1197">
        <f>CI145*Q_IS!CI$16-CI139</f>
        <v>1282.0361426522504</v>
      </c>
      <c r="CJ140" s="1197">
        <f>CJ145*Q_IS!CJ$16-CJ139</f>
        <v>1401.3861400390124</v>
      </c>
      <c r="CK140" s="1197">
        <f>CK145*Q_IS!CK$16-CK139</f>
        <v>1421.721735105908</v>
      </c>
      <c r="CL140" s="1197">
        <f>CL145*Q_IS!CL$16-CL139</f>
        <v>1355.1471499463878</v>
      </c>
      <c r="CM140" s="1197">
        <f>CM145*Q_IS!CM$16-CM139</f>
        <v>1360.6984946443736</v>
      </c>
      <c r="CN140" s="1197">
        <f>CN145*Q_IS!CN$16-CN139</f>
        <v>1483.4688915602055</v>
      </c>
      <c r="CO140" s="1197">
        <f>CO145*Q_IS!CO$16-CO139</f>
        <v>1500.830699864935</v>
      </c>
      <c r="CP140" s="1197">
        <f>CP145*Q_IS!CP$16-CP139</f>
        <v>1430.8363540178616</v>
      </c>
      <c r="CQ140" s="1197">
        <f>CQ145*Q_IS!CQ$16-CQ139</f>
        <v>1443.6614840826696</v>
      </c>
      <c r="CR140" s="1197">
        <f>CR145*Q_IS!CR$16-CR139</f>
        <v>1569.732272522564</v>
      </c>
      <c r="CS140" s="1197">
        <f>CS145*Q_IS!CS$16-CS139</f>
        <v>1583.9419353046615</v>
      </c>
      <c r="CT140" s="1197">
        <f>CT145*Q_IS!CT$16-CT139</f>
        <v>1510.2816684552236</v>
      </c>
      <c r="CU140" s="1197">
        <f>CU145*Q_IS!CU$16-CU139</f>
        <v>1531.0561102367756</v>
      </c>
      <c r="CV140" s="1197">
        <f>CV145*Q_IS!CV$16-CV139</f>
        <v>1660.5993551170432</v>
      </c>
      <c r="CW140" s="1197">
        <f>CW145*Q_IS!CW$16-CW139</f>
        <v>1666.1947370313646</v>
      </c>
    </row>
    <row r="141" spans="1:102" s="165" customFormat="1">
      <c r="A141" s="241" t="s">
        <v>1191</v>
      </c>
      <c r="B141" s="1180"/>
      <c r="C141" s="1180"/>
      <c r="D141" s="1180"/>
      <c r="E141" s="1180"/>
      <c r="F141" s="1180"/>
      <c r="G141" s="1180"/>
      <c r="H141" s="1180"/>
      <c r="I141" s="1180"/>
      <c r="J141" s="1180"/>
      <c r="K141" s="1180"/>
      <c r="L141" s="1180"/>
      <c r="M141" s="1180"/>
      <c r="N141" s="1180"/>
      <c r="O141" s="1180"/>
      <c r="P141" s="1180"/>
      <c r="Q141" s="1180"/>
      <c r="R141" s="1180"/>
      <c r="S141" s="1180"/>
      <c r="T141" s="1180"/>
      <c r="U141" s="1180"/>
      <c r="V141" s="1180"/>
      <c r="W141" s="1180"/>
      <c r="X141" s="1180"/>
      <c r="Y141" s="1180"/>
      <c r="Z141" s="1180"/>
      <c r="AA141" s="1180"/>
      <c r="AB141" s="1180"/>
      <c r="AC141" s="1180"/>
      <c r="AD141" s="1180"/>
      <c r="AE141" s="1180"/>
      <c r="AF141" s="1180"/>
      <c r="AG141" s="1180"/>
      <c r="AH141" s="1180"/>
      <c r="AI141" s="1180"/>
      <c r="AJ141" s="1180"/>
      <c r="AK141" s="1180"/>
      <c r="AL141" s="1180"/>
      <c r="AM141" s="1180"/>
      <c r="AN141" s="1180"/>
      <c r="AO141" s="1180"/>
      <c r="AP141" s="1204">
        <f>BS!AP66</f>
        <v>1185.5899999999999</v>
      </c>
      <c r="AQ141" s="1204">
        <f>BS!AQ66</f>
        <v>1180.664</v>
      </c>
      <c r="AR141" s="1204">
        <f>BS!AR66</f>
        <v>1518.634</v>
      </c>
      <c r="AS141" s="1204">
        <f>BS!AS66</f>
        <v>902.24600000000009</v>
      </c>
      <c r="AT141" s="1732">
        <f>BS!AT66</f>
        <v>998.07</v>
      </c>
      <c r="AU141" s="1732">
        <f>BS!AU66</f>
        <v>951.74599999999998</v>
      </c>
      <c r="AV141" s="1732">
        <f>BS!AV66</f>
        <v>1004.2709999999998</v>
      </c>
      <c r="AW141" s="1732">
        <f>BS!AW66</f>
        <v>1127.739</v>
      </c>
      <c r="AX141" s="1732">
        <f>BS!AX66</f>
        <v>1148.0239999999999</v>
      </c>
      <c r="AY141" s="1732">
        <f>BS!AY66</f>
        <v>1113.9770000000003</v>
      </c>
      <c r="AZ141" s="1732">
        <f>BS!AZ66</f>
        <v>1085.4789999999998</v>
      </c>
      <c r="BA141" s="1732">
        <f>BS!BA66</f>
        <v>2390.9750000000004</v>
      </c>
      <c r="BB141" s="1732">
        <f>BS!BB66</f>
        <v>1438.731</v>
      </c>
      <c r="BC141" s="1732">
        <f>BS!BC66</f>
        <v>1373.4069999999999</v>
      </c>
      <c r="BD141" s="1732">
        <f>BS!BD66</f>
        <v>615.59600000000023</v>
      </c>
      <c r="BE141" s="1732">
        <f>BS!BE66</f>
        <v>910.93499999999949</v>
      </c>
      <c r="BF141" s="1732">
        <f>BS!BF66</f>
        <v>1074.682</v>
      </c>
      <c r="BG141" s="1732">
        <f>BS!BG66</f>
        <v>1044.5060000000001</v>
      </c>
      <c r="BH141" s="1732">
        <f>BS!BH66</f>
        <v>1010.7379999999998</v>
      </c>
      <c r="BI141" s="1732">
        <f>BS!BI66</f>
        <v>2000.2739999999999</v>
      </c>
      <c r="BJ141" s="1732">
        <f>BS!BJ66</f>
        <v>935.12</v>
      </c>
      <c r="BK141" s="1702">
        <f>BS!BK66</f>
        <v>1054.4830000000002</v>
      </c>
      <c r="BL141" s="1197">
        <f>+Q_IS!BL299-Q_BS!BL156</f>
        <v>914.104737316708</v>
      </c>
      <c r="BM141" s="1197">
        <f>+Q_IS!BM299-Q_BS!BM156</f>
        <v>881.22409577424935</v>
      </c>
      <c r="BN141" s="1197">
        <f>+Q_IS!BN299-Q_BS!BN156</f>
        <v>861.34228700022527</v>
      </c>
      <c r="BO141" s="1197">
        <f>+Q_IS!BO299-Q_BS!BO156</f>
        <v>1022.5027689811968</v>
      </c>
      <c r="BP141" s="1197">
        <f>+Q_IS!BP299-Q_BS!BP156</f>
        <v>1029.3926420765174</v>
      </c>
      <c r="BQ141" s="1197">
        <f>+Q_IS!BQ299-Q_BS!BQ156</f>
        <v>972.88623463274337</v>
      </c>
      <c r="BR141" s="1197">
        <f>+Q_IS!BR299-Q_BS!BR156</f>
        <v>960.85052080748255</v>
      </c>
      <c r="BS141" s="1197">
        <f>+Q_IS!BS299-Q_BS!BS156</f>
        <v>1074.4298454323728</v>
      </c>
      <c r="BT141" s="1197">
        <f>+Q_IS!BT299-Q_BS!BT156</f>
        <v>1078.0579028048767</v>
      </c>
      <c r="BU141" s="1197">
        <f>+Q_IS!BU299-Q_BS!BU156</f>
        <v>1015.928203932724</v>
      </c>
      <c r="BV141" s="1197">
        <f>+Q_IS!BV299-Q_BS!BV156</f>
        <v>1000.9599389034196</v>
      </c>
      <c r="BW141" s="1197">
        <f>+Q_IS!BW299-Q_BS!BW156</f>
        <v>1114.5698110238093</v>
      </c>
      <c r="BX141" s="1197">
        <f>+Q_IS!BX299-Q_BS!BX156</f>
        <v>1116.2387286286976</v>
      </c>
      <c r="BY141" s="1197">
        <f>+Q_IS!BY299-Q_BS!BY156</f>
        <v>1052.217068633649</v>
      </c>
      <c r="BZ141" s="1197">
        <f>+Q_IS!BZ299-Q_BS!BZ156</f>
        <v>1069.921012797615</v>
      </c>
      <c r="CA141" s="1197">
        <f>+Q_IS!CA299-Q_BS!CA156</f>
        <v>1183.8386518730288</v>
      </c>
      <c r="CB141" s="1197">
        <f>+Q_IS!CB299-Q_BS!CB156</f>
        <v>1184.0293665215183</v>
      </c>
      <c r="CC141" s="1197">
        <f>+Q_IS!CC299-Q_BS!CC156</f>
        <v>1123.9111057560472</v>
      </c>
      <c r="CD141" s="1197">
        <f>+Q_IS!CD299-Q_BS!CD156</f>
        <v>1143.1101647327014</v>
      </c>
      <c r="CE141" s="1197">
        <f>+Q_IS!CE299-Q_BS!CE156</f>
        <v>1260.0373847042451</v>
      </c>
      <c r="CF141" s="1197">
        <f>+Q_IS!CF299-Q_BS!CF156</f>
        <v>1257.6906387617591</v>
      </c>
      <c r="CG141" s="1197">
        <f>+Q_IS!CG299-Q_BS!CG156</f>
        <v>1194.7993783668076</v>
      </c>
      <c r="CH141" s="1197">
        <f>+Q_IS!CH299-Q_BS!CH156</f>
        <v>1219.6829474458564</v>
      </c>
      <c r="CI141" s="1197">
        <f>+Q_IS!CI299-Q_BS!CI156</f>
        <v>1339.0329448326243</v>
      </c>
      <c r="CJ141" s="1197">
        <f>+Q_IS!CJ299-Q_BS!CJ156</f>
        <v>1333.3880418968529</v>
      </c>
      <c r="CK141" s="1197">
        <f>+Q_IS!CK299-Q_BS!CK156</f>
        <v>1266.8134567373315</v>
      </c>
      <c r="CL141" s="1197">
        <f>+Q_IS!CL299-Q_BS!CL156</f>
        <v>1298.3452994379836</v>
      </c>
      <c r="CM141" s="1197">
        <f>+Q_IS!CM299-Q_BS!CM156</f>
        <v>1421.115696353814</v>
      </c>
      <c r="CN141" s="1197">
        <f>+Q_IS!CN299-Q_BS!CN156</f>
        <v>1412.4970066558826</v>
      </c>
      <c r="CO141" s="1197">
        <f>+Q_IS!CO299-Q_BS!CO156</f>
        <v>1342.5026608088049</v>
      </c>
      <c r="CP141" s="1197">
        <f>+Q_IS!CP299-Q_BS!CP156</f>
        <v>1381.3082888762813</v>
      </c>
      <c r="CQ141" s="1197">
        <f>+Q_IS!CQ299-Q_BS!CQ156</f>
        <v>1507.3790773161722</v>
      </c>
      <c r="CR141" s="1197">
        <f>+Q_IS!CR299-Q_BS!CR156</f>
        <v>1495.6082420956077</v>
      </c>
      <c r="CS141" s="1197">
        <f>+Q_IS!CS299-Q_BS!CS156</f>
        <v>1421.9479752461718</v>
      </c>
      <c r="CT141" s="1197">
        <f>+Q_IS!CT299-Q_BS!CT156</f>
        <v>1468.7029150303838</v>
      </c>
      <c r="CU141" s="1197">
        <f>+Q_IS!CU299-Q_BS!CU156</f>
        <v>1598.2461599106553</v>
      </c>
      <c r="CV141" s="1197">
        <f>+Q_IS!CV299-Q_BS!CV156</f>
        <v>1583.0571434228395</v>
      </c>
      <c r="CW141" s="1197">
        <f>+Q_IS!CW299-Q_BS!CW156</f>
        <v>1504.0767167479546</v>
      </c>
      <c r="CX141" s="2048"/>
    </row>
    <row r="142" spans="1:102" s="165" customFormat="1">
      <c r="A142" s="165" t="s">
        <v>1192</v>
      </c>
      <c r="B142" s="1180"/>
      <c r="C142" s="1180"/>
      <c r="D142" s="1180"/>
      <c r="E142" s="1180"/>
      <c r="F142" s="1180"/>
      <c r="G142" s="1180"/>
      <c r="H142" s="1180"/>
      <c r="I142" s="1180"/>
      <c r="J142" s="1180"/>
      <c r="K142" s="1180"/>
      <c r="L142" s="1180"/>
      <c r="M142" s="1180"/>
      <c r="N142" s="1180"/>
      <c r="O142" s="1180"/>
      <c r="P142" s="1180"/>
      <c r="Q142" s="1180"/>
      <c r="R142" s="1180"/>
      <c r="S142" s="1180"/>
      <c r="T142" s="1180"/>
      <c r="U142" s="1180"/>
      <c r="V142" s="1180"/>
      <c r="W142" s="1180"/>
      <c r="X142" s="1180"/>
      <c r="Y142" s="1180"/>
      <c r="Z142" s="1180"/>
      <c r="AA142" s="1180"/>
      <c r="AB142" s="1180"/>
      <c r="AC142" s="1180"/>
      <c r="AD142" s="1180"/>
      <c r="AE142" s="1180"/>
      <c r="AF142" s="1180"/>
      <c r="AG142" s="1180"/>
      <c r="AH142" s="1180"/>
      <c r="AI142" s="1180"/>
      <c r="AJ142" s="1180"/>
      <c r="AK142" s="1180"/>
      <c r="AL142" s="1180"/>
      <c r="AM142" s="1180"/>
      <c r="AN142" s="1180"/>
      <c r="AO142" s="1180"/>
      <c r="AP142" s="1180">
        <f t="shared" ref="AP142:AU142" si="694">AP143+AP144</f>
        <v>23193.905000000002</v>
      </c>
      <c r="AQ142" s="1180">
        <f t="shared" si="694"/>
        <v>23274.847000000002</v>
      </c>
      <c r="AR142" s="1180">
        <f t="shared" si="694"/>
        <v>23725.017</v>
      </c>
      <c r="AS142" s="1180">
        <f t="shared" si="694"/>
        <v>22561.86</v>
      </c>
      <c r="AT142" s="1733">
        <f t="shared" si="694"/>
        <v>26506.576000000001</v>
      </c>
      <c r="AU142" s="1733">
        <f t="shared" si="694"/>
        <v>25038.143</v>
      </c>
      <c r="AV142" s="1733">
        <f t="shared" ref="AV142:BC142" si="695">AV143+AV144</f>
        <v>24722.078999999998</v>
      </c>
      <c r="AW142" s="1733">
        <f t="shared" si="695"/>
        <v>25300</v>
      </c>
      <c r="AX142" s="1733">
        <f t="shared" si="695"/>
        <v>25861.155000000002</v>
      </c>
      <c r="AY142" s="1733">
        <f t="shared" si="695"/>
        <v>24335.841999999997</v>
      </c>
      <c r="AZ142" s="1733">
        <f t="shared" si="695"/>
        <v>23740.431</v>
      </c>
      <c r="BA142" s="1733">
        <f t="shared" si="695"/>
        <v>23763.274000000001</v>
      </c>
      <c r="BB142" s="1733">
        <f t="shared" si="695"/>
        <v>24058.278999999999</v>
      </c>
      <c r="BC142" s="1733">
        <f t="shared" si="695"/>
        <v>22759.263999999999</v>
      </c>
      <c r="BD142" s="1733">
        <f t="shared" ref="BD142:BI142" si="696">BD143+BD144</f>
        <v>21220.836000000003</v>
      </c>
      <c r="BE142" s="1733">
        <f t="shared" si="696"/>
        <v>21981.811000000002</v>
      </c>
      <c r="BF142" s="1733">
        <f t="shared" si="696"/>
        <v>20384.777999999998</v>
      </c>
      <c r="BG142" s="1733">
        <f t="shared" si="696"/>
        <v>19529.699000000001</v>
      </c>
      <c r="BH142" s="1733">
        <f t="shared" si="696"/>
        <v>19119.918000000001</v>
      </c>
      <c r="BI142" s="1733">
        <f t="shared" si="696"/>
        <v>18330.066999999999</v>
      </c>
      <c r="BJ142" s="1733">
        <f t="shared" ref="BJ142:BK142" si="697">BJ143+BJ144</f>
        <v>16921.289000000001</v>
      </c>
      <c r="BK142" s="1709">
        <f t="shared" si="697"/>
        <v>19511.353999999999</v>
      </c>
      <c r="BL142" s="1181">
        <f t="shared" ref="BL142:CW142" si="698">BL139-BL141+BL140</f>
        <v>18758.328350299802</v>
      </c>
      <c r="BM142" s="1181">
        <f t="shared" si="698"/>
        <v>18848.366087448117</v>
      </c>
      <c r="BN142" s="1181">
        <f t="shared" si="698"/>
        <v>18935.797191029069</v>
      </c>
      <c r="BO142" s="1181">
        <f t="shared" si="698"/>
        <v>18878.558701058748</v>
      </c>
      <c r="BP142" s="1181">
        <f t="shared" si="698"/>
        <v>18975.590819974081</v>
      </c>
      <c r="BQ142" s="1181">
        <f t="shared" si="698"/>
        <v>19193.176315034365</v>
      </c>
      <c r="BR142" s="1181">
        <f t="shared" si="698"/>
        <v>19355.898917275073</v>
      </c>
      <c r="BS142" s="1181">
        <f t="shared" si="698"/>
        <v>19325.457186258704</v>
      </c>
      <c r="BT142" s="1181">
        <f t="shared" si="698"/>
        <v>19404.966722494722</v>
      </c>
      <c r="BU142" s="1181">
        <f t="shared" si="698"/>
        <v>19602.195010980726</v>
      </c>
      <c r="BV142" s="1181">
        <f t="shared" si="698"/>
        <v>19747.065766023345</v>
      </c>
      <c r="BW142" s="1181">
        <f t="shared" si="698"/>
        <v>19706.201288310411</v>
      </c>
      <c r="BX142" s="1181">
        <f t="shared" si="698"/>
        <v>19777.27776511298</v>
      </c>
      <c r="BY142" s="1181">
        <f t="shared" si="698"/>
        <v>19950.417516719212</v>
      </c>
      <c r="BZ142" s="1181">
        <f t="shared" si="698"/>
        <v>20041.831664166431</v>
      </c>
      <c r="CA142" s="1181">
        <f t="shared" si="698"/>
        <v>20000.659419498475</v>
      </c>
      <c r="CB142" s="1181">
        <f t="shared" si="698"/>
        <v>20073.214099257442</v>
      </c>
      <c r="CC142" s="1181">
        <f t="shared" si="698"/>
        <v>20242.450451634097</v>
      </c>
      <c r="CD142" s="1181">
        <f t="shared" si="698"/>
        <v>20332.369484268631</v>
      </c>
      <c r="CE142" s="1181">
        <f t="shared" si="698"/>
        <v>20288.187658704541</v>
      </c>
      <c r="CF142" s="1181">
        <f t="shared" si="698"/>
        <v>20363.279799054486</v>
      </c>
      <c r="CG142" s="1181">
        <f t="shared" si="698"/>
        <v>20535.289151060624</v>
      </c>
      <c r="CH142" s="1181">
        <f t="shared" si="698"/>
        <v>20614.327573992225</v>
      </c>
      <c r="CI142" s="1181">
        <f t="shared" si="698"/>
        <v>20557.330771811852</v>
      </c>
      <c r="CJ142" s="1181">
        <f t="shared" si="698"/>
        <v>20625.32886995401</v>
      </c>
      <c r="CK142" s="1181">
        <f t="shared" si="698"/>
        <v>20780.237148322587</v>
      </c>
      <c r="CL142" s="1181">
        <f t="shared" si="698"/>
        <v>20837.038998830991</v>
      </c>
      <c r="CM142" s="1181">
        <f t="shared" si="698"/>
        <v>20776.621797121552</v>
      </c>
      <c r="CN142" s="1181">
        <f t="shared" si="698"/>
        <v>20847.593682025876</v>
      </c>
      <c r="CO142" s="1181">
        <f t="shared" si="698"/>
        <v>21005.921721082006</v>
      </c>
      <c r="CP142" s="1181">
        <f t="shared" si="698"/>
        <v>21055.449786223588</v>
      </c>
      <c r="CQ142" s="1181">
        <f t="shared" si="698"/>
        <v>20991.732192990086</v>
      </c>
      <c r="CR142" s="1181">
        <f t="shared" si="698"/>
        <v>21065.856223417042</v>
      </c>
      <c r="CS142" s="1181">
        <f t="shared" si="698"/>
        <v>21227.850183475533</v>
      </c>
      <c r="CT142" s="1181">
        <f t="shared" si="698"/>
        <v>21269.428936900375</v>
      </c>
      <c r="CU142" s="1181">
        <f t="shared" si="698"/>
        <v>21202.238887226496</v>
      </c>
      <c r="CV142" s="1181">
        <f t="shared" si="698"/>
        <v>21279.781098920699</v>
      </c>
      <c r="CW142" s="1181">
        <f t="shared" si="698"/>
        <v>21441.89911920411</v>
      </c>
    </row>
    <row r="143" spans="1:102" s="165" customFormat="1">
      <c r="A143" s="1190" t="s">
        <v>1193</v>
      </c>
      <c r="B143" s="1180"/>
      <c r="C143" s="1180"/>
      <c r="D143" s="1180"/>
      <c r="E143" s="1180"/>
      <c r="F143" s="1180"/>
      <c r="G143" s="1180"/>
      <c r="H143" s="1180"/>
      <c r="I143" s="1180"/>
      <c r="J143" s="1180"/>
      <c r="K143" s="1180"/>
      <c r="L143" s="1180"/>
      <c r="M143" s="1180"/>
      <c r="N143" s="1180"/>
      <c r="O143" s="1180"/>
      <c r="P143" s="1180"/>
      <c r="Q143" s="1180"/>
      <c r="R143" s="1180"/>
      <c r="S143" s="1180"/>
      <c r="T143" s="1180"/>
      <c r="U143" s="1180"/>
      <c r="V143" s="1180"/>
      <c r="W143" s="1180"/>
      <c r="X143" s="1180"/>
      <c r="Y143" s="1180"/>
      <c r="Z143" s="1180"/>
      <c r="AA143" s="1180"/>
      <c r="AB143" s="1180"/>
      <c r="AC143" s="1180"/>
      <c r="AD143" s="1180"/>
      <c r="AE143" s="1180"/>
      <c r="AF143" s="1180"/>
      <c r="AG143" s="1180"/>
      <c r="AH143" s="1180"/>
      <c r="AI143" s="1180"/>
      <c r="AJ143" s="1180"/>
      <c r="AK143" s="1180"/>
      <c r="AL143" s="1180"/>
      <c r="AM143" s="1180"/>
      <c r="AN143" s="1180"/>
      <c r="AO143" s="1180"/>
      <c r="AP143" s="1204">
        <f>BS!AP30</f>
        <v>2347.8069999999998</v>
      </c>
      <c r="AQ143" s="1204">
        <f>BS!AQ30</f>
        <v>2723.0039999999999</v>
      </c>
      <c r="AR143" s="1204">
        <f>BS!AR30</f>
        <v>3701.72</v>
      </c>
      <c r="AS143" s="1204">
        <f>BS!AS30</f>
        <v>8756.8240000000005</v>
      </c>
      <c r="AT143" s="1732">
        <f>BS!AT30</f>
        <v>8519.5709999999999</v>
      </c>
      <c r="AU143" s="1732">
        <f>BS!AU30</f>
        <v>4483.6009999999997</v>
      </c>
      <c r="AV143" s="1732">
        <f>BS!AV30</f>
        <v>4012.2269999999999</v>
      </c>
      <c r="AW143" s="1732">
        <f>BS!AW30</f>
        <v>4208</v>
      </c>
      <c r="AX143" s="1732">
        <f>BS!AX30</f>
        <v>4382.0050000000001</v>
      </c>
      <c r="AY143" s="1732">
        <f>BS!AY30</f>
        <v>4222.5469999999996</v>
      </c>
      <c r="AZ143" s="1732">
        <f>BS!AZ30</f>
        <v>4215.0309999999999</v>
      </c>
      <c r="BA143" s="1732">
        <f>BS!BA30</f>
        <v>4415.95</v>
      </c>
      <c r="BB143" s="1732">
        <f>BS!BB30</f>
        <v>4811.6559999999999</v>
      </c>
      <c r="BC143" s="1732">
        <f>BS!BC30</f>
        <v>4551.8530000000001</v>
      </c>
      <c r="BD143" s="1732">
        <f>BS!BD30</f>
        <v>4244.1670000000004</v>
      </c>
      <c r="BE143" s="1732">
        <f>BS!BE30</f>
        <v>4396.3620000000001</v>
      </c>
      <c r="BF143" s="1732">
        <f>BS!BF30</f>
        <v>0</v>
      </c>
      <c r="BG143" s="1732">
        <f>BS!BG30</f>
        <v>3905.94</v>
      </c>
      <c r="BH143" s="1732">
        <f>BS!BH30</f>
        <v>3632.7840000000001</v>
      </c>
      <c r="BI143" s="1732">
        <f>BS!BI30</f>
        <v>3299.4119999999998</v>
      </c>
      <c r="BJ143" s="1732">
        <f>BS!BJ30</f>
        <v>3384.2579999999998</v>
      </c>
      <c r="BK143" s="1708">
        <f>BS!BK30</f>
        <v>3512.0439999999999</v>
      </c>
      <c r="BL143" s="1196">
        <f t="shared" ref="BL143" si="699">BK143</f>
        <v>3512.0439999999999</v>
      </c>
      <c r="BM143" s="1196">
        <f t="shared" ref="BM143" si="700">BL143</f>
        <v>3512.0439999999999</v>
      </c>
      <c r="BN143" s="1196">
        <f t="shared" ref="BN143" si="701">BM143</f>
        <v>3512.0439999999999</v>
      </c>
      <c r="BO143" s="1196">
        <f t="shared" ref="BO143" si="702">BN143</f>
        <v>3512.0439999999999</v>
      </c>
      <c r="BP143" s="1196">
        <f t="shared" ref="BP143" si="703">BO143</f>
        <v>3512.0439999999999</v>
      </c>
      <c r="BQ143" s="1196">
        <f t="shared" ref="BQ143" si="704">BP143</f>
        <v>3512.0439999999999</v>
      </c>
      <c r="BR143" s="1196">
        <f t="shared" ref="BR143" si="705">BQ143</f>
        <v>3512.0439999999999</v>
      </c>
      <c r="BS143" s="1196">
        <f t="shared" ref="BS143" si="706">BR143</f>
        <v>3512.0439999999999</v>
      </c>
      <c r="BT143" s="1196">
        <f t="shared" ref="BT143" si="707">BS143</f>
        <v>3512.0439999999999</v>
      </c>
      <c r="BU143" s="1196">
        <f t="shared" ref="BU143" si="708">BT143</f>
        <v>3512.0439999999999</v>
      </c>
      <c r="BV143" s="1196">
        <f t="shared" ref="BV143" si="709">BU143</f>
        <v>3512.0439999999999</v>
      </c>
      <c r="BW143" s="1196">
        <f t="shared" ref="BW143" si="710">BV143</f>
        <v>3512.0439999999999</v>
      </c>
      <c r="BX143" s="1196">
        <f t="shared" ref="BX143" si="711">BW143</f>
        <v>3512.0439999999999</v>
      </c>
      <c r="BY143" s="1196">
        <f t="shared" ref="BY143" si="712">BX143</f>
        <v>3512.0439999999999</v>
      </c>
      <c r="BZ143" s="1196">
        <f t="shared" ref="BZ143" si="713">BY143</f>
        <v>3512.0439999999999</v>
      </c>
      <c r="CA143" s="1196">
        <f t="shared" ref="CA143" si="714">BZ143</f>
        <v>3512.0439999999999</v>
      </c>
      <c r="CB143" s="1196">
        <f t="shared" ref="CB143" si="715">CA143</f>
        <v>3512.0439999999999</v>
      </c>
      <c r="CC143" s="1196">
        <f t="shared" ref="CC143" si="716">CB143</f>
        <v>3512.0439999999999</v>
      </c>
      <c r="CD143" s="1196">
        <f t="shared" ref="CD143" si="717">CC143</f>
        <v>3512.0439999999999</v>
      </c>
      <c r="CE143" s="1196">
        <f t="shared" ref="CE143" si="718">CD143</f>
        <v>3512.0439999999999</v>
      </c>
      <c r="CF143" s="1196">
        <f t="shared" ref="CF143" si="719">CE143</f>
        <v>3512.0439999999999</v>
      </c>
      <c r="CG143" s="1196">
        <f t="shared" ref="CG143" si="720">CF143</f>
        <v>3512.0439999999999</v>
      </c>
      <c r="CH143" s="1196">
        <f t="shared" ref="CH143" si="721">CG143</f>
        <v>3512.0439999999999</v>
      </c>
      <c r="CI143" s="1196">
        <f t="shared" ref="CI143" si="722">CH143</f>
        <v>3512.0439999999999</v>
      </c>
      <c r="CJ143" s="1196">
        <f t="shared" ref="CJ143" si="723">CI143</f>
        <v>3512.0439999999999</v>
      </c>
      <c r="CK143" s="1196">
        <f t="shared" ref="CK143" si="724">CJ143</f>
        <v>3512.0439999999999</v>
      </c>
      <c r="CL143" s="1196">
        <f t="shared" ref="CL143" si="725">CK143</f>
        <v>3512.0439999999999</v>
      </c>
      <c r="CM143" s="1196">
        <f t="shared" ref="CM143" si="726">CL143</f>
        <v>3512.0439999999999</v>
      </c>
      <c r="CN143" s="1196">
        <f t="shared" ref="CN143" si="727">CM143</f>
        <v>3512.0439999999999</v>
      </c>
      <c r="CO143" s="1196">
        <f t="shared" ref="CO143" si="728">CN143</f>
        <v>3512.0439999999999</v>
      </c>
      <c r="CP143" s="1196">
        <f t="shared" ref="CP143" si="729">CO143</f>
        <v>3512.0439999999999</v>
      </c>
      <c r="CQ143" s="1196">
        <f t="shared" ref="CQ143" si="730">CP143</f>
        <v>3512.0439999999999</v>
      </c>
      <c r="CR143" s="1196">
        <f t="shared" ref="CR143" si="731">CQ143</f>
        <v>3512.0439999999999</v>
      </c>
      <c r="CS143" s="1196">
        <f t="shared" ref="CS143" si="732">CR143</f>
        <v>3512.0439999999999</v>
      </c>
      <c r="CT143" s="1196">
        <f t="shared" ref="CT143" si="733">CS143</f>
        <v>3512.0439999999999</v>
      </c>
      <c r="CU143" s="1196">
        <f t="shared" ref="CU143" si="734">CT143</f>
        <v>3512.0439999999999</v>
      </c>
      <c r="CV143" s="1196">
        <f t="shared" ref="CV143" si="735">CU143</f>
        <v>3512.0439999999999</v>
      </c>
      <c r="CW143" s="1196">
        <f t="shared" ref="CW143" si="736">CV143</f>
        <v>3512.0439999999999</v>
      </c>
    </row>
    <row r="144" spans="1:102" s="165" customFormat="1">
      <c r="A144" s="1190" t="s">
        <v>1194</v>
      </c>
      <c r="B144" s="1180"/>
      <c r="C144" s="1180"/>
      <c r="D144" s="1180"/>
      <c r="E144" s="1180"/>
      <c r="F144" s="1180"/>
      <c r="G144" s="1180"/>
      <c r="H144" s="1180"/>
      <c r="I144" s="1180"/>
      <c r="J144" s="1180"/>
      <c r="K144" s="1180"/>
      <c r="L144" s="1180"/>
      <c r="M144" s="1180"/>
      <c r="N144" s="1180"/>
      <c r="O144" s="1180"/>
      <c r="P144" s="1180"/>
      <c r="Q144" s="1180"/>
      <c r="R144" s="1180"/>
      <c r="S144" s="1180"/>
      <c r="T144" s="1180"/>
      <c r="U144" s="1180"/>
      <c r="V144" s="1180"/>
      <c r="W144" s="1180"/>
      <c r="X144" s="1180"/>
      <c r="Y144" s="1180"/>
      <c r="Z144" s="1180"/>
      <c r="AA144" s="1180"/>
      <c r="AB144" s="1180"/>
      <c r="AC144" s="1180"/>
      <c r="AD144" s="1180"/>
      <c r="AE144" s="1180"/>
      <c r="AF144" s="1180"/>
      <c r="AG144" s="1180"/>
      <c r="AH144" s="1180"/>
      <c r="AI144" s="1180"/>
      <c r="AJ144" s="1180"/>
      <c r="AK144" s="1180"/>
      <c r="AL144" s="1180"/>
      <c r="AM144" s="1180"/>
      <c r="AN144" s="1180"/>
      <c r="AO144" s="1180"/>
      <c r="AP144" s="1204">
        <f>BS!AP34</f>
        <v>20846.098000000002</v>
      </c>
      <c r="AQ144" s="1204">
        <f>BS!AQ34</f>
        <v>20551.843000000001</v>
      </c>
      <c r="AR144" s="1204">
        <f>BS!AR34</f>
        <v>20023.296999999999</v>
      </c>
      <c r="AS144" s="1204">
        <f>BS!AS34</f>
        <v>13805.036</v>
      </c>
      <c r="AT144" s="1732">
        <f>BS!AT34</f>
        <v>17987.005000000001</v>
      </c>
      <c r="AU144" s="1732">
        <f>BS!AU34</f>
        <v>20554.542000000001</v>
      </c>
      <c r="AV144" s="1732">
        <f>BS!AV34</f>
        <v>20709.851999999999</v>
      </c>
      <c r="AW144" s="1732">
        <f>BS!AW34</f>
        <v>21092</v>
      </c>
      <c r="AX144" s="1732">
        <f>BS!AX34</f>
        <v>21479.15</v>
      </c>
      <c r="AY144" s="1732">
        <f>BS!AY34</f>
        <v>20113.294999999998</v>
      </c>
      <c r="AZ144" s="1732">
        <f>BS!AZ34</f>
        <v>19525.400000000001</v>
      </c>
      <c r="BA144" s="1732">
        <f>BS!BA34</f>
        <v>19347.324000000001</v>
      </c>
      <c r="BB144" s="1732">
        <f>BS!BB34</f>
        <v>19246.623</v>
      </c>
      <c r="BC144" s="1732">
        <f>BS!BC34</f>
        <v>18207.411</v>
      </c>
      <c r="BD144" s="1732">
        <f>BS!BD34</f>
        <v>16976.669000000002</v>
      </c>
      <c r="BE144" s="1732">
        <f>BS!BE34</f>
        <v>17585.449000000001</v>
      </c>
      <c r="BF144" s="1732">
        <f>BS!BF34</f>
        <v>20384.777999999998</v>
      </c>
      <c r="BG144" s="1732">
        <f>BS!BG34</f>
        <v>15623.759</v>
      </c>
      <c r="BH144" s="1732">
        <f>BS!BH34</f>
        <v>15487.134</v>
      </c>
      <c r="BI144" s="1732">
        <f>BS!BI34</f>
        <v>15030.655000000001</v>
      </c>
      <c r="BJ144" s="1732">
        <f>BS!BJ34</f>
        <v>13537.031000000001</v>
      </c>
      <c r="BK144" s="1708">
        <f>BS!BK34</f>
        <v>15999.31</v>
      </c>
      <c r="BL144" s="1197">
        <f t="shared" ref="BL144:CW144" si="737">BL142-BL143</f>
        <v>15246.284350299802</v>
      </c>
      <c r="BM144" s="1197">
        <f t="shared" si="737"/>
        <v>15336.322087448118</v>
      </c>
      <c r="BN144" s="1197">
        <f t="shared" si="737"/>
        <v>15423.753191029069</v>
      </c>
      <c r="BO144" s="1197">
        <f t="shared" si="737"/>
        <v>15366.514701058748</v>
      </c>
      <c r="BP144" s="1197">
        <f t="shared" si="737"/>
        <v>15463.546819974081</v>
      </c>
      <c r="BQ144" s="1197">
        <f t="shared" si="737"/>
        <v>15681.132315034365</v>
      </c>
      <c r="BR144" s="1197">
        <f t="shared" si="737"/>
        <v>15843.854917275074</v>
      </c>
      <c r="BS144" s="1197">
        <f t="shared" si="737"/>
        <v>15813.413186258704</v>
      </c>
      <c r="BT144" s="1197">
        <f t="shared" si="737"/>
        <v>15892.922722494723</v>
      </c>
      <c r="BU144" s="1197">
        <f t="shared" si="737"/>
        <v>16090.151010980726</v>
      </c>
      <c r="BV144" s="1197">
        <f t="shared" si="737"/>
        <v>16235.021766023345</v>
      </c>
      <c r="BW144" s="1197">
        <f t="shared" si="737"/>
        <v>16194.157288310411</v>
      </c>
      <c r="BX144" s="1197">
        <f t="shared" si="737"/>
        <v>16265.23376511298</v>
      </c>
      <c r="BY144" s="1197">
        <f t="shared" si="737"/>
        <v>16438.373516719214</v>
      </c>
      <c r="BZ144" s="1197">
        <f t="shared" si="737"/>
        <v>16529.787664166433</v>
      </c>
      <c r="CA144" s="1197">
        <f t="shared" si="737"/>
        <v>16488.615419498477</v>
      </c>
      <c r="CB144" s="1197">
        <f t="shared" si="737"/>
        <v>16561.170099257441</v>
      </c>
      <c r="CC144" s="1197">
        <f t="shared" si="737"/>
        <v>16730.406451634095</v>
      </c>
      <c r="CD144" s="1197">
        <f t="shared" si="737"/>
        <v>16820.325484268629</v>
      </c>
      <c r="CE144" s="1197">
        <f t="shared" si="737"/>
        <v>16776.143658704539</v>
      </c>
      <c r="CF144" s="1197">
        <f t="shared" si="737"/>
        <v>16851.235799054484</v>
      </c>
      <c r="CG144" s="1197">
        <f t="shared" si="737"/>
        <v>17023.245151060626</v>
      </c>
      <c r="CH144" s="1197">
        <f t="shared" si="737"/>
        <v>17102.283573992223</v>
      </c>
      <c r="CI144" s="1197">
        <f t="shared" si="737"/>
        <v>17045.28677181185</v>
      </c>
      <c r="CJ144" s="1197">
        <f t="shared" si="737"/>
        <v>17113.284869954012</v>
      </c>
      <c r="CK144" s="1197">
        <f t="shared" si="737"/>
        <v>17268.193148322585</v>
      </c>
      <c r="CL144" s="1197">
        <f t="shared" si="737"/>
        <v>17324.994998830989</v>
      </c>
      <c r="CM144" s="1197">
        <f t="shared" si="737"/>
        <v>17264.57779712155</v>
      </c>
      <c r="CN144" s="1197">
        <f t="shared" si="737"/>
        <v>17335.549682025878</v>
      </c>
      <c r="CO144" s="1197">
        <f t="shared" si="737"/>
        <v>17493.877721082004</v>
      </c>
      <c r="CP144" s="1197">
        <f t="shared" si="737"/>
        <v>17543.405786223586</v>
      </c>
      <c r="CQ144" s="1197">
        <f t="shared" si="737"/>
        <v>17479.688192990085</v>
      </c>
      <c r="CR144" s="1197">
        <f t="shared" si="737"/>
        <v>17553.812223417044</v>
      </c>
      <c r="CS144" s="1197">
        <f t="shared" si="737"/>
        <v>17715.806183475535</v>
      </c>
      <c r="CT144" s="1197">
        <f t="shared" si="737"/>
        <v>17757.384936900373</v>
      </c>
      <c r="CU144" s="1197">
        <f t="shared" si="737"/>
        <v>17690.194887226498</v>
      </c>
      <c r="CV144" s="1197">
        <f t="shared" si="737"/>
        <v>17767.737098920697</v>
      </c>
      <c r="CW144" s="1197">
        <f t="shared" si="737"/>
        <v>17929.855119204112</v>
      </c>
    </row>
    <row r="145" spans="1:101" s="165" customFormat="1">
      <c r="A145" s="1190" t="s">
        <v>1387</v>
      </c>
      <c r="B145" s="1180"/>
      <c r="C145" s="1180"/>
      <c r="D145" s="1180"/>
      <c r="E145" s="1180"/>
      <c r="F145" s="1180"/>
      <c r="G145" s="1180"/>
      <c r="H145" s="1180"/>
      <c r="I145" s="1180"/>
      <c r="J145" s="1180"/>
      <c r="K145" s="1180"/>
      <c r="L145" s="1180"/>
      <c r="M145" s="1180"/>
      <c r="N145" s="1180"/>
      <c r="O145" s="1180"/>
      <c r="P145" s="1180"/>
      <c r="Q145" s="1180"/>
      <c r="R145" s="1180"/>
      <c r="S145" s="1180"/>
      <c r="T145" s="1180"/>
      <c r="U145" s="1180"/>
      <c r="V145" s="1180"/>
      <c r="W145" s="1180"/>
      <c r="X145" s="1180"/>
      <c r="Y145" s="1180"/>
      <c r="Z145" s="1180"/>
      <c r="AA145" s="1180"/>
      <c r="AB145" s="1180"/>
      <c r="AC145" s="1180"/>
      <c r="AD145" s="1180"/>
      <c r="AE145" s="1180"/>
      <c r="AF145" s="1180"/>
      <c r="AG145" s="1180"/>
      <c r="AH145" s="1180"/>
      <c r="AI145" s="1180"/>
      <c r="AJ145" s="1180"/>
      <c r="AK145" s="1180"/>
      <c r="AL145" s="1180"/>
      <c r="AM145" s="1180"/>
      <c r="AN145" s="1180"/>
      <c r="AO145" s="1180"/>
      <c r="AP145" s="1659">
        <f>+AP142/Q_IS!AP$16</f>
        <v>12.067588449531739</v>
      </c>
      <c r="AQ145" s="1659">
        <f>+AQ142/Q_IS!AQ$16</f>
        <v>12.112852979443144</v>
      </c>
      <c r="AR145" s="1659">
        <f>+AR142/Q_IS!AR$16</f>
        <v>12.379346204017741</v>
      </c>
      <c r="AS145" s="1659">
        <f>+AS142/Q_IS!AS$16</f>
        <v>11.772428906861467</v>
      </c>
      <c r="AT145" s="1659">
        <f>+AT142/Q_IS!AT$16</f>
        <v>13.895976933158584</v>
      </c>
      <c r="AU145" s="1659">
        <f>+AU142/Q_IS!AU$16</f>
        <v>13.265241324503311</v>
      </c>
      <c r="AV145" s="1659">
        <f>+AV142/Q_IS!AV$16</f>
        <v>13.23451766595289</v>
      </c>
      <c r="AW145" s="1659">
        <f>+AW142/Q_IS!AW$16</f>
        <v>13.746264602010323</v>
      </c>
      <c r="AX145" s="1659">
        <f>+AX142/Q_IS!AX$16</f>
        <v>14.260355665839539</v>
      </c>
      <c r="AY145" s="1659">
        <f>+AY142/Q_IS!AY$16</f>
        <v>13.497416528008872</v>
      </c>
      <c r="AZ145" s="1659">
        <f>+AZ142/Q_IS!AZ$16</f>
        <v>13.273934022924239</v>
      </c>
      <c r="BA145" s="1659">
        <f>+BA142/Q_IS!BA$16</f>
        <v>13.327691531127314</v>
      </c>
      <c r="BB145" s="1659">
        <f>+BB142/Q_IS!BB$16</f>
        <v>13.451651663405087</v>
      </c>
      <c r="BC145" s="1659">
        <f>+BC142/Q_IS!BC$16</f>
        <v>12.707573422668899</v>
      </c>
      <c r="BD145" s="1659">
        <f>+BD142/Q_IS!BD$16</f>
        <v>11.812321736710272</v>
      </c>
      <c r="BE145" s="1659">
        <f>+BE142/Q_IS!BE$16</f>
        <v>12.104521475770927</v>
      </c>
      <c r="BF145" s="1659">
        <f>+BF142/Q_IS!BF$16</f>
        <v>11.133139268159475</v>
      </c>
      <c r="BG145" s="1659">
        <f>+BG142/Q_IS!BG$16</f>
        <v>10.712945145364783</v>
      </c>
      <c r="BH145" s="1659">
        <f>+BH142/Q_IS!BH$16</f>
        <v>10.519899862448419</v>
      </c>
      <c r="BI145" s="1659">
        <f>+BI142/Q_IS!BI$16</f>
        <v>9.9918599073316976</v>
      </c>
      <c r="BJ145" s="1659">
        <f>+BJ142/Q_IS!BJ$16</f>
        <v>9.1048097928436906</v>
      </c>
      <c r="BK145" s="1658">
        <f>+BK142/Q_IS!BK$16</f>
        <v>10.392199201065246</v>
      </c>
      <c r="BL145" s="1852">
        <f t="shared" ref="BL145:CW145" si="738">BK145</f>
        <v>10.392199201065246</v>
      </c>
      <c r="BM145" s="1852">
        <f t="shared" si="738"/>
        <v>10.392199201065246</v>
      </c>
      <c r="BN145" s="1852">
        <f t="shared" si="738"/>
        <v>10.392199201065246</v>
      </c>
      <c r="BO145" s="1852">
        <f t="shared" si="738"/>
        <v>10.392199201065246</v>
      </c>
      <c r="BP145" s="1852">
        <f t="shared" si="738"/>
        <v>10.392199201065246</v>
      </c>
      <c r="BQ145" s="1852">
        <f t="shared" si="738"/>
        <v>10.392199201065246</v>
      </c>
      <c r="BR145" s="1660">
        <f t="shared" si="738"/>
        <v>10.392199201065246</v>
      </c>
      <c r="BS145" s="1660">
        <f t="shared" si="738"/>
        <v>10.392199201065246</v>
      </c>
      <c r="BT145" s="1660">
        <f t="shared" si="738"/>
        <v>10.392199201065246</v>
      </c>
      <c r="BU145" s="1660">
        <f t="shared" si="738"/>
        <v>10.392199201065246</v>
      </c>
      <c r="BV145" s="1660">
        <f t="shared" si="738"/>
        <v>10.392199201065246</v>
      </c>
      <c r="BW145" s="1660">
        <f t="shared" si="738"/>
        <v>10.392199201065246</v>
      </c>
      <c r="BX145" s="1660">
        <f t="shared" si="738"/>
        <v>10.392199201065246</v>
      </c>
      <c r="BY145" s="1660">
        <f t="shared" si="738"/>
        <v>10.392199201065246</v>
      </c>
      <c r="BZ145" s="1660">
        <f t="shared" si="738"/>
        <v>10.392199201065246</v>
      </c>
      <c r="CA145" s="1660">
        <f t="shared" si="738"/>
        <v>10.392199201065246</v>
      </c>
      <c r="CB145" s="1660">
        <f t="shared" si="738"/>
        <v>10.392199201065246</v>
      </c>
      <c r="CC145" s="1660">
        <f t="shared" si="738"/>
        <v>10.392199201065246</v>
      </c>
      <c r="CD145" s="1660">
        <f t="shared" si="738"/>
        <v>10.392199201065246</v>
      </c>
      <c r="CE145" s="1660">
        <f t="shared" si="738"/>
        <v>10.392199201065246</v>
      </c>
      <c r="CF145" s="1660">
        <f t="shared" si="738"/>
        <v>10.392199201065246</v>
      </c>
      <c r="CG145" s="1660">
        <f t="shared" si="738"/>
        <v>10.392199201065246</v>
      </c>
      <c r="CH145" s="1660">
        <f t="shared" si="738"/>
        <v>10.392199201065246</v>
      </c>
      <c r="CI145" s="1660">
        <f t="shared" si="738"/>
        <v>10.392199201065246</v>
      </c>
      <c r="CJ145" s="1660">
        <f t="shared" si="738"/>
        <v>10.392199201065246</v>
      </c>
      <c r="CK145" s="1660">
        <f t="shared" si="738"/>
        <v>10.392199201065246</v>
      </c>
      <c r="CL145" s="1660">
        <f t="shared" si="738"/>
        <v>10.392199201065246</v>
      </c>
      <c r="CM145" s="1660">
        <f t="shared" si="738"/>
        <v>10.392199201065246</v>
      </c>
      <c r="CN145" s="1660">
        <f t="shared" si="738"/>
        <v>10.392199201065246</v>
      </c>
      <c r="CO145" s="1660">
        <f t="shared" si="738"/>
        <v>10.392199201065246</v>
      </c>
      <c r="CP145" s="1660">
        <f t="shared" si="738"/>
        <v>10.392199201065246</v>
      </c>
      <c r="CQ145" s="1660">
        <f t="shared" si="738"/>
        <v>10.392199201065246</v>
      </c>
      <c r="CR145" s="1660">
        <f t="shared" si="738"/>
        <v>10.392199201065246</v>
      </c>
      <c r="CS145" s="1660">
        <f t="shared" si="738"/>
        <v>10.392199201065246</v>
      </c>
      <c r="CT145" s="1660">
        <f t="shared" si="738"/>
        <v>10.392199201065246</v>
      </c>
      <c r="CU145" s="1660">
        <f t="shared" si="738"/>
        <v>10.392199201065246</v>
      </c>
      <c r="CV145" s="1660">
        <f t="shared" si="738"/>
        <v>10.392199201065246</v>
      </c>
      <c r="CW145" s="1660">
        <f t="shared" si="738"/>
        <v>10.392199201065246</v>
      </c>
    </row>
    <row r="146" spans="1:101" s="165" customFormat="1">
      <c r="A146" s="1191"/>
      <c r="B146" s="1180"/>
      <c r="C146" s="1180"/>
      <c r="D146" s="1180"/>
      <c r="E146" s="1180"/>
      <c r="F146" s="1180"/>
      <c r="G146" s="1180"/>
      <c r="H146" s="1180"/>
      <c r="I146" s="1180"/>
      <c r="J146" s="1180"/>
      <c r="K146" s="1180"/>
      <c r="L146" s="1180"/>
      <c r="M146" s="1180"/>
      <c r="N146" s="1180"/>
      <c r="O146" s="1180"/>
      <c r="P146" s="1180"/>
      <c r="Q146" s="1180"/>
      <c r="R146" s="1180"/>
      <c r="S146" s="1180"/>
      <c r="T146" s="1180"/>
      <c r="U146" s="1180"/>
      <c r="V146" s="1180"/>
      <c r="W146" s="1180"/>
      <c r="X146" s="1180"/>
      <c r="Y146" s="1180"/>
      <c r="Z146" s="1180"/>
      <c r="AA146" s="1180"/>
      <c r="AB146" s="1180"/>
      <c r="AC146" s="1180"/>
      <c r="AD146" s="1180"/>
      <c r="AE146" s="1180"/>
      <c r="AF146" s="1180"/>
      <c r="AG146" s="1180"/>
      <c r="AH146" s="1180"/>
      <c r="AI146" s="1180"/>
      <c r="AJ146" s="1180"/>
      <c r="AK146" s="1180"/>
      <c r="AL146" s="1180"/>
      <c r="AM146" s="1180"/>
      <c r="AN146" s="1180"/>
      <c r="AO146" s="1180"/>
      <c r="AP146" s="1180"/>
      <c r="AQ146" s="1180"/>
      <c r="AR146" s="1180"/>
      <c r="AS146" s="1180"/>
      <c r="AT146" s="1733"/>
      <c r="AU146" s="1733"/>
      <c r="AV146" s="1733"/>
      <c r="AW146" s="1733"/>
      <c r="AX146" s="1733"/>
      <c r="AY146" s="1733"/>
      <c r="AZ146" s="1733"/>
      <c r="BA146" s="1733"/>
      <c r="BB146" s="1733"/>
      <c r="BC146" s="1733"/>
      <c r="BD146" s="1733"/>
      <c r="BE146" s="1733"/>
      <c r="BF146" s="1733"/>
      <c r="BG146" s="1733"/>
      <c r="BH146" s="1733"/>
      <c r="BI146" s="1733"/>
      <c r="BJ146" s="1733"/>
      <c r="BK146" s="1709"/>
      <c r="BL146" s="1183"/>
      <c r="BM146" s="1181"/>
      <c r="BN146" s="1181"/>
      <c r="BO146" s="1181"/>
      <c r="BP146" s="1181"/>
      <c r="BQ146" s="1181"/>
      <c r="BR146" s="1181"/>
      <c r="BS146" s="1181"/>
      <c r="BT146" s="1181"/>
      <c r="BU146" s="1181"/>
      <c r="BV146" s="1181"/>
      <c r="BW146" s="1181"/>
      <c r="BX146" s="1181"/>
      <c r="BY146" s="1181"/>
      <c r="BZ146" s="1181"/>
      <c r="CA146" s="1181"/>
      <c r="CB146" s="1181"/>
      <c r="CC146" s="1181"/>
      <c r="CD146" s="1181"/>
      <c r="CE146" s="1181"/>
      <c r="CF146" s="1181"/>
      <c r="CG146" s="1181"/>
      <c r="CH146" s="1181"/>
      <c r="CI146" s="1181"/>
      <c r="CJ146" s="1181"/>
      <c r="CK146" s="1181"/>
      <c r="CL146" s="1181"/>
      <c r="CM146" s="1181"/>
      <c r="CN146" s="1181"/>
      <c r="CO146" s="1181"/>
      <c r="CP146" s="1181"/>
      <c r="CQ146" s="1181"/>
      <c r="CR146" s="1181"/>
      <c r="CS146" s="1181"/>
      <c r="CT146" s="1181"/>
      <c r="CU146" s="1181"/>
      <c r="CV146" s="1181"/>
      <c r="CW146" s="1181"/>
    </row>
    <row r="147" spans="1:101" s="165" customFormat="1">
      <c r="A147" s="1189" t="s">
        <v>1183</v>
      </c>
      <c r="B147" s="1180"/>
      <c r="C147" s="1180"/>
      <c r="D147" s="1180"/>
      <c r="E147" s="1180"/>
      <c r="F147" s="1180"/>
      <c r="G147" s="1180"/>
      <c r="H147" s="1180"/>
      <c r="I147" s="1180"/>
      <c r="J147" s="1180"/>
      <c r="K147" s="1180"/>
      <c r="L147" s="1180"/>
      <c r="M147" s="1180"/>
      <c r="N147" s="1180"/>
      <c r="O147" s="1180"/>
      <c r="P147" s="1180"/>
      <c r="Q147" s="1180"/>
      <c r="R147" s="1180"/>
      <c r="S147" s="1180"/>
      <c r="T147" s="1180"/>
      <c r="U147" s="1180"/>
      <c r="V147" s="1180"/>
      <c r="W147" s="1180"/>
      <c r="X147" s="1180"/>
      <c r="Y147" s="1180"/>
      <c r="Z147" s="1180"/>
      <c r="AA147" s="1180"/>
      <c r="AB147" s="1180"/>
      <c r="AC147" s="1180"/>
      <c r="AD147" s="1180"/>
      <c r="AE147" s="1180"/>
      <c r="AF147" s="1180"/>
      <c r="AG147" s="1180"/>
      <c r="AH147" s="1180"/>
      <c r="AI147" s="1180"/>
      <c r="AJ147" s="1180"/>
      <c r="AK147" s="1180"/>
      <c r="AL147" s="1180"/>
      <c r="AM147" s="1180"/>
      <c r="AN147" s="1180"/>
      <c r="AO147" s="1180"/>
      <c r="AP147" s="1180"/>
      <c r="AQ147" s="1180"/>
      <c r="AR147" s="1180"/>
      <c r="AS147" s="1180"/>
      <c r="AT147" s="1733"/>
      <c r="AU147" s="1733"/>
      <c r="AV147" s="1733"/>
      <c r="AW147" s="1733"/>
      <c r="AX147" s="1733"/>
      <c r="AY147" s="1733"/>
      <c r="AZ147" s="1733"/>
      <c r="BA147" s="1733"/>
      <c r="BB147" s="1733"/>
      <c r="BC147" s="1733"/>
      <c r="BD147" s="1733"/>
      <c r="BE147" s="1733"/>
      <c r="BF147" s="1733"/>
      <c r="BG147" s="1733"/>
      <c r="BH147" s="1733"/>
      <c r="BI147" s="1733"/>
      <c r="BJ147" s="1733"/>
      <c r="BK147" s="1709"/>
      <c r="BL147" s="1181"/>
      <c r="BM147" s="1181"/>
      <c r="BN147" s="1181"/>
      <c r="BO147" s="1181"/>
      <c r="BP147" s="1181"/>
      <c r="BQ147" s="1181"/>
      <c r="BR147" s="1181"/>
      <c r="BS147" s="1181"/>
      <c r="BT147" s="1181"/>
      <c r="BU147" s="1181"/>
      <c r="BV147" s="1181"/>
      <c r="BW147" s="1181"/>
      <c r="BX147" s="1181"/>
      <c r="BY147" s="1181"/>
      <c r="BZ147" s="1181"/>
      <c r="CA147" s="1181"/>
      <c r="CB147" s="1181"/>
      <c r="CC147" s="1181"/>
      <c r="CD147" s="1181"/>
      <c r="CE147" s="1181"/>
      <c r="CF147" s="1181"/>
      <c r="CG147" s="1181"/>
      <c r="CH147" s="1181"/>
      <c r="CI147" s="1181"/>
      <c r="CJ147" s="1181"/>
      <c r="CK147" s="1181"/>
      <c r="CL147" s="1181"/>
      <c r="CM147" s="1181"/>
      <c r="CN147" s="1181"/>
      <c r="CO147" s="1181"/>
      <c r="CP147" s="1181"/>
      <c r="CQ147" s="1181"/>
      <c r="CR147" s="1181"/>
      <c r="CS147" s="1181"/>
      <c r="CT147" s="1181"/>
      <c r="CU147" s="1181"/>
      <c r="CV147" s="1181"/>
      <c r="CW147" s="1181"/>
    </row>
    <row r="148" spans="1:101" s="165" customFormat="1">
      <c r="A148" s="1192" t="s">
        <v>1195</v>
      </c>
      <c r="B148" s="1180"/>
      <c r="C148" s="1180"/>
      <c r="D148" s="1180"/>
      <c r="E148" s="1180"/>
      <c r="F148" s="1180"/>
      <c r="G148" s="1180"/>
      <c r="H148" s="1180"/>
      <c r="I148" s="1180"/>
      <c r="J148" s="1180"/>
      <c r="K148" s="1180"/>
      <c r="L148" s="1180"/>
      <c r="M148" s="1180"/>
      <c r="N148" s="1180"/>
      <c r="O148" s="1180"/>
      <c r="P148" s="1180"/>
      <c r="Q148" s="1180"/>
      <c r="R148" s="1180"/>
      <c r="S148" s="1180"/>
      <c r="T148" s="1180"/>
      <c r="U148" s="1180"/>
      <c r="V148" s="1180"/>
      <c r="W148" s="1180"/>
      <c r="X148" s="1180"/>
      <c r="Y148" s="1180"/>
      <c r="Z148" s="1180"/>
      <c r="AA148" s="1180"/>
      <c r="AB148" s="1180"/>
      <c r="AC148" s="1180"/>
      <c r="AD148" s="1180"/>
      <c r="AE148" s="1180"/>
      <c r="AF148" s="1180"/>
      <c r="AG148" s="1180"/>
      <c r="AH148" s="1180"/>
      <c r="AI148" s="1180"/>
      <c r="AJ148" s="1180"/>
      <c r="AK148" s="1180"/>
      <c r="AL148" s="1180"/>
      <c r="AM148" s="1180"/>
      <c r="AN148" s="1180"/>
      <c r="AO148" s="1180"/>
      <c r="AP148" s="1180">
        <f t="shared" ref="AP148:AU148" si="739">AP150+AP152</f>
        <v>24666.005000000001</v>
      </c>
      <c r="AQ148" s="1180">
        <f t="shared" si="739"/>
        <v>21654.973999999998</v>
      </c>
      <c r="AR148" s="1180">
        <f t="shared" si="739"/>
        <v>22248.504000000001</v>
      </c>
      <c r="AS148" s="1180">
        <f t="shared" si="739"/>
        <v>21175.044000000002</v>
      </c>
      <c r="AT148" s="1733">
        <f t="shared" si="739"/>
        <v>25486.475000000002</v>
      </c>
      <c r="AU148" s="1733">
        <f t="shared" si="739"/>
        <v>23866.848999999998</v>
      </c>
      <c r="AV148" s="1733">
        <f t="shared" ref="AV148:BB148" si="740">AV150+AV152</f>
        <v>23670.285</v>
      </c>
      <c r="AW148" s="1733">
        <f t="shared" si="740"/>
        <v>24550.739000000001</v>
      </c>
      <c r="AX148" s="1733">
        <f t="shared" si="740"/>
        <v>25111.696</v>
      </c>
      <c r="AY148" s="1733">
        <f t="shared" si="740"/>
        <v>23615.54</v>
      </c>
      <c r="AZ148" s="1733">
        <f t="shared" si="740"/>
        <v>23007.370999999999</v>
      </c>
      <c r="BA148" s="1733">
        <f t="shared" si="740"/>
        <v>23578.224000000002</v>
      </c>
      <c r="BB148" s="1733">
        <f t="shared" si="740"/>
        <v>23950.156999999999</v>
      </c>
      <c r="BC148" s="1733">
        <f>BC150+BC152</f>
        <v>22637.186000000002</v>
      </c>
      <c r="BD148" s="1733">
        <f t="shared" ref="BD148:BI148" si="741">BD150+BD152+BD149</f>
        <v>21487.24</v>
      </c>
      <c r="BE148" s="1733">
        <f t="shared" si="741"/>
        <v>19969.462</v>
      </c>
      <c r="BF148" s="1733">
        <f t="shared" si="741"/>
        <v>20604.243999999999</v>
      </c>
      <c r="BG148" s="1733">
        <f t="shared" si="741"/>
        <v>19063.554</v>
      </c>
      <c r="BH148" s="1733">
        <f t="shared" si="741"/>
        <v>18258.692999999999</v>
      </c>
      <c r="BI148" s="1733">
        <f t="shared" si="741"/>
        <v>17955.677</v>
      </c>
      <c r="BJ148" s="1733">
        <f t="shared" ref="BJ148:BK148" si="742">BJ150+BJ152+BJ149</f>
        <v>17151.940999999999</v>
      </c>
      <c r="BK148" s="1709">
        <f t="shared" si="742"/>
        <v>15740.11</v>
      </c>
      <c r="BL148" s="1181">
        <f t="shared" ref="BL148" si="743">BK152</f>
        <v>18248.849999999999</v>
      </c>
      <c r="BM148" s="1181">
        <f t="shared" ref="BM148" si="744">BL152</f>
        <v>17238.975579330989</v>
      </c>
      <c r="BN148" s="1181">
        <f t="shared" ref="BN148" si="745">BM152</f>
        <v>17104.083384253652</v>
      </c>
      <c r="BO148" s="1181">
        <f t="shared" ref="BO148" si="746">BN152</f>
        <v>16955.358223156236</v>
      </c>
      <c r="BP148" s="1181">
        <f t="shared" ref="BP148" si="747">BO152</f>
        <v>16832.667031239216</v>
      </c>
      <c r="BQ148" s="1181">
        <f t="shared" ref="BQ148" si="748">BP152</f>
        <v>16879.00890952714</v>
      </c>
      <c r="BR148" s="1181">
        <f t="shared" ref="BR148" si="749">BQ152</f>
        <v>16986.424189142854</v>
      </c>
      <c r="BS148" s="1181">
        <f t="shared" ref="BS148" si="750">BR152</f>
        <v>17020.048466236214</v>
      </c>
      <c r="BT148" s="1181">
        <f t="shared" ref="BT148" si="751">BS152</f>
        <v>16971.930203388503</v>
      </c>
      <c r="BU148" s="1181">
        <f t="shared" ref="BU148" si="752">BT152</f>
        <v>17040.478815816503</v>
      </c>
      <c r="BV148" s="1181">
        <f t="shared" ref="BV148" si="753">BU152</f>
        <v>17160.217999624252</v>
      </c>
      <c r="BW148" s="1181">
        <f t="shared" ref="BW148" si="754">BV152</f>
        <v>17204.948214931672</v>
      </c>
      <c r="BX148" s="1181">
        <f t="shared" ref="BX148" si="755">BW152</f>
        <v>17174.682916002985</v>
      </c>
      <c r="BY148" s="1181">
        <f t="shared" ref="BY148" si="756">BX152</f>
        <v>17259.969488715746</v>
      </c>
      <c r="BZ148" s="1181">
        <f t="shared" ref="BZ148" si="757">BY152</f>
        <v>17377.825188298011</v>
      </c>
      <c r="CA148" s="1181">
        <f t="shared" ref="CA148" si="758">BZ152</f>
        <v>17424.096913279252</v>
      </c>
      <c r="CB148" s="1181">
        <f t="shared" ref="CB148" si="759">CA152</f>
        <v>17448.730819295964</v>
      </c>
      <c r="CC148" s="1181">
        <f t="shared" ref="CC148" si="760">CB152</f>
        <v>17585.701708145472</v>
      </c>
      <c r="CD148" s="1181">
        <f t="shared" ref="CD148" si="761">CC152</f>
        <v>17750.447151311993</v>
      </c>
      <c r="CE148" s="1181">
        <f t="shared" ref="CE148" si="762">CD152</f>
        <v>17844.503297475152</v>
      </c>
      <c r="CF148" s="1181">
        <f t="shared" ref="CF148" si="763">CE152</f>
        <v>17915.350610079717</v>
      </c>
      <c r="CG148" s="1181">
        <f t="shared" ref="CG148" si="764">CF152</f>
        <v>18098.579162539441</v>
      </c>
      <c r="CH148" s="1181">
        <f t="shared" ref="CH148" si="765">CG152</f>
        <v>18304.076645060672</v>
      </c>
      <c r="CI148" s="1181">
        <f t="shared" ref="CI148" si="766">CH152</f>
        <v>18428.300840905988</v>
      </c>
      <c r="CJ148" s="1181">
        <f t="shared" ref="CJ148" si="767">CI152</f>
        <v>18527.868854256947</v>
      </c>
      <c r="CK148" s="1181">
        <f t="shared" ref="CK148" si="768">CJ152</f>
        <v>18740.397995857911</v>
      </c>
      <c r="CL148" s="1181">
        <f t="shared" ref="CL148" si="769">CK152</f>
        <v>18959.625613256852</v>
      </c>
      <c r="CM148" s="1181">
        <f t="shared" ref="CM148" si="770">CL152</f>
        <v>19098.211712637145</v>
      </c>
      <c r="CN148" s="1181">
        <f t="shared" ref="CN148" si="771">CM152</f>
        <v>19233.456657776092</v>
      </c>
      <c r="CO148" s="1181">
        <f t="shared" ref="CO148" si="772">CN152</f>
        <v>19482.793888991651</v>
      </c>
      <c r="CP148" s="1181">
        <f t="shared" ref="CP148" si="773">CO152</f>
        <v>19733.493985803874</v>
      </c>
      <c r="CQ148" s="1181">
        <f t="shared" ref="CQ148" si="774">CP152</f>
        <v>19898.113344591446</v>
      </c>
      <c r="CR148" s="1181">
        <f t="shared" ref="CR148" si="775">CQ152</f>
        <v>20064.994887520985</v>
      </c>
      <c r="CS148" s="1181">
        <f t="shared" ref="CS148" si="776">CR152</f>
        <v>20347.239117932746</v>
      </c>
      <c r="CT148" s="1181">
        <f t="shared" ref="CT148" si="777">CS152</f>
        <v>20625.582561876708</v>
      </c>
      <c r="CU148" s="1181">
        <f t="shared" ref="CU148" si="778">CT152</f>
        <v>20812.405587115391</v>
      </c>
      <c r="CV148" s="1181">
        <f t="shared" ref="CV148" si="779">CU152</f>
        <v>21008.015390429049</v>
      </c>
      <c r="CW148" s="1181">
        <f t="shared" ref="CW148" si="780">CV152</f>
        <v>21320.616963574128</v>
      </c>
    </row>
    <row r="149" spans="1:101" s="165" customFormat="1">
      <c r="A149" s="1194" t="s">
        <v>1197</v>
      </c>
      <c r="B149" s="1180"/>
      <c r="C149" s="1180"/>
      <c r="D149" s="1180"/>
      <c r="E149" s="1180"/>
      <c r="F149" s="1180"/>
      <c r="G149" s="1180"/>
      <c r="H149" s="1180"/>
      <c r="I149" s="1180"/>
      <c r="J149" s="1180"/>
      <c r="K149" s="1180"/>
      <c r="L149" s="1180"/>
      <c r="M149" s="1180"/>
      <c r="N149" s="1180"/>
      <c r="O149" s="1180"/>
      <c r="P149" s="1180"/>
      <c r="Q149" s="1180"/>
      <c r="R149" s="1180"/>
      <c r="S149" s="1180"/>
      <c r="T149" s="1180"/>
      <c r="U149" s="1180"/>
      <c r="V149" s="1180"/>
      <c r="W149" s="1180"/>
      <c r="X149" s="1180"/>
      <c r="Y149" s="1180"/>
      <c r="Z149" s="1180"/>
      <c r="AA149" s="1180"/>
      <c r="AB149" s="1180"/>
      <c r="AC149" s="1180"/>
      <c r="AD149" s="1180"/>
      <c r="AE149" s="1180"/>
      <c r="AF149" s="1180"/>
      <c r="AG149" s="1180"/>
      <c r="AH149" s="1180"/>
      <c r="AI149" s="1180"/>
      <c r="AJ149" s="1180"/>
      <c r="AK149" s="1180"/>
      <c r="AL149" s="1180"/>
      <c r="AM149" s="1180"/>
      <c r="AN149" s="1180"/>
      <c r="AO149" s="1180"/>
      <c r="AP149" s="1180"/>
      <c r="AQ149" s="1180"/>
      <c r="AR149" s="1180"/>
      <c r="AS149" s="1180"/>
      <c r="AT149" s="1733"/>
      <c r="AU149" s="1733"/>
      <c r="AV149" s="1733"/>
      <c r="AW149" s="1733"/>
      <c r="AX149" s="1733"/>
      <c r="AY149" s="1733"/>
      <c r="AZ149" s="1733"/>
      <c r="BA149" s="1733"/>
      <c r="BB149" s="1733"/>
      <c r="BC149" s="1732">
        <f t="shared" ref="BC149:BJ149" si="781">BB152-BC152-BC150</f>
        <v>100.27999999999861</v>
      </c>
      <c r="BD149" s="1732">
        <f t="shared" si="781"/>
        <v>401.77000000000203</v>
      </c>
      <c r="BE149" s="1732">
        <f t="shared" si="781"/>
        <v>-1513.4389999999994</v>
      </c>
      <c r="BF149" s="1732">
        <f t="shared" si="781"/>
        <v>468.42699999999877</v>
      </c>
      <c r="BG149" s="1732">
        <f t="shared" si="781"/>
        <v>-237.78099999999949</v>
      </c>
      <c r="BH149" s="1732">
        <f t="shared" si="781"/>
        <v>-706.58500000000004</v>
      </c>
      <c r="BI149" s="1732">
        <f t="shared" si="781"/>
        <v>-218.1829999999992</v>
      </c>
      <c r="BJ149" s="1732">
        <f t="shared" si="781"/>
        <v>468.20699999999829</v>
      </c>
      <c r="BK149" s="1708">
        <f t="shared" ref="BK149" si="782">BJ152-BK152-BK150</f>
        <v>-3518.717999999998</v>
      </c>
      <c r="BL149" s="1197">
        <f t="shared" ref="BL149:CW149" si="783">BL140</f>
        <v>161.07908761651197</v>
      </c>
      <c r="BM149" s="1197">
        <f t="shared" si="783"/>
        <v>971.2618329225661</v>
      </c>
      <c r="BN149" s="1197">
        <f t="shared" si="783"/>
        <v>948.7733905811765</v>
      </c>
      <c r="BO149" s="1197">
        <f t="shared" si="783"/>
        <v>965.26427901087663</v>
      </c>
      <c r="BP149" s="1197">
        <f t="shared" si="783"/>
        <v>1126.4247609918493</v>
      </c>
      <c r="BQ149" s="1197">
        <f t="shared" si="783"/>
        <v>1190.4717296930285</v>
      </c>
      <c r="BR149" s="1197">
        <f t="shared" si="783"/>
        <v>1123.5731230481906</v>
      </c>
      <c r="BS149" s="1197">
        <f t="shared" si="783"/>
        <v>1043.9881144160026</v>
      </c>
      <c r="BT149" s="1197">
        <f t="shared" si="783"/>
        <v>1157.5674390408967</v>
      </c>
      <c r="BU149" s="1197">
        <f t="shared" si="783"/>
        <v>1213.156492418726</v>
      </c>
      <c r="BV149" s="1197">
        <f t="shared" si="783"/>
        <v>1145.8306939460381</v>
      </c>
      <c r="BW149" s="1197">
        <f t="shared" si="783"/>
        <v>1073.7053333108743</v>
      </c>
      <c r="BX149" s="1197">
        <f t="shared" si="783"/>
        <v>1187.3152054312668</v>
      </c>
      <c r="BY149" s="1197">
        <f t="shared" si="783"/>
        <v>1225.3568202398819</v>
      </c>
      <c r="BZ149" s="1197">
        <f t="shared" si="783"/>
        <v>1161.3351602448347</v>
      </c>
      <c r="CA149" s="1197">
        <f t="shared" si="783"/>
        <v>1142.6664072050735</v>
      </c>
      <c r="CB149" s="1197">
        <f t="shared" si="783"/>
        <v>1256.5840462804845</v>
      </c>
      <c r="CC149" s="1197">
        <f t="shared" si="783"/>
        <v>1293.147458132702</v>
      </c>
      <c r="CD149" s="1197">
        <f t="shared" si="783"/>
        <v>1233.0291973672356</v>
      </c>
      <c r="CE149" s="1197">
        <f t="shared" si="783"/>
        <v>1215.8555591401564</v>
      </c>
      <c r="CF149" s="1197">
        <f t="shared" si="783"/>
        <v>1332.7827791117052</v>
      </c>
      <c r="CG149" s="1197">
        <f t="shared" si="783"/>
        <v>1366.8087303729444</v>
      </c>
      <c r="CH149" s="1197">
        <f t="shared" si="783"/>
        <v>1298.7213703774578</v>
      </c>
      <c r="CI149" s="1197">
        <f t="shared" si="783"/>
        <v>1282.0361426522504</v>
      </c>
      <c r="CJ149" s="1197">
        <f t="shared" si="783"/>
        <v>1401.3861400390124</v>
      </c>
      <c r="CK149" s="1197">
        <f t="shared" si="783"/>
        <v>1421.721735105908</v>
      </c>
      <c r="CL149" s="1197">
        <f t="shared" si="783"/>
        <v>1355.1471499463878</v>
      </c>
      <c r="CM149" s="1197">
        <f t="shared" si="783"/>
        <v>1360.6984946443736</v>
      </c>
      <c r="CN149" s="1197">
        <f t="shared" si="783"/>
        <v>1483.4688915602055</v>
      </c>
      <c r="CO149" s="1197">
        <f t="shared" si="783"/>
        <v>1500.830699864935</v>
      </c>
      <c r="CP149" s="1197">
        <f t="shared" si="783"/>
        <v>1430.8363540178616</v>
      </c>
      <c r="CQ149" s="1197">
        <f t="shared" si="783"/>
        <v>1443.6614840826696</v>
      </c>
      <c r="CR149" s="1197">
        <f t="shared" si="783"/>
        <v>1569.732272522564</v>
      </c>
      <c r="CS149" s="1197">
        <f t="shared" si="783"/>
        <v>1583.9419353046615</v>
      </c>
      <c r="CT149" s="1197">
        <f t="shared" si="783"/>
        <v>1510.2816684552236</v>
      </c>
      <c r="CU149" s="1197">
        <f t="shared" si="783"/>
        <v>1531.0561102367756</v>
      </c>
      <c r="CV149" s="1197">
        <f t="shared" si="783"/>
        <v>1660.5993551170432</v>
      </c>
      <c r="CW149" s="1197">
        <f t="shared" si="783"/>
        <v>1666.1947370313646</v>
      </c>
    </row>
    <row r="150" spans="1:101" s="165" customFormat="1">
      <c r="A150" s="1193" t="s">
        <v>1196</v>
      </c>
      <c r="B150" s="1180"/>
      <c r="C150" s="1180"/>
      <c r="D150" s="1180"/>
      <c r="E150" s="1180"/>
      <c r="F150" s="1180"/>
      <c r="G150" s="1180"/>
      <c r="H150" s="1180"/>
      <c r="I150" s="1180"/>
      <c r="J150" s="1180"/>
      <c r="K150" s="1180"/>
      <c r="L150" s="1180"/>
      <c r="M150" s="1180"/>
      <c r="N150" s="1180"/>
      <c r="O150" s="1180"/>
      <c r="P150" s="1180"/>
      <c r="Q150" s="1180"/>
      <c r="R150" s="1180"/>
      <c r="S150" s="1180"/>
      <c r="T150" s="1180"/>
      <c r="U150" s="1180"/>
      <c r="V150" s="1180"/>
      <c r="W150" s="1180"/>
      <c r="X150" s="1180"/>
      <c r="Y150" s="1180"/>
      <c r="Z150" s="1180"/>
      <c r="AA150" s="1180"/>
      <c r="AB150" s="1180"/>
      <c r="AC150" s="1180"/>
      <c r="AD150" s="1180"/>
      <c r="AE150" s="1180"/>
      <c r="AF150" s="1180"/>
      <c r="AG150" s="1180"/>
      <c r="AH150" s="1180"/>
      <c r="AI150" s="1180"/>
      <c r="AJ150" s="1180"/>
      <c r="AK150" s="1180"/>
      <c r="AL150" s="1180"/>
      <c r="AM150" s="1180"/>
      <c r="AN150" s="1180"/>
      <c r="AO150" s="1180"/>
      <c r="AP150" s="1204">
        <f>BS!AP64</f>
        <v>932.37699999999995</v>
      </c>
      <c r="AQ150" s="1204">
        <f>BS!AQ64</f>
        <v>887.42399999999998</v>
      </c>
      <c r="AR150" s="1204">
        <f>BS!AR64</f>
        <v>1141.644</v>
      </c>
      <c r="AS150" s="1204">
        <f>BS!AS64</f>
        <v>827.93600000000004</v>
      </c>
      <c r="AT150" s="1732">
        <f>BS!AT64</f>
        <v>932.37699999999995</v>
      </c>
      <c r="AU150" s="1732">
        <f>BS!AU64</f>
        <v>895.09</v>
      </c>
      <c r="AV150" s="1732">
        <f>BS!AV64</f>
        <v>1004.271</v>
      </c>
      <c r="AW150" s="1732">
        <f>BS!AW64</f>
        <v>1127.739</v>
      </c>
      <c r="AX150" s="1732">
        <f>BS!AX64</f>
        <v>1081.73</v>
      </c>
      <c r="AY150" s="1732">
        <f>BS!AY64</f>
        <v>1040.7850000000001</v>
      </c>
      <c r="AZ150" s="1732">
        <f>BS!AZ64</f>
        <v>1011.796</v>
      </c>
      <c r="BA150" s="1732">
        <f>BS!BA64</f>
        <v>1303.9680000000001</v>
      </c>
      <c r="BB150" s="1732">
        <f>BS!BB64</f>
        <v>1212.691</v>
      </c>
      <c r="BC150" s="1732">
        <f>BS!BC64</f>
        <v>1149.9460000000001</v>
      </c>
      <c r="BD150" s="1732">
        <f>BS!BD64</f>
        <v>1116.008</v>
      </c>
      <c r="BE150" s="1732">
        <f>BS!BE64</f>
        <v>878.65700000000004</v>
      </c>
      <c r="BF150" s="1732">
        <f>BS!BF64</f>
        <v>1072.2629999999999</v>
      </c>
      <c r="BG150" s="1732">
        <f>BS!BG64</f>
        <v>1042.6420000000003</v>
      </c>
      <c r="BH150" s="1732">
        <f>BS!BH64</f>
        <v>1009.6009999999997</v>
      </c>
      <c r="BI150" s="1732">
        <f>BS!BI64</f>
        <v>1021.919</v>
      </c>
      <c r="BJ150" s="1732">
        <f>BS!BJ64</f>
        <v>943.62400000000002</v>
      </c>
      <c r="BK150" s="1702">
        <f>BS!BK64</f>
        <v>1009.978</v>
      </c>
      <c r="BL150" s="1197">
        <f t="shared" ref="BL150:CW150" si="784">BL151*BL148</f>
        <v>1170.95350828552</v>
      </c>
      <c r="BM150" s="1197">
        <f t="shared" si="784"/>
        <v>1106.1540279999028</v>
      </c>
      <c r="BN150" s="1197">
        <f t="shared" si="784"/>
        <v>1097.4985516785925</v>
      </c>
      <c r="BO150" s="1197">
        <f t="shared" si="784"/>
        <v>1087.9554709278959</v>
      </c>
      <c r="BP150" s="1197">
        <f t="shared" si="784"/>
        <v>1080.0828827039277</v>
      </c>
      <c r="BQ150" s="1197">
        <f t="shared" si="784"/>
        <v>1083.0564500773119</v>
      </c>
      <c r="BR150" s="1197">
        <f t="shared" si="784"/>
        <v>1089.9488459548324</v>
      </c>
      <c r="BS150" s="1197">
        <f t="shared" si="784"/>
        <v>1092.1063772637115</v>
      </c>
      <c r="BT150" s="1197">
        <f t="shared" si="784"/>
        <v>1089.018826612896</v>
      </c>
      <c r="BU150" s="1197">
        <f t="shared" si="784"/>
        <v>1093.4173086109765</v>
      </c>
      <c r="BV150" s="1197">
        <f t="shared" si="784"/>
        <v>1101.1004786386181</v>
      </c>
      <c r="BW150" s="1197">
        <f t="shared" si="784"/>
        <v>1103.9706322395623</v>
      </c>
      <c r="BX150" s="1197">
        <f t="shared" si="784"/>
        <v>1102.0286327185045</v>
      </c>
      <c r="BY150" s="1197">
        <f t="shared" si="784"/>
        <v>1107.501120657616</v>
      </c>
      <c r="BZ150" s="1197">
        <f t="shared" si="784"/>
        <v>1115.0634352635939</v>
      </c>
      <c r="CA150" s="1197">
        <f t="shared" si="784"/>
        <v>1118.0325011883622</v>
      </c>
      <c r="CB150" s="1197">
        <f t="shared" si="784"/>
        <v>1119.613157430977</v>
      </c>
      <c r="CC150" s="1197">
        <f t="shared" si="784"/>
        <v>1128.4020149661817</v>
      </c>
      <c r="CD150" s="1197">
        <f t="shared" si="784"/>
        <v>1138.9730512040755</v>
      </c>
      <c r="CE150" s="1197">
        <f t="shared" si="784"/>
        <v>1145.0082465355931</v>
      </c>
      <c r="CF150" s="1197">
        <f t="shared" si="784"/>
        <v>1149.5542266519794</v>
      </c>
      <c r="CG150" s="1197">
        <f t="shared" si="784"/>
        <v>1161.3112478517148</v>
      </c>
      <c r="CH150" s="1197">
        <f t="shared" si="784"/>
        <v>1174.4971745321402</v>
      </c>
      <c r="CI150" s="1197">
        <f t="shared" si="784"/>
        <v>1182.4681293012911</v>
      </c>
      <c r="CJ150" s="1197">
        <f t="shared" si="784"/>
        <v>1188.856998438049</v>
      </c>
      <c r="CK150" s="1197">
        <f t="shared" si="784"/>
        <v>1202.494117706965</v>
      </c>
      <c r="CL150" s="1197">
        <f t="shared" si="784"/>
        <v>1216.5610505660968</v>
      </c>
      <c r="CM150" s="1197">
        <f t="shared" si="784"/>
        <v>1225.4535495054249</v>
      </c>
      <c r="CN150" s="1197">
        <f t="shared" si="784"/>
        <v>1234.1316603446469</v>
      </c>
      <c r="CO150" s="1197">
        <f t="shared" si="784"/>
        <v>1250.130603052711</v>
      </c>
      <c r="CP150" s="1197">
        <f t="shared" si="784"/>
        <v>1266.2169952302888</v>
      </c>
      <c r="CQ150" s="1197">
        <f t="shared" si="784"/>
        <v>1276.7799411531289</v>
      </c>
      <c r="CR150" s="1197">
        <f t="shared" si="784"/>
        <v>1287.4880421108026</v>
      </c>
      <c r="CS150" s="1197">
        <f t="shared" si="784"/>
        <v>1305.5984913607006</v>
      </c>
      <c r="CT150" s="1197">
        <f t="shared" si="784"/>
        <v>1323.4586432165411</v>
      </c>
      <c r="CU150" s="1197">
        <f t="shared" si="784"/>
        <v>1335.4463069231172</v>
      </c>
      <c r="CV150" s="1197">
        <f t="shared" si="784"/>
        <v>1347.997781971965</v>
      </c>
      <c r="CW150" s="1197">
        <f t="shared" si="784"/>
        <v>1368.0561368145882</v>
      </c>
    </row>
    <row r="151" spans="1:101" s="1719" customFormat="1">
      <c r="A151" s="1715" t="s">
        <v>1208</v>
      </c>
      <c r="B151" s="1716"/>
      <c r="C151" s="1716"/>
      <c r="D151" s="1716"/>
      <c r="E151" s="1716"/>
      <c r="F151" s="1716"/>
      <c r="G151" s="1716"/>
      <c r="H151" s="1716"/>
      <c r="I151" s="1716"/>
      <c r="J151" s="1716"/>
      <c r="K151" s="1716"/>
      <c r="L151" s="1716"/>
      <c r="M151" s="1716"/>
      <c r="N151" s="1716"/>
      <c r="O151" s="1716"/>
      <c r="P151" s="1716"/>
      <c r="Q151" s="1716"/>
      <c r="R151" s="1716"/>
      <c r="S151" s="1716"/>
      <c r="T151" s="1716"/>
      <c r="U151" s="1716"/>
      <c r="V151" s="1716"/>
      <c r="W151" s="1716"/>
      <c r="X151" s="1716"/>
      <c r="Y151" s="1716"/>
      <c r="Z151" s="1716"/>
      <c r="AA151" s="1716"/>
      <c r="AB151" s="1716"/>
      <c r="AC151" s="1716"/>
      <c r="AD151" s="1716"/>
      <c r="AE151" s="1716"/>
      <c r="AF151" s="1716"/>
      <c r="AG151" s="1716"/>
      <c r="AH151" s="1716"/>
      <c r="AI151" s="1716"/>
      <c r="AJ151" s="1716"/>
      <c r="AK151" s="1716"/>
      <c r="AL151" s="1716"/>
      <c r="AM151" s="1716"/>
      <c r="AN151" s="1716"/>
      <c r="AO151" s="1716"/>
      <c r="AP151" s="1717">
        <f t="shared" ref="AP151:AU151" si="785">AP150/AP148</f>
        <v>3.7800081529213991E-2</v>
      </c>
      <c r="AQ151" s="1717">
        <f t="shared" si="785"/>
        <v>4.0980146177963549E-2</v>
      </c>
      <c r="AR151" s="1717">
        <f t="shared" si="785"/>
        <v>5.1313292794877355E-2</v>
      </c>
      <c r="AS151" s="1717">
        <f t="shared" si="785"/>
        <v>3.9099611788291917E-2</v>
      </c>
      <c r="AT151" s="1717">
        <f t="shared" si="785"/>
        <v>3.6583207367829405E-2</v>
      </c>
      <c r="AU151" s="1717">
        <f t="shared" si="785"/>
        <v>3.7503484435670587E-2</v>
      </c>
      <c r="AV151" s="1717">
        <f t="shared" ref="AV151:BC151" si="786">AV150/AV148</f>
        <v>4.2427499288665092E-2</v>
      </c>
      <c r="AW151" s="1717">
        <f t="shared" si="786"/>
        <v>4.593503274993066E-2</v>
      </c>
      <c r="AX151" s="1717">
        <f t="shared" si="786"/>
        <v>4.307674001787852E-2</v>
      </c>
      <c r="AY151" s="1717">
        <f t="shared" si="786"/>
        <v>4.4072039004824794E-2</v>
      </c>
      <c r="AZ151" s="1717">
        <f t="shared" si="786"/>
        <v>4.3977036750526603E-2</v>
      </c>
      <c r="BA151" s="1717">
        <f t="shared" si="786"/>
        <v>5.5303910930696053E-2</v>
      </c>
      <c r="BB151" s="1717">
        <f t="shared" si="786"/>
        <v>5.063394782756539E-2</v>
      </c>
      <c r="BC151" s="1717">
        <f t="shared" si="786"/>
        <v>5.0798981816909575E-2</v>
      </c>
      <c r="BD151" s="1717">
        <f t="shared" ref="BD151:BI151" si="787">BD150/BD148</f>
        <v>5.193817353927261E-2</v>
      </c>
      <c r="BE151" s="1717">
        <f t="shared" si="787"/>
        <v>4.4000033651382296E-2</v>
      </c>
      <c r="BF151" s="1717">
        <f t="shared" si="787"/>
        <v>5.2040880509860006E-2</v>
      </c>
      <c r="BG151" s="1717">
        <f t="shared" si="787"/>
        <v>5.4692949698676351E-2</v>
      </c>
      <c r="BH151" s="1717">
        <f t="shared" si="787"/>
        <v>5.5294264490892073E-2</v>
      </c>
      <c r="BI151" s="1717">
        <f t="shared" si="787"/>
        <v>5.6913420752667802E-2</v>
      </c>
      <c r="BJ151" s="1717">
        <f t="shared" ref="BJ151:BK151" si="788">BJ150/BJ148</f>
        <v>5.5015581035405853E-2</v>
      </c>
      <c r="BK151" s="1718">
        <f t="shared" si="788"/>
        <v>6.4165879399826292E-2</v>
      </c>
      <c r="BL151" s="1646">
        <f>BK151</f>
        <v>6.4165879399826292E-2</v>
      </c>
      <c r="BM151" s="1646">
        <f>BL151</f>
        <v>6.4165879399826292E-2</v>
      </c>
      <c r="BN151" s="1646">
        <f t="shared" ref="BN151:CW151" si="789">BM151</f>
        <v>6.4165879399826292E-2</v>
      </c>
      <c r="BO151" s="1646">
        <f t="shared" si="789"/>
        <v>6.4165879399826292E-2</v>
      </c>
      <c r="BP151" s="1646">
        <f t="shared" si="789"/>
        <v>6.4165879399826292E-2</v>
      </c>
      <c r="BQ151" s="1646">
        <f t="shared" si="789"/>
        <v>6.4165879399826292E-2</v>
      </c>
      <c r="BR151" s="1646">
        <f t="shared" si="789"/>
        <v>6.4165879399826292E-2</v>
      </c>
      <c r="BS151" s="1646">
        <f t="shared" si="789"/>
        <v>6.4165879399826292E-2</v>
      </c>
      <c r="BT151" s="1646">
        <f t="shared" si="789"/>
        <v>6.4165879399826292E-2</v>
      </c>
      <c r="BU151" s="1646">
        <f t="shared" si="789"/>
        <v>6.4165879399826292E-2</v>
      </c>
      <c r="BV151" s="1646">
        <f t="shared" si="789"/>
        <v>6.4165879399826292E-2</v>
      </c>
      <c r="BW151" s="1646">
        <f t="shared" si="789"/>
        <v>6.4165879399826292E-2</v>
      </c>
      <c r="BX151" s="1646">
        <f t="shared" si="789"/>
        <v>6.4165879399826292E-2</v>
      </c>
      <c r="BY151" s="1646">
        <f t="shared" si="789"/>
        <v>6.4165879399826292E-2</v>
      </c>
      <c r="BZ151" s="1646">
        <f t="shared" si="789"/>
        <v>6.4165879399826292E-2</v>
      </c>
      <c r="CA151" s="1646">
        <f t="shared" si="789"/>
        <v>6.4165879399826292E-2</v>
      </c>
      <c r="CB151" s="1646">
        <f t="shared" si="789"/>
        <v>6.4165879399826292E-2</v>
      </c>
      <c r="CC151" s="1646">
        <f t="shared" si="789"/>
        <v>6.4165879399826292E-2</v>
      </c>
      <c r="CD151" s="1646">
        <f t="shared" si="789"/>
        <v>6.4165879399826292E-2</v>
      </c>
      <c r="CE151" s="1646">
        <f t="shared" si="789"/>
        <v>6.4165879399826292E-2</v>
      </c>
      <c r="CF151" s="1646">
        <f t="shared" si="789"/>
        <v>6.4165879399826292E-2</v>
      </c>
      <c r="CG151" s="1646">
        <f t="shared" si="789"/>
        <v>6.4165879399826292E-2</v>
      </c>
      <c r="CH151" s="1646">
        <f t="shared" si="789"/>
        <v>6.4165879399826292E-2</v>
      </c>
      <c r="CI151" s="1646">
        <f t="shared" si="789"/>
        <v>6.4165879399826292E-2</v>
      </c>
      <c r="CJ151" s="1646">
        <f t="shared" si="789"/>
        <v>6.4165879399826292E-2</v>
      </c>
      <c r="CK151" s="1646">
        <f t="shared" si="789"/>
        <v>6.4165879399826292E-2</v>
      </c>
      <c r="CL151" s="1646">
        <f t="shared" si="789"/>
        <v>6.4165879399826292E-2</v>
      </c>
      <c r="CM151" s="1646">
        <f t="shared" si="789"/>
        <v>6.4165879399826292E-2</v>
      </c>
      <c r="CN151" s="1646">
        <f t="shared" si="789"/>
        <v>6.4165879399826292E-2</v>
      </c>
      <c r="CO151" s="1646">
        <f t="shared" si="789"/>
        <v>6.4165879399826292E-2</v>
      </c>
      <c r="CP151" s="1646">
        <f t="shared" si="789"/>
        <v>6.4165879399826292E-2</v>
      </c>
      <c r="CQ151" s="1646">
        <f t="shared" si="789"/>
        <v>6.4165879399826292E-2</v>
      </c>
      <c r="CR151" s="1646">
        <f t="shared" si="789"/>
        <v>6.4165879399826292E-2</v>
      </c>
      <c r="CS151" s="1646">
        <f t="shared" si="789"/>
        <v>6.4165879399826292E-2</v>
      </c>
      <c r="CT151" s="1646">
        <f t="shared" si="789"/>
        <v>6.4165879399826292E-2</v>
      </c>
      <c r="CU151" s="1646">
        <f t="shared" si="789"/>
        <v>6.4165879399826292E-2</v>
      </c>
      <c r="CV151" s="1646">
        <f t="shared" si="789"/>
        <v>6.4165879399826292E-2</v>
      </c>
      <c r="CW151" s="1646">
        <f t="shared" si="789"/>
        <v>6.4165879399826292E-2</v>
      </c>
    </row>
    <row r="152" spans="1:101" s="165" customFormat="1">
      <c r="A152" s="1192" t="s">
        <v>1198</v>
      </c>
      <c r="B152" s="1180"/>
      <c r="C152" s="1180"/>
      <c r="D152" s="1180"/>
      <c r="E152" s="1180"/>
      <c r="F152" s="1180"/>
      <c r="G152" s="1180"/>
      <c r="H152" s="1180"/>
      <c r="I152" s="1180"/>
      <c r="J152" s="1180"/>
      <c r="K152" s="1180"/>
      <c r="L152" s="1180"/>
      <c r="M152" s="1180"/>
      <c r="N152" s="1180"/>
      <c r="O152" s="1180"/>
      <c r="P152" s="1180"/>
      <c r="Q152" s="1180"/>
      <c r="R152" s="1180"/>
      <c r="S152" s="1180"/>
      <c r="T152" s="1180"/>
      <c r="U152" s="1180"/>
      <c r="V152" s="1180"/>
      <c r="W152" s="1180"/>
      <c r="X152" s="1180"/>
      <c r="Y152" s="1180"/>
      <c r="Z152" s="1180"/>
      <c r="AA152" s="1180"/>
      <c r="AB152" s="1180"/>
      <c r="AC152" s="1180"/>
      <c r="AD152" s="1180"/>
      <c r="AE152" s="1180"/>
      <c r="AF152" s="1180"/>
      <c r="AG152" s="1180"/>
      <c r="AH152" s="1180"/>
      <c r="AI152" s="1180"/>
      <c r="AJ152" s="1180"/>
      <c r="AK152" s="1180"/>
      <c r="AL152" s="1180"/>
      <c r="AM152" s="1180"/>
      <c r="AN152" s="1180"/>
      <c r="AO152" s="1180"/>
      <c r="AP152" s="1180">
        <f>BS!AP16</f>
        <v>23733.628000000001</v>
      </c>
      <c r="AQ152" s="1180">
        <f>BS!AQ16</f>
        <v>20767.55</v>
      </c>
      <c r="AR152" s="1180">
        <f>BS!AR16</f>
        <v>21106.86</v>
      </c>
      <c r="AS152" s="1180">
        <f>BS!AS16</f>
        <v>20347.108</v>
      </c>
      <c r="AT152" s="1733">
        <f>BS!AT16</f>
        <v>24554.098000000002</v>
      </c>
      <c r="AU152" s="1733">
        <f>BS!AU16</f>
        <v>22971.758999999998</v>
      </c>
      <c r="AV152" s="1733">
        <f>BS!AV16</f>
        <v>22666.013999999999</v>
      </c>
      <c r="AW152" s="1733">
        <f>BS!AW16</f>
        <v>23423</v>
      </c>
      <c r="AX152" s="1733">
        <f>BS!AX16</f>
        <v>24029.966</v>
      </c>
      <c r="AY152" s="1733">
        <f>BS!AY16</f>
        <v>22574.755000000001</v>
      </c>
      <c r="AZ152" s="1733">
        <f>BS!AZ16</f>
        <v>21995.575000000001</v>
      </c>
      <c r="BA152" s="1733">
        <f>BS!BA16</f>
        <v>22274.256000000001</v>
      </c>
      <c r="BB152" s="1733">
        <f>BS!BB16</f>
        <v>22737.466</v>
      </c>
      <c r="BC152" s="1733">
        <f>BS!BC16</f>
        <v>21487.24</v>
      </c>
      <c r="BD152" s="1733">
        <f>BS!BD16</f>
        <v>19969.462</v>
      </c>
      <c r="BE152" s="1733">
        <f>BS!BE16</f>
        <v>20604.243999999999</v>
      </c>
      <c r="BF152" s="1733">
        <f>BS!BF16</f>
        <v>19063.554</v>
      </c>
      <c r="BG152" s="1733">
        <f>BS!BG16</f>
        <v>18258.692999999999</v>
      </c>
      <c r="BH152" s="1733">
        <f>BS!BH16</f>
        <v>17955.677</v>
      </c>
      <c r="BI152" s="1733">
        <f>BS!BI16</f>
        <v>17151.940999999999</v>
      </c>
      <c r="BJ152" s="1733">
        <f>BS!BJ16</f>
        <v>15740.11</v>
      </c>
      <c r="BK152" s="1709">
        <f>BS!BK16</f>
        <v>18248.849999999999</v>
      </c>
      <c r="BL152" s="1181">
        <f t="shared" ref="BL152:CW152" si="790">BL148-BL150+BL149</f>
        <v>17238.975579330989</v>
      </c>
      <c r="BM152" s="1181">
        <f t="shared" si="790"/>
        <v>17104.083384253652</v>
      </c>
      <c r="BN152" s="1181">
        <f t="shared" si="790"/>
        <v>16955.358223156236</v>
      </c>
      <c r="BO152" s="1181">
        <f t="shared" si="790"/>
        <v>16832.667031239216</v>
      </c>
      <c r="BP152" s="1181">
        <f t="shared" si="790"/>
        <v>16879.00890952714</v>
      </c>
      <c r="BQ152" s="1181">
        <f t="shared" si="790"/>
        <v>16986.424189142854</v>
      </c>
      <c r="BR152" s="1181">
        <f t="shared" si="790"/>
        <v>17020.048466236214</v>
      </c>
      <c r="BS152" s="1181">
        <f t="shared" si="790"/>
        <v>16971.930203388503</v>
      </c>
      <c r="BT152" s="1181">
        <f t="shared" si="790"/>
        <v>17040.478815816503</v>
      </c>
      <c r="BU152" s="1181">
        <f t="shared" si="790"/>
        <v>17160.217999624252</v>
      </c>
      <c r="BV152" s="1181">
        <f t="shared" si="790"/>
        <v>17204.948214931672</v>
      </c>
      <c r="BW152" s="1181">
        <f t="shared" si="790"/>
        <v>17174.682916002985</v>
      </c>
      <c r="BX152" s="1181">
        <f t="shared" si="790"/>
        <v>17259.969488715746</v>
      </c>
      <c r="BY152" s="1181">
        <f t="shared" si="790"/>
        <v>17377.825188298011</v>
      </c>
      <c r="BZ152" s="1181">
        <f t="shared" si="790"/>
        <v>17424.096913279252</v>
      </c>
      <c r="CA152" s="1181">
        <f t="shared" si="790"/>
        <v>17448.730819295964</v>
      </c>
      <c r="CB152" s="1181">
        <f t="shared" si="790"/>
        <v>17585.701708145472</v>
      </c>
      <c r="CC152" s="1181">
        <f t="shared" si="790"/>
        <v>17750.447151311993</v>
      </c>
      <c r="CD152" s="1181">
        <f t="shared" si="790"/>
        <v>17844.503297475152</v>
      </c>
      <c r="CE152" s="1181">
        <f t="shared" si="790"/>
        <v>17915.350610079717</v>
      </c>
      <c r="CF152" s="1181">
        <f t="shared" si="790"/>
        <v>18098.579162539441</v>
      </c>
      <c r="CG152" s="1181">
        <f t="shared" si="790"/>
        <v>18304.076645060672</v>
      </c>
      <c r="CH152" s="1181">
        <f t="shared" si="790"/>
        <v>18428.300840905988</v>
      </c>
      <c r="CI152" s="1181">
        <f t="shared" si="790"/>
        <v>18527.868854256947</v>
      </c>
      <c r="CJ152" s="1181">
        <f t="shared" si="790"/>
        <v>18740.397995857911</v>
      </c>
      <c r="CK152" s="1181">
        <f t="shared" si="790"/>
        <v>18959.625613256852</v>
      </c>
      <c r="CL152" s="1181">
        <f t="shared" si="790"/>
        <v>19098.211712637145</v>
      </c>
      <c r="CM152" s="1181">
        <f t="shared" si="790"/>
        <v>19233.456657776092</v>
      </c>
      <c r="CN152" s="1181">
        <f t="shared" si="790"/>
        <v>19482.793888991651</v>
      </c>
      <c r="CO152" s="1181">
        <f t="shared" si="790"/>
        <v>19733.493985803874</v>
      </c>
      <c r="CP152" s="1181">
        <f t="shared" si="790"/>
        <v>19898.113344591446</v>
      </c>
      <c r="CQ152" s="1181">
        <f t="shared" si="790"/>
        <v>20064.994887520985</v>
      </c>
      <c r="CR152" s="1181">
        <f t="shared" si="790"/>
        <v>20347.239117932746</v>
      </c>
      <c r="CS152" s="1181">
        <f t="shared" si="790"/>
        <v>20625.582561876708</v>
      </c>
      <c r="CT152" s="1181">
        <f t="shared" si="790"/>
        <v>20812.405587115391</v>
      </c>
      <c r="CU152" s="1181">
        <f t="shared" si="790"/>
        <v>21008.015390429049</v>
      </c>
      <c r="CV152" s="1181">
        <f t="shared" si="790"/>
        <v>21320.616963574128</v>
      </c>
      <c r="CW152" s="1181">
        <f t="shared" si="790"/>
        <v>21618.755563790903</v>
      </c>
    </row>
    <row r="153" spans="1:101" s="241" customFormat="1">
      <c r="A153" s="1661"/>
      <c r="B153" s="1204"/>
      <c r="C153" s="1204"/>
      <c r="D153" s="1204"/>
      <c r="E153" s="1204"/>
      <c r="F153" s="1204"/>
      <c r="G153" s="1204"/>
      <c r="H153" s="1204"/>
      <c r="I153" s="1204"/>
      <c r="J153" s="1204"/>
      <c r="K153" s="1204"/>
      <c r="L153" s="1204"/>
      <c r="M153" s="1204"/>
      <c r="N153" s="1204"/>
      <c r="O153" s="1204"/>
      <c r="P153" s="1204"/>
      <c r="Q153" s="1204"/>
      <c r="R153" s="1204"/>
      <c r="S153" s="1204"/>
      <c r="T153" s="1204"/>
      <c r="U153" s="1204"/>
      <c r="V153" s="1204"/>
      <c r="W153" s="1204"/>
      <c r="X153" s="1204"/>
      <c r="Y153" s="1204"/>
      <c r="Z153" s="1204"/>
      <c r="AA153" s="1204"/>
      <c r="AB153" s="1204"/>
      <c r="AC153" s="1204"/>
      <c r="AD153" s="1204"/>
      <c r="AE153" s="1204"/>
      <c r="AF153" s="1204"/>
      <c r="AG153" s="1204"/>
      <c r="AH153" s="1204"/>
      <c r="AI153" s="1204"/>
      <c r="AJ153" s="1204"/>
      <c r="AK153" s="1204"/>
      <c r="AL153" s="1204"/>
      <c r="AM153" s="1204"/>
      <c r="AN153" s="1204"/>
      <c r="AO153" s="1204"/>
      <c r="AP153" s="1662">
        <f>+AP152/Q_IS!AP$16</f>
        <v>12.348401664932362</v>
      </c>
      <c r="AQ153" s="1662">
        <f>+AQ152/Q_IS!AQ$16</f>
        <v>10.807988550611501</v>
      </c>
      <c r="AR153" s="1662">
        <f>+AR152/Q_IS!AR$16</f>
        <v>11.013232454996087</v>
      </c>
      <c r="AS153" s="1662">
        <f>+AS152/Q_IS!AS$16</f>
        <v>10.616805635272632</v>
      </c>
      <c r="AT153" s="1734">
        <f>+AT152/Q_IS!AT$16</f>
        <v>12.872397378768023</v>
      </c>
      <c r="AU153" s="1734">
        <f>+AU152/Q_IS!AU$16</f>
        <v>12.17046834437086</v>
      </c>
      <c r="AV153" s="1734">
        <f>+AV152/Q_IS!AV$16</f>
        <v>12.133840471092077</v>
      </c>
      <c r="AW153" s="1734">
        <f>+AW152/Q_IS!AW$16</f>
        <v>12.726433034501493</v>
      </c>
      <c r="AX153" s="1734">
        <f>+AX152/Q_IS!AX$16</f>
        <v>13.250601599117728</v>
      </c>
      <c r="AY153" s="1734">
        <f>+AY152/Q_IS!AY$16</f>
        <v>12.520662784248476</v>
      </c>
      <c r="AZ153" s="1734">
        <f>+AZ152/Q_IS!AZ$16</f>
        <v>12.298336594911937</v>
      </c>
      <c r="BA153" s="1734">
        <f>+BA152/Q_IS!BA$16</f>
        <v>12.492572069545711</v>
      </c>
      <c r="BB153" s="1734">
        <f>+BB152/Q_IS!BB$16</f>
        <v>12.713148448420464</v>
      </c>
      <c r="BC153" s="1734">
        <f>+BC152/Q_IS!BC$16</f>
        <v>11.997342266890007</v>
      </c>
      <c r="BD153" s="1734">
        <f>+BD152/Q_IS!BD$16</f>
        <v>11.115759532424159</v>
      </c>
      <c r="BE153" s="1734">
        <f>+BE152/Q_IS!BE$16</f>
        <v>11.345949339207047</v>
      </c>
      <c r="BF153" s="1734">
        <f>+BF152/Q_IS!BF$16</f>
        <v>10.411553249590387</v>
      </c>
      <c r="BG153" s="1734">
        <f>+BG152/Q_IS!BG$16</f>
        <v>10.01573944048272</v>
      </c>
      <c r="BH153" s="1734">
        <f>+BH152/Q_IS!BH$16</f>
        <v>9.8793270976616228</v>
      </c>
      <c r="BI153" s="1734">
        <f>+BI152/Q_IS!BI$16</f>
        <v>9.3496544017443437</v>
      </c>
      <c r="BJ153" s="1734">
        <f>+BJ152/Q_IS!BJ$16</f>
        <v>8.46925477535647</v>
      </c>
      <c r="BK153" s="1710">
        <f>+BK152/Q_IS!BK$16</f>
        <v>9.7197603195739006</v>
      </c>
      <c r="BL153" s="1852">
        <v>9</v>
      </c>
      <c r="BM153" s="1852">
        <v>9</v>
      </c>
      <c r="BN153" s="1852">
        <v>9</v>
      </c>
      <c r="BO153" s="1852">
        <v>9</v>
      </c>
      <c r="BP153" s="1852">
        <v>9</v>
      </c>
      <c r="BQ153" s="1852">
        <v>9</v>
      </c>
      <c r="BR153" s="1660">
        <v>9</v>
      </c>
      <c r="BS153" s="1660">
        <v>9</v>
      </c>
      <c r="BT153" s="1660">
        <v>9</v>
      </c>
      <c r="BU153" s="1660">
        <v>9</v>
      </c>
      <c r="BV153" s="1660">
        <v>9</v>
      </c>
      <c r="BW153" s="1660">
        <v>9</v>
      </c>
      <c r="BX153" s="1660">
        <v>9</v>
      </c>
      <c r="BY153" s="1660">
        <v>9</v>
      </c>
      <c r="BZ153" s="1660">
        <v>9</v>
      </c>
      <c r="CA153" s="1660">
        <v>9</v>
      </c>
      <c r="CB153" s="1660">
        <v>9</v>
      </c>
      <c r="CC153" s="1660">
        <v>9</v>
      </c>
      <c r="CD153" s="1660">
        <v>9</v>
      </c>
      <c r="CE153" s="1660">
        <v>9</v>
      </c>
      <c r="CF153" s="1660">
        <v>9</v>
      </c>
      <c r="CG153" s="1660">
        <v>9</v>
      </c>
      <c r="CH153" s="1660">
        <v>9</v>
      </c>
      <c r="CI153" s="1660">
        <v>9</v>
      </c>
      <c r="CJ153" s="1660">
        <v>9</v>
      </c>
      <c r="CK153" s="1660">
        <v>9</v>
      </c>
      <c r="CL153" s="1660">
        <v>9</v>
      </c>
      <c r="CM153" s="1660">
        <v>9</v>
      </c>
      <c r="CN153" s="1660">
        <v>9</v>
      </c>
      <c r="CO153" s="1660">
        <v>9</v>
      </c>
      <c r="CP153" s="1660">
        <v>9</v>
      </c>
      <c r="CQ153" s="1660">
        <v>9</v>
      </c>
      <c r="CR153" s="1660">
        <v>9</v>
      </c>
      <c r="CS153" s="1660">
        <v>9</v>
      </c>
      <c r="CT153" s="1660">
        <v>9</v>
      </c>
      <c r="CU153" s="1660">
        <v>9</v>
      </c>
      <c r="CV153" s="1660">
        <v>9</v>
      </c>
      <c r="CW153" s="1660">
        <v>9</v>
      </c>
    </row>
    <row r="154" spans="1:101" s="165" customFormat="1">
      <c r="A154" s="1192"/>
      <c r="B154" s="1180"/>
      <c r="C154" s="1180"/>
      <c r="D154" s="1180"/>
      <c r="E154" s="1180"/>
      <c r="F154" s="1180"/>
      <c r="G154" s="1180"/>
      <c r="H154" s="1180"/>
      <c r="I154" s="1180"/>
      <c r="J154" s="1180"/>
      <c r="K154" s="1180"/>
      <c r="L154" s="1180"/>
      <c r="M154" s="1180"/>
      <c r="N154" s="1180"/>
      <c r="O154" s="1180"/>
      <c r="P154" s="1180"/>
      <c r="Q154" s="1180"/>
      <c r="R154" s="1180"/>
      <c r="S154" s="1180"/>
      <c r="T154" s="1180"/>
      <c r="U154" s="1180"/>
      <c r="V154" s="1180"/>
      <c r="W154" s="1180"/>
      <c r="X154" s="1180"/>
      <c r="Y154" s="1180"/>
      <c r="Z154" s="1180"/>
      <c r="AA154" s="1180"/>
      <c r="AB154" s="1180"/>
      <c r="AC154" s="1180"/>
      <c r="AD154" s="1180"/>
      <c r="AE154" s="1180"/>
      <c r="AF154" s="1180"/>
      <c r="AG154" s="1180"/>
      <c r="AH154" s="1180"/>
      <c r="AI154" s="1180"/>
      <c r="AJ154" s="1180"/>
      <c r="AK154" s="1180"/>
      <c r="AL154" s="1180"/>
      <c r="AM154" s="1180"/>
      <c r="AN154" s="1180"/>
      <c r="AO154" s="1180"/>
      <c r="AP154" s="1180"/>
      <c r="AQ154" s="1180"/>
      <c r="AR154" s="1180"/>
      <c r="AS154" s="1180"/>
      <c r="AT154" s="1733"/>
      <c r="AU154" s="1733"/>
      <c r="AV154" s="1733"/>
      <c r="AW154" s="1733"/>
      <c r="AX154" s="1733"/>
      <c r="AY154" s="1733"/>
      <c r="AZ154" s="1733"/>
      <c r="BA154" s="1733"/>
      <c r="BB154" s="1733"/>
      <c r="BC154" s="1733"/>
      <c r="BD154" s="1733"/>
      <c r="BE154" s="1733"/>
      <c r="BF154" s="1733"/>
      <c r="BG154" s="1733"/>
      <c r="BH154" s="1733"/>
      <c r="BI154" s="1733"/>
      <c r="BJ154" s="1733"/>
      <c r="BK154" s="1709"/>
      <c r="BL154" s="1181"/>
      <c r="BM154" s="1181"/>
      <c r="BN154" s="1181"/>
      <c r="BO154" s="1181"/>
      <c r="BP154" s="1181"/>
      <c r="BQ154" s="1181"/>
      <c r="BR154" s="1181"/>
      <c r="BS154" s="1181"/>
      <c r="BT154" s="1181"/>
      <c r="BU154" s="1181"/>
      <c r="BV154" s="1181"/>
      <c r="BW154" s="1181"/>
      <c r="BX154" s="1181"/>
      <c r="BY154" s="1181"/>
      <c r="BZ154" s="1181"/>
      <c r="CA154" s="1181"/>
      <c r="CB154" s="1181"/>
      <c r="CC154" s="1181"/>
      <c r="CD154" s="1181"/>
      <c r="CE154" s="1181"/>
      <c r="CF154" s="1181"/>
      <c r="CG154" s="1181"/>
      <c r="CH154" s="1181"/>
      <c r="CI154" s="1181"/>
      <c r="CJ154" s="1181"/>
      <c r="CK154" s="1181"/>
      <c r="CL154" s="1181"/>
      <c r="CM154" s="1181"/>
      <c r="CN154" s="1181"/>
      <c r="CO154" s="1181"/>
      <c r="CP154" s="1181"/>
      <c r="CQ154" s="1181"/>
      <c r="CR154" s="1181"/>
      <c r="CS154" s="1181"/>
      <c r="CT154" s="1181"/>
      <c r="CU154" s="1181"/>
      <c r="CV154" s="1181"/>
      <c r="CW154" s="1181"/>
    </row>
    <row r="155" spans="1:101" s="165" customFormat="1">
      <c r="A155" s="1189" t="s">
        <v>1188</v>
      </c>
      <c r="B155" s="1180"/>
      <c r="C155" s="1180"/>
      <c r="D155" s="1180"/>
      <c r="E155" s="1180"/>
      <c r="F155" s="1180"/>
      <c r="G155" s="1180"/>
      <c r="H155" s="1180"/>
      <c r="I155" s="1180"/>
      <c r="J155" s="1180"/>
      <c r="K155" s="1180"/>
      <c r="L155" s="1180"/>
      <c r="M155" s="1180"/>
      <c r="N155" s="1180"/>
      <c r="O155" s="1180"/>
      <c r="P155" s="1180"/>
      <c r="Q155" s="1180"/>
      <c r="R155" s="1180"/>
      <c r="S155" s="1180"/>
      <c r="T155" s="1180"/>
      <c r="U155" s="1180"/>
      <c r="V155" s="1180"/>
      <c r="W155" s="1180"/>
      <c r="X155" s="1180"/>
      <c r="Y155" s="1180"/>
      <c r="Z155" s="1180"/>
      <c r="AA155" s="1180"/>
      <c r="AB155" s="1180"/>
      <c r="AC155" s="1180"/>
      <c r="AD155" s="1180"/>
      <c r="AE155" s="1180"/>
      <c r="AF155" s="1180"/>
      <c r="AG155" s="1180"/>
      <c r="AH155" s="1180"/>
      <c r="AI155" s="1180"/>
      <c r="AJ155" s="1180"/>
      <c r="AK155" s="1180"/>
      <c r="AL155" s="1180"/>
      <c r="AM155" s="1180"/>
      <c r="AN155" s="1180"/>
      <c r="AO155" s="1180"/>
      <c r="AP155" s="1180"/>
      <c r="AQ155" s="1180"/>
      <c r="AR155" s="1180"/>
      <c r="AS155" s="1180"/>
      <c r="AT155" s="1733"/>
      <c r="AU155" s="1733"/>
      <c r="AV155" s="1733"/>
      <c r="AW155" s="1733"/>
      <c r="AX155" s="1733"/>
      <c r="AY155" s="1733"/>
      <c r="AZ155" s="1733"/>
      <c r="BA155" s="1733"/>
      <c r="BB155" s="1733"/>
      <c r="BC155" s="1733"/>
      <c r="BD155" s="1733"/>
      <c r="BE155" s="1733"/>
      <c r="BF155" s="1733"/>
      <c r="BG155" s="1733"/>
      <c r="BH155" s="1733"/>
      <c r="BI155" s="1733"/>
      <c r="BJ155" s="1733"/>
      <c r="BK155" s="1709"/>
      <c r="BL155" s="1181"/>
      <c r="BM155" s="1181"/>
      <c r="BN155" s="1181"/>
      <c r="BO155" s="1181"/>
      <c r="BP155" s="1181"/>
      <c r="BQ155" s="1181"/>
      <c r="BR155" s="1181"/>
      <c r="BS155" s="1181"/>
      <c r="BT155" s="1181"/>
      <c r="BU155" s="1181"/>
      <c r="BV155" s="1181"/>
      <c r="BW155" s="1181"/>
      <c r="BX155" s="1181"/>
      <c r="BY155" s="1181"/>
      <c r="BZ155" s="1181"/>
      <c r="CA155" s="1181"/>
      <c r="CB155" s="1181"/>
      <c r="CC155" s="1181"/>
      <c r="CD155" s="1181"/>
      <c r="CE155" s="1181"/>
      <c r="CF155" s="1181"/>
      <c r="CG155" s="1181"/>
      <c r="CH155" s="1181"/>
      <c r="CI155" s="1181"/>
      <c r="CJ155" s="1181"/>
      <c r="CK155" s="1181"/>
      <c r="CL155" s="1181"/>
      <c r="CM155" s="1181"/>
      <c r="CN155" s="1181"/>
      <c r="CO155" s="1181"/>
      <c r="CP155" s="1181"/>
      <c r="CQ155" s="1181"/>
      <c r="CR155" s="1181"/>
      <c r="CS155" s="1181"/>
      <c r="CT155" s="1181"/>
      <c r="CU155" s="1181"/>
      <c r="CV155" s="1181"/>
      <c r="CW155" s="1181"/>
    </row>
    <row r="156" spans="1:101" s="165" customFormat="1">
      <c r="A156" s="165" t="s">
        <v>1188</v>
      </c>
      <c r="B156" s="1180"/>
      <c r="C156" s="1180"/>
      <c r="D156" s="1180"/>
      <c r="E156" s="1180"/>
      <c r="F156" s="1180"/>
      <c r="G156" s="1180"/>
      <c r="H156" s="1180"/>
      <c r="I156" s="1180"/>
      <c r="J156" s="1180"/>
      <c r="K156" s="1180"/>
      <c r="L156" s="1180"/>
      <c r="M156" s="1180"/>
      <c r="N156" s="1180"/>
      <c r="O156" s="1180"/>
      <c r="P156" s="1180"/>
      <c r="Q156" s="1180"/>
      <c r="R156" s="1180"/>
      <c r="S156" s="1180"/>
      <c r="T156" s="1180"/>
      <c r="U156" s="1180"/>
      <c r="V156" s="1180"/>
      <c r="W156" s="1180"/>
      <c r="X156" s="1180"/>
      <c r="Y156" s="1180"/>
      <c r="Z156" s="1180"/>
      <c r="AA156" s="1180"/>
      <c r="AB156" s="1180"/>
      <c r="AC156" s="1180"/>
      <c r="AD156" s="1180"/>
      <c r="AE156" s="1180"/>
      <c r="AF156" s="1180"/>
      <c r="AG156" s="1180"/>
      <c r="AH156" s="1180"/>
      <c r="AI156" s="1180"/>
      <c r="AJ156" s="1180"/>
      <c r="AK156" s="1180"/>
      <c r="AL156" s="1180"/>
      <c r="AM156" s="1180"/>
      <c r="AN156" s="1180"/>
      <c r="AO156" s="1180"/>
      <c r="AP156" s="1180">
        <f>IS!AQ56</f>
        <v>253.21299999999999</v>
      </c>
      <c r="AQ156" s="1180">
        <f>IS!AR56</f>
        <v>293.24</v>
      </c>
      <c r="AR156" s="1180">
        <f>IS!AS56</f>
        <v>376.99</v>
      </c>
      <c r="AS156" s="1180">
        <f>IS!AT56</f>
        <v>74.31</v>
      </c>
      <c r="AT156" s="1733">
        <f>IS!AU56</f>
        <v>221.86099999999999</v>
      </c>
      <c r="AU156" s="1733">
        <f>IS!AV56</f>
        <v>284.89699999999999</v>
      </c>
      <c r="AV156" s="1733">
        <f>IS!AW56</f>
        <v>243.471</v>
      </c>
      <c r="AW156" s="1733">
        <f>IS!AX56</f>
        <v>190.428</v>
      </c>
      <c r="AX156" s="1733">
        <f>IS!AY56</f>
        <v>232.02600000000001</v>
      </c>
      <c r="AY156" s="1733">
        <f>IS!AZ56</f>
        <v>242.10400000000001</v>
      </c>
      <c r="AZ156" s="1733">
        <f>IS!BA56</f>
        <v>265.33699999999999</v>
      </c>
      <c r="BA156" s="1733">
        <f>IS!BB56</f>
        <v>249.988</v>
      </c>
      <c r="BB156" s="1733">
        <f>IS!BC56</f>
        <v>243.684</v>
      </c>
      <c r="BC156" s="1733">
        <f>IS!BD56</f>
        <v>245.46100000000001</v>
      </c>
      <c r="BD156" s="1733">
        <f>IS!BE56</f>
        <v>245.392</v>
      </c>
      <c r="BE156" s="1733">
        <f>IS!BF56</f>
        <v>205.78200000000001</v>
      </c>
      <c r="BF156" s="1733">
        <f>IS!BG56</f>
        <v>226.88900000000001</v>
      </c>
      <c r="BG156" s="1733">
        <f>IS!BH56</f>
        <v>220.804</v>
      </c>
      <c r="BH156" s="1733">
        <f>IS!BI56</f>
        <v>214.32599999999999</v>
      </c>
      <c r="BI156" s="1733">
        <f>IS!BJ56</f>
        <v>216.483</v>
      </c>
      <c r="BJ156" s="1733">
        <f>IS!BK56</f>
        <v>210.98500000000001</v>
      </c>
      <c r="BK156" s="1709">
        <f>IS!BL56</f>
        <v>266.154</v>
      </c>
      <c r="BL156" s="1181">
        <f>+(((1+BL157)^(1/4))-1)*BK142</f>
        <v>245.33388316193628</v>
      </c>
      <c r="BM156" s="1181">
        <f t="shared" ref="BM156:BQ156" si="791">+(((1+BM157)^(1/4))-1)*BL142</f>
        <v>257.16321727572301</v>
      </c>
      <c r="BN156" s="1181">
        <f t="shared" si="791"/>
        <v>269.17858607585157</v>
      </c>
      <c r="BO156" s="1181">
        <f t="shared" si="791"/>
        <v>242.62832889942086</v>
      </c>
      <c r="BP156" s="1181">
        <f t="shared" si="791"/>
        <v>241.89492015881581</v>
      </c>
      <c r="BQ156" s="1181">
        <f t="shared" si="791"/>
        <v>243.13821298797384</v>
      </c>
      <c r="BR156" s="1181">
        <f t="shared" ref="BR156:CK156" si="792">+(((1+BR157)^(1/4))-1)*BQ142</f>
        <v>245.92618143348722</v>
      </c>
      <c r="BS156" s="1181">
        <f t="shared" si="792"/>
        <v>248.01118016142738</v>
      </c>
      <c r="BT156" s="1181">
        <f t="shared" si="792"/>
        <v>247.62112389652364</v>
      </c>
      <c r="BU156" s="1181">
        <f t="shared" si="792"/>
        <v>248.63989620982517</v>
      </c>
      <c r="BV156" s="1181">
        <f t="shared" si="792"/>
        <v>251.16702351079365</v>
      </c>
      <c r="BW156" s="1181">
        <f t="shared" si="792"/>
        <v>253.02328278774874</v>
      </c>
      <c r="BX156" s="1181">
        <f t="shared" si="792"/>
        <v>252.49967769001702</v>
      </c>
      <c r="BY156" s="1181">
        <f t="shared" si="792"/>
        <v>253.41039544943808</v>
      </c>
      <c r="BZ156" s="1181">
        <f t="shared" si="792"/>
        <v>255.62887129043318</v>
      </c>
      <c r="CA156" s="1181">
        <f t="shared" si="792"/>
        <v>256.80017987644783</v>
      </c>
      <c r="CB156" s="1181">
        <f t="shared" si="792"/>
        <v>256.27263129636708</v>
      </c>
      <c r="CC156" s="1181">
        <f t="shared" si="792"/>
        <v>257.20228957936195</v>
      </c>
      <c r="CD156" s="1181">
        <f t="shared" si="792"/>
        <v>259.37075034982445</v>
      </c>
      <c r="CE156" s="1181">
        <f t="shared" si="792"/>
        <v>260.52290171711445</v>
      </c>
      <c r="CF156" s="1181">
        <f t="shared" si="792"/>
        <v>259.95679074770567</v>
      </c>
      <c r="CG156" s="1181">
        <f t="shared" si="792"/>
        <v>260.91896204383784</v>
      </c>
      <c r="CH156" s="1181">
        <f t="shared" si="792"/>
        <v>263.12295383838944</v>
      </c>
      <c r="CI156" s="1181">
        <f t="shared" si="792"/>
        <v>264.13568967841127</v>
      </c>
      <c r="CJ156" s="1181">
        <f t="shared" si="792"/>
        <v>263.40537773399598</v>
      </c>
      <c r="CK156" s="1181">
        <f t="shared" si="792"/>
        <v>264.27665158394967</v>
      </c>
      <c r="CL156" s="1181">
        <f t="shared" ref="CL156" si="793">+(((1+CL157)^(1/4))-1)*CK142</f>
        <v>266.26152374613463</v>
      </c>
      <c r="CM156" s="1181">
        <f t="shared" ref="CM156" si="794">+(((1+CM157)^(1/4))-1)*CL142</f>
        <v>266.98933773401251</v>
      </c>
      <c r="CN156" s="1181">
        <f t="shared" ref="CN156" si="795">+(((1+CN157)^(1/4))-1)*CM142</f>
        <v>266.21519949522286</v>
      </c>
      <c r="CO156" s="1181">
        <f t="shared" ref="CO156" si="796">+(((1+CO157)^(1/4))-1)*CN142</f>
        <v>267.12457709678148</v>
      </c>
      <c r="CP156" s="1181">
        <f t="shared" ref="CP156" si="797">+(((1+CP157)^(1/4))-1)*CO142</f>
        <v>269.15326736773085</v>
      </c>
      <c r="CQ156" s="1181">
        <f t="shared" ref="CQ156" si="798">+(((1+CQ157)^(1/4))-1)*CP142</f>
        <v>269.78788082274912</v>
      </c>
      <c r="CR156" s="1181">
        <f t="shared" ref="CR156" si="799">+(((1+CR157)^(1/4))-1)*CQ142</f>
        <v>268.97145397724711</v>
      </c>
      <c r="CS156" s="1181">
        <f t="shared" ref="CS156" si="800">+(((1+CS157)^(1/4))-1)*CR142</f>
        <v>269.9212206785034</v>
      </c>
      <c r="CT156" s="1181">
        <f t="shared" ref="CT156" si="801">+(((1+CT157)^(1/4))-1)*CS142</f>
        <v>271.99688316180311</v>
      </c>
      <c r="CU156" s="1181">
        <f t="shared" ref="CU156" si="802">+(((1+CU157)^(1/4))-1)*CT142</f>
        <v>272.52964042358713</v>
      </c>
      <c r="CV156" s="1181">
        <f t="shared" ref="CV156" si="803">+(((1+CV157)^(1/4))-1)*CU142</f>
        <v>271.6687202676211</v>
      </c>
      <c r="CW156" s="1181">
        <f t="shared" ref="CW156" si="804">+(((1+CW157)^(1/4))-1)*CV142</f>
        <v>272.66228484019916</v>
      </c>
    </row>
    <row r="157" spans="1:101" s="165" customFormat="1">
      <c r="A157" s="241" t="s">
        <v>1199</v>
      </c>
      <c r="B157" s="1180"/>
      <c r="C157" s="1180"/>
      <c r="D157" s="1180"/>
      <c r="E157" s="1180"/>
      <c r="F157" s="1180"/>
      <c r="G157" s="1180"/>
      <c r="H157" s="1180"/>
      <c r="I157" s="1180"/>
      <c r="J157" s="1180"/>
      <c r="K157" s="1180"/>
      <c r="L157" s="1180"/>
      <c r="M157" s="1180"/>
      <c r="N157" s="1180"/>
      <c r="O157" s="1180"/>
      <c r="P157" s="1180"/>
      <c r="Q157" s="1180"/>
      <c r="R157" s="1180"/>
      <c r="S157" s="1180"/>
      <c r="T157" s="1180"/>
      <c r="U157" s="1180"/>
      <c r="V157" s="1180"/>
      <c r="W157" s="1180"/>
      <c r="X157" s="1180"/>
      <c r="Y157" s="1180"/>
      <c r="Z157" s="1180"/>
      <c r="AA157" s="1180"/>
      <c r="AB157" s="1180"/>
      <c r="AC157" s="1180"/>
      <c r="AD157" s="1180"/>
      <c r="AE157" s="1180"/>
      <c r="AF157" s="1180"/>
      <c r="AG157" s="1180"/>
      <c r="AH157" s="1180"/>
      <c r="AI157" s="1180"/>
      <c r="AJ157" s="1180"/>
      <c r="AK157" s="1180"/>
      <c r="AL157" s="1180"/>
      <c r="AM157" s="1180"/>
      <c r="AN157" s="1180"/>
      <c r="AO157" s="1180"/>
      <c r="AP157" s="1550">
        <f>((1+(AP156/AVERAGE(AP142)))^4)-1</f>
        <v>4.4389219561426607E-2</v>
      </c>
      <c r="AQ157" s="1550">
        <f t="shared" ref="AQ157:AZ157" si="805">((1+(AQ156/AVERAGE(AP142)))^4)-1</f>
        <v>5.1539085079747249E-2</v>
      </c>
      <c r="AR157" s="1550">
        <f t="shared" si="805"/>
        <v>6.6380439437650596E-2</v>
      </c>
      <c r="AS157" s="1550">
        <f t="shared" si="805"/>
        <v>1.2587532090157616E-2</v>
      </c>
      <c r="AT157" s="1550">
        <f t="shared" si="805"/>
        <v>3.9917807434866504E-2</v>
      </c>
      <c r="AU157" s="1550">
        <f t="shared" si="805"/>
        <v>4.3690770123683498E-2</v>
      </c>
      <c r="AV157" s="1550">
        <f t="shared" si="805"/>
        <v>3.9467039883686716E-2</v>
      </c>
      <c r="AW157" s="1550">
        <f t="shared" si="805"/>
        <v>3.1168826745515021E-2</v>
      </c>
      <c r="AX157" s="1550">
        <f t="shared" si="805"/>
        <v>3.7191687162259068E-2</v>
      </c>
      <c r="AY157" s="1550">
        <f t="shared" si="805"/>
        <v>3.7975878524621365E-2</v>
      </c>
      <c r="AZ157" s="1550">
        <f t="shared" si="805"/>
        <v>4.4331013817141551E-2</v>
      </c>
      <c r="BA157" s="1550">
        <f>((1+(BA156/AVERAGE(AZ142)))^4)-1</f>
        <v>4.2790187344432296E-2</v>
      </c>
      <c r="BB157" s="1550">
        <f>((1+(BB156/AVERAGE(BA142)))^4)-1</f>
        <v>4.165386154703743E-2</v>
      </c>
      <c r="BC157" s="1550">
        <f>((1+(BC156/AVERAGE(BB142)))^4)-1</f>
        <v>4.1439903269290035E-2</v>
      </c>
      <c r="BD157" s="1550">
        <f t="shared" ref="BD157:BJ157" si="806">((1+(BD156/AVERAGE(BC142:BD142)))^4)-1</f>
        <v>4.538965973148823E-2</v>
      </c>
      <c r="BE157" s="1550">
        <f t="shared" si="806"/>
        <v>3.86534185941807E-2</v>
      </c>
      <c r="BF157" s="1550">
        <f t="shared" si="806"/>
        <v>4.3536254653681938E-2</v>
      </c>
      <c r="BG157" s="1550">
        <f t="shared" si="806"/>
        <v>4.4995307022883901E-2</v>
      </c>
      <c r="BH157" s="1550">
        <f t="shared" si="806"/>
        <v>4.5106367780259893E-2</v>
      </c>
      <c r="BI157" s="1550">
        <f t="shared" si="806"/>
        <v>4.7052882329454704E-2</v>
      </c>
      <c r="BJ157" s="1550">
        <f t="shared" si="806"/>
        <v>4.8747891354533834E-2</v>
      </c>
      <c r="BK157" s="1551">
        <f t="shared" ref="BK157" si="807">((1+(BK156/AVERAGE(BJ142:BK142)))^4)-1</f>
        <v>5.9736338352161855E-2</v>
      </c>
      <c r="BL157" s="2013">
        <f>1000/BL139</f>
        <v>5.1252209354614754E-2</v>
      </c>
      <c r="BM157" s="2013">
        <f>1050/BM139</f>
        <v>5.5975137037369248E-2</v>
      </c>
      <c r="BN157" s="2013">
        <f>1100/BN139</f>
        <v>5.836049633673733E-2</v>
      </c>
      <c r="BO157" s="1646">
        <f t="shared" ref="BO157" si="808">BK157*(1+(BO129/BK129-1))</f>
        <v>5.2246347927539689E-2</v>
      </c>
      <c r="BP157" s="1646">
        <f>BO157</f>
        <v>5.2246347927539689E-2</v>
      </c>
      <c r="BQ157" s="1646">
        <f t="shared" ref="BQ157:CW157" si="809">BP157</f>
        <v>5.2246347927539689E-2</v>
      </c>
      <c r="BR157" s="1646">
        <f t="shared" si="809"/>
        <v>5.2246347927539689E-2</v>
      </c>
      <c r="BS157" s="1646">
        <f t="shared" si="809"/>
        <v>5.2246347927539689E-2</v>
      </c>
      <c r="BT157" s="1646">
        <f t="shared" si="809"/>
        <v>5.2246347927539689E-2</v>
      </c>
      <c r="BU157" s="1646">
        <f t="shared" si="809"/>
        <v>5.2246347927539689E-2</v>
      </c>
      <c r="BV157" s="1646">
        <f t="shared" si="809"/>
        <v>5.2246347927539689E-2</v>
      </c>
      <c r="BW157" s="1646">
        <f t="shared" si="809"/>
        <v>5.2246347927539689E-2</v>
      </c>
      <c r="BX157" s="1646">
        <f t="shared" si="809"/>
        <v>5.2246347927539689E-2</v>
      </c>
      <c r="BY157" s="1646">
        <f t="shared" si="809"/>
        <v>5.2246347927539689E-2</v>
      </c>
      <c r="BZ157" s="1646">
        <f t="shared" si="809"/>
        <v>5.2246347927539689E-2</v>
      </c>
      <c r="CA157" s="1646">
        <f t="shared" si="809"/>
        <v>5.2246347927539689E-2</v>
      </c>
      <c r="CB157" s="1646">
        <f t="shared" si="809"/>
        <v>5.2246347927539689E-2</v>
      </c>
      <c r="CC157" s="1646">
        <f t="shared" si="809"/>
        <v>5.2246347927539689E-2</v>
      </c>
      <c r="CD157" s="1646">
        <f t="shared" si="809"/>
        <v>5.2246347927539689E-2</v>
      </c>
      <c r="CE157" s="1646">
        <f t="shared" si="809"/>
        <v>5.2246347927539689E-2</v>
      </c>
      <c r="CF157" s="1646">
        <f t="shared" si="809"/>
        <v>5.2246347927539689E-2</v>
      </c>
      <c r="CG157" s="1646">
        <f t="shared" si="809"/>
        <v>5.2246347927539689E-2</v>
      </c>
      <c r="CH157" s="1646">
        <f t="shared" si="809"/>
        <v>5.2246347927539689E-2</v>
      </c>
      <c r="CI157" s="1646">
        <f t="shared" si="809"/>
        <v>5.2246347927539689E-2</v>
      </c>
      <c r="CJ157" s="1646">
        <f t="shared" si="809"/>
        <v>5.2246347927539689E-2</v>
      </c>
      <c r="CK157" s="1646">
        <f t="shared" si="809"/>
        <v>5.2246347927539689E-2</v>
      </c>
      <c r="CL157" s="1646">
        <f t="shared" si="809"/>
        <v>5.2246347927539689E-2</v>
      </c>
      <c r="CM157" s="1646">
        <f t="shared" si="809"/>
        <v>5.2246347927539689E-2</v>
      </c>
      <c r="CN157" s="1646">
        <f t="shared" si="809"/>
        <v>5.2246347927539689E-2</v>
      </c>
      <c r="CO157" s="1646">
        <f t="shared" si="809"/>
        <v>5.2246347927539689E-2</v>
      </c>
      <c r="CP157" s="1646">
        <f t="shared" si="809"/>
        <v>5.2246347927539689E-2</v>
      </c>
      <c r="CQ157" s="1646">
        <f t="shared" si="809"/>
        <v>5.2246347927539689E-2</v>
      </c>
      <c r="CR157" s="1646">
        <f t="shared" si="809"/>
        <v>5.2246347927539689E-2</v>
      </c>
      <c r="CS157" s="1646">
        <f t="shared" si="809"/>
        <v>5.2246347927539689E-2</v>
      </c>
      <c r="CT157" s="1646">
        <f t="shared" si="809"/>
        <v>5.2246347927539689E-2</v>
      </c>
      <c r="CU157" s="1646">
        <f t="shared" si="809"/>
        <v>5.2246347927539689E-2</v>
      </c>
      <c r="CV157" s="1646">
        <f t="shared" si="809"/>
        <v>5.2246347927539689E-2</v>
      </c>
      <c r="CW157" s="1646">
        <f t="shared" si="809"/>
        <v>5.2246347927539689E-2</v>
      </c>
    </row>
    <row r="158" spans="1:101" s="165" customFormat="1">
      <c r="A158" s="241"/>
      <c r="B158" s="1180"/>
      <c r="C158" s="1180"/>
      <c r="D158" s="1180"/>
      <c r="E158" s="1180"/>
      <c r="F158" s="1180"/>
      <c r="G158" s="1180"/>
      <c r="H158" s="1180"/>
      <c r="I158" s="1180"/>
      <c r="J158" s="1180"/>
      <c r="K158" s="1180"/>
      <c r="L158" s="1180"/>
      <c r="M158" s="1180"/>
      <c r="N158" s="1180"/>
      <c r="O158" s="1180"/>
      <c r="P158" s="1180"/>
      <c r="Q158" s="1180"/>
      <c r="R158" s="1180"/>
      <c r="S158" s="1180"/>
      <c r="T158" s="1180"/>
      <c r="U158" s="1180"/>
      <c r="V158" s="1180"/>
      <c r="W158" s="1180"/>
      <c r="X158" s="1180"/>
      <c r="Y158" s="1180"/>
      <c r="Z158" s="1180"/>
      <c r="AA158" s="1180"/>
      <c r="AB158" s="1180"/>
      <c r="AC158" s="1180"/>
      <c r="AD158" s="1180"/>
      <c r="AE158" s="1180"/>
      <c r="AF158" s="1180"/>
      <c r="AG158" s="1180"/>
      <c r="AH158" s="1180"/>
      <c r="AI158" s="1180"/>
      <c r="AJ158" s="1180"/>
      <c r="AK158" s="1180"/>
      <c r="AL158" s="1180"/>
      <c r="AM158" s="1180"/>
      <c r="AN158" s="1180"/>
      <c r="AO158" s="1180"/>
      <c r="AP158" s="1550"/>
      <c r="AQ158" s="1550"/>
      <c r="AR158" s="1550"/>
      <c r="AS158" s="1550"/>
      <c r="AT158" s="1550"/>
      <c r="AU158" s="1550"/>
      <c r="AV158" s="1550"/>
      <c r="AW158" s="1550"/>
      <c r="AX158" s="1550"/>
      <c r="AY158" s="1550"/>
      <c r="AZ158" s="1550"/>
      <c r="BA158" s="1550"/>
      <c r="BB158" s="1550"/>
      <c r="BC158" s="1550"/>
      <c r="BD158" s="1550"/>
      <c r="BE158" s="1550"/>
      <c r="BF158" s="1550"/>
      <c r="BG158" s="1550"/>
      <c r="BH158" s="1550"/>
      <c r="BI158" s="1550"/>
      <c r="BJ158" s="1550"/>
      <c r="BK158" s="1550"/>
      <c r="BL158" s="1646"/>
      <c r="BM158" s="1646"/>
      <c r="BN158" s="1646"/>
      <c r="BO158" s="1646"/>
      <c r="BP158" s="1646"/>
      <c r="BQ158" s="1646"/>
      <c r="BR158" s="1646"/>
      <c r="BS158" s="1646"/>
      <c r="BT158" s="1646"/>
      <c r="BU158" s="1646"/>
      <c r="BV158" s="1646"/>
      <c r="BW158" s="1646"/>
      <c r="BX158" s="1646"/>
      <c r="BY158" s="1646"/>
      <c r="BZ158" s="1646"/>
      <c r="CA158" s="1646"/>
      <c r="CB158" s="1646"/>
      <c r="CC158" s="1646"/>
      <c r="CD158" s="1646"/>
      <c r="CE158" s="1646"/>
      <c r="CF158" s="1646"/>
      <c r="CG158" s="1646"/>
      <c r="CH158" s="1646"/>
      <c r="CI158" s="1646"/>
      <c r="CJ158" s="1646"/>
      <c r="CK158" s="1646"/>
      <c r="CL158" s="1646"/>
      <c r="CM158" s="1646"/>
      <c r="CN158" s="1646"/>
      <c r="CO158" s="1646"/>
      <c r="CP158" s="1646"/>
      <c r="CQ158" s="1646"/>
      <c r="CR158" s="1646"/>
      <c r="CS158" s="1646"/>
      <c r="CT158" s="1646"/>
      <c r="CU158" s="1646"/>
      <c r="CV158" s="1646"/>
      <c r="CW158" s="1646"/>
    </row>
    <row r="159" spans="1:101" s="165" customFormat="1">
      <c r="A159" s="1195" t="s">
        <v>1545</v>
      </c>
      <c r="B159" s="1180"/>
      <c r="C159" s="1180"/>
      <c r="D159" s="1180"/>
      <c r="E159" s="1180"/>
      <c r="F159" s="1180"/>
      <c r="G159" s="1180"/>
      <c r="H159" s="1180"/>
      <c r="I159" s="1180"/>
      <c r="J159" s="1180"/>
      <c r="K159" s="1180"/>
      <c r="L159" s="1180"/>
      <c r="M159" s="1180"/>
      <c r="N159" s="1180"/>
      <c r="O159" s="1180"/>
      <c r="P159" s="1180"/>
      <c r="Q159" s="1180"/>
      <c r="R159" s="1180"/>
      <c r="S159" s="1180"/>
      <c r="T159" s="1180"/>
      <c r="U159" s="1180"/>
      <c r="V159" s="1180"/>
      <c r="W159" s="1180"/>
      <c r="X159" s="1180"/>
      <c r="Y159" s="1180"/>
      <c r="Z159" s="1180"/>
      <c r="AA159" s="1180"/>
      <c r="AB159" s="1180"/>
      <c r="AC159" s="1180"/>
      <c r="AD159" s="1181">
        <f t="shared" ref="AD159:BE159" si="810">AD141+AD156</f>
        <v>0</v>
      </c>
      <c r="AE159" s="1181">
        <f t="shared" si="810"/>
        <v>0</v>
      </c>
      <c r="AF159" s="1181">
        <f t="shared" si="810"/>
        <v>0</v>
      </c>
      <c r="AG159" s="1181">
        <f t="shared" si="810"/>
        <v>0</v>
      </c>
      <c r="AH159" s="1181">
        <f t="shared" si="810"/>
        <v>0</v>
      </c>
      <c r="AI159" s="1181">
        <f t="shared" si="810"/>
        <v>0</v>
      </c>
      <c r="AJ159" s="1181">
        <f t="shared" si="810"/>
        <v>0</v>
      </c>
      <c r="AK159" s="1181">
        <f t="shared" si="810"/>
        <v>0</v>
      </c>
      <c r="AL159" s="1181">
        <f t="shared" si="810"/>
        <v>0</v>
      </c>
      <c r="AM159" s="1181">
        <f t="shared" si="810"/>
        <v>0</v>
      </c>
      <c r="AN159" s="1181">
        <f t="shared" si="810"/>
        <v>0</v>
      </c>
      <c r="AO159" s="1181">
        <f t="shared" si="810"/>
        <v>0</v>
      </c>
      <c r="AP159" s="1181">
        <f t="shared" si="810"/>
        <v>1438.8029999999999</v>
      </c>
      <c r="AQ159" s="1181">
        <f t="shared" si="810"/>
        <v>1473.904</v>
      </c>
      <c r="AR159" s="1181">
        <f t="shared" si="810"/>
        <v>1895.624</v>
      </c>
      <c r="AS159" s="1181">
        <f t="shared" si="810"/>
        <v>976.55600000000004</v>
      </c>
      <c r="AT159" s="1181">
        <f t="shared" si="810"/>
        <v>1219.931</v>
      </c>
      <c r="AU159" s="1181">
        <f t="shared" si="810"/>
        <v>1236.643</v>
      </c>
      <c r="AV159" s="1181">
        <f t="shared" si="810"/>
        <v>1247.7419999999997</v>
      </c>
      <c r="AW159" s="1181">
        <f t="shared" si="810"/>
        <v>1318.1669999999999</v>
      </c>
      <c r="AX159" s="1181">
        <f t="shared" si="810"/>
        <v>1380.05</v>
      </c>
      <c r="AY159" s="1181">
        <f t="shared" si="810"/>
        <v>1356.0810000000004</v>
      </c>
      <c r="AZ159" s="1181">
        <f t="shared" si="810"/>
        <v>1350.8159999999998</v>
      </c>
      <c r="BA159" s="1181">
        <f t="shared" si="810"/>
        <v>2640.9630000000002</v>
      </c>
      <c r="BB159" s="1181">
        <f t="shared" si="810"/>
        <v>1682.415</v>
      </c>
      <c r="BC159" s="1181">
        <f t="shared" si="810"/>
        <v>1618.8679999999999</v>
      </c>
      <c r="BD159" s="1181">
        <f t="shared" si="810"/>
        <v>860.98800000000028</v>
      </c>
      <c r="BE159" s="1181">
        <f t="shared" si="810"/>
        <v>1116.7169999999994</v>
      </c>
      <c r="BF159" s="1181">
        <f t="shared" ref="BF159:BU159" si="811">BF141+BF156</f>
        <v>1301.5709999999999</v>
      </c>
      <c r="BG159" s="1181">
        <f t="shared" si="811"/>
        <v>1265.3100000000002</v>
      </c>
      <c r="BH159" s="1181">
        <f t="shared" si="811"/>
        <v>1225.0639999999999</v>
      </c>
      <c r="BI159" s="1181">
        <f t="shared" si="811"/>
        <v>2216.7570000000001</v>
      </c>
      <c r="BJ159" s="1181">
        <f t="shared" si="811"/>
        <v>1146.105</v>
      </c>
      <c r="BK159" s="1181">
        <f t="shared" ref="BK159" si="812">BK141+BK156</f>
        <v>1320.6370000000002</v>
      </c>
      <c r="BL159" s="1181">
        <f t="shared" si="811"/>
        <v>1159.4386204786442</v>
      </c>
      <c r="BM159" s="1181">
        <f t="shared" si="811"/>
        <v>1138.3873130499724</v>
      </c>
      <c r="BN159" s="1181">
        <f t="shared" si="811"/>
        <v>1130.5208730760769</v>
      </c>
      <c r="BO159" s="1181">
        <f t="shared" si="811"/>
        <v>1265.1310978806177</v>
      </c>
      <c r="BP159" s="1181">
        <f t="shared" si="811"/>
        <v>1271.2875622353331</v>
      </c>
      <c r="BQ159" s="1181">
        <f t="shared" si="811"/>
        <v>1216.0244476207172</v>
      </c>
      <c r="BR159" s="1181">
        <f t="shared" si="811"/>
        <v>1206.7767022409698</v>
      </c>
      <c r="BS159" s="1181">
        <f t="shared" si="811"/>
        <v>1322.4410255938001</v>
      </c>
      <c r="BT159" s="1181">
        <f t="shared" si="811"/>
        <v>1325.6790267014003</v>
      </c>
      <c r="BU159" s="1181">
        <f t="shared" si="811"/>
        <v>1264.5681001425492</v>
      </c>
      <c r="BV159" s="1181"/>
      <c r="BW159" s="1181"/>
      <c r="BX159" s="1181"/>
      <c r="BY159" s="1181"/>
      <c r="BZ159" s="1181"/>
      <c r="CA159" s="1181"/>
      <c r="CB159" s="1181"/>
      <c r="CC159" s="1181"/>
      <c r="CD159" s="1181"/>
      <c r="CE159" s="1181"/>
      <c r="CF159" s="1181"/>
      <c r="CG159" s="1181"/>
      <c r="CH159" s="1181"/>
      <c r="CI159" s="1181"/>
      <c r="CJ159" s="1181"/>
      <c r="CK159" s="1181"/>
      <c r="CL159" s="1181"/>
      <c r="CM159" s="1181"/>
      <c r="CN159" s="1181"/>
      <c r="CO159" s="1181"/>
      <c r="CP159" s="1181"/>
      <c r="CQ159" s="1181"/>
      <c r="CR159" s="1181"/>
      <c r="CS159" s="1181"/>
      <c r="CT159" s="1181"/>
      <c r="CU159" s="1181"/>
      <c r="CV159" s="1181"/>
      <c r="CW159" s="1181"/>
    </row>
    <row r="160" spans="1:101" s="165" customFormat="1">
      <c r="A160" s="1195" t="s">
        <v>1448</v>
      </c>
      <c r="B160" s="1180"/>
      <c r="C160" s="1180"/>
      <c r="D160" s="1180"/>
      <c r="E160" s="1180"/>
      <c r="F160" s="1180"/>
      <c r="G160" s="1180"/>
      <c r="H160" s="1180"/>
      <c r="I160" s="1180"/>
      <c r="J160" s="1180"/>
      <c r="K160" s="1180"/>
      <c r="L160" s="1180"/>
      <c r="M160" s="1180"/>
      <c r="N160" s="1180"/>
      <c r="O160" s="1180"/>
      <c r="P160" s="1180"/>
      <c r="Q160" s="1180"/>
      <c r="R160" s="1180"/>
      <c r="S160" s="1180"/>
      <c r="T160" s="1180"/>
      <c r="U160" s="1180"/>
      <c r="V160" s="1180"/>
      <c r="W160" s="1180"/>
      <c r="X160" s="1180"/>
      <c r="Y160" s="1180"/>
      <c r="Z160" s="1180"/>
      <c r="AA160" s="1180"/>
      <c r="AB160" s="1180"/>
      <c r="AC160" s="1180"/>
      <c r="AD160" s="2043">
        <f>AD159/Q_Financials!AD5</f>
        <v>0</v>
      </c>
      <c r="AE160" s="2043">
        <f>AE159/Q_Financials!AE5</f>
        <v>0</v>
      </c>
      <c r="AF160" s="2043">
        <f>AF159/Q_Financials!AF5</f>
        <v>0</v>
      </c>
      <c r="AG160" s="2043">
        <f>AG159/Q_Financials!AG5</f>
        <v>0</v>
      </c>
      <c r="AH160" s="2043">
        <f>AH159/Q_Financials!AH5</f>
        <v>0</v>
      </c>
      <c r="AI160" s="2043">
        <f>AI159/Q_Financials!AI5</f>
        <v>0</v>
      </c>
      <c r="AJ160" s="2043">
        <f>AJ159/Q_Financials!AJ5</f>
        <v>0</v>
      </c>
      <c r="AK160" s="2043">
        <f>AK159/Q_Financials!AK5</f>
        <v>0</v>
      </c>
      <c r="AL160" s="2043">
        <f>AL159/Q_Financials!AL5</f>
        <v>0</v>
      </c>
      <c r="AM160" s="2043">
        <f>AM159/Q_Financials!AM5</f>
        <v>0</v>
      </c>
      <c r="AN160" s="2043">
        <f>AN159/Q_Financials!AN5</f>
        <v>0</v>
      </c>
      <c r="AO160" s="2043">
        <f>AO159/Q_Financials!AO5</f>
        <v>0</v>
      </c>
      <c r="AP160" s="2043">
        <f>AP159/Q_Financials!AP5</f>
        <v>0.10509431735145341</v>
      </c>
      <c r="AQ160" s="2043">
        <f>AQ159/Q_Financials!AQ5</f>
        <v>0.10108708616150421</v>
      </c>
      <c r="AR160" s="2043">
        <f>AR159/Q_Financials!AR5</f>
        <v>0.13081842534455512</v>
      </c>
      <c r="AS160" s="2043">
        <f>AS159/Q_Financials!AS5</f>
        <v>6.3441576711799536E-2</v>
      </c>
      <c r="AT160" s="2043">
        <f>AT159/Q_Financials!AT5</f>
        <v>0.1007783502642277</v>
      </c>
      <c r="AU160" s="2043">
        <f>AU159/Q_Financials!AU5</f>
        <v>0.23791767134296066</v>
      </c>
      <c r="AV160" s="2043">
        <f>AV159/Q_Financials!AV5</f>
        <v>0.12609163057456918</v>
      </c>
      <c r="AW160" s="2043">
        <f>AW159/Q_Financials!AW5</f>
        <v>0.1166825734967249</v>
      </c>
      <c r="AX160" s="2043">
        <f>AX159/Q_Financials!AX5</f>
        <v>0.13514381620950214</v>
      </c>
      <c r="AY160" s="2043">
        <f>AY159/Q_Financials!AY5</f>
        <v>0.1086832575588057</v>
      </c>
      <c r="AZ160" s="2043">
        <f>AZ159/Q_Financials!AZ5</f>
        <v>9.6775282045954814E-2</v>
      </c>
      <c r="BA160" s="2043">
        <f>BA159/Q_Financials!BA5</f>
        <v>0.15783799439066629</v>
      </c>
      <c r="BB160" s="2043">
        <f>BB159/Q_Financials!BB5</f>
        <v>0.11048042335741785</v>
      </c>
      <c r="BC160" s="2043">
        <f>BC159/Q_Financials!BC5</f>
        <v>9.5569736529530908E-2</v>
      </c>
      <c r="BD160" s="2043">
        <f>BD159/Q_Financials!BD5</f>
        <v>4.9148267490862083E-2</v>
      </c>
      <c r="BE160" s="2043">
        <f>BE159/Q_Financials!BE5</f>
        <v>5.8326910698247122E-2</v>
      </c>
      <c r="BF160" s="2043">
        <f>BF159/Q_Financials!BF5</f>
        <v>7.3678082665186273E-2</v>
      </c>
      <c r="BG160" s="2043">
        <f>BG159/Q_Financials!BG5</f>
        <v>6.6775437345840627E-2</v>
      </c>
      <c r="BH160" s="2043">
        <f>BH159/Q_Financials!BH5</f>
        <v>6.2920679811899083E-2</v>
      </c>
      <c r="BI160" s="2043">
        <f>BI159/Q_Financials!BI5</f>
        <v>0.1100308125010889</v>
      </c>
      <c r="BJ160" s="2043">
        <f>BJ159/Q_Financials!BJ5</f>
        <v>6.2963018713355967E-2</v>
      </c>
      <c r="BK160" s="2043">
        <f>BK159/Q_Financials!BK5</f>
        <v>6.8590120899815268E-2</v>
      </c>
      <c r="BL160" s="2043">
        <f>BL159/Q_Financials!BL5</f>
        <v>5.7660647616990648E-2</v>
      </c>
      <c r="BM160" s="2043">
        <f>BM159/Q_Financials!BM5</f>
        <v>5.4249752984284486E-2</v>
      </c>
      <c r="BN160" s="2043">
        <f>BN159/Q_Financials!BN5</f>
        <v>5.6777022740324694E-2</v>
      </c>
      <c r="BO160" s="2043">
        <f>BO159/Q_Financials!BO5</f>
        <v>5.9080408435650766E-2</v>
      </c>
      <c r="BP160" s="2043">
        <f>BP159/Q_Financials!BP5</f>
        <v>5.7890883819936963E-2</v>
      </c>
      <c r="BQ160" s="2043">
        <f>BQ159/Q_Financials!BQ5</f>
        <v>5.353254191330542E-2</v>
      </c>
      <c r="BR160" s="2043">
        <f>BR159/Q_Financials!BR5</f>
        <v>5.6242289017696553E-2</v>
      </c>
      <c r="BS160" s="2043">
        <f>BS159/Q_Financials!BS5</f>
        <v>5.795745242471545E-2</v>
      </c>
      <c r="BT160" s="2043">
        <f>BT159/Q_Financials!BT5</f>
        <v>5.6664353540489272E-2</v>
      </c>
      <c r="BU160" s="2043">
        <f>BU159/Q_Financials!BU5</f>
        <v>5.2270995351279506E-2</v>
      </c>
      <c r="BV160" s="1181"/>
      <c r="BW160" s="1181"/>
      <c r="BX160" s="1181"/>
      <c r="BY160" s="1181"/>
      <c r="BZ160" s="1181"/>
      <c r="CA160" s="1181"/>
      <c r="CB160" s="1181"/>
      <c r="CC160" s="1181"/>
      <c r="CD160" s="1181"/>
      <c r="CE160" s="1181"/>
      <c r="CF160" s="1181"/>
      <c r="CG160" s="1181"/>
      <c r="CH160" s="1181"/>
      <c r="CI160" s="1181"/>
      <c r="CJ160" s="1181"/>
      <c r="CK160" s="1181"/>
      <c r="CL160" s="1181"/>
      <c r="CM160" s="1181"/>
      <c r="CN160" s="1181"/>
      <c r="CO160" s="1181"/>
      <c r="CP160" s="1181"/>
      <c r="CQ160" s="1181"/>
      <c r="CR160" s="1181"/>
      <c r="CS160" s="1181"/>
      <c r="CT160" s="1181"/>
      <c r="CU160" s="1181"/>
      <c r="CV160" s="1181"/>
      <c r="CW160" s="1181"/>
    </row>
    <row r="161" spans="1:101" s="165" customFormat="1">
      <c r="A161" s="1195"/>
      <c r="B161" s="1180"/>
      <c r="C161" s="1180"/>
      <c r="D161" s="1180"/>
      <c r="E161" s="1180"/>
      <c r="F161" s="1180"/>
      <c r="G161" s="1180"/>
      <c r="H161" s="1180"/>
      <c r="I161" s="1180"/>
      <c r="J161" s="1180"/>
      <c r="K161" s="1180"/>
      <c r="L161" s="1180"/>
      <c r="M161" s="1180"/>
      <c r="N161" s="1180"/>
      <c r="O161" s="1180"/>
      <c r="P161" s="1180"/>
      <c r="Q161" s="1180"/>
      <c r="R161" s="1180"/>
      <c r="S161" s="1180"/>
      <c r="T161" s="1180"/>
      <c r="U161" s="1180"/>
      <c r="V161" s="1180"/>
      <c r="W161" s="1180"/>
      <c r="X161" s="1180"/>
      <c r="Y161" s="1180"/>
      <c r="Z161" s="1180"/>
      <c r="AA161" s="1180"/>
      <c r="AB161" s="1180"/>
      <c r="AC161" s="1180"/>
      <c r="AD161" s="1180"/>
      <c r="AE161" s="1180"/>
      <c r="AF161" s="1180"/>
      <c r="AG161" s="1180"/>
      <c r="AH161" s="1180"/>
      <c r="AI161" s="1180"/>
      <c r="AJ161" s="1180"/>
      <c r="AK161" s="1180"/>
      <c r="AL161" s="1180"/>
      <c r="AM161" s="1180"/>
      <c r="AN161" s="1180"/>
      <c r="AO161" s="1180"/>
      <c r="AP161" s="1180"/>
      <c r="AQ161" s="1180"/>
      <c r="AR161" s="1180"/>
      <c r="AS161" s="1180"/>
      <c r="AT161" s="1733"/>
      <c r="AU161" s="1733"/>
      <c r="AV161" s="1733"/>
      <c r="AW161" s="1733"/>
      <c r="AX161" s="1733"/>
      <c r="AY161" s="1733"/>
      <c r="AZ161" s="1733"/>
      <c r="BA161" s="1733"/>
      <c r="BB161" s="1733"/>
      <c r="BC161" s="1733"/>
      <c r="BD161" s="1733"/>
      <c r="BE161" s="1733"/>
      <c r="BF161" s="2043"/>
      <c r="BG161" s="2043"/>
      <c r="BH161" s="2043"/>
      <c r="BI161" s="2043"/>
      <c r="BJ161" s="2043"/>
      <c r="BK161" s="2043"/>
      <c r="BL161" s="2043"/>
      <c r="BM161" s="2043"/>
      <c r="BN161" s="2043"/>
      <c r="BO161" s="2043"/>
      <c r="BP161" s="2043"/>
      <c r="BQ161" s="2043"/>
      <c r="BR161" s="2043"/>
      <c r="BS161" s="2043"/>
      <c r="BT161" s="2043"/>
      <c r="BU161" s="2043"/>
      <c r="BV161" s="1181"/>
      <c r="BW161" s="1181"/>
      <c r="BX161" s="1181"/>
      <c r="BY161" s="1181"/>
      <c r="BZ161" s="1181"/>
      <c r="CA161" s="1181"/>
      <c r="CB161" s="1181"/>
      <c r="CC161" s="1181"/>
      <c r="CD161" s="1181"/>
      <c r="CE161" s="1181"/>
      <c r="CF161" s="1181"/>
      <c r="CG161" s="1181"/>
      <c r="CH161" s="1181"/>
      <c r="CI161" s="1181"/>
      <c r="CJ161" s="1181"/>
      <c r="CK161" s="1181"/>
      <c r="CL161" s="1181"/>
      <c r="CM161" s="1181"/>
      <c r="CN161" s="1181"/>
      <c r="CO161" s="1181"/>
      <c r="CP161" s="1181"/>
      <c r="CQ161" s="1181"/>
      <c r="CR161" s="1181"/>
      <c r="CS161" s="1181"/>
      <c r="CT161" s="1181"/>
      <c r="CU161" s="1181"/>
      <c r="CV161" s="1181"/>
      <c r="CW161" s="1181"/>
    </row>
    <row r="162" spans="1:101" s="165" customFormat="1">
      <c r="A162" s="1179" t="s">
        <v>1201</v>
      </c>
      <c r="B162" s="1180"/>
      <c r="C162" s="1180"/>
      <c r="D162" s="1180"/>
      <c r="E162" s="1180"/>
      <c r="F162" s="1180"/>
      <c r="G162" s="1180"/>
      <c r="H162" s="1180"/>
      <c r="I162" s="1180"/>
      <c r="J162" s="1180"/>
      <c r="K162" s="1180"/>
      <c r="L162" s="1180"/>
      <c r="M162" s="1180"/>
      <c r="N162" s="1180"/>
      <c r="O162" s="1180"/>
      <c r="P162" s="1180"/>
      <c r="Q162" s="1180"/>
      <c r="R162" s="1180"/>
      <c r="S162" s="1180"/>
      <c r="T162" s="1180"/>
      <c r="U162" s="1180"/>
      <c r="V162" s="1180"/>
      <c r="W162" s="1180"/>
      <c r="X162" s="1180"/>
      <c r="Y162" s="1180"/>
      <c r="Z162" s="1180"/>
      <c r="AA162" s="1180"/>
      <c r="AB162" s="1180"/>
      <c r="AC162" s="1180"/>
      <c r="AD162" s="1030">
        <f>(AD163*Q_IS!AD38+Q_BS!AD164*Q_IS!AD105+Q_BS!AD165*Q_IS!AD189)/(Q_IS!AD38+Q_IS!AD105+Q_IS!AD189)</f>
        <v>6.0245639270201656E-2</v>
      </c>
      <c r="AE162" s="1030">
        <f>(AE163*Q_IS!AE38+Q_BS!AE164*Q_IS!AE105+Q_BS!AE165*Q_IS!AE189)/(Q_IS!AE38+Q_IS!AE105+Q_IS!AE189)</f>
        <v>6.1940726224064463E-2</v>
      </c>
      <c r="AF162" s="1030">
        <f>(AF163*Q_IS!AF38+Q_BS!AF164*Q_IS!AF105+Q_BS!AF165*Q_IS!AF189)/(Q_IS!AF38+Q_IS!AF105+Q_IS!AF189)</f>
        <v>6.4527446254490334E-2</v>
      </c>
      <c r="AG162" s="1030">
        <f>(AG163*Q_IS!AG38+Q_BS!AG164*Q_IS!AG105+Q_BS!AG165*Q_IS!AG189)/(Q_IS!AG38+Q_IS!AG105+Q_IS!AG189)</f>
        <v>6.7041145247017889E-2</v>
      </c>
      <c r="AH162" s="1030">
        <f>(AH163*Q_IS!AH38+Q_BS!AH164*Q_IS!AH105+Q_BS!AH165*Q_IS!AH189)/(Q_IS!AH38+Q_IS!AH105+Q_IS!AH189)</f>
        <v>7.2249782837272847E-2</v>
      </c>
      <c r="AI162" s="1030">
        <f>(AI163*Q_IS!AI38+Q_BS!AI164*Q_IS!AI105+Q_BS!AI165*Q_IS!AI189)/(Q_IS!AI38+Q_IS!AI105+Q_IS!AI189)</f>
        <v>7.5941873878568045E-2</v>
      </c>
      <c r="AJ162" s="1030">
        <f>(AJ163*Q_IS!AJ38+Q_BS!AJ164*Q_IS!AJ105+Q_BS!AJ165*Q_IS!AJ189)/(Q_IS!AJ38+Q_IS!AJ105+Q_IS!AJ189)</f>
        <v>7.6632033129404004E-2</v>
      </c>
      <c r="AK162" s="1030">
        <f>(AK163*Q_IS!AK38+Q_BS!AK164*Q_IS!AK105+Q_BS!AK165*Q_IS!AK189)/(Q_IS!AK38+Q_IS!AK105+Q_IS!AK189)</f>
        <v>7.8310460098970275E-2</v>
      </c>
      <c r="AL162" s="1030">
        <f>(AL163*Q_IS!AL38+Q_BS!AL164*Q_IS!AL105+Q_BS!AL165*Q_IS!AL189)/(Q_IS!AL38+Q_IS!AL105+Q_IS!AL189)</f>
        <v>7.8634480990664071E-2</v>
      </c>
      <c r="AM162" s="1030">
        <f>(AM163*Q_IS!AM38+Q_BS!AM164*Q_IS!AM105+Q_BS!AM165*Q_IS!AM189)/(Q_IS!AM38+Q_IS!AM105+Q_IS!AM189)</f>
        <v>9.4894135416594097E-2</v>
      </c>
      <c r="AN162" s="1030">
        <f>(AN163*Q_IS!AN38+Q_BS!AN164*Q_IS!AN105+Q_BS!AN165*Q_IS!AN189)/(Q_IS!AN38+Q_IS!AN105+Q_IS!AN189)</f>
        <v>0.11607229692527567</v>
      </c>
      <c r="AO162" s="1030">
        <f>(AO163*Q_IS!AO38+Q_BS!AO164*Q_IS!AO105+Q_BS!AO165*Q_IS!AO189)/(Q_IS!AO38+Q_IS!AO105+Q_IS!AO189)</f>
        <v>0.10862889773913947</v>
      </c>
      <c r="AP162" s="1030">
        <f>(AP163*Q_IS!AP38+Q_BS!AP164*Q_IS!AP105+Q_BS!AP165*Q_IS!AP189)/(Q_IS!AP38+Q_IS!AP105+Q_IS!AP189)</f>
        <v>0.10078870604360421</v>
      </c>
      <c r="AQ162" s="1030">
        <f>(AQ163*Q_IS!AQ38+Q_BS!AQ164*Q_IS!AQ105+Q_BS!AQ165*Q_IS!AQ189)/(Q_IS!AQ38+Q_IS!AQ105+Q_IS!AQ189)</f>
        <v>9.7495913892400921E-2</v>
      </c>
      <c r="AR162" s="1030">
        <f>(AR163*Q_IS!AR38+Q_BS!AR164*Q_IS!AR105+Q_BS!AR165*Q_IS!AR189)/(Q_IS!AR38+Q_IS!AR105+Q_IS!AR189)</f>
        <v>0.10903545229927043</v>
      </c>
      <c r="AS162" s="1030">
        <f>(AS163*Q_IS!AS38+Q_BS!AS164*Q_IS!AS105+Q_BS!AS165*Q_IS!AS189)/(Q_IS!AS38+Q_IS!AS105+Q_IS!AS189)</f>
        <v>8.4738233304620728E-2</v>
      </c>
      <c r="AT162" s="1030">
        <f>(AT163*Q_IS!AT38+Q_BS!AT164*Q_IS!AT105+Q_BS!AT165*Q_IS!AT189)/(Q_IS!AT38+Q_IS!AT105+Q_IS!AT189)</f>
        <v>6.8745001379033777E-2</v>
      </c>
      <c r="AU162" s="1030">
        <f>(AU163*Q_IS!AU38+Q_BS!AU164*Q_IS!AU105+Q_BS!AU165*Q_IS!AU189)/(Q_IS!AU38+Q_IS!AU105+Q_IS!AU189)</f>
        <v>6.0717393107470138E-2</v>
      </c>
      <c r="AV162" s="1030">
        <f>(AV163*Q_IS!AV38+Q_BS!AV164*Q_IS!AV105+Q_BS!AV165*Q_IS!AV189)/(Q_IS!AV38+Q_IS!AV105+Q_IS!AV189)</f>
        <v>5.2599804222429554E-2</v>
      </c>
      <c r="AW162" s="1030">
        <f>(AW163*Q_IS!AW38+Q_BS!AW164*Q_IS!AW105+Q_BS!AW165*Q_IS!AW189)/(Q_IS!AW38+Q_IS!AW105+Q_IS!AW189)</f>
        <v>5.6141353335955477E-2</v>
      </c>
      <c r="AX162" s="1030">
        <f>(AX163*Q_IS!AX38+Q_BS!AX164*Q_IS!AX105+Q_BS!AX165*Q_IS!AX189)/(Q_IS!AX38+Q_IS!AX105+Q_IS!AX189)</f>
        <v>5.6488123406394718E-2</v>
      </c>
      <c r="AY162" s="1030">
        <f>(AY163*Q_IS!AY38+Q_BS!AY164*Q_IS!AY105+Q_BS!AY165*Q_IS!AY189)/(Q_IS!AY38+Q_IS!AY105+Q_IS!AY189)</f>
        <v>5.3785146866116983E-2</v>
      </c>
      <c r="AZ162" s="1030">
        <f>(AZ163*Q_IS!AZ38+Q_BS!AZ164*Q_IS!AZ105+Q_BS!AZ165*Q_IS!AZ189)/(Q_IS!AZ38+Q_IS!AZ105+Q_IS!AZ189)</f>
        <v>5.9103125339717053E-2</v>
      </c>
      <c r="BA162" s="1030">
        <f>(BA163*Q_IS!BA38+Q_BS!BA164*Q_IS!BA105+Q_BS!BA165*Q_IS!BA189)/(Q_IS!BA38+Q_IS!BA105+Q_IS!BA189)</f>
        <v>6.6287003685145562E-2</v>
      </c>
      <c r="BB162" s="1030">
        <f>(BB163*Q_IS!BB38+Q_BS!BB164*Q_IS!BB105+Q_BS!BB165*Q_IS!BB189)/(Q_IS!BB38+Q_IS!BB105+Q_IS!BB189)</f>
        <v>7.7213414003617448E-2</v>
      </c>
      <c r="BC162" s="1030">
        <f>(BC163*Q_IS!BC38+Q_BS!BC164*Q_IS!BC105+Q_BS!BC165*Q_IS!BC189)/(Q_IS!BC38+Q_IS!BC105+Q_IS!BC189)</f>
        <v>9.1386542374711166E-2</v>
      </c>
      <c r="BD162" s="1030">
        <f>(BD163*Q_IS!BD38+Q_BS!BD164*Q_IS!BD105+Q_BS!BD165*Q_IS!BD189)/(Q_IS!BD38+Q_IS!BD105+Q_IS!BD189)</f>
        <v>0.1230182669815594</v>
      </c>
      <c r="BE162" s="1030">
        <f>(BE163*Q_IS!BE38+Q_BS!BE164*Q_IS!BE105+Q_BS!BE165*Q_IS!BE189)/(Q_IS!BE38+Q_IS!BE105+Q_IS!BE189)</f>
        <v>0.12702184438501751</v>
      </c>
      <c r="BF162" s="1030">
        <f>(BF163*Q_IS!BF38+Q_BS!BF164*Q_IS!BF105+Q_BS!BF165*Q_IS!BF189)/(Q_IS!BF38+Q_IS!BF105+Q_IS!BF189)</f>
        <v>0.12737566796257069</v>
      </c>
      <c r="BG162" s="1030">
        <f>(BG163*Q_IS!BG38+Q_BS!BG164*Q_IS!BG105+Q_BS!BG165*Q_IS!BG189)/(Q_IS!BG38+Q_IS!BG105+Q_IS!BG189)</f>
        <v>0.14090956400037863</v>
      </c>
      <c r="BH162" s="1030">
        <f>(BH163*Q_IS!BH38+Q_BS!BH164*Q_IS!BH105+Q_BS!BH165*Q_IS!BH189)/(Q_IS!BH38+Q_IS!BH105+Q_IS!BH189)</f>
        <v>0.15922646496448195</v>
      </c>
      <c r="BI162" s="1030">
        <f>(BI163*Q_IS!BI38+Q_BS!BI164*Q_IS!BI105+Q_BS!BI165*Q_IS!BI189)/(Q_IS!BI38+Q_IS!BI105+Q_IS!BI189)</f>
        <v>0.13473371580837207</v>
      </c>
      <c r="BJ162" s="1030">
        <f>(BJ163*Q_IS!BJ38+Q_BS!BJ164*Q_IS!BJ105+Q_BS!BJ165*Q_IS!BJ189)/(Q_IS!BJ38+Q_IS!BJ105+Q_IS!BJ189)</f>
        <v>0.11709541275894354</v>
      </c>
      <c r="BK162" s="1348">
        <f>(BK163*Q_IS!BK38+Q_BS!BK164*Q_IS!BK105+Q_BS!BK165*Q_IS!BK189)/(Q_IS!BK38+Q_IS!BK105+Q_IS!BK189)</f>
        <v>9.2692374009687217E-2</v>
      </c>
      <c r="BL162" s="1183">
        <f>(BL163*Q_IS!BL38+Q_BS!BL164*Q_IS!BL105+Q_BS!BL165*Q_IS!BL189)/(Q_IS!BL38+Q_IS!BL105+Q_IS!BL189)</f>
        <v>8.8175562429957569E-2</v>
      </c>
      <c r="BM162" s="1183">
        <f>(BM163*Q_IS!BM38+Q_BS!BM164*Q_IS!BM105+Q_BS!BM165*Q_IS!BM189)/(Q_IS!BM38+Q_IS!BM105+Q_IS!BM189)</f>
        <v>8.1185555152606254E-2</v>
      </c>
      <c r="BN162" s="1183">
        <f>(BN163*Q_IS!BN38+Q_BS!BN164*Q_IS!BN105+Q_BS!BN165*Q_IS!BN189)/(Q_IS!BN38+Q_IS!BN105+Q_IS!BN189)</f>
        <v>8.0043182508817368E-2</v>
      </c>
      <c r="BO162" s="1183">
        <f>(BO163*Q_IS!BO38+Q_BS!BO164*Q_IS!BO105+Q_BS!BO165*Q_IS!BO189)/(Q_IS!BO38+Q_IS!BO105+Q_IS!BO189)</f>
        <v>7.6352970900195036E-2</v>
      </c>
      <c r="BP162" s="1183">
        <f>(BP163*Q_IS!BP38+Q_BS!BP164*Q_IS!BP105+Q_BS!BP165*Q_IS!BP189)/(Q_IS!BP38+Q_IS!BP105+Q_IS!BP189)</f>
        <v>7.0062295978606484E-2</v>
      </c>
      <c r="BQ162" s="1183">
        <f>(BQ163*Q_IS!BQ38+Q_BS!BQ164*Q_IS!BQ105+Q_BS!BQ165*Q_IS!BQ189)/(Q_IS!BQ38+Q_IS!BQ105+Q_IS!BQ189)</f>
        <v>6.4947033658610612E-2</v>
      </c>
      <c r="BR162" s="1183">
        <f>(BR163*Q_IS!BR38+Q_BS!BR164*Q_IS!BR105+Q_BS!BR165*Q_IS!BR189)/(Q_IS!BR38+Q_IS!BR105+Q_IS!BR189)</f>
        <v>6.5672301841399536E-2</v>
      </c>
      <c r="BS162" s="1183">
        <f>(BS163*Q_IS!BS38+Q_BS!BS164*Q_IS!BS105+Q_BS!BS165*Q_IS!BS189)/(Q_IS!BS38+Q_IS!BS105+Q_IS!BS189)</f>
        <v>6.6978210018585865E-2</v>
      </c>
      <c r="BT162" s="1183">
        <f>(BT163*Q_IS!BT38+Q_BS!BT164*Q_IS!BT105+Q_BS!BT165*Q_IS!BT189)/(Q_IS!BT38+Q_IS!BT105+Q_IS!BT189)</f>
        <v>6.6274977198376703E-2</v>
      </c>
      <c r="BU162" s="1183">
        <f>(BU163*Q_IS!BU38+Q_BS!BU164*Q_IS!BU105+Q_BS!BU165*Q_IS!BU189)/(Q_IS!BU38+Q_IS!BU105+Q_IS!BU189)</f>
        <v>6.4096959040930462E-2</v>
      </c>
      <c r="BV162" s="1183">
        <f>(BV163*Q_IS!BV38+Q_BS!BV164*Q_IS!BV105+Q_BS!BV165*Q_IS!BV189)/(Q_IS!BV38+Q_IS!BV105+Q_IS!BV189)</f>
        <v>6.5253130454562769E-2</v>
      </c>
      <c r="BW162" s="1183">
        <f>(BW163*Q_IS!BW38+Q_BS!BW164*Q_IS!BW105+Q_BS!BW165*Q_IS!BW189)/(Q_IS!BW38+Q_IS!BW105+Q_IS!BW189)</f>
        <v>6.6534956811995116E-2</v>
      </c>
      <c r="BX162" s="1183">
        <f>(BX163*Q_IS!BX38+Q_BS!BX164*Q_IS!BX105+Q_BS!BX165*Q_IS!BX189)/(Q_IS!BX38+Q_IS!BX105+Q_IS!BX189)</f>
        <v>6.5827701806030939E-2</v>
      </c>
      <c r="BY162" s="1183">
        <f>(BY163*Q_IS!BY38+Q_BS!BY164*Q_IS!BY105+Q_BS!BY165*Q_IS!BY189)/(Q_IS!BY38+Q_IS!BY105+Q_IS!BY189)</f>
        <v>6.3703585243874636E-2</v>
      </c>
      <c r="BZ162" s="1183">
        <f>(BZ163*Q_IS!BZ38+Q_BS!BZ164*Q_IS!BZ105+Q_BS!BZ165*Q_IS!BZ189)/(Q_IS!BZ38+Q_IS!BZ105+Q_IS!BZ189)</f>
        <v>6.4824219226847238E-2</v>
      </c>
      <c r="CA162" s="1183">
        <f>(CA163*Q_IS!CA38+Q_BS!CA164*Q_IS!CA105+Q_BS!CA165*Q_IS!CA189)/(Q_IS!CA38+Q_IS!CA105+Q_IS!CA189)</f>
        <v>6.6097863117621503E-2</v>
      </c>
      <c r="CB162" s="1183">
        <f>(CB163*Q_IS!CB38+Q_BS!CB164*Q_IS!CB105+Q_BS!CB165*Q_IS!CB189)/(Q_IS!CB38+Q_IS!CB105+Q_IS!CB189)</f>
        <v>6.5388388505096359E-2</v>
      </c>
      <c r="CC162" s="1183">
        <f>(CC163*Q_IS!CC38+Q_BS!CC164*Q_IS!CC105+Q_BS!CC165*Q_IS!CC189)/(Q_IS!CC38+Q_IS!CC105+Q_IS!CC189)</f>
        <v>6.3292393326765506E-2</v>
      </c>
      <c r="CD162" s="1183">
        <f>(CD163*Q_IS!CD38+Q_BS!CD164*Q_IS!CD105+Q_BS!CD165*Q_IS!CD189)/(Q_IS!CD38+Q_IS!CD105+Q_IS!CD189)</f>
        <v>6.4401794989398936E-2</v>
      </c>
      <c r="CE162" s="1183">
        <f>(CE163*Q_IS!CE38+Q_BS!CE164*Q_IS!CE105+Q_BS!CE165*Q_IS!CE189)/(Q_IS!CE38+Q_IS!CE105+Q_IS!CE189)</f>
        <v>6.5666124830560099E-2</v>
      </c>
      <c r="CF162" s="1183">
        <f>(CF163*Q_IS!CF38+Q_BS!CF164*Q_IS!CF105+Q_BS!CF165*Q_IS!CF189)/(Q_IS!CF38+Q_IS!CF105+Q_IS!CF189)</f>
        <v>6.4954727415347774E-2</v>
      </c>
      <c r="CG162" s="1183">
        <f>(CG163*Q_IS!CG38+Q_BS!CG164*Q_IS!CG105+Q_BS!CG165*Q_IS!CG189)/(Q_IS!CG38+Q_IS!CG105+Q_IS!CG189)</f>
        <v>6.2886617165244615E-2</v>
      </c>
      <c r="CH162" s="1183">
        <f>(CH163*Q_IS!CH38+Q_BS!CH164*Q_IS!CH105+Q_BS!CH165*Q_IS!CH189)/(Q_IS!CH38+Q_IS!CH105+Q_IS!CH189)</f>
        <v>6.3986506200009771E-2</v>
      </c>
      <c r="CI162" s="1183">
        <f>(CI163*Q_IS!CI38+Q_BS!CI164*Q_IS!CI105+Q_BS!CI165*Q_IS!CI189)/(Q_IS!CI38+Q_IS!CI105+Q_IS!CI189)</f>
        <v>6.5247645589413067E-2</v>
      </c>
      <c r="CJ162" s="1183">
        <f>(CJ163*Q_IS!CJ38+Q_BS!CJ164*Q_IS!CJ105+Q_BS!CJ165*Q_IS!CJ189)/(Q_IS!CJ38+Q_IS!CJ105+Q_IS!CJ189)</f>
        <v>6.4542302564363982E-2</v>
      </c>
      <c r="CK162" s="1183">
        <f>(CK163*Q_IS!CK38+Q_BS!CK164*Q_IS!CK105+Q_BS!CK165*Q_IS!CK189)/(Q_IS!CK38+Q_IS!CK105+Q_IS!CK189)</f>
        <v>6.2496017509031734E-2</v>
      </c>
      <c r="CL162" s="1183">
        <f>(CL163*Q_IS!CL38+Q_BS!CL164*Q_IS!CL105+Q_BS!CL165*Q_IS!CL189)/(Q_IS!CL38+Q_IS!CL105+Q_IS!CL189)</f>
        <v>6.3577446981835123E-2</v>
      </c>
      <c r="CM162" s="1183">
        <f>(CM163*Q_IS!CM38+Q_BS!CM164*Q_IS!CM105+Q_BS!CM165*Q_IS!CM189)/(Q_IS!CM38+Q_IS!CM105+Q_IS!CM189)</f>
        <v>6.4830221961013998E-2</v>
      </c>
      <c r="CN162" s="1183">
        <f>(CN163*Q_IS!CN38+Q_BS!CN164*Q_IS!CN105+Q_BS!CN165*Q_IS!CN189)/(Q_IS!CN38+Q_IS!CN105+Q_IS!CN189)</f>
        <v>6.4125691340597687E-2</v>
      </c>
      <c r="CO162" s="1183">
        <f>(CO163*Q_IS!CO38+Q_BS!CO164*Q_IS!CO105+Q_BS!CO165*Q_IS!CO189)/(Q_IS!CO38+Q_IS!CO105+Q_IS!CO189)</f>
        <v>6.2104713462467036E-2</v>
      </c>
      <c r="CP162" s="1183">
        <f>(CP163*Q_IS!CP38+Q_BS!CP164*Q_IS!CP105+Q_BS!CP165*Q_IS!CP189)/(Q_IS!CP38+Q_IS!CP105+Q_IS!CP189)</f>
        <v>6.3173212408012297E-2</v>
      </c>
      <c r="CQ162" s="1183">
        <f>(CQ163*Q_IS!CQ38+Q_BS!CQ164*Q_IS!CQ105+Q_BS!CQ165*Q_IS!CQ189)/(Q_IS!CQ38+Q_IS!CQ105+Q_IS!CQ189)</f>
        <v>6.4417003577423221E-2</v>
      </c>
      <c r="CR162" s="1183">
        <f>(CR163*Q_IS!CR38+Q_BS!CR164*Q_IS!CR105+Q_BS!CR165*Q_IS!CR189)/(Q_IS!CR38+Q_IS!CR105+Q_IS!CR189)</f>
        <v>6.3715195025700708E-2</v>
      </c>
      <c r="CS162" s="1183">
        <f>(CS163*Q_IS!CS38+Q_BS!CS164*Q_IS!CS105+Q_BS!CS165*Q_IS!CS189)/(Q_IS!CS38+Q_IS!CS105+Q_IS!CS189)</f>
        <v>6.1720254271652009E-2</v>
      </c>
      <c r="CT162" s="1183">
        <f>(CT163*Q_IS!CT38+Q_BS!CT164*Q_IS!CT105+Q_BS!CT165*Q_IS!CT189)/(Q_IS!CT38+Q_IS!CT105+Q_IS!CT189)</f>
        <v>6.2775801553842242E-2</v>
      </c>
      <c r="CU162" s="1183">
        <f>(CU163*Q_IS!CU38+Q_BS!CU164*Q_IS!CU105+Q_BS!CU165*Q_IS!CU189)/(Q_IS!CU38+Q_IS!CU105+Q_IS!CU189)</f>
        <v>6.4009858862267385E-2</v>
      </c>
      <c r="CV162" s="1183">
        <f>(CV163*Q_IS!CV38+Q_BS!CV164*Q_IS!CV105+Q_BS!CV165*Q_IS!CV189)/(Q_IS!CV38+Q_IS!CV105+Q_IS!CV189)</f>
        <v>6.3311365257596508E-2</v>
      </c>
      <c r="CW162" s="1183">
        <f>(CW163*Q_IS!CW38+Q_BS!CW164*Q_IS!CW105+Q_BS!CW165*Q_IS!CW189)/(Q_IS!CW38+Q_IS!CW105+Q_IS!CW189)</f>
        <v>6.1343335149770459E-2</v>
      </c>
    </row>
    <row r="163" spans="1:101" s="241" customFormat="1">
      <c r="A163" s="778" t="s">
        <v>1185</v>
      </c>
      <c r="B163" s="1204"/>
      <c r="C163" s="1204"/>
      <c r="D163" s="1204"/>
      <c r="E163" s="1204"/>
      <c r="F163" s="1204"/>
      <c r="G163" s="1204"/>
      <c r="H163" s="1204"/>
      <c r="I163" s="1204"/>
      <c r="J163" s="1204"/>
      <c r="K163" s="1204"/>
      <c r="L163" s="1204"/>
      <c r="M163" s="1204"/>
      <c r="N163" s="1204"/>
      <c r="O163" s="1204"/>
      <c r="P163" s="1204"/>
      <c r="Q163" s="1204"/>
      <c r="R163" s="1204"/>
      <c r="S163" s="1204"/>
      <c r="T163" s="1204"/>
      <c r="U163" s="1204"/>
      <c r="V163" s="1204"/>
      <c r="W163" s="1204"/>
      <c r="X163" s="1204"/>
      <c r="Y163" s="1204"/>
      <c r="Z163" s="1204"/>
      <c r="AA163" s="1204"/>
      <c r="AB163" s="1204"/>
      <c r="AC163" s="1204"/>
      <c r="AD163" s="1205">
        <f>Inputs!AD15</f>
        <v>3.7499999999999999E-2</v>
      </c>
      <c r="AE163" s="1205">
        <f>Inputs!AE15</f>
        <v>4.2500000000000003E-2</v>
      </c>
      <c r="AF163" s="1205">
        <f>Inputs!AF15</f>
        <v>4.7500000000000001E-2</v>
      </c>
      <c r="AG163" s="1205">
        <f>Inputs!AG15</f>
        <v>5.7500000000000002E-2</v>
      </c>
      <c r="AH163" s="1205">
        <f>Inputs!AH15</f>
        <v>6.5000000000000002E-2</v>
      </c>
      <c r="AI163" s="1205">
        <f>Inputs!AI15</f>
        <v>7.0000000000000007E-2</v>
      </c>
      <c r="AJ163" s="1205">
        <f>Inputs!AJ15</f>
        <v>7.0000000000000007E-2</v>
      </c>
      <c r="AK163" s="1205">
        <f>Inputs!AK15</f>
        <v>7.2499999999999995E-2</v>
      </c>
      <c r="AL163" s="1205">
        <f>Inputs!AL15</f>
        <v>7.4999999999999997E-2</v>
      </c>
      <c r="AM163" s="1205">
        <f>Inputs!AM15</f>
        <v>7.7499999999999999E-2</v>
      </c>
      <c r="AN163" s="1205">
        <f>Inputs!AN15</f>
        <v>7.7499999999999999E-2</v>
      </c>
      <c r="AO163" s="1205">
        <f>Inputs!AO15</f>
        <v>8.2500000000000004E-2</v>
      </c>
      <c r="AP163" s="1205">
        <f>Inputs!AP15</f>
        <v>8.2500000000000004E-2</v>
      </c>
      <c r="AQ163" s="1205">
        <f>Inputs!AQ15</f>
        <v>8.2500000000000004E-2</v>
      </c>
      <c r="AR163" s="1205">
        <f>Inputs!AR15</f>
        <v>7.7499999999999999E-2</v>
      </c>
      <c r="AS163" s="1205">
        <f>Inputs!AS15</f>
        <v>7.2499999999999995E-2</v>
      </c>
      <c r="AT163" s="1205">
        <f>Inputs!AT15</f>
        <v>6.5000000000000002E-2</v>
      </c>
      <c r="AU163" s="1205">
        <f>Inputs!AU15</f>
        <v>0.05</v>
      </c>
      <c r="AV163" s="1205">
        <f>Inputs!AV15</f>
        <v>4.2500000000000003E-2</v>
      </c>
      <c r="AW163" s="1205">
        <f>Inputs!AW15</f>
        <v>4.2500000000000003E-2</v>
      </c>
      <c r="AX163" s="1205">
        <f>Inputs!AX15</f>
        <v>0.04</v>
      </c>
      <c r="AY163" s="1205">
        <f>Inputs!AY15</f>
        <v>4.2500000000000003E-2</v>
      </c>
      <c r="AZ163" s="1205">
        <f>Inputs!AZ15</f>
        <v>4.4999999999999998E-2</v>
      </c>
      <c r="BA163" s="1205">
        <f>Inputs!BA15</f>
        <v>5.5E-2</v>
      </c>
      <c r="BB163" s="1205">
        <f>Inputs!BB15</f>
        <v>6.5000000000000002E-2</v>
      </c>
      <c r="BC163" s="1205">
        <f>Inputs!BC15</f>
        <v>7.7499999999999999E-2</v>
      </c>
      <c r="BD163" s="1205">
        <f>Inputs!BD15</f>
        <v>9.2499999999999999E-2</v>
      </c>
      <c r="BE163" s="1205">
        <f>Inputs!BE15</f>
        <v>0.105</v>
      </c>
      <c r="BF163" s="1205">
        <f>Inputs!BF15</f>
        <v>0.1125</v>
      </c>
      <c r="BG163" s="1205">
        <f>Inputs!BG15</f>
        <v>0.1125</v>
      </c>
      <c r="BH163" s="1205">
        <f>Inputs!BH15</f>
        <v>0.1125</v>
      </c>
      <c r="BI163" s="1205">
        <f>Inputs!BI15</f>
        <v>0.1125</v>
      </c>
      <c r="BJ163" s="1205">
        <f>Inputs!BJ15</f>
        <v>0.11</v>
      </c>
      <c r="BK163" s="1350">
        <f>Inputs!BK15</f>
        <v>0.1075</v>
      </c>
      <c r="BL163" s="1206">
        <f>Inputs!BL15</f>
        <v>0.10249999999999999</v>
      </c>
      <c r="BM163" s="1206">
        <f>Inputs!BM15</f>
        <v>9.7500000000000003E-2</v>
      </c>
      <c r="BN163" s="1206">
        <f>Inputs!BN15</f>
        <v>9.2499999999999999E-2</v>
      </c>
      <c r="BO163" s="1206">
        <f>Inputs!BO15</f>
        <v>8.7499999999999994E-2</v>
      </c>
      <c r="BP163" s="1206">
        <f>Inputs!BP15</f>
        <v>8.2500000000000004E-2</v>
      </c>
      <c r="BQ163" s="1206">
        <f>Inputs!BQ15</f>
        <v>7.7499999999999999E-2</v>
      </c>
      <c r="BR163" s="1206">
        <f>Inputs!BR15</f>
        <v>7.7499999999999999E-2</v>
      </c>
      <c r="BS163" s="1206">
        <f>Inputs!BS15</f>
        <v>7.7499999999999999E-2</v>
      </c>
      <c r="BT163" s="1206">
        <f>Inputs!BT15</f>
        <v>7.7499999999999999E-2</v>
      </c>
      <c r="BU163" s="1206">
        <f>Inputs!BU15</f>
        <v>7.7499999999999999E-2</v>
      </c>
      <c r="BV163" s="1206">
        <f>Inputs!BV15</f>
        <v>7.7499999999999999E-2</v>
      </c>
      <c r="BW163" s="1206">
        <f>Inputs!BW15</f>
        <v>7.7499999999999999E-2</v>
      </c>
      <c r="BX163" s="1206">
        <f>Inputs!BX15</f>
        <v>7.7499999999999999E-2</v>
      </c>
      <c r="BY163" s="1206">
        <f>Inputs!BY15</f>
        <v>7.7499999999999999E-2</v>
      </c>
      <c r="BZ163" s="1206">
        <f>Inputs!BZ15</f>
        <v>7.7499999999999999E-2</v>
      </c>
      <c r="CA163" s="1206">
        <f>Inputs!CA15</f>
        <v>7.7499999999999999E-2</v>
      </c>
      <c r="CB163" s="1206">
        <f>Inputs!CB15</f>
        <v>7.7499999999999999E-2</v>
      </c>
      <c r="CC163" s="1206">
        <f>Inputs!CC15</f>
        <v>7.7499999999999999E-2</v>
      </c>
      <c r="CD163" s="1206">
        <f>Inputs!CD15</f>
        <v>7.7499999999999999E-2</v>
      </c>
      <c r="CE163" s="1206">
        <f>Inputs!CE15</f>
        <v>7.7499999999999999E-2</v>
      </c>
      <c r="CF163" s="1206">
        <f>Inputs!CF15</f>
        <v>7.7499999999999999E-2</v>
      </c>
      <c r="CG163" s="1206">
        <f>Inputs!CG15</f>
        <v>7.7499999999999999E-2</v>
      </c>
      <c r="CH163" s="1206">
        <f>Inputs!CH15</f>
        <v>7.7499999999999999E-2</v>
      </c>
      <c r="CI163" s="1206">
        <f>Inputs!CI15</f>
        <v>7.7499999999999999E-2</v>
      </c>
      <c r="CJ163" s="1206">
        <f>Inputs!CJ15</f>
        <v>7.7499999999999999E-2</v>
      </c>
      <c r="CK163" s="1206">
        <f>Inputs!CK15</f>
        <v>7.7499999999999999E-2</v>
      </c>
      <c r="CL163" s="1206">
        <f>Inputs!CL15</f>
        <v>7.7499999999999999E-2</v>
      </c>
      <c r="CM163" s="1206">
        <f>Inputs!CM15</f>
        <v>7.7499999999999999E-2</v>
      </c>
      <c r="CN163" s="1206">
        <f>Inputs!CN15</f>
        <v>7.7499999999999999E-2</v>
      </c>
      <c r="CO163" s="1206">
        <f>Inputs!CO15</f>
        <v>7.7499999999999999E-2</v>
      </c>
      <c r="CP163" s="1206">
        <f>Inputs!CP15</f>
        <v>7.7499999999999999E-2</v>
      </c>
      <c r="CQ163" s="1206">
        <f>Inputs!CQ15</f>
        <v>7.7499999999999999E-2</v>
      </c>
      <c r="CR163" s="1206">
        <f>Inputs!CR15</f>
        <v>7.7499999999999999E-2</v>
      </c>
      <c r="CS163" s="1206">
        <f>Inputs!CS15</f>
        <v>7.7499999999999999E-2</v>
      </c>
      <c r="CT163" s="1206">
        <f>Inputs!CT15</f>
        <v>7.7499999999999999E-2</v>
      </c>
      <c r="CU163" s="1206">
        <f>Inputs!CU15</f>
        <v>7.7499999999999999E-2</v>
      </c>
      <c r="CV163" s="1206">
        <f>Inputs!CV15</f>
        <v>7.7499999999999999E-2</v>
      </c>
      <c r="CW163" s="1206">
        <f>Inputs!CW15</f>
        <v>7.7499999999999999E-2</v>
      </c>
    </row>
    <row r="164" spans="1:101" s="241" customFormat="1">
      <c r="A164" s="778" t="s">
        <v>1187</v>
      </c>
      <c r="B164" s="1204"/>
      <c r="C164" s="1204"/>
      <c r="D164" s="1204"/>
      <c r="E164" s="1204"/>
      <c r="F164" s="1204"/>
      <c r="G164" s="1204"/>
      <c r="H164" s="1204"/>
      <c r="I164" s="1204"/>
      <c r="J164" s="1204"/>
      <c r="K164" s="1204"/>
      <c r="L164" s="1204"/>
      <c r="M164" s="1204"/>
      <c r="N164" s="1204"/>
      <c r="O164" s="1204"/>
      <c r="P164" s="1204"/>
      <c r="Q164" s="1204"/>
      <c r="R164" s="1204"/>
      <c r="S164" s="1204"/>
      <c r="T164" s="1204"/>
      <c r="U164" s="1204"/>
      <c r="V164" s="1204"/>
      <c r="W164" s="1204"/>
      <c r="X164" s="1204"/>
      <c r="Y164" s="1204"/>
      <c r="Z164" s="1204"/>
      <c r="AA164" s="1204"/>
      <c r="AB164" s="1204"/>
      <c r="AC164" s="1204"/>
      <c r="AD164" s="1205">
        <f>Inputs!AD36</f>
        <v>1.157E-2</v>
      </c>
      <c r="AE164" s="1205">
        <f>Inputs!AE36</f>
        <v>1.303E-2</v>
      </c>
      <c r="AF164" s="1205">
        <f>Inputs!AF36</f>
        <v>1.5310000000000001E-2</v>
      </c>
      <c r="AG164" s="1205">
        <f>Inputs!AG36</f>
        <v>1.62956E-2</v>
      </c>
      <c r="AH164" s="1205">
        <f>Inputs!AH36</f>
        <v>1.7442800000000001E-2</v>
      </c>
      <c r="AI164" s="1205">
        <f>Inputs!AI36</f>
        <v>1.7195599999999998E-2</v>
      </c>
      <c r="AJ164" s="1205">
        <f>Inputs!AJ36</f>
        <v>1.72789E-2</v>
      </c>
      <c r="AK164" s="1205">
        <f>Inputs!AK36</f>
        <v>1.9301100000000002E-2</v>
      </c>
      <c r="AL164" s="1205">
        <f>Inputs!AL36</f>
        <v>2.4596900000000001E-2</v>
      </c>
      <c r="AM164" s="1205">
        <f>Inputs!AM36</f>
        <v>2.75409E-2</v>
      </c>
      <c r="AN164" s="1205">
        <f>Inputs!AN36</f>
        <v>2.8119999999999999E-2</v>
      </c>
      <c r="AO164" s="1205">
        <f>Inputs!AO36</f>
        <v>3.1207499999999999E-2</v>
      </c>
      <c r="AP164" s="1205">
        <f>Inputs!AP36</f>
        <v>3.1207499999999999E-2</v>
      </c>
      <c r="AQ164" s="1205">
        <f>Inputs!AQ36</f>
        <v>3.1207499999999999E-2</v>
      </c>
      <c r="AR164" s="1205">
        <f>Inputs!AR36</f>
        <v>3.1207499999999999E-2</v>
      </c>
      <c r="AS164" s="1205">
        <f>Inputs!AS36</f>
        <v>3.1207499999999999E-2</v>
      </c>
      <c r="AT164" s="1205">
        <f>Inputs!AT36</f>
        <v>3.1207499999999999E-2</v>
      </c>
      <c r="AU164" s="1205">
        <f>Inputs!AU36</f>
        <v>3.1207499999999999E-2</v>
      </c>
      <c r="AV164" s="1205">
        <f>Inputs!AV36</f>
        <v>3.1207499999999999E-2</v>
      </c>
      <c r="AW164" s="1205">
        <f>Inputs!AW36</f>
        <v>3.1207499999999999E-2</v>
      </c>
      <c r="AX164" s="1205">
        <f>Inputs!AX36</f>
        <v>3.1207499999999999E-2</v>
      </c>
      <c r="AY164" s="1205">
        <f>Inputs!AY36</f>
        <v>3.1207499999999999E-2</v>
      </c>
      <c r="AZ164" s="1205">
        <f>Inputs!AZ36</f>
        <v>3.1207499999999999E-2</v>
      </c>
      <c r="BA164" s="1205">
        <f>Inputs!BA36</f>
        <v>3.1207499999999999E-2</v>
      </c>
      <c r="BB164" s="1205">
        <f>Inputs!BB36</f>
        <v>3.1207499999999999E-2</v>
      </c>
      <c r="BC164" s="1205">
        <f>Inputs!BC36</f>
        <v>3.1207499999999999E-2</v>
      </c>
      <c r="BD164" s="1205">
        <f>Inputs!BD36</f>
        <v>3.1207499999999999E-2</v>
      </c>
      <c r="BE164" s="1205">
        <f>Inputs!BE36</f>
        <v>3.1207499999999999E-2</v>
      </c>
      <c r="BF164" s="1205">
        <f>Inputs!BF36</f>
        <v>3.1207499999999999E-2</v>
      </c>
      <c r="BG164" s="1205">
        <f>Inputs!BG36</f>
        <v>3.1207499999999999E-2</v>
      </c>
      <c r="BH164" s="1205">
        <f>Inputs!BH36</f>
        <v>3.1207499999999999E-2</v>
      </c>
      <c r="BI164" s="1205">
        <f>Inputs!BI36</f>
        <v>3.1207499999999999E-2</v>
      </c>
      <c r="BJ164" s="1205">
        <f>Inputs!BJ36</f>
        <v>3.1207499999999999E-2</v>
      </c>
      <c r="BK164" s="1350">
        <f>Inputs!BK36</f>
        <v>3.1207499999999999E-2</v>
      </c>
      <c r="BL164" s="1206">
        <f>Inputs!BL36</f>
        <v>3.1207499999999999E-2</v>
      </c>
      <c r="BM164" s="1206">
        <f>Inputs!BM36</f>
        <v>3.1207499999999999E-2</v>
      </c>
      <c r="BN164" s="1206">
        <f>Inputs!BN36</f>
        <v>3.1207499999999999E-2</v>
      </c>
      <c r="BO164" s="1206">
        <f>Inputs!BO36</f>
        <v>3.1207499999999999E-2</v>
      </c>
      <c r="BP164" s="1206">
        <f>Inputs!BP36</f>
        <v>3.1207499999999999E-2</v>
      </c>
      <c r="BQ164" s="1206">
        <f>Inputs!BQ36</f>
        <v>3.1207499999999999E-2</v>
      </c>
      <c r="BR164" s="1206">
        <f>Inputs!BR36</f>
        <v>3.1207499999999999E-2</v>
      </c>
      <c r="BS164" s="1206">
        <f>Inputs!BS36</f>
        <v>3.1207499999999999E-2</v>
      </c>
      <c r="BT164" s="1206">
        <f>Inputs!BT36</f>
        <v>3.1207499999999999E-2</v>
      </c>
      <c r="BU164" s="1206">
        <f>Inputs!BU36</f>
        <v>3.1207499999999999E-2</v>
      </c>
      <c r="BV164" s="1206">
        <f>Inputs!BV36</f>
        <v>3.1207499999999999E-2</v>
      </c>
      <c r="BW164" s="1206">
        <f>Inputs!BW36</f>
        <v>3.1207499999999999E-2</v>
      </c>
      <c r="BX164" s="1206">
        <f>Inputs!BX36</f>
        <v>3.1207499999999999E-2</v>
      </c>
      <c r="BY164" s="1206">
        <f>Inputs!BY36</f>
        <v>3.1207499999999999E-2</v>
      </c>
      <c r="BZ164" s="1206">
        <f>Inputs!BZ36</f>
        <v>3.1207499999999999E-2</v>
      </c>
      <c r="CA164" s="1206">
        <f>Inputs!CA36</f>
        <v>3.1207499999999999E-2</v>
      </c>
      <c r="CB164" s="1206">
        <f>Inputs!CB36</f>
        <v>3.1207499999999999E-2</v>
      </c>
      <c r="CC164" s="1206">
        <f>Inputs!CC36</f>
        <v>3.1207499999999999E-2</v>
      </c>
      <c r="CD164" s="1206">
        <f>Inputs!CD36</f>
        <v>3.1207499999999999E-2</v>
      </c>
      <c r="CE164" s="1206">
        <f>Inputs!CE36</f>
        <v>3.1207499999999999E-2</v>
      </c>
      <c r="CF164" s="1206">
        <f>Inputs!CF36</f>
        <v>3.1207499999999999E-2</v>
      </c>
      <c r="CG164" s="1206">
        <f>Inputs!CG36</f>
        <v>3.1207499999999999E-2</v>
      </c>
      <c r="CH164" s="1206">
        <f>Inputs!CH36</f>
        <v>3.1207499999999999E-2</v>
      </c>
      <c r="CI164" s="1206">
        <f>Inputs!CI36</f>
        <v>3.1207499999999999E-2</v>
      </c>
      <c r="CJ164" s="1206">
        <f>Inputs!CJ36</f>
        <v>3.1207499999999999E-2</v>
      </c>
      <c r="CK164" s="1206">
        <f>Inputs!CK36</f>
        <v>3.1207499999999999E-2</v>
      </c>
      <c r="CL164" s="1206">
        <f>Inputs!CL36</f>
        <v>3.1207499999999999E-2</v>
      </c>
      <c r="CM164" s="1206">
        <f>Inputs!CM36</f>
        <v>3.1207499999999999E-2</v>
      </c>
      <c r="CN164" s="1206">
        <f>Inputs!CN36</f>
        <v>3.1207499999999999E-2</v>
      </c>
      <c r="CO164" s="1206">
        <f>Inputs!CO36</f>
        <v>3.1207499999999999E-2</v>
      </c>
      <c r="CP164" s="1206">
        <f>Inputs!CP36</f>
        <v>3.1207499999999999E-2</v>
      </c>
      <c r="CQ164" s="1206">
        <f>Inputs!CQ36</f>
        <v>3.1207499999999999E-2</v>
      </c>
      <c r="CR164" s="1206">
        <f>Inputs!CR36</f>
        <v>3.1207499999999999E-2</v>
      </c>
      <c r="CS164" s="1206">
        <f>Inputs!CS36</f>
        <v>3.1207499999999999E-2</v>
      </c>
      <c r="CT164" s="1206">
        <f>Inputs!CT36</f>
        <v>3.1207499999999999E-2</v>
      </c>
      <c r="CU164" s="1206">
        <f>Inputs!CU36</f>
        <v>3.1207499999999999E-2</v>
      </c>
      <c r="CV164" s="1206">
        <f>Inputs!CV36</f>
        <v>3.1207499999999999E-2</v>
      </c>
      <c r="CW164" s="1206">
        <f>Inputs!CW36</f>
        <v>3.1207499999999999E-2</v>
      </c>
    </row>
    <row r="165" spans="1:101" s="241" customFormat="1">
      <c r="A165" s="778" t="s">
        <v>1186</v>
      </c>
      <c r="B165" s="1204"/>
      <c r="C165" s="1204"/>
      <c r="D165" s="1204"/>
      <c r="E165" s="1204"/>
      <c r="F165" s="1204"/>
      <c r="G165" s="1204"/>
      <c r="H165" s="1204"/>
      <c r="I165" s="1204"/>
      <c r="J165" s="1204"/>
      <c r="K165" s="1204"/>
      <c r="L165" s="1204"/>
      <c r="M165" s="1204"/>
      <c r="N165" s="1204"/>
      <c r="O165" s="1204"/>
      <c r="P165" s="1204"/>
      <c r="Q165" s="1204"/>
      <c r="R165" s="1204"/>
      <c r="S165" s="1204"/>
      <c r="T165" s="1204"/>
      <c r="U165" s="1204"/>
      <c r="V165" s="1204"/>
      <c r="W165" s="1204"/>
      <c r="X165" s="1204"/>
      <c r="Y165" s="1204"/>
      <c r="Z165" s="1204"/>
      <c r="AA165" s="1204"/>
      <c r="AB165" s="1204"/>
      <c r="AC165" s="1204"/>
      <c r="AD165" s="1205">
        <f>SUMPRODUCT(AD166:AD170,Q_IS!AD161:AD165)</f>
        <v>0.18968468468468466</v>
      </c>
      <c r="AE165" s="1205">
        <f>SUMPRODUCT(AE166:AE170,Q_IS!AE161:AE165)</f>
        <v>0.16119956140350877</v>
      </c>
      <c r="AF165" s="1205">
        <f>SUMPRODUCT(AF166:AF170,Q_IS!AF161:AF165)</f>
        <v>0.14623617021276597</v>
      </c>
      <c r="AG165" s="1205">
        <f>SUMPRODUCT(AG166:AG170,Q_IS!AG161:AG165)</f>
        <v>0.13786798336798339</v>
      </c>
      <c r="AH165" s="1205">
        <f>SUMPRODUCT(AH166:AH170,Q_IS!AH161:AH165)</f>
        <v>0.13457200811359027</v>
      </c>
      <c r="AI165" s="1205">
        <f>SUMPRODUCT(AI166:AI170,Q_IS!AI161:AI165)</f>
        <v>0.13766213592233009</v>
      </c>
      <c r="AJ165" s="1205">
        <f>SUMPRODUCT(AJ166:AJ170,Q_IS!AJ161:AJ165)</f>
        <v>0.13726893939393939</v>
      </c>
      <c r="AK165" s="1205">
        <f>SUMPRODUCT(AK166:AK170,Q_IS!AK161:AK165)</f>
        <v>0.14553406998158383</v>
      </c>
      <c r="AL165" s="1205">
        <f>SUMPRODUCT(AL166:AL170,Q_IS!AL161:AL165)</f>
        <v>0.13856396396396398</v>
      </c>
      <c r="AM165" s="1205">
        <f>SUMPRODUCT(AM166:AM170,Q_IS!AM161:AM165)</f>
        <v>0.19301919720767891</v>
      </c>
      <c r="AN165" s="1205">
        <f>SUMPRODUCT(AN166:AN170,Q_IS!AN161:AN165)</f>
        <v>0.29878088962108729</v>
      </c>
      <c r="AO165" s="1205">
        <f>SUMPRODUCT(AO166:AO170,Q_IS!AO161:AO165)</f>
        <v>0.27046974522292994</v>
      </c>
      <c r="AP165" s="1205">
        <f>SUMPRODUCT(AP166:AP170,Q_IS!AP161:AP165)</f>
        <v>0.30639540412044369</v>
      </c>
      <c r="AQ165" s="1205">
        <f>SUMPRODUCT(AQ166:AQ170,Q_IS!AQ161:AQ165)</f>
        <v>0.28228638497652586</v>
      </c>
      <c r="AR165" s="1205">
        <f>SUMPRODUCT(AR166:AR170,Q_IS!AR161:AR165)</f>
        <v>0.34973417721518985</v>
      </c>
      <c r="AS165" s="1205">
        <f>SUMPRODUCT(AS166:AS170,Q_IS!AS161:AS165)</f>
        <v>0.24524218750000004</v>
      </c>
      <c r="AT165" s="1205">
        <f>SUMPRODUCT(AT166:AT170,Q_IS!AT161:AT165)</f>
        <v>0.17019440124416796</v>
      </c>
      <c r="AU165" s="1205">
        <f>SUMPRODUCT(AU166:AU170,Q_IS!AU161:AU165)</f>
        <v>0.16088888888888889</v>
      </c>
      <c r="AV165" s="1205">
        <f>SUMPRODUCT(AV166:AV170,Q_IS!AV161:AV165)</f>
        <v>0.15770800000000001</v>
      </c>
      <c r="AW165" s="1205">
        <f>SUMPRODUCT(AW166:AW170,Q_IS!AW161:AW165)</f>
        <v>0.15477093206951029</v>
      </c>
      <c r="AX165" s="1205">
        <f>SUMPRODUCT(AX166:AX170,Q_IS!AX161:AX165)</f>
        <v>0.15342331768388104</v>
      </c>
      <c r="AY165" s="1205">
        <f>SUMPRODUCT(AY166:AY170,Q_IS!AY161:AY165)</f>
        <v>0.15174265842349308</v>
      </c>
      <c r="AZ165" s="1205">
        <f>SUMPRODUCT(AZ166:AZ170,Q_IS!AZ161:AZ165)</f>
        <v>0.15371951219512195</v>
      </c>
      <c r="BA165" s="1205">
        <f>SUMPRODUCT(BA166:BA170,Q_IS!BA161:BA165)</f>
        <v>0.16224397590361445</v>
      </c>
      <c r="BB165" s="1205">
        <f>SUMPRODUCT(BB166:BB170,Q_IS!BB161:BB165)</f>
        <v>0.19836779911373709</v>
      </c>
      <c r="BC165" s="1205">
        <f>SUMPRODUCT(BC166:BC170,Q_IS!BC161:BC165)</f>
        <v>0.23127167630057802</v>
      </c>
      <c r="BD165" s="1205">
        <f>SUMPRODUCT(BD166:BD170,Q_IS!BD161:BD165)</f>
        <v>0.32830344332855094</v>
      </c>
      <c r="BE165" s="1205">
        <f>SUMPRODUCT(BE166:BE170,Q_IS!BE161:BE165)</f>
        <v>0.32898340248962654</v>
      </c>
      <c r="BF165" s="1205">
        <f>SUMPRODUCT(BF166:BF170,Q_IS!BF161:BF165)</f>
        <v>0.34089972527472528</v>
      </c>
      <c r="BG165" s="1205">
        <f>SUMPRODUCT(BG166:BG170,Q_IS!BG161:BG165)</f>
        <v>0.40098657718120806</v>
      </c>
      <c r="BH165" s="1205">
        <f>SUMPRODUCT(BH166:BH170,Q_IS!BH161:BH165)</f>
        <v>0.46042108753315641</v>
      </c>
      <c r="BI165" s="1205">
        <f>SUMPRODUCT(BI166:BI170,Q_IS!BI161:BI165)</f>
        <v>0.39175483870967742</v>
      </c>
      <c r="BJ165" s="1205">
        <f>SUMPRODUCT(BJ166:BJ170,Q_IS!BJ161:BJ165)</f>
        <v>0.32137886597938148</v>
      </c>
      <c r="BK165" s="1350">
        <f>SUMPRODUCT(BK166:BK170,Q_IS!BK161:BK165)</f>
        <v>0.15158333333333335</v>
      </c>
      <c r="BL165" s="1206">
        <f>SUMPRODUCT(BL166:BL170,Q_IS!BL161:BL165)</f>
        <v>0.14831410256410257</v>
      </c>
      <c r="BM165" s="1206">
        <f>SUMPRODUCT(BM166:BM170,Q_IS!BM161:BM165)</f>
        <v>0.1450448717948718</v>
      </c>
      <c r="BN165" s="1206">
        <f>SUMPRODUCT(BN166:BN170,Q_IS!BN161:BN165)</f>
        <v>0.14341025641025643</v>
      </c>
      <c r="BO165" s="1206">
        <f>SUMPRODUCT(BO166:BO170,Q_IS!BO161:BO165)</f>
        <v>0.12575</v>
      </c>
      <c r="BP165" s="1206">
        <f>SUMPRODUCT(BP166:BP170,Q_IS!BP161:BP165)</f>
        <v>0.1080897435897436</v>
      </c>
      <c r="BQ165" s="1206">
        <f>SUMPRODUCT(BQ166:BQ170,Q_IS!BQ161:BQ165)</f>
        <v>0.1072724358974359</v>
      </c>
      <c r="BR165" s="1206">
        <f>SUMPRODUCT(BR166:BR170,Q_IS!BR161:BR165)</f>
        <v>0.10260210622710624</v>
      </c>
      <c r="BS165" s="1206">
        <f>SUMPRODUCT(BS166:BS170,Q_IS!BS161:BS165)</f>
        <v>0.10260210622710624</v>
      </c>
      <c r="BT165" s="1206">
        <f>SUMPRODUCT(BT166:BT170,Q_IS!BT161:BT165)</f>
        <v>0.10260210622710624</v>
      </c>
      <c r="BU165" s="1206">
        <f>SUMPRODUCT(BU166:BU170,Q_IS!BU161:BU165)</f>
        <v>0.10260210622710624</v>
      </c>
      <c r="BV165" s="1206">
        <f>SUMPRODUCT(BV166:BV170,Q_IS!BV161:BV165)</f>
        <v>0.10260210622710624</v>
      </c>
      <c r="BW165" s="1206">
        <f>SUMPRODUCT(BW166:BW170,Q_IS!BW161:BW165)</f>
        <v>0.10260210622710624</v>
      </c>
      <c r="BX165" s="1206">
        <f>SUMPRODUCT(BX166:BX170,Q_IS!BX161:BX165)</f>
        <v>0.10260210622710624</v>
      </c>
      <c r="BY165" s="1206">
        <f>SUMPRODUCT(BY166:BY170,Q_IS!BY161:BY165)</f>
        <v>0.10260210622710624</v>
      </c>
      <c r="BZ165" s="1206">
        <f>SUMPRODUCT(BZ166:BZ170,Q_IS!BZ161:BZ165)</f>
        <v>0.10260210622710624</v>
      </c>
      <c r="CA165" s="1206">
        <f>SUMPRODUCT(CA166:CA170,Q_IS!CA161:CA165)</f>
        <v>0.10260210622710624</v>
      </c>
      <c r="CB165" s="1206">
        <f>SUMPRODUCT(CB166:CB170,Q_IS!CB161:CB165)</f>
        <v>0.10260210622710624</v>
      </c>
      <c r="CC165" s="1206">
        <f>SUMPRODUCT(CC166:CC170,Q_IS!CC161:CC165)</f>
        <v>0.10260210622710624</v>
      </c>
      <c r="CD165" s="1206">
        <f>SUMPRODUCT(CD166:CD170,Q_IS!CD161:CD165)</f>
        <v>0.10260210622710624</v>
      </c>
      <c r="CE165" s="1206">
        <f>SUMPRODUCT(CE166:CE170,Q_IS!CE161:CE165)</f>
        <v>0.10260210622710624</v>
      </c>
      <c r="CF165" s="1206">
        <f>SUMPRODUCT(CF166:CF170,Q_IS!CF161:CF165)</f>
        <v>0.10260210622710624</v>
      </c>
      <c r="CG165" s="1206">
        <f>SUMPRODUCT(CG166:CG170,Q_IS!CG161:CG165)</f>
        <v>0.10260210622710624</v>
      </c>
      <c r="CH165" s="1206">
        <f>SUMPRODUCT(CH166:CH170,Q_IS!CH161:CH165)</f>
        <v>0.10260210622710624</v>
      </c>
      <c r="CI165" s="1206">
        <f>SUMPRODUCT(CI166:CI170,Q_IS!CI161:CI165)</f>
        <v>0.10260210622710624</v>
      </c>
      <c r="CJ165" s="1206">
        <f>SUMPRODUCT(CJ166:CJ170,Q_IS!CJ161:CJ165)</f>
        <v>0.10260210622710624</v>
      </c>
      <c r="CK165" s="1206">
        <f>SUMPRODUCT(CK166:CK170,Q_IS!CK161:CK165)</f>
        <v>0.10260210622710624</v>
      </c>
      <c r="CL165" s="1206">
        <f>SUMPRODUCT(CL166:CL170,Q_IS!CL161:CL165)</f>
        <v>0.10260210622710624</v>
      </c>
      <c r="CM165" s="1206">
        <f>SUMPRODUCT(CM166:CM170,Q_IS!CM161:CM165)</f>
        <v>0.10260210622710624</v>
      </c>
      <c r="CN165" s="1206">
        <f>SUMPRODUCT(CN166:CN170,Q_IS!CN161:CN165)</f>
        <v>0.10260210622710624</v>
      </c>
      <c r="CO165" s="1206">
        <f>SUMPRODUCT(CO166:CO170,Q_IS!CO161:CO165)</f>
        <v>0.10260210622710624</v>
      </c>
      <c r="CP165" s="1206">
        <f>SUMPRODUCT(CP166:CP170,Q_IS!CP161:CP165)</f>
        <v>0.10260210622710624</v>
      </c>
      <c r="CQ165" s="1206">
        <f>SUMPRODUCT(CQ166:CQ170,Q_IS!CQ161:CQ165)</f>
        <v>0.10260210622710624</v>
      </c>
      <c r="CR165" s="1206">
        <f>SUMPRODUCT(CR166:CR170,Q_IS!CR161:CR165)</f>
        <v>0.10260210622710624</v>
      </c>
      <c r="CS165" s="1206">
        <f>SUMPRODUCT(CS166:CS170,Q_IS!CS161:CS165)</f>
        <v>0.10260210622710624</v>
      </c>
      <c r="CT165" s="1206">
        <f>SUMPRODUCT(CT166:CT170,Q_IS!CT161:CT165)</f>
        <v>0.10260210622710624</v>
      </c>
      <c r="CU165" s="1206">
        <f>SUMPRODUCT(CU166:CU170,Q_IS!CU161:CU165)</f>
        <v>0.10260210622710624</v>
      </c>
      <c r="CV165" s="1206">
        <f>SUMPRODUCT(CV166:CV170,Q_IS!CV161:CV165)</f>
        <v>0.10260210622710624</v>
      </c>
      <c r="CW165" s="1206">
        <f>SUMPRODUCT(CW166:CW170,Q_IS!CW161:CW165)</f>
        <v>0.10260210622710624</v>
      </c>
    </row>
    <row r="166" spans="1:101" s="165" customFormat="1">
      <c r="A166" s="312" t="s">
        <v>746</v>
      </c>
      <c r="B166" s="1184"/>
      <c r="C166" s="1184"/>
      <c r="D166" s="1184"/>
      <c r="E166" s="1184"/>
      <c r="F166" s="1184"/>
      <c r="G166" s="1184"/>
      <c r="H166" s="1184"/>
      <c r="I166" s="1184"/>
      <c r="J166" s="1184"/>
      <c r="K166" s="1184"/>
      <c r="L166" s="1184"/>
      <c r="M166" s="1184"/>
      <c r="N166" s="1184"/>
      <c r="O166" s="1184"/>
      <c r="P166" s="1184"/>
      <c r="Q166" s="1184"/>
      <c r="R166" s="1184"/>
      <c r="S166" s="1184"/>
      <c r="T166" s="1184"/>
      <c r="U166" s="1184"/>
      <c r="V166" s="1184"/>
      <c r="W166" s="1184"/>
      <c r="X166" s="1184"/>
      <c r="Y166" s="1184"/>
      <c r="Z166" s="1184"/>
      <c r="AA166" s="1184"/>
      <c r="AB166" s="1184"/>
      <c r="AC166" s="1184"/>
      <c r="AD166" s="1185">
        <v>0.38</v>
      </c>
      <c r="AE166" s="1185">
        <v>0.308</v>
      </c>
      <c r="AF166" s="1185">
        <v>0.26800000000000002</v>
      </c>
      <c r="AG166" s="1185">
        <v>0.248</v>
      </c>
      <c r="AH166" s="1185">
        <v>0.248</v>
      </c>
      <c r="AI166" s="1185">
        <v>0.26300000000000001</v>
      </c>
      <c r="AJ166" s="1185">
        <v>0.26300000000000001</v>
      </c>
      <c r="AK166" s="1185">
        <v>0.28800000000000003</v>
      </c>
      <c r="AL166" s="1185">
        <v>0.27300000000000002</v>
      </c>
      <c r="AM166" s="1185">
        <v>0.4</v>
      </c>
      <c r="AN166" s="1185">
        <v>0.65</v>
      </c>
      <c r="AO166" s="1185">
        <v>0.59299999999999997</v>
      </c>
      <c r="AP166" s="1185">
        <v>0.68200000000000005</v>
      </c>
      <c r="AQ166" s="1185">
        <v>0.627</v>
      </c>
      <c r="AR166" s="1185">
        <v>0.78400000000000003</v>
      </c>
      <c r="AS166" s="1185">
        <v>0.55000000000000004</v>
      </c>
      <c r="AT166" s="1185">
        <v>0.38</v>
      </c>
      <c r="AU166" s="1185">
        <v>0.38</v>
      </c>
      <c r="AV166" s="1185">
        <v>0.38</v>
      </c>
      <c r="AW166" s="1185">
        <v>0.38</v>
      </c>
      <c r="AX166" s="1185">
        <v>0.38</v>
      </c>
      <c r="AY166" s="1185">
        <v>0.38</v>
      </c>
      <c r="AZ166" s="1185">
        <v>0.38</v>
      </c>
      <c r="BA166" s="1185">
        <v>0.38</v>
      </c>
      <c r="BB166" s="1185">
        <v>0.44500000000000001</v>
      </c>
      <c r="BC166" s="1185">
        <v>0.52</v>
      </c>
      <c r="BD166" s="1185">
        <v>0.75</v>
      </c>
      <c r="BE166" s="1185">
        <v>0.75</v>
      </c>
      <c r="BF166" s="1185">
        <v>0.78</v>
      </c>
      <c r="BG166" s="1185">
        <v>0.97</v>
      </c>
      <c r="BH166" s="1185">
        <v>1.18</v>
      </c>
      <c r="BI166" s="1185">
        <v>1</v>
      </c>
      <c r="BJ166" s="1185">
        <v>0.8</v>
      </c>
      <c r="BK166" s="1349">
        <v>0.3</v>
      </c>
      <c r="BL166" s="1186">
        <v>0.3</v>
      </c>
      <c r="BM166" s="1186">
        <v>0.3</v>
      </c>
      <c r="BN166" s="1186">
        <v>0.3</v>
      </c>
      <c r="BO166" s="1186">
        <v>0.25</v>
      </c>
      <c r="BP166" s="1186">
        <v>0.2</v>
      </c>
      <c r="BQ166" s="1186">
        <v>0.2</v>
      </c>
      <c r="BR166" s="1186">
        <v>0.2</v>
      </c>
      <c r="BS166" s="1186">
        <v>0.2</v>
      </c>
      <c r="BT166" s="1186">
        <v>0.2</v>
      </c>
      <c r="BU166" s="1186">
        <v>0.2</v>
      </c>
      <c r="BV166" s="1783">
        <f>+BU166</f>
        <v>0.2</v>
      </c>
      <c r="BW166" s="1783">
        <f t="shared" ref="BW166:CK169" si="813">+BV166</f>
        <v>0.2</v>
      </c>
      <c r="BX166" s="1783">
        <f t="shared" si="813"/>
        <v>0.2</v>
      </c>
      <c r="BY166" s="1783">
        <f t="shared" si="813"/>
        <v>0.2</v>
      </c>
      <c r="BZ166" s="1783">
        <f t="shared" si="813"/>
        <v>0.2</v>
      </c>
      <c r="CA166" s="1783">
        <f t="shared" si="813"/>
        <v>0.2</v>
      </c>
      <c r="CB166" s="1783">
        <f t="shared" si="813"/>
        <v>0.2</v>
      </c>
      <c r="CC166" s="1783">
        <f t="shared" si="813"/>
        <v>0.2</v>
      </c>
      <c r="CD166" s="1783">
        <f t="shared" si="813"/>
        <v>0.2</v>
      </c>
      <c r="CE166" s="1783">
        <f t="shared" si="813"/>
        <v>0.2</v>
      </c>
      <c r="CF166" s="1783">
        <f t="shared" si="813"/>
        <v>0.2</v>
      </c>
      <c r="CG166" s="1783">
        <f t="shared" si="813"/>
        <v>0.2</v>
      </c>
      <c r="CH166" s="1783">
        <f t="shared" si="813"/>
        <v>0.2</v>
      </c>
      <c r="CI166" s="1783">
        <f t="shared" si="813"/>
        <v>0.2</v>
      </c>
      <c r="CJ166" s="1783">
        <f t="shared" si="813"/>
        <v>0.2</v>
      </c>
      <c r="CK166" s="1783">
        <f t="shared" si="813"/>
        <v>0.2</v>
      </c>
      <c r="CL166" s="1783">
        <f t="shared" ref="CL166" si="814">+CK166</f>
        <v>0.2</v>
      </c>
      <c r="CM166" s="1783">
        <f t="shared" ref="CM166" si="815">+CL166</f>
        <v>0.2</v>
      </c>
      <c r="CN166" s="1783">
        <f t="shared" ref="CN166" si="816">+CM166</f>
        <v>0.2</v>
      </c>
      <c r="CO166" s="1783">
        <f t="shared" ref="CO166" si="817">+CN166</f>
        <v>0.2</v>
      </c>
      <c r="CP166" s="1783">
        <f t="shared" ref="CP166" si="818">+CO166</f>
        <v>0.2</v>
      </c>
      <c r="CQ166" s="1783">
        <f t="shared" ref="CQ166" si="819">+CP166</f>
        <v>0.2</v>
      </c>
      <c r="CR166" s="1783">
        <f t="shared" ref="CR166" si="820">+CQ166</f>
        <v>0.2</v>
      </c>
      <c r="CS166" s="1783">
        <f t="shared" ref="CS166" si="821">+CR166</f>
        <v>0.2</v>
      </c>
      <c r="CT166" s="1783">
        <f t="shared" ref="CT166" si="822">+CS166</f>
        <v>0.2</v>
      </c>
      <c r="CU166" s="1783">
        <f t="shared" ref="CU166" si="823">+CT166</f>
        <v>0.2</v>
      </c>
      <c r="CV166" s="1783">
        <f t="shared" ref="CV166" si="824">+CU166</f>
        <v>0.2</v>
      </c>
      <c r="CW166" s="1783">
        <f t="shared" ref="CW166" si="825">+CV166</f>
        <v>0.2</v>
      </c>
    </row>
    <row r="167" spans="1:101" s="165" customFormat="1">
      <c r="A167" s="312" t="s">
        <v>747</v>
      </c>
      <c r="B167" s="1184"/>
      <c r="C167" s="1184"/>
      <c r="D167" s="1184"/>
      <c r="E167" s="1184"/>
      <c r="F167" s="1184"/>
      <c r="G167" s="1184"/>
      <c r="H167" s="1184"/>
      <c r="I167" s="1184"/>
      <c r="J167" s="1184"/>
      <c r="K167" s="1184"/>
      <c r="L167" s="1184"/>
      <c r="M167" s="1184"/>
      <c r="N167" s="1184"/>
      <c r="O167" s="1184"/>
      <c r="P167" s="1184"/>
      <c r="Q167" s="1184"/>
      <c r="R167" s="1184"/>
      <c r="S167" s="1184"/>
      <c r="T167" s="1184"/>
      <c r="U167" s="1184"/>
      <c r="V167" s="1184"/>
      <c r="W167" s="1184"/>
      <c r="X167" s="1184"/>
      <c r="Y167" s="1184"/>
      <c r="Z167" s="1184"/>
      <c r="AA167" s="1184"/>
      <c r="AB167" s="1184"/>
      <c r="AC167" s="1184"/>
      <c r="AD167" s="1185">
        <v>3.5000000000000003E-2</v>
      </c>
      <c r="AE167" s="1185">
        <v>3.5000000000000003E-2</v>
      </c>
      <c r="AF167" s="1185">
        <v>3.5000000000000003E-2</v>
      </c>
      <c r="AG167" s="1185">
        <v>3.5000000000000003E-2</v>
      </c>
      <c r="AH167" s="1185">
        <v>0.03</v>
      </c>
      <c r="AI167" s="1185">
        <v>2.5000000000000001E-2</v>
      </c>
      <c r="AJ167" s="1185">
        <v>2.5000000000000001E-2</v>
      </c>
      <c r="AK167" s="1185">
        <v>2.5000000000000001E-2</v>
      </c>
      <c r="AL167" s="1185">
        <v>2.5000000000000001E-2</v>
      </c>
      <c r="AM167" s="1185">
        <v>2.5000000000000001E-2</v>
      </c>
      <c r="AN167" s="1185">
        <v>2.5000000000000001E-2</v>
      </c>
      <c r="AO167" s="1185">
        <v>2.75E-2</v>
      </c>
      <c r="AP167" s="1185">
        <v>0.03</v>
      </c>
      <c r="AQ167" s="1185">
        <v>2.5000000000000001E-2</v>
      </c>
      <c r="AR167" s="1185">
        <v>0.02</v>
      </c>
      <c r="AS167" s="1185">
        <v>1.7500000000000002E-2</v>
      </c>
      <c r="AT167" s="1185">
        <v>0.01</v>
      </c>
      <c r="AU167" s="1185">
        <v>5.0000000000000001E-3</v>
      </c>
      <c r="AV167" s="1185">
        <v>5.0000000000000001E-3</v>
      </c>
      <c r="AW167" s="1185">
        <v>5.0000000000000001E-3</v>
      </c>
      <c r="AX167" s="1185">
        <v>5.0000000000000001E-3</v>
      </c>
      <c r="AY167" s="1185">
        <v>5.0000000000000001E-3</v>
      </c>
      <c r="AZ167" s="1185">
        <v>1.4999999999999999E-2</v>
      </c>
      <c r="BA167" s="1185">
        <v>0.04</v>
      </c>
      <c r="BB167" s="1185">
        <v>7.0000000000000007E-2</v>
      </c>
      <c r="BC167" s="1185">
        <v>0.09</v>
      </c>
      <c r="BD167" s="1185">
        <v>0.1075</v>
      </c>
      <c r="BE167" s="1185">
        <v>0.1125</v>
      </c>
      <c r="BF167" s="1185">
        <v>0.1125</v>
      </c>
      <c r="BG167" s="1185">
        <v>0.1125</v>
      </c>
      <c r="BH167" s="1185">
        <v>9.5000000000000001E-2</v>
      </c>
      <c r="BI167" s="1185">
        <v>8.2500000000000004E-2</v>
      </c>
      <c r="BJ167" s="1185">
        <v>7.2499999999999995E-2</v>
      </c>
      <c r="BK167" s="1349">
        <v>5.7500000000000002E-2</v>
      </c>
      <c r="BL167" s="1187">
        <f t="shared" ref="BL167:BQ167" si="826">BK167</f>
        <v>5.7500000000000002E-2</v>
      </c>
      <c r="BM167" s="1187">
        <f t="shared" si="826"/>
        <v>5.7500000000000002E-2</v>
      </c>
      <c r="BN167" s="1187">
        <f t="shared" si="826"/>
        <v>5.7500000000000002E-2</v>
      </c>
      <c r="BO167" s="1187">
        <f t="shared" si="826"/>
        <v>5.7500000000000002E-2</v>
      </c>
      <c r="BP167" s="1187">
        <f t="shared" si="826"/>
        <v>5.7500000000000002E-2</v>
      </c>
      <c r="BQ167" s="1187">
        <f t="shared" si="826"/>
        <v>5.7500000000000002E-2</v>
      </c>
      <c r="BR167" s="1187">
        <f t="shared" ref="BR167:CK167" si="827">BQ167</f>
        <v>5.7500000000000002E-2</v>
      </c>
      <c r="BS167" s="1187">
        <f t="shared" si="827"/>
        <v>5.7500000000000002E-2</v>
      </c>
      <c r="BT167" s="1187">
        <f t="shared" si="827"/>
        <v>5.7500000000000002E-2</v>
      </c>
      <c r="BU167" s="1187">
        <f t="shared" si="827"/>
        <v>5.7500000000000002E-2</v>
      </c>
      <c r="BV167" s="1187">
        <f t="shared" si="827"/>
        <v>5.7500000000000002E-2</v>
      </c>
      <c r="BW167" s="1187">
        <f t="shared" si="827"/>
        <v>5.7500000000000002E-2</v>
      </c>
      <c r="BX167" s="1187">
        <f t="shared" si="827"/>
        <v>5.7500000000000002E-2</v>
      </c>
      <c r="BY167" s="1187">
        <f t="shared" si="827"/>
        <v>5.7500000000000002E-2</v>
      </c>
      <c r="BZ167" s="1187">
        <f t="shared" si="827"/>
        <v>5.7500000000000002E-2</v>
      </c>
      <c r="CA167" s="1187">
        <f t="shared" si="827"/>
        <v>5.7500000000000002E-2</v>
      </c>
      <c r="CB167" s="1187">
        <f t="shared" si="827"/>
        <v>5.7500000000000002E-2</v>
      </c>
      <c r="CC167" s="1187">
        <f t="shared" si="827"/>
        <v>5.7500000000000002E-2</v>
      </c>
      <c r="CD167" s="1187">
        <f t="shared" si="827"/>
        <v>5.7500000000000002E-2</v>
      </c>
      <c r="CE167" s="1187">
        <f t="shared" si="827"/>
        <v>5.7500000000000002E-2</v>
      </c>
      <c r="CF167" s="1187">
        <f t="shared" si="827"/>
        <v>5.7500000000000002E-2</v>
      </c>
      <c r="CG167" s="1187">
        <f t="shared" si="827"/>
        <v>5.7500000000000002E-2</v>
      </c>
      <c r="CH167" s="1187">
        <f t="shared" si="827"/>
        <v>5.7500000000000002E-2</v>
      </c>
      <c r="CI167" s="1187">
        <f t="shared" si="827"/>
        <v>5.7500000000000002E-2</v>
      </c>
      <c r="CJ167" s="1187">
        <f t="shared" si="827"/>
        <v>5.7500000000000002E-2</v>
      </c>
      <c r="CK167" s="1187">
        <f t="shared" si="827"/>
        <v>5.7500000000000002E-2</v>
      </c>
      <c r="CL167" s="1187">
        <f t="shared" ref="CL167" si="828">CK167</f>
        <v>5.7500000000000002E-2</v>
      </c>
      <c r="CM167" s="1187">
        <f t="shared" ref="CM167" si="829">CL167</f>
        <v>5.7500000000000002E-2</v>
      </c>
      <c r="CN167" s="1187">
        <f t="shared" ref="CN167" si="830">CM167</f>
        <v>5.7500000000000002E-2</v>
      </c>
      <c r="CO167" s="1187">
        <f t="shared" ref="CO167" si="831">CN167</f>
        <v>5.7500000000000002E-2</v>
      </c>
      <c r="CP167" s="1187">
        <f t="shared" ref="CP167" si="832">CO167</f>
        <v>5.7500000000000002E-2</v>
      </c>
      <c r="CQ167" s="1187">
        <f t="shared" ref="CQ167" si="833">CP167</f>
        <v>5.7500000000000002E-2</v>
      </c>
      <c r="CR167" s="1187">
        <f t="shared" ref="CR167" si="834">CQ167</f>
        <v>5.7500000000000002E-2</v>
      </c>
      <c r="CS167" s="1187">
        <f t="shared" ref="CS167" si="835">CR167</f>
        <v>5.7500000000000002E-2</v>
      </c>
      <c r="CT167" s="1187">
        <f t="shared" ref="CT167" si="836">CS167</f>
        <v>5.7500000000000002E-2</v>
      </c>
      <c r="CU167" s="1187">
        <f t="shared" ref="CU167" si="837">CT167</f>
        <v>5.7500000000000002E-2</v>
      </c>
      <c r="CV167" s="1187">
        <f t="shared" ref="CV167" si="838">CU167</f>
        <v>5.7500000000000002E-2</v>
      </c>
      <c r="CW167" s="1187">
        <f t="shared" ref="CW167" si="839">CV167</f>
        <v>5.7500000000000002E-2</v>
      </c>
    </row>
    <row r="168" spans="1:101" s="165" customFormat="1">
      <c r="A168" s="312" t="s">
        <v>748</v>
      </c>
      <c r="B168" s="1184"/>
      <c r="C168" s="1184"/>
      <c r="D168" s="1184"/>
      <c r="E168" s="1184"/>
      <c r="F168" s="1184"/>
      <c r="G168" s="1184"/>
      <c r="H168" s="1184"/>
      <c r="I168" s="1184"/>
      <c r="J168" s="1184"/>
      <c r="K168" s="1184"/>
      <c r="L168" s="1184"/>
      <c r="M168" s="1184"/>
      <c r="N168" s="1184"/>
      <c r="O168" s="1184"/>
      <c r="P168" s="1184"/>
      <c r="Q168" s="1184"/>
      <c r="R168" s="1184"/>
      <c r="S168" s="1184"/>
      <c r="T168" s="1184"/>
      <c r="U168" s="1184"/>
      <c r="V168" s="1184"/>
      <c r="W168" s="1184"/>
      <c r="X168" s="1184"/>
      <c r="Y168" s="1184"/>
      <c r="Z168" s="1184"/>
      <c r="AA168" s="1184"/>
      <c r="AB168" s="1184"/>
      <c r="AC168" s="1184"/>
      <c r="AD168" s="1185">
        <v>6.5000000000000002E-2</v>
      </c>
      <c r="AE168" s="1185">
        <v>7.4999999999999997E-2</v>
      </c>
      <c r="AF168" s="1185">
        <v>7.7499999999999999E-2</v>
      </c>
      <c r="AG168" s="1185">
        <v>7.4999999999999997E-2</v>
      </c>
      <c r="AH168" s="1185">
        <v>7.0000000000000007E-2</v>
      </c>
      <c r="AI168" s="1185">
        <v>5.7500000000000002E-2</v>
      </c>
      <c r="AJ168" s="1185">
        <v>5.2499999999999998E-2</v>
      </c>
      <c r="AK168" s="1185">
        <v>4.7500000000000001E-2</v>
      </c>
      <c r="AL168" s="1185">
        <v>4.4999999999999998E-2</v>
      </c>
      <c r="AM168" s="1185">
        <v>4.2500000000000003E-2</v>
      </c>
      <c r="AN168" s="1185">
        <v>4.2500000000000003E-2</v>
      </c>
      <c r="AO168" s="1185">
        <v>4.2500000000000003E-2</v>
      </c>
      <c r="AP168" s="1185">
        <v>4.2500000000000003E-2</v>
      </c>
      <c r="AQ168" s="1185">
        <v>4.2500000000000003E-2</v>
      </c>
      <c r="AR168" s="1185">
        <v>4.2500000000000003E-2</v>
      </c>
      <c r="AS168" s="1185">
        <v>4.2500000000000003E-2</v>
      </c>
      <c r="AT168" s="1185">
        <v>3.7499999999999999E-2</v>
      </c>
      <c r="AU168" s="1185">
        <v>2.5000000000000001E-2</v>
      </c>
      <c r="AV168" s="1185">
        <v>1.7500000000000002E-2</v>
      </c>
      <c r="AW168" s="1185">
        <v>1.7500000000000002E-2</v>
      </c>
      <c r="AX168" s="1185">
        <v>1.7500000000000002E-2</v>
      </c>
      <c r="AY168" s="1185">
        <v>1.7500000000000002E-2</v>
      </c>
      <c r="AZ168" s="1185">
        <v>0.02</v>
      </c>
      <c r="BA168" s="1185">
        <v>0.03</v>
      </c>
      <c r="BB168" s="1185">
        <v>0.05</v>
      </c>
      <c r="BC168" s="1185">
        <v>0.06</v>
      </c>
      <c r="BD168" s="1185">
        <v>0.1</v>
      </c>
      <c r="BE168" s="1185">
        <v>0.12</v>
      </c>
      <c r="BF168" s="1185">
        <v>0.13</v>
      </c>
      <c r="BG168" s="1185">
        <v>0.13250000000000001</v>
      </c>
      <c r="BH168" s="1185">
        <v>0.13250000000000001</v>
      </c>
      <c r="BI168" s="1185">
        <v>0.13</v>
      </c>
      <c r="BJ168" s="1185">
        <v>0.1225</v>
      </c>
      <c r="BK168" s="1349">
        <v>0.1125</v>
      </c>
      <c r="BL168" s="1186">
        <v>0.10249999999999999</v>
      </c>
      <c r="BM168" s="1186">
        <v>9.2499999999999999E-2</v>
      </c>
      <c r="BN168" s="1186">
        <v>8.7499999999999994E-2</v>
      </c>
      <c r="BO168" s="1186">
        <v>8.2500000000000004E-2</v>
      </c>
      <c r="BP168" s="1186">
        <v>7.7499999999999999E-2</v>
      </c>
      <c r="BQ168" s="1186">
        <v>7.4999999999999997E-2</v>
      </c>
      <c r="BR168" s="1186">
        <v>6.0714285714285721E-2</v>
      </c>
      <c r="BS168" s="1186">
        <v>6.0714285714285721E-2</v>
      </c>
      <c r="BT168" s="1186">
        <v>6.0714285714285721E-2</v>
      </c>
      <c r="BU168" s="1186">
        <v>6.0714285714285721E-2</v>
      </c>
      <c r="BV168" s="1783">
        <f>+BU168</f>
        <v>6.0714285714285721E-2</v>
      </c>
      <c r="BW168" s="1783">
        <f t="shared" si="813"/>
        <v>6.0714285714285721E-2</v>
      </c>
      <c r="BX168" s="1783">
        <f t="shared" si="813"/>
        <v>6.0714285714285721E-2</v>
      </c>
      <c r="BY168" s="1783">
        <f t="shared" si="813"/>
        <v>6.0714285714285721E-2</v>
      </c>
      <c r="BZ168" s="1783">
        <f t="shared" si="813"/>
        <v>6.0714285714285721E-2</v>
      </c>
      <c r="CA168" s="1783">
        <f t="shared" si="813"/>
        <v>6.0714285714285721E-2</v>
      </c>
      <c r="CB168" s="1783">
        <f t="shared" si="813"/>
        <v>6.0714285714285721E-2</v>
      </c>
      <c r="CC168" s="1783">
        <f t="shared" si="813"/>
        <v>6.0714285714285721E-2</v>
      </c>
      <c r="CD168" s="1783">
        <f t="shared" si="813"/>
        <v>6.0714285714285721E-2</v>
      </c>
      <c r="CE168" s="1783">
        <f t="shared" si="813"/>
        <v>6.0714285714285721E-2</v>
      </c>
      <c r="CF168" s="1783">
        <f t="shared" si="813"/>
        <v>6.0714285714285721E-2</v>
      </c>
      <c r="CG168" s="1783">
        <f t="shared" si="813"/>
        <v>6.0714285714285721E-2</v>
      </c>
      <c r="CH168" s="1783">
        <f t="shared" si="813"/>
        <v>6.0714285714285721E-2</v>
      </c>
      <c r="CI168" s="1783">
        <f t="shared" si="813"/>
        <v>6.0714285714285721E-2</v>
      </c>
      <c r="CJ168" s="1783">
        <f t="shared" si="813"/>
        <v>6.0714285714285721E-2</v>
      </c>
      <c r="CK168" s="1783">
        <f t="shared" si="813"/>
        <v>6.0714285714285721E-2</v>
      </c>
      <c r="CL168" s="1783">
        <f t="shared" ref="CL168:CL169" si="840">+CK168</f>
        <v>6.0714285714285721E-2</v>
      </c>
      <c r="CM168" s="1783">
        <f t="shared" ref="CM168:CM169" si="841">+CL168</f>
        <v>6.0714285714285721E-2</v>
      </c>
      <c r="CN168" s="1783">
        <f t="shared" ref="CN168:CN169" si="842">+CM168</f>
        <v>6.0714285714285721E-2</v>
      </c>
      <c r="CO168" s="1783">
        <f t="shared" ref="CO168:CO169" si="843">+CN168</f>
        <v>6.0714285714285721E-2</v>
      </c>
      <c r="CP168" s="1783">
        <f t="shared" ref="CP168:CP169" si="844">+CO168</f>
        <v>6.0714285714285721E-2</v>
      </c>
      <c r="CQ168" s="1783">
        <f t="shared" ref="CQ168:CQ169" si="845">+CP168</f>
        <v>6.0714285714285721E-2</v>
      </c>
      <c r="CR168" s="1783">
        <f t="shared" ref="CR168:CR169" si="846">+CQ168</f>
        <v>6.0714285714285721E-2</v>
      </c>
      <c r="CS168" s="1783">
        <f t="shared" ref="CS168:CS169" si="847">+CR168</f>
        <v>6.0714285714285721E-2</v>
      </c>
      <c r="CT168" s="1783">
        <f t="shared" ref="CT168:CT169" si="848">+CS168</f>
        <v>6.0714285714285721E-2</v>
      </c>
      <c r="CU168" s="1783">
        <f t="shared" ref="CU168:CU169" si="849">+CT168</f>
        <v>6.0714285714285721E-2</v>
      </c>
      <c r="CV168" s="1783">
        <f t="shared" ref="CV168:CV169" si="850">+CU168</f>
        <v>6.0714285714285721E-2</v>
      </c>
      <c r="CW168" s="1783">
        <f t="shared" ref="CW168:CW169" si="851">+CV168</f>
        <v>6.0714285714285721E-2</v>
      </c>
    </row>
    <row r="169" spans="1:101" s="165" customFormat="1">
      <c r="A169" s="312" t="s">
        <v>749</v>
      </c>
      <c r="B169" s="1184"/>
      <c r="C169" s="1184"/>
      <c r="D169" s="1184"/>
      <c r="E169" s="1184"/>
      <c r="F169" s="1184"/>
      <c r="G169" s="1184"/>
      <c r="H169" s="1184"/>
      <c r="I169" s="1184"/>
      <c r="J169" s="1184"/>
      <c r="K169" s="1184"/>
      <c r="L169" s="1184"/>
      <c r="M169" s="1184"/>
      <c r="N169" s="1184"/>
      <c r="O169" s="1184"/>
      <c r="P169" s="1184"/>
      <c r="Q169" s="1184"/>
      <c r="R169" s="1184"/>
      <c r="S169" s="1184"/>
      <c r="T169" s="1184"/>
      <c r="U169" s="1184"/>
      <c r="V169" s="1184"/>
      <c r="W169" s="1184"/>
      <c r="X169" s="1184"/>
      <c r="Y169" s="1184"/>
      <c r="Z169" s="1184"/>
      <c r="AA169" s="1184"/>
      <c r="AB169" s="1184"/>
      <c r="AC169" s="1184"/>
      <c r="AD169" s="1185">
        <v>0.14249999999999999</v>
      </c>
      <c r="AE169" s="1185">
        <v>0.14249999999999999</v>
      </c>
      <c r="AF169" s="1185">
        <v>0.14249999999999999</v>
      </c>
      <c r="AG169" s="1185">
        <v>0.13750000000000001</v>
      </c>
      <c r="AH169" s="1185">
        <v>0.1225</v>
      </c>
      <c r="AI169" s="1185">
        <v>0.10249999999999999</v>
      </c>
      <c r="AJ169" s="1185">
        <v>8.2500000000000004E-2</v>
      </c>
      <c r="AK169" s="1185">
        <v>7.0000000000000007E-2</v>
      </c>
      <c r="AL169" s="1185">
        <v>6.5000000000000002E-2</v>
      </c>
      <c r="AM169" s="1185">
        <v>6.5000000000000002E-2</v>
      </c>
      <c r="AN169" s="1185">
        <v>6.5000000000000002E-2</v>
      </c>
      <c r="AO169" s="1185">
        <v>6.5000000000000002E-2</v>
      </c>
      <c r="AP169" s="1185">
        <v>6.5000000000000002E-2</v>
      </c>
      <c r="AQ169" s="1185">
        <v>6.5000000000000002E-2</v>
      </c>
      <c r="AR169" s="1185">
        <v>5.5E-2</v>
      </c>
      <c r="AS169" s="1185">
        <v>4.4999999999999998E-2</v>
      </c>
      <c r="AT169" s="1185">
        <v>3.7499999999999999E-2</v>
      </c>
      <c r="AU169" s="1185">
        <v>2.2499999999999999E-2</v>
      </c>
      <c r="AV169" s="1185">
        <v>0.02</v>
      </c>
      <c r="AW169" s="1185">
        <v>0.02</v>
      </c>
      <c r="AX169" s="1185">
        <v>2.75E-2</v>
      </c>
      <c r="AY169" s="1185">
        <v>4.2500000000000003E-2</v>
      </c>
      <c r="AZ169" s="1185">
        <v>6.25E-2</v>
      </c>
      <c r="BA169" s="1185">
        <v>9.2499999999999999E-2</v>
      </c>
      <c r="BB169" s="1185">
        <v>0.11749999999999999</v>
      </c>
      <c r="BC169" s="1185">
        <v>0.13250000000000001</v>
      </c>
      <c r="BD169" s="1185">
        <v>0.13750000000000001</v>
      </c>
      <c r="BE169" s="1185">
        <v>0.13750000000000001</v>
      </c>
      <c r="BF169" s="1185">
        <v>0.13750000000000001</v>
      </c>
      <c r="BG169" s="1185">
        <v>0.13750000000000001</v>
      </c>
      <c r="BH169" s="1185">
        <v>0.1275</v>
      </c>
      <c r="BI169" s="1185">
        <v>0.11749999999999999</v>
      </c>
      <c r="BJ169" s="1185">
        <v>0.1075</v>
      </c>
      <c r="BK169" s="1349">
        <v>0.10249999999999999</v>
      </c>
      <c r="BL169" s="1186">
        <v>0.1</v>
      </c>
      <c r="BM169" s="1186">
        <v>0.1</v>
      </c>
      <c r="BN169" s="1186">
        <v>0.1</v>
      </c>
      <c r="BO169" s="1186">
        <v>0.1</v>
      </c>
      <c r="BP169" s="1186">
        <v>0.1</v>
      </c>
      <c r="BQ169" s="1186">
        <v>0.1</v>
      </c>
      <c r="BR169" s="1186">
        <v>9.7153305782232247E-2</v>
      </c>
      <c r="BS169" s="1186">
        <v>9.7153305782232247E-2</v>
      </c>
      <c r="BT169" s="1186">
        <v>9.7153305782232247E-2</v>
      </c>
      <c r="BU169" s="1186">
        <v>9.7153305782232247E-2</v>
      </c>
      <c r="BV169" s="1783">
        <f>+BU169</f>
        <v>9.7153305782232247E-2</v>
      </c>
      <c r="BW169" s="1783">
        <f t="shared" si="813"/>
        <v>9.7153305782232247E-2</v>
      </c>
      <c r="BX169" s="1783">
        <f t="shared" si="813"/>
        <v>9.7153305782232247E-2</v>
      </c>
      <c r="BY169" s="1783">
        <f t="shared" si="813"/>
        <v>9.7153305782232247E-2</v>
      </c>
      <c r="BZ169" s="1783">
        <f t="shared" si="813"/>
        <v>9.7153305782232247E-2</v>
      </c>
      <c r="CA169" s="1783">
        <f t="shared" si="813"/>
        <v>9.7153305782232247E-2</v>
      </c>
      <c r="CB169" s="1783">
        <f t="shared" si="813"/>
        <v>9.7153305782232247E-2</v>
      </c>
      <c r="CC169" s="1783">
        <f t="shared" si="813"/>
        <v>9.7153305782232247E-2</v>
      </c>
      <c r="CD169" s="1783">
        <f t="shared" si="813"/>
        <v>9.7153305782232247E-2</v>
      </c>
      <c r="CE169" s="1783">
        <f t="shared" si="813"/>
        <v>9.7153305782232247E-2</v>
      </c>
      <c r="CF169" s="1783">
        <f t="shared" si="813"/>
        <v>9.7153305782232247E-2</v>
      </c>
      <c r="CG169" s="1783">
        <f t="shared" si="813"/>
        <v>9.7153305782232247E-2</v>
      </c>
      <c r="CH169" s="1783">
        <f t="shared" si="813"/>
        <v>9.7153305782232247E-2</v>
      </c>
      <c r="CI169" s="1783">
        <f t="shared" si="813"/>
        <v>9.7153305782232247E-2</v>
      </c>
      <c r="CJ169" s="1783">
        <f t="shared" si="813"/>
        <v>9.7153305782232247E-2</v>
      </c>
      <c r="CK169" s="1783">
        <f t="shared" si="813"/>
        <v>9.7153305782232247E-2</v>
      </c>
      <c r="CL169" s="1783">
        <f t="shared" si="840"/>
        <v>9.7153305782232247E-2</v>
      </c>
      <c r="CM169" s="1783">
        <f t="shared" si="841"/>
        <v>9.7153305782232247E-2</v>
      </c>
      <c r="CN169" s="1783">
        <f t="shared" si="842"/>
        <v>9.7153305782232247E-2</v>
      </c>
      <c r="CO169" s="1783">
        <f t="shared" si="843"/>
        <v>9.7153305782232247E-2</v>
      </c>
      <c r="CP169" s="1783">
        <f t="shared" si="844"/>
        <v>9.7153305782232247E-2</v>
      </c>
      <c r="CQ169" s="1783">
        <f t="shared" si="845"/>
        <v>9.7153305782232247E-2</v>
      </c>
      <c r="CR169" s="1783">
        <f t="shared" si="846"/>
        <v>9.7153305782232247E-2</v>
      </c>
      <c r="CS169" s="1783">
        <f t="shared" si="847"/>
        <v>9.7153305782232247E-2</v>
      </c>
      <c r="CT169" s="1783">
        <f t="shared" si="848"/>
        <v>9.7153305782232247E-2</v>
      </c>
      <c r="CU169" s="1783">
        <f t="shared" si="849"/>
        <v>9.7153305782232247E-2</v>
      </c>
      <c r="CV169" s="1783">
        <f t="shared" si="850"/>
        <v>9.7153305782232247E-2</v>
      </c>
      <c r="CW169" s="1783">
        <f t="shared" si="851"/>
        <v>9.7153305782232247E-2</v>
      </c>
    </row>
    <row r="170" spans="1:101" s="165" customFormat="1">
      <c r="A170" s="312" t="s">
        <v>986</v>
      </c>
      <c r="B170" s="1184"/>
      <c r="C170" s="1184"/>
      <c r="D170" s="1184"/>
      <c r="E170" s="1184"/>
      <c r="F170" s="1184"/>
      <c r="G170" s="1184"/>
      <c r="H170" s="1184"/>
      <c r="I170" s="1184"/>
      <c r="J170" s="1184"/>
      <c r="K170" s="1184"/>
      <c r="L170" s="1184"/>
      <c r="M170" s="1184"/>
      <c r="N170" s="1184"/>
      <c r="O170" s="1184"/>
      <c r="P170" s="1184"/>
      <c r="Q170" s="1184"/>
      <c r="R170" s="1184"/>
      <c r="S170" s="1184"/>
      <c r="T170" s="1184"/>
      <c r="U170" s="1184"/>
      <c r="V170" s="1184"/>
      <c r="W170" s="1184"/>
      <c r="X170" s="1184"/>
      <c r="Y170" s="1184"/>
      <c r="Z170" s="1184"/>
      <c r="AA170" s="1184"/>
      <c r="AB170" s="1184"/>
      <c r="AC170" s="1184"/>
      <c r="AD170" s="1184"/>
      <c r="AE170" s="1184"/>
      <c r="AF170" s="1184"/>
      <c r="AG170" s="1184"/>
      <c r="AH170" s="1184"/>
      <c r="AI170" s="1184"/>
      <c r="AJ170" s="1184"/>
      <c r="AK170" s="1184"/>
      <c r="AL170" s="1184"/>
      <c r="AM170" s="1184"/>
      <c r="AN170" s="1184"/>
      <c r="AO170" s="1184"/>
      <c r="AP170" s="1184"/>
      <c r="AQ170" s="1184"/>
      <c r="AR170" s="1184"/>
      <c r="AS170" s="1184"/>
      <c r="AT170" s="1735"/>
      <c r="AU170" s="1735"/>
      <c r="AV170" s="1735"/>
      <c r="AW170" s="1735"/>
      <c r="AX170" s="1735"/>
      <c r="AY170" s="1735"/>
      <c r="AZ170" s="1735"/>
      <c r="BA170" s="1735"/>
      <c r="BB170" s="1735"/>
      <c r="BC170" s="1735"/>
      <c r="BD170" s="1735"/>
      <c r="BE170" s="1735"/>
      <c r="BF170" s="1735"/>
      <c r="BG170" s="1735"/>
      <c r="BH170" s="1735"/>
      <c r="BI170" s="1735"/>
      <c r="BJ170" s="1735"/>
      <c r="BK170" s="1711"/>
      <c r="BL170" s="1188"/>
      <c r="BM170" s="1188"/>
      <c r="BN170" s="1188"/>
      <c r="BO170" s="1188"/>
      <c r="BP170" s="1188"/>
      <c r="BQ170" s="1188"/>
    </row>
    <row r="171" spans="1:101">
      <c r="A171" s="627"/>
      <c r="B171" s="628"/>
      <c r="C171" s="628"/>
      <c r="D171" s="628"/>
      <c r="E171" s="628"/>
      <c r="F171" s="628"/>
      <c r="G171" s="628"/>
      <c r="H171" s="628"/>
      <c r="I171" s="628"/>
      <c r="J171" s="628"/>
      <c r="K171" s="628"/>
      <c r="L171" s="628"/>
      <c r="M171" s="628"/>
      <c r="N171" s="628"/>
      <c r="O171" s="628"/>
      <c r="P171" s="628"/>
      <c r="Q171" s="628"/>
      <c r="R171" s="628"/>
      <c r="S171" s="628"/>
      <c r="T171" s="628"/>
      <c r="U171" s="628"/>
      <c r="V171" s="628"/>
      <c r="W171" s="628"/>
      <c r="X171" s="628"/>
      <c r="Y171" s="628"/>
      <c r="Z171" s="628"/>
      <c r="AA171" s="628"/>
      <c r="AB171" s="628"/>
      <c r="AC171" s="628"/>
      <c r="AD171" s="628"/>
      <c r="AE171" s="628"/>
      <c r="AF171" s="628"/>
      <c r="AG171" s="628"/>
      <c r="AH171" s="628"/>
      <c r="AI171" s="628"/>
      <c r="AJ171" s="628"/>
      <c r="AK171" s="628"/>
      <c r="AL171" s="628"/>
      <c r="AM171" s="628"/>
      <c r="AN171" s="628"/>
      <c r="AO171" s="628"/>
      <c r="AP171" s="629"/>
      <c r="AQ171" s="629"/>
      <c r="AR171" s="629"/>
      <c r="AS171" s="629"/>
      <c r="AT171" s="629"/>
      <c r="AU171" s="629"/>
      <c r="AV171" s="629"/>
      <c r="AW171" s="629"/>
      <c r="AX171" s="629"/>
      <c r="AY171" s="629"/>
      <c r="AZ171" s="629"/>
      <c r="BA171" s="629"/>
      <c r="BB171" s="629"/>
      <c r="BC171" s="629"/>
      <c r="BD171" s="1859"/>
      <c r="BE171" s="1859"/>
      <c r="BF171" s="1859"/>
      <c r="BG171" s="1859"/>
      <c r="BH171" s="1859"/>
      <c r="BI171" s="1859"/>
      <c r="BJ171" s="1859"/>
      <c r="BK171" s="1688"/>
      <c r="BL171" s="629"/>
      <c r="BM171" s="629"/>
      <c r="BN171" s="629"/>
      <c r="BO171" s="629"/>
      <c r="BP171" s="629"/>
      <c r="BQ171" s="629"/>
      <c r="BR171" s="629"/>
      <c r="BS171" s="629"/>
      <c r="BT171" s="629"/>
      <c r="BU171" s="629"/>
      <c r="BV171" s="629"/>
      <c r="BW171" s="629"/>
      <c r="BX171" s="629"/>
      <c r="BY171" s="629"/>
      <c r="BZ171" s="629"/>
      <c r="CA171" s="629"/>
      <c r="CB171" s="629"/>
      <c r="CC171" s="629"/>
      <c r="CD171" s="629"/>
      <c r="CE171" s="629"/>
      <c r="CF171" s="629"/>
      <c r="CG171" s="629"/>
      <c r="CH171" s="629"/>
      <c r="CI171" s="629"/>
      <c r="CJ171" s="629"/>
      <c r="CK171" s="629"/>
      <c r="CL171" s="629"/>
      <c r="CM171" s="629"/>
      <c r="CN171" s="629"/>
      <c r="CO171" s="629"/>
      <c r="CP171" s="629"/>
      <c r="CQ171" s="629"/>
      <c r="CR171" s="629"/>
      <c r="CS171" s="629"/>
      <c r="CT171" s="629"/>
      <c r="CU171" s="629"/>
      <c r="CV171" s="629"/>
      <c r="CW171" s="629"/>
    </row>
    <row r="172" spans="1:101">
      <c r="A172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172" s="4"/>
      <c r="C172" s="4"/>
      <c r="D172" s="4"/>
      <c r="E172" s="4"/>
      <c r="F172" s="4"/>
      <c r="G172" s="4"/>
      <c r="H172" s="12"/>
      <c r="I172" s="624"/>
      <c r="J172" s="4"/>
      <c r="K172" s="4"/>
      <c r="L172" s="12"/>
      <c r="M172" s="624"/>
      <c r="N172" s="4"/>
      <c r="O172" s="4"/>
      <c r="P172" s="625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631"/>
      <c r="AH172" s="4"/>
      <c r="AI172" s="4"/>
      <c r="AJ172" s="4"/>
      <c r="AK172" s="4"/>
      <c r="AL172" s="4"/>
      <c r="AM172" s="4"/>
      <c r="AN172" s="4"/>
      <c r="AO172" s="4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626"/>
      <c r="BR172" s="626"/>
      <c r="BS172" s="626"/>
      <c r="BT172" s="626"/>
      <c r="BU172" s="626"/>
      <c r="BV172" s="626"/>
      <c r="BW172" s="626"/>
      <c r="BX172" s="626"/>
      <c r="BY172" s="626"/>
      <c r="BZ172" s="626"/>
      <c r="CA172" s="626"/>
      <c r="CB172" s="626"/>
      <c r="CC172" s="626"/>
      <c r="CD172" s="626"/>
      <c r="CE172" s="626"/>
      <c r="CF172" s="626"/>
      <c r="CG172" s="626"/>
      <c r="CH172" s="626"/>
      <c r="CI172" s="626"/>
      <c r="CJ172" s="626"/>
      <c r="CK172" s="626" t="s">
        <v>281</v>
      </c>
      <c r="CL172" s="626" t="s">
        <v>281</v>
      </c>
      <c r="CM172" s="626" t="s">
        <v>281</v>
      </c>
      <c r="CN172" s="626" t="s">
        <v>281</v>
      </c>
      <c r="CO172" s="626" t="s">
        <v>281</v>
      </c>
      <c r="CP172" s="626" t="s">
        <v>281</v>
      </c>
      <c r="CQ172" s="626" t="s">
        <v>281</v>
      </c>
      <c r="CR172" s="626" t="s">
        <v>281</v>
      </c>
      <c r="CS172" s="626" t="s">
        <v>281</v>
      </c>
      <c r="CT172" s="626" t="s">
        <v>281</v>
      </c>
      <c r="CU172" s="626" t="s">
        <v>281</v>
      </c>
      <c r="CV172" s="626" t="s">
        <v>281</v>
      </c>
      <c r="CW172" s="626" t="s">
        <v>281</v>
      </c>
    </row>
    <row r="173" spans="1:101">
      <c r="Z173" s="91"/>
      <c r="AA173" s="91"/>
      <c r="AB173" s="91"/>
      <c r="AC173" s="91"/>
      <c r="AD173" s="91"/>
      <c r="AE173" s="91"/>
    </row>
    <row r="174" spans="1:101"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L174" s="47"/>
      <c r="BM174" s="47"/>
      <c r="BN174" s="47"/>
      <c r="BO174" s="47"/>
      <c r="BP174" s="47"/>
      <c r="BQ174" s="47"/>
      <c r="BR174" s="47"/>
      <c r="BS174" s="47"/>
    </row>
    <row r="176" spans="1:101"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L176" s="47"/>
      <c r="BM176" s="47"/>
      <c r="BN176" s="47"/>
      <c r="BO176" s="47"/>
      <c r="BP176" s="47"/>
      <c r="BQ176" s="47"/>
      <c r="BR176" s="47"/>
      <c r="BS176" s="47"/>
    </row>
    <row r="178" spans="32:71"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L178" s="47"/>
      <c r="BM178" s="47"/>
      <c r="BN178" s="47"/>
      <c r="BO178" s="47"/>
      <c r="BP178" s="47"/>
      <c r="BQ178" s="47"/>
      <c r="BR178" s="47"/>
      <c r="BS178" s="47"/>
    </row>
    <row r="180" spans="32:71"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L180" s="47"/>
      <c r="BM180" s="47"/>
      <c r="BN180" s="47"/>
      <c r="BO180" s="47"/>
      <c r="BP180" s="47"/>
      <c r="BQ180" s="47"/>
      <c r="BR180" s="47"/>
      <c r="BS180" s="47"/>
    </row>
    <row r="186" spans="32:71">
      <c r="AR186" s="506"/>
      <c r="AS186" s="506"/>
      <c r="AT186" s="506"/>
      <c r="AU186" s="506"/>
      <c r="AV186" s="506"/>
      <c r="AW186" s="506"/>
      <c r="AX186" s="506"/>
      <c r="AY186" s="506"/>
      <c r="AZ186" s="506"/>
      <c r="BA186" s="506"/>
    </row>
    <row r="187" spans="32:71">
      <c r="AR187" s="1389"/>
      <c r="AS187" s="1389"/>
      <c r="AT187" s="1389"/>
      <c r="AU187" s="1389"/>
      <c r="AV187" s="1389"/>
      <c r="AW187" s="1389"/>
      <c r="AX187" s="1389"/>
      <c r="AY187" s="1389"/>
      <c r="AZ187" s="1389"/>
      <c r="BA187" s="1389"/>
    </row>
    <row r="188" spans="32:71">
      <c r="AR188" s="506"/>
      <c r="AS188" s="506"/>
      <c r="AT188" s="506"/>
      <c r="AU188" s="506"/>
      <c r="AV188" s="506"/>
      <c r="AW188" s="506"/>
      <c r="AX188" s="506"/>
      <c r="AY188" s="506"/>
      <c r="AZ188" s="506"/>
      <c r="BA188" s="506"/>
      <c r="BB188" s="506"/>
      <c r="BC188" s="506"/>
    </row>
    <row r="189" spans="32:71">
      <c r="AR189" s="506"/>
      <c r="AS189" s="506"/>
      <c r="AT189" s="506"/>
      <c r="AU189" s="506"/>
      <c r="AV189" s="506"/>
      <c r="AW189" s="506"/>
      <c r="AX189" s="506"/>
      <c r="AY189" s="506"/>
      <c r="AZ189" s="506"/>
      <c r="BA189" s="506"/>
      <c r="BB189" s="506"/>
      <c r="BC189" s="506"/>
    </row>
  </sheetData>
  <phoneticPr fontId="18" type="noConversion"/>
  <pageMargins left="0.5" right="0.25" top="0.5" bottom="0.5" header="0.5" footer="0.5"/>
  <pageSetup scale="64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indexed="8"/>
    <pageSetUpPr fitToPage="1"/>
  </sheetPr>
  <dimension ref="A1"/>
  <sheetViews>
    <sheetView showGridLines="0" workbookViewId="0"/>
  </sheetViews>
  <sheetFormatPr baseColWidth="10" defaultColWidth="9.42578125" defaultRowHeight="11.25"/>
  <cols>
    <col min="1" max="16384" width="9.42578125" style="9"/>
  </cols>
  <sheetData/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 tint="0.79998168889431442"/>
  </sheetPr>
  <dimension ref="A1:BS376"/>
  <sheetViews>
    <sheetView showGridLines="0"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4" sqref="C14"/>
    </sheetView>
  </sheetViews>
  <sheetFormatPr baseColWidth="10" defaultColWidth="9.42578125" defaultRowHeight="11.25" outlineLevelCol="1"/>
  <cols>
    <col min="1" max="1" width="39.5703125" style="9" customWidth="1"/>
    <col min="2" max="2" width="9" style="9" customWidth="1" outlineLevel="1"/>
    <col min="3" max="30" width="9.42578125" style="9" customWidth="1" outlineLevel="1"/>
    <col min="31" max="31" width="9.42578125" style="2196" customWidth="1" outlineLevel="1"/>
    <col min="32" max="34" width="9.42578125" style="9" customWidth="1" outlineLevel="1"/>
    <col min="35" max="37" width="9.42578125" style="9"/>
    <col min="38" max="38" width="9.42578125" style="9" customWidth="1"/>
    <col min="39" max="39" width="9.42578125" style="9"/>
    <col min="40" max="42" width="10.5703125" style="9" bestFit="1" customWidth="1"/>
    <col min="43" max="56" width="9.42578125" style="9"/>
    <col min="57" max="59" width="9.42578125" style="9" hidden="1" customWidth="1" outlineLevel="1"/>
    <col min="60" max="60" width="9.42578125" style="9" collapsed="1"/>
    <col min="61" max="16384" width="9.42578125" style="9"/>
  </cols>
  <sheetData>
    <row r="1" spans="1:71" ht="18">
      <c r="A1" s="24" t="str">
        <f>Index!$G$12</f>
        <v>Alsea</v>
      </c>
      <c r="B1" s="2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409"/>
      <c r="AA1" s="409"/>
      <c r="AB1" s="409"/>
      <c r="AC1" s="409"/>
      <c r="AD1" s="409"/>
      <c r="AE1" s="2183"/>
      <c r="AF1" s="554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4"/>
      <c r="BC1" s="554"/>
      <c r="BD1" s="554"/>
      <c r="BE1" s="554"/>
      <c r="BF1" s="554"/>
      <c r="BG1" s="554"/>
      <c r="BH1" s="554"/>
      <c r="BI1" s="554"/>
      <c r="BJ1" s="554"/>
      <c r="BK1" s="554"/>
      <c r="BL1" s="554"/>
      <c r="BM1" s="554"/>
      <c r="BN1" s="554"/>
      <c r="BO1" s="554"/>
      <c r="BP1" s="554"/>
      <c r="BQ1" s="554"/>
      <c r="BR1" s="554"/>
    </row>
    <row r="2" spans="1:71" ht="12.75">
      <c r="A2" s="551" t="s">
        <v>580</v>
      </c>
      <c r="B2" s="551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409"/>
      <c r="AA2" s="409"/>
      <c r="AB2" s="409"/>
      <c r="AC2" s="409"/>
      <c r="AD2" s="409"/>
      <c r="AE2" s="2183"/>
      <c r="AF2" s="131"/>
      <c r="AG2" s="131"/>
      <c r="AH2" s="131"/>
      <c r="AI2" s="131"/>
      <c r="AJ2" s="131"/>
      <c r="AK2" s="131"/>
      <c r="AL2" s="131"/>
      <c r="AM2" s="578" t="s">
        <v>1251</v>
      </c>
      <c r="AN2" s="578" t="s">
        <v>1251</v>
      </c>
      <c r="AO2" s="578" t="s">
        <v>1251</v>
      </c>
      <c r="AP2" s="578" t="s">
        <v>1251</v>
      </c>
      <c r="AQ2" s="578" t="s">
        <v>1178</v>
      </c>
      <c r="AR2" s="578" t="s">
        <v>1178</v>
      </c>
      <c r="AS2" s="578" t="s">
        <v>1178</v>
      </c>
      <c r="AT2" s="578" t="s">
        <v>1178</v>
      </c>
      <c r="AU2" s="578" t="s">
        <v>1178</v>
      </c>
      <c r="AV2" s="578" t="s">
        <v>1178</v>
      </c>
      <c r="AW2" s="578" t="s">
        <v>1178</v>
      </c>
      <c r="AX2" s="578" t="s">
        <v>1178</v>
      </c>
      <c r="AY2" s="578" t="s">
        <v>1178</v>
      </c>
      <c r="AZ2" s="578" t="s">
        <v>1178</v>
      </c>
      <c r="BA2" s="578" t="s">
        <v>1178</v>
      </c>
      <c r="BB2" s="578" t="s">
        <v>1178</v>
      </c>
      <c r="BC2" s="578" t="s">
        <v>1178</v>
      </c>
      <c r="BD2" s="578" t="s">
        <v>1178</v>
      </c>
      <c r="BE2" s="578" t="s">
        <v>1178</v>
      </c>
      <c r="BF2" s="578" t="s">
        <v>1178</v>
      </c>
      <c r="BG2" s="578" t="s">
        <v>1178</v>
      </c>
      <c r="BH2" s="578" t="s">
        <v>1178</v>
      </c>
      <c r="BI2" s="578" t="s">
        <v>1178</v>
      </c>
      <c r="BJ2" s="578" t="s">
        <v>1178</v>
      </c>
      <c r="BK2" s="578" t="s">
        <v>1178</v>
      </c>
      <c r="BL2" s="578" t="s">
        <v>1178</v>
      </c>
      <c r="BM2" s="131"/>
      <c r="BN2" s="131"/>
      <c r="BO2" s="131"/>
      <c r="BP2" s="131"/>
      <c r="BQ2" s="131"/>
      <c r="BR2" s="131"/>
    </row>
    <row r="3" spans="1:71">
      <c r="A3" s="577" t="s">
        <v>662</v>
      </c>
      <c r="B3" s="577"/>
      <c r="C3" s="578" t="s">
        <v>690</v>
      </c>
      <c r="D3" s="578" t="s">
        <v>691</v>
      </c>
      <c r="E3" s="578" t="s">
        <v>692</v>
      </c>
      <c r="F3" s="578" t="s">
        <v>693</v>
      </c>
      <c r="G3" s="578" t="s">
        <v>114</v>
      </c>
      <c r="H3" s="578" t="s">
        <v>115</v>
      </c>
      <c r="I3" s="578" t="s">
        <v>116</v>
      </c>
      <c r="J3" s="578" t="s">
        <v>117</v>
      </c>
      <c r="K3" s="578" t="s">
        <v>267</v>
      </c>
      <c r="L3" s="578" t="s">
        <v>268</v>
      </c>
      <c r="M3" s="578" t="s">
        <v>272</v>
      </c>
      <c r="N3" s="578" t="s">
        <v>273</v>
      </c>
      <c r="O3" s="578" t="s">
        <v>276</v>
      </c>
      <c r="P3" s="578" t="s">
        <v>13</v>
      </c>
      <c r="Q3" s="578" t="s">
        <v>14</v>
      </c>
      <c r="R3" s="578" t="s">
        <v>15</v>
      </c>
      <c r="S3" s="578" t="s">
        <v>292</v>
      </c>
      <c r="T3" s="578" t="s">
        <v>274</v>
      </c>
      <c r="U3" s="578" t="s">
        <v>196</v>
      </c>
      <c r="V3" s="578" t="s">
        <v>154</v>
      </c>
      <c r="W3" s="578" t="s">
        <v>155</v>
      </c>
      <c r="X3" s="578" t="s">
        <v>156</v>
      </c>
      <c r="Y3" s="578" t="s">
        <v>157</v>
      </c>
      <c r="Z3" s="578" t="s">
        <v>158</v>
      </c>
      <c r="AA3" s="578" t="s">
        <v>159</v>
      </c>
      <c r="AB3" s="578" t="s">
        <v>160</v>
      </c>
      <c r="AC3" s="578" t="s">
        <v>161</v>
      </c>
      <c r="AD3" s="578" t="s">
        <v>162</v>
      </c>
      <c r="AE3" s="2184" t="s">
        <v>163</v>
      </c>
      <c r="AF3" s="578" t="s">
        <v>164</v>
      </c>
      <c r="AG3" s="578" t="s">
        <v>165</v>
      </c>
      <c r="AH3" s="578" t="s">
        <v>166</v>
      </c>
      <c r="AI3" s="578" t="s">
        <v>167</v>
      </c>
      <c r="AJ3" s="578" t="s">
        <v>168</v>
      </c>
      <c r="AK3" s="578" t="s">
        <v>169</v>
      </c>
      <c r="AL3" s="578" t="s">
        <v>170</v>
      </c>
      <c r="AM3" s="578" t="s">
        <v>171</v>
      </c>
      <c r="AN3" s="578" t="s">
        <v>172</v>
      </c>
      <c r="AO3" s="578" t="s">
        <v>173</v>
      </c>
      <c r="AP3" s="578" t="s">
        <v>174</v>
      </c>
      <c r="AQ3" s="578" t="s">
        <v>175</v>
      </c>
      <c r="AR3" s="578" t="s">
        <v>176</v>
      </c>
      <c r="AS3" s="578" t="s">
        <v>177</v>
      </c>
      <c r="AT3" s="578" t="s">
        <v>178</v>
      </c>
      <c r="AU3" s="578" t="s">
        <v>179</v>
      </c>
      <c r="AV3" s="578" t="s">
        <v>180</v>
      </c>
      <c r="AW3" s="578" t="s">
        <v>181</v>
      </c>
      <c r="AX3" s="578" t="s">
        <v>182</v>
      </c>
      <c r="AY3" s="578" t="s">
        <v>183</v>
      </c>
      <c r="AZ3" s="578" t="s">
        <v>184</v>
      </c>
      <c r="BA3" s="578" t="s">
        <v>185</v>
      </c>
      <c r="BB3" s="578" t="s">
        <v>186</v>
      </c>
      <c r="BC3" s="578" t="s">
        <v>452</v>
      </c>
      <c r="BD3" s="578" t="s">
        <v>453</v>
      </c>
      <c r="BE3" s="578" t="s">
        <v>454</v>
      </c>
      <c r="BF3" s="578" t="s">
        <v>455</v>
      </c>
      <c r="BG3" s="578" t="s">
        <v>456</v>
      </c>
      <c r="BH3" s="578" t="s">
        <v>457</v>
      </c>
      <c r="BI3" s="578" t="s">
        <v>458</v>
      </c>
      <c r="BJ3" s="578" t="s">
        <v>459</v>
      </c>
      <c r="BK3" s="578" t="s">
        <v>460</v>
      </c>
      <c r="BL3" s="578" t="s">
        <v>461</v>
      </c>
      <c r="BM3" s="578" t="s">
        <v>462</v>
      </c>
      <c r="BN3" s="578" t="s">
        <v>463</v>
      </c>
      <c r="BO3" s="578" t="s">
        <v>464</v>
      </c>
      <c r="BP3" s="578" t="s">
        <v>465</v>
      </c>
      <c r="BQ3" s="578" t="s">
        <v>466</v>
      </c>
      <c r="BR3" s="578" t="s">
        <v>467</v>
      </c>
    </row>
    <row r="4" spans="1:71" s="2119" customFormat="1">
      <c r="A4" s="2181" t="s">
        <v>695</v>
      </c>
      <c r="B4" s="2181"/>
      <c r="C4" s="2182">
        <v>2084.1030000000001</v>
      </c>
      <c r="D4" s="2182">
        <v>2072.723</v>
      </c>
      <c r="E4" s="2182">
        <v>2119.5929999999998</v>
      </c>
      <c r="F4" s="2182">
        <v>2310.6619999999998</v>
      </c>
      <c r="G4" s="2182">
        <v>2095.8180000000002</v>
      </c>
      <c r="H4" s="2182">
        <v>2166.6999999999998</v>
      </c>
      <c r="I4" s="2182">
        <v>2274.9250000000002</v>
      </c>
      <c r="J4" s="2182">
        <v>2443.9969999999998</v>
      </c>
      <c r="K4" s="2182">
        <v>2396.7440000000001</v>
      </c>
      <c r="L4" s="2182">
        <v>2595.1480000000001</v>
      </c>
      <c r="M4" s="2182">
        <v>2768.78</v>
      </c>
      <c r="N4" s="2182">
        <v>2935.8319999999999</v>
      </c>
      <c r="O4" s="2182">
        <v>2962.0479999999998</v>
      </c>
      <c r="P4" s="2182">
        <v>3426.5659999999998</v>
      </c>
      <c r="Q4" s="2182">
        <v>3502.4520000000002</v>
      </c>
      <c r="R4" s="2182">
        <v>3628.4470000000001</v>
      </c>
      <c r="S4" s="2182">
        <v>3398.7460000000001</v>
      </c>
      <c r="T4" s="2182">
        <v>3820.627</v>
      </c>
      <c r="U4" s="2182">
        <v>4082.3409999999999</v>
      </c>
      <c r="V4" s="2182">
        <v>4410.951</v>
      </c>
      <c r="W4" s="2182">
        <v>3992.0360000000001</v>
      </c>
      <c r="X4" s="2182">
        <v>5203.326</v>
      </c>
      <c r="Y4" s="2182">
        <v>5701.3490000000002</v>
      </c>
      <c r="Z4" s="2182">
        <v>7903.5439999999999</v>
      </c>
      <c r="AA4" s="2182">
        <v>7344.2340000000004</v>
      </c>
      <c r="AB4" s="2182">
        <v>7761.942</v>
      </c>
      <c r="AC4" s="2182">
        <v>8224.3739999999998</v>
      </c>
      <c r="AD4" s="2182">
        <v>8957.8259999999991</v>
      </c>
      <c r="AE4" s="2185">
        <v>8534.76</v>
      </c>
      <c r="AF4" s="2182">
        <v>9065.5679999999993</v>
      </c>
      <c r="AG4" s="2182">
        <v>9601.9840000000004</v>
      </c>
      <c r="AH4" s="2182">
        <v>10499.555</v>
      </c>
      <c r="AI4" s="2182">
        <v>10093.24</v>
      </c>
      <c r="AJ4" s="2182">
        <v>10344.403</v>
      </c>
      <c r="AK4" s="2182">
        <v>10475.353999999999</v>
      </c>
      <c r="AL4" s="2182">
        <v>11616.124</v>
      </c>
      <c r="AM4" s="2182">
        <v>11079.865</v>
      </c>
      <c r="AN4" s="2182">
        <v>11325.508</v>
      </c>
      <c r="AO4" s="2182">
        <v>11375.396000000001</v>
      </c>
      <c r="AP4" s="2182">
        <v>12375.822</v>
      </c>
      <c r="AQ4" s="2182">
        <v>13690.588</v>
      </c>
      <c r="AR4" s="2182">
        <v>14580.537</v>
      </c>
      <c r="AS4" s="2182">
        <v>14490.496999999999</v>
      </c>
      <c r="AT4" s="2182">
        <v>15392.996999999999</v>
      </c>
      <c r="AU4" s="2182">
        <v>12105.09</v>
      </c>
      <c r="AV4" s="2182">
        <v>5197.777</v>
      </c>
      <c r="AW4" s="2182">
        <v>9895.518</v>
      </c>
      <c r="AX4" s="2182">
        <v>11297.034</v>
      </c>
      <c r="AY4" s="2182">
        <v>10211.714</v>
      </c>
      <c r="AZ4" s="2182">
        <v>12477.368</v>
      </c>
      <c r="BA4" s="2182">
        <v>13958.275</v>
      </c>
      <c r="BB4" s="2182">
        <v>16732.112000000001</v>
      </c>
      <c r="BC4" s="2182">
        <v>15228.173000000001</v>
      </c>
      <c r="BD4" s="2182">
        <v>16939.128000000001</v>
      </c>
      <c r="BE4" s="2182">
        <v>17518.175999999999</v>
      </c>
      <c r="BF4" s="2182">
        <v>19145.828000000001</v>
      </c>
      <c r="BG4" s="2182">
        <v>17665.647000000001</v>
      </c>
      <c r="BH4" s="2182">
        <v>18948.734</v>
      </c>
      <c r="BI4" s="2182">
        <v>19469.973999999998</v>
      </c>
      <c r="BJ4" s="2182">
        <v>20146.692999999999</v>
      </c>
      <c r="BK4" s="2182">
        <v>18202.828000000001</v>
      </c>
      <c r="BL4" s="2182">
        <v>19254.041000000001</v>
      </c>
      <c r="BS4" s="2176"/>
    </row>
    <row r="5" spans="1:71">
      <c r="A5" s="36" t="s">
        <v>706</v>
      </c>
      <c r="B5" s="36"/>
      <c r="C5" s="335">
        <v>-792.54899999999998</v>
      </c>
      <c r="D5" s="335">
        <v>-772.08100000000002</v>
      </c>
      <c r="E5" s="335">
        <v>-785.44500000000005</v>
      </c>
      <c r="F5" s="335">
        <v>-816.38400000000001</v>
      </c>
      <c r="G5" s="335">
        <v>-737.38300000000004</v>
      </c>
      <c r="H5" s="335">
        <v>-748.52200000000005</v>
      </c>
      <c r="I5" s="335">
        <v>-804.15700000000004</v>
      </c>
      <c r="J5" s="335">
        <v>-883.08100000000002</v>
      </c>
      <c r="K5" s="335">
        <v>-834.66800000000001</v>
      </c>
      <c r="L5" s="335">
        <v>-898.01199999999994</v>
      </c>
      <c r="M5" s="335">
        <v>-994.89499999999998</v>
      </c>
      <c r="N5" s="335">
        <v>-1060.0239999999999</v>
      </c>
      <c r="O5" s="335">
        <v>-1064.2339999999999</v>
      </c>
      <c r="P5" s="335">
        <v>-1221.605</v>
      </c>
      <c r="Q5" s="335">
        <v>-1229.8810000000001</v>
      </c>
      <c r="R5" s="335">
        <v>-1243.6479999999999</v>
      </c>
      <c r="S5" s="335">
        <v>-1162.3409999999999</v>
      </c>
      <c r="T5" s="335">
        <v>-1255.8</v>
      </c>
      <c r="U5" s="335">
        <v>-1364.9059999999999</v>
      </c>
      <c r="V5" s="335">
        <v>-1442.7</v>
      </c>
      <c r="W5" s="335">
        <v>-1336.4760000000001</v>
      </c>
      <c r="X5" s="335">
        <v>-1652.211</v>
      </c>
      <c r="Y5" s="335">
        <v>-1828.4590000000001</v>
      </c>
      <c r="Z5" s="335">
        <v>-2459.3589999999999</v>
      </c>
      <c r="AA5" s="335">
        <v>-2307.2829999999999</v>
      </c>
      <c r="AB5" s="335">
        <v>-2452.21</v>
      </c>
      <c r="AC5" s="335">
        <v>-2605.6030000000001</v>
      </c>
      <c r="AD5" s="335">
        <v>-2784.18</v>
      </c>
      <c r="AE5" s="2186">
        <v>-2711.9270000000001</v>
      </c>
      <c r="AF5" s="335">
        <v>-2828.1619999999998</v>
      </c>
      <c r="AG5" s="335">
        <v>-2989.3530000000001</v>
      </c>
      <c r="AH5" s="335">
        <v>-3250.1889999999999</v>
      </c>
      <c r="AI5" s="335">
        <v>-3108.665</v>
      </c>
      <c r="AJ5" s="335">
        <v>-3130.712</v>
      </c>
      <c r="AK5" s="335">
        <v>-3168.0720000000001</v>
      </c>
      <c r="AL5" s="335">
        <v>-3515.739</v>
      </c>
      <c r="AM5" s="335">
        <v>-3338.2310000000002</v>
      </c>
      <c r="AN5" s="335">
        <v>-3452.18</v>
      </c>
      <c r="AO5" s="335">
        <v>-3528.8420000000001</v>
      </c>
      <c r="AP5" s="335">
        <v>-3868.2550000000001</v>
      </c>
      <c r="AQ5" s="335">
        <v>-4104.5069999999996</v>
      </c>
      <c r="AR5" s="335">
        <v>-4300.4579999999996</v>
      </c>
      <c r="AS5" s="335">
        <v>-4278.6450000000004</v>
      </c>
      <c r="AT5" s="335">
        <v>-4480.4120000000003</v>
      </c>
      <c r="AU5" s="335">
        <v>-3610.93</v>
      </c>
      <c r="AV5" s="1170">
        <v>-1760.171</v>
      </c>
      <c r="AW5" s="335">
        <v>-2802.056</v>
      </c>
      <c r="AX5" s="335">
        <v>-3281.7269999999999</v>
      </c>
      <c r="AY5" s="335">
        <v>-3331.2280000000001</v>
      </c>
      <c r="AZ5" s="335">
        <v>-3959.6010000000001</v>
      </c>
      <c r="BA5" s="335">
        <v>-4319.6009999999997</v>
      </c>
      <c r="BB5" s="335">
        <v>-5142.6310000000003</v>
      </c>
      <c r="BC5" s="335">
        <v>-4843.2629999999999</v>
      </c>
      <c r="BD5" s="335">
        <v>-5545.5559999999996</v>
      </c>
      <c r="BE5" s="335">
        <v>-5756.9110000000001</v>
      </c>
      <c r="BF5" s="335">
        <v>-6366.3450000000003</v>
      </c>
      <c r="BG5" s="335">
        <v>-5855.1629999999996</v>
      </c>
      <c r="BH5" s="335">
        <v>-6285.5209999999997</v>
      </c>
      <c r="BI5" s="335">
        <v>-6366.6329999999998</v>
      </c>
      <c r="BJ5" s="335">
        <v>-6496.2340000000004</v>
      </c>
      <c r="BK5" s="335">
        <v>-5818.268</v>
      </c>
      <c r="BL5" s="335">
        <v>-6119.049</v>
      </c>
      <c r="BS5" s="92"/>
    </row>
    <row r="6" spans="1:71">
      <c r="A6" s="13" t="s">
        <v>332</v>
      </c>
      <c r="B6" s="13"/>
      <c r="C6" s="170">
        <f t="shared" ref="C6:AO6" si="0">C4+C5</f>
        <v>1291.5540000000001</v>
      </c>
      <c r="D6" s="170">
        <f t="shared" si="0"/>
        <v>1300.6419999999998</v>
      </c>
      <c r="E6" s="170">
        <f t="shared" si="0"/>
        <v>1334.1479999999997</v>
      </c>
      <c r="F6" s="170">
        <f t="shared" si="0"/>
        <v>1494.2779999999998</v>
      </c>
      <c r="G6" s="170">
        <f t="shared" si="0"/>
        <v>1358.4350000000002</v>
      </c>
      <c r="H6" s="170">
        <f t="shared" si="0"/>
        <v>1418.1779999999999</v>
      </c>
      <c r="I6" s="170">
        <f t="shared" si="0"/>
        <v>1470.768</v>
      </c>
      <c r="J6" s="170">
        <f t="shared" si="0"/>
        <v>1560.9159999999997</v>
      </c>
      <c r="K6" s="170">
        <f t="shared" si="0"/>
        <v>1562.076</v>
      </c>
      <c r="L6" s="170">
        <f t="shared" si="0"/>
        <v>1697.1360000000002</v>
      </c>
      <c r="M6" s="170">
        <f t="shared" si="0"/>
        <v>1773.8850000000002</v>
      </c>
      <c r="N6" s="170">
        <f t="shared" si="0"/>
        <v>1875.808</v>
      </c>
      <c r="O6" s="170">
        <f t="shared" si="0"/>
        <v>1897.8139999999999</v>
      </c>
      <c r="P6" s="170">
        <f t="shared" si="0"/>
        <v>2204.9609999999998</v>
      </c>
      <c r="Q6" s="170">
        <f t="shared" si="0"/>
        <v>2272.5709999999999</v>
      </c>
      <c r="R6" s="170">
        <f t="shared" si="0"/>
        <v>2384.799</v>
      </c>
      <c r="S6" s="170">
        <f t="shared" si="0"/>
        <v>2236.4050000000002</v>
      </c>
      <c r="T6" s="170">
        <f t="shared" si="0"/>
        <v>2564.8270000000002</v>
      </c>
      <c r="U6" s="170">
        <f t="shared" si="0"/>
        <v>2717.4349999999999</v>
      </c>
      <c r="V6" s="170">
        <f t="shared" si="0"/>
        <v>2968.2510000000002</v>
      </c>
      <c r="W6" s="170">
        <f t="shared" si="0"/>
        <v>2655.56</v>
      </c>
      <c r="X6" s="170">
        <f t="shared" si="0"/>
        <v>3551.1149999999998</v>
      </c>
      <c r="Y6" s="170">
        <f t="shared" si="0"/>
        <v>3872.8900000000003</v>
      </c>
      <c r="Z6" s="170">
        <f t="shared" si="0"/>
        <v>5444.1849999999995</v>
      </c>
      <c r="AA6" s="170">
        <f t="shared" si="0"/>
        <v>5036.9510000000009</v>
      </c>
      <c r="AB6" s="170">
        <f t="shared" si="0"/>
        <v>5309.732</v>
      </c>
      <c r="AC6" s="170">
        <f t="shared" si="0"/>
        <v>5618.7709999999997</v>
      </c>
      <c r="AD6" s="170">
        <f t="shared" si="0"/>
        <v>6173.6459999999988</v>
      </c>
      <c r="AE6" s="2187">
        <f t="shared" si="0"/>
        <v>5822.8330000000005</v>
      </c>
      <c r="AF6" s="170">
        <f t="shared" si="0"/>
        <v>6237.405999999999</v>
      </c>
      <c r="AG6" s="170">
        <f t="shared" si="0"/>
        <v>6612.6310000000003</v>
      </c>
      <c r="AH6" s="170">
        <f t="shared" si="0"/>
        <v>7249.366</v>
      </c>
      <c r="AI6" s="170">
        <f t="shared" si="0"/>
        <v>6984.5749999999998</v>
      </c>
      <c r="AJ6" s="170">
        <f t="shared" si="0"/>
        <v>7213.6910000000007</v>
      </c>
      <c r="AK6" s="170">
        <f t="shared" si="0"/>
        <v>7307.2819999999992</v>
      </c>
      <c r="AL6" s="170">
        <f t="shared" si="0"/>
        <v>8100.3850000000002</v>
      </c>
      <c r="AM6" s="170">
        <v>7741.634</v>
      </c>
      <c r="AN6" s="170">
        <f t="shared" si="0"/>
        <v>7873.3279999999995</v>
      </c>
      <c r="AO6" s="170">
        <f t="shared" si="0"/>
        <v>7846.5540000000001</v>
      </c>
      <c r="AP6" s="170">
        <f t="shared" ref="AP6:AU6" si="1">AP4+AP5</f>
        <v>8507.5669999999991</v>
      </c>
      <c r="AQ6" s="170">
        <f t="shared" si="1"/>
        <v>9586.0810000000001</v>
      </c>
      <c r="AR6" s="170">
        <f t="shared" si="1"/>
        <v>10280.079000000002</v>
      </c>
      <c r="AS6" s="170">
        <f t="shared" si="1"/>
        <v>10211.851999999999</v>
      </c>
      <c r="AT6" s="170">
        <f t="shared" si="1"/>
        <v>10912.584999999999</v>
      </c>
      <c r="AU6" s="170">
        <f t="shared" si="1"/>
        <v>8494.16</v>
      </c>
      <c r="AV6" s="1281">
        <f t="shared" ref="AV6:BJ6" si="2">SUM(AV4+AV5)</f>
        <v>3437.6059999999998</v>
      </c>
      <c r="AW6" s="1281">
        <f t="shared" si="2"/>
        <v>7093.4619999999995</v>
      </c>
      <c r="AX6" s="170">
        <f t="shared" si="2"/>
        <v>8015.3069999999998</v>
      </c>
      <c r="AY6" s="1281">
        <f t="shared" si="2"/>
        <v>6880.4859999999999</v>
      </c>
      <c r="AZ6" s="1281">
        <f t="shared" si="2"/>
        <v>8517.7669999999998</v>
      </c>
      <c r="BA6" s="1281">
        <f t="shared" si="2"/>
        <v>9638.6739999999991</v>
      </c>
      <c r="BB6" s="1281">
        <f t="shared" si="2"/>
        <v>11589.481</v>
      </c>
      <c r="BC6" s="1281">
        <f t="shared" si="2"/>
        <v>10384.91</v>
      </c>
      <c r="BD6" s="1900">
        <f t="shared" si="2"/>
        <v>11393.572</v>
      </c>
      <c r="BE6" s="1281">
        <f t="shared" si="2"/>
        <v>11761.264999999999</v>
      </c>
      <c r="BF6" s="1281">
        <f t="shared" si="2"/>
        <v>12779.483</v>
      </c>
      <c r="BG6" s="1281">
        <f t="shared" si="2"/>
        <v>11810.484</v>
      </c>
      <c r="BH6" s="1281">
        <f t="shared" si="2"/>
        <v>12663.213</v>
      </c>
      <c r="BI6" s="1281">
        <f t="shared" si="2"/>
        <v>13103.340999999999</v>
      </c>
      <c r="BJ6" s="1281">
        <f t="shared" si="2"/>
        <v>13650.458999999999</v>
      </c>
      <c r="BK6" s="1281">
        <f t="shared" ref="BK6" si="3">SUM(BK4+BK5)</f>
        <v>12384.560000000001</v>
      </c>
      <c r="BL6" s="1281">
        <f>SUM(BL4+BL5)</f>
        <v>13134.992000000002</v>
      </c>
    </row>
    <row r="7" spans="1:71"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2188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770"/>
      <c r="AW7" s="92"/>
      <c r="AX7" s="92"/>
    </row>
    <row r="8" spans="1:71">
      <c r="A8" s="271" t="s">
        <v>696</v>
      </c>
      <c r="B8" s="271"/>
      <c r="C8" s="92">
        <f>SUM(C9:C11)</f>
        <v>-1286.9530000000002</v>
      </c>
      <c r="D8" s="92">
        <f t="shared" ref="C8:AO8" si="4">SUM(D9:D11)</f>
        <v>-1283.2380000000001</v>
      </c>
      <c r="E8" s="92">
        <f t="shared" si="4"/>
        <v>-1259.597</v>
      </c>
      <c r="F8" s="92">
        <f t="shared" si="4"/>
        <v>-1255.7649999999999</v>
      </c>
      <c r="G8" s="92">
        <f t="shared" si="4"/>
        <v>-1302.434</v>
      </c>
      <c r="H8" s="92">
        <f t="shared" si="4"/>
        <v>-1324.0819999999999</v>
      </c>
      <c r="I8" s="92">
        <f t="shared" si="4"/>
        <v>-1396.5890000000002</v>
      </c>
      <c r="J8" s="92">
        <f t="shared" si="4"/>
        <v>-1457.087</v>
      </c>
      <c r="K8" s="92">
        <f t="shared" si="4"/>
        <v>-1496.3979999999999</v>
      </c>
      <c r="L8" s="92">
        <f t="shared" si="4"/>
        <v>-1553.6</v>
      </c>
      <c r="M8" s="92">
        <f t="shared" si="4"/>
        <v>-1655.3340000000001</v>
      </c>
      <c r="N8" s="92">
        <f t="shared" si="4"/>
        <v>-1750.5050000000001</v>
      </c>
      <c r="O8" s="92">
        <f t="shared" si="4"/>
        <v>-1793.682</v>
      </c>
      <c r="P8" s="92">
        <f t="shared" si="4"/>
        <v>-1974.663</v>
      </c>
      <c r="Q8" s="92">
        <f t="shared" si="4"/>
        <v>-2070.2139999999999</v>
      </c>
      <c r="R8" s="92">
        <f t="shared" si="4"/>
        <v>-2119.3220000000001</v>
      </c>
      <c r="S8" s="92">
        <f t="shared" si="4"/>
        <v>-2067.0370000000003</v>
      </c>
      <c r="T8" s="92">
        <f t="shared" si="4"/>
        <v>-2290.0160000000001</v>
      </c>
      <c r="U8" s="92">
        <f t="shared" si="4"/>
        <v>-2412.029</v>
      </c>
      <c r="V8" s="92">
        <f t="shared" si="4"/>
        <v>-2601.1880000000001</v>
      </c>
      <c r="W8" s="92">
        <f t="shared" si="4"/>
        <v>-2477.56</v>
      </c>
      <c r="X8" s="92">
        <f t="shared" si="4"/>
        <v>-3244.364</v>
      </c>
      <c r="Y8" s="92">
        <f t="shared" si="4"/>
        <v>-3523.1279999999997</v>
      </c>
      <c r="Z8" s="92">
        <f t="shared" si="4"/>
        <v>-4821.6869999999999</v>
      </c>
      <c r="AA8" s="92">
        <f t="shared" si="4"/>
        <v>-4617.96</v>
      </c>
      <c r="AB8" s="92">
        <f t="shared" si="4"/>
        <v>-4762.3310000000001</v>
      </c>
      <c r="AC8" s="92">
        <f t="shared" si="4"/>
        <v>-5024.2699999999995</v>
      </c>
      <c r="AD8" s="92">
        <f t="shared" si="4"/>
        <v>-5380.7059999999992</v>
      </c>
      <c r="AE8" s="2188">
        <f t="shared" si="4"/>
        <v>-5336.4540000000006</v>
      </c>
      <c r="AF8" s="92">
        <f t="shared" si="4"/>
        <v>-5594.57</v>
      </c>
      <c r="AG8" s="92">
        <f t="shared" si="4"/>
        <v>-5868.9520000000002</v>
      </c>
      <c r="AH8" s="92">
        <f t="shared" si="4"/>
        <v>-6355.2579999999998</v>
      </c>
      <c r="AI8" s="92">
        <f t="shared" si="4"/>
        <v>-6371.4310000000005</v>
      </c>
      <c r="AJ8" s="92">
        <f t="shared" si="4"/>
        <v>-6466.6220000000003</v>
      </c>
      <c r="AK8" s="92">
        <f t="shared" si="4"/>
        <v>-6555.5460000000003</v>
      </c>
      <c r="AL8" s="92">
        <f t="shared" si="4"/>
        <v>-6497.7659999999996</v>
      </c>
      <c r="AM8" s="92">
        <v>-7090.2640000000001</v>
      </c>
      <c r="AN8" s="92">
        <f t="shared" si="4"/>
        <v>-7097.6129999999994</v>
      </c>
      <c r="AO8" s="92">
        <f t="shared" si="4"/>
        <v>-7024.4189999999999</v>
      </c>
      <c r="AP8" s="92">
        <f t="shared" ref="AP8:AU8" si="5">SUM(AP9:AP11)</f>
        <v>-7463.1980000000003</v>
      </c>
      <c r="AQ8" s="92">
        <f t="shared" si="5"/>
        <v>-8756.8209999999999</v>
      </c>
      <c r="AR8" s="92">
        <f t="shared" si="5"/>
        <v>-9149.7039999999997</v>
      </c>
      <c r="AS8" s="92">
        <f t="shared" si="5"/>
        <v>-8864.991</v>
      </c>
      <c r="AT8" s="92">
        <f t="shared" si="5"/>
        <v>-9648.1869999999999</v>
      </c>
      <c r="AU8" s="92">
        <f t="shared" si="5"/>
        <v>-8026.5910000000003</v>
      </c>
      <c r="AV8" s="770">
        <f t="shared" ref="AV8:BL8" si="6">SUM(AV9:AV11)</f>
        <v>-6422.3990000000003</v>
      </c>
      <c r="AW8" s="770">
        <f t="shared" si="6"/>
        <v>-7014.4480000000003</v>
      </c>
      <c r="AX8" s="92">
        <f t="shared" si="6"/>
        <v>-7030.8950000000004</v>
      </c>
      <c r="AY8" s="770">
        <f t="shared" si="6"/>
        <v>-6842.2439999999997</v>
      </c>
      <c r="AZ8" s="770">
        <f t="shared" si="6"/>
        <v>-7658.8289999999997</v>
      </c>
      <c r="BA8" s="770">
        <f t="shared" si="6"/>
        <v>-8412.3329999999987</v>
      </c>
      <c r="BB8" s="770">
        <f t="shared" si="6"/>
        <v>-9580.0609999999997</v>
      </c>
      <c r="BC8" s="770">
        <f t="shared" si="6"/>
        <v>-8949.67</v>
      </c>
      <c r="BD8" s="770">
        <f t="shared" si="6"/>
        <v>-9714.009</v>
      </c>
      <c r="BE8" s="770">
        <f t="shared" si="6"/>
        <v>-10216.406000000001</v>
      </c>
      <c r="BF8" s="770">
        <f t="shared" si="6"/>
        <v>-11097.648000000001</v>
      </c>
      <c r="BG8" s="770">
        <f t="shared" si="6"/>
        <v>-10173.945</v>
      </c>
      <c r="BH8" s="770">
        <f t="shared" si="6"/>
        <v>-10918.352000000001</v>
      </c>
      <c r="BI8" s="770">
        <f t="shared" si="6"/>
        <v>-11172.932000000001</v>
      </c>
      <c r="BJ8" s="770">
        <f t="shared" si="6"/>
        <v>-11061.909</v>
      </c>
      <c r="BK8" s="770">
        <f t="shared" si="6"/>
        <v>-10602.127</v>
      </c>
      <c r="BL8" s="770">
        <f t="shared" si="6"/>
        <v>-11192.995000000001</v>
      </c>
      <c r="BS8" s="92"/>
    </row>
    <row r="9" spans="1:71">
      <c r="A9" s="36" t="s">
        <v>696</v>
      </c>
      <c r="B9" s="36"/>
      <c r="C9" s="335">
        <v>-1117.7840000000001</v>
      </c>
      <c r="D9" s="335">
        <v>-1110.636</v>
      </c>
      <c r="E9" s="335">
        <v>-1096.915</v>
      </c>
      <c r="F9" s="335">
        <v>-1095.0509999999999</v>
      </c>
      <c r="G9" s="335">
        <v>-1134.729</v>
      </c>
      <c r="H9" s="335">
        <v>-1164.6379999999999</v>
      </c>
      <c r="I9" s="335">
        <v>-1233.2470000000001</v>
      </c>
      <c r="J9" s="335">
        <v>-1277.0519999999999</v>
      </c>
      <c r="K9" s="335">
        <v>-1334.7239999999999</v>
      </c>
      <c r="L9" s="335">
        <v>-1386.3789999999999</v>
      </c>
      <c r="M9" s="335">
        <v>-1489.6690000000001</v>
      </c>
      <c r="N9" s="335">
        <v>-1583.2860000000001</v>
      </c>
      <c r="O9" s="335">
        <v>-1612.557</v>
      </c>
      <c r="P9" s="335">
        <v>-1773.7760000000001</v>
      </c>
      <c r="Q9" s="335">
        <v>-1860.047</v>
      </c>
      <c r="R9" s="335">
        <v>-1905.7</v>
      </c>
      <c r="S9" s="335">
        <v>-1862.9380000000001</v>
      </c>
      <c r="T9" s="335">
        <v>-2059.8200000000002</v>
      </c>
      <c r="U9" s="335">
        <v>-2171.5030000000002</v>
      </c>
      <c r="V9" s="335">
        <v>-2353.9349999999999</v>
      </c>
      <c r="W9" s="335">
        <v>-2231.8069999999998</v>
      </c>
      <c r="X9" s="335">
        <v>-2932.8029999999999</v>
      </c>
      <c r="Y9" s="335">
        <v>-3167.1779999999999</v>
      </c>
      <c r="Z9" s="335">
        <v>-4398.87</v>
      </c>
      <c r="AA9" s="335">
        <v>-4186.7169999999996</v>
      </c>
      <c r="AB9" s="335">
        <v>-4312.0320000000002</v>
      </c>
      <c r="AC9" s="335">
        <v>-4531.8159999999998</v>
      </c>
      <c r="AD9" s="335">
        <v>-4806.8059999999996</v>
      </c>
      <c r="AE9" s="2186">
        <v>-4787.6710000000003</v>
      </c>
      <c r="AF9" s="335">
        <v>-5014.3980000000001</v>
      </c>
      <c r="AG9" s="335">
        <v>-5284.9080000000004</v>
      </c>
      <c r="AH9" s="335">
        <v>-5680.0209999999997</v>
      </c>
      <c r="AI9" s="335">
        <v>-5697.4690000000001</v>
      </c>
      <c r="AJ9" s="335">
        <v>-5807.22</v>
      </c>
      <c r="AK9" s="335">
        <v>-5892.4210000000003</v>
      </c>
      <c r="AL9" s="335">
        <v>-5742.5789999999997</v>
      </c>
      <c r="AM9" s="335">
        <v>-6313.71</v>
      </c>
      <c r="AN9" s="335">
        <v>-6294.44</v>
      </c>
      <c r="AO9" s="335">
        <v>-6309.6189999999997</v>
      </c>
      <c r="AP9" s="335">
        <f>-6642.997</f>
        <v>-6642.9970000000003</v>
      </c>
      <c r="AQ9" s="335">
        <v>-6838.1880000000001</v>
      </c>
      <c r="AR9" s="335">
        <v>-7218.5720000000001</v>
      </c>
      <c r="AS9" s="335">
        <v>-6742.5950000000003</v>
      </c>
      <c r="AT9" s="335">
        <v>-7573.683</v>
      </c>
      <c r="AU9" s="335">
        <v>-5999.1090000000004</v>
      </c>
      <c r="AV9" s="1170">
        <v>-4340.6080000000002</v>
      </c>
      <c r="AW9" s="335">
        <v>-4985.9840000000004</v>
      </c>
      <c r="AX9" s="335">
        <v>-4790.098</v>
      </c>
      <c r="AY9" s="335">
        <v>-4835.7579999999998</v>
      </c>
      <c r="AZ9" s="335">
        <v>-5669.7020000000002</v>
      </c>
      <c r="BA9" s="335">
        <v>-6494.3819999999996</v>
      </c>
      <c r="BB9" s="335">
        <v>-7315.2969999999996</v>
      </c>
      <c r="BC9" s="335">
        <v>-6927.2240000000002</v>
      </c>
      <c r="BD9" s="335">
        <v>-7766.098</v>
      </c>
      <c r="BE9" s="335">
        <v>-8283.4680000000008</v>
      </c>
      <c r="BF9" s="335">
        <v>-9292.6460000000006</v>
      </c>
      <c r="BG9" s="335">
        <v>-8126.0780000000004</v>
      </c>
      <c r="BH9" s="335">
        <v>-8823.7250000000004</v>
      </c>
      <c r="BI9" s="335">
        <v>-9172.5570000000007</v>
      </c>
      <c r="BJ9" s="335">
        <v>-9144.7479999999996</v>
      </c>
      <c r="BK9" s="335">
        <v>-8649.3250000000007</v>
      </c>
      <c r="BL9" s="335">
        <v>-9142.8490000000002</v>
      </c>
      <c r="BS9" s="92"/>
    </row>
    <row r="10" spans="1:71">
      <c r="A10" s="36" t="s">
        <v>367</v>
      </c>
      <c r="B10" s="36"/>
      <c r="C10" s="335">
        <v>-169.16900000000001</v>
      </c>
      <c r="D10" s="335">
        <v>-172.602</v>
      </c>
      <c r="E10" s="335">
        <v>-162.68199999999999</v>
      </c>
      <c r="F10" s="335">
        <v>-160.714</v>
      </c>
      <c r="G10" s="335">
        <v>-167.70500000000001</v>
      </c>
      <c r="H10" s="335">
        <v>-159.44399999999999</v>
      </c>
      <c r="I10" s="335">
        <v>-163.34200000000001</v>
      </c>
      <c r="J10" s="335">
        <v>-180.035</v>
      </c>
      <c r="K10" s="335">
        <v>-161.67400000000001</v>
      </c>
      <c r="L10" s="335">
        <v>-167.221</v>
      </c>
      <c r="M10" s="335">
        <v>-165.66499999999999</v>
      </c>
      <c r="N10" s="335">
        <v>-167.21899999999999</v>
      </c>
      <c r="O10" s="335">
        <v>-181.125</v>
      </c>
      <c r="P10" s="335">
        <v>-200.887</v>
      </c>
      <c r="Q10" s="335">
        <v>-210.167</v>
      </c>
      <c r="R10" s="335">
        <v>-213.62200000000001</v>
      </c>
      <c r="S10" s="335">
        <v>-204.09899999999999</v>
      </c>
      <c r="T10" s="335">
        <v>-230.196</v>
      </c>
      <c r="U10" s="335">
        <v>-240.52600000000001</v>
      </c>
      <c r="V10" s="335">
        <v>-247.25299999999999</v>
      </c>
      <c r="W10" s="335">
        <v>-245.75299999999999</v>
      </c>
      <c r="X10" s="335">
        <v>-311.56099999999998</v>
      </c>
      <c r="Y10" s="335">
        <v>-355.95</v>
      </c>
      <c r="Z10" s="335">
        <v>-422.81700000000001</v>
      </c>
      <c r="AA10" s="335">
        <v>-431.24299999999999</v>
      </c>
      <c r="AB10" s="335">
        <v>-450.29899999999998</v>
      </c>
      <c r="AC10" s="335">
        <v>-492.45400000000001</v>
      </c>
      <c r="AD10" s="335">
        <v>-573.9</v>
      </c>
      <c r="AE10" s="2186">
        <v>-548.78300000000002</v>
      </c>
      <c r="AF10" s="335">
        <v>-580.17200000000003</v>
      </c>
      <c r="AG10" s="335">
        <v>-584.04399999999998</v>
      </c>
      <c r="AH10" s="335">
        <v>-675.23699999999997</v>
      </c>
      <c r="AI10" s="335">
        <v>-673.96199999999999</v>
      </c>
      <c r="AJ10" s="335">
        <v>-659.40200000000004</v>
      </c>
      <c r="AK10" s="335">
        <v>-663.125</v>
      </c>
      <c r="AL10" s="335">
        <v>-755.18700000000001</v>
      </c>
      <c r="AM10" s="335">
        <v>-776.55399999999997</v>
      </c>
      <c r="AN10" s="335">
        <v>-803.173</v>
      </c>
      <c r="AO10" s="335">
        <v>-714.8</v>
      </c>
      <c r="AP10" s="335">
        <f>-820.201</f>
        <v>-820.20100000000002</v>
      </c>
      <c r="AQ10" s="335">
        <v>-1918.633</v>
      </c>
      <c r="AR10" s="335">
        <v>-1931.1320000000001</v>
      </c>
      <c r="AS10" s="335">
        <v>-2122.3960000000002</v>
      </c>
      <c r="AT10" s="335">
        <v>-2074.5039999999999</v>
      </c>
      <c r="AU10" s="335">
        <v>-2027.482</v>
      </c>
      <c r="AV10" s="1170">
        <v>-2081.7910000000002</v>
      </c>
      <c r="AW10" s="335">
        <v>-2028.4639999999999</v>
      </c>
      <c r="AX10" s="335">
        <v>-2240.797</v>
      </c>
      <c r="AY10" s="335">
        <v>-2006.4860000000001</v>
      </c>
      <c r="AZ10" s="335">
        <v>-1989.127</v>
      </c>
      <c r="BA10" s="335">
        <v>-1917.951</v>
      </c>
      <c r="BB10" s="335">
        <v>-2264.7640000000001</v>
      </c>
      <c r="BC10" s="335">
        <v>-2022.4459999999999</v>
      </c>
      <c r="BD10" s="335">
        <v>-1947.9110000000001</v>
      </c>
      <c r="BE10" s="335">
        <v>-1932.9380000000001</v>
      </c>
      <c r="BF10" s="335">
        <v>-1805.002</v>
      </c>
      <c r="BG10" s="335">
        <v>-2047.867</v>
      </c>
      <c r="BH10" s="335">
        <v>-2094.627</v>
      </c>
      <c r="BI10" s="335">
        <v>-2000.375</v>
      </c>
      <c r="BJ10" s="335">
        <v>-1917.1610000000001</v>
      </c>
      <c r="BK10" s="335">
        <v>-1952.8019999999999</v>
      </c>
      <c r="BL10" s="335">
        <v>-2050.1460000000002</v>
      </c>
      <c r="BS10" s="92"/>
    </row>
    <row r="11" spans="1:71">
      <c r="A11" s="36" t="s">
        <v>368</v>
      </c>
      <c r="B11" s="36"/>
      <c r="C11" s="335">
        <v>0</v>
      </c>
      <c r="D11" s="335">
        <v>0</v>
      </c>
      <c r="E11" s="335">
        <v>0</v>
      </c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35">
        <v>0</v>
      </c>
      <c r="P11" s="335">
        <v>0</v>
      </c>
      <c r="Q11" s="335">
        <v>0</v>
      </c>
      <c r="R11" s="335">
        <v>0</v>
      </c>
      <c r="S11" s="335">
        <v>0</v>
      </c>
      <c r="T11" s="335">
        <v>0</v>
      </c>
      <c r="U11" s="335">
        <v>0</v>
      </c>
      <c r="V11" s="335">
        <v>0</v>
      </c>
      <c r="W11" s="335">
        <v>0</v>
      </c>
      <c r="X11" s="335">
        <v>0</v>
      </c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335">
        <v>0</v>
      </c>
      <c r="AE11" s="2186">
        <v>0</v>
      </c>
      <c r="AF11" s="335">
        <v>0</v>
      </c>
      <c r="AG11" s="335">
        <v>0</v>
      </c>
      <c r="AH11" s="335"/>
      <c r="AI11" s="335"/>
      <c r="AJ11" s="335"/>
      <c r="AK11" s="335"/>
      <c r="AL11" s="335"/>
      <c r="AM11" s="335"/>
      <c r="AN11" s="335"/>
      <c r="AO11" s="335"/>
      <c r="AP11" s="335"/>
      <c r="AQ11" s="335"/>
      <c r="AR11" s="335"/>
      <c r="AS11" s="335"/>
      <c r="AT11" s="335"/>
      <c r="AU11" s="335"/>
      <c r="AV11" s="770"/>
      <c r="AW11" s="335"/>
      <c r="AX11" s="335"/>
      <c r="AY11" s="335"/>
      <c r="AZ11" s="335"/>
      <c r="BA11" s="335"/>
      <c r="BB11" s="335"/>
      <c r="BH11" s="262"/>
      <c r="BS11" s="92"/>
    </row>
    <row r="12" spans="1:71">
      <c r="A12" s="13" t="s">
        <v>697</v>
      </c>
      <c r="B12" s="13"/>
      <c r="C12" s="170">
        <f>C6+C8</f>
        <v>4.6009999999998854</v>
      </c>
      <c r="D12" s="170">
        <f t="shared" ref="C12:AO12" si="7">D6+D8</f>
        <v>17.403999999999769</v>
      </c>
      <c r="E12" s="170">
        <f t="shared" si="7"/>
        <v>74.550999999999704</v>
      </c>
      <c r="F12" s="170">
        <f t="shared" si="7"/>
        <v>238.51299999999992</v>
      </c>
      <c r="G12" s="170">
        <f t="shared" si="7"/>
        <v>56.001000000000204</v>
      </c>
      <c r="H12" s="170">
        <f t="shared" si="7"/>
        <v>94.096000000000004</v>
      </c>
      <c r="I12" s="170">
        <f t="shared" si="7"/>
        <v>74.17899999999986</v>
      </c>
      <c r="J12" s="170">
        <f t="shared" si="7"/>
        <v>103.82899999999972</v>
      </c>
      <c r="K12" s="170">
        <f t="shared" si="7"/>
        <v>65.678000000000111</v>
      </c>
      <c r="L12" s="170">
        <f t="shared" si="7"/>
        <v>143.53600000000029</v>
      </c>
      <c r="M12" s="170">
        <f t="shared" si="7"/>
        <v>118.55100000000016</v>
      </c>
      <c r="N12" s="170">
        <f t="shared" si="7"/>
        <v>125.30299999999988</v>
      </c>
      <c r="O12" s="170">
        <f t="shared" si="7"/>
        <v>104.13199999999983</v>
      </c>
      <c r="P12" s="170">
        <f t="shared" si="7"/>
        <v>230.29799999999977</v>
      </c>
      <c r="Q12" s="170">
        <f t="shared" si="7"/>
        <v>202.35699999999997</v>
      </c>
      <c r="R12" s="170">
        <f t="shared" si="7"/>
        <v>265.47699999999986</v>
      </c>
      <c r="S12" s="170">
        <f t="shared" si="7"/>
        <v>169.36799999999994</v>
      </c>
      <c r="T12" s="170">
        <f t="shared" si="7"/>
        <v>274.81100000000015</v>
      </c>
      <c r="U12" s="170">
        <f t="shared" si="7"/>
        <v>305.40599999999995</v>
      </c>
      <c r="V12" s="170">
        <f t="shared" si="7"/>
        <v>367.0630000000001</v>
      </c>
      <c r="W12" s="170">
        <f t="shared" si="7"/>
        <v>178</v>
      </c>
      <c r="X12" s="170">
        <f t="shared" si="7"/>
        <v>306.75099999999975</v>
      </c>
      <c r="Y12" s="170">
        <f t="shared" si="7"/>
        <v>349.76200000000063</v>
      </c>
      <c r="Z12" s="170">
        <f t="shared" si="7"/>
        <v>622.49799999999959</v>
      </c>
      <c r="AA12" s="170">
        <f t="shared" si="7"/>
        <v>418.99100000000089</v>
      </c>
      <c r="AB12" s="170">
        <f t="shared" si="7"/>
        <v>547.40099999999984</v>
      </c>
      <c r="AC12" s="170">
        <f t="shared" si="7"/>
        <v>594.5010000000002</v>
      </c>
      <c r="AD12" s="170">
        <f t="shared" si="7"/>
        <v>792.9399999999996</v>
      </c>
      <c r="AE12" s="2187">
        <f t="shared" si="7"/>
        <v>486.37899999999991</v>
      </c>
      <c r="AF12" s="170">
        <f t="shared" si="7"/>
        <v>642.83599999999933</v>
      </c>
      <c r="AG12" s="170">
        <f t="shared" si="7"/>
        <v>743.67900000000009</v>
      </c>
      <c r="AH12" s="170">
        <f t="shared" si="7"/>
        <v>894.10800000000017</v>
      </c>
      <c r="AI12" s="170">
        <f t="shared" si="7"/>
        <v>613.14399999999932</v>
      </c>
      <c r="AJ12" s="170">
        <f t="shared" si="7"/>
        <v>747.06900000000041</v>
      </c>
      <c r="AK12" s="170">
        <f t="shared" si="7"/>
        <v>751.73599999999897</v>
      </c>
      <c r="AL12" s="170">
        <f t="shared" si="7"/>
        <v>1602.6190000000006</v>
      </c>
      <c r="AM12" s="170">
        <v>651.36999999999989</v>
      </c>
      <c r="AN12" s="170">
        <f t="shared" si="7"/>
        <v>775.71500000000015</v>
      </c>
      <c r="AO12" s="170">
        <f t="shared" si="7"/>
        <v>822.13500000000022</v>
      </c>
      <c r="AP12" s="170">
        <f t="shared" ref="AP12:AU12" si="8">AP6+AP8</f>
        <v>1044.3689999999988</v>
      </c>
      <c r="AQ12" s="170">
        <f t="shared" si="8"/>
        <v>829.26000000000022</v>
      </c>
      <c r="AR12" s="170">
        <f t="shared" si="8"/>
        <v>1130.3750000000018</v>
      </c>
      <c r="AS12" s="170">
        <f t="shared" si="8"/>
        <v>1346.860999999999</v>
      </c>
      <c r="AT12" s="170">
        <f t="shared" si="8"/>
        <v>1264.3979999999992</v>
      </c>
      <c r="AU12" s="170">
        <f t="shared" si="8"/>
        <v>467.56899999999951</v>
      </c>
      <c r="AV12" s="1281">
        <f t="shared" ref="AV12:BA12" si="9">AV6+AV8</f>
        <v>-2984.7930000000006</v>
      </c>
      <c r="AW12" s="1281">
        <f t="shared" si="9"/>
        <v>79.013999999999214</v>
      </c>
      <c r="AX12" s="170">
        <f t="shared" si="9"/>
        <v>984.41199999999935</v>
      </c>
      <c r="AY12" s="1281">
        <f t="shared" si="9"/>
        <v>38.242000000000189</v>
      </c>
      <c r="AZ12" s="1281">
        <f t="shared" si="9"/>
        <v>858.9380000000001</v>
      </c>
      <c r="BA12" s="1281">
        <f t="shared" si="9"/>
        <v>1226.3410000000003</v>
      </c>
      <c r="BB12" s="1281">
        <f t="shared" ref="BB12:BI12" si="10">BB6+BB8</f>
        <v>2009.42</v>
      </c>
      <c r="BC12" s="1281">
        <f t="shared" si="10"/>
        <v>1435.2399999999998</v>
      </c>
      <c r="BD12" s="1900">
        <f t="shared" si="10"/>
        <v>1679.5630000000001</v>
      </c>
      <c r="BE12" s="1281">
        <f t="shared" si="10"/>
        <v>1544.8589999999986</v>
      </c>
      <c r="BF12" s="1281">
        <f t="shared" si="10"/>
        <v>1681.8349999999991</v>
      </c>
      <c r="BG12" s="1281">
        <f t="shared" si="10"/>
        <v>1636.5390000000007</v>
      </c>
      <c r="BH12" s="1281">
        <f t="shared" si="10"/>
        <v>1744.860999999999</v>
      </c>
      <c r="BI12" s="1281">
        <f t="shared" si="10"/>
        <v>1930.4089999999978</v>
      </c>
      <c r="BJ12" s="1281">
        <f t="shared" ref="BJ12:BK12" si="11">BJ6+BJ8</f>
        <v>2588.5499999999993</v>
      </c>
      <c r="BK12" s="1281">
        <f t="shared" si="11"/>
        <v>1782.4330000000009</v>
      </c>
      <c r="BL12" s="1281">
        <f t="shared" ref="BL12" si="12">BL6+BL8</f>
        <v>1941.9970000000012</v>
      </c>
    </row>
    <row r="13" spans="1:71">
      <c r="A13" s="271" t="s">
        <v>699</v>
      </c>
      <c r="B13" s="271"/>
      <c r="C13" s="92">
        <f>C14+C15+C16</f>
        <v>-58.679999999999993</v>
      </c>
      <c r="D13" s="92">
        <f t="shared" ref="C13:AO13" si="13">D14+D15+D16</f>
        <v>-7.1539999999999964</v>
      </c>
      <c r="E13" s="92">
        <f t="shared" si="13"/>
        <v>-34.14</v>
      </c>
      <c r="F13" s="92">
        <f t="shared" si="13"/>
        <v>-27.863000000000003</v>
      </c>
      <c r="G13" s="92">
        <f t="shared" si="13"/>
        <v>-40.28</v>
      </c>
      <c r="H13" s="92">
        <f t="shared" si="13"/>
        <v>-14.41</v>
      </c>
      <c r="I13" s="92">
        <f t="shared" si="13"/>
        <v>-20.149000000000001</v>
      </c>
      <c r="J13" s="92">
        <f t="shared" si="13"/>
        <v>-4.7859999999999978</v>
      </c>
      <c r="K13" s="92">
        <f t="shared" si="13"/>
        <v>-40.17</v>
      </c>
      <c r="L13" s="92">
        <f t="shared" si="13"/>
        <v>-44.128</v>
      </c>
      <c r="M13" s="651">
        <f t="shared" si="13"/>
        <v>6.070999999999998</v>
      </c>
      <c r="N13" s="92">
        <f t="shared" si="13"/>
        <v>-39.867000000000004</v>
      </c>
      <c r="O13" s="92">
        <f t="shared" si="13"/>
        <v>-58.448</v>
      </c>
      <c r="P13" s="92">
        <f t="shared" si="13"/>
        <v>-36.602000000000004</v>
      </c>
      <c r="Q13" s="92">
        <f t="shared" si="13"/>
        <v>-55.564</v>
      </c>
      <c r="R13" s="92">
        <f t="shared" si="13"/>
        <v>-38.722999999999999</v>
      </c>
      <c r="S13" s="92">
        <f t="shared" si="13"/>
        <v>-55.975999999999999</v>
      </c>
      <c r="T13" s="92">
        <f t="shared" si="13"/>
        <v>-45.97</v>
      </c>
      <c r="U13" s="92">
        <f t="shared" si="13"/>
        <v>-37.563000000000002</v>
      </c>
      <c r="V13" s="92">
        <f t="shared" si="13"/>
        <v>-70.962000000000003</v>
      </c>
      <c r="W13" s="92">
        <f t="shared" si="13"/>
        <v>-87.582999999999998</v>
      </c>
      <c r="X13" s="92">
        <f t="shared" si="13"/>
        <v>-168.762</v>
      </c>
      <c r="Y13" s="92">
        <f t="shared" si="13"/>
        <v>-91.403999999999996</v>
      </c>
      <c r="Z13" s="92">
        <f t="shared" si="13"/>
        <v>-145.714</v>
      </c>
      <c r="AA13" s="92">
        <f t="shared" si="13"/>
        <v>-7.6090000000000089</v>
      </c>
      <c r="AB13" s="92">
        <f t="shared" si="13"/>
        <v>-321.82</v>
      </c>
      <c r="AC13" s="92">
        <f t="shared" si="13"/>
        <v>-342.76400000000001</v>
      </c>
      <c r="AD13" s="92">
        <f t="shared" si="13"/>
        <v>-186.673</v>
      </c>
      <c r="AE13" s="2188">
        <f t="shared" si="13"/>
        <v>-377.22199999999998</v>
      </c>
      <c r="AF13" s="92">
        <f t="shared" si="13"/>
        <v>-261.38499999999999</v>
      </c>
      <c r="AG13" s="92">
        <f t="shared" si="13"/>
        <v>-263.46799999999996</v>
      </c>
      <c r="AH13" s="92">
        <f t="shared" si="13"/>
        <v>-277.08199999999999</v>
      </c>
      <c r="AI13" s="92">
        <f t="shared" si="13"/>
        <v>-254.58300000000003</v>
      </c>
      <c r="AJ13" s="92">
        <f t="shared" si="13"/>
        <v>-576.54600000000005</v>
      </c>
      <c r="AK13" s="92">
        <f t="shared" si="13"/>
        <v>-389.77100000000002</v>
      </c>
      <c r="AL13" s="92">
        <f t="shared" si="13"/>
        <v>-405.68200000000002</v>
      </c>
      <c r="AM13" s="92">
        <v>-260.65699999999998</v>
      </c>
      <c r="AN13" s="92">
        <f t="shared" si="13"/>
        <v>-330.34300000000002</v>
      </c>
      <c r="AO13" s="92">
        <f t="shared" si="13"/>
        <v>-322.00799999999998</v>
      </c>
      <c r="AP13" s="92">
        <f t="shared" ref="AP13:AZ13" si="14">AP14+AP15+AP16</f>
        <v>-542.96199999999999</v>
      </c>
      <c r="AQ13" s="92">
        <f t="shared" si="14"/>
        <v>-622.26599999999996</v>
      </c>
      <c r="AR13" s="92">
        <f t="shared" si="14"/>
        <v>-782.65800000000002</v>
      </c>
      <c r="AS13" s="92">
        <f t="shared" si="14"/>
        <v>-942.49600000000009</v>
      </c>
      <c r="AT13" s="92">
        <f t="shared" si="14"/>
        <v>-502.37799999999999</v>
      </c>
      <c r="AU13" s="92">
        <f t="shared" si="14"/>
        <v>-854.03699999999981</v>
      </c>
      <c r="AV13" s="770">
        <f t="shared" si="14"/>
        <v>-411.36600000000004</v>
      </c>
      <c r="AW13" s="770">
        <f t="shared" si="14"/>
        <v>-963.32500000000005</v>
      </c>
      <c r="AX13" s="92">
        <f t="shared" si="14"/>
        <v>-1338.877</v>
      </c>
      <c r="AY13" s="770">
        <f t="shared" si="14"/>
        <v>-658.07299999999987</v>
      </c>
      <c r="AZ13" s="770">
        <f t="shared" si="14"/>
        <v>-788.52700000000004</v>
      </c>
      <c r="BA13" s="770">
        <f t="shared" ref="BA13:BI13" si="15">BA14+BA15+BA16</f>
        <v>-839.88799999999992</v>
      </c>
      <c r="BB13" s="770">
        <f t="shared" si="15"/>
        <v>-848.87699999999995</v>
      </c>
      <c r="BC13" s="770">
        <f t="shared" si="15"/>
        <v>-715.18999999999994</v>
      </c>
      <c r="BD13" s="770">
        <f t="shared" si="15"/>
        <v>-1337.4069999999999</v>
      </c>
      <c r="BE13" s="770">
        <f t="shared" si="15"/>
        <v>-1075.241</v>
      </c>
      <c r="BF13" s="770">
        <f t="shared" si="15"/>
        <v>-691.85299999999995</v>
      </c>
      <c r="BG13" s="770">
        <f t="shared" si="15"/>
        <v>-682.59800000000007</v>
      </c>
      <c r="BH13" s="770">
        <f t="shared" si="15"/>
        <v>-1001.112</v>
      </c>
      <c r="BI13" s="770">
        <f t="shared" si="15"/>
        <v>-999.29300000000001</v>
      </c>
      <c r="BJ13" s="770">
        <f t="shared" ref="BJ13:BK13" si="16">BJ14+BJ15+BJ16</f>
        <v>-772.89</v>
      </c>
      <c r="BK13" s="770">
        <f t="shared" si="16"/>
        <v>-1174.5339999999999</v>
      </c>
      <c r="BL13" s="770">
        <f t="shared" ref="BL13" si="17">BL14+BL15+BL16</f>
        <v>-1737.74</v>
      </c>
    </row>
    <row r="14" spans="1:71">
      <c r="A14" s="36" t="s">
        <v>698</v>
      </c>
      <c r="B14" s="36"/>
      <c r="C14" s="335">
        <v>-33.610999999999997</v>
      </c>
      <c r="D14" s="335">
        <v>-32.805999999999997</v>
      </c>
      <c r="E14" s="335">
        <v>-27.869</v>
      </c>
      <c r="F14" s="335">
        <v>-28.202000000000002</v>
      </c>
      <c r="G14" s="335">
        <v>-21.997</v>
      </c>
      <c r="H14" s="335">
        <v>-22.183</v>
      </c>
      <c r="I14" s="335">
        <v>-23.678000000000001</v>
      </c>
      <c r="J14" s="335">
        <v>-24.367999999999999</v>
      </c>
      <c r="K14" s="335">
        <v>-23.172999999999998</v>
      </c>
      <c r="L14" s="335">
        <v>-36.500999999999998</v>
      </c>
      <c r="M14" s="335">
        <v>-24.873000000000001</v>
      </c>
      <c r="N14" s="335">
        <v>-46.457000000000001</v>
      </c>
      <c r="O14" s="335">
        <v>-44.155000000000001</v>
      </c>
      <c r="P14" s="335">
        <v>-56.817</v>
      </c>
      <c r="Q14" s="335">
        <v>-47.283000000000001</v>
      </c>
      <c r="R14" s="335">
        <v>-49.805</v>
      </c>
      <c r="S14" s="335">
        <v>-33.223999999999997</v>
      </c>
      <c r="T14" s="335">
        <v>-36.155000000000001</v>
      </c>
      <c r="U14" s="335">
        <v>-60.841000000000001</v>
      </c>
      <c r="V14" s="335">
        <v>-72.126000000000005</v>
      </c>
      <c r="W14" s="335">
        <v>-85.346000000000004</v>
      </c>
      <c r="X14" s="335">
        <v>-175.83199999999999</v>
      </c>
      <c r="Y14" s="335">
        <v>-89.841999999999999</v>
      </c>
      <c r="Z14" s="335">
        <v>-143.00399999999999</v>
      </c>
      <c r="AA14" s="335">
        <v>-181.721</v>
      </c>
      <c r="AB14" s="335">
        <v>-143.4</v>
      </c>
      <c r="AC14" s="335">
        <v>-192.32900000000001</v>
      </c>
      <c r="AD14" s="335">
        <v>-162.93799999999999</v>
      </c>
      <c r="AE14" s="2186">
        <v>-167.01499999999999</v>
      </c>
      <c r="AF14" s="335">
        <v>-203.68100000000001</v>
      </c>
      <c r="AG14" s="335">
        <v>-221.274</v>
      </c>
      <c r="AH14" s="335">
        <v>-252.61199999999999</v>
      </c>
      <c r="AI14" s="335">
        <v>-284.94600000000003</v>
      </c>
      <c r="AJ14" s="335">
        <v>-327.48599999999999</v>
      </c>
      <c r="AK14" s="335">
        <v>-334.04700000000003</v>
      </c>
      <c r="AL14" s="335">
        <v>-316.00299999999999</v>
      </c>
      <c r="AM14" s="335">
        <v>-318.13299999999998</v>
      </c>
      <c r="AN14" s="335">
        <v>-369.80700000000002</v>
      </c>
      <c r="AO14" s="335">
        <v>-427.71199999999999</v>
      </c>
      <c r="AP14" s="335">
        <f>-455.76</f>
        <v>-455.76</v>
      </c>
      <c r="AQ14" s="335">
        <v>-743.654</v>
      </c>
      <c r="AR14" s="335">
        <v>-774.56600000000003</v>
      </c>
      <c r="AS14" s="335">
        <v>-947.51800000000003</v>
      </c>
      <c r="AT14" s="335">
        <v>-556.11599999999999</v>
      </c>
      <c r="AU14" s="335">
        <v>-715.75599999999997</v>
      </c>
      <c r="AV14" s="1170">
        <v>-814.66700000000003</v>
      </c>
      <c r="AW14" s="335">
        <v>-788.57799999999997</v>
      </c>
      <c r="AX14" s="335">
        <v>-780.73800000000006</v>
      </c>
      <c r="AY14" s="335">
        <v>-780.23299999999995</v>
      </c>
      <c r="AZ14" s="335">
        <v>-811.50800000000004</v>
      </c>
      <c r="BA14" s="335">
        <v>-838.19299999999998</v>
      </c>
      <c r="BB14" s="335">
        <v>-940.80899999999997</v>
      </c>
      <c r="BC14" s="335">
        <v>-910.91499999999996</v>
      </c>
      <c r="BD14" s="335">
        <v>-913.149</v>
      </c>
      <c r="BE14" s="335">
        <v>-905.89</v>
      </c>
      <c r="BF14" s="335">
        <v>-787.41099999999994</v>
      </c>
      <c r="BG14" s="335">
        <v>-1035.0740000000001</v>
      </c>
      <c r="BH14" s="335">
        <v>-1014.961</v>
      </c>
      <c r="BI14" s="335">
        <v>-950.09100000000001</v>
      </c>
      <c r="BJ14" s="335">
        <f>-815.36</f>
        <v>-815.36</v>
      </c>
      <c r="BK14" s="335">
        <v>-978.25199999999995</v>
      </c>
      <c r="BL14" s="335">
        <v>-1166.296</v>
      </c>
    </row>
    <row r="15" spans="1:71">
      <c r="A15" s="36" t="s">
        <v>846</v>
      </c>
      <c r="B15" s="36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5"/>
      <c r="V15" s="335"/>
      <c r="W15" s="335"/>
      <c r="X15" s="335"/>
      <c r="Y15" s="335"/>
      <c r="Z15" s="335"/>
      <c r="AA15" s="335">
        <v>190.386</v>
      </c>
      <c r="AB15" s="335">
        <v>-159.48599999999999</v>
      </c>
      <c r="AC15" s="335">
        <v>-120.113</v>
      </c>
      <c r="AD15" s="335">
        <v>-15.061999999999999</v>
      </c>
      <c r="AE15" s="2186">
        <v>-139.422</v>
      </c>
      <c r="AF15" s="335">
        <v>-160.363</v>
      </c>
      <c r="AG15" s="335">
        <v>-90.168999999999997</v>
      </c>
      <c r="AH15" s="335">
        <v>-17.812999999999999</v>
      </c>
      <c r="AI15" s="335">
        <v>236.48699999999999</v>
      </c>
      <c r="AJ15" s="335">
        <v>-92.997</v>
      </c>
      <c r="AK15" s="335">
        <v>-24.702999999999999</v>
      </c>
      <c r="AL15" s="335">
        <v>-213.755</v>
      </c>
      <c r="AM15" s="335">
        <v>120.28400000000001</v>
      </c>
      <c r="AN15" s="335">
        <v>-82.733000000000004</v>
      </c>
      <c r="AO15" s="335">
        <v>182.505</v>
      </c>
      <c r="AP15" s="335">
        <f>-105.25</f>
        <v>-105.25</v>
      </c>
      <c r="AQ15" s="335">
        <f>86.613</f>
        <v>86.613</v>
      </c>
      <c r="AR15" s="335">
        <v>3.847</v>
      </c>
      <c r="AS15" s="335">
        <v>38.798999999999999</v>
      </c>
      <c r="AT15" s="335">
        <v>71.879000000000005</v>
      </c>
      <c r="AU15" s="335">
        <v>-565.60699999999997</v>
      </c>
      <c r="AV15" s="1170">
        <v>-9.4849999999999994</v>
      </c>
      <c r="AW15" s="335">
        <v>2.2269999999999999</v>
      </c>
      <c r="AX15" s="335">
        <v>116.321</v>
      </c>
      <c r="AY15" s="335">
        <v>39.911000000000001</v>
      </c>
      <c r="AZ15" s="335">
        <v>49.451999999999998</v>
      </c>
      <c r="BA15" s="335">
        <v>-14.382</v>
      </c>
      <c r="BB15" s="335">
        <v>45.359000000000002</v>
      </c>
      <c r="BC15" s="335">
        <v>0</v>
      </c>
      <c r="BD15" s="335">
        <v>0</v>
      </c>
      <c r="BE15" s="335">
        <v>0</v>
      </c>
      <c r="BF15" s="335">
        <v>0</v>
      </c>
      <c r="BG15" s="335">
        <v>0</v>
      </c>
      <c r="BH15" s="335">
        <v>0</v>
      </c>
      <c r="BI15" s="335">
        <v>0</v>
      </c>
      <c r="BJ15" s="335">
        <v>0</v>
      </c>
      <c r="BK15" s="335">
        <v>0</v>
      </c>
      <c r="BL15" s="335">
        <v>0</v>
      </c>
    </row>
    <row r="16" spans="1:71">
      <c r="A16" s="36" t="s">
        <v>702</v>
      </c>
      <c r="B16" s="36"/>
      <c r="C16" s="335">
        <v>-25.068999999999999</v>
      </c>
      <c r="D16" s="335">
        <v>25.652000000000001</v>
      </c>
      <c r="E16" s="335">
        <v>-6.2709999999999999</v>
      </c>
      <c r="F16" s="335">
        <v>0.33900000000000002</v>
      </c>
      <c r="G16" s="335">
        <v>-18.283000000000001</v>
      </c>
      <c r="H16" s="335">
        <v>7.7729999999999997</v>
      </c>
      <c r="I16" s="335">
        <v>3.5289999999999999</v>
      </c>
      <c r="J16" s="335">
        <v>19.582000000000001</v>
      </c>
      <c r="K16" s="335">
        <v>-16.997</v>
      </c>
      <c r="L16" s="335">
        <v>-7.6269999999999998</v>
      </c>
      <c r="M16" s="335">
        <v>30.943999999999999</v>
      </c>
      <c r="N16" s="335">
        <v>6.59</v>
      </c>
      <c r="O16" s="335">
        <v>-14.292999999999999</v>
      </c>
      <c r="P16" s="335">
        <v>20.215</v>
      </c>
      <c r="Q16" s="335">
        <v>-8.2810000000000006</v>
      </c>
      <c r="R16" s="335">
        <v>11.082000000000001</v>
      </c>
      <c r="S16" s="335">
        <v>-22.751999999999999</v>
      </c>
      <c r="T16" s="335">
        <v>-9.8149999999999995</v>
      </c>
      <c r="U16" s="335">
        <v>23.277999999999999</v>
      </c>
      <c r="V16" s="335">
        <v>1.1639999999999999</v>
      </c>
      <c r="W16" s="335">
        <v>-2.2370000000000001</v>
      </c>
      <c r="X16" s="335">
        <v>7.07</v>
      </c>
      <c r="Y16" s="335">
        <v>-1.5620000000000001</v>
      </c>
      <c r="Z16" s="335">
        <v>-2.71</v>
      </c>
      <c r="AA16" s="335">
        <v>-16.274000000000001</v>
      </c>
      <c r="AB16" s="335">
        <v>-18.934000000000001</v>
      </c>
      <c r="AC16" s="335">
        <v>-30.321999999999999</v>
      </c>
      <c r="AD16" s="335">
        <v>-8.673</v>
      </c>
      <c r="AE16" s="2186">
        <v>-70.784999999999997</v>
      </c>
      <c r="AF16" s="335">
        <v>102.65900000000001</v>
      </c>
      <c r="AG16" s="335">
        <v>47.975000000000001</v>
      </c>
      <c r="AH16" s="335">
        <v>-6.657</v>
      </c>
      <c r="AI16" s="335">
        <v>-206.124</v>
      </c>
      <c r="AJ16" s="335">
        <v>-156.06299999999999</v>
      </c>
      <c r="AK16" s="335">
        <v>-31.021000000000001</v>
      </c>
      <c r="AL16" s="335">
        <v>124.07599999999999</v>
      </c>
      <c r="AM16" s="335">
        <v>-62.808</v>
      </c>
      <c r="AN16" s="335">
        <v>122.197</v>
      </c>
      <c r="AO16" s="335">
        <v>-76.801000000000002</v>
      </c>
      <c r="AP16" s="335">
        <v>18.047999999999998</v>
      </c>
      <c r="AQ16" s="335">
        <f>34.775</f>
        <v>34.774999999999999</v>
      </c>
      <c r="AR16" s="335">
        <v>-11.939</v>
      </c>
      <c r="AS16" s="335">
        <v>-33.777000000000001</v>
      </c>
      <c r="AT16" s="335">
        <v>-18.140999999999998</v>
      </c>
      <c r="AU16" s="335">
        <v>427.32600000000002</v>
      </c>
      <c r="AV16" s="1170">
        <v>412.786</v>
      </c>
      <c r="AW16" s="335">
        <v>-176.97399999999999</v>
      </c>
      <c r="AX16" s="335">
        <v>-674.46</v>
      </c>
      <c r="AY16" s="335">
        <v>82.248999999999995</v>
      </c>
      <c r="AZ16" s="335">
        <v>-26.471</v>
      </c>
      <c r="BA16" s="335">
        <v>12.686999999999999</v>
      </c>
      <c r="BB16" s="335">
        <v>46.573</v>
      </c>
      <c r="BC16" s="335">
        <v>195.72499999999999</v>
      </c>
      <c r="BD16" s="335">
        <v>-424.25799999999998</v>
      </c>
      <c r="BE16" s="335">
        <v>-169.351</v>
      </c>
      <c r="BF16" s="335">
        <v>95.558000000000007</v>
      </c>
      <c r="BG16" s="335">
        <v>352.476</v>
      </c>
      <c r="BH16" s="335">
        <v>13.849</v>
      </c>
      <c r="BI16" s="335">
        <v>-49.201999999999998</v>
      </c>
      <c r="BJ16" s="335">
        <f>42.47</f>
        <v>42.47</v>
      </c>
      <c r="BK16" s="335">
        <v>-196.28200000000001</v>
      </c>
      <c r="BL16" s="335">
        <v>-571.44399999999996</v>
      </c>
    </row>
    <row r="17" spans="1:70">
      <c r="A17" s="271" t="s">
        <v>700</v>
      </c>
      <c r="B17" s="271"/>
      <c r="C17" s="335">
        <v>-1.272</v>
      </c>
      <c r="D17" s="335">
        <v>-2.125</v>
      </c>
      <c r="E17" s="335">
        <v>-2.5510000000000002</v>
      </c>
      <c r="F17" s="335">
        <v>1.456</v>
      </c>
      <c r="G17" s="335">
        <v>2.222</v>
      </c>
      <c r="H17" s="335">
        <v>3.226</v>
      </c>
      <c r="I17" s="335">
        <v>-3.5339999999999998</v>
      </c>
      <c r="J17" s="335">
        <v>1.92</v>
      </c>
      <c r="K17" s="335">
        <v>0.73799999999999999</v>
      </c>
      <c r="L17" s="335">
        <v>2.4870000000000001</v>
      </c>
      <c r="M17" s="335">
        <v>1.6120000000000001</v>
      </c>
      <c r="N17" s="335">
        <v>3.9670000000000001</v>
      </c>
      <c r="O17" s="335">
        <v>2.5859999999999999</v>
      </c>
      <c r="P17" s="335">
        <v>7.6890000000000001</v>
      </c>
      <c r="Q17" s="335">
        <v>3.3029999999999999</v>
      </c>
      <c r="R17" s="335">
        <v>-0.59899999999999998</v>
      </c>
      <c r="S17" s="335">
        <v>3.1480000000000001</v>
      </c>
      <c r="T17" s="335">
        <v>1.165</v>
      </c>
      <c r="U17" s="335">
        <v>-1.123</v>
      </c>
      <c r="V17" s="335">
        <v>40.390999999999998</v>
      </c>
      <c r="W17" s="335">
        <v>5.7220000000000004</v>
      </c>
      <c r="X17" s="335">
        <v>2.9329999999999998</v>
      </c>
      <c r="Y17" s="335">
        <v>2.89</v>
      </c>
      <c r="Z17" s="335">
        <v>20.707999999999998</v>
      </c>
      <c r="AA17" s="335">
        <v>-2.8159999999999998</v>
      </c>
      <c r="AB17" s="335">
        <v>3.669</v>
      </c>
      <c r="AC17" s="335">
        <v>7.1139999999999999</v>
      </c>
      <c r="AD17" s="335">
        <v>19.736000000000001</v>
      </c>
      <c r="AE17" s="2186">
        <v>-7.0810000000000004</v>
      </c>
      <c r="AF17" s="335">
        <v>17.331</v>
      </c>
      <c r="AG17" s="335">
        <v>16.402999999999999</v>
      </c>
      <c r="AH17" s="335">
        <v>41.223999999999997</v>
      </c>
      <c r="AI17" s="1552">
        <v>-8.7569999999999997</v>
      </c>
      <c r="AJ17" s="1552">
        <v>2.1840000000000002</v>
      </c>
      <c r="AK17" s="1552">
        <v>18.065999999999999</v>
      </c>
      <c r="AL17" s="1552">
        <v>-11.930999999999999</v>
      </c>
      <c r="AM17" s="1552">
        <v>0</v>
      </c>
      <c r="AN17" s="1552">
        <v>0</v>
      </c>
      <c r="AO17" s="1552">
        <v>0</v>
      </c>
      <c r="AP17" s="1552">
        <v>0</v>
      </c>
      <c r="AQ17" s="1552">
        <v>0</v>
      </c>
      <c r="AR17" s="1552">
        <v>-1.917</v>
      </c>
      <c r="AS17" s="1552">
        <v>0.69399999999999995</v>
      </c>
      <c r="AT17" s="1552">
        <v>0.28000000000000003</v>
      </c>
      <c r="AU17" s="1552">
        <v>-1.3260000000000001</v>
      </c>
      <c r="AV17" s="1170">
        <v>-1.444</v>
      </c>
      <c r="AW17" s="1552">
        <v>-8.6999999999999994E-2</v>
      </c>
      <c r="AX17" s="1552">
        <v>0.24</v>
      </c>
      <c r="AY17" s="1552">
        <v>-0.157</v>
      </c>
      <c r="AZ17" s="1552">
        <v>0.41799999999999998</v>
      </c>
      <c r="BA17" s="1552">
        <v>0.48199999999999998</v>
      </c>
      <c r="BB17" s="1552">
        <v>1.097</v>
      </c>
      <c r="BC17" s="1552">
        <v>0</v>
      </c>
      <c r="BD17" s="1552">
        <v>0</v>
      </c>
      <c r="BE17" s="1552">
        <v>0</v>
      </c>
      <c r="BF17" s="1552">
        <v>0</v>
      </c>
      <c r="BG17" s="1552">
        <v>0</v>
      </c>
      <c r="BH17" s="1552">
        <v>0</v>
      </c>
      <c r="BI17" s="1552">
        <v>0</v>
      </c>
      <c r="BJ17" s="1552"/>
      <c r="BK17" s="1552"/>
      <c r="BL17" s="1552"/>
    </row>
    <row r="18" spans="1:70">
      <c r="A18" s="271" t="s">
        <v>701</v>
      </c>
      <c r="B18" s="271"/>
      <c r="C18" s="335">
        <f>24.555+1.897</f>
        <v>26.451999999999998</v>
      </c>
      <c r="D18" s="335">
        <f>-36.87-0.672</f>
        <v>-37.541999999999994</v>
      </c>
      <c r="E18" s="335">
        <f>44.598-2.993</f>
        <v>41.604999999999997</v>
      </c>
      <c r="F18" s="335">
        <f>-47.199-2.113</f>
        <v>-49.311999999999998</v>
      </c>
      <c r="G18" s="335">
        <f>-12.125-1.335</f>
        <v>-13.46</v>
      </c>
      <c r="H18" s="335">
        <f>69.873-2.093</f>
        <v>67.78</v>
      </c>
      <c r="I18" s="335">
        <f>-0.617-3.519</f>
        <v>-4.1360000000000001</v>
      </c>
      <c r="J18" s="335">
        <f>0.027-15.786</f>
        <v>-15.759</v>
      </c>
      <c r="K18" s="335">
        <v>0</v>
      </c>
      <c r="L18" s="335">
        <v>0</v>
      </c>
      <c r="M18" s="335">
        <v>0</v>
      </c>
      <c r="N18" s="335">
        <v>0</v>
      </c>
      <c r="O18" s="335">
        <v>0</v>
      </c>
      <c r="P18" s="335">
        <v>0</v>
      </c>
      <c r="Q18" s="335">
        <v>0</v>
      </c>
      <c r="R18" s="335">
        <v>0</v>
      </c>
      <c r="S18" s="335">
        <v>0</v>
      </c>
      <c r="T18" s="335">
        <v>0</v>
      </c>
      <c r="U18" s="335">
        <v>0</v>
      </c>
      <c r="V18" s="335">
        <v>0</v>
      </c>
      <c r="W18" s="335">
        <v>0</v>
      </c>
      <c r="X18" s="335">
        <v>0</v>
      </c>
      <c r="Y18" s="335">
        <v>0</v>
      </c>
      <c r="Z18" s="335">
        <v>0</v>
      </c>
      <c r="AA18" s="335">
        <v>0</v>
      </c>
      <c r="AB18" s="335">
        <v>0</v>
      </c>
      <c r="AC18" s="335">
        <v>0</v>
      </c>
      <c r="AD18" s="335">
        <v>0</v>
      </c>
      <c r="AE18" s="2186">
        <v>0</v>
      </c>
      <c r="AF18" s="335">
        <v>0</v>
      </c>
      <c r="AG18" s="335">
        <v>0</v>
      </c>
      <c r="AH18" s="335">
        <v>0</v>
      </c>
      <c r="AI18" s="1552">
        <v>0</v>
      </c>
      <c r="AJ18" s="1552">
        <v>0</v>
      </c>
      <c r="AK18" s="1552">
        <v>0</v>
      </c>
      <c r="AL18" s="1552">
        <v>0</v>
      </c>
      <c r="AM18" s="1552">
        <v>0</v>
      </c>
      <c r="AN18" s="1552">
        <v>0</v>
      </c>
      <c r="AO18" s="1552">
        <v>0</v>
      </c>
      <c r="AP18" s="1552">
        <v>0</v>
      </c>
      <c r="AQ18" s="1552">
        <v>0</v>
      </c>
      <c r="AR18" s="1552">
        <v>0</v>
      </c>
      <c r="AS18" s="1552">
        <v>0</v>
      </c>
      <c r="AT18" s="1552">
        <v>0</v>
      </c>
      <c r="AU18" s="1552">
        <v>0</v>
      </c>
      <c r="AV18" s="1552">
        <v>0</v>
      </c>
      <c r="AW18" s="1552">
        <v>0</v>
      </c>
      <c r="AX18" s="1552">
        <v>0</v>
      </c>
      <c r="AY18" s="1552">
        <v>0</v>
      </c>
      <c r="AZ18" s="1552">
        <v>0</v>
      </c>
      <c r="BA18" s="1552">
        <v>0</v>
      </c>
      <c r="BB18" s="1552">
        <v>0</v>
      </c>
      <c r="BC18" s="1552">
        <v>0</v>
      </c>
      <c r="BD18" s="1552">
        <v>0</v>
      </c>
      <c r="BE18" s="1552">
        <v>0</v>
      </c>
      <c r="BF18" s="1552">
        <v>0</v>
      </c>
      <c r="BG18" s="1552">
        <v>0</v>
      </c>
      <c r="BH18" s="1552">
        <v>3.4039999999999999</v>
      </c>
      <c r="BI18" s="1552">
        <v>0</v>
      </c>
      <c r="BJ18" s="1552"/>
      <c r="BK18" s="1552"/>
      <c r="BL18" s="1552"/>
    </row>
    <row r="19" spans="1:70">
      <c r="A19" s="13" t="s">
        <v>703</v>
      </c>
      <c r="B19" s="13"/>
      <c r="C19" s="170">
        <f t="shared" ref="C19:AO19" si="18">C12+C13+C17+C18</f>
        <v>-28.899000000000107</v>
      </c>
      <c r="D19" s="170">
        <f t="shared" si="18"/>
        <v>-29.417000000000222</v>
      </c>
      <c r="E19" s="170">
        <f t="shared" si="18"/>
        <v>79.464999999999691</v>
      </c>
      <c r="F19" s="170">
        <f t="shared" si="18"/>
        <v>162.79399999999993</v>
      </c>
      <c r="G19" s="170">
        <f t="shared" si="18"/>
        <v>4.483000000000203</v>
      </c>
      <c r="H19" s="170">
        <f t="shared" si="18"/>
        <v>150.69200000000001</v>
      </c>
      <c r="I19" s="170">
        <f t="shared" si="18"/>
        <v>46.359999999999857</v>
      </c>
      <c r="J19" s="170">
        <f t="shared" si="18"/>
        <v>85.203999999999724</v>
      </c>
      <c r="K19" s="170">
        <f t="shared" si="18"/>
        <v>26.246000000000109</v>
      </c>
      <c r="L19" s="170">
        <f t="shared" si="18"/>
        <v>101.89500000000028</v>
      </c>
      <c r="M19" s="170">
        <f t="shared" si="18"/>
        <v>126.23400000000015</v>
      </c>
      <c r="N19" s="170">
        <f t="shared" si="18"/>
        <v>89.402999999999878</v>
      </c>
      <c r="O19" s="170">
        <f t="shared" si="18"/>
        <v>48.269999999999833</v>
      </c>
      <c r="P19" s="170">
        <f t="shared" si="18"/>
        <v>201.38499999999976</v>
      </c>
      <c r="Q19" s="170">
        <f t="shared" si="18"/>
        <v>150.09599999999998</v>
      </c>
      <c r="R19" s="170">
        <f t="shared" si="18"/>
        <v>226.15499999999986</v>
      </c>
      <c r="S19" s="170">
        <f t="shared" si="18"/>
        <v>116.53999999999994</v>
      </c>
      <c r="T19" s="170">
        <f t="shared" si="18"/>
        <v>230.00600000000014</v>
      </c>
      <c r="U19" s="170">
        <f t="shared" si="18"/>
        <v>266.71999999999997</v>
      </c>
      <c r="V19" s="170">
        <f t="shared" si="18"/>
        <v>336.49200000000013</v>
      </c>
      <c r="W19" s="170">
        <f t="shared" si="18"/>
        <v>96.138999999999996</v>
      </c>
      <c r="X19" s="170">
        <f t="shared" si="18"/>
        <v>140.92199999999974</v>
      </c>
      <c r="Y19" s="170">
        <f t="shared" si="18"/>
        <v>261.24800000000062</v>
      </c>
      <c r="Z19" s="170">
        <f t="shared" si="18"/>
        <v>497.49199999999962</v>
      </c>
      <c r="AA19" s="170">
        <f t="shared" si="18"/>
        <v>408.56600000000088</v>
      </c>
      <c r="AB19" s="170">
        <f t="shared" si="18"/>
        <v>229.24999999999986</v>
      </c>
      <c r="AC19" s="170">
        <f t="shared" si="18"/>
        <v>258.85100000000017</v>
      </c>
      <c r="AD19" s="170">
        <f t="shared" si="18"/>
        <v>626.00299999999959</v>
      </c>
      <c r="AE19" s="2187">
        <f t="shared" si="18"/>
        <v>102.07599999999992</v>
      </c>
      <c r="AF19" s="170">
        <f t="shared" si="18"/>
        <v>398.78199999999936</v>
      </c>
      <c r="AG19" s="170">
        <f t="shared" si="18"/>
        <v>496.61400000000015</v>
      </c>
      <c r="AH19" s="170">
        <f t="shared" si="18"/>
        <v>658.25000000000023</v>
      </c>
      <c r="AI19" s="170">
        <f t="shared" si="18"/>
        <v>349.80399999999929</v>
      </c>
      <c r="AJ19" s="170">
        <f t="shared" si="18"/>
        <v>172.70700000000036</v>
      </c>
      <c r="AK19" s="170">
        <f t="shared" si="18"/>
        <v>380.03099999999893</v>
      </c>
      <c r="AL19" s="170">
        <f t="shared" si="18"/>
        <v>1185.0060000000005</v>
      </c>
      <c r="AM19" s="170">
        <v>390.71299999999991</v>
      </c>
      <c r="AN19" s="170">
        <f t="shared" si="18"/>
        <v>445.37200000000013</v>
      </c>
      <c r="AO19" s="170">
        <f t="shared" si="18"/>
        <v>500.12700000000024</v>
      </c>
      <c r="AP19" s="170">
        <f>AP12+AP13+AP17+AP18</f>
        <v>501.40699999999879</v>
      </c>
      <c r="AQ19" s="170">
        <f>AQ12+AQ13+AQ17+AQ18</f>
        <v>206.99400000000026</v>
      </c>
      <c r="AR19" s="170">
        <f>AR12+AR13+AR17+AR18</f>
        <v>345.80000000000183</v>
      </c>
      <c r="AS19" s="170">
        <f>AS12+AS13+AS17+AS18</f>
        <v>405.05899999999889</v>
      </c>
      <c r="AT19" s="170">
        <f t="shared" ref="AT19:BK19" si="19">AT12+AT13+AT17+AT18</f>
        <v>762.29999999999927</v>
      </c>
      <c r="AU19" s="170">
        <f t="shared" si="19"/>
        <v>-387.79400000000032</v>
      </c>
      <c r="AV19" s="170">
        <f t="shared" si="19"/>
        <v>-3397.6030000000005</v>
      </c>
      <c r="AW19" s="170">
        <f t="shared" si="19"/>
        <v>-884.39800000000082</v>
      </c>
      <c r="AX19" s="170">
        <f t="shared" si="19"/>
        <v>-354.22500000000059</v>
      </c>
      <c r="AY19" s="170">
        <f t="shared" si="19"/>
        <v>-619.98799999999972</v>
      </c>
      <c r="AZ19" s="170">
        <f t="shared" si="19"/>
        <v>70.829000000000065</v>
      </c>
      <c r="BA19" s="170">
        <f t="shared" si="19"/>
        <v>386.93500000000046</v>
      </c>
      <c r="BB19" s="170">
        <f t="shared" si="19"/>
        <v>1161.6400000000001</v>
      </c>
      <c r="BC19" s="170">
        <f t="shared" si="19"/>
        <v>720.04999999999984</v>
      </c>
      <c r="BD19" s="170">
        <f t="shared" si="19"/>
        <v>342.15600000000018</v>
      </c>
      <c r="BE19" s="170">
        <f t="shared" si="19"/>
        <v>469.61799999999857</v>
      </c>
      <c r="BF19" s="170">
        <f t="shared" si="19"/>
        <v>989.98199999999918</v>
      </c>
      <c r="BG19" s="170">
        <f>BG12+BG13+BG17+BG18</f>
        <v>953.9410000000006</v>
      </c>
      <c r="BH19" s="170">
        <f t="shared" si="19"/>
        <v>747.152999999999</v>
      </c>
      <c r="BI19" s="170">
        <f t="shared" si="19"/>
        <v>931.11599999999783</v>
      </c>
      <c r="BJ19" s="170">
        <f t="shared" si="19"/>
        <v>1815.6599999999994</v>
      </c>
      <c r="BK19" s="170">
        <f t="shared" si="19"/>
        <v>607.89900000000102</v>
      </c>
      <c r="BL19" s="170">
        <f t="shared" ref="BL19" si="20">BL12+BL13+BL17+BL18</f>
        <v>204.2570000000012</v>
      </c>
    </row>
    <row r="20" spans="1:70">
      <c r="A20" s="36" t="s">
        <v>704</v>
      </c>
      <c r="B20" s="36"/>
      <c r="C20" s="335">
        <v>3.0459999999999998</v>
      </c>
      <c r="D20" s="335">
        <v>-8.8490000000000002</v>
      </c>
      <c r="E20" s="335">
        <v>-10.225</v>
      </c>
      <c r="F20" s="335">
        <v>-29.056999999999999</v>
      </c>
      <c r="G20" s="335">
        <v>-1.0760000000000001</v>
      </c>
      <c r="H20" s="335">
        <v>-47</v>
      </c>
      <c r="I20" s="335">
        <v>-29.224</v>
      </c>
      <c r="J20" s="335">
        <v>-50.448999999999998</v>
      </c>
      <c r="K20" s="335">
        <v>-7.1120000000000001</v>
      </c>
      <c r="L20" s="335">
        <v>-44.776000000000003</v>
      </c>
      <c r="M20" s="335">
        <v>-38.615000000000002</v>
      </c>
      <c r="N20" s="335">
        <v>-16.513999999999999</v>
      </c>
      <c r="O20" s="335">
        <v>-28.259</v>
      </c>
      <c r="P20" s="335">
        <v>-63.945999999999998</v>
      </c>
      <c r="Q20" s="335">
        <v>-55.521000000000001</v>
      </c>
      <c r="R20" s="335">
        <v>-74.736000000000004</v>
      </c>
      <c r="S20" s="335">
        <v>-43.588000000000001</v>
      </c>
      <c r="T20" s="335">
        <v>-83.27</v>
      </c>
      <c r="U20" s="335">
        <v>-82.614999999999995</v>
      </c>
      <c r="V20" s="335">
        <v>-75.394999999999996</v>
      </c>
      <c r="W20" s="335">
        <v>-27.76</v>
      </c>
      <c r="X20" s="335">
        <v>-55.156999999999996</v>
      </c>
      <c r="Y20" s="335">
        <v>-76.459000000000003</v>
      </c>
      <c r="Z20" s="335">
        <v>-205.21700000000001</v>
      </c>
      <c r="AA20" s="335">
        <v>-103.474</v>
      </c>
      <c r="AB20" s="335">
        <v>-130.78800000000001</v>
      </c>
      <c r="AC20" s="335">
        <v>-126.65900000000001</v>
      </c>
      <c r="AD20" s="335">
        <v>-128.99700000000001</v>
      </c>
      <c r="AE20" s="2186">
        <v>-47.018999999999998</v>
      </c>
      <c r="AF20" s="335">
        <v>-167.61500000000001</v>
      </c>
      <c r="AG20" s="335">
        <v>-310.24700000000001</v>
      </c>
      <c r="AH20" s="335">
        <v>-4.351</v>
      </c>
      <c r="AI20" s="335">
        <v>-131.49100000000001</v>
      </c>
      <c r="AJ20" s="335">
        <v>-78.558999999999997</v>
      </c>
      <c r="AK20" s="335">
        <v>-150.92400000000001</v>
      </c>
      <c r="AL20" s="335">
        <v>-474.45400000000001</v>
      </c>
      <c r="AM20" s="335">
        <v>-149.71299999999999</v>
      </c>
      <c r="AN20" s="335">
        <v>-199.19800000000001</v>
      </c>
      <c r="AO20" s="335">
        <v>-175.977</v>
      </c>
      <c r="AP20" s="335">
        <f>-173.407</f>
        <v>-173.40700000000001</v>
      </c>
      <c r="AQ20" s="335">
        <v>-72.921999999999997</v>
      </c>
      <c r="AR20" s="335">
        <v>-131.61099999999999</v>
      </c>
      <c r="AS20" s="335">
        <v>-174.304</v>
      </c>
      <c r="AT20" s="335">
        <v>-256.58199999999999</v>
      </c>
      <c r="AU20" s="335">
        <v>-2.645</v>
      </c>
      <c r="AV20" s="335">
        <v>416.06599999999997</v>
      </c>
      <c r="AW20" s="335">
        <v>293.98099999999999</v>
      </c>
      <c r="AX20" s="335">
        <v>470.68700000000001</v>
      </c>
      <c r="AY20" s="335">
        <v>150.55500000000001</v>
      </c>
      <c r="AZ20" s="335">
        <v>-13.696999999999999</v>
      </c>
      <c r="BA20" s="335">
        <v>-114.527</v>
      </c>
      <c r="BB20" s="335">
        <v>-237.27699999999999</v>
      </c>
      <c r="BC20" s="335">
        <v>-208.53899999999999</v>
      </c>
      <c r="BD20" s="335">
        <v>-105.298</v>
      </c>
      <c r="BE20" s="335">
        <v>-162.465</v>
      </c>
      <c r="BF20" s="335">
        <v>-460.709</v>
      </c>
      <c r="BG20" s="335">
        <v>-347.702</v>
      </c>
      <c r="BH20" s="335">
        <v>-257.02499999999998</v>
      </c>
      <c r="BI20" s="335">
        <v>-400.61500000000001</v>
      </c>
      <c r="BJ20" s="335">
        <f>-452.531</f>
        <v>-452.53100000000001</v>
      </c>
      <c r="BK20" s="335">
        <v>-205.03299999999999</v>
      </c>
      <c r="BL20" s="335">
        <v>-62.985999999999997</v>
      </c>
    </row>
    <row r="21" spans="1:70">
      <c r="A21" s="36" t="s">
        <v>707</v>
      </c>
      <c r="B21" s="36"/>
      <c r="C21" s="335">
        <v>-20.451000000000001</v>
      </c>
      <c r="D21" s="335">
        <v>-11.416</v>
      </c>
      <c r="E21" s="335">
        <v>0</v>
      </c>
      <c r="F21" s="335">
        <v>-0.03</v>
      </c>
      <c r="G21" s="335">
        <v>0</v>
      </c>
      <c r="H21" s="335">
        <v>0</v>
      </c>
      <c r="I21" s="335">
        <v>0</v>
      </c>
      <c r="J21" s="335">
        <v>0</v>
      </c>
      <c r="K21" s="335">
        <v>-5.8520000000000003</v>
      </c>
      <c r="L21" s="335">
        <v>0</v>
      </c>
      <c r="M21" s="335">
        <v>0</v>
      </c>
      <c r="N21" s="335">
        <v>0</v>
      </c>
      <c r="O21" s="335">
        <v>0</v>
      </c>
      <c r="P21" s="335">
        <v>0</v>
      </c>
      <c r="Q21" s="335">
        <v>0</v>
      </c>
      <c r="R21" s="335">
        <v>0</v>
      </c>
      <c r="S21" s="335">
        <v>0</v>
      </c>
      <c r="T21" s="335">
        <v>0</v>
      </c>
      <c r="U21" s="335">
        <v>0</v>
      </c>
      <c r="V21" s="335">
        <v>-1.5720000000000001</v>
      </c>
      <c r="W21" s="335">
        <v>0</v>
      </c>
      <c r="X21" s="335">
        <v>0</v>
      </c>
      <c r="Y21" s="335">
        <v>0</v>
      </c>
      <c r="Z21" s="335">
        <v>-7.1139999999999999</v>
      </c>
      <c r="AA21" s="335">
        <v>0</v>
      </c>
      <c r="AB21" s="335">
        <v>0</v>
      </c>
      <c r="AC21" s="335">
        <v>0</v>
      </c>
      <c r="AD21" s="335">
        <v>0</v>
      </c>
      <c r="AE21" s="2186">
        <v>0</v>
      </c>
      <c r="AF21" s="335">
        <v>0</v>
      </c>
      <c r="AG21" s="335">
        <v>0</v>
      </c>
      <c r="AH21" s="335">
        <v>0</v>
      </c>
      <c r="AI21" s="335">
        <v>0</v>
      </c>
      <c r="AJ21" s="335">
        <v>0</v>
      </c>
      <c r="AK21" s="335">
        <v>0</v>
      </c>
      <c r="AL21" s="335">
        <v>0</v>
      </c>
      <c r="AM21" s="335">
        <v>0</v>
      </c>
      <c r="AN21" s="335">
        <v>0</v>
      </c>
      <c r="AO21" s="335">
        <v>0</v>
      </c>
      <c r="AP21" s="335">
        <v>0</v>
      </c>
      <c r="AQ21" s="335">
        <v>0</v>
      </c>
      <c r="AR21" s="335">
        <v>0</v>
      </c>
      <c r="AS21" s="335">
        <v>0</v>
      </c>
      <c r="AT21" s="335">
        <v>0</v>
      </c>
      <c r="AU21" s="335">
        <v>0</v>
      </c>
      <c r="AV21" s="335">
        <v>0</v>
      </c>
      <c r="AW21" s="335">
        <v>0</v>
      </c>
      <c r="AX21" s="335">
        <v>0</v>
      </c>
      <c r="AY21" s="335">
        <v>0</v>
      </c>
      <c r="AZ21" s="335">
        <v>0</v>
      </c>
      <c r="BA21" s="335">
        <v>0</v>
      </c>
      <c r="BB21" s="335">
        <v>0</v>
      </c>
      <c r="BC21" s="335">
        <v>0</v>
      </c>
      <c r="BD21" s="335">
        <v>0</v>
      </c>
      <c r="BE21" s="335">
        <v>0</v>
      </c>
      <c r="BF21" s="335">
        <v>0</v>
      </c>
      <c r="BG21" s="335">
        <v>0</v>
      </c>
      <c r="BH21" s="335">
        <v>0</v>
      </c>
      <c r="BI21" s="335">
        <v>0</v>
      </c>
      <c r="BJ21" s="335">
        <v>0</v>
      </c>
      <c r="BK21" s="335">
        <v>0</v>
      </c>
      <c r="BL21" s="335">
        <v>0</v>
      </c>
    </row>
    <row r="22" spans="1:70">
      <c r="A22" s="13" t="s">
        <v>705</v>
      </c>
      <c r="B22" s="13"/>
      <c r="C22" s="170">
        <f t="shared" ref="C22:AO22" si="21">C19+C20+C21</f>
        <v>-46.304000000000109</v>
      </c>
      <c r="D22" s="170">
        <f t="shared" si="21"/>
        <v>-49.682000000000215</v>
      </c>
      <c r="E22" s="170">
        <f t="shared" si="21"/>
        <v>69.239999999999696</v>
      </c>
      <c r="F22" s="170">
        <f t="shared" si="21"/>
        <v>133.70699999999994</v>
      </c>
      <c r="G22" s="170">
        <f t="shared" si="21"/>
        <v>3.407000000000203</v>
      </c>
      <c r="H22" s="170">
        <f t="shared" si="21"/>
        <v>103.69200000000001</v>
      </c>
      <c r="I22" s="170">
        <f t="shared" si="21"/>
        <v>17.135999999999857</v>
      </c>
      <c r="J22" s="170">
        <f t="shared" si="21"/>
        <v>34.754999999999725</v>
      </c>
      <c r="K22" s="170">
        <f t="shared" si="21"/>
        <v>13.282000000000107</v>
      </c>
      <c r="L22" s="170">
        <f t="shared" si="21"/>
        <v>57.119000000000277</v>
      </c>
      <c r="M22" s="170">
        <f t="shared" si="21"/>
        <v>87.619000000000142</v>
      </c>
      <c r="N22" s="170">
        <f t="shared" si="21"/>
        <v>72.888999999999882</v>
      </c>
      <c r="O22" s="170">
        <f t="shared" si="21"/>
        <v>20.010999999999832</v>
      </c>
      <c r="P22" s="170">
        <f t="shared" si="21"/>
        <v>137.43899999999977</v>
      </c>
      <c r="Q22" s="170">
        <f t="shared" si="21"/>
        <v>94.574999999999974</v>
      </c>
      <c r="R22" s="170">
        <f t="shared" si="21"/>
        <v>151.41899999999987</v>
      </c>
      <c r="S22" s="170">
        <f t="shared" si="21"/>
        <v>72.951999999999941</v>
      </c>
      <c r="T22" s="170">
        <f t="shared" si="21"/>
        <v>146.73600000000016</v>
      </c>
      <c r="U22" s="170">
        <f t="shared" si="21"/>
        <v>184.10499999999996</v>
      </c>
      <c r="V22" s="170">
        <f t="shared" si="21"/>
        <v>259.52500000000015</v>
      </c>
      <c r="W22" s="170">
        <f t="shared" si="21"/>
        <v>68.378999999999991</v>
      </c>
      <c r="X22" s="170">
        <f t="shared" si="21"/>
        <v>85.764999999999745</v>
      </c>
      <c r="Y22" s="170">
        <f t="shared" si="21"/>
        <v>184.78900000000061</v>
      </c>
      <c r="Z22" s="170">
        <f t="shared" si="21"/>
        <v>285.16099999999966</v>
      </c>
      <c r="AA22" s="170">
        <f t="shared" si="21"/>
        <v>305.09200000000089</v>
      </c>
      <c r="AB22" s="170">
        <f t="shared" si="21"/>
        <v>98.461999999999847</v>
      </c>
      <c r="AC22" s="170">
        <f t="shared" si="21"/>
        <v>132.19200000000018</v>
      </c>
      <c r="AD22" s="170">
        <f t="shared" si="21"/>
        <v>497.00599999999957</v>
      </c>
      <c r="AE22" s="2187">
        <f t="shared" si="21"/>
        <v>55.056999999999924</v>
      </c>
      <c r="AF22" s="170">
        <f t="shared" si="21"/>
        <v>231.16699999999935</v>
      </c>
      <c r="AG22" s="170">
        <f t="shared" si="21"/>
        <v>186.36700000000013</v>
      </c>
      <c r="AH22" s="170">
        <f t="shared" si="21"/>
        <v>653.89900000000023</v>
      </c>
      <c r="AI22" s="170">
        <f t="shared" si="21"/>
        <v>218.31299999999928</v>
      </c>
      <c r="AJ22" s="170">
        <f t="shared" si="21"/>
        <v>94.148000000000366</v>
      </c>
      <c r="AK22" s="170">
        <f t="shared" si="21"/>
        <v>229.10699999999892</v>
      </c>
      <c r="AL22" s="170">
        <f t="shared" si="21"/>
        <v>710.55200000000059</v>
      </c>
      <c r="AM22" s="170">
        <v>240.99999999999991</v>
      </c>
      <c r="AN22" s="170">
        <f t="shared" si="21"/>
        <v>246.17400000000012</v>
      </c>
      <c r="AO22" s="170">
        <f t="shared" si="21"/>
        <v>324.1500000000002</v>
      </c>
      <c r="AP22" s="170">
        <f t="shared" ref="AP22:BK22" si="22">AP19+AP20+AP21</f>
        <v>327.99999999999875</v>
      </c>
      <c r="AQ22" s="170">
        <f t="shared" si="22"/>
        <v>134.07200000000026</v>
      </c>
      <c r="AR22" s="170">
        <f t="shared" si="22"/>
        <v>214.18900000000184</v>
      </c>
      <c r="AS22" s="170">
        <f t="shared" si="22"/>
        <v>230.75499999999889</v>
      </c>
      <c r="AT22" s="170">
        <f t="shared" si="22"/>
        <v>505.71799999999928</v>
      </c>
      <c r="AU22" s="170">
        <f t="shared" si="22"/>
        <v>-390.43900000000031</v>
      </c>
      <c r="AV22" s="170">
        <f t="shared" si="22"/>
        <v>-2981.5370000000007</v>
      </c>
      <c r="AW22" s="170">
        <f t="shared" si="22"/>
        <v>-590.41700000000083</v>
      </c>
      <c r="AX22" s="170">
        <f t="shared" si="22"/>
        <v>116.46199999999942</v>
      </c>
      <c r="AY22" s="170">
        <f t="shared" si="22"/>
        <v>-469.43299999999971</v>
      </c>
      <c r="AZ22" s="170">
        <f t="shared" si="22"/>
        <v>57.132000000000062</v>
      </c>
      <c r="BA22" s="170">
        <f t="shared" si="22"/>
        <v>272.40800000000047</v>
      </c>
      <c r="BB22" s="170">
        <f t="shared" si="22"/>
        <v>924.36300000000006</v>
      </c>
      <c r="BC22" s="170">
        <f t="shared" si="22"/>
        <v>511.51099999999985</v>
      </c>
      <c r="BD22" s="170">
        <f t="shared" si="22"/>
        <v>236.85800000000017</v>
      </c>
      <c r="BE22" s="170">
        <f t="shared" si="22"/>
        <v>307.15299999999854</v>
      </c>
      <c r="BF22" s="170">
        <f t="shared" si="22"/>
        <v>529.27299999999923</v>
      </c>
      <c r="BG22" s="170">
        <f t="shared" si="22"/>
        <v>606.2390000000006</v>
      </c>
      <c r="BH22" s="170">
        <f t="shared" si="22"/>
        <v>490.12799999999902</v>
      </c>
      <c r="BI22" s="170">
        <f t="shared" si="22"/>
        <v>530.50099999999782</v>
      </c>
      <c r="BJ22" s="170">
        <f t="shared" si="22"/>
        <v>1363.1289999999995</v>
      </c>
      <c r="BK22" s="170">
        <f t="shared" si="22"/>
        <v>402.86600000000101</v>
      </c>
      <c r="BL22" s="170">
        <f t="shared" ref="BL22" si="23">BL19+BL20+BL21</f>
        <v>141.27100000000121</v>
      </c>
    </row>
    <row r="23" spans="1:70">
      <c r="A23" s="622" t="s">
        <v>118</v>
      </c>
      <c r="B23" s="622"/>
      <c r="C23" s="435">
        <v>-3.0030000000000001</v>
      </c>
      <c r="D23" s="435">
        <v>-7.7750000000000004</v>
      </c>
      <c r="E23" s="435">
        <v>4.8129999999999997</v>
      </c>
      <c r="F23" s="435">
        <v>9.1780000000000008</v>
      </c>
      <c r="G23" s="435">
        <v>4.0650000000000004</v>
      </c>
      <c r="H23" s="435">
        <v>4.9880000000000004</v>
      </c>
      <c r="I23" s="435">
        <v>0.69799999999999995</v>
      </c>
      <c r="J23" s="435">
        <v>-1.9870000000000001</v>
      </c>
      <c r="K23" s="435">
        <v>0</v>
      </c>
      <c r="L23" s="435">
        <v>7.0579999999999998</v>
      </c>
      <c r="M23" s="435">
        <v>5.44</v>
      </c>
      <c r="N23" s="435">
        <v>8.7669999999999995</v>
      </c>
      <c r="O23" s="435">
        <v>2.9670000000000001</v>
      </c>
      <c r="P23" s="435">
        <v>4.5839999999999996</v>
      </c>
      <c r="Q23" s="435">
        <v>10.319000000000001</v>
      </c>
      <c r="R23" s="435">
        <v>19.009</v>
      </c>
      <c r="S23" s="435">
        <v>7.8029999999999999</v>
      </c>
      <c r="T23" s="435">
        <v>-10.707000000000001</v>
      </c>
      <c r="U23" s="435">
        <v>0.28199999999999997</v>
      </c>
      <c r="V23" s="435">
        <v>-15.073</v>
      </c>
      <c r="W23" s="435">
        <v>-18.356000000000002</v>
      </c>
      <c r="X23" s="435">
        <v>-2.3980000000000001</v>
      </c>
      <c r="Y23" s="435">
        <v>-9.7579999999999991</v>
      </c>
      <c r="Z23" s="435">
        <v>-12.06</v>
      </c>
      <c r="AA23" s="435">
        <v>6.2779999999999996</v>
      </c>
      <c r="AB23" s="435">
        <v>5.8689999999999998</v>
      </c>
      <c r="AC23" s="435">
        <v>11.93</v>
      </c>
      <c r="AD23" s="435">
        <v>27.469000000000001</v>
      </c>
      <c r="AE23" s="2185">
        <v>20.965</v>
      </c>
      <c r="AF23" s="435">
        <v>20.847000000000001</v>
      </c>
      <c r="AG23" s="435">
        <v>21.559000000000001</v>
      </c>
      <c r="AH23" s="435">
        <v>66.647000000000006</v>
      </c>
      <c r="AI23" s="435">
        <v>46.231000000000002</v>
      </c>
      <c r="AJ23" s="435">
        <v>34.713000000000001</v>
      </c>
      <c r="AK23" s="435">
        <v>22.803000000000001</v>
      </c>
      <c r="AL23" s="435">
        <v>58.904000000000003</v>
      </c>
      <c r="AM23" s="435">
        <v>42.600999999999999</v>
      </c>
      <c r="AN23" s="435">
        <v>41.478000000000002</v>
      </c>
      <c r="AO23" s="435">
        <v>24.228999999999999</v>
      </c>
      <c r="AP23" s="435">
        <v>77.763000000000005</v>
      </c>
      <c r="AQ23" s="435">
        <v>27.600999999999999</v>
      </c>
      <c r="AR23" s="435">
        <v>40.899000000000001</v>
      </c>
      <c r="AS23" s="435">
        <v>40.149000000000001</v>
      </c>
      <c r="AT23" s="435">
        <v>49.414999999999999</v>
      </c>
      <c r="AU23" s="435">
        <v>-110.49</v>
      </c>
      <c r="AV23" s="435">
        <v>-386.089</v>
      </c>
      <c r="AW23" s="435">
        <v>-114.306</v>
      </c>
      <c r="AX23" s="435">
        <v>-48.999000000000002</v>
      </c>
      <c r="AY23" s="435">
        <v>-157.32499999999999</v>
      </c>
      <c r="AZ23" s="435">
        <v>-81.869</v>
      </c>
      <c r="BA23" s="435">
        <v>99.38</v>
      </c>
      <c r="BB23" s="435">
        <v>89.153999999999996</v>
      </c>
      <c r="BC23" s="435">
        <v>-13.930999999999999</v>
      </c>
      <c r="BD23" s="435">
        <v>25.436</v>
      </c>
      <c r="BE23" s="435">
        <v>-9.609</v>
      </c>
      <c r="BF23" s="435">
        <v>-49.436</v>
      </c>
      <c r="BG23" s="1997">
        <v>18.013999999999999</v>
      </c>
      <c r="BH23" s="435">
        <v>46.319000000000003</v>
      </c>
      <c r="BI23" s="435">
        <v>35.875999999999998</v>
      </c>
      <c r="BJ23" s="435">
        <f>-(40.941)</f>
        <v>-40.941000000000003</v>
      </c>
      <c r="BK23" s="435">
        <v>-1.262</v>
      </c>
      <c r="BL23" s="435">
        <v>1.194</v>
      </c>
    </row>
    <row r="24" spans="1:70">
      <c r="A24" s="13" t="s">
        <v>640</v>
      </c>
      <c r="B24" s="13"/>
      <c r="C24" s="435">
        <v>-43.301000000000002</v>
      </c>
      <c r="D24" s="435">
        <v>-41.906999999999996</v>
      </c>
      <c r="E24" s="435">
        <v>64.427000000000007</v>
      </c>
      <c r="F24" s="435">
        <v>124.529</v>
      </c>
      <c r="G24" s="435">
        <v>-0.65800000000000003</v>
      </c>
      <c r="H24" s="435">
        <v>98.700999999999993</v>
      </c>
      <c r="I24" s="435">
        <v>16.417999999999999</v>
      </c>
      <c r="J24" s="435">
        <v>36.743000000000002</v>
      </c>
      <c r="K24" s="435">
        <v>13.281000000000001</v>
      </c>
      <c r="L24" s="435">
        <v>50.063000000000002</v>
      </c>
      <c r="M24" s="435">
        <v>82.179000000000002</v>
      </c>
      <c r="N24" s="435">
        <v>64.122</v>
      </c>
      <c r="O24" s="435">
        <v>17.044</v>
      </c>
      <c r="P24" s="435">
        <v>132.85400000000001</v>
      </c>
      <c r="Q24" s="435">
        <v>84.254000000000005</v>
      </c>
      <c r="R24" s="435">
        <v>132.411</v>
      </c>
      <c r="S24" s="435">
        <v>65.149000000000001</v>
      </c>
      <c r="T24" s="435">
        <v>157.44300000000001</v>
      </c>
      <c r="U24" s="435">
        <v>183.82400000000001</v>
      </c>
      <c r="V24" s="435">
        <v>274.59800000000001</v>
      </c>
      <c r="W24" s="435">
        <v>86.734999999999999</v>
      </c>
      <c r="X24" s="435">
        <v>88.162999999999997</v>
      </c>
      <c r="Y24" s="435">
        <v>194.54599999999999</v>
      </c>
      <c r="Z24" s="435">
        <v>297.221</v>
      </c>
      <c r="AA24" s="435">
        <v>298.81299999999999</v>
      </c>
      <c r="AB24" s="435">
        <v>92.602000000000004</v>
      </c>
      <c r="AC24" s="435">
        <v>120.26300000000001</v>
      </c>
      <c r="AD24" s="435">
        <v>469.53699999999998</v>
      </c>
      <c r="AE24" s="2185">
        <v>34.091999999999999</v>
      </c>
      <c r="AF24" s="435">
        <v>210.32</v>
      </c>
      <c r="AG24" s="435">
        <v>164.80699999999999</v>
      </c>
      <c r="AH24" s="435">
        <v>587.25099999999998</v>
      </c>
      <c r="AI24" s="435">
        <v>172.08199999999999</v>
      </c>
      <c r="AJ24" s="435">
        <v>59.435000000000002</v>
      </c>
      <c r="AK24" s="435">
        <v>206.304</v>
      </c>
      <c r="AL24" s="435">
        <v>651.678</v>
      </c>
      <c r="AM24" s="435">
        <v>198.4</v>
      </c>
      <c r="AN24" s="435">
        <v>204.696</v>
      </c>
      <c r="AO24" s="435">
        <v>299.92099999999999</v>
      </c>
      <c r="AP24" s="435">
        <v>250.23699999999999</v>
      </c>
      <c r="AQ24" s="435">
        <v>106.471</v>
      </c>
      <c r="AR24" s="435">
        <v>173.29</v>
      </c>
      <c r="AS24" s="435">
        <v>190.60599999999999</v>
      </c>
      <c r="AT24" s="435">
        <v>456.303</v>
      </c>
      <c r="AU24" s="435">
        <v>-279.97899999999998</v>
      </c>
      <c r="AV24" s="435">
        <v>-2595.4479999999999</v>
      </c>
      <c r="AW24" s="435">
        <v>-476.11099999999999</v>
      </c>
      <c r="AX24" s="435">
        <v>165.46100000000001</v>
      </c>
      <c r="AY24" s="435">
        <v>-312.108</v>
      </c>
      <c r="AZ24" s="435">
        <v>139.001</v>
      </c>
      <c r="BA24" s="435">
        <v>173.029</v>
      </c>
      <c r="BB24" s="435">
        <v>835.20899999999995</v>
      </c>
      <c r="BC24" s="435">
        <v>525.44100000000003</v>
      </c>
      <c r="BD24" s="435">
        <v>211.422</v>
      </c>
      <c r="BE24" s="435">
        <v>316.76100000000002</v>
      </c>
      <c r="BF24" s="435">
        <v>578.70899999999995</v>
      </c>
      <c r="BG24" s="435">
        <v>588.226</v>
      </c>
      <c r="BH24" s="435">
        <v>443.81099999999998</v>
      </c>
      <c r="BI24" s="435">
        <v>494.625</v>
      </c>
      <c r="BJ24" s="435">
        <v>1404.067</v>
      </c>
      <c r="BK24" s="435">
        <f>BK22+BK23</f>
        <v>401.60400000000101</v>
      </c>
      <c r="BL24" s="435">
        <v>140.077</v>
      </c>
    </row>
    <row r="25" spans="1:70">
      <c r="A25" s="604"/>
      <c r="B25" s="604"/>
      <c r="C25" s="288"/>
      <c r="D25" s="288"/>
      <c r="E25" s="288"/>
      <c r="F25" s="288"/>
      <c r="G25" s="844"/>
      <c r="H25" s="288"/>
      <c r="I25" s="288"/>
      <c r="J25" s="288"/>
      <c r="K25" s="288"/>
      <c r="L25" s="820"/>
      <c r="M25" s="288"/>
      <c r="N25" s="288"/>
      <c r="O25" s="288"/>
      <c r="P25" s="288"/>
      <c r="Q25" s="288"/>
      <c r="R25" s="288"/>
      <c r="S25" s="288"/>
      <c r="T25" s="288"/>
      <c r="U25" s="288"/>
      <c r="V25" s="820"/>
      <c r="W25" s="288"/>
      <c r="X25" s="288"/>
      <c r="Y25" s="288"/>
      <c r="Z25" s="288"/>
      <c r="AA25" s="288"/>
      <c r="AB25" s="288"/>
      <c r="AC25" s="288"/>
      <c r="AD25" s="288"/>
      <c r="AE25" s="2189"/>
      <c r="AF25" s="288"/>
      <c r="AG25" s="288"/>
      <c r="AH25" s="288"/>
      <c r="AI25" s="288"/>
      <c r="AJ25" s="288"/>
      <c r="AK25" s="288"/>
      <c r="AL25" s="288"/>
      <c r="AM25" s="288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</row>
    <row r="26" spans="1:70">
      <c r="A26" s="13" t="s">
        <v>552</v>
      </c>
      <c r="B26" s="13"/>
      <c r="C26" s="608">
        <v>617.5</v>
      </c>
      <c r="D26" s="608">
        <v>612.4</v>
      </c>
      <c r="E26" s="608">
        <v>606.5</v>
      </c>
      <c r="F26" s="608">
        <v>601.79999999999995</v>
      </c>
      <c r="G26" s="435">
        <v>608.79999999999995</v>
      </c>
      <c r="H26" s="608">
        <v>611.70000000000005</v>
      </c>
      <c r="I26" s="608">
        <v>610.79999999999995</v>
      </c>
      <c r="J26" s="608">
        <v>605.20000000000005</v>
      </c>
      <c r="K26" s="608">
        <v>611.70000000000005</v>
      </c>
      <c r="L26" s="608">
        <v>611.29999999999995</v>
      </c>
      <c r="M26" s="608">
        <v>607.4</v>
      </c>
      <c r="N26" s="608">
        <v>606</v>
      </c>
      <c r="O26" s="608">
        <v>617.79999999999995</v>
      </c>
      <c r="P26" s="608">
        <v>634.27</v>
      </c>
      <c r="Q26" s="608">
        <v>634.27</v>
      </c>
      <c r="R26" s="608">
        <v>687.8</v>
      </c>
      <c r="S26" s="608">
        <v>687.8</v>
      </c>
      <c r="T26" s="608">
        <v>686.5</v>
      </c>
      <c r="U26" s="608">
        <v>687.8</v>
      </c>
      <c r="V26" s="608">
        <v>687.8</v>
      </c>
      <c r="W26" s="608">
        <v>687.8</v>
      </c>
      <c r="X26" s="608">
        <v>838.6</v>
      </c>
      <c r="Y26" s="608">
        <v>838.6</v>
      </c>
      <c r="Z26" s="608">
        <v>837.6</v>
      </c>
      <c r="AA26" s="608">
        <v>838.1</v>
      </c>
      <c r="AB26" s="608">
        <v>838.5</v>
      </c>
      <c r="AC26" s="608">
        <v>837.8</v>
      </c>
      <c r="AD26" s="608">
        <v>837.5</v>
      </c>
      <c r="AE26" s="2190">
        <v>837.4</v>
      </c>
      <c r="AF26" s="608">
        <v>837.4</v>
      </c>
      <c r="AG26" s="608">
        <v>835.9</v>
      </c>
      <c r="AH26" s="608">
        <v>834.3</v>
      </c>
      <c r="AI26" s="608">
        <v>833.4</v>
      </c>
      <c r="AJ26" s="608">
        <v>834.9</v>
      </c>
      <c r="AK26" s="608">
        <v>834.1</v>
      </c>
      <c r="AL26" s="608">
        <v>832.8</v>
      </c>
      <c r="AM26" s="608">
        <v>837.8</v>
      </c>
      <c r="AN26" s="608">
        <v>838.5</v>
      </c>
      <c r="AO26" s="608">
        <v>838.5</v>
      </c>
      <c r="AP26" s="608">
        <v>835.6</v>
      </c>
      <c r="AQ26" s="608">
        <v>835.6</v>
      </c>
      <c r="AR26" s="608">
        <v>831.3</v>
      </c>
      <c r="AS26" s="608">
        <v>830.7</v>
      </c>
      <c r="AT26" s="608">
        <v>838.5</v>
      </c>
      <c r="AU26" s="608">
        <v>834.1</v>
      </c>
      <c r="AV26" s="1725">
        <v>832.9</v>
      </c>
      <c r="AW26" s="608">
        <v>832.9</v>
      </c>
      <c r="AX26" s="608">
        <v>838.5</v>
      </c>
      <c r="AY26" s="608">
        <v>838.6</v>
      </c>
      <c r="AZ26" s="608">
        <v>838.6</v>
      </c>
      <c r="BA26" s="608">
        <v>838.6</v>
      </c>
      <c r="BB26" s="608">
        <v>838.6</v>
      </c>
      <c r="BC26" s="608">
        <v>838.2</v>
      </c>
      <c r="BD26" s="608">
        <v>830.7</v>
      </c>
      <c r="BE26" s="608">
        <v>820.9</v>
      </c>
      <c r="BF26" s="608">
        <v>820</v>
      </c>
      <c r="BG26" s="608">
        <v>815.1</v>
      </c>
      <c r="BH26" s="608">
        <v>815.1</v>
      </c>
      <c r="BI26" s="608">
        <v>812.6</v>
      </c>
      <c r="BJ26" s="608">
        <v>809.7</v>
      </c>
      <c r="BK26" s="608">
        <v>815.1</v>
      </c>
      <c r="BL26" s="608">
        <v>815</v>
      </c>
    </row>
    <row r="27" spans="1:70">
      <c r="A27" s="9" t="s">
        <v>629</v>
      </c>
      <c r="C27" s="716" t="s">
        <v>750</v>
      </c>
      <c r="D27" s="716" t="s">
        <v>750</v>
      </c>
      <c r="E27" s="716" t="s">
        <v>750</v>
      </c>
      <c r="F27" s="716" t="s">
        <v>750</v>
      </c>
      <c r="G27" s="1159" t="s">
        <v>750</v>
      </c>
      <c r="H27" s="716" t="s">
        <v>750</v>
      </c>
      <c r="I27" s="716" t="s">
        <v>750</v>
      </c>
      <c r="J27" s="716" t="s">
        <v>750</v>
      </c>
      <c r="K27" s="716" t="s">
        <v>750</v>
      </c>
      <c r="L27" s="716" t="s">
        <v>750</v>
      </c>
      <c r="M27" s="716" t="s">
        <v>750</v>
      </c>
      <c r="N27" s="716" t="s">
        <v>750</v>
      </c>
      <c r="O27" s="716" t="s">
        <v>750</v>
      </c>
      <c r="P27" s="716" t="s">
        <v>750</v>
      </c>
      <c r="Q27" s="716" t="s">
        <v>750</v>
      </c>
      <c r="R27" s="716" t="s">
        <v>750</v>
      </c>
      <c r="S27" s="716" t="s">
        <v>750</v>
      </c>
      <c r="T27" s="716" t="s">
        <v>750</v>
      </c>
      <c r="U27" s="716" t="s">
        <v>750</v>
      </c>
      <c r="V27" s="716" t="s">
        <v>750</v>
      </c>
      <c r="W27" s="716" t="s">
        <v>750</v>
      </c>
      <c r="X27" s="716" t="s">
        <v>750</v>
      </c>
      <c r="Y27" s="716" t="s">
        <v>750</v>
      </c>
      <c r="Z27" s="716" t="s">
        <v>750</v>
      </c>
      <c r="AA27" s="716" t="s">
        <v>750</v>
      </c>
      <c r="AB27" s="716" t="s">
        <v>750</v>
      </c>
      <c r="AC27" s="716" t="s">
        <v>750</v>
      </c>
      <c r="AD27" s="716" t="s">
        <v>750</v>
      </c>
      <c r="AE27" s="2191" t="s">
        <v>750</v>
      </c>
      <c r="AF27" s="716" t="s">
        <v>750</v>
      </c>
      <c r="AG27" s="716" t="s">
        <v>750</v>
      </c>
      <c r="AH27" s="716" t="s">
        <v>750</v>
      </c>
      <c r="AI27" s="716" t="s">
        <v>750</v>
      </c>
      <c r="AJ27" s="716" t="s">
        <v>750</v>
      </c>
      <c r="AK27" s="716" t="s">
        <v>750</v>
      </c>
      <c r="AL27" s="716" t="s">
        <v>750</v>
      </c>
      <c r="AM27" s="716" t="s">
        <v>750</v>
      </c>
      <c r="AN27" s="716" t="s">
        <v>750</v>
      </c>
      <c r="AO27" s="716" t="s">
        <v>750</v>
      </c>
      <c r="AP27" s="716" t="s">
        <v>750</v>
      </c>
      <c r="AQ27" s="716" t="s">
        <v>750</v>
      </c>
      <c r="AR27" s="716" t="s">
        <v>750</v>
      </c>
      <c r="AS27" s="716" t="s">
        <v>750</v>
      </c>
      <c r="AT27" s="716" t="s">
        <v>750</v>
      </c>
      <c r="AU27" s="716" t="s">
        <v>750</v>
      </c>
      <c r="AV27" s="716" t="s">
        <v>750</v>
      </c>
      <c r="AW27" s="716" t="s">
        <v>750</v>
      </c>
      <c r="AX27" s="716" t="s">
        <v>750</v>
      </c>
      <c r="AY27" s="716" t="s">
        <v>750</v>
      </c>
      <c r="AZ27" s="716" t="s">
        <v>750</v>
      </c>
      <c r="BA27" s="716" t="s">
        <v>750</v>
      </c>
      <c r="BB27" s="716" t="s">
        <v>750</v>
      </c>
      <c r="BC27" s="716" t="s">
        <v>750</v>
      </c>
      <c r="BD27" s="716" t="s">
        <v>750</v>
      </c>
      <c r="BE27" s="716" t="s">
        <v>750</v>
      </c>
      <c r="BF27" s="716" t="s">
        <v>750</v>
      </c>
      <c r="BG27" s="716" t="s">
        <v>750</v>
      </c>
      <c r="BH27" s="716" t="s">
        <v>750</v>
      </c>
      <c r="BI27" s="716" t="s">
        <v>750</v>
      </c>
      <c r="BJ27" s="716">
        <v>9.7812409999999996</v>
      </c>
      <c r="BK27" s="716"/>
      <c r="BL27" s="716"/>
    </row>
    <row r="28" spans="1:70"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2188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Z28" s="435"/>
      <c r="BA28" s="435"/>
      <c r="BB28" s="435"/>
      <c r="BH28" s="435"/>
      <c r="BI28" s="435"/>
      <c r="BJ28" s="435"/>
    </row>
    <row r="29" spans="1:70">
      <c r="A29" s="577" t="s">
        <v>433</v>
      </c>
      <c r="B29" s="577"/>
      <c r="C29" s="578" t="str">
        <f t="shared" ref="C29:AH29" si="24">C$3</f>
        <v>1Q09</v>
      </c>
      <c r="D29" s="578" t="str">
        <f t="shared" si="24"/>
        <v>2Q09</v>
      </c>
      <c r="E29" s="578" t="str">
        <f t="shared" si="24"/>
        <v>3Q09</v>
      </c>
      <c r="F29" s="578" t="str">
        <f t="shared" si="24"/>
        <v>4Q09</v>
      </c>
      <c r="G29" s="578" t="str">
        <f t="shared" si="24"/>
        <v>1Q10</v>
      </c>
      <c r="H29" s="578" t="str">
        <f t="shared" si="24"/>
        <v>2Q10</v>
      </c>
      <c r="I29" s="578" t="str">
        <f t="shared" si="24"/>
        <v>3Q10</v>
      </c>
      <c r="J29" s="578" t="str">
        <f t="shared" si="24"/>
        <v>4Q10</v>
      </c>
      <c r="K29" s="578" t="str">
        <f t="shared" si="24"/>
        <v>1Q11</v>
      </c>
      <c r="L29" s="578" t="str">
        <f t="shared" si="24"/>
        <v>2Q11</v>
      </c>
      <c r="M29" s="578" t="str">
        <f t="shared" si="24"/>
        <v>3Q11</v>
      </c>
      <c r="N29" s="578" t="str">
        <f t="shared" si="24"/>
        <v>4Q11</v>
      </c>
      <c r="O29" s="578" t="str">
        <f t="shared" si="24"/>
        <v>1Q12</v>
      </c>
      <c r="P29" s="578" t="str">
        <f t="shared" si="24"/>
        <v>2Q12</v>
      </c>
      <c r="Q29" s="578" t="str">
        <f t="shared" si="24"/>
        <v>3Q12</v>
      </c>
      <c r="R29" s="578" t="str">
        <f t="shared" si="24"/>
        <v>4Q12</v>
      </c>
      <c r="S29" s="578" t="str">
        <f t="shared" si="24"/>
        <v>1Q13</v>
      </c>
      <c r="T29" s="578" t="str">
        <f t="shared" si="24"/>
        <v>2Q13</v>
      </c>
      <c r="U29" s="578" t="str">
        <f t="shared" si="24"/>
        <v>3Q13</v>
      </c>
      <c r="V29" s="578" t="str">
        <f t="shared" si="24"/>
        <v>4Q13</v>
      </c>
      <c r="W29" s="578" t="str">
        <f t="shared" si="24"/>
        <v>1Q14</v>
      </c>
      <c r="X29" s="578" t="str">
        <f t="shared" si="24"/>
        <v>2Q14</v>
      </c>
      <c r="Y29" s="578" t="str">
        <f t="shared" si="24"/>
        <v>3Q14</v>
      </c>
      <c r="Z29" s="578" t="str">
        <f t="shared" si="24"/>
        <v>4Q14</v>
      </c>
      <c r="AA29" s="578" t="str">
        <f t="shared" si="24"/>
        <v>1Q15</v>
      </c>
      <c r="AB29" s="578" t="str">
        <f t="shared" si="24"/>
        <v>2Q15</v>
      </c>
      <c r="AC29" s="578" t="str">
        <f t="shared" si="24"/>
        <v>3Q15</v>
      </c>
      <c r="AD29" s="578" t="str">
        <f t="shared" si="24"/>
        <v>4Q15</v>
      </c>
      <c r="AE29" s="2184" t="str">
        <f t="shared" si="24"/>
        <v>1Q16</v>
      </c>
      <c r="AF29" s="578" t="str">
        <f t="shared" si="24"/>
        <v>2Q16</v>
      </c>
      <c r="AG29" s="578" t="str">
        <f t="shared" si="24"/>
        <v>3Q16</v>
      </c>
      <c r="AH29" s="578" t="str">
        <f t="shared" si="24"/>
        <v>4Q16</v>
      </c>
      <c r="AI29" s="578" t="str">
        <f t="shared" ref="AI29:BR29" si="25">AI$3</f>
        <v>1Q17</v>
      </c>
      <c r="AJ29" s="578" t="str">
        <f t="shared" si="25"/>
        <v>2Q17</v>
      </c>
      <c r="AK29" s="578" t="str">
        <f t="shared" si="25"/>
        <v>3Q17</v>
      </c>
      <c r="AL29" s="578" t="str">
        <f t="shared" si="25"/>
        <v>4Q17</v>
      </c>
      <c r="AM29" s="578" t="str">
        <f t="shared" si="25"/>
        <v>1Q18</v>
      </c>
      <c r="AN29" s="578" t="str">
        <f t="shared" si="25"/>
        <v>2Q18</v>
      </c>
      <c r="AO29" s="578" t="str">
        <f t="shared" si="25"/>
        <v>3Q18</v>
      </c>
      <c r="AP29" s="578" t="str">
        <f t="shared" si="25"/>
        <v>4Q18</v>
      </c>
      <c r="AQ29" s="578" t="str">
        <f t="shared" si="25"/>
        <v>1Q19</v>
      </c>
      <c r="AR29" s="578" t="str">
        <f t="shared" si="25"/>
        <v>2Q19</v>
      </c>
      <c r="AS29" s="578" t="str">
        <f t="shared" si="25"/>
        <v>3Q19</v>
      </c>
      <c r="AT29" s="578" t="str">
        <f t="shared" si="25"/>
        <v>4Q19</v>
      </c>
      <c r="AU29" s="578" t="str">
        <f t="shared" si="25"/>
        <v>1Q20</v>
      </c>
      <c r="AV29" s="578" t="str">
        <f t="shared" si="25"/>
        <v>2Q20</v>
      </c>
      <c r="AW29" s="578" t="str">
        <f t="shared" si="25"/>
        <v>3Q20</v>
      </c>
      <c r="AX29" s="578" t="str">
        <f t="shared" si="25"/>
        <v>4Q20</v>
      </c>
      <c r="AY29" s="578" t="str">
        <f t="shared" si="25"/>
        <v>1Q21</v>
      </c>
      <c r="AZ29" s="578" t="str">
        <f t="shared" si="25"/>
        <v>2Q21</v>
      </c>
      <c r="BA29" s="578" t="str">
        <f t="shared" si="25"/>
        <v>3Q21</v>
      </c>
      <c r="BB29" s="578" t="str">
        <f t="shared" si="25"/>
        <v>4Q21</v>
      </c>
      <c r="BC29" s="578" t="str">
        <f t="shared" si="25"/>
        <v>1Q22</v>
      </c>
      <c r="BD29" s="578" t="str">
        <f t="shared" si="25"/>
        <v>2Q22</v>
      </c>
      <c r="BE29" s="578" t="str">
        <f t="shared" si="25"/>
        <v>3Q22</v>
      </c>
      <c r="BF29" s="578" t="str">
        <f t="shared" si="25"/>
        <v>4Q22</v>
      </c>
      <c r="BG29" s="578" t="str">
        <f t="shared" si="25"/>
        <v>1Q23</v>
      </c>
      <c r="BH29" s="578" t="str">
        <f t="shared" si="25"/>
        <v>2Q23</v>
      </c>
      <c r="BI29" s="578" t="str">
        <f t="shared" si="25"/>
        <v>3Q23</v>
      </c>
      <c r="BJ29" s="578" t="str">
        <f t="shared" si="25"/>
        <v>4Q23</v>
      </c>
      <c r="BK29" s="578" t="str">
        <f t="shared" si="25"/>
        <v>1Q24</v>
      </c>
      <c r="BL29" s="578" t="str">
        <f t="shared" si="25"/>
        <v>2Q24</v>
      </c>
      <c r="BM29" s="578" t="str">
        <f t="shared" si="25"/>
        <v>3Q24</v>
      </c>
      <c r="BN29" s="578" t="str">
        <f t="shared" si="25"/>
        <v>4Q24</v>
      </c>
      <c r="BO29" s="578" t="str">
        <f t="shared" si="25"/>
        <v>1Q25</v>
      </c>
      <c r="BP29" s="578" t="str">
        <f t="shared" si="25"/>
        <v>2Q25</v>
      </c>
      <c r="BQ29" s="578" t="str">
        <f t="shared" si="25"/>
        <v>3Q25</v>
      </c>
      <c r="BR29" s="578" t="str">
        <f t="shared" si="25"/>
        <v>4Q25</v>
      </c>
    </row>
    <row r="30" spans="1:70" s="806" customFormat="1">
      <c r="A30" s="374"/>
      <c r="B30" s="374"/>
      <c r="C30" s="367"/>
      <c r="D30" s="670"/>
      <c r="E30" s="670"/>
      <c r="F30" s="670"/>
      <c r="G30" s="808"/>
      <c r="H30" s="808"/>
      <c r="I30" s="808"/>
      <c r="J30" s="808"/>
      <c r="K30" s="808"/>
      <c r="L30" s="808"/>
      <c r="M30" s="808"/>
      <c r="N30" s="808"/>
      <c r="O30" s="808"/>
      <c r="P30" s="808"/>
      <c r="Q30" s="808"/>
      <c r="R30" s="808"/>
      <c r="S30" s="808"/>
      <c r="T30" s="809"/>
      <c r="U30" s="809"/>
      <c r="V30" s="807"/>
      <c r="W30" s="808"/>
      <c r="X30" s="809"/>
      <c r="Y30" s="809"/>
      <c r="Z30" s="807"/>
      <c r="AA30" s="807"/>
      <c r="AB30" s="807"/>
      <c r="AC30" s="807"/>
      <c r="AD30" s="807"/>
      <c r="AE30" s="2192"/>
      <c r="AF30" s="807"/>
      <c r="AG30" s="807"/>
      <c r="AH30" s="807"/>
      <c r="AI30" s="807"/>
      <c r="AJ30" s="807"/>
      <c r="AK30" s="807"/>
      <c r="AL30" s="815"/>
      <c r="AM30" s="807"/>
      <c r="AN30" s="807"/>
      <c r="AO30" s="807"/>
      <c r="AP30" s="807"/>
      <c r="AT30" s="805"/>
      <c r="AU30" s="805"/>
      <c r="AV30" s="805"/>
      <c r="AX30" s="805"/>
      <c r="AY30" s="805"/>
      <c r="AZ30" s="805"/>
      <c r="BA30" s="805"/>
      <c r="BB30" s="805"/>
      <c r="BC30" s="805"/>
      <c r="BD30" s="805"/>
      <c r="BE30" s="805"/>
      <c r="BF30" s="805"/>
      <c r="BG30" s="805"/>
      <c r="BH30" s="805"/>
      <c r="BI30" s="805"/>
      <c r="BJ30" s="805"/>
      <c r="BK30" s="805"/>
      <c r="BL30" s="805"/>
      <c r="BM30" s="805"/>
      <c r="BN30" s="805"/>
      <c r="BO30" s="805"/>
      <c r="BP30" s="805"/>
      <c r="BQ30" s="805"/>
      <c r="BR30" s="805"/>
    </row>
    <row r="31" spans="1:70" s="806" customFormat="1">
      <c r="A31" s="374" t="s">
        <v>1259</v>
      </c>
      <c r="B31" s="1170"/>
      <c r="C31" s="1170">
        <f t="shared" ref="C31:AO31" si="26">+C10</f>
        <v>-169.16900000000001</v>
      </c>
      <c r="D31" s="1170">
        <f t="shared" si="26"/>
        <v>-172.602</v>
      </c>
      <c r="E31" s="1170">
        <f t="shared" si="26"/>
        <v>-162.68199999999999</v>
      </c>
      <c r="F31" s="1170">
        <f t="shared" si="26"/>
        <v>-160.714</v>
      </c>
      <c r="G31" s="1170">
        <f t="shared" si="26"/>
        <v>-167.70500000000001</v>
      </c>
      <c r="H31" s="1170">
        <f t="shared" si="26"/>
        <v>-159.44399999999999</v>
      </c>
      <c r="I31" s="1170">
        <f t="shared" si="26"/>
        <v>-163.34200000000001</v>
      </c>
      <c r="J31" s="1170">
        <f t="shared" si="26"/>
        <v>-180.035</v>
      </c>
      <c r="K31" s="1170">
        <f t="shared" si="26"/>
        <v>-161.67400000000001</v>
      </c>
      <c r="L31" s="1170">
        <f t="shared" si="26"/>
        <v>-167.221</v>
      </c>
      <c r="M31" s="1170">
        <f t="shared" si="26"/>
        <v>-165.66499999999999</v>
      </c>
      <c r="N31" s="1170">
        <f t="shared" si="26"/>
        <v>-167.21899999999999</v>
      </c>
      <c r="O31" s="1170">
        <f t="shared" si="26"/>
        <v>-181.125</v>
      </c>
      <c r="P31" s="1170">
        <f t="shared" si="26"/>
        <v>-200.887</v>
      </c>
      <c r="Q31" s="1170">
        <f t="shared" si="26"/>
        <v>-210.167</v>
      </c>
      <c r="R31" s="1170">
        <f t="shared" si="26"/>
        <v>-213.62200000000001</v>
      </c>
      <c r="S31" s="1170">
        <f t="shared" si="26"/>
        <v>-204.09899999999999</v>
      </c>
      <c r="T31" s="1170">
        <f t="shared" si="26"/>
        <v>-230.196</v>
      </c>
      <c r="U31" s="1170">
        <f t="shared" si="26"/>
        <v>-240.52600000000001</v>
      </c>
      <c r="V31" s="1170">
        <f t="shared" si="26"/>
        <v>-247.25299999999999</v>
      </c>
      <c r="W31" s="1170">
        <f t="shared" si="26"/>
        <v>-245.75299999999999</v>
      </c>
      <c r="X31" s="1170">
        <f t="shared" si="26"/>
        <v>-311.56099999999998</v>
      </c>
      <c r="Y31" s="1170">
        <f t="shared" si="26"/>
        <v>-355.95</v>
      </c>
      <c r="Z31" s="1170">
        <f t="shared" si="26"/>
        <v>-422.81700000000001</v>
      </c>
      <c r="AA31" s="1170">
        <f t="shared" si="26"/>
        <v>-431.24299999999999</v>
      </c>
      <c r="AB31" s="1170">
        <f t="shared" si="26"/>
        <v>-450.29899999999998</v>
      </c>
      <c r="AC31" s="1170">
        <f t="shared" si="26"/>
        <v>-492.45400000000001</v>
      </c>
      <c r="AD31" s="1170">
        <f t="shared" si="26"/>
        <v>-573.9</v>
      </c>
      <c r="AE31" s="2186">
        <f t="shared" si="26"/>
        <v>-548.78300000000002</v>
      </c>
      <c r="AF31" s="1170">
        <f t="shared" si="26"/>
        <v>-580.17200000000003</v>
      </c>
      <c r="AG31" s="1170">
        <f t="shared" si="26"/>
        <v>-584.04399999999998</v>
      </c>
      <c r="AH31" s="1170">
        <f t="shared" si="26"/>
        <v>-675.23699999999997</v>
      </c>
      <c r="AI31" s="1170">
        <f t="shared" si="26"/>
        <v>-673.96199999999999</v>
      </c>
      <c r="AJ31" s="1170">
        <f t="shared" si="26"/>
        <v>-659.40200000000004</v>
      </c>
      <c r="AK31" s="1170">
        <f t="shared" si="26"/>
        <v>-663.125</v>
      </c>
      <c r="AL31" s="1170">
        <f t="shared" si="26"/>
        <v>-755.18700000000001</v>
      </c>
      <c r="AM31" s="1170">
        <f t="shared" si="26"/>
        <v>-776.55399999999997</v>
      </c>
      <c r="AN31" s="1170">
        <f t="shared" si="26"/>
        <v>-803.173</v>
      </c>
      <c r="AO31" s="1170">
        <f t="shared" si="26"/>
        <v>-714.8</v>
      </c>
      <c r="AP31" s="1170">
        <f>+AP10</f>
        <v>-820.20100000000002</v>
      </c>
      <c r="AQ31" s="1170">
        <f>+-1917.265-112.699-AR31</f>
        <v>-986.25600000000009</v>
      </c>
      <c r="AR31" s="1170">
        <f>-984.169-59.539</f>
        <v>-1043.7080000000001</v>
      </c>
      <c r="AS31" s="1170">
        <f>-949.285-31.467</f>
        <v>-980.75199999999995</v>
      </c>
      <c r="AT31" s="1170">
        <f>-1215.236-31.332</f>
        <v>-1246.5680000000002</v>
      </c>
      <c r="AU31" s="1170">
        <f>-982.642-46.77</f>
        <v>-1029.412</v>
      </c>
      <c r="AV31" s="1170">
        <f>-1117.107-69.594</f>
        <v>-1186.701</v>
      </c>
      <c r="AW31" s="1170">
        <f>-950.818-73.375</f>
        <v>-1024.193</v>
      </c>
      <c r="AX31" s="1170">
        <f>-1106.406-6.652</f>
        <v>-1113.058</v>
      </c>
      <c r="AY31" s="1170">
        <f>-897.122-27.629</f>
        <v>-924.75099999999998</v>
      </c>
      <c r="AZ31" s="1170">
        <f>-917.88-30.462</f>
        <v>-948.34199999999998</v>
      </c>
      <c r="BA31" s="1170">
        <f>-871.499-34.656</f>
        <v>-906.15499999999997</v>
      </c>
      <c r="BB31" s="1170">
        <f>-929.929-30.867</f>
        <v>-960.79599999999994</v>
      </c>
      <c r="BC31" s="1170">
        <f>-771.255-38.5</f>
        <v>-809.755</v>
      </c>
      <c r="BD31" s="1170">
        <f>-764.491-33.474</f>
        <v>-797.96500000000003</v>
      </c>
      <c r="BE31" s="1170">
        <f>-783.349-33.581</f>
        <v>-816.93000000000006</v>
      </c>
      <c r="BF31" s="1170">
        <f>-860.61-65.735</f>
        <v>-926.34500000000003</v>
      </c>
      <c r="BG31" s="1170">
        <f>-930.852-44.752</f>
        <v>-975.60399999999993</v>
      </c>
      <c r="BH31" s="1170">
        <f>-1011.845-40.197</f>
        <v>-1052.0419999999999</v>
      </c>
      <c r="BI31" s="1170">
        <f>-948.872-41.845</f>
        <v>-990.71699999999998</v>
      </c>
      <c r="BJ31" s="1170">
        <f>-963.691-(-68.449)</f>
        <v>-895.24200000000008</v>
      </c>
      <c r="BK31" s="1170">
        <v>-1009.179</v>
      </c>
      <c r="BL31" s="1170">
        <f>-2049.347-BK31</f>
        <v>-1040.1680000000001</v>
      </c>
      <c r="BM31" s="805"/>
      <c r="BN31" s="805"/>
      <c r="BO31" s="805"/>
      <c r="BP31" s="805"/>
      <c r="BQ31" s="805"/>
      <c r="BR31" s="805"/>
    </row>
    <row r="32" spans="1:70" s="806" customFormat="1">
      <c r="A32" s="374"/>
      <c r="B32" s="374"/>
      <c r="C32" s="367"/>
      <c r="D32" s="670"/>
      <c r="E32" s="670"/>
      <c r="F32" s="670"/>
      <c r="G32" s="808"/>
      <c r="H32" s="808"/>
      <c r="I32" s="808"/>
      <c r="J32" s="808"/>
      <c r="K32" s="808"/>
      <c r="L32" s="808"/>
      <c r="M32" s="808"/>
      <c r="N32" s="808"/>
      <c r="O32" s="808"/>
      <c r="P32" s="808"/>
      <c r="Q32" s="808"/>
      <c r="R32" s="808"/>
      <c r="S32" s="808"/>
      <c r="T32" s="809"/>
      <c r="U32" s="809"/>
      <c r="V32" s="807"/>
      <c r="W32" s="808"/>
      <c r="X32" s="809"/>
      <c r="Y32" s="809"/>
      <c r="Z32" s="807"/>
      <c r="AA32" s="807"/>
      <c r="AB32" s="807"/>
      <c r="AC32" s="807"/>
      <c r="AD32" s="940"/>
      <c r="AE32" s="2192"/>
      <c r="AF32" s="807"/>
      <c r="AG32" s="807"/>
      <c r="AH32" s="940"/>
      <c r="AI32" s="807"/>
      <c r="AJ32" s="807"/>
      <c r="AK32" s="807"/>
      <c r="AL32" s="940"/>
      <c r="AM32" s="807"/>
      <c r="AN32" s="807"/>
      <c r="AQ32" s="807"/>
      <c r="AR32" s="807"/>
      <c r="AS32" s="807"/>
      <c r="AT32" s="807"/>
      <c r="AU32" s="807"/>
      <c r="AV32" s="805"/>
      <c r="AW32" s="807"/>
      <c r="AX32" s="805"/>
      <c r="AY32" s="805"/>
      <c r="AZ32" s="805"/>
      <c r="BA32" s="805"/>
      <c r="BB32" s="805"/>
      <c r="BC32" s="805"/>
      <c r="BD32" s="805"/>
      <c r="BE32" s="805"/>
      <c r="BF32" s="805"/>
      <c r="BG32" s="805"/>
      <c r="BH32" s="805"/>
      <c r="BI32" s="805"/>
      <c r="BJ32" s="805"/>
      <c r="BK32" s="805"/>
      <c r="BL32" s="805"/>
      <c r="BM32" s="805"/>
      <c r="BN32" s="805"/>
      <c r="BO32" s="805"/>
      <c r="BP32" s="805"/>
      <c r="BQ32" s="805"/>
      <c r="BR32" s="805"/>
    </row>
    <row r="33" spans="1:70">
      <c r="A33" s="13" t="s">
        <v>335</v>
      </c>
      <c r="B33" s="13"/>
      <c r="C33" s="92">
        <f>Q_Financials!B20</f>
        <v>173.76999999999998</v>
      </c>
      <c r="D33" s="92">
        <f>Q_Financials!C20</f>
        <v>190.00599999999986</v>
      </c>
      <c r="E33" s="92">
        <f>Q_Financials!D20</f>
        <v>237.23299999999972</v>
      </c>
      <c r="F33" s="92">
        <f>Q_Financials!E20</f>
        <v>399.22699999999986</v>
      </c>
      <c r="G33" s="92">
        <f>Q_Financials!F20</f>
        <v>223.70600000000013</v>
      </c>
      <c r="H33" s="92">
        <f>Q_Financials!G20</f>
        <v>253.53999999999996</v>
      </c>
      <c r="I33" s="92">
        <f>Q_Financials!H20</f>
        <v>237.52099999999996</v>
      </c>
      <c r="J33" s="92">
        <f>Q_Financials!I20</f>
        <v>283.86399999999981</v>
      </c>
      <c r="K33" s="92">
        <f>Q_Financials!J20</f>
        <v>227.35200000000009</v>
      </c>
      <c r="L33" s="92">
        <f>Q_Financials!K20</f>
        <v>310.75700000000029</v>
      </c>
      <c r="M33" s="92">
        <f>Q_Financials!L20</f>
        <v>284.21600000000012</v>
      </c>
      <c r="N33" s="92">
        <f>Q_Financials!M20</f>
        <v>292.52199999999993</v>
      </c>
      <c r="O33" s="92">
        <f>Q_Financials!N20</f>
        <v>285.25699999999983</v>
      </c>
      <c r="P33" s="92">
        <f>Q_Financials!O20</f>
        <v>431.18499999999972</v>
      </c>
      <c r="Q33" s="92">
        <f>Q_Financials!P20</f>
        <v>412.52399999999989</v>
      </c>
      <c r="R33" s="92">
        <f>Q_Financials!Q20</f>
        <v>479.09899999999993</v>
      </c>
      <c r="S33" s="92">
        <f>Q_Financials!R20</f>
        <v>373.4670000000001</v>
      </c>
      <c r="T33" s="92">
        <f>Q_Financials!S20</f>
        <v>505.00700000000006</v>
      </c>
      <c r="U33" s="92">
        <f>Q_Financials!T20</f>
        <v>545.93199999999979</v>
      </c>
      <c r="V33" s="92">
        <f>Q_Financials!U20</f>
        <v>614.31600000000026</v>
      </c>
      <c r="W33" s="92">
        <f>Q_Financials!V20</f>
        <v>423.75300000000016</v>
      </c>
      <c r="X33" s="92">
        <f>Q_Financials!W20</f>
        <v>618.3119999999999</v>
      </c>
      <c r="Y33" s="92">
        <f>Q_Financials!X20</f>
        <v>705.71200000000044</v>
      </c>
      <c r="Z33" s="92">
        <f>Q_Financials!Y20</f>
        <v>1045.3149999999996</v>
      </c>
      <c r="AA33" s="92">
        <f>Q_Financials!Z20</f>
        <v>850.23400000000129</v>
      </c>
      <c r="AB33" s="92">
        <f>Q_Financials!AA20</f>
        <v>997.69999999999982</v>
      </c>
      <c r="AC33" s="92">
        <f>Q_Financials!AB20</f>
        <v>1086.9549999999999</v>
      </c>
      <c r="AD33" s="92">
        <f>Q_Financials!AC20</f>
        <v>1366.8399999999992</v>
      </c>
      <c r="AE33" s="2188">
        <f>Q_Financials!AD20</f>
        <v>1035.1620000000003</v>
      </c>
      <c r="AF33" s="92">
        <f>Q_Financials!AE20</f>
        <v>1223.0079999999989</v>
      </c>
      <c r="AG33" s="92">
        <f>Q_Financials!AF20</f>
        <v>1327.723</v>
      </c>
      <c r="AH33" s="92">
        <f>Q_Financials!AG20</f>
        <v>1569.3450000000003</v>
      </c>
      <c r="AI33" s="92">
        <f>Q_Financials!AH20</f>
        <v>1287.1059999999998</v>
      </c>
      <c r="AJ33" s="92">
        <f>Q_Financials!AI20</f>
        <v>1406.4710000000005</v>
      </c>
      <c r="AK33" s="92">
        <f>Q_Financials!AJ20</f>
        <v>1414.860999999999</v>
      </c>
      <c r="AL33" s="92">
        <f>Q_Financials!AK20</f>
        <v>2357.8060000000005</v>
      </c>
      <c r="AM33" s="92">
        <f>Q_Financials!AL20</f>
        <v>1427.924</v>
      </c>
      <c r="AN33" s="92">
        <f>Q_Financials!AM20</f>
        <v>1578.8879999999999</v>
      </c>
      <c r="AO33" s="92">
        <f>Q_Financials!AN20</f>
        <v>1536.9350000000004</v>
      </c>
      <c r="AP33" s="92">
        <f>Q_Financials!AO20</f>
        <v>1864.5699999999988</v>
      </c>
      <c r="AQ33" s="92">
        <f>Q_Financials!AP20</f>
        <v>1543.943</v>
      </c>
      <c r="AR33" s="92">
        <f>Q_Financials!AQ20</f>
        <v>1834.9660000000015</v>
      </c>
      <c r="AS33" s="92">
        <f>Q_Financials!AR20</f>
        <v>1919.4199999999987</v>
      </c>
      <c r="AT33" s="92">
        <f>Q_Financials!AS20</f>
        <v>2369.8399999999992</v>
      </c>
      <c r="AU33" s="92">
        <f>Q_Financials!AT20</f>
        <v>1226.6309999999994</v>
      </c>
      <c r="AV33" s="770">
        <f>Q_Financials!AU20</f>
        <v>-1751.5030000000004</v>
      </c>
      <c r="AW33" s="770">
        <f>Q_Financials!AV20</f>
        <v>416.38599999999906</v>
      </c>
      <c r="AX33" s="770">
        <f>Q_Financials!AW20</f>
        <v>1545.2279999999998</v>
      </c>
      <c r="AY33" s="770">
        <f>Q_Financials!AX20</f>
        <v>690.673</v>
      </c>
      <c r="AZ33" s="770">
        <f>Q_Financials!AY20</f>
        <v>1530.3399999999997</v>
      </c>
      <c r="BA33" s="770">
        <f>Q_Financials!AZ20</f>
        <v>1856.3349999999994</v>
      </c>
      <c r="BB33" s="770">
        <f>Q_Financials!BA20</f>
        <v>2458.9390000000003</v>
      </c>
      <c r="BC33" s="770">
        <f>Q_Financials!BB20</f>
        <v>1862.1709999999996</v>
      </c>
      <c r="BD33" s="770">
        <f>Q_Financials!BC20</f>
        <v>2221.8789999999999</v>
      </c>
      <c r="BE33" s="770">
        <f>Q_Financials!BD20</f>
        <v>2134.7519999999986</v>
      </c>
      <c r="BF33" s="770">
        <f>Q_Financials!BE20</f>
        <v>2605.7039999999997</v>
      </c>
      <c r="BG33" s="770">
        <f>Q_Financials!BF20</f>
        <v>2304.4430000000002</v>
      </c>
      <c r="BH33" s="770">
        <f>Q_Financials!BG20</f>
        <v>2574.3399999999992</v>
      </c>
      <c r="BI33" s="770">
        <f>Q_Financials!BH20</f>
        <v>2705.5589999999979</v>
      </c>
      <c r="BJ33" s="770">
        <f>Q_Financials!BI20</f>
        <v>3210.2869999999994</v>
      </c>
      <c r="BK33" s="770">
        <f>Q_Financials!BJ20</f>
        <v>2589.1290000000008</v>
      </c>
      <c r="BL33" s="770">
        <f>Q_Financials!BK20</f>
        <v>2746.6760000000017</v>
      </c>
    </row>
    <row r="34" spans="1:70">
      <c r="A34" s="36" t="s">
        <v>963</v>
      </c>
      <c r="B34" s="36"/>
      <c r="C34" s="335">
        <v>0</v>
      </c>
      <c r="D34" s="335">
        <v>0</v>
      </c>
      <c r="E34" s="335">
        <v>0</v>
      </c>
      <c r="F34" s="335">
        <v>0</v>
      </c>
      <c r="G34" s="335">
        <v>0</v>
      </c>
      <c r="H34" s="335">
        <v>0</v>
      </c>
      <c r="I34" s="335">
        <v>0</v>
      </c>
      <c r="J34" s="335">
        <v>0</v>
      </c>
      <c r="K34" s="335">
        <v>0</v>
      </c>
      <c r="L34" s="335">
        <v>0</v>
      </c>
      <c r="M34" s="335">
        <v>0</v>
      </c>
      <c r="N34" s="335">
        <v>0</v>
      </c>
      <c r="O34" s="335">
        <v>0</v>
      </c>
      <c r="P34" s="335">
        <v>0</v>
      </c>
      <c r="Q34" s="335">
        <v>0</v>
      </c>
      <c r="R34" s="335">
        <v>0</v>
      </c>
      <c r="S34" s="335">
        <v>0</v>
      </c>
      <c r="T34" s="335">
        <v>0</v>
      </c>
      <c r="U34" s="335">
        <v>0</v>
      </c>
      <c r="V34" s="335">
        <f t="shared" ref="V34:AT34" si="27">V35-V33</f>
        <v>297.68399999999974</v>
      </c>
      <c r="W34" s="335">
        <f t="shared" si="27"/>
        <v>337.24699999999984</v>
      </c>
      <c r="X34" s="335">
        <f t="shared" si="27"/>
        <v>462.6880000000001</v>
      </c>
      <c r="Y34" s="335">
        <f t="shared" si="27"/>
        <v>525.28799999999956</v>
      </c>
      <c r="Z34" s="335">
        <f t="shared" si="27"/>
        <v>869.6850000000004</v>
      </c>
      <c r="AA34" s="335">
        <f t="shared" si="27"/>
        <v>566.76599999999871</v>
      </c>
      <c r="AB34" s="335">
        <f t="shared" si="27"/>
        <v>593.30000000000018</v>
      </c>
      <c r="AC34" s="335">
        <f t="shared" si="27"/>
        <v>624.04500000000007</v>
      </c>
      <c r="AD34" s="335">
        <f t="shared" si="27"/>
        <v>692.16000000000076</v>
      </c>
      <c r="AE34" s="2186">
        <f t="shared" si="27"/>
        <v>672.83799999999974</v>
      </c>
      <c r="AF34" s="335">
        <f t="shared" si="27"/>
        <v>656.9920000000011</v>
      </c>
      <c r="AG34" s="335">
        <f t="shared" si="27"/>
        <v>702.27700000000004</v>
      </c>
      <c r="AH34" s="335">
        <f t="shared" si="27"/>
        <v>754.65499999999975</v>
      </c>
      <c r="AI34" s="92">
        <f t="shared" si="27"/>
        <v>726.89400000000023</v>
      </c>
      <c r="AJ34" s="92">
        <f t="shared" si="27"/>
        <v>765.52899999999954</v>
      </c>
      <c r="AK34" s="92">
        <f t="shared" si="27"/>
        <v>674.13900000000103</v>
      </c>
      <c r="AL34" s="92">
        <f t="shared" si="27"/>
        <v>263.19399999999951</v>
      </c>
      <c r="AM34" s="92">
        <f t="shared" si="27"/>
        <v>768.07600000000002</v>
      </c>
      <c r="AN34" s="92">
        <f t="shared" si="27"/>
        <v>751.11200000000008</v>
      </c>
      <c r="AO34" s="92">
        <f t="shared" si="27"/>
        <v>683.0649999999996</v>
      </c>
      <c r="AP34" s="92">
        <f t="shared" si="27"/>
        <v>614.4300000000012</v>
      </c>
      <c r="AQ34" s="770">
        <f t="shared" si="27"/>
        <v>886.05700000000002</v>
      </c>
      <c r="AR34" s="770">
        <f t="shared" si="27"/>
        <v>1017.0339999999985</v>
      </c>
      <c r="AS34" s="770">
        <f t="shared" si="27"/>
        <v>795.58000000000129</v>
      </c>
      <c r="AT34" s="770">
        <f t="shared" si="27"/>
        <v>847.16000000000076</v>
      </c>
      <c r="AU34" s="770">
        <f>AU35-AU33</f>
        <v>520.3690000000006</v>
      </c>
      <c r="AV34" s="92">
        <f t="shared" ref="AV34:BA34" si="28">AV35-AV33</f>
        <v>713.50300000000038</v>
      </c>
      <c r="AW34" s="770">
        <f t="shared" si="28"/>
        <v>719.61400000000094</v>
      </c>
      <c r="AX34" s="770">
        <f t="shared" si="28"/>
        <v>960.77200000000016</v>
      </c>
      <c r="AY34" s="770">
        <f t="shared" si="28"/>
        <v>797.327</v>
      </c>
      <c r="AZ34" s="770">
        <f t="shared" si="28"/>
        <v>916.66000000000031</v>
      </c>
      <c r="BA34" s="770">
        <f t="shared" si="28"/>
        <v>838.66500000000065</v>
      </c>
      <c r="BB34" s="770">
        <f t="shared" ref="BB34:BD34" si="29">BB35-BB33</f>
        <v>1542.0609999999997</v>
      </c>
      <c r="BC34" s="770">
        <f t="shared" si="29"/>
        <v>946.82900000000041</v>
      </c>
      <c r="BD34" s="770">
        <f t="shared" si="29"/>
        <v>1041.1210000000001</v>
      </c>
      <c r="BE34" s="770">
        <f t="shared" ref="BE34:BH34" si="30">BE35-BE33</f>
        <v>946.24800000000141</v>
      </c>
      <c r="BF34" s="770">
        <f t="shared" si="30"/>
        <v>1000.2960000000003</v>
      </c>
      <c r="BG34" s="770">
        <f t="shared" si="30"/>
        <v>897.55699999999979</v>
      </c>
      <c r="BH34" s="770">
        <f t="shared" si="30"/>
        <v>1174.6600000000008</v>
      </c>
      <c r="BI34" s="770">
        <f t="shared" ref="BI34:BK34" si="31">BI35-BI33</f>
        <v>1047.4410000000021</v>
      </c>
      <c r="BJ34" s="770">
        <f t="shared" si="31"/>
        <v>842.71300000000065</v>
      </c>
      <c r="BK34" s="770">
        <f t="shared" si="31"/>
        <v>992.87099999999919</v>
      </c>
      <c r="BL34" s="770">
        <f t="shared" ref="BL34" si="32">BL35-BL33</f>
        <v>1047.3239999999983</v>
      </c>
    </row>
    <row r="35" spans="1:70">
      <c r="A35" s="13" t="s">
        <v>187</v>
      </c>
      <c r="B35" s="13"/>
      <c r="C35" s="92">
        <f t="shared" ref="C35:U35" si="33">SUM(C33:C34)</f>
        <v>173.76999999999998</v>
      </c>
      <c r="D35" s="92">
        <f t="shared" si="33"/>
        <v>190.00599999999986</v>
      </c>
      <c r="E35" s="92">
        <f t="shared" si="33"/>
        <v>237.23299999999972</v>
      </c>
      <c r="F35" s="92">
        <f t="shared" si="33"/>
        <v>399.22699999999986</v>
      </c>
      <c r="G35" s="92">
        <f t="shared" si="33"/>
        <v>223.70600000000013</v>
      </c>
      <c r="H35" s="92">
        <f t="shared" si="33"/>
        <v>253.53999999999996</v>
      </c>
      <c r="I35" s="92">
        <f t="shared" si="33"/>
        <v>237.52099999999996</v>
      </c>
      <c r="J35" s="92">
        <f t="shared" si="33"/>
        <v>283.86399999999981</v>
      </c>
      <c r="K35" s="92">
        <f t="shared" si="33"/>
        <v>227.35200000000009</v>
      </c>
      <c r="L35" s="92">
        <f t="shared" si="33"/>
        <v>310.75700000000029</v>
      </c>
      <c r="M35" s="92">
        <f t="shared" si="33"/>
        <v>284.21600000000012</v>
      </c>
      <c r="N35" s="92">
        <f t="shared" si="33"/>
        <v>292.52199999999993</v>
      </c>
      <c r="O35" s="92">
        <f t="shared" si="33"/>
        <v>285.25699999999983</v>
      </c>
      <c r="P35" s="92">
        <f t="shared" si="33"/>
        <v>431.18499999999972</v>
      </c>
      <c r="Q35" s="92">
        <f t="shared" si="33"/>
        <v>412.52399999999989</v>
      </c>
      <c r="R35" s="92">
        <f t="shared" si="33"/>
        <v>479.09899999999993</v>
      </c>
      <c r="S35" s="92">
        <f t="shared" si="33"/>
        <v>373.4670000000001</v>
      </c>
      <c r="T35" s="92">
        <f t="shared" si="33"/>
        <v>505.00700000000006</v>
      </c>
      <c r="U35" s="92">
        <f t="shared" si="33"/>
        <v>545.93199999999979</v>
      </c>
      <c r="V35" s="92">
        <f t="shared" ref="V35:AO35" si="34">V77+V114+V103</f>
        <v>912</v>
      </c>
      <c r="W35" s="92">
        <f t="shared" si="34"/>
        <v>761</v>
      </c>
      <c r="X35" s="92">
        <f t="shared" si="34"/>
        <v>1081</v>
      </c>
      <c r="Y35" s="92">
        <f t="shared" si="34"/>
        <v>1231</v>
      </c>
      <c r="Z35" s="92">
        <f t="shared" si="34"/>
        <v>1915</v>
      </c>
      <c r="AA35" s="92">
        <f t="shared" si="34"/>
        <v>1417</v>
      </c>
      <c r="AB35" s="92">
        <f t="shared" si="34"/>
        <v>1591</v>
      </c>
      <c r="AC35" s="92">
        <f t="shared" si="34"/>
        <v>1711</v>
      </c>
      <c r="AD35" s="92">
        <f t="shared" si="34"/>
        <v>2059</v>
      </c>
      <c r="AE35" s="2188">
        <f t="shared" si="34"/>
        <v>1708</v>
      </c>
      <c r="AF35" s="92">
        <f t="shared" si="34"/>
        <v>1880</v>
      </c>
      <c r="AG35" s="92">
        <f t="shared" si="34"/>
        <v>2030</v>
      </c>
      <c r="AH35" s="92">
        <f t="shared" si="34"/>
        <v>2324</v>
      </c>
      <c r="AI35" s="92">
        <f t="shared" si="34"/>
        <v>2014</v>
      </c>
      <c r="AJ35" s="92">
        <f t="shared" si="34"/>
        <v>2172</v>
      </c>
      <c r="AK35" s="92">
        <f t="shared" si="34"/>
        <v>2089</v>
      </c>
      <c r="AL35" s="92">
        <f t="shared" si="34"/>
        <v>2621</v>
      </c>
      <c r="AM35" s="92">
        <f t="shared" si="34"/>
        <v>2196</v>
      </c>
      <c r="AN35" s="92">
        <f t="shared" si="34"/>
        <v>2330</v>
      </c>
      <c r="AO35" s="92">
        <f t="shared" si="34"/>
        <v>2220</v>
      </c>
      <c r="AP35" s="92">
        <f t="shared" ref="AP35:AU35" si="35">AP77+AP114+AP103</f>
        <v>2479</v>
      </c>
      <c r="AQ35" s="92">
        <f t="shared" si="35"/>
        <v>2430</v>
      </c>
      <c r="AR35" s="92">
        <f t="shared" si="35"/>
        <v>2852</v>
      </c>
      <c r="AS35" s="92">
        <f t="shared" si="35"/>
        <v>2715</v>
      </c>
      <c r="AT35" s="92">
        <f t="shared" si="35"/>
        <v>3217</v>
      </c>
      <c r="AU35" s="92">
        <f t="shared" si="35"/>
        <v>1747</v>
      </c>
      <c r="AV35" s="147">
        <f t="shared" ref="AV35:BD35" si="36">AV77+AV114+AV103</f>
        <v>-1038</v>
      </c>
      <c r="AW35" s="1791">
        <f t="shared" si="36"/>
        <v>1136</v>
      </c>
      <c r="AX35" s="1791">
        <f t="shared" si="36"/>
        <v>2506</v>
      </c>
      <c r="AY35" s="1791">
        <f t="shared" si="36"/>
        <v>1488</v>
      </c>
      <c r="AZ35" s="1791">
        <f t="shared" si="36"/>
        <v>2447</v>
      </c>
      <c r="BA35" s="1791">
        <f t="shared" si="36"/>
        <v>2695</v>
      </c>
      <c r="BB35" s="1791">
        <f t="shared" si="36"/>
        <v>4001</v>
      </c>
      <c r="BC35" s="1791">
        <f t="shared" si="36"/>
        <v>2809</v>
      </c>
      <c r="BD35" s="1791">
        <f t="shared" si="36"/>
        <v>3263</v>
      </c>
      <c r="BE35" s="1791">
        <f t="shared" ref="BE35:BG35" si="37">BE77+BE114+BE103</f>
        <v>3081</v>
      </c>
      <c r="BF35" s="1791">
        <f t="shared" si="37"/>
        <v>3606</v>
      </c>
      <c r="BG35" s="1791">
        <f t="shared" si="37"/>
        <v>3202</v>
      </c>
      <c r="BH35" s="1791">
        <f>BH77+BH114+BH103</f>
        <v>3749</v>
      </c>
      <c r="BI35" s="1791">
        <f>BI77+BI114+BI103</f>
        <v>3753</v>
      </c>
      <c r="BJ35" s="1791">
        <f>BJ77+BJ114+BJ103</f>
        <v>4053</v>
      </c>
      <c r="BK35" s="1791">
        <f t="shared" ref="BK35:BL35" si="38">BK77+BK114+BK103</f>
        <v>3582</v>
      </c>
      <c r="BL35" s="1791">
        <f t="shared" si="38"/>
        <v>3794</v>
      </c>
    </row>
    <row r="36" spans="1:70" s="548" customFormat="1">
      <c r="A36" s="548" t="s">
        <v>573</v>
      </c>
      <c r="C36" s="792" t="str">
        <f t="shared" ref="C36:AO36" si="39">IF(C34=0,"ND",C35-SUM(C77,C114,C103))</f>
        <v>ND</v>
      </c>
      <c r="D36" s="792" t="str">
        <f t="shared" si="39"/>
        <v>ND</v>
      </c>
      <c r="E36" s="792" t="str">
        <f t="shared" si="39"/>
        <v>ND</v>
      </c>
      <c r="F36" s="792" t="str">
        <f t="shared" si="39"/>
        <v>ND</v>
      </c>
      <c r="G36" s="792" t="str">
        <f t="shared" si="39"/>
        <v>ND</v>
      </c>
      <c r="H36" s="792" t="str">
        <f t="shared" si="39"/>
        <v>ND</v>
      </c>
      <c r="I36" s="792" t="str">
        <f t="shared" si="39"/>
        <v>ND</v>
      </c>
      <c r="J36" s="792" t="str">
        <f t="shared" si="39"/>
        <v>ND</v>
      </c>
      <c r="K36" s="792" t="str">
        <f t="shared" si="39"/>
        <v>ND</v>
      </c>
      <c r="L36" s="792" t="str">
        <f t="shared" si="39"/>
        <v>ND</v>
      </c>
      <c r="M36" s="792" t="str">
        <f t="shared" si="39"/>
        <v>ND</v>
      </c>
      <c r="N36" s="792" t="str">
        <f t="shared" si="39"/>
        <v>ND</v>
      </c>
      <c r="O36" s="792" t="str">
        <f t="shared" si="39"/>
        <v>ND</v>
      </c>
      <c r="P36" s="792" t="str">
        <f t="shared" si="39"/>
        <v>ND</v>
      </c>
      <c r="Q36" s="792" t="str">
        <f t="shared" si="39"/>
        <v>ND</v>
      </c>
      <c r="R36" s="792" t="str">
        <f t="shared" si="39"/>
        <v>ND</v>
      </c>
      <c r="S36" s="792" t="str">
        <f t="shared" si="39"/>
        <v>ND</v>
      </c>
      <c r="T36" s="792" t="str">
        <f t="shared" si="39"/>
        <v>ND</v>
      </c>
      <c r="U36" s="792" t="str">
        <f t="shared" si="39"/>
        <v>ND</v>
      </c>
      <c r="V36" s="792">
        <f t="shared" si="39"/>
        <v>0</v>
      </c>
      <c r="W36" s="792">
        <f t="shared" si="39"/>
        <v>0</v>
      </c>
      <c r="X36" s="792">
        <f t="shared" si="39"/>
        <v>0</v>
      </c>
      <c r="Y36" s="792">
        <f t="shared" si="39"/>
        <v>0</v>
      </c>
      <c r="Z36" s="792">
        <f t="shared" si="39"/>
        <v>0</v>
      </c>
      <c r="AA36" s="792">
        <f t="shared" si="39"/>
        <v>0</v>
      </c>
      <c r="AB36" s="792">
        <f t="shared" si="39"/>
        <v>0</v>
      </c>
      <c r="AC36" s="792">
        <f t="shared" si="39"/>
        <v>0</v>
      </c>
      <c r="AD36" s="792">
        <f t="shared" si="39"/>
        <v>0</v>
      </c>
      <c r="AE36" s="2193">
        <f t="shared" si="39"/>
        <v>0</v>
      </c>
      <c r="AF36" s="792">
        <f t="shared" si="39"/>
        <v>0</v>
      </c>
      <c r="AG36" s="792">
        <f t="shared" si="39"/>
        <v>0</v>
      </c>
      <c r="AH36" s="792">
        <f t="shared" si="39"/>
        <v>0</v>
      </c>
      <c r="AI36" s="792">
        <f t="shared" si="39"/>
        <v>0</v>
      </c>
      <c r="AJ36" s="792">
        <f t="shared" si="39"/>
        <v>0</v>
      </c>
      <c r="AK36" s="792">
        <f t="shared" si="39"/>
        <v>0</v>
      </c>
      <c r="AL36" s="792">
        <f t="shared" si="39"/>
        <v>0</v>
      </c>
      <c r="AM36" s="792">
        <f t="shared" si="39"/>
        <v>0</v>
      </c>
      <c r="AN36" s="792">
        <f t="shared" si="39"/>
        <v>0</v>
      </c>
      <c r="AO36" s="792">
        <f t="shared" si="39"/>
        <v>0</v>
      </c>
      <c r="AP36" s="792">
        <f t="shared" ref="AP36:AU36" si="40">IF(AP34=0,"ND",AP35-SUM(AP77,AP114,AP103))</f>
        <v>0</v>
      </c>
      <c r="AQ36" s="792">
        <f t="shared" si="40"/>
        <v>0</v>
      </c>
      <c r="AR36" s="792">
        <f t="shared" si="40"/>
        <v>0</v>
      </c>
      <c r="AS36" s="792">
        <f t="shared" si="40"/>
        <v>0</v>
      </c>
      <c r="AT36" s="792">
        <f t="shared" si="40"/>
        <v>0</v>
      </c>
      <c r="AU36" s="792">
        <f t="shared" si="40"/>
        <v>0</v>
      </c>
      <c r="AV36" s="1727">
        <v>0</v>
      </c>
      <c r="AW36" s="1727">
        <v>0</v>
      </c>
      <c r="AX36" s="1727">
        <v>0</v>
      </c>
      <c r="AY36" s="1727">
        <v>0</v>
      </c>
      <c r="AZ36" s="1727">
        <v>0</v>
      </c>
      <c r="BA36" s="1727">
        <v>0</v>
      </c>
      <c r="BB36" s="1727">
        <v>0</v>
      </c>
      <c r="BC36" s="548">
        <v>0</v>
      </c>
      <c r="BD36" s="1727">
        <v>0</v>
      </c>
      <c r="BE36" s="1727">
        <v>0</v>
      </c>
      <c r="BF36" s="1727">
        <v>0</v>
      </c>
      <c r="BG36" s="1727">
        <v>0</v>
      </c>
      <c r="BH36" s="1727">
        <v>0</v>
      </c>
      <c r="BI36" s="1727">
        <v>0</v>
      </c>
      <c r="BJ36" s="1727">
        <v>0</v>
      </c>
      <c r="BK36" s="1727">
        <v>0</v>
      </c>
      <c r="BL36" s="1727">
        <v>0</v>
      </c>
    </row>
    <row r="37" spans="1:70">
      <c r="C37" s="288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8"/>
      <c r="R37" s="288"/>
      <c r="S37" s="288"/>
      <c r="T37" s="288"/>
      <c r="U37" s="288"/>
      <c r="V37" s="288"/>
      <c r="W37" s="288"/>
      <c r="X37" s="288"/>
      <c r="Y37" s="288"/>
      <c r="Z37" s="288"/>
      <c r="AA37" s="288"/>
      <c r="AB37" s="288"/>
      <c r="AC37" s="288"/>
      <c r="AD37" s="941"/>
      <c r="AE37" s="2194"/>
      <c r="AF37" s="941"/>
      <c r="AG37" s="941"/>
      <c r="AH37" s="941"/>
      <c r="AI37" s="941"/>
      <c r="AJ37" s="941"/>
      <c r="AK37" s="288"/>
      <c r="AL37" s="941"/>
      <c r="AM37" s="288"/>
      <c r="AN37" s="288"/>
      <c r="AQ37" s="807"/>
      <c r="AR37" s="1388"/>
      <c r="AS37" s="1210"/>
      <c r="AT37" s="1210"/>
      <c r="AU37" s="1210"/>
      <c r="AW37" s="1388"/>
    </row>
    <row r="38" spans="1:70">
      <c r="A38" s="13" t="s">
        <v>3</v>
      </c>
      <c r="B38" s="13"/>
      <c r="C38" s="92">
        <f t="shared" ref="C38:AQ38" si="41">C22</f>
        <v>-46.304000000000109</v>
      </c>
      <c r="D38" s="92">
        <f t="shared" si="41"/>
        <v>-49.682000000000215</v>
      </c>
      <c r="E38" s="92">
        <f t="shared" si="41"/>
        <v>69.239999999999696</v>
      </c>
      <c r="F38" s="92">
        <f t="shared" si="41"/>
        <v>133.70699999999994</v>
      </c>
      <c r="G38" s="92">
        <f t="shared" si="41"/>
        <v>3.407000000000203</v>
      </c>
      <c r="H38" s="92">
        <f t="shared" si="41"/>
        <v>103.69200000000001</v>
      </c>
      <c r="I38" s="92">
        <f t="shared" si="41"/>
        <v>17.135999999999857</v>
      </c>
      <c r="J38" s="92">
        <f t="shared" si="41"/>
        <v>34.754999999999725</v>
      </c>
      <c r="K38" s="92">
        <f t="shared" si="41"/>
        <v>13.282000000000107</v>
      </c>
      <c r="L38" s="92">
        <f t="shared" si="41"/>
        <v>57.119000000000277</v>
      </c>
      <c r="M38" s="92">
        <f t="shared" si="41"/>
        <v>87.619000000000142</v>
      </c>
      <c r="N38" s="92">
        <f t="shared" si="41"/>
        <v>72.888999999999882</v>
      </c>
      <c r="O38" s="92">
        <f t="shared" si="41"/>
        <v>20.010999999999832</v>
      </c>
      <c r="P38" s="92">
        <f t="shared" si="41"/>
        <v>137.43899999999977</v>
      </c>
      <c r="Q38" s="92">
        <f t="shared" si="41"/>
        <v>94.574999999999974</v>
      </c>
      <c r="R38" s="92">
        <f t="shared" si="41"/>
        <v>151.41899999999987</v>
      </c>
      <c r="S38" s="92">
        <f t="shared" si="41"/>
        <v>72.951999999999941</v>
      </c>
      <c r="T38" s="92">
        <f t="shared" si="41"/>
        <v>146.73600000000016</v>
      </c>
      <c r="U38" s="92">
        <f t="shared" si="41"/>
        <v>184.10499999999996</v>
      </c>
      <c r="V38" s="92">
        <f t="shared" si="41"/>
        <v>259.52500000000015</v>
      </c>
      <c r="W38" s="92">
        <f t="shared" si="41"/>
        <v>68.378999999999991</v>
      </c>
      <c r="X38" s="92">
        <f t="shared" si="41"/>
        <v>85.764999999999745</v>
      </c>
      <c r="Y38" s="92">
        <f t="shared" si="41"/>
        <v>184.78900000000061</v>
      </c>
      <c r="Z38" s="92">
        <f t="shared" si="41"/>
        <v>285.16099999999966</v>
      </c>
      <c r="AA38" s="92">
        <f t="shared" si="41"/>
        <v>305.09200000000089</v>
      </c>
      <c r="AB38" s="92">
        <f t="shared" si="41"/>
        <v>98.461999999999847</v>
      </c>
      <c r="AC38" s="92">
        <f t="shared" si="41"/>
        <v>132.19200000000018</v>
      </c>
      <c r="AD38" s="92">
        <f t="shared" si="41"/>
        <v>497.00599999999957</v>
      </c>
      <c r="AE38" s="2188">
        <f t="shared" si="41"/>
        <v>55.056999999999924</v>
      </c>
      <c r="AF38" s="92">
        <f t="shared" si="41"/>
        <v>231.16699999999935</v>
      </c>
      <c r="AG38" s="92">
        <f t="shared" si="41"/>
        <v>186.36700000000013</v>
      </c>
      <c r="AH38" s="92">
        <f t="shared" si="41"/>
        <v>653.89900000000023</v>
      </c>
      <c r="AI38" s="92">
        <f t="shared" si="41"/>
        <v>218.31299999999928</v>
      </c>
      <c r="AJ38" s="92">
        <f t="shared" si="41"/>
        <v>94.148000000000366</v>
      </c>
      <c r="AK38" s="92">
        <f t="shared" si="41"/>
        <v>229.10699999999892</v>
      </c>
      <c r="AL38" s="92">
        <f t="shared" si="41"/>
        <v>710.55200000000059</v>
      </c>
      <c r="AM38" s="92">
        <f t="shared" si="41"/>
        <v>240.99999999999991</v>
      </c>
      <c r="AN38" s="92">
        <f t="shared" si="41"/>
        <v>246.17400000000012</v>
      </c>
      <c r="AO38" s="92">
        <f t="shared" si="41"/>
        <v>324.1500000000002</v>
      </c>
      <c r="AP38" s="92">
        <f t="shared" si="41"/>
        <v>327.99999999999875</v>
      </c>
      <c r="AQ38" s="253">
        <f t="shared" si="41"/>
        <v>134.07200000000026</v>
      </c>
      <c r="AR38" s="253">
        <f t="shared" ref="AR38:BA38" si="42">AR22</f>
        <v>214.18900000000184</v>
      </c>
      <c r="AS38" s="253">
        <f t="shared" si="42"/>
        <v>230.75499999999889</v>
      </c>
      <c r="AT38" s="253">
        <f t="shared" si="42"/>
        <v>505.71799999999928</v>
      </c>
      <c r="AU38" s="253">
        <f t="shared" si="42"/>
        <v>-390.43900000000031</v>
      </c>
      <c r="AV38" s="92">
        <f t="shared" si="42"/>
        <v>-2981.5370000000007</v>
      </c>
      <c r="AW38" s="92">
        <f t="shared" si="42"/>
        <v>-590.41700000000083</v>
      </c>
      <c r="AX38" s="92">
        <f t="shared" si="42"/>
        <v>116.46199999999942</v>
      </c>
      <c r="AY38" s="92">
        <f t="shared" si="42"/>
        <v>-469.43299999999971</v>
      </c>
      <c r="AZ38" s="92">
        <f t="shared" si="42"/>
        <v>57.132000000000062</v>
      </c>
      <c r="BA38" s="92">
        <f t="shared" si="42"/>
        <v>272.40800000000047</v>
      </c>
      <c r="BB38" s="92">
        <f t="shared" ref="BB38:BD38" si="43">BB22</f>
        <v>924.36300000000006</v>
      </c>
      <c r="BC38" s="92">
        <f t="shared" si="43"/>
        <v>511.51099999999985</v>
      </c>
      <c r="BD38" s="92">
        <f t="shared" si="43"/>
        <v>236.85800000000017</v>
      </c>
      <c r="BE38" s="92">
        <f t="shared" ref="BE38:BH38" si="44">BE22</f>
        <v>307.15299999999854</v>
      </c>
      <c r="BF38" s="92">
        <f t="shared" si="44"/>
        <v>529.27299999999923</v>
      </c>
      <c r="BG38" s="92">
        <f t="shared" si="44"/>
        <v>606.2390000000006</v>
      </c>
      <c r="BH38" s="92">
        <f t="shared" si="44"/>
        <v>490.12799999999902</v>
      </c>
      <c r="BI38" s="92">
        <f t="shared" ref="BI38:BK38" si="45">BI22</f>
        <v>530.50099999999782</v>
      </c>
      <c r="BJ38" s="92">
        <f t="shared" si="45"/>
        <v>1363.1289999999995</v>
      </c>
      <c r="BK38" s="92">
        <f t="shared" si="45"/>
        <v>402.86600000000101</v>
      </c>
      <c r="BL38" s="92">
        <f t="shared" ref="BL38" si="46">BL22</f>
        <v>141.27100000000121</v>
      </c>
    </row>
    <row r="39" spans="1:70">
      <c r="A39" s="36" t="s">
        <v>125</v>
      </c>
      <c r="B39" s="36"/>
      <c r="C39" s="335">
        <v>0</v>
      </c>
      <c r="D39" s="335">
        <v>0</v>
      </c>
      <c r="E39" s="335">
        <v>0</v>
      </c>
      <c r="F39" s="335">
        <v>0</v>
      </c>
      <c r="G39" s="335">
        <v>0</v>
      </c>
      <c r="H39" s="335">
        <v>0</v>
      </c>
      <c r="I39" s="335">
        <v>0</v>
      </c>
      <c r="J39" s="335">
        <v>0</v>
      </c>
      <c r="K39" s="335">
        <v>0</v>
      </c>
      <c r="L39" s="335">
        <v>0</v>
      </c>
      <c r="M39" s="335">
        <v>0</v>
      </c>
      <c r="N39" s="335">
        <v>0</v>
      </c>
      <c r="O39" s="335">
        <v>0</v>
      </c>
      <c r="P39" s="335">
        <v>0</v>
      </c>
      <c r="Q39" s="335">
        <v>0</v>
      </c>
      <c r="R39" s="335">
        <v>0</v>
      </c>
      <c r="S39" s="335">
        <v>0</v>
      </c>
      <c r="T39" s="335">
        <v>0</v>
      </c>
      <c r="U39" s="335">
        <v>0</v>
      </c>
      <c r="V39" s="335">
        <v>0</v>
      </c>
      <c r="W39" s="335">
        <v>0</v>
      </c>
      <c r="X39" s="335">
        <v>0</v>
      </c>
      <c r="Y39" s="335">
        <v>0</v>
      </c>
      <c r="Z39" s="335">
        <v>0</v>
      </c>
      <c r="AA39" s="335">
        <v>0</v>
      </c>
      <c r="AB39" s="335">
        <v>0</v>
      </c>
      <c r="AC39" s="335">
        <v>0</v>
      </c>
      <c r="AD39" s="335">
        <v>0</v>
      </c>
      <c r="AE39" s="2186">
        <v>0</v>
      </c>
      <c r="AF39" s="335">
        <v>0</v>
      </c>
      <c r="AG39" s="335">
        <v>0</v>
      </c>
      <c r="AH39" s="335">
        <v>0</v>
      </c>
      <c r="AI39" s="335">
        <v>0</v>
      </c>
      <c r="AJ39" s="335">
        <v>0</v>
      </c>
      <c r="AK39" s="335">
        <v>0</v>
      </c>
      <c r="AL39" s="335">
        <v>0</v>
      </c>
      <c r="AM39" s="335">
        <v>0</v>
      </c>
      <c r="AN39" s="335">
        <v>0</v>
      </c>
      <c r="AO39" s="335">
        <v>0</v>
      </c>
      <c r="AP39" s="335">
        <v>0</v>
      </c>
      <c r="AQ39" s="253">
        <v>0</v>
      </c>
      <c r="AR39" s="253">
        <v>0</v>
      </c>
      <c r="AS39" s="253">
        <v>0</v>
      </c>
      <c r="AT39" s="253">
        <v>0</v>
      </c>
      <c r="AU39" s="253">
        <v>0</v>
      </c>
      <c r="AV39" s="241">
        <v>0</v>
      </c>
      <c r="AW39" s="241">
        <v>0</v>
      </c>
      <c r="AX39" s="241">
        <v>0</v>
      </c>
      <c r="AY39" s="241">
        <v>0</v>
      </c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1</v>
      </c>
      <c r="BF39" s="241">
        <v>2</v>
      </c>
      <c r="BG39" s="241">
        <v>3</v>
      </c>
      <c r="BH39" s="241">
        <v>0</v>
      </c>
      <c r="BI39" s="241">
        <v>0</v>
      </c>
      <c r="BJ39" s="241">
        <v>0</v>
      </c>
      <c r="BK39" s="241">
        <v>3</v>
      </c>
      <c r="BL39" s="241">
        <v>3</v>
      </c>
    </row>
    <row r="40" spans="1:70">
      <c r="A40" s="13" t="s">
        <v>188</v>
      </c>
      <c r="B40" s="13"/>
      <c r="C40" s="92">
        <f t="shared" ref="C40:AO40" si="47">SUM(C38:C39)</f>
        <v>-46.304000000000109</v>
      </c>
      <c r="D40" s="92">
        <f t="shared" si="47"/>
        <v>-49.682000000000215</v>
      </c>
      <c r="E40" s="92">
        <f t="shared" si="47"/>
        <v>69.239999999999696</v>
      </c>
      <c r="F40" s="92">
        <f t="shared" si="47"/>
        <v>133.70699999999994</v>
      </c>
      <c r="G40" s="92">
        <f t="shared" si="47"/>
        <v>3.407000000000203</v>
      </c>
      <c r="H40" s="92">
        <f t="shared" si="47"/>
        <v>103.69200000000001</v>
      </c>
      <c r="I40" s="92">
        <f t="shared" si="47"/>
        <v>17.135999999999857</v>
      </c>
      <c r="J40" s="92">
        <f t="shared" si="47"/>
        <v>34.754999999999725</v>
      </c>
      <c r="K40" s="92">
        <f t="shared" si="47"/>
        <v>13.282000000000107</v>
      </c>
      <c r="L40" s="92">
        <f t="shared" si="47"/>
        <v>57.119000000000277</v>
      </c>
      <c r="M40" s="92">
        <f t="shared" si="47"/>
        <v>87.619000000000142</v>
      </c>
      <c r="N40" s="92">
        <f t="shared" si="47"/>
        <v>72.888999999999882</v>
      </c>
      <c r="O40" s="92">
        <f t="shared" si="47"/>
        <v>20.010999999999832</v>
      </c>
      <c r="P40" s="92">
        <f t="shared" si="47"/>
        <v>137.43899999999977</v>
      </c>
      <c r="Q40" s="92">
        <f t="shared" si="47"/>
        <v>94.574999999999974</v>
      </c>
      <c r="R40" s="92">
        <f t="shared" si="47"/>
        <v>151.41899999999987</v>
      </c>
      <c r="S40" s="92">
        <f t="shared" si="47"/>
        <v>72.951999999999941</v>
      </c>
      <c r="T40" s="92">
        <f t="shared" si="47"/>
        <v>146.73600000000016</v>
      </c>
      <c r="U40" s="92">
        <f t="shared" si="47"/>
        <v>184.10499999999996</v>
      </c>
      <c r="V40" s="92">
        <f t="shared" si="47"/>
        <v>259.52500000000015</v>
      </c>
      <c r="W40" s="92">
        <f t="shared" si="47"/>
        <v>68.378999999999991</v>
      </c>
      <c r="X40" s="92">
        <f t="shared" si="47"/>
        <v>85.764999999999745</v>
      </c>
      <c r="Y40" s="92">
        <f t="shared" si="47"/>
        <v>184.78900000000061</v>
      </c>
      <c r="Z40" s="92">
        <f t="shared" si="47"/>
        <v>285.16099999999966</v>
      </c>
      <c r="AA40" s="92">
        <f t="shared" si="47"/>
        <v>305.09200000000089</v>
      </c>
      <c r="AB40" s="92">
        <f t="shared" si="47"/>
        <v>98.461999999999847</v>
      </c>
      <c r="AC40" s="92">
        <f t="shared" si="47"/>
        <v>132.19200000000018</v>
      </c>
      <c r="AD40" s="92">
        <f t="shared" si="47"/>
        <v>497.00599999999957</v>
      </c>
      <c r="AE40" s="2188">
        <f t="shared" si="47"/>
        <v>55.056999999999924</v>
      </c>
      <c r="AF40" s="92">
        <f t="shared" si="47"/>
        <v>231.16699999999935</v>
      </c>
      <c r="AG40" s="92">
        <f t="shared" si="47"/>
        <v>186.36700000000013</v>
      </c>
      <c r="AH40" s="92">
        <f t="shared" si="47"/>
        <v>653.89900000000023</v>
      </c>
      <c r="AI40" s="92">
        <f t="shared" si="47"/>
        <v>218.31299999999928</v>
      </c>
      <c r="AJ40" s="92">
        <f t="shared" si="47"/>
        <v>94.148000000000366</v>
      </c>
      <c r="AK40" s="92">
        <f t="shared" si="47"/>
        <v>229.10699999999892</v>
      </c>
      <c r="AL40" s="92">
        <f t="shared" si="47"/>
        <v>710.55200000000059</v>
      </c>
      <c r="AM40" s="92">
        <f t="shared" si="47"/>
        <v>240.99999999999991</v>
      </c>
      <c r="AN40" s="92">
        <f t="shared" si="47"/>
        <v>246.17400000000012</v>
      </c>
      <c r="AO40" s="92">
        <f t="shared" si="47"/>
        <v>324.1500000000002</v>
      </c>
      <c r="AP40" s="92">
        <f t="shared" ref="AP40:AU40" si="48">SUM(AP38:AP39)</f>
        <v>327.99999999999875</v>
      </c>
      <c r="AQ40" s="253">
        <f t="shared" si="48"/>
        <v>134.07200000000026</v>
      </c>
      <c r="AR40" s="253">
        <f t="shared" si="48"/>
        <v>214.18900000000184</v>
      </c>
      <c r="AS40" s="9">
        <f t="shared" si="48"/>
        <v>230.75499999999889</v>
      </c>
      <c r="AT40" s="9">
        <f t="shared" si="48"/>
        <v>505.71799999999928</v>
      </c>
      <c r="AU40" s="9">
        <f t="shared" si="48"/>
        <v>-390.43900000000031</v>
      </c>
      <c r="AV40" s="92">
        <f t="shared" ref="AV40:BA40" si="49">SUM(AV38:AV39)</f>
        <v>-2981.5370000000007</v>
      </c>
      <c r="AW40" s="92">
        <f t="shared" si="49"/>
        <v>-590.41700000000083</v>
      </c>
      <c r="AX40" s="92">
        <f t="shared" si="49"/>
        <v>116.46199999999942</v>
      </c>
      <c r="AY40" s="92">
        <f t="shared" si="49"/>
        <v>-469.43299999999971</v>
      </c>
      <c r="AZ40" s="92">
        <f t="shared" si="49"/>
        <v>57.132000000000062</v>
      </c>
      <c r="BA40" s="92">
        <f t="shared" si="49"/>
        <v>272.40800000000047</v>
      </c>
      <c r="BB40" s="92">
        <f t="shared" ref="BB40:BD40" si="50">SUM(BB38:BB39)</f>
        <v>924.36300000000006</v>
      </c>
      <c r="BC40" s="92">
        <f t="shared" si="50"/>
        <v>511.51099999999985</v>
      </c>
      <c r="BD40" s="92">
        <f t="shared" si="50"/>
        <v>236.85800000000017</v>
      </c>
      <c r="BE40" s="92">
        <f t="shared" ref="BE40:BH40" si="51">SUM(BE38:BE39)</f>
        <v>308.15299999999854</v>
      </c>
      <c r="BF40" s="92">
        <f t="shared" si="51"/>
        <v>531.27299999999923</v>
      </c>
      <c r="BG40" s="92">
        <f t="shared" si="51"/>
        <v>609.2390000000006</v>
      </c>
      <c r="BH40" s="92">
        <f t="shared" si="51"/>
        <v>490.12799999999902</v>
      </c>
      <c r="BI40" s="92">
        <f t="shared" ref="BI40:BK40" si="52">SUM(BI38:BI39)</f>
        <v>530.50099999999782</v>
      </c>
      <c r="BJ40" s="92">
        <f t="shared" si="52"/>
        <v>1363.1289999999995</v>
      </c>
      <c r="BK40" s="92">
        <f t="shared" si="52"/>
        <v>405.86600000000101</v>
      </c>
      <c r="BL40" s="92">
        <f t="shared" ref="BL40" si="53">SUM(BL38:BL39)</f>
        <v>144.27100000000121</v>
      </c>
    </row>
    <row r="41" spans="1:70" s="548" customFormat="1">
      <c r="A41" s="548" t="s">
        <v>573</v>
      </c>
      <c r="C41" s="792" t="str">
        <f>IF(ROUND(C38-(-46.304),0)=0,"-",C38-(-46.304))</f>
        <v>-</v>
      </c>
      <c r="D41" s="792" t="str">
        <f>IF(ROUND(D38-(-49.682),0)=0,"-",D38-(-49.682))</f>
        <v>-</v>
      </c>
      <c r="E41" s="792" t="str">
        <f>IF(ROUND(E38-69.24,0)=0,"-",E38-69.24)</f>
        <v>-</v>
      </c>
      <c r="F41" s="792" t="str">
        <f>IF(ROUND(F38-133.707,0)=0,"-",F38-133.707)</f>
        <v>-</v>
      </c>
      <c r="G41" s="792" t="str">
        <f>IF(ROUND(G38-3.407,0)=0,"-",G38-3.407)</f>
        <v>-</v>
      </c>
      <c r="H41" s="792" t="str">
        <f>IF(ROUND(H38-103.689,0)=0,"-",H38-103.689)</f>
        <v>-</v>
      </c>
      <c r="I41" s="792" t="str">
        <f>IF(ROUND(I38-17.116,0)=0,"-",I38-17.116)</f>
        <v>-</v>
      </c>
      <c r="J41" s="792" t="str">
        <f>IF(ROUND(J38-34.756,0)=0,"-",J38-34.756)</f>
        <v>-</v>
      </c>
      <c r="K41" s="792" t="str">
        <f>IF(ROUND(K38-13.281,0)=0,"-",K38-13.281)</f>
        <v>-</v>
      </c>
      <c r="L41" s="792" t="str">
        <f>IF(ROUND(L38-57.121,0)=0,"-",L38-57.121)</f>
        <v>-</v>
      </c>
      <c r="M41" s="792" t="str">
        <f>IF(ROUND(M38-87.619,0)=0,"-",M38-87.619)</f>
        <v>-</v>
      </c>
      <c r="N41" s="792" t="str">
        <f>IF(ROUND(N38-72.889,0)=0,"-",N38-72.889)</f>
        <v>-</v>
      </c>
      <c r="O41" s="792" t="str">
        <f>IF(ROUND(O38-20.011,0)=0,"-",O38-20.011)</f>
        <v>-</v>
      </c>
      <c r="P41" s="792" t="str">
        <f>IF(ROUND(P38-137.438,0)=0,"-",P38-137.438)</f>
        <v>-</v>
      </c>
      <c r="Q41" s="792" t="str">
        <f>IF(ROUND(Q38-94.573,0)=0,"-",Q38-94.573)</f>
        <v>-</v>
      </c>
      <c r="R41" s="792" t="str">
        <f>IF(ROUND(R38-151.42,0)=0,"-",R38-151.42)</f>
        <v>-</v>
      </c>
      <c r="S41" s="792" t="str">
        <f>IF(ROUND(S38-72.952,0)=0,"-",S38-72.952)</f>
        <v>-</v>
      </c>
      <c r="T41" s="792" t="str">
        <f>IF(ROUND(T38-146.736,0)=0,"-",T38-146.736)</f>
        <v>-</v>
      </c>
      <c r="U41" s="792" t="str">
        <f>IF(ROUND(U38-184.106,0)=0,"-",U38-184.106)</f>
        <v>-</v>
      </c>
      <c r="V41" s="792" t="str">
        <f>IF(ROUND(V38-259.525,0)=0,"-",V38-259.525)</f>
        <v>-</v>
      </c>
      <c r="W41" s="792" t="str">
        <f>IF(ROUND(W38-68.379,0)=0,"-",W38-68.379)</f>
        <v>-</v>
      </c>
      <c r="X41" s="792" t="str">
        <f>IF(ROUND(X38-85.765,0)=0,"-",X38-85.765)</f>
        <v>-</v>
      </c>
      <c r="Y41" s="792" t="str">
        <f>IF(ROUND(Y38-184.788,0)=0,"-",Y38-184.788)</f>
        <v>-</v>
      </c>
      <c r="Z41" s="792" t="str">
        <f>IF(ROUND(Z38-285.161,0)=0,"-",Z38-285.161)</f>
        <v>-</v>
      </c>
      <c r="AA41" s="792" t="str">
        <f>IF(ROUND(AA38-305.091,0)=0,"-",AA38-305.091)</f>
        <v>-</v>
      </c>
      <c r="AB41" s="792" t="str">
        <f>IF(ROUND(AB38-98.461,0)=0,"-",AB38-98.461)</f>
        <v>-</v>
      </c>
      <c r="AC41" s="792" t="str">
        <f>IF(ROUND(AC38-132.193,0)=0,"-",AC38-132.193)</f>
        <v>-</v>
      </c>
      <c r="AD41" s="792" t="str">
        <f>IF(ROUND(AD38-497.006,0)=0,"-",AD38-497.006)</f>
        <v>-</v>
      </c>
      <c r="AE41" s="2193" t="str">
        <f>IF(ROUND(AE38-55.057,0)=0,"-",AE38-497.006)</f>
        <v>-</v>
      </c>
      <c r="AF41" s="792" t="str">
        <f>IF(ROUND(AF38-231.167,0)=0,"-",AF38-231.167)</f>
        <v>-</v>
      </c>
      <c r="AG41" s="792" t="str">
        <f>IF(ROUND(AG38-186.367,0)=0,"-",AG38-186.637)</f>
        <v>-</v>
      </c>
      <c r="AH41" s="792" t="str">
        <f>IF(ROUND(AH38-653.899,0)=0,"-",AH38-653.899)</f>
        <v>-</v>
      </c>
      <c r="AI41" s="792" t="str">
        <f>IF(ROUND(AI38-218.313,0)=0,"-",AI38-218.313)</f>
        <v>-</v>
      </c>
      <c r="AJ41" s="792" t="str">
        <f>IF(ROUND(AJ38-94.148,0)=0,"-",AJ38-94.148)</f>
        <v>-</v>
      </c>
      <c r="AK41" s="792" t="str">
        <f>IF(ROUND(AK38-229.107,0)=0,"-",AK38-229.107)</f>
        <v>-</v>
      </c>
      <c r="AL41" s="792" t="str">
        <f>IF(ROUND(AL38-710.552,0)=0,"-",AL38-710.552)</f>
        <v>-</v>
      </c>
      <c r="AM41" s="792" t="str">
        <f>IF(ROUND(AM38-241.001,0)=0,"-",AM38-241.001)</f>
        <v>-</v>
      </c>
      <c r="AN41" s="792">
        <f>IF(ROUND(AN38-313.927,0)=0,"-",AN38-313.927)</f>
        <v>-67.752999999999901</v>
      </c>
      <c r="AO41" s="792">
        <f>IF(ROUND(AO38-311.287,0)=0,"-",AO38-311.287)</f>
        <v>12.863000000000227</v>
      </c>
      <c r="AP41" s="792">
        <f>IF(ROUND(AP38-311.287,0)=0,"-",AP38-311.287)</f>
        <v>16.712999999998772</v>
      </c>
      <c r="AQ41" s="792" t="str">
        <f>IF(ROUND(AQ38-134.072,0)=0,"-",AQ38-134.072)</f>
        <v>-</v>
      </c>
      <c r="AR41" s="792">
        <f>IF(ROUND(AR38-134.072,0)=0,"-",AR38-134.072)</f>
        <v>80.117000000001838</v>
      </c>
      <c r="AS41" s="792">
        <f>IF(ROUND(AS38-134.072,0)=0,"-",AS38-134.072)</f>
        <v>96.682999999998884</v>
      </c>
      <c r="AT41" s="792">
        <f>IF(ROUND(AT38-134.072,0)=0,"-",AT38-134.072)</f>
        <v>371.64599999999928</v>
      </c>
      <c r="AU41" s="792">
        <f>IF(ROUND(AU38-134.072,0)=0,"-",AU38-134.072)</f>
        <v>-524.51100000000031</v>
      </c>
      <c r="AV41" s="792"/>
      <c r="AW41" s="792"/>
    </row>
    <row r="42" spans="1:70">
      <c r="C42" s="170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2188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</row>
    <row r="43" spans="1:70">
      <c r="A43" s="577" t="s">
        <v>432</v>
      </c>
      <c r="B43" s="578" t="s">
        <v>969</v>
      </c>
      <c r="C43" s="578" t="str">
        <f t="shared" ref="C43:AH43" si="54">C$3</f>
        <v>1Q09</v>
      </c>
      <c r="D43" s="578" t="str">
        <f t="shared" si="54"/>
        <v>2Q09</v>
      </c>
      <c r="E43" s="578" t="str">
        <f t="shared" si="54"/>
        <v>3Q09</v>
      </c>
      <c r="F43" s="578" t="str">
        <f t="shared" si="54"/>
        <v>4Q09</v>
      </c>
      <c r="G43" s="578" t="str">
        <f t="shared" si="54"/>
        <v>1Q10</v>
      </c>
      <c r="H43" s="578" t="str">
        <f t="shared" si="54"/>
        <v>2Q10</v>
      </c>
      <c r="I43" s="578" t="str">
        <f t="shared" si="54"/>
        <v>3Q10</v>
      </c>
      <c r="J43" s="578" t="str">
        <f t="shared" si="54"/>
        <v>4Q10</v>
      </c>
      <c r="K43" s="578" t="str">
        <f t="shared" si="54"/>
        <v>1Q11</v>
      </c>
      <c r="L43" s="578" t="str">
        <f t="shared" si="54"/>
        <v>2Q11</v>
      </c>
      <c r="M43" s="578" t="str">
        <f t="shared" si="54"/>
        <v>3Q11</v>
      </c>
      <c r="N43" s="578" t="str">
        <f t="shared" si="54"/>
        <v>4Q11</v>
      </c>
      <c r="O43" s="578" t="str">
        <f t="shared" si="54"/>
        <v>1Q12</v>
      </c>
      <c r="P43" s="578" t="str">
        <f t="shared" si="54"/>
        <v>2Q12</v>
      </c>
      <c r="Q43" s="578" t="str">
        <f t="shared" si="54"/>
        <v>3Q12</v>
      </c>
      <c r="R43" s="578" t="str">
        <f t="shared" si="54"/>
        <v>4Q12</v>
      </c>
      <c r="S43" s="578" t="str">
        <f t="shared" si="54"/>
        <v>1Q13</v>
      </c>
      <c r="T43" s="578" t="str">
        <f t="shared" si="54"/>
        <v>2Q13</v>
      </c>
      <c r="U43" s="578" t="str">
        <f t="shared" si="54"/>
        <v>3Q13</v>
      </c>
      <c r="V43" s="578" t="str">
        <f t="shared" si="54"/>
        <v>4Q13</v>
      </c>
      <c r="W43" s="578" t="str">
        <f t="shared" si="54"/>
        <v>1Q14</v>
      </c>
      <c r="X43" s="578" t="str">
        <f t="shared" si="54"/>
        <v>2Q14</v>
      </c>
      <c r="Y43" s="578" t="str">
        <f t="shared" si="54"/>
        <v>3Q14</v>
      </c>
      <c r="Z43" s="578" t="str">
        <f t="shared" si="54"/>
        <v>4Q14</v>
      </c>
      <c r="AA43" s="578" t="str">
        <f t="shared" si="54"/>
        <v>1Q15</v>
      </c>
      <c r="AB43" s="578" t="str">
        <f t="shared" si="54"/>
        <v>2Q15</v>
      </c>
      <c r="AC43" s="578" t="str">
        <f t="shared" si="54"/>
        <v>3Q15</v>
      </c>
      <c r="AD43" s="578" t="str">
        <f t="shared" si="54"/>
        <v>4Q15</v>
      </c>
      <c r="AE43" s="2184" t="str">
        <f t="shared" si="54"/>
        <v>1Q16</v>
      </c>
      <c r="AF43" s="578" t="str">
        <f t="shared" si="54"/>
        <v>2Q16</v>
      </c>
      <c r="AG43" s="578" t="str">
        <f t="shared" si="54"/>
        <v>3Q16</v>
      </c>
      <c r="AH43" s="578" t="str">
        <f t="shared" si="54"/>
        <v>4Q16</v>
      </c>
      <c r="AI43" s="578" t="str">
        <f t="shared" ref="AI43:BR43" si="55">AI$3</f>
        <v>1Q17</v>
      </c>
      <c r="AJ43" s="578" t="str">
        <f t="shared" si="55"/>
        <v>2Q17</v>
      </c>
      <c r="AK43" s="578" t="str">
        <f t="shared" si="55"/>
        <v>3Q17</v>
      </c>
      <c r="AL43" s="578" t="str">
        <f t="shared" si="55"/>
        <v>4Q17</v>
      </c>
      <c r="AM43" s="578" t="str">
        <f t="shared" si="55"/>
        <v>1Q18</v>
      </c>
      <c r="AN43" s="578" t="str">
        <f t="shared" si="55"/>
        <v>2Q18</v>
      </c>
      <c r="AO43" s="578" t="str">
        <f t="shared" si="55"/>
        <v>3Q18</v>
      </c>
      <c r="AP43" s="578" t="str">
        <f t="shared" si="55"/>
        <v>4Q18</v>
      </c>
      <c r="AQ43" s="578" t="str">
        <f t="shared" si="55"/>
        <v>1Q19</v>
      </c>
      <c r="AR43" s="578" t="str">
        <f t="shared" si="55"/>
        <v>2Q19</v>
      </c>
      <c r="AS43" s="578" t="str">
        <f t="shared" si="55"/>
        <v>3Q19</v>
      </c>
      <c r="AT43" s="578" t="str">
        <f t="shared" si="55"/>
        <v>4Q19</v>
      </c>
      <c r="AU43" s="578" t="str">
        <f t="shared" si="55"/>
        <v>1Q20</v>
      </c>
      <c r="AV43" s="578" t="str">
        <f t="shared" si="55"/>
        <v>2Q20</v>
      </c>
      <c r="AW43" s="578" t="str">
        <f t="shared" si="55"/>
        <v>3Q20</v>
      </c>
      <c r="AX43" s="578" t="str">
        <f t="shared" si="55"/>
        <v>4Q20</v>
      </c>
      <c r="AY43" s="578" t="str">
        <f t="shared" si="55"/>
        <v>1Q21</v>
      </c>
      <c r="AZ43" s="578" t="str">
        <f t="shared" si="55"/>
        <v>2Q21</v>
      </c>
      <c r="BA43" s="578" t="str">
        <f t="shared" si="55"/>
        <v>3Q21</v>
      </c>
      <c r="BB43" s="578" t="str">
        <f t="shared" si="55"/>
        <v>4Q21</v>
      </c>
      <c r="BC43" s="578" t="str">
        <f t="shared" si="55"/>
        <v>1Q22</v>
      </c>
      <c r="BD43" s="578" t="str">
        <f t="shared" si="55"/>
        <v>2Q22</v>
      </c>
      <c r="BE43" s="578" t="str">
        <f t="shared" si="55"/>
        <v>3Q22</v>
      </c>
      <c r="BF43" s="578" t="str">
        <f t="shared" si="55"/>
        <v>4Q22</v>
      </c>
      <c r="BG43" s="578" t="str">
        <f t="shared" si="55"/>
        <v>1Q23</v>
      </c>
      <c r="BH43" s="578" t="str">
        <f t="shared" si="55"/>
        <v>2Q23</v>
      </c>
      <c r="BI43" s="578" t="str">
        <f t="shared" si="55"/>
        <v>3Q23</v>
      </c>
      <c r="BJ43" s="578" t="str">
        <f t="shared" si="55"/>
        <v>4Q23</v>
      </c>
      <c r="BK43" s="578" t="str">
        <f t="shared" si="55"/>
        <v>1Q24</v>
      </c>
      <c r="BL43" s="578" t="str">
        <f t="shared" si="55"/>
        <v>2Q24</v>
      </c>
      <c r="BM43" s="578" t="str">
        <f t="shared" si="55"/>
        <v>3Q24</v>
      </c>
      <c r="BN43" s="578" t="str">
        <f t="shared" si="55"/>
        <v>4Q24</v>
      </c>
      <c r="BO43" s="578" t="str">
        <f t="shared" si="55"/>
        <v>1Q25</v>
      </c>
      <c r="BP43" s="578" t="str">
        <f t="shared" si="55"/>
        <v>2Q25</v>
      </c>
      <c r="BQ43" s="578" t="str">
        <f t="shared" si="55"/>
        <v>3Q25</v>
      </c>
      <c r="BR43" s="578" t="str">
        <f t="shared" si="55"/>
        <v>4Q25</v>
      </c>
    </row>
    <row r="44" spans="1:70" s="13" customFormat="1">
      <c r="A44" s="13" t="s">
        <v>740</v>
      </c>
      <c r="C44" s="652" t="s">
        <v>750</v>
      </c>
      <c r="D44" s="652" t="s">
        <v>750</v>
      </c>
      <c r="E44" s="652" t="s">
        <v>750</v>
      </c>
      <c r="F44" s="652" t="s">
        <v>750</v>
      </c>
      <c r="G44" s="648">
        <v>-4.0000000000000001E-3</v>
      </c>
      <c r="H44" s="648">
        <v>2.1000000000000001E-2</v>
      </c>
      <c r="I44" s="648">
        <v>4.9000000000000002E-2</v>
      </c>
      <c r="J44" s="648">
        <v>3.7999999999999999E-2</v>
      </c>
      <c r="K44" s="648">
        <v>8.3000000000000004E-2</v>
      </c>
      <c r="L44" s="648">
        <v>0.14899999999999999</v>
      </c>
      <c r="M44" s="648">
        <v>0.14199999999999999</v>
      </c>
      <c r="N44" s="648">
        <v>0.122</v>
      </c>
      <c r="O44" s="648">
        <v>0.109</v>
      </c>
      <c r="P44" s="648">
        <v>0.115</v>
      </c>
      <c r="Q44" s="648">
        <v>0.112</v>
      </c>
      <c r="R44" s="648">
        <v>0.105</v>
      </c>
      <c r="S44" s="648">
        <v>7.8E-2</v>
      </c>
      <c r="T44" s="648">
        <v>6.9000000000000006E-2</v>
      </c>
      <c r="U44" s="648">
        <v>8.6999999999999994E-2</v>
      </c>
      <c r="V44" s="648">
        <v>9.8000000000000004E-2</v>
      </c>
      <c r="W44" s="648">
        <v>8.2000000000000003E-2</v>
      </c>
      <c r="X44" s="648">
        <v>5.8000000000000003E-2</v>
      </c>
      <c r="Y44" s="648">
        <v>0.02</v>
      </c>
      <c r="Z44" s="648">
        <v>2.4E-2</v>
      </c>
      <c r="AA44" s="648">
        <v>6.3E-2</v>
      </c>
      <c r="AB44" s="648">
        <v>0.08</v>
      </c>
      <c r="AC44" s="648">
        <v>0.114</v>
      </c>
      <c r="AD44" s="648">
        <v>0.104</v>
      </c>
      <c r="AE44" s="2195">
        <v>0.10100000000000001</v>
      </c>
      <c r="AF44" s="648">
        <v>9.6000000000000002E-2</v>
      </c>
      <c r="AG44" s="648">
        <v>0.09</v>
      </c>
      <c r="AH44" s="648">
        <v>8.8999999999999996E-2</v>
      </c>
      <c r="AI44" s="648">
        <v>6.8000000000000005E-2</v>
      </c>
      <c r="AJ44" s="648">
        <v>7.0999999999999994E-2</v>
      </c>
      <c r="AK44" s="648">
        <v>6.8000000000000005E-2</v>
      </c>
      <c r="AL44" s="648">
        <v>6.8000000000000005E-2</v>
      </c>
      <c r="AM44" s="648">
        <v>6.9000000000000006E-2</v>
      </c>
      <c r="AN44" s="648">
        <v>4.4999999999999998E-2</v>
      </c>
      <c r="AO44" s="648">
        <v>3.7999999999999999E-2</v>
      </c>
      <c r="AP44" s="648">
        <v>5.3999999999999999E-2</v>
      </c>
      <c r="AQ44" s="648">
        <v>2.8000000000000001E-2</v>
      </c>
      <c r="AR44" s="648">
        <v>0.08</v>
      </c>
      <c r="AS44" s="648">
        <v>6.3E-2</v>
      </c>
      <c r="AT44" s="648">
        <v>3.9E-2</v>
      </c>
      <c r="AU44" s="648">
        <v>-2.1000000000000001E-2</v>
      </c>
      <c r="AV44" s="1730">
        <v>-0.42499999999999999</v>
      </c>
      <c r="AW44" s="648">
        <v>-0.307</v>
      </c>
      <c r="AX44" s="648">
        <v>-0.25</v>
      </c>
      <c r="AY44" s="648">
        <v>-0.13300000000000001</v>
      </c>
      <c r="AZ44" s="648">
        <v>1.401</v>
      </c>
      <c r="BA44" s="648">
        <v>0.41599999999999998</v>
      </c>
      <c r="BB44" s="648">
        <v>0.47399999999999998</v>
      </c>
      <c r="BC44" s="648">
        <v>0.47299999999999998</v>
      </c>
      <c r="BD44" s="648">
        <v>0.38700000000000001</v>
      </c>
      <c r="BE44" s="648">
        <v>0.30499999999999999</v>
      </c>
      <c r="BF44" s="648">
        <v>0.215</v>
      </c>
      <c r="BG44" s="648">
        <v>0.23499999999999999</v>
      </c>
      <c r="BH44" s="648">
        <v>0.186</v>
      </c>
      <c r="BI44" s="648">
        <v>0.17299999999999999</v>
      </c>
      <c r="BJ44" s="648">
        <v>0.121</v>
      </c>
      <c r="BK44" s="648">
        <v>0.10100000000000001</v>
      </c>
      <c r="BL44" s="648">
        <v>0.09</v>
      </c>
    </row>
    <row r="46" spans="1:70">
      <c r="A46" s="9" t="s">
        <v>36</v>
      </c>
      <c r="C46" s="41">
        <f>D46</f>
        <v>104.50174999999996</v>
      </c>
      <c r="D46" s="41">
        <f>E46</f>
        <v>104.50174999999996</v>
      </c>
      <c r="E46" s="41">
        <f>F46</f>
        <v>104.50174999999996</v>
      </c>
      <c r="F46" s="41">
        <f>(F51-B51)/4</f>
        <v>104.50174999999996</v>
      </c>
      <c r="G46" s="41">
        <f>H46</f>
        <v>91.266750000000002</v>
      </c>
      <c r="H46" s="41">
        <f>I46</f>
        <v>91.266750000000002</v>
      </c>
      <c r="I46" s="41">
        <f>J46</f>
        <v>91.266750000000002</v>
      </c>
      <c r="J46" s="41">
        <f>(J51-F51)/4</f>
        <v>91.266750000000002</v>
      </c>
      <c r="K46" s="41">
        <f>L46</f>
        <v>111.09225000000004</v>
      </c>
      <c r="L46" s="41">
        <f>M46</f>
        <v>111.09225000000004</v>
      </c>
      <c r="M46" s="41">
        <f>N46</f>
        <v>111.09225000000004</v>
      </c>
      <c r="N46" s="41">
        <f>(N51-J51)/4</f>
        <v>111.09225000000004</v>
      </c>
      <c r="O46" s="41">
        <f>P46</f>
        <v>104.84924999999998</v>
      </c>
      <c r="P46" s="41">
        <f>Q46</f>
        <v>104.84924999999998</v>
      </c>
      <c r="Q46" s="41">
        <f>R46</f>
        <v>104.84924999999998</v>
      </c>
      <c r="R46" s="41">
        <f>(R51-N51)/4</f>
        <v>104.84924999999998</v>
      </c>
      <c r="S46" s="41">
        <f>T46</f>
        <v>123.20000000000005</v>
      </c>
      <c r="T46" s="41">
        <f>U46</f>
        <v>123.20000000000005</v>
      </c>
      <c r="U46" s="41">
        <f>V46</f>
        <v>123.20000000000005</v>
      </c>
      <c r="V46" s="41">
        <f>(V51-R51)/4</f>
        <v>123.20000000000005</v>
      </c>
      <c r="W46" s="526">
        <f>Q_BS!V44</f>
        <v>166.75386</v>
      </c>
      <c r="X46" s="526">
        <f>Q_BS!W44</f>
        <v>163.31476000000004</v>
      </c>
      <c r="Y46" s="526">
        <f>Q_BS!X44</f>
        <v>301.86488500000002</v>
      </c>
      <c r="Z46" s="526">
        <f>Q_BS!Y44</f>
        <v>305.99425500000001</v>
      </c>
      <c r="AA46" s="526">
        <f>Q_BS!Z44</f>
        <v>348.14731000000006</v>
      </c>
      <c r="AB46" s="526">
        <f>Q_BS!AA44</f>
        <v>349.58500500000002</v>
      </c>
      <c r="AC46" s="526">
        <f>Q_BS!AB44</f>
        <v>364.05029500000001</v>
      </c>
      <c r="AD46" s="526">
        <f>Q_BS!AC44</f>
        <v>373.96243500000003</v>
      </c>
      <c r="AE46" s="2197">
        <f>Q_BS!AD44</f>
        <v>387.23317500000007</v>
      </c>
      <c r="AF46" s="526">
        <f>Q_BS!AE44</f>
        <v>397.11980000000005</v>
      </c>
      <c r="AG46" s="526">
        <f>Q_BS!AF44</f>
        <v>418.47266999999999</v>
      </c>
      <c r="AH46" s="526">
        <f>Q_BS!AG44</f>
        <v>448.78893500000004</v>
      </c>
      <c r="AI46" s="526">
        <f>Q_BS!AH44</f>
        <v>478.57057500000002</v>
      </c>
      <c r="AJ46" s="526">
        <f>Q_BS!AI44</f>
        <v>480.22730000000007</v>
      </c>
      <c r="AK46" s="526">
        <f>Q_BS!AJ44</f>
        <v>492.18179500000002</v>
      </c>
      <c r="AL46" s="526">
        <f>Q_BS!AK44</f>
        <v>514.34109999999998</v>
      </c>
      <c r="AM46" s="526">
        <f>Q_BS!AL44</f>
        <v>552.03676500000006</v>
      </c>
      <c r="AN46" s="526">
        <f>Q_BS!AM44</f>
        <v>549.13488000000007</v>
      </c>
      <c r="AO46" s="526">
        <f>Q_BS!AN44</f>
        <v>549.5947450000001</v>
      </c>
      <c r="AP46" s="526">
        <f>Q_BS!AO44</f>
        <v>546.15806000000009</v>
      </c>
      <c r="AQ46" s="526">
        <f>Q_BS!AP44</f>
        <v>629.7601800000001</v>
      </c>
      <c r="AR46" s="526">
        <f>Q_BS!AQ44</f>
        <v>649.87625500000001</v>
      </c>
      <c r="AS46" s="526">
        <f>Q_BS!AR44</f>
        <v>685.24627500000008</v>
      </c>
      <c r="AT46" s="526">
        <f>Q_BS!AS44</f>
        <v>665.76188000000002</v>
      </c>
      <c r="AU46" s="526">
        <f>Q_BS!AT44</f>
        <v>613.84228500000006</v>
      </c>
      <c r="AV46" s="526">
        <f>Q_BS!AU44</f>
        <v>640.8488450000001</v>
      </c>
      <c r="AW46" s="526">
        <f>Q_BS!AV44</f>
        <v>628.21531500000003</v>
      </c>
      <c r="AX46" s="526">
        <f>Q_BS!AW44</f>
        <v>599.32043499999997</v>
      </c>
      <c r="AY46" s="526">
        <f>Q_BS!AX44</f>
        <v>555.80000000000007</v>
      </c>
      <c r="AZ46" s="526">
        <f>Q_BS!AY44</f>
        <v>543.01660000000004</v>
      </c>
      <c r="BA46" s="526">
        <f>Q_BS!AZ44</f>
        <v>518.24909500000001</v>
      </c>
      <c r="BB46" s="526">
        <f>Q_BS!BA44</f>
        <v>515.81820500000003</v>
      </c>
      <c r="BC46" s="526">
        <f>Q_BS!BB44</f>
        <v>534.72758500000009</v>
      </c>
      <c r="BD46" s="526">
        <f>Q_BS!BC44</f>
        <v>545.62560500000006</v>
      </c>
      <c r="BE46" s="526">
        <f>Q_BS!BD44</f>
        <v>538.00900999999999</v>
      </c>
      <c r="BF46" s="526">
        <f>Q_BS!BE44</f>
        <v>499.56396000000001</v>
      </c>
      <c r="BG46" s="526">
        <f>Q_BS!BF44</f>
        <v>540.00642500000004</v>
      </c>
      <c r="BH46" s="526">
        <f>Q_BS!BG44</f>
        <v>522.67642000000001</v>
      </c>
      <c r="BI46" s="526">
        <f>Q_BS!BH44</f>
        <v>515.62413000000004</v>
      </c>
      <c r="BJ46" s="526">
        <f>Q_BS!BI44</f>
        <v>523.26151500000003</v>
      </c>
      <c r="BK46" s="526">
        <f>Q_BS!BJ44</f>
        <v>547.57202500000005</v>
      </c>
      <c r="BL46" s="526">
        <f>Q_BS!BK44</f>
        <v>543.67183499999999</v>
      </c>
    </row>
    <row r="47" spans="1:70">
      <c r="A47" s="9" t="s">
        <v>567</v>
      </c>
      <c r="B47" s="41"/>
      <c r="C47" s="41">
        <f t="shared" ref="C47:V47" si="56">-C10-C46</f>
        <v>64.667250000000053</v>
      </c>
      <c r="D47" s="41">
        <f t="shared" si="56"/>
        <v>68.100250000000045</v>
      </c>
      <c r="E47" s="41">
        <f t="shared" si="56"/>
        <v>58.180250000000029</v>
      </c>
      <c r="F47" s="41">
        <f t="shared" si="56"/>
        <v>56.21225000000004</v>
      </c>
      <c r="G47" s="41">
        <f t="shared" si="56"/>
        <v>76.438250000000011</v>
      </c>
      <c r="H47" s="41">
        <f t="shared" si="56"/>
        <v>68.177249999999987</v>
      </c>
      <c r="I47" s="41">
        <f t="shared" si="56"/>
        <v>72.075250000000011</v>
      </c>
      <c r="J47" s="41">
        <f t="shared" si="56"/>
        <v>88.768249999999995</v>
      </c>
      <c r="K47" s="41">
        <f t="shared" si="56"/>
        <v>50.581749999999971</v>
      </c>
      <c r="L47" s="41">
        <f t="shared" si="56"/>
        <v>56.128749999999968</v>
      </c>
      <c r="M47" s="41">
        <f t="shared" si="56"/>
        <v>54.572749999999957</v>
      </c>
      <c r="N47" s="41">
        <f t="shared" si="56"/>
        <v>56.126749999999959</v>
      </c>
      <c r="O47" s="41">
        <f t="shared" si="56"/>
        <v>76.275750000000016</v>
      </c>
      <c r="P47" s="41">
        <f t="shared" si="56"/>
        <v>96.037750000000017</v>
      </c>
      <c r="Q47" s="41">
        <f t="shared" si="56"/>
        <v>105.31775000000002</v>
      </c>
      <c r="R47" s="41">
        <f t="shared" si="56"/>
        <v>108.77275000000003</v>
      </c>
      <c r="S47" s="41">
        <f t="shared" si="56"/>
        <v>80.898999999999944</v>
      </c>
      <c r="T47" s="41">
        <f t="shared" si="56"/>
        <v>106.99599999999995</v>
      </c>
      <c r="U47" s="41">
        <f t="shared" si="56"/>
        <v>117.32599999999996</v>
      </c>
      <c r="V47" s="41">
        <f t="shared" si="56"/>
        <v>124.05299999999994</v>
      </c>
      <c r="W47" s="526">
        <f>Q_BS!V53</f>
        <v>78.999139999999983</v>
      </c>
      <c r="X47" s="526">
        <f>Q_BS!W53</f>
        <v>148.24623999999994</v>
      </c>
      <c r="Y47" s="526">
        <f>Q_BS!X53</f>
        <v>54.085114999999973</v>
      </c>
      <c r="Z47" s="526">
        <f>Q_BS!Y53</f>
        <v>114.06174499999997</v>
      </c>
      <c r="AA47" s="526">
        <f>Q_BS!Z53</f>
        <v>83.096689999999967</v>
      </c>
      <c r="AB47" s="526">
        <f>Q_BS!AA53</f>
        <v>100.71399499999995</v>
      </c>
      <c r="AC47" s="526">
        <f>Q_BS!AB53</f>
        <v>128.40270500000008</v>
      </c>
      <c r="AD47" s="526">
        <f>Q_BS!AC53</f>
        <v>199.93856499999993</v>
      </c>
      <c r="AE47" s="2197">
        <f>Q_BS!AD53</f>
        <v>161.54882499999997</v>
      </c>
      <c r="AF47" s="526">
        <f>Q_BS!AE53</f>
        <v>183.05319999999983</v>
      </c>
      <c r="AG47" s="526">
        <f>Q_BS!AF53</f>
        <v>165.57033000000024</v>
      </c>
      <c r="AH47" s="526">
        <f>Q_BS!AG53</f>
        <v>226.44806500000016</v>
      </c>
      <c r="AI47" s="526">
        <f>Q_BS!AH53</f>
        <v>195.39142499999997</v>
      </c>
      <c r="AJ47" s="526">
        <f>Q_BS!AI53</f>
        <v>179.1737</v>
      </c>
      <c r="AK47" s="526">
        <f>Q_BS!AJ53</f>
        <v>170.94320499999998</v>
      </c>
      <c r="AL47" s="526">
        <f>Q_BS!AK53</f>
        <v>240.84689999999989</v>
      </c>
      <c r="AM47" s="526">
        <f>Q_BS!AL53</f>
        <v>202.29023499999994</v>
      </c>
      <c r="AN47" s="526">
        <f>Q_BS!AM53</f>
        <v>192.50311999999985</v>
      </c>
      <c r="AO47" s="526">
        <f>Q_BS!AN53</f>
        <v>161.670255</v>
      </c>
      <c r="AP47" s="526">
        <f>Q_BS!AO53</f>
        <v>269.79993999999999</v>
      </c>
      <c r="AQ47" s="526">
        <f>Q_BS!AP53</f>
        <v>356.49581999999987</v>
      </c>
      <c r="AR47" s="526">
        <f>Q_BS!AQ53</f>
        <v>293.89774499999999</v>
      </c>
      <c r="AS47" s="526">
        <f>Q_BS!AR53</f>
        <v>251.27372500000024</v>
      </c>
      <c r="AT47" s="526">
        <f>Q_BS!AS53</f>
        <v>549.47411999999986</v>
      </c>
      <c r="AU47" s="526">
        <f>Q_BS!AT53</f>
        <v>415.56971499999997</v>
      </c>
      <c r="AV47" s="526">
        <f>Q_BS!AU53</f>
        <v>545.8521549999997</v>
      </c>
      <c r="AW47" s="526">
        <f>Q_BS!AV53</f>
        <v>395.97768500000041</v>
      </c>
      <c r="AX47" s="526">
        <f>Q_BS!AW53</f>
        <v>513.73756499999934</v>
      </c>
      <c r="AY47" s="526">
        <f>Q_BS!AX53</f>
        <v>368.95099999999991</v>
      </c>
      <c r="AZ47" s="526">
        <f>Q_BS!AY53</f>
        <v>405.32640000000004</v>
      </c>
      <c r="BA47" s="526">
        <f>Q_BS!AZ53</f>
        <v>387.90590499999973</v>
      </c>
      <c r="BB47" s="526">
        <f>Q_BS!BA53</f>
        <v>211.45979500000021</v>
      </c>
      <c r="BC47" s="526">
        <f>Q_BS!BB53</f>
        <v>275.02741499999991</v>
      </c>
      <c r="BD47" s="526">
        <f>Q_BS!BC53</f>
        <v>252.33939499999997</v>
      </c>
      <c r="BE47" s="526">
        <f>Q_BS!BD53</f>
        <v>278.92098999999996</v>
      </c>
      <c r="BF47" s="526">
        <f>Q_BS!BE53</f>
        <v>426.78103999999979</v>
      </c>
      <c r="BG47" s="526">
        <f>Q_BS!BF53</f>
        <v>435.59757500000001</v>
      </c>
      <c r="BH47" s="526">
        <f>Q_BS!BG53</f>
        <v>529.36557999999991</v>
      </c>
      <c r="BI47" s="526">
        <f>Q_BS!BH53</f>
        <v>475.09286999999983</v>
      </c>
      <c r="BJ47" s="526">
        <f>Q_BS!BI53</f>
        <v>371.97948499999995</v>
      </c>
      <c r="BK47" s="526">
        <f>Q_BS!BJ53</f>
        <v>461.60697499999992</v>
      </c>
      <c r="BL47" s="526">
        <f>Q_BS!BK53</f>
        <v>496.49616500000013</v>
      </c>
    </row>
    <row r="48" spans="1:70" s="289" customFormat="1">
      <c r="A48" s="279"/>
      <c r="B48" s="279"/>
      <c r="C48" s="278"/>
      <c r="D48" s="278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2198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  <c r="AP48" s="543"/>
      <c r="AQ48" s="543"/>
      <c r="AR48" s="543"/>
      <c r="AS48" s="543"/>
      <c r="AT48" s="543"/>
      <c r="AU48" s="543"/>
      <c r="AV48" s="543"/>
      <c r="AW48" s="543"/>
      <c r="AX48" s="543"/>
      <c r="AY48" s="543"/>
      <c r="AZ48" s="543"/>
      <c r="BA48" s="543"/>
      <c r="BB48" s="543"/>
      <c r="BC48" s="543"/>
      <c r="BD48" s="1839"/>
      <c r="BE48" s="1839"/>
      <c r="BF48" s="1839"/>
      <c r="BG48" s="1839"/>
      <c r="BH48" s="1839"/>
      <c r="BI48" s="1839"/>
      <c r="BJ48" s="543"/>
      <c r="BK48" s="543"/>
      <c r="BL48" s="543"/>
    </row>
    <row r="49" spans="1:70" s="289" customFormat="1">
      <c r="A49" s="128"/>
      <c r="B49" s="128"/>
      <c r="C49" s="278"/>
      <c r="D49" s="278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2198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W49" s="543"/>
      <c r="BK49" s="543"/>
      <c r="BL49" s="543"/>
    </row>
    <row r="50" spans="1:70">
      <c r="A50" s="9" t="s">
        <v>549</v>
      </c>
      <c r="B50" s="544">
        <f>4338.722+61.864+420.023</f>
        <v>4820.6089999999995</v>
      </c>
      <c r="C50" s="41">
        <f>BS!B15+C51</f>
        <v>4905.4757499999996</v>
      </c>
      <c r="D50" s="41">
        <f>BS!C15+D51</f>
        <v>4926.9804999999997</v>
      </c>
      <c r="E50" s="41">
        <f>BS!D15+E51</f>
        <v>5002.0142500000002</v>
      </c>
      <c r="F50" s="544">
        <f>4760.698+63.185+267.5</f>
        <v>5091.3830000000007</v>
      </c>
      <c r="G50" s="41">
        <f>BS!F15+G51</f>
        <v>5114.3467499999997</v>
      </c>
      <c r="H50" s="41">
        <f>BS!G15+H51</f>
        <v>5234.9444999999996</v>
      </c>
      <c r="I50" s="41">
        <f>BS!H15+I51</f>
        <v>5354.2432499999995</v>
      </c>
      <c r="J50" s="544">
        <v>5552.8950000000004</v>
      </c>
      <c r="K50" s="41">
        <f>BS!J15+K51</f>
        <v>5705.5422500000004</v>
      </c>
      <c r="L50" s="41">
        <f>BS!K15+L51</f>
        <v>5931.1725000000006</v>
      </c>
      <c r="M50" s="41">
        <f>BS!L15+M51</f>
        <v>6146.2077500000005</v>
      </c>
      <c r="N50" s="544">
        <v>6475.5609999999997</v>
      </c>
      <c r="O50" s="41">
        <f>BS!N15+O51</f>
        <v>6696.0912499999995</v>
      </c>
      <c r="P50" s="41">
        <f>BS!O15+P51</f>
        <v>6880.3254999999999</v>
      </c>
      <c r="Q50" s="41">
        <f>BS!P15+Q51</f>
        <v>7024.4837500000003</v>
      </c>
      <c r="R50" s="544">
        <v>7346.6459999999997</v>
      </c>
      <c r="S50" s="41">
        <f>BS!R15+S51</f>
        <v>7419.4380000000001</v>
      </c>
      <c r="T50" s="41">
        <f>BS!S15+T51</f>
        <v>7928.5510000000004</v>
      </c>
      <c r="U50" s="41">
        <f>BS!T15+U51</f>
        <v>8246.3080000000009</v>
      </c>
      <c r="V50" s="41">
        <f>BS!U15+V51</f>
        <v>8679.7340000000004</v>
      </c>
      <c r="W50" s="41">
        <f>BS!V15+W51</f>
        <v>8748.2278600000009</v>
      </c>
      <c r="X50" s="41">
        <f>BS!W15+X51</f>
        <v>12870.117619999999</v>
      </c>
      <c r="Y50" s="41">
        <f>BS!X15+Y51</f>
        <v>13289.964505</v>
      </c>
      <c r="Z50" s="41">
        <f>BS!Y15+Z51</f>
        <v>14800.331760000001</v>
      </c>
      <c r="AA50" s="41">
        <f>BS!Z15+AA51</f>
        <v>15189.556069999999</v>
      </c>
      <c r="AB50" s="41">
        <f>BS!AA15+AB51</f>
        <v>15952.435074999999</v>
      </c>
      <c r="AC50" s="41">
        <f>BS!AB15+AC51</f>
        <v>16599.68937</v>
      </c>
      <c r="AD50" s="41">
        <f>BS!AC15+AD51</f>
        <v>17352.815804999998</v>
      </c>
      <c r="AE50" s="2199">
        <f>BS!AD15+AE51</f>
        <v>18022.523980000002</v>
      </c>
      <c r="AF50" s="41">
        <f>BS!AE15+AF51</f>
        <v>19029.725780000001</v>
      </c>
      <c r="AG50" s="41">
        <f>BS!AF15+AG51</f>
        <v>20314.37745</v>
      </c>
      <c r="AH50" s="41">
        <f>BS!AG15+AH51</f>
        <v>21614.070384999999</v>
      </c>
      <c r="AI50" s="41">
        <f>BS!AH15+AI51</f>
        <v>22139.975960000003</v>
      </c>
      <c r="AJ50" s="41">
        <f>BS!AI15+AJ51</f>
        <v>22961.760260000003</v>
      </c>
      <c r="AK50" s="41">
        <f>BS!AJ15+AK51</f>
        <v>24087.065054999999</v>
      </c>
      <c r="AL50" s="41">
        <f>BS!AK15+AL51</f>
        <v>25678.425155000001</v>
      </c>
      <c r="AM50" s="41">
        <f>BS!AL15+AM51</f>
        <v>26147.550920000001</v>
      </c>
      <c r="AN50" s="41">
        <f>BS!AM15+AN51</f>
        <v>26709.824800000002</v>
      </c>
      <c r="AO50" s="41">
        <f>BS!AN15+AO51</f>
        <v>27161.228545000002</v>
      </c>
      <c r="AP50" s="41">
        <f>BS!AO15+AP51</f>
        <v>30096.018605000005</v>
      </c>
      <c r="AQ50" s="41">
        <f>BS!AP15+AQ51</f>
        <v>31300.523785000001</v>
      </c>
      <c r="AR50" s="41">
        <f>BS!AQ15+AR51</f>
        <v>32960.972040000001</v>
      </c>
      <c r="AS50" s="41">
        <f>BS!AR15+AS51</f>
        <v>33089.521314999998</v>
      </c>
      <c r="AT50" s="41">
        <f>BS!AS15+AT51</f>
        <v>32271.866194999999</v>
      </c>
      <c r="AU50" s="41">
        <f>BS!AT15+AU51</f>
        <v>33657.324480000003</v>
      </c>
      <c r="AV50" s="41">
        <f>BS!AU15+AV51</f>
        <v>33937.215324999997</v>
      </c>
      <c r="AW50" s="41">
        <f>BS!AV15+AW51</f>
        <v>33739.862639999999</v>
      </c>
      <c r="AX50" s="41">
        <f>BS!AW15+AX51</f>
        <v>33095.742075000002</v>
      </c>
      <c r="AY50" s="41">
        <f>BS!AX15+AY51</f>
        <v>33286.302075</v>
      </c>
      <c r="AZ50" s="41">
        <f>BS!AY15+AZ51</f>
        <v>33121.675674999999</v>
      </c>
      <c r="BA50" s="41">
        <f>BS!AZ15+BA51</f>
        <v>33570.47077</v>
      </c>
      <c r="BB50" s="41">
        <f>BS!BA15+BB51</f>
        <v>34626.556975</v>
      </c>
      <c r="BC50" s="41">
        <f>BS!BB15+BC51</f>
        <v>35472.656560000003</v>
      </c>
      <c r="BD50" s="41">
        <f>BS!BC15+BD51</f>
        <v>35800.665164999999</v>
      </c>
      <c r="BE50" s="41">
        <f>BS!BD15+BE51</f>
        <v>35240.244175</v>
      </c>
      <c r="BF50" s="41">
        <f>BS!BE15+BF51</f>
        <v>36895.307135000003</v>
      </c>
      <c r="BG50" s="41">
        <f>BS!BF15+BG51</f>
        <v>36940.170559999999</v>
      </c>
      <c r="BH50" s="41">
        <f>BS!BG15+BH51</f>
        <v>37261.352980000003</v>
      </c>
      <c r="BI50" s="41">
        <f>BS!BH15+BI51</f>
        <v>37995.188110000003</v>
      </c>
      <c r="BJ50" s="41">
        <f>BS!BI15+BJ51</f>
        <v>39213.035625000004</v>
      </c>
      <c r="BK50" s="41">
        <f>BS!BJ24+BK51</f>
        <v>29353.646650000002</v>
      </c>
      <c r="BL50" s="41">
        <f>BS!BK24+BL51</f>
        <v>29789.003485000001</v>
      </c>
    </row>
    <row r="51" spans="1:70">
      <c r="A51" s="9" t="s">
        <v>568</v>
      </c>
      <c r="B51" s="544">
        <v>1775.6980000000001</v>
      </c>
      <c r="C51" s="41">
        <f>B51+C46</f>
        <v>1880.19975</v>
      </c>
      <c r="D51" s="41">
        <f>C51+D46</f>
        <v>1984.7014999999999</v>
      </c>
      <c r="E51" s="41">
        <f>D51+E46</f>
        <v>2089.20325</v>
      </c>
      <c r="F51" s="544">
        <v>2193.7049999999999</v>
      </c>
      <c r="G51" s="41">
        <f>F51+G46</f>
        <v>2284.9717499999997</v>
      </c>
      <c r="H51" s="41">
        <f>G51+H46</f>
        <v>2376.2384999999995</v>
      </c>
      <c r="I51" s="41">
        <f>H51+I46</f>
        <v>2467.5052499999993</v>
      </c>
      <c r="J51" s="544">
        <v>2558.7719999999999</v>
      </c>
      <c r="K51" s="41">
        <f>J51+K46</f>
        <v>2669.8642500000001</v>
      </c>
      <c r="L51" s="41">
        <f>K51+L46</f>
        <v>2780.9565000000002</v>
      </c>
      <c r="M51" s="41">
        <f>L51+M46</f>
        <v>2892.0487500000004</v>
      </c>
      <c r="N51" s="544">
        <v>3003.1410000000001</v>
      </c>
      <c r="O51" s="41">
        <f>N51+O46</f>
        <v>3107.9902499999998</v>
      </c>
      <c r="P51" s="41">
        <f>O51+P46</f>
        <v>3212.8395</v>
      </c>
      <c r="Q51" s="41">
        <f>P51+Q46</f>
        <v>3317.6887500000003</v>
      </c>
      <c r="R51" s="544">
        <v>3422.538</v>
      </c>
      <c r="S51" s="41">
        <f>R51+S46</f>
        <v>3545.7380000000003</v>
      </c>
      <c r="T51" s="41">
        <f>S51+T46</f>
        <v>3668.9380000000001</v>
      </c>
      <c r="U51" s="41">
        <f>T51+U46</f>
        <v>3792.1379999999999</v>
      </c>
      <c r="V51" s="544">
        <v>3915.3380000000002</v>
      </c>
      <c r="W51" s="41">
        <f t="shared" ref="W51:BB51" si="57">V51+W46</f>
        <v>4082.09186</v>
      </c>
      <c r="X51" s="41">
        <f t="shared" si="57"/>
        <v>4245.4066199999997</v>
      </c>
      <c r="Y51" s="41">
        <f t="shared" si="57"/>
        <v>4547.2715049999997</v>
      </c>
      <c r="Z51" s="41">
        <f t="shared" si="57"/>
        <v>4853.2657599999993</v>
      </c>
      <c r="AA51" s="41">
        <f t="shared" si="57"/>
        <v>5201.4130699999996</v>
      </c>
      <c r="AB51" s="41">
        <f t="shared" si="57"/>
        <v>5550.9980749999995</v>
      </c>
      <c r="AC51" s="41">
        <f t="shared" si="57"/>
        <v>5915.0483699999995</v>
      </c>
      <c r="AD51" s="41">
        <f t="shared" si="57"/>
        <v>6289.0108049999999</v>
      </c>
      <c r="AE51" s="2199">
        <f t="shared" si="57"/>
        <v>6676.2439800000002</v>
      </c>
      <c r="AF51" s="41">
        <f t="shared" si="57"/>
        <v>7073.3637800000006</v>
      </c>
      <c r="AG51" s="41">
        <f t="shared" si="57"/>
        <v>7491.8364500000007</v>
      </c>
      <c r="AH51" s="41">
        <f t="shared" si="57"/>
        <v>7940.6253850000012</v>
      </c>
      <c r="AI51" s="41">
        <f t="shared" si="57"/>
        <v>8419.1959600000009</v>
      </c>
      <c r="AJ51" s="41">
        <f t="shared" si="57"/>
        <v>8899.4232600000014</v>
      </c>
      <c r="AK51" s="41">
        <f t="shared" si="57"/>
        <v>9391.6050550000018</v>
      </c>
      <c r="AL51" s="41">
        <f t="shared" si="57"/>
        <v>9905.9461550000015</v>
      </c>
      <c r="AM51" s="41">
        <f t="shared" si="57"/>
        <v>10457.982920000002</v>
      </c>
      <c r="AN51" s="41">
        <f t="shared" si="57"/>
        <v>11007.117800000002</v>
      </c>
      <c r="AO51" s="41">
        <f t="shared" si="57"/>
        <v>11556.712545000002</v>
      </c>
      <c r="AP51" s="41">
        <f t="shared" si="57"/>
        <v>12102.870605000002</v>
      </c>
      <c r="AQ51" s="41">
        <f t="shared" si="57"/>
        <v>12732.630785000001</v>
      </c>
      <c r="AR51" s="41">
        <f t="shared" si="57"/>
        <v>13382.50704</v>
      </c>
      <c r="AS51" s="41">
        <f t="shared" si="57"/>
        <v>14067.753315</v>
      </c>
      <c r="AT51" s="41">
        <f t="shared" si="57"/>
        <v>14733.515195</v>
      </c>
      <c r="AU51" s="41">
        <f t="shared" si="57"/>
        <v>15347.357480000001</v>
      </c>
      <c r="AV51" s="41">
        <f t="shared" si="57"/>
        <v>15988.206325000001</v>
      </c>
      <c r="AW51" s="41">
        <f t="shared" si="57"/>
        <v>16616.42164</v>
      </c>
      <c r="AX51" s="41">
        <f t="shared" si="57"/>
        <v>17215.742075000002</v>
      </c>
      <c r="AY51" s="41">
        <f t="shared" si="57"/>
        <v>17771.542075000001</v>
      </c>
      <c r="AZ51" s="41">
        <f t="shared" si="57"/>
        <v>18314.558675</v>
      </c>
      <c r="BA51" s="41">
        <f t="shared" si="57"/>
        <v>18832.807769999999</v>
      </c>
      <c r="BB51" s="41">
        <f t="shared" si="57"/>
        <v>19348.625974999999</v>
      </c>
      <c r="BC51" s="41">
        <f t="shared" ref="BC51:BK51" si="58">BB51+BC46</f>
        <v>19883.35356</v>
      </c>
      <c r="BD51" s="41">
        <f t="shared" si="58"/>
        <v>20428.979165000001</v>
      </c>
      <c r="BE51" s="41">
        <f t="shared" si="58"/>
        <v>20966.988175000002</v>
      </c>
      <c r="BF51" s="41">
        <f t="shared" si="58"/>
        <v>21466.552135000002</v>
      </c>
      <c r="BG51" s="41">
        <f t="shared" si="58"/>
        <v>22006.558560000001</v>
      </c>
      <c r="BH51" s="41">
        <f t="shared" si="58"/>
        <v>22529.234980000001</v>
      </c>
      <c r="BI51" s="41">
        <f t="shared" si="58"/>
        <v>23044.859110000001</v>
      </c>
      <c r="BJ51" s="41">
        <f t="shared" si="58"/>
        <v>23568.120625</v>
      </c>
      <c r="BK51" s="41">
        <f t="shared" si="58"/>
        <v>24115.692650000001</v>
      </c>
      <c r="BL51" s="41">
        <f t="shared" ref="BL51" si="59">BK51+BL46</f>
        <v>24659.364485000002</v>
      </c>
    </row>
    <row r="52" spans="1:70" s="289" customFormat="1">
      <c r="A52" s="128"/>
      <c r="B52" s="128"/>
      <c r="C52" s="278"/>
      <c r="D52" s="278"/>
      <c r="E52" s="543"/>
      <c r="F52" s="543"/>
      <c r="G52" s="543"/>
      <c r="H52" s="543"/>
      <c r="I52" s="543"/>
      <c r="J52" s="543"/>
      <c r="K52" s="543"/>
      <c r="L52" s="543"/>
      <c r="M52" s="543"/>
      <c r="N52" s="543"/>
      <c r="O52" s="543"/>
      <c r="P52" s="543"/>
      <c r="Q52" s="543"/>
      <c r="R52" s="543"/>
      <c r="S52" s="543"/>
      <c r="T52" s="543"/>
      <c r="U52" s="543"/>
      <c r="V52" s="543"/>
      <c r="W52" s="543"/>
      <c r="X52" s="543"/>
      <c r="Y52" s="543"/>
      <c r="Z52" s="543"/>
      <c r="AA52" s="543"/>
      <c r="AB52" s="543"/>
      <c r="AC52" s="543"/>
      <c r="AD52" s="543"/>
      <c r="AE52" s="2198"/>
      <c r="AF52" s="543"/>
      <c r="AG52" s="543"/>
      <c r="AH52" s="543"/>
      <c r="AI52" s="543"/>
      <c r="AJ52" s="543"/>
      <c r="AK52" s="543"/>
      <c r="AL52" s="543"/>
      <c r="AM52" s="543"/>
      <c r="AN52" s="543"/>
      <c r="AO52" s="543"/>
      <c r="AP52" s="543"/>
      <c r="AQ52" s="543"/>
      <c r="AR52" s="543"/>
      <c r="AS52" s="543"/>
      <c r="AT52" s="543"/>
      <c r="AU52" s="543"/>
      <c r="AV52" s="543"/>
      <c r="AW52" s="543"/>
      <c r="AX52" s="543"/>
      <c r="AY52" s="543"/>
      <c r="AZ52" s="543"/>
      <c r="BA52" s="543"/>
      <c r="BB52" s="543"/>
      <c r="BC52" s="543"/>
      <c r="BD52" s="543"/>
      <c r="BE52" s="543"/>
      <c r="BF52" s="543"/>
      <c r="BG52" s="543"/>
      <c r="BH52" s="543"/>
      <c r="BI52" s="543"/>
      <c r="BJ52" s="543"/>
      <c r="BK52" s="543"/>
      <c r="BL52" s="543"/>
    </row>
    <row r="53" spans="1:70" s="289" customFormat="1">
      <c r="A53" s="128"/>
      <c r="B53" s="128"/>
      <c r="C53" s="278"/>
      <c r="D53" s="278"/>
      <c r="E53" s="543"/>
      <c r="F53" s="543"/>
      <c r="G53" s="543"/>
      <c r="H53" s="543"/>
      <c r="I53" s="543"/>
      <c r="J53" s="543"/>
      <c r="K53" s="543"/>
      <c r="L53" s="543"/>
      <c r="M53" s="543"/>
      <c r="N53" s="543"/>
      <c r="O53" s="543"/>
      <c r="P53" s="543"/>
      <c r="Q53" s="543"/>
      <c r="R53" s="543"/>
      <c r="S53" s="543"/>
      <c r="T53" s="543"/>
      <c r="U53" s="543"/>
      <c r="V53" s="543"/>
      <c r="W53" s="543"/>
      <c r="X53" s="543"/>
      <c r="Y53" s="543"/>
      <c r="Z53" s="543"/>
      <c r="AA53" s="543"/>
      <c r="AB53" s="543"/>
      <c r="AC53" s="543"/>
      <c r="AD53" s="543"/>
      <c r="AE53" s="2198"/>
      <c r="AF53" s="543"/>
      <c r="AG53" s="543"/>
      <c r="AH53" s="543"/>
      <c r="AI53" s="543"/>
      <c r="AJ53" s="543"/>
      <c r="AK53" s="543"/>
      <c r="AL53" s="543"/>
      <c r="AM53" s="543"/>
      <c r="AN53" s="543"/>
      <c r="AO53" s="543"/>
      <c r="AP53" s="543"/>
      <c r="AQ53" s="543"/>
      <c r="AR53" s="543"/>
      <c r="AS53" s="543"/>
      <c r="AT53" s="543"/>
      <c r="AU53" s="543"/>
      <c r="AV53" s="543"/>
      <c r="AW53" s="543"/>
      <c r="AX53" s="543"/>
      <c r="AY53" s="543"/>
      <c r="AZ53" s="543"/>
      <c r="BA53" s="543"/>
      <c r="BB53" s="543"/>
      <c r="BC53" s="543"/>
      <c r="BD53" s="543"/>
      <c r="BE53" s="543"/>
      <c r="BF53" s="543"/>
      <c r="BG53" s="543"/>
      <c r="BH53" s="543"/>
      <c r="BI53" s="543"/>
      <c r="BJ53" s="543"/>
      <c r="BK53" s="543"/>
      <c r="BL53" s="543"/>
    </row>
    <row r="54" spans="1:70" s="289" customFormat="1">
      <c r="A54" s="9" t="s">
        <v>1551</v>
      </c>
      <c r="B54" s="128"/>
      <c r="C54" s="278"/>
      <c r="D54" s="278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2198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  <c r="AP54" s="543"/>
      <c r="AQ54" s="543"/>
      <c r="BG54" s="1203">
        <v>1301.5709999999999</v>
      </c>
      <c r="BH54" s="1203">
        <v>1264.1479999999999</v>
      </c>
      <c r="BI54" s="1203">
        <v>1225.2550000000001</v>
      </c>
      <c r="BJ54" s="1203">
        <v>1177.373</v>
      </c>
      <c r="BK54" s="1203"/>
      <c r="BL54" s="1203"/>
    </row>
    <row r="55" spans="1:70">
      <c r="A55" s="9" t="s">
        <v>1552</v>
      </c>
      <c r="E55" s="955"/>
      <c r="F55" s="955"/>
      <c r="G55" s="955"/>
      <c r="H55" s="955"/>
      <c r="I55" s="955"/>
      <c r="J55" s="955"/>
      <c r="K55" s="955"/>
      <c r="L55" s="955"/>
      <c r="M55" s="955"/>
      <c r="N55" s="955"/>
      <c r="O55" s="955"/>
      <c r="P55" s="955"/>
      <c r="Q55" s="955"/>
      <c r="R55" s="955"/>
      <c r="S55" s="955"/>
      <c r="T55" s="955"/>
      <c r="U55" s="955"/>
      <c r="V55" s="955"/>
      <c r="W55" s="955"/>
      <c r="X55" s="955"/>
      <c r="Y55" s="955"/>
      <c r="Z55" s="955"/>
      <c r="AA55" s="955"/>
      <c r="AB55" s="955"/>
      <c r="AC55" s="955"/>
      <c r="AD55" s="955"/>
      <c r="AE55" s="2200"/>
      <c r="AF55" s="955"/>
      <c r="AG55" s="955"/>
      <c r="AH55" s="955"/>
      <c r="AI55" s="955"/>
      <c r="AJ55" s="955"/>
      <c r="AK55" s="955"/>
      <c r="AL55" s="955"/>
      <c r="AM55" s="955"/>
      <c r="AN55" s="955"/>
      <c r="AO55" s="955"/>
      <c r="AP55" s="955"/>
      <c r="AQ55" s="1203">
        <v>1203.95</v>
      </c>
      <c r="AR55" s="1203">
        <v>1226.5409999999999</v>
      </c>
      <c r="AS55" s="1203">
        <v>1549.837</v>
      </c>
      <c r="AT55" s="1203">
        <v>969.06200000000001</v>
      </c>
      <c r="AU55" s="1203">
        <v>1268.42</v>
      </c>
      <c r="AV55" s="1203">
        <v>848.50099999999998</v>
      </c>
      <c r="AW55" s="1203">
        <v>1691.0920000000001</v>
      </c>
      <c r="AX55" s="1203">
        <v>1679.981</v>
      </c>
      <c r="AY55" s="1203">
        <v>1354.0550000000001</v>
      </c>
      <c r="AZ55" s="1203">
        <v>1317.7249999999999</v>
      </c>
      <c r="BA55" s="1203">
        <v>1287.9570000000001</v>
      </c>
      <c r="BB55" s="1203">
        <v>1815.2449999999999</v>
      </c>
      <c r="BC55" s="1203">
        <v>1595.5150000000001</v>
      </c>
      <c r="BD55" s="1203">
        <v>1405.595</v>
      </c>
      <c r="BE55" s="1203">
        <v>1343.0450000000001</v>
      </c>
      <c r="BF55" s="1203">
        <v>881.13300000000004</v>
      </c>
      <c r="BG55" s="1203">
        <v>1379.963</v>
      </c>
      <c r="BH55" s="1203">
        <v>1265.1479999999999</v>
      </c>
      <c r="BI55" s="1203">
        <v>1225.2249999999999</v>
      </c>
      <c r="BJ55" s="1203">
        <v>1295.424</v>
      </c>
      <c r="BK55" s="1203">
        <v>1146.106</v>
      </c>
      <c r="BL55" s="1203">
        <v>1245.4670000000001</v>
      </c>
    </row>
    <row r="56" spans="1:70" s="275" customFormat="1">
      <c r="A56" s="271" t="s">
        <v>1188</v>
      </c>
      <c r="C56" s="1110"/>
      <c r="D56" s="1110"/>
      <c r="E56" s="1110"/>
      <c r="F56" s="1110"/>
      <c r="G56" s="1110"/>
      <c r="H56" s="1110"/>
      <c r="I56" s="1110"/>
      <c r="J56" s="1110"/>
      <c r="K56" s="1110"/>
      <c r="L56" s="1110"/>
      <c r="M56" s="1110"/>
      <c r="N56" s="1110"/>
      <c r="O56" s="1110"/>
      <c r="P56" s="1110"/>
      <c r="Q56" s="1110"/>
      <c r="R56" s="1110"/>
      <c r="S56" s="1110"/>
      <c r="T56" s="1110"/>
      <c r="U56" s="1110"/>
      <c r="V56" s="1110"/>
      <c r="W56" s="1110"/>
      <c r="X56" s="1110"/>
      <c r="Y56" s="1110"/>
      <c r="Z56" s="1157"/>
      <c r="AA56" s="1157"/>
      <c r="AB56" s="649"/>
      <c r="AC56" s="1157"/>
      <c r="AD56" s="649"/>
      <c r="AE56" s="2201"/>
      <c r="AF56" s="649"/>
      <c r="AG56" s="649"/>
      <c r="AH56" s="649"/>
      <c r="AI56" s="649"/>
      <c r="AJ56" s="649"/>
      <c r="AK56" s="649"/>
      <c r="AL56" s="649"/>
      <c r="AM56" s="649"/>
      <c r="AN56" s="649"/>
      <c r="AO56" s="649"/>
      <c r="AQ56" s="1203">
        <v>253.21299999999999</v>
      </c>
      <c r="AR56" s="1203">
        <v>293.24</v>
      </c>
      <c r="AS56" s="1203">
        <v>376.99</v>
      </c>
      <c r="AT56" s="1203">
        <v>74.31</v>
      </c>
      <c r="AU56" s="1203">
        <v>221.86099999999999</v>
      </c>
      <c r="AV56" s="1203">
        <v>284.89699999999999</v>
      </c>
      <c r="AW56" s="1203">
        <v>243.471</v>
      </c>
      <c r="AX56" s="1203">
        <v>190.428</v>
      </c>
      <c r="AY56" s="1203">
        <v>232.02600000000001</v>
      </c>
      <c r="AZ56" s="1203">
        <v>242.10400000000001</v>
      </c>
      <c r="BA56" s="1203">
        <v>265.33699999999999</v>
      </c>
      <c r="BB56" s="1203">
        <v>249.988</v>
      </c>
      <c r="BC56" s="1203">
        <v>243.684</v>
      </c>
      <c r="BD56" s="1203">
        <v>245.46100000000001</v>
      </c>
      <c r="BE56" s="1203">
        <v>245.392</v>
      </c>
      <c r="BF56" s="1203">
        <v>205.78200000000001</v>
      </c>
      <c r="BG56" s="1203">
        <v>226.88900000000001</v>
      </c>
      <c r="BH56" s="1203">
        <v>220.804</v>
      </c>
      <c r="BI56" s="1203">
        <v>214.32599999999999</v>
      </c>
      <c r="BJ56" s="1203">
        <v>216.483</v>
      </c>
      <c r="BK56" s="1203">
        <v>210.98500000000001</v>
      </c>
      <c r="BL56" s="1203">
        <v>266.154</v>
      </c>
    </row>
    <row r="57" spans="1:70" s="275" customFormat="1">
      <c r="A57" s="271"/>
      <c r="C57" s="1110"/>
      <c r="D57" s="1110"/>
      <c r="E57" s="1110"/>
      <c r="F57" s="1110"/>
      <c r="G57" s="1110"/>
      <c r="H57" s="1110"/>
      <c r="I57" s="1110"/>
      <c r="J57" s="1110"/>
      <c r="K57" s="1110"/>
      <c r="L57" s="1110"/>
      <c r="M57" s="1110"/>
      <c r="N57" s="1110"/>
      <c r="O57" s="1110"/>
      <c r="P57" s="1110"/>
      <c r="Q57" s="1110"/>
      <c r="R57" s="1110"/>
      <c r="S57" s="1110"/>
      <c r="T57" s="1110"/>
      <c r="U57" s="1110"/>
      <c r="V57" s="1110"/>
      <c r="W57" s="1110"/>
      <c r="X57" s="1110"/>
      <c r="Y57" s="1110"/>
      <c r="Z57" s="1157"/>
      <c r="AA57" s="1157"/>
      <c r="AB57" s="649"/>
      <c r="AC57" s="1157"/>
      <c r="AD57" s="649"/>
      <c r="AE57" s="2201"/>
      <c r="AF57" s="649"/>
      <c r="AG57" s="649"/>
      <c r="AH57" s="649"/>
      <c r="AI57" s="649"/>
      <c r="AJ57" s="649"/>
      <c r="AK57" s="649"/>
      <c r="AL57" s="649"/>
      <c r="AM57" s="649"/>
      <c r="AN57" s="649"/>
      <c r="AO57" s="649"/>
      <c r="AQ57" s="1203"/>
      <c r="AR57" s="1203"/>
      <c r="AS57" s="1203"/>
      <c r="AW57" s="1203"/>
    </row>
    <row r="58" spans="1:70" s="275" customFormat="1">
      <c r="A58" s="271" t="s">
        <v>1260</v>
      </c>
      <c r="C58" s="1110"/>
      <c r="D58" s="1110"/>
      <c r="E58" s="1110"/>
      <c r="F58" s="1110"/>
      <c r="G58" s="1110"/>
      <c r="H58" s="1110"/>
      <c r="I58" s="1110"/>
      <c r="J58" s="1110"/>
      <c r="K58" s="1110"/>
      <c r="L58" s="1110"/>
      <c r="M58" s="1110"/>
      <c r="N58" s="1110"/>
      <c r="O58" s="1110"/>
      <c r="P58" s="1110"/>
      <c r="Q58" s="1110"/>
      <c r="R58" s="1110"/>
      <c r="S58" s="1110"/>
      <c r="T58" s="1110"/>
      <c r="U58" s="1110"/>
      <c r="V58" s="1110"/>
      <c r="W58" s="1110"/>
      <c r="X58" s="1110"/>
      <c r="Y58" s="1110"/>
      <c r="Z58" s="1157"/>
      <c r="AA58" s="1157"/>
      <c r="AB58" s="649"/>
      <c r="AC58" s="1157"/>
      <c r="AD58" s="649"/>
      <c r="AE58" s="2201"/>
      <c r="AF58" s="649"/>
      <c r="AG58" s="649"/>
      <c r="AH58" s="649"/>
      <c r="AI58" s="649"/>
      <c r="AJ58" s="649"/>
      <c r="AK58" s="649"/>
      <c r="AL58" s="649"/>
      <c r="AM58" s="1203">
        <v>67.777000000000001</v>
      </c>
      <c r="AN58" s="1203">
        <v>131.20099999999999</v>
      </c>
      <c r="AO58" s="649"/>
      <c r="AQ58" s="1203">
        <v>33.386000000000003</v>
      </c>
      <c r="AR58" s="1203">
        <v>124.28100000000001</v>
      </c>
      <c r="AS58" s="1203">
        <v>154.82300000000001</v>
      </c>
      <c r="AT58" s="1203">
        <v>397.923</v>
      </c>
      <c r="AU58" s="1203">
        <v>19.792000000000002</v>
      </c>
      <c r="AV58" s="1203">
        <v>46.64</v>
      </c>
      <c r="AW58" s="1203">
        <v>62.350999999999999</v>
      </c>
      <c r="AX58" s="1203">
        <v>137.18299999999999</v>
      </c>
      <c r="AY58" s="1203">
        <v>11.93</v>
      </c>
      <c r="AZ58" s="1203">
        <v>78.269000000000005</v>
      </c>
      <c r="BA58" s="1203">
        <v>118.44199999999999</v>
      </c>
      <c r="BB58" s="1203">
        <v>305.43799999999999</v>
      </c>
      <c r="BC58" s="1203">
        <v>63.33</v>
      </c>
      <c r="BD58" s="1203">
        <v>145.74</v>
      </c>
      <c r="BE58" s="1203">
        <v>443.93700000000001</v>
      </c>
      <c r="BF58" s="1203">
        <v>707.70500000000004</v>
      </c>
      <c r="BG58" s="1203">
        <v>81.533000000000001</v>
      </c>
      <c r="BH58" s="1203">
        <v>324.47000000000003</v>
      </c>
      <c r="BI58" s="1203">
        <v>893.79300000000001</v>
      </c>
      <c r="BJ58" s="1203">
        <v>264.97699999999998</v>
      </c>
      <c r="BK58" s="1203">
        <v>146.15600000000001</v>
      </c>
      <c r="BL58" s="1203">
        <v>202.471</v>
      </c>
    </row>
    <row r="59" spans="1:70" s="275" customFormat="1">
      <c r="A59" s="36"/>
      <c r="C59" s="1110"/>
      <c r="D59" s="1110"/>
      <c r="E59" s="1110"/>
      <c r="F59" s="1110"/>
      <c r="G59" s="1110"/>
      <c r="H59" s="1110"/>
      <c r="I59" s="1110"/>
      <c r="J59" s="1110"/>
      <c r="K59" s="1110"/>
      <c r="L59" s="1110"/>
      <c r="M59" s="1110"/>
      <c r="N59" s="1110"/>
      <c r="O59" s="1110"/>
      <c r="P59" s="1110"/>
      <c r="Q59" s="1110"/>
      <c r="R59" s="1110"/>
      <c r="S59" s="1110"/>
      <c r="T59" s="1110"/>
      <c r="U59" s="1110"/>
      <c r="V59" s="1110"/>
      <c r="W59" s="1110"/>
      <c r="X59" s="1110"/>
      <c r="Y59" s="1110"/>
      <c r="Z59" s="1157"/>
      <c r="AA59" s="1157"/>
      <c r="AB59" s="649"/>
      <c r="AC59" s="1157"/>
      <c r="AD59" s="649"/>
      <c r="AE59" s="2201"/>
      <c r="AF59" s="649"/>
      <c r="AG59" s="649"/>
      <c r="AH59" s="649"/>
      <c r="AI59" s="649"/>
      <c r="AJ59" s="649"/>
      <c r="AK59" s="649"/>
      <c r="AL59" s="649"/>
      <c r="AM59" s="649"/>
      <c r="AN59" s="649"/>
      <c r="AO59" s="649"/>
      <c r="AP59" s="1203"/>
      <c r="AQ59" s="1273"/>
    </row>
    <row r="60" spans="1:70">
      <c r="A60" s="577" t="s">
        <v>1051</v>
      </c>
      <c r="B60" s="577"/>
      <c r="C60" s="578" t="str">
        <f t="shared" ref="C60:AH60" si="60">C$3</f>
        <v>1Q09</v>
      </c>
      <c r="D60" s="578" t="str">
        <f t="shared" si="60"/>
        <v>2Q09</v>
      </c>
      <c r="E60" s="578" t="str">
        <f t="shared" si="60"/>
        <v>3Q09</v>
      </c>
      <c r="F60" s="578" t="str">
        <f t="shared" si="60"/>
        <v>4Q09</v>
      </c>
      <c r="G60" s="578" t="str">
        <f t="shared" si="60"/>
        <v>1Q10</v>
      </c>
      <c r="H60" s="578" t="str">
        <f t="shared" si="60"/>
        <v>2Q10</v>
      </c>
      <c r="I60" s="578" t="str">
        <f t="shared" si="60"/>
        <v>3Q10</v>
      </c>
      <c r="J60" s="578" t="str">
        <f t="shared" si="60"/>
        <v>4Q10</v>
      </c>
      <c r="K60" s="578" t="str">
        <f t="shared" si="60"/>
        <v>1Q11</v>
      </c>
      <c r="L60" s="578" t="str">
        <f t="shared" si="60"/>
        <v>2Q11</v>
      </c>
      <c r="M60" s="578" t="str">
        <f t="shared" si="60"/>
        <v>3Q11</v>
      </c>
      <c r="N60" s="578" t="str">
        <f t="shared" si="60"/>
        <v>4Q11</v>
      </c>
      <c r="O60" s="578" t="str">
        <f t="shared" si="60"/>
        <v>1Q12</v>
      </c>
      <c r="P60" s="578" t="str">
        <f t="shared" si="60"/>
        <v>2Q12</v>
      </c>
      <c r="Q60" s="578" t="str">
        <f t="shared" si="60"/>
        <v>3Q12</v>
      </c>
      <c r="R60" s="578" t="str">
        <f t="shared" si="60"/>
        <v>4Q12</v>
      </c>
      <c r="S60" s="578" t="str">
        <f t="shared" si="60"/>
        <v>1Q13</v>
      </c>
      <c r="T60" s="578" t="str">
        <f t="shared" si="60"/>
        <v>2Q13</v>
      </c>
      <c r="U60" s="578" t="str">
        <f t="shared" si="60"/>
        <v>3Q13</v>
      </c>
      <c r="V60" s="578" t="str">
        <f t="shared" si="60"/>
        <v>4Q13</v>
      </c>
      <c r="W60" s="578" t="str">
        <f t="shared" si="60"/>
        <v>1Q14</v>
      </c>
      <c r="X60" s="578" t="str">
        <f t="shared" si="60"/>
        <v>2Q14</v>
      </c>
      <c r="Y60" s="578" t="str">
        <f t="shared" si="60"/>
        <v>3Q14</v>
      </c>
      <c r="Z60" s="578" t="str">
        <f t="shared" si="60"/>
        <v>4Q14</v>
      </c>
      <c r="AA60" s="578" t="str">
        <f t="shared" si="60"/>
        <v>1Q15</v>
      </c>
      <c r="AB60" s="578" t="str">
        <f t="shared" si="60"/>
        <v>2Q15</v>
      </c>
      <c r="AC60" s="578" t="str">
        <f t="shared" si="60"/>
        <v>3Q15</v>
      </c>
      <c r="AD60" s="578" t="str">
        <f t="shared" si="60"/>
        <v>4Q15</v>
      </c>
      <c r="AE60" s="2184" t="str">
        <f t="shared" si="60"/>
        <v>1Q16</v>
      </c>
      <c r="AF60" s="578" t="str">
        <f t="shared" si="60"/>
        <v>2Q16</v>
      </c>
      <c r="AG60" s="578" t="str">
        <f t="shared" si="60"/>
        <v>3Q16</v>
      </c>
      <c r="AH60" s="578" t="str">
        <f t="shared" si="60"/>
        <v>4Q16</v>
      </c>
      <c r="AI60" s="578" t="str">
        <f t="shared" ref="AI60:BR60" si="61">AI$3</f>
        <v>1Q17</v>
      </c>
      <c r="AJ60" s="578" t="str">
        <f t="shared" si="61"/>
        <v>2Q17</v>
      </c>
      <c r="AK60" s="578" t="str">
        <f t="shared" si="61"/>
        <v>3Q17</v>
      </c>
      <c r="AL60" s="578" t="str">
        <f t="shared" si="61"/>
        <v>4Q17</v>
      </c>
      <c r="AM60" s="578" t="str">
        <f t="shared" si="61"/>
        <v>1Q18</v>
      </c>
      <c r="AN60" s="578" t="str">
        <f t="shared" si="61"/>
        <v>2Q18</v>
      </c>
      <c r="AO60" s="578" t="str">
        <f t="shared" si="61"/>
        <v>3Q18</v>
      </c>
      <c r="AP60" s="578" t="str">
        <f t="shared" si="61"/>
        <v>4Q18</v>
      </c>
      <c r="AQ60" s="578" t="str">
        <f t="shared" si="61"/>
        <v>1Q19</v>
      </c>
      <c r="AR60" s="578" t="str">
        <f t="shared" si="61"/>
        <v>2Q19</v>
      </c>
      <c r="AS60" s="578" t="str">
        <f t="shared" si="61"/>
        <v>3Q19</v>
      </c>
      <c r="AT60" s="578" t="str">
        <f t="shared" si="61"/>
        <v>4Q19</v>
      </c>
      <c r="AU60" s="578" t="str">
        <f t="shared" si="61"/>
        <v>1Q20</v>
      </c>
      <c r="AV60" s="578" t="str">
        <f t="shared" si="61"/>
        <v>2Q20</v>
      </c>
      <c r="AW60" s="578" t="str">
        <f t="shared" si="61"/>
        <v>3Q20</v>
      </c>
      <c r="AX60" s="578" t="str">
        <f t="shared" si="61"/>
        <v>4Q20</v>
      </c>
      <c r="AY60" s="578" t="str">
        <f t="shared" si="61"/>
        <v>1Q21</v>
      </c>
      <c r="AZ60" s="578" t="str">
        <f t="shared" si="61"/>
        <v>2Q21</v>
      </c>
      <c r="BA60" s="578" t="str">
        <f t="shared" si="61"/>
        <v>3Q21</v>
      </c>
      <c r="BB60" s="578" t="str">
        <f t="shared" si="61"/>
        <v>4Q21</v>
      </c>
      <c r="BC60" s="578" t="str">
        <f t="shared" si="61"/>
        <v>1Q22</v>
      </c>
      <c r="BD60" s="578" t="str">
        <f t="shared" si="61"/>
        <v>2Q22</v>
      </c>
      <c r="BE60" s="578" t="str">
        <f t="shared" si="61"/>
        <v>3Q22</v>
      </c>
      <c r="BF60" s="578" t="str">
        <f t="shared" si="61"/>
        <v>4Q22</v>
      </c>
      <c r="BG60" s="578" t="str">
        <f t="shared" si="61"/>
        <v>1Q23</v>
      </c>
      <c r="BH60" s="578" t="str">
        <f t="shared" si="61"/>
        <v>2Q23</v>
      </c>
      <c r="BI60" s="578" t="str">
        <f t="shared" si="61"/>
        <v>3Q23</v>
      </c>
      <c r="BJ60" s="578" t="str">
        <f t="shared" si="61"/>
        <v>4Q23</v>
      </c>
      <c r="BK60" s="578" t="str">
        <f t="shared" si="61"/>
        <v>1Q24</v>
      </c>
      <c r="BL60" s="578" t="str">
        <f t="shared" si="61"/>
        <v>2Q24</v>
      </c>
      <c r="BM60" s="578" t="str">
        <f t="shared" si="61"/>
        <v>3Q24</v>
      </c>
      <c r="BN60" s="578" t="str">
        <f t="shared" si="61"/>
        <v>4Q24</v>
      </c>
      <c r="BO60" s="578" t="str">
        <f t="shared" si="61"/>
        <v>1Q25</v>
      </c>
      <c r="BP60" s="578" t="str">
        <f t="shared" si="61"/>
        <v>2Q25</v>
      </c>
      <c r="BQ60" s="578" t="str">
        <f t="shared" si="61"/>
        <v>3Q25</v>
      </c>
      <c r="BR60" s="578" t="str">
        <f t="shared" si="61"/>
        <v>4Q25</v>
      </c>
    </row>
    <row r="61" spans="1:70">
      <c r="A61" s="13"/>
      <c r="B61" s="13"/>
      <c r="BM61" s="92"/>
    </row>
    <row r="62" spans="1:70">
      <c r="A62" s="13" t="s">
        <v>884</v>
      </c>
      <c r="B62" s="13"/>
    </row>
    <row r="63" spans="1:70">
      <c r="A63" s="36" t="s">
        <v>731</v>
      </c>
      <c r="B63" s="36"/>
      <c r="C63" s="223">
        <f>C76/C4</f>
        <v>1.075954499369753</v>
      </c>
      <c r="D63" s="223">
        <f t="shared" ref="C63:AQ63" si="62">D76/D4</f>
        <v>1.0768925707873171</v>
      </c>
      <c r="E63" s="223">
        <f t="shared" si="62"/>
        <v>1.0452950165432704</v>
      </c>
      <c r="F63" s="223">
        <f t="shared" si="62"/>
        <v>1.0418659241377577</v>
      </c>
      <c r="G63" s="223">
        <f t="shared" si="62"/>
        <v>1.0366358147510899</v>
      </c>
      <c r="H63" s="223">
        <f t="shared" si="62"/>
        <v>1.0101998430793373</v>
      </c>
      <c r="I63" s="223">
        <f t="shared" si="62"/>
        <v>0.98183456597470231</v>
      </c>
      <c r="J63" s="223">
        <f t="shared" si="62"/>
        <v>1.0188637711093755</v>
      </c>
      <c r="K63" s="223">
        <f t="shared" si="62"/>
        <v>1.012748962759477</v>
      </c>
      <c r="L63" s="223">
        <f t="shared" si="62"/>
        <v>0.99901816774997021</v>
      </c>
      <c r="M63" s="223">
        <f t="shared" si="62"/>
        <v>0.95399417794118702</v>
      </c>
      <c r="N63" s="223">
        <f t="shared" si="62"/>
        <v>0.96725561953136285</v>
      </c>
      <c r="O63" s="223">
        <f t="shared" si="62"/>
        <v>0.96595328637483258</v>
      </c>
      <c r="P63" s="223">
        <f t="shared" si="62"/>
        <v>0.95197349182826196</v>
      </c>
      <c r="Q63" s="223">
        <f t="shared" si="62"/>
        <v>0.91947013121093435</v>
      </c>
      <c r="R63" s="223">
        <f t="shared" si="62"/>
        <v>0.94867032645095817</v>
      </c>
      <c r="S63" s="223">
        <f t="shared" si="62"/>
        <v>0.95714713603193646</v>
      </c>
      <c r="T63" s="223">
        <f t="shared" si="62"/>
        <v>0.95272320485616624</v>
      </c>
      <c r="U63" s="223">
        <f t="shared" si="62"/>
        <v>0.91236866298038322</v>
      </c>
      <c r="V63" s="223">
        <f t="shared" si="62"/>
        <v>0.92429047613541837</v>
      </c>
      <c r="W63" s="223">
        <f t="shared" si="62"/>
        <v>0.958408190707699</v>
      </c>
      <c r="X63" s="223">
        <f t="shared" si="62"/>
        <v>0.95842543788338463</v>
      </c>
      <c r="Y63" s="223">
        <f t="shared" si="62"/>
        <v>0.9450394985467474</v>
      </c>
      <c r="Z63" s="223">
        <f t="shared" si="62"/>
        <v>0.81824052602225028</v>
      </c>
      <c r="AA63" s="223">
        <f t="shared" si="62"/>
        <v>0.63437521190092794</v>
      </c>
      <c r="AB63" s="223">
        <f t="shared" si="62"/>
        <v>0.62497246178855759</v>
      </c>
      <c r="AC63" s="223">
        <f t="shared" si="62"/>
        <v>0.60576038978772129</v>
      </c>
      <c r="AD63" s="223">
        <f t="shared" si="62"/>
        <v>0.60327137410349352</v>
      </c>
      <c r="AE63" s="2202">
        <f>AE76/AE4</f>
        <v>0.6040005811528385</v>
      </c>
      <c r="AF63" s="223">
        <f t="shared" si="62"/>
        <v>0.58992442613634366</v>
      </c>
      <c r="AG63" s="223">
        <f t="shared" si="62"/>
        <v>0.57446461064713294</v>
      </c>
      <c r="AH63" s="223">
        <f t="shared" si="62"/>
        <v>0.56830979979627705</v>
      </c>
      <c r="AI63" s="1906">
        <f t="shared" si="62"/>
        <v>0.55225081341571192</v>
      </c>
      <c r="AJ63" s="1906">
        <f t="shared" si="62"/>
        <v>0.57248349663098008</v>
      </c>
      <c r="AK63" s="1906">
        <f t="shared" si="62"/>
        <v>0.55358511034567426</v>
      </c>
      <c r="AL63" s="1906">
        <f t="shared" si="62"/>
        <v>0.54940873565054915</v>
      </c>
      <c r="AM63" s="1906">
        <f t="shared" si="62"/>
        <v>0.54125208204251585</v>
      </c>
      <c r="AN63" s="1906">
        <f t="shared" si="62"/>
        <v>0.55123355173118949</v>
      </c>
      <c r="AO63" s="1906">
        <f t="shared" si="62"/>
        <v>0.55294778309256221</v>
      </c>
      <c r="AP63" s="1906">
        <f t="shared" si="62"/>
        <v>0.56012441032199722</v>
      </c>
      <c r="AQ63" s="1906">
        <f t="shared" si="62"/>
        <v>0.46652488556371724</v>
      </c>
      <c r="AR63" s="1906">
        <f>AR76/AR4</f>
        <v>0.47316501442985259</v>
      </c>
      <c r="AS63" s="1906">
        <f>AS76/AS4</f>
        <v>0.46099177964703353</v>
      </c>
      <c r="AT63" s="1906">
        <f>AT76/AT4</f>
        <v>0.47105836504743037</v>
      </c>
      <c r="AU63" s="1906">
        <f>AU76/AU4</f>
        <v>0.51300733823540345</v>
      </c>
      <c r="AV63" s="1906">
        <v>0.54</v>
      </c>
      <c r="AW63" s="1905">
        <v>0.46</v>
      </c>
      <c r="AX63" s="1905">
        <v>0.49</v>
      </c>
      <c r="AY63" s="1905">
        <v>0.49</v>
      </c>
      <c r="AZ63" s="1905">
        <v>0.52</v>
      </c>
      <c r="BA63" s="1905">
        <f>6704.588/13839.833</f>
        <v>0.48444139463243518</v>
      </c>
      <c r="BB63" s="1905">
        <f>7870.032/16426.674</f>
        <v>0.47910076014170616</v>
      </c>
      <c r="BC63" s="1905">
        <v>0.48</v>
      </c>
      <c r="BD63" s="1905">
        <v>0.5</v>
      </c>
      <c r="BE63" s="1905">
        <v>0.49</v>
      </c>
      <c r="BF63" s="1905">
        <v>0.49</v>
      </c>
      <c r="BG63" s="1905">
        <v>0.51</v>
      </c>
      <c r="BH63" s="1905">
        <v>0.53</v>
      </c>
      <c r="BI63" s="1905">
        <v>0.53449999999999998</v>
      </c>
      <c r="BJ63" s="1905">
        <v>0.54</v>
      </c>
      <c r="BK63" s="1905">
        <v>0.56000000000000005</v>
      </c>
      <c r="BL63" s="1905">
        <v>0.56000000000000005</v>
      </c>
    </row>
    <row r="64" spans="1:70">
      <c r="A64" s="36" t="s">
        <v>949</v>
      </c>
      <c r="B64" s="36"/>
      <c r="C64" s="223">
        <f t="shared" ref="C64:AQ64" si="63">C102/C4</f>
        <v>0</v>
      </c>
      <c r="D64" s="223">
        <f t="shared" si="63"/>
        <v>0</v>
      </c>
      <c r="E64" s="223">
        <f t="shared" si="63"/>
        <v>0</v>
      </c>
      <c r="F64" s="223">
        <f t="shared" si="63"/>
        <v>0</v>
      </c>
      <c r="G64" s="223">
        <f t="shared" si="63"/>
        <v>0</v>
      </c>
      <c r="H64" s="223">
        <f t="shared" si="63"/>
        <v>0</v>
      </c>
      <c r="I64" s="223">
        <f t="shared" si="63"/>
        <v>0</v>
      </c>
      <c r="J64" s="223">
        <f t="shared" si="63"/>
        <v>0</v>
      </c>
      <c r="K64" s="223">
        <f t="shared" si="63"/>
        <v>0</v>
      </c>
      <c r="L64" s="223">
        <f t="shared" si="63"/>
        <v>0</v>
      </c>
      <c r="M64" s="223">
        <f t="shared" si="63"/>
        <v>0</v>
      </c>
      <c r="N64" s="223">
        <f t="shared" si="63"/>
        <v>0</v>
      </c>
      <c r="O64" s="223">
        <f t="shared" si="63"/>
        <v>0</v>
      </c>
      <c r="P64" s="223">
        <f t="shared" si="63"/>
        <v>0</v>
      </c>
      <c r="Q64" s="223">
        <f t="shared" si="63"/>
        <v>0</v>
      </c>
      <c r="R64" s="223">
        <f t="shared" si="63"/>
        <v>0</v>
      </c>
      <c r="S64" s="223">
        <f t="shared" si="63"/>
        <v>0</v>
      </c>
      <c r="T64" s="223">
        <f t="shared" si="63"/>
        <v>0</v>
      </c>
      <c r="U64" s="223">
        <f t="shared" si="63"/>
        <v>0</v>
      </c>
      <c r="V64" s="223">
        <f t="shared" si="63"/>
        <v>0</v>
      </c>
      <c r="W64" s="223">
        <f t="shared" si="63"/>
        <v>0</v>
      </c>
      <c r="X64" s="223">
        <f t="shared" si="63"/>
        <v>0</v>
      </c>
      <c r="Y64" s="223">
        <f t="shared" si="63"/>
        <v>0</v>
      </c>
      <c r="Z64" s="223">
        <f t="shared" si="63"/>
        <v>0.18573946067738725</v>
      </c>
      <c r="AA64" s="223">
        <f t="shared" si="63"/>
        <v>0.18082212522095564</v>
      </c>
      <c r="AB64" s="223">
        <f t="shared" si="63"/>
        <v>0.16825686149162156</v>
      </c>
      <c r="AC64" s="223">
        <f t="shared" si="63"/>
        <v>0.16925300332888557</v>
      </c>
      <c r="AD64" s="223">
        <f t="shared" si="63"/>
        <v>0.18386157534205289</v>
      </c>
      <c r="AE64" s="2202">
        <f t="shared" si="63"/>
        <v>0.21066790395980672</v>
      </c>
      <c r="AF64" s="223">
        <f t="shared" si="63"/>
        <v>0.1973400894461329</v>
      </c>
      <c r="AG64" s="223">
        <f t="shared" si="63"/>
        <v>0.19079390259346402</v>
      </c>
      <c r="AH64" s="223">
        <f t="shared" si="63"/>
        <v>0.20686591003142513</v>
      </c>
      <c r="AI64" s="1906">
        <f t="shared" si="63"/>
        <v>0.20409699957595381</v>
      </c>
      <c r="AJ64" s="1906">
        <f t="shared" si="63"/>
        <v>0.19082783221032668</v>
      </c>
      <c r="AK64" s="1906">
        <f t="shared" si="63"/>
        <v>0.19502920855944345</v>
      </c>
      <c r="AL64" s="1906">
        <f t="shared" si="63"/>
        <v>0.21461547758959873</v>
      </c>
      <c r="AM64" s="1906">
        <f t="shared" si="63"/>
        <v>0.22391969577246654</v>
      </c>
      <c r="AN64" s="1906">
        <f t="shared" si="63"/>
        <v>0.20820258128818592</v>
      </c>
      <c r="AO64" s="1906">
        <f t="shared" si="63"/>
        <v>0.20728948688907181</v>
      </c>
      <c r="AP64" s="1906">
        <f t="shared" si="63"/>
        <v>0.21735929944693774</v>
      </c>
      <c r="AQ64" s="1906">
        <f t="shared" si="63"/>
        <v>0.36762482371100497</v>
      </c>
      <c r="AR64" s="1906">
        <f>AR102/AR4</f>
        <v>0.3595203660880254</v>
      </c>
      <c r="AS64" s="1906">
        <f>AS102/AS4</f>
        <v>0.3616853169356441</v>
      </c>
      <c r="AT64" s="1906">
        <f>AT102/AT4</f>
        <v>0.369713578194032</v>
      </c>
      <c r="AU64" s="1906">
        <f>AU102/AU4</f>
        <v>0.34283099093026154</v>
      </c>
      <c r="AV64" s="1906">
        <v>0.32</v>
      </c>
      <c r="AW64" s="1905">
        <v>0.41</v>
      </c>
      <c r="AX64" s="1905">
        <v>0.36</v>
      </c>
      <c r="AY64" s="1905">
        <v>0.34</v>
      </c>
      <c r="AZ64" s="1905">
        <v>0.35</v>
      </c>
      <c r="BA64" s="1905">
        <f>4830.196/13839.833</f>
        <v>0.34900681243769344</v>
      </c>
      <c r="BB64" s="1905">
        <f>5811.578/16426.674</f>
        <v>0.35378908718831342</v>
      </c>
      <c r="BC64" s="1905">
        <v>0.34</v>
      </c>
      <c r="BD64" s="1905">
        <v>0.32</v>
      </c>
      <c r="BE64" s="1905">
        <v>0.32</v>
      </c>
      <c r="BF64" s="1905">
        <v>0.31</v>
      </c>
      <c r="BG64" s="1905">
        <v>0.32</v>
      </c>
      <c r="BH64" s="1905">
        <v>0.3</v>
      </c>
      <c r="BI64" s="1905">
        <v>0.30449999999999999</v>
      </c>
      <c r="BJ64" s="1905">
        <v>0.31</v>
      </c>
      <c r="BK64" s="1905">
        <v>0.3</v>
      </c>
      <c r="BL64" s="1905">
        <v>0.28999999999999998</v>
      </c>
    </row>
    <row r="65" spans="1:64">
      <c r="A65" s="36" t="s">
        <v>733</v>
      </c>
      <c r="B65" s="36"/>
      <c r="C65" s="223">
        <f t="shared" ref="C65:AQ65" si="64">C113/C4</f>
        <v>0.14720961487987877</v>
      </c>
      <c r="D65" s="223">
        <f t="shared" si="64"/>
        <v>0.15766699168195655</v>
      </c>
      <c r="E65" s="223">
        <f t="shared" si="64"/>
        <v>0.17739254658795345</v>
      </c>
      <c r="F65" s="223">
        <f t="shared" si="64"/>
        <v>0.1722882879451863</v>
      </c>
      <c r="G65" s="223">
        <f t="shared" si="64"/>
        <v>0.17215235292377487</v>
      </c>
      <c r="H65" s="223">
        <f t="shared" si="64"/>
        <v>0.19845848525407303</v>
      </c>
      <c r="I65" s="223">
        <f t="shared" si="64"/>
        <v>0.22194138268294555</v>
      </c>
      <c r="J65" s="223">
        <f t="shared" si="64"/>
        <v>0.21072038959131292</v>
      </c>
      <c r="K65" s="223">
        <f t="shared" si="64"/>
        <v>0.19626626790345567</v>
      </c>
      <c r="L65" s="223">
        <f t="shared" si="64"/>
        <v>0.20677048091284198</v>
      </c>
      <c r="M65" s="223">
        <f t="shared" si="64"/>
        <v>0.23927505977361868</v>
      </c>
      <c r="N65" s="223">
        <f t="shared" si="64"/>
        <v>0.2495374394720134</v>
      </c>
      <c r="O65" s="223">
        <f t="shared" si="64"/>
        <v>0.23436487187243424</v>
      </c>
      <c r="P65" s="223">
        <f t="shared" si="64"/>
        <v>0.2471862500240766</v>
      </c>
      <c r="Q65" s="223">
        <f t="shared" si="64"/>
        <v>0.27072462377785622</v>
      </c>
      <c r="R65" s="223">
        <f t="shared" si="64"/>
        <v>0.25550876173745957</v>
      </c>
      <c r="S65" s="223">
        <f t="shared" si="64"/>
        <v>0.24244235962322574</v>
      </c>
      <c r="T65" s="223">
        <f t="shared" si="64"/>
        <v>0.25336155557713436</v>
      </c>
      <c r="U65" s="223">
        <f t="shared" si="64"/>
        <v>0.28723715142855533</v>
      </c>
      <c r="V65" s="223">
        <f t="shared" si="64"/>
        <v>0.28449647252939336</v>
      </c>
      <c r="W65" s="223">
        <f t="shared" si="64"/>
        <v>0.24974724676831572</v>
      </c>
      <c r="X65" s="223">
        <f t="shared" si="64"/>
        <v>0.20967358185898788</v>
      </c>
      <c r="Y65" s="223">
        <f t="shared" si="64"/>
        <v>0.21644000393591059</v>
      </c>
      <c r="Z65" s="223">
        <f t="shared" si="64"/>
        <v>0.16435664810621667</v>
      </c>
      <c r="AA65" s="223">
        <f t="shared" si="64"/>
        <v>0.18477080114822048</v>
      </c>
      <c r="AB65" s="223">
        <f t="shared" si="64"/>
        <v>0.20677814907660996</v>
      </c>
      <c r="AC65" s="223">
        <f t="shared" si="64"/>
        <v>0.22481954249648667</v>
      </c>
      <c r="AD65" s="223">
        <f t="shared" si="64"/>
        <v>0.21288647491031867</v>
      </c>
      <c r="AE65" s="2202">
        <f t="shared" si="64"/>
        <v>0.18535963518599233</v>
      </c>
      <c r="AF65" s="223">
        <f t="shared" si="64"/>
        <v>0.21278313725074924</v>
      </c>
      <c r="AG65" s="223">
        <f t="shared" si="64"/>
        <v>0.2346390079383594</v>
      </c>
      <c r="AH65" s="223">
        <f t="shared" si="64"/>
        <v>0.22477143078920964</v>
      </c>
      <c r="AI65" s="1906">
        <f t="shared" si="64"/>
        <v>0.24372748493050794</v>
      </c>
      <c r="AJ65" s="1906">
        <f t="shared" si="64"/>
        <v>0.23674638352740124</v>
      </c>
      <c r="AK65" s="1906">
        <f t="shared" si="64"/>
        <v>0.25144734965520021</v>
      </c>
      <c r="AL65" s="1906">
        <f t="shared" si="64"/>
        <v>0.23587902470738087</v>
      </c>
      <c r="AM65" s="1906">
        <f t="shared" si="64"/>
        <v>0.22861289374915669</v>
      </c>
      <c r="AN65" s="1906">
        <f t="shared" si="64"/>
        <v>0.22904049866902218</v>
      </c>
      <c r="AO65" s="1906">
        <f t="shared" si="64"/>
        <v>0.21651993477853429</v>
      </c>
      <c r="AP65" s="1906">
        <f t="shared" si="64"/>
        <v>0.19441132879900827</v>
      </c>
      <c r="AQ65" s="1906">
        <f t="shared" si="64"/>
        <v>0.16346996929569424</v>
      </c>
      <c r="AR65" s="1906">
        <f>AR113/AR4</f>
        <v>0.15884188627620505</v>
      </c>
      <c r="AS65" s="1906">
        <f>AS113/AS4</f>
        <v>0.16666095027658473</v>
      </c>
      <c r="AT65" s="1906">
        <f>AT113/AT4</f>
        <v>0.1333723380833505</v>
      </c>
      <c r="AU65" s="1906">
        <f>AU113/AU4</f>
        <v>0.14415423594537505</v>
      </c>
      <c r="AV65" s="1906">
        <v>0.14000000000000001</v>
      </c>
      <c r="AW65" s="1905">
        <v>0.12</v>
      </c>
      <c r="AX65" s="1905">
        <v>0.15</v>
      </c>
      <c r="AY65" s="1905">
        <v>0.17</v>
      </c>
      <c r="AZ65" s="1905">
        <v>0.13</v>
      </c>
      <c r="BA65" s="1905">
        <f>2305.049/13839.833</f>
        <v>0.16655179292987132</v>
      </c>
      <c r="BB65" s="1905">
        <f>2745.064/16426.674</f>
        <v>0.16711015266998056</v>
      </c>
      <c r="BC65" s="1905">
        <v>0.18</v>
      </c>
      <c r="BD65" s="1905">
        <v>0.18</v>
      </c>
      <c r="BE65" s="1905">
        <v>0.19</v>
      </c>
      <c r="BF65" s="1905">
        <v>0.2</v>
      </c>
      <c r="BG65" s="1905">
        <v>0.17</v>
      </c>
      <c r="BH65" s="1905">
        <v>0.17</v>
      </c>
      <c r="BI65" s="1905">
        <v>0.16</v>
      </c>
      <c r="BJ65" s="1905">
        <v>0.16</v>
      </c>
      <c r="BK65" s="1905">
        <v>0.14000000000000001</v>
      </c>
      <c r="BL65" s="1905">
        <v>0.15</v>
      </c>
    </row>
    <row r="66" spans="1:64">
      <c r="A66" s="36" t="s">
        <v>755</v>
      </c>
      <c r="B66" s="36"/>
      <c r="C66" s="223">
        <f t="shared" ref="C66:AO66" si="65">1-C65-C64-C63</f>
        <v>-0.22316411424963167</v>
      </c>
      <c r="D66" s="223">
        <f t="shared" si="65"/>
        <v>-0.23455956246927367</v>
      </c>
      <c r="E66" s="223">
        <f t="shared" si="65"/>
        <v>-0.22268756313122384</v>
      </c>
      <c r="F66" s="223">
        <f t="shared" si="65"/>
        <v>-0.21415421208294405</v>
      </c>
      <c r="G66" s="223">
        <f t="shared" si="65"/>
        <v>-0.20878816767486474</v>
      </c>
      <c r="H66" s="223">
        <f t="shared" si="65"/>
        <v>-0.20865832833341036</v>
      </c>
      <c r="I66" s="223">
        <f t="shared" si="65"/>
        <v>-0.20377594865764781</v>
      </c>
      <c r="J66" s="223">
        <f t="shared" si="65"/>
        <v>-0.22958416070068843</v>
      </c>
      <c r="K66" s="223">
        <f t="shared" si="65"/>
        <v>-0.20901523066293271</v>
      </c>
      <c r="L66" s="223">
        <f t="shared" si="65"/>
        <v>-0.20578864866281221</v>
      </c>
      <c r="M66" s="223">
        <f t="shared" si="65"/>
        <v>-0.19326923771480564</v>
      </c>
      <c r="N66" s="223">
        <f t="shared" si="65"/>
        <v>-0.2167930590033762</v>
      </c>
      <c r="O66" s="223">
        <f t="shared" si="65"/>
        <v>-0.20031815824726684</v>
      </c>
      <c r="P66" s="223">
        <f t="shared" si="65"/>
        <v>-0.19915974185233853</v>
      </c>
      <c r="Q66" s="223">
        <f t="shared" si="65"/>
        <v>-0.19019475498879057</v>
      </c>
      <c r="R66" s="223">
        <f t="shared" si="65"/>
        <v>-0.20417908818841779</v>
      </c>
      <c r="S66" s="223">
        <f t="shared" si="65"/>
        <v>-0.19958949565516215</v>
      </c>
      <c r="T66" s="223">
        <f t="shared" si="65"/>
        <v>-0.2060847604333006</v>
      </c>
      <c r="U66" s="223">
        <f t="shared" si="65"/>
        <v>-0.19960581440893854</v>
      </c>
      <c r="V66" s="223">
        <f t="shared" si="65"/>
        <v>-0.20878694866481173</v>
      </c>
      <c r="W66" s="223">
        <f t="shared" si="65"/>
        <v>-0.20815543747601473</v>
      </c>
      <c r="X66" s="223">
        <f t="shared" si="65"/>
        <v>-0.16809901974237251</v>
      </c>
      <c r="Y66" s="223">
        <f t="shared" si="65"/>
        <v>-0.16147950248265797</v>
      </c>
      <c r="Z66" s="223">
        <f t="shared" si="65"/>
        <v>-0.16833663480585415</v>
      </c>
      <c r="AA66" s="223">
        <f t="shared" si="65"/>
        <v>3.1861729895887869E-5</v>
      </c>
      <c r="AB66" s="223">
        <f t="shared" si="65"/>
        <v>-7.4723567891066267E-6</v>
      </c>
      <c r="AC66" s="223">
        <f t="shared" si="65"/>
        <v>1.6706438690639036E-4</v>
      </c>
      <c r="AD66" s="223">
        <f t="shared" si="65"/>
        <v>-1.9424355864994247E-5</v>
      </c>
      <c r="AE66" s="2202">
        <f t="shared" si="65"/>
        <v>-2.8120298637523966E-5</v>
      </c>
      <c r="AF66" s="223">
        <f t="shared" si="65"/>
        <v>-4.7652833225830804E-5</v>
      </c>
      <c r="AG66" s="223">
        <f t="shared" si="65"/>
        <v>1.0247882104374995E-4</v>
      </c>
      <c r="AH66" s="223">
        <f t="shared" si="65"/>
        <v>5.2859383088077472E-5</v>
      </c>
      <c r="AI66" s="1906">
        <f t="shared" si="65"/>
        <v>-7.5297922173755971E-5</v>
      </c>
      <c r="AJ66" s="1906">
        <f t="shared" si="65"/>
        <v>-5.7712368708107142E-5</v>
      </c>
      <c r="AK66" s="1906">
        <f t="shared" si="65"/>
        <v>-6.1668560317973409E-5</v>
      </c>
      <c r="AL66" s="1906">
        <f t="shared" si="65"/>
        <v>9.6762052471222049E-5</v>
      </c>
      <c r="AM66" s="1906">
        <f t="shared" si="65"/>
        <v>6.2153284358609229E-3</v>
      </c>
      <c r="AN66" s="1906">
        <f t="shared" si="65"/>
        <v>1.1523368311602389E-2</v>
      </c>
      <c r="AO66" s="1906">
        <f t="shared" si="65"/>
        <v>2.3242795239831748E-2</v>
      </c>
      <c r="AP66" s="1906">
        <f t="shared" ref="AP66:AU66" si="66">1-AP65-AP64-AP63</f>
        <v>2.8104961432056763E-2</v>
      </c>
      <c r="AQ66" s="1906">
        <f t="shared" si="66"/>
        <v>2.380321429583554E-3</v>
      </c>
      <c r="AR66" s="1906">
        <f t="shared" si="66"/>
        <v>8.4727332059169047E-3</v>
      </c>
      <c r="AS66" s="1906">
        <f t="shared" si="66"/>
        <v>1.066195314073759E-2</v>
      </c>
      <c r="AT66" s="1906">
        <f t="shared" si="66"/>
        <v>2.5855718675187156E-2</v>
      </c>
      <c r="AU66" s="1906">
        <f t="shared" si="66"/>
        <v>7.4348889600450718E-6</v>
      </c>
      <c r="AV66" s="1906">
        <v>0</v>
      </c>
      <c r="AW66" s="1907">
        <f>1-SUM(AW63:AW65)</f>
        <v>1.0000000000000009E-2</v>
      </c>
      <c r="AX66" s="1907">
        <f>1-SUM(AX63:AX65)</f>
        <v>0</v>
      </c>
      <c r="AY66" s="1907">
        <f>1-SUM(AY63:AY65)</f>
        <v>0</v>
      </c>
      <c r="AZ66" s="1905">
        <v>0</v>
      </c>
      <c r="BA66" s="1905">
        <v>0</v>
      </c>
      <c r="BB66" s="1905">
        <v>0</v>
      </c>
      <c r="BC66" s="1907">
        <v>0</v>
      </c>
      <c r="BD66" s="1907">
        <v>0</v>
      </c>
      <c r="BE66" s="1905">
        <v>0</v>
      </c>
      <c r="BF66" s="1905">
        <v>0</v>
      </c>
      <c r="BG66" s="1905">
        <v>0</v>
      </c>
      <c r="BH66" s="1905">
        <v>0</v>
      </c>
      <c r="BI66" s="1905">
        <v>0</v>
      </c>
      <c r="BJ66" s="1905">
        <v>0</v>
      </c>
      <c r="BK66" s="1905">
        <v>0</v>
      </c>
      <c r="BL66" s="1905">
        <v>0</v>
      </c>
    </row>
    <row r="67" spans="1:64" s="13" customFormat="1">
      <c r="A67" s="13" t="s">
        <v>325</v>
      </c>
      <c r="C67" s="653">
        <f t="shared" ref="C67:AO67" si="67">C65+C64+C63+C66</f>
        <v>1</v>
      </c>
      <c r="D67" s="653">
        <f t="shared" si="67"/>
        <v>1</v>
      </c>
      <c r="E67" s="653">
        <f t="shared" si="67"/>
        <v>1</v>
      </c>
      <c r="F67" s="653">
        <f t="shared" si="67"/>
        <v>1</v>
      </c>
      <c r="G67" s="653">
        <f t="shared" si="67"/>
        <v>1</v>
      </c>
      <c r="H67" s="653">
        <f t="shared" si="67"/>
        <v>0.99999999999999989</v>
      </c>
      <c r="I67" s="653">
        <f t="shared" si="67"/>
        <v>1</v>
      </c>
      <c r="J67" s="653">
        <f t="shared" si="67"/>
        <v>1</v>
      </c>
      <c r="K67" s="653">
        <f t="shared" si="67"/>
        <v>1</v>
      </c>
      <c r="L67" s="653">
        <f t="shared" si="67"/>
        <v>1</v>
      </c>
      <c r="M67" s="653">
        <f t="shared" si="67"/>
        <v>1</v>
      </c>
      <c r="N67" s="653">
        <f t="shared" si="67"/>
        <v>1</v>
      </c>
      <c r="O67" s="653">
        <f t="shared" si="67"/>
        <v>1</v>
      </c>
      <c r="P67" s="653">
        <f t="shared" si="67"/>
        <v>1</v>
      </c>
      <c r="Q67" s="653">
        <f t="shared" si="67"/>
        <v>1</v>
      </c>
      <c r="R67" s="653">
        <f t="shared" si="67"/>
        <v>1</v>
      </c>
      <c r="S67" s="653">
        <f t="shared" si="67"/>
        <v>1</v>
      </c>
      <c r="T67" s="653">
        <f t="shared" si="67"/>
        <v>0.99999999999999989</v>
      </c>
      <c r="U67" s="653">
        <f t="shared" si="67"/>
        <v>1</v>
      </c>
      <c r="V67" s="653">
        <f t="shared" si="67"/>
        <v>1</v>
      </c>
      <c r="W67" s="653">
        <f t="shared" si="67"/>
        <v>0.99999999999999989</v>
      </c>
      <c r="X67" s="653">
        <f t="shared" si="67"/>
        <v>0.99999999999999989</v>
      </c>
      <c r="Y67" s="653">
        <f t="shared" si="67"/>
        <v>1</v>
      </c>
      <c r="Z67" s="653">
        <f t="shared" si="67"/>
        <v>1</v>
      </c>
      <c r="AA67" s="653">
        <f t="shared" si="67"/>
        <v>0.99999999999999989</v>
      </c>
      <c r="AB67" s="653">
        <f t="shared" si="67"/>
        <v>1</v>
      </c>
      <c r="AC67" s="653">
        <f t="shared" si="67"/>
        <v>0.99999999999999989</v>
      </c>
      <c r="AD67" s="653">
        <f t="shared" si="67"/>
        <v>1</v>
      </c>
      <c r="AE67" s="2203">
        <f t="shared" si="67"/>
        <v>1</v>
      </c>
      <c r="AF67" s="653">
        <f t="shared" si="67"/>
        <v>1</v>
      </c>
      <c r="AG67" s="653">
        <f t="shared" si="67"/>
        <v>1</v>
      </c>
      <c r="AH67" s="653">
        <f t="shared" si="67"/>
        <v>0.99999999999999989</v>
      </c>
      <c r="AI67" s="1908">
        <f t="shared" si="67"/>
        <v>0.99999999999999989</v>
      </c>
      <c r="AJ67" s="1908">
        <f t="shared" si="67"/>
        <v>0.99999999999999989</v>
      </c>
      <c r="AK67" s="1908">
        <f t="shared" si="67"/>
        <v>0.99999999999999989</v>
      </c>
      <c r="AL67" s="1908">
        <f t="shared" si="67"/>
        <v>1</v>
      </c>
      <c r="AM67" s="1908">
        <f t="shared" si="67"/>
        <v>1</v>
      </c>
      <c r="AN67" s="1908">
        <f t="shared" si="67"/>
        <v>1</v>
      </c>
      <c r="AO67" s="1908">
        <f t="shared" si="67"/>
        <v>1</v>
      </c>
      <c r="AP67" s="1908">
        <f t="shared" ref="AP67:BA67" si="68">AP65+AP64+AP63+AP66</f>
        <v>1</v>
      </c>
      <c r="AQ67" s="1908">
        <f t="shared" si="68"/>
        <v>0.99999999999999989</v>
      </c>
      <c r="AR67" s="1908">
        <f t="shared" si="68"/>
        <v>0.99999999999999989</v>
      </c>
      <c r="AS67" s="1908">
        <f t="shared" si="68"/>
        <v>0.99999999999999989</v>
      </c>
      <c r="AT67" s="1908">
        <f t="shared" si="68"/>
        <v>1</v>
      </c>
      <c r="AU67" s="1908">
        <f t="shared" si="68"/>
        <v>1</v>
      </c>
      <c r="AV67" s="1908">
        <f t="shared" si="68"/>
        <v>1</v>
      </c>
      <c r="AW67" s="1908">
        <f t="shared" si="68"/>
        <v>1</v>
      </c>
      <c r="AX67" s="1908">
        <f t="shared" si="68"/>
        <v>1</v>
      </c>
      <c r="AY67" s="1908">
        <f t="shared" si="68"/>
        <v>1</v>
      </c>
      <c r="AZ67" s="1908">
        <f t="shared" si="68"/>
        <v>1</v>
      </c>
      <c r="BA67" s="1908">
        <f t="shared" si="68"/>
        <v>0.99999999999999989</v>
      </c>
      <c r="BB67" s="1908">
        <f t="shared" ref="BB67:BK67" si="69">BB65+BB64+BB63+BB66</f>
        <v>1.0000000000000002</v>
      </c>
      <c r="BC67" s="1908">
        <f t="shared" si="69"/>
        <v>1</v>
      </c>
      <c r="BD67" s="1908">
        <f t="shared" si="69"/>
        <v>1</v>
      </c>
      <c r="BE67" s="1908">
        <f t="shared" si="69"/>
        <v>1</v>
      </c>
      <c r="BF67" s="1908">
        <f t="shared" si="69"/>
        <v>1</v>
      </c>
      <c r="BG67" s="1908">
        <f t="shared" si="69"/>
        <v>1</v>
      </c>
      <c r="BH67" s="1908">
        <f t="shared" si="69"/>
        <v>1</v>
      </c>
      <c r="BI67" s="1908">
        <f t="shared" si="69"/>
        <v>0.999</v>
      </c>
      <c r="BJ67" s="1908">
        <f t="shared" si="69"/>
        <v>1.01</v>
      </c>
      <c r="BK67" s="1908">
        <f t="shared" si="69"/>
        <v>1</v>
      </c>
      <c r="BL67" s="1908">
        <f t="shared" ref="BL67" si="70">BL65+BL64+BL63+BL66</f>
        <v>1</v>
      </c>
    </row>
    <row r="68" spans="1:64"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2204"/>
      <c r="AF68" s="178"/>
      <c r="AG68" s="178"/>
      <c r="AH68" s="178"/>
      <c r="AI68" s="178"/>
      <c r="AJ68" s="178"/>
      <c r="AK68" s="178"/>
      <c r="AL68" s="178"/>
      <c r="AM68" s="178"/>
      <c r="AN68" s="178"/>
      <c r="AO68" s="178"/>
      <c r="AP68" s="178"/>
      <c r="AQ68" s="178"/>
      <c r="AT68" s="92"/>
      <c r="AU68" s="92"/>
    </row>
    <row r="69" spans="1:64">
      <c r="A69" s="13" t="s">
        <v>906</v>
      </c>
      <c r="B69" s="13"/>
    </row>
    <row r="70" spans="1:64" s="13" customFormat="1">
      <c r="C70" s="648"/>
      <c r="D70" s="648"/>
      <c r="E70" s="648"/>
      <c r="F70" s="648"/>
      <c r="G70" s="648"/>
      <c r="H70" s="648"/>
      <c r="I70" s="648"/>
      <c r="J70" s="648"/>
      <c r="K70" s="648"/>
      <c r="L70" s="648"/>
      <c r="M70" s="648"/>
      <c r="N70" s="648"/>
      <c r="O70" s="648"/>
      <c r="P70" s="648"/>
      <c r="Q70" s="648"/>
      <c r="R70" s="648"/>
      <c r="S70" s="648"/>
      <c r="T70" s="648"/>
      <c r="U70" s="648"/>
      <c r="V70" s="648"/>
      <c r="W70" s="648"/>
      <c r="X70" s="648"/>
      <c r="Y70" s="648"/>
      <c r="Z70" s="648"/>
      <c r="AA70" s="648"/>
      <c r="AB70" s="648"/>
      <c r="AC70" s="648"/>
      <c r="AD70" s="648"/>
      <c r="AE70" s="2195"/>
      <c r="AF70" s="648"/>
      <c r="AG70" s="648"/>
      <c r="AH70" s="648"/>
      <c r="AI70" s="648"/>
      <c r="AJ70" s="648"/>
      <c r="AK70" s="648"/>
      <c r="AL70" s="648"/>
      <c r="AM70" s="648"/>
      <c r="AN70" s="648"/>
      <c r="AO70" s="648"/>
      <c r="AP70" s="648"/>
      <c r="AQ70" s="648"/>
    </row>
    <row r="71" spans="1:64" s="2196" customFormat="1">
      <c r="A71" s="2213" t="s">
        <v>731</v>
      </c>
      <c r="B71" s="2213"/>
      <c r="AL71" s="2188"/>
    </row>
    <row r="72" spans="1:64">
      <c r="A72" s="9" t="s">
        <v>740</v>
      </c>
      <c r="C72" s="634" t="str">
        <f t="shared" ref="C72:AH72" si="71">C82</f>
        <v>ND</v>
      </c>
      <c r="D72" s="634" t="str">
        <f t="shared" si="71"/>
        <v>ND</v>
      </c>
      <c r="E72" s="634" t="str">
        <f t="shared" si="71"/>
        <v>ND</v>
      </c>
      <c r="F72" s="634" t="str">
        <f t="shared" si="71"/>
        <v>ND</v>
      </c>
      <c r="G72" s="634" t="str">
        <f t="shared" si="71"/>
        <v>ND</v>
      </c>
      <c r="H72" s="634" t="str">
        <f t="shared" si="71"/>
        <v>ND</v>
      </c>
      <c r="I72" s="634" t="str">
        <f t="shared" si="71"/>
        <v>ND</v>
      </c>
      <c r="J72" s="634" t="str">
        <f t="shared" si="71"/>
        <v>ND</v>
      </c>
      <c r="K72" s="634" t="str">
        <f t="shared" si="71"/>
        <v>ND</v>
      </c>
      <c r="L72" s="634" t="str">
        <f t="shared" si="71"/>
        <v>ND</v>
      </c>
      <c r="M72" s="634" t="str">
        <f t="shared" si="71"/>
        <v>ND</v>
      </c>
      <c r="N72" s="634" t="str">
        <f t="shared" si="71"/>
        <v>ND</v>
      </c>
      <c r="O72" s="634" t="str">
        <f t="shared" si="71"/>
        <v>ND</v>
      </c>
      <c r="P72" s="634" t="str">
        <f t="shared" si="71"/>
        <v>ND</v>
      </c>
      <c r="Q72" s="634" t="str">
        <f t="shared" si="71"/>
        <v>ND</v>
      </c>
      <c r="R72" s="634" t="str">
        <f t="shared" si="71"/>
        <v>ND</v>
      </c>
      <c r="S72" s="634" t="str">
        <f t="shared" si="71"/>
        <v>ND</v>
      </c>
      <c r="T72" s="634" t="str">
        <f t="shared" si="71"/>
        <v>ND</v>
      </c>
      <c r="U72" s="634" t="str">
        <f t="shared" si="71"/>
        <v>ND</v>
      </c>
      <c r="V72" s="356">
        <f t="shared" si="71"/>
        <v>4.7E-2</v>
      </c>
      <c r="W72" s="356">
        <f t="shared" si="71"/>
        <v>2.5999999999999999E-2</v>
      </c>
      <c r="X72" s="356">
        <f t="shared" si="71"/>
        <v>1.7999999999999999E-2</v>
      </c>
      <c r="Y72" s="356">
        <f t="shared" si="71"/>
        <v>-2.5000000000000001E-2</v>
      </c>
      <c r="Z72" s="356">
        <f t="shared" si="71"/>
        <v>-2.8000000000000001E-2</v>
      </c>
      <c r="AA72" s="356">
        <f t="shared" si="71"/>
        <v>2.5999999999999999E-2</v>
      </c>
      <c r="AB72" s="356">
        <f t="shared" si="71"/>
        <v>0.02</v>
      </c>
      <c r="AC72" s="356">
        <f t="shared" si="71"/>
        <v>5.8000000000000003E-2</v>
      </c>
      <c r="AD72" s="356">
        <f>AD82</f>
        <v>6.0999999999999999E-2</v>
      </c>
      <c r="AE72" s="2205">
        <f>AE82</f>
        <v>6.2E-2</v>
      </c>
      <c r="AF72" s="356">
        <f t="shared" si="71"/>
        <v>6.2E-2</v>
      </c>
      <c r="AG72" s="356">
        <f t="shared" si="71"/>
        <v>6.4000000000000001E-2</v>
      </c>
      <c r="AH72" s="356">
        <f t="shared" si="71"/>
        <v>4.9000000000000002E-2</v>
      </c>
      <c r="AI72" s="647">
        <v>1.9E-2</v>
      </c>
      <c r="AJ72" s="647">
        <v>0.05</v>
      </c>
      <c r="AK72" s="647">
        <v>1.7000000000000001E-2</v>
      </c>
      <c r="AL72" s="647">
        <v>3.9E-2</v>
      </c>
      <c r="AM72" s="647">
        <v>7.0999999999999994E-2</v>
      </c>
      <c r="AN72" s="647">
        <v>2.8000000000000001E-2</v>
      </c>
      <c r="AO72" s="647">
        <v>2.8000000000000001E-2</v>
      </c>
      <c r="AP72" s="647">
        <v>3.5000000000000003E-2</v>
      </c>
      <c r="AQ72" s="647">
        <v>2.1000000000000001E-2</v>
      </c>
      <c r="AR72" s="647">
        <v>6.3E-2</v>
      </c>
      <c r="AS72" s="647">
        <v>3.5999999999999997E-2</v>
      </c>
      <c r="AT72" s="647">
        <v>2.3E-2</v>
      </c>
      <c r="AU72" s="647">
        <v>-2.5999999999999999E-2</v>
      </c>
      <c r="AV72" s="403">
        <v>-0.443</v>
      </c>
      <c r="AW72" s="403">
        <v>-0.29599999999999999</v>
      </c>
      <c r="AX72" s="403">
        <v>-0.218</v>
      </c>
      <c r="AY72" s="403">
        <v>-8.4000000000000005E-2</v>
      </c>
      <c r="AZ72" s="403">
        <v>0.86</v>
      </c>
      <c r="BA72" s="403">
        <v>0.435</v>
      </c>
      <c r="BB72" s="403">
        <v>0.44500000000000001</v>
      </c>
      <c r="BC72" s="403">
        <v>0.44400000000000001</v>
      </c>
      <c r="BD72" s="403">
        <v>0.28100000000000003</v>
      </c>
      <c r="BE72" s="403">
        <v>0.23499999999999999</v>
      </c>
      <c r="BF72" s="403">
        <v>0.16</v>
      </c>
      <c r="BG72" s="403">
        <v>0.184</v>
      </c>
      <c r="BH72" s="403">
        <v>0.14099999999999999</v>
      </c>
      <c r="BI72" s="403">
        <v>0.16200000000000001</v>
      </c>
      <c r="BJ72" s="403">
        <v>0.13500000000000001</v>
      </c>
      <c r="BK72" s="403">
        <v>0.10100000000000001</v>
      </c>
      <c r="BL72" s="403">
        <v>7.2999999999999995E-2</v>
      </c>
    </row>
    <row r="73" spans="1:64">
      <c r="A73" s="9" t="s">
        <v>741</v>
      </c>
      <c r="C73" s="92">
        <f>C83</f>
        <v>994</v>
      </c>
      <c r="D73" s="92">
        <f t="shared" ref="C73:AH73" si="72">D83</f>
        <v>993</v>
      </c>
      <c r="E73" s="92">
        <f t="shared" si="72"/>
        <v>990</v>
      </c>
      <c r="F73" s="92">
        <f t="shared" si="72"/>
        <v>1001</v>
      </c>
      <c r="G73" s="92">
        <f t="shared" si="72"/>
        <v>1000</v>
      </c>
      <c r="H73" s="92">
        <f t="shared" si="72"/>
        <v>1010</v>
      </c>
      <c r="I73" s="92">
        <f t="shared" si="72"/>
        <v>1017</v>
      </c>
      <c r="J73" s="92">
        <f t="shared" si="72"/>
        <v>1037</v>
      </c>
      <c r="K73" s="92">
        <f t="shared" si="72"/>
        <v>1039</v>
      </c>
      <c r="L73" s="92">
        <f t="shared" si="72"/>
        <v>1051</v>
      </c>
      <c r="M73" s="92">
        <f t="shared" si="72"/>
        <v>1053</v>
      </c>
      <c r="N73" s="92">
        <f t="shared" si="72"/>
        <v>1075</v>
      </c>
      <c r="O73" s="92">
        <f t="shared" si="72"/>
        <v>1129</v>
      </c>
      <c r="P73" s="92">
        <f t="shared" si="72"/>
        <v>1139</v>
      </c>
      <c r="Q73" s="92">
        <f t="shared" si="72"/>
        <v>1152</v>
      </c>
      <c r="R73" s="92">
        <f t="shared" si="72"/>
        <v>1186</v>
      </c>
      <c r="S73" s="92">
        <f t="shared" si="72"/>
        <v>1178</v>
      </c>
      <c r="T73" s="92">
        <f t="shared" si="72"/>
        <v>1505</v>
      </c>
      <c r="U73" s="92">
        <f t="shared" si="72"/>
        <v>1536</v>
      </c>
      <c r="V73" s="92">
        <f t="shared" si="72"/>
        <v>1575</v>
      </c>
      <c r="W73" s="92">
        <f t="shared" si="72"/>
        <v>1587</v>
      </c>
      <c r="X73" s="92">
        <f t="shared" si="72"/>
        <v>1943</v>
      </c>
      <c r="Y73" s="92">
        <f t="shared" si="72"/>
        <v>1960</v>
      </c>
      <c r="Z73" s="92">
        <f t="shared" si="72"/>
        <v>1999</v>
      </c>
      <c r="AA73" s="92">
        <f t="shared" si="72"/>
        <v>1996</v>
      </c>
      <c r="AB73" s="92">
        <f t="shared" si="72"/>
        <v>2020</v>
      </c>
      <c r="AC73" s="92">
        <f t="shared" si="72"/>
        <v>2068</v>
      </c>
      <c r="AD73" s="92">
        <f>AD83</f>
        <v>2092</v>
      </c>
      <c r="AE73" s="2188">
        <f t="shared" si="72"/>
        <v>2090</v>
      </c>
      <c r="AF73" s="92">
        <f t="shared" si="72"/>
        <v>2106</v>
      </c>
      <c r="AG73" s="92">
        <f t="shared" si="72"/>
        <v>2140</v>
      </c>
      <c r="AH73" s="92">
        <f t="shared" si="72"/>
        <v>2215</v>
      </c>
      <c r="AI73" s="335">
        <v>2236</v>
      </c>
      <c r="AJ73" s="335">
        <v>2257</v>
      </c>
      <c r="AK73" s="335">
        <v>2295</v>
      </c>
      <c r="AL73" s="335">
        <v>2346</v>
      </c>
      <c r="AM73" s="335">
        <v>2358</v>
      </c>
      <c r="AN73" s="335">
        <v>2387</v>
      </c>
      <c r="AO73" s="335">
        <v>2410</v>
      </c>
      <c r="AP73" s="335">
        <v>2467</v>
      </c>
      <c r="AQ73" s="335">
        <v>2477</v>
      </c>
      <c r="AR73" s="335">
        <v>2463</v>
      </c>
      <c r="AS73" s="335">
        <v>2469</v>
      </c>
      <c r="AT73" s="335">
        <v>2272</v>
      </c>
      <c r="AU73" s="335">
        <v>2263</v>
      </c>
      <c r="AV73" s="1724">
        <v>2236</v>
      </c>
      <c r="AW73" s="1724">
        <v>2219</v>
      </c>
      <c r="AX73" s="1724">
        <v>2184</v>
      </c>
      <c r="AY73" s="1724">
        <v>2171</v>
      </c>
      <c r="AZ73" s="1724">
        <v>2169</v>
      </c>
      <c r="BA73" s="1724">
        <v>2159</v>
      </c>
      <c r="BB73" s="1724">
        <v>2174</v>
      </c>
      <c r="BC73" s="1724">
        <v>2181</v>
      </c>
      <c r="BD73" s="1724">
        <v>2192</v>
      </c>
      <c r="BE73" s="1724">
        <v>2204</v>
      </c>
      <c r="BF73" s="1724">
        <v>2248</v>
      </c>
      <c r="BG73" s="1724">
        <v>2244</v>
      </c>
      <c r="BH73" s="1724">
        <v>2237</v>
      </c>
      <c r="BI73" s="1724">
        <v>2248</v>
      </c>
      <c r="BJ73" s="1724">
        <v>2313</v>
      </c>
      <c r="BK73" s="1724">
        <v>2331</v>
      </c>
      <c r="BL73" s="1724">
        <v>2358</v>
      </c>
    </row>
    <row r="74" spans="1:64">
      <c r="A74" s="9" t="s">
        <v>938</v>
      </c>
      <c r="C74" s="335">
        <f>940-C100-C111</f>
        <v>835</v>
      </c>
      <c r="D74" s="335">
        <f>943-D100-D111</f>
        <v>833</v>
      </c>
      <c r="E74" s="335">
        <f>940-E100-E111</f>
        <v>828</v>
      </c>
      <c r="F74" s="335">
        <f>952-F100-F111</f>
        <v>836</v>
      </c>
      <c r="G74" s="335">
        <f>954-G100-G111</f>
        <v>837</v>
      </c>
      <c r="H74" s="335">
        <f>969-H100-H111</f>
        <v>844</v>
      </c>
      <c r="I74" s="335">
        <f>975-I100-I111</f>
        <v>848</v>
      </c>
      <c r="J74" s="335">
        <f>1011-J100-J111</f>
        <v>873</v>
      </c>
      <c r="K74" s="335">
        <f>1016-K100-K111</f>
        <v>875</v>
      </c>
      <c r="L74" s="335">
        <f>1031-L100-L111</f>
        <v>886</v>
      </c>
      <c r="M74" s="335">
        <f>1040-M100-M111</f>
        <v>886</v>
      </c>
      <c r="N74" s="335">
        <f>1077-N100-N111</f>
        <v>905</v>
      </c>
      <c r="O74" s="335">
        <f>1122-O100-O111</f>
        <v>947</v>
      </c>
      <c r="P74" s="335">
        <f>1121-P100-P111</f>
        <v>937</v>
      </c>
      <c r="Q74" s="335">
        <f>1142-Q100-Q111</f>
        <v>948</v>
      </c>
      <c r="R74" s="335">
        <f>1161-R100-R111</f>
        <v>953</v>
      </c>
      <c r="S74" s="335">
        <f>1169-S100-S111</f>
        <v>959</v>
      </c>
      <c r="T74" s="335">
        <f>1285-T100-T111</f>
        <v>1067</v>
      </c>
      <c r="U74" s="335">
        <f>1371-U100-U111</f>
        <v>1098</v>
      </c>
      <c r="V74" s="335">
        <f>1411-V100-V111</f>
        <v>1128</v>
      </c>
      <c r="W74" s="335">
        <f>1427-W100-W111</f>
        <v>1138</v>
      </c>
      <c r="X74" s="335">
        <f>1779-X100-X111</f>
        <v>1488</v>
      </c>
      <c r="Y74" s="335">
        <f>1816-Y100-Y111</f>
        <v>1508</v>
      </c>
      <c r="Z74" s="335">
        <f>2161-Z100-Z111</f>
        <v>1532</v>
      </c>
      <c r="AA74" s="335">
        <f>2160-AA100-AA111</f>
        <v>1526</v>
      </c>
      <c r="AB74" s="335">
        <f>2198-AB100-AB111</f>
        <v>1547</v>
      </c>
      <c r="AC74" s="335">
        <f>2252-AC100-AC111</f>
        <v>1585</v>
      </c>
      <c r="AD74" s="335">
        <f>2283-AD100-AD111</f>
        <v>1594</v>
      </c>
      <c r="AE74" s="2186">
        <f>2333-AE100-AE111</f>
        <v>1587</v>
      </c>
      <c r="AF74" s="335">
        <f>2363-AF100-AF111</f>
        <v>1600</v>
      </c>
      <c r="AG74" s="335">
        <f>2425-AG100-AG111</f>
        <v>1644</v>
      </c>
      <c r="AH74" s="335">
        <f>2502-AH100-AH111</f>
        <v>1698</v>
      </c>
      <c r="AI74" s="335">
        <f>2553-AI100-AI111</f>
        <v>1729</v>
      </c>
      <c r="AJ74" s="335">
        <f>2597-AJ100-AJ111</f>
        <v>1745</v>
      </c>
      <c r="AK74" s="335">
        <f>2651-AK100-AK111</f>
        <v>1777</v>
      </c>
      <c r="AL74" s="335">
        <v>1813</v>
      </c>
      <c r="AM74" s="335">
        <v>1814</v>
      </c>
      <c r="AN74" s="335">
        <v>1843</v>
      </c>
      <c r="AO74" s="335">
        <v>1863</v>
      </c>
      <c r="AP74" s="335">
        <v>1917</v>
      </c>
      <c r="AQ74" s="335">
        <v>1927</v>
      </c>
      <c r="AR74" s="335">
        <v>1916</v>
      </c>
      <c r="AS74" s="335">
        <v>1917</v>
      </c>
      <c r="AT74" s="335">
        <v>1916</v>
      </c>
      <c r="AU74" s="335">
        <v>1899</v>
      </c>
      <c r="AV74" s="1724">
        <v>1876</v>
      </c>
      <c r="AW74" s="1724">
        <v>1860</v>
      </c>
      <c r="AX74" s="1724">
        <v>1821</v>
      </c>
      <c r="AY74" s="1724">
        <v>1806</v>
      </c>
      <c r="AZ74" s="1724">
        <v>1800</v>
      </c>
      <c r="BA74" s="1724">
        <v>1777</v>
      </c>
      <c r="BB74" s="1724">
        <f>1789</f>
        <v>1789</v>
      </c>
      <c r="BC74" s="1724">
        <v>1788</v>
      </c>
      <c r="BD74" s="1724">
        <v>1794</v>
      </c>
      <c r="BE74" s="1724">
        <v>1799</v>
      </c>
      <c r="BF74" s="1724">
        <v>1833</v>
      </c>
      <c r="BG74" s="1724">
        <v>1829</v>
      </c>
      <c r="BH74" s="1724">
        <v>1817</v>
      </c>
      <c r="BI74" s="1724">
        <v>1818</v>
      </c>
      <c r="BJ74" s="1724">
        <v>1851</v>
      </c>
      <c r="BK74" s="1724">
        <f>491+174+830+60+72+28+8+203</f>
        <v>1866</v>
      </c>
      <c r="BL74" s="1724">
        <v>1889</v>
      </c>
    </row>
    <row r="75" spans="1:64">
      <c r="A75" s="9" t="s">
        <v>937</v>
      </c>
      <c r="C75" s="335">
        <f>209-C101-C112</f>
        <v>159</v>
      </c>
      <c r="D75" s="335">
        <f>212-D101-D112</f>
        <v>160</v>
      </c>
      <c r="E75" s="335">
        <f>215-E101-E112</f>
        <v>162</v>
      </c>
      <c r="F75" s="335">
        <f>219-F101-F112</f>
        <v>165</v>
      </c>
      <c r="G75" s="335">
        <f>217-G101-G112</f>
        <v>163</v>
      </c>
      <c r="H75" s="335">
        <f>219-H101-H112</f>
        <v>166</v>
      </c>
      <c r="I75" s="335">
        <f>199-I101-I112</f>
        <v>169</v>
      </c>
      <c r="J75" s="335">
        <f>195-J101-J112</f>
        <v>164</v>
      </c>
      <c r="K75" s="335">
        <f>195-K101-K112</f>
        <v>164</v>
      </c>
      <c r="L75" s="335">
        <f>196-L101-L112</f>
        <v>165</v>
      </c>
      <c r="M75" s="335">
        <f>202-M101-M112</f>
        <v>167</v>
      </c>
      <c r="N75" s="335">
        <f>206-N101-N112</f>
        <v>170</v>
      </c>
      <c r="O75" s="335">
        <f>219-O101-O112</f>
        <v>182</v>
      </c>
      <c r="P75" s="335">
        <f>242-P101-P112</f>
        <v>202</v>
      </c>
      <c r="Q75" s="335">
        <f>246-Q101-Q112</f>
        <v>204</v>
      </c>
      <c r="R75" s="335">
        <f>274-R101-R112</f>
        <v>233</v>
      </c>
      <c r="S75" s="335">
        <f>262-S101-S112</f>
        <v>219</v>
      </c>
      <c r="T75" s="335">
        <f>483-T101-T112</f>
        <v>438</v>
      </c>
      <c r="U75" s="335">
        <f>440-U101-U112</f>
        <v>438</v>
      </c>
      <c r="V75" s="335">
        <f>451-V101-V112</f>
        <v>447</v>
      </c>
      <c r="W75" s="335">
        <f>454-W101-W112</f>
        <v>449</v>
      </c>
      <c r="X75" s="335">
        <f>462-X101-X112</f>
        <v>455</v>
      </c>
      <c r="Y75" s="335">
        <f>461-Y101-Y112</f>
        <v>452</v>
      </c>
      <c r="Z75" s="335">
        <f>623-Z101-Z112</f>
        <v>467</v>
      </c>
      <c r="AA75" s="335">
        <f>628-AA101-AA112</f>
        <v>470</v>
      </c>
      <c r="AB75" s="335">
        <f>632-AB101-AB112</f>
        <v>473</v>
      </c>
      <c r="AC75" s="335">
        <f>653-AC101-AC112</f>
        <v>483</v>
      </c>
      <c r="AD75" s="335">
        <f>671-AD101-AD112</f>
        <v>498</v>
      </c>
      <c r="AE75" s="2186">
        <f>669-AE101-AE112</f>
        <v>503</v>
      </c>
      <c r="AF75" s="335">
        <f>674-AF101-AF112</f>
        <v>506</v>
      </c>
      <c r="AG75" s="335">
        <f>668-AG101-AG112</f>
        <v>496</v>
      </c>
      <c r="AH75" s="335">
        <f>693-AH101-AH112</f>
        <v>517</v>
      </c>
      <c r="AI75" s="335">
        <f>682-AI101-AI112</f>
        <v>507</v>
      </c>
      <c r="AJ75" s="335">
        <f>694-AJ101-AJ112</f>
        <v>512</v>
      </c>
      <c r="AK75" s="335">
        <f>702-AK101-AK112</f>
        <v>518</v>
      </c>
      <c r="AL75" s="335">
        <v>533</v>
      </c>
      <c r="AM75" s="335">
        <v>544</v>
      </c>
      <c r="AN75" s="335">
        <v>544</v>
      </c>
      <c r="AO75" s="335">
        <v>547</v>
      </c>
      <c r="AP75" s="335">
        <v>550</v>
      </c>
      <c r="AQ75" s="335">
        <v>550</v>
      </c>
      <c r="AR75" s="335">
        <v>547</v>
      </c>
      <c r="AS75" s="335">
        <v>552</v>
      </c>
      <c r="AT75" s="335">
        <v>356</v>
      </c>
      <c r="AU75" s="335">
        <v>364</v>
      </c>
      <c r="AV75" s="78">
        <v>360</v>
      </c>
      <c r="AW75" s="78">
        <v>359</v>
      </c>
      <c r="AX75" s="78">
        <v>363</v>
      </c>
      <c r="AY75" s="78">
        <v>365</v>
      </c>
      <c r="AZ75" s="78">
        <v>369</v>
      </c>
      <c r="BA75" s="78">
        <v>382</v>
      </c>
      <c r="BB75" s="78">
        <v>385</v>
      </c>
      <c r="BC75" s="78">
        <v>393</v>
      </c>
      <c r="BD75" s="78">
        <v>398</v>
      </c>
      <c r="BE75" s="78">
        <v>405</v>
      </c>
      <c r="BF75" s="78">
        <v>415</v>
      </c>
      <c r="BG75" s="78">
        <v>415</v>
      </c>
      <c r="BH75" s="78">
        <v>420</v>
      </c>
      <c r="BI75" s="1724">
        <v>430</v>
      </c>
      <c r="BJ75" s="1724">
        <v>462</v>
      </c>
      <c r="BK75" s="1724">
        <f>415+16+34</f>
        <v>465</v>
      </c>
      <c r="BL75" s="1724">
        <v>469</v>
      </c>
    </row>
    <row r="76" spans="1:64">
      <c r="A76" s="9" t="s">
        <v>742</v>
      </c>
      <c r="C76" s="92">
        <f t="shared" ref="C76:Z76" si="73">C89+C84</f>
        <v>2242.4</v>
      </c>
      <c r="D76" s="92">
        <f t="shared" si="73"/>
        <v>2232.1000000000004</v>
      </c>
      <c r="E76" s="92">
        <f t="shared" si="73"/>
        <v>2215.6</v>
      </c>
      <c r="F76" s="92">
        <f t="shared" si="73"/>
        <v>2407.3999999999992</v>
      </c>
      <c r="G76" s="92">
        <f t="shared" si="73"/>
        <v>2172.6</v>
      </c>
      <c r="H76" s="92">
        <f t="shared" si="73"/>
        <v>2188.8000000000002</v>
      </c>
      <c r="I76" s="92">
        <f t="shared" si="73"/>
        <v>2233.6</v>
      </c>
      <c r="J76" s="92">
        <f t="shared" si="73"/>
        <v>2490.1000000000004</v>
      </c>
      <c r="K76" s="92">
        <f t="shared" si="73"/>
        <v>2427.3000000000002</v>
      </c>
      <c r="L76" s="92">
        <f t="shared" si="73"/>
        <v>2592.6</v>
      </c>
      <c r="M76" s="92">
        <f t="shared" si="73"/>
        <v>2641.4</v>
      </c>
      <c r="N76" s="92">
        <f t="shared" si="73"/>
        <v>2839.7</v>
      </c>
      <c r="O76" s="92">
        <f t="shared" si="73"/>
        <v>2861.2</v>
      </c>
      <c r="P76" s="92">
        <f t="shared" si="73"/>
        <v>3262</v>
      </c>
      <c r="Q76" s="92">
        <f t="shared" si="73"/>
        <v>3220.3999999999996</v>
      </c>
      <c r="R76" s="92">
        <f t="shared" si="73"/>
        <v>3442.2</v>
      </c>
      <c r="S76" s="92">
        <f t="shared" si="73"/>
        <v>3253.1</v>
      </c>
      <c r="T76" s="92">
        <f t="shared" si="73"/>
        <v>3640</v>
      </c>
      <c r="U76" s="92">
        <f t="shared" si="73"/>
        <v>3724.6000000000004</v>
      </c>
      <c r="V76" s="92">
        <f t="shared" si="73"/>
        <v>4077</v>
      </c>
      <c r="W76" s="92">
        <f t="shared" si="73"/>
        <v>3826</v>
      </c>
      <c r="X76" s="92">
        <f t="shared" si="73"/>
        <v>4987</v>
      </c>
      <c r="Y76" s="92">
        <f t="shared" si="73"/>
        <v>5388</v>
      </c>
      <c r="Z76" s="92">
        <f t="shared" si="73"/>
        <v>6467</v>
      </c>
      <c r="AA76" s="335">
        <v>4659</v>
      </c>
      <c r="AB76" s="335">
        <v>4851</v>
      </c>
      <c r="AC76" s="335">
        <v>4982</v>
      </c>
      <c r="AD76" s="335">
        <v>5404</v>
      </c>
      <c r="AE76" s="2186">
        <v>5155</v>
      </c>
      <c r="AF76" s="335">
        <v>5348</v>
      </c>
      <c r="AG76" s="335">
        <v>5516</v>
      </c>
      <c r="AH76" s="335">
        <v>5967</v>
      </c>
      <c r="AI76" s="335">
        <v>5574</v>
      </c>
      <c r="AJ76" s="335">
        <v>5922</v>
      </c>
      <c r="AK76" s="335">
        <v>5799</v>
      </c>
      <c r="AL76" s="335">
        <v>6382</v>
      </c>
      <c r="AM76" s="335">
        <v>5997</v>
      </c>
      <c r="AN76" s="335">
        <v>6243</v>
      </c>
      <c r="AO76" s="335">
        <v>6290</v>
      </c>
      <c r="AP76" s="335">
        <v>6932</v>
      </c>
      <c r="AQ76" s="335">
        <v>6387</v>
      </c>
      <c r="AR76" s="335">
        <v>6899</v>
      </c>
      <c r="AS76" s="335">
        <v>6680</v>
      </c>
      <c r="AT76" s="335">
        <v>7251</v>
      </c>
      <c r="AU76" s="335">
        <v>6210</v>
      </c>
      <c r="AV76" s="1724">
        <v>2768</v>
      </c>
      <c r="AW76" s="1724">
        <v>4569</v>
      </c>
      <c r="AX76" s="1724">
        <v>5520</v>
      </c>
      <c r="AY76" s="1724">
        <v>4975</v>
      </c>
      <c r="AZ76" s="1724">
        <v>6465</v>
      </c>
      <c r="BA76" s="1724">
        <v>6705</v>
      </c>
      <c r="BB76" s="1724">
        <v>7870</v>
      </c>
      <c r="BC76" s="1724">
        <v>7335</v>
      </c>
      <c r="BD76" s="1724">
        <v>8357</v>
      </c>
      <c r="BE76" s="1724">
        <v>8403</v>
      </c>
      <c r="BF76" s="1724">
        <v>9373</v>
      </c>
      <c r="BG76" s="1724">
        <v>8953</v>
      </c>
      <c r="BH76" s="1724">
        <v>9831</v>
      </c>
      <c r="BI76" s="1724">
        <v>9900</v>
      </c>
      <c r="BJ76" s="1724">
        <v>10674</v>
      </c>
      <c r="BK76" s="1724">
        <v>10122</v>
      </c>
      <c r="BL76" s="1724">
        <v>10694</v>
      </c>
    </row>
    <row r="77" spans="1:64">
      <c r="A77" s="9" t="s">
        <v>187</v>
      </c>
      <c r="C77" s="810" t="s">
        <v>750</v>
      </c>
      <c r="D77" s="650" t="s">
        <v>750</v>
      </c>
      <c r="E77" s="650" t="s">
        <v>750</v>
      </c>
      <c r="F77" s="650" t="s">
        <v>750</v>
      </c>
      <c r="G77" s="650" t="s">
        <v>750</v>
      </c>
      <c r="H77" s="650" t="s">
        <v>750</v>
      </c>
      <c r="I77" s="650" t="s">
        <v>750</v>
      </c>
      <c r="J77" s="650" t="s">
        <v>750</v>
      </c>
      <c r="K77" s="650" t="s">
        <v>750</v>
      </c>
      <c r="L77" s="650" t="s">
        <v>750</v>
      </c>
      <c r="M77" s="650" t="s">
        <v>750</v>
      </c>
      <c r="N77" s="650" t="s">
        <v>750</v>
      </c>
      <c r="O77" s="650" t="s">
        <v>750</v>
      </c>
      <c r="P77" s="650" t="s">
        <v>750</v>
      </c>
      <c r="Q77" s="650" t="s">
        <v>750</v>
      </c>
      <c r="R77" s="650" t="s">
        <v>750</v>
      </c>
      <c r="S77" s="650" t="s">
        <v>750</v>
      </c>
      <c r="T77" s="650" t="s">
        <v>750</v>
      </c>
      <c r="U77" s="650" t="s">
        <v>750</v>
      </c>
      <c r="V77" s="335">
        <v>715</v>
      </c>
      <c r="W77" s="335">
        <v>627</v>
      </c>
      <c r="X77" s="335">
        <v>944</v>
      </c>
      <c r="Y77" s="335">
        <v>1048</v>
      </c>
      <c r="Z77" s="335">
        <v>1400</v>
      </c>
      <c r="AA77" s="335">
        <v>998</v>
      </c>
      <c r="AB77" s="335">
        <v>1116</v>
      </c>
      <c r="AC77" s="335">
        <v>1151</v>
      </c>
      <c r="AD77" s="335">
        <v>1410</v>
      </c>
      <c r="AE77" s="2186">
        <v>1164</v>
      </c>
      <c r="AF77" s="335">
        <v>1279</v>
      </c>
      <c r="AG77" s="335">
        <v>1339</v>
      </c>
      <c r="AH77" s="335">
        <v>1433</v>
      </c>
      <c r="AI77" s="335">
        <v>1247</v>
      </c>
      <c r="AJ77" s="335">
        <v>1412</v>
      </c>
      <c r="AK77" s="335">
        <v>1294</v>
      </c>
      <c r="AL77" s="335">
        <v>1655</v>
      </c>
      <c r="AM77" s="335">
        <v>1365</v>
      </c>
      <c r="AN77" s="335">
        <v>1517</v>
      </c>
      <c r="AO77" s="335">
        <v>1425</v>
      </c>
      <c r="AP77" s="335">
        <v>1594</v>
      </c>
      <c r="AQ77" s="335">
        <v>1338</v>
      </c>
      <c r="AR77" s="335">
        <v>1673</v>
      </c>
      <c r="AS77" s="335">
        <v>1526</v>
      </c>
      <c r="AT77" s="335">
        <f>1861-75-123</f>
        <v>1663</v>
      </c>
      <c r="AU77" s="335">
        <f>2867-SUM(AV77:AX77)</f>
        <v>1273</v>
      </c>
      <c r="AV77" s="335">
        <v>-334</v>
      </c>
      <c r="AW77" s="335">
        <v>518</v>
      </c>
      <c r="AX77" s="335">
        <v>1410</v>
      </c>
      <c r="AY77" s="335">
        <v>901</v>
      </c>
      <c r="AZ77" s="335">
        <v>1559</v>
      </c>
      <c r="BA77" s="335">
        <v>1386</v>
      </c>
      <c r="BB77" s="335">
        <v>2105</v>
      </c>
      <c r="BC77" s="335">
        <v>1646</v>
      </c>
      <c r="BD77" s="335">
        <v>1905</v>
      </c>
      <c r="BE77" s="335">
        <v>1869</v>
      </c>
      <c r="BF77" s="335">
        <v>2147</v>
      </c>
      <c r="BG77" s="335">
        <v>1972</v>
      </c>
      <c r="BH77" s="335">
        <v>2357</v>
      </c>
      <c r="BI77" s="335">
        <v>2256</v>
      </c>
      <c r="BJ77" s="335">
        <v>2420</v>
      </c>
      <c r="BK77" s="335">
        <v>2430</v>
      </c>
      <c r="BL77" s="335">
        <v>2643</v>
      </c>
    </row>
    <row r="78" spans="1:64">
      <c r="A78" s="9" t="s">
        <v>743</v>
      </c>
      <c r="C78" s="650" t="s">
        <v>750</v>
      </c>
      <c r="D78" s="650" t="s">
        <v>750</v>
      </c>
      <c r="E78" s="650" t="s">
        <v>750</v>
      </c>
      <c r="F78" s="650" t="s">
        <v>750</v>
      </c>
      <c r="G78" s="650" t="s">
        <v>750</v>
      </c>
      <c r="H78" s="650" t="s">
        <v>750</v>
      </c>
      <c r="I78" s="650" t="s">
        <v>750</v>
      </c>
      <c r="J78" s="650" t="s">
        <v>750</v>
      </c>
      <c r="K78" s="650" t="s">
        <v>750</v>
      </c>
      <c r="L78" s="650" t="s">
        <v>750</v>
      </c>
      <c r="M78" s="650" t="s">
        <v>750</v>
      </c>
      <c r="N78" s="650" t="s">
        <v>750</v>
      </c>
      <c r="O78" s="650" t="s">
        <v>750</v>
      </c>
      <c r="P78" s="650" t="s">
        <v>750</v>
      </c>
      <c r="Q78" s="650" t="s">
        <v>750</v>
      </c>
      <c r="R78" s="650" t="s">
        <v>750</v>
      </c>
      <c r="S78" s="650" t="s">
        <v>750</v>
      </c>
      <c r="T78" s="650" t="s">
        <v>750</v>
      </c>
      <c r="U78" s="650" t="s">
        <v>750</v>
      </c>
      <c r="V78" s="647">
        <v>0.17499999999999999</v>
      </c>
      <c r="W78" s="647">
        <v>0.20899999999999999</v>
      </c>
      <c r="X78" s="647">
        <v>0.23</v>
      </c>
      <c r="Y78" s="647">
        <v>0.23499999999999999</v>
      </c>
      <c r="Z78" s="647">
        <v>0.27300000000000002</v>
      </c>
      <c r="AA78" s="647">
        <v>0.21</v>
      </c>
      <c r="AB78" s="647">
        <v>0.23</v>
      </c>
      <c r="AC78" s="647">
        <v>0.23100000000000001</v>
      </c>
      <c r="AD78" s="647">
        <v>0.26100000000000001</v>
      </c>
      <c r="AE78" s="2206">
        <v>0.22600000000000001</v>
      </c>
      <c r="AF78" s="647">
        <v>0.23899999999999999</v>
      </c>
      <c r="AG78" s="647">
        <v>0.24299999999999999</v>
      </c>
      <c r="AH78" s="647">
        <v>0.24</v>
      </c>
      <c r="AI78" s="647">
        <v>0.224</v>
      </c>
      <c r="AJ78" s="647">
        <v>0.23799999999999999</v>
      </c>
      <c r="AK78" s="647">
        <v>0.223</v>
      </c>
      <c r="AL78" s="647">
        <v>0.26</v>
      </c>
      <c r="AM78" s="647">
        <v>0.22800000000000001</v>
      </c>
      <c r="AN78" s="647">
        <v>0.24299999999999999</v>
      </c>
      <c r="AO78" s="647">
        <v>0.22600000000000001</v>
      </c>
      <c r="AP78" s="647">
        <v>0.23</v>
      </c>
      <c r="AQ78" s="647">
        <v>0.20899999999999999</v>
      </c>
      <c r="AR78" s="647">
        <v>0.24299999999999999</v>
      </c>
      <c r="AS78" s="647">
        <v>0.22900000000000001</v>
      </c>
      <c r="AT78" s="356">
        <f>AT77/AT76</f>
        <v>0.22934767618259549</v>
      </c>
      <c r="AU78" s="647">
        <v>0.30399999999999999</v>
      </c>
      <c r="AV78" s="403">
        <v>-0.108</v>
      </c>
      <c r="AW78" s="403">
        <v>0.13400000000000001</v>
      </c>
      <c r="AX78" s="403">
        <v>0.27300000000000002</v>
      </c>
      <c r="AY78" s="403">
        <v>0.28799999999999998</v>
      </c>
      <c r="AZ78" s="403">
        <v>0.24099999999999999</v>
      </c>
      <c r="BA78" s="403">
        <v>0.20699999999999999</v>
      </c>
      <c r="BB78" s="403">
        <v>0.26800000000000002</v>
      </c>
      <c r="BC78" s="403">
        <v>0.224</v>
      </c>
      <c r="BD78" s="403">
        <v>0.22800000000000001</v>
      </c>
      <c r="BE78" s="403">
        <v>0.222</v>
      </c>
      <c r="BF78" s="403">
        <v>0.22900000000000001</v>
      </c>
      <c r="BG78" s="403">
        <v>0.22</v>
      </c>
      <c r="BH78" s="403">
        <v>0.24</v>
      </c>
      <c r="BI78" s="403">
        <v>0.22900000000000001</v>
      </c>
      <c r="BJ78" s="403">
        <v>0.22700000000000001</v>
      </c>
      <c r="BK78" s="403">
        <v>0.24</v>
      </c>
      <c r="BL78" s="356">
        <f t="shared" ref="BL78" si="74">BL77/BL76</f>
        <v>0.2471479334206097</v>
      </c>
    </row>
    <row r="79" spans="1:64" s="13" customFormat="1">
      <c r="A79" s="128"/>
      <c r="B79" s="128"/>
      <c r="C79" s="822"/>
      <c r="D79" s="822"/>
      <c r="E79" s="822"/>
      <c r="F79" s="822"/>
      <c r="G79" s="822"/>
      <c r="H79" s="822"/>
      <c r="I79" s="822"/>
      <c r="J79" s="822"/>
      <c r="K79" s="822"/>
      <c r="L79" s="822"/>
      <c r="M79" s="822"/>
      <c r="N79" s="822"/>
      <c r="O79" s="822"/>
      <c r="P79" s="822"/>
      <c r="Q79" s="822"/>
      <c r="R79" s="822"/>
      <c r="S79" s="822"/>
      <c r="T79" s="822"/>
      <c r="U79" s="822"/>
      <c r="V79" s="822"/>
      <c r="W79" s="822"/>
      <c r="X79" s="822"/>
      <c r="Y79" s="822"/>
      <c r="Z79" s="822"/>
      <c r="AA79" s="822"/>
      <c r="AB79" s="822"/>
      <c r="AC79" s="822"/>
      <c r="AD79" s="822"/>
      <c r="AE79" s="2207"/>
      <c r="AF79" s="822"/>
      <c r="AG79" s="822"/>
      <c r="AH79" s="822"/>
      <c r="AI79" s="822"/>
      <c r="AJ79" s="822"/>
      <c r="AK79" s="822"/>
      <c r="AL79" s="822"/>
      <c r="AM79" s="822"/>
      <c r="AN79" s="822"/>
      <c r="AO79" s="822"/>
      <c r="AP79" s="822"/>
      <c r="AQ79" s="822"/>
      <c r="AR79" s="822"/>
      <c r="AS79" s="822"/>
      <c r="AT79" s="822"/>
      <c r="AU79" s="822"/>
      <c r="AV79" s="822"/>
      <c r="AW79" s="822"/>
      <c r="AX79" s="822"/>
      <c r="AY79" s="822"/>
      <c r="AZ79" s="822"/>
      <c r="BA79" s="822"/>
      <c r="BB79" s="822"/>
      <c r="BC79" s="822"/>
      <c r="BD79" s="822"/>
      <c r="BE79" s="822"/>
      <c r="BF79" s="822"/>
      <c r="BG79" s="822"/>
      <c r="BH79" s="822"/>
      <c r="BI79" s="822"/>
      <c r="BJ79" s="822"/>
      <c r="BK79" s="822"/>
      <c r="BL79" s="822"/>
    </row>
    <row r="80" spans="1:64">
      <c r="C80" s="647"/>
      <c r="D80" s="647"/>
      <c r="E80" s="647"/>
      <c r="F80" s="647"/>
      <c r="G80" s="647"/>
      <c r="H80" s="647"/>
      <c r="I80" s="647"/>
      <c r="J80" s="647"/>
      <c r="K80" s="647"/>
      <c r="L80" s="647"/>
      <c r="M80" s="647"/>
      <c r="N80" s="647"/>
      <c r="O80" s="647"/>
      <c r="P80" s="647"/>
      <c r="Q80" s="647"/>
      <c r="R80" s="647"/>
      <c r="S80" s="647"/>
      <c r="T80" s="647"/>
      <c r="U80" s="647"/>
      <c r="V80" s="647"/>
      <c r="W80" s="647"/>
      <c r="X80" s="647"/>
      <c r="Y80" s="647"/>
      <c r="Z80" s="647"/>
      <c r="AA80" s="647"/>
      <c r="AB80" s="647"/>
      <c r="AC80" s="647"/>
      <c r="AD80" s="942"/>
      <c r="AE80" s="2206"/>
      <c r="AF80" s="647"/>
      <c r="AG80" s="647"/>
      <c r="AH80" s="942"/>
      <c r="AI80" s="915"/>
      <c r="AJ80" s="647"/>
      <c r="AK80" s="915"/>
      <c r="AL80" s="942"/>
      <c r="AM80" s="647"/>
      <c r="AN80" s="647"/>
      <c r="AO80" s="647"/>
      <c r="AP80" s="647"/>
      <c r="AQ80" s="647"/>
    </row>
    <row r="81" spans="1:64">
      <c r="A81" s="513" t="s">
        <v>739</v>
      </c>
      <c r="B81" s="513"/>
      <c r="AL81" s="92"/>
    </row>
    <row r="82" spans="1:64">
      <c r="A82" s="36" t="s">
        <v>740</v>
      </c>
      <c r="B82" s="36"/>
      <c r="C82" s="650" t="s">
        <v>750</v>
      </c>
      <c r="D82" s="650" t="s">
        <v>750</v>
      </c>
      <c r="E82" s="650" t="s">
        <v>750</v>
      </c>
      <c r="F82" s="650" t="s">
        <v>750</v>
      </c>
      <c r="G82" s="650" t="s">
        <v>750</v>
      </c>
      <c r="H82" s="650" t="s">
        <v>750</v>
      </c>
      <c r="I82" s="650" t="s">
        <v>750</v>
      </c>
      <c r="J82" s="650" t="s">
        <v>750</v>
      </c>
      <c r="K82" s="650" t="s">
        <v>750</v>
      </c>
      <c r="L82" s="650" t="s">
        <v>750</v>
      </c>
      <c r="M82" s="650" t="s">
        <v>750</v>
      </c>
      <c r="N82" s="650" t="s">
        <v>750</v>
      </c>
      <c r="O82" s="650" t="s">
        <v>750</v>
      </c>
      <c r="P82" s="650" t="s">
        <v>750</v>
      </c>
      <c r="Q82" s="650" t="s">
        <v>750</v>
      </c>
      <c r="R82" s="650" t="s">
        <v>750</v>
      </c>
      <c r="S82" s="650" t="s">
        <v>750</v>
      </c>
      <c r="T82" s="650" t="s">
        <v>750</v>
      </c>
      <c r="U82" s="650" t="s">
        <v>750</v>
      </c>
      <c r="V82" s="647">
        <v>4.7E-2</v>
      </c>
      <c r="W82" s="647">
        <v>2.5999999999999999E-2</v>
      </c>
      <c r="X82" s="647">
        <v>1.7999999999999999E-2</v>
      </c>
      <c r="Y82" s="647">
        <v>-2.5000000000000001E-2</v>
      </c>
      <c r="Z82" s="647">
        <v>-2.8000000000000001E-2</v>
      </c>
      <c r="AA82" s="647">
        <v>2.5999999999999999E-2</v>
      </c>
      <c r="AB82" s="647">
        <v>0.02</v>
      </c>
      <c r="AC82" s="647">
        <v>5.8000000000000003E-2</v>
      </c>
      <c r="AD82" s="647">
        <v>6.0999999999999999E-2</v>
      </c>
      <c r="AE82" s="2206">
        <v>6.2E-2</v>
      </c>
      <c r="AF82" s="647">
        <v>6.2E-2</v>
      </c>
      <c r="AG82" s="647">
        <v>6.4000000000000001E-2</v>
      </c>
      <c r="AH82" s="647">
        <v>4.9000000000000002E-2</v>
      </c>
      <c r="AI82" s="356">
        <f>AI72</f>
        <v>1.9E-2</v>
      </c>
      <c r="AJ82" s="356">
        <f t="shared" ref="AJ82:AT82" si="75">AJ72</f>
        <v>0.05</v>
      </c>
      <c r="AK82" s="356">
        <f t="shared" si="75"/>
        <v>1.7000000000000001E-2</v>
      </c>
      <c r="AL82" s="356">
        <f t="shared" si="75"/>
        <v>3.9E-2</v>
      </c>
      <c r="AM82" s="356">
        <f t="shared" si="75"/>
        <v>7.0999999999999994E-2</v>
      </c>
      <c r="AN82" s="356">
        <f t="shared" si="75"/>
        <v>2.8000000000000001E-2</v>
      </c>
      <c r="AO82" s="356">
        <f t="shared" si="75"/>
        <v>2.8000000000000001E-2</v>
      </c>
      <c r="AP82" s="356">
        <f t="shared" si="75"/>
        <v>3.5000000000000003E-2</v>
      </c>
      <c r="AQ82" s="356">
        <f t="shared" si="75"/>
        <v>2.1000000000000001E-2</v>
      </c>
      <c r="AR82" s="356">
        <f t="shared" si="75"/>
        <v>6.3E-2</v>
      </c>
      <c r="AS82" s="356">
        <f t="shared" si="75"/>
        <v>3.5999999999999997E-2</v>
      </c>
      <c r="AT82" s="356">
        <f t="shared" si="75"/>
        <v>2.3E-2</v>
      </c>
      <c r="AU82" s="356">
        <f>AU72</f>
        <v>-2.5999999999999999E-2</v>
      </c>
      <c r="AV82" s="185">
        <f t="shared" ref="AV82:AZ83" si="76">AV72</f>
        <v>-0.443</v>
      </c>
      <c r="AW82" s="185">
        <f t="shared" si="76"/>
        <v>-0.29599999999999999</v>
      </c>
      <c r="AX82" s="185">
        <f t="shared" si="76"/>
        <v>-0.218</v>
      </c>
      <c r="AY82" s="185">
        <f t="shared" si="76"/>
        <v>-8.4000000000000005E-2</v>
      </c>
      <c r="AZ82" s="185">
        <f t="shared" si="76"/>
        <v>0.86</v>
      </c>
      <c r="BA82" s="185">
        <f t="shared" ref="BA82:BC83" si="77">BA72</f>
        <v>0.435</v>
      </c>
      <c r="BB82" s="185">
        <f t="shared" si="77"/>
        <v>0.44500000000000001</v>
      </c>
      <c r="BC82" s="185">
        <f t="shared" si="77"/>
        <v>0.44400000000000001</v>
      </c>
      <c r="BD82" s="185">
        <f t="shared" ref="BD82:BG83" si="78">BD72</f>
        <v>0.28100000000000003</v>
      </c>
      <c r="BE82" s="185">
        <f t="shared" si="78"/>
        <v>0.23499999999999999</v>
      </c>
      <c r="BF82" s="185">
        <f t="shared" si="78"/>
        <v>0.16</v>
      </c>
      <c r="BG82" s="185">
        <f t="shared" si="78"/>
        <v>0.184</v>
      </c>
      <c r="BH82" s="185">
        <f t="shared" ref="BH82:BI82" si="79">BH72</f>
        <v>0.14099999999999999</v>
      </c>
      <c r="BI82" s="185">
        <f t="shared" si="79"/>
        <v>0.16200000000000001</v>
      </c>
      <c r="BJ82" s="185">
        <f t="shared" ref="BJ82:BK83" si="80">BJ72</f>
        <v>0.13500000000000001</v>
      </c>
      <c r="BK82" s="185">
        <f t="shared" si="80"/>
        <v>0.10100000000000001</v>
      </c>
      <c r="BL82" s="185">
        <f t="shared" ref="BL82" si="81">BL72</f>
        <v>7.2999999999999995E-2</v>
      </c>
    </row>
    <row r="83" spans="1:64">
      <c r="A83" s="36" t="s">
        <v>741</v>
      </c>
      <c r="B83" s="36"/>
      <c r="C83" s="335">
        <f>425+260+108+159+5+9+28</f>
        <v>994</v>
      </c>
      <c r="D83" s="335">
        <f>427+108+160+258+6+6+28</f>
        <v>993</v>
      </c>
      <c r="E83" s="335">
        <f>425+261+108+162+6+28</f>
        <v>990</v>
      </c>
      <c r="F83" s="335">
        <f>425+266+108+165+7+1+29</f>
        <v>1001</v>
      </c>
      <c r="G83" s="335">
        <f>424+269+108+163+28+7+1</f>
        <v>1000</v>
      </c>
      <c r="H83" s="335">
        <f>420+277+108+166+29+8+2</f>
        <v>1010</v>
      </c>
      <c r="I83" s="335">
        <f>417+283+108+169+29+8+3</f>
        <v>1017</v>
      </c>
      <c r="J83" s="335">
        <f>420+300+109+164+31+9+4</f>
        <v>1037</v>
      </c>
      <c r="K83" s="335">
        <f>304+109+415+164+31+10+6</f>
        <v>1039</v>
      </c>
      <c r="L83" s="335">
        <f>314+415+108+164+11+1+6+32</f>
        <v>1051</v>
      </c>
      <c r="M83" s="335">
        <f>165+412+106+318+32+10+8+2</f>
        <v>1053</v>
      </c>
      <c r="N83" s="335">
        <f>408+107+337+168+33+12+9+1</f>
        <v>1075</v>
      </c>
      <c r="O83" s="335">
        <f>406+106+341+169+33+12+9+52+1</f>
        <v>1129</v>
      </c>
      <c r="P83" s="335">
        <f>387+107+348+189+34+13+9+51+1</f>
        <v>1139</v>
      </c>
      <c r="Q83" s="335">
        <f>389+106+355+10+191+35+13+52+1</f>
        <v>1152</v>
      </c>
      <c r="R83" s="335">
        <f>379+107+367+10+219+36+13+53+2</f>
        <v>1186</v>
      </c>
      <c r="S83" s="335">
        <v>1178</v>
      </c>
      <c r="T83" s="335">
        <v>1505</v>
      </c>
      <c r="U83" s="335">
        <v>1536</v>
      </c>
      <c r="V83" s="335">
        <v>1575</v>
      </c>
      <c r="W83" s="335">
        <v>1587</v>
      </c>
      <c r="X83" s="335">
        <v>1943</v>
      </c>
      <c r="Y83" s="335">
        <v>1960</v>
      </c>
      <c r="Z83" s="335">
        <v>1999</v>
      </c>
      <c r="AA83" s="335">
        <v>1996</v>
      </c>
      <c r="AB83" s="335">
        <v>2020</v>
      </c>
      <c r="AC83" s="335">
        <v>2068</v>
      </c>
      <c r="AD83" s="335">
        <v>2092</v>
      </c>
      <c r="AE83" s="2186">
        <v>2090</v>
      </c>
      <c r="AF83" s="335">
        <v>2106</v>
      </c>
      <c r="AG83" s="335">
        <v>2140</v>
      </c>
      <c r="AH83" s="335">
        <v>2215</v>
      </c>
      <c r="AI83" s="92">
        <f>AI73</f>
        <v>2236</v>
      </c>
      <c r="AJ83" s="92">
        <f t="shared" ref="AJ83:AT83" si="82">AJ73</f>
        <v>2257</v>
      </c>
      <c r="AK83" s="92">
        <f t="shared" si="82"/>
        <v>2295</v>
      </c>
      <c r="AL83" s="92">
        <f t="shared" si="82"/>
        <v>2346</v>
      </c>
      <c r="AM83" s="92">
        <f t="shared" si="82"/>
        <v>2358</v>
      </c>
      <c r="AN83" s="92">
        <f t="shared" si="82"/>
        <v>2387</v>
      </c>
      <c r="AO83" s="92">
        <f t="shared" si="82"/>
        <v>2410</v>
      </c>
      <c r="AP83" s="92">
        <f t="shared" si="82"/>
        <v>2467</v>
      </c>
      <c r="AQ83" s="92">
        <f t="shared" si="82"/>
        <v>2477</v>
      </c>
      <c r="AR83" s="92">
        <f t="shared" si="82"/>
        <v>2463</v>
      </c>
      <c r="AS83" s="92">
        <f t="shared" si="82"/>
        <v>2469</v>
      </c>
      <c r="AT83" s="92">
        <f t="shared" si="82"/>
        <v>2272</v>
      </c>
      <c r="AU83" s="92">
        <f>AU73</f>
        <v>2263</v>
      </c>
      <c r="AV83" s="147">
        <f t="shared" si="76"/>
        <v>2236</v>
      </c>
      <c r="AW83" s="147">
        <f t="shared" si="76"/>
        <v>2219</v>
      </c>
      <c r="AX83" s="147">
        <f t="shared" si="76"/>
        <v>2184</v>
      </c>
      <c r="AY83" s="147">
        <f t="shared" si="76"/>
        <v>2171</v>
      </c>
      <c r="AZ83" s="147">
        <f t="shared" si="76"/>
        <v>2169</v>
      </c>
      <c r="BA83" s="147">
        <f>BA73</f>
        <v>2159</v>
      </c>
      <c r="BB83" s="147">
        <f>BB73</f>
        <v>2174</v>
      </c>
      <c r="BC83" s="147">
        <f t="shared" si="77"/>
        <v>2181</v>
      </c>
      <c r="BD83" s="147">
        <f t="shared" si="78"/>
        <v>2192</v>
      </c>
      <c r="BE83" s="147">
        <f t="shared" si="78"/>
        <v>2204</v>
      </c>
      <c r="BF83" s="147">
        <f t="shared" si="78"/>
        <v>2248</v>
      </c>
      <c r="BG83" s="147">
        <f t="shared" si="78"/>
        <v>2244</v>
      </c>
      <c r="BH83" s="147">
        <f t="shared" ref="BH83:BI83" si="83">BH73</f>
        <v>2237</v>
      </c>
      <c r="BI83" s="147">
        <f t="shared" si="83"/>
        <v>2248</v>
      </c>
      <c r="BJ83" s="147">
        <f t="shared" ref="BJ83" si="84">BJ73</f>
        <v>2313</v>
      </c>
      <c r="BK83" s="147">
        <f t="shared" si="80"/>
        <v>2331</v>
      </c>
      <c r="BL83" s="147">
        <f t="shared" ref="BL83" si="85">BL73</f>
        <v>2358</v>
      </c>
    </row>
    <row r="84" spans="1:64">
      <c r="A84" s="36" t="s">
        <v>742</v>
      </c>
      <c r="B84" s="36"/>
      <c r="C84" s="335">
        <v>1493.7</v>
      </c>
      <c r="D84" s="335">
        <v>1462.4</v>
      </c>
      <c r="E84" s="335">
        <v>1459.6</v>
      </c>
      <c r="F84" s="335">
        <f>6032-SUM(C84:E84)</f>
        <v>1616.2999999999993</v>
      </c>
      <c r="G84" s="335">
        <v>1474</v>
      </c>
      <c r="H84" s="335">
        <v>1480.2</v>
      </c>
      <c r="I84" s="335">
        <v>1499.1</v>
      </c>
      <c r="J84" s="335">
        <v>1657.9</v>
      </c>
      <c r="K84" s="335">
        <v>1664.5</v>
      </c>
      <c r="L84" s="335">
        <v>1771.5</v>
      </c>
      <c r="M84" s="335">
        <v>1785.2</v>
      </c>
      <c r="N84" s="335">
        <v>1883.2</v>
      </c>
      <c r="O84" s="335">
        <v>1962.1</v>
      </c>
      <c r="P84" s="335">
        <v>2227</v>
      </c>
      <c r="Q84" s="335">
        <v>2206.1</v>
      </c>
      <c r="R84" s="335">
        <v>2356.6999999999998</v>
      </c>
      <c r="S84" s="335">
        <v>2276.5</v>
      </c>
      <c r="T84" s="335">
        <v>2585</v>
      </c>
      <c r="U84" s="335">
        <v>2635.9</v>
      </c>
      <c r="V84" s="335">
        <v>2868</v>
      </c>
      <c r="W84" s="335">
        <v>2727</v>
      </c>
      <c r="X84" s="335">
        <v>3820</v>
      </c>
      <c r="Y84" s="335">
        <v>4192</v>
      </c>
      <c r="Z84" s="335">
        <v>4865</v>
      </c>
      <c r="AA84" s="335">
        <v>4368</v>
      </c>
      <c r="AB84" s="335">
        <v>4540</v>
      </c>
      <c r="AC84" s="335">
        <v>4676</v>
      </c>
      <c r="AD84" s="335">
        <v>5088</v>
      </c>
      <c r="AE84" s="2186">
        <v>4824</v>
      </c>
      <c r="AF84" s="335">
        <v>5034</v>
      </c>
      <c r="AG84" s="335">
        <v>5176</v>
      </c>
      <c r="AH84" s="335">
        <v>5594</v>
      </c>
      <c r="AI84" s="335">
        <v>5274</v>
      </c>
      <c r="AJ84" s="335">
        <v>5668</v>
      </c>
      <c r="AK84" s="335">
        <v>5585</v>
      </c>
      <c r="AL84" s="335">
        <v>6106</v>
      </c>
      <c r="AM84" s="867">
        <v>5486.56</v>
      </c>
      <c r="AN84" s="867">
        <f>11176.719-AM84</f>
        <v>5690.1589999999987</v>
      </c>
      <c r="AO84" s="867">
        <f>16996.607-SUM(AM84:AN84)</f>
        <v>5819.8880000000008</v>
      </c>
      <c r="AP84" s="867">
        <f>22486.541-SUM(AM84:AO84)</f>
        <v>5489.9340000000011</v>
      </c>
      <c r="AQ84" s="867">
        <v>5765.4849999999997</v>
      </c>
      <c r="AR84" s="867">
        <f>11992.847-AQ84</f>
        <v>6227.3620000000001</v>
      </c>
      <c r="AS84" s="867">
        <f>18624.572-SUM(AQ84:AR84)</f>
        <v>6631.7250000000004</v>
      </c>
      <c r="AT84" s="867">
        <f>-SUM(AQ84:AS84)+26478.695</f>
        <v>7854.1229999999996</v>
      </c>
      <c r="AU84" s="867">
        <v>6413.4430000000002</v>
      </c>
      <c r="AV84" s="867">
        <f>9299.315-AU84</f>
        <v>2885.8720000000003</v>
      </c>
      <c r="AW84" s="867">
        <f>14102.406-AV84-AU84</f>
        <v>4803.0909999999994</v>
      </c>
      <c r="AX84" s="867">
        <f>19925.414-AW84-AV84</f>
        <v>12236.451000000001</v>
      </c>
      <c r="AY84" s="867">
        <v>5057.7520000000004</v>
      </c>
      <c r="AZ84" s="867">
        <f>11679.306-AY84</f>
        <v>6621.5540000000001</v>
      </c>
      <c r="BA84" s="867">
        <f>17492-AZ84-AY84</f>
        <v>5812.6939999999995</v>
      </c>
      <c r="BB84" s="867">
        <f>25096.528-BA84-AZ84-AY84</f>
        <v>7604.5279999999984</v>
      </c>
      <c r="BC84" s="867">
        <v>7088.8010000000004</v>
      </c>
      <c r="BD84" s="867">
        <f>15214.877-BC84</f>
        <v>8126.076</v>
      </c>
      <c r="BE84" s="867">
        <f>23201.074-BD84-BC84</f>
        <v>7986.1969999999992</v>
      </c>
      <c r="BF84" s="867">
        <f>32077.315-SUM(BC84:BE84)</f>
        <v>8876.2409999999982</v>
      </c>
      <c r="BG84" s="867">
        <v>8583.1830000000009</v>
      </c>
      <c r="BH84" s="867">
        <f>18014.54-BG84</f>
        <v>9431.357</v>
      </c>
      <c r="BI84" s="867">
        <f>27445.462-SUM(BG84:BH84)</f>
        <v>9430.9219999999987</v>
      </c>
      <c r="BJ84" s="867">
        <f>37510.385-SUM(BG84:BI84)</f>
        <v>10064.923000000003</v>
      </c>
      <c r="BK84" s="867">
        <v>9629.1679999999997</v>
      </c>
      <c r="BL84" s="867">
        <f>19862.278-BK84</f>
        <v>10233.109999999999</v>
      </c>
    </row>
    <row r="85" spans="1:64">
      <c r="A85" s="36" t="s">
        <v>187</v>
      </c>
      <c r="B85" s="36"/>
      <c r="C85" s="810" t="s">
        <v>750</v>
      </c>
      <c r="D85" s="650" t="s">
        <v>750</v>
      </c>
      <c r="E85" s="650" t="s">
        <v>750</v>
      </c>
      <c r="F85" s="650" t="s">
        <v>750</v>
      </c>
      <c r="G85" s="650" t="s">
        <v>750</v>
      </c>
      <c r="H85" s="650" t="s">
        <v>750</v>
      </c>
      <c r="I85" s="650" t="s">
        <v>750</v>
      </c>
      <c r="J85" s="650" t="s">
        <v>750</v>
      </c>
      <c r="K85" s="650" t="s">
        <v>750</v>
      </c>
      <c r="L85" s="650" t="s">
        <v>750</v>
      </c>
      <c r="M85" s="650" t="s">
        <v>750</v>
      </c>
      <c r="N85" s="650" t="s">
        <v>750</v>
      </c>
      <c r="O85" s="650" t="s">
        <v>750</v>
      </c>
      <c r="P85" s="650" t="s">
        <v>750</v>
      </c>
      <c r="Q85" s="650" t="s">
        <v>750</v>
      </c>
      <c r="R85" s="650" t="s">
        <v>750</v>
      </c>
      <c r="S85" s="650" t="s">
        <v>750</v>
      </c>
      <c r="T85" s="650" t="s">
        <v>750</v>
      </c>
      <c r="U85" s="650" t="s">
        <v>750</v>
      </c>
      <c r="V85" s="335">
        <v>588</v>
      </c>
      <c r="W85" s="335">
        <v>509</v>
      </c>
      <c r="X85" s="335">
        <v>826</v>
      </c>
      <c r="Y85" s="335">
        <v>927</v>
      </c>
      <c r="Z85" s="335">
        <v>1268</v>
      </c>
      <c r="AA85" s="335">
        <v>872</v>
      </c>
      <c r="AB85" s="335">
        <v>945</v>
      </c>
      <c r="AC85" s="335">
        <v>1016</v>
      </c>
      <c r="AD85" s="335">
        <v>1261</v>
      </c>
      <c r="AE85" s="2186">
        <v>1019</v>
      </c>
      <c r="AF85" s="335">
        <v>1104</v>
      </c>
      <c r="AG85" s="335">
        <v>1148</v>
      </c>
      <c r="AH85" s="335">
        <v>1285</v>
      </c>
      <c r="AI85" s="335">
        <v>1124</v>
      </c>
      <c r="AJ85" s="335">
        <v>1166</v>
      </c>
      <c r="AK85" s="335">
        <v>1116</v>
      </c>
      <c r="AL85" s="335">
        <v>1448</v>
      </c>
      <c r="AM85" s="335"/>
      <c r="AN85" s="335"/>
      <c r="AO85" s="335"/>
      <c r="AP85" s="335"/>
      <c r="AQ85" s="335"/>
      <c r="AR85" s="254"/>
      <c r="AS85" s="254"/>
      <c r="AT85" s="254"/>
      <c r="AU85" s="254"/>
    </row>
    <row r="86" spans="1:64">
      <c r="A86" s="36" t="s">
        <v>743</v>
      </c>
      <c r="B86" s="36"/>
      <c r="C86" s="650" t="s">
        <v>750</v>
      </c>
      <c r="D86" s="650" t="s">
        <v>750</v>
      </c>
      <c r="E86" s="650" t="s">
        <v>750</v>
      </c>
      <c r="F86" s="650" t="s">
        <v>750</v>
      </c>
      <c r="G86" s="650" t="s">
        <v>750</v>
      </c>
      <c r="H86" s="650" t="s">
        <v>750</v>
      </c>
      <c r="I86" s="650" t="s">
        <v>750</v>
      </c>
      <c r="J86" s="650" t="s">
        <v>750</v>
      </c>
      <c r="K86" s="650" t="s">
        <v>750</v>
      </c>
      <c r="L86" s="650" t="s">
        <v>750</v>
      </c>
      <c r="M86" s="650" t="s">
        <v>750</v>
      </c>
      <c r="N86" s="650" t="s">
        <v>750</v>
      </c>
      <c r="O86" s="650" t="s">
        <v>750</v>
      </c>
      <c r="P86" s="650" t="s">
        <v>750</v>
      </c>
      <c r="Q86" s="650" t="s">
        <v>750</v>
      </c>
      <c r="R86" s="650" t="s">
        <v>750</v>
      </c>
      <c r="S86" s="650" t="s">
        <v>750</v>
      </c>
      <c r="T86" s="650" t="s">
        <v>750</v>
      </c>
      <c r="U86" s="650" t="s">
        <v>750</v>
      </c>
      <c r="V86" s="647">
        <v>0.20499999999999999</v>
      </c>
      <c r="W86" s="647">
        <v>0.187</v>
      </c>
      <c r="X86" s="647">
        <v>0.216</v>
      </c>
      <c r="Y86" s="647">
        <v>0.221</v>
      </c>
      <c r="Z86" s="647">
        <v>0.26100000000000001</v>
      </c>
      <c r="AA86" s="647">
        <v>0.19600000000000001</v>
      </c>
      <c r="AB86" s="647">
        <v>0.20799999999999999</v>
      </c>
      <c r="AC86" s="647">
        <v>0.217</v>
      </c>
      <c r="AD86" s="647">
        <v>0.248</v>
      </c>
      <c r="AE86" s="2206">
        <v>0.21099999999999999</v>
      </c>
      <c r="AF86" s="647">
        <v>0.219</v>
      </c>
      <c r="AG86" s="647">
        <v>0.222</v>
      </c>
      <c r="AH86" s="647">
        <v>0.23</v>
      </c>
      <c r="AI86" s="647">
        <v>0.21299999999999999</v>
      </c>
      <c r="AJ86" s="647">
        <v>0.20599999999999999</v>
      </c>
      <c r="AK86" s="647">
        <v>0.2</v>
      </c>
      <c r="AL86" s="647">
        <v>0.23699999999999999</v>
      </c>
      <c r="AM86" s="335"/>
      <c r="AN86" s="335"/>
      <c r="AO86" s="335"/>
      <c r="AP86" s="335"/>
      <c r="AQ86" s="335"/>
      <c r="AR86" s="254"/>
      <c r="AS86" s="254"/>
      <c r="AT86" s="254"/>
      <c r="AU86" s="254"/>
    </row>
    <row r="87" spans="1:64">
      <c r="A87" s="36"/>
      <c r="B87" s="36"/>
      <c r="AH87" s="92"/>
      <c r="AL87" s="92"/>
      <c r="AR87" s="254"/>
      <c r="AS87" s="254"/>
      <c r="AT87" s="254"/>
      <c r="AU87" s="254"/>
    </row>
    <row r="88" spans="1:64">
      <c r="A88" s="513" t="s">
        <v>744</v>
      </c>
      <c r="B88" s="513"/>
      <c r="AR88" s="254"/>
      <c r="AS88" s="254"/>
      <c r="AT88" s="254"/>
      <c r="AU88" s="254"/>
    </row>
    <row r="89" spans="1:64">
      <c r="A89" s="36" t="s">
        <v>742</v>
      </c>
      <c r="B89" s="36"/>
      <c r="C89" s="335">
        <v>748.7</v>
      </c>
      <c r="D89" s="335">
        <v>769.7</v>
      </c>
      <c r="E89" s="335">
        <v>756</v>
      </c>
      <c r="F89" s="335">
        <f>3065.5-SUM(C89:E89)</f>
        <v>791.09999999999991</v>
      </c>
      <c r="G89" s="335">
        <v>698.6</v>
      </c>
      <c r="H89" s="335">
        <v>708.6</v>
      </c>
      <c r="I89" s="335">
        <v>734.5</v>
      </c>
      <c r="J89" s="335">
        <v>832.2</v>
      </c>
      <c r="K89" s="335">
        <v>762.8</v>
      </c>
      <c r="L89" s="335">
        <v>821.1</v>
      </c>
      <c r="M89" s="335">
        <v>856.2</v>
      </c>
      <c r="N89" s="335">
        <v>956.5</v>
      </c>
      <c r="O89" s="335">
        <v>899.1</v>
      </c>
      <c r="P89" s="335">
        <v>1035</v>
      </c>
      <c r="Q89" s="335">
        <v>1014.3</v>
      </c>
      <c r="R89" s="335">
        <v>1085.5</v>
      </c>
      <c r="S89" s="335">
        <v>976.6</v>
      </c>
      <c r="T89" s="335">
        <v>1055</v>
      </c>
      <c r="U89" s="335">
        <v>1088.7</v>
      </c>
      <c r="V89" s="335">
        <v>1209</v>
      </c>
      <c r="W89" s="335">
        <v>1099</v>
      </c>
      <c r="X89" s="335">
        <v>1167</v>
      </c>
      <c r="Y89" s="335">
        <v>1196</v>
      </c>
      <c r="Z89" s="335">
        <v>1602</v>
      </c>
      <c r="AA89" s="335">
        <v>1443</v>
      </c>
      <c r="AB89" s="335">
        <v>1663</v>
      </c>
      <c r="AC89" s="335">
        <v>1505</v>
      </c>
      <c r="AD89" s="335">
        <v>1763</v>
      </c>
      <c r="AE89" s="2186">
        <v>1660</v>
      </c>
      <c r="AF89" s="335">
        <v>1689</v>
      </c>
      <c r="AG89" s="335">
        <v>1862</v>
      </c>
      <c r="AH89" s="335">
        <v>2047</v>
      </c>
      <c r="AI89" s="335">
        <v>1696</v>
      </c>
      <c r="AJ89" s="335">
        <v>1756</v>
      </c>
      <c r="AK89" s="335">
        <v>1657</v>
      </c>
      <c r="AL89" s="335">
        <v>1917</v>
      </c>
      <c r="AM89" s="867">
        <f>176.736+46.01</f>
        <v>222.74599999999998</v>
      </c>
      <c r="AN89" s="867">
        <f>376.919+97.301-AM89</f>
        <v>251.47399999999999</v>
      </c>
      <c r="AO89" s="867">
        <f>(551.995+147.146)-SUM(AM89:AN89)</f>
        <v>224.92099999999999</v>
      </c>
      <c r="AP89" s="867">
        <f>(772.329+202.093)-SUM(AM89:AO89)</f>
        <v>275.28099999999995</v>
      </c>
      <c r="AQ89" s="867">
        <f>195.466+53.732</f>
        <v>249.19800000000001</v>
      </c>
      <c r="AR89" s="867">
        <f>416.351+111.83-AQ89</f>
        <v>278.98300000000006</v>
      </c>
      <c r="AS89" s="867">
        <f>1.401+171.09-SUM(AQ89:AR89)</f>
        <v>-355.69000000000005</v>
      </c>
      <c r="AT89" s="867">
        <f>-SUM(AQ89:AS89)+233.564+2.128</f>
        <v>63.201000000000008</v>
      </c>
      <c r="AU89" s="867">
        <f>79.712+0.487</f>
        <v>80.198999999999998</v>
      </c>
      <c r="AV89" s="867">
        <f>153.929+1.247-AU89</f>
        <v>74.977000000000018</v>
      </c>
      <c r="AW89" s="867">
        <f>210.325+1.818-AV89-AU89</f>
        <v>56.966999999999999</v>
      </c>
      <c r="AX89" s="867">
        <f>272.749+2.384-AW89-AV89-AU89</f>
        <v>62.990000000000023</v>
      </c>
      <c r="AY89" s="867">
        <f>59.359+0.648</f>
        <v>60.007000000000005</v>
      </c>
      <c r="AZ89" s="867">
        <f>128.903+1.029-AY89</f>
        <v>69.924999999999983</v>
      </c>
      <c r="BA89" s="867">
        <f>0.252+247.421-AZ89-AY89</f>
        <v>117.74100000000001</v>
      </c>
      <c r="BB89" s="867">
        <f>320.248-BA89-AZ89-AY89</f>
        <v>72.574999999999989</v>
      </c>
      <c r="BC89" s="867">
        <f>73.681</f>
        <v>73.680999999999997</v>
      </c>
      <c r="BD89" s="867">
        <f>163.002-BC89</f>
        <v>89.321000000000012</v>
      </c>
      <c r="BE89" s="867">
        <f>286.14-BD89-BC89</f>
        <v>123.13799999999996</v>
      </c>
      <c r="BF89" s="867">
        <f>394.911-SUM(BC89:BE89)</f>
        <v>108.77100000000002</v>
      </c>
      <c r="BG89" s="867">
        <v>297.61799999999999</v>
      </c>
      <c r="BH89" s="867">
        <f>614.053-BG89</f>
        <v>316.435</v>
      </c>
      <c r="BI89" s="867">
        <f>1001.255-SUM(BG89:BH89)</f>
        <v>387.202</v>
      </c>
      <c r="BJ89" s="867">
        <f>1522.79-SUM(BG89:BI89)</f>
        <v>521.53499999999997</v>
      </c>
      <c r="BK89" s="867">
        <v>402.78800000000001</v>
      </c>
      <c r="BL89" s="867">
        <f>765.118-BK89</f>
        <v>362.33000000000004</v>
      </c>
    </row>
    <row r="90" spans="1:64">
      <c r="A90" s="36" t="s">
        <v>187</v>
      </c>
      <c r="B90" s="36"/>
      <c r="C90" s="650" t="s">
        <v>750</v>
      </c>
      <c r="D90" s="650" t="s">
        <v>750</v>
      </c>
      <c r="E90" s="650" t="s">
        <v>750</v>
      </c>
      <c r="F90" s="650" t="s">
        <v>750</v>
      </c>
      <c r="G90" s="650" t="s">
        <v>750</v>
      </c>
      <c r="H90" s="650" t="s">
        <v>750</v>
      </c>
      <c r="I90" s="650" t="s">
        <v>750</v>
      </c>
      <c r="J90" s="650" t="s">
        <v>750</v>
      </c>
      <c r="K90" s="650" t="s">
        <v>750</v>
      </c>
      <c r="L90" s="650" t="s">
        <v>750</v>
      </c>
      <c r="M90" s="650" t="s">
        <v>750</v>
      </c>
      <c r="N90" s="650" t="s">
        <v>750</v>
      </c>
      <c r="O90" s="650" t="s">
        <v>750</v>
      </c>
      <c r="P90" s="650" t="s">
        <v>750</v>
      </c>
      <c r="Q90" s="650" t="s">
        <v>750</v>
      </c>
      <c r="R90" s="650" t="s">
        <v>750</v>
      </c>
      <c r="S90" s="650" t="s">
        <v>750</v>
      </c>
      <c r="T90" s="650" t="s">
        <v>750</v>
      </c>
      <c r="U90" s="650" t="s">
        <v>750</v>
      </c>
      <c r="V90" s="335">
        <v>127</v>
      </c>
      <c r="W90" s="335">
        <v>106</v>
      </c>
      <c r="X90" s="335">
        <v>118</v>
      </c>
      <c r="Y90" s="335">
        <v>121</v>
      </c>
      <c r="Z90" s="335">
        <v>132</v>
      </c>
      <c r="AA90" s="335">
        <v>126</v>
      </c>
      <c r="AB90" s="335">
        <v>171</v>
      </c>
      <c r="AC90" s="335">
        <v>135</v>
      </c>
      <c r="AD90" s="335">
        <v>148</v>
      </c>
      <c r="AE90" s="2186">
        <v>145</v>
      </c>
      <c r="AF90" s="335">
        <v>175</v>
      </c>
      <c r="AG90" s="335">
        <v>191</v>
      </c>
      <c r="AH90" s="335">
        <v>148</v>
      </c>
      <c r="AI90" s="335">
        <v>122</v>
      </c>
      <c r="AJ90" s="335">
        <v>246</v>
      </c>
      <c r="AK90" s="335">
        <v>177</v>
      </c>
      <c r="AL90" s="335">
        <v>208</v>
      </c>
      <c r="AM90" s="335"/>
      <c r="AN90" s="335"/>
      <c r="AO90" s="335"/>
      <c r="AP90" s="335"/>
      <c r="AQ90" s="335"/>
      <c r="AR90" s="335"/>
      <c r="AS90" s="335"/>
      <c r="AT90" s="335"/>
      <c r="AU90" s="335"/>
    </row>
    <row r="91" spans="1:64">
      <c r="A91" s="36" t="s">
        <v>743</v>
      </c>
      <c r="B91" s="36"/>
      <c r="C91" s="650" t="s">
        <v>750</v>
      </c>
      <c r="D91" s="650" t="s">
        <v>750</v>
      </c>
      <c r="E91" s="650" t="s">
        <v>750</v>
      </c>
      <c r="F91" s="650" t="s">
        <v>750</v>
      </c>
      <c r="G91" s="650" t="s">
        <v>750</v>
      </c>
      <c r="H91" s="650" t="s">
        <v>750</v>
      </c>
      <c r="I91" s="650" t="s">
        <v>750</v>
      </c>
      <c r="J91" s="650" t="s">
        <v>750</v>
      </c>
      <c r="K91" s="650" t="s">
        <v>750</v>
      </c>
      <c r="L91" s="650" t="s">
        <v>750</v>
      </c>
      <c r="M91" s="650" t="s">
        <v>750</v>
      </c>
      <c r="N91" s="650" t="s">
        <v>750</v>
      </c>
      <c r="O91" s="650" t="s">
        <v>750</v>
      </c>
      <c r="P91" s="650" t="s">
        <v>750</v>
      </c>
      <c r="Q91" s="650" t="s">
        <v>750</v>
      </c>
      <c r="R91" s="650" t="s">
        <v>750</v>
      </c>
      <c r="S91" s="650" t="s">
        <v>750</v>
      </c>
      <c r="T91" s="650" t="s">
        <v>750</v>
      </c>
      <c r="U91" s="650" t="s">
        <v>750</v>
      </c>
      <c r="V91" s="647">
        <v>0.105</v>
      </c>
      <c r="W91" s="647">
        <v>9.7000000000000003E-2</v>
      </c>
      <c r="X91" s="647">
        <v>0.10100000000000001</v>
      </c>
      <c r="Y91" s="647">
        <v>0.10199999999999999</v>
      </c>
      <c r="Z91" s="647">
        <v>8.3000000000000004E-2</v>
      </c>
      <c r="AA91" s="647">
        <v>8.6999999999999994E-2</v>
      </c>
      <c r="AB91" s="647">
        <v>0.10299999999999999</v>
      </c>
      <c r="AC91" s="647">
        <v>0.09</v>
      </c>
      <c r="AD91" s="647">
        <v>8.4000000000000005E-2</v>
      </c>
      <c r="AE91" s="2206">
        <v>8.6999999999999994E-2</v>
      </c>
      <c r="AF91" s="647">
        <v>0.104</v>
      </c>
      <c r="AG91" s="647">
        <v>0.10299999999999999</v>
      </c>
      <c r="AH91" s="647">
        <v>7.2999999999999995E-2</v>
      </c>
      <c r="AI91" s="647">
        <v>7.1999999999999995E-2</v>
      </c>
      <c r="AJ91" s="647">
        <v>0.14000000000000001</v>
      </c>
      <c r="AK91" s="647">
        <v>0.107</v>
      </c>
      <c r="AL91" s="647">
        <v>0.109</v>
      </c>
      <c r="AM91" s="335"/>
      <c r="AN91" s="335"/>
      <c r="AO91" s="335"/>
      <c r="AP91" s="335"/>
      <c r="AQ91" s="335"/>
      <c r="AR91" s="335"/>
      <c r="AS91" s="335"/>
      <c r="AT91" s="335"/>
      <c r="AU91" s="335"/>
    </row>
    <row r="92" spans="1:64">
      <c r="AH92" s="92"/>
      <c r="AL92" s="92"/>
    </row>
    <row r="93" spans="1:64">
      <c r="A93" s="513" t="s">
        <v>939</v>
      </c>
      <c r="B93" s="513"/>
      <c r="C93" s="335"/>
      <c r="D93" s="335"/>
      <c r="E93" s="335"/>
      <c r="F93" s="335"/>
      <c r="G93" s="335"/>
      <c r="H93" s="335"/>
      <c r="I93" s="335"/>
      <c r="J93" s="335"/>
      <c r="K93" s="867">
        <v>36.122999999999998</v>
      </c>
      <c r="L93" s="867">
        <f>91.146-K93</f>
        <v>55.023000000000003</v>
      </c>
      <c r="M93" s="867">
        <f>132.269-SUM(K93:L93)</f>
        <v>41.123000000000005</v>
      </c>
      <c r="N93" s="867">
        <f>214.481-SUM(K93:M93)</f>
        <v>82.211999999999989</v>
      </c>
      <c r="O93" s="867">
        <v>36.122999999999998</v>
      </c>
      <c r="P93" s="867">
        <f>91.146-O93</f>
        <v>55.023000000000003</v>
      </c>
      <c r="Q93" s="867">
        <f>132.269-SUM(O93:P93)</f>
        <v>41.123000000000005</v>
      </c>
      <c r="R93" s="867">
        <f>214.481-SUM(O93:Q93)</f>
        <v>82.211999999999989</v>
      </c>
      <c r="S93" s="867">
        <v>46.244999999999997</v>
      </c>
      <c r="T93" s="867">
        <f>132.968-S93</f>
        <v>86.722999999999985</v>
      </c>
      <c r="U93" s="867">
        <f>217.531-SUM(S93:T93)</f>
        <v>84.563000000000017</v>
      </c>
      <c r="V93" s="867">
        <f>313.558-SUM(S93:U93)</f>
        <v>96.026999999999987</v>
      </c>
      <c r="W93" s="867">
        <v>70.724999999999994</v>
      </c>
      <c r="X93" s="867">
        <f>181.354-W93</f>
        <v>110.62900000000002</v>
      </c>
      <c r="Y93" s="867">
        <f>264.091-SUM(W93:X93)</f>
        <v>82.736999999999995</v>
      </c>
      <c r="Z93" s="867">
        <f>445.009-SUM(W93:Y93)</f>
        <v>180.91800000000001</v>
      </c>
      <c r="AA93" s="867">
        <v>142.34200000000001</v>
      </c>
      <c r="AB93" s="867">
        <f>294.251-AA93</f>
        <v>151.90899999999996</v>
      </c>
      <c r="AC93" s="867">
        <f>451.608-SUM(AA93:AB93)</f>
        <v>157.35700000000003</v>
      </c>
      <c r="AD93" s="867">
        <f>639.145-SUM(AA93:AC93)</f>
        <v>187.53699999999998</v>
      </c>
      <c r="AE93" s="2186">
        <v>159.297</v>
      </c>
      <c r="AF93" s="867">
        <f>366.498-SUM($AE93:AE93)</f>
        <v>207.20099999999999</v>
      </c>
      <c r="AG93" s="867">
        <f>552.718-SUM($AE93:AF93)</f>
        <v>186.21999999999997</v>
      </c>
      <c r="AH93" s="867">
        <f>787.738-SUM($AE93:AG93)</f>
        <v>235.0200000000001</v>
      </c>
      <c r="AI93" s="867">
        <v>179.584</v>
      </c>
      <c r="AJ93" s="867">
        <f>379.061-AI93</f>
        <v>199.47699999999998</v>
      </c>
      <c r="AK93" s="867">
        <f>571.093-SUM(AI93:AJ93)</f>
        <v>192.03199999999998</v>
      </c>
      <c r="AL93" s="867">
        <f>811.788-SUM(AI93:AK93)</f>
        <v>240.69500000000005</v>
      </c>
      <c r="AM93" s="867">
        <v>164.55</v>
      </c>
      <c r="AN93" s="867">
        <f>338.125-AM93</f>
        <v>173.57499999999999</v>
      </c>
      <c r="AO93" s="867">
        <f>487.287-SUM(AM93:AN93)</f>
        <v>149.16199999999998</v>
      </c>
      <c r="AP93" s="867">
        <f>662.815-SUM(AM93:AO93)</f>
        <v>175.52800000000008</v>
      </c>
      <c r="AQ93" s="867">
        <v>212.29</v>
      </c>
      <c r="AR93" s="867">
        <f>450.143-AQ93</f>
        <v>237.85299999999998</v>
      </c>
      <c r="AS93" s="867">
        <f>533.502-SUM(AQ93:AR93)</f>
        <v>83.35899999999998</v>
      </c>
      <c r="AT93" s="867">
        <f>894.415-SUM(AQ93:AS93)</f>
        <v>360.91300000000001</v>
      </c>
      <c r="AU93" s="867">
        <v>163.90600000000001</v>
      </c>
      <c r="AV93" s="867">
        <f>231.969-AU93</f>
        <v>68.062999999999988</v>
      </c>
      <c r="AW93" s="867">
        <f>367.033-AV93-AU93</f>
        <v>135.06400000000002</v>
      </c>
      <c r="AX93" s="867">
        <f>506.293-AW93-AV93-AU93</f>
        <v>139.26</v>
      </c>
      <c r="AY93" s="867">
        <v>72.724999999999994</v>
      </c>
      <c r="AZ93" s="867">
        <f>135.266-AY93</f>
        <v>62.540999999999997</v>
      </c>
      <c r="BA93" s="867">
        <f>221.537-AZ93-AY93</f>
        <v>86.271000000000015</v>
      </c>
      <c r="BB93" s="867">
        <f>317.253-BA93-AZ93-AY93</f>
        <v>95.71599999999998</v>
      </c>
      <c r="BC93" s="867">
        <f>74.537</f>
        <v>74.537000000000006</v>
      </c>
      <c r="BD93" s="867">
        <f>141.58-BC93</f>
        <v>67.043000000000006</v>
      </c>
      <c r="BE93" s="867">
        <f>218.941-BD93-BC93</f>
        <v>77.36099999999999</v>
      </c>
      <c r="BF93" s="867">
        <f>299.362-SUM(BC93:BE93)</f>
        <v>80.421000000000021</v>
      </c>
      <c r="BG93" s="867">
        <v>72.653000000000006</v>
      </c>
      <c r="BH93" s="867">
        <f>155.801-BG93</f>
        <v>83.147999999999982</v>
      </c>
      <c r="BI93" s="867">
        <f>238.075-SUM(BG93:BH93)</f>
        <v>82.274000000000001</v>
      </c>
      <c r="BJ93" s="867">
        <f>326.05-SUM(BG93:BI93)</f>
        <v>87.975000000000023</v>
      </c>
      <c r="BK93" s="867">
        <v>90.281000000000006</v>
      </c>
      <c r="BL93" s="867">
        <f>188.569-BK93</f>
        <v>98.287999999999982</v>
      </c>
    </row>
    <row r="95" spans="1:64">
      <c r="A95" s="9" t="s">
        <v>755</v>
      </c>
      <c r="C95" s="335">
        <v>-465</v>
      </c>
      <c r="D95" s="335">
        <v>-486.2</v>
      </c>
      <c r="E95" s="335">
        <v>-472</v>
      </c>
      <c r="F95" s="335">
        <v>-495</v>
      </c>
      <c r="G95" s="335">
        <v>-437.6</v>
      </c>
      <c r="H95" s="335">
        <v>-452</v>
      </c>
      <c r="I95" s="335">
        <v>-463.6</v>
      </c>
      <c r="J95" s="335">
        <v>-546.70000000000005</v>
      </c>
      <c r="K95" s="335">
        <v>-500.9</v>
      </c>
      <c r="L95" s="335">
        <v>-534</v>
      </c>
      <c r="M95" s="335">
        <v>-535.1</v>
      </c>
      <c r="N95" s="335">
        <v>-636.4</v>
      </c>
      <c r="O95" s="335">
        <v>-593.29999999999995</v>
      </c>
      <c r="P95" s="335">
        <v>-683</v>
      </c>
      <c r="Q95" s="335">
        <v>-666.2</v>
      </c>
      <c r="R95" s="335">
        <v>-740.8</v>
      </c>
      <c r="S95" s="335">
        <v>-678.3</v>
      </c>
      <c r="T95" s="335">
        <v>-788</v>
      </c>
      <c r="U95" s="335">
        <v>-814.8</v>
      </c>
      <c r="V95" s="335">
        <v>-921.1</v>
      </c>
      <c r="W95" s="335">
        <v>-831</v>
      </c>
      <c r="X95" s="335">
        <v>-875</v>
      </c>
      <c r="Y95" s="335">
        <v>-921</v>
      </c>
      <c r="Z95" s="335">
        <v>-1330</v>
      </c>
      <c r="AA95" s="335">
        <v>0</v>
      </c>
      <c r="AB95" s="335">
        <v>0</v>
      </c>
      <c r="AC95" s="335">
        <v>0</v>
      </c>
      <c r="AD95" s="335">
        <v>0</v>
      </c>
      <c r="AE95" s="2186">
        <v>0</v>
      </c>
      <c r="AF95" s="335">
        <v>0</v>
      </c>
      <c r="AG95" s="335">
        <v>0</v>
      </c>
      <c r="AH95" s="335">
        <v>0</v>
      </c>
      <c r="AI95" s="335">
        <v>0</v>
      </c>
      <c r="AJ95" s="335">
        <v>0</v>
      </c>
      <c r="AK95" s="335">
        <v>0</v>
      </c>
      <c r="AL95" s="335">
        <v>0</v>
      </c>
      <c r="AM95" s="335">
        <v>0</v>
      </c>
      <c r="AN95" s="335">
        <v>0</v>
      </c>
      <c r="AO95" s="335">
        <v>0</v>
      </c>
      <c r="AP95" s="335">
        <v>0</v>
      </c>
      <c r="AQ95" s="335">
        <v>0</v>
      </c>
      <c r="AR95" s="335">
        <v>0</v>
      </c>
      <c r="AS95" s="335">
        <v>0</v>
      </c>
      <c r="AT95" s="335">
        <v>0</v>
      </c>
      <c r="AU95" s="335">
        <v>0</v>
      </c>
      <c r="AV95" s="335">
        <v>0</v>
      </c>
      <c r="AW95" s="335">
        <v>0</v>
      </c>
      <c r="AX95" s="335">
        <v>0</v>
      </c>
      <c r="AY95" s="335">
        <v>0</v>
      </c>
      <c r="AZ95" s="335">
        <v>0</v>
      </c>
      <c r="BA95" s="335">
        <v>0</v>
      </c>
      <c r="BB95" s="335">
        <v>0</v>
      </c>
      <c r="BC95" s="335">
        <v>0</v>
      </c>
      <c r="BD95" s="335">
        <v>0</v>
      </c>
      <c r="BE95" s="9">
        <v>0</v>
      </c>
      <c r="BF95" s="9">
        <v>0</v>
      </c>
      <c r="BG95" s="9">
        <v>0</v>
      </c>
      <c r="BH95" s="335">
        <v>0</v>
      </c>
      <c r="BI95" s="335">
        <v>0</v>
      </c>
      <c r="BJ95" s="335"/>
      <c r="BK95" s="335">
        <v>0</v>
      </c>
      <c r="BL95" s="335">
        <v>0</v>
      </c>
    </row>
    <row r="96" spans="1:64">
      <c r="C96" s="335"/>
      <c r="D96" s="335"/>
      <c r="E96" s="335"/>
      <c r="F96" s="335"/>
      <c r="G96" s="335"/>
      <c r="H96" s="335"/>
      <c r="I96" s="335"/>
      <c r="J96" s="335"/>
      <c r="K96" s="335"/>
      <c r="L96" s="335"/>
      <c r="M96" s="335"/>
      <c r="N96" s="335"/>
      <c r="O96" s="335"/>
      <c r="P96" s="335"/>
      <c r="Q96" s="335"/>
      <c r="R96" s="335"/>
      <c r="S96" s="335"/>
      <c r="T96" s="335"/>
      <c r="U96" s="335"/>
      <c r="V96" s="335"/>
      <c r="W96" s="335"/>
      <c r="X96" s="335"/>
      <c r="Y96" s="335"/>
      <c r="Z96" s="335"/>
      <c r="AA96" s="335"/>
      <c r="AB96" s="335"/>
      <c r="AC96" s="335"/>
      <c r="AD96" s="335"/>
      <c r="AE96" s="2186"/>
      <c r="AF96" s="335"/>
      <c r="AG96" s="335"/>
      <c r="AH96" s="335"/>
      <c r="AI96" s="335"/>
      <c r="AJ96" s="335"/>
      <c r="AK96" s="335"/>
      <c r="AL96" s="335"/>
      <c r="AM96" s="335"/>
      <c r="AN96" s="335"/>
      <c r="AO96" s="335"/>
      <c r="AP96" s="335"/>
      <c r="AQ96" s="335"/>
    </row>
    <row r="97" spans="1:64" s="2196" customFormat="1">
      <c r="A97" s="2213" t="s">
        <v>949</v>
      </c>
      <c r="B97" s="2213"/>
      <c r="AL97" s="2188"/>
      <c r="AT97" s="2206"/>
      <c r="AU97" s="2206"/>
      <c r="AV97" s="2214"/>
    </row>
    <row r="98" spans="1:64">
      <c r="A98" s="9" t="s">
        <v>740</v>
      </c>
      <c r="C98" s="649" t="s">
        <v>750</v>
      </c>
      <c r="D98" s="649" t="s">
        <v>750</v>
      </c>
      <c r="E98" s="649" t="s">
        <v>750</v>
      </c>
      <c r="F98" s="649" t="s">
        <v>750</v>
      </c>
      <c r="G98" s="649" t="s">
        <v>750</v>
      </c>
      <c r="H98" s="649" t="s">
        <v>750</v>
      </c>
      <c r="I98" s="649" t="s">
        <v>750</v>
      </c>
      <c r="J98" s="649" t="s">
        <v>750</v>
      </c>
      <c r="K98" s="649" t="s">
        <v>750</v>
      </c>
      <c r="L98" s="649" t="s">
        <v>750</v>
      </c>
      <c r="M98" s="649" t="s">
        <v>750</v>
      </c>
      <c r="N98" s="649" t="s">
        <v>750</v>
      </c>
      <c r="O98" s="649" t="s">
        <v>750</v>
      </c>
      <c r="P98" s="649" t="s">
        <v>750</v>
      </c>
      <c r="Q98" s="649" t="s">
        <v>750</v>
      </c>
      <c r="R98" s="649" t="s">
        <v>750</v>
      </c>
      <c r="S98" s="649" t="s">
        <v>750</v>
      </c>
      <c r="T98" s="649" t="s">
        <v>750</v>
      </c>
      <c r="U98" s="649" t="s">
        <v>750</v>
      </c>
      <c r="V98" s="649" t="s">
        <v>750</v>
      </c>
      <c r="W98" s="649" t="s">
        <v>750</v>
      </c>
      <c r="X98" s="649" t="s">
        <v>750</v>
      </c>
      <c r="Y98" s="649" t="s">
        <v>750</v>
      </c>
      <c r="Z98" s="647">
        <v>8.8999999999999996E-2</v>
      </c>
      <c r="AA98" s="647">
        <v>9.7000000000000003E-2</v>
      </c>
      <c r="AB98" s="647">
        <v>3.6999999999999998E-2</v>
      </c>
      <c r="AC98" s="647">
        <v>7.0999999999999994E-2</v>
      </c>
      <c r="AD98" s="647">
        <v>7.1999999999999995E-2</v>
      </c>
      <c r="AE98" s="2206">
        <v>8.5000000000000006E-2</v>
      </c>
      <c r="AF98" s="647">
        <v>7.2999999999999995E-2</v>
      </c>
      <c r="AG98" s="647">
        <v>1.9E-2</v>
      </c>
      <c r="AH98" s="647">
        <v>3.0000000000000001E-3</v>
      </c>
      <c r="AI98" s="647">
        <v>0.02</v>
      </c>
      <c r="AJ98" s="647">
        <v>1.7000000000000001E-2</v>
      </c>
      <c r="AK98" s="647">
        <v>3.5000000000000003E-2</v>
      </c>
      <c r="AL98" s="647">
        <v>2.1000000000000001E-2</v>
      </c>
      <c r="AM98" s="647">
        <v>3.6999999999999998E-2</v>
      </c>
      <c r="AN98" s="647">
        <v>3.0000000000000001E-3</v>
      </c>
      <c r="AO98" s="647">
        <v>-8.0000000000000002E-3</v>
      </c>
      <c r="AP98" s="647">
        <v>0.01</v>
      </c>
      <c r="AQ98" s="647">
        <v>-1.4999999999999999E-2</v>
      </c>
      <c r="AR98" s="647">
        <v>5.2999999999999999E-2</v>
      </c>
      <c r="AS98" s="647">
        <v>2.5999999999999999E-2</v>
      </c>
      <c r="AT98" s="647">
        <v>1.7000000000000001E-2</v>
      </c>
      <c r="AU98" s="647">
        <v>-4.8000000000000001E-2</v>
      </c>
      <c r="AV98" s="1726">
        <v>-0.35699999999999998</v>
      </c>
      <c r="AW98" s="1726">
        <v>-0.29799999999999999</v>
      </c>
      <c r="AX98" s="1726">
        <v>-0.34599999999999997</v>
      </c>
      <c r="AY98" s="1726">
        <v>-0.29199999999999998</v>
      </c>
      <c r="AZ98" s="1726">
        <v>0.24399999999999999</v>
      </c>
      <c r="BA98" s="1726">
        <v>0.21099999999999999</v>
      </c>
      <c r="BB98" s="1726">
        <v>0.38400000000000001</v>
      </c>
      <c r="BC98" s="1726">
        <v>0.41599999999999998</v>
      </c>
      <c r="BD98" s="1726">
        <v>0.31</v>
      </c>
      <c r="BE98" s="1726">
        <v>0.23599999999999999</v>
      </c>
      <c r="BF98" s="1726">
        <v>0.16200000000000001</v>
      </c>
      <c r="BG98" s="1726">
        <v>0.16200000000000001</v>
      </c>
      <c r="BH98" s="1726">
        <v>0.115</v>
      </c>
      <c r="BI98" s="1726">
        <v>8.3000000000000004E-2</v>
      </c>
      <c r="BJ98" s="1726">
        <v>3.7999999999999999E-2</v>
      </c>
      <c r="BK98" s="1726">
        <v>1.6E-2</v>
      </c>
      <c r="BL98" s="1726">
        <v>-2.5999999999999999E-2</v>
      </c>
    </row>
    <row r="99" spans="1:64" ht="10.9" customHeight="1">
      <c r="A99" s="9" t="s">
        <v>741</v>
      </c>
      <c r="C99" s="335">
        <v>0</v>
      </c>
      <c r="D99" s="335">
        <v>0</v>
      </c>
      <c r="E99" s="335">
        <v>0</v>
      </c>
      <c r="F99" s="335">
        <v>0</v>
      </c>
      <c r="G99" s="335">
        <v>0</v>
      </c>
      <c r="H99" s="335">
        <v>0</v>
      </c>
      <c r="I99" s="335">
        <v>0</v>
      </c>
      <c r="J99" s="335">
        <v>0</v>
      </c>
      <c r="K99" s="335">
        <v>0</v>
      </c>
      <c r="L99" s="335">
        <v>0</v>
      </c>
      <c r="M99" s="335">
        <v>0</v>
      </c>
      <c r="N99" s="335">
        <v>0</v>
      </c>
      <c r="O99" s="335">
        <v>0</v>
      </c>
      <c r="P99" s="335">
        <v>0</v>
      </c>
      <c r="Q99" s="335">
        <v>0</v>
      </c>
      <c r="R99" s="335">
        <v>0</v>
      </c>
      <c r="S99" s="335">
        <v>0</v>
      </c>
      <c r="T99" s="335">
        <v>0</v>
      </c>
      <c r="U99" s="335">
        <v>0</v>
      </c>
      <c r="V99" s="335">
        <v>0</v>
      </c>
      <c r="W99" s="335">
        <v>0</v>
      </c>
      <c r="X99" s="335">
        <v>0</v>
      </c>
      <c r="Y99" s="335">
        <v>0</v>
      </c>
      <c r="Z99" s="335">
        <v>442</v>
      </c>
      <c r="AA99" s="335">
        <v>442</v>
      </c>
      <c r="AB99" s="335">
        <v>445</v>
      </c>
      <c r="AC99" s="335">
        <v>455</v>
      </c>
      <c r="AD99" s="335">
        <v>467</v>
      </c>
      <c r="AE99" s="2186">
        <v>468</v>
      </c>
      <c r="AF99" s="335">
        <v>475</v>
      </c>
      <c r="AG99" s="335">
        <v>483</v>
      </c>
      <c r="AH99" s="335">
        <v>499</v>
      </c>
      <c r="AI99" s="335">
        <v>506</v>
      </c>
      <c r="AJ99" s="335">
        <v>519</v>
      </c>
      <c r="AK99" s="335">
        <v>530</v>
      </c>
      <c r="AL99" s="335">
        <v>549</v>
      </c>
      <c r="AM99" s="335">
        <v>555</v>
      </c>
      <c r="AN99" s="335">
        <v>561</v>
      </c>
      <c r="AO99" s="335">
        <v>571</v>
      </c>
      <c r="AP99" s="335">
        <v>593</v>
      </c>
      <c r="AQ99" s="335">
        <v>1353</v>
      </c>
      <c r="AR99" s="335">
        <v>1372</v>
      </c>
      <c r="AS99" s="335">
        <v>1394</v>
      </c>
      <c r="AT99" s="335">
        <v>1398</v>
      </c>
      <c r="AU99" s="335">
        <v>1405</v>
      </c>
      <c r="AV99" s="1724">
        <v>1390</v>
      </c>
      <c r="AW99" s="1724">
        <v>1392</v>
      </c>
      <c r="AX99" s="1724">
        <v>1376</v>
      </c>
      <c r="AY99" s="1724">
        <v>1375</v>
      </c>
      <c r="AZ99" s="1724">
        <v>1388</v>
      </c>
      <c r="BA99" s="1724">
        <v>1404</v>
      </c>
      <c r="BB99" s="1724">
        <v>1424</v>
      </c>
      <c r="BC99" s="1724">
        <v>1441</v>
      </c>
      <c r="BD99" s="1724">
        <v>1452</v>
      </c>
      <c r="BE99" s="1724">
        <v>1460</v>
      </c>
      <c r="BF99" s="1724">
        <v>1476</v>
      </c>
      <c r="BG99" s="1724">
        <v>1477</v>
      </c>
      <c r="BH99" s="1724">
        <v>1494</v>
      </c>
      <c r="BI99" s="1724">
        <v>1514</v>
      </c>
      <c r="BJ99" s="1724">
        <v>1534</v>
      </c>
      <c r="BK99" s="1724">
        <v>1534</v>
      </c>
      <c r="BL99" s="1724">
        <v>1548</v>
      </c>
    </row>
    <row r="100" spans="1:64">
      <c r="A100" s="9" t="s">
        <v>938</v>
      </c>
      <c r="C100" s="335">
        <v>0</v>
      </c>
      <c r="D100" s="335">
        <v>0</v>
      </c>
      <c r="E100" s="335">
        <v>0</v>
      </c>
      <c r="F100" s="335">
        <v>0</v>
      </c>
      <c r="G100" s="335">
        <v>0</v>
      </c>
      <c r="H100" s="335">
        <v>0</v>
      </c>
      <c r="I100" s="335">
        <v>0</v>
      </c>
      <c r="J100" s="335">
        <v>0</v>
      </c>
      <c r="K100" s="335">
        <v>0</v>
      </c>
      <c r="L100" s="335">
        <v>0</v>
      </c>
      <c r="M100" s="335">
        <v>0</v>
      </c>
      <c r="N100" s="335">
        <v>0</v>
      </c>
      <c r="O100" s="335">
        <v>0</v>
      </c>
      <c r="P100" s="335">
        <v>0</v>
      </c>
      <c r="Q100" s="335">
        <v>0</v>
      </c>
      <c r="R100" s="335">
        <v>0</v>
      </c>
      <c r="S100" s="335">
        <v>0</v>
      </c>
      <c r="T100" s="335">
        <v>0</v>
      </c>
      <c r="U100" s="335">
        <v>0</v>
      </c>
      <c r="V100" s="335">
        <v>0</v>
      </c>
      <c r="W100" s="335">
        <v>0</v>
      </c>
      <c r="X100" s="335">
        <v>0</v>
      </c>
      <c r="Y100" s="335">
        <v>0</v>
      </c>
      <c r="Z100" s="335">
        <v>302</v>
      </c>
      <c r="AA100" s="335">
        <v>300</v>
      </c>
      <c r="AB100" s="335">
        <v>302</v>
      </c>
      <c r="AC100" s="335">
        <v>305</v>
      </c>
      <c r="AD100" s="335">
        <v>313</v>
      </c>
      <c r="AE100" s="2186">
        <v>322</v>
      </c>
      <c r="AF100" s="335">
        <v>326</v>
      </c>
      <c r="AG100" s="335">
        <v>331</v>
      </c>
      <c r="AH100" s="335">
        <v>344</v>
      </c>
      <c r="AI100" s="335">
        <v>352</v>
      </c>
      <c r="AJ100" s="335">
        <v>357</v>
      </c>
      <c r="AK100" s="335">
        <v>366</v>
      </c>
      <c r="AL100" s="335">
        <v>381</v>
      </c>
      <c r="AM100" s="335">
        <v>389</v>
      </c>
      <c r="AN100" s="335">
        <v>396</v>
      </c>
      <c r="AO100" s="335">
        <v>404</v>
      </c>
      <c r="AP100" s="335">
        <v>420</v>
      </c>
      <c r="AQ100" s="335">
        <v>872</v>
      </c>
      <c r="AR100" s="335">
        <v>882</v>
      </c>
      <c r="AS100" s="335">
        <v>895</v>
      </c>
      <c r="AT100" s="335">
        <v>888</v>
      </c>
      <c r="AU100" s="335">
        <v>895</v>
      </c>
      <c r="AV100" s="78">
        <v>877</v>
      </c>
      <c r="AW100" s="78">
        <v>875</v>
      </c>
      <c r="AX100" s="78">
        <v>862</v>
      </c>
      <c r="AY100" s="78">
        <v>863</v>
      </c>
      <c r="AZ100" s="78">
        <v>866</v>
      </c>
      <c r="BA100" s="78">
        <v>869</v>
      </c>
      <c r="BB100" s="78">
        <v>878</v>
      </c>
      <c r="BC100" s="78">
        <v>888</v>
      </c>
      <c r="BD100" s="78">
        <v>899</v>
      </c>
      <c r="BE100" s="78">
        <v>913</v>
      </c>
      <c r="BF100" s="78">
        <v>928</v>
      </c>
      <c r="BG100" s="78">
        <v>932</v>
      </c>
      <c r="BH100" s="78">
        <v>946</v>
      </c>
      <c r="BI100" s="78">
        <v>958</v>
      </c>
      <c r="BJ100" s="78">
        <v>976</v>
      </c>
      <c r="BK100" s="78">
        <f>317+55+102+145+24+2+22+101+83+13+115</f>
        <v>979</v>
      </c>
      <c r="BL100" s="78">
        <v>989</v>
      </c>
    </row>
    <row r="101" spans="1:64">
      <c r="A101" s="9" t="s">
        <v>937</v>
      </c>
      <c r="C101" s="335">
        <v>0</v>
      </c>
      <c r="D101" s="335">
        <v>0</v>
      </c>
      <c r="E101" s="335">
        <v>0</v>
      </c>
      <c r="F101" s="335">
        <v>0</v>
      </c>
      <c r="G101" s="335">
        <v>0</v>
      </c>
      <c r="H101" s="335">
        <v>0</v>
      </c>
      <c r="I101" s="335">
        <v>0</v>
      </c>
      <c r="J101" s="335">
        <v>0</v>
      </c>
      <c r="K101" s="335">
        <v>0</v>
      </c>
      <c r="L101" s="335">
        <v>0</v>
      </c>
      <c r="M101" s="335">
        <v>0</v>
      </c>
      <c r="N101" s="335">
        <v>0</v>
      </c>
      <c r="O101" s="335">
        <v>0</v>
      </c>
      <c r="P101" s="335">
        <v>0</v>
      </c>
      <c r="Q101" s="335">
        <v>0</v>
      </c>
      <c r="R101" s="335">
        <v>0</v>
      </c>
      <c r="S101" s="335">
        <v>0</v>
      </c>
      <c r="T101" s="335">
        <v>0</v>
      </c>
      <c r="U101" s="335">
        <v>0</v>
      </c>
      <c r="V101" s="335">
        <v>0</v>
      </c>
      <c r="W101" s="335">
        <v>0</v>
      </c>
      <c r="X101" s="335">
        <v>0</v>
      </c>
      <c r="Y101" s="335">
        <v>0</v>
      </c>
      <c r="Z101" s="335">
        <v>140</v>
      </c>
      <c r="AA101" s="335">
        <v>142</v>
      </c>
      <c r="AB101" s="335">
        <v>143</v>
      </c>
      <c r="AC101" s="335">
        <v>150</v>
      </c>
      <c r="AD101" s="335">
        <v>154</v>
      </c>
      <c r="AE101" s="2186">
        <v>146</v>
      </c>
      <c r="AF101" s="335">
        <v>149</v>
      </c>
      <c r="AG101" s="335">
        <v>152</v>
      </c>
      <c r="AH101" s="335">
        <v>155</v>
      </c>
      <c r="AI101" s="335">
        <v>154</v>
      </c>
      <c r="AJ101" s="335">
        <v>162</v>
      </c>
      <c r="AK101" s="335">
        <v>164</v>
      </c>
      <c r="AL101" s="335">
        <v>168</v>
      </c>
      <c r="AM101" s="335">
        <v>166</v>
      </c>
      <c r="AN101" s="335">
        <v>165</v>
      </c>
      <c r="AO101" s="335">
        <v>167</v>
      </c>
      <c r="AP101" s="335">
        <v>173</v>
      </c>
      <c r="AQ101" s="335">
        <v>481</v>
      </c>
      <c r="AR101" s="335">
        <v>490</v>
      </c>
      <c r="AS101" s="335">
        <v>499</v>
      </c>
      <c r="AT101" s="335">
        <v>510</v>
      </c>
      <c r="AU101" s="335">
        <v>510</v>
      </c>
      <c r="AV101" s="78">
        <v>513</v>
      </c>
      <c r="AW101" s="78">
        <v>517</v>
      </c>
      <c r="AX101" s="78">
        <v>514</v>
      </c>
      <c r="AY101" s="78">
        <v>512</v>
      </c>
      <c r="AZ101" s="78">
        <v>522</v>
      </c>
      <c r="BA101" s="78">
        <v>535</v>
      </c>
      <c r="BB101" s="78">
        <v>546</v>
      </c>
      <c r="BC101" s="78">
        <v>553</v>
      </c>
      <c r="BD101" s="78">
        <v>553</v>
      </c>
      <c r="BE101" s="78">
        <v>547</v>
      </c>
      <c r="BF101" s="78">
        <v>548</v>
      </c>
      <c r="BG101" s="78">
        <v>545</v>
      </c>
      <c r="BH101" s="78">
        <v>548</v>
      </c>
      <c r="BI101" s="78">
        <v>556</v>
      </c>
      <c r="BJ101" s="78">
        <v>558</v>
      </c>
      <c r="BK101" s="78">
        <f>67+141+25+77+33+4+5+115+37+51</f>
        <v>555</v>
      </c>
      <c r="BL101" s="78">
        <v>559</v>
      </c>
    </row>
    <row r="102" spans="1:64">
      <c r="A102" s="9" t="s">
        <v>742</v>
      </c>
      <c r="C102" s="335">
        <v>0</v>
      </c>
      <c r="D102" s="335">
        <v>0</v>
      </c>
      <c r="E102" s="335">
        <v>0</v>
      </c>
      <c r="F102" s="335">
        <v>0</v>
      </c>
      <c r="G102" s="335">
        <v>0</v>
      </c>
      <c r="H102" s="335">
        <v>0</v>
      </c>
      <c r="I102" s="335">
        <v>0</v>
      </c>
      <c r="J102" s="335">
        <v>0</v>
      </c>
      <c r="K102" s="335">
        <v>0</v>
      </c>
      <c r="L102" s="335">
        <v>0</v>
      </c>
      <c r="M102" s="335">
        <v>0</v>
      </c>
      <c r="N102" s="335">
        <v>0</v>
      </c>
      <c r="O102" s="335">
        <v>0</v>
      </c>
      <c r="P102" s="335">
        <v>0</v>
      </c>
      <c r="Q102" s="335">
        <v>0</v>
      </c>
      <c r="R102" s="335">
        <v>0</v>
      </c>
      <c r="S102" s="335">
        <v>0</v>
      </c>
      <c r="T102" s="335">
        <v>0</v>
      </c>
      <c r="U102" s="335">
        <v>0</v>
      </c>
      <c r="V102" s="335">
        <v>0</v>
      </c>
      <c r="W102" s="335">
        <v>0</v>
      </c>
      <c r="X102" s="335">
        <v>0</v>
      </c>
      <c r="Y102" s="335">
        <v>0</v>
      </c>
      <c r="Z102" s="335">
        <v>1468</v>
      </c>
      <c r="AA102" s="335">
        <v>1328</v>
      </c>
      <c r="AB102" s="335">
        <v>1306</v>
      </c>
      <c r="AC102" s="335">
        <v>1392</v>
      </c>
      <c r="AD102" s="335">
        <v>1647</v>
      </c>
      <c r="AE102" s="2186">
        <v>1798</v>
      </c>
      <c r="AF102" s="335">
        <v>1789</v>
      </c>
      <c r="AG102" s="335">
        <v>1832</v>
      </c>
      <c r="AH102" s="335">
        <v>2172</v>
      </c>
      <c r="AI102" s="335">
        <v>2060</v>
      </c>
      <c r="AJ102" s="335">
        <v>1974</v>
      </c>
      <c r="AK102" s="335">
        <v>2043</v>
      </c>
      <c r="AL102" s="335">
        <v>2493</v>
      </c>
      <c r="AM102" s="335">
        <v>2481</v>
      </c>
      <c r="AN102" s="335">
        <v>2358</v>
      </c>
      <c r="AO102" s="335">
        <v>2358</v>
      </c>
      <c r="AP102" s="335">
        <v>2690</v>
      </c>
      <c r="AQ102" s="335">
        <v>5033</v>
      </c>
      <c r="AR102" s="335">
        <v>5242</v>
      </c>
      <c r="AS102" s="335">
        <v>5241</v>
      </c>
      <c r="AT102" s="335">
        <v>5691</v>
      </c>
      <c r="AU102" s="335">
        <v>4150</v>
      </c>
      <c r="AV102" s="1724">
        <v>1648</v>
      </c>
      <c r="AW102" s="1724">
        <v>4060</v>
      </c>
      <c r="AX102" s="1724">
        <v>4002</v>
      </c>
      <c r="AY102" s="1724">
        <v>3492</v>
      </c>
      <c r="AZ102" s="1724">
        <v>4280</v>
      </c>
      <c r="BA102" s="1724">
        <v>4830</v>
      </c>
      <c r="BB102" s="1724">
        <v>5812</v>
      </c>
      <c r="BC102" s="1724">
        <v>5185</v>
      </c>
      <c r="BD102" s="1724">
        <v>5421</v>
      </c>
      <c r="BE102" s="1724">
        <v>5435</v>
      </c>
      <c r="BF102" s="1724">
        <v>5935</v>
      </c>
      <c r="BG102" s="1724">
        <v>5577</v>
      </c>
      <c r="BH102" s="1724">
        <v>5658</v>
      </c>
      <c r="BI102" s="1724">
        <v>5637</v>
      </c>
      <c r="BJ102" s="1724">
        <v>6094</v>
      </c>
      <c r="BK102" s="1724">
        <v>5441</v>
      </c>
      <c r="BL102" s="1724">
        <v>5503</v>
      </c>
    </row>
    <row r="103" spans="1:64">
      <c r="A103" s="9" t="s">
        <v>187</v>
      </c>
      <c r="C103" s="335">
        <v>0</v>
      </c>
      <c r="D103" s="335">
        <v>0</v>
      </c>
      <c r="E103" s="335">
        <v>0</v>
      </c>
      <c r="F103" s="335">
        <v>0</v>
      </c>
      <c r="G103" s="335">
        <v>0</v>
      </c>
      <c r="H103" s="335">
        <v>0</v>
      </c>
      <c r="I103" s="335">
        <v>0</v>
      </c>
      <c r="J103" s="335">
        <v>0</v>
      </c>
      <c r="K103" s="335">
        <v>0</v>
      </c>
      <c r="L103" s="335">
        <v>0</v>
      </c>
      <c r="M103" s="335">
        <v>0</v>
      </c>
      <c r="N103" s="335">
        <v>0</v>
      </c>
      <c r="O103" s="335">
        <v>0</v>
      </c>
      <c r="P103" s="335">
        <v>0</v>
      </c>
      <c r="Q103" s="335">
        <v>0</v>
      </c>
      <c r="R103" s="335">
        <v>0</v>
      </c>
      <c r="S103" s="335">
        <v>0</v>
      </c>
      <c r="T103" s="335">
        <v>0</v>
      </c>
      <c r="U103" s="335">
        <v>0</v>
      </c>
      <c r="V103" s="335">
        <v>0</v>
      </c>
      <c r="W103" s="335">
        <v>0</v>
      </c>
      <c r="X103" s="335">
        <v>0</v>
      </c>
      <c r="Y103" s="335">
        <v>0</v>
      </c>
      <c r="Z103" s="335">
        <v>290</v>
      </c>
      <c r="AA103" s="335">
        <v>251</v>
      </c>
      <c r="AB103" s="335">
        <v>247</v>
      </c>
      <c r="AC103" s="335">
        <v>246</v>
      </c>
      <c r="AD103" s="335">
        <v>338</v>
      </c>
      <c r="AE103" s="2186">
        <v>351</v>
      </c>
      <c r="AF103" s="335">
        <v>339</v>
      </c>
      <c r="AG103" s="335">
        <v>334</v>
      </c>
      <c r="AH103" s="335">
        <v>476</v>
      </c>
      <c r="AI103" s="335">
        <v>410</v>
      </c>
      <c r="AJ103" s="335">
        <v>390</v>
      </c>
      <c r="AK103" s="335">
        <v>372</v>
      </c>
      <c r="AL103" s="335">
        <v>554</v>
      </c>
      <c r="AM103" s="335">
        <v>497</v>
      </c>
      <c r="AN103" s="335">
        <v>449</v>
      </c>
      <c r="AO103" s="335">
        <v>418</v>
      </c>
      <c r="AP103" s="335">
        <v>552</v>
      </c>
      <c r="AQ103" s="335">
        <v>815</v>
      </c>
      <c r="AR103" s="335">
        <v>865</v>
      </c>
      <c r="AS103" s="335">
        <v>801</v>
      </c>
      <c r="AT103" s="335">
        <v>1270</v>
      </c>
      <c r="AU103" s="335">
        <f>1187-SUM(AV103:AX103)</f>
        <v>390</v>
      </c>
      <c r="AV103" s="78">
        <v>-566</v>
      </c>
      <c r="AW103" s="78">
        <v>509</v>
      </c>
      <c r="AX103" s="78">
        <v>854</v>
      </c>
      <c r="AY103" s="78">
        <v>378</v>
      </c>
      <c r="AZ103" s="78">
        <v>699</v>
      </c>
      <c r="BA103" s="78">
        <v>916</v>
      </c>
      <c r="BB103" s="78">
        <v>1429</v>
      </c>
      <c r="BC103" s="78">
        <v>791</v>
      </c>
      <c r="BD103" s="78">
        <v>901</v>
      </c>
      <c r="BE103" s="78">
        <v>602</v>
      </c>
      <c r="BF103" s="78">
        <v>930</v>
      </c>
      <c r="BG103" s="78">
        <v>726</v>
      </c>
      <c r="BH103" s="78">
        <v>866</v>
      </c>
      <c r="BI103" s="78">
        <v>884</v>
      </c>
      <c r="BJ103" s="78">
        <v>1065</v>
      </c>
      <c r="BK103" s="78">
        <v>739</v>
      </c>
      <c r="BL103" s="78">
        <v>737</v>
      </c>
    </row>
    <row r="104" spans="1:64">
      <c r="A104" s="9" t="s">
        <v>743</v>
      </c>
      <c r="C104" s="649" t="s">
        <v>750</v>
      </c>
      <c r="D104" s="649" t="s">
        <v>750</v>
      </c>
      <c r="E104" s="649" t="s">
        <v>750</v>
      </c>
      <c r="F104" s="649" t="s">
        <v>750</v>
      </c>
      <c r="G104" s="649" t="s">
        <v>750</v>
      </c>
      <c r="H104" s="649" t="s">
        <v>750</v>
      </c>
      <c r="I104" s="649" t="s">
        <v>750</v>
      </c>
      <c r="J104" s="649" t="s">
        <v>750</v>
      </c>
      <c r="K104" s="649" t="s">
        <v>750</v>
      </c>
      <c r="L104" s="649" t="s">
        <v>750</v>
      </c>
      <c r="M104" s="649" t="s">
        <v>750</v>
      </c>
      <c r="N104" s="649" t="s">
        <v>750</v>
      </c>
      <c r="O104" s="649" t="s">
        <v>750</v>
      </c>
      <c r="P104" s="649" t="s">
        <v>750</v>
      </c>
      <c r="Q104" s="649" t="s">
        <v>750</v>
      </c>
      <c r="R104" s="649" t="s">
        <v>750</v>
      </c>
      <c r="S104" s="649" t="s">
        <v>750</v>
      </c>
      <c r="T104" s="649" t="s">
        <v>750</v>
      </c>
      <c r="U104" s="649" t="s">
        <v>750</v>
      </c>
      <c r="V104" s="649" t="s">
        <v>750</v>
      </c>
      <c r="W104" s="649" t="s">
        <v>750</v>
      </c>
      <c r="X104" s="649" t="s">
        <v>750</v>
      </c>
      <c r="Y104" s="649" t="s">
        <v>750</v>
      </c>
      <c r="Z104" s="647">
        <v>0.19800000000000001</v>
      </c>
      <c r="AA104" s="647">
        <v>0.189</v>
      </c>
      <c r="AB104" s="647">
        <v>0.189</v>
      </c>
      <c r="AC104" s="647">
        <v>0.17599999999999999</v>
      </c>
      <c r="AD104" s="647">
        <v>0.20499999999999999</v>
      </c>
      <c r="AE104" s="2206">
        <v>0.19500000000000001</v>
      </c>
      <c r="AF104" s="647">
        <v>0.19</v>
      </c>
      <c r="AG104" s="647">
        <v>0.182</v>
      </c>
      <c r="AH104" s="647">
        <v>0.219</v>
      </c>
      <c r="AI104" s="356">
        <f t="shared" ref="AI104:BC104" si="86">AI103/AI102</f>
        <v>0.19902912621359223</v>
      </c>
      <c r="AJ104" s="356">
        <f t="shared" si="86"/>
        <v>0.19756838905775076</v>
      </c>
      <c r="AK104" s="356">
        <f t="shared" si="86"/>
        <v>0.18208516886930984</v>
      </c>
      <c r="AL104" s="356">
        <f t="shared" si="86"/>
        <v>0.22222222222222221</v>
      </c>
      <c r="AM104" s="356">
        <f t="shared" si="86"/>
        <v>0.20032245062474807</v>
      </c>
      <c r="AN104" s="356">
        <f t="shared" si="86"/>
        <v>0.19041560644614081</v>
      </c>
      <c r="AO104" s="356">
        <f t="shared" si="86"/>
        <v>0.17726887192536048</v>
      </c>
      <c r="AP104" s="356">
        <f t="shared" si="86"/>
        <v>0.20520446096654274</v>
      </c>
      <c r="AQ104" s="356">
        <f t="shared" si="86"/>
        <v>0.16193125372541228</v>
      </c>
      <c r="AR104" s="356">
        <f t="shared" si="86"/>
        <v>0.16501335368180084</v>
      </c>
      <c r="AS104" s="356">
        <f t="shared" si="86"/>
        <v>0.15283342873497424</v>
      </c>
      <c r="AT104" s="356">
        <f t="shared" si="86"/>
        <v>0.22315937445088738</v>
      </c>
      <c r="AU104" s="356">
        <f t="shared" si="86"/>
        <v>9.3975903614457831E-2</v>
      </c>
      <c r="AV104" s="356">
        <f t="shared" si="86"/>
        <v>-0.34344660194174759</v>
      </c>
      <c r="AW104" s="356">
        <f t="shared" si="86"/>
        <v>0.12536945812807881</v>
      </c>
      <c r="AX104" s="356">
        <f t="shared" si="86"/>
        <v>0.21339330334832585</v>
      </c>
      <c r="AY104" s="356">
        <f t="shared" si="86"/>
        <v>0.10824742268041238</v>
      </c>
      <c r="AZ104" s="356">
        <f t="shared" si="86"/>
        <v>0.16331775700934578</v>
      </c>
      <c r="BA104" s="356">
        <f t="shared" si="86"/>
        <v>0.189648033126294</v>
      </c>
      <c r="BB104" s="356">
        <f t="shared" si="86"/>
        <v>0.24587061252580866</v>
      </c>
      <c r="BC104" s="356">
        <f t="shared" si="86"/>
        <v>0.15255544840887175</v>
      </c>
      <c r="BD104" s="356">
        <f>BD103/BD102</f>
        <v>0.16620549714074895</v>
      </c>
      <c r="BE104" s="356">
        <f t="shared" ref="BE104:BI104" si="87">BE103/BE102</f>
        <v>0.11076356945722171</v>
      </c>
      <c r="BF104" s="356">
        <f t="shared" si="87"/>
        <v>0.15669755686604886</v>
      </c>
      <c r="BG104" s="356">
        <f t="shared" si="87"/>
        <v>0.13017751479289941</v>
      </c>
      <c r="BH104" s="356">
        <f t="shared" si="87"/>
        <v>0.15305761753269706</v>
      </c>
      <c r="BI104" s="356">
        <f t="shared" si="87"/>
        <v>0.15682100408018448</v>
      </c>
      <c r="BJ104" s="356">
        <f t="shared" ref="BJ104:BK104" si="88">BJ103/BJ102</f>
        <v>0.1747620610436495</v>
      </c>
      <c r="BK104" s="356">
        <f t="shared" si="88"/>
        <v>0.13582062120933652</v>
      </c>
      <c r="BL104" s="356">
        <f t="shared" ref="BL104" si="89">BL103/BL102</f>
        <v>0.13392694893694349</v>
      </c>
    </row>
    <row r="105" spans="1:64" s="13" customFormat="1">
      <c r="A105" s="128"/>
      <c r="B105" s="128"/>
      <c r="C105" s="822"/>
      <c r="D105" s="822"/>
      <c r="E105" s="822"/>
      <c r="F105" s="822"/>
      <c r="G105" s="822"/>
      <c r="H105" s="822"/>
      <c r="I105" s="822"/>
      <c r="J105" s="822"/>
      <c r="K105" s="822"/>
      <c r="L105" s="822"/>
      <c r="M105" s="822"/>
      <c r="N105" s="822"/>
      <c r="O105" s="822"/>
      <c r="P105" s="822"/>
      <c r="Q105" s="822"/>
      <c r="R105" s="822"/>
      <c r="S105" s="822"/>
      <c r="T105" s="822"/>
      <c r="U105" s="822"/>
      <c r="V105" s="822"/>
      <c r="W105" s="822"/>
      <c r="X105" s="822"/>
      <c r="Y105" s="822"/>
      <c r="Z105" s="822"/>
      <c r="AA105" s="822"/>
      <c r="AB105" s="822"/>
      <c r="AC105" s="822"/>
      <c r="AD105" s="822"/>
      <c r="AE105" s="2207"/>
      <c r="AF105" s="822"/>
      <c r="AG105" s="822"/>
      <c r="AH105" s="822"/>
      <c r="AI105" s="822"/>
      <c r="AJ105" s="822"/>
      <c r="AK105" s="822"/>
      <c r="AL105" s="822"/>
      <c r="AM105" s="822"/>
      <c r="AN105" s="822"/>
      <c r="AO105" s="822"/>
      <c r="AP105" s="822"/>
      <c r="AQ105" s="822"/>
      <c r="AR105" s="822"/>
      <c r="AS105" s="822"/>
      <c r="AT105" s="822"/>
      <c r="AU105" s="822"/>
      <c r="AV105" s="822"/>
      <c r="AW105" s="822"/>
      <c r="AX105" s="822"/>
      <c r="AY105" s="822"/>
      <c r="AZ105" s="822"/>
      <c r="BA105" s="822"/>
      <c r="BB105" s="822"/>
      <c r="BC105" s="822"/>
      <c r="BD105" s="822"/>
      <c r="BE105" s="822"/>
      <c r="BF105" s="822"/>
      <c r="BG105" s="822"/>
      <c r="BH105" s="822"/>
      <c r="BI105" s="822"/>
      <c r="BJ105" s="822"/>
      <c r="BK105" s="822"/>
      <c r="BL105" s="822"/>
    </row>
    <row r="106" spans="1:64">
      <c r="C106" s="92"/>
      <c r="V106" s="92"/>
      <c r="Y106" s="92"/>
      <c r="AC106" s="92"/>
      <c r="AD106" s="92"/>
      <c r="AE106" s="2188"/>
      <c r="AF106" s="92"/>
      <c r="AH106" s="92"/>
      <c r="AI106" s="92"/>
      <c r="AJ106" s="92"/>
      <c r="AK106" s="915"/>
      <c r="AL106" s="92"/>
      <c r="AM106" s="92"/>
      <c r="AN106" s="92"/>
      <c r="AO106" s="92"/>
      <c r="AP106" s="92"/>
      <c r="AQ106" s="92"/>
    </row>
    <row r="107" spans="1:64">
      <c r="AL107" s="92"/>
    </row>
    <row r="108" spans="1:64" s="2196" customFormat="1">
      <c r="A108" s="2213" t="s">
        <v>733</v>
      </c>
      <c r="B108" s="2213"/>
      <c r="AL108" s="2188"/>
      <c r="AV108" s="2214"/>
    </row>
    <row r="109" spans="1:64">
      <c r="A109" s="9" t="s">
        <v>740</v>
      </c>
      <c r="C109" s="650" t="s">
        <v>750</v>
      </c>
      <c r="D109" s="650" t="s">
        <v>750</v>
      </c>
      <c r="E109" s="650" t="s">
        <v>750</v>
      </c>
      <c r="F109" s="650" t="s">
        <v>750</v>
      </c>
      <c r="G109" s="650" t="s">
        <v>750</v>
      </c>
      <c r="H109" s="650" t="s">
        <v>750</v>
      </c>
      <c r="I109" s="650" t="s">
        <v>750</v>
      </c>
      <c r="J109" s="650" t="s">
        <v>750</v>
      </c>
      <c r="K109" s="650" t="s">
        <v>750</v>
      </c>
      <c r="L109" s="650" t="s">
        <v>750</v>
      </c>
      <c r="M109" s="650" t="s">
        <v>750</v>
      </c>
      <c r="N109" s="650" t="s">
        <v>750</v>
      </c>
      <c r="O109" s="650" t="s">
        <v>750</v>
      </c>
      <c r="P109" s="650" t="s">
        <v>750</v>
      </c>
      <c r="Q109" s="650" t="s">
        <v>750</v>
      </c>
      <c r="R109" s="650" t="s">
        <v>750</v>
      </c>
      <c r="S109" s="650" t="s">
        <v>750</v>
      </c>
      <c r="T109" s="650" t="s">
        <v>750</v>
      </c>
      <c r="U109" s="650" t="s">
        <v>750</v>
      </c>
      <c r="V109" s="647">
        <v>0.26</v>
      </c>
      <c r="W109" s="647">
        <v>0.26500000000000001</v>
      </c>
      <c r="X109" s="647">
        <v>0.19800000000000001</v>
      </c>
      <c r="Y109" s="647">
        <v>0.16400000000000001</v>
      </c>
      <c r="Z109" s="647">
        <v>0.16700000000000001</v>
      </c>
      <c r="AA109" s="647">
        <v>0.154</v>
      </c>
      <c r="AB109" s="647">
        <v>0.27400000000000002</v>
      </c>
      <c r="AC109" s="647">
        <v>0.29299999999999998</v>
      </c>
      <c r="AD109" s="647">
        <v>0.28399999999999997</v>
      </c>
      <c r="AE109" s="2206">
        <v>0.26800000000000002</v>
      </c>
      <c r="AF109" s="647">
        <v>0.23</v>
      </c>
      <c r="AG109" s="647">
        <v>0.23599999999999999</v>
      </c>
      <c r="AH109" s="647">
        <v>0.22</v>
      </c>
      <c r="AI109" s="647">
        <v>0.247</v>
      </c>
      <c r="AJ109" s="647">
        <v>0.16600000000000001</v>
      </c>
      <c r="AK109" s="647">
        <v>0.216</v>
      </c>
      <c r="AL109" s="647">
        <v>0.184</v>
      </c>
      <c r="AM109" s="647">
        <v>9.6000000000000002E-2</v>
      </c>
      <c r="AN109" s="647">
        <v>0.126</v>
      </c>
      <c r="AO109" s="647">
        <v>0.10100000000000001</v>
      </c>
      <c r="AP109" s="647">
        <v>0.15</v>
      </c>
      <c r="AQ109" s="647">
        <v>0.13100000000000001</v>
      </c>
      <c r="AR109" s="647">
        <v>0.16400000000000001</v>
      </c>
      <c r="AS109" s="647">
        <v>0.186</v>
      </c>
      <c r="AT109" s="647">
        <v>0.11600000000000001</v>
      </c>
      <c r="AU109" s="647">
        <v>6.8000000000000005E-2</v>
      </c>
      <c r="AV109" s="1726">
        <v>-0.442</v>
      </c>
      <c r="AW109" s="1726">
        <v>-0.36499999999999999</v>
      </c>
      <c r="AX109" s="1726">
        <v>-0.14199999999999999</v>
      </c>
      <c r="AY109" s="1726">
        <v>4.9000000000000002E-2</v>
      </c>
      <c r="AZ109" s="1726">
        <v>0.98299999999999998</v>
      </c>
      <c r="BA109" s="1726">
        <v>1.01</v>
      </c>
      <c r="BB109" s="1726">
        <v>0.78400000000000003</v>
      </c>
      <c r="BC109" s="1726">
        <v>0.66400000000000003</v>
      </c>
      <c r="BD109" s="1726">
        <v>1.002</v>
      </c>
      <c r="BE109" s="1726">
        <v>0.68200000000000005</v>
      </c>
      <c r="BF109" s="1726">
        <v>0.53500000000000003</v>
      </c>
      <c r="BG109" s="1726">
        <v>0.58299999999999996</v>
      </c>
      <c r="BH109" s="1726">
        <v>0.49</v>
      </c>
      <c r="BI109" s="1726">
        <v>0.41399999999999998</v>
      </c>
      <c r="BJ109" s="1726">
        <v>0.28100000000000003</v>
      </c>
      <c r="BK109" s="1726">
        <v>0.33400000000000002</v>
      </c>
      <c r="BL109" s="1726">
        <v>0.48099999999999998</v>
      </c>
    </row>
    <row r="110" spans="1:64">
      <c r="A110" s="9" t="s">
        <v>741</v>
      </c>
      <c r="C110" s="92">
        <f>Segment!C464+Segment!C465+Segment!C466+Segment!C467+Segment!C468</f>
        <v>155</v>
      </c>
      <c r="D110" s="92">
        <f>Segment!D464+Segment!D465+Segment!D466+Segment!D467+Segment!D468</f>
        <v>162</v>
      </c>
      <c r="E110" s="92">
        <f>Segment!E464+Segment!E465+Segment!E466+Segment!E467+Segment!E468</f>
        <v>165</v>
      </c>
      <c r="F110" s="92">
        <f>Segment!F464+Segment!F465+Segment!F466+Segment!F467+Segment!F468</f>
        <v>170</v>
      </c>
      <c r="G110" s="92">
        <f>Segment!G464+Segment!G465+Segment!G466+Segment!G467+Segment!G468</f>
        <v>171</v>
      </c>
      <c r="H110" s="92">
        <f>Segment!H464+Segment!H465+Segment!H466+Segment!H467+Segment!H468</f>
        <v>178</v>
      </c>
      <c r="I110" s="92">
        <f>Segment!I464+Segment!I465+Segment!I466+Segment!I467+Segment!I468</f>
        <v>157</v>
      </c>
      <c r="J110" s="92">
        <f>Segment!J464+Segment!J465+Segment!J466+Segment!J467+Segment!J468</f>
        <v>169</v>
      </c>
      <c r="K110" s="92">
        <f>Segment!K464+Segment!K465+Segment!K466+Segment!K467+Segment!K468</f>
        <v>172</v>
      </c>
      <c r="L110" s="92">
        <f>Segment!L464+Segment!L465+Segment!L466+Segment!L467+Segment!L468</f>
        <v>176</v>
      </c>
      <c r="M110" s="92">
        <f>Segment!M464+Segment!M465+Segment!M466+Segment!M467+Segment!M468</f>
        <v>189</v>
      </c>
      <c r="N110" s="92">
        <f>Segment!N464+Segment!N465+Segment!N466+Segment!N467+Segment!N468</f>
        <v>208</v>
      </c>
      <c r="O110" s="92">
        <f>Segment!O464+Segment!O465+Segment!O466+Segment!O467+Segment!O468</f>
        <v>212</v>
      </c>
      <c r="P110" s="92">
        <f>Segment!P464+Segment!P465+Segment!P466+Segment!P467+Segment!P468</f>
        <v>224</v>
      </c>
      <c r="Q110" s="92">
        <f>Segment!Q464+Segment!Q465+Segment!Q466+Segment!Q467+Segment!Q468</f>
        <v>236</v>
      </c>
      <c r="R110" s="92">
        <f>Segment!R464+Segment!R465+Segment!R466+Segment!R467+Segment!R468</f>
        <v>249</v>
      </c>
      <c r="S110" s="92">
        <f>Segment!S464+Segment!S465+Segment!S466+Segment!S467+Segment!S468</f>
        <v>253</v>
      </c>
      <c r="T110" s="92">
        <f>Segment!T464+Segment!T465+Segment!T466+Segment!T467+Segment!T468</f>
        <v>263</v>
      </c>
      <c r="U110" s="92">
        <f>Segment!U464+Segment!U465+Segment!U466+Segment!U467+Segment!U468</f>
        <v>275</v>
      </c>
      <c r="V110" s="92">
        <f>Segment!V464+Segment!V465+Segment!V466+Segment!V467+Segment!V468</f>
        <v>287</v>
      </c>
      <c r="W110" s="92">
        <f>Segment!W464+Segment!W465+Segment!W466+Segment!W467+Segment!W468</f>
        <v>294</v>
      </c>
      <c r="X110" s="92">
        <f>Segment!X464+Segment!X465+Segment!X466+Segment!X467+Segment!X468</f>
        <v>298</v>
      </c>
      <c r="Y110" s="92">
        <f>Segment!Y464+Segment!Y465+Segment!Y466+Segment!Y467+Segment!Y468</f>
        <v>317</v>
      </c>
      <c r="Z110" s="92">
        <f>Segment!Z464+Segment!Z465+Segment!Z466+Segment!Z467+Segment!Z468</f>
        <v>343</v>
      </c>
      <c r="AA110" s="92">
        <f>Segment!AA464+Segment!AA465+Segment!AA466+Segment!AA467+Segment!AA468</f>
        <v>350</v>
      </c>
      <c r="AB110" s="92">
        <f>Segment!AB464+Segment!AB465+Segment!AB466+Segment!AB467+Segment!AB468</f>
        <v>365</v>
      </c>
      <c r="AC110" s="92">
        <f>Segment!AC464+Segment!AC465+Segment!AC466+Segment!AC467+Segment!AC468</f>
        <v>382</v>
      </c>
      <c r="AD110" s="92">
        <f>Segment!AD464+Segment!AD465+Segment!AD466+Segment!AD467+Segment!AD468</f>
        <v>395</v>
      </c>
      <c r="AE110" s="2188">
        <f>Segment!AE464+Segment!AE465+Segment!AE466+Segment!AE467+Segment!AE468</f>
        <v>444</v>
      </c>
      <c r="AF110" s="92">
        <f>Segment!AF464+Segment!AF465+Segment!AF466+Segment!AF467+Segment!AF468</f>
        <v>456</v>
      </c>
      <c r="AG110" s="92">
        <f>Segment!AG464+Segment!AG465+Segment!AG466+Segment!AG467+Segment!AG468</f>
        <v>470</v>
      </c>
      <c r="AH110" s="92">
        <f>Segment!AH464+Segment!AH465+Segment!AH466+Segment!AH467+Segment!AH468</f>
        <v>481</v>
      </c>
      <c r="AI110" s="335">
        <f>Segment!AI464+Segment!AI465+Segment!AI466+Segment!AI467+Segment!AI468</f>
        <v>493</v>
      </c>
      <c r="AJ110" s="335">
        <f>Segment!AJ464+Segment!AJ465+Segment!AJ466+Segment!AJ467+Segment!AJ468</f>
        <v>515</v>
      </c>
      <c r="AK110" s="335">
        <f>Segment!AK464+Segment!AK465+Segment!AK466+Segment!AK467+Segment!AK468</f>
        <v>528</v>
      </c>
      <c r="AL110" s="335">
        <f>Segment!AL464+Segment!AL465+Segment!AL466+Segment!AL467+Segment!AL468</f>
        <v>543</v>
      </c>
      <c r="AM110" s="335">
        <f>Segment!AM464+Segment!AM465+Segment!AM466+Segment!AM467+Segment!AM468</f>
        <v>555</v>
      </c>
      <c r="AN110" s="335">
        <v>573</v>
      </c>
      <c r="AO110" s="335">
        <v>607</v>
      </c>
      <c r="AP110" s="335">
        <v>628</v>
      </c>
      <c r="AQ110" s="335">
        <v>631</v>
      </c>
      <c r="AR110" s="335">
        <v>639</v>
      </c>
      <c r="AS110" s="335">
        <v>632</v>
      </c>
      <c r="AT110" s="335">
        <v>640</v>
      </c>
      <c r="AU110" s="335">
        <v>643</v>
      </c>
      <c r="AV110" s="78">
        <v>630</v>
      </c>
      <c r="AW110" s="78">
        <v>625</v>
      </c>
      <c r="AX110" s="78">
        <v>633</v>
      </c>
      <c r="AY110" s="78">
        <v>639</v>
      </c>
      <c r="AZ110" s="78">
        <v>647</v>
      </c>
      <c r="BA110" s="78">
        <v>656</v>
      </c>
      <c r="BB110" s="78">
        <v>664</v>
      </c>
      <c r="BC110" s="78">
        <v>677</v>
      </c>
      <c r="BD110" s="78">
        <v>692</v>
      </c>
      <c r="BE110" s="78">
        <v>697</v>
      </c>
      <c r="BF110" s="78">
        <v>723</v>
      </c>
      <c r="BG110" s="78">
        <v>728</v>
      </c>
      <c r="BH110" s="78">
        <v>745</v>
      </c>
      <c r="BI110" s="78">
        <v>754</v>
      </c>
      <c r="BJ110" s="78">
        <v>775</v>
      </c>
      <c r="BK110" s="78">
        <v>776</v>
      </c>
      <c r="BL110" s="78">
        <v>780</v>
      </c>
    </row>
    <row r="111" spans="1:64">
      <c r="A111" s="9" t="s">
        <v>938</v>
      </c>
      <c r="C111" s="335">
        <f>43+32+2+21+7</f>
        <v>105</v>
      </c>
      <c r="D111" s="335">
        <f>44+32+2+21+11</f>
        <v>110</v>
      </c>
      <c r="E111" s="335">
        <f>45+32+2+21+12</f>
        <v>112</v>
      </c>
      <c r="F111" s="335">
        <f>22+14+45+32+3</f>
        <v>116</v>
      </c>
      <c r="G111" s="335">
        <v>117</v>
      </c>
      <c r="H111" s="335">
        <v>125</v>
      </c>
      <c r="I111" s="335">
        <v>127</v>
      </c>
      <c r="J111" s="335">
        <v>138</v>
      </c>
      <c r="K111" s="335">
        <v>141</v>
      </c>
      <c r="L111" s="335">
        <v>145</v>
      </c>
      <c r="M111" s="335">
        <v>154</v>
      </c>
      <c r="N111" s="335">
        <v>172</v>
      </c>
      <c r="O111" s="335">
        <v>175</v>
      </c>
      <c r="P111" s="335">
        <v>184</v>
      </c>
      <c r="Q111" s="335">
        <v>194</v>
      </c>
      <c r="R111" s="335">
        <v>208</v>
      </c>
      <c r="S111" s="335">
        <v>210</v>
      </c>
      <c r="T111" s="335">
        <v>218</v>
      </c>
      <c r="U111" s="335">
        <v>273</v>
      </c>
      <c r="V111" s="335">
        <v>283</v>
      </c>
      <c r="W111" s="335">
        <v>289</v>
      </c>
      <c r="X111" s="335">
        <v>291</v>
      </c>
      <c r="Y111" s="335">
        <v>308</v>
      </c>
      <c r="Z111" s="335">
        <v>327</v>
      </c>
      <c r="AA111" s="335">
        <v>334</v>
      </c>
      <c r="AB111" s="335">
        <v>349</v>
      </c>
      <c r="AC111" s="335">
        <v>362</v>
      </c>
      <c r="AD111" s="335">
        <v>376</v>
      </c>
      <c r="AE111" s="2186">
        <v>424</v>
      </c>
      <c r="AF111" s="335">
        <v>437</v>
      </c>
      <c r="AG111" s="335">
        <v>450</v>
      </c>
      <c r="AH111" s="335">
        <v>460</v>
      </c>
      <c r="AI111" s="335">
        <v>472</v>
      </c>
      <c r="AJ111" s="335">
        <v>495</v>
      </c>
      <c r="AK111" s="335">
        <v>508</v>
      </c>
      <c r="AL111" s="335">
        <v>522</v>
      </c>
      <c r="AM111" s="335">
        <v>534</v>
      </c>
      <c r="AN111" s="335">
        <v>554</v>
      </c>
      <c r="AO111" s="335">
        <v>589</v>
      </c>
      <c r="AP111" s="335">
        <f>AL111+88</f>
        <v>610</v>
      </c>
      <c r="AQ111" s="335">
        <v>610</v>
      </c>
      <c r="AR111" s="335">
        <v>617</v>
      </c>
      <c r="AS111" s="335">
        <v>610</v>
      </c>
      <c r="AT111" s="335">
        <v>615</v>
      </c>
      <c r="AU111" s="335">
        <v>618</v>
      </c>
      <c r="AV111" s="78">
        <v>605</v>
      </c>
      <c r="AW111" s="78">
        <v>600</v>
      </c>
      <c r="AX111" s="78">
        <v>601</v>
      </c>
      <c r="AY111" s="78">
        <v>605</v>
      </c>
      <c r="AZ111" s="78">
        <v>610</v>
      </c>
      <c r="BA111" s="78">
        <v>618</v>
      </c>
      <c r="BB111" s="78">
        <v>622</v>
      </c>
      <c r="BC111" s="78">
        <v>633</v>
      </c>
      <c r="BD111" s="78">
        <v>645</v>
      </c>
      <c r="BE111" s="78">
        <v>650</v>
      </c>
      <c r="BF111" s="78">
        <v>675</v>
      </c>
      <c r="BG111" s="78">
        <v>680</v>
      </c>
      <c r="BH111" s="78">
        <v>697</v>
      </c>
      <c r="BI111" s="78">
        <v>704</v>
      </c>
      <c r="BJ111" s="78">
        <v>725</v>
      </c>
      <c r="BK111" s="78">
        <f>3+108+118+78+132+161+70+16+3+5+3+29</f>
        <v>726</v>
      </c>
      <c r="BL111" s="78">
        <v>731</v>
      </c>
    </row>
    <row r="112" spans="1:64">
      <c r="A112" s="9" t="s">
        <v>937</v>
      </c>
      <c r="C112" s="335">
        <f t="shared" ref="C112:T112" si="90">C110-C111</f>
        <v>50</v>
      </c>
      <c r="D112" s="335">
        <f t="shared" si="90"/>
        <v>52</v>
      </c>
      <c r="E112" s="335">
        <f t="shared" si="90"/>
        <v>53</v>
      </c>
      <c r="F112" s="335">
        <f t="shared" si="90"/>
        <v>54</v>
      </c>
      <c r="G112" s="335">
        <f t="shared" si="90"/>
        <v>54</v>
      </c>
      <c r="H112" s="335">
        <f t="shared" si="90"/>
        <v>53</v>
      </c>
      <c r="I112" s="335">
        <f t="shared" si="90"/>
        <v>30</v>
      </c>
      <c r="J112" s="335">
        <f t="shared" si="90"/>
        <v>31</v>
      </c>
      <c r="K112" s="335">
        <f t="shared" si="90"/>
        <v>31</v>
      </c>
      <c r="L112" s="335">
        <f t="shared" si="90"/>
        <v>31</v>
      </c>
      <c r="M112" s="335">
        <f t="shared" si="90"/>
        <v>35</v>
      </c>
      <c r="N112" s="335">
        <f t="shared" si="90"/>
        <v>36</v>
      </c>
      <c r="O112" s="335">
        <f t="shared" si="90"/>
        <v>37</v>
      </c>
      <c r="P112" s="335">
        <f t="shared" si="90"/>
        <v>40</v>
      </c>
      <c r="Q112" s="335">
        <f t="shared" si="90"/>
        <v>42</v>
      </c>
      <c r="R112" s="335">
        <f t="shared" si="90"/>
        <v>41</v>
      </c>
      <c r="S112" s="335">
        <f t="shared" si="90"/>
        <v>43</v>
      </c>
      <c r="T112" s="335">
        <f t="shared" si="90"/>
        <v>45</v>
      </c>
      <c r="U112" s="335">
        <v>2</v>
      </c>
      <c r="V112" s="335">
        <v>4</v>
      </c>
      <c r="W112" s="335">
        <v>5</v>
      </c>
      <c r="X112" s="335">
        <v>7</v>
      </c>
      <c r="Y112" s="335">
        <v>9</v>
      </c>
      <c r="Z112" s="335">
        <v>16</v>
      </c>
      <c r="AA112" s="335">
        <v>16</v>
      </c>
      <c r="AB112" s="335">
        <v>16</v>
      </c>
      <c r="AC112" s="335">
        <v>20</v>
      </c>
      <c r="AD112" s="335">
        <v>19</v>
      </c>
      <c r="AE112" s="2186">
        <v>20</v>
      </c>
      <c r="AF112" s="335">
        <v>19</v>
      </c>
      <c r="AG112" s="335">
        <v>20</v>
      </c>
      <c r="AH112" s="335">
        <v>21</v>
      </c>
      <c r="AI112" s="335">
        <v>21</v>
      </c>
      <c r="AJ112" s="335">
        <v>20</v>
      </c>
      <c r="AK112" s="335">
        <v>20</v>
      </c>
      <c r="AL112" s="335">
        <v>21</v>
      </c>
      <c r="AM112" s="335">
        <v>21</v>
      </c>
      <c r="AN112" s="335">
        <v>19</v>
      </c>
      <c r="AO112" s="335">
        <v>18</v>
      </c>
      <c r="AP112" s="335">
        <v>18</v>
      </c>
      <c r="AQ112" s="335">
        <v>21</v>
      </c>
      <c r="AR112" s="335">
        <v>22</v>
      </c>
      <c r="AS112" s="335">
        <v>22</v>
      </c>
      <c r="AT112" s="335">
        <v>25</v>
      </c>
      <c r="AU112" s="335">
        <v>25</v>
      </c>
      <c r="AV112" s="78">
        <v>25</v>
      </c>
      <c r="AW112" s="78">
        <v>25</v>
      </c>
      <c r="AX112" s="78">
        <v>32</v>
      </c>
      <c r="AY112" s="78">
        <v>34</v>
      </c>
      <c r="AZ112" s="78">
        <v>37</v>
      </c>
      <c r="BA112" s="78">
        <v>38</v>
      </c>
      <c r="BB112" s="78">
        <v>42</v>
      </c>
      <c r="BC112" s="78">
        <v>44</v>
      </c>
      <c r="BD112" s="78">
        <v>47</v>
      </c>
      <c r="BE112" s="78">
        <v>47</v>
      </c>
      <c r="BF112" s="78">
        <v>48</v>
      </c>
      <c r="BG112" s="78">
        <v>48</v>
      </c>
      <c r="BH112" s="78">
        <v>49</v>
      </c>
      <c r="BI112" s="78">
        <v>50</v>
      </c>
      <c r="BJ112" s="78">
        <v>50</v>
      </c>
      <c r="BK112" s="78">
        <f>50</f>
        <v>50</v>
      </c>
      <c r="BL112" s="78">
        <v>49</v>
      </c>
    </row>
    <row r="113" spans="1:64">
      <c r="A113" s="9" t="s">
        <v>742</v>
      </c>
      <c r="C113" s="335">
        <v>306.8</v>
      </c>
      <c r="D113" s="335">
        <v>326.8</v>
      </c>
      <c r="E113" s="335">
        <v>376</v>
      </c>
      <c r="F113" s="335">
        <f>1407.7-SUM(C113:E113)</f>
        <v>398.1</v>
      </c>
      <c r="G113" s="335">
        <v>360.8</v>
      </c>
      <c r="H113" s="335">
        <v>430</v>
      </c>
      <c r="I113" s="335">
        <v>504.9</v>
      </c>
      <c r="J113" s="335">
        <v>515</v>
      </c>
      <c r="K113" s="335">
        <v>470.4</v>
      </c>
      <c r="L113" s="335">
        <v>536.6</v>
      </c>
      <c r="M113" s="335">
        <v>662.5</v>
      </c>
      <c r="N113" s="335">
        <v>732.6</v>
      </c>
      <c r="O113" s="335">
        <v>694.2</v>
      </c>
      <c r="P113" s="335">
        <v>847</v>
      </c>
      <c r="Q113" s="335">
        <v>948.2</v>
      </c>
      <c r="R113" s="335">
        <v>927.1</v>
      </c>
      <c r="S113" s="335">
        <v>824</v>
      </c>
      <c r="T113" s="335">
        <v>968</v>
      </c>
      <c r="U113" s="335">
        <v>1172.5999999999999</v>
      </c>
      <c r="V113" s="335">
        <v>1254.9000000000001</v>
      </c>
      <c r="W113" s="335">
        <v>997</v>
      </c>
      <c r="X113" s="335">
        <v>1091</v>
      </c>
      <c r="Y113" s="335">
        <v>1234</v>
      </c>
      <c r="Z113" s="335">
        <v>1299</v>
      </c>
      <c r="AA113" s="335">
        <v>1357</v>
      </c>
      <c r="AB113" s="335">
        <v>1605</v>
      </c>
      <c r="AC113" s="335">
        <v>1849</v>
      </c>
      <c r="AD113" s="335">
        <v>1907</v>
      </c>
      <c r="AE113" s="2186">
        <v>1582</v>
      </c>
      <c r="AF113" s="335">
        <v>1929</v>
      </c>
      <c r="AG113" s="335">
        <v>2253</v>
      </c>
      <c r="AH113" s="335">
        <v>2360</v>
      </c>
      <c r="AI113" s="335">
        <v>2460</v>
      </c>
      <c r="AJ113" s="335">
        <v>2449</v>
      </c>
      <c r="AK113" s="335">
        <v>2634</v>
      </c>
      <c r="AL113" s="335">
        <v>2740</v>
      </c>
      <c r="AM113" s="335">
        <v>2533</v>
      </c>
      <c r="AN113" s="1724">
        <v>2594</v>
      </c>
      <c r="AO113" s="1724">
        <v>2463</v>
      </c>
      <c r="AP113" s="1724">
        <v>2406</v>
      </c>
      <c r="AQ113" s="1724">
        <v>2238</v>
      </c>
      <c r="AR113" s="1724">
        <v>2316</v>
      </c>
      <c r="AS113" s="1724">
        <v>2415</v>
      </c>
      <c r="AT113" s="1724">
        <v>2053</v>
      </c>
      <c r="AU113" s="1724">
        <v>1745</v>
      </c>
      <c r="AV113" s="1724">
        <v>735</v>
      </c>
      <c r="AW113" s="1724">
        <v>1203</v>
      </c>
      <c r="AX113" s="1724">
        <v>1638</v>
      </c>
      <c r="AY113" s="1724">
        <v>1745</v>
      </c>
      <c r="AZ113" s="1724">
        <v>1653</v>
      </c>
      <c r="BA113" s="1724">
        <v>2305</v>
      </c>
      <c r="BB113" s="1724">
        <v>2745</v>
      </c>
      <c r="BC113" s="1724">
        <v>2645</v>
      </c>
      <c r="BD113" s="1724">
        <v>3016</v>
      </c>
      <c r="BE113" s="1724">
        <v>3236</v>
      </c>
      <c r="BF113" s="1724">
        <v>3130</v>
      </c>
      <c r="BG113" s="1724">
        <v>3054</v>
      </c>
      <c r="BH113" s="1724">
        <v>3136</v>
      </c>
      <c r="BI113" s="1724">
        <v>3038</v>
      </c>
      <c r="BJ113" s="1724">
        <v>3113</v>
      </c>
      <c r="BK113" s="1724">
        <v>2493</v>
      </c>
      <c r="BL113" s="1724">
        <v>2854</v>
      </c>
    </row>
    <row r="114" spans="1:64">
      <c r="A114" s="9" t="s">
        <v>187</v>
      </c>
      <c r="C114" s="810" t="s">
        <v>750</v>
      </c>
      <c r="D114" s="650" t="s">
        <v>750</v>
      </c>
      <c r="E114" s="650" t="s">
        <v>750</v>
      </c>
      <c r="F114" s="650" t="s">
        <v>750</v>
      </c>
      <c r="G114" s="650" t="s">
        <v>750</v>
      </c>
      <c r="H114" s="650" t="s">
        <v>750</v>
      </c>
      <c r="I114" s="650" t="s">
        <v>750</v>
      </c>
      <c r="J114" s="650" t="s">
        <v>750</v>
      </c>
      <c r="K114" s="650" t="s">
        <v>750</v>
      </c>
      <c r="L114" s="650" t="s">
        <v>750</v>
      </c>
      <c r="M114" s="650" t="s">
        <v>750</v>
      </c>
      <c r="N114" s="650" t="s">
        <v>750</v>
      </c>
      <c r="O114" s="650" t="s">
        <v>750</v>
      </c>
      <c r="P114" s="650" t="s">
        <v>750</v>
      </c>
      <c r="Q114" s="650" t="s">
        <v>750</v>
      </c>
      <c r="R114" s="650" t="s">
        <v>750</v>
      </c>
      <c r="S114" s="650" t="s">
        <v>750</v>
      </c>
      <c r="T114" s="650" t="s">
        <v>750</v>
      </c>
      <c r="U114" s="650" t="s">
        <v>750</v>
      </c>
      <c r="V114" s="335">
        <v>197</v>
      </c>
      <c r="W114" s="335">
        <v>134</v>
      </c>
      <c r="X114" s="335">
        <v>137</v>
      </c>
      <c r="Y114" s="335">
        <v>183</v>
      </c>
      <c r="Z114" s="335">
        <v>225</v>
      </c>
      <c r="AA114" s="335">
        <v>168</v>
      </c>
      <c r="AB114" s="335">
        <v>228</v>
      </c>
      <c r="AC114" s="335">
        <v>314</v>
      </c>
      <c r="AD114" s="335">
        <v>311</v>
      </c>
      <c r="AE114" s="2186">
        <v>193</v>
      </c>
      <c r="AF114" s="335">
        <v>262</v>
      </c>
      <c r="AG114" s="335">
        <v>357</v>
      </c>
      <c r="AH114" s="335">
        <v>415</v>
      </c>
      <c r="AI114" s="335">
        <v>357</v>
      </c>
      <c r="AJ114" s="335">
        <v>370</v>
      </c>
      <c r="AK114" s="335">
        <v>423</v>
      </c>
      <c r="AL114" s="335">
        <v>412</v>
      </c>
      <c r="AM114" s="335">
        <v>334</v>
      </c>
      <c r="AN114" s="335">
        <v>364</v>
      </c>
      <c r="AO114" s="335">
        <v>377</v>
      </c>
      <c r="AP114" s="335">
        <v>333</v>
      </c>
      <c r="AQ114" s="335">
        <v>277</v>
      </c>
      <c r="AR114" s="335">
        <v>314</v>
      </c>
      <c r="AS114" s="335">
        <v>388</v>
      </c>
      <c r="AT114" s="335">
        <v>284</v>
      </c>
      <c r="AU114" s="335">
        <f>297-SUM(AV114:AX114)</f>
        <v>84</v>
      </c>
      <c r="AV114" s="78">
        <v>-138</v>
      </c>
      <c r="AW114" s="78">
        <v>109</v>
      </c>
      <c r="AX114" s="78">
        <v>242</v>
      </c>
      <c r="AY114" s="78">
        <v>209</v>
      </c>
      <c r="AZ114" s="78">
        <v>189</v>
      </c>
      <c r="BA114" s="78">
        <v>393</v>
      </c>
      <c r="BB114" s="78">
        <v>467</v>
      </c>
      <c r="BC114" s="78">
        <v>372</v>
      </c>
      <c r="BD114" s="78">
        <v>457</v>
      </c>
      <c r="BE114" s="78">
        <v>610</v>
      </c>
      <c r="BF114" s="78">
        <v>529</v>
      </c>
      <c r="BG114" s="78">
        <v>504</v>
      </c>
      <c r="BH114" s="78">
        <v>526</v>
      </c>
      <c r="BI114" s="78">
        <v>613</v>
      </c>
      <c r="BJ114" s="78">
        <v>568</v>
      </c>
      <c r="BK114" s="78">
        <v>413</v>
      </c>
      <c r="BL114" s="78">
        <v>414</v>
      </c>
    </row>
    <row r="115" spans="1:64">
      <c r="A115" s="9" t="s">
        <v>743</v>
      </c>
      <c r="C115" s="650" t="s">
        <v>750</v>
      </c>
      <c r="D115" s="650" t="s">
        <v>750</v>
      </c>
      <c r="E115" s="650" t="s">
        <v>750</v>
      </c>
      <c r="F115" s="650" t="s">
        <v>750</v>
      </c>
      <c r="G115" s="650" t="s">
        <v>750</v>
      </c>
      <c r="H115" s="650" t="s">
        <v>750</v>
      </c>
      <c r="I115" s="650" t="s">
        <v>750</v>
      </c>
      <c r="J115" s="650" t="s">
        <v>750</v>
      </c>
      <c r="K115" s="650" t="s">
        <v>750</v>
      </c>
      <c r="L115" s="650" t="s">
        <v>750</v>
      </c>
      <c r="M115" s="650" t="s">
        <v>750</v>
      </c>
      <c r="N115" s="650" t="s">
        <v>750</v>
      </c>
      <c r="O115" s="650" t="s">
        <v>750</v>
      </c>
      <c r="P115" s="650" t="s">
        <v>750</v>
      </c>
      <c r="Q115" s="650" t="s">
        <v>750</v>
      </c>
      <c r="R115" s="650" t="s">
        <v>750</v>
      </c>
      <c r="S115" s="650" t="s">
        <v>750</v>
      </c>
      <c r="T115" s="650" t="s">
        <v>750</v>
      </c>
      <c r="U115" s="650" t="s">
        <v>750</v>
      </c>
      <c r="V115" s="647">
        <v>0.157</v>
      </c>
      <c r="W115" s="647">
        <v>0.13400000000000001</v>
      </c>
      <c r="X115" s="647">
        <v>0.126</v>
      </c>
      <c r="Y115" s="647">
        <v>0.14799999999999999</v>
      </c>
      <c r="Z115" s="647">
        <v>0.17399999999999999</v>
      </c>
      <c r="AA115" s="647">
        <v>0.124</v>
      </c>
      <c r="AB115" s="647">
        <v>0.14199999999999999</v>
      </c>
      <c r="AC115" s="647">
        <v>0.17</v>
      </c>
      <c r="AD115" s="647">
        <v>0.16300000000000001</v>
      </c>
      <c r="AE115" s="2206">
        <v>0.122</v>
      </c>
      <c r="AF115" s="647">
        <v>0.13600000000000001</v>
      </c>
      <c r="AG115" s="647">
        <v>0.158</v>
      </c>
      <c r="AH115" s="647">
        <v>0.17599999999999999</v>
      </c>
      <c r="AI115" s="356">
        <f t="shared" ref="AI115:AP115" si="91">AI114/AI113</f>
        <v>0.14512195121951219</v>
      </c>
      <c r="AJ115" s="356">
        <f t="shared" si="91"/>
        <v>0.15108207431604737</v>
      </c>
      <c r="AK115" s="356">
        <f t="shared" si="91"/>
        <v>0.16059225512528474</v>
      </c>
      <c r="AL115" s="356">
        <f t="shared" si="91"/>
        <v>0.15036496350364964</v>
      </c>
      <c r="AM115" s="356">
        <f t="shared" si="91"/>
        <v>0.13185945519147257</v>
      </c>
      <c r="AN115" s="356">
        <f t="shared" si="91"/>
        <v>0.14032382420971473</v>
      </c>
      <c r="AO115" s="356">
        <f t="shared" si="91"/>
        <v>0.15306536743808363</v>
      </c>
      <c r="AP115" s="356">
        <f t="shared" si="91"/>
        <v>0.13840399002493767</v>
      </c>
      <c r="AQ115" s="356">
        <f t="shared" ref="AQ115:AZ115" si="92">AQ114/AQ113</f>
        <v>0.12377122430741734</v>
      </c>
      <c r="AR115" s="356">
        <f t="shared" si="92"/>
        <v>0.13557858376511225</v>
      </c>
      <c r="AS115" s="356">
        <f t="shared" si="92"/>
        <v>0.1606625258799172</v>
      </c>
      <c r="AT115" s="356">
        <f t="shared" si="92"/>
        <v>0.13833414515343401</v>
      </c>
      <c r="AU115" s="356">
        <f t="shared" si="92"/>
        <v>4.8137535816618914E-2</v>
      </c>
      <c r="AV115" s="356">
        <f t="shared" si="92"/>
        <v>-0.18775510204081633</v>
      </c>
      <c r="AW115" s="356">
        <f t="shared" si="92"/>
        <v>9.0606816292601824E-2</v>
      </c>
      <c r="AX115" s="356">
        <f t="shared" si="92"/>
        <v>0.14774114774114774</v>
      </c>
      <c r="AY115" s="356">
        <f t="shared" si="92"/>
        <v>0.11977077363896849</v>
      </c>
      <c r="AZ115" s="356">
        <f t="shared" si="92"/>
        <v>0.11433756805807622</v>
      </c>
      <c r="BA115" s="356">
        <f t="shared" ref="BA115:BD115" si="93">BA114/BA113</f>
        <v>0.17049891540130152</v>
      </c>
      <c r="BB115" s="356">
        <f t="shared" si="93"/>
        <v>0.17012750455373407</v>
      </c>
      <c r="BC115" s="356">
        <f t="shared" si="93"/>
        <v>0.14064272211720227</v>
      </c>
      <c r="BD115" s="356">
        <f t="shared" si="93"/>
        <v>0.15152519893899205</v>
      </c>
      <c r="BE115" s="356">
        <f t="shared" ref="BE115:BI115" si="94">BE114/BE113</f>
        <v>0.18850432632880099</v>
      </c>
      <c r="BF115" s="356">
        <f t="shared" si="94"/>
        <v>0.16900958466453675</v>
      </c>
      <c r="BG115" s="356">
        <f t="shared" si="94"/>
        <v>0.16502946954813361</v>
      </c>
      <c r="BH115" s="356">
        <f t="shared" si="94"/>
        <v>0.16772959183673469</v>
      </c>
      <c r="BI115" s="356">
        <f t="shared" si="94"/>
        <v>0.20177748518762342</v>
      </c>
      <c r="BJ115" s="356">
        <f t="shared" ref="BJ115:BK115" si="95">BJ114/BJ113</f>
        <v>0.18246064889174429</v>
      </c>
      <c r="BK115" s="356">
        <f t="shared" si="95"/>
        <v>0.16566385880465304</v>
      </c>
      <c r="BL115" s="356">
        <f>BL114/BL113</f>
        <v>0.14505956552207427</v>
      </c>
    </row>
    <row r="116" spans="1:64" s="13" customFormat="1">
      <c r="A116" s="128"/>
      <c r="B116" s="128"/>
      <c r="C116" s="822"/>
      <c r="D116" s="822"/>
      <c r="E116" s="822"/>
      <c r="F116" s="822"/>
      <c r="G116" s="822"/>
      <c r="H116" s="822"/>
      <c r="I116" s="822"/>
      <c r="J116" s="822"/>
      <c r="K116" s="822"/>
      <c r="L116" s="822"/>
      <c r="M116" s="822"/>
      <c r="N116" s="822"/>
      <c r="O116" s="822"/>
      <c r="P116" s="822"/>
      <c r="Q116" s="822"/>
      <c r="R116" s="822"/>
      <c r="S116" s="822"/>
      <c r="T116" s="822"/>
      <c r="U116" s="822"/>
      <c r="V116" s="822"/>
      <c r="W116" s="822"/>
      <c r="X116" s="822"/>
      <c r="Y116" s="822"/>
      <c r="Z116" s="822"/>
      <c r="AA116" s="822"/>
      <c r="AB116" s="822"/>
      <c r="AC116" s="822"/>
      <c r="AD116" s="822"/>
      <c r="AE116" s="2207"/>
      <c r="AF116" s="822"/>
      <c r="AG116" s="822"/>
      <c r="AH116" s="822"/>
      <c r="AI116" s="822"/>
      <c r="AJ116" s="822"/>
      <c r="AK116" s="822"/>
      <c r="AL116" s="822"/>
      <c r="AM116" s="822"/>
      <c r="AN116" s="822"/>
      <c r="AO116" s="822"/>
      <c r="AP116" s="822"/>
      <c r="AQ116" s="822"/>
      <c r="AR116" s="822"/>
      <c r="AS116" s="822"/>
      <c r="AT116" s="822"/>
      <c r="AU116" s="822"/>
      <c r="AV116" s="822"/>
      <c r="AW116" s="822"/>
      <c r="AX116" s="822"/>
      <c r="AY116" s="822"/>
      <c r="AZ116" s="822"/>
      <c r="BA116" s="822"/>
      <c r="BB116" s="822"/>
      <c r="BC116" s="822"/>
      <c r="BD116" s="822"/>
      <c r="BE116" s="822"/>
      <c r="BF116" s="822"/>
      <c r="BG116" s="822"/>
      <c r="BH116" s="1901"/>
      <c r="BI116" s="822"/>
      <c r="BJ116" s="822"/>
      <c r="BK116" s="822"/>
      <c r="BL116" s="822"/>
    </row>
    <row r="117" spans="1:64" s="13" customFormat="1">
      <c r="A117" s="128"/>
      <c r="B117" s="128"/>
      <c r="C117" s="822"/>
      <c r="D117" s="822"/>
      <c r="E117" s="822"/>
      <c r="F117" s="822"/>
      <c r="G117" s="822"/>
      <c r="H117" s="822"/>
      <c r="I117" s="822"/>
      <c r="J117" s="822"/>
      <c r="K117" s="822"/>
      <c r="L117" s="822"/>
      <c r="M117" s="822"/>
      <c r="N117" s="822"/>
      <c r="O117" s="822"/>
      <c r="P117" s="822"/>
      <c r="Q117" s="822"/>
      <c r="R117" s="822"/>
      <c r="S117" s="822"/>
      <c r="T117" s="822"/>
      <c r="U117" s="822"/>
      <c r="V117" s="822"/>
      <c r="W117" s="822"/>
      <c r="X117" s="822"/>
      <c r="Y117" s="822"/>
      <c r="Z117" s="822"/>
      <c r="AA117" s="822"/>
      <c r="AB117" s="822"/>
      <c r="AC117" s="822"/>
      <c r="AD117" s="822"/>
      <c r="AE117" s="2207"/>
      <c r="AF117" s="822"/>
      <c r="AG117" s="822"/>
      <c r="AH117" s="822"/>
      <c r="AI117" s="822"/>
      <c r="AJ117" s="822"/>
      <c r="AK117" s="822"/>
      <c r="AL117" s="822"/>
      <c r="AM117" s="822"/>
      <c r="AN117" s="822"/>
      <c r="AO117" s="822"/>
      <c r="AP117" s="822"/>
    </row>
    <row r="118" spans="1:64" s="128" customFormat="1">
      <c r="AE118" s="2208"/>
    </row>
    <row r="119" spans="1:64" s="128" customFormat="1">
      <c r="AE119" s="2208"/>
    </row>
    <row r="120" spans="1:64" s="128" customFormat="1">
      <c r="AE120" s="2208"/>
    </row>
    <row r="121" spans="1:64" s="128" customFormat="1">
      <c r="AE121" s="2208"/>
    </row>
    <row r="122" spans="1:64" s="128" customFormat="1">
      <c r="AE122" s="2208"/>
    </row>
    <row r="123" spans="1:64" s="128" customFormat="1">
      <c r="AE123" s="2208"/>
    </row>
    <row r="124" spans="1:64" s="128" customFormat="1">
      <c r="AE124" s="2208"/>
    </row>
    <row r="125" spans="1:64" s="128" customFormat="1">
      <c r="AE125" s="2208"/>
    </row>
    <row r="126" spans="1:64" s="128" customFormat="1">
      <c r="AE126" s="2208"/>
    </row>
    <row r="127" spans="1:64" s="128" customFormat="1">
      <c r="AE127" s="2208"/>
    </row>
    <row r="128" spans="1:64" s="128" customFormat="1">
      <c r="AE128" s="2208"/>
    </row>
    <row r="129" spans="1:64">
      <c r="A129" s="2005"/>
      <c r="B129" s="2005"/>
      <c r="C129" s="2005"/>
      <c r="D129" s="2005"/>
      <c r="E129" s="2005"/>
      <c r="F129" s="2005"/>
      <c r="G129" s="2005"/>
      <c r="H129" s="2005"/>
      <c r="I129" s="2005"/>
      <c r="J129" s="2005"/>
      <c r="K129" s="2005"/>
      <c r="L129" s="2005"/>
      <c r="M129" s="2005"/>
      <c r="N129" s="2005"/>
      <c r="O129" s="2005"/>
      <c r="P129" s="2005"/>
      <c r="Q129" s="2005"/>
      <c r="R129" s="2005"/>
      <c r="S129" s="2005"/>
      <c r="T129" s="2005"/>
      <c r="U129" s="2005"/>
      <c r="V129" s="2005"/>
      <c r="W129" s="2005"/>
      <c r="X129" s="2005"/>
      <c r="Y129" s="2005"/>
      <c r="Z129" s="2005"/>
      <c r="AA129" s="2005"/>
      <c r="AB129" s="2005"/>
      <c r="AC129" s="2005"/>
      <c r="AD129" s="2005"/>
      <c r="AE129" s="2209"/>
      <c r="AF129" s="2005"/>
      <c r="AG129" s="2005"/>
      <c r="AH129" s="2005"/>
      <c r="AI129" s="2005"/>
      <c r="AJ129" s="2005"/>
      <c r="AK129" s="2005"/>
      <c r="AL129" s="2005"/>
      <c r="AM129" s="2005"/>
      <c r="AN129" s="2005"/>
      <c r="AO129" s="2005"/>
      <c r="AP129" s="2005"/>
      <c r="AQ129" s="2005"/>
      <c r="AR129" s="2005"/>
      <c r="AS129" s="2005"/>
      <c r="AT129" s="2005"/>
      <c r="AU129" s="2005"/>
      <c r="AV129" s="2005"/>
      <c r="AW129" s="2005"/>
      <c r="AX129" s="2005"/>
      <c r="AY129" s="2005"/>
      <c r="AZ129" s="2005"/>
      <c r="BA129" s="2005"/>
      <c r="BB129" s="2005"/>
      <c r="BC129" s="2005"/>
      <c r="BD129" s="2005"/>
      <c r="BE129" s="2005"/>
      <c r="BF129" s="2005"/>
      <c r="BG129" s="2005"/>
      <c r="BH129" s="2005"/>
      <c r="BI129" s="2005"/>
      <c r="BJ129" s="2005"/>
      <c r="BK129" s="2005"/>
      <c r="BL129" s="2005"/>
    </row>
    <row r="363" spans="1:71" s="275" customFormat="1">
      <c r="A363" s="279"/>
      <c r="B363" s="279"/>
      <c r="C363" s="288"/>
      <c r="D363" s="288"/>
      <c r="E363" s="288"/>
      <c r="F363" s="288"/>
      <c r="G363" s="288"/>
      <c r="H363" s="288"/>
      <c r="I363" s="288"/>
      <c r="J363" s="288"/>
      <c r="K363" s="288"/>
      <c r="L363" s="288"/>
      <c r="M363" s="288"/>
      <c r="N363" s="288"/>
      <c r="O363" s="288"/>
      <c r="P363" s="288"/>
      <c r="Q363" s="288"/>
      <c r="R363" s="288"/>
      <c r="S363" s="288"/>
      <c r="T363" s="288"/>
      <c r="U363" s="288"/>
      <c r="V363" s="288"/>
      <c r="W363" s="288"/>
      <c r="X363" s="288"/>
      <c r="Y363" s="288"/>
      <c r="Z363" s="288"/>
      <c r="AA363" s="288"/>
      <c r="AB363" s="288"/>
      <c r="AC363" s="288"/>
      <c r="AD363" s="288"/>
      <c r="AE363" s="2189"/>
    </row>
    <row r="364" spans="1:71">
      <c r="A364" s="577" t="s">
        <v>4</v>
      </c>
      <c r="B364" s="577"/>
      <c r="C364" s="578"/>
      <c r="D364" s="578"/>
      <c r="E364" s="578"/>
      <c r="F364" s="578"/>
      <c r="G364" s="578"/>
      <c r="H364" s="288"/>
      <c r="I364" s="288"/>
      <c r="J364" s="288"/>
      <c r="K364" s="288"/>
      <c r="L364" s="288"/>
      <c r="M364" s="288"/>
      <c r="N364" s="288"/>
      <c r="O364" s="288"/>
      <c r="P364" s="288"/>
      <c r="Q364" s="288"/>
      <c r="R364" s="288"/>
      <c r="S364" s="288"/>
      <c r="T364" s="288"/>
      <c r="U364" s="288"/>
      <c r="V364" s="288"/>
      <c r="W364" s="288"/>
      <c r="X364" s="288"/>
      <c r="Y364" s="288"/>
      <c r="Z364" s="288"/>
      <c r="AA364" s="288"/>
      <c r="AB364" s="288"/>
      <c r="AC364" s="288"/>
      <c r="AD364" s="288"/>
      <c r="AE364" s="2189"/>
      <c r="AF364" s="275"/>
      <c r="AG364" s="275"/>
      <c r="AH364" s="275"/>
      <c r="AI364" s="275"/>
      <c r="AJ364" s="275"/>
      <c r="AK364" s="275"/>
      <c r="AL364" s="275"/>
      <c r="AM364" s="275"/>
      <c r="AN364" s="275"/>
      <c r="AO364" s="275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/>
      <c r="BF364" s="275"/>
      <c r="BG364" s="275"/>
      <c r="BH364" s="275"/>
      <c r="BI364" s="275"/>
      <c r="BJ364" s="275"/>
      <c r="BK364" s="275"/>
      <c r="BL364" s="275"/>
      <c r="BM364" s="275"/>
      <c r="BN364" s="275"/>
      <c r="BO364" s="275"/>
      <c r="BP364" s="275"/>
      <c r="BQ364" s="275"/>
      <c r="BR364" s="275"/>
      <c r="BS364" s="275"/>
    </row>
    <row r="365" spans="1:71">
      <c r="A365" s="13" t="s">
        <v>750</v>
      </c>
      <c r="B365" s="13"/>
      <c r="C365" s="62"/>
      <c r="D365" s="62"/>
      <c r="E365" s="62"/>
      <c r="F365" s="62"/>
      <c r="G365" s="62"/>
      <c r="H365" s="277"/>
      <c r="I365" s="277"/>
      <c r="J365" s="277"/>
      <c r="K365" s="277"/>
      <c r="L365" s="277"/>
      <c r="M365" s="277"/>
      <c r="N365" s="277"/>
      <c r="O365" s="277"/>
      <c r="P365" s="277"/>
      <c r="Q365" s="277"/>
      <c r="R365" s="277"/>
      <c r="S365" s="277"/>
      <c r="T365" s="277"/>
      <c r="U365" s="277"/>
      <c r="V365" s="277"/>
      <c r="W365" s="277"/>
      <c r="X365" s="277"/>
      <c r="Y365" s="277"/>
      <c r="Z365" s="277"/>
      <c r="AA365" s="277"/>
      <c r="AB365" s="277"/>
      <c r="AC365" s="277"/>
      <c r="AD365" s="277"/>
      <c r="AE365" s="2210"/>
    </row>
    <row r="366" spans="1:71">
      <c r="A366" s="13"/>
      <c r="B366" s="13"/>
      <c r="C366" s="62"/>
      <c r="D366" s="62"/>
      <c r="E366" s="62"/>
      <c r="F366" s="62"/>
      <c r="G366" s="62"/>
      <c r="H366" s="277"/>
      <c r="I366" s="277"/>
      <c r="J366" s="277"/>
      <c r="K366" s="277"/>
      <c r="L366" s="277"/>
      <c r="M366" s="277"/>
      <c r="N366" s="277"/>
      <c r="O366" s="277"/>
      <c r="P366" s="277"/>
      <c r="Q366" s="277"/>
      <c r="R366" s="277"/>
      <c r="S366" s="277"/>
      <c r="T366" s="277"/>
      <c r="U366" s="277"/>
      <c r="V366" s="277"/>
      <c r="W366" s="277"/>
      <c r="X366" s="277"/>
      <c r="Y366" s="277"/>
      <c r="Z366" s="277"/>
      <c r="AA366" s="277"/>
      <c r="AB366" s="277"/>
      <c r="AC366" s="277"/>
      <c r="AD366" s="277"/>
      <c r="AE366" s="2210"/>
    </row>
    <row r="367" spans="1:71">
      <c r="A367" s="13"/>
      <c r="B367" s="13"/>
      <c r="C367" s="62"/>
      <c r="D367" s="62"/>
      <c r="E367" s="62"/>
      <c r="F367" s="62"/>
      <c r="G367" s="62"/>
      <c r="H367" s="277"/>
      <c r="I367" s="277"/>
      <c r="J367" s="277"/>
      <c r="K367" s="277"/>
      <c r="L367" s="277"/>
      <c r="M367" s="277"/>
      <c r="N367" s="277"/>
      <c r="O367" s="277"/>
      <c r="P367" s="277"/>
      <c r="Q367" s="277"/>
      <c r="R367" s="277"/>
      <c r="S367" s="277"/>
      <c r="T367" s="277"/>
      <c r="U367" s="277"/>
      <c r="V367" s="277"/>
      <c r="W367" s="277"/>
      <c r="X367" s="277"/>
      <c r="Y367" s="277"/>
      <c r="Z367" s="277"/>
      <c r="AA367" s="277"/>
      <c r="AB367" s="277"/>
      <c r="AC367" s="277"/>
      <c r="AD367" s="277"/>
      <c r="AE367" s="2210"/>
    </row>
    <row r="368" spans="1:71">
      <c r="A368" s="577" t="s">
        <v>931</v>
      </c>
      <c r="B368" s="577"/>
      <c r="C368" s="578">
        <v>2009</v>
      </c>
      <c r="D368" s="578">
        <v>2010</v>
      </c>
      <c r="E368" s="578">
        <v>2011</v>
      </c>
      <c r="F368" s="578">
        <v>2012</v>
      </c>
      <c r="G368" s="578">
        <v>2013</v>
      </c>
      <c r="H368" s="578">
        <v>2014</v>
      </c>
      <c r="I368" s="578">
        <v>2015</v>
      </c>
      <c r="J368" s="578">
        <v>2016</v>
      </c>
      <c r="K368" s="578">
        <v>2017</v>
      </c>
      <c r="L368" s="578">
        <v>2018</v>
      </c>
      <c r="M368" s="578">
        <v>2019</v>
      </c>
      <c r="N368" s="578">
        <v>2020</v>
      </c>
      <c r="O368" s="578">
        <v>2021</v>
      </c>
      <c r="P368" s="277"/>
      <c r="Q368" s="277"/>
      <c r="R368" s="277"/>
      <c r="S368" s="277"/>
      <c r="T368" s="277"/>
      <c r="U368" s="277"/>
      <c r="V368" s="277"/>
      <c r="W368" s="277"/>
      <c r="X368" s="277"/>
      <c r="Y368" s="277"/>
      <c r="Z368" s="277"/>
      <c r="AA368" s="277"/>
      <c r="AB368" s="277"/>
      <c r="AC368" s="277"/>
      <c r="AD368" s="277"/>
      <c r="AE368" s="2210"/>
    </row>
    <row r="369" spans="1:70">
      <c r="A369" s="13" t="s">
        <v>767</v>
      </c>
      <c r="B369" s="13"/>
      <c r="C369" s="862"/>
      <c r="D369" s="863">
        <v>3.7999999999999999E-2</v>
      </c>
      <c r="E369" s="863">
        <v>0.122</v>
      </c>
      <c r="F369" s="863">
        <v>0.105</v>
      </c>
      <c r="G369" s="863">
        <v>0.08</v>
      </c>
      <c r="H369" s="863">
        <v>4.4999999999999998E-2</v>
      </c>
      <c r="I369" s="863">
        <v>0.104</v>
      </c>
      <c r="J369" s="863">
        <v>8.8999999999999996E-2</v>
      </c>
      <c r="K369" s="863">
        <v>6.6000000000000003E-2</v>
      </c>
      <c r="L369" s="863">
        <v>4.9000000000000002E-2</v>
      </c>
      <c r="M369" s="863">
        <v>5.0999999999999997E-2</v>
      </c>
      <c r="N369" s="863">
        <v>-0.23</v>
      </c>
      <c r="O369" s="863">
        <v>0.307</v>
      </c>
      <c r="P369" s="277"/>
      <c r="Q369" s="277"/>
      <c r="R369" s="277"/>
      <c r="S369" s="277"/>
      <c r="T369" s="277"/>
      <c r="U369" s="277"/>
      <c r="V369" s="277"/>
      <c r="W369" s="277"/>
      <c r="X369" s="277"/>
      <c r="Y369" s="277"/>
      <c r="Z369" s="277"/>
      <c r="AA369" s="277"/>
      <c r="AB369" s="277"/>
      <c r="AC369" s="277"/>
      <c r="AD369" s="277"/>
      <c r="AE369" s="2210"/>
    </row>
    <row r="370" spans="1:70">
      <c r="A370" s="36" t="s">
        <v>731</v>
      </c>
      <c r="B370" s="36"/>
      <c r="C370" s="62"/>
      <c r="D370" s="862"/>
      <c r="E370" s="862"/>
      <c r="F370" s="862"/>
      <c r="G370" s="1140">
        <v>0.04</v>
      </c>
      <c r="H370" s="1140">
        <v>-4.0000000000000001E-3</v>
      </c>
      <c r="I370" s="864">
        <v>4.3999999999999997E-2</v>
      </c>
      <c r="J370" s="864">
        <v>5.8999999999999997E-2</v>
      </c>
      <c r="K370" s="864">
        <v>3.1E-2</v>
      </c>
      <c r="L370" s="864">
        <v>0.04</v>
      </c>
      <c r="M370" s="864">
        <v>3.4000000000000002E-2</v>
      </c>
      <c r="N370" s="356">
        <v>-0.23</v>
      </c>
      <c r="O370" s="356">
        <v>0.34300000000000003</v>
      </c>
      <c r="P370" s="277"/>
      <c r="Q370" s="277"/>
      <c r="R370" s="277"/>
      <c r="S370" s="277"/>
      <c r="T370" s="277"/>
      <c r="U370" s="277"/>
      <c r="V370" s="277"/>
      <c r="W370" s="277"/>
      <c r="X370" s="277"/>
      <c r="Y370" s="277"/>
      <c r="Z370" s="277"/>
      <c r="AA370" s="277"/>
      <c r="AB370" s="277"/>
      <c r="AC370" s="277"/>
      <c r="AD370" s="277"/>
      <c r="AE370" s="2210"/>
    </row>
    <row r="371" spans="1:70">
      <c r="A371" s="36" t="s">
        <v>733</v>
      </c>
      <c r="B371" s="36"/>
      <c r="C371" s="62"/>
      <c r="D371" s="862"/>
      <c r="E371" s="862"/>
      <c r="F371" s="862"/>
      <c r="G371" s="1140">
        <v>0.21099999999999999</v>
      </c>
      <c r="H371" s="1140">
        <v>0.2</v>
      </c>
      <c r="I371" s="864">
        <v>0.255</v>
      </c>
      <c r="J371" s="864">
        <v>0.23499999999999999</v>
      </c>
      <c r="K371" s="864">
        <v>0.19600000000000001</v>
      </c>
      <c r="L371" s="864">
        <v>0.115</v>
      </c>
      <c r="M371" s="864">
        <v>0.14599999999999999</v>
      </c>
      <c r="N371" s="864">
        <v>-0.20100000000000001</v>
      </c>
      <c r="O371" s="864">
        <v>0.63400000000000001</v>
      </c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210"/>
    </row>
    <row r="372" spans="1:70">
      <c r="A372" s="36" t="s">
        <v>949</v>
      </c>
      <c r="B372" s="36"/>
      <c r="C372" s="62"/>
      <c r="D372" s="862"/>
      <c r="E372" s="862"/>
      <c r="F372" s="862"/>
      <c r="G372" s="1050" t="s">
        <v>750</v>
      </c>
      <c r="H372" s="1140">
        <v>6.5000000000000002E-2</v>
      </c>
      <c r="I372" s="864">
        <v>7.1999999999999995E-2</v>
      </c>
      <c r="J372" s="864">
        <v>4.2999999999999997E-2</v>
      </c>
      <c r="K372" s="864">
        <v>2.3E-2</v>
      </c>
      <c r="L372" s="864">
        <v>1.0999999999999999E-2</v>
      </c>
      <c r="M372" s="864">
        <v>0.02</v>
      </c>
      <c r="N372" s="864">
        <v>-0.24399999999999999</v>
      </c>
      <c r="O372" s="864">
        <v>0.127</v>
      </c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210"/>
    </row>
    <row r="373" spans="1:70">
      <c r="A373" s="13"/>
      <c r="B373" s="13"/>
      <c r="C373" s="62"/>
      <c r="D373" s="62"/>
      <c r="E373" s="62"/>
      <c r="F373" s="62"/>
      <c r="G373" s="62"/>
      <c r="H373" s="277"/>
      <c r="I373" s="277"/>
      <c r="J373" s="277"/>
      <c r="K373" s="277"/>
      <c r="L373" s="277"/>
      <c r="M373" s="277"/>
      <c r="N373" s="277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210"/>
    </row>
    <row r="374" spans="1:70">
      <c r="A374" s="13"/>
      <c r="B374" s="13"/>
      <c r="C374" s="62"/>
      <c r="D374" s="62"/>
      <c r="E374" s="62"/>
      <c r="F374" s="62"/>
      <c r="G374" s="62"/>
      <c r="H374" s="277"/>
      <c r="I374" s="277"/>
      <c r="J374" s="277"/>
      <c r="K374" s="277"/>
      <c r="L374" s="277"/>
      <c r="M374" s="1837"/>
      <c r="N374" s="277"/>
      <c r="O374" s="277"/>
      <c r="P374" s="1837"/>
      <c r="Q374" s="277"/>
      <c r="R374" s="277"/>
      <c r="S374" s="277"/>
      <c r="T374" s="277"/>
      <c r="U374" s="277"/>
      <c r="V374" s="277"/>
      <c r="W374" s="277"/>
      <c r="X374" s="277"/>
      <c r="Y374" s="277"/>
      <c r="Z374" s="277"/>
      <c r="AA374" s="277"/>
      <c r="AB374" s="277"/>
      <c r="AC374" s="277"/>
      <c r="AD374" s="277"/>
      <c r="AE374" s="2210"/>
    </row>
    <row r="375" spans="1:70">
      <c r="A375" s="627"/>
      <c r="B375" s="627"/>
      <c r="C375" s="628"/>
      <c r="D375" s="628"/>
      <c r="E375" s="628"/>
      <c r="F375" s="628"/>
      <c r="G375" s="628"/>
      <c r="H375" s="628"/>
      <c r="I375" s="628"/>
      <c r="J375" s="628"/>
      <c r="K375" s="628"/>
      <c r="L375" s="628"/>
      <c r="M375" s="628"/>
      <c r="N375" s="628"/>
      <c r="O375" s="628"/>
      <c r="P375" s="628"/>
      <c r="Q375" s="628"/>
      <c r="R375" s="628"/>
      <c r="S375" s="628"/>
      <c r="T375" s="628"/>
      <c r="U375" s="628"/>
      <c r="V375" s="628"/>
      <c r="W375" s="628"/>
      <c r="X375" s="628"/>
      <c r="Y375" s="628"/>
      <c r="Z375" s="628"/>
      <c r="AA375" s="628"/>
      <c r="AB375" s="628"/>
      <c r="AC375" s="628"/>
      <c r="AD375" s="628"/>
      <c r="AE375" s="2211"/>
      <c r="AF375" s="629"/>
      <c r="AG375" s="629"/>
      <c r="AH375" s="629"/>
      <c r="AI375" s="629"/>
      <c r="AJ375" s="629"/>
      <c r="AK375" s="629"/>
      <c r="AL375" s="629"/>
      <c r="AM375" s="629"/>
      <c r="AN375" s="629"/>
      <c r="AO375" s="629"/>
      <c r="AP375" s="629"/>
      <c r="AQ375" s="629"/>
      <c r="AR375" s="629"/>
      <c r="AS375" s="629"/>
      <c r="AT375" s="629"/>
      <c r="AU375" s="629"/>
      <c r="AV375" s="629"/>
      <c r="AW375" s="629"/>
      <c r="AX375" s="629"/>
      <c r="AY375" s="629"/>
      <c r="AZ375" s="629"/>
      <c r="BA375" s="629"/>
      <c r="BB375" s="629"/>
      <c r="BC375" s="629"/>
      <c r="BD375" s="629"/>
      <c r="BE375" s="629"/>
      <c r="BF375" s="629"/>
      <c r="BG375" s="629"/>
      <c r="BH375" s="629"/>
      <c r="BI375" s="629"/>
      <c r="BJ375" s="629"/>
      <c r="BK375" s="1502"/>
      <c r="BL375" s="629"/>
      <c r="BM375" s="629"/>
      <c r="BN375" s="629"/>
      <c r="BO375" s="629"/>
      <c r="BP375" s="629"/>
      <c r="BQ375" s="629"/>
      <c r="BR375" s="629"/>
    </row>
    <row r="376" spans="1:70">
      <c r="A376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376" s="623"/>
      <c r="C376" s="4"/>
      <c r="D376" s="4"/>
      <c r="E376" s="4"/>
      <c r="F376" s="4"/>
      <c r="G376" s="4"/>
      <c r="H376" s="4"/>
      <c r="I376" s="12"/>
      <c r="J376" s="624"/>
      <c r="K376" s="4"/>
      <c r="L376" s="4"/>
      <c r="M376" s="12"/>
      <c r="N376" s="624"/>
      <c r="O376" s="4"/>
      <c r="P376" s="4"/>
      <c r="Q376" s="625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2212"/>
      <c r="AF376" s="4"/>
      <c r="AG376" s="4"/>
      <c r="AH376" s="631"/>
      <c r="AI376" s="4"/>
      <c r="AJ376" s="4"/>
      <c r="AK376" s="4"/>
      <c r="AL376" s="4"/>
      <c r="AM376" s="4"/>
      <c r="AN376" s="4"/>
      <c r="AO376" s="4"/>
      <c r="AP376" s="4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626" t="s">
        <v>281</v>
      </c>
    </row>
  </sheetData>
  <phoneticPr fontId="18" type="noConversion"/>
  <pageMargins left="0.25" right="0.25" top="0.5" bottom="0.5" header="0.5" footer="0.5"/>
  <pageSetup scale="27" orientation="portrait" r:id="rId1"/>
  <headerFooter alignWithMargins="0"/>
  <rowBreaks count="1" manualBreakCount="1">
    <brk id="59" min="22" max="29" man="1"/>
  </rowBreaks>
  <ignoredErrors>
    <ignoredError sqref="AG38:AG41 AV6" 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4" tint="0.79998168889431442"/>
  </sheetPr>
  <dimension ref="A1:BT664"/>
  <sheetViews>
    <sheetView showGridLines="0" zoomScaleNormal="100" workbookViewId="0">
      <pane xSplit="34" ySplit="3" topLeftCell="AU4" activePane="bottomRight" state="frozen"/>
      <selection activeCell="BJ108" sqref="BJ108"/>
      <selection pane="topRight" activeCell="BJ108" sqref="BJ108"/>
      <selection pane="bottomLeft" activeCell="BJ108" sqref="BJ108"/>
      <selection pane="bottomRight"/>
    </sheetView>
  </sheetViews>
  <sheetFormatPr baseColWidth="10" defaultColWidth="9.140625" defaultRowHeight="12.75" outlineLevelRow="1" outlineLevelCol="1"/>
  <cols>
    <col min="1" max="1" width="39.42578125" bestFit="1" customWidth="1"/>
    <col min="2" max="34" width="0" hidden="1" customWidth="1" outlineLevel="1"/>
    <col min="35" max="35" width="9" bestFit="1" customWidth="1" collapsed="1"/>
    <col min="36" max="42" width="9.42578125" bestFit="1" customWidth="1"/>
    <col min="43" max="44" width="11" bestFit="1" customWidth="1"/>
    <col min="45" max="45" width="9.42578125" bestFit="1" customWidth="1"/>
    <col min="63" max="63" width="8.85546875"/>
  </cols>
  <sheetData>
    <row r="1" spans="1:70" s="9" customFormat="1" ht="18">
      <c r="A1" s="24" t="str">
        <f>Index!$G$12</f>
        <v>Alsea</v>
      </c>
      <c r="B1" s="2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409"/>
      <c r="AA1" s="409"/>
      <c r="AB1" s="409"/>
      <c r="AC1" s="409"/>
      <c r="AD1" s="409"/>
      <c r="AE1" s="409"/>
      <c r="AF1" s="554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4"/>
      <c r="BC1" s="554"/>
      <c r="BD1" s="554"/>
      <c r="BE1" s="554"/>
      <c r="BF1" s="554"/>
      <c r="BG1" s="554"/>
      <c r="BH1" s="554"/>
      <c r="BI1" s="554"/>
      <c r="BJ1" s="554"/>
      <c r="BK1" s="554"/>
      <c r="BL1" s="554"/>
      <c r="BM1" s="554"/>
      <c r="BN1" s="554"/>
      <c r="BO1" s="554"/>
      <c r="BP1" s="554"/>
      <c r="BQ1" s="554"/>
      <c r="BR1" s="554"/>
    </row>
    <row r="2" spans="1:70" s="9" customFormat="1">
      <c r="A2" s="551" t="s">
        <v>1044</v>
      </c>
      <c r="B2" s="551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409"/>
      <c r="AA2" s="409"/>
      <c r="AB2" s="409"/>
      <c r="AC2" s="409"/>
      <c r="AD2" s="409"/>
      <c r="AE2" s="409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</row>
    <row r="3" spans="1:70" s="9" customFormat="1" ht="11.25">
      <c r="A3" s="577" t="s">
        <v>1005</v>
      </c>
      <c r="B3" s="577"/>
      <c r="C3" s="578" t="s">
        <v>690</v>
      </c>
      <c r="D3" s="578" t="s">
        <v>691</v>
      </c>
      <c r="E3" s="578" t="s">
        <v>692</v>
      </c>
      <c r="F3" s="578" t="s">
        <v>693</v>
      </c>
      <c r="G3" s="578" t="s">
        <v>114</v>
      </c>
      <c r="H3" s="578" t="s">
        <v>115</v>
      </c>
      <c r="I3" s="578" t="s">
        <v>116</v>
      </c>
      <c r="J3" s="578" t="s">
        <v>117</v>
      </c>
      <c r="K3" s="578" t="s">
        <v>267</v>
      </c>
      <c r="L3" s="578" t="s">
        <v>268</v>
      </c>
      <c r="M3" s="578" t="s">
        <v>272</v>
      </c>
      <c r="N3" s="578" t="s">
        <v>273</v>
      </c>
      <c r="O3" s="578" t="s">
        <v>276</v>
      </c>
      <c r="P3" s="578" t="s">
        <v>13</v>
      </c>
      <c r="Q3" s="578" t="s">
        <v>14</v>
      </c>
      <c r="R3" s="578" t="s">
        <v>15</v>
      </c>
      <c r="S3" s="578" t="s">
        <v>292</v>
      </c>
      <c r="T3" s="578" t="s">
        <v>274</v>
      </c>
      <c r="U3" s="578" t="s">
        <v>196</v>
      </c>
      <c r="V3" s="578" t="s">
        <v>154</v>
      </c>
      <c r="W3" s="578" t="s">
        <v>155</v>
      </c>
      <c r="X3" s="578" t="s">
        <v>156</v>
      </c>
      <c r="Y3" s="578" t="s">
        <v>157</v>
      </c>
      <c r="Z3" s="578" t="s">
        <v>158</v>
      </c>
      <c r="AA3" s="578" t="s">
        <v>159</v>
      </c>
      <c r="AB3" s="578" t="s">
        <v>160</v>
      </c>
      <c r="AC3" s="578" t="s">
        <v>161</v>
      </c>
      <c r="AD3" s="578" t="s">
        <v>162</v>
      </c>
      <c r="AE3" s="578" t="s">
        <v>163</v>
      </c>
      <c r="AF3" s="578" t="s">
        <v>164</v>
      </c>
      <c r="AG3" s="578" t="s">
        <v>165</v>
      </c>
      <c r="AH3" s="578" t="s">
        <v>166</v>
      </c>
      <c r="AI3" s="578" t="s">
        <v>167</v>
      </c>
      <c r="AJ3" s="578" t="s">
        <v>168</v>
      </c>
      <c r="AK3" s="578" t="s">
        <v>169</v>
      </c>
      <c r="AL3" s="578" t="s">
        <v>170</v>
      </c>
      <c r="AM3" s="578" t="s">
        <v>171</v>
      </c>
      <c r="AN3" s="578" t="s">
        <v>172</v>
      </c>
      <c r="AO3" s="578" t="s">
        <v>173</v>
      </c>
      <c r="AP3" s="578" t="s">
        <v>174</v>
      </c>
      <c r="AQ3" s="578" t="s">
        <v>175</v>
      </c>
      <c r="AR3" s="578" t="s">
        <v>176</v>
      </c>
      <c r="AS3" s="578" t="s">
        <v>177</v>
      </c>
      <c r="AT3" s="578" t="s">
        <v>178</v>
      </c>
      <c r="AU3" s="578" t="s">
        <v>179</v>
      </c>
      <c r="AV3" s="578" t="s">
        <v>180</v>
      </c>
      <c r="AW3" s="578" t="s">
        <v>181</v>
      </c>
      <c r="AX3" s="578" t="s">
        <v>182</v>
      </c>
      <c r="AY3" s="578" t="s">
        <v>183</v>
      </c>
      <c r="AZ3" s="578" t="s">
        <v>184</v>
      </c>
      <c r="BA3" s="578" t="s">
        <v>185</v>
      </c>
      <c r="BB3" s="578" t="s">
        <v>186</v>
      </c>
      <c r="BC3" s="578" t="s">
        <v>452</v>
      </c>
      <c r="BD3" s="578" t="s">
        <v>453</v>
      </c>
      <c r="BE3" s="578" t="s">
        <v>454</v>
      </c>
      <c r="BF3" s="578" t="s">
        <v>455</v>
      </c>
      <c r="BG3" s="578" t="s">
        <v>456</v>
      </c>
      <c r="BH3" s="578" t="s">
        <v>457</v>
      </c>
      <c r="BI3" s="578" t="s">
        <v>458</v>
      </c>
      <c r="BJ3" s="578" t="s">
        <v>459</v>
      </c>
      <c r="BK3" s="578" t="s">
        <v>460</v>
      </c>
      <c r="BL3" s="578" t="s">
        <v>461</v>
      </c>
      <c r="BM3" s="578" t="s">
        <v>462</v>
      </c>
      <c r="BN3" s="578" t="s">
        <v>463</v>
      </c>
      <c r="BO3" s="578" t="s">
        <v>464</v>
      </c>
      <c r="BP3" s="578" t="s">
        <v>465</v>
      </c>
      <c r="BQ3" s="578" t="s">
        <v>466</v>
      </c>
      <c r="BR3" s="578" t="s">
        <v>467</v>
      </c>
    </row>
    <row r="4" spans="1:70" s="9" customFormat="1" ht="11.25">
      <c r="A4" s="13"/>
      <c r="C4" s="92"/>
      <c r="V4" s="92"/>
      <c r="Y4" s="92"/>
      <c r="AC4" s="92"/>
      <c r="AD4" s="92"/>
      <c r="AE4" s="92"/>
      <c r="AF4" s="92"/>
      <c r="AH4" s="92"/>
      <c r="AI4" s="92"/>
      <c r="AJ4" s="92"/>
      <c r="AK4" s="92"/>
      <c r="AL4" s="92"/>
      <c r="AM4" s="92"/>
      <c r="AN4" s="92"/>
      <c r="AO4" s="92"/>
      <c r="AP4" s="92"/>
    </row>
    <row r="5" spans="1:70" s="9" customFormat="1" ht="11.25">
      <c r="A5" s="1042" t="s">
        <v>731</v>
      </c>
      <c r="B5" s="1043"/>
      <c r="C5" s="1044"/>
      <c r="D5" s="1043"/>
      <c r="E5" s="1043"/>
      <c r="F5" s="1043"/>
      <c r="G5" s="1043"/>
      <c r="H5" s="1043"/>
      <c r="I5" s="1043"/>
      <c r="J5" s="1043"/>
      <c r="K5" s="1043"/>
      <c r="L5" s="1043"/>
      <c r="M5" s="1043"/>
      <c r="N5" s="1043"/>
      <c r="O5" s="1043"/>
      <c r="P5" s="1043"/>
      <c r="Q5" s="1043"/>
      <c r="R5" s="1043"/>
      <c r="S5" s="1043"/>
      <c r="T5" s="1043"/>
      <c r="U5" s="1043"/>
      <c r="V5" s="1044"/>
      <c r="W5" s="1043"/>
      <c r="X5" s="1043"/>
      <c r="Y5" s="1044"/>
      <c r="Z5" s="1043"/>
      <c r="AA5" s="1043"/>
      <c r="AB5" s="1043"/>
      <c r="AC5" s="1044"/>
      <c r="AD5" s="1044"/>
      <c r="AE5" s="1044"/>
      <c r="AF5" s="1044"/>
      <c r="AG5" s="1043"/>
      <c r="AH5" s="1044"/>
      <c r="AI5" s="1044"/>
      <c r="AJ5" s="1044"/>
      <c r="AK5" s="1044"/>
      <c r="AL5" s="1044"/>
      <c r="AM5" s="1044"/>
      <c r="AN5" s="1044"/>
      <c r="AO5" s="1044"/>
      <c r="AP5" s="1044"/>
      <c r="AQ5" s="1043"/>
      <c r="AR5" s="1043"/>
      <c r="AS5" s="1043"/>
      <c r="AT5" s="1043"/>
      <c r="AU5" s="1043"/>
      <c r="AV5" s="1043"/>
      <c r="AW5" s="1043"/>
      <c r="AX5" s="1043"/>
      <c r="AY5" s="1043"/>
      <c r="AZ5" s="1043"/>
      <c r="BA5" s="1043"/>
      <c r="BB5" s="1043"/>
      <c r="BC5" s="1043"/>
      <c r="BD5" s="1043"/>
      <c r="BE5" s="1043"/>
      <c r="BF5" s="1043"/>
      <c r="BG5" s="1043"/>
      <c r="BH5" s="1043"/>
      <c r="BI5" s="1043"/>
      <c r="BJ5" s="1043"/>
      <c r="BK5" s="1043"/>
      <c r="BL5" s="1043"/>
      <c r="BM5" s="1043"/>
      <c r="BN5" s="1043"/>
      <c r="BO5" s="1043"/>
      <c r="BP5" s="1043"/>
      <c r="BQ5" s="1043"/>
      <c r="BR5" s="1043"/>
    </row>
    <row r="6" spans="1:70" s="9" customFormat="1" ht="11.25">
      <c r="A6" s="513" t="s">
        <v>1060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</row>
    <row r="7" spans="1:70" s="9" customFormat="1" ht="11.25">
      <c r="A7" s="342" t="s">
        <v>1007</v>
      </c>
      <c r="C7" s="335"/>
      <c r="D7" s="335"/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>
        <f t="shared" ref="AC7:AK7" si="0">AC31-AC19</f>
        <v>385</v>
      </c>
      <c r="AD7" s="335">
        <f t="shared" si="0"/>
        <v>388</v>
      </c>
      <c r="AE7" s="335">
        <f t="shared" si="0"/>
        <v>379</v>
      </c>
      <c r="AF7" s="335">
        <f t="shared" si="0"/>
        <v>379</v>
      </c>
      <c r="AG7" s="335">
        <f t="shared" si="0"/>
        <v>398</v>
      </c>
      <c r="AH7" s="335">
        <f t="shared" si="0"/>
        <v>407</v>
      </c>
      <c r="AI7" s="335">
        <f t="shared" si="0"/>
        <v>420</v>
      </c>
      <c r="AJ7" s="335">
        <f t="shared" si="0"/>
        <v>422</v>
      </c>
      <c r="AK7" s="335">
        <f t="shared" si="0"/>
        <v>426</v>
      </c>
      <c r="AL7" s="335">
        <v>435</v>
      </c>
      <c r="AM7" s="335">
        <v>438</v>
      </c>
      <c r="AN7" s="335">
        <v>442</v>
      </c>
      <c r="AO7" s="335">
        <v>446</v>
      </c>
      <c r="AP7" s="335">
        <v>473</v>
      </c>
      <c r="AQ7" s="335">
        <v>476</v>
      </c>
      <c r="AR7" s="335">
        <v>477</v>
      </c>
      <c r="AS7" s="335">
        <v>478</v>
      </c>
      <c r="AT7" s="335">
        <v>466</v>
      </c>
      <c r="AU7" s="335">
        <v>456</v>
      </c>
      <c r="AV7" s="335">
        <v>454</v>
      </c>
      <c r="AW7" s="335">
        <v>448</v>
      </c>
      <c r="AX7" s="335">
        <v>445</v>
      </c>
      <c r="AY7" s="335">
        <v>444</v>
      </c>
      <c r="AZ7" s="335">
        <v>443</v>
      </c>
      <c r="BA7" s="335">
        <v>437</v>
      </c>
      <c r="BB7" s="335">
        <v>447</v>
      </c>
      <c r="BC7" s="335">
        <v>444</v>
      </c>
      <c r="BD7" s="335">
        <v>446</v>
      </c>
      <c r="BE7" s="335">
        <v>446</v>
      </c>
      <c r="BF7" s="335">
        <v>460</v>
      </c>
      <c r="BG7" s="335">
        <v>462</v>
      </c>
      <c r="BH7" s="335">
        <v>462</v>
      </c>
      <c r="BI7" s="335">
        <v>464</v>
      </c>
      <c r="BJ7" s="335">
        <v>486</v>
      </c>
      <c r="BK7" s="335">
        <v>491</v>
      </c>
      <c r="BL7" s="335">
        <v>500</v>
      </c>
    </row>
    <row r="8" spans="1:70" s="9" customFormat="1" ht="11.25">
      <c r="A8" s="342" t="s">
        <v>1018</v>
      </c>
      <c r="C8" s="335"/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>
        <f t="shared" ref="AC8:AK8" si="1">AC32-AC20</f>
        <v>507</v>
      </c>
      <c r="AD8" s="335">
        <f t="shared" si="1"/>
        <v>520</v>
      </c>
      <c r="AE8" s="335">
        <f t="shared" si="1"/>
        <v>526</v>
      </c>
      <c r="AF8" s="335">
        <f t="shared" si="1"/>
        <v>538</v>
      </c>
      <c r="AG8" s="335">
        <f t="shared" si="1"/>
        <v>565</v>
      </c>
      <c r="AH8" s="335">
        <f t="shared" si="1"/>
        <v>589</v>
      </c>
      <c r="AI8" s="335">
        <f t="shared" si="1"/>
        <v>602</v>
      </c>
      <c r="AJ8" s="335">
        <f t="shared" si="1"/>
        <v>610</v>
      </c>
      <c r="AK8" s="335">
        <f t="shared" si="1"/>
        <v>630</v>
      </c>
      <c r="AL8" s="335">
        <v>645</v>
      </c>
      <c r="AM8" s="335">
        <v>668</v>
      </c>
      <c r="AN8" s="335">
        <v>687</v>
      </c>
      <c r="AO8" s="335">
        <v>707</v>
      </c>
      <c r="AP8" s="335">
        <v>723</v>
      </c>
      <c r="AQ8" s="335">
        <v>729</v>
      </c>
      <c r="AR8" s="335">
        <v>737</v>
      </c>
      <c r="AS8" s="335">
        <v>746</v>
      </c>
      <c r="AT8" s="335">
        <v>749</v>
      </c>
      <c r="AU8" s="335">
        <v>751</v>
      </c>
      <c r="AV8" s="335">
        <v>754</v>
      </c>
      <c r="AW8" s="335">
        <v>758</v>
      </c>
      <c r="AX8" s="335">
        <v>747</v>
      </c>
      <c r="AY8" s="335">
        <v>746</v>
      </c>
      <c r="AZ8" s="335">
        <v>745</v>
      </c>
      <c r="BA8" s="335">
        <v>741</v>
      </c>
      <c r="BB8" s="335">
        <v>746</v>
      </c>
      <c r="BC8" s="335">
        <v>750</v>
      </c>
      <c r="BD8" s="335">
        <v>753</v>
      </c>
      <c r="BE8" s="335">
        <v>763</v>
      </c>
      <c r="BF8" s="335">
        <v>783</v>
      </c>
      <c r="BG8" s="335">
        <v>785</v>
      </c>
      <c r="BH8" s="335">
        <v>791</v>
      </c>
      <c r="BI8" s="335">
        <v>796</v>
      </c>
      <c r="BJ8" s="335">
        <v>820</v>
      </c>
      <c r="BK8" s="335">
        <v>830</v>
      </c>
      <c r="BL8" s="335">
        <v>844</v>
      </c>
    </row>
    <row r="9" spans="1:70" s="9" customFormat="1" ht="11.25">
      <c r="A9" s="342" t="s">
        <v>1008</v>
      </c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335"/>
      <c r="S9" s="335"/>
      <c r="T9" s="335"/>
      <c r="U9" s="335"/>
      <c r="V9" s="335"/>
      <c r="W9" s="335"/>
      <c r="X9" s="335"/>
      <c r="Y9" s="335"/>
      <c r="Z9" s="335"/>
      <c r="AA9" s="335"/>
      <c r="AB9" s="335"/>
      <c r="AC9" s="335">
        <f t="shared" ref="AC9:AK9" si="2">AC33-AC21</f>
        <v>212</v>
      </c>
      <c r="AD9" s="335">
        <f t="shared" si="2"/>
        <v>212</v>
      </c>
      <c r="AE9" s="335">
        <f t="shared" si="2"/>
        <v>207</v>
      </c>
      <c r="AF9" s="335">
        <f t="shared" si="2"/>
        <v>205</v>
      </c>
      <c r="AG9" s="335">
        <f t="shared" si="2"/>
        <v>205</v>
      </c>
      <c r="AH9" s="335">
        <f t="shared" si="2"/>
        <v>208</v>
      </c>
      <c r="AI9" s="335">
        <f t="shared" si="2"/>
        <v>205</v>
      </c>
      <c r="AJ9" s="335">
        <f t="shared" si="2"/>
        <v>205</v>
      </c>
      <c r="AK9" s="335">
        <f t="shared" si="2"/>
        <v>205</v>
      </c>
      <c r="AL9" s="335">
        <v>205</v>
      </c>
      <c r="AM9" s="335">
        <v>181</v>
      </c>
      <c r="AN9" s="335">
        <v>181</v>
      </c>
      <c r="AO9" s="335">
        <v>181</v>
      </c>
      <c r="AP9" s="335">
        <v>181</v>
      </c>
      <c r="AQ9" s="335">
        <v>181</v>
      </c>
      <c r="AR9" s="335">
        <v>181</v>
      </c>
      <c r="AS9" s="335">
        <v>181</v>
      </c>
      <c r="AT9" s="335">
        <v>182</v>
      </c>
      <c r="AU9" s="335">
        <v>181</v>
      </c>
      <c r="AV9" s="335">
        <v>177</v>
      </c>
      <c r="AW9" s="335">
        <v>176</v>
      </c>
      <c r="AX9" s="335">
        <v>175</v>
      </c>
      <c r="AY9" s="335">
        <v>175</v>
      </c>
      <c r="AZ9" s="335">
        <v>175</v>
      </c>
      <c r="BA9" s="335">
        <v>174</v>
      </c>
      <c r="BB9" s="335">
        <v>173</v>
      </c>
      <c r="BC9" s="335">
        <v>173</v>
      </c>
      <c r="BD9" s="335">
        <v>174</v>
      </c>
      <c r="BE9" s="335">
        <v>174</v>
      </c>
      <c r="BF9" s="335">
        <v>174</v>
      </c>
      <c r="BG9" s="335">
        <v>174</v>
      </c>
      <c r="BH9" s="335">
        <v>173</v>
      </c>
      <c r="BI9" s="335">
        <v>172</v>
      </c>
      <c r="BJ9" s="335">
        <v>174</v>
      </c>
      <c r="BK9" s="335">
        <v>174</v>
      </c>
      <c r="BL9" s="335">
        <v>174</v>
      </c>
    </row>
    <row r="10" spans="1:70" s="9" customFormat="1" ht="11.25">
      <c r="A10" s="342" t="s">
        <v>1009</v>
      </c>
      <c r="C10" s="335"/>
      <c r="D10" s="335"/>
      <c r="E10" s="335"/>
      <c r="F10" s="335"/>
      <c r="G10" s="335"/>
      <c r="H10" s="335"/>
      <c r="I10" s="335"/>
      <c r="J10" s="335"/>
      <c r="K10" s="335"/>
      <c r="L10" s="335"/>
      <c r="M10" s="335"/>
      <c r="N10" s="335"/>
      <c r="O10" s="335"/>
      <c r="P10" s="335"/>
      <c r="Q10" s="335"/>
      <c r="R10" s="335"/>
      <c r="S10" s="335"/>
      <c r="T10" s="335"/>
      <c r="U10" s="335"/>
      <c r="V10" s="335"/>
      <c r="W10" s="335"/>
      <c r="X10" s="335"/>
      <c r="Y10" s="335"/>
      <c r="Z10" s="335"/>
      <c r="AA10" s="335"/>
      <c r="AB10" s="335"/>
      <c r="AC10" s="335">
        <f t="shared" ref="AC10:AK10" si="3">AC34-AC22</f>
        <v>51</v>
      </c>
      <c r="AD10" s="335">
        <f t="shared" si="3"/>
        <v>53</v>
      </c>
      <c r="AE10" s="335">
        <f t="shared" si="3"/>
        <v>53</v>
      </c>
      <c r="AF10" s="335">
        <f t="shared" si="3"/>
        <v>55</v>
      </c>
      <c r="AG10" s="335">
        <f t="shared" si="3"/>
        <v>54</v>
      </c>
      <c r="AH10" s="335">
        <f t="shared" si="3"/>
        <v>57</v>
      </c>
      <c r="AI10" s="335">
        <f t="shared" si="3"/>
        <v>58</v>
      </c>
      <c r="AJ10" s="335">
        <f t="shared" si="3"/>
        <v>58</v>
      </c>
      <c r="AK10" s="335">
        <f t="shared" si="3"/>
        <v>62</v>
      </c>
      <c r="AL10" s="335">
        <v>64</v>
      </c>
      <c r="AM10" s="335">
        <v>67</v>
      </c>
      <c r="AN10" s="335">
        <v>71</v>
      </c>
      <c r="AO10" s="335">
        <v>71</v>
      </c>
      <c r="AP10" s="335">
        <v>72</v>
      </c>
      <c r="AQ10" s="335">
        <v>73</v>
      </c>
      <c r="AR10" s="335">
        <v>73</v>
      </c>
      <c r="AS10" s="335">
        <v>78</v>
      </c>
      <c r="AT10" s="335">
        <v>75</v>
      </c>
      <c r="AU10" s="335">
        <v>75</v>
      </c>
      <c r="AV10" s="335">
        <v>73</v>
      </c>
      <c r="AW10" s="335">
        <v>71</v>
      </c>
      <c r="AX10" s="335">
        <v>71</v>
      </c>
      <c r="AY10" s="335">
        <v>71</v>
      </c>
      <c r="AZ10" s="335">
        <v>71</v>
      </c>
      <c r="BA10" s="335">
        <v>71</v>
      </c>
      <c r="BB10" s="335">
        <v>71</v>
      </c>
      <c r="BC10" s="335">
        <v>71</v>
      </c>
      <c r="BD10" s="335">
        <v>72</v>
      </c>
      <c r="BE10" s="335">
        <v>72</v>
      </c>
      <c r="BF10" s="335">
        <v>73</v>
      </c>
      <c r="BG10" s="335">
        <v>70</v>
      </c>
      <c r="BH10" s="335">
        <v>70</v>
      </c>
      <c r="BI10" s="335">
        <v>70</v>
      </c>
      <c r="BJ10" s="335">
        <v>72</v>
      </c>
      <c r="BK10" s="335">
        <v>72</v>
      </c>
      <c r="BL10" s="335">
        <v>72</v>
      </c>
    </row>
    <row r="11" spans="1:70" s="9" customFormat="1" ht="11.25">
      <c r="A11" s="342" t="s">
        <v>1010</v>
      </c>
      <c r="C11" s="335"/>
      <c r="D11" s="335"/>
      <c r="E11" s="335"/>
      <c r="F11" s="335"/>
      <c r="G11" s="335"/>
      <c r="H11" s="335"/>
      <c r="I11" s="335"/>
      <c r="J11" s="335"/>
      <c r="K11" s="335"/>
      <c r="L11" s="335"/>
      <c r="M11" s="335"/>
      <c r="N11" s="335"/>
      <c r="O11" s="335"/>
      <c r="P11" s="335"/>
      <c r="Q11" s="335"/>
      <c r="R11" s="335"/>
      <c r="S11" s="335"/>
      <c r="T11" s="335"/>
      <c r="U11" s="335"/>
      <c r="V11" s="335"/>
      <c r="W11" s="335"/>
      <c r="X11" s="335"/>
      <c r="Y11" s="335"/>
      <c r="Z11" s="335"/>
      <c r="AA11" s="335"/>
      <c r="AB11" s="335"/>
      <c r="AC11" s="335">
        <f t="shared" ref="AC11:AK11" si="4">AC35-AC23</f>
        <v>61</v>
      </c>
      <c r="AD11" s="335">
        <f t="shared" si="4"/>
        <v>62</v>
      </c>
      <c r="AE11" s="335">
        <f t="shared" si="4"/>
        <v>62</v>
      </c>
      <c r="AF11" s="335">
        <f t="shared" si="4"/>
        <v>62</v>
      </c>
      <c r="AG11" s="335">
        <f t="shared" si="4"/>
        <v>63</v>
      </c>
      <c r="AH11" s="335">
        <f t="shared" si="4"/>
        <v>68</v>
      </c>
      <c r="AI11" s="335">
        <f t="shared" si="4"/>
        <v>74</v>
      </c>
      <c r="AJ11" s="335">
        <f t="shared" si="4"/>
        <v>77</v>
      </c>
      <c r="AK11" s="335">
        <f t="shared" si="4"/>
        <v>78</v>
      </c>
      <c r="AL11" s="335">
        <v>81</v>
      </c>
      <c r="AM11" s="335">
        <v>81</v>
      </c>
      <c r="AN11" s="335">
        <v>82</v>
      </c>
      <c r="AO11" s="335">
        <v>81</v>
      </c>
      <c r="AP11" s="335">
        <v>81</v>
      </c>
      <c r="AQ11" s="335">
        <v>81</v>
      </c>
      <c r="AR11" s="335">
        <v>81</v>
      </c>
      <c r="AS11" s="335">
        <v>79</v>
      </c>
      <c r="AT11" s="335">
        <v>78</v>
      </c>
      <c r="AU11" s="335">
        <v>74</v>
      </c>
      <c r="AV11" s="335">
        <v>71</v>
      </c>
      <c r="AW11" s="335">
        <v>64</v>
      </c>
      <c r="AX11" s="335">
        <v>62</v>
      </c>
      <c r="AY11" s="335">
        <v>60</v>
      </c>
      <c r="AZ11" s="335">
        <v>60</v>
      </c>
      <c r="BA11" s="335">
        <v>60</v>
      </c>
      <c r="BB11" s="335">
        <v>60</v>
      </c>
      <c r="BC11" s="335">
        <v>58</v>
      </c>
      <c r="BD11" s="335">
        <v>58</v>
      </c>
      <c r="BE11" s="335">
        <v>58</v>
      </c>
      <c r="BF11" s="335">
        <v>58</v>
      </c>
      <c r="BG11" s="335">
        <v>58</v>
      </c>
      <c r="BH11" s="335">
        <v>59</v>
      </c>
      <c r="BI11" s="335">
        <v>59</v>
      </c>
      <c r="BJ11" s="335">
        <v>60</v>
      </c>
      <c r="BK11" s="335">
        <v>60</v>
      </c>
      <c r="BL11" s="335">
        <v>60</v>
      </c>
    </row>
    <row r="12" spans="1:70" s="9" customFormat="1" ht="11.25">
      <c r="A12" s="342" t="s">
        <v>1011</v>
      </c>
      <c r="C12" s="335"/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35"/>
      <c r="X12" s="335"/>
      <c r="Y12" s="335"/>
      <c r="Z12" s="335"/>
      <c r="AA12" s="335"/>
      <c r="AB12" s="335"/>
      <c r="AC12" s="335">
        <f t="shared" ref="AC12:AK12" si="5">AC36-AC24</f>
        <v>250</v>
      </c>
      <c r="AD12" s="335">
        <f t="shared" si="5"/>
        <v>247</v>
      </c>
      <c r="AE12" s="335">
        <f t="shared" si="5"/>
        <v>245</v>
      </c>
      <c r="AF12" s="335">
        <f t="shared" si="5"/>
        <v>246</v>
      </c>
      <c r="AG12" s="335">
        <f t="shared" si="5"/>
        <v>248</v>
      </c>
      <c r="AH12" s="335">
        <f t="shared" si="5"/>
        <v>256</v>
      </c>
      <c r="AI12" s="335">
        <f t="shared" si="5"/>
        <v>257</v>
      </c>
      <c r="AJ12" s="335">
        <f t="shared" si="5"/>
        <v>258</v>
      </c>
      <c r="AK12" s="335">
        <f t="shared" si="5"/>
        <v>262</v>
      </c>
      <c r="AL12" s="335">
        <v>270</v>
      </c>
      <c r="AM12" s="335">
        <v>268</v>
      </c>
      <c r="AN12" s="335">
        <v>271</v>
      </c>
      <c r="AO12" s="335">
        <v>272</v>
      </c>
      <c r="AP12" s="335">
        <v>281</v>
      </c>
      <c r="AQ12" s="335">
        <v>280</v>
      </c>
      <c r="AR12" s="335">
        <v>282</v>
      </c>
      <c r="AS12" s="335">
        <v>281</v>
      </c>
      <c r="AT12" s="335">
        <v>286</v>
      </c>
      <c r="AU12" s="335">
        <v>282</v>
      </c>
      <c r="AV12" s="335">
        <v>270</v>
      </c>
      <c r="AW12" s="335">
        <v>277</v>
      </c>
      <c r="AX12" s="335">
        <v>272</v>
      </c>
      <c r="AY12" s="335">
        <v>261</v>
      </c>
      <c r="AZ12" s="335">
        <v>256</v>
      </c>
      <c r="BA12" s="335">
        <v>244</v>
      </c>
      <c r="BB12" s="335">
        <v>243</v>
      </c>
      <c r="BC12" s="335">
        <v>243</v>
      </c>
      <c r="BD12" s="335">
        <v>242</v>
      </c>
      <c r="BE12" s="335">
        <v>237</v>
      </c>
      <c r="BF12" s="335">
        <v>233</v>
      </c>
      <c r="BG12" s="335">
        <v>228</v>
      </c>
      <c r="BH12" s="335">
        <v>227</v>
      </c>
      <c r="BI12" s="335">
        <v>222</v>
      </c>
      <c r="BJ12" s="335">
        <v>204</v>
      </c>
      <c r="BK12" s="335">
        <v>203</v>
      </c>
      <c r="BL12" s="335">
        <v>203</v>
      </c>
    </row>
    <row r="13" spans="1:70" s="9" customFormat="1" ht="11.25">
      <c r="A13" s="342" t="s">
        <v>1012</v>
      </c>
      <c r="C13" s="335"/>
      <c r="D13" s="335"/>
      <c r="E13" s="335"/>
      <c r="F13" s="335"/>
      <c r="G13" s="335"/>
      <c r="H13" s="335"/>
      <c r="I13" s="335"/>
      <c r="J13" s="335"/>
      <c r="K13" s="335"/>
      <c r="L13" s="335"/>
      <c r="M13" s="335"/>
      <c r="N13" s="335"/>
      <c r="O13" s="335"/>
      <c r="P13" s="335"/>
      <c r="Q13" s="335"/>
      <c r="R13" s="335"/>
      <c r="S13" s="335"/>
      <c r="T13" s="335"/>
      <c r="U13" s="335"/>
      <c r="V13" s="335"/>
      <c r="W13" s="335"/>
      <c r="X13" s="335"/>
      <c r="Y13" s="335"/>
      <c r="Z13" s="335"/>
      <c r="AA13" s="335"/>
      <c r="AB13" s="335"/>
      <c r="AC13" s="335">
        <f t="shared" ref="AC13:AK13" si="6">AC37-AC25</f>
        <v>81</v>
      </c>
      <c r="AD13" s="335">
        <f t="shared" si="6"/>
        <v>74</v>
      </c>
      <c r="AE13" s="335">
        <f t="shared" si="6"/>
        <v>71</v>
      </c>
      <c r="AF13" s="335">
        <f t="shared" si="6"/>
        <v>71</v>
      </c>
      <c r="AG13" s="335">
        <f t="shared" si="6"/>
        <v>67</v>
      </c>
      <c r="AH13" s="335">
        <f t="shared" si="6"/>
        <v>67</v>
      </c>
      <c r="AI13" s="335">
        <f t="shared" si="6"/>
        <v>67</v>
      </c>
      <c r="AJ13" s="335">
        <f t="shared" si="6"/>
        <v>67</v>
      </c>
      <c r="AK13" s="335">
        <f t="shared" si="6"/>
        <v>66</v>
      </c>
      <c r="AL13" s="335">
        <v>67</v>
      </c>
      <c r="AM13" s="335">
        <v>67</v>
      </c>
      <c r="AN13" s="335">
        <v>64</v>
      </c>
      <c r="AO13" s="335">
        <v>64</v>
      </c>
      <c r="AP13" s="335">
        <v>64</v>
      </c>
      <c r="AQ13" s="335">
        <v>64</v>
      </c>
      <c r="AR13" s="335">
        <v>57</v>
      </c>
      <c r="AS13" s="335">
        <v>50</v>
      </c>
      <c r="AT13" s="335">
        <v>46</v>
      </c>
      <c r="AU13" s="335">
        <v>46</v>
      </c>
      <c r="AV13" s="335">
        <v>43</v>
      </c>
      <c r="AW13" s="335">
        <v>32</v>
      </c>
      <c r="AX13" s="335">
        <v>16</v>
      </c>
      <c r="AY13" s="335">
        <v>16</v>
      </c>
      <c r="AZ13" s="335">
        <v>16</v>
      </c>
      <c r="BA13" s="335">
        <v>16</v>
      </c>
      <c r="BB13" s="335">
        <v>15</v>
      </c>
      <c r="BC13" s="335">
        <v>15</v>
      </c>
      <c r="BD13" s="335">
        <v>15</v>
      </c>
      <c r="BE13" s="335">
        <v>15</v>
      </c>
      <c r="BF13" s="335">
        <v>15</v>
      </c>
      <c r="BG13" s="335">
        <v>15</v>
      </c>
      <c r="BH13" s="335">
        <v>0</v>
      </c>
      <c r="BI13" s="335">
        <v>0</v>
      </c>
      <c r="BJ13" s="335">
        <v>0</v>
      </c>
      <c r="BK13" s="335">
        <v>0</v>
      </c>
      <c r="BL13" s="335">
        <v>0</v>
      </c>
    </row>
    <row r="14" spans="1:70" s="9" customFormat="1" ht="11.25">
      <c r="A14" s="342" t="s">
        <v>331</v>
      </c>
      <c r="C14" s="335"/>
      <c r="D14" s="335"/>
      <c r="E14" s="335"/>
      <c r="F14" s="335"/>
      <c r="G14" s="335"/>
      <c r="H14" s="335"/>
      <c r="I14" s="335"/>
      <c r="J14" s="335"/>
      <c r="K14" s="335"/>
      <c r="L14" s="335"/>
      <c r="M14" s="335"/>
      <c r="N14" s="335"/>
      <c r="O14" s="335"/>
      <c r="P14" s="335"/>
      <c r="Q14" s="335"/>
      <c r="R14" s="335"/>
      <c r="S14" s="335"/>
      <c r="T14" s="335"/>
      <c r="U14" s="335"/>
      <c r="V14" s="335"/>
      <c r="W14" s="335"/>
      <c r="X14" s="335"/>
      <c r="Y14" s="335"/>
      <c r="Z14" s="335"/>
      <c r="AA14" s="335"/>
      <c r="AB14" s="335"/>
      <c r="AC14" s="335">
        <f t="shared" ref="AC14:AK14" si="7">AC38-AC26</f>
        <v>38</v>
      </c>
      <c r="AD14" s="335">
        <f t="shared" si="7"/>
        <v>38</v>
      </c>
      <c r="AE14" s="335">
        <f t="shared" si="7"/>
        <v>44</v>
      </c>
      <c r="AF14" s="335">
        <f t="shared" si="7"/>
        <v>44</v>
      </c>
      <c r="AG14" s="335">
        <f t="shared" si="7"/>
        <v>44</v>
      </c>
      <c r="AH14" s="335">
        <f t="shared" si="7"/>
        <v>46</v>
      </c>
      <c r="AI14" s="335">
        <f>AI38-AI26</f>
        <v>46</v>
      </c>
      <c r="AJ14" s="335">
        <f t="shared" si="7"/>
        <v>48</v>
      </c>
      <c r="AK14" s="335">
        <f t="shared" si="7"/>
        <v>48</v>
      </c>
      <c r="AL14" s="335">
        <f>25+18+3</f>
        <v>46</v>
      </c>
      <c r="AM14" s="335">
        <f>23+18+3</f>
        <v>44</v>
      </c>
      <c r="AN14" s="335">
        <f>24+18+3</f>
        <v>45</v>
      </c>
      <c r="AO14" s="335">
        <f>24+14+3</f>
        <v>41</v>
      </c>
      <c r="AP14" s="335">
        <f>25+14+3</f>
        <v>42</v>
      </c>
      <c r="AQ14" s="335">
        <f>25+14+4</f>
        <v>43</v>
      </c>
      <c r="AR14" s="335">
        <f>24+4</f>
        <v>28</v>
      </c>
      <c r="AS14" s="335">
        <v>24</v>
      </c>
      <c r="AT14" s="9">
        <f>25+5+3+1</f>
        <v>34</v>
      </c>
      <c r="AU14" s="9">
        <f>25+5+3+1</f>
        <v>34</v>
      </c>
      <c r="AV14" s="9">
        <f>25+5+3+1</f>
        <v>34</v>
      </c>
      <c r="AW14" s="9">
        <f>25+5+3+1</f>
        <v>34</v>
      </c>
      <c r="AX14" s="9">
        <f>25+6+2</f>
        <v>33</v>
      </c>
      <c r="AY14" s="9">
        <f>25+6+2</f>
        <v>33</v>
      </c>
      <c r="AZ14" s="9">
        <f>26+6+2</f>
        <v>34</v>
      </c>
      <c r="BA14" s="9">
        <f>26+6+2</f>
        <v>34</v>
      </c>
      <c r="BB14" s="9">
        <f>26+6+2</f>
        <v>34</v>
      </c>
      <c r="BC14" s="9">
        <f>26+6+2</f>
        <v>34</v>
      </c>
      <c r="BD14" s="9">
        <f>26+6+2</f>
        <v>34</v>
      </c>
      <c r="BE14" s="9">
        <f>2+26+6</f>
        <v>34</v>
      </c>
      <c r="BF14" s="9">
        <f>28+7+2</f>
        <v>37</v>
      </c>
      <c r="BG14" s="9">
        <f>28+7+2</f>
        <v>37</v>
      </c>
      <c r="BH14" s="9">
        <f>28+7</f>
        <v>35</v>
      </c>
      <c r="BI14" s="9">
        <f>28+7</f>
        <v>35</v>
      </c>
      <c r="BJ14" s="9">
        <f>28+7</f>
        <v>35</v>
      </c>
      <c r="BK14" s="9">
        <f>28+8</f>
        <v>36</v>
      </c>
      <c r="BL14" s="9">
        <f>28+8</f>
        <v>36</v>
      </c>
    </row>
    <row r="15" spans="1:70" s="9" customFormat="1" ht="11.25">
      <c r="A15" s="513" t="s">
        <v>325</v>
      </c>
      <c r="C15" s="949"/>
      <c r="D15" s="949"/>
      <c r="E15" s="949"/>
      <c r="F15" s="949"/>
      <c r="G15" s="949"/>
      <c r="H15" s="949"/>
      <c r="I15" s="949"/>
      <c r="J15" s="949"/>
      <c r="K15" s="949"/>
      <c r="L15" s="949"/>
      <c r="M15" s="949"/>
      <c r="N15" s="949"/>
      <c r="O15" s="949"/>
      <c r="P15" s="949"/>
      <c r="Q15" s="949"/>
      <c r="R15" s="949"/>
      <c r="S15" s="949"/>
      <c r="T15" s="949"/>
      <c r="U15" s="949"/>
      <c r="V15" s="949"/>
      <c r="W15" s="949"/>
      <c r="X15" s="949"/>
      <c r="Y15" s="949"/>
      <c r="Z15" s="949"/>
      <c r="AA15" s="949"/>
      <c r="AB15" s="949"/>
      <c r="AC15" s="170">
        <f>IS!AC74</f>
        <v>1585</v>
      </c>
      <c r="AD15" s="170">
        <f>IS!AD74</f>
        <v>1594</v>
      </c>
      <c r="AE15" s="170">
        <f>IS!AE74</f>
        <v>1587</v>
      </c>
      <c r="AF15" s="170">
        <f>IS!AF74</f>
        <v>1600</v>
      </c>
      <c r="AG15" s="170">
        <f>IS!AG74</f>
        <v>1644</v>
      </c>
      <c r="AH15" s="170">
        <f>IS!AH74</f>
        <v>1698</v>
      </c>
      <c r="AI15" s="170">
        <f>IS!AI74</f>
        <v>1729</v>
      </c>
      <c r="AJ15" s="170">
        <f>IS!AJ74</f>
        <v>1745</v>
      </c>
      <c r="AK15" s="170">
        <f>IS!AK74</f>
        <v>1777</v>
      </c>
      <c r="AL15" s="170">
        <f>IS!AL74</f>
        <v>1813</v>
      </c>
      <c r="AM15" s="170">
        <f>IS!AM74</f>
        <v>1814</v>
      </c>
      <c r="AN15" s="170">
        <f>IS!AN74</f>
        <v>1843</v>
      </c>
      <c r="AO15" s="170">
        <f>IS!AO74</f>
        <v>1863</v>
      </c>
      <c r="AP15" s="170">
        <f>IS!AP74</f>
        <v>1917</v>
      </c>
      <c r="AQ15" s="170">
        <f>IS!AQ74</f>
        <v>1927</v>
      </c>
      <c r="AR15" s="170">
        <f>IS!AR74</f>
        <v>1916</v>
      </c>
      <c r="AS15" s="170">
        <f>IS!AS74</f>
        <v>1917</v>
      </c>
      <c r="AT15" s="170">
        <f>IS!AT74</f>
        <v>1916</v>
      </c>
      <c r="AU15" s="170">
        <f>IS!AU74</f>
        <v>1899</v>
      </c>
      <c r="AV15" s="170">
        <f>IS!AV74</f>
        <v>1876</v>
      </c>
      <c r="AW15" s="170">
        <f>IS!AW74</f>
        <v>1860</v>
      </c>
      <c r="AX15" s="170">
        <f>IS!AX74</f>
        <v>1821</v>
      </c>
      <c r="AY15" s="170">
        <f>IS!AY74</f>
        <v>1806</v>
      </c>
      <c r="AZ15" s="170">
        <f>IS!AZ74</f>
        <v>1800</v>
      </c>
      <c r="BA15" s="170">
        <f>IS!BA74</f>
        <v>1777</v>
      </c>
      <c r="BB15" s="170">
        <f>IS!BB74</f>
        <v>1789</v>
      </c>
      <c r="BC15" s="170">
        <f>IS!BC74</f>
        <v>1788</v>
      </c>
      <c r="BD15" s="170">
        <f>IS!BD74</f>
        <v>1794</v>
      </c>
      <c r="BE15" s="170">
        <f>IS!BE74</f>
        <v>1799</v>
      </c>
      <c r="BF15" s="170">
        <f>IS!BF74</f>
        <v>1833</v>
      </c>
      <c r="BG15" s="170">
        <f>IS!BG74</f>
        <v>1829</v>
      </c>
      <c r="BH15" s="170">
        <f>IS!BH74</f>
        <v>1817</v>
      </c>
      <c r="BI15" s="170">
        <f>IS!BI74</f>
        <v>1818</v>
      </c>
      <c r="BJ15" s="170">
        <f>IS!BJ74</f>
        <v>1851</v>
      </c>
      <c r="BK15" s="170">
        <f>IS!BK74</f>
        <v>1866</v>
      </c>
      <c r="BL15" s="170">
        <f>IS!BL74</f>
        <v>1889</v>
      </c>
    </row>
    <row r="16" spans="1:70" s="9" customFormat="1" ht="11.25">
      <c r="A16" s="604"/>
      <c r="B16" s="254"/>
      <c r="C16" s="822"/>
      <c r="D16" s="822"/>
      <c r="E16" s="822"/>
      <c r="F16" s="822"/>
      <c r="G16" s="822"/>
      <c r="H16" s="822"/>
      <c r="I16" s="822"/>
      <c r="J16" s="822"/>
      <c r="K16" s="822"/>
      <c r="L16" s="822"/>
      <c r="M16" s="822"/>
      <c r="N16" s="822"/>
      <c r="O16" s="797"/>
      <c r="P16" s="797"/>
      <c r="Q16" s="797"/>
      <c r="R16" s="797"/>
      <c r="S16" s="797"/>
      <c r="T16" s="797"/>
      <c r="U16" s="797"/>
      <c r="V16" s="797"/>
      <c r="W16" s="797"/>
      <c r="X16" s="797"/>
      <c r="Y16" s="797"/>
      <c r="Z16" s="797"/>
      <c r="AA16" s="797"/>
      <c r="AB16" s="797"/>
      <c r="AC16" s="797"/>
      <c r="AD16" s="797"/>
      <c r="AE16" s="797"/>
      <c r="AF16" s="797"/>
      <c r="AG16" s="797"/>
      <c r="AH16" s="797"/>
      <c r="AI16" s="797"/>
      <c r="AJ16" s="797"/>
      <c r="AK16" s="797"/>
      <c r="AL16" s="797"/>
      <c r="AM16" s="797"/>
      <c r="AN16" s="797"/>
      <c r="AO16" s="797"/>
      <c r="AP16" s="797"/>
      <c r="AQ16" s="797"/>
      <c r="AR16" s="797"/>
      <c r="AS16" s="797"/>
      <c r="AT16" s="797"/>
      <c r="AU16" s="797"/>
      <c r="AV16" s="797"/>
      <c r="AW16" s="797"/>
      <c r="AX16" s="797"/>
      <c r="AY16" s="797"/>
      <c r="AZ16" s="797"/>
      <c r="BA16" s="797"/>
      <c r="BB16" s="797"/>
      <c r="BC16" s="797"/>
      <c r="BD16" s="797"/>
      <c r="BE16" s="797"/>
      <c r="BF16" s="797"/>
      <c r="BG16" s="797"/>
      <c r="BH16" s="1201"/>
      <c r="BI16" s="1201"/>
      <c r="BJ16" s="1201"/>
      <c r="BK16" s="1201"/>
      <c r="BL16" s="1201"/>
    </row>
    <row r="17" spans="1:64" s="9" customFormat="1" ht="11.25">
      <c r="A17" s="342"/>
      <c r="C17" s="335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5"/>
      <c r="V17" s="335"/>
      <c r="W17" s="335"/>
      <c r="X17" s="335"/>
      <c r="Y17" s="335"/>
      <c r="Z17" s="335"/>
      <c r="AA17" s="335"/>
      <c r="AB17" s="335"/>
      <c r="AC17" s="335"/>
      <c r="AD17" s="335"/>
      <c r="AE17" s="335"/>
      <c r="AF17" s="335"/>
      <c r="AG17" s="335"/>
      <c r="AH17" s="335"/>
      <c r="AI17" s="335"/>
      <c r="AJ17" s="335"/>
      <c r="AK17" s="335"/>
      <c r="AL17" s="335"/>
      <c r="AM17" s="335"/>
      <c r="AN17" s="335"/>
      <c r="AO17" s="335"/>
      <c r="AP17" s="335"/>
      <c r="AQ17" s="335"/>
    </row>
    <row r="18" spans="1:64" s="9" customFormat="1" ht="11.25">
      <c r="A18" s="513" t="s">
        <v>1061</v>
      </c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</row>
    <row r="19" spans="1:64" s="9" customFormat="1" ht="11.25">
      <c r="A19" s="342" t="s">
        <v>1007</v>
      </c>
      <c r="C19" s="335"/>
      <c r="D19" s="335"/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5"/>
      <c r="V19" s="335"/>
      <c r="W19" s="335"/>
      <c r="X19" s="335"/>
      <c r="Y19" s="335"/>
      <c r="Z19" s="335"/>
      <c r="AA19" s="335"/>
      <c r="AB19" s="335"/>
      <c r="AC19" s="335">
        <f>260-AC91</f>
        <v>225</v>
      </c>
      <c r="AD19" s="335">
        <f>268-AD91</f>
        <v>233</v>
      </c>
      <c r="AE19" s="335">
        <v>239</v>
      </c>
      <c r="AF19" s="335">
        <v>246</v>
      </c>
      <c r="AG19" s="335">
        <v>234</v>
      </c>
      <c r="AH19" s="335">
        <v>247</v>
      </c>
      <c r="AI19" s="335">
        <v>243</v>
      </c>
      <c r="AJ19" s="335">
        <v>249</v>
      </c>
      <c r="AK19" s="335">
        <v>257</v>
      </c>
      <c r="AL19" s="335">
        <v>266</v>
      </c>
      <c r="AM19" s="335">
        <v>276</v>
      </c>
      <c r="AN19" s="335">
        <v>276</v>
      </c>
      <c r="AO19" s="335">
        <v>278</v>
      </c>
      <c r="AP19" s="335">
        <v>286</v>
      </c>
      <c r="AQ19" s="335">
        <v>288</v>
      </c>
      <c r="AR19" s="335">
        <v>291</v>
      </c>
      <c r="AS19" s="335">
        <v>298</v>
      </c>
      <c r="AT19" s="335">
        <v>334</v>
      </c>
      <c r="AU19" s="335">
        <v>341</v>
      </c>
      <c r="AV19" s="335">
        <v>337</v>
      </c>
      <c r="AW19" s="335">
        <v>336</v>
      </c>
      <c r="AX19" s="335">
        <v>336</v>
      </c>
      <c r="AY19" s="335">
        <v>338</v>
      </c>
      <c r="AZ19" s="335">
        <v>342</v>
      </c>
      <c r="BA19" s="335">
        <v>353</v>
      </c>
      <c r="BB19" s="335">
        <v>355</v>
      </c>
      <c r="BC19" s="335">
        <v>362</v>
      </c>
      <c r="BD19" s="335">
        <v>367</v>
      </c>
      <c r="BE19" s="335">
        <v>374</v>
      </c>
      <c r="BF19" s="335">
        <v>383</v>
      </c>
      <c r="BG19" s="335">
        <v>383</v>
      </c>
      <c r="BH19" s="335">
        <v>388</v>
      </c>
      <c r="BI19" s="335">
        <v>398</v>
      </c>
      <c r="BJ19" s="335">
        <v>412</v>
      </c>
      <c r="BK19" s="335">
        <v>415</v>
      </c>
      <c r="BL19" s="335">
        <v>418</v>
      </c>
    </row>
    <row r="20" spans="1:64" s="9" customFormat="1" ht="11.25">
      <c r="A20" s="342" t="s">
        <v>1018</v>
      </c>
      <c r="C20" s="335"/>
      <c r="D20" s="335"/>
      <c r="E20" s="335"/>
      <c r="F20" s="335"/>
      <c r="G20" s="335"/>
      <c r="H20" s="335"/>
      <c r="I20" s="335"/>
      <c r="J20" s="335"/>
      <c r="K20" s="335"/>
      <c r="L20" s="335"/>
      <c r="M20" s="335"/>
      <c r="N20" s="335"/>
      <c r="O20" s="335"/>
      <c r="P20" s="335"/>
      <c r="Q20" s="335"/>
      <c r="R20" s="335"/>
      <c r="S20" s="335"/>
      <c r="T20" s="335"/>
      <c r="U20" s="335"/>
      <c r="V20" s="335"/>
      <c r="W20" s="335"/>
      <c r="X20" s="335"/>
      <c r="Y20" s="335"/>
      <c r="Z20" s="335"/>
      <c r="AA20" s="335"/>
      <c r="AB20" s="335"/>
      <c r="AC20" s="335">
        <v>0</v>
      </c>
      <c r="AD20" s="335">
        <v>0</v>
      </c>
      <c r="AE20" s="335">
        <v>0</v>
      </c>
      <c r="AF20" s="335">
        <v>0</v>
      </c>
      <c r="AG20" s="335">
        <v>0</v>
      </c>
      <c r="AH20" s="335">
        <v>0</v>
      </c>
      <c r="AI20" s="335">
        <v>0</v>
      </c>
      <c r="AJ20" s="335">
        <v>0</v>
      </c>
      <c r="AK20" s="335">
        <v>0</v>
      </c>
      <c r="AL20" s="335">
        <v>0</v>
      </c>
      <c r="AM20" s="335">
        <v>0</v>
      </c>
      <c r="AN20" s="335">
        <v>0</v>
      </c>
      <c r="AO20" s="335">
        <v>0</v>
      </c>
      <c r="AP20" s="335">
        <v>0</v>
      </c>
      <c r="AQ20" s="335">
        <v>0</v>
      </c>
      <c r="AR20" s="335">
        <v>0</v>
      </c>
      <c r="AS20" s="335">
        <v>0</v>
      </c>
      <c r="AT20" s="335">
        <v>0</v>
      </c>
      <c r="AU20" s="335">
        <v>0</v>
      </c>
      <c r="AV20" s="335">
        <v>0</v>
      </c>
      <c r="AW20" s="335">
        <v>0</v>
      </c>
      <c r="AX20" s="335">
        <v>0</v>
      </c>
      <c r="AY20" s="335">
        <v>0</v>
      </c>
      <c r="AZ20" s="335">
        <v>0</v>
      </c>
      <c r="BA20" s="335">
        <v>0</v>
      </c>
      <c r="BB20" s="335">
        <v>0</v>
      </c>
      <c r="BC20" s="335">
        <v>0</v>
      </c>
      <c r="BD20" s="335">
        <v>0</v>
      </c>
      <c r="BE20" s="335">
        <v>0</v>
      </c>
      <c r="BF20" s="335">
        <v>0</v>
      </c>
      <c r="BG20" s="335">
        <v>0</v>
      </c>
      <c r="BH20" s="335">
        <v>0</v>
      </c>
      <c r="BI20" s="335">
        <v>0</v>
      </c>
      <c r="BJ20" s="335">
        <v>0</v>
      </c>
      <c r="BK20" s="335">
        <v>0</v>
      </c>
      <c r="BL20" s="335">
        <v>0</v>
      </c>
    </row>
    <row r="21" spans="1:64" s="9" customFormat="1" ht="11.25">
      <c r="A21" s="342" t="s">
        <v>1008</v>
      </c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335"/>
      <c r="V21" s="335"/>
      <c r="W21" s="335"/>
      <c r="X21" s="335"/>
      <c r="Y21" s="335"/>
      <c r="Z21" s="335"/>
      <c r="AA21" s="335"/>
      <c r="AB21" s="335"/>
      <c r="AC21" s="335">
        <v>235</v>
      </c>
      <c r="AD21" s="335">
        <v>242</v>
      </c>
      <c r="AE21" s="335">
        <v>246</v>
      </c>
      <c r="AF21" s="335">
        <v>241</v>
      </c>
      <c r="AG21" s="335">
        <v>243</v>
      </c>
      <c r="AH21" s="335">
        <v>250</v>
      </c>
      <c r="AI21" s="335">
        <v>244</v>
      </c>
      <c r="AJ21" s="335">
        <v>243</v>
      </c>
      <c r="AK21" s="335">
        <v>241</v>
      </c>
      <c r="AL21" s="335">
        <v>247</v>
      </c>
      <c r="AM21" s="335">
        <v>248</v>
      </c>
      <c r="AN21" s="335">
        <v>248</v>
      </c>
      <c r="AO21" s="335">
        <v>248</v>
      </c>
      <c r="AP21" s="335">
        <v>243</v>
      </c>
      <c r="AQ21" s="335">
        <v>240</v>
      </c>
      <c r="AR21" s="335">
        <v>236</v>
      </c>
      <c r="AS21" s="335">
        <v>234</v>
      </c>
      <c r="AT21" s="335">
        <v>0</v>
      </c>
      <c r="AU21" s="335">
        <v>0</v>
      </c>
      <c r="AV21" s="335">
        <v>0</v>
      </c>
      <c r="AW21" s="335">
        <v>0</v>
      </c>
      <c r="AX21" s="335">
        <v>0</v>
      </c>
      <c r="AY21" s="335">
        <v>0</v>
      </c>
      <c r="AZ21" s="335">
        <v>0</v>
      </c>
      <c r="BA21" s="335">
        <v>0</v>
      </c>
      <c r="BB21" s="335">
        <v>0</v>
      </c>
      <c r="BC21" s="335">
        <v>0</v>
      </c>
      <c r="BD21" s="335">
        <v>0</v>
      </c>
      <c r="BE21" s="335">
        <v>0</v>
      </c>
      <c r="BF21" s="335">
        <v>0</v>
      </c>
      <c r="BG21" s="335">
        <v>0</v>
      </c>
      <c r="BH21" s="335">
        <v>0</v>
      </c>
      <c r="BI21" s="335">
        <v>0</v>
      </c>
      <c r="BJ21" s="335">
        <v>0</v>
      </c>
      <c r="BK21" s="335">
        <v>0</v>
      </c>
      <c r="BL21" s="335">
        <v>0</v>
      </c>
    </row>
    <row r="22" spans="1:64" s="9" customFormat="1" ht="11.25">
      <c r="A22" s="342" t="s">
        <v>1009</v>
      </c>
      <c r="C22" s="335"/>
      <c r="D22" s="335"/>
      <c r="E22" s="335"/>
      <c r="F22" s="335"/>
      <c r="G22" s="335"/>
      <c r="H22" s="335"/>
      <c r="I22" s="335"/>
      <c r="J22" s="335"/>
      <c r="K22" s="335"/>
      <c r="L22" s="335"/>
      <c r="M22" s="335"/>
      <c r="N22" s="335"/>
      <c r="O22" s="335"/>
      <c r="P22" s="335"/>
      <c r="Q22" s="335"/>
      <c r="R22" s="335"/>
      <c r="S22" s="335"/>
      <c r="T22" s="335"/>
      <c r="U22" s="335"/>
      <c r="V22" s="335"/>
      <c r="W22" s="335"/>
      <c r="X22" s="335"/>
      <c r="Y22" s="335"/>
      <c r="Z22" s="335"/>
      <c r="AA22" s="335"/>
      <c r="AB22" s="335"/>
      <c r="AC22" s="335">
        <v>0</v>
      </c>
      <c r="AD22" s="335">
        <v>0</v>
      </c>
      <c r="AE22" s="335">
        <v>0</v>
      </c>
      <c r="AF22" s="335">
        <v>0</v>
      </c>
      <c r="AG22" s="335">
        <v>0</v>
      </c>
      <c r="AH22" s="335">
        <v>0</v>
      </c>
      <c r="AI22" s="335">
        <v>0</v>
      </c>
      <c r="AJ22" s="335">
        <v>0</v>
      </c>
      <c r="AK22" s="335">
        <v>0</v>
      </c>
      <c r="AL22" s="335">
        <v>0</v>
      </c>
      <c r="AM22" s="335">
        <v>0</v>
      </c>
      <c r="AN22" s="335">
        <v>0</v>
      </c>
      <c r="AO22" s="335">
        <v>0</v>
      </c>
      <c r="AP22" s="335">
        <v>0</v>
      </c>
      <c r="AQ22" s="335">
        <v>0</v>
      </c>
      <c r="AR22" s="335">
        <v>0</v>
      </c>
      <c r="AS22" s="335">
        <v>0</v>
      </c>
      <c r="AT22" s="335">
        <v>0</v>
      </c>
      <c r="AU22" s="335">
        <v>0</v>
      </c>
      <c r="AV22" s="335">
        <v>0</v>
      </c>
      <c r="AW22" s="335">
        <v>0</v>
      </c>
      <c r="AX22" s="335">
        <v>0</v>
      </c>
      <c r="AY22" s="335">
        <v>0</v>
      </c>
      <c r="AZ22" s="335">
        <v>0</v>
      </c>
      <c r="BA22" s="335">
        <v>0</v>
      </c>
      <c r="BB22" s="335">
        <v>0</v>
      </c>
      <c r="BC22" s="335">
        <v>0</v>
      </c>
      <c r="BD22" s="335">
        <v>0</v>
      </c>
      <c r="BE22" s="335">
        <v>0</v>
      </c>
      <c r="BF22" s="335">
        <v>0</v>
      </c>
      <c r="BG22" s="335">
        <v>0</v>
      </c>
      <c r="BH22" s="335">
        <v>0</v>
      </c>
      <c r="BI22" s="335">
        <v>0</v>
      </c>
      <c r="BJ22" s="335">
        <v>0</v>
      </c>
      <c r="BK22" s="335">
        <v>0</v>
      </c>
      <c r="BL22" s="335">
        <v>0</v>
      </c>
    </row>
    <row r="23" spans="1:64" s="9" customFormat="1" ht="11.25">
      <c r="A23" s="342" t="s">
        <v>1010</v>
      </c>
      <c r="C23" s="335"/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5"/>
      <c r="U23" s="335"/>
      <c r="V23" s="335"/>
      <c r="W23" s="335"/>
      <c r="X23" s="335"/>
      <c r="Y23" s="335"/>
      <c r="Z23" s="335"/>
      <c r="AA23" s="335"/>
      <c r="AB23" s="335"/>
      <c r="AC23" s="335">
        <v>11</v>
      </c>
      <c r="AD23" s="335">
        <v>11</v>
      </c>
      <c r="AE23" s="335">
        <v>11</v>
      </c>
      <c r="AF23" s="335">
        <v>12</v>
      </c>
      <c r="AG23" s="335">
        <v>12</v>
      </c>
      <c r="AH23" s="335">
        <v>13</v>
      </c>
      <c r="AI23" s="335">
        <v>13</v>
      </c>
      <c r="AJ23" s="335">
        <v>13</v>
      </c>
      <c r="AK23" s="335">
        <v>13</v>
      </c>
      <c r="AL23" s="335">
        <v>13</v>
      </c>
      <c r="AM23" s="335">
        <v>13</v>
      </c>
      <c r="AN23" s="335">
        <v>13</v>
      </c>
      <c r="AO23" s="335">
        <v>14</v>
      </c>
      <c r="AP23" s="335">
        <v>14</v>
      </c>
      <c r="AQ23" s="335">
        <v>14</v>
      </c>
      <c r="AR23" s="335">
        <v>14</v>
      </c>
      <c r="AS23" s="335">
        <v>14</v>
      </c>
      <c r="AT23" s="335">
        <v>15</v>
      </c>
      <c r="AU23" s="335">
        <v>15</v>
      </c>
      <c r="AV23" s="335">
        <v>15</v>
      </c>
      <c r="AW23" s="335">
        <v>15</v>
      </c>
      <c r="AX23" s="335">
        <v>17</v>
      </c>
      <c r="AY23" s="335">
        <v>17</v>
      </c>
      <c r="AZ23" s="335">
        <v>17</v>
      </c>
      <c r="BA23" s="335">
        <v>16</v>
      </c>
      <c r="BB23" s="335">
        <v>16</v>
      </c>
      <c r="BC23" s="335">
        <v>16</v>
      </c>
      <c r="BD23" s="335">
        <v>16</v>
      </c>
      <c r="BE23" s="335">
        <v>16</v>
      </c>
      <c r="BF23" s="335">
        <v>16</v>
      </c>
      <c r="BG23" s="335">
        <v>16</v>
      </c>
      <c r="BH23" s="335">
        <v>16</v>
      </c>
      <c r="BI23" s="335">
        <v>16</v>
      </c>
      <c r="BJ23" s="335">
        <v>16</v>
      </c>
      <c r="BK23" s="335">
        <v>16</v>
      </c>
      <c r="BL23" s="335">
        <v>17</v>
      </c>
    </row>
    <row r="24" spans="1:64" s="9" customFormat="1" ht="11.25">
      <c r="A24" s="342" t="s">
        <v>1011</v>
      </c>
      <c r="C24" s="335"/>
      <c r="D24" s="335"/>
      <c r="E24" s="335"/>
      <c r="F24" s="335"/>
      <c r="G24" s="335"/>
      <c r="H24" s="335"/>
      <c r="I24" s="335"/>
      <c r="J24" s="335"/>
      <c r="K24" s="335"/>
      <c r="L24" s="335"/>
      <c r="M24" s="335"/>
      <c r="N24" s="335"/>
      <c r="O24" s="335"/>
      <c r="P24" s="335"/>
      <c r="Q24" s="335"/>
      <c r="R24" s="335"/>
      <c r="S24" s="335"/>
      <c r="T24" s="335"/>
      <c r="U24" s="335"/>
      <c r="V24" s="335"/>
      <c r="W24" s="335"/>
      <c r="X24" s="335"/>
      <c r="Y24" s="335"/>
      <c r="Z24" s="335"/>
      <c r="AA24" s="335"/>
      <c r="AB24" s="335"/>
      <c r="AC24" s="335">
        <v>5</v>
      </c>
      <c r="AD24" s="335">
        <v>5</v>
      </c>
      <c r="AE24" s="335">
        <v>5</v>
      </c>
      <c r="AF24" s="335">
        <v>5</v>
      </c>
      <c r="AG24" s="335">
        <v>5</v>
      </c>
      <c r="AH24" s="335">
        <v>5</v>
      </c>
      <c r="AI24" s="335">
        <v>5</v>
      </c>
      <c r="AJ24" s="335">
        <v>5</v>
      </c>
      <c r="AK24" s="335">
        <v>5</v>
      </c>
      <c r="AL24" s="335">
        <v>5</v>
      </c>
      <c r="AM24" s="335">
        <v>5</v>
      </c>
      <c r="AN24" s="335">
        <v>5</v>
      </c>
      <c r="AO24" s="335">
        <v>5</v>
      </c>
      <c r="AP24" s="335">
        <v>5</v>
      </c>
      <c r="AQ24" s="335">
        <f>6</f>
        <v>6</v>
      </c>
      <c r="AR24" s="335">
        <v>6</v>
      </c>
      <c r="AS24" s="335">
        <v>6</v>
      </c>
      <c r="AT24" s="335">
        <v>7</v>
      </c>
      <c r="AU24" s="335">
        <v>8</v>
      </c>
      <c r="AV24" s="335">
        <v>8</v>
      </c>
      <c r="AW24" s="335">
        <v>8</v>
      </c>
      <c r="AX24" s="335">
        <v>10</v>
      </c>
      <c r="AY24" s="335">
        <v>10</v>
      </c>
      <c r="AZ24" s="335">
        <v>10</v>
      </c>
      <c r="BA24" s="335">
        <v>13</v>
      </c>
      <c r="BB24" s="335">
        <v>14</v>
      </c>
      <c r="BC24" s="335">
        <v>15</v>
      </c>
      <c r="BD24" s="335">
        <v>15</v>
      </c>
      <c r="BE24" s="335">
        <v>15</v>
      </c>
      <c r="BF24" s="335">
        <v>16</v>
      </c>
      <c r="BG24" s="335">
        <v>16</v>
      </c>
      <c r="BH24" s="335">
        <v>16</v>
      </c>
      <c r="BI24" s="335">
        <v>16</v>
      </c>
      <c r="BJ24" s="335">
        <v>34</v>
      </c>
      <c r="BK24" s="335">
        <v>34</v>
      </c>
      <c r="BL24" s="335">
        <v>34</v>
      </c>
    </row>
    <row r="25" spans="1:64" s="9" customFormat="1" ht="11.25">
      <c r="A25" s="342" t="s">
        <v>1012</v>
      </c>
      <c r="C25" s="335"/>
      <c r="D25" s="335"/>
      <c r="E25" s="335"/>
      <c r="F25" s="335"/>
      <c r="G25" s="335"/>
      <c r="H25" s="335"/>
      <c r="I25" s="335"/>
      <c r="J25" s="335"/>
      <c r="K25" s="335"/>
      <c r="L25" s="335"/>
      <c r="M25" s="335"/>
      <c r="N25" s="335"/>
      <c r="O25" s="335"/>
      <c r="P25" s="335"/>
      <c r="Q25" s="335"/>
      <c r="R25" s="335"/>
      <c r="S25" s="335"/>
      <c r="T25" s="335"/>
      <c r="U25" s="335"/>
      <c r="V25" s="335"/>
      <c r="W25" s="335"/>
      <c r="X25" s="335"/>
      <c r="Y25" s="335"/>
      <c r="Z25" s="335"/>
      <c r="AA25" s="335"/>
      <c r="AB25" s="335"/>
      <c r="AC25" s="335">
        <v>0</v>
      </c>
      <c r="AD25" s="335">
        <v>0</v>
      </c>
      <c r="AE25" s="335">
        <v>0</v>
      </c>
      <c r="AF25" s="335">
        <v>0</v>
      </c>
      <c r="AG25" s="335">
        <v>0</v>
      </c>
      <c r="AH25" s="335">
        <v>0</v>
      </c>
      <c r="AI25" s="335">
        <v>0</v>
      </c>
      <c r="AJ25" s="335">
        <v>0</v>
      </c>
      <c r="AK25" s="335">
        <v>0</v>
      </c>
      <c r="AL25" s="335">
        <v>0</v>
      </c>
      <c r="AM25" s="335">
        <v>0</v>
      </c>
      <c r="AN25" s="335">
        <v>0</v>
      </c>
      <c r="AO25" s="335">
        <v>0</v>
      </c>
      <c r="AP25" s="335">
        <v>0</v>
      </c>
      <c r="AQ25" s="335">
        <v>0</v>
      </c>
      <c r="AR25" s="335">
        <v>0</v>
      </c>
      <c r="AS25" s="335">
        <v>0</v>
      </c>
      <c r="AT25" s="335">
        <v>0</v>
      </c>
      <c r="AU25" s="335">
        <v>0</v>
      </c>
      <c r="AV25" s="335">
        <v>0</v>
      </c>
      <c r="AW25" s="335">
        <v>0</v>
      </c>
      <c r="AX25" s="335">
        <v>0</v>
      </c>
      <c r="AY25" s="335">
        <v>0</v>
      </c>
      <c r="AZ25" s="335">
        <v>0</v>
      </c>
      <c r="BA25" s="335">
        <v>0</v>
      </c>
      <c r="BB25" s="335">
        <v>0</v>
      </c>
      <c r="BC25" s="335">
        <v>0</v>
      </c>
      <c r="BD25" s="335">
        <v>0</v>
      </c>
      <c r="BE25" s="335">
        <v>0</v>
      </c>
      <c r="BF25" s="335">
        <v>0</v>
      </c>
      <c r="BG25" s="335">
        <v>0</v>
      </c>
      <c r="BH25" s="335">
        <v>0</v>
      </c>
      <c r="BI25" s="335">
        <v>0</v>
      </c>
      <c r="BJ25" s="335">
        <v>0</v>
      </c>
      <c r="BK25" s="335">
        <v>0</v>
      </c>
      <c r="BL25" s="335">
        <v>0</v>
      </c>
    </row>
    <row r="26" spans="1:64" s="9" customFormat="1" ht="11.25">
      <c r="A26" s="342" t="s">
        <v>331</v>
      </c>
      <c r="C26" s="335"/>
      <c r="D26" s="335"/>
      <c r="E26" s="335"/>
      <c r="F26" s="335"/>
      <c r="G26" s="335"/>
      <c r="H26" s="335"/>
      <c r="I26" s="335"/>
      <c r="J26" s="335"/>
      <c r="K26" s="335"/>
      <c r="L26" s="335"/>
      <c r="M26" s="335"/>
      <c r="N26" s="335"/>
      <c r="O26" s="335"/>
      <c r="P26" s="335"/>
      <c r="Q26" s="335"/>
      <c r="R26" s="335"/>
      <c r="S26" s="335"/>
      <c r="T26" s="335"/>
      <c r="U26" s="335"/>
      <c r="V26" s="335"/>
      <c r="W26" s="335"/>
      <c r="X26" s="335"/>
      <c r="Y26" s="335"/>
      <c r="Z26" s="335"/>
      <c r="AA26" s="335"/>
      <c r="AB26" s="335"/>
      <c r="AC26" s="335">
        <f>5+2</f>
        <v>7</v>
      </c>
      <c r="AD26" s="335">
        <f>5+2</f>
        <v>7</v>
      </c>
      <c r="AE26" s="335">
        <v>2</v>
      </c>
      <c r="AF26" s="335">
        <v>2</v>
      </c>
      <c r="AG26" s="335">
        <v>2</v>
      </c>
      <c r="AH26" s="335">
        <v>2</v>
      </c>
      <c r="AI26" s="335">
        <v>2</v>
      </c>
      <c r="AJ26" s="335">
        <v>2</v>
      </c>
      <c r="AK26" s="335">
        <v>2</v>
      </c>
      <c r="AL26" s="335">
        <f>2</f>
        <v>2</v>
      </c>
      <c r="AM26" s="335">
        <f>2</f>
        <v>2</v>
      </c>
      <c r="AN26" s="335">
        <f>2</f>
        <v>2</v>
      </c>
      <c r="AO26" s="335">
        <v>2</v>
      </c>
      <c r="AP26" s="335">
        <v>2</v>
      </c>
      <c r="AQ26" s="335">
        <v>2</v>
      </c>
      <c r="AR26" s="335">
        <f>0+0</f>
        <v>0</v>
      </c>
      <c r="AS26" s="335">
        <f>0+0</f>
        <v>0</v>
      </c>
      <c r="AT26" s="335">
        <f>0+0+0+0</f>
        <v>0</v>
      </c>
      <c r="AU26" s="335">
        <v>0</v>
      </c>
      <c r="AV26" s="335">
        <v>0</v>
      </c>
      <c r="AW26" s="335">
        <v>0</v>
      </c>
      <c r="AX26" s="335">
        <v>0</v>
      </c>
      <c r="AY26" s="335">
        <v>0</v>
      </c>
      <c r="AZ26" s="335">
        <v>0</v>
      </c>
      <c r="BA26" s="335">
        <v>0</v>
      </c>
      <c r="BB26" s="335">
        <v>0</v>
      </c>
      <c r="BC26" s="335">
        <v>0</v>
      </c>
      <c r="BD26" s="335">
        <v>0</v>
      </c>
      <c r="BE26" s="335">
        <v>0</v>
      </c>
      <c r="BF26" s="335">
        <v>0</v>
      </c>
      <c r="BG26" s="335">
        <v>0</v>
      </c>
      <c r="BH26" s="335">
        <v>0</v>
      </c>
      <c r="BI26" s="335">
        <v>0</v>
      </c>
      <c r="BJ26" s="335">
        <v>0</v>
      </c>
      <c r="BK26" s="335">
        <v>0</v>
      </c>
      <c r="BL26" s="335">
        <v>0</v>
      </c>
    </row>
    <row r="27" spans="1:64" s="9" customFormat="1" ht="11.25">
      <c r="A27" s="513" t="s">
        <v>325</v>
      </c>
      <c r="C27" s="949"/>
      <c r="D27" s="949"/>
      <c r="E27" s="949"/>
      <c r="F27" s="949"/>
      <c r="G27" s="949"/>
      <c r="H27" s="949"/>
      <c r="I27" s="949"/>
      <c r="J27" s="949"/>
      <c r="K27" s="949"/>
      <c r="L27" s="949"/>
      <c r="M27" s="949"/>
      <c r="N27" s="949"/>
      <c r="O27" s="949"/>
      <c r="P27" s="949"/>
      <c r="Q27" s="949"/>
      <c r="R27" s="949"/>
      <c r="S27" s="949"/>
      <c r="T27" s="949"/>
      <c r="U27" s="949"/>
      <c r="V27" s="949"/>
      <c r="W27" s="949"/>
      <c r="X27" s="949"/>
      <c r="Y27" s="949"/>
      <c r="Z27" s="949"/>
      <c r="AA27" s="949"/>
      <c r="AB27" s="949"/>
      <c r="AC27" s="170">
        <f>IS!AC75</f>
        <v>483</v>
      </c>
      <c r="AD27" s="170">
        <f>IS!AD75</f>
        <v>498</v>
      </c>
      <c r="AE27" s="170">
        <f>IS!AE75</f>
        <v>503</v>
      </c>
      <c r="AF27" s="170">
        <f>IS!AF75</f>
        <v>506</v>
      </c>
      <c r="AG27" s="170">
        <f>IS!AG75</f>
        <v>496</v>
      </c>
      <c r="AH27" s="170">
        <f>IS!AH75</f>
        <v>517</v>
      </c>
      <c r="AI27" s="170">
        <f>IS!AI75</f>
        <v>507</v>
      </c>
      <c r="AJ27" s="170">
        <f>IS!AJ75</f>
        <v>512</v>
      </c>
      <c r="AK27" s="170">
        <f>IS!AK75</f>
        <v>518</v>
      </c>
      <c r="AL27" s="170">
        <f>IS!AL75</f>
        <v>533</v>
      </c>
      <c r="AM27" s="170">
        <f>IS!AM75</f>
        <v>544</v>
      </c>
      <c r="AN27" s="170">
        <f>IS!AN75</f>
        <v>544</v>
      </c>
      <c r="AO27" s="170">
        <f>IS!AO75</f>
        <v>547</v>
      </c>
      <c r="AP27" s="170">
        <f>IS!AP75</f>
        <v>550</v>
      </c>
      <c r="AQ27" s="170">
        <f>IS!AQ75</f>
        <v>550</v>
      </c>
      <c r="AR27" s="170">
        <f>IS!AR75</f>
        <v>547</v>
      </c>
      <c r="AS27" s="170">
        <f>IS!AS75</f>
        <v>552</v>
      </c>
      <c r="AT27" s="170">
        <f>IS!AT75</f>
        <v>356</v>
      </c>
      <c r="AU27" s="170">
        <f>IS!AU75</f>
        <v>364</v>
      </c>
      <c r="AV27" s="170">
        <f>IS!AV75</f>
        <v>360</v>
      </c>
      <c r="AW27" s="170">
        <f>IS!AW75</f>
        <v>359</v>
      </c>
      <c r="AX27" s="170">
        <f>IS!AX75</f>
        <v>363</v>
      </c>
      <c r="AY27" s="170">
        <f>IS!AY75</f>
        <v>365</v>
      </c>
      <c r="AZ27" s="170">
        <f>IS!AZ75</f>
        <v>369</v>
      </c>
      <c r="BA27" s="170">
        <f>IS!BA75</f>
        <v>382</v>
      </c>
      <c r="BB27" s="170">
        <f>IS!BB75</f>
        <v>385</v>
      </c>
      <c r="BC27" s="170">
        <f>IS!BC75</f>
        <v>393</v>
      </c>
      <c r="BD27" s="170">
        <f>IS!BD75</f>
        <v>398</v>
      </c>
      <c r="BE27" s="170">
        <f>IS!BE75</f>
        <v>405</v>
      </c>
      <c r="BF27" s="170">
        <f>IS!BF75</f>
        <v>415</v>
      </c>
      <c r="BG27" s="170">
        <f>IS!BG75</f>
        <v>415</v>
      </c>
      <c r="BH27" s="170">
        <f>IS!BH75</f>
        <v>420</v>
      </c>
      <c r="BI27" s="170">
        <f>IS!BI75</f>
        <v>430</v>
      </c>
      <c r="BJ27" s="170">
        <f>IS!BJ75</f>
        <v>462</v>
      </c>
      <c r="BK27" s="170">
        <f>IS!BK75</f>
        <v>465</v>
      </c>
      <c r="BL27" s="170">
        <f>IS!BL75</f>
        <v>469</v>
      </c>
    </row>
    <row r="28" spans="1:64" s="9" customFormat="1" ht="11.25">
      <c r="A28" s="604"/>
      <c r="B28" s="254"/>
      <c r="C28" s="822"/>
      <c r="D28" s="822"/>
      <c r="E28" s="822"/>
      <c r="F28" s="822"/>
      <c r="G28" s="822"/>
      <c r="H28" s="822"/>
      <c r="I28" s="822"/>
      <c r="J28" s="822"/>
      <c r="K28" s="822"/>
      <c r="L28" s="822"/>
      <c r="M28" s="822"/>
      <c r="N28" s="822"/>
      <c r="O28" s="797"/>
      <c r="P28" s="797"/>
      <c r="Q28" s="797"/>
      <c r="R28" s="797"/>
      <c r="S28" s="797"/>
      <c r="T28" s="797"/>
      <c r="U28" s="797"/>
      <c r="V28" s="797"/>
      <c r="W28" s="797"/>
      <c r="X28" s="797"/>
      <c r="Y28" s="797"/>
      <c r="Z28" s="797"/>
      <c r="AA28" s="797"/>
      <c r="AB28" s="797"/>
      <c r="AC28" s="797"/>
      <c r="AD28" s="797"/>
      <c r="AE28" s="797"/>
      <c r="AF28" s="797"/>
      <c r="AG28" s="797"/>
      <c r="AH28" s="797"/>
      <c r="AI28" s="797"/>
      <c r="AJ28" s="797"/>
      <c r="AK28" s="797"/>
      <c r="AL28" s="797"/>
      <c r="AM28" s="797"/>
      <c r="AN28" s="797"/>
      <c r="AO28" s="797"/>
      <c r="AP28" s="797"/>
      <c r="AQ28" s="797"/>
      <c r="AR28" s="797"/>
      <c r="AS28" s="797"/>
      <c r="AT28" s="797"/>
      <c r="AU28" s="797"/>
      <c r="AV28" s="797"/>
      <c r="AW28" s="797"/>
      <c r="AX28" s="797"/>
      <c r="AY28" s="797"/>
      <c r="AZ28" s="797"/>
      <c r="BA28" s="797"/>
      <c r="BB28" s="797"/>
      <c r="BC28" s="797"/>
      <c r="BD28" s="797"/>
      <c r="BE28" s="797"/>
      <c r="BF28" s="797"/>
      <c r="BG28" s="797"/>
      <c r="BH28" s="1201"/>
      <c r="BI28" s="1201"/>
      <c r="BJ28" s="1201"/>
      <c r="BK28" s="1201"/>
      <c r="BL28" s="1201"/>
    </row>
    <row r="29" spans="1:64" s="9" customFormat="1" ht="11.25">
      <c r="A29" s="342"/>
      <c r="C29" s="335"/>
      <c r="D29" s="335"/>
      <c r="E29" s="335"/>
      <c r="F29" s="335"/>
      <c r="G29" s="335"/>
      <c r="H29" s="335"/>
      <c r="I29" s="335"/>
      <c r="J29" s="335"/>
      <c r="K29" s="335"/>
      <c r="L29" s="335"/>
      <c r="M29" s="335"/>
      <c r="N29" s="335"/>
      <c r="O29" s="335"/>
      <c r="P29" s="335"/>
      <c r="Q29" s="335"/>
      <c r="R29" s="335"/>
      <c r="S29" s="335"/>
      <c r="T29" s="335"/>
      <c r="U29" s="335"/>
      <c r="V29" s="335"/>
      <c r="W29" s="335"/>
      <c r="X29" s="335"/>
      <c r="Y29" s="335"/>
      <c r="Z29" s="335"/>
      <c r="AA29" s="335"/>
      <c r="AB29" s="335"/>
      <c r="AC29" s="335"/>
      <c r="AD29" s="335"/>
      <c r="AE29" s="335"/>
      <c r="AF29" s="335"/>
      <c r="AG29" s="335"/>
      <c r="AH29" s="335"/>
      <c r="AI29" s="335"/>
      <c r="AJ29" s="335"/>
      <c r="AK29" s="335"/>
      <c r="AL29" s="335"/>
      <c r="AM29" s="335"/>
      <c r="AN29" s="335"/>
      <c r="AO29" s="335"/>
      <c r="AP29" s="335"/>
      <c r="AQ29" s="335"/>
    </row>
    <row r="30" spans="1:64" s="9" customFormat="1" ht="11.25">
      <c r="A30" s="513" t="s">
        <v>1006</v>
      </c>
    </row>
    <row r="31" spans="1:64" s="9" customFormat="1" ht="11.25">
      <c r="A31" s="342" t="s">
        <v>1007</v>
      </c>
      <c r="C31" s="335">
        <f>425+159</f>
        <v>584</v>
      </c>
      <c r="D31" s="335">
        <f>427+160</f>
        <v>587</v>
      </c>
      <c r="E31" s="335">
        <f>425+162</f>
        <v>587</v>
      </c>
      <c r="F31" s="335">
        <f>425+165</f>
        <v>590</v>
      </c>
      <c r="G31" s="335">
        <f>424+163</f>
        <v>587</v>
      </c>
      <c r="H31" s="335">
        <f>420+166</f>
        <v>586</v>
      </c>
      <c r="I31" s="335">
        <f>417+169</f>
        <v>586</v>
      </c>
      <c r="J31" s="335">
        <f>420+164</f>
        <v>584</v>
      </c>
      <c r="K31" s="335">
        <f>415+164</f>
        <v>579</v>
      </c>
      <c r="L31" s="335">
        <f>415+164</f>
        <v>579</v>
      </c>
      <c r="M31" s="335">
        <f>412+165</f>
        <v>577</v>
      </c>
      <c r="N31" s="335">
        <f>408+168</f>
        <v>576</v>
      </c>
      <c r="O31" s="335">
        <f>406+169</f>
        <v>575</v>
      </c>
      <c r="P31" s="335">
        <f>387+189</f>
        <v>576</v>
      </c>
      <c r="Q31" s="335">
        <f>389+191</f>
        <v>580</v>
      </c>
      <c r="R31" s="335">
        <f>379+219</f>
        <v>598</v>
      </c>
      <c r="S31" s="335">
        <v>577</v>
      </c>
      <c r="T31" s="335">
        <v>579</v>
      </c>
      <c r="U31" s="335">
        <v>585</v>
      </c>
      <c r="V31" s="335">
        <v>589</v>
      </c>
      <c r="W31" s="335">
        <v>592</v>
      </c>
      <c r="X31" s="335">
        <v>593</v>
      </c>
      <c r="Y31" s="335">
        <v>596</v>
      </c>
      <c r="Z31" s="335">
        <v>604</v>
      </c>
      <c r="AA31" s="335">
        <v>603</v>
      </c>
      <c r="AB31" s="335">
        <v>605</v>
      </c>
      <c r="AC31" s="335">
        <v>610</v>
      </c>
      <c r="AD31" s="335">
        <v>621</v>
      </c>
      <c r="AE31" s="335">
        <v>618</v>
      </c>
      <c r="AF31" s="335">
        <v>625</v>
      </c>
      <c r="AG31" s="335">
        <v>632</v>
      </c>
      <c r="AH31" s="335">
        <v>654</v>
      </c>
      <c r="AI31" s="335">
        <v>663</v>
      </c>
      <c r="AJ31" s="335">
        <v>671</v>
      </c>
      <c r="AK31" s="335">
        <v>683</v>
      </c>
      <c r="AL31" s="335">
        <v>701</v>
      </c>
      <c r="AM31" s="335">
        <v>714</v>
      </c>
      <c r="AN31" s="335">
        <v>718</v>
      </c>
      <c r="AO31" s="335">
        <v>724</v>
      </c>
      <c r="AP31" s="335">
        <v>759</v>
      </c>
      <c r="AQ31" s="335">
        <v>764</v>
      </c>
      <c r="AR31" s="335">
        <v>768</v>
      </c>
      <c r="AS31" s="335">
        <v>776</v>
      </c>
      <c r="AT31" s="335">
        <v>800</v>
      </c>
      <c r="AU31" s="335">
        <v>797</v>
      </c>
      <c r="AV31" s="335">
        <v>791</v>
      </c>
      <c r="AW31" s="335">
        <v>784</v>
      </c>
      <c r="AX31" s="335">
        <v>781</v>
      </c>
      <c r="AY31" s="335">
        <v>782</v>
      </c>
      <c r="AZ31" s="335">
        <v>785</v>
      </c>
      <c r="BA31" s="335">
        <v>790</v>
      </c>
      <c r="BB31" s="335">
        <v>802</v>
      </c>
      <c r="BC31" s="335">
        <v>806</v>
      </c>
      <c r="BD31" s="335">
        <v>813</v>
      </c>
      <c r="BE31" s="335">
        <v>820</v>
      </c>
      <c r="BF31" s="335">
        <v>843</v>
      </c>
      <c r="BG31" s="335">
        <v>845</v>
      </c>
      <c r="BH31" s="335">
        <v>850</v>
      </c>
      <c r="BI31" s="335">
        <v>862</v>
      </c>
      <c r="BJ31" s="335">
        <v>898</v>
      </c>
      <c r="BK31" s="335">
        <v>906</v>
      </c>
      <c r="BL31" s="335">
        <v>918</v>
      </c>
    </row>
    <row r="32" spans="1:64" s="9" customFormat="1" ht="11.25">
      <c r="A32" s="342" t="s">
        <v>1018</v>
      </c>
      <c r="C32" s="335">
        <v>260</v>
      </c>
      <c r="D32" s="335">
        <v>258</v>
      </c>
      <c r="E32" s="335">
        <v>261</v>
      </c>
      <c r="F32" s="335">
        <v>266</v>
      </c>
      <c r="G32" s="335">
        <v>269</v>
      </c>
      <c r="H32" s="335">
        <v>277</v>
      </c>
      <c r="I32" s="335">
        <v>283</v>
      </c>
      <c r="J32" s="335">
        <v>300</v>
      </c>
      <c r="K32" s="335">
        <v>304</v>
      </c>
      <c r="L32" s="335">
        <v>314</v>
      </c>
      <c r="M32" s="335">
        <v>318</v>
      </c>
      <c r="N32" s="335">
        <v>337</v>
      </c>
      <c r="O32" s="335">
        <v>341</v>
      </c>
      <c r="P32" s="335">
        <v>348</v>
      </c>
      <c r="Q32" s="335">
        <v>355</v>
      </c>
      <c r="R32" s="335">
        <v>367</v>
      </c>
      <c r="S32" s="335">
        <v>375</v>
      </c>
      <c r="T32" s="335">
        <v>384</v>
      </c>
      <c r="U32" s="335">
        <v>399</v>
      </c>
      <c r="V32" s="335">
        <v>414</v>
      </c>
      <c r="W32" s="335">
        <v>419</v>
      </c>
      <c r="X32" s="335">
        <v>423</v>
      </c>
      <c r="Y32" s="335">
        <v>443</v>
      </c>
      <c r="Z32" s="335">
        <v>456</v>
      </c>
      <c r="AA32" s="335">
        <v>459</v>
      </c>
      <c r="AB32" s="335">
        <v>476</v>
      </c>
      <c r="AC32" s="335">
        <v>507</v>
      </c>
      <c r="AD32" s="335">
        <v>520</v>
      </c>
      <c r="AE32" s="335">
        <v>526</v>
      </c>
      <c r="AF32" s="335">
        <v>538</v>
      </c>
      <c r="AG32" s="335">
        <v>565</v>
      </c>
      <c r="AH32" s="335">
        <v>589</v>
      </c>
      <c r="AI32" s="335">
        <v>602</v>
      </c>
      <c r="AJ32" s="335">
        <v>610</v>
      </c>
      <c r="AK32" s="335">
        <v>630</v>
      </c>
      <c r="AL32" s="335">
        <v>645</v>
      </c>
      <c r="AM32" s="335">
        <v>668</v>
      </c>
      <c r="AN32" s="335">
        <v>687</v>
      </c>
      <c r="AO32" s="335">
        <v>707</v>
      </c>
      <c r="AP32" s="335">
        <v>723</v>
      </c>
      <c r="AQ32" s="335">
        <v>729</v>
      </c>
      <c r="AR32" s="335">
        <v>737</v>
      </c>
      <c r="AS32" s="335">
        <v>746</v>
      </c>
      <c r="AT32" s="335">
        <v>749</v>
      </c>
      <c r="AU32" s="335">
        <v>751</v>
      </c>
      <c r="AV32" s="335">
        <v>754</v>
      </c>
      <c r="AW32" s="335">
        <v>758</v>
      </c>
      <c r="AX32" s="335">
        <v>747</v>
      </c>
      <c r="AY32" s="335">
        <v>746</v>
      </c>
      <c r="AZ32" s="335">
        <v>745</v>
      </c>
      <c r="BA32" s="335">
        <v>741</v>
      </c>
      <c r="BB32" s="335">
        <v>746</v>
      </c>
      <c r="BC32" s="335">
        <v>750</v>
      </c>
      <c r="BD32" s="335">
        <v>753</v>
      </c>
      <c r="BE32" s="335">
        <v>763</v>
      </c>
      <c r="BF32" s="335">
        <v>783</v>
      </c>
      <c r="BG32" s="335">
        <v>785</v>
      </c>
      <c r="BH32" s="335">
        <v>791</v>
      </c>
      <c r="BI32" s="335">
        <v>796</v>
      </c>
      <c r="BJ32" s="335">
        <v>820</v>
      </c>
      <c r="BK32" s="335">
        <v>830</v>
      </c>
      <c r="BL32" s="335">
        <v>844</v>
      </c>
    </row>
    <row r="33" spans="1:64" s="9" customFormat="1" ht="11.25">
      <c r="A33" s="342" t="s">
        <v>1008</v>
      </c>
      <c r="C33" s="335">
        <v>108</v>
      </c>
      <c r="D33" s="335">
        <v>108</v>
      </c>
      <c r="E33" s="335">
        <v>108</v>
      </c>
      <c r="F33" s="335">
        <v>108</v>
      </c>
      <c r="G33" s="335">
        <v>108</v>
      </c>
      <c r="H33" s="335">
        <v>108</v>
      </c>
      <c r="I33" s="335">
        <v>108</v>
      </c>
      <c r="J33" s="335">
        <v>109</v>
      </c>
      <c r="K33" s="335">
        <v>109</v>
      </c>
      <c r="L33" s="335">
        <v>108</v>
      </c>
      <c r="M33" s="335">
        <v>106</v>
      </c>
      <c r="N33" s="335">
        <v>107</v>
      </c>
      <c r="O33" s="335">
        <v>106</v>
      </c>
      <c r="P33" s="335">
        <v>107</v>
      </c>
      <c r="Q33" s="335">
        <v>106</v>
      </c>
      <c r="R33" s="335">
        <v>107</v>
      </c>
      <c r="S33" s="335">
        <v>107</v>
      </c>
      <c r="T33" s="335">
        <v>422</v>
      </c>
      <c r="U33" s="335">
        <v>424</v>
      </c>
      <c r="V33" s="335">
        <v>435</v>
      </c>
      <c r="W33" s="335">
        <v>436</v>
      </c>
      <c r="X33" s="335">
        <v>439</v>
      </c>
      <c r="Y33" s="335">
        <v>433</v>
      </c>
      <c r="Z33" s="335">
        <v>438</v>
      </c>
      <c r="AA33" s="335">
        <v>434</v>
      </c>
      <c r="AB33" s="335">
        <v>436</v>
      </c>
      <c r="AC33" s="335">
        <v>447</v>
      </c>
      <c r="AD33" s="335">
        <v>454</v>
      </c>
      <c r="AE33" s="335">
        <v>453</v>
      </c>
      <c r="AF33" s="335">
        <v>446</v>
      </c>
      <c r="AG33" s="335">
        <v>448</v>
      </c>
      <c r="AH33" s="335">
        <v>458</v>
      </c>
      <c r="AI33" s="335">
        <v>449</v>
      </c>
      <c r="AJ33" s="335">
        <v>448</v>
      </c>
      <c r="AK33" s="335">
        <v>446</v>
      </c>
      <c r="AL33" s="335">
        <v>452</v>
      </c>
      <c r="AM33" s="335">
        <v>429</v>
      </c>
      <c r="AN33" s="335">
        <v>429</v>
      </c>
      <c r="AO33" s="335">
        <v>429</v>
      </c>
      <c r="AP33" s="335">
        <v>424</v>
      </c>
      <c r="AQ33" s="335">
        <v>421</v>
      </c>
      <c r="AR33" s="335">
        <v>417</v>
      </c>
      <c r="AS33" s="335">
        <v>415</v>
      </c>
      <c r="AT33" s="335">
        <v>182</v>
      </c>
      <c r="AU33" s="335">
        <v>181</v>
      </c>
      <c r="AV33" s="335">
        <v>177</v>
      </c>
      <c r="AW33" s="335">
        <v>176</v>
      </c>
      <c r="AX33" s="335">
        <v>175</v>
      </c>
      <c r="AY33" s="335">
        <v>175</v>
      </c>
      <c r="AZ33" s="335">
        <v>175</v>
      </c>
      <c r="BA33" s="335">
        <v>174</v>
      </c>
      <c r="BB33" s="335">
        <v>173</v>
      </c>
      <c r="BC33" s="335">
        <v>173</v>
      </c>
      <c r="BD33" s="335">
        <v>174</v>
      </c>
      <c r="BE33" s="335">
        <v>174</v>
      </c>
      <c r="BF33" s="335">
        <v>174</v>
      </c>
      <c r="BG33" s="335">
        <v>174</v>
      </c>
      <c r="BH33" s="335">
        <v>173</v>
      </c>
      <c r="BI33" s="335">
        <v>172</v>
      </c>
      <c r="BJ33" s="335">
        <v>174</v>
      </c>
      <c r="BK33" s="335">
        <v>174</v>
      </c>
      <c r="BL33" s="335">
        <v>174</v>
      </c>
    </row>
    <row r="34" spans="1:64" s="9" customFormat="1" ht="11.25">
      <c r="A34" s="342" t="s">
        <v>1009</v>
      </c>
      <c r="C34" s="335">
        <v>28</v>
      </c>
      <c r="D34" s="335">
        <v>28</v>
      </c>
      <c r="E34" s="335">
        <v>28</v>
      </c>
      <c r="F34" s="335">
        <v>29</v>
      </c>
      <c r="G34" s="335">
        <v>28</v>
      </c>
      <c r="H34" s="335">
        <v>29</v>
      </c>
      <c r="I34" s="335">
        <v>29</v>
      </c>
      <c r="J34" s="335">
        <v>31</v>
      </c>
      <c r="K34" s="335">
        <v>31</v>
      </c>
      <c r="L34" s="335">
        <v>32</v>
      </c>
      <c r="M34" s="335">
        <v>32</v>
      </c>
      <c r="N34" s="335">
        <v>33</v>
      </c>
      <c r="O34" s="335">
        <v>33</v>
      </c>
      <c r="P34" s="335">
        <v>34</v>
      </c>
      <c r="Q34" s="335">
        <v>35</v>
      </c>
      <c r="R34" s="335">
        <v>36</v>
      </c>
      <c r="S34" s="335">
        <v>37</v>
      </c>
      <c r="T34" s="335">
        <v>37</v>
      </c>
      <c r="U34" s="335">
        <v>38</v>
      </c>
      <c r="V34" s="335">
        <v>39</v>
      </c>
      <c r="W34" s="335">
        <v>40</v>
      </c>
      <c r="X34" s="335">
        <v>41</v>
      </c>
      <c r="Y34" s="335">
        <v>42</v>
      </c>
      <c r="Z34" s="335">
        <v>47</v>
      </c>
      <c r="AA34" s="335">
        <v>48</v>
      </c>
      <c r="AB34" s="335">
        <v>50</v>
      </c>
      <c r="AC34" s="335">
        <v>51</v>
      </c>
      <c r="AD34" s="335">
        <v>53</v>
      </c>
      <c r="AE34" s="335">
        <v>53</v>
      </c>
      <c r="AF34" s="335">
        <v>55</v>
      </c>
      <c r="AG34" s="335">
        <v>54</v>
      </c>
      <c r="AH34" s="335">
        <v>57</v>
      </c>
      <c r="AI34" s="335">
        <v>58</v>
      </c>
      <c r="AJ34" s="335">
        <v>58</v>
      </c>
      <c r="AK34" s="335">
        <v>62</v>
      </c>
      <c r="AL34" s="335">
        <v>64</v>
      </c>
      <c r="AM34" s="335">
        <v>67</v>
      </c>
      <c r="AN34" s="335">
        <v>71</v>
      </c>
      <c r="AO34" s="335">
        <v>71</v>
      </c>
      <c r="AP34" s="335">
        <v>72</v>
      </c>
      <c r="AQ34" s="335">
        <v>73</v>
      </c>
      <c r="AR34" s="335">
        <v>73</v>
      </c>
      <c r="AS34" s="335">
        <v>78</v>
      </c>
      <c r="AT34" s="335">
        <v>75</v>
      </c>
      <c r="AU34" s="335">
        <v>75</v>
      </c>
      <c r="AV34" s="335">
        <v>73</v>
      </c>
      <c r="AW34" s="335">
        <v>71</v>
      </c>
      <c r="AX34" s="335">
        <v>71</v>
      </c>
      <c r="AY34" s="335">
        <v>71</v>
      </c>
      <c r="AZ34" s="335">
        <v>71</v>
      </c>
      <c r="BA34" s="335">
        <v>71</v>
      </c>
      <c r="BB34" s="335">
        <v>71</v>
      </c>
      <c r="BC34" s="335">
        <v>71</v>
      </c>
      <c r="BD34" s="335">
        <v>72</v>
      </c>
      <c r="BE34" s="335">
        <v>72</v>
      </c>
      <c r="BF34" s="335">
        <v>73</v>
      </c>
      <c r="BG34" s="335">
        <v>70</v>
      </c>
      <c r="BH34" s="335">
        <v>70</v>
      </c>
      <c r="BI34" s="335">
        <v>70</v>
      </c>
      <c r="BJ34" s="335">
        <v>72</v>
      </c>
      <c r="BK34" s="335">
        <v>72</v>
      </c>
      <c r="BL34" s="335">
        <v>72</v>
      </c>
    </row>
    <row r="35" spans="1:64" s="9" customFormat="1" ht="11.25">
      <c r="A35" s="342" t="s">
        <v>1010</v>
      </c>
      <c r="C35" s="335">
        <v>0</v>
      </c>
      <c r="D35" s="335">
        <v>0</v>
      </c>
      <c r="E35" s="335">
        <v>0</v>
      </c>
      <c r="F35" s="335">
        <v>0</v>
      </c>
      <c r="G35" s="335">
        <v>0</v>
      </c>
      <c r="H35" s="335">
        <v>0</v>
      </c>
      <c r="I35" s="335">
        <v>0</v>
      </c>
      <c r="J35" s="335">
        <v>0</v>
      </c>
      <c r="K35" s="335">
        <v>0</v>
      </c>
      <c r="L35" s="335">
        <v>0</v>
      </c>
      <c r="M35" s="335">
        <v>0</v>
      </c>
      <c r="N35" s="335">
        <v>0</v>
      </c>
      <c r="O35" s="335">
        <f>41+11</f>
        <v>52</v>
      </c>
      <c r="P35" s="335">
        <f>40+11</f>
        <v>51</v>
      </c>
      <c r="Q35" s="335">
        <f>40+12</f>
        <v>52</v>
      </c>
      <c r="R35" s="335">
        <f>41+12</f>
        <v>53</v>
      </c>
      <c r="S35" s="335">
        <v>53</v>
      </c>
      <c r="T35" s="335">
        <v>54</v>
      </c>
      <c r="U35" s="335">
        <v>57</v>
      </c>
      <c r="V35" s="335">
        <v>62</v>
      </c>
      <c r="W35" s="335">
        <v>63</v>
      </c>
      <c r="X35" s="335">
        <v>63</v>
      </c>
      <c r="Y35" s="335">
        <v>63</v>
      </c>
      <c r="Z35" s="335">
        <v>66</v>
      </c>
      <c r="AA35" s="335">
        <v>68</v>
      </c>
      <c r="AB35" s="335">
        <v>71</v>
      </c>
      <c r="AC35" s="335">
        <v>72</v>
      </c>
      <c r="AD35" s="335">
        <v>73</v>
      </c>
      <c r="AE35" s="335">
        <v>73</v>
      </c>
      <c r="AF35" s="335">
        <v>74</v>
      </c>
      <c r="AG35" s="335">
        <v>75</v>
      </c>
      <c r="AH35" s="335">
        <v>81</v>
      </c>
      <c r="AI35" s="335">
        <v>87</v>
      </c>
      <c r="AJ35" s="335">
        <v>90</v>
      </c>
      <c r="AK35" s="335">
        <v>91</v>
      </c>
      <c r="AL35" s="335">
        <v>94</v>
      </c>
      <c r="AM35" s="335">
        <v>94</v>
      </c>
      <c r="AN35" s="335">
        <v>95</v>
      </c>
      <c r="AO35" s="335">
        <v>95</v>
      </c>
      <c r="AP35" s="335">
        <v>95</v>
      </c>
      <c r="AQ35" s="335">
        <v>95</v>
      </c>
      <c r="AR35" s="335">
        <v>95</v>
      </c>
      <c r="AS35" s="335">
        <v>93</v>
      </c>
      <c r="AT35" s="335">
        <v>93</v>
      </c>
      <c r="AU35" s="335">
        <v>89</v>
      </c>
      <c r="AV35" s="335">
        <v>86</v>
      </c>
      <c r="AW35" s="335">
        <v>79</v>
      </c>
      <c r="AX35" s="335">
        <v>79</v>
      </c>
      <c r="AY35" s="335">
        <v>77</v>
      </c>
      <c r="AZ35" s="335">
        <v>77</v>
      </c>
      <c r="BA35" s="335">
        <v>76</v>
      </c>
      <c r="BB35" s="335">
        <v>76</v>
      </c>
      <c r="BC35" s="335">
        <v>74</v>
      </c>
      <c r="BD35" s="335">
        <v>74</v>
      </c>
      <c r="BE35" s="335">
        <v>74</v>
      </c>
      <c r="BF35" s="335">
        <v>74</v>
      </c>
      <c r="BG35" s="335">
        <v>74</v>
      </c>
      <c r="BH35" s="335">
        <v>75</v>
      </c>
      <c r="BI35" s="335">
        <v>75</v>
      </c>
      <c r="BJ35" s="335">
        <v>76</v>
      </c>
      <c r="BK35" s="335">
        <v>76</v>
      </c>
      <c r="BL35" s="335">
        <v>77</v>
      </c>
    </row>
    <row r="36" spans="1:64" s="9" customFormat="1" ht="11.25">
      <c r="A36" s="342" t="s">
        <v>1011</v>
      </c>
      <c r="C36" s="335">
        <v>0</v>
      </c>
      <c r="D36" s="335">
        <v>0</v>
      </c>
      <c r="E36" s="335">
        <v>0</v>
      </c>
      <c r="F36" s="335">
        <v>0</v>
      </c>
      <c r="G36" s="335">
        <v>0</v>
      </c>
      <c r="H36" s="335">
        <v>0</v>
      </c>
      <c r="I36" s="335">
        <v>0</v>
      </c>
      <c r="J36" s="335">
        <v>0</v>
      </c>
      <c r="K36" s="335">
        <v>0</v>
      </c>
      <c r="L36" s="335">
        <v>0</v>
      </c>
      <c r="M36" s="335">
        <v>0</v>
      </c>
      <c r="N36" s="335">
        <v>0</v>
      </c>
      <c r="O36" s="335">
        <v>0</v>
      </c>
      <c r="P36" s="335">
        <v>0</v>
      </c>
      <c r="Q36" s="335">
        <v>0</v>
      </c>
      <c r="R36" s="335">
        <v>0</v>
      </c>
      <c r="S36" s="335">
        <v>0</v>
      </c>
      <c r="T36" s="335">
        <v>0</v>
      </c>
      <c r="U36" s="335">
        <v>0</v>
      </c>
      <c r="V36" s="335">
        <v>0</v>
      </c>
      <c r="W36" s="335">
        <v>0</v>
      </c>
      <c r="X36" s="335">
        <v>261</v>
      </c>
      <c r="Y36" s="335">
        <v>260</v>
      </c>
      <c r="Z36" s="335">
        <v>259</v>
      </c>
      <c r="AA36" s="335">
        <v>258</v>
      </c>
      <c r="AB36" s="335">
        <v>256</v>
      </c>
      <c r="AC36" s="335">
        <v>255</v>
      </c>
      <c r="AD36" s="335">
        <v>252</v>
      </c>
      <c r="AE36" s="335">
        <v>250</v>
      </c>
      <c r="AF36" s="335">
        <v>251</v>
      </c>
      <c r="AG36" s="335">
        <v>253</v>
      </c>
      <c r="AH36" s="335">
        <v>261</v>
      </c>
      <c r="AI36" s="335">
        <v>262</v>
      </c>
      <c r="AJ36" s="335">
        <v>263</v>
      </c>
      <c r="AK36" s="335">
        <v>267</v>
      </c>
      <c r="AL36" s="335">
        <v>275</v>
      </c>
      <c r="AM36" s="335">
        <v>273</v>
      </c>
      <c r="AN36" s="335">
        <v>276</v>
      </c>
      <c r="AO36" s="335">
        <v>277</v>
      </c>
      <c r="AP36" s="335">
        <v>286</v>
      </c>
      <c r="AQ36" s="335">
        <f>286</f>
        <v>286</v>
      </c>
      <c r="AR36" s="335">
        <v>288</v>
      </c>
      <c r="AS36" s="335">
        <v>287</v>
      </c>
      <c r="AT36" s="335">
        <v>293</v>
      </c>
      <c r="AU36" s="335">
        <v>290</v>
      </c>
      <c r="AV36" s="335">
        <v>278</v>
      </c>
      <c r="AW36" s="335">
        <v>285</v>
      </c>
      <c r="AX36" s="335">
        <v>282</v>
      </c>
      <c r="AY36" s="335">
        <v>271</v>
      </c>
      <c r="AZ36" s="335">
        <v>266</v>
      </c>
      <c r="BA36" s="335">
        <v>257</v>
      </c>
      <c r="BB36" s="335">
        <v>257</v>
      </c>
      <c r="BC36" s="335">
        <v>258</v>
      </c>
      <c r="BD36" s="335">
        <v>257</v>
      </c>
      <c r="BE36" s="335">
        <v>252</v>
      </c>
      <c r="BF36" s="335">
        <v>249</v>
      </c>
      <c r="BG36" s="335">
        <v>244</v>
      </c>
      <c r="BH36" s="335">
        <v>243</v>
      </c>
      <c r="BI36" s="335">
        <v>238</v>
      </c>
      <c r="BJ36" s="335">
        <v>238</v>
      </c>
      <c r="BK36" s="335">
        <v>237</v>
      </c>
      <c r="BL36" s="335">
        <v>237</v>
      </c>
    </row>
    <row r="37" spans="1:64" s="9" customFormat="1" ht="11.25">
      <c r="A37" s="342" t="s">
        <v>1012</v>
      </c>
      <c r="C37" s="335">
        <v>0</v>
      </c>
      <c r="D37" s="335">
        <v>0</v>
      </c>
      <c r="E37" s="335">
        <v>0</v>
      </c>
      <c r="F37" s="335">
        <v>0</v>
      </c>
      <c r="G37" s="335">
        <v>0</v>
      </c>
      <c r="H37" s="335">
        <v>0</v>
      </c>
      <c r="I37" s="335">
        <v>0</v>
      </c>
      <c r="J37" s="335">
        <v>0</v>
      </c>
      <c r="K37" s="335">
        <v>0</v>
      </c>
      <c r="L37" s="335">
        <v>0</v>
      </c>
      <c r="M37" s="335">
        <v>0</v>
      </c>
      <c r="N37" s="335">
        <v>0</v>
      </c>
      <c r="O37" s="335">
        <v>0</v>
      </c>
      <c r="P37" s="335">
        <v>0</v>
      </c>
      <c r="Q37" s="335">
        <v>0</v>
      </c>
      <c r="R37" s="335">
        <v>0</v>
      </c>
      <c r="S37" s="335">
        <v>0</v>
      </c>
      <c r="T37" s="335">
        <v>0</v>
      </c>
      <c r="U37" s="335">
        <v>0</v>
      </c>
      <c r="V37" s="335">
        <v>0</v>
      </c>
      <c r="W37" s="335">
        <v>0</v>
      </c>
      <c r="X37" s="335">
        <v>84</v>
      </c>
      <c r="Y37" s="335">
        <v>84</v>
      </c>
      <c r="Z37" s="335">
        <v>85</v>
      </c>
      <c r="AA37" s="335">
        <v>85</v>
      </c>
      <c r="AB37" s="335">
        <v>82</v>
      </c>
      <c r="AC37" s="335">
        <v>81</v>
      </c>
      <c r="AD37" s="335">
        <v>74</v>
      </c>
      <c r="AE37" s="335">
        <v>71</v>
      </c>
      <c r="AF37" s="335">
        <v>71</v>
      </c>
      <c r="AG37" s="335">
        <v>67</v>
      </c>
      <c r="AH37" s="335">
        <v>67</v>
      </c>
      <c r="AI37" s="335">
        <v>67</v>
      </c>
      <c r="AJ37" s="335">
        <v>67</v>
      </c>
      <c r="AK37" s="335">
        <v>66</v>
      </c>
      <c r="AL37" s="335">
        <v>67</v>
      </c>
      <c r="AM37" s="335">
        <v>67</v>
      </c>
      <c r="AN37" s="335">
        <v>64</v>
      </c>
      <c r="AO37" s="335">
        <v>64</v>
      </c>
      <c r="AP37" s="335">
        <v>64</v>
      </c>
      <c r="AQ37" s="335">
        <v>64</v>
      </c>
      <c r="AR37" s="335">
        <v>57</v>
      </c>
      <c r="AS37" s="335">
        <v>50</v>
      </c>
      <c r="AT37" s="335">
        <v>46</v>
      </c>
      <c r="AU37" s="335">
        <v>46</v>
      </c>
      <c r="AV37" s="335">
        <v>43</v>
      </c>
      <c r="AW37" s="335">
        <v>32</v>
      </c>
      <c r="AX37" s="335">
        <v>16</v>
      </c>
      <c r="AY37" s="335">
        <v>16</v>
      </c>
      <c r="AZ37" s="335">
        <v>16</v>
      </c>
      <c r="BA37" s="335">
        <v>16</v>
      </c>
      <c r="BB37" s="335">
        <v>15</v>
      </c>
      <c r="BC37" s="335">
        <v>15</v>
      </c>
      <c r="BD37" s="335">
        <v>15</v>
      </c>
      <c r="BE37" s="335">
        <v>15</v>
      </c>
      <c r="BF37" s="335">
        <v>15</v>
      </c>
      <c r="BG37" s="335">
        <v>15</v>
      </c>
      <c r="BH37" s="335">
        <v>0</v>
      </c>
      <c r="BI37" s="335">
        <v>0</v>
      </c>
      <c r="BJ37" s="335">
        <v>0</v>
      </c>
      <c r="BK37" s="335">
        <v>0</v>
      </c>
      <c r="BL37" s="335">
        <v>28</v>
      </c>
    </row>
    <row r="38" spans="1:64" s="9" customFormat="1" ht="11.25">
      <c r="A38" s="342" t="s">
        <v>331</v>
      </c>
      <c r="C38" s="335">
        <f>5+9</f>
        <v>14</v>
      </c>
      <c r="D38" s="335">
        <f>6+6</f>
        <v>12</v>
      </c>
      <c r="E38" s="335">
        <v>6</v>
      </c>
      <c r="F38" s="335">
        <f>7+1</f>
        <v>8</v>
      </c>
      <c r="G38" s="335">
        <f>7+1</f>
        <v>8</v>
      </c>
      <c r="H38" s="335">
        <f>8+2</f>
        <v>10</v>
      </c>
      <c r="I38" s="335">
        <f>3+8</f>
        <v>11</v>
      </c>
      <c r="J38" s="335">
        <f>9+4</f>
        <v>13</v>
      </c>
      <c r="K38" s="335">
        <f>10+6</f>
        <v>16</v>
      </c>
      <c r="L38" s="335">
        <f>12+6</f>
        <v>18</v>
      </c>
      <c r="M38" s="335">
        <f>12+8</f>
        <v>20</v>
      </c>
      <c r="N38" s="335">
        <f>12+9+1</f>
        <v>22</v>
      </c>
      <c r="O38" s="335">
        <f>12+9+1</f>
        <v>22</v>
      </c>
      <c r="P38" s="335">
        <f>13+9+1</f>
        <v>23</v>
      </c>
      <c r="Q38" s="335">
        <f>13+10+1</f>
        <v>24</v>
      </c>
      <c r="R38" s="335">
        <f>13+10+2</f>
        <v>25</v>
      </c>
      <c r="S38" s="335">
        <f>15+2+12</f>
        <v>29</v>
      </c>
      <c r="T38" s="335">
        <f>2+14+13</f>
        <v>29</v>
      </c>
      <c r="U38" s="335">
        <f>16+3+14</f>
        <v>33</v>
      </c>
      <c r="V38" s="335">
        <f>19+3+14</f>
        <v>36</v>
      </c>
      <c r="W38" s="335">
        <f>14+20+3</f>
        <v>37</v>
      </c>
      <c r="X38" s="335">
        <f>16+20+3</f>
        <v>39</v>
      </c>
      <c r="Y38" s="335">
        <f>16+1+20+2</f>
        <v>39</v>
      </c>
      <c r="Z38" s="335">
        <f>19+1+22+2</f>
        <v>44</v>
      </c>
      <c r="AA38" s="335">
        <f>19+2+20</f>
        <v>41</v>
      </c>
      <c r="AB38" s="335">
        <f>22+2+20</f>
        <v>44</v>
      </c>
      <c r="AC38" s="335">
        <f>22+2+21</f>
        <v>45</v>
      </c>
      <c r="AD38" s="335">
        <f>22+2+21</f>
        <v>45</v>
      </c>
      <c r="AE38" s="335">
        <f>22+2+22</f>
        <v>46</v>
      </c>
      <c r="AF38" s="335">
        <f>22+2+22</f>
        <v>46</v>
      </c>
      <c r="AG38" s="335">
        <f>22+22+2</f>
        <v>46</v>
      </c>
      <c r="AH38" s="335">
        <f>23+3+22</f>
        <v>48</v>
      </c>
      <c r="AI38" s="335">
        <f>23+3+22</f>
        <v>48</v>
      </c>
      <c r="AJ38" s="335">
        <f>25+22+3</f>
        <v>50</v>
      </c>
      <c r="AK38" s="335">
        <f>25+3+22</f>
        <v>50</v>
      </c>
      <c r="AL38" s="335">
        <f>25+3+20</f>
        <v>48</v>
      </c>
      <c r="AM38" s="335">
        <f>23+3+20</f>
        <v>46</v>
      </c>
      <c r="AN38" s="335">
        <f>24+3+20</f>
        <v>47</v>
      </c>
      <c r="AO38" s="335">
        <f>24+3+16</f>
        <v>43</v>
      </c>
      <c r="AP38" s="335">
        <f>25+16+3</f>
        <v>44</v>
      </c>
      <c r="AQ38" s="335">
        <f>25+16+4</f>
        <v>45</v>
      </c>
      <c r="AR38" s="335">
        <f>24+4</f>
        <v>28</v>
      </c>
      <c r="AS38" s="335">
        <f>24</f>
        <v>24</v>
      </c>
      <c r="AT38" s="335">
        <f>25+5+3+1</f>
        <v>34</v>
      </c>
      <c r="AU38" s="335">
        <f>25+5+3+1</f>
        <v>34</v>
      </c>
      <c r="AV38" s="335">
        <f>25+5+3+1</f>
        <v>34</v>
      </c>
      <c r="AW38" s="335">
        <v>34</v>
      </c>
      <c r="AX38" s="335">
        <f>6+2+25</f>
        <v>33</v>
      </c>
      <c r="AY38" s="335">
        <f>6+2+25</f>
        <v>33</v>
      </c>
      <c r="AZ38" s="335">
        <f>26+6+2</f>
        <v>34</v>
      </c>
      <c r="BA38" s="335">
        <v>34</v>
      </c>
      <c r="BB38" s="335">
        <f>26+2+6</f>
        <v>34</v>
      </c>
      <c r="BC38" s="335">
        <f>6+26+2</f>
        <v>34</v>
      </c>
      <c r="BD38" s="335">
        <f>26+6+2</f>
        <v>34</v>
      </c>
      <c r="BE38" s="335">
        <f>6+2+26</f>
        <v>34</v>
      </c>
      <c r="BF38" s="335">
        <f>28+7+2</f>
        <v>37</v>
      </c>
      <c r="BG38" s="335">
        <f>28+7+2</f>
        <v>37</v>
      </c>
      <c r="BH38" s="1170">
        <f>28+7</f>
        <v>35</v>
      </c>
      <c r="BI38" s="1170">
        <f>28+7</f>
        <v>35</v>
      </c>
      <c r="BJ38" s="1170">
        <f>28+7</f>
        <v>35</v>
      </c>
      <c r="BK38" s="1170">
        <f>28+8</f>
        <v>36</v>
      </c>
      <c r="BL38" s="1170">
        <v>8</v>
      </c>
    </row>
    <row r="39" spans="1:64" s="9" customFormat="1" ht="11.25">
      <c r="A39" s="513" t="s">
        <v>325</v>
      </c>
      <c r="C39" s="170">
        <f>IS!C73</f>
        <v>994</v>
      </c>
      <c r="D39" s="170">
        <f>IS!D73</f>
        <v>993</v>
      </c>
      <c r="E39" s="170">
        <f>IS!E73</f>
        <v>990</v>
      </c>
      <c r="F39" s="170">
        <f>IS!F73</f>
        <v>1001</v>
      </c>
      <c r="G39" s="170">
        <f>IS!G73</f>
        <v>1000</v>
      </c>
      <c r="H39" s="170">
        <f>IS!H73</f>
        <v>1010</v>
      </c>
      <c r="I39" s="170">
        <f>IS!I73</f>
        <v>1017</v>
      </c>
      <c r="J39" s="170">
        <f>IS!J73</f>
        <v>1037</v>
      </c>
      <c r="K39" s="170">
        <f>IS!K73</f>
        <v>1039</v>
      </c>
      <c r="L39" s="170">
        <f>IS!L73</f>
        <v>1051</v>
      </c>
      <c r="M39" s="170">
        <f>IS!M73</f>
        <v>1053</v>
      </c>
      <c r="N39" s="170">
        <f>IS!N73</f>
        <v>1075</v>
      </c>
      <c r="O39" s="170">
        <f>IS!O73</f>
        <v>1129</v>
      </c>
      <c r="P39" s="170">
        <f>IS!P73</f>
        <v>1139</v>
      </c>
      <c r="Q39" s="170">
        <f>IS!Q73</f>
        <v>1152</v>
      </c>
      <c r="R39" s="170">
        <f>IS!R73</f>
        <v>1186</v>
      </c>
      <c r="S39" s="170">
        <f>IS!S73</f>
        <v>1178</v>
      </c>
      <c r="T39" s="170">
        <f>IS!T73</f>
        <v>1505</v>
      </c>
      <c r="U39" s="170">
        <f>IS!U73</f>
        <v>1536</v>
      </c>
      <c r="V39" s="170">
        <f>IS!V73</f>
        <v>1575</v>
      </c>
      <c r="W39" s="170">
        <f>IS!W73</f>
        <v>1587</v>
      </c>
      <c r="X39" s="170">
        <f>IS!X73</f>
        <v>1943</v>
      </c>
      <c r="Y39" s="170">
        <f>IS!Y73</f>
        <v>1960</v>
      </c>
      <c r="Z39" s="170">
        <f>IS!Z73</f>
        <v>1999</v>
      </c>
      <c r="AA39" s="170">
        <f>IS!AA73</f>
        <v>1996</v>
      </c>
      <c r="AB39" s="170">
        <f>IS!AB73</f>
        <v>2020</v>
      </c>
      <c r="AC39" s="170">
        <f>IS!AC73</f>
        <v>2068</v>
      </c>
      <c r="AD39" s="170">
        <f>IS!AD73</f>
        <v>2092</v>
      </c>
      <c r="AE39" s="170">
        <f>IS!AE73</f>
        <v>2090</v>
      </c>
      <c r="AF39" s="170">
        <f>IS!AF73</f>
        <v>2106</v>
      </c>
      <c r="AG39" s="170">
        <f>IS!AG73</f>
        <v>2140</v>
      </c>
      <c r="AH39" s="170">
        <f>IS!AH73</f>
        <v>2215</v>
      </c>
      <c r="AI39" s="170">
        <f>IS!AI73</f>
        <v>2236</v>
      </c>
      <c r="AJ39" s="170">
        <f>IS!AJ73</f>
        <v>2257</v>
      </c>
      <c r="AK39" s="170">
        <f>IS!AK73</f>
        <v>2295</v>
      </c>
      <c r="AL39" s="170">
        <f>IS!AL73</f>
        <v>2346</v>
      </c>
      <c r="AM39" s="170">
        <f>IS!AM73</f>
        <v>2358</v>
      </c>
      <c r="AN39" s="170">
        <f>IS!AN73</f>
        <v>2387</v>
      </c>
      <c r="AO39" s="170">
        <f>IS!AO73</f>
        <v>2410</v>
      </c>
      <c r="AP39" s="170">
        <f>IS!AP73</f>
        <v>2467</v>
      </c>
      <c r="AQ39" s="170">
        <f>IS!AQ73</f>
        <v>2477</v>
      </c>
      <c r="AR39" s="170">
        <f>IS!AR73</f>
        <v>2463</v>
      </c>
      <c r="AS39" s="170">
        <f>IS!AS73</f>
        <v>2469</v>
      </c>
      <c r="AT39" s="170">
        <f>IS!AT73</f>
        <v>2272</v>
      </c>
      <c r="AU39" s="170">
        <f>IS!AU73</f>
        <v>2263</v>
      </c>
      <c r="AV39" s="170">
        <f>IS!AV73</f>
        <v>2236</v>
      </c>
      <c r="AW39" s="170">
        <f>IS!AW73</f>
        <v>2219</v>
      </c>
      <c r="AX39" s="170">
        <f>IS!AX73</f>
        <v>2184</v>
      </c>
      <c r="AY39" s="170">
        <f>IS!AY73</f>
        <v>2171</v>
      </c>
      <c r="AZ39" s="170">
        <f>IS!AZ73</f>
        <v>2169</v>
      </c>
      <c r="BA39" s="170">
        <f>IS!BA73</f>
        <v>2159</v>
      </c>
      <c r="BB39" s="170">
        <f>IS!BB73</f>
        <v>2174</v>
      </c>
      <c r="BC39" s="170">
        <f>IS!BC73</f>
        <v>2181</v>
      </c>
      <c r="BD39" s="170">
        <f>IS!BD73</f>
        <v>2192</v>
      </c>
      <c r="BE39" s="170">
        <f>IS!BE73</f>
        <v>2204</v>
      </c>
      <c r="BF39" s="170">
        <f>IS!BF73</f>
        <v>2248</v>
      </c>
      <c r="BG39" s="170">
        <f>IS!BG73</f>
        <v>2244</v>
      </c>
      <c r="BH39" s="170">
        <f>IS!BH73</f>
        <v>2237</v>
      </c>
      <c r="BI39" s="170">
        <f>IS!BI73</f>
        <v>2248</v>
      </c>
      <c r="BJ39" s="170">
        <f>IS!BJ73</f>
        <v>2313</v>
      </c>
      <c r="BK39" s="170">
        <f>IS!BK73</f>
        <v>2331</v>
      </c>
      <c r="BL39" s="170">
        <f>IS!BL73</f>
        <v>2358</v>
      </c>
    </row>
    <row r="40" spans="1:64" s="9" customFormat="1" ht="11.25">
      <c r="A40" s="604"/>
      <c r="B40" s="254"/>
      <c r="C40" s="822"/>
      <c r="D40" s="822"/>
      <c r="E40" s="822"/>
      <c r="F40" s="822"/>
      <c r="G40" s="822"/>
      <c r="H40" s="822"/>
      <c r="I40" s="822"/>
      <c r="J40" s="822"/>
      <c r="K40" s="822"/>
      <c r="L40" s="822"/>
      <c r="M40" s="822"/>
      <c r="N40" s="822"/>
      <c r="O40" s="822"/>
      <c r="P40" s="822"/>
      <c r="Q40" s="822"/>
      <c r="R40" s="822"/>
      <c r="S40" s="822"/>
      <c r="T40" s="822"/>
      <c r="U40" s="822"/>
      <c r="V40" s="915"/>
      <c r="W40" s="915"/>
      <c r="X40" s="915"/>
      <c r="Y40" s="915"/>
      <c r="Z40" s="915"/>
      <c r="AA40" s="915"/>
      <c r="AB40" s="915"/>
      <c r="AC40" s="915"/>
      <c r="AD40" s="915"/>
      <c r="AE40" s="915"/>
      <c r="AF40" s="915"/>
      <c r="AG40" s="915"/>
      <c r="AH40" s="915"/>
      <c r="AI40" s="797"/>
      <c r="AJ40" s="797"/>
      <c r="AK40" s="797"/>
      <c r="AL40" s="797"/>
      <c r="AM40" s="797"/>
      <c r="AN40" s="797"/>
      <c r="AO40" s="797"/>
      <c r="AP40" s="797"/>
      <c r="AQ40" s="797"/>
      <c r="AR40" s="797"/>
      <c r="AS40" s="797"/>
      <c r="AT40" s="797"/>
      <c r="AU40" s="797"/>
      <c r="AV40" s="797"/>
      <c r="AW40" s="797"/>
      <c r="AX40" s="797"/>
      <c r="AY40" s="797"/>
      <c r="AZ40" s="797"/>
      <c r="BA40" s="797"/>
      <c r="BB40" s="797"/>
      <c r="BC40" s="797"/>
      <c r="BD40" s="797"/>
      <c r="BE40" s="797"/>
      <c r="BF40" s="797"/>
      <c r="BG40" s="797"/>
      <c r="BH40" s="1201"/>
      <c r="BI40" s="1201"/>
      <c r="BJ40" s="1201"/>
      <c r="BK40" s="1201"/>
      <c r="BL40" s="1201"/>
    </row>
    <row r="41" spans="1:64" s="9" customFormat="1" ht="11.25">
      <c r="A41" s="13"/>
      <c r="C41" s="92"/>
      <c r="V41" s="92"/>
      <c r="Y41" s="92"/>
      <c r="AC41" s="92"/>
      <c r="AD41" s="92"/>
      <c r="AE41" s="92"/>
      <c r="AF41" s="92"/>
      <c r="AH41" s="92"/>
      <c r="AI41" s="92"/>
      <c r="AJ41" s="92"/>
      <c r="AK41" s="92"/>
      <c r="AL41" s="92"/>
      <c r="AM41" s="92"/>
      <c r="AN41" s="92"/>
      <c r="AO41" s="92"/>
      <c r="AP41" s="92"/>
    </row>
    <row r="42" spans="1:64" s="9" customFormat="1" ht="11.25">
      <c r="A42" s="513" t="s">
        <v>1013</v>
      </c>
      <c r="C42" s="92"/>
      <c r="V42" s="92"/>
      <c r="Y42" s="92"/>
      <c r="AC42" s="92"/>
      <c r="AD42" s="92"/>
      <c r="AE42" s="92"/>
      <c r="AF42" s="92"/>
      <c r="AH42" s="92"/>
      <c r="AI42" s="92"/>
      <c r="AJ42" s="92"/>
      <c r="AK42" s="92"/>
      <c r="AL42" s="92"/>
      <c r="AM42" s="92"/>
      <c r="AN42" s="92"/>
      <c r="AO42" s="92"/>
      <c r="AP42" s="92"/>
    </row>
    <row r="43" spans="1:64" s="9" customFormat="1" ht="11.25">
      <c r="A43" s="342" t="s">
        <v>1007</v>
      </c>
      <c r="C43" s="37">
        <f t="shared" ref="C43:AO43" si="8">C31/C$39</f>
        <v>0.58752515090543256</v>
      </c>
      <c r="D43" s="37">
        <f t="shared" si="8"/>
        <v>0.59113796576032229</v>
      </c>
      <c r="E43" s="37">
        <f t="shared" si="8"/>
        <v>0.59292929292929297</v>
      </c>
      <c r="F43" s="37">
        <f t="shared" si="8"/>
        <v>0.58941058941058944</v>
      </c>
      <c r="G43" s="37">
        <f t="shared" si="8"/>
        <v>0.58699999999999997</v>
      </c>
      <c r="H43" s="37">
        <f t="shared" si="8"/>
        <v>0.58019801980198016</v>
      </c>
      <c r="I43" s="37">
        <f t="shared" si="8"/>
        <v>0.57620452310717796</v>
      </c>
      <c r="J43" s="37">
        <f t="shared" si="8"/>
        <v>0.56316297010607519</v>
      </c>
      <c r="K43" s="37">
        <f t="shared" si="8"/>
        <v>0.55726660250240612</v>
      </c>
      <c r="L43" s="37">
        <f t="shared" si="8"/>
        <v>0.55090390104662224</v>
      </c>
      <c r="M43" s="37">
        <f t="shared" si="8"/>
        <v>0.54795821462488126</v>
      </c>
      <c r="N43" s="37">
        <f t="shared" si="8"/>
        <v>0.53581395348837213</v>
      </c>
      <c r="O43" s="37">
        <f t="shared" si="8"/>
        <v>0.50930026572187781</v>
      </c>
      <c r="P43" s="37">
        <f t="shared" si="8"/>
        <v>0.50570676031606676</v>
      </c>
      <c r="Q43" s="37">
        <f t="shared" si="8"/>
        <v>0.50347222222222221</v>
      </c>
      <c r="R43" s="37">
        <f t="shared" si="8"/>
        <v>0.50421585160202365</v>
      </c>
      <c r="S43" s="37">
        <f t="shared" si="8"/>
        <v>0.48981324278438032</v>
      </c>
      <c r="T43" s="37">
        <f t="shared" si="8"/>
        <v>0.38471760797342192</v>
      </c>
      <c r="U43" s="37">
        <f t="shared" si="8"/>
        <v>0.380859375</v>
      </c>
      <c r="V43" s="37">
        <f t="shared" si="8"/>
        <v>0.37396825396825395</v>
      </c>
      <c r="W43" s="37">
        <f t="shared" si="8"/>
        <v>0.37303087586641465</v>
      </c>
      <c r="X43" s="37">
        <f t="shared" si="8"/>
        <v>0.30519814719505917</v>
      </c>
      <c r="Y43" s="37">
        <f t="shared" si="8"/>
        <v>0.30408163265306121</v>
      </c>
      <c r="Z43" s="37">
        <f t="shared" si="8"/>
        <v>0.30215107553776888</v>
      </c>
      <c r="AA43" s="37">
        <f t="shared" si="8"/>
        <v>0.30210420841683366</v>
      </c>
      <c r="AB43" s="37">
        <f t="shared" si="8"/>
        <v>0.29950495049504949</v>
      </c>
      <c r="AC43" s="37">
        <f t="shared" si="8"/>
        <v>0.29497098646034814</v>
      </c>
      <c r="AD43" s="37">
        <f t="shared" si="8"/>
        <v>0.29684512428298276</v>
      </c>
      <c r="AE43" s="37">
        <f t="shared" si="8"/>
        <v>0.29569377990430623</v>
      </c>
      <c r="AF43" s="37">
        <f t="shared" si="8"/>
        <v>0.29677113010446343</v>
      </c>
      <c r="AG43" s="37">
        <f t="shared" si="8"/>
        <v>0.29532710280373831</v>
      </c>
      <c r="AH43" s="37">
        <f t="shared" si="8"/>
        <v>0.29525959367945825</v>
      </c>
      <c r="AI43" s="37">
        <f t="shared" si="8"/>
        <v>0.29651162790697677</v>
      </c>
      <c r="AJ43" s="37">
        <f t="shared" si="8"/>
        <v>0.29729729729729731</v>
      </c>
      <c r="AK43" s="37">
        <f t="shared" si="8"/>
        <v>0.29760348583877994</v>
      </c>
      <c r="AL43" s="37">
        <f t="shared" si="8"/>
        <v>0.29880647911338448</v>
      </c>
      <c r="AM43" s="37">
        <f t="shared" si="8"/>
        <v>0.30279898218829515</v>
      </c>
      <c r="AN43" s="37">
        <f t="shared" si="8"/>
        <v>0.30079597821533305</v>
      </c>
      <c r="AO43" s="37">
        <f t="shared" si="8"/>
        <v>0.30041493775933609</v>
      </c>
      <c r="AP43" s="37">
        <f t="shared" ref="AP43:AP50" si="9">AP31/AP$39</f>
        <v>0.30766112687474667</v>
      </c>
      <c r="AQ43" s="37">
        <f t="shared" ref="AQ43:AS50" si="10">AQ31/AQ$39</f>
        <v>0.30843762616067821</v>
      </c>
      <c r="AR43" s="37">
        <f t="shared" si="10"/>
        <v>0.31181485992691838</v>
      </c>
      <c r="AS43" s="37">
        <f t="shared" si="10"/>
        <v>0.31429728635074927</v>
      </c>
      <c r="AT43" s="37">
        <f t="shared" ref="AT43:BA50" si="11">AT31/AT$39</f>
        <v>0.352112676056338</v>
      </c>
      <c r="AU43" s="37">
        <f t="shared" si="11"/>
        <v>0.35218736190897038</v>
      </c>
      <c r="AV43" s="37">
        <f t="shared" si="11"/>
        <v>0.35375670840787121</v>
      </c>
      <c r="AW43" s="37">
        <f t="shared" si="11"/>
        <v>0.35331230283911674</v>
      </c>
      <c r="AX43" s="37">
        <f t="shared" si="11"/>
        <v>0.35760073260073261</v>
      </c>
      <c r="AY43" s="37">
        <f t="shared" si="11"/>
        <v>0.36020267157991709</v>
      </c>
      <c r="AZ43" s="37">
        <f t="shared" si="11"/>
        <v>0.36191793453204241</v>
      </c>
      <c r="BA43" s="37">
        <f t="shared" si="11"/>
        <v>0.36591014358499308</v>
      </c>
      <c r="BB43" s="37">
        <f t="shared" ref="BB43:BC46" si="12">BB31/BB$39</f>
        <v>0.36890524379024842</v>
      </c>
      <c r="BC43" s="37">
        <f t="shared" si="12"/>
        <v>0.36955524988537369</v>
      </c>
      <c r="BD43" s="37">
        <f t="shared" ref="BD43:BE50" si="13">BD31/BD$39</f>
        <v>0.37089416058394159</v>
      </c>
      <c r="BE43" s="37">
        <f t="shared" si="13"/>
        <v>0.3720508166969147</v>
      </c>
      <c r="BF43" s="37">
        <f t="shared" ref="BF43:BG50" si="14">BF31/BF$39</f>
        <v>0.375</v>
      </c>
      <c r="BG43" s="37">
        <f t="shared" si="14"/>
        <v>0.37655971479500894</v>
      </c>
      <c r="BH43" s="37">
        <f t="shared" ref="BH43:BI43" si="15">BH31/BH$39</f>
        <v>0.37997317836388017</v>
      </c>
      <c r="BI43" s="37">
        <f t="shared" si="15"/>
        <v>0.38345195729537368</v>
      </c>
      <c r="BJ43" s="37">
        <f t="shared" ref="BJ43:BK50" si="16">BJ31/BJ$39</f>
        <v>0.3882403804582793</v>
      </c>
      <c r="BK43" s="37">
        <f t="shared" si="16"/>
        <v>0.38867438867438869</v>
      </c>
      <c r="BL43" s="37">
        <f t="shared" ref="BL43" si="17">BL31/BL$39</f>
        <v>0.38931297709923662</v>
      </c>
    </row>
    <row r="44" spans="1:64" s="9" customFormat="1" ht="11.25">
      <c r="A44" s="342" t="s">
        <v>1018</v>
      </c>
      <c r="C44" s="37">
        <f t="shared" ref="C44:AO44" si="18">C32/C$39</f>
        <v>0.26156941649899396</v>
      </c>
      <c r="D44" s="37">
        <f t="shared" si="18"/>
        <v>0.25981873111782477</v>
      </c>
      <c r="E44" s="37">
        <f t="shared" si="18"/>
        <v>0.26363636363636361</v>
      </c>
      <c r="F44" s="37">
        <f t="shared" si="18"/>
        <v>0.26573426573426573</v>
      </c>
      <c r="G44" s="37">
        <f t="shared" si="18"/>
        <v>0.26900000000000002</v>
      </c>
      <c r="H44" s="37">
        <f t="shared" si="18"/>
        <v>0.27425742574257428</v>
      </c>
      <c r="I44" s="37">
        <f t="shared" si="18"/>
        <v>0.27826941986234022</v>
      </c>
      <c r="J44" s="37">
        <f t="shared" si="18"/>
        <v>0.28929604628736738</v>
      </c>
      <c r="K44" s="37">
        <f t="shared" si="18"/>
        <v>0.2925890279114533</v>
      </c>
      <c r="L44" s="37">
        <f t="shared" si="18"/>
        <v>0.29876308277830638</v>
      </c>
      <c r="M44" s="37">
        <f t="shared" si="18"/>
        <v>0.30199430199430199</v>
      </c>
      <c r="N44" s="37">
        <f t="shared" si="18"/>
        <v>0.31348837209302327</v>
      </c>
      <c r="O44" s="37">
        <f t="shared" si="18"/>
        <v>0.30203720106288751</v>
      </c>
      <c r="P44" s="37">
        <f t="shared" si="18"/>
        <v>0.30553116769095701</v>
      </c>
      <c r="Q44" s="37">
        <f t="shared" si="18"/>
        <v>0.30815972222222221</v>
      </c>
      <c r="R44" s="37">
        <f t="shared" si="18"/>
        <v>0.3094435075885329</v>
      </c>
      <c r="S44" s="37">
        <f t="shared" si="18"/>
        <v>0.31833616298811546</v>
      </c>
      <c r="T44" s="37">
        <f t="shared" si="18"/>
        <v>0.25514950166112954</v>
      </c>
      <c r="U44" s="37">
        <f t="shared" si="18"/>
        <v>0.259765625</v>
      </c>
      <c r="V44" s="37">
        <f t="shared" si="18"/>
        <v>0.26285714285714284</v>
      </c>
      <c r="W44" s="37">
        <f t="shared" si="18"/>
        <v>0.26402016383112792</v>
      </c>
      <c r="X44" s="37">
        <f t="shared" si="18"/>
        <v>0.21770458054554812</v>
      </c>
      <c r="Y44" s="37">
        <f t="shared" si="18"/>
        <v>0.2260204081632653</v>
      </c>
      <c r="Z44" s="37">
        <f t="shared" si="18"/>
        <v>0.22811405702851426</v>
      </c>
      <c r="AA44" s="37">
        <f t="shared" si="18"/>
        <v>0.22995991983967937</v>
      </c>
      <c r="AB44" s="37">
        <f t="shared" si="18"/>
        <v>0.23564356435643563</v>
      </c>
      <c r="AC44" s="37">
        <f t="shared" si="18"/>
        <v>0.24516441005802708</v>
      </c>
      <c r="AD44" s="37">
        <f t="shared" si="18"/>
        <v>0.24856596558317401</v>
      </c>
      <c r="AE44" s="37">
        <f t="shared" si="18"/>
        <v>0.25167464114832538</v>
      </c>
      <c r="AF44" s="37">
        <f t="shared" si="18"/>
        <v>0.25546058879392214</v>
      </c>
      <c r="AG44" s="37">
        <f t="shared" si="18"/>
        <v>0.26401869158878505</v>
      </c>
      <c r="AH44" s="37">
        <f t="shared" si="18"/>
        <v>0.26591422121896163</v>
      </c>
      <c r="AI44" s="37">
        <f t="shared" si="18"/>
        <v>0.26923076923076922</v>
      </c>
      <c r="AJ44" s="37">
        <f t="shared" si="18"/>
        <v>0.27027027027027029</v>
      </c>
      <c r="AK44" s="37">
        <f t="shared" si="18"/>
        <v>0.27450980392156865</v>
      </c>
      <c r="AL44" s="37">
        <f t="shared" si="18"/>
        <v>0.27493606138107418</v>
      </c>
      <c r="AM44" s="37">
        <f t="shared" si="18"/>
        <v>0.28329092451229854</v>
      </c>
      <c r="AN44" s="37">
        <f t="shared" si="18"/>
        <v>0.28780896522832006</v>
      </c>
      <c r="AO44" s="37">
        <f t="shared" si="18"/>
        <v>0.29336099585062242</v>
      </c>
      <c r="AP44" s="37">
        <f t="shared" si="9"/>
        <v>0.29306850425618158</v>
      </c>
      <c r="AQ44" s="37">
        <f t="shared" si="10"/>
        <v>0.29430763019781997</v>
      </c>
      <c r="AR44" s="37">
        <f t="shared" si="10"/>
        <v>0.29922858302882666</v>
      </c>
      <c r="AS44" s="37">
        <f t="shared" si="10"/>
        <v>0.30214661806399351</v>
      </c>
      <c r="AT44" s="37">
        <f t="shared" si="11"/>
        <v>0.3296654929577465</v>
      </c>
      <c r="AU44" s="37">
        <f t="shared" si="11"/>
        <v>0.33186036235086169</v>
      </c>
      <c r="AV44" s="37">
        <f t="shared" si="11"/>
        <v>0.33720930232558138</v>
      </c>
      <c r="AW44" s="37">
        <f t="shared" si="11"/>
        <v>0.34159531320414599</v>
      </c>
      <c r="AX44" s="37">
        <f t="shared" si="11"/>
        <v>0.34203296703296704</v>
      </c>
      <c r="AY44" s="37">
        <f t="shared" si="11"/>
        <v>0.34362045140488257</v>
      </c>
      <c r="AZ44" s="37">
        <f t="shared" si="11"/>
        <v>0.34347625633932688</v>
      </c>
      <c r="BA44" s="37">
        <f t="shared" si="11"/>
        <v>0.3432144511347846</v>
      </c>
      <c r="BB44" s="37">
        <f>BB32/BB$39</f>
        <v>0.34314627414903404</v>
      </c>
      <c r="BC44" s="37">
        <f t="shared" si="12"/>
        <v>0.34387895460797802</v>
      </c>
      <c r="BD44" s="37">
        <f t="shared" si="13"/>
        <v>0.34352189781021897</v>
      </c>
      <c r="BE44" s="37">
        <f t="shared" si="13"/>
        <v>0.34618874773139746</v>
      </c>
      <c r="BF44" s="37">
        <f t="shared" si="14"/>
        <v>0.34830960854092524</v>
      </c>
      <c r="BG44" s="37">
        <f t="shared" si="14"/>
        <v>0.34982174688057038</v>
      </c>
      <c r="BH44" s="37">
        <f t="shared" ref="BH44:BI44" si="19">BH32/BH$39</f>
        <v>0.35359856951274027</v>
      </c>
      <c r="BI44" s="37">
        <f t="shared" si="19"/>
        <v>0.35409252669039148</v>
      </c>
      <c r="BJ44" s="37">
        <f t="shared" ref="BJ44" si="20">BJ32/BJ$39</f>
        <v>0.35451794206658022</v>
      </c>
      <c r="BK44" s="37">
        <f t="shared" si="16"/>
        <v>0.35607035607035609</v>
      </c>
      <c r="BL44" s="37">
        <f t="shared" ref="BL44" si="21">BL32/BL$39</f>
        <v>0.35793044953350295</v>
      </c>
    </row>
    <row r="45" spans="1:64" s="9" customFormat="1" ht="11.25">
      <c r="A45" s="342" t="s">
        <v>1008</v>
      </c>
      <c r="C45" s="37">
        <f t="shared" ref="C45:AO45" si="22">C33/C$39</f>
        <v>0.10865191146881288</v>
      </c>
      <c r="D45" s="37">
        <f t="shared" si="22"/>
        <v>0.10876132930513595</v>
      </c>
      <c r="E45" s="37">
        <f t="shared" si="22"/>
        <v>0.10909090909090909</v>
      </c>
      <c r="F45" s="37">
        <f t="shared" si="22"/>
        <v>0.10789210789210789</v>
      </c>
      <c r="G45" s="37">
        <f t="shared" si="22"/>
        <v>0.108</v>
      </c>
      <c r="H45" s="37">
        <f t="shared" si="22"/>
        <v>0.10693069306930693</v>
      </c>
      <c r="I45" s="37">
        <f t="shared" si="22"/>
        <v>0.10619469026548672</v>
      </c>
      <c r="J45" s="37">
        <f t="shared" si="22"/>
        <v>0.10511089681774349</v>
      </c>
      <c r="K45" s="37">
        <f t="shared" si="22"/>
        <v>0.10490856592877768</v>
      </c>
      <c r="L45" s="37">
        <f t="shared" si="22"/>
        <v>0.1027592768791627</v>
      </c>
      <c r="M45" s="37">
        <f t="shared" si="22"/>
        <v>0.10066476733143399</v>
      </c>
      <c r="N45" s="37">
        <f t="shared" si="22"/>
        <v>9.9534883720930237E-2</v>
      </c>
      <c r="O45" s="37">
        <f t="shared" si="22"/>
        <v>9.3888396811337468E-2</v>
      </c>
      <c r="P45" s="37">
        <f t="shared" si="22"/>
        <v>9.3942054433713784E-2</v>
      </c>
      <c r="Q45" s="37">
        <f t="shared" si="22"/>
        <v>9.2013888888888895E-2</v>
      </c>
      <c r="R45" s="37">
        <f t="shared" si="22"/>
        <v>9.0219224283305227E-2</v>
      </c>
      <c r="S45" s="37">
        <f t="shared" si="22"/>
        <v>9.0831918505942272E-2</v>
      </c>
      <c r="T45" s="37">
        <f t="shared" si="22"/>
        <v>0.28039867109634553</v>
      </c>
      <c r="U45" s="37">
        <f t="shared" si="22"/>
        <v>0.27604166666666669</v>
      </c>
      <c r="V45" s="37">
        <f t="shared" si="22"/>
        <v>0.27619047619047621</v>
      </c>
      <c r="W45" s="37">
        <f t="shared" si="22"/>
        <v>0.27473219911783237</v>
      </c>
      <c r="X45" s="37">
        <f t="shared" si="22"/>
        <v>0.22593926917138446</v>
      </c>
      <c r="Y45" s="37">
        <f t="shared" si="22"/>
        <v>0.22091836734693879</v>
      </c>
      <c r="Z45" s="37">
        <f t="shared" si="22"/>
        <v>0.21910955477738869</v>
      </c>
      <c r="AA45" s="37">
        <f t="shared" si="22"/>
        <v>0.21743486973947895</v>
      </c>
      <c r="AB45" s="37">
        <f t="shared" si="22"/>
        <v>0.21584158415841584</v>
      </c>
      <c r="AC45" s="37">
        <f t="shared" si="22"/>
        <v>0.21615087040618955</v>
      </c>
      <c r="AD45" s="37">
        <f t="shared" si="22"/>
        <v>0.2170172084130019</v>
      </c>
      <c r="AE45" s="37">
        <f t="shared" si="22"/>
        <v>0.21674641148325358</v>
      </c>
      <c r="AF45" s="37">
        <f t="shared" si="22"/>
        <v>0.21177587844254511</v>
      </c>
      <c r="AG45" s="37">
        <f t="shared" si="22"/>
        <v>0.20934579439252338</v>
      </c>
      <c r="AH45" s="37">
        <f t="shared" si="22"/>
        <v>0.20677200902934537</v>
      </c>
      <c r="AI45" s="37">
        <f t="shared" si="22"/>
        <v>0.20080500894454384</v>
      </c>
      <c r="AJ45" s="37">
        <f t="shared" si="22"/>
        <v>0.19849357554275587</v>
      </c>
      <c r="AK45" s="37">
        <f t="shared" si="22"/>
        <v>0.19433551198257082</v>
      </c>
      <c r="AL45" s="37">
        <f t="shared" si="22"/>
        <v>0.19266837169650469</v>
      </c>
      <c r="AM45" s="37">
        <f t="shared" si="22"/>
        <v>0.18193384223918574</v>
      </c>
      <c r="AN45" s="37">
        <f t="shared" si="22"/>
        <v>0.17972350230414746</v>
      </c>
      <c r="AO45" s="37">
        <f t="shared" si="22"/>
        <v>0.17800829875518673</v>
      </c>
      <c r="AP45" s="37">
        <f t="shared" si="9"/>
        <v>0.17186866639643292</v>
      </c>
      <c r="AQ45" s="37">
        <f t="shared" si="10"/>
        <v>0.16996366572466692</v>
      </c>
      <c r="AR45" s="37">
        <f t="shared" si="10"/>
        <v>0.16930572472594396</v>
      </c>
      <c r="AS45" s="37">
        <f t="shared" si="10"/>
        <v>0.16808424463345484</v>
      </c>
      <c r="AT45" s="37">
        <f t="shared" si="11"/>
        <v>8.0105633802816906E-2</v>
      </c>
      <c r="AU45" s="37">
        <f t="shared" si="11"/>
        <v>7.9982324348210343E-2</v>
      </c>
      <c r="AV45" s="37">
        <f t="shared" si="11"/>
        <v>7.9159212880143118E-2</v>
      </c>
      <c r="AW45" s="37">
        <f t="shared" si="11"/>
        <v>7.9315006759801715E-2</v>
      </c>
      <c r="AX45" s="37">
        <f t="shared" si="11"/>
        <v>8.0128205128205135E-2</v>
      </c>
      <c r="AY45" s="37">
        <f t="shared" si="11"/>
        <v>8.0608014739751266E-2</v>
      </c>
      <c r="AZ45" s="37">
        <f t="shared" si="11"/>
        <v>8.068234209313048E-2</v>
      </c>
      <c r="BA45" s="37">
        <f t="shared" si="11"/>
        <v>8.0592867068087076E-2</v>
      </c>
      <c r="BB45" s="37">
        <f>BB33/BB$39</f>
        <v>7.9576816927322908E-2</v>
      </c>
      <c r="BC45" s="37">
        <f t="shared" si="12"/>
        <v>7.9321412196240254E-2</v>
      </c>
      <c r="BD45" s="37">
        <f t="shared" si="13"/>
        <v>7.9379562043795621E-2</v>
      </c>
      <c r="BE45" s="37">
        <f t="shared" si="13"/>
        <v>7.8947368421052627E-2</v>
      </c>
      <c r="BF45" s="37">
        <f t="shared" si="14"/>
        <v>7.7402135231316727E-2</v>
      </c>
      <c r="BG45" s="37">
        <f t="shared" si="14"/>
        <v>7.7540106951871662E-2</v>
      </c>
      <c r="BH45" s="37">
        <f t="shared" ref="BH45:BI45" si="23">BH33/BH$39</f>
        <v>7.7335717478766206E-2</v>
      </c>
      <c r="BI45" s="37">
        <f t="shared" si="23"/>
        <v>7.6512455516014238E-2</v>
      </c>
      <c r="BJ45" s="37">
        <f t="shared" ref="BJ45" si="24">BJ33/BJ$39</f>
        <v>7.5226977950713356E-2</v>
      </c>
      <c r="BK45" s="37">
        <f t="shared" si="16"/>
        <v>7.4646074646074645E-2</v>
      </c>
      <c r="BL45" s="37">
        <f t="shared" ref="BL45" si="25">BL33/BL$39</f>
        <v>7.3791348600508899E-2</v>
      </c>
    </row>
    <row r="46" spans="1:64" s="9" customFormat="1" ht="11.25">
      <c r="A46" s="342" t="s">
        <v>1009</v>
      </c>
      <c r="C46" s="37">
        <f t="shared" ref="C46:AO46" si="26">C34/C$39</f>
        <v>2.8169014084507043E-2</v>
      </c>
      <c r="D46" s="37">
        <f t="shared" si="26"/>
        <v>2.8197381671701913E-2</v>
      </c>
      <c r="E46" s="37">
        <f t="shared" si="26"/>
        <v>2.8282828282828285E-2</v>
      </c>
      <c r="F46" s="37">
        <f t="shared" si="26"/>
        <v>2.8971028971028972E-2</v>
      </c>
      <c r="G46" s="37">
        <f t="shared" si="26"/>
        <v>2.8000000000000001E-2</v>
      </c>
      <c r="H46" s="37">
        <f t="shared" si="26"/>
        <v>2.8712871287128714E-2</v>
      </c>
      <c r="I46" s="37">
        <f t="shared" si="26"/>
        <v>2.8515240904621434E-2</v>
      </c>
      <c r="J46" s="37">
        <f t="shared" si="26"/>
        <v>2.9893924783027964E-2</v>
      </c>
      <c r="K46" s="37">
        <f t="shared" si="26"/>
        <v>2.9836381135707413E-2</v>
      </c>
      <c r="L46" s="37">
        <f t="shared" si="26"/>
        <v>3.0447193149381543E-2</v>
      </c>
      <c r="M46" s="37">
        <f t="shared" si="26"/>
        <v>3.0389363722697058E-2</v>
      </c>
      <c r="N46" s="37">
        <f t="shared" si="26"/>
        <v>3.0697674418604652E-2</v>
      </c>
      <c r="O46" s="37">
        <f t="shared" si="26"/>
        <v>2.9229406554472984E-2</v>
      </c>
      <c r="P46" s="37">
        <f t="shared" si="26"/>
        <v>2.9850746268656716E-2</v>
      </c>
      <c r="Q46" s="37">
        <f t="shared" si="26"/>
        <v>3.0381944444444444E-2</v>
      </c>
      <c r="R46" s="37">
        <f t="shared" si="26"/>
        <v>3.0354131534569982E-2</v>
      </c>
      <c r="S46" s="37">
        <f t="shared" si="26"/>
        <v>3.1409168081494056E-2</v>
      </c>
      <c r="T46" s="37">
        <f t="shared" si="26"/>
        <v>2.4584717607973421E-2</v>
      </c>
      <c r="U46" s="37">
        <f t="shared" si="26"/>
        <v>2.4739583333333332E-2</v>
      </c>
      <c r="V46" s="37">
        <f t="shared" si="26"/>
        <v>2.4761904761904763E-2</v>
      </c>
      <c r="W46" s="37">
        <f t="shared" si="26"/>
        <v>2.5204788909892879E-2</v>
      </c>
      <c r="X46" s="37">
        <f t="shared" si="26"/>
        <v>2.1101389603705611E-2</v>
      </c>
      <c r="Y46" s="37">
        <f t="shared" si="26"/>
        <v>2.1428571428571429E-2</v>
      </c>
      <c r="Z46" s="37">
        <f t="shared" si="26"/>
        <v>2.351175587793897E-2</v>
      </c>
      <c r="AA46" s="37">
        <f t="shared" si="26"/>
        <v>2.4048096192384769E-2</v>
      </c>
      <c r="AB46" s="37">
        <f t="shared" si="26"/>
        <v>2.4752475247524754E-2</v>
      </c>
      <c r="AC46" s="37">
        <f t="shared" si="26"/>
        <v>2.4661508704061894E-2</v>
      </c>
      <c r="AD46" s="37">
        <f t="shared" si="26"/>
        <v>2.5334608030592735E-2</v>
      </c>
      <c r="AE46" s="37">
        <f t="shared" si="26"/>
        <v>2.5358851674641147E-2</v>
      </c>
      <c r="AF46" s="37">
        <f t="shared" si="26"/>
        <v>2.6115859449192782E-2</v>
      </c>
      <c r="AG46" s="37">
        <f t="shared" si="26"/>
        <v>2.5233644859813085E-2</v>
      </c>
      <c r="AH46" s="37">
        <f t="shared" si="26"/>
        <v>2.5733634311512415E-2</v>
      </c>
      <c r="AI46" s="37">
        <f t="shared" si="26"/>
        <v>2.59391771019678E-2</v>
      </c>
      <c r="AJ46" s="37">
        <f t="shared" si="26"/>
        <v>2.5697828976517501E-2</v>
      </c>
      <c r="AK46" s="37">
        <f t="shared" si="26"/>
        <v>2.7015250544662309E-2</v>
      </c>
      <c r="AL46" s="37">
        <f t="shared" si="26"/>
        <v>2.7280477408354646E-2</v>
      </c>
      <c r="AM46" s="37">
        <f t="shared" si="26"/>
        <v>2.8413910093299407E-2</v>
      </c>
      <c r="AN46" s="37">
        <f t="shared" si="26"/>
        <v>2.974444909928781E-2</v>
      </c>
      <c r="AO46" s="37">
        <f t="shared" si="26"/>
        <v>2.946058091286307E-2</v>
      </c>
      <c r="AP46" s="37">
        <f t="shared" si="9"/>
        <v>2.9185245237130116E-2</v>
      </c>
      <c r="AQ46" s="37">
        <f t="shared" si="10"/>
        <v>2.9471134436818733E-2</v>
      </c>
      <c r="AR46" s="37">
        <f t="shared" si="10"/>
        <v>2.9638652050345108E-2</v>
      </c>
      <c r="AS46" s="37">
        <f t="shared" si="10"/>
        <v>3.1591737545565005E-2</v>
      </c>
      <c r="AT46" s="37">
        <f t="shared" si="11"/>
        <v>3.3010563380281688E-2</v>
      </c>
      <c r="AU46" s="37">
        <f t="shared" si="11"/>
        <v>3.3141847105612021E-2</v>
      </c>
      <c r="AV46" s="37">
        <f t="shared" si="11"/>
        <v>3.2647584973166367E-2</v>
      </c>
      <c r="AW46" s="37">
        <f t="shared" si="11"/>
        <v>3.1996394772420007E-2</v>
      </c>
      <c r="AX46" s="37">
        <f t="shared" si="11"/>
        <v>3.2509157509157512E-2</v>
      </c>
      <c r="AY46" s="37">
        <f t="shared" si="11"/>
        <v>3.2703823122984803E-2</v>
      </c>
      <c r="AZ46" s="37">
        <f t="shared" si="11"/>
        <v>3.273397879207008E-2</v>
      </c>
      <c r="BA46" s="37">
        <f t="shared" si="11"/>
        <v>3.2885595182955071E-2</v>
      </c>
      <c r="BB46" s="37">
        <f>BB34/BB$39</f>
        <v>3.2658693652253913E-2</v>
      </c>
      <c r="BC46" s="37">
        <f t="shared" si="12"/>
        <v>3.2553874369555251E-2</v>
      </c>
      <c r="BD46" s="37">
        <f t="shared" si="13"/>
        <v>3.2846715328467155E-2</v>
      </c>
      <c r="BE46" s="37">
        <f t="shared" si="13"/>
        <v>3.2667876588021776E-2</v>
      </c>
      <c r="BF46" s="37">
        <f t="shared" si="14"/>
        <v>3.2473309608540925E-2</v>
      </c>
      <c r="BG46" s="37">
        <f t="shared" si="14"/>
        <v>3.1194295900178252E-2</v>
      </c>
      <c r="BH46" s="37">
        <f t="shared" ref="BH46:BI46" si="27">BH34/BH$39</f>
        <v>3.1291908806437195E-2</v>
      </c>
      <c r="BI46" s="37">
        <f t="shared" si="27"/>
        <v>3.1138790035587189E-2</v>
      </c>
      <c r="BJ46" s="37">
        <f t="shared" ref="BJ46" si="28">BJ34/BJ$39</f>
        <v>3.1128404669260701E-2</v>
      </c>
      <c r="BK46" s="37">
        <f t="shared" si="16"/>
        <v>3.0888030888030889E-2</v>
      </c>
      <c r="BL46" s="37">
        <f t="shared" ref="BL46" si="29">BL34/BL$39</f>
        <v>3.0534351145038167E-2</v>
      </c>
    </row>
    <row r="47" spans="1:64" s="9" customFormat="1" ht="11.25">
      <c r="A47" s="342" t="s">
        <v>1010</v>
      </c>
      <c r="C47" s="37">
        <f t="shared" ref="C47:AO47" si="30">C35/C$39</f>
        <v>0</v>
      </c>
      <c r="D47" s="37">
        <f t="shared" si="30"/>
        <v>0</v>
      </c>
      <c r="E47" s="37">
        <f t="shared" si="30"/>
        <v>0</v>
      </c>
      <c r="F47" s="37">
        <f t="shared" si="30"/>
        <v>0</v>
      </c>
      <c r="G47" s="37">
        <f t="shared" si="30"/>
        <v>0</v>
      </c>
      <c r="H47" s="37">
        <f t="shared" si="30"/>
        <v>0</v>
      </c>
      <c r="I47" s="37">
        <f t="shared" si="30"/>
        <v>0</v>
      </c>
      <c r="J47" s="37">
        <f t="shared" si="30"/>
        <v>0</v>
      </c>
      <c r="K47" s="37">
        <f t="shared" si="30"/>
        <v>0</v>
      </c>
      <c r="L47" s="37">
        <f t="shared" si="30"/>
        <v>0</v>
      </c>
      <c r="M47" s="37">
        <f t="shared" si="30"/>
        <v>0</v>
      </c>
      <c r="N47" s="37">
        <f t="shared" si="30"/>
        <v>0</v>
      </c>
      <c r="O47" s="37">
        <f t="shared" si="30"/>
        <v>4.6058458813108945E-2</v>
      </c>
      <c r="P47" s="37">
        <f t="shared" si="30"/>
        <v>4.4776119402985072E-2</v>
      </c>
      <c r="Q47" s="37">
        <f t="shared" si="30"/>
        <v>4.5138888888888888E-2</v>
      </c>
      <c r="R47" s="37">
        <f t="shared" si="30"/>
        <v>4.4688026981450253E-2</v>
      </c>
      <c r="S47" s="37">
        <f t="shared" si="30"/>
        <v>4.4991511035653652E-2</v>
      </c>
      <c r="T47" s="37">
        <f t="shared" si="30"/>
        <v>3.5880398671096346E-2</v>
      </c>
      <c r="U47" s="37">
        <f t="shared" si="30"/>
        <v>3.7109375E-2</v>
      </c>
      <c r="V47" s="37">
        <f t="shared" si="30"/>
        <v>3.9365079365079367E-2</v>
      </c>
      <c r="W47" s="37">
        <f t="shared" si="30"/>
        <v>3.9697542533081283E-2</v>
      </c>
      <c r="X47" s="37">
        <f t="shared" si="30"/>
        <v>3.2424086464230568E-2</v>
      </c>
      <c r="Y47" s="37">
        <f t="shared" si="30"/>
        <v>3.214285714285714E-2</v>
      </c>
      <c r="Z47" s="37">
        <f t="shared" si="30"/>
        <v>3.3016508254127067E-2</v>
      </c>
      <c r="AA47" s="37">
        <f t="shared" si="30"/>
        <v>3.406813627254509E-2</v>
      </c>
      <c r="AB47" s="37">
        <f t="shared" si="30"/>
        <v>3.5148514851485152E-2</v>
      </c>
      <c r="AC47" s="37">
        <f t="shared" si="30"/>
        <v>3.4816247582205029E-2</v>
      </c>
      <c r="AD47" s="37">
        <f t="shared" si="30"/>
        <v>3.4894837476099429E-2</v>
      </c>
      <c r="AE47" s="37">
        <f t="shared" si="30"/>
        <v>3.4928229665071774E-2</v>
      </c>
      <c r="AF47" s="37">
        <f t="shared" si="30"/>
        <v>3.5137701804368468E-2</v>
      </c>
      <c r="AG47" s="37">
        <f t="shared" si="30"/>
        <v>3.5046728971962614E-2</v>
      </c>
      <c r="AH47" s="37">
        <f t="shared" si="30"/>
        <v>3.6568848758465014E-2</v>
      </c>
      <c r="AI47" s="37">
        <f t="shared" si="30"/>
        <v>3.8908765652951698E-2</v>
      </c>
      <c r="AJ47" s="37">
        <f t="shared" si="30"/>
        <v>3.9875941515285777E-2</v>
      </c>
      <c r="AK47" s="37">
        <f t="shared" si="30"/>
        <v>3.965141612200436E-2</v>
      </c>
      <c r="AL47" s="37">
        <f t="shared" si="30"/>
        <v>4.0068201193520885E-2</v>
      </c>
      <c r="AM47" s="37">
        <f t="shared" si="30"/>
        <v>3.9864291772688722E-2</v>
      </c>
      <c r="AN47" s="37">
        <f t="shared" si="30"/>
        <v>3.9798910766652699E-2</v>
      </c>
      <c r="AO47" s="37">
        <f t="shared" si="30"/>
        <v>3.9419087136929459E-2</v>
      </c>
      <c r="AP47" s="37">
        <f t="shared" si="9"/>
        <v>3.8508309687880014E-2</v>
      </c>
      <c r="AQ47" s="37">
        <f t="shared" si="10"/>
        <v>3.835284618490109E-2</v>
      </c>
      <c r="AR47" s="37">
        <f t="shared" si="10"/>
        <v>3.857084855866829E-2</v>
      </c>
      <c r="AS47" s="37">
        <f t="shared" si="10"/>
        <v>3.7667071688942892E-2</v>
      </c>
      <c r="AT47" s="37">
        <f t="shared" si="11"/>
        <v>4.0933098591549297E-2</v>
      </c>
      <c r="AU47" s="37">
        <f t="shared" si="11"/>
        <v>3.9328325231992929E-2</v>
      </c>
      <c r="AV47" s="37">
        <f t="shared" si="11"/>
        <v>3.8461538461538464E-2</v>
      </c>
      <c r="AW47" s="37">
        <f t="shared" si="11"/>
        <v>3.5601622352410996E-2</v>
      </c>
      <c r="AX47" s="37">
        <f t="shared" si="11"/>
        <v>3.6172161172161175E-2</v>
      </c>
      <c r="AY47" s="37">
        <f t="shared" si="11"/>
        <v>3.5467526485490557E-2</v>
      </c>
      <c r="AZ47" s="37">
        <f t="shared" si="11"/>
        <v>3.5500230520977408E-2</v>
      </c>
      <c r="BA47" s="37">
        <f t="shared" si="11"/>
        <v>3.5201482167670217E-2</v>
      </c>
      <c r="BB47" s="37">
        <f>BB35/BB$39</f>
        <v>3.4958601655933765E-2</v>
      </c>
      <c r="BC47" s="37">
        <f>BC35/BC$39</f>
        <v>3.3929390187987164E-2</v>
      </c>
      <c r="BD47" s="37">
        <f t="shared" si="13"/>
        <v>3.3759124087591241E-2</v>
      </c>
      <c r="BE47" s="37">
        <f t="shared" si="13"/>
        <v>3.3575317604355719E-2</v>
      </c>
      <c r="BF47" s="37">
        <f t="shared" si="14"/>
        <v>3.2918149466192169E-2</v>
      </c>
      <c r="BG47" s="37">
        <f t="shared" si="14"/>
        <v>3.2976827094474151E-2</v>
      </c>
      <c r="BH47" s="37">
        <f t="shared" ref="BH47:BI47" si="31">BH35/BH$39</f>
        <v>3.3527045149754138E-2</v>
      </c>
      <c r="BI47" s="37">
        <f t="shared" si="31"/>
        <v>3.3362989323843413E-2</v>
      </c>
      <c r="BJ47" s="37">
        <f t="shared" ref="BJ47" si="32">BJ35/BJ$39</f>
        <v>3.2857760484219629E-2</v>
      </c>
      <c r="BK47" s="37">
        <f t="shared" si="16"/>
        <v>3.2604032604032607E-2</v>
      </c>
      <c r="BL47" s="37">
        <f t="shared" ref="BL47" si="33">BL35/BL$39</f>
        <v>3.265479219677693E-2</v>
      </c>
    </row>
    <row r="48" spans="1:64" s="9" customFormat="1" ht="11.25">
      <c r="A48" s="342" t="s">
        <v>1011</v>
      </c>
      <c r="C48" s="37">
        <f t="shared" ref="C48:AO48" si="34">C36/C$39</f>
        <v>0</v>
      </c>
      <c r="D48" s="37">
        <f t="shared" si="34"/>
        <v>0</v>
      </c>
      <c r="E48" s="37">
        <f t="shared" si="34"/>
        <v>0</v>
      </c>
      <c r="F48" s="37">
        <f t="shared" si="34"/>
        <v>0</v>
      </c>
      <c r="G48" s="37">
        <f t="shared" si="34"/>
        <v>0</v>
      </c>
      <c r="H48" s="37">
        <f t="shared" si="34"/>
        <v>0</v>
      </c>
      <c r="I48" s="37">
        <f t="shared" si="34"/>
        <v>0</v>
      </c>
      <c r="J48" s="37">
        <f t="shared" si="34"/>
        <v>0</v>
      </c>
      <c r="K48" s="37">
        <f t="shared" si="34"/>
        <v>0</v>
      </c>
      <c r="L48" s="37">
        <f t="shared" si="34"/>
        <v>0</v>
      </c>
      <c r="M48" s="37">
        <f t="shared" si="34"/>
        <v>0</v>
      </c>
      <c r="N48" s="37">
        <f t="shared" si="34"/>
        <v>0</v>
      </c>
      <c r="O48" s="37">
        <f t="shared" si="34"/>
        <v>0</v>
      </c>
      <c r="P48" s="37">
        <f t="shared" si="34"/>
        <v>0</v>
      </c>
      <c r="Q48" s="37">
        <f t="shared" si="34"/>
        <v>0</v>
      </c>
      <c r="R48" s="37">
        <f t="shared" si="34"/>
        <v>0</v>
      </c>
      <c r="S48" s="37">
        <f t="shared" si="34"/>
        <v>0</v>
      </c>
      <c r="T48" s="37">
        <f t="shared" si="34"/>
        <v>0</v>
      </c>
      <c r="U48" s="37">
        <f t="shared" si="34"/>
        <v>0</v>
      </c>
      <c r="V48" s="37">
        <f t="shared" si="34"/>
        <v>0</v>
      </c>
      <c r="W48" s="37">
        <f t="shared" si="34"/>
        <v>0</v>
      </c>
      <c r="X48" s="37">
        <f t="shared" si="34"/>
        <v>0.13432835820895522</v>
      </c>
      <c r="Y48" s="37">
        <f t="shared" si="34"/>
        <v>0.1326530612244898</v>
      </c>
      <c r="Z48" s="37">
        <f t="shared" si="34"/>
        <v>0.12956478239119559</v>
      </c>
      <c r="AA48" s="37">
        <f t="shared" si="34"/>
        <v>0.12925851703406813</v>
      </c>
      <c r="AB48" s="37">
        <f t="shared" si="34"/>
        <v>0.12673267326732673</v>
      </c>
      <c r="AC48" s="37">
        <f t="shared" si="34"/>
        <v>0.12330754352030948</v>
      </c>
      <c r="AD48" s="37">
        <f t="shared" si="34"/>
        <v>0.12045889101338432</v>
      </c>
      <c r="AE48" s="37">
        <f t="shared" si="34"/>
        <v>0.11961722488038277</v>
      </c>
      <c r="AF48" s="37">
        <f t="shared" si="34"/>
        <v>0.11918328584995251</v>
      </c>
      <c r="AG48" s="37">
        <f t="shared" si="34"/>
        <v>0.11822429906542056</v>
      </c>
      <c r="AH48" s="37">
        <f t="shared" si="34"/>
        <v>0.11783295711060948</v>
      </c>
      <c r="AI48" s="37">
        <f t="shared" si="34"/>
        <v>0.11717352415026834</v>
      </c>
      <c r="AJ48" s="37">
        <f t="shared" si="34"/>
        <v>0.11652636242800177</v>
      </c>
      <c r="AK48" s="37">
        <f t="shared" si="34"/>
        <v>0.11633986928104575</v>
      </c>
      <c r="AL48" s="37">
        <f t="shared" si="34"/>
        <v>0.11722080136402387</v>
      </c>
      <c r="AM48" s="37">
        <f t="shared" si="34"/>
        <v>0.11577608142493638</v>
      </c>
      <c r="AN48" s="37">
        <f t="shared" si="34"/>
        <v>0.11562630917469627</v>
      </c>
      <c r="AO48" s="37">
        <f t="shared" si="34"/>
        <v>0.11493775933609958</v>
      </c>
      <c r="AP48" s="37">
        <f t="shared" si="9"/>
        <v>0.11593027969193352</v>
      </c>
      <c r="AQ48" s="37">
        <f t="shared" si="10"/>
        <v>0.11546225272507064</v>
      </c>
      <c r="AR48" s="37">
        <f t="shared" si="10"/>
        <v>0.11693057247259439</v>
      </c>
      <c r="AS48" s="37">
        <f t="shared" si="10"/>
        <v>0.11624139327663022</v>
      </c>
      <c r="AT48" s="37">
        <f t="shared" si="11"/>
        <v>0.12896126760563381</v>
      </c>
      <c r="AU48" s="37">
        <f t="shared" si="11"/>
        <v>0.12814847547503314</v>
      </c>
      <c r="AV48" s="37">
        <f t="shared" si="11"/>
        <v>0.12432915921288014</v>
      </c>
      <c r="AW48" s="37">
        <f t="shared" si="11"/>
        <v>0.1284362325371789</v>
      </c>
      <c r="AX48" s="37">
        <f t="shared" si="11"/>
        <v>0.12912087912087913</v>
      </c>
      <c r="AY48" s="37">
        <f t="shared" si="11"/>
        <v>0.12482726853984338</v>
      </c>
      <c r="AZ48" s="37">
        <f t="shared" si="11"/>
        <v>0.12263715998155832</v>
      </c>
      <c r="BA48" s="37">
        <f t="shared" si="11"/>
        <v>0.1190365910143585</v>
      </c>
      <c r="BB48" s="37">
        <f t="shared" ref="BB48:BC50" si="35">BB36/BB$39</f>
        <v>0.11821527138914444</v>
      </c>
      <c r="BC48" s="37">
        <f t="shared" si="35"/>
        <v>0.11829436038514443</v>
      </c>
      <c r="BD48" s="37">
        <f t="shared" si="13"/>
        <v>0.11724452554744526</v>
      </c>
      <c r="BE48" s="37">
        <f t="shared" si="13"/>
        <v>0.11433756805807622</v>
      </c>
      <c r="BF48" s="37">
        <f t="shared" si="14"/>
        <v>0.11076512455516015</v>
      </c>
      <c r="BG48" s="37">
        <f t="shared" si="14"/>
        <v>0.10873440285204991</v>
      </c>
      <c r="BH48" s="37">
        <f t="shared" ref="BH48:BI48" si="36">BH36/BH$39</f>
        <v>0.10862762628520339</v>
      </c>
      <c r="BI48" s="37">
        <f t="shared" si="36"/>
        <v>0.10587188612099645</v>
      </c>
      <c r="BJ48" s="37">
        <f t="shared" ref="BJ48" si="37">BJ36/BJ$39</f>
        <v>0.1028966709900562</v>
      </c>
      <c r="BK48" s="37">
        <f t="shared" si="16"/>
        <v>0.10167310167310167</v>
      </c>
      <c r="BL48" s="37">
        <f t="shared" ref="BL48" si="38">BL36/BL$39</f>
        <v>0.1005089058524173</v>
      </c>
    </row>
    <row r="49" spans="1:64" s="9" customFormat="1" ht="11.25">
      <c r="A49" s="342" t="s">
        <v>1012</v>
      </c>
      <c r="C49" s="37">
        <f t="shared" ref="C49:AO49" si="39">C37/C$39</f>
        <v>0</v>
      </c>
      <c r="D49" s="37">
        <f t="shared" si="39"/>
        <v>0</v>
      </c>
      <c r="E49" s="37">
        <f t="shared" si="39"/>
        <v>0</v>
      </c>
      <c r="F49" s="37">
        <f t="shared" si="39"/>
        <v>0</v>
      </c>
      <c r="G49" s="37">
        <f t="shared" si="39"/>
        <v>0</v>
      </c>
      <c r="H49" s="37">
        <f t="shared" si="39"/>
        <v>0</v>
      </c>
      <c r="I49" s="37">
        <f t="shared" si="39"/>
        <v>0</v>
      </c>
      <c r="J49" s="37">
        <f t="shared" si="39"/>
        <v>0</v>
      </c>
      <c r="K49" s="37">
        <f t="shared" si="39"/>
        <v>0</v>
      </c>
      <c r="L49" s="37">
        <f t="shared" si="39"/>
        <v>0</v>
      </c>
      <c r="M49" s="37">
        <f t="shared" si="39"/>
        <v>0</v>
      </c>
      <c r="N49" s="37">
        <f t="shared" si="39"/>
        <v>0</v>
      </c>
      <c r="O49" s="37">
        <f t="shared" si="39"/>
        <v>0</v>
      </c>
      <c r="P49" s="37">
        <f t="shared" si="39"/>
        <v>0</v>
      </c>
      <c r="Q49" s="37">
        <f t="shared" si="39"/>
        <v>0</v>
      </c>
      <c r="R49" s="37">
        <f t="shared" si="39"/>
        <v>0</v>
      </c>
      <c r="S49" s="37">
        <f t="shared" si="39"/>
        <v>0</v>
      </c>
      <c r="T49" s="37">
        <f t="shared" si="39"/>
        <v>0</v>
      </c>
      <c r="U49" s="37">
        <f t="shared" si="39"/>
        <v>0</v>
      </c>
      <c r="V49" s="37">
        <f t="shared" si="39"/>
        <v>0</v>
      </c>
      <c r="W49" s="37">
        <f t="shared" si="39"/>
        <v>0</v>
      </c>
      <c r="X49" s="37">
        <f t="shared" si="39"/>
        <v>4.3232115285640763E-2</v>
      </c>
      <c r="Y49" s="37">
        <f t="shared" si="39"/>
        <v>4.2857142857142858E-2</v>
      </c>
      <c r="Z49" s="37">
        <f t="shared" si="39"/>
        <v>4.2521260630315159E-2</v>
      </c>
      <c r="AA49" s="37">
        <f t="shared" si="39"/>
        <v>4.2585170340681364E-2</v>
      </c>
      <c r="AB49" s="37">
        <f t="shared" si="39"/>
        <v>4.0594059405940595E-2</v>
      </c>
      <c r="AC49" s="37">
        <f t="shared" si="39"/>
        <v>3.9168278529980657E-2</v>
      </c>
      <c r="AD49" s="37">
        <f t="shared" si="39"/>
        <v>3.5372848948374759E-2</v>
      </c>
      <c r="AE49" s="37">
        <f t="shared" si="39"/>
        <v>3.3971291866028708E-2</v>
      </c>
      <c r="AF49" s="37">
        <f t="shared" si="39"/>
        <v>3.3713200379867046E-2</v>
      </c>
      <c r="AG49" s="37">
        <f t="shared" si="39"/>
        <v>3.1308411214953272E-2</v>
      </c>
      <c r="AH49" s="37">
        <f t="shared" si="39"/>
        <v>3.0248306997742665E-2</v>
      </c>
      <c r="AI49" s="37">
        <f t="shared" si="39"/>
        <v>2.9964221824686939E-2</v>
      </c>
      <c r="AJ49" s="37">
        <f t="shared" si="39"/>
        <v>2.968542312804608E-2</v>
      </c>
      <c r="AK49" s="37">
        <f t="shared" si="39"/>
        <v>2.8758169934640521E-2</v>
      </c>
      <c r="AL49" s="37">
        <f t="shared" si="39"/>
        <v>2.8559249786871271E-2</v>
      </c>
      <c r="AM49" s="37">
        <f t="shared" si="39"/>
        <v>2.8413910093299407E-2</v>
      </c>
      <c r="AN49" s="37">
        <f t="shared" si="39"/>
        <v>2.6811897779639715E-2</v>
      </c>
      <c r="AO49" s="37">
        <f t="shared" si="39"/>
        <v>2.6556016597510373E-2</v>
      </c>
      <c r="AP49" s="37">
        <f t="shared" si="9"/>
        <v>2.5942440210782326E-2</v>
      </c>
      <c r="AQ49" s="37">
        <f t="shared" si="10"/>
        <v>2.5837706903512312E-2</v>
      </c>
      <c r="AR49" s="37">
        <f t="shared" si="10"/>
        <v>2.3142509135200974E-2</v>
      </c>
      <c r="AS49" s="37">
        <f t="shared" si="10"/>
        <v>2.025111381125962E-2</v>
      </c>
      <c r="AT49" s="37">
        <f t="shared" si="11"/>
        <v>2.0246478873239437E-2</v>
      </c>
      <c r="AU49" s="37">
        <f t="shared" si="11"/>
        <v>2.0326999558108707E-2</v>
      </c>
      <c r="AV49" s="37">
        <f t="shared" si="11"/>
        <v>1.9230769230769232E-2</v>
      </c>
      <c r="AW49" s="37">
        <f t="shared" si="11"/>
        <v>1.4420910319963948E-2</v>
      </c>
      <c r="AX49" s="37">
        <f t="shared" si="11"/>
        <v>7.326007326007326E-3</v>
      </c>
      <c r="AY49" s="37">
        <f t="shared" si="11"/>
        <v>7.3698756333486874E-3</v>
      </c>
      <c r="AZ49" s="37">
        <f t="shared" si="11"/>
        <v>7.3766712770862147E-3</v>
      </c>
      <c r="BA49" s="37">
        <f t="shared" si="11"/>
        <v>7.4108383510884668E-3</v>
      </c>
      <c r="BB49" s="37">
        <f>BB37/BB$39</f>
        <v>6.8997240110395585E-3</v>
      </c>
      <c r="BC49" s="37">
        <f t="shared" si="35"/>
        <v>6.8775790921595595E-3</v>
      </c>
      <c r="BD49" s="37">
        <f t="shared" si="13"/>
        <v>6.8430656934306573E-3</v>
      </c>
      <c r="BE49" s="37">
        <f t="shared" si="13"/>
        <v>6.8058076225045372E-3</v>
      </c>
      <c r="BF49" s="37">
        <f t="shared" si="14"/>
        <v>6.6725978647686835E-3</v>
      </c>
      <c r="BG49" s="37">
        <f t="shared" si="14"/>
        <v>6.6844919786096255E-3</v>
      </c>
      <c r="BH49" s="37">
        <f t="shared" ref="BH49:BI49" si="40">BH37/BH$39</f>
        <v>0</v>
      </c>
      <c r="BI49" s="37">
        <f t="shared" si="40"/>
        <v>0</v>
      </c>
      <c r="BJ49" s="37">
        <f t="shared" ref="BJ49" si="41">BJ37/BJ$39</f>
        <v>0</v>
      </c>
      <c r="BK49" s="37">
        <f t="shared" si="16"/>
        <v>0</v>
      </c>
      <c r="BL49" s="37">
        <f t="shared" ref="BL49" si="42">BL37/BL$39</f>
        <v>1.1874469889737066E-2</v>
      </c>
    </row>
    <row r="50" spans="1:64" s="9" customFormat="1" ht="11.25">
      <c r="A50" s="342" t="s">
        <v>331</v>
      </c>
      <c r="C50" s="37">
        <f t="shared" ref="C50:AO50" si="43">C38/C$39</f>
        <v>1.4084507042253521E-2</v>
      </c>
      <c r="D50" s="37">
        <f t="shared" si="43"/>
        <v>1.2084592145015106E-2</v>
      </c>
      <c r="E50" s="37">
        <f t="shared" si="43"/>
        <v>6.0606060606060606E-3</v>
      </c>
      <c r="F50" s="37">
        <f t="shared" si="43"/>
        <v>7.992007992007992E-3</v>
      </c>
      <c r="G50" s="37">
        <f t="shared" si="43"/>
        <v>8.0000000000000002E-3</v>
      </c>
      <c r="H50" s="37">
        <f t="shared" si="43"/>
        <v>9.9009900990099011E-3</v>
      </c>
      <c r="I50" s="37">
        <f t="shared" si="43"/>
        <v>1.0816125860373648E-2</v>
      </c>
      <c r="J50" s="37">
        <f t="shared" si="43"/>
        <v>1.253616200578592E-2</v>
      </c>
      <c r="K50" s="37">
        <f t="shared" si="43"/>
        <v>1.5399422521655439E-2</v>
      </c>
      <c r="L50" s="37">
        <f t="shared" si="43"/>
        <v>1.7126546146527116E-2</v>
      </c>
      <c r="M50" s="37">
        <f t="shared" si="43"/>
        <v>1.8993352326685659E-2</v>
      </c>
      <c r="N50" s="37">
        <f t="shared" si="43"/>
        <v>2.0465116279069766E-2</v>
      </c>
      <c r="O50" s="37">
        <f t="shared" si="43"/>
        <v>1.9486271036315322E-2</v>
      </c>
      <c r="P50" s="37">
        <f t="shared" si="43"/>
        <v>2.0193151887620719E-2</v>
      </c>
      <c r="Q50" s="37">
        <f t="shared" si="43"/>
        <v>2.0833333333333332E-2</v>
      </c>
      <c r="R50" s="37">
        <f t="shared" si="43"/>
        <v>2.1079258010118045E-2</v>
      </c>
      <c r="S50" s="37">
        <f t="shared" si="43"/>
        <v>2.4617996604414261E-2</v>
      </c>
      <c r="T50" s="37">
        <f t="shared" si="43"/>
        <v>1.9269102990033222E-2</v>
      </c>
      <c r="U50" s="37">
        <f t="shared" si="43"/>
        <v>2.1484375E-2</v>
      </c>
      <c r="V50" s="37">
        <f t="shared" si="43"/>
        <v>2.2857142857142857E-2</v>
      </c>
      <c r="W50" s="37">
        <f t="shared" si="43"/>
        <v>2.3314429741650915E-2</v>
      </c>
      <c r="X50" s="37">
        <f t="shared" si="43"/>
        <v>2.0072053525476068E-2</v>
      </c>
      <c r="Y50" s="37">
        <f t="shared" si="43"/>
        <v>1.9897959183673469E-2</v>
      </c>
      <c r="Z50" s="37">
        <f t="shared" si="43"/>
        <v>2.2011005502751375E-2</v>
      </c>
      <c r="AA50" s="37">
        <f t="shared" si="43"/>
        <v>2.0541082164328657E-2</v>
      </c>
      <c r="AB50" s="37">
        <f t="shared" si="43"/>
        <v>2.1782178217821781E-2</v>
      </c>
      <c r="AC50" s="37">
        <f t="shared" si="43"/>
        <v>2.1760154738878143E-2</v>
      </c>
      <c r="AD50" s="37">
        <f t="shared" si="43"/>
        <v>2.1510516252390057E-2</v>
      </c>
      <c r="AE50" s="37">
        <f t="shared" si="43"/>
        <v>2.200956937799043E-2</v>
      </c>
      <c r="AF50" s="37">
        <f t="shared" si="43"/>
        <v>2.184235517568851E-2</v>
      </c>
      <c r="AG50" s="37">
        <f t="shared" si="43"/>
        <v>2.1495327102803739E-2</v>
      </c>
      <c r="AH50" s="37">
        <f t="shared" si="43"/>
        <v>2.1670428893905191E-2</v>
      </c>
      <c r="AI50" s="37">
        <f t="shared" si="43"/>
        <v>2.1466905187835419E-2</v>
      </c>
      <c r="AJ50" s="37">
        <f t="shared" si="43"/>
        <v>2.2153300841825433E-2</v>
      </c>
      <c r="AK50" s="37">
        <f t="shared" si="43"/>
        <v>2.178649237472767E-2</v>
      </c>
      <c r="AL50" s="37">
        <f t="shared" si="43"/>
        <v>2.0460358056265986E-2</v>
      </c>
      <c r="AM50" s="37">
        <f t="shared" si="43"/>
        <v>1.9508057675996608E-2</v>
      </c>
      <c r="AN50" s="37">
        <f t="shared" si="43"/>
        <v>1.9689987431922917E-2</v>
      </c>
      <c r="AO50" s="37">
        <f t="shared" si="43"/>
        <v>1.7842323651452281E-2</v>
      </c>
      <c r="AP50" s="37">
        <f t="shared" si="9"/>
        <v>1.783542764491285E-2</v>
      </c>
      <c r="AQ50" s="37">
        <f t="shared" si="10"/>
        <v>1.8167137666532097E-2</v>
      </c>
      <c r="AR50" s="37">
        <f t="shared" si="10"/>
        <v>1.1368250101502234E-2</v>
      </c>
      <c r="AS50" s="37">
        <f t="shared" si="10"/>
        <v>9.7205346294046164E-3</v>
      </c>
      <c r="AT50" s="37">
        <f t="shared" si="11"/>
        <v>1.4964788732394365E-2</v>
      </c>
      <c r="AU50" s="37">
        <f t="shared" si="11"/>
        <v>1.5024304021210782E-2</v>
      </c>
      <c r="AV50" s="37">
        <f t="shared" si="11"/>
        <v>1.520572450805009E-2</v>
      </c>
      <c r="AW50" s="37">
        <f t="shared" si="11"/>
        <v>1.5322217214961695E-2</v>
      </c>
      <c r="AX50" s="37">
        <f t="shared" si="11"/>
        <v>1.510989010989011E-2</v>
      </c>
      <c r="AY50" s="37">
        <f t="shared" si="11"/>
        <v>1.5200368493781667E-2</v>
      </c>
      <c r="AZ50" s="37">
        <f t="shared" si="11"/>
        <v>1.5675426463808206E-2</v>
      </c>
      <c r="BA50" s="37">
        <f t="shared" si="11"/>
        <v>1.5748031496062992E-2</v>
      </c>
      <c r="BB50" s="37">
        <f>BB38/BB$39</f>
        <v>1.5639374425023E-2</v>
      </c>
      <c r="BC50" s="37">
        <f t="shared" si="35"/>
        <v>1.5589179275561669E-2</v>
      </c>
      <c r="BD50" s="37">
        <f t="shared" si="13"/>
        <v>1.5510948905109489E-2</v>
      </c>
      <c r="BE50" s="37">
        <f t="shared" si="13"/>
        <v>1.5426497277676952E-2</v>
      </c>
      <c r="BF50" s="37">
        <f t="shared" si="14"/>
        <v>1.6459074733096084E-2</v>
      </c>
      <c r="BG50" s="37">
        <f t="shared" si="14"/>
        <v>1.6488413547237075E-2</v>
      </c>
      <c r="BH50" s="37">
        <f t="shared" ref="BH50:BI50" si="44">BH38/BH$39</f>
        <v>1.5645954403218598E-2</v>
      </c>
      <c r="BI50" s="37">
        <f t="shared" si="44"/>
        <v>1.5569395017793594E-2</v>
      </c>
      <c r="BJ50" s="37">
        <f t="shared" ref="BJ50" si="45">BJ38/BJ$39</f>
        <v>1.5131863380890618E-2</v>
      </c>
      <c r="BK50" s="37">
        <f t="shared" si="16"/>
        <v>1.5444015444015444E-2</v>
      </c>
      <c r="BL50" s="37">
        <f t="shared" ref="BL50" si="46">BL38/BL$39</f>
        <v>3.3927056827820186E-3</v>
      </c>
    </row>
    <row r="51" spans="1:64" s="9" customFormat="1" ht="11.25">
      <c r="A51" s="513" t="s">
        <v>325</v>
      </c>
      <c r="C51" s="949">
        <f t="shared" ref="C51:AO51" si="47">SUM(C43:C50)</f>
        <v>1</v>
      </c>
      <c r="D51" s="949">
        <f t="shared" si="47"/>
        <v>1</v>
      </c>
      <c r="E51" s="949">
        <f t="shared" si="47"/>
        <v>1</v>
      </c>
      <c r="F51" s="949">
        <f t="shared" si="47"/>
        <v>1</v>
      </c>
      <c r="G51" s="949">
        <f t="shared" si="47"/>
        <v>1</v>
      </c>
      <c r="H51" s="949">
        <f t="shared" si="47"/>
        <v>1</v>
      </c>
      <c r="I51" s="949">
        <f t="shared" si="47"/>
        <v>1</v>
      </c>
      <c r="J51" s="949">
        <f t="shared" si="47"/>
        <v>1</v>
      </c>
      <c r="K51" s="949">
        <f t="shared" si="47"/>
        <v>0.99999999999999989</v>
      </c>
      <c r="L51" s="949">
        <f t="shared" si="47"/>
        <v>1</v>
      </c>
      <c r="M51" s="949">
        <f t="shared" si="47"/>
        <v>1</v>
      </c>
      <c r="N51" s="949">
        <f t="shared" si="47"/>
        <v>1</v>
      </c>
      <c r="O51" s="949">
        <f t="shared" si="47"/>
        <v>1</v>
      </c>
      <c r="P51" s="949">
        <f t="shared" si="47"/>
        <v>1</v>
      </c>
      <c r="Q51" s="949">
        <f t="shared" si="47"/>
        <v>0.99999999999999989</v>
      </c>
      <c r="R51" s="949">
        <f t="shared" si="47"/>
        <v>1</v>
      </c>
      <c r="S51" s="949">
        <f t="shared" si="47"/>
        <v>1.0000000000000002</v>
      </c>
      <c r="T51" s="949">
        <f t="shared" si="47"/>
        <v>1</v>
      </c>
      <c r="U51" s="949">
        <f t="shared" si="47"/>
        <v>1</v>
      </c>
      <c r="V51" s="949">
        <f t="shared" si="47"/>
        <v>1</v>
      </c>
      <c r="W51" s="949">
        <f t="shared" si="47"/>
        <v>1.0000000000000002</v>
      </c>
      <c r="X51" s="949">
        <f t="shared" si="47"/>
        <v>0.99999999999999989</v>
      </c>
      <c r="Y51" s="949">
        <f t="shared" si="47"/>
        <v>1</v>
      </c>
      <c r="Z51" s="949">
        <f t="shared" si="47"/>
        <v>1</v>
      </c>
      <c r="AA51" s="949">
        <f t="shared" si="47"/>
        <v>1</v>
      </c>
      <c r="AB51" s="949">
        <f t="shared" si="47"/>
        <v>1</v>
      </c>
      <c r="AC51" s="949">
        <f t="shared" si="47"/>
        <v>1</v>
      </c>
      <c r="AD51" s="949">
        <f t="shared" si="47"/>
        <v>1</v>
      </c>
      <c r="AE51" s="949">
        <f t="shared" si="47"/>
        <v>1</v>
      </c>
      <c r="AF51" s="949">
        <f t="shared" si="47"/>
        <v>1</v>
      </c>
      <c r="AG51" s="949">
        <f t="shared" si="47"/>
        <v>1</v>
      </c>
      <c r="AH51" s="949">
        <f t="shared" si="47"/>
        <v>1</v>
      </c>
      <c r="AI51" s="949">
        <f t="shared" si="47"/>
        <v>1</v>
      </c>
      <c r="AJ51" s="949">
        <f t="shared" si="47"/>
        <v>1</v>
      </c>
      <c r="AK51" s="949">
        <f t="shared" si="47"/>
        <v>1.0000000000000002</v>
      </c>
      <c r="AL51" s="949">
        <f t="shared" si="47"/>
        <v>1</v>
      </c>
      <c r="AM51" s="949">
        <f t="shared" si="47"/>
        <v>0.99999999999999989</v>
      </c>
      <c r="AN51" s="949">
        <f t="shared" si="47"/>
        <v>1</v>
      </c>
      <c r="AO51" s="949">
        <f t="shared" si="47"/>
        <v>1</v>
      </c>
      <c r="AP51" s="949">
        <f t="shared" ref="AP51:AU51" si="48">SUM(AP43:AP50)</f>
        <v>0.99999999999999989</v>
      </c>
      <c r="AQ51" s="949">
        <f t="shared" si="48"/>
        <v>0.99999999999999989</v>
      </c>
      <c r="AR51" s="949">
        <f t="shared" si="48"/>
        <v>1</v>
      </c>
      <c r="AS51" s="949">
        <f t="shared" si="48"/>
        <v>0.99999999999999989</v>
      </c>
      <c r="AT51" s="949">
        <f t="shared" si="48"/>
        <v>0.99999999999999989</v>
      </c>
      <c r="AU51" s="949">
        <f t="shared" si="48"/>
        <v>1</v>
      </c>
      <c r="AV51" s="949">
        <f t="shared" ref="AV51:BD51" si="49">SUM(AV43:AV50)</f>
        <v>1</v>
      </c>
      <c r="AW51" s="949">
        <f t="shared" si="49"/>
        <v>1</v>
      </c>
      <c r="AX51" s="949">
        <f t="shared" si="49"/>
        <v>0.99999999999999989</v>
      </c>
      <c r="AY51" s="949">
        <f t="shared" si="49"/>
        <v>1</v>
      </c>
      <c r="AZ51" s="949">
        <f t="shared" si="49"/>
        <v>1</v>
      </c>
      <c r="BA51" s="949">
        <f t="shared" si="49"/>
        <v>1</v>
      </c>
      <c r="BB51" s="949">
        <f t="shared" si="49"/>
        <v>1</v>
      </c>
      <c r="BC51" s="949">
        <f t="shared" si="49"/>
        <v>1</v>
      </c>
      <c r="BD51" s="949">
        <f t="shared" si="49"/>
        <v>1</v>
      </c>
      <c r="BE51" s="949">
        <f t="shared" ref="BE51:BK51" si="50">SUM(BE43:BE50)</f>
        <v>1</v>
      </c>
      <c r="BF51" s="949">
        <f t="shared" si="50"/>
        <v>1</v>
      </c>
      <c r="BG51" s="949">
        <f t="shared" si="50"/>
        <v>1</v>
      </c>
      <c r="BH51" s="949">
        <f t="shared" si="50"/>
        <v>0.99999999999999989</v>
      </c>
      <c r="BI51" s="949">
        <f t="shared" si="50"/>
        <v>1</v>
      </c>
      <c r="BJ51" s="949">
        <f t="shared" si="50"/>
        <v>0.99999999999999989</v>
      </c>
      <c r="BK51" s="949">
        <f t="shared" si="50"/>
        <v>1</v>
      </c>
      <c r="BL51" s="949">
        <f t="shared" ref="BL51" si="51">SUM(BL43:BL50)</f>
        <v>1</v>
      </c>
    </row>
    <row r="52" spans="1:64" s="9" customFormat="1" ht="11.25">
      <c r="A52" s="513"/>
      <c r="C52" s="949"/>
      <c r="D52" s="949"/>
      <c r="E52" s="949"/>
      <c r="F52" s="949"/>
      <c r="G52" s="949"/>
      <c r="H52" s="949"/>
      <c r="I52" s="949"/>
      <c r="J52" s="949"/>
      <c r="K52" s="949"/>
      <c r="L52" s="949"/>
      <c r="M52" s="949"/>
      <c r="N52" s="949"/>
      <c r="O52" s="949"/>
      <c r="P52" s="949"/>
      <c r="Q52" s="949"/>
      <c r="R52" s="949"/>
      <c r="S52" s="949"/>
      <c r="T52" s="949"/>
      <c r="U52" s="949"/>
      <c r="V52" s="949"/>
      <c r="W52" s="949"/>
      <c r="X52" s="949"/>
      <c r="Y52" s="949"/>
      <c r="Z52" s="949"/>
      <c r="AA52" s="949"/>
      <c r="AB52" s="949"/>
      <c r="AC52" s="949"/>
      <c r="AD52" s="949"/>
      <c r="AE52" s="949"/>
      <c r="AF52" s="949"/>
      <c r="AG52" s="949"/>
      <c r="AH52" s="949"/>
      <c r="AI52" s="949"/>
      <c r="AJ52" s="949"/>
      <c r="AK52" s="949"/>
      <c r="AL52" s="949"/>
      <c r="AM52" s="949"/>
      <c r="AN52" s="949"/>
      <c r="AO52" s="949"/>
      <c r="AP52" s="949"/>
    </row>
    <row r="53" spans="1:64" s="9" customFormat="1" ht="11.25">
      <c r="A53" s="513" t="s">
        <v>1020</v>
      </c>
      <c r="C53" s="949"/>
      <c r="D53" s="949"/>
      <c r="E53" s="949"/>
      <c r="F53" s="949"/>
      <c r="G53" s="949"/>
      <c r="H53" s="949"/>
      <c r="I53" s="949"/>
      <c r="J53" s="949"/>
      <c r="K53" s="949"/>
      <c r="L53" s="949"/>
      <c r="M53" s="949"/>
      <c r="N53" s="949"/>
      <c r="O53" s="949"/>
      <c r="P53" s="949"/>
      <c r="Q53" s="949"/>
      <c r="R53" s="949"/>
      <c r="S53" s="949"/>
      <c r="T53" s="949"/>
      <c r="U53" s="949"/>
      <c r="V53" s="949"/>
      <c r="W53" s="949"/>
      <c r="X53" s="949"/>
      <c r="Y53" s="949"/>
      <c r="Z53" s="949"/>
      <c r="AA53" s="949"/>
      <c r="AB53" s="949"/>
      <c r="AC53" s="949"/>
      <c r="AD53" s="949"/>
      <c r="AE53" s="949"/>
      <c r="AF53" s="949"/>
      <c r="AG53" s="949"/>
      <c r="AH53" s="949"/>
      <c r="AI53" s="949"/>
      <c r="AJ53" s="949"/>
      <c r="AK53" s="949"/>
      <c r="AL53" s="949"/>
      <c r="AM53" s="949"/>
      <c r="AN53" s="949"/>
      <c r="AO53" s="949"/>
      <c r="AP53" s="949"/>
    </row>
    <row r="54" spans="1:64" s="9" customFormat="1" ht="11.25">
      <c r="A54" s="342" t="s">
        <v>1007</v>
      </c>
      <c r="C54" s="949"/>
      <c r="D54" s="949"/>
      <c r="E54" s="949"/>
      <c r="F54" s="949"/>
      <c r="G54" s="949"/>
      <c r="H54" s="949"/>
      <c r="I54" s="949"/>
      <c r="J54" s="949"/>
      <c r="K54" s="949"/>
      <c r="L54" s="949"/>
      <c r="M54" s="949"/>
      <c r="N54" s="949"/>
      <c r="O54" s="949"/>
      <c r="P54" s="949"/>
      <c r="Q54" s="949"/>
      <c r="R54" s="949"/>
      <c r="S54" s="949"/>
      <c r="T54" s="949"/>
      <c r="U54" s="949"/>
      <c r="V54" s="949"/>
      <c r="W54" s="949"/>
      <c r="X54" s="949"/>
      <c r="Y54" s="949"/>
      <c r="Z54" s="949"/>
      <c r="AA54" s="949"/>
      <c r="AB54" s="949"/>
      <c r="AC54" s="646">
        <v>0.14000000000000001</v>
      </c>
      <c r="AD54" s="646"/>
      <c r="AE54" s="646">
        <v>0.14000000000000001</v>
      </c>
      <c r="AF54" s="646">
        <v>0.14000000000000001</v>
      </c>
      <c r="AG54" s="646">
        <v>0.15</v>
      </c>
      <c r="AH54" s="646">
        <v>0.15</v>
      </c>
      <c r="AI54" s="646">
        <v>0.16</v>
      </c>
      <c r="AJ54" s="646">
        <v>0.15</v>
      </c>
      <c r="AK54" s="646">
        <v>0.16</v>
      </c>
      <c r="AL54" s="646">
        <v>0.15</v>
      </c>
      <c r="AM54" s="646">
        <v>0.17</v>
      </c>
      <c r="AN54" s="646">
        <v>0.17</v>
      </c>
      <c r="AO54" s="646">
        <v>0.17</v>
      </c>
      <c r="AP54" s="1161">
        <v>0.17</v>
      </c>
      <c r="AQ54" s="1161">
        <v>0.17</v>
      </c>
      <c r="AR54" s="1161">
        <v>0.17</v>
      </c>
      <c r="AS54" s="1161">
        <v>0.17</v>
      </c>
      <c r="AT54" s="1161">
        <v>0.16</v>
      </c>
      <c r="AU54" s="1161">
        <v>0.16</v>
      </c>
      <c r="AV54" s="1161">
        <v>0.39</v>
      </c>
      <c r="AW54" s="1161">
        <v>0.25</v>
      </c>
      <c r="AX54" s="1161">
        <v>0.22</v>
      </c>
      <c r="AY54" s="1161">
        <v>0.24</v>
      </c>
      <c r="AZ54" s="1161">
        <v>0.21</v>
      </c>
      <c r="BA54" s="1161">
        <v>0.2</v>
      </c>
      <c r="BB54" s="1161">
        <v>0.19</v>
      </c>
      <c r="BC54" s="1161">
        <v>0.19</v>
      </c>
      <c r="BD54" s="1161">
        <v>0.18</v>
      </c>
      <c r="BE54" s="1161">
        <v>0.18</v>
      </c>
      <c r="BF54" s="1161">
        <v>0.17</v>
      </c>
      <c r="BG54" s="1161">
        <v>0.17</v>
      </c>
      <c r="BH54" s="1161">
        <v>0.16</v>
      </c>
      <c r="BI54" s="1161">
        <v>0.17</v>
      </c>
      <c r="BJ54" s="1942">
        <f>BI54</f>
        <v>0.17</v>
      </c>
      <c r="BK54" s="2050">
        <f>BJ54</f>
        <v>0.17</v>
      </c>
      <c r="BL54" s="2050">
        <f t="shared" ref="BL54:BL62" si="52">BK54</f>
        <v>0.17</v>
      </c>
    </row>
    <row r="55" spans="1:64" s="9" customFormat="1" ht="11.25">
      <c r="A55" s="342" t="s">
        <v>1018</v>
      </c>
      <c r="C55" s="949"/>
      <c r="D55" s="949"/>
      <c r="E55" s="949"/>
      <c r="F55" s="949"/>
      <c r="G55" s="949"/>
      <c r="H55" s="949"/>
      <c r="I55" s="949"/>
      <c r="J55" s="949"/>
      <c r="K55" s="949"/>
      <c r="L55" s="949"/>
      <c r="M55" s="949"/>
      <c r="N55" s="949"/>
      <c r="O55" s="949"/>
      <c r="P55" s="949"/>
      <c r="Q55" s="949"/>
      <c r="R55" s="949"/>
      <c r="S55" s="949"/>
      <c r="T55" s="949"/>
      <c r="U55" s="949"/>
      <c r="V55" s="949"/>
      <c r="W55" s="949"/>
      <c r="X55" s="949"/>
      <c r="Y55" s="949"/>
      <c r="Z55" s="949"/>
      <c r="AA55" s="949"/>
      <c r="AB55" s="949"/>
      <c r="AC55" s="646">
        <v>0.24</v>
      </c>
      <c r="AD55" s="646"/>
      <c r="AE55" s="646">
        <v>0.26</v>
      </c>
      <c r="AF55" s="646">
        <v>0.26</v>
      </c>
      <c r="AG55" s="646">
        <v>0.26</v>
      </c>
      <c r="AH55" s="646">
        <v>0.26</v>
      </c>
      <c r="AI55" s="646">
        <v>0.26</v>
      </c>
      <c r="AJ55" s="646">
        <v>0.27</v>
      </c>
      <c r="AK55" s="646">
        <v>0.27</v>
      </c>
      <c r="AL55" s="646">
        <v>0.26</v>
      </c>
      <c r="AM55" s="646">
        <v>0.27</v>
      </c>
      <c r="AN55" s="646">
        <v>0.27</v>
      </c>
      <c r="AO55" s="646">
        <v>0.27</v>
      </c>
      <c r="AP55" s="1161">
        <v>0.27</v>
      </c>
      <c r="AQ55" s="1161">
        <v>0.28000000000000003</v>
      </c>
      <c r="AR55" s="1161">
        <v>0.28000000000000003</v>
      </c>
      <c r="AS55" s="1161">
        <v>0.28000000000000003</v>
      </c>
      <c r="AT55" s="1161">
        <v>0.28000000000000003</v>
      </c>
      <c r="AU55" s="1161">
        <v>0.28999999999999998</v>
      </c>
      <c r="AV55" s="1161">
        <v>0.27</v>
      </c>
      <c r="AW55" s="1161">
        <v>0.34</v>
      </c>
      <c r="AX55" s="1161">
        <v>0.33</v>
      </c>
      <c r="AY55" s="1161">
        <v>0.37</v>
      </c>
      <c r="AZ55" s="1161">
        <v>0.35</v>
      </c>
      <c r="BA55" s="1161">
        <v>0.36</v>
      </c>
      <c r="BB55" s="1161">
        <v>0.35</v>
      </c>
      <c r="BC55" s="1161">
        <v>0.36</v>
      </c>
      <c r="BD55" s="1161">
        <v>0.37</v>
      </c>
      <c r="BE55" s="1161">
        <v>0.38</v>
      </c>
      <c r="BF55" s="1161">
        <v>0.37</v>
      </c>
      <c r="BG55" s="1161">
        <v>0.42</v>
      </c>
      <c r="BH55" s="1161">
        <v>0.4</v>
      </c>
      <c r="BI55" s="1161">
        <v>0.43</v>
      </c>
      <c r="BJ55" s="1942">
        <f t="shared" ref="BJ55:BK62" si="53">BI55</f>
        <v>0.43</v>
      </c>
      <c r="BK55" s="2050">
        <f t="shared" si="53"/>
        <v>0.43</v>
      </c>
      <c r="BL55" s="2050">
        <f t="shared" si="52"/>
        <v>0.43</v>
      </c>
    </row>
    <row r="56" spans="1:64" s="9" customFormat="1" ht="11.25">
      <c r="A56" s="342" t="s">
        <v>1008</v>
      </c>
      <c r="C56" s="949"/>
      <c r="D56" s="949"/>
      <c r="E56" s="949"/>
      <c r="F56" s="949"/>
      <c r="G56" s="949"/>
      <c r="H56" s="949"/>
      <c r="I56" s="949"/>
      <c r="J56" s="949"/>
      <c r="K56" s="949"/>
      <c r="L56" s="949"/>
      <c r="M56" s="949"/>
      <c r="N56" s="949"/>
      <c r="O56" s="949"/>
      <c r="P56" s="949"/>
      <c r="Q56" s="949"/>
      <c r="R56" s="949"/>
      <c r="S56" s="949"/>
      <c r="T56" s="949"/>
      <c r="U56" s="949"/>
      <c r="V56" s="949"/>
      <c r="W56" s="949"/>
      <c r="X56" s="949"/>
      <c r="Y56" s="949"/>
      <c r="Z56" s="949"/>
      <c r="AA56" s="949"/>
      <c r="AB56" s="949"/>
      <c r="AC56" s="646">
        <v>0.09</v>
      </c>
      <c r="AD56" s="646"/>
      <c r="AE56" s="646">
        <v>0.08</v>
      </c>
      <c r="AF56" s="646">
        <v>0.09</v>
      </c>
      <c r="AG56" s="646">
        <v>0.09</v>
      </c>
      <c r="AH56" s="646">
        <v>0.08</v>
      </c>
      <c r="AI56" s="646">
        <v>0.08</v>
      </c>
      <c r="AJ56" s="646">
        <v>0.08</v>
      </c>
      <c r="AK56" s="646">
        <v>0.09</v>
      </c>
      <c r="AL56" s="646">
        <v>0.09</v>
      </c>
      <c r="AM56" s="646">
        <v>7.0000000000000007E-2</v>
      </c>
      <c r="AN56" s="646">
        <v>0.08</v>
      </c>
      <c r="AO56" s="646">
        <v>7.0000000000000007E-2</v>
      </c>
      <c r="AP56" s="1161">
        <v>7.0000000000000007E-2</v>
      </c>
      <c r="AQ56" s="1161">
        <v>0.08</v>
      </c>
      <c r="AR56" s="1161">
        <v>0.08</v>
      </c>
      <c r="AS56" s="1161">
        <v>0.08</v>
      </c>
      <c r="AT56" s="1161">
        <v>0.08</v>
      </c>
      <c r="AU56" s="1161">
        <v>0.08</v>
      </c>
      <c r="AV56" s="1161">
        <v>0.09</v>
      </c>
      <c r="AW56" s="1161">
        <v>0.08</v>
      </c>
      <c r="AX56" s="1161">
        <v>0.08</v>
      </c>
      <c r="AY56" s="1161">
        <v>0.09</v>
      </c>
      <c r="AZ56" s="1161">
        <v>0.09</v>
      </c>
      <c r="BA56" s="1161">
        <v>0.09</v>
      </c>
      <c r="BB56" s="1161">
        <v>0.08</v>
      </c>
      <c r="BC56" s="1161">
        <v>0.08</v>
      </c>
      <c r="BD56" s="1161">
        <v>0.08</v>
      </c>
      <c r="BE56" s="1161">
        <v>0.08</v>
      </c>
      <c r="BF56" s="1161">
        <v>0.08</v>
      </c>
      <c r="BG56" s="1161">
        <v>0.08</v>
      </c>
      <c r="BH56" s="1161">
        <v>0.12</v>
      </c>
      <c r="BI56" s="1161">
        <v>7.0000000000000007E-2</v>
      </c>
      <c r="BJ56" s="1942">
        <f t="shared" si="53"/>
        <v>7.0000000000000007E-2</v>
      </c>
      <c r="BK56" s="2050">
        <f t="shared" si="53"/>
        <v>7.0000000000000007E-2</v>
      </c>
      <c r="BL56" s="2050">
        <f t="shared" si="52"/>
        <v>7.0000000000000007E-2</v>
      </c>
    </row>
    <row r="57" spans="1:64" s="9" customFormat="1" ht="11.25">
      <c r="A57" s="342" t="s">
        <v>1009</v>
      </c>
      <c r="C57" s="949"/>
      <c r="D57" s="949"/>
      <c r="E57" s="949"/>
      <c r="F57" s="949"/>
      <c r="G57" s="949"/>
      <c r="H57" s="949"/>
      <c r="I57" s="949"/>
      <c r="J57" s="949"/>
      <c r="K57" s="949"/>
      <c r="L57" s="949"/>
      <c r="M57" s="949"/>
      <c r="N57" s="949"/>
      <c r="O57" s="949"/>
      <c r="P57" s="949"/>
      <c r="Q57" s="949"/>
      <c r="R57" s="949"/>
      <c r="S57" s="949"/>
      <c r="T57" s="949"/>
      <c r="U57" s="949"/>
      <c r="V57" s="949"/>
      <c r="W57" s="949"/>
      <c r="X57" s="949"/>
      <c r="Y57" s="949"/>
      <c r="Z57" s="949"/>
      <c r="AA57" s="949"/>
      <c r="AB57" s="949"/>
      <c r="AC57" s="646">
        <v>7.0000000000000007E-2</v>
      </c>
      <c r="AD57" s="646"/>
      <c r="AE57" s="646">
        <v>0.06</v>
      </c>
      <c r="AF57" s="646">
        <v>7.0000000000000007E-2</v>
      </c>
      <c r="AG57" s="646">
        <v>0.06</v>
      </c>
      <c r="AH57" s="646">
        <v>0.06</v>
      </c>
      <c r="AI57" s="646">
        <v>0.06</v>
      </c>
      <c r="AJ57" s="646">
        <v>7.0000000000000007E-2</v>
      </c>
      <c r="AK57" s="646">
        <v>0.06</v>
      </c>
      <c r="AL57" s="646">
        <v>7.0000000000000007E-2</v>
      </c>
      <c r="AM57" s="646">
        <v>7.0000000000000007E-2</v>
      </c>
      <c r="AN57" s="646">
        <v>7.0000000000000007E-2</v>
      </c>
      <c r="AO57" s="646">
        <v>7.0000000000000007E-2</v>
      </c>
      <c r="AP57" s="1161">
        <v>7.0000000000000007E-2</v>
      </c>
      <c r="AQ57" s="1161">
        <v>7.0000000000000007E-2</v>
      </c>
      <c r="AR57" s="1161">
        <v>7.0000000000000007E-2</v>
      </c>
      <c r="AS57" s="1161">
        <v>7.0000000000000007E-2</v>
      </c>
      <c r="AT57" s="1161">
        <v>7.0000000000000007E-2</v>
      </c>
      <c r="AU57" s="1161">
        <v>0.08</v>
      </c>
      <c r="AV57" s="1161">
        <v>0.02</v>
      </c>
      <c r="AW57" s="1161">
        <v>0.05</v>
      </c>
      <c r="AX57" s="1161">
        <v>0.05</v>
      </c>
      <c r="AY57" s="1161">
        <v>0.05</v>
      </c>
      <c r="AZ57" s="1161">
        <v>0.06</v>
      </c>
      <c r="BA57" s="1161">
        <v>0.06</v>
      </c>
      <c r="BB57" s="1161">
        <v>7.0000000000000007E-2</v>
      </c>
      <c r="BC57" s="1161">
        <v>0.06</v>
      </c>
      <c r="BD57" s="1161">
        <v>0.06</v>
      </c>
      <c r="BE57" s="1161">
        <v>0.06</v>
      </c>
      <c r="BF57" s="1161">
        <v>7.0000000000000007E-2</v>
      </c>
      <c r="BG57" s="1161">
        <v>0.06</v>
      </c>
      <c r="BH57" s="1161">
        <v>0.06</v>
      </c>
      <c r="BI57" s="1161">
        <v>0.06</v>
      </c>
      <c r="BJ57" s="1942">
        <f t="shared" si="53"/>
        <v>0.06</v>
      </c>
      <c r="BK57" s="2050">
        <f t="shared" si="53"/>
        <v>0.06</v>
      </c>
      <c r="BL57" s="2050">
        <f t="shared" si="52"/>
        <v>0.06</v>
      </c>
    </row>
    <row r="58" spans="1:64" s="9" customFormat="1" ht="11.25">
      <c r="A58" s="342" t="s">
        <v>1010</v>
      </c>
      <c r="C58" s="949"/>
      <c r="D58" s="949"/>
      <c r="E58" s="949"/>
      <c r="F58" s="949"/>
      <c r="G58" s="949"/>
      <c r="H58" s="949"/>
      <c r="I58" s="949"/>
      <c r="J58" s="949"/>
      <c r="K58" s="949"/>
      <c r="L58" s="949"/>
      <c r="M58" s="949"/>
      <c r="N58" s="949"/>
      <c r="O58" s="949"/>
      <c r="P58" s="949"/>
      <c r="Q58" s="949"/>
      <c r="R58" s="949"/>
      <c r="S58" s="949"/>
      <c r="T58" s="949"/>
      <c r="U58" s="949"/>
      <c r="V58" s="949"/>
      <c r="W58" s="949"/>
      <c r="X58" s="949"/>
      <c r="Y58" s="949"/>
      <c r="Z58" s="949"/>
      <c r="AA58" s="949"/>
      <c r="AB58" s="949"/>
      <c r="AC58" s="646">
        <v>0.06</v>
      </c>
      <c r="AD58" s="646"/>
      <c r="AE58" s="646">
        <v>0.06</v>
      </c>
      <c r="AF58" s="646">
        <v>0.06</v>
      </c>
      <c r="AG58" s="646">
        <v>0.06</v>
      </c>
      <c r="AH58" s="646">
        <v>0.06</v>
      </c>
      <c r="AI58" s="646">
        <v>0.06</v>
      </c>
      <c r="AJ58" s="646">
        <v>0.06</v>
      </c>
      <c r="AK58" s="646">
        <v>0.06</v>
      </c>
      <c r="AL58" s="646">
        <v>7.0000000000000007E-2</v>
      </c>
      <c r="AM58" s="646">
        <v>0.06</v>
      </c>
      <c r="AN58" s="646">
        <v>0.06</v>
      </c>
      <c r="AO58" s="646">
        <v>0.06</v>
      </c>
      <c r="AP58" s="1161">
        <v>0.06</v>
      </c>
      <c r="AQ58" s="1161">
        <v>0.05</v>
      </c>
      <c r="AR58" s="1161">
        <v>0.05</v>
      </c>
      <c r="AS58" s="1161">
        <v>0.05</v>
      </c>
      <c r="AT58" s="1161">
        <v>0.06</v>
      </c>
      <c r="AU58" s="1161">
        <v>0.05</v>
      </c>
      <c r="AV58" s="1161">
        <v>0.01</v>
      </c>
      <c r="AW58" s="1161">
        <v>0.04</v>
      </c>
      <c r="AX58" s="1161">
        <v>0.04</v>
      </c>
      <c r="AY58" s="1161">
        <v>0.03</v>
      </c>
      <c r="AZ58" s="1161">
        <v>0.05</v>
      </c>
      <c r="BA58" s="1161">
        <v>0.04</v>
      </c>
      <c r="BB58" s="1161">
        <v>0.05</v>
      </c>
      <c r="BC58" s="1161">
        <v>0.04</v>
      </c>
      <c r="BD58" s="1161">
        <v>0.05</v>
      </c>
      <c r="BE58" s="1161">
        <v>0.04</v>
      </c>
      <c r="BF58" s="1161">
        <v>0.04</v>
      </c>
      <c r="BG58" s="1161">
        <v>0.03</v>
      </c>
      <c r="BH58" s="1161">
        <v>0.04</v>
      </c>
      <c r="BI58" s="1161">
        <v>0.04</v>
      </c>
      <c r="BJ58" s="1942">
        <f t="shared" si="53"/>
        <v>0.04</v>
      </c>
      <c r="BK58" s="2050">
        <f t="shared" si="53"/>
        <v>0.04</v>
      </c>
      <c r="BL58" s="2050">
        <f t="shared" si="52"/>
        <v>0.04</v>
      </c>
    </row>
    <row r="59" spans="1:64" s="9" customFormat="1" ht="11.25">
      <c r="A59" s="342" t="s">
        <v>1011</v>
      </c>
      <c r="C59" s="949"/>
      <c r="D59" s="949"/>
      <c r="E59" s="949"/>
      <c r="F59" s="949"/>
      <c r="G59" s="949"/>
      <c r="H59" s="949"/>
      <c r="I59" s="949"/>
      <c r="J59" s="949"/>
      <c r="K59" s="949"/>
      <c r="L59" s="949"/>
      <c r="M59" s="949"/>
      <c r="N59" s="949"/>
      <c r="O59" s="949"/>
      <c r="P59" s="949"/>
      <c r="Q59" s="949"/>
      <c r="R59" s="949"/>
      <c r="S59" s="949"/>
      <c r="T59" s="949"/>
      <c r="U59" s="949"/>
      <c r="V59" s="949"/>
      <c r="W59" s="949"/>
      <c r="X59" s="949"/>
      <c r="Y59" s="949"/>
      <c r="Z59" s="949"/>
      <c r="AA59" s="949"/>
      <c r="AB59" s="949"/>
      <c r="AC59" s="646">
        <v>0.24</v>
      </c>
      <c r="AD59" s="646"/>
      <c r="AE59" s="646">
        <v>0.23</v>
      </c>
      <c r="AF59" s="646">
        <v>0.22</v>
      </c>
      <c r="AG59" s="646">
        <v>0.23</v>
      </c>
      <c r="AH59" s="646">
        <v>0.22</v>
      </c>
      <c r="AI59" s="646">
        <v>0.22</v>
      </c>
      <c r="AJ59" s="646">
        <v>0.22</v>
      </c>
      <c r="AK59" s="646">
        <v>0.22</v>
      </c>
      <c r="AL59" s="646">
        <v>0.22</v>
      </c>
      <c r="AM59" s="646">
        <v>0.22</v>
      </c>
      <c r="AN59" s="646">
        <v>0.21</v>
      </c>
      <c r="AO59" s="646">
        <v>0.22</v>
      </c>
      <c r="AP59" s="1161">
        <v>0.22</v>
      </c>
      <c r="AQ59" s="1161">
        <v>0.22</v>
      </c>
      <c r="AR59" s="1161">
        <v>0.22</v>
      </c>
      <c r="AS59" s="1161">
        <v>0.22</v>
      </c>
      <c r="AT59" s="1161">
        <v>0.22</v>
      </c>
      <c r="AU59" s="1161">
        <v>0.21</v>
      </c>
      <c r="AV59" s="1161">
        <v>0.05</v>
      </c>
      <c r="AW59" s="1161">
        <v>0.14000000000000001</v>
      </c>
      <c r="AX59" s="1161">
        <v>0.16</v>
      </c>
      <c r="AY59" s="1161">
        <v>0.12</v>
      </c>
      <c r="AZ59" s="1161">
        <v>0.15</v>
      </c>
      <c r="BA59" s="1161">
        <v>0.15</v>
      </c>
      <c r="BB59" s="1161">
        <v>0.16</v>
      </c>
      <c r="BC59" s="1161">
        <v>0.15</v>
      </c>
      <c r="BD59" s="1161">
        <v>0.15</v>
      </c>
      <c r="BE59" s="1161">
        <v>0.15</v>
      </c>
      <c r="BF59" s="1161">
        <v>0.15</v>
      </c>
      <c r="BG59" s="1161">
        <v>0.14000000000000001</v>
      </c>
      <c r="BH59" s="1161">
        <v>0.13</v>
      </c>
      <c r="BI59" s="1161">
        <v>0.14000000000000001</v>
      </c>
      <c r="BJ59" s="1942">
        <f t="shared" si="53"/>
        <v>0.14000000000000001</v>
      </c>
      <c r="BK59" s="2050">
        <f t="shared" si="53"/>
        <v>0.14000000000000001</v>
      </c>
      <c r="BL59" s="2050">
        <f t="shared" si="52"/>
        <v>0.14000000000000001</v>
      </c>
    </row>
    <row r="60" spans="1:64" s="9" customFormat="1" ht="11.25">
      <c r="A60" s="342" t="s">
        <v>1021</v>
      </c>
      <c r="C60" s="949"/>
      <c r="D60" s="949"/>
      <c r="E60" s="949"/>
      <c r="F60" s="949"/>
      <c r="G60" s="949"/>
      <c r="H60" s="949"/>
      <c r="I60" s="949"/>
      <c r="J60" s="949"/>
      <c r="K60" s="949"/>
      <c r="L60" s="949"/>
      <c r="M60" s="949"/>
      <c r="N60" s="949"/>
      <c r="O60" s="949"/>
      <c r="P60" s="949"/>
      <c r="Q60" s="949"/>
      <c r="R60" s="949"/>
      <c r="S60" s="949"/>
      <c r="T60" s="949"/>
      <c r="U60" s="949"/>
      <c r="V60" s="949"/>
      <c r="W60" s="949"/>
      <c r="X60" s="949"/>
      <c r="Y60" s="949"/>
      <c r="Z60" s="949"/>
      <c r="AA60" s="949"/>
      <c r="AB60" s="949"/>
      <c r="AC60" s="646">
        <v>0.06</v>
      </c>
      <c r="AD60" s="646"/>
      <c r="AE60" s="646">
        <v>0.06</v>
      </c>
      <c r="AF60" s="646">
        <v>0.06</v>
      </c>
      <c r="AG60" s="646">
        <v>0.06</v>
      </c>
      <c r="AH60" s="646">
        <v>7.0000000000000007E-2</v>
      </c>
      <c r="AI60" s="646">
        <v>7.0000000000000007E-2</v>
      </c>
      <c r="AJ60" s="646">
        <v>0.06</v>
      </c>
      <c r="AK60" s="646">
        <v>0.05</v>
      </c>
      <c r="AL60" s="646">
        <v>0.05</v>
      </c>
      <c r="AM60" s="646">
        <v>0.05</v>
      </c>
      <c r="AN60" s="646">
        <v>0.05</v>
      </c>
      <c r="AO60" s="646">
        <v>0.05</v>
      </c>
      <c r="AP60" s="1161">
        <v>0.05</v>
      </c>
      <c r="AQ60" s="1161">
        <v>0.04</v>
      </c>
      <c r="AR60" s="1161">
        <v>0.05</v>
      </c>
      <c r="AS60" s="1161">
        <v>0.05</v>
      </c>
      <c r="AT60" s="1161">
        <v>0.06</v>
      </c>
      <c r="AU60" s="1161">
        <v>0.05</v>
      </c>
      <c r="AV60" s="1161">
        <v>0.12</v>
      </c>
      <c r="AW60" s="1161">
        <v>0.06</v>
      </c>
      <c r="AX60" s="1161">
        <v>0.05</v>
      </c>
      <c r="AY60" s="1161">
        <v>0.06</v>
      </c>
      <c r="AZ60" s="1161">
        <v>0.04</v>
      </c>
      <c r="BA60" s="1161">
        <v>0.04</v>
      </c>
      <c r="BB60" s="1161">
        <v>0.04</v>
      </c>
      <c r="BC60" s="1161">
        <v>0.05</v>
      </c>
      <c r="BD60" s="1161">
        <v>0.05</v>
      </c>
      <c r="BE60" s="1161">
        <v>0.05</v>
      </c>
      <c r="BF60" s="1161">
        <v>0.05</v>
      </c>
      <c r="BG60" s="1161">
        <v>0.05</v>
      </c>
      <c r="BH60" s="1161">
        <v>0.05</v>
      </c>
      <c r="BI60" s="1161">
        <v>0.05</v>
      </c>
      <c r="BJ60" s="1942">
        <f t="shared" si="53"/>
        <v>0.05</v>
      </c>
      <c r="BK60" s="2050">
        <f t="shared" si="53"/>
        <v>0.05</v>
      </c>
      <c r="BL60" s="2050">
        <f t="shared" si="52"/>
        <v>0.05</v>
      </c>
    </row>
    <row r="61" spans="1:64" s="9" customFormat="1" ht="11.25">
      <c r="A61" s="342" t="s">
        <v>1012</v>
      </c>
      <c r="C61" s="949"/>
      <c r="D61" s="949"/>
      <c r="E61" s="949"/>
      <c r="F61" s="949"/>
      <c r="G61" s="949"/>
      <c r="H61" s="949"/>
      <c r="I61" s="949"/>
      <c r="J61" s="949"/>
      <c r="K61" s="949"/>
      <c r="L61" s="949"/>
      <c r="M61" s="949"/>
      <c r="N61" s="949"/>
      <c r="O61" s="949"/>
      <c r="P61" s="949"/>
      <c r="Q61" s="949"/>
      <c r="R61" s="949"/>
      <c r="S61" s="949"/>
      <c r="T61" s="949"/>
      <c r="U61" s="949"/>
      <c r="V61" s="949"/>
      <c r="W61" s="949"/>
      <c r="X61" s="949"/>
      <c r="Y61" s="949"/>
      <c r="Z61" s="949"/>
      <c r="AA61" s="949"/>
      <c r="AB61" s="949"/>
      <c r="AC61" s="646">
        <v>0.05</v>
      </c>
      <c r="AD61" s="646"/>
      <c r="AE61" s="646">
        <v>0.05</v>
      </c>
      <c r="AF61" s="646">
        <v>0.04</v>
      </c>
      <c r="AG61" s="646">
        <v>0.04</v>
      </c>
      <c r="AH61" s="646">
        <v>0.04</v>
      </c>
      <c r="AI61" s="646">
        <v>0.04</v>
      </c>
      <c r="AJ61" s="646">
        <v>0.04</v>
      </c>
      <c r="AK61" s="646">
        <v>0.04</v>
      </c>
      <c r="AL61" s="646">
        <v>0.04</v>
      </c>
      <c r="AM61" s="646">
        <v>0.04</v>
      </c>
      <c r="AN61" s="646">
        <v>0.04</v>
      </c>
      <c r="AO61" s="646">
        <v>0.04</v>
      </c>
      <c r="AP61" s="1161">
        <v>0.04</v>
      </c>
      <c r="AQ61" s="1161">
        <v>0.04</v>
      </c>
      <c r="AR61" s="1161">
        <v>0.05</v>
      </c>
      <c r="AS61" s="1161">
        <v>0.03</v>
      </c>
      <c r="AT61" s="1161">
        <v>0.03</v>
      </c>
      <c r="AU61" s="1161">
        <v>0.03</v>
      </c>
      <c r="AV61" s="1161">
        <v>0.01</v>
      </c>
      <c r="AW61" s="1161">
        <v>0.01</v>
      </c>
      <c r="AX61" s="1161">
        <v>0.01</v>
      </c>
      <c r="AY61" s="1161">
        <v>0.01</v>
      </c>
      <c r="AZ61" s="1161">
        <v>0.01</v>
      </c>
      <c r="BA61" s="1161">
        <v>0.01</v>
      </c>
      <c r="BB61" s="1161">
        <v>0.01</v>
      </c>
      <c r="BC61" s="1161">
        <v>0.01</v>
      </c>
      <c r="BD61" s="1161">
        <v>0.01</v>
      </c>
      <c r="BE61" s="1161">
        <v>0.01</v>
      </c>
      <c r="BF61" s="1161">
        <v>0.01</v>
      </c>
      <c r="BG61" s="1161">
        <v>0.01</v>
      </c>
      <c r="BH61" s="1161">
        <v>0</v>
      </c>
      <c r="BI61" s="1161">
        <v>0</v>
      </c>
      <c r="BJ61" s="1942">
        <f t="shared" si="53"/>
        <v>0</v>
      </c>
      <c r="BK61" s="2050">
        <f t="shared" si="53"/>
        <v>0</v>
      </c>
      <c r="BL61" s="2050">
        <f t="shared" si="52"/>
        <v>0</v>
      </c>
    </row>
    <row r="62" spans="1:64" s="9" customFormat="1" ht="11.25">
      <c r="A62" s="342" t="s">
        <v>331</v>
      </c>
      <c r="C62" s="949"/>
      <c r="D62" s="949"/>
      <c r="E62" s="949"/>
      <c r="F62" s="949"/>
      <c r="G62" s="949"/>
      <c r="H62" s="949"/>
      <c r="I62" s="949"/>
      <c r="J62" s="949"/>
      <c r="K62" s="949"/>
      <c r="L62" s="949"/>
      <c r="M62" s="949"/>
      <c r="N62" s="949"/>
      <c r="O62" s="949"/>
      <c r="P62" s="949"/>
      <c r="Q62" s="949"/>
      <c r="R62" s="949"/>
      <c r="S62" s="949"/>
      <c r="T62" s="949"/>
      <c r="U62" s="949"/>
      <c r="V62" s="949"/>
      <c r="W62" s="949"/>
      <c r="X62" s="949"/>
      <c r="Y62" s="949"/>
      <c r="Z62" s="949"/>
      <c r="AA62" s="949"/>
      <c r="AB62" s="949"/>
      <c r="AC62" s="646">
        <v>0.05</v>
      </c>
      <c r="AD62" s="646"/>
      <c r="AE62" s="646">
        <v>0.06</v>
      </c>
      <c r="AF62" s="646">
        <v>0.06</v>
      </c>
      <c r="AG62" s="646">
        <v>0.05</v>
      </c>
      <c r="AH62" s="646">
        <v>0.06</v>
      </c>
      <c r="AI62" s="646">
        <v>0.05</v>
      </c>
      <c r="AJ62" s="646">
        <v>0.05</v>
      </c>
      <c r="AK62" s="646">
        <v>0.05</v>
      </c>
      <c r="AL62" s="646">
        <v>0.05</v>
      </c>
      <c r="AM62" s="646">
        <v>0.05</v>
      </c>
      <c r="AN62" s="646">
        <v>0.05</v>
      </c>
      <c r="AO62" s="646">
        <v>0.05</v>
      </c>
      <c r="AP62" s="1161">
        <v>0.05</v>
      </c>
      <c r="AQ62" s="1161">
        <f>3%+2%</f>
        <v>0.05</v>
      </c>
      <c r="AR62" s="1161">
        <v>0.03</v>
      </c>
      <c r="AS62" s="1161">
        <v>0.05</v>
      </c>
      <c r="AT62" s="1161">
        <f>1%+3%</f>
        <v>0.04</v>
      </c>
      <c r="AU62" s="1161">
        <f>3%+2%</f>
        <v>0.05</v>
      </c>
      <c r="AV62" s="1161">
        <v>0.04</v>
      </c>
      <c r="AW62" s="1161">
        <f>2%+1%</f>
        <v>0.03</v>
      </c>
      <c r="AX62" s="1161">
        <f>3%+2%+1%</f>
        <v>6.0000000000000005E-2</v>
      </c>
      <c r="AY62" s="1161">
        <v>0.03</v>
      </c>
      <c r="AZ62" s="1161">
        <v>0.04</v>
      </c>
      <c r="BA62" s="1161">
        <v>0.05</v>
      </c>
      <c r="BB62" s="1161">
        <v>0.05</v>
      </c>
      <c r="BC62" s="1161">
        <v>0.06</v>
      </c>
      <c r="BD62" s="1161">
        <f>3%+2%</f>
        <v>0.05</v>
      </c>
      <c r="BE62" s="1161">
        <f>3%+2%</f>
        <v>0.05</v>
      </c>
      <c r="BF62" s="1161">
        <f>0.03+0.03</f>
        <v>0.06</v>
      </c>
      <c r="BG62" s="1161">
        <f>0.02+0.02</f>
        <v>0.04</v>
      </c>
      <c r="BH62" s="1161">
        <f>2%+2%</f>
        <v>0.04</v>
      </c>
      <c r="BI62" s="1161">
        <f>2%+2%</f>
        <v>0.04</v>
      </c>
      <c r="BJ62" s="1942">
        <f t="shared" si="53"/>
        <v>0.04</v>
      </c>
      <c r="BK62" s="2050">
        <f t="shared" si="53"/>
        <v>0.04</v>
      </c>
      <c r="BL62" s="2050">
        <f t="shared" si="52"/>
        <v>0.04</v>
      </c>
    </row>
    <row r="63" spans="1:64" s="9" customFormat="1" ht="11.25">
      <c r="A63" s="342"/>
      <c r="C63" s="949"/>
      <c r="D63" s="949"/>
      <c r="E63" s="949"/>
      <c r="F63" s="949"/>
      <c r="G63" s="949"/>
      <c r="H63" s="949"/>
      <c r="I63" s="949"/>
      <c r="J63" s="949"/>
      <c r="K63" s="949"/>
      <c r="L63" s="949"/>
      <c r="M63" s="949"/>
      <c r="N63" s="949"/>
      <c r="O63" s="949"/>
      <c r="P63" s="949"/>
      <c r="Q63" s="949"/>
      <c r="R63" s="949"/>
      <c r="S63" s="949"/>
      <c r="T63" s="949"/>
      <c r="U63" s="949"/>
      <c r="V63" s="949"/>
      <c r="W63" s="949"/>
      <c r="X63" s="949"/>
      <c r="Y63" s="949"/>
      <c r="Z63" s="949"/>
      <c r="AA63" s="949"/>
      <c r="AB63" s="949"/>
      <c r="AC63" s="949">
        <f>SUM(AC54:AC62)</f>
        <v>1.0000000000000002</v>
      </c>
      <c r="AD63" s="949"/>
      <c r="AE63" s="949">
        <f t="shared" ref="AE63:AO63" si="54">SUM(AE54:AE62)</f>
        <v>1.0000000000000002</v>
      </c>
      <c r="AF63" s="949">
        <f t="shared" si="54"/>
        <v>1.0000000000000002</v>
      </c>
      <c r="AG63" s="949">
        <f t="shared" si="54"/>
        <v>1.0000000000000002</v>
      </c>
      <c r="AH63" s="949">
        <f t="shared" si="54"/>
        <v>1.0000000000000002</v>
      </c>
      <c r="AI63" s="949">
        <f t="shared" si="54"/>
        <v>1.0000000000000002</v>
      </c>
      <c r="AJ63" s="949">
        <f t="shared" si="54"/>
        <v>1.0000000000000002</v>
      </c>
      <c r="AK63" s="949">
        <f t="shared" si="54"/>
        <v>1.0000000000000002</v>
      </c>
      <c r="AL63" s="949">
        <f t="shared" si="54"/>
        <v>1.0000000000000002</v>
      </c>
      <c r="AM63" s="949">
        <f t="shared" si="54"/>
        <v>1.0000000000000002</v>
      </c>
      <c r="AN63" s="949">
        <f t="shared" si="54"/>
        <v>1.0000000000000002</v>
      </c>
      <c r="AO63" s="949">
        <f t="shared" si="54"/>
        <v>1.0000000000000002</v>
      </c>
      <c r="AP63" s="949">
        <f t="shared" ref="AP63:BI63" si="55">SUM(AP54:AP62)</f>
        <v>1.0000000000000002</v>
      </c>
      <c r="AQ63" s="949">
        <f t="shared" si="55"/>
        <v>1.0000000000000002</v>
      </c>
      <c r="AR63" s="949">
        <f t="shared" si="55"/>
        <v>1.0000000000000002</v>
      </c>
      <c r="AS63" s="949">
        <f t="shared" si="55"/>
        <v>1.0000000000000002</v>
      </c>
      <c r="AT63" s="949">
        <f t="shared" si="55"/>
        <v>1.0000000000000002</v>
      </c>
      <c r="AU63" s="949">
        <f t="shared" si="55"/>
        <v>1</v>
      </c>
      <c r="AV63" s="949">
        <f t="shared" si="55"/>
        <v>1</v>
      </c>
      <c r="AW63" s="949">
        <f t="shared" si="55"/>
        <v>1.0000000000000002</v>
      </c>
      <c r="AX63" s="949">
        <f t="shared" si="55"/>
        <v>1.0000000000000002</v>
      </c>
      <c r="AY63" s="949">
        <f t="shared" si="55"/>
        <v>1</v>
      </c>
      <c r="AZ63" s="949">
        <f t="shared" si="55"/>
        <v>1</v>
      </c>
      <c r="BA63" s="949">
        <f t="shared" si="55"/>
        <v>1</v>
      </c>
      <c r="BB63" s="949">
        <f t="shared" si="55"/>
        <v>1</v>
      </c>
      <c r="BC63" s="949">
        <f t="shared" si="55"/>
        <v>1</v>
      </c>
      <c r="BD63" s="949">
        <f t="shared" si="55"/>
        <v>1</v>
      </c>
      <c r="BE63" s="949">
        <f t="shared" si="55"/>
        <v>1</v>
      </c>
      <c r="BF63" s="949">
        <f t="shared" si="55"/>
        <v>1</v>
      </c>
      <c r="BG63" s="949">
        <f t="shared" si="55"/>
        <v>1</v>
      </c>
      <c r="BH63" s="1804">
        <f t="shared" si="55"/>
        <v>1</v>
      </c>
      <c r="BI63" s="1804">
        <f t="shared" si="55"/>
        <v>1</v>
      </c>
      <c r="BJ63" s="1804">
        <f t="shared" ref="BJ63:BK63" si="56">SUM(BJ54:BJ62)</f>
        <v>1</v>
      </c>
      <c r="BK63" s="1804">
        <f t="shared" si="56"/>
        <v>1</v>
      </c>
      <c r="BL63" s="1804">
        <f t="shared" ref="BL63" si="57">SUM(BL54:BL62)</f>
        <v>1</v>
      </c>
    </row>
    <row r="64" spans="1:64" s="9" customFormat="1" ht="11.25">
      <c r="A64" s="513" t="s">
        <v>1022</v>
      </c>
      <c r="C64" s="949"/>
      <c r="D64" s="949"/>
      <c r="E64" s="949"/>
      <c r="F64" s="949"/>
      <c r="G64" s="949"/>
      <c r="H64" s="949"/>
      <c r="I64" s="949"/>
      <c r="J64" s="949"/>
      <c r="K64" s="949"/>
      <c r="L64" s="949"/>
      <c r="M64" s="949"/>
      <c r="N64" s="949"/>
      <c r="O64" s="949"/>
      <c r="P64" s="949"/>
      <c r="Q64" s="949"/>
      <c r="R64" s="949"/>
      <c r="S64" s="949"/>
      <c r="T64" s="949"/>
      <c r="U64" s="949"/>
      <c r="V64" s="949"/>
      <c r="W64" s="949"/>
      <c r="X64" s="949"/>
      <c r="Y64" s="949"/>
      <c r="Z64" s="949"/>
      <c r="AA64" s="949"/>
      <c r="AB64" s="949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178">
        <f>+SUM(AQ68:AQ70)</f>
        <v>0.33</v>
      </c>
      <c r="AR64" s="178">
        <f t="shared" ref="AR64:AZ64" si="58">+SUM(AR68:AR70)</f>
        <v>0.32</v>
      </c>
      <c r="AS64" s="178">
        <f t="shared" si="58"/>
        <v>0.3</v>
      </c>
      <c r="AT64" s="178">
        <f t="shared" si="58"/>
        <v>0.35</v>
      </c>
      <c r="AU64" s="178">
        <f t="shared" si="58"/>
        <v>0.32</v>
      </c>
      <c r="AV64" s="178">
        <f t="shared" si="58"/>
        <v>1.53</v>
      </c>
      <c r="AW64" s="178">
        <f t="shared" si="58"/>
        <v>-0.12</v>
      </c>
      <c r="AX64" s="178">
        <f t="shared" si="58"/>
        <v>0.2</v>
      </c>
      <c r="AY64" s="178">
        <f t="shared" si="58"/>
        <v>7.0000000000000007E-2</v>
      </c>
      <c r="AZ64" s="178">
        <f t="shared" si="58"/>
        <v>0.22000000000000003</v>
      </c>
      <c r="BA64" s="178">
        <f t="shared" ref="BA64:BG64" si="59">+SUM(BA68:BA70)</f>
        <v>0.19</v>
      </c>
      <c r="BB64" s="178">
        <f t="shared" si="59"/>
        <v>0.19</v>
      </c>
      <c r="BC64" s="178">
        <f t="shared" si="59"/>
        <v>0.2</v>
      </c>
      <c r="BD64" s="178">
        <f t="shared" si="59"/>
        <v>0.22999999999999998</v>
      </c>
      <c r="BE64" s="178">
        <f t="shared" si="59"/>
        <v>0.24</v>
      </c>
      <c r="BF64" s="178">
        <f t="shared" si="59"/>
        <v>0.28000000000000003</v>
      </c>
      <c r="BG64" s="178">
        <f t="shared" si="59"/>
        <v>0.21000000000000002</v>
      </c>
      <c r="BH64" s="1950">
        <f>BG64</f>
        <v>0.21000000000000002</v>
      </c>
      <c r="BI64" s="1950">
        <f t="shared" ref="BI64:BK73" si="60">BH64</f>
        <v>0.21000000000000002</v>
      </c>
      <c r="BJ64" s="1950">
        <f t="shared" si="60"/>
        <v>0.21000000000000002</v>
      </c>
      <c r="BK64" s="2051">
        <f t="shared" si="60"/>
        <v>0.21000000000000002</v>
      </c>
      <c r="BL64" s="2051">
        <f t="shared" ref="BL64:BL73" si="61">BK64</f>
        <v>0.21000000000000002</v>
      </c>
    </row>
    <row r="65" spans="1:70" s="1161" customFormat="1" ht="11.25">
      <c r="A65" s="342" t="s">
        <v>1007</v>
      </c>
      <c r="B65" s="9"/>
      <c r="C65" s="949"/>
      <c r="D65" s="949"/>
      <c r="E65" s="949"/>
      <c r="F65" s="949"/>
      <c r="G65" s="949"/>
      <c r="H65" s="949"/>
      <c r="I65" s="949"/>
      <c r="J65" s="949"/>
      <c r="K65" s="949"/>
      <c r="L65" s="949"/>
      <c r="M65" s="949"/>
      <c r="N65" s="949"/>
      <c r="O65" s="949"/>
      <c r="P65" s="949"/>
      <c r="Q65" s="949"/>
      <c r="R65" s="949"/>
      <c r="S65" s="949"/>
      <c r="T65" s="949"/>
      <c r="U65" s="949"/>
      <c r="V65" s="949"/>
      <c r="W65" s="949"/>
      <c r="X65" s="949"/>
      <c r="Y65" s="949"/>
      <c r="Z65" s="949"/>
      <c r="AA65" s="949"/>
      <c r="AB65" s="949"/>
      <c r="AC65" s="646">
        <v>0.12</v>
      </c>
      <c r="AD65" s="646"/>
      <c r="AE65" s="646">
        <v>0.13</v>
      </c>
      <c r="AF65" s="646">
        <v>0.12</v>
      </c>
      <c r="AG65" s="646">
        <v>0.13</v>
      </c>
      <c r="AH65" s="646">
        <v>0.11</v>
      </c>
      <c r="AI65" s="646">
        <v>0.14000000000000001</v>
      </c>
      <c r="AJ65" s="646">
        <v>0.13</v>
      </c>
      <c r="AK65" s="646">
        <v>0.13</v>
      </c>
      <c r="AL65" s="646">
        <v>0.13</v>
      </c>
      <c r="AM65" s="646">
        <v>0.15</v>
      </c>
      <c r="AN65" s="646">
        <v>0.14000000000000001</v>
      </c>
      <c r="AO65" s="646">
        <v>0.14000000000000001</v>
      </c>
      <c r="AP65" s="1161">
        <v>0.15</v>
      </c>
      <c r="AQ65" s="1161">
        <v>0.11</v>
      </c>
      <c r="AR65" s="1161">
        <v>0.13</v>
      </c>
      <c r="AS65" s="1161">
        <v>0.13</v>
      </c>
      <c r="AT65" s="1161">
        <v>0.12</v>
      </c>
      <c r="AU65" s="1161">
        <v>0.16</v>
      </c>
      <c r="AV65" s="1161">
        <f>68%*-1</f>
        <v>-0.68</v>
      </c>
      <c r="AW65" s="1161">
        <v>0.47</v>
      </c>
      <c r="AX65" s="1161">
        <v>0.19</v>
      </c>
      <c r="AY65" s="1161">
        <v>0.24</v>
      </c>
      <c r="AZ65" s="1161">
        <v>0.17</v>
      </c>
      <c r="BA65" s="1161">
        <v>0.17</v>
      </c>
      <c r="BB65" s="1161">
        <v>0.17</v>
      </c>
      <c r="BC65" s="1161">
        <v>0.18</v>
      </c>
      <c r="BD65" s="1161">
        <v>0.17</v>
      </c>
      <c r="BE65" s="1161">
        <v>0.15</v>
      </c>
      <c r="BF65" s="1161">
        <v>0.18</v>
      </c>
      <c r="BG65" s="1161">
        <v>0.14000000000000001</v>
      </c>
      <c r="BH65" s="1950">
        <f t="shared" ref="BH65:BJ65" si="62">BG65</f>
        <v>0.14000000000000001</v>
      </c>
      <c r="BI65" s="1950">
        <f t="shared" si="62"/>
        <v>0.14000000000000001</v>
      </c>
      <c r="BJ65" s="1950">
        <f t="shared" si="62"/>
        <v>0.14000000000000001</v>
      </c>
      <c r="BK65" s="2051">
        <f t="shared" si="60"/>
        <v>0.14000000000000001</v>
      </c>
      <c r="BL65" s="2051">
        <f t="shared" si="61"/>
        <v>0.14000000000000001</v>
      </c>
    </row>
    <row r="66" spans="1:70" s="1161" customFormat="1" ht="11.25">
      <c r="A66" s="342" t="s">
        <v>1018</v>
      </c>
      <c r="B66" s="9"/>
      <c r="C66" s="949"/>
      <c r="D66" s="949"/>
      <c r="E66" s="949"/>
      <c r="F66" s="949"/>
      <c r="G66" s="949"/>
      <c r="H66" s="949"/>
      <c r="I66" s="949"/>
      <c r="J66" s="949"/>
      <c r="K66" s="949"/>
      <c r="L66" s="949"/>
      <c r="M66" s="949"/>
      <c r="N66" s="949"/>
      <c r="O66" s="949"/>
      <c r="P66" s="949"/>
      <c r="Q66" s="949"/>
      <c r="R66" s="949"/>
      <c r="S66" s="949"/>
      <c r="T66" s="949"/>
      <c r="U66" s="949"/>
      <c r="V66" s="949"/>
      <c r="W66" s="949"/>
      <c r="X66" s="949"/>
      <c r="Y66" s="949"/>
      <c r="Z66" s="949"/>
      <c r="AA66" s="949"/>
      <c r="AB66" s="949"/>
      <c r="AC66" s="646">
        <v>0.25</v>
      </c>
      <c r="AD66" s="646"/>
      <c r="AE66" s="646">
        <v>0.28000000000000003</v>
      </c>
      <c r="AF66" s="646">
        <v>0.28000000000000003</v>
      </c>
      <c r="AG66" s="646">
        <v>0.28999999999999998</v>
      </c>
      <c r="AH66" s="646">
        <v>0.24</v>
      </c>
      <c r="AI66" s="646">
        <v>0.26</v>
      </c>
      <c r="AJ66" s="646">
        <v>0.27</v>
      </c>
      <c r="AK66" s="646">
        <v>0.27</v>
      </c>
      <c r="AL66" s="646">
        <v>0.25</v>
      </c>
      <c r="AM66" s="646">
        <v>0.27</v>
      </c>
      <c r="AN66" s="646">
        <v>0.28000000000000003</v>
      </c>
      <c r="AO66" s="646">
        <v>0.28999999999999998</v>
      </c>
      <c r="AP66" s="1161">
        <v>0.27</v>
      </c>
      <c r="AQ66" s="1161">
        <v>0.3</v>
      </c>
      <c r="AR66" s="1161">
        <v>0.3</v>
      </c>
      <c r="AS66" s="1161">
        <v>0.3</v>
      </c>
      <c r="AT66" s="1161">
        <v>0.28000000000000003</v>
      </c>
      <c r="AU66" s="1161">
        <v>0.39</v>
      </c>
      <c r="AV66" s="1161">
        <f>-4%*-1</f>
        <v>0.04</v>
      </c>
      <c r="AW66" s="1161">
        <v>0.6</v>
      </c>
      <c r="AX66" s="1161">
        <v>0.4</v>
      </c>
      <c r="AY66" s="1161">
        <v>0.51</v>
      </c>
      <c r="AZ66" s="1161">
        <v>0.42</v>
      </c>
      <c r="BA66" s="1161">
        <v>0.47</v>
      </c>
      <c r="BB66" s="1161">
        <v>0.47</v>
      </c>
      <c r="BC66" s="1161">
        <v>0.48</v>
      </c>
      <c r="BD66" s="1161">
        <v>0.47</v>
      </c>
      <c r="BE66" s="1161">
        <v>0.47</v>
      </c>
      <c r="BF66" s="1161">
        <v>0.41</v>
      </c>
      <c r="BG66" s="1161">
        <v>0.51</v>
      </c>
      <c r="BH66" s="1950">
        <f t="shared" ref="BH66:BJ66" si="63">BG66</f>
        <v>0.51</v>
      </c>
      <c r="BI66" s="1950">
        <f t="shared" si="63"/>
        <v>0.51</v>
      </c>
      <c r="BJ66" s="1950">
        <f t="shared" si="63"/>
        <v>0.51</v>
      </c>
      <c r="BK66" s="2051">
        <f t="shared" si="60"/>
        <v>0.51</v>
      </c>
      <c r="BL66" s="2051">
        <f t="shared" si="61"/>
        <v>0.51</v>
      </c>
    </row>
    <row r="67" spans="1:70" s="1161" customFormat="1" ht="11.25">
      <c r="A67" s="342" t="s">
        <v>1008</v>
      </c>
      <c r="B67" s="9"/>
      <c r="C67" s="949"/>
      <c r="D67" s="949"/>
      <c r="E67" s="949"/>
      <c r="F67" s="949"/>
      <c r="G67" s="949"/>
      <c r="H67" s="949"/>
      <c r="I67" s="949"/>
      <c r="J67" s="949"/>
      <c r="K67" s="949"/>
      <c r="L67" s="949"/>
      <c r="M67" s="949"/>
      <c r="N67" s="949"/>
      <c r="O67" s="949"/>
      <c r="P67" s="949"/>
      <c r="Q67" s="949"/>
      <c r="R67" s="949"/>
      <c r="S67" s="949"/>
      <c r="T67" s="949"/>
      <c r="U67" s="949"/>
      <c r="V67" s="949"/>
      <c r="W67" s="949"/>
      <c r="X67" s="949"/>
      <c r="Y67" s="949"/>
      <c r="Z67" s="949"/>
      <c r="AA67" s="949"/>
      <c r="AB67" s="949"/>
      <c r="AC67" s="646">
        <v>0.02</v>
      </c>
      <c r="AD67" s="646"/>
      <c r="AE67" s="646">
        <v>0.02</v>
      </c>
      <c r="AF67" s="646">
        <v>0.02</v>
      </c>
      <c r="AG67" s="646">
        <v>0.03</v>
      </c>
      <c r="AH67" s="646">
        <v>0.03</v>
      </c>
      <c r="AI67" s="646">
        <v>0.02</v>
      </c>
      <c r="AJ67" s="646">
        <v>0.03</v>
      </c>
      <c r="AK67" s="646">
        <v>0.02</v>
      </c>
      <c r="AL67" s="646">
        <v>0.04</v>
      </c>
      <c r="AM67" s="646">
        <v>0.03</v>
      </c>
      <c r="AN67" s="646">
        <v>0.05</v>
      </c>
      <c r="AO67" s="646">
        <v>0.04</v>
      </c>
      <c r="AP67" s="1161">
        <v>0.05</v>
      </c>
      <c r="AQ67" s="1161">
        <v>0.05</v>
      </c>
      <c r="AR67" s="1161">
        <v>0.05</v>
      </c>
      <c r="AS67" s="1161">
        <v>0.04</v>
      </c>
      <c r="AT67" s="1161">
        <v>0.06</v>
      </c>
      <c r="AU67" s="1161">
        <v>0.03</v>
      </c>
      <c r="AV67" s="1161">
        <f>-4%*-1</f>
        <v>0.04</v>
      </c>
      <c r="AW67" s="1161">
        <v>-0.01</v>
      </c>
      <c r="AX67" s="1161">
        <v>0.03</v>
      </c>
      <c r="AY67" s="1161">
        <v>0.03</v>
      </c>
      <c r="AZ67" s="1161">
        <v>0.04</v>
      </c>
      <c r="BA67" s="1161">
        <v>0.04</v>
      </c>
      <c r="BB67" s="1161">
        <v>0.04</v>
      </c>
      <c r="BC67" s="1161">
        <v>0.04</v>
      </c>
      <c r="BD67" s="1161">
        <v>0.04</v>
      </c>
      <c r="BE67" s="1161">
        <v>0.05</v>
      </c>
      <c r="BF67" s="1161">
        <v>0.06</v>
      </c>
      <c r="BG67" s="1161">
        <v>0.05</v>
      </c>
      <c r="BH67" s="1950">
        <f t="shared" ref="BH67:BJ67" si="64">BG67</f>
        <v>0.05</v>
      </c>
      <c r="BI67" s="1950">
        <f t="shared" si="64"/>
        <v>0.05</v>
      </c>
      <c r="BJ67" s="1950">
        <f t="shared" si="64"/>
        <v>0.05</v>
      </c>
      <c r="BK67" s="2051">
        <f t="shared" si="60"/>
        <v>0.05</v>
      </c>
      <c r="BL67" s="2051">
        <f t="shared" si="61"/>
        <v>0.05</v>
      </c>
    </row>
    <row r="68" spans="1:70" s="1161" customFormat="1" ht="11.25">
      <c r="A68" s="342" t="s">
        <v>1009</v>
      </c>
      <c r="B68" s="9"/>
      <c r="C68" s="949"/>
      <c r="D68" s="949"/>
      <c r="E68" s="949"/>
      <c r="F68" s="949"/>
      <c r="G68" s="949"/>
      <c r="H68" s="949"/>
      <c r="I68" s="949"/>
      <c r="J68" s="949"/>
      <c r="K68" s="949"/>
      <c r="L68" s="949"/>
      <c r="M68" s="949"/>
      <c r="N68" s="949"/>
      <c r="O68" s="949"/>
      <c r="P68" s="949"/>
      <c r="Q68" s="949"/>
      <c r="R68" s="949"/>
      <c r="S68" s="949"/>
      <c r="T68" s="949"/>
      <c r="U68" s="949"/>
      <c r="V68" s="949"/>
      <c r="W68" s="949"/>
      <c r="X68" s="949"/>
      <c r="Y68" s="949"/>
      <c r="Z68" s="949"/>
      <c r="AA68" s="949"/>
      <c r="AB68" s="949"/>
      <c r="AC68" s="646">
        <v>0.08</v>
      </c>
      <c r="AD68" s="646"/>
      <c r="AE68" s="646">
        <v>7.0000000000000007E-2</v>
      </c>
      <c r="AF68" s="646">
        <v>0.08</v>
      </c>
      <c r="AG68" s="646">
        <v>7.0000000000000007E-2</v>
      </c>
      <c r="AH68" s="646">
        <v>0.08</v>
      </c>
      <c r="AI68" s="646">
        <v>7.0000000000000007E-2</v>
      </c>
      <c r="AJ68" s="646">
        <v>0.08</v>
      </c>
      <c r="AK68" s="646">
        <v>7.0000000000000007E-2</v>
      </c>
      <c r="AL68" s="646">
        <v>0.08</v>
      </c>
      <c r="AM68" s="646">
        <v>0.08</v>
      </c>
      <c r="AN68" s="646">
        <v>0.09</v>
      </c>
      <c r="AO68" s="646">
        <v>0.08</v>
      </c>
      <c r="AP68" s="1161">
        <v>7.0000000000000007E-2</v>
      </c>
      <c r="AQ68" s="1161">
        <v>0.08</v>
      </c>
      <c r="AR68" s="1161">
        <v>0.08</v>
      </c>
      <c r="AS68" s="1161">
        <v>0.08</v>
      </c>
      <c r="AT68" s="1161">
        <v>0.08</v>
      </c>
      <c r="AU68" s="1161">
        <v>0.09</v>
      </c>
      <c r="AV68" s="1161">
        <f>-24%*-1</f>
        <v>0.24</v>
      </c>
      <c r="AW68" s="1161">
        <v>0.05</v>
      </c>
      <c r="AX68" s="1161">
        <v>0.06</v>
      </c>
      <c r="AY68" s="1161">
        <v>0.04</v>
      </c>
      <c r="AZ68" s="1161">
        <v>7.0000000000000007E-2</v>
      </c>
      <c r="BA68" s="1161">
        <v>7.0000000000000007E-2</v>
      </c>
      <c r="BB68" s="1161">
        <v>7.0000000000000007E-2</v>
      </c>
      <c r="BC68" s="1161">
        <v>0.08</v>
      </c>
      <c r="BD68" s="1161">
        <v>0.08</v>
      </c>
      <c r="BE68" s="1161">
        <v>0.08</v>
      </c>
      <c r="BF68" s="1161">
        <v>0.09</v>
      </c>
      <c r="BG68" s="1161">
        <v>7.0000000000000007E-2</v>
      </c>
      <c r="BH68" s="1950">
        <f t="shared" ref="BH68:BJ68" si="65">BG68</f>
        <v>7.0000000000000007E-2</v>
      </c>
      <c r="BI68" s="1950">
        <f t="shared" si="65"/>
        <v>7.0000000000000007E-2</v>
      </c>
      <c r="BJ68" s="1950">
        <f t="shared" si="65"/>
        <v>7.0000000000000007E-2</v>
      </c>
      <c r="BK68" s="2051">
        <f t="shared" si="60"/>
        <v>7.0000000000000007E-2</v>
      </c>
      <c r="BL68" s="2051">
        <f t="shared" si="61"/>
        <v>7.0000000000000007E-2</v>
      </c>
    </row>
    <row r="69" spans="1:70" s="1161" customFormat="1" ht="11.25">
      <c r="A69" s="342" t="s">
        <v>1010</v>
      </c>
      <c r="B69" s="9"/>
      <c r="C69" s="949"/>
      <c r="D69" s="949"/>
      <c r="E69" s="949"/>
      <c r="F69" s="949"/>
      <c r="G69" s="949"/>
      <c r="H69" s="949"/>
      <c r="I69" s="949"/>
      <c r="J69" s="949"/>
      <c r="K69" s="949"/>
      <c r="L69" s="949"/>
      <c r="M69" s="949"/>
      <c r="N69" s="949"/>
      <c r="O69" s="949"/>
      <c r="P69" s="949"/>
      <c r="Q69" s="949"/>
      <c r="R69" s="949"/>
      <c r="S69" s="949"/>
      <c r="T69" s="949"/>
      <c r="U69" s="949"/>
      <c r="V69" s="949"/>
      <c r="W69" s="949"/>
      <c r="X69" s="949"/>
      <c r="Y69" s="949"/>
      <c r="Z69" s="949"/>
      <c r="AA69" s="949"/>
      <c r="AB69" s="949"/>
      <c r="AC69" s="646">
        <v>7.0000000000000007E-2</v>
      </c>
      <c r="AD69" s="646"/>
      <c r="AE69" s="646">
        <v>0.06</v>
      </c>
      <c r="AF69" s="646">
        <v>7.0000000000000007E-2</v>
      </c>
      <c r="AG69" s="646">
        <v>7.0000000000000007E-2</v>
      </c>
      <c r="AH69" s="646">
        <v>0.08</v>
      </c>
      <c r="AI69" s="646">
        <v>7.0000000000000007E-2</v>
      </c>
      <c r="AJ69" s="646">
        <v>7.0000000000000007E-2</v>
      </c>
      <c r="AK69" s="646">
        <v>0.06</v>
      </c>
      <c r="AL69" s="646">
        <v>7.0000000000000007E-2</v>
      </c>
      <c r="AM69" s="646">
        <v>0.05</v>
      </c>
      <c r="AN69" s="646">
        <v>0.06</v>
      </c>
      <c r="AO69" s="646">
        <v>0.06</v>
      </c>
      <c r="AP69" s="1161">
        <v>0.05</v>
      </c>
      <c r="AQ69" s="1161">
        <v>0.05</v>
      </c>
      <c r="AR69" s="1161">
        <v>0.05</v>
      </c>
      <c r="AS69" s="1161">
        <v>0.04</v>
      </c>
      <c r="AT69" s="1161">
        <v>0.04</v>
      </c>
      <c r="AU69" s="1161">
        <v>0.02</v>
      </c>
      <c r="AV69" s="1161">
        <f>-19%*-1</f>
        <v>0.19</v>
      </c>
      <c r="AW69" s="1161">
        <v>0.01</v>
      </c>
      <c r="AX69" s="1161">
        <v>0.05</v>
      </c>
      <c r="AY69" s="1161">
        <v>0.01</v>
      </c>
      <c r="AZ69" s="1161">
        <v>0.05</v>
      </c>
      <c r="BA69" s="1161">
        <v>0.04</v>
      </c>
      <c r="BB69" s="1161">
        <v>0.04</v>
      </c>
      <c r="BC69" s="1161">
        <v>0.04</v>
      </c>
      <c r="BD69" s="1161">
        <v>0.04</v>
      </c>
      <c r="BE69" s="1161">
        <v>0.04</v>
      </c>
      <c r="BF69" s="1161">
        <v>7.0000000000000007E-2</v>
      </c>
      <c r="BG69" s="1161">
        <v>0.03</v>
      </c>
      <c r="BH69" s="1950">
        <f t="shared" ref="BH69:BJ69" si="66">BG69</f>
        <v>0.03</v>
      </c>
      <c r="BI69" s="1950">
        <f t="shared" si="66"/>
        <v>0.03</v>
      </c>
      <c r="BJ69" s="1950">
        <f t="shared" si="66"/>
        <v>0.03</v>
      </c>
      <c r="BK69" s="2051">
        <f t="shared" si="60"/>
        <v>0.03</v>
      </c>
      <c r="BL69" s="2051">
        <f t="shared" si="61"/>
        <v>0.03</v>
      </c>
    </row>
    <row r="70" spans="1:70" s="1161" customFormat="1" ht="11.25">
      <c r="A70" s="342" t="s">
        <v>1011</v>
      </c>
      <c r="B70" s="9"/>
      <c r="C70" s="949"/>
      <c r="D70" s="949"/>
      <c r="E70" s="949"/>
      <c r="F70" s="949"/>
      <c r="G70" s="949"/>
      <c r="H70" s="949"/>
      <c r="I70" s="949"/>
      <c r="J70" s="949"/>
      <c r="K70" s="949"/>
      <c r="L70" s="949"/>
      <c r="M70" s="949"/>
      <c r="N70" s="949"/>
      <c r="O70" s="949"/>
      <c r="P70" s="949"/>
      <c r="Q70" s="949"/>
      <c r="R70" s="949"/>
      <c r="S70" s="949"/>
      <c r="T70" s="949"/>
      <c r="U70" s="949"/>
      <c r="V70" s="949"/>
      <c r="W70" s="949"/>
      <c r="X70" s="949"/>
      <c r="Y70" s="949"/>
      <c r="Z70" s="949"/>
      <c r="AA70" s="949"/>
      <c r="AB70" s="949"/>
      <c r="AC70" s="646">
        <v>0.21</v>
      </c>
      <c r="AD70" s="646"/>
      <c r="AE70" s="646">
        <v>0.22</v>
      </c>
      <c r="AF70" s="646">
        <v>0.19</v>
      </c>
      <c r="AG70" s="646">
        <v>0.23</v>
      </c>
      <c r="AH70" s="646">
        <v>0.27</v>
      </c>
      <c r="AI70" s="646">
        <v>0.23</v>
      </c>
      <c r="AJ70" s="646">
        <v>0.2</v>
      </c>
      <c r="AK70" s="646">
        <v>0.22</v>
      </c>
      <c r="AL70" s="646">
        <v>0.24</v>
      </c>
      <c r="AM70" s="646">
        <v>0.22</v>
      </c>
      <c r="AN70" s="646">
        <v>0.21</v>
      </c>
      <c r="AO70" s="646">
        <v>0.18</v>
      </c>
      <c r="AP70" s="1161">
        <v>0.23</v>
      </c>
      <c r="AQ70" s="1161">
        <v>0.2</v>
      </c>
      <c r="AR70" s="1161">
        <v>0.19</v>
      </c>
      <c r="AS70" s="1161">
        <v>0.18</v>
      </c>
      <c r="AT70" s="1161">
        <v>0.23</v>
      </c>
      <c r="AU70" s="1161">
        <v>0.21</v>
      </c>
      <c r="AV70" s="1161">
        <f>-110%*-1</f>
        <v>1.1000000000000001</v>
      </c>
      <c r="AW70" s="1161">
        <v>-0.18</v>
      </c>
      <c r="AX70" s="1161">
        <v>0.09</v>
      </c>
      <c r="AY70" s="1161">
        <v>0.02</v>
      </c>
      <c r="AZ70" s="1161">
        <v>0.1</v>
      </c>
      <c r="BA70" s="1161">
        <v>0.08</v>
      </c>
      <c r="BB70" s="1161">
        <v>0.08</v>
      </c>
      <c r="BC70" s="1161">
        <v>0.08</v>
      </c>
      <c r="BD70" s="1161">
        <v>0.11</v>
      </c>
      <c r="BE70" s="1161">
        <v>0.12</v>
      </c>
      <c r="BF70" s="1161">
        <v>0.12</v>
      </c>
      <c r="BG70" s="1161">
        <v>0.11</v>
      </c>
      <c r="BH70" s="1950">
        <f t="shared" ref="BH70:BJ70" si="67">BG70</f>
        <v>0.11</v>
      </c>
      <c r="BI70" s="1950">
        <f t="shared" si="67"/>
        <v>0.11</v>
      </c>
      <c r="BJ70" s="1950">
        <f t="shared" si="67"/>
        <v>0.11</v>
      </c>
      <c r="BK70" s="2051">
        <f t="shared" si="60"/>
        <v>0.11</v>
      </c>
      <c r="BL70" s="2051">
        <f t="shared" si="61"/>
        <v>0.11</v>
      </c>
    </row>
    <row r="71" spans="1:70" s="1161" customFormat="1" ht="11.25">
      <c r="A71" s="342" t="s">
        <v>1021</v>
      </c>
      <c r="B71" s="9"/>
      <c r="C71" s="949"/>
      <c r="D71" s="949"/>
      <c r="E71" s="949"/>
      <c r="F71" s="949"/>
      <c r="G71" s="949"/>
      <c r="H71" s="949"/>
      <c r="I71" s="949"/>
      <c r="J71" s="949"/>
      <c r="K71" s="949"/>
      <c r="L71" s="949"/>
      <c r="M71" s="949"/>
      <c r="N71" s="949"/>
      <c r="O71" s="949"/>
      <c r="P71" s="949"/>
      <c r="Q71" s="949"/>
      <c r="R71" s="949"/>
      <c r="S71" s="949"/>
      <c r="T71" s="949"/>
      <c r="U71" s="949"/>
      <c r="V71" s="949"/>
      <c r="W71" s="949"/>
      <c r="X71" s="949"/>
      <c r="Y71" s="949"/>
      <c r="Z71" s="949"/>
      <c r="AA71" s="949"/>
      <c r="AB71" s="949"/>
      <c r="AC71" s="646">
        <v>0.18</v>
      </c>
      <c r="AD71" s="646"/>
      <c r="AE71" s="646">
        <v>0.11</v>
      </c>
      <c r="AF71" s="646">
        <v>0.13</v>
      </c>
      <c r="AG71" s="646">
        <v>0.12</v>
      </c>
      <c r="AH71" s="646">
        <v>0.1</v>
      </c>
      <c r="AI71" s="646">
        <v>0.13</v>
      </c>
      <c r="AJ71" s="646">
        <v>0.14000000000000001</v>
      </c>
      <c r="AK71" s="646">
        <v>0.15</v>
      </c>
      <c r="AL71" s="646">
        <v>0.12</v>
      </c>
      <c r="AM71" s="646">
        <v>0.12</v>
      </c>
      <c r="AN71" s="646">
        <v>0.1</v>
      </c>
      <c r="AO71" s="646">
        <v>0.14000000000000001</v>
      </c>
      <c r="AP71" s="1161">
        <v>0.11</v>
      </c>
      <c r="AQ71" s="1161">
        <v>0.12</v>
      </c>
      <c r="AR71" s="1161">
        <v>0.13</v>
      </c>
      <c r="AS71" s="1161">
        <v>0.17</v>
      </c>
      <c r="AT71" s="1161">
        <v>0.13</v>
      </c>
      <c r="AU71" s="1161">
        <v>0.05</v>
      </c>
      <c r="AV71" s="1161">
        <f>17%*-1</f>
        <v>-0.17</v>
      </c>
      <c r="AW71" s="1161">
        <v>0.08</v>
      </c>
      <c r="AX71" s="1161">
        <v>0.16</v>
      </c>
      <c r="AY71" s="1161">
        <v>0.12</v>
      </c>
      <c r="AZ71" s="1161">
        <v>0.1</v>
      </c>
      <c r="BA71" s="1161">
        <v>0.09</v>
      </c>
      <c r="BB71" s="1161">
        <v>0.08</v>
      </c>
      <c r="BC71" s="1161">
        <v>0.03</v>
      </c>
      <c r="BD71" s="1161">
        <v>0.03</v>
      </c>
      <c r="BE71" s="1161">
        <v>0.03</v>
      </c>
      <c r="BF71" s="1161">
        <v>0.02</v>
      </c>
      <c r="BG71" s="1161">
        <v>0.03</v>
      </c>
      <c r="BH71" s="1950">
        <f t="shared" ref="BH71:BJ71" si="68">BG71</f>
        <v>0.03</v>
      </c>
      <c r="BI71" s="1950">
        <f t="shared" si="68"/>
        <v>0.03</v>
      </c>
      <c r="BJ71" s="1950">
        <f t="shared" si="68"/>
        <v>0.03</v>
      </c>
      <c r="BK71" s="2051">
        <f t="shared" si="60"/>
        <v>0.03</v>
      </c>
      <c r="BL71" s="2051">
        <f t="shared" si="61"/>
        <v>0.03</v>
      </c>
    </row>
    <row r="72" spans="1:70" s="1161" customFormat="1" ht="11.25">
      <c r="A72" s="342" t="s">
        <v>1012</v>
      </c>
      <c r="B72" s="9"/>
      <c r="C72" s="949"/>
      <c r="D72" s="949"/>
      <c r="E72" s="949"/>
      <c r="F72" s="949"/>
      <c r="G72" s="949"/>
      <c r="H72" s="949"/>
      <c r="I72" s="949"/>
      <c r="J72" s="949"/>
      <c r="K72" s="949"/>
      <c r="L72" s="949"/>
      <c r="M72" s="949"/>
      <c r="N72" s="949"/>
      <c r="O72" s="949"/>
      <c r="P72" s="949"/>
      <c r="Q72" s="949"/>
      <c r="R72" s="949"/>
      <c r="S72" s="949"/>
      <c r="T72" s="949"/>
      <c r="U72" s="949"/>
      <c r="V72" s="949"/>
      <c r="W72" s="949"/>
      <c r="X72" s="949"/>
      <c r="Y72" s="949"/>
      <c r="Z72" s="949"/>
      <c r="AA72" s="949"/>
      <c r="AB72" s="949"/>
      <c r="AC72" s="646">
        <v>0.02</v>
      </c>
      <c r="AD72" s="646"/>
      <c r="AE72" s="646">
        <v>0.01</v>
      </c>
      <c r="AF72" s="646">
        <v>0.02</v>
      </c>
      <c r="AG72" s="646">
        <v>0.03</v>
      </c>
      <c r="AH72" s="646">
        <v>0.04</v>
      </c>
      <c r="AI72" s="646">
        <v>0.03</v>
      </c>
      <c r="AJ72" s="646">
        <v>0.03</v>
      </c>
      <c r="AK72" s="646">
        <v>0.03</v>
      </c>
      <c r="AL72" s="646">
        <v>0.03</v>
      </c>
      <c r="AM72" s="646">
        <v>0.03</v>
      </c>
      <c r="AN72" s="646">
        <v>0.02</v>
      </c>
      <c r="AO72" s="646">
        <v>0.02</v>
      </c>
      <c r="AP72" s="1161">
        <v>0.02</v>
      </c>
      <c r="AQ72" s="1161">
        <v>0.02</v>
      </c>
      <c r="AR72" s="1161">
        <v>0.02</v>
      </c>
      <c r="AS72" s="1161">
        <v>0.02</v>
      </c>
      <c r="AT72" s="1161">
        <v>0.02</v>
      </c>
      <c r="AU72" s="1161">
        <v>0.01</v>
      </c>
      <c r="AV72" s="1161">
        <f>-16%*-1</f>
        <v>0.16</v>
      </c>
      <c r="AW72" s="1161">
        <v>-0.05</v>
      </c>
      <c r="AX72" s="1161">
        <v>-0.01</v>
      </c>
      <c r="AY72" s="1161">
        <v>0.01</v>
      </c>
      <c r="AZ72" s="1161">
        <v>0.01</v>
      </c>
      <c r="BA72" s="1161">
        <v>0.01</v>
      </c>
      <c r="BB72" s="1161">
        <v>0.01</v>
      </c>
      <c r="BC72" s="1161">
        <v>0.01</v>
      </c>
      <c r="BD72" s="1161">
        <v>0.01</v>
      </c>
      <c r="BE72" s="1161">
        <v>0.01</v>
      </c>
      <c r="BF72" s="1161">
        <v>0.01</v>
      </c>
      <c r="BG72" s="1161">
        <v>0.01</v>
      </c>
      <c r="BH72" s="1950">
        <f t="shared" ref="BH72:BJ72" si="69">BG72</f>
        <v>0.01</v>
      </c>
      <c r="BI72" s="1950">
        <f t="shared" si="69"/>
        <v>0.01</v>
      </c>
      <c r="BJ72" s="1950">
        <f t="shared" si="69"/>
        <v>0.01</v>
      </c>
      <c r="BK72" s="2051">
        <f t="shared" si="60"/>
        <v>0.01</v>
      </c>
      <c r="BL72" s="2051">
        <f t="shared" si="61"/>
        <v>0.01</v>
      </c>
    </row>
    <row r="73" spans="1:70" s="1161" customFormat="1" ht="11.25">
      <c r="A73" s="342" t="s">
        <v>331</v>
      </c>
      <c r="B73" s="9"/>
      <c r="C73" s="949"/>
      <c r="D73" s="949"/>
      <c r="E73" s="949"/>
      <c r="F73" s="949"/>
      <c r="G73" s="949"/>
      <c r="H73" s="949"/>
      <c r="I73" s="949"/>
      <c r="J73" s="949"/>
      <c r="K73" s="949"/>
      <c r="L73" s="949"/>
      <c r="M73" s="949"/>
      <c r="N73" s="949"/>
      <c r="O73" s="949"/>
      <c r="P73" s="949"/>
      <c r="Q73" s="949"/>
      <c r="R73" s="949"/>
      <c r="S73" s="949"/>
      <c r="T73" s="949"/>
      <c r="U73" s="949"/>
      <c r="V73" s="949"/>
      <c r="W73" s="949"/>
      <c r="X73" s="949"/>
      <c r="Y73" s="949"/>
      <c r="Z73" s="949"/>
      <c r="AA73" s="949"/>
      <c r="AB73" s="949"/>
      <c r="AC73" s="646">
        <v>0.05</v>
      </c>
      <c r="AD73" s="646"/>
      <c r="AE73" s="646">
        <v>0.1</v>
      </c>
      <c r="AF73" s="646">
        <v>0.09</v>
      </c>
      <c r="AG73" s="646">
        <v>0.03</v>
      </c>
      <c r="AH73" s="646">
        <v>0.05</v>
      </c>
      <c r="AI73" s="646">
        <v>0.05</v>
      </c>
      <c r="AJ73" s="646">
        <v>0.05</v>
      </c>
      <c r="AK73" s="646">
        <v>0.05</v>
      </c>
      <c r="AL73" s="646">
        <v>0.04</v>
      </c>
      <c r="AM73" s="646">
        <v>0.05</v>
      </c>
      <c r="AN73" s="646">
        <v>0.05</v>
      </c>
      <c r="AO73" s="646">
        <v>0.05</v>
      </c>
      <c r="AP73" s="1161">
        <v>0.05</v>
      </c>
      <c r="AQ73" s="1161">
        <f>3%+4%</f>
        <v>7.0000000000000007E-2</v>
      </c>
      <c r="AR73" s="1161">
        <v>0.05</v>
      </c>
      <c r="AS73" s="1161">
        <v>0.04</v>
      </c>
      <c r="AT73" s="1161">
        <f>1%+3%</f>
        <v>0.04</v>
      </c>
      <c r="AU73" s="1161">
        <f>3%+1%</f>
        <v>0.04</v>
      </c>
      <c r="AV73" s="1161">
        <f>-8%*-1</f>
        <v>0.08</v>
      </c>
      <c r="AW73" s="1161">
        <f>1%+2%</f>
        <v>0.03</v>
      </c>
      <c r="AX73" s="1161">
        <f>1%+2%</f>
        <v>0.03</v>
      </c>
      <c r="AY73" s="1161">
        <v>0.02</v>
      </c>
      <c r="AZ73" s="1161">
        <v>0.04</v>
      </c>
      <c r="BA73" s="1161">
        <v>0.03</v>
      </c>
      <c r="BB73" s="1161">
        <v>0.04</v>
      </c>
      <c r="BC73" s="1161">
        <v>0.06</v>
      </c>
      <c r="BD73" s="1161">
        <f>2%+3%</f>
        <v>0.05</v>
      </c>
      <c r="BE73" s="1161">
        <f>3%+2%</f>
        <v>0.05</v>
      </c>
      <c r="BF73" s="1161">
        <f>0.03+0.01</f>
        <v>0.04</v>
      </c>
      <c r="BG73" s="1161">
        <f>0.025+0.025</f>
        <v>0.05</v>
      </c>
      <c r="BH73" s="1950">
        <f t="shared" ref="BH73:BJ73" si="70">BG73</f>
        <v>0.05</v>
      </c>
      <c r="BI73" s="1950">
        <f t="shared" si="70"/>
        <v>0.05</v>
      </c>
      <c r="BJ73" s="1950">
        <f t="shared" si="70"/>
        <v>0.05</v>
      </c>
      <c r="BK73" s="2051">
        <f t="shared" si="60"/>
        <v>0.05</v>
      </c>
      <c r="BL73" s="2051">
        <f t="shared" si="61"/>
        <v>0.05</v>
      </c>
    </row>
    <row r="74" spans="1:70" s="9" customFormat="1" ht="11.25">
      <c r="A74" s="513" t="s">
        <v>325</v>
      </c>
      <c r="C74" s="92"/>
      <c r="V74" s="92"/>
      <c r="Y74" s="92"/>
      <c r="AC74" s="949">
        <f>SUM(AC65:AC73)</f>
        <v>1</v>
      </c>
      <c r="AD74" s="949"/>
      <c r="AE74" s="949">
        <f t="shared" ref="AE74:AO74" si="71">SUM(AE65:AE73)</f>
        <v>1</v>
      </c>
      <c r="AF74" s="949">
        <f t="shared" si="71"/>
        <v>1</v>
      </c>
      <c r="AG74" s="949">
        <f t="shared" si="71"/>
        <v>1</v>
      </c>
      <c r="AH74" s="949">
        <f t="shared" si="71"/>
        <v>1</v>
      </c>
      <c r="AI74" s="949">
        <f t="shared" si="71"/>
        <v>1</v>
      </c>
      <c r="AJ74" s="949">
        <f t="shared" si="71"/>
        <v>1</v>
      </c>
      <c r="AK74" s="949">
        <f t="shared" si="71"/>
        <v>1</v>
      </c>
      <c r="AL74" s="949">
        <f t="shared" si="71"/>
        <v>1</v>
      </c>
      <c r="AM74" s="949">
        <f t="shared" si="71"/>
        <v>1</v>
      </c>
      <c r="AN74" s="949">
        <f t="shared" si="71"/>
        <v>1</v>
      </c>
      <c r="AO74" s="949">
        <f t="shared" si="71"/>
        <v>0.99999999999999989</v>
      </c>
      <c r="AP74" s="949">
        <f t="shared" ref="AP74:AV74" si="72">SUM(AP65:AP73)</f>
        <v>1</v>
      </c>
      <c r="AQ74" s="949">
        <f t="shared" si="72"/>
        <v>1</v>
      </c>
      <c r="AR74" s="949">
        <f t="shared" si="72"/>
        <v>1</v>
      </c>
      <c r="AS74" s="949">
        <f t="shared" si="72"/>
        <v>1</v>
      </c>
      <c r="AT74" s="949">
        <f t="shared" si="72"/>
        <v>1</v>
      </c>
      <c r="AU74" s="949">
        <f t="shared" si="72"/>
        <v>1</v>
      </c>
      <c r="AV74" s="1804">
        <f t="shared" si="72"/>
        <v>1.0000000000000002</v>
      </c>
      <c r="AW74" s="949">
        <f t="shared" ref="AW74:BF74" si="73">SUM(AW65:AW73)</f>
        <v>1</v>
      </c>
      <c r="AX74" s="949">
        <f t="shared" si="73"/>
        <v>1.0000000000000002</v>
      </c>
      <c r="AY74" s="949">
        <f t="shared" si="73"/>
        <v>1</v>
      </c>
      <c r="AZ74" s="949">
        <f t="shared" si="73"/>
        <v>1</v>
      </c>
      <c r="BA74" s="949">
        <f t="shared" si="73"/>
        <v>1</v>
      </c>
      <c r="BB74" s="949">
        <f t="shared" si="73"/>
        <v>1</v>
      </c>
      <c r="BC74" s="949">
        <f t="shared" si="73"/>
        <v>1</v>
      </c>
      <c r="BD74" s="949">
        <f t="shared" si="73"/>
        <v>1</v>
      </c>
      <c r="BE74" s="949">
        <f t="shared" si="73"/>
        <v>1</v>
      </c>
      <c r="BF74" s="949">
        <f t="shared" si="73"/>
        <v>0.99999999999999989</v>
      </c>
      <c r="BG74" s="1804">
        <f>SUM(BG65:BG73)</f>
        <v>1</v>
      </c>
      <c r="BH74" s="1951">
        <f t="shared" ref="BH74:BK74" si="74">SUM(BH65:BH73)</f>
        <v>1</v>
      </c>
      <c r="BI74" s="1951">
        <f t="shared" si="74"/>
        <v>1</v>
      </c>
      <c r="BJ74" s="1951">
        <f t="shared" si="74"/>
        <v>1</v>
      </c>
      <c r="BK74" s="1951">
        <f t="shared" si="74"/>
        <v>1</v>
      </c>
      <c r="BL74" s="1951">
        <f t="shared" ref="BL74" si="75">SUM(BL65:BL73)</f>
        <v>1</v>
      </c>
    </row>
    <row r="75" spans="1:70" s="9" customFormat="1" ht="11.25">
      <c r="A75" s="513"/>
      <c r="C75" s="92"/>
      <c r="V75" s="92"/>
      <c r="Y75" s="92"/>
      <c r="AC75" s="92"/>
      <c r="AD75" s="92"/>
      <c r="AE75" s="92"/>
      <c r="AF75" s="92"/>
      <c r="AH75" s="92"/>
      <c r="AI75" s="92"/>
      <c r="AJ75" s="92"/>
      <c r="AK75" s="92"/>
      <c r="AL75" s="92"/>
      <c r="AM75" s="92"/>
      <c r="AN75" s="92"/>
      <c r="AO75" s="92"/>
      <c r="AP75" s="92"/>
      <c r="AU75" s="9">
        <f>+AU64*Q_IS!AT123</f>
        <v>124.8</v>
      </c>
    </row>
    <row r="76" spans="1:70" s="9" customFormat="1" ht="11.25">
      <c r="A76" s="1042" t="s">
        <v>1014</v>
      </c>
      <c r="B76" s="1043"/>
      <c r="C76" s="1044"/>
      <c r="D76" s="1043"/>
      <c r="E76" s="1043"/>
      <c r="F76" s="1043"/>
      <c r="G76" s="1043"/>
      <c r="H76" s="1043"/>
      <c r="I76" s="1043"/>
      <c r="J76" s="1043"/>
      <c r="K76" s="1043"/>
      <c r="L76" s="1043"/>
      <c r="M76" s="1043"/>
      <c r="N76" s="1043"/>
      <c r="O76" s="1043"/>
      <c r="P76" s="1043"/>
      <c r="Q76" s="1043"/>
      <c r="R76" s="1043"/>
      <c r="S76" s="1043"/>
      <c r="T76" s="1043"/>
      <c r="U76" s="1043"/>
      <c r="V76" s="1044"/>
      <c r="W76" s="1043"/>
      <c r="X76" s="1043"/>
      <c r="Y76" s="1044"/>
      <c r="Z76" s="1043"/>
      <c r="AA76" s="1043"/>
      <c r="AB76" s="1043"/>
      <c r="AC76" s="1044"/>
      <c r="AD76" s="1044"/>
      <c r="AE76" s="1044"/>
      <c r="AF76" s="1044"/>
      <c r="AG76" s="1043"/>
      <c r="AH76" s="1044"/>
      <c r="AI76" s="1044"/>
      <c r="AJ76" s="1044"/>
      <c r="AK76" s="1044"/>
      <c r="AL76" s="1044"/>
      <c r="AM76" s="1044"/>
      <c r="AN76" s="1043"/>
      <c r="AO76" s="1044"/>
      <c r="AP76" s="1044"/>
      <c r="AQ76" s="1043"/>
      <c r="AR76" s="1043"/>
      <c r="AS76" s="1043"/>
      <c r="AT76" s="1043"/>
      <c r="AU76" s="1043"/>
      <c r="AV76" s="1043"/>
      <c r="AW76" s="1043"/>
      <c r="AX76" s="1043"/>
      <c r="AY76" s="1043"/>
      <c r="AZ76" s="1043"/>
      <c r="BA76" s="1043"/>
      <c r="BB76" s="1043"/>
      <c r="BC76" s="1043"/>
      <c r="BD76" s="1043"/>
      <c r="BE76" s="1043"/>
      <c r="BF76" s="1043"/>
      <c r="BG76" s="1043"/>
      <c r="BH76" s="1043"/>
      <c r="BI76" s="1043"/>
      <c r="BJ76" s="1043"/>
      <c r="BK76" s="1043"/>
      <c r="BL76" s="1043"/>
      <c r="BM76" s="1043"/>
      <c r="BN76" s="1043"/>
      <c r="BO76" s="1043"/>
      <c r="BP76" s="1043"/>
      <c r="BQ76" s="1043"/>
      <c r="BR76" s="1043"/>
    </row>
    <row r="77" spans="1:70" s="9" customFormat="1" ht="11.25">
      <c r="A77" s="513" t="s">
        <v>1060</v>
      </c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170">
        <f>IS!AC100+IS!AC111</f>
        <v>667</v>
      </c>
      <c r="AD77" s="170">
        <f>IS!AD100+IS!AD111</f>
        <v>689</v>
      </c>
      <c r="AE77" s="170">
        <f>IS!AE100+IS!AE111</f>
        <v>746</v>
      </c>
      <c r="AF77" s="170">
        <f>IS!AF100+IS!AF111</f>
        <v>763</v>
      </c>
      <c r="AG77" s="170">
        <f>IS!AG100+IS!AG111</f>
        <v>781</v>
      </c>
      <c r="AH77" s="170">
        <f>IS!AH100+IS!AH111</f>
        <v>804</v>
      </c>
      <c r="AI77" s="170">
        <f>IS!AI100+IS!AI111</f>
        <v>824</v>
      </c>
      <c r="AJ77" s="170">
        <f>IS!AJ100+IS!AJ111</f>
        <v>852</v>
      </c>
      <c r="AK77" s="170">
        <f>IS!AK100+IS!AK111</f>
        <v>874</v>
      </c>
      <c r="AL77" s="170">
        <f>IS!AL100+IS!AL111</f>
        <v>903</v>
      </c>
      <c r="AM77" s="170">
        <f>IS!AM100+IS!AM111</f>
        <v>923</v>
      </c>
      <c r="AN77" s="170">
        <f>IS!AN100+IS!AN111</f>
        <v>950</v>
      </c>
      <c r="AO77" s="170">
        <f>IS!AO100+IS!AO111</f>
        <v>993</v>
      </c>
      <c r="AP77" s="170">
        <f>IS!AP100+IS!AP111</f>
        <v>1030</v>
      </c>
      <c r="AQ77" s="170">
        <f>IS!AQ100+IS!AQ111</f>
        <v>1482</v>
      </c>
      <c r="AR77" s="170">
        <f>IS!AR100+IS!AR111</f>
        <v>1499</v>
      </c>
      <c r="AS77" s="170">
        <f>IS!AS100+IS!AS111</f>
        <v>1505</v>
      </c>
      <c r="AT77" s="170">
        <f>IS!AT100+IS!AT111</f>
        <v>1503</v>
      </c>
      <c r="AU77" s="170">
        <f>IS!AU100+IS!AU111</f>
        <v>1513</v>
      </c>
      <c r="AV77" s="170">
        <f>IS!AV100+IS!AV111</f>
        <v>1482</v>
      </c>
      <c r="AW77" s="170">
        <f>IS!AW100+IS!AW111</f>
        <v>1475</v>
      </c>
      <c r="AX77" s="170">
        <f>IS!AX100+IS!AX111</f>
        <v>1463</v>
      </c>
      <c r="AY77" s="170">
        <f>IS!AY100+IS!AY111</f>
        <v>1468</v>
      </c>
      <c r="AZ77" s="170">
        <f>IS!AZ100+IS!AZ111</f>
        <v>1476</v>
      </c>
      <c r="BA77" s="170">
        <f>IS!BA100+IS!BA111</f>
        <v>1487</v>
      </c>
      <c r="BB77" s="170">
        <f>IS!BB100+IS!BB111</f>
        <v>1500</v>
      </c>
      <c r="BC77" s="170">
        <f>IS!BC100+IS!BC111</f>
        <v>1521</v>
      </c>
      <c r="BD77" s="170">
        <f>IS!BD100+IS!BD111</f>
        <v>1544</v>
      </c>
      <c r="BE77" s="170">
        <f>IS!BE100+IS!BE111</f>
        <v>1563</v>
      </c>
      <c r="BF77" s="170">
        <f>IS!BF100+IS!BF111</f>
        <v>1603</v>
      </c>
      <c r="BG77" s="170">
        <f>IS!BG100+IS!BG111</f>
        <v>1612</v>
      </c>
      <c r="BH77" s="170">
        <f>IS!BH100+IS!BH111</f>
        <v>1643</v>
      </c>
      <c r="BI77" s="170">
        <f>IS!BI100+IS!BI111</f>
        <v>1662</v>
      </c>
      <c r="BJ77" s="170">
        <f>IS!BJ100+IS!BJ111</f>
        <v>1701</v>
      </c>
      <c r="BK77" s="170">
        <f>IS!BK100+IS!BK111</f>
        <v>1705</v>
      </c>
      <c r="BL77" s="170">
        <f>IS!BL100+IS!BL111</f>
        <v>1720</v>
      </c>
    </row>
    <row r="78" spans="1:70" s="9" customFormat="1" ht="11.25">
      <c r="A78" s="342" t="s">
        <v>1007</v>
      </c>
      <c r="C78" s="335"/>
      <c r="D78" s="335"/>
      <c r="E78" s="335"/>
      <c r="F78" s="335"/>
      <c r="G78" s="335"/>
      <c r="H78" s="335"/>
      <c r="I78" s="335"/>
      <c r="J78" s="335"/>
      <c r="K78" s="335"/>
      <c r="L78" s="335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>
        <f t="shared" ref="AC78:AK78" si="76">AC104-AC91</f>
        <v>179</v>
      </c>
      <c r="AD78" s="335">
        <f t="shared" si="76"/>
        <v>191</v>
      </c>
      <c r="AE78" s="335">
        <f t="shared" si="76"/>
        <v>204</v>
      </c>
      <c r="AF78" s="335">
        <f t="shared" si="76"/>
        <v>215</v>
      </c>
      <c r="AG78" s="335">
        <f t="shared" si="76"/>
        <v>220</v>
      </c>
      <c r="AH78" s="335">
        <f t="shared" si="76"/>
        <v>232</v>
      </c>
      <c r="AI78" s="335">
        <f t="shared" si="76"/>
        <v>240</v>
      </c>
      <c r="AJ78" s="335">
        <f t="shared" si="76"/>
        <v>246</v>
      </c>
      <c r="AK78" s="335">
        <f t="shared" si="76"/>
        <v>255</v>
      </c>
      <c r="AL78" s="335">
        <f>212+58</f>
        <v>270</v>
      </c>
      <c r="AM78" s="335">
        <f>220+59</f>
        <v>279</v>
      </c>
      <c r="AN78" s="335">
        <f>227+62</f>
        <v>289</v>
      </c>
      <c r="AO78" s="335">
        <f>232+71</f>
        <v>303</v>
      </c>
      <c r="AP78" s="335">
        <f>246+80</f>
        <v>326</v>
      </c>
      <c r="AQ78" s="335">
        <f>253+79</f>
        <v>332</v>
      </c>
      <c r="AR78" s="335">
        <f>257+80</f>
        <v>337</v>
      </c>
      <c r="AS78" s="335">
        <f>260+80</f>
        <v>340</v>
      </c>
      <c r="AT78" s="335">
        <f>269+80</f>
        <v>349</v>
      </c>
      <c r="AU78" s="335">
        <f>274+80</f>
        <v>354</v>
      </c>
      <c r="AV78" s="335">
        <f>273+80</f>
        <v>353</v>
      </c>
      <c r="AW78" s="78">
        <f>277+82</f>
        <v>359</v>
      </c>
      <c r="AX78" s="78">
        <f>282+84</f>
        <v>366</v>
      </c>
      <c r="AY78" s="78">
        <f>285+86</f>
        <v>371</v>
      </c>
      <c r="AZ78" s="78">
        <f>286+89</f>
        <v>375</v>
      </c>
      <c r="BA78" s="78">
        <f>290+93</f>
        <v>383</v>
      </c>
      <c r="BB78" s="78">
        <f>292+99</f>
        <v>391</v>
      </c>
      <c r="BC78" s="78">
        <f>293+98</f>
        <v>391</v>
      </c>
      <c r="BD78" s="78">
        <f>297+99</f>
        <v>396</v>
      </c>
      <c r="BE78" s="78">
        <f>304+102</f>
        <v>406</v>
      </c>
      <c r="BF78" s="78">
        <f>306+1+106</f>
        <v>413</v>
      </c>
      <c r="BG78" s="78">
        <f>310+1+106</f>
        <v>417</v>
      </c>
      <c r="BH78" s="78">
        <f>313+2+107</f>
        <v>422</v>
      </c>
      <c r="BI78" s="78">
        <f>314+3+107</f>
        <v>424</v>
      </c>
      <c r="BJ78" s="78">
        <v>426</v>
      </c>
      <c r="BK78" s="78">
        <f>317+3+108</f>
        <v>428</v>
      </c>
      <c r="BL78" s="78">
        <v>427</v>
      </c>
    </row>
    <row r="79" spans="1:70" s="9" customFormat="1" ht="11.25">
      <c r="A79" s="342" t="s">
        <v>1008</v>
      </c>
      <c r="C79" s="335"/>
      <c r="D79" s="335"/>
      <c r="E79" s="335"/>
      <c r="F79" s="335"/>
      <c r="G79" s="335"/>
      <c r="H79" s="335"/>
      <c r="I79" s="335"/>
      <c r="J79" s="335"/>
      <c r="K79" s="335"/>
      <c r="L79" s="335"/>
      <c r="M79" s="335"/>
      <c r="N79" s="335"/>
      <c r="O79" s="335"/>
      <c r="P79" s="335"/>
      <c r="Q79" s="335"/>
      <c r="R79" s="335"/>
      <c r="S79" s="335"/>
      <c r="T79" s="335"/>
      <c r="U79" s="335"/>
      <c r="V79" s="335"/>
      <c r="W79" s="335"/>
      <c r="X79" s="335"/>
      <c r="Y79" s="335"/>
      <c r="Z79" s="335"/>
      <c r="AA79" s="335"/>
      <c r="AB79" s="335"/>
      <c r="AC79" s="335">
        <f t="shared" ref="AC79:AK79" si="77">AC105-AC92</f>
        <v>195</v>
      </c>
      <c r="AD79" s="335">
        <f t="shared" si="77"/>
        <v>198</v>
      </c>
      <c r="AE79" s="335">
        <f t="shared" si="77"/>
        <v>199</v>
      </c>
      <c r="AF79" s="335">
        <f t="shared" si="77"/>
        <v>200</v>
      </c>
      <c r="AG79" s="335">
        <f t="shared" si="77"/>
        <v>202</v>
      </c>
      <c r="AH79" s="335">
        <f t="shared" si="77"/>
        <v>208</v>
      </c>
      <c r="AI79" s="335">
        <f t="shared" si="77"/>
        <v>210</v>
      </c>
      <c r="AJ79" s="335">
        <f t="shared" si="77"/>
        <v>217</v>
      </c>
      <c r="AK79" s="335">
        <f t="shared" si="77"/>
        <v>218</v>
      </c>
      <c r="AL79" s="335">
        <f>109+61+39+16</f>
        <v>225</v>
      </c>
      <c r="AM79" s="335">
        <f>111+61+41+16</f>
        <v>229</v>
      </c>
      <c r="AN79" s="335">
        <f>113+59+42+16</f>
        <v>230</v>
      </c>
      <c r="AO79" s="335">
        <f>117+60+43+16</f>
        <v>236</v>
      </c>
      <c r="AP79" s="335">
        <f>121+59+45+17</f>
        <v>242</v>
      </c>
      <c r="AQ79" s="335">
        <f>421-181</f>
        <v>240</v>
      </c>
      <c r="AR79" s="335">
        <f>121+60+49+16</f>
        <v>246</v>
      </c>
      <c r="AS79" s="335">
        <f>122+61+51</f>
        <v>234</v>
      </c>
      <c r="AT79" s="335">
        <f>122+60+55</f>
        <v>237</v>
      </c>
      <c r="AU79" s="335">
        <f>122+60+57</f>
        <v>239</v>
      </c>
      <c r="AV79" s="335">
        <f>117+60+57</f>
        <v>234</v>
      </c>
      <c r="AW79" s="78">
        <f>408-176</f>
        <v>232</v>
      </c>
      <c r="AX79" s="78">
        <f>115+55+57</f>
        <v>227</v>
      </c>
      <c r="AY79" s="78">
        <f>115+55+58</f>
        <v>228</v>
      </c>
      <c r="AZ79" s="78">
        <f>115+54+58</f>
        <v>227</v>
      </c>
      <c r="BA79" s="78">
        <f>115+54+58</f>
        <v>227</v>
      </c>
      <c r="BB79" s="78">
        <f>115+55+57</f>
        <v>227</v>
      </c>
      <c r="BC79" s="78">
        <f>114+55+61</f>
        <v>230</v>
      </c>
      <c r="BD79" s="78">
        <f>114+55+62</f>
        <v>231</v>
      </c>
      <c r="BE79" s="78">
        <f>114+55+62</f>
        <v>231</v>
      </c>
      <c r="BF79" s="78">
        <f>114+55+67</f>
        <v>236</v>
      </c>
      <c r="BG79" s="78">
        <f>114+55+68</f>
        <v>237</v>
      </c>
      <c r="BH79" s="78">
        <f>115+55+72</f>
        <v>242</v>
      </c>
      <c r="BI79" s="78">
        <f>115+55+73</f>
        <v>243</v>
      </c>
      <c r="BJ79" s="78">
        <v>251</v>
      </c>
      <c r="BK79" s="78">
        <f>118+55+78</f>
        <v>251</v>
      </c>
      <c r="BL79" s="78">
        <v>252</v>
      </c>
    </row>
    <row r="80" spans="1:70" s="9" customFormat="1" ht="11.25">
      <c r="A80" s="342" t="s">
        <v>1018</v>
      </c>
      <c r="C80" s="335"/>
      <c r="D80" s="335"/>
      <c r="E80" s="335"/>
      <c r="F80" s="335"/>
      <c r="G80" s="335"/>
      <c r="H80" s="335"/>
      <c r="I80" s="335"/>
      <c r="J80" s="335"/>
      <c r="K80" s="335"/>
      <c r="L80" s="335"/>
      <c r="M80" s="335"/>
      <c r="N80" s="335"/>
      <c r="O80" s="335"/>
      <c r="P80" s="335"/>
      <c r="Q80" s="335"/>
      <c r="R80" s="335"/>
      <c r="S80" s="335"/>
      <c r="T80" s="335"/>
      <c r="U80" s="335"/>
      <c r="V80" s="335"/>
      <c r="W80" s="335"/>
      <c r="X80" s="335"/>
      <c r="Y80" s="335"/>
      <c r="Z80" s="335"/>
      <c r="AA80" s="335"/>
      <c r="AB80" s="335"/>
      <c r="AC80" s="335">
        <f t="shared" ref="AC80:AK80" si="78">AC106-AC93</f>
        <v>179</v>
      </c>
      <c r="AD80" s="335">
        <f t="shared" si="78"/>
        <v>185</v>
      </c>
      <c r="AE80" s="335">
        <f t="shared" si="78"/>
        <v>190</v>
      </c>
      <c r="AF80" s="335">
        <f t="shared" si="78"/>
        <v>198</v>
      </c>
      <c r="AG80" s="335">
        <f t="shared" si="78"/>
        <v>209</v>
      </c>
      <c r="AH80" s="335">
        <f t="shared" si="78"/>
        <v>214</v>
      </c>
      <c r="AI80" s="335">
        <f t="shared" si="78"/>
        <v>223</v>
      </c>
      <c r="AJ80" s="335">
        <f t="shared" si="78"/>
        <v>237</v>
      </c>
      <c r="AK80" s="335">
        <f t="shared" si="78"/>
        <v>250</v>
      </c>
      <c r="AL80" s="335">
        <f>125+107+24</f>
        <v>256</v>
      </c>
      <c r="AM80" s="335">
        <f>129+109+24</f>
        <v>262</v>
      </c>
      <c r="AN80" s="335">
        <f>135+113+26+1</f>
        <v>275</v>
      </c>
      <c r="AO80" s="335">
        <f>143+119+31+3</f>
        <v>296</v>
      </c>
      <c r="AP80" s="335">
        <f>143+121+32+5</f>
        <v>301</v>
      </c>
      <c r="AQ80" s="335">
        <f>1259-729</f>
        <v>530</v>
      </c>
      <c r="AR80" s="335">
        <f>1275-737</f>
        <v>538</v>
      </c>
      <c r="AS80" s="335">
        <f>1290-746</f>
        <v>544</v>
      </c>
      <c r="AT80" s="335">
        <f>66+123+144+133+16+32+20+8</f>
        <v>542</v>
      </c>
      <c r="AU80" s="335">
        <f>66+124+144+133+16+32+20+9</f>
        <v>544</v>
      </c>
      <c r="AV80" s="335">
        <f>65+120+136+134+15+32+20+9</f>
        <v>531</v>
      </c>
      <c r="AW80" s="78">
        <f>1284-758</f>
        <v>526</v>
      </c>
      <c r="AX80" s="78">
        <f>66+118+132+134+16+30+18+9</f>
        <v>523</v>
      </c>
      <c r="AY80" s="78">
        <f>66+118+132+136+15+30+18+9</f>
        <v>524</v>
      </c>
      <c r="AZ80" s="78">
        <f>70+117+132+136+16+32+18+9</f>
        <v>530</v>
      </c>
      <c r="BA80" s="78">
        <f>1276-741</f>
        <v>535</v>
      </c>
      <c r="BB80" s="78">
        <f>1286-746</f>
        <v>540</v>
      </c>
      <c r="BC80" s="78">
        <f>1304-750</f>
        <v>554</v>
      </c>
      <c r="BD80" s="78">
        <f>1322-753</f>
        <v>569</v>
      </c>
      <c r="BE80" s="78">
        <f>1342-763</f>
        <v>579</v>
      </c>
      <c r="BF80" s="78">
        <f>1387-783</f>
        <v>604</v>
      </c>
      <c r="BG80" s="78">
        <f>84+130+131+154+22+57+19+12</f>
        <v>609</v>
      </c>
      <c r="BH80" s="78">
        <f>88+133+132+156+20+61+19+14+1+4</f>
        <v>628</v>
      </c>
      <c r="BI80" s="78">
        <f>1438-796</f>
        <v>642</v>
      </c>
      <c r="BJ80" s="78">
        <v>672</v>
      </c>
      <c r="BK80" s="78">
        <f>1507-830</f>
        <v>677</v>
      </c>
      <c r="BL80" s="78">
        <v>693</v>
      </c>
    </row>
    <row r="81" spans="1:64" s="9" customFormat="1" ht="11.25">
      <c r="A81" s="342" t="s">
        <v>1011</v>
      </c>
      <c r="C81" s="335"/>
      <c r="D81" s="335"/>
      <c r="E81" s="335"/>
      <c r="F81" s="335"/>
      <c r="G81" s="335"/>
      <c r="H81" s="335"/>
      <c r="I81" s="335"/>
      <c r="J81" s="335"/>
      <c r="K81" s="335"/>
      <c r="L81" s="335"/>
      <c r="M81" s="335"/>
      <c r="N81" s="335"/>
      <c r="O81" s="335"/>
      <c r="P81" s="335"/>
      <c r="Q81" s="335"/>
      <c r="R81" s="335"/>
      <c r="S81" s="335"/>
      <c r="T81" s="335"/>
      <c r="U81" s="335"/>
      <c r="V81" s="335"/>
      <c r="W81" s="335"/>
      <c r="X81" s="335"/>
      <c r="Y81" s="335"/>
      <c r="Z81" s="335"/>
      <c r="AA81" s="335"/>
      <c r="AB81" s="335"/>
      <c r="AC81" s="335"/>
      <c r="AD81" s="335"/>
      <c r="AE81" s="335"/>
      <c r="AF81" s="335"/>
      <c r="AG81" s="335"/>
      <c r="AH81" s="335"/>
      <c r="AI81" s="335"/>
      <c r="AJ81" s="335"/>
      <c r="AK81" s="335"/>
      <c r="AL81" s="335"/>
      <c r="AM81" s="335"/>
      <c r="AN81" s="335"/>
      <c r="AO81" s="335"/>
      <c r="AP81" s="335"/>
      <c r="AQ81" s="335">
        <v>90</v>
      </c>
      <c r="AR81" s="335">
        <v>90</v>
      </c>
      <c r="AS81" s="335">
        <v>92</v>
      </c>
      <c r="AT81" s="335">
        <v>91</v>
      </c>
      <c r="AU81" s="335">
        <v>91</v>
      </c>
      <c r="AV81" s="335">
        <v>90</v>
      </c>
      <c r="AW81" s="78">
        <v>89</v>
      </c>
      <c r="AX81" s="78">
        <v>89</v>
      </c>
      <c r="AY81" s="78">
        <v>89</v>
      </c>
      <c r="AZ81" s="78">
        <v>88</v>
      </c>
      <c r="BA81" s="78">
        <v>87</v>
      </c>
      <c r="BB81" s="78">
        <v>89</v>
      </c>
      <c r="BC81" s="78">
        <f>92</f>
        <v>92</v>
      </c>
      <c r="BD81" s="78">
        <v>94</v>
      </c>
      <c r="BE81" s="78">
        <f>93</f>
        <v>93</v>
      </c>
      <c r="BF81" s="78">
        <v>95</v>
      </c>
      <c r="BG81" s="78">
        <f>110</f>
        <v>110</v>
      </c>
      <c r="BH81" s="78">
        <v>112</v>
      </c>
      <c r="BI81" s="78">
        <f>114</f>
        <v>114</v>
      </c>
      <c r="BJ81" s="78">
        <v>115</v>
      </c>
      <c r="BK81" s="78">
        <v>115</v>
      </c>
      <c r="BL81" s="78">
        <v>116</v>
      </c>
    </row>
    <row r="82" spans="1:64" s="9" customFormat="1" ht="11.25">
      <c r="A82" s="342" t="s">
        <v>1019</v>
      </c>
      <c r="C82" s="335"/>
      <c r="D82" s="335"/>
      <c r="E82" s="335"/>
      <c r="F82" s="335"/>
      <c r="G82" s="335"/>
      <c r="H82" s="335"/>
      <c r="I82" s="335"/>
      <c r="J82" s="335"/>
      <c r="K82" s="335"/>
      <c r="L82" s="335"/>
      <c r="M82" s="335"/>
      <c r="N82" s="335"/>
      <c r="O82" s="335"/>
      <c r="P82" s="335"/>
      <c r="Q82" s="335"/>
      <c r="R82" s="335"/>
      <c r="S82" s="335"/>
      <c r="T82" s="335"/>
      <c r="U82" s="335"/>
      <c r="V82" s="335"/>
      <c r="W82" s="335"/>
      <c r="X82" s="335"/>
      <c r="Y82" s="335"/>
      <c r="Z82" s="335"/>
      <c r="AA82" s="335"/>
      <c r="AB82" s="335"/>
      <c r="AC82" s="335">
        <f t="shared" ref="AC82:AK82" si="79">AC108-AC95</f>
        <v>79</v>
      </c>
      <c r="AD82" s="335">
        <f t="shared" si="79"/>
        <v>82</v>
      </c>
      <c r="AE82" s="335">
        <f t="shared" si="79"/>
        <v>85</v>
      </c>
      <c r="AF82" s="335">
        <f t="shared" si="79"/>
        <v>84</v>
      </c>
      <c r="AG82" s="335">
        <f t="shared" si="79"/>
        <v>85</v>
      </c>
      <c r="AH82" s="335">
        <f t="shared" si="79"/>
        <v>87</v>
      </c>
      <c r="AI82" s="335">
        <f t="shared" si="79"/>
        <v>90</v>
      </c>
      <c r="AJ82" s="335">
        <f t="shared" si="79"/>
        <v>92</v>
      </c>
      <c r="AK82" s="335">
        <f t="shared" si="79"/>
        <v>92</v>
      </c>
      <c r="AL82" s="335">
        <v>94</v>
      </c>
      <c r="AM82" s="335">
        <v>96</v>
      </c>
      <c r="AN82" s="335">
        <v>97</v>
      </c>
      <c r="AO82" s="335">
        <v>98</v>
      </c>
      <c r="AP82" s="335">
        <v>100</v>
      </c>
      <c r="AQ82" s="335">
        <v>99</v>
      </c>
      <c r="AR82" s="335">
        <v>99</v>
      </c>
      <c r="AS82" s="335">
        <v>101</v>
      </c>
      <c r="AT82" s="335">
        <v>102</v>
      </c>
      <c r="AU82" s="335">
        <v>105</v>
      </c>
      <c r="AV82" s="335">
        <v>103</v>
      </c>
      <c r="AW82" s="78">
        <v>102</v>
      </c>
      <c r="AX82" s="78">
        <v>101</v>
      </c>
      <c r="AY82" s="78">
        <v>101</v>
      </c>
      <c r="AZ82" s="78">
        <v>100</v>
      </c>
      <c r="BA82" s="78">
        <v>99</v>
      </c>
      <c r="BB82" s="78">
        <v>100</v>
      </c>
      <c r="BC82" s="78">
        <v>100</v>
      </c>
      <c r="BD82" s="78">
        <v>100</v>
      </c>
      <c r="BE82" s="78">
        <v>101</v>
      </c>
      <c r="BF82" s="78">
        <v>103</v>
      </c>
      <c r="BG82" s="78">
        <f>104</f>
        <v>104</v>
      </c>
      <c r="BH82" s="78">
        <v>105</v>
      </c>
      <c r="BI82" s="78">
        <f>105</f>
        <v>105</v>
      </c>
      <c r="BJ82" s="78">
        <v>103</v>
      </c>
      <c r="BK82" s="78">
        <v>101</v>
      </c>
      <c r="BL82" s="78">
        <v>101</v>
      </c>
    </row>
    <row r="83" spans="1:64" s="9" customFormat="1" ht="11.25">
      <c r="A83" s="342" t="s">
        <v>1016</v>
      </c>
      <c r="C83" s="335"/>
      <c r="D83" s="335"/>
      <c r="E83" s="335"/>
      <c r="F83" s="335"/>
      <c r="G83" s="335"/>
      <c r="H83" s="335"/>
      <c r="I83" s="335"/>
      <c r="J83" s="335"/>
      <c r="K83" s="335"/>
      <c r="L83" s="335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>
        <f t="shared" ref="AC83:AK83" si="80">AC109-AC96</f>
        <v>0</v>
      </c>
      <c r="AD83" s="335">
        <f t="shared" si="80"/>
        <v>0</v>
      </c>
      <c r="AE83" s="335">
        <f t="shared" si="80"/>
        <v>41</v>
      </c>
      <c r="AF83" s="335">
        <f t="shared" si="80"/>
        <v>41</v>
      </c>
      <c r="AG83" s="335">
        <f t="shared" si="80"/>
        <v>41</v>
      </c>
      <c r="AH83" s="335">
        <f t="shared" si="80"/>
        <v>39</v>
      </c>
      <c r="AI83" s="335">
        <f t="shared" si="80"/>
        <v>38</v>
      </c>
      <c r="AJ83" s="335">
        <f t="shared" si="80"/>
        <v>38</v>
      </c>
      <c r="AK83" s="335">
        <f t="shared" si="80"/>
        <v>35</v>
      </c>
      <c r="AL83" s="335">
        <v>33</v>
      </c>
      <c r="AM83" s="335">
        <v>33</v>
      </c>
      <c r="AN83" s="335">
        <v>33</v>
      </c>
      <c r="AO83" s="335">
        <v>32</v>
      </c>
      <c r="AP83" s="335">
        <v>32</v>
      </c>
      <c r="AQ83" s="335">
        <v>32</v>
      </c>
      <c r="AR83" s="335">
        <v>31</v>
      </c>
      <c r="AS83" s="335">
        <v>31</v>
      </c>
      <c r="AT83" s="335">
        <v>31</v>
      </c>
      <c r="AU83" s="335">
        <v>31</v>
      </c>
      <c r="AV83" s="335">
        <v>30</v>
      </c>
      <c r="AW83" s="78">
        <v>29</v>
      </c>
      <c r="AX83" s="78">
        <v>28</v>
      </c>
      <c r="AY83" s="78">
        <v>27</v>
      </c>
      <c r="AZ83" s="78">
        <v>27</v>
      </c>
      <c r="BA83" s="78">
        <v>28</v>
      </c>
      <c r="BB83" s="78">
        <v>29</v>
      </c>
      <c r="BC83" s="78">
        <v>28</v>
      </c>
      <c r="BD83" s="78">
        <v>28</v>
      </c>
      <c r="BE83" s="78">
        <v>29</v>
      </c>
      <c r="BF83" s="78">
        <v>29</v>
      </c>
      <c r="BG83" s="78">
        <v>29</v>
      </c>
      <c r="BH83" s="78">
        <v>29</v>
      </c>
      <c r="BI83" s="78">
        <f>29</f>
        <v>29</v>
      </c>
      <c r="BJ83" s="78">
        <f>29</f>
        <v>29</v>
      </c>
      <c r="BK83" s="78">
        <v>29</v>
      </c>
      <c r="BL83" s="78">
        <v>28</v>
      </c>
    </row>
    <row r="84" spans="1:64" s="9" customFormat="1" ht="11.25">
      <c r="A84" s="342" t="s">
        <v>1015</v>
      </c>
      <c r="C84" s="335"/>
      <c r="D84" s="335"/>
      <c r="E84" s="335"/>
      <c r="F84" s="335"/>
      <c r="G84" s="335"/>
      <c r="H84" s="335"/>
      <c r="I84" s="335"/>
      <c r="J84" s="335"/>
      <c r="K84" s="335"/>
      <c r="L84" s="335"/>
      <c r="M84" s="335"/>
      <c r="N84" s="335"/>
      <c r="O84" s="335"/>
      <c r="P84" s="335"/>
      <c r="Q84" s="335"/>
      <c r="R84" s="335"/>
      <c r="S84" s="335"/>
      <c r="T84" s="335"/>
      <c r="U84" s="335"/>
      <c r="V84" s="335"/>
      <c r="W84" s="335"/>
      <c r="X84" s="335"/>
      <c r="Y84" s="335"/>
      <c r="Z84" s="335"/>
      <c r="AA84" s="335"/>
      <c r="AB84" s="335"/>
      <c r="AC84" s="335">
        <f t="shared" ref="AC84:AK84" si="81">AC110-AC97</f>
        <v>8</v>
      </c>
      <c r="AD84" s="335">
        <f t="shared" si="81"/>
        <v>8</v>
      </c>
      <c r="AE84" s="335">
        <f t="shared" si="81"/>
        <v>8</v>
      </c>
      <c r="AF84" s="335">
        <f t="shared" si="81"/>
        <v>9</v>
      </c>
      <c r="AG84" s="335">
        <f t="shared" si="81"/>
        <v>9</v>
      </c>
      <c r="AH84" s="335">
        <f t="shared" si="81"/>
        <v>8</v>
      </c>
      <c r="AI84" s="335">
        <f t="shared" si="81"/>
        <v>9</v>
      </c>
      <c r="AJ84" s="335">
        <f t="shared" si="81"/>
        <v>9</v>
      </c>
      <c r="AK84" s="335">
        <f t="shared" si="81"/>
        <v>10</v>
      </c>
      <c r="AL84" s="335">
        <v>10</v>
      </c>
      <c r="AM84" s="335">
        <v>10</v>
      </c>
      <c r="AN84" s="335">
        <v>10</v>
      </c>
      <c r="AO84" s="335">
        <v>10</v>
      </c>
      <c r="AP84" s="335">
        <f>4+2+3+1</f>
        <v>10</v>
      </c>
      <c r="AQ84" s="335">
        <f>35-25</f>
        <v>10</v>
      </c>
      <c r="AR84" s="335">
        <f>30-24</f>
        <v>6</v>
      </c>
      <c r="AS84" s="335">
        <f>29-24</f>
        <v>5</v>
      </c>
      <c r="AT84" s="335">
        <f>2+3</f>
        <v>5</v>
      </c>
      <c r="AU84" s="335">
        <f>2+3</f>
        <v>5</v>
      </c>
      <c r="AV84" s="335">
        <f>2+3</f>
        <v>5</v>
      </c>
      <c r="AW84" s="78">
        <v>6</v>
      </c>
      <c r="AX84" s="78">
        <f>4+3</f>
        <v>7</v>
      </c>
      <c r="AY84" s="78">
        <f>4+3</f>
        <v>7</v>
      </c>
      <c r="AZ84" s="78">
        <f>4+3</f>
        <v>7</v>
      </c>
      <c r="BA84" s="78">
        <v>7</v>
      </c>
      <c r="BB84" s="78">
        <v>3</v>
      </c>
      <c r="BC84" s="78">
        <v>3</v>
      </c>
      <c r="BD84" s="78">
        <v>3</v>
      </c>
      <c r="BE84" s="78">
        <v>3</v>
      </c>
      <c r="BF84" s="78">
        <v>3</v>
      </c>
      <c r="BG84" s="78">
        <v>3</v>
      </c>
      <c r="BH84" s="78">
        <v>3</v>
      </c>
      <c r="BI84" s="78">
        <v>3</v>
      </c>
      <c r="BJ84" s="78">
        <v>3</v>
      </c>
      <c r="BK84" s="78">
        <v>3</v>
      </c>
      <c r="BL84" s="78">
        <v>3</v>
      </c>
    </row>
    <row r="85" spans="1:64" s="9" customFormat="1" ht="11.25">
      <c r="A85" s="342" t="s">
        <v>1017</v>
      </c>
      <c r="C85" s="335"/>
      <c r="D85" s="335"/>
      <c r="E85" s="335"/>
      <c r="F85" s="335"/>
      <c r="G85" s="335"/>
      <c r="H85" s="335"/>
      <c r="I85" s="335"/>
      <c r="J85" s="335"/>
      <c r="K85" s="335"/>
      <c r="L85" s="335"/>
      <c r="M85" s="335"/>
      <c r="N85" s="335"/>
      <c r="O85" s="335"/>
      <c r="P85" s="335"/>
      <c r="Q85" s="335"/>
      <c r="R85" s="335"/>
      <c r="S85" s="335"/>
      <c r="T85" s="335"/>
      <c r="U85" s="335"/>
      <c r="V85" s="335"/>
      <c r="W85" s="335"/>
      <c r="X85" s="335"/>
      <c r="Y85" s="335"/>
      <c r="Z85" s="335"/>
      <c r="AA85" s="335"/>
      <c r="AB85" s="335"/>
      <c r="AC85" s="335">
        <f t="shared" ref="AC85:AK85" si="82">AC111-AC98</f>
        <v>7</v>
      </c>
      <c r="AD85" s="335">
        <f t="shared" si="82"/>
        <v>6</v>
      </c>
      <c r="AE85" s="335">
        <f t="shared" si="82"/>
        <v>6</v>
      </c>
      <c r="AF85" s="335">
        <f t="shared" si="82"/>
        <v>5</v>
      </c>
      <c r="AG85" s="335">
        <f t="shared" si="82"/>
        <v>5</v>
      </c>
      <c r="AH85" s="335">
        <f t="shared" si="82"/>
        <v>6</v>
      </c>
      <c r="AI85" s="335">
        <f t="shared" si="82"/>
        <v>7</v>
      </c>
      <c r="AJ85" s="335">
        <f t="shared" si="82"/>
        <v>7</v>
      </c>
      <c r="AK85" s="335">
        <f t="shared" si="82"/>
        <v>7</v>
      </c>
      <c r="AL85" s="335">
        <v>8</v>
      </c>
      <c r="AM85" s="335">
        <v>8</v>
      </c>
      <c r="AN85" s="335">
        <v>9</v>
      </c>
      <c r="AO85" s="335">
        <v>10</v>
      </c>
      <c r="AP85" s="335">
        <v>11</v>
      </c>
      <c r="AQ85" s="335">
        <v>10</v>
      </c>
      <c r="AR85" s="335">
        <v>10</v>
      </c>
      <c r="AS85" s="335">
        <v>10</v>
      </c>
      <c r="AT85" s="335">
        <f>9</f>
        <v>9</v>
      </c>
      <c r="AU85" s="335">
        <v>9</v>
      </c>
      <c r="AV85" s="335">
        <v>8</v>
      </c>
      <c r="AW85" s="78">
        <v>7</v>
      </c>
      <c r="AX85" s="78">
        <v>1</v>
      </c>
      <c r="AY85" s="78">
        <v>0</v>
      </c>
      <c r="AZ85" s="78">
        <v>0</v>
      </c>
      <c r="BA85" s="78">
        <v>0</v>
      </c>
      <c r="BB85" s="78">
        <v>0</v>
      </c>
      <c r="BC85" s="78">
        <v>0</v>
      </c>
      <c r="BD85" s="78">
        <v>0</v>
      </c>
      <c r="BE85" s="78">
        <v>0</v>
      </c>
      <c r="BF85" s="78">
        <v>0</v>
      </c>
      <c r="BG85" s="78">
        <v>0</v>
      </c>
      <c r="BH85" s="78">
        <v>0</v>
      </c>
      <c r="BI85" s="78">
        <v>0</v>
      </c>
      <c r="BJ85" s="78">
        <v>0</v>
      </c>
      <c r="BK85" s="78">
        <v>0</v>
      </c>
      <c r="BL85" s="78">
        <v>0</v>
      </c>
    </row>
    <row r="86" spans="1:64" s="9" customFormat="1" ht="11.25">
      <c r="A86" s="342" t="s">
        <v>1120</v>
      </c>
      <c r="C86" s="335"/>
      <c r="D86" s="335"/>
      <c r="E86" s="335"/>
      <c r="F86" s="335"/>
      <c r="G86" s="335"/>
      <c r="H86" s="335"/>
      <c r="I86" s="335"/>
      <c r="J86" s="335"/>
      <c r="K86" s="335"/>
      <c r="L86" s="335"/>
      <c r="M86" s="335"/>
      <c r="N86" s="335"/>
      <c r="O86" s="335"/>
      <c r="P86" s="335"/>
      <c r="Q86" s="335"/>
      <c r="R86" s="335"/>
      <c r="S86" s="335"/>
      <c r="T86" s="335"/>
      <c r="U86" s="335"/>
      <c r="V86" s="335"/>
      <c r="W86" s="335"/>
      <c r="X86" s="335"/>
      <c r="Y86" s="335"/>
      <c r="Z86" s="335"/>
      <c r="AA86" s="335"/>
      <c r="AB86" s="335"/>
      <c r="AC86" s="335"/>
      <c r="AD86" s="335"/>
      <c r="AE86" s="335"/>
      <c r="AF86" s="335"/>
      <c r="AG86" s="335"/>
      <c r="AH86" s="335"/>
      <c r="AI86" s="335"/>
      <c r="AJ86" s="335"/>
      <c r="AK86" s="335"/>
      <c r="AL86" s="335"/>
      <c r="AM86" s="335"/>
      <c r="AN86" s="335"/>
      <c r="AO86" s="335"/>
      <c r="AP86" s="335"/>
      <c r="AQ86" s="335">
        <v>93</v>
      </c>
      <c r="AR86" s="335">
        <v>93</v>
      </c>
      <c r="AS86" s="335">
        <v>97</v>
      </c>
      <c r="AT86" s="335">
        <v>94</v>
      </c>
      <c r="AU86" s="335">
        <v>93</v>
      </c>
      <c r="AV86" s="335">
        <v>88</v>
      </c>
      <c r="AW86" s="78">
        <v>88</v>
      </c>
      <c r="AX86" s="78">
        <f>83+2</f>
        <v>85</v>
      </c>
      <c r="AY86" s="78">
        <v>85</v>
      </c>
      <c r="AZ86" s="78">
        <v>84</v>
      </c>
      <c r="BA86" s="78">
        <v>83</v>
      </c>
      <c r="BB86" s="78">
        <v>82</v>
      </c>
      <c r="BC86" s="78">
        <v>83</v>
      </c>
      <c r="BD86" s="78">
        <v>84</v>
      </c>
      <c r="BE86" s="78">
        <v>84</v>
      </c>
      <c r="BF86" s="78">
        <v>83</v>
      </c>
      <c r="BG86" s="78">
        <v>83</v>
      </c>
      <c r="BH86" s="78">
        <v>82</v>
      </c>
      <c r="BI86" s="78">
        <f>84</f>
        <v>84</v>
      </c>
      <c r="BJ86" s="78">
        <f>84</f>
        <v>84</v>
      </c>
      <c r="BK86" s="78">
        <v>83</v>
      </c>
      <c r="BL86" s="78">
        <v>82</v>
      </c>
    </row>
    <row r="87" spans="1:64" s="9" customFormat="1" ht="11.25">
      <c r="A87" s="342" t="s">
        <v>331</v>
      </c>
      <c r="C87" s="335"/>
      <c r="D87" s="335"/>
      <c r="E87" s="335"/>
      <c r="F87" s="335"/>
      <c r="G87" s="335"/>
      <c r="H87" s="335"/>
      <c r="I87" s="335"/>
      <c r="J87" s="335"/>
      <c r="K87" s="335"/>
      <c r="L87" s="335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>
        <f t="shared" ref="AC87:AK87" si="83">AC113-AC100</f>
        <v>20</v>
      </c>
      <c r="AD87" s="335">
        <f t="shared" si="83"/>
        <v>19</v>
      </c>
      <c r="AE87" s="335">
        <f t="shared" si="83"/>
        <v>13</v>
      </c>
      <c r="AF87" s="335">
        <f t="shared" si="83"/>
        <v>11</v>
      </c>
      <c r="AG87" s="335">
        <f t="shared" si="83"/>
        <v>10</v>
      </c>
      <c r="AH87" s="335">
        <f t="shared" si="83"/>
        <v>10</v>
      </c>
      <c r="AI87" s="335">
        <f t="shared" si="83"/>
        <v>7</v>
      </c>
      <c r="AJ87" s="335">
        <f t="shared" si="83"/>
        <v>6</v>
      </c>
      <c r="AK87" s="335">
        <f t="shared" si="83"/>
        <v>7</v>
      </c>
      <c r="AL87" s="335">
        <f>6+1</f>
        <v>7</v>
      </c>
      <c r="AM87" s="335">
        <f>4+2</f>
        <v>6</v>
      </c>
      <c r="AN87" s="335">
        <f>4+3</f>
        <v>7</v>
      </c>
      <c r="AO87" s="335">
        <f>4+4</f>
        <v>8</v>
      </c>
      <c r="AP87" s="335">
        <f>4+4</f>
        <v>8</v>
      </c>
      <c r="AQ87" s="335">
        <f>4+17+6+4+15</f>
        <v>46</v>
      </c>
      <c r="AR87" s="335">
        <f>18+6+4+4+1+1+15</f>
        <v>49</v>
      </c>
      <c r="AS87" s="335">
        <f>18+6+4+4+1+1+16+1</f>
        <v>51</v>
      </c>
      <c r="AT87" s="335">
        <f>16+5+5+1+1+15</f>
        <v>43</v>
      </c>
      <c r="AU87" s="335">
        <f>15+3+5+1+17+1</f>
        <v>42</v>
      </c>
      <c r="AV87" s="335">
        <f>5+14+3+1+1+16</f>
        <v>40</v>
      </c>
      <c r="AW87" s="78">
        <f>16+1+1+14+5</f>
        <v>37</v>
      </c>
      <c r="AX87" s="78">
        <f>16+1+1+13+5</f>
        <v>36</v>
      </c>
      <c r="AY87" s="78">
        <f>13+5+16+1+1</f>
        <v>36</v>
      </c>
      <c r="AZ87" s="78">
        <f>5+13+3+1+16</f>
        <v>38</v>
      </c>
      <c r="BA87" s="78">
        <v>38</v>
      </c>
      <c r="BB87" s="78">
        <v>39</v>
      </c>
      <c r="BC87" s="78">
        <f>5+13+4+1+17</f>
        <v>40</v>
      </c>
      <c r="BD87" s="78">
        <f>13+4+1+16+5</f>
        <v>39</v>
      </c>
      <c r="BE87" s="78">
        <f>4+13+15+5</f>
        <v>37</v>
      </c>
      <c r="BF87" s="78">
        <f>5+13+4+15</f>
        <v>37</v>
      </c>
      <c r="BG87" s="78">
        <f>13+4+3</f>
        <v>20</v>
      </c>
      <c r="BH87" s="78">
        <f>13+4+3</f>
        <v>20</v>
      </c>
      <c r="BI87" s="78">
        <f>13+5</f>
        <v>18</v>
      </c>
      <c r="BJ87" s="78">
        <f>13+5</f>
        <v>18</v>
      </c>
      <c r="BK87" s="78">
        <v>18</v>
      </c>
      <c r="BL87" s="78">
        <f>13+5</f>
        <v>18</v>
      </c>
    </row>
    <row r="88" spans="1:64" s="9" customFormat="1" ht="11.25">
      <c r="A88" s="604"/>
      <c r="B88" s="254"/>
      <c r="C88" s="822"/>
      <c r="D88" s="822"/>
      <c r="E88" s="822"/>
      <c r="F88" s="822"/>
      <c r="G88" s="822"/>
      <c r="H88" s="822"/>
      <c r="I88" s="822"/>
      <c r="J88" s="822"/>
      <c r="K88" s="822"/>
      <c r="L88" s="822"/>
      <c r="M88" s="822"/>
      <c r="N88" s="822"/>
      <c r="O88" s="797"/>
      <c r="P88" s="797"/>
      <c r="Q88" s="797"/>
      <c r="R88" s="797"/>
      <c r="S88" s="797"/>
      <c r="T88" s="797"/>
      <c r="U88" s="797"/>
      <c r="V88" s="797"/>
      <c r="W88" s="797"/>
      <c r="X88" s="797"/>
      <c r="Y88" s="797"/>
      <c r="Z88" s="797"/>
      <c r="AA88" s="797"/>
      <c r="AB88" s="797"/>
      <c r="AC88" s="797"/>
      <c r="AD88" s="797"/>
      <c r="AE88" s="797"/>
      <c r="AF88" s="797"/>
      <c r="AG88" s="797"/>
      <c r="AH88" s="797"/>
      <c r="AI88" s="797"/>
      <c r="AJ88" s="797"/>
      <c r="AK88" s="797"/>
      <c r="AL88" s="797"/>
      <c r="AM88" s="797"/>
      <c r="AN88" s="797"/>
      <c r="AO88" s="797"/>
      <c r="AP88" s="797"/>
      <c r="AQ88" s="1201"/>
      <c r="AR88" s="797"/>
      <c r="AS88" s="797"/>
      <c r="AT88" s="797"/>
      <c r="AU88" s="797"/>
      <c r="AV88" s="797"/>
      <c r="AW88" s="797"/>
      <c r="AX88" s="797"/>
      <c r="AY88" s="797"/>
      <c r="AZ88" s="797"/>
      <c r="BA88" s="797"/>
      <c r="BB88" s="797"/>
      <c r="BC88" s="797"/>
      <c r="BD88" s="797"/>
      <c r="BE88" s="797"/>
      <c r="BF88" s="797"/>
      <c r="BG88" s="797"/>
      <c r="BH88" s="797"/>
      <c r="BI88" s="797"/>
      <c r="BJ88" s="797"/>
      <c r="BK88" s="797"/>
      <c r="BL88" s="797"/>
    </row>
    <row r="89" spans="1:64" s="9" customFormat="1" ht="11.25">
      <c r="A89" s="342"/>
      <c r="C89" s="335"/>
      <c r="D89" s="335"/>
      <c r="E89" s="335"/>
      <c r="F89" s="335"/>
      <c r="G89" s="335"/>
      <c r="H89" s="335"/>
      <c r="I89" s="335"/>
      <c r="J89" s="335"/>
      <c r="K89" s="335"/>
      <c r="L89" s="335"/>
      <c r="M89" s="335"/>
      <c r="N89" s="335"/>
      <c r="O89" s="335"/>
      <c r="P89" s="335"/>
      <c r="Q89" s="335"/>
      <c r="R89" s="335"/>
      <c r="S89" s="335"/>
      <c r="T89" s="335"/>
      <c r="U89" s="335"/>
      <c r="V89" s="335"/>
      <c r="W89" s="335"/>
      <c r="X89" s="335"/>
      <c r="Y89" s="335"/>
      <c r="Z89" s="335"/>
      <c r="AA89" s="335"/>
      <c r="AB89" s="335"/>
      <c r="AC89" s="335"/>
      <c r="AD89" s="335"/>
      <c r="AE89" s="335"/>
      <c r="AF89" s="335"/>
      <c r="AG89" s="335"/>
      <c r="AH89" s="335"/>
      <c r="AI89" s="335"/>
      <c r="AJ89" s="335"/>
      <c r="AK89" s="335"/>
      <c r="AL89" s="335"/>
      <c r="AM89" s="335"/>
      <c r="AN89" s="335"/>
      <c r="AO89" s="335"/>
      <c r="AP89" s="335"/>
    </row>
    <row r="90" spans="1:64" s="9" customFormat="1" ht="11.25">
      <c r="A90" s="513" t="s">
        <v>1061</v>
      </c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170">
        <f>IS!AC101+IS!AC112</f>
        <v>170</v>
      </c>
      <c r="AD90" s="170">
        <f>IS!AD101+IS!AD112</f>
        <v>173</v>
      </c>
      <c r="AE90" s="170">
        <f>IS!AE101+IS!AE112</f>
        <v>166</v>
      </c>
      <c r="AF90" s="170">
        <f>IS!AF101+IS!AF112</f>
        <v>168</v>
      </c>
      <c r="AG90" s="170">
        <f>IS!AG101+IS!AG112</f>
        <v>172</v>
      </c>
      <c r="AH90" s="170">
        <f>IS!AH101+IS!AH112</f>
        <v>176</v>
      </c>
      <c r="AI90" s="170">
        <f>IS!AI101+IS!AI112</f>
        <v>175</v>
      </c>
      <c r="AJ90" s="170">
        <f>IS!AJ101+IS!AJ112</f>
        <v>182</v>
      </c>
      <c r="AK90" s="170">
        <f>IS!AK101+IS!AK112</f>
        <v>184</v>
      </c>
      <c r="AL90" s="170">
        <f>IS!AL101+IS!AL112</f>
        <v>189</v>
      </c>
      <c r="AM90" s="170">
        <f>IS!AM101+IS!AM112</f>
        <v>187</v>
      </c>
      <c r="AN90" s="170">
        <f>IS!AN101+IS!AN112</f>
        <v>184</v>
      </c>
      <c r="AO90" s="170">
        <f>IS!AO101+IS!AO112</f>
        <v>185</v>
      </c>
      <c r="AP90" s="170">
        <f>IS!AP101+IS!AP112</f>
        <v>191</v>
      </c>
      <c r="AQ90" s="170">
        <f>IS!AQ101+IS!AQ112</f>
        <v>502</v>
      </c>
      <c r="AR90" s="170">
        <f>IS!AR101+IS!AR112</f>
        <v>512</v>
      </c>
      <c r="AS90" s="170">
        <f>IS!AS101+IS!AS112</f>
        <v>521</v>
      </c>
      <c r="AT90" s="170">
        <f>IS!AT101+IS!AT112</f>
        <v>535</v>
      </c>
      <c r="AU90" s="170">
        <f>IS!AU101+IS!AU112</f>
        <v>535</v>
      </c>
      <c r="AV90" s="170">
        <f>IS!AV101+IS!AV112</f>
        <v>538</v>
      </c>
      <c r="AW90" s="170">
        <f>IS!AW101+IS!AW112</f>
        <v>542</v>
      </c>
      <c r="AX90" s="170">
        <f>IS!AX101+IS!AX112</f>
        <v>546</v>
      </c>
      <c r="AY90" s="170">
        <f>IS!AY101+IS!AY112</f>
        <v>546</v>
      </c>
      <c r="AZ90" s="170">
        <f>IS!AZ101+IS!AZ112</f>
        <v>559</v>
      </c>
      <c r="BA90" s="170">
        <f>IS!BA101+IS!BA112</f>
        <v>573</v>
      </c>
      <c r="BB90" s="170">
        <f>IS!BB101+IS!BB112</f>
        <v>588</v>
      </c>
      <c r="BC90" s="170">
        <f>IS!BC101+IS!BC112</f>
        <v>597</v>
      </c>
      <c r="BD90" s="170">
        <f>IS!BD101+IS!BD112</f>
        <v>600</v>
      </c>
      <c r="BE90" s="170">
        <f>IS!BE101+IS!BE112</f>
        <v>594</v>
      </c>
      <c r="BF90" s="170">
        <f>IS!BF101+IS!BF112</f>
        <v>596</v>
      </c>
      <c r="BG90" s="170">
        <f>IS!BG101+IS!BG112</f>
        <v>593</v>
      </c>
      <c r="BH90" s="170">
        <f>IS!BH101+IS!BH112</f>
        <v>597</v>
      </c>
      <c r="BI90" s="170">
        <f>IS!BI101+IS!BI112</f>
        <v>606</v>
      </c>
      <c r="BJ90" s="170">
        <f>IS!BJ101+IS!BJ112</f>
        <v>608</v>
      </c>
      <c r="BK90" s="170">
        <f>IS!BK101+IS!BK112</f>
        <v>605</v>
      </c>
      <c r="BL90" s="170">
        <f>IS!BL101+IS!BL112</f>
        <v>608</v>
      </c>
    </row>
    <row r="91" spans="1:64" s="9" customFormat="1" ht="11.25">
      <c r="A91" s="342" t="s">
        <v>1007</v>
      </c>
      <c r="C91" s="335"/>
      <c r="D91" s="335"/>
      <c r="E91" s="335"/>
      <c r="F91" s="335"/>
      <c r="G91" s="335"/>
      <c r="H91" s="335"/>
      <c r="I91" s="335"/>
      <c r="J91" s="335"/>
      <c r="K91" s="335"/>
      <c r="L91" s="335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>
        <f>AC90-AC95-AC98</f>
        <v>35</v>
      </c>
      <c r="AD91" s="335">
        <f>AD90-AD95-AD98</f>
        <v>35</v>
      </c>
      <c r="AE91" s="335">
        <f>20+10</f>
        <v>30</v>
      </c>
      <c r="AF91" s="335">
        <f>19+14</f>
        <v>33</v>
      </c>
      <c r="AG91" s="335">
        <f>20+16</f>
        <v>36</v>
      </c>
      <c r="AH91" s="335">
        <f>21+17</f>
        <v>38</v>
      </c>
      <c r="AI91" s="335">
        <f>21+17</f>
        <v>38</v>
      </c>
      <c r="AJ91" s="335">
        <f>20+20</f>
        <v>40</v>
      </c>
      <c r="AK91" s="335">
        <f>20+22</f>
        <v>42</v>
      </c>
      <c r="AL91" s="335">
        <f>23+21</f>
        <v>44</v>
      </c>
      <c r="AM91" s="335">
        <f>24+21</f>
        <v>45</v>
      </c>
      <c r="AN91" s="335">
        <f>28+19</f>
        <v>47</v>
      </c>
      <c r="AO91" s="335">
        <f>30+18</f>
        <v>48</v>
      </c>
      <c r="AP91" s="335">
        <f>36+18</f>
        <v>54</v>
      </c>
      <c r="AQ91" s="335">
        <f>346-288</f>
        <v>58</v>
      </c>
      <c r="AR91" s="335">
        <f>40+22</f>
        <v>62</v>
      </c>
      <c r="AS91" s="335">
        <f>43+22</f>
        <v>65</v>
      </c>
      <c r="AT91" s="335">
        <f>46+25</f>
        <v>71</v>
      </c>
      <c r="AU91" s="335">
        <f>47+25</f>
        <v>72</v>
      </c>
      <c r="AV91" s="335">
        <f>52+25</f>
        <v>77</v>
      </c>
      <c r="AW91" s="78">
        <f>55+25</f>
        <v>80</v>
      </c>
      <c r="AX91" s="78">
        <f>55+32</f>
        <v>87</v>
      </c>
      <c r="AY91" s="78">
        <f>56+34</f>
        <v>90</v>
      </c>
      <c r="AZ91" s="78">
        <f>58+37</f>
        <v>95</v>
      </c>
      <c r="BA91" s="78">
        <f>60+38</f>
        <v>98</v>
      </c>
      <c r="BB91" s="78">
        <f>65+42</f>
        <v>107</v>
      </c>
      <c r="BC91" s="78">
        <f>66+44</f>
        <v>110</v>
      </c>
      <c r="BD91" s="78">
        <f>67+47</f>
        <v>114</v>
      </c>
      <c r="BE91" s="78">
        <f>64+47</f>
        <v>111</v>
      </c>
      <c r="BF91" s="78">
        <f>66+48</f>
        <v>114</v>
      </c>
      <c r="BG91" s="78">
        <f>66+48</f>
        <v>114</v>
      </c>
      <c r="BH91" s="78">
        <f>64+49</f>
        <v>113</v>
      </c>
      <c r="BI91" s="78">
        <f>65+50</f>
        <v>115</v>
      </c>
      <c r="BJ91" s="78">
        <v>117</v>
      </c>
      <c r="BK91" s="78">
        <f>532-415</f>
        <v>117</v>
      </c>
      <c r="BL91" s="78">
        <v>119</v>
      </c>
    </row>
    <row r="92" spans="1:64" s="9" customFormat="1" ht="11.25">
      <c r="A92" s="342" t="s">
        <v>1008</v>
      </c>
      <c r="C92" s="335"/>
      <c r="D92" s="335"/>
      <c r="E92" s="335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335"/>
      <c r="S92" s="335"/>
      <c r="T92" s="335"/>
      <c r="U92" s="335"/>
      <c r="V92" s="335"/>
      <c r="W92" s="335"/>
      <c r="X92" s="335"/>
      <c r="Y92" s="335"/>
      <c r="Z92" s="335"/>
      <c r="AA92" s="335"/>
      <c r="AB92" s="335"/>
      <c r="AC92" s="335">
        <v>0</v>
      </c>
      <c r="AD92" s="335">
        <v>0</v>
      </c>
      <c r="AE92" s="335">
        <v>0</v>
      </c>
      <c r="AF92" s="335">
        <v>0</v>
      </c>
      <c r="AG92" s="335">
        <v>0</v>
      </c>
      <c r="AH92" s="335">
        <v>0</v>
      </c>
      <c r="AI92" s="335">
        <v>0</v>
      </c>
      <c r="AJ92" s="335">
        <v>0</v>
      </c>
      <c r="AK92" s="335">
        <v>0</v>
      </c>
      <c r="AL92" s="335">
        <v>0</v>
      </c>
      <c r="AM92" s="335">
        <v>0</v>
      </c>
      <c r="AN92" s="335">
        <v>0</v>
      </c>
      <c r="AO92" s="335">
        <v>0</v>
      </c>
      <c r="AP92" s="335">
        <v>0</v>
      </c>
      <c r="AQ92" s="335">
        <v>0</v>
      </c>
      <c r="AR92" s="335">
        <v>0</v>
      </c>
      <c r="AS92" s="335">
        <v>0</v>
      </c>
      <c r="AT92" s="335">
        <v>0</v>
      </c>
      <c r="AU92" s="335">
        <v>0</v>
      </c>
      <c r="AV92" s="335">
        <v>0</v>
      </c>
      <c r="AW92" s="78">
        <v>0</v>
      </c>
      <c r="AX92" s="78">
        <v>0</v>
      </c>
      <c r="AY92" s="78">
        <v>0</v>
      </c>
      <c r="AZ92" s="78">
        <v>0</v>
      </c>
      <c r="BA92" s="78">
        <v>0</v>
      </c>
      <c r="BB92" s="78">
        <v>0</v>
      </c>
      <c r="BC92" s="78">
        <v>0</v>
      </c>
      <c r="BD92" s="78">
        <v>0</v>
      </c>
      <c r="BE92" s="78">
        <v>0</v>
      </c>
      <c r="BF92" s="78">
        <v>0</v>
      </c>
      <c r="BG92" s="78">
        <v>0</v>
      </c>
      <c r="BH92" s="78">
        <v>0</v>
      </c>
      <c r="BI92" s="78">
        <v>0</v>
      </c>
      <c r="BJ92" s="78">
        <v>0</v>
      </c>
      <c r="BK92" s="78">
        <v>0</v>
      </c>
      <c r="BL92" s="78">
        <v>0</v>
      </c>
    </row>
    <row r="93" spans="1:64" s="9" customFormat="1" ht="11.25">
      <c r="A93" s="342" t="s">
        <v>1018</v>
      </c>
      <c r="C93" s="335"/>
      <c r="D93" s="335"/>
      <c r="E93" s="335"/>
      <c r="F93" s="335"/>
      <c r="G93" s="335"/>
      <c r="H93" s="335"/>
      <c r="I93" s="335"/>
      <c r="J93" s="335"/>
      <c r="K93" s="335"/>
      <c r="L93" s="335"/>
      <c r="M93" s="335"/>
      <c r="N93" s="335"/>
      <c r="O93" s="335"/>
      <c r="P93" s="335"/>
      <c r="Q93" s="335"/>
      <c r="R93" s="335"/>
      <c r="S93" s="335"/>
      <c r="T93" s="335"/>
      <c r="U93" s="335"/>
      <c r="V93" s="335"/>
      <c r="W93" s="335"/>
      <c r="X93" s="335"/>
      <c r="Y93" s="335"/>
      <c r="Z93" s="335"/>
      <c r="AA93" s="335"/>
      <c r="AB93" s="335"/>
      <c r="AC93" s="335">
        <v>0</v>
      </c>
      <c r="AD93" s="335">
        <v>0</v>
      </c>
      <c r="AE93" s="335">
        <v>0</v>
      </c>
      <c r="AF93" s="335">
        <v>0</v>
      </c>
      <c r="AG93" s="335">
        <v>0</v>
      </c>
      <c r="AH93" s="335">
        <v>0</v>
      </c>
      <c r="AI93" s="335">
        <v>0</v>
      </c>
      <c r="AJ93" s="335">
        <v>0</v>
      </c>
      <c r="AK93" s="335">
        <v>0</v>
      </c>
      <c r="AL93" s="335">
        <v>0</v>
      </c>
      <c r="AM93" s="335">
        <v>0</v>
      </c>
      <c r="AN93" s="335">
        <v>0</v>
      </c>
      <c r="AO93" s="335">
        <v>0</v>
      </c>
      <c r="AP93" s="335">
        <v>0</v>
      </c>
      <c r="AQ93" s="335">
        <v>239</v>
      </c>
      <c r="AR93" s="335">
        <f>242-0</f>
        <v>242</v>
      </c>
      <c r="AS93" s="335">
        <f>244-0</f>
        <v>244</v>
      </c>
      <c r="AT93" s="335">
        <f>118+24+69+30+3+4</f>
        <v>248</v>
      </c>
      <c r="AU93" s="335">
        <f>120+24+70+30+3+4</f>
        <v>251</v>
      </c>
      <c r="AV93" s="335">
        <f>121+24+70+31+3+4</f>
        <v>253</v>
      </c>
      <c r="AW93" s="78">
        <f>253-0</f>
        <v>253</v>
      </c>
      <c r="AX93" s="78">
        <f>122+22+72+31+3+4</f>
        <v>254</v>
      </c>
      <c r="AY93" s="78">
        <f>119+22+73+31+3+4</f>
        <v>252</v>
      </c>
      <c r="AZ93" s="78">
        <v>257</v>
      </c>
      <c r="BA93" s="78">
        <v>264</v>
      </c>
      <c r="BB93" s="78">
        <v>266</v>
      </c>
      <c r="BC93" s="78">
        <v>270</v>
      </c>
      <c r="BD93" s="78">
        <v>269</v>
      </c>
      <c r="BE93" s="78">
        <f>130+22+76+34+4+4</f>
        <v>270</v>
      </c>
      <c r="BF93" s="78">
        <v>274</v>
      </c>
      <c r="BG93" s="78">
        <f>137+24+76+34+4+4</f>
        <v>279</v>
      </c>
      <c r="BH93" s="78">
        <f>137+24+77+34+4+4</f>
        <v>280</v>
      </c>
      <c r="BI93" s="78">
        <v>289</v>
      </c>
      <c r="BJ93" s="78">
        <v>285</v>
      </c>
      <c r="BK93" s="78">
        <v>285</v>
      </c>
      <c r="BL93" s="78">
        <v>288</v>
      </c>
    </row>
    <row r="94" spans="1:64" s="9" customFormat="1" ht="11.25">
      <c r="A94" s="342" t="s">
        <v>1011</v>
      </c>
      <c r="C94" s="335"/>
      <c r="D94" s="335"/>
      <c r="E94" s="335"/>
      <c r="F94" s="335"/>
      <c r="G94" s="335"/>
      <c r="H94" s="335"/>
      <c r="I94" s="335"/>
      <c r="J94" s="335"/>
      <c r="K94" s="335"/>
      <c r="L94" s="335"/>
      <c r="M94" s="335"/>
      <c r="N94" s="335"/>
      <c r="O94" s="335"/>
      <c r="P94" s="335"/>
      <c r="Q94" s="335"/>
      <c r="R94" s="335"/>
      <c r="S94" s="335"/>
      <c r="T94" s="335"/>
      <c r="U94" s="335"/>
      <c r="V94" s="335"/>
      <c r="W94" s="335"/>
      <c r="X94" s="335"/>
      <c r="Y94" s="335"/>
      <c r="Z94" s="335"/>
      <c r="AA94" s="335"/>
      <c r="AB94" s="335"/>
      <c r="AC94" s="335"/>
      <c r="AD94" s="335"/>
      <c r="AE94" s="335"/>
      <c r="AF94" s="335"/>
      <c r="AG94" s="335"/>
      <c r="AH94" s="335"/>
      <c r="AI94" s="335"/>
      <c r="AJ94" s="335"/>
      <c r="AK94" s="335"/>
      <c r="AL94" s="335"/>
      <c r="AM94" s="335"/>
      <c r="AN94" s="335"/>
      <c r="AO94" s="335"/>
      <c r="AP94" s="335"/>
      <c r="AQ94" s="335">
        <v>15</v>
      </c>
      <c r="AR94" s="335">
        <v>15</v>
      </c>
      <c r="AS94" s="335">
        <v>16</v>
      </c>
      <c r="AT94" s="335">
        <v>16</v>
      </c>
      <c r="AU94" s="335">
        <v>16</v>
      </c>
      <c r="AV94" s="335">
        <v>16</v>
      </c>
      <c r="AW94" s="78">
        <f>16</f>
        <v>16</v>
      </c>
      <c r="AX94" s="78">
        <v>17</v>
      </c>
      <c r="AY94" s="78">
        <v>17</v>
      </c>
      <c r="AZ94" s="78">
        <v>17</v>
      </c>
      <c r="BA94" s="78">
        <v>17</v>
      </c>
      <c r="BB94" s="78">
        <v>18</v>
      </c>
      <c r="BC94" s="78">
        <v>18</v>
      </c>
      <c r="BD94" s="78">
        <v>19</v>
      </c>
      <c r="BE94" s="78">
        <f>20</f>
        <v>20</v>
      </c>
      <c r="BF94" s="78">
        <v>21</v>
      </c>
      <c r="BG94" s="78">
        <f>23</f>
        <v>23</v>
      </c>
      <c r="BH94" s="78">
        <v>25</v>
      </c>
      <c r="BI94" s="78">
        <v>26</v>
      </c>
      <c r="BJ94" s="78">
        <v>52</v>
      </c>
      <c r="BK94" s="78">
        <v>51</v>
      </c>
      <c r="BL94" s="78">
        <v>51</v>
      </c>
    </row>
    <row r="95" spans="1:64" s="9" customFormat="1" ht="11.25">
      <c r="A95" s="342" t="s">
        <v>1019</v>
      </c>
      <c r="C95" s="335"/>
      <c r="D95" s="335"/>
      <c r="E95" s="335"/>
      <c r="F95" s="335"/>
      <c r="G95" s="335"/>
      <c r="H95" s="335"/>
      <c r="I95" s="335"/>
      <c r="J95" s="335"/>
      <c r="K95" s="335"/>
      <c r="L95" s="335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>
        <v>124</v>
      </c>
      <c r="AD95" s="335">
        <v>127</v>
      </c>
      <c r="AE95" s="335">
        <v>125</v>
      </c>
      <c r="AF95" s="335">
        <v>125</v>
      </c>
      <c r="AG95" s="335">
        <v>126</v>
      </c>
      <c r="AH95" s="335">
        <v>129</v>
      </c>
      <c r="AI95" s="335">
        <v>129</v>
      </c>
      <c r="AJ95" s="335">
        <v>134</v>
      </c>
      <c r="AK95" s="335">
        <v>133</v>
      </c>
      <c r="AL95" s="335">
        <v>136</v>
      </c>
      <c r="AM95" s="335">
        <v>133</v>
      </c>
      <c r="AN95" s="335">
        <v>129</v>
      </c>
      <c r="AO95" s="335">
        <v>129</v>
      </c>
      <c r="AP95" s="335">
        <v>129</v>
      </c>
      <c r="AQ95" s="335">
        <v>131</v>
      </c>
      <c r="AR95" s="335">
        <v>134</v>
      </c>
      <c r="AS95" s="335">
        <v>135</v>
      </c>
      <c r="AT95" s="335">
        <v>131</v>
      </c>
      <c r="AU95" s="335">
        <v>129</v>
      </c>
      <c r="AV95" s="335">
        <v>126</v>
      </c>
      <c r="AW95" s="78">
        <v>125</v>
      </c>
      <c r="AX95" s="78">
        <v>128</v>
      </c>
      <c r="AY95" s="78">
        <v>127</v>
      </c>
      <c r="AZ95" s="78">
        <v>127</v>
      </c>
      <c r="BA95" s="78">
        <v>128</v>
      </c>
      <c r="BB95" s="78">
        <v>128</v>
      </c>
      <c r="BC95" s="78">
        <v>127</v>
      </c>
      <c r="BD95" s="78">
        <v>127</v>
      </c>
      <c r="BE95" s="78">
        <f>124</f>
        <v>124</v>
      </c>
      <c r="BF95" s="78">
        <v>121</v>
      </c>
      <c r="BG95" s="78">
        <f>117</f>
        <v>117</v>
      </c>
      <c r="BH95" s="78">
        <v>115</v>
      </c>
      <c r="BI95" s="78">
        <v>116</v>
      </c>
      <c r="BJ95" s="78">
        <v>118</v>
      </c>
      <c r="BK95" s="78">
        <v>115</v>
      </c>
      <c r="BL95" s="78">
        <v>114</v>
      </c>
    </row>
    <row r="96" spans="1:64" s="9" customFormat="1" ht="11.25">
      <c r="A96" s="342" t="s">
        <v>1016</v>
      </c>
      <c r="C96" s="335"/>
      <c r="D96" s="335"/>
      <c r="E96" s="335"/>
      <c r="F96" s="335"/>
      <c r="G96" s="335"/>
      <c r="H96" s="335"/>
      <c r="I96" s="335"/>
      <c r="J96" s="335"/>
      <c r="K96" s="335"/>
      <c r="L96" s="335"/>
      <c r="M96" s="335"/>
      <c r="N96" s="335"/>
      <c r="O96" s="335"/>
      <c r="P96" s="335"/>
      <c r="Q96" s="335"/>
      <c r="R96" s="335"/>
      <c r="S96" s="335"/>
      <c r="T96" s="335"/>
      <c r="U96" s="335"/>
      <c r="V96" s="335"/>
      <c r="W96" s="335"/>
      <c r="X96" s="335"/>
      <c r="Y96" s="335"/>
      <c r="Z96" s="335"/>
      <c r="AA96" s="335"/>
      <c r="AB96" s="335"/>
      <c r="AC96" s="335">
        <v>0</v>
      </c>
      <c r="AD96" s="335">
        <v>0</v>
      </c>
      <c r="AE96" s="335">
        <v>0</v>
      </c>
      <c r="AF96" s="335">
        <v>0</v>
      </c>
      <c r="AG96" s="335">
        <v>0</v>
      </c>
      <c r="AH96" s="335">
        <v>0</v>
      </c>
      <c r="AI96" s="335">
        <v>0</v>
      </c>
      <c r="AJ96" s="335">
        <v>0</v>
      </c>
      <c r="AK96" s="335">
        <v>0</v>
      </c>
      <c r="AL96" s="335">
        <v>0</v>
      </c>
      <c r="AM96" s="335">
        <v>0</v>
      </c>
      <c r="AN96" s="335">
        <v>0</v>
      </c>
      <c r="AO96" s="335">
        <v>0</v>
      </c>
      <c r="AP96" s="335">
        <v>0</v>
      </c>
      <c r="AQ96" s="335">
        <v>0</v>
      </c>
      <c r="AR96" s="335">
        <v>0</v>
      </c>
      <c r="AS96" s="335">
        <v>0</v>
      </c>
      <c r="AT96" s="335">
        <v>0</v>
      </c>
      <c r="AU96" s="335">
        <v>0</v>
      </c>
      <c r="AV96" s="335">
        <v>0</v>
      </c>
      <c r="AW96" s="78">
        <v>0</v>
      </c>
      <c r="AX96" s="78">
        <v>0</v>
      </c>
      <c r="AY96" s="78">
        <v>0</v>
      </c>
      <c r="AZ96" s="78">
        <v>0</v>
      </c>
      <c r="BA96" s="78">
        <v>0</v>
      </c>
      <c r="BB96" s="78">
        <v>0</v>
      </c>
      <c r="BC96" s="78">
        <v>0</v>
      </c>
      <c r="BD96" s="78">
        <v>0</v>
      </c>
      <c r="BE96" s="78">
        <v>0</v>
      </c>
      <c r="BF96" s="78">
        <v>0</v>
      </c>
      <c r="BG96" s="78">
        <v>0</v>
      </c>
      <c r="BH96" s="78">
        <v>0</v>
      </c>
      <c r="BI96" s="78">
        <v>0</v>
      </c>
      <c r="BJ96" s="78">
        <v>0</v>
      </c>
      <c r="BK96" s="78">
        <v>0</v>
      </c>
      <c r="BL96" s="78">
        <v>0</v>
      </c>
    </row>
    <row r="97" spans="1:64" s="9" customFormat="1" ht="11.25">
      <c r="A97" s="342" t="s">
        <v>1015</v>
      </c>
      <c r="C97" s="335"/>
      <c r="D97" s="335"/>
      <c r="E97" s="335"/>
      <c r="F97" s="335"/>
      <c r="G97" s="335"/>
      <c r="H97" s="335"/>
      <c r="I97" s="335"/>
      <c r="J97" s="335"/>
      <c r="K97" s="335"/>
      <c r="L97" s="335"/>
      <c r="M97" s="335"/>
      <c r="N97" s="335"/>
      <c r="O97" s="335"/>
      <c r="P97" s="335"/>
      <c r="Q97" s="335"/>
      <c r="R97" s="335"/>
      <c r="S97" s="335"/>
      <c r="T97" s="335"/>
      <c r="U97" s="335"/>
      <c r="V97" s="335"/>
      <c r="W97" s="335"/>
      <c r="X97" s="335"/>
      <c r="Y97" s="335"/>
      <c r="Z97" s="335"/>
      <c r="AA97" s="335"/>
      <c r="AB97" s="335"/>
      <c r="AC97" s="335">
        <v>0</v>
      </c>
      <c r="AD97" s="335">
        <v>0</v>
      </c>
      <c r="AE97" s="335">
        <v>0</v>
      </c>
      <c r="AF97" s="335">
        <v>0</v>
      </c>
      <c r="AG97" s="335">
        <v>0</v>
      </c>
      <c r="AH97" s="335">
        <v>0</v>
      </c>
      <c r="AI97" s="335">
        <v>0</v>
      </c>
      <c r="AJ97" s="335">
        <v>0</v>
      </c>
      <c r="AK97" s="335">
        <v>0</v>
      </c>
      <c r="AL97" s="335">
        <v>0</v>
      </c>
      <c r="AM97" s="335">
        <v>0</v>
      </c>
      <c r="AN97" s="335">
        <v>0</v>
      </c>
      <c r="AO97" s="335">
        <v>0</v>
      </c>
      <c r="AP97" s="335">
        <v>0</v>
      </c>
      <c r="AQ97" s="335">
        <v>0</v>
      </c>
      <c r="AR97" s="335">
        <f>0</f>
        <v>0</v>
      </c>
      <c r="AS97" s="335">
        <v>0</v>
      </c>
      <c r="AT97" s="335">
        <v>0</v>
      </c>
      <c r="AU97" s="335">
        <v>0</v>
      </c>
      <c r="AV97" s="335">
        <v>0</v>
      </c>
      <c r="AW97" s="78">
        <v>0</v>
      </c>
      <c r="AX97" s="78">
        <v>0</v>
      </c>
      <c r="AY97" s="78">
        <v>0</v>
      </c>
      <c r="AZ97" s="78">
        <v>0</v>
      </c>
      <c r="BA97" s="78">
        <v>0</v>
      </c>
      <c r="BB97" s="78">
        <v>0</v>
      </c>
      <c r="BC97" s="78">
        <v>0</v>
      </c>
      <c r="BD97" s="78">
        <v>0</v>
      </c>
      <c r="BE97" s="78">
        <v>0</v>
      </c>
      <c r="BF97" s="78">
        <v>0</v>
      </c>
      <c r="BG97" s="78">
        <v>0</v>
      </c>
      <c r="BH97" s="78">
        <v>0</v>
      </c>
      <c r="BI97" s="78">
        <v>0</v>
      </c>
      <c r="BJ97" s="78">
        <v>0</v>
      </c>
      <c r="BK97" s="78">
        <v>0</v>
      </c>
      <c r="BL97" s="78">
        <v>0</v>
      </c>
    </row>
    <row r="98" spans="1:64" s="9" customFormat="1" ht="11.25">
      <c r="A98" s="342" t="s">
        <v>1017</v>
      </c>
      <c r="C98" s="335"/>
      <c r="D98" s="335"/>
      <c r="E98" s="335"/>
      <c r="F98" s="335"/>
      <c r="G98" s="335"/>
      <c r="H98" s="335"/>
      <c r="I98" s="335"/>
      <c r="J98" s="335"/>
      <c r="K98" s="335"/>
      <c r="L98" s="335"/>
      <c r="M98" s="335"/>
      <c r="N98" s="335"/>
      <c r="O98" s="335"/>
      <c r="P98" s="335"/>
      <c r="Q98" s="335"/>
      <c r="R98" s="335"/>
      <c r="S98" s="335"/>
      <c r="T98" s="335"/>
      <c r="U98" s="335"/>
      <c r="V98" s="335"/>
      <c r="W98" s="335"/>
      <c r="X98" s="335"/>
      <c r="Y98" s="335"/>
      <c r="Z98" s="335"/>
      <c r="AA98" s="335"/>
      <c r="AB98" s="335"/>
      <c r="AC98" s="335">
        <v>11</v>
      </c>
      <c r="AD98" s="335">
        <v>11</v>
      </c>
      <c r="AE98" s="335">
        <v>11</v>
      </c>
      <c r="AF98" s="335">
        <v>10</v>
      </c>
      <c r="AG98" s="335">
        <v>10</v>
      </c>
      <c r="AH98" s="335">
        <v>9</v>
      </c>
      <c r="AI98" s="335">
        <v>8</v>
      </c>
      <c r="AJ98" s="335">
        <v>8</v>
      </c>
      <c r="AK98" s="335">
        <v>9</v>
      </c>
      <c r="AL98" s="335">
        <v>9</v>
      </c>
      <c r="AM98" s="335">
        <v>9</v>
      </c>
      <c r="AN98" s="335">
        <v>8</v>
      </c>
      <c r="AO98" s="335">
        <v>8</v>
      </c>
      <c r="AP98" s="335">
        <v>8</v>
      </c>
      <c r="AQ98" s="335">
        <v>8</v>
      </c>
      <c r="AR98" s="335">
        <v>8</v>
      </c>
      <c r="AS98" s="335">
        <v>7</v>
      </c>
      <c r="AT98" s="335">
        <v>8</v>
      </c>
      <c r="AU98" s="335">
        <v>9</v>
      </c>
      <c r="AV98" s="335">
        <v>9</v>
      </c>
      <c r="AW98" s="78">
        <v>10</v>
      </c>
      <c r="AX98" s="78">
        <v>0</v>
      </c>
      <c r="AY98" s="78">
        <v>0</v>
      </c>
      <c r="AZ98" s="78">
        <v>0</v>
      </c>
      <c r="BA98" s="78">
        <v>0</v>
      </c>
      <c r="BB98" s="78">
        <v>0</v>
      </c>
      <c r="BC98" s="78">
        <v>0</v>
      </c>
      <c r="BD98" s="78">
        <v>0</v>
      </c>
      <c r="BE98" s="78">
        <v>0</v>
      </c>
      <c r="BF98" s="78">
        <v>0</v>
      </c>
      <c r="BG98" s="78">
        <v>0</v>
      </c>
      <c r="BH98" s="78">
        <v>0</v>
      </c>
      <c r="BI98" s="78">
        <v>0</v>
      </c>
      <c r="BJ98" s="78">
        <v>0</v>
      </c>
      <c r="BK98" s="78">
        <v>0</v>
      </c>
      <c r="BL98" s="78"/>
    </row>
    <row r="99" spans="1:64" s="9" customFormat="1" ht="11.25">
      <c r="A99" s="342" t="s">
        <v>1120</v>
      </c>
      <c r="C99" s="335"/>
      <c r="D99" s="335"/>
      <c r="E99" s="335"/>
      <c r="F99" s="335"/>
      <c r="G99" s="335"/>
      <c r="H99" s="335"/>
      <c r="I99" s="335"/>
      <c r="J99" s="335"/>
      <c r="K99" s="335"/>
      <c r="L99" s="335"/>
      <c r="M99" s="335"/>
      <c r="N99" s="335"/>
      <c r="O99" s="335"/>
      <c r="P99" s="335"/>
      <c r="Q99" s="335"/>
      <c r="R99" s="335"/>
      <c r="S99" s="335"/>
      <c r="T99" s="335"/>
      <c r="U99" s="335"/>
      <c r="V99" s="335"/>
      <c r="W99" s="335"/>
      <c r="X99" s="335"/>
      <c r="Y99" s="335"/>
      <c r="Z99" s="335"/>
      <c r="AA99" s="335"/>
      <c r="AB99" s="335"/>
      <c r="AC99" s="335"/>
      <c r="AD99" s="335"/>
      <c r="AE99" s="335"/>
      <c r="AF99" s="335"/>
      <c r="AG99" s="335"/>
      <c r="AH99" s="335"/>
      <c r="AI99" s="335"/>
      <c r="AJ99" s="335"/>
      <c r="AK99" s="335"/>
      <c r="AL99" s="335"/>
      <c r="AM99" s="335"/>
      <c r="AN99" s="335"/>
      <c r="AO99" s="335"/>
      <c r="AP99" s="335"/>
      <c r="AQ99" s="335">
        <v>31</v>
      </c>
      <c r="AR99" s="335">
        <v>31</v>
      </c>
      <c r="AS99" s="335">
        <v>34</v>
      </c>
      <c r="AT99" s="335">
        <v>37</v>
      </c>
      <c r="AU99" s="335">
        <v>35</v>
      </c>
      <c r="AV99" s="335">
        <v>35</v>
      </c>
      <c r="AW99" s="78">
        <v>36</v>
      </c>
      <c r="AX99" s="78">
        <v>36</v>
      </c>
      <c r="AY99" s="78">
        <v>35</v>
      </c>
      <c r="AZ99" s="78">
        <v>36</v>
      </c>
      <c r="BA99" s="78">
        <v>38</v>
      </c>
      <c r="BB99" s="78">
        <v>40</v>
      </c>
      <c r="BC99" s="78">
        <v>41</v>
      </c>
      <c r="BD99" s="78">
        <v>41</v>
      </c>
      <c r="BE99" s="78">
        <v>40</v>
      </c>
      <c r="BF99" s="78">
        <v>38</v>
      </c>
      <c r="BG99" s="78">
        <f>37</f>
        <v>37</v>
      </c>
      <c r="BH99" s="78">
        <v>36</v>
      </c>
      <c r="BI99" s="78">
        <v>36</v>
      </c>
      <c r="BJ99" s="78">
        <v>36</v>
      </c>
      <c r="BK99" s="78">
        <v>37</v>
      </c>
      <c r="BL99" s="78">
        <v>36</v>
      </c>
    </row>
    <row r="100" spans="1:64" s="9" customFormat="1" ht="11.25">
      <c r="A100" s="342" t="s">
        <v>331</v>
      </c>
      <c r="C100" s="335"/>
      <c r="D100" s="335"/>
      <c r="E100" s="335"/>
      <c r="F100" s="335"/>
      <c r="G100" s="335"/>
      <c r="H100" s="335"/>
      <c r="I100" s="335"/>
      <c r="J100" s="335"/>
      <c r="K100" s="335"/>
      <c r="L100" s="335"/>
      <c r="M100" s="335"/>
      <c r="N100" s="335"/>
      <c r="O100" s="335"/>
      <c r="P100" s="335"/>
      <c r="Q100" s="335"/>
      <c r="R100" s="335"/>
      <c r="S100" s="335"/>
      <c r="T100" s="335"/>
      <c r="U100" s="335"/>
      <c r="V100" s="335"/>
      <c r="W100" s="335"/>
      <c r="X100" s="335"/>
      <c r="Y100" s="335"/>
      <c r="Z100" s="335"/>
      <c r="AA100" s="335"/>
      <c r="AB100" s="335"/>
      <c r="AC100" s="335">
        <v>0</v>
      </c>
      <c r="AD100" s="335">
        <v>0</v>
      </c>
      <c r="AE100" s="335">
        <v>0</v>
      </c>
      <c r="AF100" s="335">
        <v>0</v>
      </c>
      <c r="AG100" s="335">
        <v>0</v>
      </c>
      <c r="AH100" s="335">
        <v>0</v>
      </c>
      <c r="AI100" s="335">
        <v>0</v>
      </c>
      <c r="AJ100" s="335">
        <v>0</v>
      </c>
      <c r="AK100" s="335">
        <v>0</v>
      </c>
      <c r="AL100" s="335">
        <v>0</v>
      </c>
      <c r="AM100" s="335">
        <v>0</v>
      </c>
      <c r="AN100" s="335">
        <v>0</v>
      </c>
      <c r="AO100" s="335">
        <v>0</v>
      </c>
      <c r="AP100" s="335">
        <v>0</v>
      </c>
      <c r="AQ100" s="335">
        <f>1+19</f>
        <v>20</v>
      </c>
      <c r="AR100" s="335">
        <f>1+0+0+0+0+0+19</f>
        <v>20</v>
      </c>
      <c r="AS100" s="335">
        <v>20</v>
      </c>
      <c r="AT100" s="335">
        <f>1+23</f>
        <v>24</v>
      </c>
      <c r="AU100" s="335">
        <f>1+22</f>
        <v>23</v>
      </c>
      <c r="AV100" s="335">
        <v>22</v>
      </c>
      <c r="AW100" s="78">
        <f>22</f>
        <v>22</v>
      </c>
      <c r="AX100" s="78">
        <f>23+1</f>
        <v>24</v>
      </c>
      <c r="AY100" s="78">
        <f>23+1+1</f>
        <v>25</v>
      </c>
      <c r="AZ100" s="78">
        <f>2+1+24</f>
        <v>27</v>
      </c>
      <c r="BA100" s="78">
        <v>28</v>
      </c>
      <c r="BB100" s="78">
        <v>29</v>
      </c>
      <c r="BC100" s="78">
        <f>5+1+25</f>
        <v>31</v>
      </c>
      <c r="BD100" s="78">
        <f>4+25+1</f>
        <v>30</v>
      </c>
      <c r="BE100" s="78">
        <f>24+1+4</f>
        <v>29</v>
      </c>
      <c r="BF100" s="78">
        <f>4+24</f>
        <v>28</v>
      </c>
      <c r="BG100" s="78">
        <f>3+20</f>
        <v>23</v>
      </c>
      <c r="BH100" s="78">
        <f>24+4</f>
        <v>28</v>
      </c>
      <c r="BI100" s="78">
        <f>24</f>
        <v>24</v>
      </c>
      <c r="BJ100" s="78">
        <v>0</v>
      </c>
      <c r="BK100" s="78">
        <v>0</v>
      </c>
      <c r="BL100" s="78">
        <v>0</v>
      </c>
    </row>
    <row r="101" spans="1:64" s="9" customFormat="1" ht="11.25">
      <c r="A101" s="604"/>
      <c r="B101" s="254"/>
      <c r="C101" s="822"/>
      <c r="D101" s="822"/>
      <c r="E101" s="822"/>
      <c r="F101" s="822"/>
      <c r="G101" s="822"/>
      <c r="H101" s="822"/>
      <c r="I101" s="822"/>
      <c r="J101" s="822"/>
      <c r="K101" s="822"/>
      <c r="L101" s="822"/>
      <c r="M101" s="822"/>
      <c r="N101" s="822"/>
      <c r="O101" s="797"/>
      <c r="P101" s="797"/>
      <c r="Q101" s="797"/>
      <c r="R101" s="797"/>
      <c r="S101" s="797"/>
      <c r="T101" s="797"/>
      <c r="U101" s="797"/>
      <c r="V101" s="797"/>
      <c r="W101" s="797"/>
      <c r="X101" s="797"/>
      <c r="Y101" s="797"/>
      <c r="Z101" s="797"/>
      <c r="AA101" s="797"/>
      <c r="AB101" s="797"/>
      <c r="AC101" s="797"/>
      <c r="AD101" s="797"/>
      <c r="AE101" s="797"/>
      <c r="AF101" s="797"/>
      <c r="AG101" s="797"/>
      <c r="AH101" s="797"/>
      <c r="AI101" s="797"/>
      <c r="AJ101" s="797"/>
      <c r="AK101" s="797"/>
      <c r="AL101" s="797"/>
      <c r="AM101" s="797"/>
      <c r="AN101" s="797"/>
      <c r="AO101" s="797"/>
      <c r="AP101" s="797"/>
      <c r="AQ101" s="797"/>
      <c r="AR101" s="797"/>
      <c r="AS101" s="797"/>
      <c r="AT101" s="797"/>
      <c r="AU101" s="797"/>
      <c r="AV101" s="797"/>
      <c r="AW101" s="797"/>
      <c r="AX101" s="797"/>
      <c r="AY101" s="797"/>
      <c r="AZ101" s="797"/>
      <c r="BA101" s="797"/>
      <c r="BB101" s="797"/>
      <c r="BC101" s="797"/>
      <c r="BD101" s="797"/>
      <c r="BE101" s="797"/>
      <c r="BF101" s="797"/>
      <c r="BG101" s="797"/>
      <c r="BH101" s="797"/>
      <c r="BI101" s="797"/>
      <c r="BJ101" s="797"/>
      <c r="BK101" s="797"/>
      <c r="BL101" s="797"/>
    </row>
    <row r="102" spans="1:64" s="9" customFormat="1" ht="11.25">
      <c r="A102" s="604"/>
      <c r="B102" s="254"/>
      <c r="C102" s="822"/>
      <c r="D102" s="822"/>
      <c r="E102" s="822"/>
      <c r="F102" s="822"/>
      <c r="G102" s="822"/>
      <c r="H102" s="822"/>
      <c r="I102" s="822"/>
      <c r="J102" s="822"/>
      <c r="K102" s="822"/>
      <c r="L102" s="822"/>
      <c r="M102" s="822"/>
      <c r="N102" s="822"/>
      <c r="O102" s="797"/>
      <c r="P102" s="797"/>
      <c r="Q102" s="797"/>
      <c r="R102" s="797"/>
      <c r="S102" s="797"/>
      <c r="T102" s="797"/>
      <c r="U102" s="797"/>
      <c r="V102" s="797"/>
      <c r="W102" s="797"/>
      <c r="X102" s="797"/>
      <c r="Y102" s="797"/>
      <c r="Z102" s="797"/>
      <c r="AA102" s="797"/>
      <c r="AB102" s="797"/>
      <c r="AC102" s="797"/>
      <c r="AD102" s="797"/>
      <c r="AE102" s="797"/>
      <c r="AF102" s="797"/>
      <c r="AG102" s="797"/>
      <c r="AH102" s="797"/>
      <c r="AI102" s="797"/>
      <c r="AJ102" s="797"/>
      <c r="AK102" s="797"/>
      <c r="AL102" s="797"/>
      <c r="AM102" s="797"/>
      <c r="AN102" s="797"/>
      <c r="AO102" s="797"/>
      <c r="AP102" s="797"/>
    </row>
    <row r="103" spans="1:64" s="9" customFormat="1" ht="11.25">
      <c r="A103" s="513" t="s">
        <v>1006</v>
      </c>
      <c r="C103" s="170">
        <f>SUM(IS!C99,IS!C110,)</f>
        <v>155</v>
      </c>
      <c r="D103" s="13">
        <f>SUM(IS!D99,IS!D110,)</f>
        <v>162</v>
      </c>
      <c r="E103" s="13">
        <f>SUM(IS!E99,IS!E110,)</f>
        <v>165</v>
      </c>
      <c r="F103" s="13">
        <f>SUM(IS!F99,IS!F110,)</f>
        <v>170</v>
      </c>
      <c r="G103" s="13">
        <f>SUM(IS!G99,IS!G110,)</f>
        <v>171</v>
      </c>
      <c r="H103" s="13">
        <f>SUM(IS!H99,IS!H110,)</f>
        <v>178</v>
      </c>
      <c r="I103" s="13">
        <f>SUM(IS!I99,IS!I110,)</f>
        <v>157</v>
      </c>
      <c r="J103" s="13">
        <f>SUM(IS!J99,IS!J110,)</f>
        <v>169</v>
      </c>
      <c r="K103" s="13">
        <f>SUM(IS!K99,IS!K110,)</f>
        <v>172</v>
      </c>
      <c r="L103" s="13">
        <f>SUM(IS!L99,IS!L110,)</f>
        <v>176</v>
      </c>
      <c r="M103" s="13">
        <f>SUM(IS!M99,IS!M110,)</f>
        <v>189</v>
      </c>
      <c r="N103" s="13">
        <f>SUM(IS!N99,IS!N110,)</f>
        <v>208</v>
      </c>
      <c r="O103" s="13">
        <f>SUM(IS!O99,IS!O110,)</f>
        <v>212</v>
      </c>
      <c r="P103" s="13">
        <f>SUM(IS!P99,IS!P110,)</f>
        <v>224</v>
      </c>
      <c r="Q103" s="13">
        <f>SUM(IS!Q99,IS!Q110,)</f>
        <v>236</v>
      </c>
      <c r="R103" s="13">
        <f>SUM(IS!R99,IS!R110,)</f>
        <v>249</v>
      </c>
      <c r="S103" s="13">
        <f>SUM(IS!S99,IS!S110,)</f>
        <v>253</v>
      </c>
      <c r="T103" s="13">
        <f>SUM(IS!T99,IS!T110,)</f>
        <v>263</v>
      </c>
      <c r="U103" s="13">
        <f>SUM(IS!U99,IS!U110,)</f>
        <v>275</v>
      </c>
      <c r="V103" s="170">
        <f>SUM(IS!V99,IS!V110,)</f>
        <v>287</v>
      </c>
      <c r="W103" s="13">
        <f>SUM(IS!W99,IS!W110,)</f>
        <v>294</v>
      </c>
      <c r="X103" s="13">
        <f>SUM(IS!X99,IS!X110,)</f>
        <v>298</v>
      </c>
      <c r="Y103" s="170">
        <f>SUM(IS!Y99,IS!Y110,)</f>
        <v>317</v>
      </c>
      <c r="Z103" s="13">
        <f>SUM(IS!Z99,IS!Z110,)</f>
        <v>785</v>
      </c>
      <c r="AA103" s="13">
        <f>SUM(IS!AA99,IS!AA110,)</f>
        <v>792</v>
      </c>
      <c r="AB103" s="13">
        <f>SUM(IS!AB99,IS!AB110,)</f>
        <v>810</v>
      </c>
      <c r="AC103" s="170">
        <f>SUM(IS!AC99,IS!AC110,)</f>
        <v>837</v>
      </c>
      <c r="AD103" s="170">
        <f>SUM(IS!AD99,IS!AD110,)</f>
        <v>862</v>
      </c>
      <c r="AE103" s="170">
        <f>SUM(IS!AE99,IS!AE110,)</f>
        <v>912</v>
      </c>
      <c r="AF103" s="170">
        <f>SUM(IS!AF99,IS!AF110,)</f>
        <v>931</v>
      </c>
      <c r="AG103" s="13">
        <f>SUM(IS!AG99,IS!AG110,)</f>
        <v>953</v>
      </c>
      <c r="AH103" s="170">
        <f>SUM(IS!AH99,IS!AH110,)</f>
        <v>980</v>
      </c>
      <c r="AI103" s="170">
        <f>SUM(IS!AI99,IS!AI110,)</f>
        <v>999</v>
      </c>
      <c r="AJ103" s="170">
        <f>SUM(IS!AJ99,IS!AJ110,)</f>
        <v>1034</v>
      </c>
      <c r="AK103" s="170">
        <f>SUM(IS!AK99,IS!AK110,)</f>
        <v>1058</v>
      </c>
      <c r="AL103" s="170">
        <f>SUM(IS!AL99,IS!AL110,)</f>
        <v>1092</v>
      </c>
      <c r="AM103" s="170">
        <f>SUM(IS!AM99,IS!AM110,)</f>
        <v>1110</v>
      </c>
      <c r="AN103" s="170">
        <f>SUM(IS!AN99,IS!AN110,)</f>
        <v>1134</v>
      </c>
      <c r="AO103" s="170">
        <f>SUM(IS!AO99,IS!AO110,)</f>
        <v>1178</v>
      </c>
      <c r="AP103" s="170">
        <f>SUM(IS!AP99,IS!AP110,)</f>
        <v>1221</v>
      </c>
      <c r="AQ103" s="170">
        <f>SUM(IS!AQ99,IS!AQ110,)</f>
        <v>1984</v>
      </c>
      <c r="AR103" s="170">
        <f>SUM(IS!AR99,IS!AR110,)</f>
        <v>2011</v>
      </c>
      <c r="AS103" s="170">
        <f>SUM(IS!AS99,IS!AS110,)</f>
        <v>2026</v>
      </c>
      <c r="AT103" s="170">
        <f>SUM(IS!AT99,IS!AT110,)</f>
        <v>2038</v>
      </c>
      <c r="AU103" s="170">
        <f>SUM(IS!AU99,IS!AU110,)</f>
        <v>2048</v>
      </c>
      <c r="AV103" s="170">
        <f>SUM(IS!AV99,IS!AV110,)</f>
        <v>2020</v>
      </c>
      <c r="AW103" s="170">
        <f>SUM(IS!AW99,IS!AW110,)</f>
        <v>2017</v>
      </c>
      <c r="AX103" s="170">
        <f>SUM(IS!AX99,IS!AX110,)</f>
        <v>2009</v>
      </c>
      <c r="AY103" s="170">
        <f>SUM(IS!AY99,IS!AY110,)</f>
        <v>2014</v>
      </c>
      <c r="AZ103" s="170">
        <f>SUM(IS!AZ99,IS!AZ110,)</f>
        <v>2035</v>
      </c>
      <c r="BA103" s="170">
        <f>SUM(IS!BA99,IS!BA110,)</f>
        <v>2060</v>
      </c>
      <c r="BB103" s="170">
        <f>SUM(IS!BB99,IS!BB110,)</f>
        <v>2088</v>
      </c>
      <c r="BC103" s="170">
        <f>SUM(IS!BC99,IS!BC110,)</f>
        <v>2118</v>
      </c>
      <c r="BD103" s="170">
        <f>SUM(IS!BD99,IS!BD110,)</f>
        <v>2144</v>
      </c>
      <c r="BE103" s="170">
        <f>SUM(IS!BE99,IS!BE110,)</f>
        <v>2157</v>
      </c>
      <c r="BF103" s="170">
        <f>SUM(IS!BF99,IS!BF110,)</f>
        <v>2199</v>
      </c>
      <c r="BG103" s="170">
        <f>SUM(IS!BG99,IS!BG110,)</f>
        <v>2205</v>
      </c>
      <c r="BH103" s="170">
        <f>SUM(IS!BH99,IS!BH110,)</f>
        <v>2239</v>
      </c>
      <c r="BI103" s="170">
        <f>SUM(IS!BI99,IS!BI110,)</f>
        <v>2268</v>
      </c>
      <c r="BJ103" s="170">
        <f>SUM(IS!BJ99,IS!BJ110,)</f>
        <v>2309</v>
      </c>
      <c r="BK103" s="170">
        <f>SUM(IS!BK99,IS!BK110,)</f>
        <v>2310</v>
      </c>
      <c r="BL103" s="170">
        <f>SUM(IS!BL99,IS!BL110,)</f>
        <v>2328</v>
      </c>
    </row>
    <row r="104" spans="1:64" s="9" customFormat="1" ht="11.25">
      <c r="A104" s="342" t="s">
        <v>1007</v>
      </c>
      <c r="C104" s="335">
        <v>21</v>
      </c>
      <c r="D104" s="335">
        <v>21</v>
      </c>
      <c r="E104" s="335">
        <v>21</v>
      </c>
      <c r="F104" s="335">
        <v>22</v>
      </c>
      <c r="G104" s="335">
        <v>22</v>
      </c>
      <c r="H104" s="335">
        <v>22</v>
      </c>
      <c r="I104" s="335">
        <v>21</v>
      </c>
      <c r="J104" s="335">
        <v>21</v>
      </c>
      <c r="K104" s="335">
        <v>21</v>
      </c>
      <c r="L104" s="335">
        <v>21</v>
      </c>
      <c r="M104" s="335">
        <v>21</v>
      </c>
      <c r="N104" s="335">
        <v>22</v>
      </c>
      <c r="O104" s="335">
        <v>23</v>
      </c>
      <c r="P104" s="335">
        <v>25</v>
      </c>
      <c r="Q104" s="335">
        <v>28</v>
      </c>
      <c r="R104" s="335">
        <v>29</v>
      </c>
      <c r="S104" s="335">
        <v>31</v>
      </c>
      <c r="T104" s="335">
        <v>35</v>
      </c>
      <c r="U104" s="335">
        <v>35</v>
      </c>
      <c r="V104" s="335">
        <v>39</v>
      </c>
      <c r="W104" s="335">
        <v>39</v>
      </c>
      <c r="X104" s="335">
        <v>41</v>
      </c>
      <c r="Y104" s="335">
        <v>44</v>
      </c>
      <c r="Z104" s="335">
        <f>55+140</f>
        <v>195</v>
      </c>
      <c r="AA104" s="335">
        <f>55+144</f>
        <v>199</v>
      </c>
      <c r="AB104" s="335">
        <f>56+147</f>
        <v>203</v>
      </c>
      <c r="AC104" s="335">
        <f>61+153</f>
        <v>214</v>
      </c>
      <c r="AD104" s="335">
        <f>65+161</f>
        <v>226</v>
      </c>
      <c r="AE104" s="335">
        <f>167+67</f>
        <v>234</v>
      </c>
      <c r="AF104" s="335">
        <f>179+69</f>
        <v>248</v>
      </c>
      <c r="AG104" s="335">
        <f>186+70</f>
        <v>256</v>
      </c>
      <c r="AH104" s="335">
        <f>197+73</f>
        <v>270</v>
      </c>
      <c r="AI104" s="335">
        <f>204+74</f>
        <v>278</v>
      </c>
      <c r="AJ104" s="335">
        <f>212+74</f>
        <v>286</v>
      </c>
      <c r="AK104" s="335">
        <f>222+75</f>
        <v>297</v>
      </c>
      <c r="AL104" s="335">
        <f>235+79</f>
        <v>314</v>
      </c>
      <c r="AM104" s="335">
        <f>244+80</f>
        <v>324</v>
      </c>
      <c r="AN104" s="335">
        <f>255+81</f>
        <v>336</v>
      </c>
      <c r="AO104" s="335">
        <f>262+89</f>
        <v>351</v>
      </c>
      <c r="AP104" s="335">
        <f>282+98</f>
        <v>380</v>
      </c>
      <c r="AQ104" s="335">
        <f>1154-764</f>
        <v>390</v>
      </c>
      <c r="AR104" s="335">
        <f>297+102</f>
        <v>399</v>
      </c>
      <c r="AS104" s="335">
        <f>303+102</f>
        <v>405</v>
      </c>
      <c r="AT104" s="335">
        <f>315+105</f>
        <v>420</v>
      </c>
      <c r="AU104" s="335">
        <f>321+105</f>
        <v>426</v>
      </c>
      <c r="AV104" s="335">
        <f>325+105</f>
        <v>430</v>
      </c>
      <c r="AW104" s="78">
        <f>332+107</f>
        <v>439</v>
      </c>
      <c r="AX104" s="78">
        <f>337+116</f>
        <v>453</v>
      </c>
      <c r="AY104" s="78">
        <f>341+120</f>
        <v>461</v>
      </c>
      <c r="AZ104" s="78">
        <f>344+126</f>
        <v>470</v>
      </c>
      <c r="BA104" s="78">
        <f>350+131</f>
        <v>481</v>
      </c>
      <c r="BB104" s="78">
        <f>357+141</f>
        <v>498</v>
      </c>
      <c r="BC104" s="78">
        <f>359+142</f>
        <v>501</v>
      </c>
      <c r="BD104" s="78">
        <f>364+146</f>
        <v>510</v>
      </c>
      <c r="BE104" s="78">
        <f>368+149</f>
        <v>517</v>
      </c>
      <c r="BF104" s="78">
        <f>372+1+154</f>
        <v>527</v>
      </c>
      <c r="BG104" s="78">
        <f>376+1+154</f>
        <v>531</v>
      </c>
      <c r="BH104" s="78">
        <f>377+2+156</f>
        <v>535</v>
      </c>
      <c r="BI104" s="78">
        <f>1401-862</f>
        <v>539</v>
      </c>
      <c r="BJ104" s="78">
        <f>BJ91+BJ78</f>
        <v>543</v>
      </c>
      <c r="BK104" s="78">
        <f>BK91+BK78</f>
        <v>545</v>
      </c>
      <c r="BL104" s="78">
        <v>546</v>
      </c>
    </row>
    <row r="105" spans="1:64" s="9" customFormat="1" ht="11.25">
      <c r="A105" s="342" t="s">
        <v>1008</v>
      </c>
      <c r="C105" s="335">
        <f>43+32+2</f>
        <v>77</v>
      </c>
      <c r="D105" s="335">
        <f>44+32+2</f>
        <v>78</v>
      </c>
      <c r="E105" s="335">
        <f>45+32+2</f>
        <v>79</v>
      </c>
      <c r="F105" s="335">
        <f>45+32+3</f>
        <v>80</v>
      </c>
      <c r="G105" s="335">
        <f>45+32+3</f>
        <v>80</v>
      </c>
      <c r="H105" s="335">
        <f>47+31+4</f>
        <v>82</v>
      </c>
      <c r="I105" s="335">
        <f>47+30+5</f>
        <v>82</v>
      </c>
      <c r="J105" s="335">
        <f>51+30+6</f>
        <v>87</v>
      </c>
      <c r="K105" s="335">
        <f>52+30+6</f>
        <v>88</v>
      </c>
      <c r="L105" s="335">
        <f>54+31+6</f>
        <v>91</v>
      </c>
      <c r="M105" s="335">
        <f>55+32+7</f>
        <v>94</v>
      </c>
      <c r="N105" s="335">
        <f>58+32+10</f>
        <v>100</v>
      </c>
      <c r="O105" s="335">
        <f>59+32+10</f>
        <v>101</v>
      </c>
      <c r="P105" s="335">
        <f>62+33+10</f>
        <v>105</v>
      </c>
      <c r="Q105" s="335">
        <f>62+34+13</f>
        <v>109</v>
      </c>
      <c r="R105" s="335">
        <f>65+34+15</f>
        <v>114</v>
      </c>
      <c r="S105" s="335">
        <v>114</v>
      </c>
      <c r="T105" s="335">
        <v>119</v>
      </c>
      <c r="U105" s="335">
        <v>118</v>
      </c>
      <c r="V105" s="335">
        <v>123</v>
      </c>
      <c r="W105" s="335">
        <f>73+34+16</f>
        <v>123</v>
      </c>
      <c r="X105" s="335">
        <f>74+34+16</f>
        <v>124</v>
      </c>
      <c r="Y105" s="335">
        <f>77+35+16</f>
        <v>128</v>
      </c>
      <c r="Z105" s="335">
        <f>80+34+16+61</f>
        <v>191</v>
      </c>
      <c r="AA105" s="335">
        <f>82+34+15+61</f>
        <v>192</v>
      </c>
      <c r="AB105" s="335">
        <f>84+33+15+61</f>
        <v>193</v>
      </c>
      <c r="AC105" s="335">
        <f>86+33+15+61</f>
        <v>195</v>
      </c>
      <c r="AD105" s="335">
        <f>88+33+16+61</f>
        <v>198</v>
      </c>
      <c r="AE105" s="335">
        <f>89+61+33+16</f>
        <v>199</v>
      </c>
      <c r="AF105" s="335">
        <f>90+61+33+16</f>
        <v>200</v>
      </c>
      <c r="AG105" s="335">
        <f>91+61+34+16</f>
        <v>202</v>
      </c>
      <c r="AH105" s="335">
        <f>97+61+34+16</f>
        <v>208</v>
      </c>
      <c r="AI105" s="335">
        <f>98+61+35+16</f>
        <v>210</v>
      </c>
      <c r="AJ105" s="335">
        <f>105+60+36+16</f>
        <v>217</v>
      </c>
      <c r="AK105" s="335">
        <f>106+61+36+15</f>
        <v>218</v>
      </c>
      <c r="AL105" s="335">
        <f>109+61+39+16</f>
        <v>225</v>
      </c>
      <c r="AM105" s="335">
        <f>111+61+41+16</f>
        <v>229</v>
      </c>
      <c r="AN105" s="335">
        <f>113+59+42+16</f>
        <v>230</v>
      </c>
      <c r="AO105" s="335">
        <f>117+60+43+16</f>
        <v>236</v>
      </c>
      <c r="AP105" s="335">
        <f>121+59+45+17</f>
        <v>242</v>
      </c>
      <c r="AQ105" s="335">
        <f>661-421</f>
        <v>240</v>
      </c>
      <c r="AR105" s="335">
        <f>121+60+49+16</f>
        <v>246</v>
      </c>
      <c r="AS105" s="335">
        <f>122+61+51</f>
        <v>234</v>
      </c>
      <c r="AT105" s="335">
        <f>122+60+55</f>
        <v>237</v>
      </c>
      <c r="AU105" s="335">
        <f>122+60+57</f>
        <v>239</v>
      </c>
      <c r="AV105" s="335">
        <f>117+60+57</f>
        <v>234</v>
      </c>
      <c r="AW105" s="78">
        <f>408-176</f>
        <v>232</v>
      </c>
      <c r="AX105" s="78">
        <f>115+55+57</f>
        <v>227</v>
      </c>
      <c r="AY105" s="78">
        <f>115+55+58</f>
        <v>228</v>
      </c>
      <c r="AZ105" s="78">
        <f>115+54+58</f>
        <v>227</v>
      </c>
      <c r="BA105" s="78">
        <f>115+54+58</f>
        <v>227</v>
      </c>
      <c r="BB105" s="78">
        <f>115+55+57</f>
        <v>227</v>
      </c>
      <c r="BC105" s="78">
        <f>114+55+61</f>
        <v>230</v>
      </c>
      <c r="BD105" s="78">
        <f>114+55+62</f>
        <v>231</v>
      </c>
      <c r="BE105" s="78">
        <f>405-174</f>
        <v>231</v>
      </c>
      <c r="BF105" s="78">
        <f>114+55+67</f>
        <v>236</v>
      </c>
      <c r="BG105" s="78">
        <f>114+55+68</f>
        <v>237</v>
      </c>
      <c r="BH105" s="78">
        <f>115+55+72</f>
        <v>242</v>
      </c>
      <c r="BI105" s="78">
        <f>415-172</f>
        <v>243</v>
      </c>
      <c r="BJ105" s="78">
        <f t="shared" ref="BJ105:BK113" si="84">BJ92+BJ79</f>
        <v>251</v>
      </c>
      <c r="BK105" s="78">
        <f t="shared" si="84"/>
        <v>251</v>
      </c>
      <c r="BL105" s="78">
        <v>252</v>
      </c>
    </row>
    <row r="106" spans="1:64" s="9" customFormat="1" ht="11.25">
      <c r="A106" s="342" t="s">
        <v>1018</v>
      </c>
      <c r="C106" s="335">
        <f>7+30+20</f>
        <v>57</v>
      </c>
      <c r="D106" s="335">
        <f>11+30+22</f>
        <v>63</v>
      </c>
      <c r="E106" s="335">
        <f>12+30+23</f>
        <v>65</v>
      </c>
      <c r="F106" s="335">
        <f>14+30+24</f>
        <v>68</v>
      </c>
      <c r="G106" s="335">
        <f>15+30+24</f>
        <v>69</v>
      </c>
      <c r="H106" s="335">
        <f>21+30+23</f>
        <v>74</v>
      </c>
      <c r="I106" s="335">
        <f>24+30</f>
        <v>54</v>
      </c>
      <c r="J106" s="335">
        <f>30+31</f>
        <v>61</v>
      </c>
      <c r="K106" s="335">
        <f>32+31</f>
        <v>63</v>
      </c>
      <c r="L106" s="335">
        <f>33+31</f>
        <v>64</v>
      </c>
      <c r="M106" s="335">
        <f>39+35</f>
        <v>74</v>
      </c>
      <c r="N106" s="335">
        <f>50+36</f>
        <v>86</v>
      </c>
      <c r="O106" s="335">
        <f>51+37</f>
        <v>88</v>
      </c>
      <c r="P106" s="335">
        <f>54+40</f>
        <v>94</v>
      </c>
      <c r="Q106" s="335">
        <f>57+41</f>
        <v>98</v>
      </c>
      <c r="R106" s="335">
        <f>64+41</f>
        <v>105</v>
      </c>
      <c r="S106" s="335">
        <f>64+43</f>
        <v>107</v>
      </c>
      <c r="T106" s="335">
        <f>44+64</f>
        <v>108</v>
      </c>
      <c r="U106" s="335">
        <v>120</v>
      </c>
      <c r="V106" s="335">
        <v>122</v>
      </c>
      <c r="W106" s="335">
        <f>72+57</f>
        <v>129</v>
      </c>
      <c r="X106" s="335">
        <f>71+59</f>
        <v>130</v>
      </c>
      <c r="Y106" s="335">
        <f>76+62+2</f>
        <v>140</v>
      </c>
      <c r="Z106" s="335">
        <f>81+66+6</f>
        <v>153</v>
      </c>
      <c r="AA106" s="335">
        <f>83+68+7</f>
        <v>158</v>
      </c>
      <c r="AB106" s="335">
        <f>86+76+9</f>
        <v>171</v>
      </c>
      <c r="AC106" s="335">
        <f>90+79+10</f>
        <v>179</v>
      </c>
      <c r="AD106" s="335">
        <f>94+81+10</f>
        <v>185</v>
      </c>
      <c r="AE106" s="335">
        <f>96+84+10</f>
        <v>190</v>
      </c>
      <c r="AF106" s="335">
        <f>98+90+10</f>
        <v>198</v>
      </c>
      <c r="AG106" s="335">
        <f>105+93+11</f>
        <v>209</v>
      </c>
      <c r="AH106" s="335">
        <f>106+95+13</f>
        <v>214</v>
      </c>
      <c r="AI106" s="335">
        <f>109+98+16</f>
        <v>223</v>
      </c>
      <c r="AJ106" s="335">
        <f>116+101+20</f>
        <v>237</v>
      </c>
      <c r="AK106" s="335">
        <f>124+105+21</f>
        <v>250</v>
      </c>
      <c r="AL106" s="335">
        <f>125+107+24</f>
        <v>256</v>
      </c>
      <c r="AM106" s="335">
        <f>129+109+24</f>
        <v>262</v>
      </c>
      <c r="AN106" s="335">
        <f>135+113+26+1</f>
        <v>275</v>
      </c>
      <c r="AO106" s="335">
        <f>143+119+31+3</f>
        <v>296</v>
      </c>
      <c r="AP106" s="335">
        <f>143+121+32+5</f>
        <v>301</v>
      </c>
      <c r="AQ106" s="335">
        <f>1498-729</f>
        <v>769</v>
      </c>
      <c r="AR106" s="335">
        <f>1517-737</f>
        <v>780</v>
      </c>
      <c r="AS106" s="335">
        <f>1534-746</f>
        <v>788</v>
      </c>
      <c r="AT106" s="335">
        <f>184+147+144+133+85+32+30+23+8+4</f>
        <v>790</v>
      </c>
      <c r="AU106" s="335">
        <f>186+148+144+133+86+32+30+23+9+4</f>
        <v>795</v>
      </c>
      <c r="AV106" s="335">
        <f>186+144+136+134+85+32+31+23+9+4</f>
        <v>784</v>
      </c>
      <c r="AW106" s="78">
        <f>1537-758</f>
        <v>779</v>
      </c>
      <c r="AX106" s="78">
        <f>188+140+132+134+88+30+31+21+9+4</f>
        <v>777</v>
      </c>
      <c r="AY106" s="78">
        <f>1522-746</f>
        <v>776</v>
      </c>
      <c r="AZ106" s="78">
        <f>194+138+132+136+89+32+32+21+9+4</f>
        <v>787</v>
      </c>
      <c r="BA106" s="78">
        <f>1540-741</f>
        <v>799</v>
      </c>
      <c r="BB106" s="78">
        <f>1552-746</f>
        <v>806</v>
      </c>
      <c r="BC106" s="78">
        <f>1574-750</f>
        <v>824</v>
      </c>
      <c r="BD106" s="78">
        <f>1591-753</f>
        <v>838</v>
      </c>
      <c r="BE106" s="78">
        <f>1612-763</f>
        <v>849</v>
      </c>
      <c r="BF106" s="78">
        <f>1661-783</f>
        <v>878</v>
      </c>
      <c r="BG106" s="78">
        <f>221+154+131+154+98+57+34+23+12+4</f>
        <v>888</v>
      </c>
      <c r="BH106" s="78">
        <f>225+157+132+156+97+61+34+23+14+1+4</f>
        <v>904</v>
      </c>
      <c r="BI106" s="78">
        <f>1727-796</f>
        <v>931</v>
      </c>
      <c r="BJ106" s="78">
        <f t="shared" si="84"/>
        <v>957</v>
      </c>
      <c r="BK106" s="78">
        <f t="shared" si="84"/>
        <v>962</v>
      </c>
      <c r="BL106" s="78">
        <v>981</v>
      </c>
    </row>
    <row r="107" spans="1:64" s="9" customFormat="1" ht="11.25">
      <c r="A107" s="342" t="s">
        <v>1011</v>
      </c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5"/>
      <c r="V107" s="335"/>
      <c r="W107" s="335"/>
      <c r="X107" s="335"/>
      <c r="Y107" s="335"/>
      <c r="Z107" s="335"/>
      <c r="AA107" s="335"/>
      <c r="AB107" s="335"/>
      <c r="AC107" s="335"/>
      <c r="AD107" s="335"/>
      <c r="AE107" s="335"/>
      <c r="AF107" s="335"/>
      <c r="AG107" s="335"/>
      <c r="AH107" s="335"/>
      <c r="AI107" s="335"/>
      <c r="AJ107" s="335"/>
      <c r="AK107" s="335"/>
      <c r="AL107" s="335"/>
      <c r="AM107" s="335"/>
      <c r="AN107" s="335"/>
      <c r="AO107" s="335"/>
      <c r="AP107" s="335"/>
      <c r="AQ107" s="335">
        <v>105</v>
      </c>
      <c r="AR107" s="335">
        <v>105</v>
      </c>
      <c r="AS107" s="335">
        <v>107</v>
      </c>
      <c r="AT107" s="335">
        <v>107</v>
      </c>
      <c r="AU107" s="335">
        <v>107</v>
      </c>
      <c r="AV107" s="335">
        <v>106</v>
      </c>
      <c r="AW107" s="78">
        <v>105</v>
      </c>
      <c r="AX107" s="78">
        <v>106</v>
      </c>
      <c r="AY107" s="78">
        <v>106</v>
      </c>
      <c r="AZ107" s="78">
        <v>105</v>
      </c>
      <c r="BA107" s="78">
        <v>104</v>
      </c>
      <c r="BB107" s="78">
        <v>107</v>
      </c>
      <c r="BC107" s="78">
        <v>110</v>
      </c>
      <c r="BD107" s="78">
        <v>113</v>
      </c>
      <c r="BE107" s="78">
        <v>113</v>
      </c>
      <c r="BF107" s="78">
        <v>116</v>
      </c>
      <c r="BG107" s="78">
        <v>133</v>
      </c>
      <c r="BH107" s="78">
        <v>137</v>
      </c>
      <c r="BI107" s="78">
        <v>140</v>
      </c>
      <c r="BJ107" s="78">
        <f t="shared" si="84"/>
        <v>167</v>
      </c>
      <c r="BK107" s="78">
        <f t="shared" si="84"/>
        <v>166</v>
      </c>
      <c r="BL107" s="78">
        <v>167</v>
      </c>
    </row>
    <row r="108" spans="1:64" s="9" customFormat="1" ht="11.25">
      <c r="A108" s="342" t="s">
        <v>1019</v>
      </c>
      <c r="C108" s="335">
        <v>0</v>
      </c>
      <c r="D108" s="335">
        <v>0</v>
      </c>
      <c r="E108" s="335">
        <v>0</v>
      </c>
      <c r="F108" s="335">
        <v>0</v>
      </c>
      <c r="G108" s="335">
        <v>0</v>
      </c>
      <c r="H108" s="335">
        <v>0</v>
      </c>
      <c r="I108" s="335">
        <v>0</v>
      </c>
      <c r="J108" s="335">
        <v>0</v>
      </c>
      <c r="K108" s="335">
        <v>0</v>
      </c>
      <c r="L108" s="335">
        <v>0</v>
      </c>
      <c r="M108" s="335">
        <v>0</v>
      </c>
      <c r="N108" s="335">
        <v>0</v>
      </c>
      <c r="O108" s="335">
        <v>0</v>
      </c>
      <c r="P108" s="335">
        <v>0</v>
      </c>
      <c r="Q108" s="335">
        <v>0</v>
      </c>
      <c r="R108" s="335">
        <v>0</v>
      </c>
      <c r="S108" s="335">
        <v>0</v>
      </c>
      <c r="T108" s="335">
        <v>0</v>
      </c>
      <c r="U108" s="335">
        <v>0</v>
      </c>
      <c r="V108" s="335">
        <v>0</v>
      </c>
      <c r="W108" s="335">
        <v>0</v>
      </c>
      <c r="X108" s="335">
        <v>0</v>
      </c>
      <c r="Y108" s="335">
        <v>0</v>
      </c>
      <c r="Z108" s="335">
        <v>198</v>
      </c>
      <c r="AA108" s="335">
        <v>197</v>
      </c>
      <c r="AB108" s="335">
        <v>198</v>
      </c>
      <c r="AC108" s="335">
        <v>203</v>
      </c>
      <c r="AD108" s="335">
        <v>209</v>
      </c>
      <c r="AE108" s="335">
        <v>210</v>
      </c>
      <c r="AF108" s="335">
        <v>209</v>
      </c>
      <c r="AG108" s="335">
        <v>211</v>
      </c>
      <c r="AH108" s="335">
        <v>216</v>
      </c>
      <c r="AI108" s="335">
        <v>219</v>
      </c>
      <c r="AJ108" s="335">
        <v>226</v>
      </c>
      <c r="AK108" s="335">
        <v>225</v>
      </c>
      <c r="AL108" s="335">
        <v>230</v>
      </c>
      <c r="AM108" s="335">
        <v>229</v>
      </c>
      <c r="AN108" s="335">
        <v>226</v>
      </c>
      <c r="AO108" s="335">
        <v>227</v>
      </c>
      <c r="AP108" s="335">
        <v>229</v>
      </c>
      <c r="AQ108" s="335">
        <v>230</v>
      </c>
      <c r="AR108" s="335">
        <v>233</v>
      </c>
      <c r="AS108" s="335">
        <v>236</v>
      </c>
      <c r="AT108" s="335">
        <v>233</v>
      </c>
      <c r="AU108" s="335">
        <v>234</v>
      </c>
      <c r="AV108" s="335">
        <v>229</v>
      </c>
      <c r="AW108" s="78">
        <v>227</v>
      </c>
      <c r="AX108" s="78">
        <v>229</v>
      </c>
      <c r="AY108" s="78">
        <v>228</v>
      </c>
      <c r="AZ108" s="78">
        <v>227</v>
      </c>
      <c r="BA108" s="78">
        <v>227</v>
      </c>
      <c r="BB108" s="78">
        <v>228</v>
      </c>
      <c r="BC108" s="78">
        <v>227</v>
      </c>
      <c r="BD108" s="78">
        <v>227</v>
      </c>
      <c r="BE108" s="78">
        <v>225</v>
      </c>
      <c r="BF108" s="78">
        <v>224</v>
      </c>
      <c r="BG108" s="78">
        <v>221</v>
      </c>
      <c r="BH108" s="78">
        <v>220</v>
      </c>
      <c r="BI108" s="78">
        <v>221</v>
      </c>
      <c r="BJ108" s="78">
        <f t="shared" si="84"/>
        <v>221</v>
      </c>
      <c r="BK108" s="78">
        <f t="shared" si="84"/>
        <v>216</v>
      </c>
      <c r="BL108" s="78">
        <v>215</v>
      </c>
    </row>
    <row r="109" spans="1:64" s="9" customFormat="1" ht="11.25">
      <c r="A109" s="342" t="s">
        <v>1016</v>
      </c>
      <c r="C109" s="335">
        <v>0</v>
      </c>
      <c r="D109" s="335">
        <v>0</v>
      </c>
      <c r="E109" s="335">
        <v>0</v>
      </c>
      <c r="F109" s="335">
        <v>0</v>
      </c>
      <c r="G109" s="335">
        <v>0</v>
      </c>
      <c r="H109" s="335">
        <v>0</v>
      </c>
      <c r="I109" s="335">
        <v>0</v>
      </c>
      <c r="J109" s="335">
        <v>0</v>
      </c>
      <c r="K109" s="335">
        <v>0</v>
      </c>
      <c r="L109" s="335">
        <v>0</v>
      </c>
      <c r="M109" s="335">
        <v>0</v>
      </c>
      <c r="N109" s="335">
        <v>0</v>
      </c>
      <c r="O109" s="335">
        <v>0</v>
      </c>
      <c r="P109" s="335">
        <v>0</v>
      </c>
      <c r="Q109" s="335">
        <v>0</v>
      </c>
      <c r="R109" s="335">
        <v>0</v>
      </c>
      <c r="S109" s="335">
        <v>0</v>
      </c>
      <c r="T109" s="335">
        <v>0</v>
      </c>
      <c r="U109" s="335">
        <v>0</v>
      </c>
      <c r="V109" s="335">
        <v>0</v>
      </c>
      <c r="W109" s="335">
        <v>0</v>
      </c>
      <c r="X109" s="335">
        <v>0</v>
      </c>
      <c r="Y109" s="335">
        <v>0</v>
      </c>
      <c r="Z109" s="335">
        <v>0</v>
      </c>
      <c r="AA109" s="335">
        <v>0</v>
      </c>
      <c r="AB109" s="335">
        <v>0</v>
      </c>
      <c r="AC109" s="335">
        <v>0</v>
      </c>
      <c r="AD109" s="335">
        <v>0</v>
      </c>
      <c r="AE109" s="335">
        <v>41</v>
      </c>
      <c r="AF109" s="335">
        <v>41</v>
      </c>
      <c r="AG109" s="335">
        <v>41</v>
      </c>
      <c r="AH109" s="335">
        <v>39</v>
      </c>
      <c r="AI109" s="335">
        <v>38</v>
      </c>
      <c r="AJ109" s="335">
        <v>38</v>
      </c>
      <c r="AK109" s="335">
        <v>35</v>
      </c>
      <c r="AL109" s="335">
        <v>33</v>
      </c>
      <c r="AM109" s="335">
        <v>33</v>
      </c>
      <c r="AN109" s="335">
        <v>33</v>
      </c>
      <c r="AO109" s="335">
        <v>32</v>
      </c>
      <c r="AP109" s="335">
        <v>32</v>
      </c>
      <c r="AQ109" s="335">
        <v>32</v>
      </c>
      <c r="AR109" s="335">
        <v>31</v>
      </c>
      <c r="AS109" s="335">
        <v>31</v>
      </c>
      <c r="AT109" s="335">
        <v>31</v>
      </c>
      <c r="AU109" s="335">
        <v>31</v>
      </c>
      <c r="AV109" s="335">
        <v>30</v>
      </c>
      <c r="AW109" s="78">
        <v>29</v>
      </c>
      <c r="AX109" s="78">
        <v>28</v>
      </c>
      <c r="AY109" s="78">
        <v>27</v>
      </c>
      <c r="AZ109" s="78">
        <v>27</v>
      </c>
      <c r="BA109" s="78">
        <v>28</v>
      </c>
      <c r="BB109" s="78">
        <v>29</v>
      </c>
      <c r="BC109" s="78">
        <v>28</v>
      </c>
      <c r="BD109" s="78">
        <v>28</v>
      </c>
      <c r="BE109" s="78">
        <v>29</v>
      </c>
      <c r="BF109" s="78">
        <v>29</v>
      </c>
      <c r="BG109" s="78">
        <v>29</v>
      </c>
      <c r="BH109" s="78">
        <v>29</v>
      </c>
      <c r="BI109" s="78">
        <v>29</v>
      </c>
      <c r="BJ109" s="78">
        <f t="shared" si="84"/>
        <v>29</v>
      </c>
      <c r="BK109" s="78">
        <f t="shared" si="84"/>
        <v>29</v>
      </c>
      <c r="BL109" s="78">
        <v>28</v>
      </c>
    </row>
    <row r="110" spans="1:64" s="9" customFormat="1" ht="11.25">
      <c r="A110" s="342" t="s">
        <v>1015</v>
      </c>
      <c r="C110" s="335">
        <v>0</v>
      </c>
      <c r="D110" s="335">
        <v>0</v>
      </c>
      <c r="E110" s="335">
        <v>0</v>
      </c>
      <c r="F110" s="335">
        <v>0</v>
      </c>
      <c r="G110" s="335">
        <v>0</v>
      </c>
      <c r="H110" s="335">
        <v>0</v>
      </c>
      <c r="I110" s="335">
        <v>0</v>
      </c>
      <c r="J110" s="335">
        <v>0</v>
      </c>
      <c r="K110" s="335">
        <v>0</v>
      </c>
      <c r="L110" s="335">
        <v>0</v>
      </c>
      <c r="M110" s="335">
        <v>0</v>
      </c>
      <c r="N110" s="335">
        <v>0</v>
      </c>
      <c r="O110" s="335">
        <v>0</v>
      </c>
      <c r="P110" s="335">
        <v>0</v>
      </c>
      <c r="Q110" s="335">
        <v>1</v>
      </c>
      <c r="R110" s="335">
        <v>1</v>
      </c>
      <c r="S110" s="335">
        <v>1</v>
      </c>
      <c r="T110" s="335">
        <v>1</v>
      </c>
      <c r="U110" s="335">
        <v>2</v>
      </c>
      <c r="V110" s="335">
        <v>3</v>
      </c>
      <c r="W110" s="335">
        <f>1+1+1</f>
        <v>3</v>
      </c>
      <c r="X110" s="335">
        <f>1+1+1</f>
        <v>3</v>
      </c>
      <c r="Y110" s="335">
        <f>1+1+1+2</f>
        <v>5</v>
      </c>
      <c r="Z110" s="335">
        <f>1+1+1+2</f>
        <v>5</v>
      </c>
      <c r="AA110" s="335">
        <f>1+1+2+2</f>
        <v>6</v>
      </c>
      <c r="AB110" s="335">
        <f>1+1+2+2</f>
        <v>6</v>
      </c>
      <c r="AC110" s="335">
        <f>1+1+2+4</f>
        <v>8</v>
      </c>
      <c r="AD110" s="335">
        <f>1+1+2+4</f>
        <v>8</v>
      </c>
      <c r="AE110" s="335">
        <f>4+2+1+1</f>
        <v>8</v>
      </c>
      <c r="AF110" s="335">
        <f>4+2+2+1</f>
        <v>9</v>
      </c>
      <c r="AG110" s="335">
        <f>4+2+2+1</f>
        <v>9</v>
      </c>
      <c r="AH110" s="335">
        <f>3+2+2+1</f>
        <v>8</v>
      </c>
      <c r="AI110" s="335">
        <f>4+2+2+1</f>
        <v>9</v>
      </c>
      <c r="AJ110" s="335">
        <f>4+2+2+1</f>
        <v>9</v>
      </c>
      <c r="AK110" s="335">
        <f t="shared" ref="AK110:AP110" si="85">4+2+3+1</f>
        <v>10</v>
      </c>
      <c r="AL110" s="335">
        <f t="shared" si="85"/>
        <v>10</v>
      </c>
      <c r="AM110" s="335">
        <f t="shared" si="85"/>
        <v>10</v>
      </c>
      <c r="AN110" s="335">
        <f t="shared" si="85"/>
        <v>10</v>
      </c>
      <c r="AO110" s="335">
        <f t="shared" si="85"/>
        <v>10</v>
      </c>
      <c r="AP110" s="335">
        <f t="shared" si="85"/>
        <v>10</v>
      </c>
      <c r="AQ110" s="335">
        <f>35-25</f>
        <v>10</v>
      </c>
      <c r="AR110" s="335">
        <f>30-24</f>
        <v>6</v>
      </c>
      <c r="AS110" s="335">
        <f>29-24</f>
        <v>5</v>
      </c>
      <c r="AT110" s="335">
        <f>2+3</f>
        <v>5</v>
      </c>
      <c r="AU110" s="335">
        <f>2+3</f>
        <v>5</v>
      </c>
      <c r="AV110" s="335">
        <f>2+3</f>
        <v>5</v>
      </c>
      <c r="AW110" s="78">
        <v>6</v>
      </c>
      <c r="AX110" s="78">
        <f>4+3</f>
        <v>7</v>
      </c>
      <c r="AY110" s="78">
        <f>4+3</f>
        <v>7</v>
      </c>
      <c r="AZ110" s="78">
        <f>4+3</f>
        <v>7</v>
      </c>
      <c r="BA110" s="78">
        <v>7</v>
      </c>
      <c r="BB110" s="78">
        <v>3</v>
      </c>
      <c r="BC110" s="78">
        <v>3</v>
      </c>
      <c r="BD110" s="78">
        <v>3</v>
      </c>
      <c r="BE110" s="78">
        <v>3</v>
      </c>
      <c r="BF110" s="78">
        <v>3</v>
      </c>
      <c r="BG110" s="78">
        <v>3</v>
      </c>
      <c r="BH110" s="78">
        <v>3</v>
      </c>
      <c r="BI110" s="78">
        <v>3</v>
      </c>
      <c r="BJ110" s="78">
        <f t="shared" si="84"/>
        <v>3</v>
      </c>
      <c r="BK110" s="78">
        <f t="shared" si="84"/>
        <v>3</v>
      </c>
      <c r="BL110" s="78">
        <v>3</v>
      </c>
    </row>
    <row r="111" spans="1:64" s="9" customFormat="1" ht="11.25">
      <c r="A111" s="342" t="s">
        <v>1017</v>
      </c>
      <c r="C111" s="335">
        <v>0</v>
      </c>
      <c r="D111" s="335">
        <v>0</v>
      </c>
      <c r="E111" s="335">
        <v>0</v>
      </c>
      <c r="F111" s="335">
        <v>0</v>
      </c>
      <c r="G111" s="335">
        <v>0</v>
      </c>
      <c r="H111" s="335">
        <v>0</v>
      </c>
      <c r="I111" s="335">
        <v>0</v>
      </c>
      <c r="J111" s="335">
        <v>0</v>
      </c>
      <c r="K111" s="335">
        <v>0</v>
      </c>
      <c r="L111" s="335">
        <v>0</v>
      </c>
      <c r="M111" s="335">
        <v>0</v>
      </c>
      <c r="N111" s="335">
        <v>0</v>
      </c>
      <c r="O111" s="335">
        <v>0</v>
      </c>
      <c r="P111" s="335">
        <v>0</v>
      </c>
      <c r="Q111" s="335">
        <v>0</v>
      </c>
      <c r="R111" s="335">
        <v>0</v>
      </c>
      <c r="S111" s="335">
        <v>0</v>
      </c>
      <c r="T111" s="335">
        <v>0</v>
      </c>
      <c r="U111" s="335">
        <v>0</v>
      </c>
      <c r="V111" s="335">
        <v>0</v>
      </c>
      <c r="W111" s="335">
        <v>0</v>
      </c>
      <c r="X111" s="335">
        <v>0</v>
      </c>
      <c r="Y111" s="335">
        <v>0</v>
      </c>
      <c r="Z111" s="335">
        <v>19</v>
      </c>
      <c r="AA111" s="335">
        <v>19</v>
      </c>
      <c r="AB111" s="335">
        <v>18</v>
      </c>
      <c r="AC111" s="335">
        <v>18</v>
      </c>
      <c r="AD111" s="335">
        <v>17</v>
      </c>
      <c r="AE111" s="335">
        <v>17</v>
      </c>
      <c r="AF111" s="335">
        <v>15</v>
      </c>
      <c r="AG111" s="335">
        <v>15</v>
      </c>
      <c r="AH111" s="335">
        <v>15</v>
      </c>
      <c r="AI111" s="335">
        <v>15</v>
      </c>
      <c r="AJ111" s="335">
        <v>15</v>
      </c>
      <c r="AK111" s="335">
        <v>16</v>
      </c>
      <c r="AL111" s="335">
        <v>17</v>
      </c>
      <c r="AM111" s="335">
        <v>17</v>
      </c>
      <c r="AN111" s="335">
        <v>17</v>
      </c>
      <c r="AO111" s="335">
        <v>18</v>
      </c>
      <c r="AP111" s="335">
        <v>19</v>
      </c>
      <c r="AQ111" s="335">
        <v>18</v>
      </c>
      <c r="AR111" s="335">
        <v>18</v>
      </c>
      <c r="AS111" s="335">
        <v>17</v>
      </c>
      <c r="AT111" s="335">
        <v>17</v>
      </c>
      <c r="AU111" s="335">
        <v>18</v>
      </c>
      <c r="AV111" s="335">
        <v>17</v>
      </c>
      <c r="AW111" s="78">
        <v>17</v>
      </c>
      <c r="AX111" s="78">
        <v>1</v>
      </c>
      <c r="AY111" s="78">
        <v>0</v>
      </c>
      <c r="AZ111" s="78">
        <v>0</v>
      </c>
      <c r="BA111" s="78">
        <v>0</v>
      </c>
      <c r="BB111" s="78">
        <v>0</v>
      </c>
      <c r="BC111" s="78">
        <v>0</v>
      </c>
      <c r="BD111" s="78">
        <v>0</v>
      </c>
      <c r="BE111" s="78">
        <v>0</v>
      </c>
      <c r="BF111" s="78">
        <v>0</v>
      </c>
      <c r="BG111" s="78">
        <v>0</v>
      </c>
      <c r="BH111" s="78">
        <v>0</v>
      </c>
      <c r="BI111" s="78">
        <v>0</v>
      </c>
      <c r="BJ111" s="78">
        <f t="shared" si="84"/>
        <v>0</v>
      </c>
      <c r="BK111" s="78">
        <f t="shared" si="84"/>
        <v>0</v>
      </c>
      <c r="BL111" s="78"/>
    </row>
    <row r="112" spans="1:64" s="9" customFormat="1" ht="11.25">
      <c r="A112" s="342" t="s">
        <v>1120</v>
      </c>
      <c r="C112" s="335"/>
      <c r="D112" s="335"/>
      <c r="E112" s="335"/>
      <c r="F112" s="335"/>
      <c r="G112" s="335"/>
      <c r="H112" s="335"/>
      <c r="I112" s="335"/>
      <c r="J112" s="335"/>
      <c r="K112" s="335"/>
      <c r="L112" s="335"/>
      <c r="M112" s="335"/>
      <c r="N112" s="335"/>
      <c r="O112" s="335"/>
      <c r="P112" s="335"/>
      <c r="Q112" s="335"/>
      <c r="R112" s="335"/>
      <c r="S112" s="335"/>
      <c r="T112" s="335"/>
      <c r="U112" s="335"/>
      <c r="V112" s="335"/>
      <c r="W112" s="335"/>
      <c r="X112" s="335"/>
      <c r="Y112" s="335"/>
      <c r="Z112" s="335"/>
      <c r="AA112" s="335"/>
      <c r="AB112" s="335"/>
      <c r="AC112" s="335"/>
      <c r="AD112" s="335"/>
      <c r="AE112" s="335"/>
      <c r="AF112" s="335"/>
      <c r="AG112" s="335"/>
      <c r="AH112" s="335"/>
      <c r="AI112" s="335"/>
      <c r="AJ112" s="335"/>
      <c r="AK112" s="335"/>
      <c r="AL112" s="335"/>
      <c r="AM112" s="335"/>
      <c r="AN112" s="335"/>
      <c r="AO112" s="335"/>
      <c r="AP112" s="335"/>
      <c r="AQ112" s="335">
        <v>124</v>
      </c>
      <c r="AR112" s="335">
        <v>124</v>
      </c>
      <c r="AS112" s="335">
        <v>131</v>
      </c>
      <c r="AT112" s="335">
        <v>131</v>
      </c>
      <c r="AU112" s="335">
        <v>128</v>
      </c>
      <c r="AV112" s="335">
        <f>121+2</f>
        <v>123</v>
      </c>
      <c r="AW112" s="78">
        <v>124</v>
      </c>
      <c r="AX112" s="78">
        <v>121</v>
      </c>
      <c r="AY112" s="78">
        <v>120</v>
      </c>
      <c r="AZ112" s="78">
        <v>120</v>
      </c>
      <c r="BA112" s="78">
        <v>121</v>
      </c>
      <c r="BB112" s="78">
        <v>122</v>
      </c>
      <c r="BC112" s="78">
        <v>124</v>
      </c>
      <c r="BD112" s="78">
        <v>125</v>
      </c>
      <c r="BE112" s="78">
        <v>124</v>
      </c>
      <c r="BF112" s="78">
        <v>121</v>
      </c>
      <c r="BG112" s="78">
        <v>120</v>
      </c>
      <c r="BH112" s="78">
        <v>120</v>
      </c>
      <c r="BI112" s="78">
        <v>120</v>
      </c>
      <c r="BJ112" s="78">
        <f t="shared" si="84"/>
        <v>120</v>
      </c>
      <c r="BK112" s="78">
        <f t="shared" si="84"/>
        <v>120</v>
      </c>
      <c r="BL112" s="78">
        <v>118</v>
      </c>
    </row>
    <row r="113" spans="1:64" s="9" customFormat="1" ht="11.25">
      <c r="A113" s="342" t="s">
        <v>331</v>
      </c>
      <c r="C113" s="335">
        <v>0</v>
      </c>
      <c r="D113" s="335">
        <v>0</v>
      </c>
      <c r="E113" s="335">
        <v>0</v>
      </c>
      <c r="F113" s="335">
        <v>0</v>
      </c>
      <c r="G113" s="335">
        <v>0</v>
      </c>
      <c r="H113" s="335">
        <v>0</v>
      </c>
      <c r="I113" s="335">
        <v>0</v>
      </c>
      <c r="J113" s="335">
        <v>0</v>
      </c>
      <c r="K113" s="335">
        <v>0</v>
      </c>
      <c r="L113" s="335">
        <v>0</v>
      </c>
      <c r="M113" s="335">
        <v>0</v>
      </c>
      <c r="N113" s="335">
        <v>0</v>
      </c>
      <c r="O113" s="335">
        <v>0</v>
      </c>
      <c r="P113" s="335">
        <v>0</v>
      </c>
      <c r="Q113" s="335">
        <v>0</v>
      </c>
      <c r="R113" s="335">
        <v>0</v>
      </c>
      <c r="S113" s="335">
        <v>0</v>
      </c>
      <c r="T113" s="335">
        <v>0</v>
      </c>
      <c r="U113" s="335">
        <v>0</v>
      </c>
      <c r="V113" s="335">
        <v>0</v>
      </c>
      <c r="W113" s="335">
        <v>0</v>
      </c>
      <c r="X113" s="335">
        <v>0</v>
      </c>
      <c r="Y113" s="335">
        <v>0</v>
      </c>
      <c r="Z113" s="335">
        <f>13+11</f>
        <v>24</v>
      </c>
      <c r="AA113" s="335">
        <f>12+9</f>
        <v>21</v>
      </c>
      <c r="AB113" s="335">
        <f>12+9</f>
        <v>21</v>
      </c>
      <c r="AC113" s="335">
        <f>11+9</f>
        <v>20</v>
      </c>
      <c r="AD113" s="335">
        <f>11+8</f>
        <v>19</v>
      </c>
      <c r="AE113" s="335">
        <f>11+2</f>
        <v>13</v>
      </c>
      <c r="AF113" s="335">
        <f>10+1</f>
        <v>11</v>
      </c>
      <c r="AG113" s="335">
        <f>9+1</f>
        <v>10</v>
      </c>
      <c r="AH113" s="335">
        <f>9+1</f>
        <v>10</v>
      </c>
      <c r="AI113" s="335">
        <f>6+1</f>
        <v>7</v>
      </c>
      <c r="AJ113" s="335">
        <v>6</v>
      </c>
      <c r="AK113" s="335">
        <f>6+1</f>
        <v>7</v>
      </c>
      <c r="AL113" s="335">
        <f>6+1</f>
        <v>7</v>
      </c>
      <c r="AM113" s="335">
        <f>4+2</f>
        <v>6</v>
      </c>
      <c r="AN113" s="335">
        <f>4+3</f>
        <v>7</v>
      </c>
      <c r="AO113" s="335">
        <f>4+4</f>
        <v>8</v>
      </c>
      <c r="AP113" s="335">
        <f>4+4</f>
        <v>8</v>
      </c>
      <c r="AQ113" s="335">
        <f>4+18+6+4+34</f>
        <v>66</v>
      </c>
      <c r="AR113" s="335">
        <f>19+6+4+4+1+1+34</f>
        <v>69</v>
      </c>
      <c r="AS113" s="335">
        <f>19+6+4+4+1+1+36+1</f>
        <v>72</v>
      </c>
      <c r="AT113" s="335">
        <f>17+5+5+1+1+38</f>
        <v>67</v>
      </c>
      <c r="AU113" s="335">
        <f>16+3+5+1+1+39</f>
        <v>65</v>
      </c>
      <c r="AV113" s="335">
        <f>14+3+1+1+38+5</f>
        <v>62</v>
      </c>
      <c r="AW113" s="78">
        <f>1+38+5+14+1</f>
        <v>59</v>
      </c>
      <c r="AX113" s="78">
        <f>1+39+2+13+5</f>
        <v>60</v>
      </c>
      <c r="AY113" s="78">
        <f>13+5+2+2+39</f>
        <v>61</v>
      </c>
      <c r="AZ113" s="78">
        <f>13+5+2+40+5</f>
        <v>65</v>
      </c>
      <c r="BA113" s="78">
        <v>66</v>
      </c>
      <c r="BB113" s="78">
        <v>68</v>
      </c>
      <c r="BC113" s="78">
        <f>5+9+13+2+42</f>
        <v>71</v>
      </c>
      <c r="BD113" s="78">
        <f>8+2+41+5+13</f>
        <v>69</v>
      </c>
      <c r="BE113" s="78">
        <f>8+1+39+13+5</f>
        <v>66</v>
      </c>
      <c r="BF113" s="78">
        <f>5+13+8+39</f>
        <v>65</v>
      </c>
      <c r="BG113" s="78">
        <f>5+13+7+24-6</f>
        <v>43</v>
      </c>
      <c r="BH113" s="78">
        <f>5+13+7+24</f>
        <v>49</v>
      </c>
      <c r="BI113" s="78">
        <f>24+13+5</f>
        <v>42</v>
      </c>
      <c r="BJ113" s="78">
        <f t="shared" si="84"/>
        <v>18</v>
      </c>
      <c r="BK113" s="78">
        <f t="shared" si="84"/>
        <v>18</v>
      </c>
      <c r="BL113" s="78">
        <f>5+13</f>
        <v>18</v>
      </c>
    </row>
    <row r="114" spans="1:64" s="9" customFormat="1" ht="11.25">
      <c r="A114" s="604"/>
      <c r="B114" s="128"/>
      <c r="C114" s="822"/>
      <c r="D114" s="822"/>
      <c r="E114" s="822"/>
      <c r="F114" s="822"/>
      <c r="G114" s="822"/>
      <c r="H114" s="822"/>
      <c r="I114" s="822"/>
      <c r="J114" s="822"/>
      <c r="K114" s="822"/>
      <c r="L114" s="822"/>
      <c r="M114" s="822"/>
      <c r="N114" s="822"/>
      <c r="O114" s="822"/>
      <c r="P114" s="822"/>
      <c r="Q114" s="822"/>
      <c r="R114" s="822"/>
      <c r="S114" s="822"/>
      <c r="T114" s="822"/>
      <c r="U114" s="822"/>
      <c r="V114" s="915"/>
      <c r="W114" s="915"/>
      <c r="X114" s="915"/>
      <c r="Y114" s="915"/>
      <c r="Z114" s="915"/>
      <c r="AA114" s="915"/>
      <c r="AB114" s="915"/>
      <c r="AC114" s="915"/>
      <c r="AD114" s="915"/>
      <c r="AE114" s="915"/>
      <c r="AF114" s="915"/>
      <c r="AG114" s="915"/>
      <c r="AH114" s="915"/>
      <c r="AI114" s="915"/>
      <c r="AJ114" s="915"/>
      <c r="AK114" s="915"/>
      <c r="AL114" s="915"/>
      <c r="AM114" s="915"/>
      <c r="AN114" s="797"/>
      <c r="AO114" s="797"/>
      <c r="AP114" s="797"/>
      <c r="AQ114" s="1201"/>
      <c r="AR114" s="1201"/>
      <c r="AS114" s="1201"/>
      <c r="AT114" s="1201"/>
      <c r="AU114" s="1201"/>
      <c r="AV114" s="1201"/>
      <c r="AW114" s="1201"/>
      <c r="AX114" s="1201"/>
      <c r="AY114" s="1201"/>
      <c r="AZ114" s="1201"/>
      <c r="BA114" s="1201"/>
      <c r="BB114" s="1201"/>
      <c r="BC114" s="1201"/>
      <c r="BD114" s="1201"/>
      <c r="BE114" s="1201"/>
      <c r="BF114" s="1201"/>
      <c r="BG114" s="1201"/>
      <c r="BH114" s="1201"/>
      <c r="BI114" s="1201"/>
      <c r="BJ114" s="1201"/>
      <c r="BK114" s="1201"/>
      <c r="BL114" s="1201"/>
    </row>
    <row r="115" spans="1:64" s="9" customFormat="1" ht="11.25">
      <c r="A115" s="13"/>
      <c r="C115" s="92"/>
      <c r="V115" s="92"/>
      <c r="Y115" s="92"/>
      <c r="AC115" s="92"/>
      <c r="AD115" s="92"/>
      <c r="AE115" s="92"/>
      <c r="AF115" s="92"/>
      <c r="AH115" s="92"/>
      <c r="AI115" s="92"/>
      <c r="AJ115" s="92"/>
      <c r="AK115" s="92"/>
      <c r="AL115" s="92"/>
      <c r="AM115" s="92"/>
      <c r="AN115" s="92"/>
      <c r="AO115" s="92"/>
      <c r="AP115" s="92"/>
      <c r="AS115" s="170"/>
    </row>
    <row r="116" spans="1:64" s="9" customFormat="1" ht="11.25">
      <c r="A116" s="513" t="s">
        <v>1013</v>
      </c>
      <c r="C116" s="92"/>
      <c r="V116" s="92"/>
      <c r="Y116" s="92"/>
      <c r="AC116" s="92"/>
      <c r="AD116" s="92"/>
      <c r="AE116" s="92"/>
      <c r="AF116" s="92"/>
      <c r="AH116" s="92"/>
      <c r="AI116" s="92"/>
      <c r="AJ116" s="92"/>
      <c r="AK116" s="92"/>
      <c r="AL116" s="92"/>
      <c r="AM116" s="92"/>
      <c r="AN116" s="92"/>
      <c r="AO116" s="92"/>
      <c r="AP116" s="92"/>
    </row>
    <row r="117" spans="1:64" s="9" customFormat="1" ht="11.25">
      <c r="A117" s="342" t="s">
        <v>1007</v>
      </c>
      <c r="C117" s="37">
        <f t="shared" ref="C117:AQ117" si="86">C104/C$103</f>
        <v>0.13548387096774195</v>
      </c>
      <c r="D117" s="37">
        <f t="shared" si="86"/>
        <v>0.12962962962962962</v>
      </c>
      <c r="E117" s="37">
        <f t="shared" si="86"/>
        <v>0.12727272727272726</v>
      </c>
      <c r="F117" s="37">
        <f t="shared" si="86"/>
        <v>0.12941176470588237</v>
      </c>
      <c r="G117" s="37">
        <f t="shared" si="86"/>
        <v>0.12865497076023391</v>
      </c>
      <c r="H117" s="37">
        <f t="shared" si="86"/>
        <v>0.12359550561797752</v>
      </c>
      <c r="I117" s="37">
        <f t="shared" si="86"/>
        <v>0.13375796178343949</v>
      </c>
      <c r="J117" s="37">
        <f t="shared" si="86"/>
        <v>0.1242603550295858</v>
      </c>
      <c r="K117" s="37">
        <f t="shared" si="86"/>
        <v>0.12209302325581395</v>
      </c>
      <c r="L117" s="37">
        <f t="shared" si="86"/>
        <v>0.11931818181818182</v>
      </c>
      <c r="M117" s="37">
        <f t="shared" si="86"/>
        <v>0.1111111111111111</v>
      </c>
      <c r="N117" s="37">
        <f t="shared" si="86"/>
        <v>0.10576923076923077</v>
      </c>
      <c r="O117" s="37">
        <f t="shared" si="86"/>
        <v>0.10849056603773585</v>
      </c>
      <c r="P117" s="37">
        <f t="shared" si="86"/>
        <v>0.11160714285714286</v>
      </c>
      <c r="Q117" s="37">
        <f t="shared" si="86"/>
        <v>0.11864406779661017</v>
      </c>
      <c r="R117" s="37">
        <f t="shared" si="86"/>
        <v>0.11646586345381527</v>
      </c>
      <c r="S117" s="37">
        <f t="shared" si="86"/>
        <v>0.1225296442687747</v>
      </c>
      <c r="T117" s="37">
        <f t="shared" si="86"/>
        <v>0.13307984790874525</v>
      </c>
      <c r="U117" s="37">
        <f t="shared" si="86"/>
        <v>0.12727272727272726</v>
      </c>
      <c r="V117" s="37">
        <f t="shared" si="86"/>
        <v>0.13588850174216027</v>
      </c>
      <c r="W117" s="37">
        <f t="shared" si="86"/>
        <v>0.1326530612244898</v>
      </c>
      <c r="X117" s="37">
        <f t="shared" si="86"/>
        <v>0.13758389261744966</v>
      </c>
      <c r="Y117" s="37">
        <f t="shared" si="86"/>
        <v>0.13880126182965299</v>
      </c>
      <c r="Z117" s="37">
        <f t="shared" si="86"/>
        <v>0.24840764331210191</v>
      </c>
      <c r="AA117" s="37">
        <f t="shared" si="86"/>
        <v>0.25126262626262624</v>
      </c>
      <c r="AB117" s="37">
        <f t="shared" si="86"/>
        <v>0.25061728395061728</v>
      </c>
      <c r="AC117" s="37">
        <f t="shared" si="86"/>
        <v>0.25567502986857826</v>
      </c>
      <c r="AD117" s="37">
        <f t="shared" si="86"/>
        <v>0.26218097447795824</v>
      </c>
      <c r="AE117" s="37">
        <f t="shared" si="86"/>
        <v>0.25657894736842107</v>
      </c>
      <c r="AF117" s="37">
        <f t="shared" si="86"/>
        <v>0.26638023630504831</v>
      </c>
      <c r="AG117" s="37">
        <f t="shared" si="86"/>
        <v>0.26862539349422876</v>
      </c>
      <c r="AH117" s="37">
        <f t="shared" si="86"/>
        <v>0.27551020408163263</v>
      </c>
      <c r="AI117" s="37">
        <f t="shared" si="86"/>
        <v>0.27827827827827828</v>
      </c>
      <c r="AJ117" s="37">
        <f t="shared" si="86"/>
        <v>0.27659574468085107</v>
      </c>
      <c r="AK117" s="37">
        <f t="shared" si="86"/>
        <v>0.28071833648393196</v>
      </c>
      <c r="AL117" s="37">
        <f t="shared" si="86"/>
        <v>0.28754578754578752</v>
      </c>
      <c r="AM117" s="37">
        <f t="shared" si="86"/>
        <v>0.29189189189189191</v>
      </c>
      <c r="AN117" s="37">
        <f t="shared" si="86"/>
        <v>0.29629629629629628</v>
      </c>
      <c r="AO117" s="37">
        <f t="shared" si="86"/>
        <v>0.29796264855687604</v>
      </c>
      <c r="AP117" s="37">
        <f t="shared" si="86"/>
        <v>0.31122031122031124</v>
      </c>
      <c r="AQ117" s="37">
        <f t="shared" si="86"/>
        <v>0.19657258064516128</v>
      </c>
      <c r="AR117" s="37">
        <f t="shared" ref="AR117:AS126" si="87">AR104/AR$103</f>
        <v>0.19840875186474391</v>
      </c>
      <c r="AS117" s="37">
        <f t="shared" si="87"/>
        <v>0.19990128331688056</v>
      </c>
      <c r="AT117" s="37">
        <f t="shared" ref="AT117:BA126" si="88">AT104/AT$103</f>
        <v>0.20608439646712462</v>
      </c>
      <c r="AU117" s="37">
        <f t="shared" si="88"/>
        <v>0.2080078125</v>
      </c>
      <c r="AV117" s="37">
        <f t="shared" si="88"/>
        <v>0.21287128712871287</v>
      </c>
      <c r="AW117" s="37">
        <f t="shared" si="88"/>
        <v>0.21764997521070897</v>
      </c>
      <c r="AX117" s="37">
        <f t="shared" si="88"/>
        <v>0.22548531607765057</v>
      </c>
      <c r="AY117" s="37">
        <f t="shared" si="88"/>
        <v>0.22889771598808342</v>
      </c>
      <c r="AZ117" s="37">
        <f t="shared" si="88"/>
        <v>0.23095823095823095</v>
      </c>
      <c r="BA117" s="37">
        <f t="shared" si="88"/>
        <v>0.23349514563106796</v>
      </c>
      <c r="BB117" s="37">
        <f t="shared" ref="BB117:BC126" si="89">BB104/BB$103</f>
        <v>0.23850574712643677</v>
      </c>
      <c r="BC117" s="37">
        <f t="shared" si="89"/>
        <v>0.23654390934844194</v>
      </c>
      <c r="BD117" s="37">
        <f t="shared" ref="BD117:BE126" si="90">BD104/BD$103</f>
        <v>0.23787313432835822</v>
      </c>
      <c r="BE117" s="37">
        <f t="shared" si="90"/>
        <v>0.23968474733426054</v>
      </c>
      <c r="BF117" s="37">
        <f t="shared" ref="BF117:BG126" si="91">BF104/BF$103</f>
        <v>0.23965438835834471</v>
      </c>
      <c r="BG117" s="37">
        <f t="shared" si="91"/>
        <v>0.24081632653061225</v>
      </c>
      <c r="BH117" s="37">
        <f t="shared" ref="BH117:BI117" si="92">BH104/BH$103</f>
        <v>0.23894595801697185</v>
      </c>
      <c r="BI117" s="37">
        <f t="shared" si="92"/>
        <v>0.23765432098765432</v>
      </c>
      <c r="BJ117" s="37">
        <f t="shared" ref="BJ117:BK126" si="93">BJ104/BJ$103</f>
        <v>0.23516673884798614</v>
      </c>
      <c r="BK117" s="37">
        <f t="shared" si="93"/>
        <v>0.23593073593073594</v>
      </c>
      <c r="BL117" s="37">
        <f t="shared" ref="BL117" si="94">BL104/BL$103</f>
        <v>0.2345360824742268</v>
      </c>
    </row>
    <row r="118" spans="1:64" s="9" customFormat="1" ht="11.25">
      <c r="A118" s="342" t="s">
        <v>1008</v>
      </c>
      <c r="C118" s="37">
        <f t="shared" ref="C118:AQ118" si="95">C105/C$103</f>
        <v>0.49677419354838709</v>
      </c>
      <c r="D118" s="37">
        <f t="shared" si="95"/>
        <v>0.48148148148148145</v>
      </c>
      <c r="E118" s="37">
        <f t="shared" si="95"/>
        <v>0.47878787878787876</v>
      </c>
      <c r="F118" s="37">
        <f t="shared" si="95"/>
        <v>0.47058823529411764</v>
      </c>
      <c r="G118" s="37">
        <f t="shared" si="95"/>
        <v>0.46783625730994149</v>
      </c>
      <c r="H118" s="37">
        <f t="shared" si="95"/>
        <v>0.4606741573033708</v>
      </c>
      <c r="I118" s="37">
        <f t="shared" si="95"/>
        <v>0.52229299363057324</v>
      </c>
      <c r="J118" s="37">
        <f t="shared" si="95"/>
        <v>0.51479289940828399</v>
      </c>
      <c r="K118" s="37">
        <f t="shared" si="95"/>
        <v>0.51162790697674421</v>
      </c>
      <c r="L118" s="37">
        <f t="shared" si="95"/>
        <v>0.51704545454545459</v>
      </c>
      <c r="M118" s="37">
        <f t="shared" si="95"/>
        <v>0.49735449735449733</v>
      </c>
      <c r="N118" s="37">
        <f t="shared" si="95"/>
        <v>0.48076923076923078</v>
      </c>
      <c r="O118" s="37">
        <f t="shared" si="95"/>
        <v>0.47641509433962265</v>
      </c>
      <c r="P118" s="37">
        <f t="shared" si="95"/>
        <v>0.46875</v>
      </c>
      <c r="Q118" s="37">
        <f t="shared" si="95"/>
        <v>0.46186440677966101</v>
      </c>
      <c r="R118" s="37">
        <f t="shared" si="95"/>
        <v>0.45783132530120479</v>
      </c>
      <c r="S118" s="37">
        <f t="shared" si="95"/>
        <v>0.45059288537549408</v>
      </c>
      <c r="T118" s="37">
        <f t="shared" si="95"/>
        <v>0.45247148288973382</v>
      </c>
      <c r="U118" s="37">
        <f t="shared" si="95"/>
        <v>0.42909090909090908</v>
      </c>
      <c r="V118" s="37">
        <f t="shared" si="95"/>
        <v>0.42857142857142855</v>
      </c>
      <c r="W118" s="37">
        <f t="shared" si="95"/>
        <v>0.41836734693877553</v>
      </c>
      <c r="X118" s="37">
        <f t="shared" si="95"/>
        <v>0.41610738255033558</v>
      </c>
      <c r="Y118" s="37">
        <f t="shared" si="95"/>
        <v>0.40378548895899052</v>
      </c>
      <c r="Z118" s="37">
        <f t="shared" si="95"/>
        <v>0.24331210191082803</v>
      </c>
      <c r="AA118" s="37">
        <f t="shared" si="95"/>
        <v>0.24242424242424243</v>
      </c>
      <c r="AB118" s="37">
        <f t="shared" si="95"/>
        <v>0.2382716049382716</v>
      </c>
      <c r="AC118" s="37">
        <f t="shared" si="95"/>
        <v>0.23297491039426524</v>
      </c>
      <c r="AD118" s="37">
        <f t="shared" si="95"/>
        <v>0.22969837587006961</v>
      </c>
      <c r="AE118" s="37">
        <f t="shared" si="95"/>
        <v>0.21820175438596492</v>
      </c>
      <c r="AF118" s="37">
        <f t="shared" si="95"/>
        <v>0.21482277121374865</v>
      </c>
      <c r="AG118" s="37">
        <f t="shared" si="95"/>
        <v>0.21196222455403987</v>
      </c>
      <c r="AH118" s="37">
        <f t="shared" si="95"/>
        <v>0.21224489795918366</v>
      </c>
      <c r="AI118" s="37">
        <f t="shared" si="95"/>
        <v>0.21021021021021022</v>
      </c>
      <c r="AJ118" s="37">
        <f t="shared" si="95"/>
        <v>0.20986460348162475</v>
      </c>
      <c r="AK118" s="37">
        <f t="shared" si="95"/>
        <v>0.20604914933837429</v>
      </c>
      <c r="AL118" s="37">
        <f t="shared" si="95"/>
        <v>0.20604395604395603</v>
      </c>
      <c r="AM118" s="37">
        <f t="shared" si="95"/>
        <v>0.20630630630630631</v>
      </c>
      <c r="AN118" s="37">
        <f t="shared" si="95"/>
        <v>0.20282186948853614</v>
      </c>
      <c r="AO118" s="37">
        <f t="shared" si="95"/>
        <v>0.20033955857385399</v>
      </c>
      <c r="AP118" s="37">
        <f t="shared" si="95"/>
        <v>0.1981981981981982</v>
      </c>
      <c r="AQ118" s="37">
        <f t="shared" si="95"/>
        <v>0.12096774193548387</v>
      </c>
      <c r="AR118" s="37">
        <f t="shared" si="87"/>
        <v>0.12232720039781203</v>
      </c>
      <c r="AS118" s="37">
        <f t="shared" si="87"/>
        <v>0.11549851924975321</v>
      </c>
      <c r="AT118" s="37">
        <f t="shared" si="88"/>
        <v>0.11629048086359176</v>
      </c>
      <c r="AU118" s="37">
        <f t="shared" si="88"/>
        <v>0.11669921875</v>
      </c>
      <c r="AV118" s="37">
        <f t="shared" si="88"/>
        <v>0.11584158415841585</v>
      </c>
      <c r="AW118" s="37">
        <f t="shared" si="88"/>
        <v>0.11502231036192365</v>
      </c>
      <c r="AX118" s="37">
        <f t="shared" si="88"/>
        <v>0.11299153807864609</v>
      </c>
      <c r="AY118" s="37">
        <f t="shared" si="88"/>
        <v>0.11320754716981132</v>
      </c>
      <c r="AZ118" s="37">
        <f t="shared" si="88"/>
        <v>0.11154791154791155</v>
      </c>
      <c r="BA118" s="37">
        <f t="shared" si="88"/>
        <v>0.11019417475728155</v>
      </c>
      <c r="BB118" s="37">
        <f t="shared" ref="BB118:BB126" si="96">BB105/BB$103</f>
        <v>0.10871647509578544</v>
      </c>
      <c r="BC118" s="37">
        <f t="shared" si="89"/>
        <v>0.10859301227573183</v>
      </c>
      <c r="BD118" s="37">
        <f t="shared" si="90"/>
        <v>0.10774253731343283</v>
      </c>
      <c r="BE118" s="37">
        <f t="shared" si="90"/>
        <v>0.1070931849791377</v>
      </c>
      <c r="BF118" s="37">
        <f t="shared" si="91"/>
        <v>0.10732150977717145</v>
      </c>
      <c r="BG118" s="37">
        <f t="shared" si="91"/>
        <v>0.10748299319727891</v>
      </c>
      <c r="BH118" s="37">
        <f t="shared" ref="BH118:BI118" si="97">BH105/BH$103</f>
        <v>0.10808396605627513</v>
      </c>
      <c r="BI118" s="37">
        <f t="shared" si="97"/>
        <v>0.10714285714285714</v>
      </c>
      <c r="BJ118" s="37">
        <f t="shared" ref="BJ118" si="98">BJ105/BJ$103</f>
        <v>0.10870506712862711</v>
      </c>
      <c r="BK118" s="37">
        <f t="shared" si="93"/>
        <v>0.10865800865800866</v>
      </c>
      <c r="BL118" s="37">
        <f t="shared" ref="BL118" si="99">BL105/BL$103</f>
        <v>0.10824742268041238</v>
      </c>
    </row>
    <row r="119" spans="1:64" s="9" customFormat="1" ht="11.25">
      <c r="A119" s="342" t="s">
        <v>1018</v>
      </c>
      <c r="C119" s="37">
        <f t="shared" ref="C119:AQ119" si="100">C106/C$103</f>
        <v>0.36774193548387096</v>
      </c>
      <c r="D119" s="37">
        <f t="shared" si="100"/>
        <v>0.3888888888888889</v>
      </c>
      <c r="E119" s="37">
        <f t="shared" si="100"/>
        <v>0.39393939393939392</v>
      </c>
      <c r="F119" s="37">
        <f t="shared" si="100"/>
        <v>0.4</v>
      </c>
      <c r="G119" s="37">
        <f t="shared" si="100"/>
        <v>0.40350877192982454</v>
      </c>
      <c r="H119" s="37">
        <f t="shared" si="100"/>
        <v>0.4157303370786517</v>
      </c>
      <c r="I119" s="37">
        <f t="shared" si="100"/>
        <v>0.34394904458598724</v>
      </c>
      <c r="J119" s="37">
        <f t="shared" si="100"/>
        <v>0.36094674556213019</v>
      </c>
      <c r="K119" s="37">
        <f t="shared" si="100"/>
        <v>0.36627906976744184</v>
      </c>
      <c r="L119" s="37">
        <f t="shared" si="100"/>
        <v>0.36363636363636365</v>
      </c>
      <c r="M119" s="37">
        <f t="shared" si="100"/>
        <v>0.39153439153439151</v>
      </c>
      <c r="N119" s="37">
        <f t="shared" si="100"/>
        <v>0.41346153846153844</v>
      </c>
      <c r="O119" s="37">
        <f t="shared" si="100"/>
        <v>0.41509433962264153</v>
      </c>
      <c r="P119" s="37">
        <f t="shared" si="100"/>
        <v>0.41964285714285715</v>
      </c>
      <c r="Q119" s="37">
        <f t="shared" si="100"/>
        <v>0.4152542372881356</v>
      </c>
      <c r="R119" s="37">
        <f t="shared" si="100"/>
        <v>0.42168674698795183</v>
      </c>
      <c r="S119" s="37">
        <f t="shared" si="100"/>
        <v>0.42292490118577075</v>
      </c>
      <c r="T119" s="37">
        <f t="shared" si="100"/>
        <v>0.41064638783269963</v>
      </c>
      <c r="U119" s="37">
        <f t="shared" si="100"/>
        <v>0.43636363636363634</v>
      </c>
      <c r="V119" s="37">
        <f t="shared" si="100"/>
        <v>0.42508710801393729</v>
      </c>
      <c r="W119" s="37">
        <f t="shared" si="100"/>
        <v>0.43877551020408162</v>
      </c>
      <c r="X119" s="37">
        <f t="shared" si="100"/>
        <v>0.43624161073825501</v>
      </c>
      <c r="Y119" s="37">
        <f t="shared" si="100"/>
        <v>0.44164037854889587</v>
      </c>
      <c r="Z119" s="37">
        <f t="shared" si="100"/>
        <v>0.19490445859872613</v>
      </c>
      <c r="AA119" s="37">
        <f t="shared" si="100"/>
        <v>0.1994949494949495</v>
      </c>
      <c r="AB119" s="37">
        <f t="shared" si="100"/>
        <v>0.21111111111111111</v>
      </c>
      <c r="AC119" s="37">
        <f t="shared" si="100"/>
        <v>0.21385902031063322</v>
      </c>
      <c r="AD119" s="37">
        <f t="shared" si="100"/>
        <v>0.21461716937354988</v>
      </c>
      <c r="AE119" s="37">
        <f t="shared" si="100"/>
        <v>0.20833333333333334</v>
      </c>
      <c r="AF119" s="37">
        <f t="shared" si="100"/>
        <v>0.21267454350161116</v>
      </c>
      <c r="AG119" s="37">
        <f t="shared" si="100"/>
        <v>0.21930745015739769</v>
      </c>
      <c r="AH119" s="37">
        <f t="shared" si="100"/>
        <v>0.21836734693877552</v>
      </c>
      <c r="AI119" s="37">
        <f t="shared" si="100"/>
        <v>0.22322322322322322</v>
      </c>
      <c r="AJ119" s="37">
        <f t="shared" si="100"/>
        <v>0.22920696324951645</v>
      </c>
      <c r="AK119" s="37">
        <f t="shared" si="100"/>
        <v>0.23629489603024575</v>
      </c>
      <c r="AL119" s="37">
        <f t="shared" si="100"/>
        <v>0.23443223443223443</v>
      </c>
      <c r="AM119" s="37">
        <f t="shared" si="100"/>
        <v>0.23603603603603604</v>
      </c>
      <c r="AN119" s="37">
        <f t="shared" si="100"/>
        <v>0.24250440917107582</v>
      </c>
      <c r="AO119" s="37">
        <f t="shared" si="100"/>
        <v>0.25127334465195245</v>
      </c>
      <c r="AP119" s="37">
        <f t="shared" si="100"/>
        <v>0.24651924651924653</v>
      </c>
      <c r="AQ119" s="37">
        <f t="shared" si="100"/>
        <v>0.38760080645161288</v>
      </c>
      <c r="AR119" s="37">
        <f t="shared" si="87"/>
        <v>0.3878667329686723</v>
      </c>
      <c r="AS119" s="37">
        <f t="shared" si="87"/>
        <v>0.38894373149062189</v>
      </c>
      <c r="AT119" s="37">
        <f t="shared" si="88"/>
        <v>0.38763493621197254</v>
      </c>
      <c r="AU119" s="37">
        <f t="shared" si="88"/>
        <v>0.38818359375</v>
      </c>
      <c r="AV119" s="37">
        <f t="shared" si="88"/>
        <v>0.38811881188118813</v>
      </c>
      <c r="AW119" s="37">
        <f t="shared" si="88"/>
        <v>0.38621715418939018</v>
      </c>
      <c r="AX119" s="37">
        <f t="shared" si="88"/>
        <v>0.38675958188153309</v>
      </c>
      <c r="AY119" s="37">
        <f t="shared" si="88"/>
        <v>0.38530287984111222</v>
      </c>
      <c r="AZ119" s="37">
        <f t="shared" si="88"/>
        <v>0.38673218673218673</v>
      </c>
      <c r="BA119" s="37">
        <f t="shared" si="88"/>
        <v>0.38786407766990294</v>
      </c>
      <c r="BB119" s="37">
        <f t="shared" si="96"/>
        <v>0.38601532567049807</v>
      </c>
      <c r="BC119" s="37">
        <f t="shared" si="89"/>
        <v>0.3890462700661001</v>
      </c>
      <c r="BD119" s="37">
        <f t="shared" si="90"/>
        <v>0.39085820895522388</v>
      </c>
      <c r="BE119" s="37">
        <f t="shared" si="90"/>
        <v>0.39360222531293465</v>
      </c>
      <c r="BF119" s="37">
        <f t="shared" si="91"/>
        <v>0.39927239654388358</v>
      </c>
      <c r="BG119" s="37">
        <f t="shared" si="91"/>
        <v>0.40272108843537413</v>
      </c>
      <c r="BH119" s="37">
        <f t="shared" ref="BH119:BI119" si="101">BH106/BH$103</f>
        <v>0.40375167485484592</v>
      </c>
      <c r="BI119" s="37">
        <f t="shared" si="101"/>
        <v>0.41049382716049382</v>
      </c>
      <c r="BJ119" s="37">
        <f t="shared" ref="BJ119" si="102">BJ106/BJ$103</f>
        <v>0.41446513642269378</v>
      </c>
      <c r="BK119" s="37">
        <f t="shared" si="93"/>
        <v>0.41645021645021646</v>
      </c>
      <c r="BL119" s="37">
        <f t="shared" ref="BL119" si="103">BL106/BL$103</f>
        <v>0.42139175257731959</v>
      </c>
    </row>
    <row r="120" spans="1:64" s="9" customFormat="1" ht="11.25">
      <c r="A120" s="342" t="s">
        <v>1011</v>
      </c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>
        <f t="shared" ref="C120:AQ121" si="104">AQ107/AQ$103</f>
        <v>5.2923387096774195E-2</v>
      </c>
      <c r="AR120" s="37">
        <f t="shared" si="87"/>
        <v>5.2212829438090504E-2</v>
      </c>
      <c r="AS120" s="37">
        <f t="shared" si="87"/>
        <v>5.2813425468904246E-2</v>
      </c>
      <c r="AT120" s="37">
        <f t="shared" si="88"/>
        <v>5.2502453385672228E-2</v>
      </c>
      <c r="AU120" s="37">
        <f t="shared" si="88"/>
        <v>5.224609375E-2</v>
      </c>
      <c r="AV120" s="37">
        <f t="shared" si="88"/>
        <v>5.2475247524752473E-2</v>
      </c>
      <c r="AW120" s="37">
        <f t="shared" si="88"/>
        <v>5.2057511155180959E-2</v>
      </c>
      <c r="AX120" s="37">
        <f t="shared" si="88"/>
        <v>5.2762568442010951E-2</v>
      </c>
      <c r="AY120" s="37">
        <f t="shared" si="88"/>
        <v>5.2631578947368418E-2</v>
      </c>
      <c r="AZ120" s="37">
        <f t="shared" si="88"/>
        <v>5.1597051597051594E-2</v>
      </c>
      <c r="BA120" s="37">
        <f t="shared" si="88"/>
        <v>5.0485436893203881E-2</v>
      </c>
      <c r="BB120" s="37">
        <f t="shared" si="96"/>
        <v>5.1245210727969351E-2</v>
      </c>
      <c r="BC120" s="37">
        <f t="shared" si="89"/>
        <v>5.1935788479697827E-2</v>
      </c>
      <c r="BD120" s="37">
        <f t="shared" si="90"/>
        <v>5.2705223880597014E-2</v>
      </c>
      <c r="BE120" s="37">
        <f t="shared" si="90"/>
        <v>5.2387575336114975E-2</v>
      </c>
      <c r="BF120" s="37">
        <f t="shared" si="91"/>
        <v>5.2751250568440197E-2</v>
      </c>
      <c r="BG120" s="37">
        <f t="shared" si="91"/>
        <v>6.0317460317460318E-2</v>
      </c>
      <c r="BH120" s="37">
        <f t="shared" ref="BH120:BI120" si="105">BH107/BH$103</f>
        <v>6.1188030370701203E-2</v>
      </c>
      <c r="BI120" s="37">
        <f t="shared" si="105"/>
        <v>6.1728395061728392E-2</v>
      </c>
      <c r="BJ120" s="37">
        <f t="shared" ref="BJ120" si="106">BJ107/BJ$103</f>
        <v>7.2325682113469028E-2</v>
      </c>
      <c r="BK120" s="37">
        <f t="shared" si="93"/>
        <v>7.1861471861471862E-2</v>
      </c>
      <c r="BL120" s="37">
        <f t="shared" ref="BL120" si="107">BL107/BL$103</f>
        <v>7.1735395189003431E-2</v>
      </c>
    </row>
    <row r="121" spans="1:64" s="9" customFormat="1" ht="11.25">
      <c r="A121" s="342" t="s">
        <v>1019</v>
      </c>
      <c r="C121" s="37">
        <f t="shared" si="104"/>
        <v>0</v>
      </c>
      <c r="D121" s="37">
        <f t="shared" si="104"/>
        <v>0</v>
      </c>
      <c r="E121" s="37">
        <f t="shared" si="104"/>
        <v>0</v>
      </c>
      <c r="F121" s="37">
        <f t="shared" si="104"/>
        <v>0</v>
      </c>
      <c r="G121" s="37">
        <f t="shared" si="104"/>
        <v>0</v>
      </c>
      <c r="H121" s="37">
        <f t="shared" si="104"/>
        <v>0</v>
      </c>
      <c r="I121" s="37">
        <f t="shared" si="104"/>
        <v>0</v>
      </c>
      <c r="J121" s="37">
        <f t="shared" si="104"/>
        <v>0</v>
      </c>
      <c r="K121" s="37">
        <f t="shared" si="104"/>
        <v>0</v>
      </c>
      <c r="L121" s="37">
        <f t="shared" si="104"/>
        <v>0</v>
      </c>
      <c r="M121" s="37">
        <f t="shared" si="104"/>
        <v>0</v>
      </c>
      <c r="N121" s="37">
        <f t="shared" si="104"/>
        <v>0</v>
      </c>
      <c r="O121" s="37">
        <f t="shared" si="104"/>
        <v>0</v>
      </c>
      <c r="P121" s="37">
        <f t="shared" si="104"/>
        <v>0</v>
      </c>
      <c r="Q121" s="37">
        <f t="shared" si="104"/>
        <v>0</v>
      </c>
      <c r="R121" s="37">
        <f t="shared" si="104"/>
        <v>0</v>
      </c>
      <c r="S121" s="37">
        <f t="shared" si="104"/>
        <v>0</v>
      </c>
      <c r="T121" s="37">
        <f t="shared" si="104"/>
        <v>0</v>
      </c>
      <c r="U121" s="37">
        <f t="shared" si="104"/>
        <v>0</v>
      </c>
      <c r="V121" s="37">
        <f t="shared" si="104"/>
        <v>0</v>
      </c>
      <c r="W121" s="37">
        <f t="shared" si="104"/>
        <v>0</v>
      </c>
      <c r="X121" s="37">
        <f t="shared" si="104"/>
        <v>0</v>
      </c>
      <c r="Y121" s="37">
        <f t="shared" si="104"/>
        <v>0</v>
      </c>
      <c r="Z121" s="37">
        <f t="shared" si="104"/>
        <v>0.25222929936305732</v>
      </c>
      <c r="AA121" s="37">
        <f t="shared" si="104"/>
        <v>0.24873737373737373</v>
      </c>
      <c r="AB121" s="37">
        <f t="shared" si="104"/>
        <v>0.24444444444444444</v>
      </c>
      <c r="AC121" s="37">
        <f t="shared" si="104"/>
        <v>0.24253285543608125</v>
      </c>
      <c r="AD121" s="37">
        <f t="shared" si="104"/>
        <v>0.24245939675174014</v>
      </c>
      <c r="AE121" s="37">
        <f t="shared" si="104"/>
        <v>0.23026315789473684</v>
      </c>
      <c r="AF121" s="37">
        <f t="shared" si="104"/>
        <v>0.22448979591836735</v>
      </c>
      <c r="AG121" s="37">
        <f t="shared" si="104"/>
        <v>0.22140608604407136</v>
      </c>
      <c r="AH121" s="37">
        <f t="shared" si="104"/>
        <v>0.22040816326530613</v>
      </c>
      <c r="AI121" s="37">
        <f t="shared" si="104"/>
        <v>0.21921921921921922</v>
      </c>
      <c r="AJ121" s="37">
        <f t="shared" si="104"/>
        <v>0.21856866537717601</v>
      </c>
      <c r="AK121" s="37">
        <f t="shared" si="104"/>
        <v>0.21266540642722118</v>
      </c>
      <c r="AL121" s="37">
        <f t="shared" si="104"/>
        <v>0.21062271062271062</v>
      </c>
      <c r="AM121" s="37">
        <f t="shared" si="104"/>
        <v>0.20630630630630631</v>
      </c>
      <c r="AN121" s="37">
        <f t="shared" si="104"/>
        <v>0.19929453262786595</v>
      </c>
      <c r="AO121" s="37">
        <f t="shared" si="104"/>
        <v>0.19269949066213921</v>
      </c>
      <c r="AP121" s="37">
        <f t="shared" si="104"/>
        <v>0.18755118755118755</v>
      </c>
      <c r="AQ121" s="37">
        <f t="shared" si="104"/>
        <v>0.1159274193548387</v>
      </c>
      <c r="AR121" s="37">
        <f t="shared" si="87"/>
        <v>0.11586275484833417</v>
      </c>
      <c r="AS121" s="37">
        <f t="shared" si="87"/>
        <v>0.11648568608094768</v>
      </c>
      <c r="AT121" s="37">
        <f t="shared" si="88"/>
        <v>0.11432777232580962</v>
      </c>
      <c r="AU121" s="37">
        <f t="shared" si="88"/>
        <v>0.1142578125</v>
      </c>
      <c r="AV121" s="37">
        <f t="shared" si="88"/>
        <v>0.11336633663366337</v>
      </c>
      <c r="AW121" s="37">
        <f t="shared" si="88"/>
        <v>0.11254338125929599</v>
      </c>
      <c r="AX121" s="37">
        <f t="shared" si="88"/>
        <v>0.11398705823792932</v>
      </c>
      <c r="AY121" s="37">
        <f t="shared" si="88"/>
        <v>0.11320754716981132</v>
      </c>
      <c r="AZ121" s="37">
        <f t="shared" si="88"/>
        <v>0.11154791154791155</v>
      </c>
      <c r="BA121" s="37">
        <f t="shared" si="88"/>
        <v>0.11019417475728155</v>
      </c>
      <c r="BB121" s="37">
        <f t="shared" si="96"/>
        <v>0.10919540229885058</v>
      </c>
      <c r="BC121" s="37">
        <f t="shared" si="89"/>
        <v>0.10717658168083097</v>
      </c>
      <c r="BD121" s="37">
        <f t="shared" si="90"/>
        <v>0.10587686567164178</v>
      </c>
      <c r="BE121" s="37">
        <f t="shared" si="90"/>
        <v>0.10431154381084839</v>
      </c>
      <c r="BF121" s="37">
        <f t="shared" si="91"/>
        <v>0.10186448385629832</v>
      </c>
      <c r="BG121" s="37">
        <f t="shared" si="91"/>
        <v>0.10022675736961452</v>
      </c>
      <c r="BH121" s="37">
        <f t="shared" ref="BH121:BI121" si="108">BH108/BH$103</f>
        <v>9.8258150960250118E-2</v>
      </c>
      <c r="BI121" s="37">
        <f t="shared" si="108"/>
        <v>9.7442680776014104E-2</v>
      </c>
      <c r="BJ121" s="37">
        <f t="shared" ref="BJ121" si="109">BJ108/BJ$103</f>
        <v>9.571242962321351E-2</v>
      </c>
      <c r="BK121" s="37">
        <f t="shared" si="93"/>
        <v>9.350649350649351E-2</v>
      </c>
      <c r="BL121" s="37">
        <f t="shared" ref="BL121" si="110">BL108/BL$103</f>
        <v>9.2353951890034369E-2</v>
      </c>
    </row>
    <row r="122" spans="1:64" s="9" customFormat="1" ht="11.25">
      <c r="A122" s="342" t="s">
        <v>1016</v>
      </c>
      <c r="C122" s="37">
        <f t="shared" ref="C122:AQ122" si="111">C109/C$103</f>
        <v>0</v>
      </c>
      <c r="D122" s="37">
        <f t="shared" si="111"/>
        <v>0</v>
      </c>
      <c r="E122" s="37">
        <f t="shared" si="111"/>
        <v>0</v>
      </c>
      <c r="F122" s="37">
        <f t="shared" si="111"/>
        <v>0</v>
      </c>
      <c r="G122" s="37">
        <f t="shared" si="111"/>
        <v>0</v>
      </c>
      <c r="H122" s="37">
        <f t="shared" si="111"/>
        <v>0</v>
      </c>
      <c r="I122" s="37">
        <f t="shared" si="111"/>
        <v>0</v>
      </c>
      <c r="J122" s="37">
        <f t="shared" si="111"/>
        <v>0</v>
      </c>
      <c r="K122" s="37">
        <f t="shared" si="111"/>
        <v>0</v>
      </c>
      <c r="L122" s="37">
        <f t="shared" si="111"/>
        <v>0</v>
      </c>
      <c r="M122" s="37">
        <f t="shared" si="111"/>
        <v>0</v>
      </c>
      <c r="N122" s="37">
        <f t="shared" si="111"/>
        <v>0</v>
      </c>
      <c r="O122" s="37">
        <f t="shared" si="111"/>
        <v>0</v>
      </c>
      <c r="P122" s="37">
        <f t="shared" si="111"/>
        <v>0</v>
      </c>
      <c r="Q122" s="37">
        <f t="shared" si="111"/>
        <v>0</v>
      </c>
      <c r="R122" s="37">
        <f t="shared" si="111"/>
        <v>0</v>
      </c>
      <c r="S122" s="37">
        <f t="shared" si="111"/>
        <v>0</v>
      </c>
      <c r="T122" s="37">
        <f t="shared" si="111"/>
        <v>0</v>
      </c>
      <c r="U122" s="37">
        <f t="shared" si="111"/>
        <v>0</v>
      </c>
      <c r="V122" s="37">
        <f t="shared" si="111"/>
        <v>0</v>
      </c>
      <c r="W122" s="37">
        <f t="shared" si="111"/>
        <v>0</v>
      </c>
      <c r="X122" s="37">
        <f t="shared" si="111"/>
        <v>0</v>
      </c>
      <c r="Y122" s="37">
        <f t="shared" si="111"/>
        <v>0</v>
      </c>
      <c r="Z122" s="37">
        <f t="shared" si="111"/>
        <v>0</v>
      </c>
      <c r="AA122" s="37">
        <f t="shared" si="111"/>
        <v>0</v>
      </c>
      <c r="AB122" s="37">
        <f t="shared" si="111"/>
        <v>0</v>
      </c>
      <c r="AC122" s="37">
        <f t="shared" si="111"/>
        <v>0</v>
      </c>
      <c r="AD122" s="37">
        <f t="shared" si="111"/>
        <v>0</v>
      </c>
      <c r="AE122" s="37">
        <f t="shared" si="111"/>
        <v>4.4956140350877194E-2</v>
      </c>
      <c r="AF122" s="37">
        <f t="shared" si="111"/>
        <v>4.4038668098818477E-2</v>
      </c>
      <c r="AG122" s="37">
        <f t="shared" si="111"/>
        <v>4.3022035676810073E-2</v>
      </c>
      <c r="AH122" s="37">
        <f t="shared" si="111"/>
        <v>3.9795918367346937E-2</v>
      </c>
      <c r="AI122" s="37">
        <f t="shared" si="111"/>
        <v>3.8038038038038041E-2</v>
      </c>
      <c r="AJ122" s="37">
        <f t="shared" si="111"/>
        <v>3.6750483558994199E-2</v>
      </c>
      <c r="AK122" s="37">
        <f t="shared" si="111"/>
        <v>3.3081285444234401E-2</v>
      </c>
      <c r="AL122" s="37">
        <f t="shared" si="111"/>
        <v>3.021978021978022E-2</v>
      </c>
      <c r="AM122" s="37">
        <f t="shared" si="111"/>
        <v>2.9729729729729731E-2</v>
      </c>
      <c r="AN122" s="37">
        <f t="shared" si="111"/>
        <v>2.9100529100529099E-2</v>
      </c>
      <c r="AO122" s="37">
        <f t="shared" si="111"/>
        <v>2.7164685908319185E-2</v>
      </c>
      <c r="AP122" s="37">
        <f t="shared" si="111"/>
        <v>2.620802620802621E-2</v>
      </c>
      <c r="AQ122" s="37">
        <f t="shared" si="111"/>
        <v>1.6129032258064516E-2</v>
      </c>
      <c r="AR122" s="37">
        <f t="shared" si="87"/>
        <v>1.5415216310293387E-2</v>
      </c>
      <c r="AS122" s="37">
        <f t="shared" si="87"/>
        <v>1.5301085883514315E-2</v>
      </c>
      <c r="AT122" s="37">
        <f t="shared" si="88"/>
        <v>1.5210991167811581E-2</v>
      </c>
      <c r="AU122" s="37">
        <f t="shared" si="88"/>
        <v>1.513671875E-2</v>
      </c>
      <c r="AV122" s="37">
        <f t="shared" si="88"/>
        <v>1.4851485148514851E-2</v>
      </c>
      <c r="AW122" s="37">
        <f t="shared" si="88"/>
        <v>1.4377788795240456E-2</v>
      </c>
      <c r="AX122" s="37">
        <f t="shared" si="88"/>
        <v>1.3937282229965157E-2</v>
      </c>
      <c r="AY122" s="37">
        <f t="shared" si="88"/>
        <v>1.3406156901688183E-2</v>
      </c>
      <c r="AZ122" s="37">
        <f t="shared" si="88"/>
        <v>1.3267813267813268E-2</v>
      </c>
      <c r="BA122" s="37">
        <f t="shared" si="88"/>
        <v>1.3592233009708738E-2</v>
      </c>
      <c r="BB122" s="37">
        <f t="shared" si="96"/>
        <v>1.3888888888888888E-2</v>
      </c>
      <c r="BC122" s="37">
        <f t="shared" si="89"/>
        <v>1.3220018885741265E-2</v>
      </c>
      <c r="BD122" s="37">
        <f t="shared" si="90"/>
        <v>1.3059701492537313E-2</v>
      </c>
      <c r="BE122" s="37">
        <f t="shared" si="90"/>
        <v>1.3444598980064905E-2</v>
      </c>
      <c r="BF122" s="37">
        <f t="shared" si="91"/>
        <v>1.3187812642110049E-2</v>
      </c>
      <c r="BG122" s="37">
        <f t="shared" si="91"/>
        <v>1.3151927437641724E-2</v>
      </c>
      <c r="BH122" s="37">
        <f t="shared" ref="BH122:BI122" si="112">BH109/BH$103</f>
        <v>1.2952210808396605E-2</v>
      </c>
      <c r="BI122" s="37">
        <f t="shared" si="112"/>
        <v>1.2786596119929453E-2</v>
      </c>
      <c r="BJ122" s="37">
        <f t="shared" ref="BJ122" si="113">BJ109/BJ$103</f>
        <v>1.2559549588566478E-2</v>
      </c>
      <c r="BK122" s="37">
        <f t="shared" si="93"/>
        <v>1.2554112554112554E-2</v>
      </c>
      <c r="BL122" s="37">
        <f t="shared" ref="BL122" si="114">BL109/BL$103</f>
        <v>1.2027491408934709E-2</v>
      </c>
    </row>
    <row r="123" spans="1:64" s="9" customFormat="1" ht="11.25">
      <c r="A123" s="342" t="s">
        <v>1015</v>
      </c>
      <c r="C123" s="37">
        <f t="shared" ref="C123:AQ123" si="115">C110/C$103</f>
        <v>0</v>
      </c>
      <c r="D123" s="37">
        <f t="shared" si="115"/>
        <v>0</v>
      </c>
      <c r="E123" s="37">
        <f t="shared" si="115"/>
        <v>0</v>
      </c>
      <c r="F123" s="37">
        <f t="shared" si="115"/>
        <v>0</v>
      </c>
      <c r="G123" s="37">
        <f t="shared" si="115"/>
        <v>0</v>
      </c>
      <c r="H123" s="37">
        <f t="shared" si="115"/>
        <v>0</v>
      </c>
      <c r="I123" s="37">
        <f t="shared" si="115"/>
        <v>0</v>
      </c>
      <c r="J123" s="37">
        <f t="shared" si="115"/>
        <v>0</v>
      </c>
      <c r="K123" s="37">
        <f t="shared" si="115"/>
        <v>0</v>
      </c>
      <c r="L123" s="37">
        <f t="shared" si="115"/>
        <v>0</v>
      </c>
      <c r="M123" s="37">
        <f t="shared" si="115"/>
        <v>0</v>
      </c>
      <c r="N123" s="37">
        <f t="shared" si="115"/>
        <v>0</v>
      </c>
      <c r="O123" s="37">
        <f t="shared" si="115"/>
        <v>0</v>
      </c>
      <c r="P123" s="37">
        <f t="shared" si="115"/>
        <v>0</v>
      </c>
      <c r="Q123" s="37">
        <f t="shared" si="115"/>
        <v>4.2372881355932203E-3</v>
      </c>
      <c r="R123" s="37">
        <f t="shared" si="115"/>
        <v>4.0160642570281121E-3</v>
      </c>
      <c r="S123" s="37">
        <f t="shared" si="115"/>
        <v>3.952569169960474E-3</v>
      </c>
      <c r="T123" s="37">
        <f t="shared" si="115"/>
        <v>3.8022813688212928E-3</v>
      </c>
      <c r="U123" s="37">
        <f t="shared" si="115"/>
        <v>7.2727272727272727E-3</v>
      </c>
      <c r="V123" s="37">
        <f t="shared" si="115"/>
        <v>1.0452961672473868E-2</v>
      </c>
      <c r="W123" s="37">
        <f t="shared" si="115"/>
        <v>1.020408163265306E-2</v>
      </c>
      <c r="X123" s="37">
        <f t="shared" si="115"/>
        <v>1.0067114093959731E-2</v>
      </c>
      <c r="Y123" s="37">
        <f t="shared" si="115"/>
        <v>1.5772870662460567E-2</v>
      </c>
      <c r="Z123" s="37">
        <f t="shared" si="115"/>
        <v>6.369426751592357E-3</v>
      </c>
      <c r="AA123" s="37">
        <f t="shared" si="115"/>
        <v>7.575757575757576E-3</v>
      </c>
      <c r="AB123" s="37">
        <f t="shared" si="115"/>
        <v>7.4074074074074077E-3</v>
      </c>
      <c r="AC123" s="37">
        <f t="shared" si="115"/>
        <v>9.557945041816009E-3</v>
      </c>
      <c r="AD123" s="37">
        <f t="shared" si="115"/>
        <v>9.2807424593967514E-3</v>
      </c>
      <c r="AE123" s="37">
        <f t="shared" si="115"/>
        <v>8.771929824561403E-3</v>
      </c>
      <c r="AF123" s="37">
        <f t="shared" si="115"/>
        <v>9.6670247046186895E-3</v>
      </c>
      <c r="AG123" s="37">
        <f t="shared" si="115"/>
        <v>9.4438614900314802E-3</v>
      </c>
      <c r="AH123" s="37">
        <f t="shared" si="115"/>
        <v>8.1632653061224497E-3</v>
      </c>
      <c r="AI123" s="37">
        <f t="shared" si="115"/>
        <v>9.0090090090090089E-3</v>
      </c>
      <c r="AJ123" s="37">
        <f t="shared" si="115"/>
        <v>8.7040618955512572E-3</v>
      </c>
      <c r="AK123" s="37">
        <f t="shared" si="115"/>
        <v>9.4517958412098299E-3</v>
      </c>
      <c r="AL123" s="37">
        <f t="shared" si="115"/>
        <v>9.1575091575091579E-3</v>
      </c>
      <c r="AM123" s="37">
        <f t="shared" si="115"/>
        <v>9.0090090090090089E-3</v>
      </c>
      <c r="AN123" s="37">
        <f t="shared" si="115"/>
        <v>8.8183421516754845E-3</v>
      </c>
      <c r="AO123" s="37">
        <f t="shared" si="115"/>
        <v>8.4889643463497456E-3</v>
      </c>
      <c r="AP123" s="37">
        <f t="shared" si="115"/>
        <v>8.1900081900081901E-3</v>
      </c>
      <c r="AQ123" s="37">
        <f t="shared" si="115"/>
        <v>5.0403225806451612E-3</v>
      </c>
      <c r="AR123" s="37">
        <f t="shared" si="87"/>
        <v>2.9835902536051715E-3</v>
      </c>
      <c r="AS123" s="37">
        <f t="shared" si="87"/>
        <v>2.4679170779861796E-3</v>
      </c>
      <c r="AT123" s="37">
        <f t="shared" si="88"/>
        <v>2.4533856722276743E-3</v>
      </c>
      <c r="AU123" s="37">
        <f t="shared" si="88"/>
        <v>2.44140625E-3</v>
      </c>
      <c r="AV123" s="37">
        <f t="shared" si="88"/>
        <v>2.4752475247524753E-3</v>
      </c>
      <c r="AW123" s="37">
        <f t="shared" si="88"/>
        <v>2.9747149231531978E-3</v>
      </c>
      <c r="AX123" s="37">
        <f t="shared" si="88"/>
        <v>3.4843205574912892E-3</v>
      </c>
      <c r="AY123" s="37">
        <f t="shared" si="88"/>
        <v>3.4756703078450842E-3</v>
      </c>
      <c r="AZ123" s="37">
        <f t="shared" si="88"/>
        <v>3.4398034398034397E-3</v>
      </c>
      <c r="BA123" s="37">
        <f t="shared" si="88"/>
        <v>3.3980582524271844E-3</v>
      </c>
      <c r="BB123" s="37">
        <f t="shared" si="96"/>
        <v>1.4367816091954023E-3</v>
      </c>
      <c r="BC123" s="37">
        <f t="shared" si="89"/>
        <v>1.4164305949008499E-3</v>
      </c>
      <c r="BD123" s="37">
        <f t="shared" si="90"/>
        <v>1.3992537313432835E-3</v>
      </c>
      <c r="BE123" s="37">
        <f t="shared" si="90"/>
        <v>1.3908205841446453E-3</v>
      </c>
      <c r="BF123" s="37">
        <f t="shared" si="91"/>
        <v>1.364256480218281E-3</v>
      </c>
      <c r="BG123" s="37">
        <f t="shared" si="91"/>
        <v>1.3605442176870747E-3</v>
      </c>
      <c r="BH123" s="37">
        <f t="shared" ref="BH123:BI123" si="116">BH110/BH$103</f>
        <v>1.3398838767306833E-3</v>
      </c>
      <c r="BI123" s="37">
        <f t="shared" si="116"/>
        <v>1.3227513227513227E-3</v>
      </c>
      <c r="BJ123" s="37">
        <f t="shared" ref="BJ123" si="117">BJ110/BJ$103</f>
        <v>1.2992637505413599E-3</v>
      </c>
      <c r="BK123" s="37">
        <f t="shared" si="93"/>
        <v>1.2987012987012987E-3</v>
      </c>
      <c r="BL123" s="37">
        <f t="shared" ref="BL123" si="118">BL110/BL$103</f>
        <v>1.288659793814433E-3</v>
      </c>
    </row>
    <row r="124" spans="1:64" s="9" customFormat="1" ht="11.25">
      <c r="A124" s="342" t="s">
        <v>1017</v>
      </c>
      <c r="C124" s="37">
        <f t="shared" ref="C124:AQ124" si="119">C111/C$103</f>
        <v>0</v>
      </c>
      <c r="D124" s="37">
        <f t="shared" si="119"/>
        <v>0</v>
      </c>
      <c r="E124" s="37">
        <f t="shared" si="119"/>
        <v>0</v>
      </c>
      <c r="F124" s="37">
        <f t="shared" si="119"/>
        <v>0</v>
      </c>
      <c r="G124" s="37">
        <f t="shared" si="119"/>
        <v>0</v>
      </c>
      <c r="H124" s="37">
        <f t="shared" si="119"/>
        <v>0</v>
      </c>
      <c r="I124" s="37">
        <f t="shared" si="119"/>
        <v>0</v>
      </c>
      <c r="J124" s="37">
        <f t="shared" si="119"/>
        <v>0</v>
      </c>
      <c r="K124" s="37">
        <f t="shared" si="119"/>
        <v>0</v>
      </c>
      <c r="L124" s="37">
        <f t="shared" si="119"/>
        <v>0</v>
      </c>
      <c r="M124" s="37">
        <f t="shared" si="119"/>
        <v>0</v>
      </c>
      <c r="N124" s="37">
        <f t="shared" si="119"/>
        <v>0</v>
      </c>
      <c r="O124" s="37">
        <f t="shared" si="119"/>
        <v>0</v>
      </c>
      <c r="P124" s="37">
        <f t="shared" si="119"/>
        <v>0</v>
      </c>
      <c r="Q124" s="37">
        <f t="shared" si="119"/>
        <v>0</v>
      </c>
      <c r="R124" s="37">
        <f t="shared" si="119"/>
        <v>0</v>
      </c>
      <c r="S124" s="37">
        <f t="shared" si="119"/>
        <v>0</v>
      </c>
      <c r="T124" s="37">
        <f t="shared" si="119"/>
        <v>0</v>
      </c>
      <c r="U124" s="37">
        <f t="shared" si="119"/>
        <v>0</v>
      </c>
      <c r="V124" s="37">
        <f t="shared" si="119"/>
        <v>0</v>
      </c>
      <c r="W124" s="37">
        <f t="shared" si="119"/>
        <v>0</v>
      </c>
      <c r="X124" s="37">
        <f t="shared" si="119"/>
        <v>0</v>
      </c>
      <c r="Y124" s="37">
        <f t="shared" si="119"/>
        <v>0</v>
      </c>
      <c r="Z124" s="37">
        <f t="shared" si="119"/>
        <v>2.4203821656050957E-2</v>
      </c>
      <c r="AA124" s="37">
        <f t="shared" si="119"/>
        <v>2.3989898989898988E-2</v>
      </c>
      <c r="AB124" s="37">
        <f t="shared" si="119"/>
        <v>2.2222222222222223E-2</v>
      </c>
      <c r="AC124" s="37">
        <f t="shared" si="119"/>
        <v>2.1505376344086023E-2</v>
      </c>
      <c r="AD124" s="37">
        <f t="shared" si="119"/>
        <v>1.9721577726218097E-2</v>
      </c>
      <c r="AE124" s="37">
        <f t="shared" si="119"/>
        <v>1.8640350877192981E-2</v>
      </c>
      <c r="AF124" s="37">
        <f t="shared" si="119"/>
        <v>1.611170784103115E-2</v>
      </c>
      <c r="AG124" s="37">
        <f t="shared" si="119"/>
        <v>1.5739769150052464E-2</v>
      </c>
      <c r="AH124" s="37">
        <f t="shared" si="119"/>
        <v>1.5306122448979591E-2</v>
      </c>
      <c r="AI124" s="37">
        <f t="shared" si="119"/>
        <v>1.5015015015015015E-2</v>
      </c>
      <c r="AJ124" s="37">
        <f t="shared" si="119"/>
        <v>1.4506769825918761E-2</v>
      </c>
      <c r="AK124" s="37">
        <f t="shared" si="119"/>
        <v>1.5122873345935728E-2</v>
      </c>
      <c r="AL124" s="37">
        <f t="shared" si="119"/>
        <v>1.5567765567765568E-2</v>
      </c>
      <c r="AM124" s="37">
        <f t="shared" si="119"/>
        <v>1.5315315315315315E-2</v>
      </c>
      <c r="AN124" s="37">
        <f t="shared" si="119"/>
        <v>1.4991181657848324E-2</v>
      </c>
      <c r="AO124" s="37">
        <f t="shared" si="119"/>
        <v>1.5280135823429542E-2</v>
      </c>
      <c r="AP124" s="37">
        <f t="shared" si="119"/>
        <v>1.5561015561015561E-2</v>
      </c>
      <c r="AQ124" s="37">
        <f t="shared" si="119"/>
        <v>9.0725806451612909E-3</v>
      </c>
      <c r="AR124" s="37">
        <f t="shared" si="87"/>
        <v>8.950770760815515E-3</v>
      </c>
      <c r="AS124" s="37">
        <f t="shared" si="87"/>
        <v>8.3909180651530104E-3</v>
      </c>
      <c r="AT124" s="37">
        <f t="shared" si="88"/>
        <v>8.3415112855740915E-3</v>
      </c>
      <c r="AU124" s="37">
        <f t="shared" si="88"/>
        <v>8.7890625E-3</v>
      </c>
      <c r="AV124" s="37">
        <f t="shared" si="88"/>
        <v>8.4158415841584164E-3</v>
      </c>
      <c r="AW124" s="37">
        <f t="shared" si="88"/>
        <v>8.4283589489340602E-3</v>
      </c>
      <c r="AX124" s="37">
        <f t="shared" si="88"/>
        <v>4.9776007964161273E-4</v>
      </c>
      <c r="AY124" s="37">
        <f t="shared" si="88"/>
        <v>0</v>
      </c>
      <c r="AZ124" s="37">
        <f t="shared" si="88"/>
        <v>0</v>
      </c>
      <c r="BA124" s="37">
        <f t="shared" si="88"/>
        <v>0</v>
      </c>
      <c r="BB124" s="37">
        <f t="shared" si="96"/>
        <v>0</v>
      </c>
      <c r="BC124" s="37">
        <f t="shared" si="89"/>
        <v>0</v>
      </c>
      <c r="BD124" s="37">
        <f t="shared" si="90"/>
        <v>0</v>
      </c>
      <c r="BE124" s="37">
        <f t="shared" si="90"/>
        <v>0</v>
      </c>
      <c r="BF124" s="37">
        <f t="shared" si="91"/>
        <v>0</v>
      </c>
      <c r="BG124" s="37">
        <f t="shared" si="91"/>
        <v>0</v>
      </c>
      <c r="BH124" s="37">
        <f t="shared" ref="BH124:BI124" si="120">BH111/BH$103</f>
        <v>0</v>
      </c>
      <c r="BI124" s="37">
        <f t="shared" si="120"/>
        <v>0</v>
      </c>
      <c r="BJ124" s="37">
        <f t="shared" ref="BJ124" si="121">BJ111/BJ$103</f>
        <v>0</v>
      </c>
      <c r="BK124" s="37">
        <f t="shared" si="93"/>
        <v>0</v>
      </c>
      <c r="BL124" s="37">
        <f t="shared" ref="BL124" si="122">BL111/BL$103</f>
        <v>0</v>
      </c>
    </row>
    <row r="125" spans="1:64" s="9" customFormat="1" ht="11.25">
      <c r="A125" s="342" t="s">
        <v>1120</v>
      </c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>
        <f>AQ112/AQ$103</f>
        <v>6.25E-2</v>
      </c>
      <c r="AR125" s="37">
        <f t="shared" si="87"/>
        <v>6.1660865241173549E-2</v>
      </c>
      <c r="AS125" s="37">
        <f t="shared" si="87"/>
        <v>6.465942744323791E-2</v>
      </c>
      <c r="AT125" s="37">
        <f t="shared" si="88"/>
        <v>6.4278704612365067E-2</v>
      </c>
      <c r="AU125" s="37">
        <f t="shared" si="88"/>
        <v>6.25E-2</v>
      </c>
      <c r="AV125" s="37">
        <f t="shared" si="88"/>
        <v>6.089108910891089E-2</v>
      </c>
      <c r="AW125" s="37">
        <f t="shared" si="88"/>
        <v>6.1477441745166089E-2</v>
      </c>
      <c r="AX125" s="37">
        <f t="shared" si="88"/>
        <v>6.0228969636635141E-2</v>
      </c>
      <c r="AY125" s="37">
        <f t="shared" si="88"/>
        <v>5.9582919563058591E-2</v>
      </c>
      <c r="AZ125" s="37">
        <f t="shared" si="88"/>
        <v>5.896805896805897E-2</v>
      </c>
      <c r="BA125" s="37">
        <f t="shared" si="88"/>
        <v>5.8737864077669906E-2</v>
      </c>
      <c r="BB125" s="37">
        <f t="shared" si="96"/>
        <v>5.842911877394636E-2</v>
      </c>
      <c r="BC125" s="37">
        <f t="shared" si="89"/>
        <v>5.8545797922568463E-2</v>
      </c>
      <c r="BD125" s="37">
        <f t="shared" si="90"/>
        <v>5.8302238805970151E-2</v>
      </c>
      <c r="BE125" s="37">
        <f t="shared" si="90"/>
        <v>5.7487250811312007E-2</v>
      </c>
      <c r="BF125" s="37">
        <f t="shared" si="91"/>
        <v>5.5025011368804E-2</v>
      </c>
      <c r="BG125" s="37">
        <f t="shared" si="91"/>
        <v>5.4421768707482991E-2</v>
      </c>
      <c r="BH125" s="37">
        <f t="shared" ref="BH125:BI125" si="123">BH112/BH$103</f>
        <v>5.3595355069227336E-2</v>
      </c>
      <c r="BI125" s="37">
        <f t="shared" si="123"/>
        <v>5.2910052910052907E-2</v>
      </c>
      <c r="BJ125" s="37">
        <f t="shared" ref="BJ125" si="124">BJ112/BJ$103</f>
        <v>5.1970550021654398E-2</v>
      </c>
      <c r="BK125" s="37">
        <f t="shared" si="93"/>
        <v>5.1948051948051951E-2</v>
      </c>
      <c r="BL125" s="37">
        <f t="shared" ref="BL125" si="125">BL112/BL$103</f>
        <v>5.0687285223367698E-2</v>
      </c>
    </row>
    <row r="126" spans="1:64" s="9" customFormat="1" ht="11.25">
      <c r="A126" s="342" t="s">
        <v>331</v>
      </c>
      <c r="C126" s="37">
        <f t="shared" ref="C126:AO126" si="126">C113/C$103</f>
        <v>0</v>
      </c>
      <c r="D126" s="37">
        <f t="shared" si="126"/>
        <v>0</v>
      </c>
      <c r="E126" s="37">
        <f t="shared" si="126"/>
        <v>0</v>
      </c>
      <c r="F126" s="37">
        <f t="shared" si="126"/>
        <v>0</v>
      </c>
      <c r="G126" s="37">
        <f t="shared" si="126"/>
        <v>0</v>
      </c>
      <c r="H126" s="37">
        <f t="shared" si="126"/>
        <v>0</v>
      </c>
      <c r="I126" s="37">
        <f t="shared" si="126"/>
        <v>0</v>
      </c>
      <c r="J126" s="37">
        <f t="shared" si="126"/>
        <v>0</v>
      </c>
      <c r="K126" s="37">
        <f t="shared" si="126"/>
        <v>0</v>
      </c>
      <c r="L126" s="37">
        <f t="shared" si="126"/>
        <v>0</v>
      </c>
      <c r="M126" s="37">
        <f t="shared" si="126"/>
        <v>0</v>
      </c>
      <c r="N126" s="37">
        <f t="shared" si="126"/>
        <v>0</v>
      </c>
      <c r="O126" s="37">
        <f t="shared" si="126"/>
        <v>0</v>
      </c>
      <c r="P126" s="37">
        <f t="shared" si="126"/>
        <v>0</v>
      </c>
      <c r="Q126" s="37">
        <f t="shared" si="126"/>
        <v>0</v>
      </c>
      <c r="R126" s="37">
        <f t="shared" si="126"/>
        <v>0</v>
      </c>
      <c r="S126" s="37">
        <f t="shared" si="126"/>
        <v>0</v>
      </c>
      <c r="T126" s="37">
        <f t="shared" si="126"/>
        <v>0</v>
      </c>
      <c r="U126" s="37">
        <f t="shared" si="126"/>
        <v>0</v>
      </c>
      <c r="V126" s="37">
        <f t="shared" si="126"/>
        <v>0</v>
      </c>
      <c r="W126" s="37">
        <f t="shared" si="126"/>
        <v>0</v>
      </c>
      <c r="X126" s="37">
        <f t="shared" si="126"/>
        <v>0</v>
      </c>
      <c r="Y126" s="37">
        <f t="shared" si="126"/>
        <v>0</v>
      </c>
      <c r="Z126" s="37">
        <f t="shared" si="126"/>
        <v>3.0573248407643312E-2</v>
      </c>
      <c r="AA126" s="37">
        <f t="shared" si="126"/>
        <v>2.6515151515151516E-2</v>
      </c>
      <c r="AB126" s="37">
        <f t="shared" si="126"/>
        <v>2.5925925925925925E-2</v>
      </c>
      <c r="AC126" s="37">
        <f t="shared" si="126"/>
        <v>2.3894862604540025E-2</v>
      </c>
      <c r="AD126" s="37">
        <f t="shared" si="126"/>
        <v>2.2041763341067284E-2</v>
      </c>
      <c r="AE126" s="37">
        <f t="shared" si="126"/>
        <v>1.425438596491228E-2</v>
      </c>
      <c r="AF126" s="37">
        <f t="shared" si="126"/>
        <v>1.1815252416756176E-2</v>
      </c>
      <c r="AG126" s="37">
        <f t="shared" si="126"/>
        <v>1.049317943336831E-2</v>
      </c>
      <c r="AH126" s="37">
        <f t="shared" si="126"/>
        <v>1.020408163265306E-2</v>
      </c>
      <c r="AI126" s="37">
        <f t="shared" si="126"/>
        <v>7.0070070070070069E-3</v>
      </c>
      <c r="AJ126" s="37">
        <f t="shared" si="126"/>
        <v>5.8027079303675051E-3</v>
      </c>
      <c r="AK126" s="37">
        <f t="shared" si="126"/>
        <v>6.6162570888468808E-3</v>
      </c>
      <c r="AL126" s="37">
        <f t="shared" si="126"/>
        <v>6.41025641025641E-3</v>
      </c>
      <c r="AM126" s="37">
        <f t="shared" si="126"/>
        <v>5.4054054054054057E-3</v>
      </c>
      <c r="AN126" s="37">
        <f t="shared" si="126"/>
        <v>6.1728395061728392E-3</v>
      </c>
      <c r="AO126" s="37">
        <f t="shared" si="126"/>
        <v>6.7911714770797962E-3</v>
      </c>
      <c r="AP126" s="37">
        <f>AP113/AP$103</f>
        <v>6.5520065520065524E-3</v>
      </c>
      <c r="AQ126" s="37">
        <f>AQ113/AQ$103</f>
        <v>3.3266129032258063E-2</v>
      </c>
      <c r="AR126" s="37">
        <f t="shared" si="87"/>
        <v>3.4311287916459474E-2</v>
      </c>
      <c r="AS126" s="37">
        <f t="shared" si="87"/>
        <v>3.5538005923000986E-2</v>
      </c>
      <c r="AT126" s="37">
        <f t="shared" si="88"/>
        <v>3.2875368007850833E-2</v>
      </c>
      <c r="AU126" s="37">
        <f t="shared" si="88"/>
        <v>3.173828125E-2</v>
      </c>
      <c r="AV126" s="37">
        <f t="shared" si="88"/>
        <v>3.0693069306930693E-2</v>
      </c>
      <c r="AW126" s="37">
        <f t="shared" si="88"/>
        <v>2.9251363411006447E-2</v>
      </c>
      <c r="AX126" s="37">
        <f t="shared" si="88"/>
        <v>2.9865604778496764E-2</v>
      </c>
      <c r="AY126" s="37">
        <f t="shared" si="88"/>
        <v>3.0287984111221449E-2</v>
      </c>
      <c r="AZ126" s="37">
        <f t="shared" si="88"/>
        <v>3.1941031941031942E-2</v>
      </c>
      <c r="BA126" s="37">
        <f t="shared" si="88"/>
        <v>3.2038834951456312E-2</v>
      </c>
      <c r="BB126" s="37">
        <f t="shared" si="96"/>
        <v>3.2567049808429116E-2</v>
      </c>
      <c r="BC126" s="37">
        <f t="shared" si="89"/>
        <v>3.352219074598678E-2</v>
      </c>
      <c r="BD126" s="37">
        <f t="shared" si="90"/>
        <v>3.2182835820895525E-2</v>
      </c>
      <c r="BE126" s="37">
        <f t="shared" si="90"/>
        <v>3.0598052851182198E-2</v>
      </c>
      <c r="BF126" s="37">
        <f t="shared" si="91"/>
        <v>2.9558890404729421E-2</v>
      </c>
      <c r="BG126" s="37">
        <f t="shared" si="91"/>
        <v>1.9501133786848073E-2</v>
      </c>
      <c r="BH126" s="37">
        <f t="shared" ref="BH126:BI126" si="127">BH113/BH$103</f>
        <v>2.188476998660116E-2</v>
      </c>
      <c r="BI126" s="37">
        <f t="shared" si="127"/>
        <v>1.8518518518518517E-2</v>
      </c>
      <c r="BJ126" s="37">
        <f t="shared" ref="BJ126" si="128">BJ113/BJ$103</f>
        <v>7.795582503248159E-3</v>
      </c>
      <c r="BK126" s="37">
        <f t="shared" si="93"/>
        <v>7.7922077922077922E-3</v>
      </c>
      <c r="BL126" s="37">
        <f t="shared" ref="BL126" si="129">BL113/BL$103</f>
        <v>7.7319587628865982E-3</v>
      </c>
    </row>
    <row r="127" spans="1:64" s="9" customFormat="1" ht="11.25">
      <c r="A127" s="950" t="s">
        <v>325</v>
      </c>
      <c r="B127" s="949"/>
      <c r="C127" s="949">
        <f t="shared" ref="C127:AO127" si="130">SUM(C117:C126)</f>
        <v>1</v>
      </c>
      <c r="D127" s="949">
        <f t="shared" si="130"/>
        <v>1</v>
      </c>
      <c r="E127" s="949">
        <f t="shared" si="130"/>
        <v>0.99999999999999989</v>
      </c>
      <c r="F127" s="949">
        <f t="shared" si="130"/>
        <v>1</v>
      </c>
      <c r="G127" s="949">
        <f t="shared" si="130"/>
        <v>1</v>
      </c>
      <c r="H127" s="949">
        <f t="shared" si="130"/>
        <v>1</v>
      </c>
      <c r="I127" s="949">
        <f t="shared" si="130"/>
        <v>1</v>
      </c>
      <c r="J127" s="949">
        <f t="shared" si="130"/>
        <v>1</v>
      </c>
      <c r="K127" s="949">
        <f t="shared" si="130"/>
        <v>1</v>
      </c>
      <c r="L127" s="949">
        <f t="shared" si="130"/>
        <v>1</v>
      </c>
      <c r="M127" s="949">
        <f t="shared" si="130"/>
        <v>0.99999999999999989</v>
      </c>
      <c r="N127" s="949">
        <f t="shared" si="130"/>
        <v>1</v>
      </c>
      <c r="O127" s="949">
        <f t="shared" si="130"/>
        <v>1</v>
      </c>
      <c r="P127" s="949">
        <f t="shared" si="130"/>
        <v>1</v>
      </c>
      <c r="Q127" s="949">
        <f t="shared" si="130"/>
        <v>1</v>
      </c>
      <c r="R127" s="949">
        <f t="shared" si="130"/>
        <v>1</v>
      </c>
      <c r="S127" s="949">
        <f t="shared" si="130"/>
        <v>1</v>
      </c>
      <c r="T127" s="949">
        <f t="shared" si="130"/>
        <v>1</v>
      </c>
      <c r="U127" s="949">
        <f t="shared" si="130"/>
        <v>1</v>
      </c>
      <c r="V127" s="949">
        <f t="shared" si="130"/>
        <v>1</v>
      </c>
      <c r="W127" s="949">
        <f t="shared" si="130"/>
        <v>1</v>
      </c>
      <c r="X127" s="949">
        <f t="shared" si="130"/>
        <v>1</v>
      </c>
      <c r="Y127" s="949">
        <f t="shared" si="130"/>
        <v>0.99999999999999989</v>
      </c>
      <c r="Z127" s="949">
        <f t="shared" si="130"/>
        <v>1</v>
      </c>
      <c r="AA127" s="949">
        <f t="shared" si="130"/>
        <v>0.99999999999999989</v>
      </c>
      <c r="AB127" s="949">
        <f t="shared" si="130"/>
        <v>1</v>
      </c>
      <c r="AC127" s="949">
        <f t="shared" si="130"/>
        <v>1</v>
      </c>
      <c r="AD127" s="949">
        <f t="shared" si="130"/>
        <v>1</v>
      </c>
      <c r="AE127" s="949">
        <f t="shared" si="130"/>
        <v>1.0000000000000002</v>
      </c>
      <c r="AF127" s="949">
        <f t="shared" si="130"/>
        <v>1</v>
      </c>
      <c r="AG127" s="949">
        <f t="shared" si="130"/>
        <v>1.0000000000000002</v>
      </c>
      <c r="AH127" s="949">
        <f t="shared" si="130"/>
        <v>1</v>
      </c>
      <c r="AI127" s="949">
        <f t="shared" si="130"/>
        <v>0.99999999999999989</v>
      </c>
      <c r="AJ127" s="949">
        <f t="shared" si="130"/>
        <v>1</v>
      </c>
      <c r="AK127" s="949">
        <f t="shared" si="130"/>
        <v>1</v>
      </c>
      <c r="AL127" s="949">
        <f t="shared" si="130"/>
        <v>1</v>
      </c>
      <c r="AM127" s="949">
        <f t="shared" si="130"/>
        <v>1</v>
      </c>
      <c r="AN127" s="949">
        <f t="shared" si="130"/>
        <v>0.99999999999999978</v>
      </c>
      <c r="AO127" s="949">
        <f t="shared" si="130"/>
        <v>1</v>
      </c>
      <c r="AP127" s="949">
        <f t="shared" ref="AP127:AU127" si="131">SUM(AP117:AP126)</f>
        <v>1</v>
      </c>
      <c r="AQ127" s="949">
        <f t="shared" si="131"/>
        <v>1</v>
      </c>
      <c r="AR127" s="949">
        <f t="shared" si="131"/>
        <v>0.99999999999999989</v>
      </c>
      <c r="AS127" s="949">
        <f t="shared" si="131"/>
        <v>1</v>
      </c>
      <c r="AT127" s="949">
        <f t="shared" si="131"/>
        <v>1</v>
      </c>
      <c r="AU127" s="949">
        <f t="shared" si="131"/>
        <v>1</v>
      </c>
      <c r="AV127" s="949">
        <f t="shared" ref="AV127:BD127" si="132">SUM(AV117:AV126)</f>
        <v>1</v>
      </c>
      <c r="AW127" s="949">
        <f t="shared" si="132"/>
        <v>0.99999999999999989</v>
      </c>
      <c r="AX127" s="949">
        <f t="shared" si="132"/>
        <v>1.0000000000000002</v>
      </c>
      <c r="AY127" s="949">
        <f t="shared" si="132"/>
        <v>1</v>
      </c>
      <c r="AZ127" s="949">
        <f t="shared" si="132"/>
        <v>1.0000000000000002</v>
      </c>
      <c r="BA127" s="949">
        <f t="shared" si="132"/>
        <v>1</v>
      </c>
      <c r="BB127" s="949">
        <f t="shared" si="132"/>
        <v>1</v>
      </c>
      <c r="BC127" s="949">
        <f t="shared" si="132"/>
        <v>1</v>
      </c>
      <c r="BD127" s="949">
        <f t="shared" si="132"/>
        <v>1.0000000000000002</v>
      </c>
      <c r="BE127" s="949">
        <f t="shared" ref="BE127:BK127" si="133">SUM(BE117:BE126)</f>
        <v>1</v>
      </c>
      <c r="BF127" s="949">
        <f t="shared" si="133"/>
        <v>1</v>
      </c>
      <c r="BG127" s="949">
        <f t="shared" si="133"/>
        <v>0.99999999999999989</v>
      </c>
      <c r="BH127" s="949">
        <f t="shared" si="133"/>
        <v>0.99999999999999989</v>
      </c>
      <c r="BI127" s="949">
        <f t="shared" si="133"/>
        <v>1.0000000000000002</v>
      </c>
      <c r="BJ127" s="949">
        <f t="shared" si="133"/>
        <v>1</v>
      </c>
      <c r="BK127" s="949">
        <f t="shared" si="133"/>
        <v>1</v>
      </c>
      <c r="BL127" s="949">
        <f t="shared" ref="BL127" si="134">SUM(BL117:BL126)</f>
        <v>0.99999999999999989</v>
      </c>
    </row>
    <row r="128" spans="1:64" s="9" customFormat="1" ht="11.25">
      <c r="A128" s="950"/>
      <c r="B128" s="949"/>
      <c r="C128" s="949"/>
      <c r="D128" s="949"/>
      <c r="E128" s="949"/>
      <c r="F128" s="949"/>
      <c r="G128" s="949"/>
      <c r="H128" s="949"/>
      <c r="I128" s="949"/>
      <c r="J128" s="949"/>
      <c r="K128" s="949"/>
      <c r="L128" s="949"/>
      <c r="M128" s="949"/>
      <c r="N128" s="949"/>
      <c r="O128" s="949"/>
      <c r="P128" s="949"/>
      <c r="Q128" s="949"/>
      <c r="R128" s="949"/>
      <c r="S128" s="949"/>
      <c r="T128" s="949"/>
      <c r="U128" s="949"/>
      <c r="V128" s="949"/>
      <c r="W128" s="949"/>
      <c r="X128" s="949"/>
      <c r="Y128" s="949"/>
      <c r="Z128" s="949"/>
      <c r="AA128" s="949"/>
      <c r="AB128" s="949"/>
      <c r="AC128" s="949"/>
      <c r="AD128" s="949"/>
      <c r="AE128" s="949"/>
      <c r="AF128" s="949"/>
      <c r="AG128" s="949"/>
      <c r="AH128" s="949"/>
      <c r="AI128" s="949"/>
      <c r="AJ128" s="949"/>
      <c r="AK128" s="949"/>
      <c r="AL128" s="949"/>
      <c r="AM128" s="949"/>
      <c r="AN128" s="949"/>
      <c r="AO128" s="949"/>
      <c r="AP128" s="949"/>
    </row>
    <row r="129" spans="1:64" s="9" customFormat="1" ht="11.25">
      <c r="A129" s="950"/>
      <c r="B129" s="949"/>
      <c r="C129" s="949"/>
      <c r="D129" s="949"/>
      <c r="E129" s="949"/>
      <c r="F129" s="949"/>
      <c r="G129" s="949"/>
      <c r="H129" s="949"/>
      <c r="I129" s="949"/>
      <c r="J129" s="949"/>
      <c r="K129" s="949"/>
      <c r="L129" s="949"/>
      <c r="M129" s="949"/>
      <c r="N129" s="949"/>
      <c r="O129" s="949"/>
      <c r="P129" s="949"/>
      <c r="Q129" s="949"/>
      <c r="R129" s="949"/>
      <c r="S129" s="949"/>
      <c r="T129" s="949"/>
      <c r="U129" s="949"/>
      <c r="V129" s="949"/>
      <c r="W129" s="949"/>
      <c r="X129" s="949"/>
      <c r="Y129" s="949"/>
      <c r="Z129" s="949"/>
      <c r="AA129" s="949"/>
      <c r="AB129" s="949"/>
      <c r="AC129" s="949"/>
      <c r="AD129" s="949"/>
      <c r="AE129" s="949"/>
      <c r="AF129" s="949"/>
      <c r="AG129" s="949"/>
      <c r="AH129" s="949"/>
      <c r="AI129" s="949"/>
      <c r="AJ129" s="949"/>
      <c r="AK129" s="949"/>
      <c r="AL129" s="949"/>
      <c r="AM129" s="949"/>
      <c r="AN129" s="949"/>
      <c r="AO129" s="949"/>
      <c r="AP129" s="949"/>
    </row>
    <row r="130" spans="1:64" s="9" customFormat="1" ht="11.25">
      <c r="A130" s="513" t="s">
        <v>1203</v>
      </c>
      <c r="B130" s="949"/>
      <c r="C130" s="949"/>
      <c r="D130" s="949"/>
      <c r="E130" s="949"/>
      <c r="F130" s="949"/>
      <c r="G130" s="949"/>
      <c r="H130" s="949"/>
      <c r="I130" s="949"/>
      <c r="J130" s="949"/>
      <c r="K130" s="949"/>
      <c r="L130" s="949"/>
      <c r="M130" s="949"/>
      <c r="N130" s="949"/>
      <c r="O130" s="949"/>
      <c r="P130" s="949"/>
      <c r="Q130" s="949"/>
      <c r="R130" s="949"/>
      <c r="S130" s="949"/>
      <c r="T130" s="949"/>
      <c r="U130" s="949"/>
      <c r="V130" s="949"/>
      <c r="W130" s="949"/>
      <c r="X130" s="949"/>
      <c r="Y130" s="949"/>
      <c r="Z130" s="949"/>
      <c r="AA130" s="949"/>
      <c r="AB130" s="949"/>
      <c r="AC130" s="949"/>
      <c r="AD130" s="949"/>
      <c r="AE130" s="949"/>
      <c r="AF130" s="949"/>
      <c r="AG130" s="949"/>
      <c r="AH130" s="949"/>
      <c r="AI130" s="949"/>
      <c r="AJ130" s="949"/>
      <c r="AK130" s="949"/>
      <c r="AL130" s="949"/>
      <c r="AM130" s="949"/>
      <c r="AN130" s="949"/>
      <c r="AO130" s="949"/>
      <c r="AP130" s="949"/>
    </row>
    <row r="131" spans="1:64" s="1040" customFormat="1" ht="11.25">
      <c r="A131" s="342" t="s">
        <v>1007</v>
      </c>
      <c r="B131" s="949"/>
      <c r="C131" s="949"/>
      <c r="D131" s="949"/>
      <c r="E131" s="949"/>
      <c r="F131" s="949"/>
      <c r="G131" s="949"/>
      <c r="H131" s="949"/>
      <c r="I131" s="949"/>
      <c r="J131" s="949"/>
      <c r="K131" s="949"/>
      <c r="L131" s="949"/>
      <c r="M131" s="949"/>
      <c r="N131" s="949"/>
      <c r="O131" s="949"/>
      <c r="P131" s="949"/>
      <c r="Q131" s="949"/>
      <c r="R131" s="949"/>
      <c r="S131" s="949"/>
      <c r="T131" s="949"/>
      <c r="U131" s="949"/>
      <c r="V131" s="949"/>
      <c r="W131" s="949"/>
      <c r="X131" s="949"/>
      <c r="Y131" s="949"/>
      <c r="Z131" s="949"/>
      <c r="AA131" s="949"/>
      <c r="AB131" s="949"/>
      <c r="AC131" s="949"/>
      <c r="AD131" s="949"/>
      <c r="AE131" s="949"/>
      <c r="AF131" s="949"/>
      <c r="AG131" s="949"/>
      <c r="AH131" s="949"/>
      <c r="AI131" s="949"/>
      <c r="AJ131" s="949"/>
      <c r="AK131" s="949"/>
      <c r="AL131" s="949"/>
      <c r="AM131" s="949"/>
      <c r="AN131" s="949"/>
      <c r="AO131" s="949"/>
      <c r="AP131" s="949"/>
      <c r="AQ131" s="1040">
        <v>0.24</v>
      </c>
      <c r="AR131" s="1040">
        <v>0.24</v>
      </c>
      <c r="AS131" s="1040">
        <v>0.23</v>
      </c>
      <c r="AT131" s="1040">
        <v>0.23</v>
      </c>
      <c r="AU131" s="1040">
        <v>0.25</v>
      </c>
      <c r="AV131" s="1040">
        <v>0.52</v>
      </c>
      <c r="AW131" s="1040">
        <v>0.28999999999999998</v>
      </c>
      <c r="AX131" s="1040">
        <v>0.31</v>
      </c>
      <c r="AY131" s="1040">
        <v>0.37</v>
      </c>
      <c r="AZ131" s="1040">
        <v>0.31</v>
      </c>
      <c r="BA131" s="1040">
        <v>0.26</v>
      </c>
      <c r="BB131" s="1040">
        <v>0.26</v>
      </c>
      <c r="BC131" s="1040">
        <v>0.27</v>
      </c>
      <c r="BD131" s="1040">
        <v>0.25</v>
      </c>
      <c r="BE131" s="1040">
        <v>0.21</v>
      </c>
      <c r="BF131" s="1040">
        <v>0.22</v>
      </c>
      <c r="BG131" s="1040">
        <v>0.25</v>
      </c>
      <c r="BH131" s="646">
        <v>0.24</v>
      </c>
      <c r="BI131" s="646">
        <v>0.22</v>
      </c>
      <c r="BJ131" s="2050">
        <f>BI131</f>
        <v>0.22</v>
      </c>
      <c r="BK131" s="2050">
        <f>BJ131</f>
        <v>0.22</v>
      </c>
      <c r="BL131" s="2050">
        <f t="shared" ref="BL131:BL139" si="135">BK131</f>
        <v>0.22</v>
      </c>
    </row>
    <row r="132" spans="1:64" s="1040" customFormat="1" ht="11.25">
      <c r="A132" s="342" t="s">
        <v>1008</v>
      </c>
      <c r="B132" s="949"/>
      <c r="C132" s="949"/>
      <c r="D132" s="949"/>
      <c r="E132" s="949"/>
      <c r="F132" s="949"/>
      <c r="G132" s="949"/>
      <c r="H132" s="949"/>
      <c r="I132" s="949"/>
      <c r="J132" s="949"/>
      <c r="K132" s="949"/>
      <c r="L132" s="949"/>
      <c r="M132" s="949"/>
      <c r="N132" s="949"/>
      <c r="O132" s="949"/>
      <c r="P132" s="949"/>
      <c r="Q132" s="949"/>
      <c r="R132" s="949"/>
      <c r="S132" s="949"/>
      <c r="T132" s="949"/>
      <c r="U132" s="949"/>
      <c r="V132" s="949"/>
      <c r="W132" s="949"/>
      <c r="X132" s="949"/>
      <c r="Y132" s="949"/>
      <c r="Z132" s="949"/>
      <c r="AA132" s="949"/>
      <c r="AB132" s="949"/>
      <c r="AC132" s="949"/>
      <c r="AD132" s="949"/>
      <c r="AE132" s="949"/>
      <c r="AF132" s="949"/>
      <c r="AG132" s="949"/>
      <c r="AH132" s="949"/>
      <c r="AI132" s="949"/>
      <c r="AJ132" s="949"/>
      <c r="AK132" s="949"/>
      <c r="AL132" s="949"/>
      <c r="AM132" s="949"/>
      <c r="AN132" s="949"/>
      <c r="AO132" s="949"/>
      <c r="AP132" s="949"/>
      <c r="AQ132" s="1040">
        <v>0.08</v>
      </c>
      <c r="AR132" s="1040">
        <v>0.08</v>
      </c>
      <c r="AS132" s="1040">
        <v>0.08</v>
      </c>
      <c r="AT132" s="1040">
        <v>0.08</v>
      </c>
      <c r="AU132" s="1040">
        <v>0.08</v>
      </c>
      <c r="AV132" s="1040">
        <v>0.09</v>
      </c>
      <c r="AW132" s="1040">
        <v>0.09</v>
      </c>
      <c r="AX132" s="1040">
        <v>0.09</v>
      </c>
      <c r="AY132" s="1040">
        <v>0.1</v>
      </c>
      <c r="AZ132" s="1040">
        <v>0.09</v>
      </c>
      <c r="BA132" s="1040">
        <v>0.08</v>
      </c>
      <c r="BB132" s="1040">
        <v>0.08</v>
      </c>
      <c r="BC132" s="1040">
        <v>0.08</v>
      </c>
      <c r="BD132" s="1040">
        <v>0.08</v>
      </c>
      <c r="BE132" s="1040">
        <v>7.0000000000000007E-2</v>
      </c>
      <c r="BF132" s="1040">
        <v>7.0000000000000007E-2</v>
      </c>
      <c r="BG132" s="1040">
        <v>7.0000000000000007E-2</v>
      </c>
      <c r="BH132" s="646">
        <v>7.0000000000000007E-2</v>
      </c>
      <c r="BI132" s="646">
        <v>7.0000000000000007E-2</v>
      </c>
      <c r="BJ132" s="2050">
        <f t="shared" ref="BJ132:BK139" si="136">BI132</f>
        <v>7.0000000000000007E-2</v>
      </c>
      <c r="BK132" s="2050">
        <f t="shared" si="136"/>
        <v>7.0000000000000007E-2</v>
      </c>
      <c r="BL132" s="2050">
        <f t="shared" si="135"/>
        <v>7.0000000000000007E-2</v>
      </c>
    </row>
    <row r="133" spans="1:64" s="1040" customFormat="1" ht="11.25">
      <c r="A133" s="342" t="s">
        <v>1018</v>
      </c>
      <c r="B133" s="949"/>
      <c r="C133" s="949"/>
      <c r="D133" s="949"/>
      <c r="E133" s="949"/>
      <c r="F133" s="949"/>
      <c r="G133" s="949"/>
      <c r="H133" s="949"/>
      <c r="I133" s="949"/>
      <c r="J133" s="949"/>
      <c r="K133" s="949"/>
      <c r="L133" s="949"/>
      <c r="M133" s="949"/>
      <c r="N133" s="949"/>
      <c r="O133" s="949"/>
      <c r="P133" s="949"/>
      <c r="Q133" s="949"/>
      <c r="R133" s="949"/>
      <c r="S133" s="949"/>
      <c r="T133" s="949"/>
      <c r="U133" s="949"/>
      <c r="V133" s="949"/>
      <c r="W133" s="949"/>
      <c r="X133" s="949"/>
      <c r="Y133" s="949"/>
      <c r="Z133" s="949"/>
      <c r="AA133" s="949"/>
      <c r="AB133" s="949"/>
      <c r="AC133" s="949"/>
      <c r="AD133" s="949"/>
      <c r="AE133" s="949"/>
      <c r="AF133" s="949"/>
      <c r="AG133" s="949"/>
      <c r="AH133" s="949"/>
      <c r="AI133" s="949"/>
      <c r="AJ133" s="949"/>
      <c r="AK133" s="949"/>
      <c r="AL133" s="949"/>
      <c r="AM133" s="949"/>
      <c r="AN133" s="949"/>
      <c r="AO133" s="949"/>
      <c r="AP133" s="949"/>
      <c r="AQ133" s="1040">
        <v>0.16</v>
      </c>
      <c r="AR133" s="1040">
        <v>0.22</v>
      </c>
      <c r="AS133" s="1040">
        <v>0.22</v>
      </c>
      <c r="AT133" s="1040">
        <v>0.2</v>
      </c>
      <c r="AU133" s="1040">
        <v>0.21</v>
      </c>
      <c r="AV133" s="1040">
        <v>0.12</v>
      </c>
      <c r="AW133" s="1040">
        <v>0.19</v>
      </c>
      <c r="AX133" s="1040">
        <v>0.18</v>
      </c>
      <c r="AY133" s="1040">
        <v>0.18</v>
      </c>
      <c r="AZ133" s="1040">
        <v>0.18</v>
      </c>
      <c r="BA133" s="1040">
        <v>0.23</v>
      </c>
      <c r="BB133" s="1040">
        <v>0.22</v>
      </c>
      <c r="BC133" s="1040">
        <v>0.21</v>
      </c>
      <c r="BD133" s="1040">
        <v>0.24</v>
      </c>
      <c r="BE133" s="1040">
        <v>0.33</v>
      </c>
      <c r="BF133" s="1040">
        <v>0.31</v>
      </c>
      <c r="BG133" s="1040">
        <v>0.24</v>
      </c>
      <c r="BH133" s="646">
        <v>0.26</v>
      </c>
      <c r="BI133" s="646">
        <v>0.28000000000000003</v>
      </c>
      <c r="BJ133" s="2050">
        <f t="shared" si="136"/>
        <v>0.28000000000000003</v>
      </c>
      <c r="BK133" s="2050">
        <f t="shared" si="136"/>
        <v>0.28000000000000003</v>
      </c>
      <c r="BL133" s="2050">
        <f t="shared" si="135"/>
        <v>0.28000000000000003</v>
      </c>
    </row>
    <row r="134" spans="1:64" s="1040" customFormat="1" ht="11.25">
      <c r="A134" s="342" t="s">
        <v>1019</v>
      </c>
      <c r="B134" s="949"/>
      <c r="C134" s="949"/>
      <c r="D134" s="949"/>
      <c r="E134" s="949"/>
      <c r="F134" s="949"/>
      <c r="G134" s="949"/>
      <c r="H134" s="949"/>
      <c r="I134" s="949"/>
      <c r="J134" s="949"/>
      <c r="K134" s="949"/>
      <c r="L134" s="949"/>
      <c r="M134" s="949"/>
      <c r="N134" s="949"/>
      <c r="O134" s="949"/>
      <c r="P134" s="949"/>
      <c r="Q134" s="949"/>
      <c r="R134" s="949"/>
      <c r="S134" s="949"/>
      <c r="T134" s="949"/>
      <c r="U134" s="949"/>
      <c r="V134" s="949"/>
      <c r="W134" s="949"/>
      <c r="X134" s="949"/>
      <c r="Y134" s="949"/>
      <c r="Z134" s="949"/>
      <c r="AA134" s="949"/>
      <c r="AB134" s="949"/>
      <c r="AC134" s="949"/>
      <c r="AD134" s="949"/>
      <c r="AE134" s="949"/>
      <c r="AF134" s="949"/>
      <c r="AG134" s="949"/>
      <c r="AH134" s="949"/>
      <c r="AI134" s="949"/>
      <c r="AJ134" s="949"/>
      <c r="AK134" s="949"/>
      <c r="AL134" s="949"/>
      <c r="AM134" s="949"/>
      <c r="AN134" s="949"/>
      <c r="AO134" s="949"/>
      <c r="AP134" s="949"/>
      <c r="AQ134" s="1040">
        <v>0.17</v>
      </c>
      <c r="AR134" s="1040">
        <v>0.16</v>
      </c>
      <c r="AS134" s="1040">
        <v>0.17</v>
      </c>
      <c r="AT134" s="1040">
        <v>0.17</v>
      </c>
      <c r="AU134" s="1040">
        <v>0.15</v>
      </c>
      <c r="AV134" s="1040">
        <v>0.12</v>
      </c>
      <c r="AW134" s="1040">
        <v>0.17</v>
      </c>
      <c r="AX134" s="1040">
        <v>0.14000000000000001</v>
      </c>
      <c r="AY134" s="1040">
        <v>0.1</v>
      </c>
      <c r="AZ134" s="1040">
        <v>0.14000000000000001</v>
      </c>
      <c r="BA134" s="1040">
        <v>0.15</v>
      </c>
      <c r="BB134" s="1040">
        <v>0.15</v>
      </c>
      <c r="BC134" s="1040">
        <v>0.14000000000000001</v>
      </c>
      <c r="BD134" s="1040">
        <v>0.13</v>
      </c>
      <c r="BE134" s="1040">
        <v>0.13</v>
      </c>
      <c r="BF134" s="1040">
        <v>0.12</v>
      </c>
      <c r="BG134" s="1040">
        <v>0.14000000000000001</v>
      </c>
      <c r="BH134" s="646">
        <v>0.13</v>
      </c>
      <c r="BI134" s="646">
        <v>0.14000000000000001</v>
      </c>
      <c r="BJ134" s="2050">
        <f t="shared" si="136"/>
        <v>0.14000000000000001</v>
      </c>
      <c r="BK134" s="2050">
        <f t="shared" si="136"/>
        <v>0.14000000000000001</v>
      </c>
      <c r="BL134" s="2050">
        <f t="shared" si="135"/>
        <v>0.14000000000000001</v>
      </c>
    </row>
    <row r="135" spans="1:64" s="1040" customFormat="1" ht="11.25">
      <c r="A135" s="342" t="s">
        <v>1011</v>
      </c>
      <c r="B135" s="949"/>
      <c r="C135" s="949"/>
      <c r="D135" s="949"/>
      <c r="E135" s="949"/>
      <c r="F135" s="949"/>
      <c r="G135" s="949"/>
      <c r="H135" s="949"/>
      <c r="I135" s="949"/>
      <c r="J135" s="949"/>
      <c r="K135" s="949"/>
      <c r="L135" s="949"/>
      <c r="M135" s="949"/>
      <c r="N135" s="949"/>
      <c r="O135" s="949"/>
      <c r="P135" s="949"/>
      <c r="Q135" s="949"/>
      <c r="R135" s="949"/>
      <c r="S135" s="949"/>
      <c r="T135" s="949"/>
      <c r="U135" s="949"/>
      <c r="V135" s="949"/>
      <c r="W135" s="949"/>
      <c r="X135" s="949"/>
      <c r="Y135" s="949"/>
      <c r="Z135" s="949"/>
      <c r="AA135" s="949"/>
      <c r="AB135" s="949"/>
      <c r="AC135" s="949"/>
      <c r="AD135" s="949"/>
      <c r="AE135" s="949"/>
      <c r="AF135" s="949"/>
      <c r="AG135" s="949"/>
      <c r="AH135" s="949"/>
      <c r="AI135" s="949"/>
      <c r="AJ135" s="949"/>
      <c r="AK135" s="949"/>
      <c r="AL135" s="949"/>
      <c r="AM135" s="949"/>
      <c r="AN135" s="949"/>
      <c r="AO135" s="949"/>
      <c r="AP135" s="949"/>
      <c r="AQ135" s="1040">
        <v>0.17</v>
      </c>
      <c r="AR135" s="1040">
        <v>0.17</v>
      </c>
      <c r="AS135" s="1040">
        <v>0.16</v>
      </c>
      <c r="AT135" s="1040">
        <v>0.16</v>
      </c>
      <c r="AU135" s="1040">
        <f>17%+1%</f>
        <v>0.18000000000000002</v>
      </c>
      <c r="AV135" s="1040">
        <f>10%+1%</f>
        <v>0.11</v>
      </c>
      <c r="AW135" s="1040">
        <v>0.16</v>
      </c>
      <c r="AX135" s="1040">
        <v>0.16</v>
      </c>
      <c r="AY135" s="1040">
        <v>0.16</v>
      </c>
      <c r="AZ135" s="1040">
        <v>0.18</v>
      </c>
      <c r="BA135" s="1040">
        <v>0.17</v>
      </c>
      <c r="BB135" s="1040">
        <v>0.18</v>
      </c>
      <c r="BC135" s="1040">
        <v>0.19</v>
      </c>
      <c r="BD135" s="1040">
        <v>0.19</v>
      </c>
      <c r="BE135" s="1040">
        <v>0.17</v>
      </c>
      <c r="BF135" s="1040">
        <v>0.18</v>
      </c>
      <c r="BG135" s="1040">
        <v>0.19</v>
      </c>
      <c r="BH135" s="646">
        <v>0.19</v>
      </c>
      <c r="BI135" s="646">
        <v>0.19</v>
      </c>
      <c r="BJ135" s="2050">
        <f t="shared" si="136"/>
        <v>0.19</v>
      </c>
      <c r="BK135" s="2050">
        <f t="shared" si="136"/>
        <v>0.19</v>
      </c>
      <c r="BL135" s="2050">
        <f t="shared" si="135"/>
        <v>0.19</v>
      </c>
    </row>
    <row r="136" spans="1:64" s="1040" customFormat="1" ht="11.25">
      <c r="A136" s="342" t="s">
        <v>1016</v>
      </c>
      <c r="B136" s="949"/>
      <c r="C136" s="949"/>
      <c r="D136" s="949"/>
      <c r="E136" s="949"/>
      <c r="F136" s="949"/>
      <c r="G136" s="949"/>
      <c r="H136" s="949"/>
      <c r="I136" s="949"/>
      <c r="J136" s="949"/>
      <c r="K136" s="949"/>
      <c r="L136" s="949"/>
      <c r="M136" s="949"/>
      <c r="N136" s="949"/>
      <c r="O136" s="949"/>
      <c r="P136" s="949"/>
      <c r="Q136" s="949"/>
      <c r="R136" s="949"/>
      <c r="S136" s="949"/>
      <c r="T136" s="949"/>
      <c r="U136" s="949"/>
      <c r="V136" s="949"/>
      <c r="W136" s="949"/>
      <c r="X136" s="949"/>
      <c r="Y136" s="949"/>
      <c r="Z136" s="949"/>
      <c r="AA136" s="949"/>
      <c r="AB136" s="949"/>
      <c r="AC136" s="949"/>
      <c r="AD136" s="949"/>
      <c r="AE136" s="949"/>
      <c r="AF136" s="949"/>
      <c r="AG136" s="949"/>
      <c r="AH136" s="949"/>
      <c r="AI136" s="949"/>
      <c r="AJ136" s="949"/>
      <c r="AK136" s="949"/>
      <c r="AL136" s="949"/>
      <c r="AM136" s="949"/>
      <c r="AN136" s="949"/>
      <c r="AO136" s="949"/>
      <c r="AP136" s="949"/>
      <c r="AQ136" s="1040">
        <v>0</v>
      </c>
      <c r="AR136" s="1040">
        <v>0</v>
      </c>
      <c r="AS136" s="1040">
        <v>0</v>
      </c>
      <c r="AT136" s="1040">
        <v>0</v>
      </c>
      <c r="AU136" s="1040">
        <v>0</v>
      </c>
      <c r="AV136" s="1040">
        <v>0</v>
      </c>
      <c r="AW136" s="1040">
        <v>0</v>
      </c>
      <c r="AX136" s="1040">
        <v>0</v>
      </c>
      <c r="AY136" s="1040">
        <v>0</v>
      </c>
      <c r="AZ136" s="1040">
        <v>0</v>
      </c>
      <c r="BA136" s="1040">
        <v>0</v>
      </c>
      <c r="BB136" s="1040">
        <v>0</v>
      </c>
      <c r="BC136" s="1040">
        <v>0</v>
      </c>
      <c r="BD136" s="1040">
        <v>0</v>
      </c>
      <c r="BE136" s="1040">
        <v>0</v>
      </c>
      <c r="BF136" s="1040">
        <v>0</v>
      </c>
      <c r="BG136" s="1040">
        <v>0</v>
      </c>
      <c r="BH136" s="646">
        <v>0</v>
      </c>
      <c r="BI136" s="646">
        <v>0</v>
      </c>
      <c r="BJ136" s="2050">
        <f t="shared" si="136"/>
        <v>0</v>
      </c>
      <c r="BK136" s="2050">
        <f t="shared" si="136"/>
        <v>0</v>
      </c>
      <c r="BL136" s="2050">
        <f t="shared" si="135"/>
        <v>0</v>
      </c>
    </row>
    <row r="137" spans="1:64" s="1040" customFormat="1">
      <c r="A137" s="342" t="s">
        <v>1015</v>
      </c>
      <c r="B137" s="949"/>
      <c r="C137" s="949"/>
      <c r="D137" s="949"/>
      <c r="E137" s="949"/>
      <c r="F137" s="949"/>
      <c r="G137" s="949"/>
      <c r="H137" s="949"/>
      <c r="I137" s="949"/>
      <c r="J137" s="949"/>
      <c r="K137" s="949"/>
      <c r="L137" s="949"/>
      <c r="M137" s="949"/>
      <c r="N137" s="949"/>
      <c r="O137" s="949"/>
      <c r="P137" s="949"/>
      <c r="Q137" s="949"/>
      <c r="R137" s="949"/>
      <c r="S137" s="949"/>
      <c r="T137" s="949"/>
      <c r="U137" s="949"/>
      <c r="V137" s="949"/>
      <c r="W137" s="949"/>
      <c r="X137" s="949"/>
      <c r="Y137" s="949"/>
      <c r="Z137" s="949"/>
      <c r="AA137" s="949"/>
      <c r="AB137" s="949"/>
      <c r="AC137" s="949"/>
      <c r="AD137" s="949"/>
      <c r="AE137" s="949"/>
      <c r="AF137" s="949"/>
      <c r="AG137" s="949"/>
      <c r="AH137" s="949"/>
      <c r="AI137" s="949"/>
      <c r="AJ137" s="949"/>
      <c r="AK137" s="949"/>
      <c r="AL137" s="949"/>
      <c r="AM137" s="1202"/>
      <c r="AN137" s="949"/>
      <c r="AO137" s="949"/>
      <c r="AP137" s="949"/>
      <c r="AQ137" s="1040">
        <v>0</v>
      </c>
      <c r="AR137" s="1040">
        <v>0</v>
      </c>
      <c r="AS137" s="1040">
        <v>0</v>
      </c>
      <c r="AT137" s="1040">
        <v>0</v>
      </c>
      <c r="AU137" s="1040">
        <v>0</v>
      </c>
      <c r="AV137" s="1040">
        <v>0</v>
      </c>
      <c r="AW137" s="1040">
        <v>0</v>
      </c>
      <c r="AX137" s="1040">
        <v>0</v>
      </c>
      <c r="AY137" s="1040">
        <v>0</v>
      </c>
      <c r="AZ137" s="1040">
        <v>0</v>
      </c>
      <c r="BA137" s="1040">
        <v>0</v>
      </c>
      <c r="BB137" s="1040">
        <v>0</v>
      </c>
      <c r="BC137" s="1040">
        <v>0</v>
      </c>
      <c r="BD137" s="1040">
        <v>0</v>
      </c>
      <c r="BE137" s="1040">
        <v>0</v>
      </c>
      <c r="BF137" s="1040">
        <v>0</v>
      </c>
      <c r="BG137" s="1040">
        <v>0</v>
      </c>
      <c r="BH137" s="646">
        <v>0</v>
      </c>
      <c r="BI137" s="646">
        <v>0</v>
      </c>
      <c r="BJ137" s="2050">
        <f t="shared" si="136"/>
        <v>0</v>
      </c>
      <c r="BK137" s="2050">
        <f t="shared" si="136"/>
        <v>0</v>
      </c>
      <c r="BL137" s="2050">
        <f t="shared" si="135"/>
        <v>0</v>
      </c>
    </row>
    <row r="138" spans="1:64" s="1040" customFormat="1">
      <c r="A138" s="342" t="s">
        <v>1017</v>
      </c>
      <c r="B138" s="949"/>
      <c r="C138" s="949"/>
      <c r="D138" s="949"/>
      <c r="E138" s="949"/>
      <c r="F138" s="949"/>
      <c r="G138" s="949"/>
      <c r="H138" s="949"/>
      <c r="I138" s="949"/>
      <c r="J138" s="949"/>
      <c r="K138" s="949"/>
      <c r="L138" s="949"/>
      <c r="M138" s="949"/>
      <c r="N138" s="949"/>
      <c r="O138" s="949"/>
      <c r="P138" s="949"/>
      <c r="Q138" s="949"/>
      <c r="R138" s="949"/>
      <c r="S138" s="949"/>
      <c r="T138" s="949"/>
      <c r="U138" s="949"/>
      <c r="V138" s="949"/>
      <c r="W138" s="949"/>
      <c r="X138" s="949"/>
      <c r="Y138" s="949"/>
      <c r="Z138" s="949"/>
      <c r="AA138" s="949"/>
      <c r="AB138" s="949"/>
      <c r="AC138" s="949"/>
      <c r="AD138" s="949"/>
      <c r="AE138" s="949"/>
      <c r="AF138" s="949"/>
      <c r="AG138" s="949"/>
      <c r="AH138" s="949"/>
      <c r="AI138" s="949"/>
      <c r="AJ138" s="949"/>
      <c r="AK138" s="949"/>
      <c r="AL138" s="949"/>
      <c r="AM138" s="1202"/>
      <c r="AN138" s="949"/>
      <c r="AO138" s="949"/>
      <c r="AP138" s="949"/>
      <c r="AQ138" s="1040">
        <v>0</v>
      </c>
      <c r="AR138" s="1040">
        <v>0.01</v>
      </c>
      <c r="AS138" s="1040">
        <v>0.01</v>
      </c>
      <c r="AT138" s="1040">
        <v>0.01</v>
      </c>
      <c r="AU138" s="1040">
        <v>0</v>
      </c>
      <c r="AV138" s="1040">
        <v>0</v>
      </c>
      <c r="AW138" s="1040">
        <v>0</v>
      </c>
      <c r="AX138" s="1040">
        <v>0</v>
      </c>
      <c r="AY138" s="1040">
        <v>0</v>
      </c>
      <c r="AZ138" s="1040">
        <v>0</v>
      </c>
      <c r="BA138" s="1040">
        <v>0</v>
      </c>
      <c r="BB138" s="1040">
        <v>0</v>
      </c>
      <c r="BC138" s="1040">
        <v>0</v>
      </c>
      <c r="BD138" s="1040">
        <v>0</v>
      </c>
      <c r="BE138" s="1040">
        <v>0</v>
      </c>
      <c r="BF138" s="1040">
        <v>0</v>
      </c>
      <c r="BG138" s="1040">
        <v>0</v>
      </c>
      <c r="BH138" s="646">
        <v>0</v>
      </c>
      <c r="BI138" s="646">
        <v>0</v>
      </c>
      <c r="BJ138" s="2050">
        <f t="shared" si="136"/>
        <v>0</v>
      </c>
      <c r="BK138" s="2050">
        <f t="shared" si="136"/>
        <v>0</v>
      </c>
      <c r="BL138" s="2050">
        <f t="shared" si="135"/>
        <v>0</v>
      </c>
    </row>
    <row r="139" spans="1:64" s="1040" customFormat="1" ht="11.25">
      <c r="A139" s="342" t="s">
        <v>1120</v>
      </c>
      <c r="B139" s="949"/>
      <c r="C139" s="949"/>
      <c r="D139" s="949"/>
      <c r="E139" s="949"/>
      <c r="F139" s="949"/>
      <c r="G139" s="949"/>
      <c r="H139" s="949"/>
      <c r="I139" s="949"/>
      <c r="J139" s="949"/>
      <c r="K139" s="949"/>
      <c r="L139" s="949"/>
      <c r="M139" s="949"/>
      <c r="N139" s="949"/>
      <c r="O139" s="949"/>
      <c r="P139" s="949"/>
      <c r="Q139" s="949"/>
      <c r="R139" s="949"/>
      <c r="S139" s="949"/>
      <c r="T139" s="949"/>
      <c r="U139" s="949"/>
      <c r="V139" s="949"/>
      <c r="W139" s="949"/>
      <c r="X139" s="949"/>
      <c r="Y139" s="949"/>
      <c r="Z139" s="949"/>
      <c r="AA139" s="949"/>
      <c r="AB139" s="949"/>
      <c r="AC139" s="949"/>
      <c r="AD139" s="949"/>
      <c r="AE139" s="949"/>
      <c r="AF139" s="949"/>
      <c r="AG139" s="949"/>
      <c r="AH139" s="949"/>
      <c r="AI139" s="949"/>
      <c r="AJ139" s="949"/>
      <c r="AK139" s="949"/>
      <c r="AL139" s="949"/>
      <c r="AM139" s="949"/>
      <c r="AN139" s="949"/>
      <c r="AO139" s="949"/>
      <c r="AP139" s="949"/>
      <c r="AQ139" s="1040">
        <v>0.09</v>
      </c>
      <c r="AR139" s="1040">
        <v>0.08</v>
      </c>
      <c r="AS139" s="1040">
        <v>0.08</v>
      </c>
      <c r="AT139" s="1040">
        <v>0.08</v>
      </c>
      <c r="AU139" s="1040">
        <v>0.09</v>
      </c>
      <c r="AV139" s="1040">
        <v>0.03</v>
      </c>
      <c r="AW139" s="1040">
        <v>7.0000000000000007E-2</v>
      </c>
      <c r="AX139" s="1040">
        <v>7.0000000000000007E-2</v>
      </c>
      <c r="AY139" s="1040">
        <v>0.05</v>
      </c>
      <c r="AZ139" s="1040">
        <v>0.06</v>
      </c>
      <c r="BA139" s="1040">
        <v>7.0000000000000007E-2</v>
      </c>
      <c r="BB139" s="1040">
        <v>7.0000000000000007E-2</v>
      </c>
      <c r="BC139" s="1040">
        <v>7.0000000000000007E-2</v>
      </c>
      <c r="BD139" s="1040">
        <v>7.0000000000000007E-2</v>
      </c>
      <c r="BE139" s="1040">
        <v>0.06</v>
      </c>
      <c r="BF139" s="1040">
        <v>7.0000000000000007E-2</v>
      </c>
      <c r="BG139" s="1040">
        <v>7.0000000000000007E-2</v>
      </c>
      <c r="BH139" s="646">
        <v>7.0000000000000007E-2</v>
      </c>
      <c r="BI139" s="646">
        <v>7.0000000000000007E-2</v>
      </c>
      <c r="BJ139" s="2050">
        <f t="shared" si="136"/>
        <v>7.0000000000000007E-2</v>
      </c>
      <c r="BK139" s="2050">
        <f t="shared" si="136"/>
        <v>7.0000000000000007E-2</v>
      </c>
      <c r="BL139" s="2050">
        <f t="shared" si="135"/>
        <v>7.0000000000000007E-2</v>
      </c>
    </row>
    <row r="140" spans="1:64" s="37" customFormat="1" ht="11.25">
      <c r="A140" s="342" t="s">
        <v>331</v>
      </c>
      <c r="B140" s="949"/>
      <c r="C140" s="949"/>
      <c r="D140" s="949"/>
      <c r="E140" s="949"/>
      <c r="F140" s="949"/>
      <c r="G140" s="949"/>
      <c r="H140" s="949"/>
      <c r="I140" s="949"/>
      <c r="J140" s="949"/>
      <c r="K140" s="949"/>
      <c r="L140" s="949"/>
      <c r="M140" s="949"/>
      <c r="N140" s="949"/>
      <c r="O140" s="949"/>
      <c r="P140" s="949"/>
      <c r="Q140" s="949"/>
      <c r="R140" s="949"/>
      <c r="S140" s="949"/>
      <c r="T140" s="949"/>
      <c r="U140" s="949"/>
      <c r="V140" s="949"/>
      <c r="W140" s="949"/>
      <c r="X140" s="949"/>
      <c r="Y140" s="949"/>
      <c r="Z140" s="949"/>
      <c r="AA140" s="949"/>
      <c r="AB140" s="949"/>
      <c r="AC140" s="949"/>
      <c r="AD140" s="949"/>
      <c r="AE140" s="949"/>
      <c r="AF140" s="949"/>
      <c r="AG140" s="949"/>
      <c r="AH140" s="949"/>
      <c r="AI140" s="949"/>
      <c r="AJ140" s="949"/>
      <c r="AK140" s="949"/>
      <c r="AL140" s="949"/>
      <c r="AM140" s="949"/>
      <c r="AN140" s="949"/>
      <c r="AO140" s="949"/>
      <c r="AP140" s="949"/>
      <c r="AQ140" s="37">
        <f>1-SUM(AQ131:AQ139)</f>
        <v>8.9999999999999969E-2</v>
      </c>
      <c r="AR140" s="37">
        <f>5%-AR138</f>
        <v>0.04</v>
      </c>
      <c r="AS140" s="37">
        <f>3%+2%+1%-AS138</f>
        <v>0.05</v>
      </c>
      <c r="AT140" s="37">
        <f>5%+2%+1%-AT138</f>
        <v>7.0000000000000007E-2</v>
      </c>
      <c r="AU140" s="37">
        <f>2%+2%</f>
        <v>0.04</v>
      </c>
      <c r="AV140" s="37">
        <v>0.01</v>
      </c>
      <c r="AW140" s="37">
        <f>1%+1%+1%</f>
        <v>0.03</v>
      </c>
      <c r="AX140" s="37">
        <f>2%+2%+1%</f>
        <v>0.05</v>
      </c>
      <c r="AY140" s="37">
        <f>2%+1%+1%</f>
        <v>0.04</v>
      </c>
      <c r="AZ140" s="37">
        <f>2%+1%+1%</f>
        <v>0.04</v>
      </c>
      <c r="BA140" s="37">
        <v>0.04</v>
      </c>
      <c r="BB140" s="37">
        <f>2%+1%+1%</f>
        <v>0.04</v>
      </c>
      <c r="BC140" s="37">
        <v>0.04</v>
      </c>
      <c r="BD140" s="37">
        <f>2%+1%+1%</f>
        <v>0.04</v>
      </c>
      <c r="BE140" s="37">
        <f>1%+1%+1%</f>
        <v>0.03</v>
      </c>
      <c r="BF140" s="37">
        <f>1%+1%+1%</f>
        <v>0.03</v>
      </c>
      <c r="BG140" s="37">
        <f>0.02+0.01+0.01</f>
        <v>0.04</v>
      </c>
      <c r="BH140" s="223">
        <f>2%+1%+1%</f>
        <v>0.04</v>
      </c>
      <c r="BI140" s="223">
        <f>1%+1%+1%</f>
        <v>0.03</v>
      </c>
      <c r="BJ140" s="223">
        <f>1%+1%+1%</f>
        <v>0.03</v>
      </c>
      <c r="BK140" s="223">
        <f>1%+1%+1%</f>
        <v>0.03</v>
      </c>
      <c r="BL140" s="223">
        <f t="shared" ref="BL140" si="137">1%+1%+1%</f>
        <v>0.03</v>
      </c>
    </row>
    <row r="141" spans="1:64" s="9" customFormat="1" ht="11.25">
      <c r="A141" s="950" t="s">
        <v>325</v>
      </c>
      <c r="B141" s="949"/>
      <c r="C141" s="949"/>
      <c r="D141" s="949"/>
      <c r="E141" s="949"/>
      <c r="F141" s="949"/>
      <c r="G141" s="949"/>
      <c r="H141" s="949"/>
      <c r="I141" s="949"/>
      <c r="J141" s="949"/>
      <c r="K141" s="949"/>
      <c r="L141" s="949"/>
      <c r="M141" s="949"/>
      <c r="N141" s="949"/>
      <c r="O141" s="949"/>
      <c r="P141" s="949"/>
      <c r="Q141" s="949"/>
      <c r="R141" s="949"/>
      <c r="S141" s="949"/>
      <c r="T141" s="949"/>
      <c r="U141" s="949"/>
      <c r="V141" s="949"/>
      <c r="W141" s="949"/>
      <c r="X141" s="949"/>
      <c r="Y141" s="949"/>
      <c r="Z141" s="949"/>
      <c r="AA141" s="949"/>
      <c r="AB141" s="949"/>
      <c r="AC141" s="949"/>
      <c r="AD141" s="949"/>
      <c r="AE141" s="949"/>
      <c r="AF141" s="949"/>
      <c r="AG141" s="949"/>
      <c r="AH141" s="949"/>
      <c r="AI141" s="949"/>
      <c r="AJ141" s="949"/>
      <c r="AK141" s="949"/>
      <c r="AL141" s="949"/>
      <c r="AM141" s="949"/>
      <c r="AN141" s="949"/>
      <c r="AO141" s="949"/>
      <c r="AP141" s="949"/>
      <c r="AQ141" s="949">
        <f t="shared" ref="AQ141:BC141" si="138">SUM(AQ131:AQ140)</f>
        <v>1</v>
      </c>
      <c r="AR141" s="949">
        <f t="shared" si="138"/>
        <v>1</v>
      </c>
      <c r="AS141" s="949">
        <f t="shared" si="138"/>
        <v>1</v>
      </c>
      <c r="AT141" s="949">
        <f t="shared" si="138"/>
        <v>1</v>
      </c>
      <c r="AU141" s="949">
        <f t="shared" si="138"/>
        <v>1</v>
      </c>
      <c r="AV141" s="949">
        <f t="shared" si="138"/>
        <v>1</v>
      </c>
      <c r="AW141" s="949">
        <f t="shared" si="138"/>
        <v>1.0000000000000002</v>
      </c>
      <c r="AX141" s="949">
        <f t="shared" si="138"/>
        <v>1.0000000000000002</v>
      </c>
      <c r="AY141" s="949">
        <f t="shared" si="138"/>
        <v>1</v>
      </c>
      <c r="AZ141" s="949">
        <f t="shared" si="138"/>
        <v>1.0000000000000002</v>
      </c>
      <c r="BA141" s="949">
        <f t="shared" si="138"/>
        <v>1.0000000000000002</v>
      </c>
      <c r="BB141" s="949">
        <f t="shared" si="138"/>
        <v>1.0000000000000002</v>
      </c>
      <c r="BC141" s="949">
        <f t="shared" si="138"/>
        <v>1.0000000000000002</v>
      </c>
      <c r="BD141" s="949">
        <f t="shared" ref="BD141:BI141" si="139">SUM(BD131:BD140)</f>
        <v>1.0000000000000002</v>
      </c>
      <c r="BE141" s="949">
        <f t="shared" si="139"/>
        <v>1.0000000000000002</v>
      </c>
      <c r="BF141" s="949">
        <f t="shared" si="139"/>
        <v>1.0000000000000002</v>
      </c>
      <c r="BG141" s="949">
        <f t="shared" si="139"/>
        <v>1.0000000000000002</v>
      </c>
      <c r="BH141" s="1804">
        <f t="shared" si="139"/>
        <v>1.0000000000000002</v>
      </c>
      <c r="BI141" s="1804">
        <f t="shared" si="139"/>
        <v>1.0000000000000002</v>
      </c>
      <c r="BJ141" s="1804">
        <f t="shared" ref="BJ141:BK141" si="140">SUM(BJ131:BJ140)</f>
        <v>1.0000000000000002</v>
      </c>
      <c r="BK141" s="1804">
        <f t="shared" si="140"/>
        <v>1.0000000000000002</v>
      </c>
      <c r="BL141" s="1804">
        <f t="shared" ref="BL141" si="141">SUM(BL131:BL140)</f>
        <v>1.0000000000000002</v>
      </c>
    </row>
    <row r="142" spans="1:64" s="9" customFormat="1" ht="11.25">
      <c r="A142" s="950"/>
      <c r="B142" s="949"/>
      <c r="C142" s="949"/>
      <c r="D142" s="949"/>
      <c r="E142" s="949"/>
      <c r="F142" s="949"/>
      <c r="G142" s="949"/>
      <c r="H142" s="949"/>
      <c r="I142" s="949"/>
      <c r="J142" s="949"/>
      <c r="K142" s="949"/>
      <c r="L142" s="949"/>
      <c r="M142" s="949"/>
      <c r="N142" s="949"/>
      <c r="O142" s="949"/>
      <c r="P142" s="949"/>
      <c r="Q142" s="949"/>
      <c r="R142" s="949"/>
      <c r="S142" s="949"/>
      <c r="T142" s="949"/>
      <c r="U142" s="949"/>
      <c r="V142" s="949"/>
      <c r="W142" s="949"/>
      <c r="X142" s="949"/>
      <c r="Y142" s="949"/>
      <c r="Z142" s="949"/>
      <c r="AA142" s="949"/>
      <c r="AB142" s="949"/>
      <c r="AC142" s="949"/>
      <c r="AD142" s="949"/>
      <c r="AE142" s="949"/>
      <c r="AF142" s="949"/>
      <c r="AG142" s="949"/>
      <c r="AH142" s="949"/>
      <c r="AI142" s="949"/>
      <c r="AJ142" s="949"/>
      <c r="AK142" s="949"/>
      <c r="AL142" s="949"/>
      <c r="AM142" s="949"/>
      <c r="AN142" s="949"/>
      <c r="AO142" s="949"/>
      <c r="AP142" s="949"/>
      <c r="AT142" s="241"/>
      <c r="AU142" s="254"/>
      <c r="AV142" s="254"/>
      <c r="AW142" s="254"/>
    </row>
    <row r="143" spans="1:64" s="9" customFormat="1" ht="11.25">
      <c r="A143" s="513" t="s">
        <v>1204</v>
      </c>
      <c r="B143" s="949"/>
      <c r="C143" s="949"/>
      <c r="D143" s="949"/>
      <c r="E143" s="949"/>
      <c r="F143" s="949"/>
      <c r="G143" s="949"/>
      <c r="H143" s="949"/>
      <c r="I143" s="949"/>
      <c r="J143" s="949"/>
      <c r="K143" s="949"/>
      <c r="L143" s="949"/>
      <c r="M143" s="949"/>
      <c r="N143" s="949"/>
      <c r="O143" s="949"/>
      <c r="P143" s="949"/>
      <c r="Q143" s="949"/>
      <c r="R143" s="949"/>
      <c r="S143" s="949"/>
      <c r="T143" s="949"/>
      <c r="U143" s="949"/>
      <c r="V143" s="949"/>
      <c r="W143" s="949"/>
      <c r="X143" s="949"/>
      <c r="Y143" s="949"/>
      <c r="Z143" s="949"/>
      <c r="AA143" s="949"/>
      <c r="AB143" s="949"/>
      <c r="AC143" s="949"/>
      <c r="AD143" s="949"/>
      <c r="AE143" s="949"/>
      <c r="AF143" s="949"/>
      <c r="AG143" s="949"/>
      <c r="AH143" s="949"/>
      <c r="AI143" s="949"/>
      <c r="AJ143" s="949"/>
      <c r="AK143" s="949"/>
      <c r="AL143" s="949"/>
      <c r="AM143" s="949"/>
      <c r="AN143" s="949"/>
      <c r="AO143" s="949"/>
      <c r="AP143" s="949"/>
      <c r="AT143" s="241"/>
    </row>
    <row r="144" spans="1:64" s="9" customFormat="1" ht="11.25">
      <c r="A144" s="342" t="s">
        <v>1007</v>
      </c>
      <c r="B144" s="949"/>
      <c r="C144" s="949"/>
      <c r="D144" s="949"/>
      <c r="E144" s="949"/>
      <c r="F144" s="949"/>
      <c r="G144" s="949"/>
      <c r="H144" s="949"/>
      <c r="I144" s="949"/>
      <c r="J144" s="949"/>
      <c r="K144" s="949"/>
      <c r="L144" s="949"/>
      <c r="M144" s="949"/>
      <c r="N144" s="949"/>
      <c r="O144" s="949"/>
      <c r="P144" s="949"/>
      <c r="Q144" s="949"/>
      <c r="R144" s="949"/>
      <c r="S144" s="949"/>
      <c r="T144" s="949"/>
      <c r="U144" s="949"/>
      <c r="V144" s="949"/>
      <c r="W144" s="949"/>
      <c r="X144" s="949"/>
      <c r="Y144" s="949"/>
      <c r="Z144" s="949"/>
      <c r="AA144" s="949"/>
      <c r="AB144" s="949"/>
      <c r="AC144" s="949"/>
      <c r="AD144" s="949"/>
      <c r="AE144" s="949"/>
      <c r="AF144" s="949"/>
      <c r="AG144" s="949"/>
      <c r="AH144" s="949"/>
      <c r="AI144" s="949"/>
      <c r="AJ144" s="949"/>
      <c r="AK144" s="949"/>
      <c r="AL144" s="949"/>
      <c r="AM144" s="949"/>
      <c r="AN144" s="949"/>
      <c r="AO144" s="949"/>
      <c r="AP144" s="949"/>
      <c r="AQ144" s="1040">
        <v>0.08</v>
      </c>
      <c r="AR144" s="1040">
        <v>0.08</v>
      </c>
      <c r="AS144" s="1040">
        <v>7.0000000000000007E-2</v>
      </c>
      <c r="AT144" s="1040">
        <v>0.09</v>
      </c>
      <c r="AU144" s="1040">
        <v>0.09</v>
      </c>
      <c r="AV144" s="1040">
        <v>0.31</v>
      </c>
      <c r="AW144" s="1040">
        <v>0.15</v>
      </c>
      <c r="AX144" s="1040">
        <v>0.21</v>
      </c>
      <c r="AY144" s="1040">
        <v>0.15</v>
      </c>
      <c r="AZ144" s="1040">
        <v>0.15</v>
      </c>
      <c r="BA144" s="1040">
        <v>0.11</v>
      </c>
      <c r="BB144" s="1040">
        <v>0.11</v>
      </c>
      <c r="BC144" s="1040">
        <v>0.11</v>
      </c>
      <c r="BD144" s="1040">
        <v>0.09</v>
      </c>
      <c r="BE144" s="1040">
        <v>0.08</v>
      </c>
      <c r="BF144" s="1040">
        <v>0.08</v>
      </c>
      <c r="BG144" s="1040">
        <v>7.0000000000000007E-2</v>
      </c>
      <c r="BH144" s="646">
        <v>0.08</v>
      </c>
      <c r="BI144" s="646">
        <v>7.0000000000000007E-2</v>
      </c>
      <c r="BJ144" s="2050">
        <f>BI144</f>
        <v>7.0000000000000007E-2</v>
      </c>
      <c r="BK144" s="2050">
        <f>BJ144</f>
        <v>7.0000000000000007E-2</v>
      </c>
      <c r="BL144" s="2050">
        <f t="shared" ref="BL144:BL153" si="142">BK144</f>
        <v>7.0000000000000007E-2</v>
      </c>
    </row>
    <row r="145" spans="1:64" s="9" customFormat="1" ht="11.25">
      <c r="A145" s="342" t="s">
        <v>1008</v>
      </c>
      <c r="B145" s="949"/>
      <c r="C145" s="949"/>
      <c r="D145" s="949"/>
      <c r="E145" s="949"/>
      <c r="F145" s="949"/>
      <c r="G145" s="949"/>
      <c r="H145" s="949"/>
      <c r="I145" s="949"/>
      <c r="J145" s="949"/>
      <c r="K145" s="949"/>
      <c r="L145" s="949"/>
      <c r="M145" s="949"/>
      <c r="N145" s="949"/>
      <c r="O145" s="949"/>
      <c r="P145" s="949"/>
      <c r="Q145" s="949"/>
      <c r="R145" s="949"/>
      <c r="S145" s="949"/>
      <c r="T145" s="949"/>
      <c r="U145" s="949"/>
      <c r="V145" s="949"/>
      <c r="W145" s="949"/>
      <c r="X145" s="949"/>
      <c r="Y145" s="949"/>
      <c r="Z145" s="949"/>
      <c r="AA145" s="949"/>
      <c r="AB145" s="949"/>
      <c r="AC145" s="949"/>
      <c r="AD145" s="949"/>
      <c r="AE145" s="949"/>
      <c r="AF145" s="949"/>
      <c r="AG145" s="949"/>
      <c r="AH145" s="949"/>
      <c r="AI145" s="949"/>
      <c r="AJ145" s="949"/>
      <c r="AK145" s="949"/>
      <c r="AL145" s="949"/>
      <c r="AM145" s="949"/>
      <c r="AN145" s="949"/>
      <c r="AO145" s="949"/>
      <c r="AP145" s="949"/>
      <c r="AQ145" s="1040">
        <v>0.46</v>
      </c>
      <c r="AR145" s="1040">
        <v>0.46</v>
      </c>
      <c r="AS145" s="1040">
        <v>0.47</v>
      </c>
      <c r="AT145" s="1040">
        <v>0.44</v>
      </c>
      <c r="AU145" s="1040">
        <v>0.44</v>
      </c>
      <c r="AV145" s="1040">
        <v>0.41</v>
      </c>
      <c r="AW145" s="1040">
        <v>0.39</v>
      </c>
      <c r="AX145" s="1040">
        <v>0.41</v>
      </c>
      <c r="AY145" s="1040">
        <v>0.42</v>
      </c>
      <c r="AZ145" s="1040">
        <v>0.43</v>
      </c>
      <c r="BA145" s="1040">
        <v>0.45</v>
      </c>
      <c r="BB145" s="1040">
        <v>0.46</v>
      </c>
      <c r="BC145" s="1040">
        <v>0.45</v>
      </c>
      <c r="BD145" s="1040">
        <v>0.48</v>
      </c>
      <c r="BE145" s="1040">
        <v>0.5</v>
      </c>
      <c r="BF145" s="1040">
        <v>0.47</v>
      </c>
      <c r="BG145" s="1040">
        <v>0.46</v>
      </c>
      <c r="BH145" s="646">
        <v>0.45</v>
      </c>
      <c r="BI145" s="646">
        <v>0.48</v>
      </c>
      <c r="BJ145" s="2050">
        <f t="shared" ref="BJ145:BK153" si="143">BI145</f>
        <v>0.48</v>
      </c>
      <c r="BK145" s="2050">
        <f t="shared" si="143"/>
        <v>0.48</v>
      </c>
      <c r="BL145" s="2050">
        <f t="shared" si="142"/>
        <v>0.48</v>
      </c>
    </row>
    <row r="146" spans="1:64" s="9" customFormat="1" ht="11.25">
      <c r="A146" s="342" t="s">
        <v>1018</v>
      </c>
      <c r="B146" s="949"/>
      <c r="C146" s="949"/>
      <c r="D146" s="949"/>
      <c r="E146" s="949"/>
      <c r="F146" s="949"/>
      <c r="G146" s="949"/>
      <c r="H146" s="949"/>
      <c r="I146" s="949"/>
      <c r="J146" s="949"/>
      <c r="K146" s="949"/>
      <c r="L146" s="949"/>
      <c r="M146" s="949"/>
      <c r="N146" s="949"/>
      <c r="O146" s="949"/>
      <c r="P146" s="949"/>
      <c r="Q146" s="949"/>
      <c r="R146" s="949"/>
      <c r="S146" s="949"/>
      <c r="T146" s="949"/>
      <c r="U146" s="949"/>
      <c r="V146" s="949"/>
      <c r="W146" s="949"/>
      <c r="X146" s="949"/>
      <c r="Y146" s="949"/>
      <c r="Z146" s="949"/>
      <c r="AA146" s="949"/>
      <c r="AB146" s="949"/>
      <c r="AC146" s="949"/>
      <c r="AD146" s="949"/>
      <c r="AE146" s="949"/>
      <c r="AF146" s="949"/>
      <c r="AG146" s="949"/>
      <c r="AH146" s="949"/>
      <c r="AI146" s="949"/>
      <c r="AJ146" s="949"/>
      <c r="AK146" s="949"/>
      <c r="AL146" s="949"/>
      <c r="AM146" s="949"/>
      <c r="AN146" s="949"/>
      <c r="AO146" s="949"/>
      <c r="AP146" s="949"/>
      <c r="AQ146" s="1040">
        <v>0.37</v>
      </c>
      <c r="AR146" s="1040">
        <v>0.37</v>
      </c>
      <c r="AS146" s="1040">
        <v>0.37</v>
      </c>
      <c r="AT146" s="1040">
        <v>0.36</v>
      </c>
      <c r="AU146" s="1040">
        <v>0.36</v>
      </c>
      <c r="AV146" s="1040">
        <v>0.18</v>
      </c>
      <c r="AW146" s="1040">
        <v>0.35</v>
      </c>
      <c r="AX146" s="1040">
        <v>0.28999999999999998</v>
      </c>
      <c r="AY146" s="1040">
        <v>0.36</v>
      </c>
      <c r="AZ146" s="1040">
        <v>0.35</v>
      </c>
      <c r="BA146" s="1040">
        <v>0.36</v>
      </c>
      <c r="BB146" s="1040">
        <v>0.35</v>
      </c>
      <c r="BC146" s="1040">
        <v>0.36</v>
      </c>
      <c r="BD146" s="1040">
        <v>0.37</v>
      </c>
      <c r="BE146" s="1040">
        <v>0.37</v>
      </c>
      <c r="BF146" s="1040">
        <v>0.37</v>
      </c>
      <c r="BG146" s="1040">
        <v>0.41</v>
      </c>
      <c r="BH146" s="646">
        <v>0.42</v>
      </c>
      <c r="BI146" s="646">
        <v>0.39</v>
      </c>
      <c r="BJ146" s="2050">
        <f t="shared" si="143"/>
        <v>0.39</v>
      </c>
      <c r="BK146" s="2050">
        <f t="shared" si="143"/>
        <v>0.39</v>
      </c>
      <c r="BL146" s="2050">
        <f t="shared" si="142"/>
        <v>0.39</v>
      </c>
    </row>
    <row r="147" spans="1:64" s="9" customFormat="1" ht="11.25">
      <c r="A147" s="342" t="s">
        <v>1011</v>
      </c>
      <c r="B147" s="949"/>
      <c r="C147" s="949"/>
      <c r="D147" s="949"/>
      <c r="E147" s="949"/>
      <c r="F147" s="949"/>
      <c r="G147" s="949"/>
      <c r="H147" s="949"/>
      <c r="I147" s="949"/>
      <c r="J147" s="949"/>
      <c r="K147" s="949"/>
      <c r="L147" s="949"/>
      <c r="M147" s="949"/>
      <c r="N147" s="949"/>
      <c r="O147" s="949"/>
      <c r="P147" s="949"/>
      <c r="Q147" s="949"/>
      <c r="R147" s="949"/>
      <c r="S147" s="949"/>
      <c r="T147" s="949"/>
      <c r="U147" s="949"/>
      <c r="V147" s="949"/>
      <c r="W147" s="949"/>
      <c r="X147" s="949"/>
      <c r="Y147" s="949"/>
      <c r="Z147" s="949"/>
      <c r="AA147" s="949"/>
      <c r="AB147" s="949"/>
      <c r="AC147" s="949"/>
      <c r="AD147" s="949"/>
      <c r="AE147" s="949"/>
      <c r="AF147" s="949"/>
      <c r="AG147" s="949"/>
      <c r="AH147" s="949"/>
      <c r="AI147" s="949"/>
      <c r="AJ147" s="949"/>
      <c r="AK147" s="949"/>
      <c r="AL147" s="949"/>
      <c r="AM147" s="949"/>
      <c r="AN147" s="949"/>
      <c r="AO147" s="949"/>
      <c r="AP147" s="949"/>
      <c r="AQ147" s="1040"/>
      <c r="AR147" s="1040"/>
      <c r="AS147" s="1040"/>
      <c r="AT147" s="1040"/>
      <c r="AU147" s="1040"/>
      <c r="AV147" s="1040">
        <v>0</v>
      </c>
      <c r="AW147" s="1040"/>
      <c r="AX147" s="1040"/>
      <c r="AY147" s="1040">
        <v>0</v>
      </c>
      <c r="AZ147" s="1040">
        <v>0</v>
      </c>
      <c r="BA147" s="1040">
        <v>0</v>
      </c>
      <c r="BB147" s="1040">
        <v>0</v>
      </c>
      <c r="BC147" s="1040">
        <v>0</v>
      </c>
      <c r="BD147" s="1040">
        <v>0</v>
      </c>
      <c r="BE147" s="1040">
        <v>0</v>
      </c>
      <c r="BF147" s="1040">
        <v>0</v>
      </c>
      <c r="BG147" s="1040">
        <v>0</v>
      </c>
      <c r="BH147" s="646">
        <v>0</v>
      </c>
      <c r="BI147" s="646">
        <v>0</v>
      </c>
      <c r="BJ147" s="2050">
        <f t="shared" si="143"/>
        <v>0</v>
      </c>
      <c r="BK147" s="2050">
        <f t="shared" si="143"/>
        <v>0</v>
      </c>
      <c r="BL147" s="2050">
        <f t="shared" si="142"/>
        <v>0</v>
      </c>
    </row>
    <row r="148" spans="1:64" s="9" customFormat="1" ht="11.25">
      <c r="A148" s="342" t="s">
        <v>1019</v>
      </c>
      <c r="B148" s="949"/>
      <c r="C148" s="949"/>
      <c r="D148" s="949"/>
      <c r="E148" s="949"/>
      <c r="F148" s="949"/>
      <c r="G148" s="949"/>
      <c r="H148" s="949"/>
      <c r="I148" s="949"/>
      <c r="J148" s="949"/>
      <c r="K148" s="949"/>
      <c r="L148" s="949"/>
      <c r="M148" s="949"/>
      <c r="N148" s="949"/>
      <c r="O148" s="949"/>
      <c r="P148" s="949"/>
      <c r="Q148" s="949"/>
      <c r="R148" s="949"/>
      <c r="S148" s="949"/>
      <c r="T148" s="949"/>
      <c r="U148" s="949"/>
      <c r="V148" s="949"/>
      <c r="W148" s="949"/>
      <c r="X148" s="949"/>
      <c r="Y148" s="949"/>
      <c r="Z148" s="949"/>
      <c r="AA148" s="949"/>
      <c r="AB148" s="949"/>
      <c r="AC148" s="949"/>
      <c r="AD148" s="949"/>
      <c r="AE148" s="949"/>
      <c r="AF148" s="949"/>
      <c r="AG148" s="949"/>
      <c r="AH148" s="949"/>
      <c r="AI148" s="949"/>
      <c r="AJ148" s="949"/>
      <c r="AK148" s="949"/>
      <c r="AL148" s="949"/>
      <c r="AM148" s="949"/>
      <c r="AN148" s="949"/>
      <c r="AO148" s="949"/>
      <c r="AP148" s="949"/>
      <c r="AQ148" s="1040"/>
      <c r="AR148" s="1040"/>
      <c r="AS148" s="1040"/>
      <c r="AT148" s="1040"/>
      <c r="AU148" s="1040"/>
      <c r="AV148" s="1040">
        <v>0</v>
      </c>
      <c r="AW148" s="1040"/>
      <c r="AX148" s="1040"/>
      <c r="AY148" s="1040"/>
      <c r="AZ148" s="1040">
        <v>0</v>
      </c>
      <c r="BA148" s="1040">
        <v>0</v>
      </c>
      <c r="BB148" s="1040">
        <v>0</v>
      </c>
      <c r="BC148" s="1040">
        <v>0</v>
      </c>
      <c r="BD148" s="1040">
        <v>0</v>
      </c>
      <c r="BE148" s="1040">
        <v>0</v>
      </c>
      <c r="BF148" s="1040">
        <v>0</v>
      </c>
      <c r="BG148" s="1040">
        <v>0</v>
      </c>
      <c r="BH148" s="646">
        <v>0</v>
      </c>
      <c r="BI148" s="646">
        <v>0</v>
      </c>
      <c r="BJ148" s="2050">
        <f t="shared" si="143"/>
        <v>0</v>
      </c>
      <c r="BK148" s="2050">
        <f t="shared" si="143"/>
        <v>0</v>
      </c>
      <c r="BL148" s="2050">
        <f t="shared" si="142"/>
        <v>0</v>
      </c>
    </row>
    <row r="149" spans="1:64" s="9" customFormat="1" ht="11.25">
      <c r="A149" s="342" t="s">
        <v>1016</v>
      </c>
      <c r="B149" s="949"/>
      <c r="C149" s="949"/>
      <c r="D149" s="949"/>
      <c r="E149" s="949"/>
      <c r="F149" s="949"/>
      <c r="G149" s="949"/>
      <c r="H149" s="949"/>
      <c r="I149" s="949"/>
      <c r="J149" s="949"/>
      <c r="K149" s="949"/>
      <c r="L149" s="949"/>
      <c r="M149" s="949"/>
      <c r="N149" s="949"/>
      <c r="O149" s="949"/>
      <c r="P149" s="949"/>
      <c r="Q149" s="949"/>
      <c r="R149" s="949"/>
      <c r="S149" s="949"/>
      <c r="T149" s="949"/>
      <c r="U149" s="949"/>
      <c r="V149" s="949"/>
      <c r="W149" s="949"/>
      <c r="X149" s="949"/>
      <c r="Y149" s="949"/>
      <c r="Z149" s="949"/>
      <c r="AA149" s="949"/>
      <c r="AB149" s="949"/>
      <c r="AC149" s="949"/>
      <c r="AD149" s="949"/>
      <c r="AE149" s="949"/>
      <c r="AF149" s="949"/>
      <c r="AG149" s="949"/>
      <c r="AH149" s="949"/>
      <c r="AI149" s="949"/>
      <c r="AJ149" s="949"/>
      <c r="AK149" s="949"/>
      <c r="AL149" s="949"/>
      <c r="AM149" s="949"/>
      <c r="AN149" s="949"/>
      <c r="AO149" s="949"/>
      <c r="AP149" s="949"/>
      <c r="AQ149" s="1040">
        <v>0.04</v>
      </c>
      <c r="AR149" s="1040">
        <v>0.04</v>
      </c>
      <c r="AS149" s="1040">
        <v>0.04</v>
      </c>
      <c r="AT149" s="1040">
        <v>0.05</v>
      </c>
      <c r="AU149" s="1040">
        <v>0.05</v>
      </c>
      <c r="AV149" s="1040">
        <v>0.05</v>
      </c>
      <c r="AW149" s="1040">
        <v>0.05</v>
      </c>
      <c r="AX149" s="1040">
        <v>0.04</v>
      </c>
      <c r="AY149" s="1040">
        <v>0.04</v>
      </c>
      <c r="AZ149" s="1040">
        <v>0.04</v>
      </c>
      <c r="BA149" s="1040">
        <v>0.04</v>
      </c>
      <c r="BB149" s="1040">
        <v>0.04</v>
      </c>
      <c r="BC149" s="1040">
        <v>0.04</v>
      </c>
      <c r="BD149" s="1040">
        <v>0.04</v>
      </c>
      <c r="BE149" s="1040">
        <v>0.03</v>
      </c>
      <c r="BF149" s="1040">
        <v>0.03</v>
      </c>
      <c r="BG149" s="1040">
        <v>0.03</v>
      </c>
      <c r="BH149" s="646">
        <v>0.03</v>
      </c>
      <c r="BI149" s="646">
        <v>0.03</v>
      </c>
      <c r="BJ149" s="2050">
        <f t="shared" si="143"/>
        <v>0.03</v>
      </c>
      <c r="BK149" s="2050">
        <f t="shared" si="143"/>
        <v>0.03</v>
      </c>
      <c r="BL149" s="2050">
        <f t="shared" si="142"/>
        <v>0.03</v>
      </c>
    </row>
    <row r="150" spans="1:64" s="9" customFormat="1" ht="11.25">
      <c r="A150" s="342" t="s">
        <v>1015</v>
      </c>
      <c r="B150" s="949"/>
      <c r="C150" s="949"/>
      <c r="D150" s="949"/>
      <c r="E150" s="949"/>
      <c r="F150" s="949"/>
      <c r="G150" s="949"/>
      <c r="H150" s="949"/>
      <c r="I150" s="949"/>
      <c r="J150" s="949"/>
      <c r="K150" s="949"/>
      <c r="L150" s="949"/>
      <c r="M150" s="949"/>
      <c r="N150" s="949"/>
      <c r="O150" s="949"/>
      <c r="P150" s="949"/>
      <c r="Q150" s="949"/>
      <c r="R150" s="949"/>
      <c r="S150" s="949"/>
      <c r="T150" s="949"/>
      <c r="U150" s="949"/>
      <c r="V150" s="949"/>
      <c r="W150" s="949"/>
      <c r="X150" s="949"/>
      <c r="Y150" s="949"/>
      <c r="Z150" s="949"/>
      <c r="AA150" s="949"/>
      <c r="AB150" s="949"/>
      <c r="AC150" s="949"/>
      <c r="AD150" s="949"/>
      <c r="AE150" s="949"/>
      <c r="AF150" s="949"/>
      <c r="AG150" s="949"/>
      <c r="AH150" s="949"/>
      <c r="AI150" s="949"/>
      <c r="AJ150" s="949"/>
      <c r="AK150" s="949"/>
      <c r="AL150" s="949"/>
      <c r="AM150" s="949"/>
      <c r="AN150" s="949"/>
      <c r="AO150" s="949"/>
      <c r="AP150" s="949"/>
      <c r="AQ150" s="1040">
        <v>0.03</v>
      </c>
      <c r="AR150" s="1040">
        <v>0.03</v>
      </c>
      <c r="AS150" s="1040">
        <v>0.02</v>
      </c>
      <c r="AT150" s="1040">
        <v>0.02</v>
      </c>
      <c r="AU150" s="1040">
        <v>0.02</v>
      </c>
      <c r="AV150" s="1040">
        <v>0.03</v>
      </c>
      <c r="AW150" s="1040">
        <v>0.03</v>
      </c>
      <c r="AX150" s="1040">
        <v>0.02</v>
      </c>
      <c r="AY150" s="1040">
        <v>0.02</v>
      </c>
      <c r="AZ150" s="1040">
        <v>0.02</v>
      </c>
      <c r="BA150" s="1040">
        <v>0.02</v>
      </c>
      <c r="BB150" s="1040">
        <v>0.02</v>
      </c>
      <c r="BC150" s="1040">
        <v>0.02</v>
      </c>
      <c r="BD150" s="1040">
        <v>0.01</v>
      </c>
      <c r="BE150" s="1040">
        <v>0.01</v>
      </c>
      <c r="BF150" s="1040">
        <v>0.01</v>
      </c>
      <c r="BG150" s="1040">
        <v>0.01</v>
      </c>
      <c r="BH150" s="646">
        <v>0.01</v>
      </c>
      <c r="BI150" s="646">
        <v>0.01</v>
      </c>
      <c r="BJ150" s="2050">
        <f t="shared" si="143"/>
        <v>0.01</v>
      </c>
      <c r="BK150" s="2050">
        <f t="shared" si="143"/>
        <v>0.01</v>
      </c>
      <c r="BL150" s="2050">
        <f t="shared" si="142"/>
        <v>0.01</v>
      </c>
    </row>
    <row r="151" spans="1:64" s="9" customFormat="1" ht="11.25">
      <c r="A151" s="342" t="s">
        <v>1017</v>
      </c>
      <c r="B151" s="949"/>
      <c r="C151" s="949"/>
      <c r="D151" s="949"/>
      <c r="E151" s="949"/>
      <c r="F151" s="949"/>
      <c r="G151" s="949"/>
      <c r="H151" s="949"/>
      <c r="I151" s="949"/>
      <c r="J151" s="949"/>
      <c r="K151" s="949"/>
      <c r="L151" s="949"/>
      <c r="M151" s="949"/>
      <c r="N151" s="949"/>
      <c r="O151" s="949"/>
      <c r="P151" s="949"/>
      <c r="Q151" s="949"/>
      <c r="R151" s="949"/>
      <c r="S151" s="949"/>
      <c r="T151" s="949"/>
      <c r="U151" s="949"/>
      <c r="V151" s="949"/>
      <c r="W151" s="949"/>
      <c r="X151" s="949"/>
      <c r="Y151" s="949"/>
      <c r="Z151" s="949"/>
      <c r="AA151" s="949"/>
      <c r="AB151" s="949"/>
      <c r="AC151" s="949"/>
      <c r="AD151" s="949"/>
      <c r="AE151" s="949"/>
      <c r="AF151" s="949"/>
      <c r="AG151" s="949"/>
      <c r="AH151" s="949"/>
      <c r="AI151" s="949"/>
      <c r="AJ151" s="949"/>
      <c r="AK151" s="949"/>
      <c r="AL151" s="949"/>
      <c r="AM151" s="949"/>
      <c r="AN151" s="949"/>
      <c r="AO151" s="949"/>
      <c r="AP151" s="949"/>
      <c r="AQ151" s="1040"/>
      <c r="AR151" s="1040"/>
      <c r="AS151" s="1040"/>
      <c r="AT151" s="1040"/>
      <c r="AU151" s="1040"/>
      <c r="AV151" s="1040">
        <v>0</v>
      </c>
      <c r="AW151" s="1040"/>
      <c r="AX151" s="1040"/>
      <c r="AY151" s="1040"/>
      <c r="AZ151" s="1040">
        <v>0</v>
      </c>
      <c r="BA151" s="1040">
        <v>0</v>
      </c>
      <c r="BB151" s="1040">
        <v>0</v>
      </c>
      <c r="BC151" s="1040">
        <v>0</v>
      </c>
      <c r="BD151" s="1040">
        <v>0</v>
      </c>
      <c r="BE151" s="1040">
        <v>0</v>
      </c>
      <c r="BF151" s="1040">
        <v>0</v>
      </c>
      <c r="BG151" s="1040">
        <v>0</v>
      </c>
      <c r="BH151" s="646">
        <v>0</v>
      </c>
      <c r="BI151" s="646">
        <v>0</v>
      </c>
      <c r="BJ151" s="2050">
        <f t="shared" si="143"/>
        <v>0</v>
      </c>
      <c r="BK151" s="2050">
        <f t="shared" si="143"/>
        <v>0</v>
      </c>
      <c r="BL151" s="2050">
        <f t="shared" si="142"/>
        <v>0</v>
      </c>
    </row>
    <row r="152" spans="1:64" s="9" customFormat="1" ht="11.25">
      <c r="A152" s="342" t="s">
        <v>1120</v>
      </c>
      <c r="B152" s="949"/>
      <c r="C152" s="949"/>
      <c r="D152" s="949"/>
      <c r="E152" s="949"/>
      <c r="F152" s="949"/>
      <c r="G152" s="949"/>
      <c r="H152" s="949"/>
      <c r="I152" s="949"/>
      <c r="J152" s="949"/>
      <c r="K152" s="949"/>
      <c r="L152" s="949"/>
      <c r="M152" s="949"/>
      <c r="N152" s="949"/>
      <c r="O152" s="949"/>
      <c r="P152" s="949"/>
      <c r="Q152" s="949"/>
      <c r="R152" s="949"/>
      <c r="S152" s="949"/>
      <c r="T152" s="949"/>
      <c r="U152" s="949"/>
      <c r="V152" s="949"/>
      <c r="W152" s="949"/>
      <c r="X152" s="949"/>
      <c r="Y152" s="949"/>
      <c r="Z152" s="949"/>
      <c r="AA152" s="949"/>
      <c r="AB152" s="949"/>
      <c r="AC152" s="949"/>
      <c r="AD152" s="949"/>
      <c r="AE152" s="949"/>
      <c r="AF152" s="949"/>
      <c r="AG152" s="949"/>
      <c r="AH152" s="949"/>
      <c r="AI152" s="949"/>
      <c r="AJ152" s="949"/>
      <c r="AK152" s="949"/>
      <c r="AL152" s="949"/>
      <c r="AM152" s="949"/>
      <c r="AN152" s="949"/>
      <c r="AO152" s="949"/>
      <c r="AP152" s="949"/>
      <c r="AQ152" s="1040"/>
      <c r="AR152" s="1040"/>
      <c r="AS152" s="1040"/>
      <c r="AT152" s="1040"/>
      <c r="AU152" s="1040"/>
      <c r="AV152" s="1040">
        <v>0</v>
      </c>
      <c r="AW152" s="1040"/>
      <c r="AX152" s="1040"/>
      <c r="AY152" s="1040"/>
      <c r="AZ152" s="1040">
        <v>0</v>
      </c>
      <c r="BA152" s="1040">
        <v>0</v>
      </c>
      <c r="BB152" s="1040">
        <v>0</v>
      </c>
      <c r="BC152" s="1040">
        <v>0</v>
      </c>
      <c r="BD152" s="1040">
        <v>0</v>
      </c>
      <c r="BE152" s="1040">
        <v>0</v>
      </c>
      <c r="BF152" s="1040">
        <v>0</v>
      </c>
      <c r="BG152" s="1040">
        <v>0</v>
      </c>
      <c r="BH152" s="646">
        <v>0</v>
      </c>
      <c r="BI152" s="646">
        <v>0</v>
      </c>
      <c r="BJ152" s="2050">
        <f t="shared" si="143"/>
        <v>0</v>
      </c>
      <c r="BK152" s="2050">
        <f t="shared" si="143"/>
        <v>0</v>
      </c>
      <c r="BL152" s="2050">
        <f t="shared" si="142"/>
        <v>0</v>
      </c>
    </row>
    <row r="153" spans="1:64" s="9" customFormat="1" ht="11.25">
      <c r="A153" s="342" t="s">
        <v>331</v>
      </c>
      <c r="B153" s="949"/>
      <c r="C153" s="949"/>
      <c r="D153" s="949"/>
      <c r="E153" s="949"/>
      <c r="F153" s="949"/>
      <c r="G153" s="949"/>
      <c r="H153" s="949"/>
      <c r="I153" s="949"/>
      <c r="J153" s="949"/>
      <c r="K153" s="949"/>
      <c r="L153" s="949"/>
      <c r="M153" s="949"/>
      <c r="N153" s="949"/>
      <c r="O153" s="949"/>
      <c r="P153" s="949"/>
      <c r="Q153" s="949"/>
      <c r="R153" s="949"/>
      <c r="S153" s="949"/>
      <c r="T153" s="949"/>
      <c r="U153" s="949"/>
      <c r="V153" s="949"/>
      <c r="W153" s="949"/>
      <c r="X153" s="949"/>
      <c r="Y153" s="949"/>
      <c r="Z153" s="949"/>
      <c r="AA153" s="949"/>
      <c r="AB153" s="949"/>
      <c r="AC153" s="949"/>
      <c r="AD153" s="949"/>
      <c r="AE153" s="949"/>
      <c r="AF153" s="949"/>
      <c r="AG153" s="949"/>
      <c r="AH153" s="949"/>
      <c r="AI153" s="949"/>
      <c r="AJ153" s="949"/>
      <c r="AK153" s="949"/>
      <c r="AL153" s="949"/>
      <c r="AM153" s="949"/>
      <c r="AN153" s="949"/>
      <c r="AO153" s="949"/>
      <c r="AP153" s="949"/>
      <c r="AQ153" s="1040">
        <v>0.02</v>
      </c>
      <c r="AR153" s="1040">
        <v>0.02</v>
      </c>
      <c r="AS153" s="1040">
        <v>0.03</v>
      </c>
      <c r="AT153" s="646">
        <f>2%+2%</f>
        <v>0.04</v>
      </c>
      <c r="AU153" s="646">
        <f>2%+2%</f>
        <v>0.04</v>
      </c>
      <c r="AV153" s="646">
        <f>1%+1%</f>
        <v>0.02</v>
      </c>
      <c r="AW153" s="646">
        <f>2%+1%</f>
        <v>0.03</v>
      </c>
      <c r="AX153" s="646">
        <f>2%+1%</f>
        <v>0.03</v>
      </c>
      <c r="AY153" s="646">
        <v>0.01</v>
      </c>
      <c r="AZ153" s="646">
        <v>0.01</v>
      </c>
      <c r="BA153" s="646">
        <v>0.02</v>
      </c>
      <c r="BB153" s="646">
        <v>0.02</v>
      </c>
      <c r="BC153" s="646">
        <v>0.02</v>
      </c>
      <c r="BD153" s="646">
        <v>0.01</v>
      </c>
      <c r="BE153" s="646">
        <f>1%</f>
        <v>0.01</v>
      </c>
      <c r="BF153" s="646">
        <v>0.04</v>
      </c>
      <c r="BG153" s="646">
        <v>0.02</v>
      </c>
      <c r="BH153" s="646">
        <v>0.01</v>
      </c>
      <c r="BI153" s="646">
        <v>0.02</v>
      </c>
      <c r="BJ153" s="2050">
        <f t="shared" si="143"/>
        <v>0.02</v>
      </c>
      <c r="BK153" s="2050">
        <f t="shared" si="143"/>
        <v>0.02</v>
      </c>
      <c r="BL153" s="2050">
        <f t="shared" si="142"/>
        <v>0.02</v>
      </c>
    </row>
    <row r="154" spans="1:64" s="9" customFormat="1" ht="11.25">
      <c r="A154" s="950" t="s">
        <v>325</v>
      </c>
      <c r="B154" s="949"/>
      <c r="C154" s="949"/>
      <c r="D154" s="949"/>
      <c r="E154" s="949"/>
      <c r="F154" s="949"/>
      <c r="G154" s="949"/>
      <c r="H154" s="949"/>
      <c r="I154" s="949"/>
      <c r="J154" s="949"/>
      <c r="K154" s="949"/>
      <c r="L154" s="949"/>
      <c r="M154" s="949"/>
      <c r="N154" s="949"/>
      <c r="O154" s="949"/>
      <c r="P154" s="949"/>
      <c r="Q154" s="949"/>
      <c r="R154" s="949"/>
      <c r="S154" s="949"/>
      <c r="T154" s="949"/>
      <c r="U154" s="949"/>
      <c r="V154" s="949"/>
      <c r="W154" s="949"/>
      <c r="X154" s="949"/>
      <c r="Y154" s="949"/>
      <c r="Z154" s="949"/>
      <c r="AA154" s="949"/>
      <c r="AB154" s="949"/>
      <c r="AC154" s="949"/>
      <c r="AD154" s="949"/>
      <c r="AE154" s="949"/>
      <c r="AF154" s="949"/>
      <c r="AG154" s="949"/>
      <c r="AH154" s="949"/>
      <c r="AI154" s="949"/>
      <c r="AJ154" s="949"/>
      <c r="AK154" s="949"/>
      <c r="AL154" s="949"/>
      <c r="AM154" s="949"/>
      <c r="AN154" s="949"/>
      <c r="AO154" s="949"/>
      <c r="AP154" s="949"/>
      <c r="AQ154" s="949">
        <f>SUM(AQ144:AQ153)</f>
        <v>1</v>
      </c>
      <c r="AR154" s="949">
        <f>SUM(AR144:AR153)</f>
        <v>1</v>
      </c>
      <c r="AS154" s="949">
        <f t="shared" ref="AS154:BI154" si="144">SUM(AS144:AS153)</f>
        <v>1</v>
      </c>
      <c r="AT154" s="949">
        <f t="shared" si="144"/>
        <v>1</v>
      </c>
      <c r="AU154" s="949">
        <f t="shared" si="144"/>
        <v>1</v>
      </c>
      <c r="AV154" s="949">
        <f t="shared" si="144"/>
        <v>1</v>
      </c>
      <c r="AW154" s="949">
        <f t="shared" si="144"/>
        <v>1</v>
      </c>
      <c r="AX154" s="949">
        <f t="shared" si="144"/>
        <v>1</v>
      </c>
      <c r="AY154" s="949">
        <f t="shared" si="144"/>
        <v>1</v>
      </c>
      <c r="AZ154" s="949">
        <f t="shared" si="144"/>
        <v>1</v>
      </c>
      <c r="BA154" s="949">
        <f t="shared" si="144"/>
        <v>1</v>
      </c>
      <c r="BB154" s="949">
        <f t="shared" si="144"/>
        <v>1</v>
      </c>
      <c r="BC154" s="949">
        <f t="shared" si="144"/>
        <v>1</v>
      </c>
      <c r="BD154" s="949">
        <f t="shared" si="144"/>
        <v>1</v>
      </c>
      <c r="BE154" s="949">
        <f t="shared" si="144"/>
        <v>1</v>
      </c>
      <c r="BF154" s="949">
        <f t="shared" si="144"/>
        <v>1</v>
      </c>
      <c r="BG154" s="949">
        <f t="shared" si="144"/>
        <v>1</v>
      </c>
      <c r="BH154" s="1804">
        <f t="shared" si="144"/>
        <v>1</v>
      </c>
      <c r="BI154" s="1804">
        <f t="shared" si="144"/>
        <v>1</v>
      </c>
      <c r="BJ154" s="1804">
        <f t="shared" ref="BJ154:BK154" si="145">SUM(BJ144:BJ153)</f>
        <v>1</v>
      </c>
      <c r="BK154" s="1804">
        <f t="shared" si="145"/>
        <v>1</v>
      </c>
      <c r="BL154" s="1804">
        <f t="shared" ref="BL154" si="146">SUM(BL144:BL153)</f>
        <v>1</v>
      </c>
    </row>
    <row r="155" spans="1:64" s="9" customFormat="1" ht="11.25">
      <c r="A155" s="950"/>
      <c r="B155" s="949"/>
      <c r="C155" s="949"/>
      <c r="D155" s="949"/>
      <c r="E155" s="949"/>
      <c r="F155" s="949"/>
      <c r="G155" s="949"/>
      <c r="H155" s="949"/>
      <c r="I155" s="949"/>
      <c r="J155" s="949"/>
      <c r="K155" s="949"/>
      <c r="L155" s="949"/>
      <c r="M155" s="949"/>
      <c r="N155" s="949"/>
      <c r="O155" s="949"/>
      <c r="P155" s="949"/>
      <c r="Q155" s="949"/>
      <c r="R155" s="949"/>
      <c r="S155" s="949"/>
      <c r="T155" s="949"/>
      <c r="U155" s="949"/>
      <c r="V155" s="949"/>
      <c r="W155" s="949"/>
      <c r="X155" s="949"/>
      <c r="Y155" s="949"/>
      <c r="Z155" s="949"/>
      <c r="AA155" s="949"/>
      <c r="AB155" s="949"/>
      <c r="AC155" s="949"/>
      <c r="AD155" s="949"/>
      <c r="AE155" s="949"/>
      <c r="AF155" s="949"/>
      <c r="AG155" s="949"/>
      <c r="AH155" s="949"/>
      <c r="AI155" s="949"/>
      <c r="AJ155" s="949"/>
      <c r="AK155" s="949"/>
      <c r="AL155" s="949"/>
      <c r="AM155" s="949"/>
      <c r="AN155" s="949"/>
      <c r="AO155" s="949"/>
      <c r="AP155" s="949"/>
      <c r="AT155" s="770"/>
    </row>
    <row r="156" spans="1:64" s="9" customFormat="1" ht="11.25">
      <c r="A156" s="513" t="s">
        <v>1020</v>
      </c>
      <c r="B156" s="949"/>
      <c r="C156" s="949"/>
      <c r="D156" s="949"/>
      <c r="E156" s="949"/>
      <c r="F156" s="949"/>
      <c r="G156" s="949"/>
      <c r="H156" s="949"/>
      <c r="I156" s="949"/>
      <c r="J156" s="949"/>
      <c r="K156" s="949"/>
      <c r="L156" s="949"/>
      <c r="M156" s="949"/>
      <c r="N156" s="949"/>
      <c r="O156" s="949"/>
      <c r="P156" s="949"/>
      <c r="Q156" s="949"/>
      <c r="R156" s="949"/>
      <c r="S156" s="949"/>
      <c r="T156" s="949"/>
      <c r="U156" s="949"/>
      <c r="V156" s="949"/>
      <c r="W156" s="949"/>
      <c r="X156" s="949"/>
      <c r="Y156" s="949"/>
      <c r="Z156" s="949"/>
      <c r="AA156" s="949"/>
      <c r="AB156" s="949"/>
      <c r="AC156" s="949"/>
      <c r="AD156" s="949"/>
      <c r="AE156" s="949"/>
      <c r="AF156" s="949"/>
      <c r="AG156" s="949"/>
      <c r="AH156" s="949"/>
      <c r="AI156" s="949"/>
      <c r="AJ156" s="949"/>
      <c r="AK156" s="949"/>
      <c r="AL156" s="949"/>
      <c r="AM156" s="949"/>
      <c r="AN156" s="949"/>
      <c r="AO156" s="949"/>
      <c r="AP156" s="949"/>
      <c r="AT156" s="241"/>
    </row>
    <row r="157" spans="1:64" s="9" customFormat="1" ht="11.25">
      <c r="A157" s="342" t="s">
        <v>1007</v>
      </c>
      <c r="B157" s="949"/>
      <c r="C157" s="949"/>
      <c r="D157" s="949"/>
      <c r="E157" s="949"/>
      <c r="F157" s="949"/>
      <c r="G157" s="949"/>
      <c r="H157" s="949"/>
      <c r="I157" s="949"/>
      <c r="J157" s="949"/>
      <c r="K157" s="949"/>
      <c r="L157" s="949"/>
      <c r="M157" s="949"/>
      <c r="N157" s="949"/>
      <c r="O157" s="949"/>
      <c r="P157" s="949"/>
      <c r="Q157" s="949"/>
      <c r="R157" s="949"/>
      <c r="S157" s="949"/>
      <c r="T157" s="949"/>
      <c r="U157" s="949"/>
      <c r="V157" s="949"/>
      <c r="W157" s="949"/>
      <c r="X157" s="949"/>
      <c r="Y157" s="949"/>
      <c r="Z157" s="949"/>
      <c r="AA157" s="949"/>
      <c r="AB157" s="949"/>
      <c r="AC157" s="1040">
        <v>0.18</v>
      </c>
      <c r="AD157" s="1041"/>
      <c r="AE157" s="1040">
        <v>0.22</v>
      </c>
      <c r="AF157" s="1040">
        <v>0.21</v>
      </c>
      <c r="AG157" s="1040">
        <v>0.19</v>
      </c>
      <c r="AH157" s="1040">
        <v>0.22</v>
      </c>
      <c r="AI157" s="1040">
        <v>0.21</v>
      </c>
      <c r="AJ157" s="1040">
        <v>0.21</v>
      </c>
      <c r="AK157" s="1040">
        <v>0.2</v>
      </c>
      <c r="AL157" s="1040">
        <v>0.24</v>
      </c>
      <c r="AM157" s="1040">
        <v>0.25</v>
      </c>
      <c r="AN157" s="1040">
        <v>0.25</v>
      </c>
      <c r="AO157" s="1040">
        <v>0.25</v>
      </c>
      <c r="AP157" s="1040">
        <v>0.28000000000000003</v>
      </c>
      <c r="AQ157" s="37">
        <f>(IS!AQ$102*AQ131+IS!AQ$113*AQ144)/(IS!AQ$102+IS!AQ$113)</f>
        <v>0.19075230367212209</v>
      </c>
      <c r="AR157" s="37">
        <f>(IS!AR$102*AR131+IS!AR$113*AR144)/(IS!AR$102+IS!AR$113)</f>
        <v>0.19097115639057952</v>
      </c>
      <c r="AS157" s="37">
        <f>(IS!AS$102*AS131+IS!AS$113*AS144)/(IS!AS$102+IS!AS$113)</f>
        <v>0.17952978056426333</v>
      </c>
      <c r="AT157" s="37">
        <f>(IS!AT$102*AT131+IS!AT$113*AT144)/(IS!AT$102+IS!AT$113)</f>
        <v>0.19288481404958679</v>
      </c>
      <c r="AU157" s="37">
        <f>(IS!AU$102*AU131+IS!AU$113*AU144)/(IS!AU$102+IS!AU$113)</f>
        <v>0.20263782866836302</v>
      </c>
      <c r="AV157" s="37">
        <f>(IS!AV$102*AV131+IS!AV$113*AV144)/(IS!AV$102+IS!AV$113)</f>
        <v>0.45522870331514897</v>
      </c>
      <c r="AW157" s="37">
        <f>(IS!AW$102*AW131+IS!AW$113*AW144)/(IS!AW$102+IS!AW$113)</f>
        <v>0.25799923997719931</v>
      </c>
      <c r="AX157" s="37">
        <f>(IS!AX$102*AX131+IS!AX$113*AX144)/(IS!AX$102+IS!AX$113)</f>
        <v>0.28095744680851065</v>
      </c>
      <c r="AY157" s="37">
        <f>(IS!AY$102*AY131+IS!AY$113*AY144)/(IS!AY$102+IS!AY$113)</f>
        <v>0.29669467252243648</v>
      </c>
      <c r="AZ157" s="37">
        <f>(IS!AZ$102*AZ131+IS!AZ$113*AZ144)/(IS!AZ$102+IS!AZ$113)</f>
        <v>0.26542221473116467</v>
      </c>
      <c r="BA157" s="37">
        <f>(IS!BA$102*BA131+IS!BA$113*BA144)/(IS!BA$102+IS!BA$113)</f>
        <v>0.21154169586545199</v>
      </c>
      <c r="BB157" s="37">
        <f>(IS!BB$102*BB131+IS!BB$113*BB144)/(IS!BB$102+IS!BB$113)</f>
        <v>0.21188150052588525</v>
      </c>
      <c r="BC157" s="37">
        <f>(IS!BC$102*BC131+IS!BC$113*BC144)/(IS!BC$102+IS!BC$113)</f>
        <v>0.21595146871008941</v>
      </c>
      <c r="BD157" s="37">
        <f>(IS!BD$102*BD131+IS!BD$113*BD144)/(IS!BD$102+IS!BD$113)</f>
        <v>0.19280431432973807</v>
      </c>
      <c r="BE157" s="37">
        <f>(IS!BE$102*BE131+IS!BE$113*BE144)/(IS!BE$102+IS!BE$113)</f>
        <v>0.16148425787106446</v>
      </c>
      <c r="BF157" s="37">
        <f>(IS!BF$102*BF131+IS!BF$113*BF144)/(IS!BF$102+IS!BF$113)</f>
        <v>0.17166023166023167</v>
      </c>
      <c r="BG157" s="37">
        <f>(IS!BG$102*BG131+IS!BG$113*BG144)/(IS!BG$102+IS!BG$113)</f>
        <v>0.18630865484880083</v>
      </c>
      <c r="BH157" s="37">
        <f>(IS!BH$102*BH131+IS!BH$113*BH144)/(IS!BH$102+IS!BH$113)</f>
        <v>0.18294291562428927</v>
      </c>
      <c r="BI157" s="37">
        <f>(IS!BI$102*BI131+IS!BI$113*BI144)/(IS!BI$102+IS!BI$113)</f>
        <v>0.1674697406340058</v>
      </c>
      <c r="BJ157" s="37">
        <f>(IS!BJ$102*BJ131+IS!BJ$113*BJ144)/(IS!BJ$102+IS!BJ$113)</f>
        <v>0.16928315412186382</v>
      </c>
      <c r="BK157" s="37">
        <f>(IS!BK$102*BK131+IS!BK$113*BK144)/(IS!BK$102+IS!BK$113)</f>
        <v>0.17286740610032769</v>
      </c>
      <c r="BL157" s="37">
        <f>(IS!BL$102*BL131+IS!BL$113*BL144)/(IS!BL$102+IS!BL$113)</f>
        <v>0.16877348330740696</v>
      </c>
    </row>
    <row r="158" spans="1:64" s="9" customFormat="1" ht="11.25">
      <c r="A158" s="342" t="s">
        <v>1008</v>
      </c>
      <c r="B158" s="949"/>
      <c r="C158" s="949"/>
      <c r="D158" s="949"/>
      <c r="E158" s="949"/>
      <c r="F158" s="949"/>
      <c r="G158" s="949"/>
      <c r="H158" s="949"/>
      <c r="I158" s="949"/>
      <c r="J158" s="949"/>
      <c r="K158" s="949"/>
      <c r="L158" s="949"/>
      <c r="M158" s="949"/>
      <c r="N158" s="949"/>
      <c r="O158" s="949"/>
      <c r="P158" s="949"/>
      <c r="Q158" s="949"/>
      <c r="R158" s="949"/>
      <c r="S158" s="949"/>
      <c r="T158" s="949"/>
      <c r="U158" s="949"/>
      <c r="V158" s="949"/>
      <c r="W158" s="949"/>
      <c r="X158" s="949"/>
      <c r="Y158" s="949"/>
      <c r="Z158" s="949"/>
      <c r="AA158" s="949"/>
      <c r="AB158" s="949"/>
      <c r="AC158" s="1040">
        <v>0.41</v>
      </c>
      <c r="AD158" s="1041"/>
      <c r="AE158" s="1040">
        <v>0.36</v>
      </c>
      <c r="AF158" s="1040">
        <v>0.37</v>
      </c>
      <c r="AG158" s="1040">
        <v>0.39</v>
      </c>
      <c r="AH158" s="1040">
        <v>0.37</v>
      </c>
      <c r="AI158" s="1040">
        <v>0.38</v>
      </c>
      <c r="AJ158" s="1040">
        <v>0.38</v>
      </c>
      <c r="AK158" s="1040">
        <v>0.4</v>
      </c>
      <c r="AL158" s="1040">
        <v>0.36</v>
      </c>
      <c r="AM158" s="1040">
        <v>0.35</v>
      </c>
      <c r="AN158" s="1040">
        <v>0.34</v>
      </c>
      <c r="AO158" s="1040">
        <v>0.35</v>
      </c>
      <c r="AP158" s="1040">
        <v>0.3</v>
      </c>
      <c r="AQ158" s="37">
        <f>(IS!AQ$102*AQ132+IS!AQ$113*AQ145)/(IS!AQ$102+IS!AQ$113)</f>
        <v>0.19696327877870992</v>
      </c>
      <c r="AR158" s="37">
        <f>(IS!AR$102*AR132+IS!AR$113*AR145)/(IS!AR$102+IS!AR$113)</f>
        <v>0.19644350357237367</v>
      </c>
      <c r="AS158" s="37">
        <f>(IS!AS$102*AS132+IS!AS$113*AS145)/(IS!AS$102+IS!AS$113)</f>
        <v>0.20302115987460814</v>
      </c>
      <c r="AT158" s="37">
        <f>(IS!AT$102*AT132+IS!AT$113*AT145)/(IS!AT$102+IS!AT$113)</f>
        <v>0.17543904958677689</v>
      </c>
      <c r="AU158" s="37">
        <f>(IS!AU$102*AU132+IS!AU$113*AU145)/(IS!AU$102+IS!AU$113)</f>
        <v>0.18656488549618319</v>
      </c>
      <c r="AV158" s="37">
        <f>(IS!AV$102*AV132+IS!AV$113*AV145)/(IS!AV$102+IS!AV$113)</f>
        <v>0.18869911875786821</v>
      </c>
      <c r="AW158" s="37">
        <f>(IS!AW$102*AW132+IS!AW$113*AW145)/(IS!AW$102+IS!AW$113)</f>
        <v>0.15857305719171574</v>
      </c>
      <c r="AX158" s="37">
        <f>(IS!AX$102*AX132+IS!AX$113*AX145)/(IS!AX$102+IS!AX$113)</f>
        <v>0.18293617021276595</v>
      </c>
      <c r="AY158" s="37">
        <f>(IS!AY$102*AY132+IS!AY$113*AY145)/(IS!AY$102+IS!AY$113)</f>
        <v>0.20662593087645598</v>
      </c>
      <c r="AZ158" s="37">
        <f>(IS!AZ$102*AZ132+IS!AZ$113*AZ145)/(IS!AZ$102+IS!AZ$113)</f>
        <v>0.18472779369627507</v>
      </c>
      <c r="BA158" s="37">
        <f>(IS!BA$102*BA132+IS!BA$113*BA145)/(IS!BA$102+IS!BA$113)</f>
        <v>0.1995304835318851</v>
      </c>
      <c r="BB158" s="37">
        <f>(IS!BB$102*BB132+IS!BB$113*BB145)/(IS!BB$102+IS!BB$113)</f>
        <v>0.20190019866775741</v>
      </c>
      <c r="BC158" s="37">
        <f>(IS!BC$102*BC132+IS!BC$113*BC145)/(IS!BC$102+IS!BC$113)</f>
        <v>0.20498722860791826</v>
      </c>
      <c r="BD158" s="37">
        <f>(IS!BD$102*BD132+IS!BD$113*BD145)/(IS!BD$102+IS!BD$113)</f>
        <v>0.22298921417565484</v>
      </c>
      <c r="BE158" s="37">
        <f>(IS!BE$102*BE132+IS!BE$113*BE145)/(IS!BE$102+IS!BE$113)</f>
        <v>0.2304751470418637</v>
      </c>
      <c r="BF158" s="37">
        <f>(IS!BF$102*BF132+IS!BF$113*BF145)/(IS!BF$102+IS!BF$113)</f>
        <v>0.20811362382790954</v>
      </c>
      <c r="BG158" s="37">
        <f>(IS!BG$102*BG132+IS!BG$113*BG145)/(IS!BG$102+IS!BG$113)</f>
        <v>0.20799791449426488</v>
      </c>
      <c r="BH158" s="37">
        <f>(IS!BH$102*BH132+IS!BH$113*BH145)/(IS!BH$102+IS!BH$113)</f>
        <v>0.20551057539231296</v>
      </c>
      <c r="BI158" s="37">
        <f>(IS!BI$102*BI132+IS!BI$113*BI145)/(IS!BI$102+IS!BI$113)</f>
        <v>0.21358270893371756</v>
      </c>
      <c r="BJ158" s="37">
        <f>(IS!BJ$102*BJ132+IS!BJ$113*BJ145)/(IS!BJ$102+IS!BJ$113)</f>
        <v>0.20862604540023896</v>
      </c>
      <c r="BK158" s="37">
        <f>(IS!BK$102*BK132+IS!BK$113*BK145)/(IS!BK$102+IS!BK$113)</f>
        <v>0.19882908999243762</v>
      </c>
      <c r="BL158" s="37">
        <f>(IS!BL$102*BL132+IS!BL$113*BL145)/(IS!BL$102+IS!BL$113)</f>
        <v>0.21001914562642096</v>
      </c>
    </row>
    <row r="159" spans="1:64" s="9" customFormat="1" ht="11.25">
      <c r="A159" s="342" t="s">
        <v>1018</v>
      </c>
      <c r="B159" s="949"/>
      <c r="C159" s="949"/>
      <c r="D159" s="949"/>
      <c r="E159" s="949"/>
      <c r="F159" s="949"/>
      <c r="G159" s="949"/>
      <c r="H159" s="949"/>
      <c r="I159" s="949"/>
      <c r="J159" s="949"/>
      <c r="K159" s="949"/>
      <c r="L159" s="949"/>
      <c r="M159" s="949"/>
      <c r="N159" s="949"/>
      <c r="O159" s="949"/>
      <c r="P159" s="949"/>
      <c r="Q159" s="949"/>
      <c r="R159" s="949"/>
      <c r="S159" s="949"/>
      <c r="T159" s="949"/>
      <c r="U159" s="949"/>
      <c r="V159" s="949"/>
      <c r="W159" s="949"/>
      <c r="X159" s="949"/>
      <c r="Y159" s="949"/>
      <c r="Z159" s="949"/>
      <c r="AA159" s="949"/>
      <c r="AB159" s="949"/>
      <c r="AC159" s="1040">
        <v>0.19</v>
      </c>
      <c r="AD159" s="1041"/>
      <c r="AE159" s="1040">
        <v>0.16</v>
      </c>
      <c r="AF159" s="1040">
        <v>0.17</v>
      </c>
      <c r="AG159" s="1040">
        <v>0.18</v>
      </c>
      <c r="AH159" s="1040">
        <v>0.17</v>
      </c>
      <c r="AI159" s="1040">
        <v>0.18</v>
      </c>
      <c r="AJ159" s="1040">
        <v>0.19</v>
      </c>
      <c r="AK159" s="1040">
        <v>0.18</v>
      </c>
      <c r="AL159" s="1040">
        <v>0.18</v>
      </c>
      <c r="AM159" s="1040">
        <v>0.17</v>
      </c>
      <c r="AN159" s="1040">
        <v>0.18</v>
      </c>
      <c r="AO159" s="1040">
        <v>0.17</v>
      </c>
      <c r="AP159" s="1040">
        <v>0.16</v>
      </c>
      <c r="AQ159" s="37">
        <f>(IS!AQ$102*AQ133+IS!AQ$113*AQ146)/(IS!AQ$102+IS!AQ$113)</f>
        <v>0.2246376014303397</v>
      </c>
      <c r="AR159" s="37">
        <f>(IS!AR$102*AR133+IS!AR$113*AR146)/(IS!AR$102+IS!AR$113)</f>
        <v>0.2659645408838317</v>
      </c>
      <c r="AS159" s="37">
        <f>(IS!AS$102*AS133+IS!AS$113*AS146)/(IS!AS$102+IS!AS$113)</f>
        <v>0.26731583072100312</v>
      </c>
      <c r="AT159" s="37">
        <f>(IS!AT$102*AT133+IS!AT$113*AT146)/(IS!AT$102+IS!AT$113)</f>
        <v>0.24241735537190082</v>
      </c>
      <c r="AU159" s="37">
        <f>(IS!AU$102*AU133+IS!AU$113*AU146)/(IS!AU$102+IS!AU$113)</f>
        <v>0.25440203562340963</v>
      </c>
      <c r="AV159" s="37">
        <f>(IS!AV$102*AV133+IS!AV$113*AV146)/(IS!AV$102+IS!AV$113)</f>
        <v>0.13850608476710027</v>
      </c>
      <c r="AW159" s="37">
        <f>(IS!AW$102*AW133+IS!AW$113*AW146)/(IS!AW$102+IS!AW$113)</f>
        <v>0.22657229716891503</v>
      </c>
      <c r="AX159" s="37">
        <f>(IS!AX$102*AX133+IS!AX$113*AX146)/(IS!AX$102+IS!AX$113)</f>
        <v>0.21194680851063832</v>
      </c>
      <c r="AY159" s="37">
        <f>(IS!AY$102*AY133+IS!AY$113*AY146)/(IS!AY$102+IS!AY$113)</f>
        <v>0.23997708611800644</v>
      </c>
      <c r="AZ159" s="37">
        <f>(IS!AZ$102*AZ133+IS!AZ$113*AZ146)/(IS!AZ$102+IS!AZ$113)</f>
        <v>0.22736389684813751</v>
      </c>
      <c r="BA159" s="37">
        <f>(IS!BA$102*BA133+IS!BA$113*BA146)/(IS!BA$102+IS!BA$113)</f>
        <v>0.27199719691660829</v>
      </c>
      <c r="BB159" s="37">
        <f>(IS!BB$102*BB133+IS!BB$113*BB146)/(IS!BB$102+IS!BB$113)</f>
        <v>0.26170269954423275</v>
      </c>
      <c r="BC159" s="37">
        <f>(IS!BC$102*BC133+IS!BC$113*BC146)/(IS!BC$102+IS!BC$113)</f>
        <v>0.26067049808429116</v>
      </c>
      <c r="BD159" s="37">
        <f>(IS!BD$102*BD133+IS!BD$113*BD146)/(IS!BD$102+IS!BD$113)</f>
        <v>0.28647149460708782</v>
      </c>
      <c r="BE159" s="37">
        <f>(IS!BE$102*BE133+IS!BE$113*BE146)/(IS!BE$102+IS!BE$113)</f>
        <v>0.34492792065505706</v>
      </c>
      <c r="BF159" s="37">
        <f>(IS!BF$102*BF133+IS!BF$113*BF146)/(IS!BF$102+IS!BF$113)</f>
        <v>0.33071704357418641</v>
      </c>
      <c r="BG159" s="37">
        <f>(IS!BG$102*BG133+IS!BG$113*BG146)/(IS!BG$102+IS!BG$113)</f>
        <v>0.30015293708724367</v>
      </c>
      <c r="BH159" s="37">
        <f>(IS!BH$102*BH133+IS!BH$113*BH146)/(IS!BH$102+IS!BH$113)</f>
        <v>0.31705708437571067</v>
      </c>
      <c r="BI159" s="37">
        <f>(IS!BI$102*BI133+IS!BI$113*BI146)/(IS!BI$102+IS!BI$113)</f>
        <v>0.31852219020172912</v>
      </c>
      <c r="BJ159" s="37">
        <f>(IS!BJ$102*BJ133+IS!BJ$113*BJ146)/(IS!BJ$102+IS!BJ$113)</f>
        <v>0.31719235364396658</v>
      </c>
      <c r="BK159" s="37">
        <f>(IS!BK$102*BK133+IS!BK$113*BK146)/(IS!BK$102+IS!BK$113)</f>
        <v>0.31456390219309299</v>
      </c>
      <c r="BL159" s="37">
        <f>(IS!BL$102*BL133+IS!BL$113*BL146)/(IS!BL$102+IS!BL$113)</f>
        <v>0.31756611224123488</v>
      </c>
    </row>
    <row r="160" spans="1:64" s="9" customFormat="1" ht="11.25">
      <c r="A160" s="342" t="s">
        <v>1011</v>
      </c>
      <c r="B160" s="949"/>
      <c r="C160" s="949"/>
      <c r="D160" s="949"/>
      <c r="E160" s="949"/>
      <c r="F160" s="949"/>
      <c r="G160" s="949"/>
      <c r="H160" s="949"/>
      <c r="I160" s="949"/>
      <c r="J160" s="949"/>
      <c r="K160" s="949"/>
      <c r="L160" s="949"/>
      <c r="M160" s="949"/>
      <c r="N160" s="949"/>
      <c r="O160" s="949"/>
      <c r="P160" s="949"/>
      <c r="Q160" s="949"/>
      <c r="R160" s="949"/>
      <c r="S160" s="949"/>
      <c r="T160" s="949"/>
      <c r="U160" s="949"/>
      <c r="V160" s="949"/>
      <c r="W160" s="949"/>
      <c r="X160" s="949"/>
      <c r="Y160" s="949"/>
      <c r="Z160" s="949"/>
      <c r="AA160" s="949"/>
      <c r="AB160" s="949"/>
      <c r="AC160" s="1040"/>
      <c r="AD160" s="1041"/>
      <c r="AE160" s="1040"/>
      <c r="AF160" s="1040"/>
      <c r="AG160" s="1040"/>
      <c r="AH160" s="1040"/>
      <c r="AI160" s="1040"/>
      <c r="AJ160" s="1040"/>
      <c r="AK160" s="1040"/>
      <c r="AL160" s="1040"/>
      <c r="AM160" s="1040"/>
      <c r="AN160" s="1040"/>
      <c r="AO160" s="1040"/>
      <c r="AP160" s="1040"/>
      <c r="AQ160" s="37">
        <f>(IS!AQ$102*AQ135+IS!AQ$113*AQ147)/(IS!AQ$102+IS!AQ$113)</f>
        <v>0.11767432265162976</v>
      </c>
      <c r="AR160" s="37">
        <f>(IS!AR$102*AR135+IS!AR$113*AR147)/(IS!AR$102+IS!AR$113)</f>
        <v>0.11790685366499075</v>
      </c>
      <c r="AS160" s="37">
        <f>(IS!AS$102*AS135+IS!AS$113*AS147)/(IS!AS$102+IS!AS$113)</f>
        <v>0.10952978056426332</v>
      </c>
      <c r="AT160" s="37">
        <f>(IS!AT$102*AT135+IS!AT$113*AT147)/(IS!AT$102+IS!AT$113)</f>
        <v>0.11758264462809918</v>
      </c>
      <c r="AU160" s="37">
        <f>(IS!AU$102*AU135+IS!AU$113*AU147)/(IS!AU$102+IS!AU$113)</f>
        <v>0.12671755725190842</v>
      </c>
      <c r="AV160" s="37">
        <f>(IS!AV$102*AV135+IS!AV$113*AV147)/(IS!AV$102+IS!AV$113)</f>
        <v>7.6072177926982801E-2</v>
      </c>
      <c r="AW160" s="37">
        <f>(IS!AW$102*AW135+IS!AW$113*AW147)/(IS!AW$102+IS!AW$113)</f>
        <v>0.12342770283108494</v>
      </c>
      <c r="AX160" s="37">
        <f>(IS!AX$102*AX135+IS!AX$113*AX147)/(IS!AX$102+IS!AX$113)</f>
        <v>0.11353191489361703</v>
      </c>
      <c r="AY160" s="37">
        <f>(IS!AY$102*AY135+IS!AY$113*AY147)/(IS!AY$102+IS!AY$113)</f>
        <v>0.10668703456177202</v>
      </c>
      <c r="AZ160" s="37">
        <f>(IS!AZ$102*AZ135+IS!AZ$113*AZ147)/(IS!AZ$102+IS!AZ$113)</f>
        <v>0.12984999157256025</v>
      </c>
      <c r="BA160" s="37">
        <f>(IS!BA$102*BA135+IS!BA$113*BA147)/(IS!BA$102+IS!BA$113)</f>
        <v>0.11508058864751226</v>
      </c>
      <c r="BB160" s="37">
        <f>(IS!BB$102*BB135+IS!BB$113*BB147)/(IS!BB$102+IS!BB$113)</f>
        <v>0.12225780063106227</v>
      </c>
      <c r="BC160" s="37">
        <f>(IS!BC$102*BC135+IS!BC$113*BC147)/(IS!BC$102+IS!BC$113)</f>
        <v>0.12581736909323116</v>
      </c>
      <c r="BD160" s="37">
        <f>(IS!BD$102*BD135+IS!BD$113*BD147)/(IS!BD$102+IS!BD$113)</f>
        <v>0.12208012326656395</v>
      </c>
      <c r="BE160" s="37">
        <f>(IS!BE$102*BE135+IS!BE$113*BE147)/(IS!BE$102+IS!BE$113)</f>
        <v>0.10655633721600738</v>
      </c>
      <c r="BF160" s="37">
        <f>(IS!BF$102*BF135+IS!BF$113*BF147)/(IS!BF$102+IS!BF$113)</f>
        <v>0.1178488692774407</v>
      </c>
      <c r="BG160" s="37">
        <f>(IS!BG$102*BG135+IS!BG$113*BG147)/(IS!BG$102+IS!BG$113)</f>
        <v>0.12277024678484534</v>
      </c>
      <c r="BH160" s="37">
        <f>(IS!BH$102*BH135+IS!BH$113*BH147)/(IS!BH$102+IS!BH$113)</f>
        <v>0.12224471230384353</v>
      </c>
      <c r="BI160" s="37">
        <f>(IS!BI$102*BI135+IS!BI$113*BI147)/(IS!BI$102+IS!BI$113)</f>
        <v>0.12346167146974063</v>
      </c>
      <c r="BJ160" s="37">
        <f>(IS!BJ$102*BJ135+IS!BJ$113*BJ147)/(IS!BJ$102+IS!BJ$113)</f>
        <v>0.12575866188769413</v>
      </c>
      <c r="BK160" s="37">
        <f>(IS!BK$102*BK135+IS!BK$113*BK147)/(IS!BK$102+IS!BK$113)</f>
        <v>0.13029871439374843</v>
      </c>
      <c r="BL160" s="37">
        <f>(IS!BL$102*BL135+IS!BL$113*BL147)/(IS!BL$102+IS!BL$113)</f>
        <v>0.1251130788560488</v>
      </c>
    </row>
    <row r="161" spans="1:64" s="9" customFormat="1" ht="11.25">
      <c r="A161" s="342" t="s">
        <v>1019</v>
      </c>
      <c r="B161" s="949"/>
      <c r="C161" s="949"/>
      <c r="D161" s="949"/>
      <c r="E161" s="949"/>
      <c r="F161" s="949"/>
      <c r="G161" s="949"/>
      <c r="H161" s="949"/>
      <c r="I161" s="949"/>
      <c r="J161" s="949"/>
      <c r="K161" s="949"/>
      <c r="L161" s="949"/>
      <c r="M161" s="949"/>
      <c r="N161" s="949"/>
      <c r="O161" s="949"/>
      <c r="P161" s="949"/>
      <c r="Q161" s="949"/>
      <c r="R161" s="949"/>
      <c r="S161" s="949"/>
      <c r="T161" s="949"/>
      <c r="U161" s="949"/>
      <c r="V161" s="949"/>
      <c r="W161" s="949"/>
      <c r="X161" s="949"/>
      <c r="Y161" s="949"/>
      <c r="Z161" s="949"/>
      <c r="AA161" s="949"/>
      <c r="AB161" s="949"/>
      <c r="AC161" s="1040">
        <v>0.18</v>
      </c>
      <c r="AD161" s="1041"/>
      <c r="AE161" s="1040">
        <v>0.2</v>
      </c>
      <c r="AF161" s="1040">
        <v>0.18</v>
      </c>
      <c r="AG161" s="1040">
        <v>0.18</v>
      </c>
      <c r="AH161" s="1040">
        <v>0.18</v>
      </c>
      <c r="AI161" s="1040">
        <v>0.17</v>
      </c>
      <c r="AJ161" s="1040">
        <v>0.16</v>
      </c>
      <c r="AK161" s="1040">
        <v>0.17</v>
      </c>
      <c r="AL161" s="1040">
        <v>0.17</v>
      </c>
      <c r="AM161" s="1040">
        <v>0.18</v>
      </c>
      <c r="AN161" s="1040">
        <v>0.17</v>
      </c>
      <c r="AO161" s="1040">
        <v>0.18</v>
      </c>
      <c r="AP161" s="1040">
        <v>0.19</v>
      </c>
      <c r="AQ161" s="37">
        <f>(IS!AQ$102*AQ134+IS!AQ$113*AQ148)/(IS!AQ$102+IS!AQ$113)</f>
        <v>0.11767432265162976</v>
      </c>
      <c r="AR161" s="37">
        <f>(IS!AR$102*AR134+IS!AR$113*AR148)/(IS!AR$102+IS!AR$113)</f>
        <v>0.11097115639057953</v>
      </c>
      <c r="AS161" s="37">
        <f>(IS!AS$102*AS134+IS!AS$113*AS148)/(IS!AS$102+IS!AS$113)</f>
        <v>0.11637539184952979</v>
      </c>
      <c r="AT161" s="37">
        <f>(IS!AT$102*AT134+IS!AT$113*AT148)/(IS!AT$102+IS!AT$113)</f>
        <v>0.12493155991735537</v>
      </c>
      <c r="AU161" s="37">
        <f>(IS!AU$102*AU134+IS!AU$113*AU148)/(IS!AU$102+IS!AU$113)</f>
        <v>0.10559796437659033</v>
      </c>
      <c r="AV161" s="37">
        <f>(IS!AV$102*AV134+IS!AV$113*AV148)/(IS!AV$102+IS!AV$113)</f>
        <v>8.2987830465799411E-2</v>
      </c>
      <c r="AW161" s="37">
        <f>(IS!AW$102*AW134+IS!AW$113*AW148)/(IS!AW$102+IS!AW$113)</f>
        <v>0.13114193425802775</v>
      </c>
      <c r="AX161" s="37">
        <f>(IS!AX$102*AX134+IS!AX$113*AX148)/(IS!AX$102+IS!AX$113)</f>
        <v>9.9340425531914911E-2</v>
      </c>
      <c r="AY161" s="37">
        <f>(IS!AY$102*AY134+IS!AY$113*AY148)/(IS!AY$102+IS!AY$113)</f>
        <v>6.6679396601107513E-2</v>
      </c>
      <c r="AZ161" s="37">
        <f>(IS!AZ$102*AZ134+IS!AZ$113*AZ148)/(IS!AZ$102+IS!AZ$113)</f>
        <v>0.1009944378897691</v>
      </c>
      <c r="BA161" s="37">
        <f>(IS!BA$102*BA134+IS!BA$113*BA148)/(IS!BA$102+IS!BA$113)</f>
        <v>0.101541695865452</v>
      </c>
      <c r="BB161" s="37">
        <f>(IS!BB$102*BB134+IS!BB$113*BB148)/(IS!BB$102+IS!BB$113)</f>
        <v>0.10188150052588524</v>
      </c>
      <c r="BC161" s="37">
        <f>(IS!BC$102*BC134+IS!BC$113*BC148)/(IS!BC$102+IS!BC$113)</f>
        <v>9.2707535121328233E-2</v>
      </c>
      <c r="BD161" s="37">
        <f>(IS!BD$102*BD134+IS!BD$113*BD148)/(IS!BD$102+IS!BD$113)</f>
        <v>8.3528505392912178E-2</v>
      </c>
      <c r="BE161" s="37">
        <f>(IS!BE$102*BE134+IS!BE$113*BE148)/(IS!BE$102+IS!BE$113)</f>
        <v>8.1484257871064475E-2</v>
      </c>
      <c r="BF161" s="37">
        <f>(IS!BF$102*BF134+IS!BF$113*BF148)/(IS!BF$102+IS!BF$113)</f>
        <v>7.8565912851627132E-2</v>
      </c>
      <c r="BG161" s="37">
        <f>(IS!BG$102*BG134+IS!BG$113*BG148)/(IS!BG$102+IS!BG$113)</f>
        <v>9.0462287104622882E-2</v>
      </c>
      <c r="BH161" s="37">
        <f>(IS!BH$102*BH134+IS!BH$113*BH148)/(IS!BH$102+IS!BH$113)</f>
        <v>8.3641118944735054E-2</v>
      </c>
      <c r="BI161" s="37">
        <f>(IS!BI$102*BI134+IS!BI$113*BI148)/(IS!BI$102+IS!BI$113)</f>
        <v>9.0971757925072047E-2</v>
      </c>
      <c r="BJ161" s="37">
        <f>(IS!BJ$102*BJ134+IS!BJ$113*BJ148)/(IS!BJ$102+IS!BJ$113)</f>
        <v>9.2664277180406221E-2</v>
      </c>
      <c r="BK161" s="37">
        <f>(IS!BK$102*BK134+IS!BK$113*BK148)/(IS!BK$102+IS!BK$113)</f>
        <v>9.6009579026972533E-2</v>
      </c>
      <c r="BL161" s="37">
        <f>(IS!BL$102*BL134+IS!BL$113*BL148)/(IS!BL$102+IS!BL$113)</f>
        <v>9.2188584420246508E-2</v>
      </c>
    </row>
    <row r="162" spans="1:64" s="9" customFormat="1" ht="11.25">
      <c r="A162" s="342" t="s">
        <v>1016</v>
      </c>
      <c r="B162" s="949"/>
      <c r="C162" s="949"/>
      <c r="D162" s="949"/>
      <c r="E162" s="949"/>
      <c r="F162" s="949"/>
      <c r="G162" s="949"/>
      <c r="H162" s="949"/>
      <c r="I162" s="949"/>
      <c r="J162" s="949"/>
      <c r="K162" s="949"/>
      <c r="L162" s="949"/>
      <c r="M162" s="949"/>
      <c r="N162" s="949"/>
      <c r="O162" s="949"/>
      <c r="P162" s="949"/>
      <c r="Q162" s="949"/>
      <c r="R162" s="949"/>
      <c r="S162" s="949"/>
      <c r="T162" s="949"/>
      <c r="U162" s="949"/>
      <c r="V162" s="949"/>
      <c r="W162" s="949"/>
      <c r="X162" s="949"/>
      <c r="Y162" s="949"/>
      <c r="Z162" s="949"/>
      <c r="AA162" s="949"/>
      <c r="AB162" s="949"/>
      <c r="AC162" s="1040">
        <v>0</v>
      </c>
      <c r="AD162" s="1041"/>
      <c r="AE162" s="1040">
        <v>0</v>
      </c>
      <c r="AF162" s="1040">
        <v>0.03</v>
      </c>
      <c r="AG162" s="1040">
        <v>0.03</v>
      </c>
      <c r="AH162" s="1040">
        <v>0.03</v>
      </c>
      <c r="AI162" s="1040">
        <v>0.02</v>
      </c>
      <c r="AJ162" s="1040">
        <v>0.02</v>
      </c>
      <c r="AK162" s="1040">
        <v>0.02</v>
      </c>
      <c r="AL162" s="1040">
        <v>0.02</v>
      </c>
      <c r="AM162" s="1040">
        <v>0.02</v>
      </c>
      <c r="AN162" s="1040">
        <v>0.02</v>
      </c>
      <c r="AO162" s="1040">
        <v>0.02</v>
      </c>
      <c r="AP162" s="1040">
        <v>0.02</v>
      </c>
      <c r="AQ162" s="37">
        <f>(IS!AQ$102*AQ136+IS!AQ$113*AQ149)/(IS!AQ$102+IS!AQ$113)</f>
        <v>1.2311924081969468E-2</v>
      </c>
      <c r="AR162" s="37">
        <f>(IS!AR$102*AR136+IS!AR$113*AR149)/(IS!AR$102+IS!AR$113)</f>
        <v>1.225721090235512E-2</v>
      </c>
      <c r="AS162" s="37">
        <f>(IS!AS$102*AS136+IS!AS$113*AS149)/(IS!AS$102+IS!AS$113)</f>
        <v>1.261755485893417E-2</v>
      </c>
      <c r="AT162" s="37">
        <f>(IS!AT$102*AT136+IS!AT$113*AT149)/(IS!AT$102+IS!AT$113)</f>
        <v>1.3255423553719009E-2</v>
      </c>
      <c r="AU162" s="37">
        <f>(IS!AU$102*AU136+IS!AU$113*AU149)/(IS!AU$102+IS!AU$113)</f>
        <v>1.4800678541136557E-2</v>
      </c>
      <c r="AV162" s="37">
        <f>(IS!AV$102*AV136+IS!AV$113*AV149)/(IS!AV$102+IS!AV$113)</f>
        <v>1.5421737305916911E-2</v>
      </c>
      <c r="AW162" s="37">
        <f>(IS!AW$102*AW136+IS!AW$113*AW149)/(IS!AW$102+IS!AW$113)</f>
        <v>1.1428842865285959E-2</v>
      </c>
      <c r="AX162" s="37">
        <f>(IS!AX$102*AX136+IS!AX$113*AX149)/(IS!AX$102+IS!AX$113)</f>
        <v>1.1617021276595745E-2</v>
      </c>
      <c r="AY162" s="37">
        <f>(IS!AY$102*AY136+IS!AY$113*AY149)/(IS!AY$102+IS!AY$113)</f>
        <v>1.3328241359556998E-2</v>
      </c>
      <c r="AZ162" s="37">
        <f>(IS!AZ$102*AZ136+IS!AZ$113*AZ149)/(IS!AZ$102+IS!AZ$113)</f>
        <v>1.1144446317208833E-2</v>
      </c>
      <c r="BA162" s="37">
        <f>(IS!BA$102*BA136+IS!BA$113*BA149)/(IS!BA$102+IS!BA$113)</f>
        <v>1.2922214435879468E-2</v>
      </c>
      <c r="BB162" s="37">
        <f>(IS!BB$102*BB136+IS!BB$113*BB149)/(IS!BB$102+IS!BB$113)</f>
        <v>1.2831599859763936E-2</v>
      </c>
      <c r="BC162" s="37">
        <f>(IS!BC$102*BC136+IS!BC$113*BC149)/(IS!BC$102+IS!BC$113)</f>
        <v>1.351213282247765E-2</v>
      </c>
      <c r="BD162" s="37">
        <f>(IS!BD$102*BD136+IS!BD$113*BD149)/(IS!BD$102+IS!BD$113)</f>
        <v>1.4298921417565485E-2</v>
      </c>
      <c r="BE162" s="37">
        <f>(IS!BE$102*BE136+IS!BE$113*BE149)/(IS!BE$102+IS!BE$113)</f>
        <v>1.1195940491292815E-2</v>
      </c>
      <c r="BF162" s="37">
        <f>(IS!BF$102*BF136+IS!BF$113*BF149)/(IS!BF$102+IS!BF$113)</f>
        <v>1.0358521787093214E-2</v>
      </c>
      <c r="BG162" s="37">
        <f>(IS!BG$102*BG136+IS!BG$113*BG149)/(IS!BG$102+IS!BG$113)</f>
        <v>1.0615224191866527E-2</v>
      </c>
      <c r="BH162" s="37">
        <f>(IS!BH$102*BH136+IS!BH$113*BH149)/(IS!BH$102+IS!BH$113)</f>
        <v>1.0698203320445758E-2</v>
      </c>
      <c r="BI162" s="37">
        <f>(IS!BI$102*BI136+IS!BI$113*BI149)/(IS!BI$102+IS!BI$113)</f>
        <v>1.0506051873198847E-2</v>
      </c>
      <c r="BJ162" s="37">
        <f>(IS!BJ$102*BJ136+IS!BJ$113*BJ149)/(IS!BJ$102+IS!BJ$113)</f>
        <v>1.0143369175627239E-2</v>
      </c>
      <c r="BK162" s="37">
        <f>(IS!BK$102*BK136+IS!BK$113*BK149)/(IS!BK$102+IS!BK$113)</f>
        <v>9.4265187799344591E-3</v>
      </c>
      <c r="BL162" s="37">
        <f>(IS!BL$102*BL136+IS!BL$113*BL149)/(IS!BL$102+IS!BL$113)</f>
        <v>1.0245303338518606E-2</v>
      </c>
    </row>
    <row r="163" spans="1:64" s="9" customFormat="1" ht="11.25">
      <c r="A163" s="342" t="s">
        <v>1015</v>
      </c>
      <c r="B163" s="949"/>
      <c r="C163" s="949"/>
      <c r="D163" s="949"/>
      <c r="E163" s="949"/>
      <c r="F163" s="949"/>
      <c r="G163" s="949"/>
      <c r="H163" s="949"/>
      <c r="I163" s="949"/>
      <c r="J163" s="949"/>
      <c r="K163" s="949"/>
      <c r="L163" s="949"/>
      <c r="M163" s="949"/>
      <c r="N163" s="949"/>
      <c r="O163" s="949"/>
      <c r="P163" s="949"/>
      <c r="Q163" s="949"/>
      <c r="R163" s="949"/>
      <c r="S163" s="949"/>
      <c r="T163" s="949"/>
      <c r="U163" s="949"/>
      <c r="V163" s="949"/>
      <c r="W163" s="949"/>
      <c r="X163" s="949"/>
      <c r="Y163" s="949"/>
      <c r="Z163" s="949"/>
      <c r="AA163" s="949"/>
      <c r="AB163" s="949"/>
      <c r="AC163" s="1040">
        <v>0.02</v>
      </c>
      <c r="AD163" s="1041"/>
      <c r="AE163" s="1040">
        <v>0.02</v>
      </c>
      <c r="AF163" s="1040">
        <v>0.02</v>
      </c>
      <c r="AG163" s="1040">
        <v>0.02</v>
      </c>
      <c r="AH163" s="1040">
        <v>0.01</v>
      </c>
      <c r="AI163" s="1040">
        <v>0.02</v>
      </c>
      <c r="AJ163" s="1040">
        <v>0.02</v>
      </c>
      <c r="AK163" s="1040">
        <v>0.02</v>
      </c>
      <c r="AL163" s="1040">
        <v>0.02</v>
      </c>
      <c r="AM163" s="1040">
        <v>0.02</v>
      </c>
      <c r="AN163" s="1040">
        <v>0.02</v>
      </c>
      <c r="AO163" s="1040">
        <v>0.02</v>
      </c>
      <c r="AP163" s="1040">
        <v>0.02</v>
      </c>
      <c r="AQ163" s="37">
        <f>(IS!AQ$102*AQ137+IS!AQ$113*AQ150)/(IS!AQ$102+IS!AQ$113)</f>
        <v>9.2339430614771009E-3</v>
      </c>
      <c r="AR163" s="37">
        <f>(IS!AR$102*AR137+IS!AR$113*AR150)/(IS!AR$102+IS!AR$113)</f>
        <v>9.1929081767663408E-3</v>
      </c>
      <c r="AS163" s="37">
        <f>(IS!AS$102*AS137+IS!AS$113*AS150)/(IS!AS$102+IS!AS$113)</f>
        <v>6.3087774294670849E-3</v>
      </c>
      <c r="AT163" s="37">
        <f>(IS!AT$102*AT137+IS!AT$113*AT150)/(IS!AT$102+IS!AT$113)</f>
        <v>5.3021694214876033E-3</v>
      </c>
      <c r="AU163" s="37">
        <f>(IS!AU$102*AU137+IS!AU$113*AU150)/(IS!AU$102+IS!AU$113)</f>
        <v>5.920271416454622E-3</v>
      </c>
      <c r="AV163" s="37">
        <f>(IS!AV$102*AV137+IS!AV$113*AV150)/(IS!AV$102+IS!AV$113)</f>
        <v>9.2530423835501478E-3</v>
      </c>
      <c r="AW163" s="37">
        <f>(IS!AW$102*AW137+IS!AW$113*AW150)/(IS!AW$102+IS!AW$113)</f>
        <v>6.857305719171574E-3</v>
      </c>
      <c r="AX163" s="37">
        <f>(IS!AX$102*AX137+IS!AX$113*AX150)/(IS!AX$102+IS!AX$113)</f>
        <v>5.8085106382978723E-3</v>
      </c>
      <c r="AY163" s="37">
        <f>(IS!AY$102*AY137+IS!AY$113*AY150)/(IS!AY$102+IS!AY$113)</f>
        <v>6.6641206797784991E-3</v>
      </c>
      <c r="AZ163" s="37">
        <f>(IS!AZ$102*AZ137+IS!AZ$113*AZ150)/(IS!AZ$102+IS!AZ$113)</f>
        <v>5.5722231586044163E-3</v>
      </c>
      <c r="BA163" s="37">
        <f>(IS!BA$102*BA137+IS!BA$113*BA150)/(IS!BA$102+IS!BA$113)</f>
        <v>6.4611072179397338E-3</v>
      </c>
      <c r="BB163" s="37">
        <f>(IS!BB$102*BB137+IS!BB$113*BB150)/(IS!BB$102+IS!BB$113)</f>
        <v>6.4157999298819681E-3</v>
      </c>
      <c r="BC163" s="37">
        <f>(IS!BC$102*BC137+IS!BC$113*BC150)/(IS!BC$102+IS!BC$113)</f>
        <v>6.7560664112388249E-3</v>
      </c>
      <c r="BD163" s="37">
        <f>(IS!BD$102*BD137+IS!BD$113*BD150)/(IS!BD$102+IS!BD$113)</f>
        <v>3.5747303543913712E-3</v>
      </c>
      <c r="BE163" s="37">
        <f>(IS!BE$102*BE137+IS!BE$113*BE150)/(IS!BE$102+IS!BE$113)</f>
        <v>3.7319801637642714E-3</v>
      </c>
      <c r="BF163" s="37">
        <f>(IS!BF$102*BF137+IS!BF$113*BF150)/(IS!BF$102+IS!BF$113)</f>
        <v>3.4528405956977385E-3</v>
      </c>
      <c r="BG163" s="37">
        <f>(IS!BG$102*BG137+IS!BG$113*BG150)/(IS!BG$102+IS!BG$113)</f>
        <v>3.5384080639555091E-3</v>
      </c>
      <c r="BH163" s="37">
        <f>(IS!BH$102*BH137+IS!BH$113*BH150)/(IS!BH$102+IS!BH$113)</f>
        <v>3.5660677734819196E-3</v>
      </c>
      <c r="BI163" s="37">
        <f>(IS!BI$102*BI137+IS!BI$113*BI150)/(IS!BI$102+IS!BI$113)</f>
        <v>3.5020172910662823E-3</v>
      </c>
      <c r="BJ163" s="37">
        <f>(IS!BJ$102*BJ137+IS!BJ$113*BJ150)/(IS!BJ$102+IS!BJ$113)</f>
        <v>3.3811230585424133E-3</v>
      </c>
      <c r="BK163" s="37">
        <f>(IS!BK$102*BK137+IS!BK$113*BK150)/(IS!BK$102+IS!BK$113)</f>
        <v>3.1421729266448198E-3</v>
      </c>
      <c r="BL163" s="37">
        <f>(IS!BL$102*BL137+IS!BL$113*BL150)/(IS!BL$102+IS!BL$113)</f>
        <v>3.4151011128395357E-3</v>
      </c>
    </row>
    <row r="164" spans="1:64" s="9" customFormat="1" ht="11.25">
      <c r="A164" s="342" t="s">
        <v>1017</v>
      </c>
      <c r="B164" s="949"/>
      <c r="C164" s="949"/>
      <c r="D164" s="949"/>
      <c r="E164" s="949"/>
      <c r="F164" s="949"/>
      <c r="G164" s="949"/>
      <c r="H164" s="949"/>
      <c r="I164" s="949"/>
      <c r="J164" s="949"/>
      <c r="K164" s="949"/>
      <c r="L164" s="949"/>
      <c r="M164" s="949"/>
      <c r="N164" s="949"/>
      <c r="O164" s="949"/>
      <c r="P164" s="949"/>
      <c r="Q164" s="949"/>
      <c r="R164" s="949"/>
      <c r="S164" s="949"/>
      <c r="T164" s="949"/>
      <c r="U164" s="949"/>
      <c r="V164" s="949"/>
      <c r="W164" s="949"/>
      <c r="X164" s="949"/>
      <c r="Y164" s="949"/>
      <c r="Z164" s="949"/>
      <c r="AA164" s="949"/>
      <c r="AB164" s="949"/>
      <c r="AC164" s="1040">
        <v>0.01</v>
      </c>
      <c r="AD164" s="1041"/>
      <c r="AE164" s="1040">
        <v>0.01</v>
      </c>
      <c r="AF164" s="1040">
        <v>0.01</v>
      </c>
      <c r="AG164" s="1040">
        <v>0.01</v>
      </c>
      <c r="AH164" s="1040">
        <v>0.01</v>
      </c>
      <c r="AI164" s="1040">
        <v>0.01</v>
      </c>
      <c r="AJ164" s="1040">
        <v>0.01</v>
      </c>
      <c r="AK164" s="1040">
        <v>0.01</v>
      </c>
      <c r="AL164" s="1040">
        <v>0.01</v>
      </c>
      <c r="AM164" s="1040">
        <v>0.01</v>
      </c>
      <c r="AN164" s="1040">
        <v>0.01</v>
      </c>
      <c r="AO164" s="1040">
        <v>0.01</v>
      </c>
      <c r="AP164" s="1040">
        <v>0.01</v>
      </c>
      <c r="AQ164" s="37">
        <f>(IS!AQ$102*AQ138+IS!AQ$113*AQ151)/(IS!AQ$102+IS!AQ$113)</f>
        <v>0</v>
      </c>
      <c r="AR164" s="37">
        <f>(IS!AR$102*AR138+IS!AR$113*AR151)/(IS!AR$102+IS!AR$113)</f>
        <v>6.9356972744112205E-3</v>
      </c>
      <c r="AS164" s="37">
        <f>(IS!AS$102*AS138+IS!AS$113*AS151)/(IS!AS$102+IS!AS$113)</f>
        <v>6.8456112852664577E-3</v>
      </c>
      <c r="AT164" s="37">
        <f>(IS!AT$102*AT138+IS!AT$113*AT151)/(IS!AT$102+IS!AT$113)</f>
        <v>7.348915289256199E-3</v>
      </c>
      <c r="AU164" s="37">
        <f>(IS!AU$102*AU138+IS!AU$113*AU151)/(IS!AU$102+IS!AU$113)</f>
        <v>0</v>
      </c>
      <c r="AV164" s="37">
        <f>(IS!AV$102*AV138+IS!AV$113*AV151)/(IS!AV$102+IS!AV$113)</f>
        <v>0</v>
      </c>
      <c r="AW164" s="37">
        <f>(IS!AW$102*AW138+IS!AW$113*AW151)/(IS!AW$102+IS!AW$113)</f>
        <v>0</v>
      </c>
      <c r="AX164" s="37">
        <f>(IS!AX$102*AX138+IS!AX$113*AX151)/(IS!AX$102+IS!AX$113)</f>
        <v>0</v>
      </c>
      <c r="AY164" s="37">
        <f>(IS!AY$102*AY138+IS!AY$113*AY151)/(IS!AY$102+IS!AY$113)</f>
        <v>0</v>
      </c>
      <c r="AZ164" s="37">
        <f>(IS!AZ$102*AZ138+IS!AZ$113*AZ151)/(IS!AZ$102+IS!AZ$113)</f>
        <v>0</v>
      </c>
      <c r="BA164" s="37">
        <f>(IS!BA$102*BA138+IS!BA$113*BA151)/(IS!BA$102+IS!BA$113)</f>
        <v>0</v>
      </c>
      <c r="BB164" s="37">
        <f>(IS!BB$102*BB138+IS!BB$113*BB151)/(IS!BB$102+IS!BB$113)</f>
        <v>0</v>
      </c>
      <c r="BC164" s="37">
        <f>(IS!BC$102*BC138+IS!BC$113*BC151)/(IS!BC$102+IS!BC$113)</f>
        <v>0</v>
      </c>
      <c r="BD164" s="37">
        <f>(IS!BD$102*BD138+IS!BD$113*BD151)/(IS!BD$102+IS!BD$113)</f>
        <v>0</v>
      </c>
      <c r="BE164" s="37">
        <f>(IS!BE$102*BE138+IS!BE$113*BE151)/(IS!BE$102+IS!BE$113)</f>
        <v>0</v>
      </c>
      <c r="BF164" s="37">
        <f>(IS!BF$102*BF138+IS!BF$113*BF151)/(IS!BF$102+IS!BF$113)</f>
        <v>0</v>
      </c>
      <c r="BG164" s="37">
        <f>(IS!BG$102*BG138+IS!BG$113*BG151)/(IS!BG$102+IS!BG$113)</f>
        <v>0</v>
      </c>
      <c r="BH164" s="37">
        <f>(IS!BH$102*BH138+IS!BH$113*BH151)/(IS!BH$102+IS!BH$113)</f>
        <v>0</v>
      </c>
      <c r="BI164" s="37">
        <f>(IS!BI$102*BI138+IS!BI$113*BI151)/(IS!BI$102+IS!BI$113)</f>
        <v>0</v>
      </c>
      <c r="BJ164" s="37">
        <f>(IS!BJ$102*BJ138+IS!BJ$113*BJ151)/(IS!BJ$102+IS!BJ$113)</f>
        <v>0</v>
      </c>
      <c r="BK164" s="37">
        <f>(IS!BK$102*BK138+IS!BK$113*BK151)/(IS!BK$102+IS!BK$113)</f>
        <v>0</v>
      </c>
      <c r="BL164" s="37">
        <f>(IS!BL$102*BL138+IS!BL$113*BL151)/(IS!BL$102+IS!BL$113)</f>
        <v>0</v>
      </c>
    </row>
    <row r="165" spans="1:64" s="9" customFormat="1" ht="11.25">
      <c r="A165" s="342" t="s">
        <v>1120</v>
      </c>
      <c r="B165" s="949"/>
      <c r="C165" s="949"/>
      <c r="D165" s="949"/>
      <c r="E165" s="949"/>
      <c r="F165" s="949"/>
      <c r="G165" s="949"/>
      <c r="H165" s="949"/>
      <c r="I165" s="949"/>
      <c r="J165" s="949"/>
      <c r="K165" s="949"/>
      <c r="L165" s="949"/>
      <c r="M165" s="949"/>
      <c r="N165" s="949"/>
      <c r="O165" s="949"/>
      <c r="P165" s="949"/>
      <c r="Q165" s="949"/>
      <c r="R165" s="949"/>
      <c r="S165" s="949"/>
      <c r="T165" s="949"/>
      <c r="U165" s="949"/>
      <c r="V165" s="949"/>
      <c r="W165" s="949"/>
      <c r="X165" s="949"/>
      <c r="Y165" s="949"/>
      <c r="Z165" s="949"/>
      <c r="AA165" s="949"/>
      <c r="AB165" s="949"/>
      <c r="AC165" s="1040"/>
      <c r="AD165" s="1041"/>
      <c r="AE165" s="1040"/>
      <c r="AF165" s="1040"/>
      <c r="AG165" s="1040"/>
      <c r="AH165" s="1040"/>
      <c r="AI165" s="1040"/>
      <c r="AJ165" s="1040"/>
      <c r="AK165" s="1040"/>
      <c r="AL165" s="1040"/>
      <c r="AM165" s="1040"/>
      <c r="AN165" s="1040"/>
      <c r="AO165" s="1040"/>
      <c r="AP165" s="1040"/>
      <c r="AQ165" s="37">
        <f>(IS!AQ$102*AQ139+IS!AQ$113*AQ152)/(IS!AQ$102+IS!AQ$113)</f>
        <v>6.2298170815568696E-2</v>
      </c>
      <c r="AR165" s="37">
        <f>(IS!AR$102*AR139+IS!AR$113*AR152)/(IS!AR$102+IS!AR$113)</f>
        <v>5.5485578195289764E-2</v>
      </c>
      <c r="AS165" s="37">
        <f>(IS!AS$102*AS139+IS!AS$113*AS152)/(IS!AS$102+IS!AS$113)</f>
        <v>5.4764890282131662E-2</v>
      </c>
      <c r="AT165" s="37">
        <f>(IS!AT$102*AT139+IS!AT$113*AT152)/(IS!AT$102+IS!AT$113)</f>
        <v>5.8791322314049592E-2</v>
      </c>
      <c r="AU165" s="37">
        <f>(IS!AU$102*AU139+IS!AU$113*AU152)/(IS!AU$102+IS!AU$113)</f>
        <v>6.3358778625954196E-2</v>
      </c>
      <c r="AV165" s="37">
        <f>(IS!AV$102*AV139+IS!AV$113*AV152)/(IS!AV$102+IS!AV$113)</f>
        <v>2.0746957616449853E-2</v>
      </c>
      <c r="AW165" s="37">
        <f>(IS!AW$102*AW139+IS!AW$113*AW152)/(IS!AW$102+IS!AW$113)</f>
        <v>5.3999619988599666E-2</v>
      </c>
      <c r="AX165" s="37">
        <f>(IS!AX$102*AX139+IS!AX$113*AX152)/(IS!AX$102+IS!AX$113)</f>
        <v>4.9670212765957455E-2</v>
      </c>
      <c r="AY165" s="37">
        <f>(IS!AY$102*AY139+IS!AY$113*AY152)/(IS!AY$102+IS!AY$113)</f>
        <v>3.3339698300553756E-2</v>
      </c>
      <c r="AZ165" s="37">
        <f>(IS!AZ$102*AZ139+IS!AZ$113*AZ152)/(IS!AZ$102+IS!AZ$113)</f>
        <v>4.3283330524186751E-2</v>
      </c>
      <c r="BA165" s="37">
        <f>(IS!BA$102*BA139+IS!BA$113*BA152)/(IS!BA$102+IS!BA$113)</f>
        <v>4.7386124737210933E-2</v>
      </c>
      <c r="BB165" s="37">
        <f>(IS!BB$102*BB139+IS!BB$113*BB152)/(IS!BB$102+IS!BB$113)</f>
        <v>4.7544700245413116E-2</v>
      </c>
      <c r="BC165" s="37">
        <f>(IS!BC$102*BC139+IS!BC$113*BC152)/(IS!BC$102+IS!BC$113)</f>
        <v>4.6353767560664116E-2</v>
      </c>
      <c r="BD165" s="37">
        <f>(IS!BD$102*BD139+IS!BD$113*BD152)/(IS!BD$102+IS!BD$113)</f>
        <v>4.4976887519260406E-2</v>
      </c>
      <c r="BE165" s="37">
        <f>(IS!BE$102*BE139+IS!BE$113*BE152)/(IS!BE$102+IS!BE$113)</f>
        <v>3.7608119017414364E-2</v>
      </c>
      <c r="BF165" s="37">
        <f>(IS!BF$102*BF139+IS!BF$113*BF152)/(IS!BF$102+IS!BF$113)</f>
        <v>4.5830115830115835E-2</v>
      </c>
      <c r="BG165" s="37">
        <f>(IS!BG$102*BG139+IS!BG$113*BG152)/(IS!BG$102+IS!BG$113)</f>
        <v>4.5231143552311441E-2</v>
      </c>
      <c r="BH165" s="37">
        <f>(IS!BH$102*BH139+IS!BH$113*BH152)/(IS!BH$102+IS!BH$113)</f>
        <v>4.503752558562657E-2</v>
      </c>
      <c r="BI165" s="37">
        <f>(IS!BI$102*BI139+IS!BI$113*BI152)/(IS!BI$102+IS!BI$113)</f>
        <v>4.5485878962536024E-2</v>
      </c>
      <c r="BJ165" s="37">
        <f>(IS!BJ$102*BJ139+IS!BJ$113*BJ152)/(IS!BJ$102+IS!BJ$113)</f>
        <v>4.633213859020311E-2</v>
      </c>
      <c r="BK165" s="37">
        <f>(IS!BK$102*BK139+IS!BK$113*BK152)/(IS!BK$102+IS!BK$113)</f>
        <v>4.8004789513486266E-2</v>
      </c>
      <c r="BL165" s="37">
        <f>(IS!BL$102*BL139+IS!BL$113*BL152)/(IS!BL$102+IS!BL$113)</f>
        <v>4.6094292210123254E-2</v>
      </c>
    </row>
    <row r="166" spans="1:64" s="9" customFormat="1" ht="11.25">
      <c r="A166" s="342" t="s">
        <v>331</v>
      </c>
      <c r="B166" s="949"/>
      <c r="C166" s="949"/>
      <c r="D166" s="949"/>
      <c r="E166" s="949"/>
      <c r="F166" s="949"/>
      <c r="G166" s="949"/>
      <c r="H166" s="949"/>
      <c r="I166" s="949"/>
      <c r="J166" s="949"/>
      <c r="K166" s="949"/>
      <c r="L166" s="949"/>
      <c r="M166" s="949"/>
      <c r="N166" s="949"/>
      <c r="O166" s="949"/>
      <c r="P166" s="949"/>
      <c r="Q166" s="949"/>
      <c r="R166" s="949"/>
      <c r="S166" s="949"/>
      <c r="T166" s="949"/>
      <c r="U166" s="949"/>
      <c r="V166" s="949"/>
      <c r="W166" s="949"/>
      <c r="X166" s="949"/>
      <c r="Y166" s="949"/>
      <c r="Z166" s="949"/>
      <c r="AA166" s="949"/>
      <c r="AB166" s="949"/>
      <c r="AC166" s="1040">
        <f>0.01+0.004</f>
        <v>1.4E-2</v>
      </c>
      <c r="AD166" s="1041"/>
      <c r="AE166" s="1040">
        <f>0.01+0.004+0.02</f>
        <v>3.4000000000000002E-2</v>
      </c>
      <c r="AF166" s="1040">
        <f>0.01+0.001</f>
        <v>1.0999999999999999E-2</v>
      </c>
      <c r="AG166" s="1040">
        <v>0.01</v>
      </c>
      <c r="AH166" s="1040">
        <v>0.01</v>
      </c>
      <c r="AI166" s="1040">
        <v>0.01</v>
      </c>
      <c r="AJ166" s="1040">
        <v>0.01</v>
      </c>
      <c r="AK166" s="1040">
        <v>0</v>
      </c>
      <c r="AL166" s="1040">
        <v>0</v>
      </c>
      <c r="AM166" s="1040">
        <v>0</v>
      </c>
      <c r="AN166" s="1040">
        <v>0.01</v>
      </c>
      <c r="AO166" s="1040">
        <v>0</v>
      </c>
      <c r="AP166" s="1040">
        <v>0.02</v>
      </c>
      <c r="AQ166" s="37">
        <f>(IS!AQ$102*AQ140+IS!AQ$113*AQ153)/(IS!AQ$102+IS!AQ$113)</f>
        <v>6.8454132856553412E-2</v>
      </c>
      <c r="AR166" s="37">
        <f>(IS!AR$102*AR140+IS!AR$113*AR153)/(IS!AR$102+IS!AR$113)</f>
        <v>3.3871394548822438E-2</v>
      </c>
      <c r="AS166" s="37">
        <f>(IS!AS$102*AS140+IS!AS$113*AS153)/(IS!AS$102+IS!AS$113)</f>
        <v>4.3691222570532914E-2</v>
      </c>
      <c r="AT166" s="37">
        <f>(IS!AT$102*AT140+IS!AT$113*AT153)/(IS!AT$102+IS!AT$113)</f>
        <v>6.20467458677686E-2</v>
      </c>
      <c r="AU166" s="37">
        <f>(IS!AU$102*AU140+IS!AU$113*AU153)/(IS!AU$102+IS!AU$113)</f>
        <v>0.04</v>
      </c>
      <c r="AV166" s="37">
        <f>(IS!AV$102*AV140+IS!AV$113*AV153)/(IS!AV$102+IS!AV$113)</f>
        <v>1.3084347461183383E-2</v>
      </c>
      <c r="AW166" s="37">
        <f>(IS!AW$102*AW140+IS!AW$113*AW153)/(IS!AW$102+IS!AW$113)</f>
        <v>0.03</v>
      </c>
      <c r="AX166" s="37">
        <f>(IS!AX$102*AX140+IS!AX$113*AX153)/(IS!AX$102+IS!AX$113)</f>
        <v>4.4191489361702127E-2</v>
      </c>
      <c r="AY166" s="37">
        <f>(IS!AY$102*AY140+IS!AY$113*AY153)/(IS!AY$102+IS!AY$113)</f>
        <v>3.0003818980332251E-2</v>
      </c>
      <c r="AZ166" s="37">
        <f>(IS!AZ$102*AZ140+IS!AZ$113*AZ153)/(IS!AZ$102+IS!AZ$113)</f>
        <v>3.1641665262093381E-2</v>
      </c>
      <c r="BA166" s="37">
        <f>(IS!BA$102*BA140+IS!BA$113*BA153)/(IS!BA$102+IS!BA$113)</f>
        <v>3.3538892782060264E-2</v>
      </c>
      <c r="BB166" s="37">
        <f>(IS!BB$102*BB140+IS!BB$113*BB153)/(IS!BB$102+IS!BB$113)</f>
        <v>3.3584200070118031E-2</v>
      </c>
      <c r="BC166" s="37">
        <f>(IS!BC$102*BC140+IS!BC$113*BC153)/(IS!BC$102+IS!BC$113)</f>
        <v>3.3243933588761175E-2</v>
      </c>
      <c r="BD166" s="37">
        <f>(IS!BD$102*BD140+IS!BD$113*BD153)/(IS!BD$102+IS!BD$113)</f>
        <v>2.9275808936825885E-2</v>
      </c>
      <c r="BE166" s="37">
        <f>(IS!BE$102*BE140+IS!BE$113*BE153)/(IS!BE$102+IS!BE$113)</f>
        <v>2.2536039672471454E-2</v>
      </c>
      <c r="BF166" s="37">
        <f>(IS!BF$102*BF140+IS!BF$113*BF153)/(IS!BF$102+IS!BF$113)</f>
        <v>3.3452840595697739E-2</v>
      </c>
      <c r="BG166" s="37">
        <f>(IS!BG$102*BG140+IS!BG$113*BG153)/(IS!BG$102+IS!BG$113)</f>
        <v>3.2923183872088986E-2</v>
      </c>
      <c r="BH166" s="37">
        <f>(IS!BH$102*BH140+IS!BH$113*BH153)/(IS!BH$102+IS!BH$113)</f>
        <v>2.9301796679554241E-2</v>
      </c>
      <c r="BI166" s="37">
        <f>(IS!BI$102*BI140+IS!BI$113*BI153)/(IS!BI$102+IS!BI$113)</f>
        <v>2.6497982708933714E-2</v>
      </c>
      <c r="BJ166" s="37">
        <f>(IS!BJ$102*BJ140+IS!BJ$113*BJ153)/(IS!BJ$102+IS!BJ$113)</f>
        <v>2.6618876941457585E-2</v>
      </c>
      <c r="BK166" s="37">
        <f>(IS!BK$102*BK140+IS!BK$113*BK153)/(IS!BK$102+IS!BK$113)</f>
        <v>2.6857827073355177E-2</v>
      </c>
      <c r="BL166" s="37">
        <f>(IS!BL$102*BL140+IS!BL$113*BL153)/(IS!BL$102+IS!BL$113)</f>
        <v>2.6584898887160466E-2</v>
      </c>
    </row>
    <row r="167" spans="1:64" s="9" customFormat="1" ht="11.25">
      <c r="A167" s="950" t="s">
        <v>325</v>
      </c>
      <c r="B167" s="949"/>
      <c r="C167" s="949"/>
      <c r="D167" s="949"/>
      <c r="E167" s="949"/>
      <c r="F167" s="949"/>
      <c r="G167" s="949"/>
      <c r="H167" s="949"/>
      <c r="I167" s="949"/>
      <c r="J167" s="949"/>
      <c r="K167" s="949"/>
      <c r="L167" s="949"/>
      <c r="M167" s="949"/>
      <c r="N167" s="949"/>
      <c r="O167" s="949"/>
      <c r="P167" s="949"/>
      <c r="Q167" s="949"/>
      <c r="R167" s="949"/>
      <c r="S167" s="949"/>
      <c r="T167" s="949"/>
      <c r="U167" s="949"/>
      <c r="V167" s="949"/>
      <c r="W167" s="949"/>
      <c r="X167" s="949"/>
      <c r="Y167" s="949"/>
      <c r="Z167" s="949"/>
      <c r="AA167" s="949"/>
      <c r="AB167" s="949"/>
      <c r="AC167" s="949">
        <f>SUM(AC157:AC166)</f>
        <v>1.004</v>
      </c>
      <c r="AD167" s="949"/>
      <c r="AE167" s="949">
        <f t="shared" ref="AE167:AO167" si="147">SUM(AE157:AE166)</f>
        <v>1.004</v>
      </c>
      <c r="AF167" s="949">
        <f t="shared" si="147"/>
        <v>1.0009999999999999</v>
      </c>
      <c r="AG167" s="949">
        <f t="shared" si="147"/>
        <v>1.01</v>
      </c>
      <c r="AH167" s="949">
        <f t="shared" si="147"/>
        <v>1</v>
      </c>
      <c r="AI167" s="949">
        <f t="shared" si="147"/>
        <v>1</v>
      </c>
      <c r="AJ167" s="949">
        <f t="shared" si="147"/>
        <v>1</v>
      </c>
      <c r="AK167" s="949">
        <f t="shared" si="147"/>
        <v>1</v>
      </c>
      <c r="AL167" s="949">
        <f t="shared" si="147"/>
        <v>1</v>
      </c>
      <c r="AM167" s="949">
        <f t="shared" si="147"/>
        <v>1</v>
      </c>
      <c r="AN167" s="949">
        <f t="shared" si="147"/>
        <v>1</v>
      </c>
      <c r="AO167" s="949">
        <f t="shared" si="147"/>
        <v>1</v>
      </c>
      <c r="AP167" s="949">
        <f t="shared" ref="AP167:AU167" si="148">SUM(AP157:AP166)</f>
        <v>1.0000000000000002</v>
      </c>
      <c r="AQ167" s="949">
        <f t="shared" si="148"/>
        <v>1</v>
      </c>
      <c r="AR167" s="949">
        <f t="shared" si="148"/>
        <v>1</v>
      </c>
      <c r="AS167" s="949">
        <f t="shared" si="148"/>
        <v>1</v>
      </c>
      <c r="AT167" s="949">
        <f t="shared" si="148"/>
        <v>1.0000000000000002</v>
      </c>
      <c r="AU167" s="949">
        <f t="shared" si="148"/>
        <v>0.99999999999999978</v>
      </c>
      <c r="AV167" s="949">
        <f t="shared" ref="AV167:BD167" si="149">SUM(AV157:AV166)</f>
        <v>0.99999999999999989</v>
      </c>
      <c r="AW167" s="949">
        <f t="shared" si="149"/>
        <v>1</v>
      </c>
      <c r="AX167" s="949">
        <f t="shared" si="149"/>
        <v>1</v>
      </c>
      <c r="AY167" s="949">
        <f t="shared" si="149"/>
        <v>0.99999999999999978</v>
      </c>
      <c r="AZ167" s="949">
        <f t="shared" si="149"/>
        <v>0.99999999999999989</v>
      </c>
      <c r="BA167" s="949">
        <f t="shared" si="149"/>
        <v>1</v>
      </c>
      <c r="BB167" s="949">
        <f t="shared" si="149"/>
        <v>0.99999999999999978</v>
      </c>
      <c r="BC167" s="949">
        <f t="shared" si="149"/>
        <v>1</v>
      </c>
      <c r="BD167" s="949">
        <f t="shared" si="149"/>
        <v>1</v>
      </c>
      <c r="BE167" s="949">
        <f t="shared" ref="BE167:BJ167" si="150">SUM(BE157:BE166)</f>
        <v>0.99999999999999989</v>
      </c>
      <c r="BF167" s="949">
        <f t="shared" si="150"/>
        <v>1</v>
      </c>
      <c r="BG167" s="949">
        <f t="shared" si="150"/>
        <v>1.0000000000000002</v>
      </c>
      <c r="BH167" s="949">
        <f t="shared" si="150"/>
        <v>0.99999999999999989</v>
      </c>
      <c r="BI167" s="949">
        <f t="shared" si="150"/>
        <v>0.99999999999999989</v>
      </c>
      <c r="BJ167" s="949">
        <f t="shared" si="150"/>
        <v>1</v>
      </c>
      <c r="BK167" s="949">
        <f t="shared" ref="BK167:BL167" si="151">SUM(BK157:BK166)</f>
        <v>1.0000000000000002</v>
      </c>
      <c r="BL167" s="949">
        <f t="shared" si="151"/>
        <v>0.99999999999999989</v>
      </c>
    </row>
    <row r="168" spans="1:64" s="9" customFormat="1" ht="11.25">
      <c r="A168" s="950"/>
      <c r="B168" s="949"/>
      <c r="C168" s="949"/>
      <c r="D168" s="949"/>
      <c r="E168" s="949"/>
      <c r="F168" s="949"/>
      <c r="G168" s="949"/>
      <c r="H168" s="949"/>
      <c r="I168" s="949"/>
      <c r="J168" s="949"/>
      <c r="K168" s="949"/>
      <c r="L168" s="949"/>
      <c r="M168" s="949"/>
      <c r="N168" s="949"/>
      <c r="O168" s="949"/>
      <c r="P168" s="949"/>
      <c r="Q168" s="949"/>
      <c r="R168" s="949"/>
      <c r="S168" s="949"/>
      <c r="T168" s="949"/>
      <c r="U168" s="949"/>
      <c r="V168" s="949"/>
      <c r="W168" s="949"/>
      <c r="X168" s="949"/>
      <c r="Y168" s="949"/>
      <c r="Z168" s="949"/>
      <c r="AA168" s="949"/>
      <c r="AB168" s="949"/>
      <c r="AC168" s="949"/>
      <c r="AD168" s="949"/>
      <c r="AE168" s="949"/>
      <c r="AF168" s="949"/>
      <c r="AG168" s="949"/>
      <c r="AH168" s="949"/>
      <c r="AI168" s="949"/>
      <c r="AJ168" s="949"/>
      <c r="AK168" s="949"/>
      <c r="AL168" s="949"/>
      <c r="AM168" s="949"/>
      <c r="AN168" s="949"/>
      <c r="AO168" s="949"/>
      <c r="AP168" s="949"/>
      <c r="AT168" s="241"/>
    </row>
    <row r="169" spans="1:64" s="9" customFormat="1" ht="11.25">
      <c r="A169" s="513" t="s">
        <v>1205</v>
      </c>
      <c r="B169" s="949"/>
      <c r="C169" s="949"/>
      <c r="D169" s="949"/>
      <c r="E169" s="949"/>
      <c r="F169" s="949"/>
      <c r="G169" s="949"/>
      <c r="H169" s="949"/>
      <c r="I169" s="949"/>
      <c r="J169" s="949"/>
      <c r="K169" s="949"/>
      <c r="L169" s="949"/>
      <c r="M169" s="949"/>
      <c r="N169" s="949"/>
      <c r="O169" s="949"/>
      <c r="P169" s="949"/>
      <c r="Q169" s="949"/>
      <c r="R169" s="949"/>
      <c r="S169" s="949"/>
      <c r="T169" s="949"/>
      <c r="U169" s="949"/>
      <c r="V169" s="949"/>
      <c r="W169" s="949"/>
      <c r="X169" s="949"/>
      <c r="Y169" s="949"/>
      <c r="Z169" s="949"/>
      <c r="AA169" s="949"/>
      <c r="AB169" s="949"/>
      <c r="AC169" s="949"/>
      <c r="AD169" s="949"/>
      <c r="AE169" s="949"/>
      <c r="AF169" s="949"/>
      <c r="AG169" s="949"/>
      <c r="AH169" s="949"/>
      <c r="AI169" s="949"/>
      <c r="AJ169" s="949"/>
      <c r="AK169" s="949"/>
      <c r="AL169" s="949"/>
      <c r="AM169" s="949"/>
      <c r="AN169" s="949"/>
      <c r="AO169" s="949"/>
      <c r="AP169" s="949"/>
      <c r="AT169" s="241"/>
    </row>
    <row r="170" spans="1:64" s="9" customFormat="1" ht="11.25">
      <c r="A170" s="342" t="s">
        <v>1007</v>
      </c>
      <c r="B170" s="949"/>
      <c r="C170" s="949"/>
      <c r="D170" s="949"/>
      <c r="E170" s="949"/>
      <c r="F170" s="949"/>
      <c r="G170" s="949"/>
      <c r="H170" s="949"/>
      <c r="I170" s="949"/>
      <c r="J170" s="949"/>
      <c r="K170" s="949"/>
      <c r="L170" s="949"/>
      <c r="M170" s="949"/>
      <c r="N170" s="949"/>
      <c r="O170" s="949"/>
      <c r="P170" s="949"/>
      <c r="Q170" s="949"/>
      <c r="R170" s="949"/>
      <c r="S170" s="949"/>
      <c r="T170" s="949"/>
      <c r="U170" s="949"/>
      <c r="V170" s="949"/>
      <c r="W170" s="949"/>
      <c r="X170" s="949"/>
      <c r="Y170" s="949"/>
      <c r="Z170" s="949"/>
      <c r="AA170" s="949"/>
      <c r="AB170" s="949"/>
      <c r="AC170" s="949"/>
      <c r="AD170" s="949"/>
      <c r="AE170" s="949"/>
      <c r="AF170" s="949"/>
      <c r="AG170" s="949"/>
      <c r="AH170" s="949"/>
      <c r="AI170" s="949"/>
      <c r="AJ170" s="949"/>
      <c r="AK170" s="949"/>
      <c r="AL170" s="949"/>
      <c r="AM170" s="949"/>
      <c r="AN170" s="949"/>
      <c r="AO170" s="949"/>
      <c r="AP170" s="949"/>
      <c r="AQ170" s="1040">
        <v>0.25</v>
      </c>
      <c r="AR170" s="1040">
        <v>0.24</v>
      </c>
      <c r="AS170" s="1040">
        <v>0.21</v>
      </c>
      <c r="AT170" s="1040">
        <v>0.1875</v>
      </c>
      <c r="AU170" s="1040">
        <v>0.42</v>
      </c>
      <c r="AV170" s="646">
        <f>13%*-1</f>
        <v>-0.13</v>
      </c>
      <c r="AW170" s="1040">
        <v>0.3</v>
      </c>
      <c r="AX170" s="1040">
        <v>0</v>
      </c>
      <c r="AY170" s="1040">
        <v>0.64</v>
      </c>
      <c r="AZ170" s="1040">
        <v>0.37</v>
      </c>
      <c r="BA170" s="1040">
        <v>0.22</v>
      </c>
      <c r="BB170" s="1040">
        <v>0.25</v>
      </c>
      <c r="BC170" s="1040">
        <v>0.27</v>
      </c>
      <c r="BD170" s="1040">
        <v>0.22</v>
      </c>
      <c r="BE170" s="1040">
        <v>0.09</v>
      </c>
      <c r="BF170" s="1040">
        <v>0.21</v>
      </c>
      <c r="BG170" s="1040">
        <v>0.22</v>
      </c>
      <c r="BH170" s="2051">
        <f>BD170</f>
        <v>0.22</v>
      </c>
      <c r="BI170" s="2051">
        <f t="shared" ref="BI170:BI179" si="152">BE170</f>
        <v>0.09</v>
      </c>
      <c r="BJ170" s="2051">
        <f t="shared" ref="BJ170:BK179" si="153">BF170</f>
        <v>0.21</v>
      </c>
      <c r="BK170" s="2051">
        <f t="shared" si="153"/>
        <v>0.22</v>
      </c>
      <c r="BL170" s="2051">
        <f t="shared" ref="BL170:BL179" si="154">BH170</f>
        <v>0.22</v>
      </c>
    </row>
    <row r="171" spans="1:64" s="9" customFormat="1" ht="11.25">
      <c r="A171" s="342" t="s">
        <v>1008</v>
      </c>
      <c r="B171" s="949"/>
      <c r="C171" s="949"/>
      <c r="D171" s="949"/>
      <c r="E171" s="949"/>
      <c r="F171" s="949"/>
      <c r="G171" s="949"/>
      <c r="H171" s="949"/>
      <c r="I171" s="949"/>
      <c r="J171" s="949"/>
      <c r="K171" s="949"/>
      <c r="L171" s="949"/>
      <c r="M171" s="949"/>
      <c r="N171" s="949"/>
      <c r="O171" s="949"/>
      <c r="P171" s="949"/>
      <c r="Q171" s="949"/>
      <c r="R171" s="949"/>
      <c r="S171" s="949"/>
      <c r="T171" s="949"/>
      <c r="U171" s="949"/>
      <c r="V171" s="949"/>
      <c r="W171" s="949"/>
      <c r="X171" s="949"/>
      <c r="Y171" s="949"/>
      <c r="Z171" s="949"/>
      <c r="AA171" s="949"/>
      <c r="AB171" s="949"/>
      <c r="AC171" s="949"/>
      <c r="AD171" s="949"/>
      <c r="AE171" s="949"/>
      <c r="AF171" s="949"/>
      <c r="AG171" s="949"/>
      <c r="AH171" s="949"/>
      <c r="AI171" s="949"/>
      <c r="AJ171" s="949"/>
      <c r="AK171" s="949"/>
      <c r="AL171" s="949"/>
      <c r="AM171" s="949"/>
      <c r="AN171" s="949"/>
      <c r="AO171" s="949"/>
      <c r="AP171" s="949"/>
      <c r="AQ171" s="1040">
        <v>0.05</v>
      </c>
      <c r="AR171" s="1040">
        <v>0.06</v>
      </c>
      <c r="AS171" s="1040">
        <v>0.06</v>
      </c>
      <c r="AT171" s="1040">
        <v>8.7499999999999994E-2</v>
      </c>
      <c r="AU171" s="1040">
        <v>0.01</v>
      </c>
      <c r="AV171" s="646">
        <f>-10%*-1</f>
        <v>0.1</v>
      </c>
      <c r="AW171" s="1040">
        <v>0.01</v>
      </c>
      <c r="AX171" s="1040">
        <v>0.12</v>
      </c>
      <c r="AY171" s="1040">
        <v>0.11</v>
      </c>
      <c r="AZ171" s="1040">
        <v>0.1</v>
      </c>
      <c r="BA171" s="1040">
        <v>0.06</v>
      </c>
      <c r="BB171" s="1040">
        <v>0.06</v>
      </c>
      <c r="BC171" s="1040">
        <v>0.05</v>
      </c>
      <c r="BD171" s="1040">
        <v>0.06</v>
      </c>
      <c r="BE171" s="1040">
        <v>0.03</v>
      </c>
      <c r="BF171" s="1040">
        <v>0.05</v>
      </c>
      <c r="BG171" s="1040">
        <v>0.04</v>
      </c>
      <c r="BH171" s="2051">
        <f t="shared" ref="BH171:BH179" si="155">BD171</f>
        <v>0.06</v>
      </c>
      <c r="BI171" s="2051">
        <f t="shared" si="152"/>
        <v>0.03</v>
      </c>
      <c r="BJ171" s="2051">
        <f t="shared" si="153"/>
        <v>0.05</v>
      </c>
      <c r="BK171" s="2051">
        <f t="shared" si="153"/>
        <v>0.04</v>
      </c>
      <c r="BL171" s="2051">
        <f t="shared" si="154"/>
        <v>0.06</v>
      </c>
    </row>
    <row r="172" spans="1:64" s="9" customFormat="1" ht="11.25">
      <c r="A172" s="342" t="s">
        <v>1018</v>
      </c>
      <c r="B172" s="949"/>
      <c r="C172" s="949"/>
      <c r="D172" s="949"/>
      <c r="E172" s="949"/>
      <c r="F172" s="949"/>
      <c r="G172" s="949"/>
      <c r="H172" s="949"/>
      <c r="I172" s="949"/>
      <c r="J172" s="949"/>
      <c r="K172" s="949"/>
      <c r="L172" s="949"/>
      <c r="M172" s="949"/>
      <c r="N172" s="949"/>
      <c r="O172" s="949"/>
      <c r="P172" s="949"/>
      <c r="Q172" s="949"/>
      <c r="R172" s="949"/>
      <c r="S172" s="949"/>
      <c r="T172" s="949"/>
      <c r="U172" s="949"/>
      <c r="V172" s="949"/>
      <c r="W172" s="949"/>
      <c r="X172" s="949"/>
      <c r="Y172" s="949"/>
      <c r="Z172" s="949"/>
      <c r="AA172" s="949"/>
      <c r="AB172" s="949"/>
      <c r="AC172" s="949"/>
      <c r="AD172" s="949"/>
      <c r="AE172" s="949"/>
      <c r="AF172" s="949"/>
      <c r="AG172" s="949"/>
      <c r="AH172" s="949"/>
      <c r="AI172" s="949"/>
      <c r="AJ172" s="949"/>
      <c r="AK172" s="949"/>
      <c r="AL172" s="949"/>
      <c r="AM172" s="949"/>
      <c r="AN172" s="949"/>
      <c r="AO172" s="949"/>
      <c r="AP172" s="949"/>
      <c r="AQ172" s="1040">
        <v>0.12</v>
      </c>
      <c r="AR172" s="1040">
        <v>0.2</v>
      </c>
      <c r="AS172" s="1040">
        <v>0.25</v>
      </c>
      <c r="AT172" s="1040">
        <v>0.28749999999999998</v>
      </c>
      <c r="AU172" s="1040">
        <v>7.0000000000000007E-2</v>
      </c>
      <c r="AV172" s="646">
        <f>-42%*-1</f>
        <v>0.42</v>
      </c>
      <c r="AW172" s="1040">
        <v>0.17</v>
      </c>
      <c r="AX172" s="1040">
        <v>0.02</v>
      </c>
      <c r="AY172" s="1040">
        <v>0.02</v>
      </c>
      <c r="AZ172" s="1040">
        <v>0.12</v>
      </c>
      <c r="BA172" s="1040">
        <v>0.3</v>
      </c>
      <c r="BB172" s="1040">
        <v>0.25</v>
      </c>
      <c r="BC172" s="1040">
        <v>0.2</v>
      </c>
      <c r="BD172" s="1040">
        <v>0.26</v>
      </c>
      <c r="BE172" s="1040">
        <v>0.55000000000000004</v>
      </c>
      <c r="BF172" s="1040">
        <v>0.33</v>
      </c>
      <c r="BG172" s="1040">
        <v>0.31</v>
      </c>
      <c r="BH172" s="2051">
        <f t="shared" si="155"/>
        <v>0.26</v>
      </c>
      <c r="BI172" s="2051">
        <f t="shared" si="152"/>
        <v>0.55000000000000004</v>
      </c>
      <c r="BJ172" s="2051">
        <f t="shared" si="153"/>
        <v>0.33</v>
      </c>
      <c r="BK172" s="2051">
        <f t="shared" si="153"/>
        <v>0.31</v>
      </c>
      <c r="BL172" s="2051">
        <f t="shared" si="154"/>
        <v>0.26</v>
      </c>
    </row>
    <row r="173" spans="1:64" s="9" customFormat="1" ht="11.25">
      <c r="A173" s="342" t="s">
        <v>1011</v>
      </c>
      <c r="B173" s="949"/>
      <c r="C173" s="949"/>
      <c r="D173" s="949"/>
      <c r="E173" s="949"/>
      <c r="F173" s="949"/>
      <c r="G173" s="949"/>
      <c r="H173" s="949"/>
      <c r="I173" s="949"/>
      <c r="J173" s="949"/>
      <c r="K173" s="949"/>
      <c r="L173" s="949"/>
      <c r="M173" s="949"/>
      <c r="N173" s="949"/>
      <c r="O173" s="949"/>
      <c r="P173" s="949"/>
      <c r="Q173" s="949"/>
      <c r="R173" s="949"/>
      <c r="S173" s="949"/>
      <c r="T173" s="949"/>
      <c r="U173" s="949"/>
      <c r="V173" s="949"/>
      <c r="W173" s="949"/>
      <c r="X173" s="949"/>
      <c r="Y173" s="949"/>
      <c r="Z173" s="949"/>
      <c r="AA173" s="949"/>
      <c r="AB173" s="949"/>
      <c r="AC173" s="949"/>
      <c r="AD173" s="949"/>
      <c r="AE173" s="949"/>
      <c r="AF173" s="949"/>
      <c r="AG173" s="949"/>
      <c r="AH173" s="949"/>
      <c r="AI173" s="949"/>
      <c r="AJ173" s="949"/>
      <c r="AK173" s="949"/>
      <c r="AL173" s="949"/>
      <c r="AM173" s="949"/>
      <c r="AN173" s="949"/>
      <c r="AO173" s="949"/>
      <c r="AP173" s="949"/>
      <c r="AQ173" s="1040">
        <v>0.17</v>
      </c>
      <c r="AR173" s="1040">
        <v>0.17</v>
      </c>
      <c r="AS173" s="1040">
        <v>0.14000000000000001</v>
      </c>
      <c r="AT173" s="1040">
        <v>0.1</v>
      </c>
      <c r="AU173" s="1040">
        <f>1%+2%</f>
        <v>0.03</v>
      </c>
      <c r="AV173" s="646">
        <f>(-19%-1%)*-1</f>
        <v>0.2</v>
      </c>
      <c r="AW173" s="1040">
        <v>0.15</v>
      </c>
      <c r="AX173" s="1040">
        <f>23%+1%</f>
        <v>0.24000000000000002</v>
      </c>
      <c r="AY173" s="1040">
        <v>7.0000000000000007E-2</v>
      </c>
      <c r="AZ173" s="1040">
        <v>0.14000000000000001</v>
      </c>
      <c r="BA173" s="1040">
        <v>0.12</v>
      </c>
      <c r="BB173" s="1040">
        <v>0.16</v>
      </c>
      <c r="BC173" s="1040">
        <v>0.19</v>
      </c>
      <c r="BD173" s="1040">
        <v>0.22</v>
      </c>
      <c r="BE173" s="1040">
        <v>0.11</v>
      </c>
      <c r="BF173" s="1040">
        <v>0.18</v>
      </c>
      <c r="BG173" s="1040">
        <v>0.17</v>
      </c>
      <c r="BH173" s="2051">
        <f t="shared" si="155"/>
        <v>0.22</v>
      </c>
      <c r="BI173" s="2051">
        <f t="shared" si="152"/>
        <v>0.11</v>
      </c>
      <c r="BJ173" s="2051">
        <f t="shared" si="153"/>
        <v>0.18</v>
      </c>
      <c r="BK173" s="2051">
        <f t="shared" si="153"/>
        <v>0.17</v>
      </c>
      <c r="BL173" s="2051">
        <f t="shared" si="154"/>
        <v>0.22</v>
      </c>
    </row>
    <row r="174" spans="1:64" s="9" customFormat="1" ht="11.25">
      <c r="A174" s="342" t="s">
        <v>1019</v>
      </c>
      <c r="B174" s="949"/>
      <c r="C174" s="949"/>
      <c r="D174" s="949"/>
      <c r="E174" s="949"/>
      <c r="F174" s="949"/>
      <c r="G174" s="949"/>
      <c r="H174" s="949"/>
      <c r="I174" s="949"/>
      <c r="J174" s="949"/>
      <c r="K174" s="949"/>
      <c r="L174" s="949"/>
      <c r="M174" s="949"/>
      <c r="N174" s="949"/>
      <c r="O174" s="949"/>
      <c r="P174" s="949"/>
      <c r="Q174" s="949"/>
      <c r="R174" s="949"/>
      <c r="S174" s="949"/>
      <c r="T174" s="949"/>
      <c r="U174" s="949"/>
      <c r="V174" s="949"/>
      <c r="W174" s="949"/>
      <c r="X174" s="949"/>
      <c r="Y174" s="949"/>
      <c r="Z174" s="949"/>
      <c r="AA174" s="949"/>
      <c r="AB174" s="949"/>
      <c r="AC174" s="949"/>
      <c r="AD174" s="949"/>
      <c r="AE174" s="949"/>
      <c r="AF174" s="949"/>
      <c r="AG174" s="949"/>
      <c r="AH174" s="949"/>
      <c r="AI174" s="949"/>
      <c r="AJ174" s="949"/>
      <c r="AK174" s="949"/>
      <c r="AL174" s="949"/>
      <c r="AM174" s="949"/>
      <c r="AN174" s="949"/>
      <c r="AO174" s="949"/>
      <c r="AP174" s="949"/>
      <c r="AQ174" s="1040">
        <v>0.24</v>
      </c>
      <c r="AR174" s="1040">
        <v>0.22</v>
      </c>
      <c r="AS174" s="1040">
        <v>0.24</v>
      </c>
      <c r="AT174" s="1040">
        <v>0.25</v>
      </c>
      <c r="AU174" s="1040">
        <v>0.36</v>
      </c>
      <c r="AV174" s="646">
        <f>-19%*-1</f>
        <v>0.19</v>
      </c>
      <c r="AW174" s="1040">
        <v>0.27</v>
      </c>
      <c r="AX174" s="1040">
        <v>0.47</v>
      </c>
      <c r="AY174" s="1040">
        <v>0.12</v>
      </c>
      <c r="AZ174" s="1040">
        <v>0.17</v>
      </c>
      <c r="BA174" s="1040">
        <v>0.22</v>
      </c>
      <c r="BB174" s="1040">
        <v>0.2</v>
      </c>
      <c r="BC174" s="1040">
        <v>0.19</v>
      </c>
      <c r="BD174" s="1040">
        <v>0.14000000000000001</v>
      </c>
      <c r="BE174" s="1040">
        <v>0.15</v>
      </c>
      <c r="BF174" s="1040">
        <v>0.14000000000000001</v>
      </c>
      <c r="BG174" s="1040">
        <v>0.16</v>
      </c>
      <c r="BH174" s="2051">
        <f t="shared" si="155"/>
        <v>0.14000000000000001</v>
      </c>
      <c r="BI174" s="2051">
        <f t="shared" si="152"/>
        <v>0.15</v>
      </c>
      <c r="BJ174" s="2051">
        <f t="shared" si="153"/>
        <v>0.14000000000000001</v>
      </c>
      <c r="BK174" s="2051">
        <f t="shared" si="153"/>
        <v>0.16</v>
      </c>
      <c r="BL174" s="2051">
        <f t="shared" si="154"/>
        <v>0.14000000000000001</v>
      </c>
    </row>
    <row r="175" spans="1:64" s="9" customFormat="1" ht="11.25">
      <c r="A175" s="342" t="s">
        <v>1016</v>
      </c>
      <c r="B175" s="949"/>
      <c r="C175" s="949"/>
      <c r="D175" s="949"/>
      <c r="E175" s="949"/>
      <c r="F175" s="949"/>
      <c r="G175" s="949"/>
      <c r="H175" s="949"/>
      <c r="I175" s="949"/>
      <c r="J175" s="949"/>
      <c r="K175" s="949"/>
      <c r="L175" s="949"/>
      <c r="M175" s="949"/>
      <c r="N175" s="949"/>
      <c r="O175" s="949"/>
      <c r="P175" s="949"/>
      <c r="Q175" s="949"/>
      <c r="R175" s="949"/>
      <c r="S175" s="949"/>
      <c r="T175" s="949"/>
      <c r="U175" s="949"/>
      <c r="V175" s="949"/>
      <c r="W175" s="949"/>
      <c r="X175" s="949"/>
      <c r="Y175" s="949"/>
      <c r="Z175" s="949"/>
      <c r="AA175" s="949"/>
      <c r="AB175" s="949"/>
      <c r="AC175" s="949"/>
      <c r="AD175" s="949"/>
      <c r="AE175" s="949"/>
      <c r="AF175" s="949"/>
      <c r="AG175" s="949"/>
      <c r="AH175" s="949"/>
      <c r="AI175" s="949"/>
      <c r="AJ175" s="949"/>
      <c r="AK175" s="949"/>
      <c r="AL175" s="949"/>
      <c r="AM175" s="949"/>
      <c r="AN175" s="949"/>
      <c r="AO175" s="949"/>
      <c r="AP175" s="949"/>
      <c r="AQ175" s="1040"/>
      <c r="AR175" s="1040"/>
      <c r="AS175" s="1040"/>
      <c r="AT175" s="1040"/>
      <c r="AU175" s="1040"/>
      <c r="AV175" s="646"/>
      <c r="AW175" s="1040"/>
      <c r="AX175" s="1040"/>
      <c r="AY175" s="1040"/>
      <c r="AZ175" s="1040"/>
      <c r="BA175" s="1040"/>
      <c r="BB175" s="1040"/>
      <c r="BC175" s="1040"/>
      <c r="BD175" s="1040"/>
      <c r="BH175" s="2051">
        <f t="shared" si="155"/>
        <v>0</v>
      </c>
      <c r="BI175" s="2051">
        <f t="shared" si="152"/>
        <v>0</v>
      </c>
      <c r="BJ175" s="2051">
        <f t="shared" si="153"/>
        <v>0</v>
      </c>
      <c r="BK175" s="2051">
        <f t="shared" si="153"/>
        <v>0</v>
      </c>
      <c r="BL175" s="2051">
        <f t="shared" si="154"/>
        <v>0</v>
      </c>
    </row>
    <row r="176" spans="1:64" s="9" customFormat="1" ht="11.25">
      <c r="A176" s="342" t="s">
        <v>1015</v>
      </c>
      <c r="B176" s="949"/>
      <c r="C176" s="949"/>
      <c r="D176" s="949"/>
      <c r="E176" s="949"/>
      <c r="F176" s="949"/>
      <c r="G176" s="949"/>
      <c r="H176" s="949"/>
      <c r="I176" s="949"/>
      <c r="J176" s="949"/>
      <c r="K176" s="949"/>
      <c r="L176" s="949"/>
      <c r="M176" s="949"/>
      <c r="N176" s="949"/>
      <c r="O176" s="949"/>
      <c r="P176" s="949"/>
      <c r="Q176" s="949"/>
      <c r="R176" s="949"/>
      <c r="S176" s="949"/>
      <c r="T176" s="949"/>
      <c r="U176" s="949"/>
      <c r="V176" s="949"/>
      <c r="W176" s="949"/>
      <c r="X176" s="949"/>
      <c r="Y176" s="949"/>
      <c r="Z176" s="949"/>
      <c r="AA176" s="949"/>
      <c r="AB176" s="949"/>
      <c r="AC176" s="949"/>
      <c r="AD176" s="949"/>
      <c r="AE176" s="949"/>
      <c r="AF176" s="949"/>
      <c r="AG176" s="949"/>
      <c r="AH176" s="949"/>
      <c r="AI176" s="949"/>
      <c r="AJ176" s="949"/>
      <c r="AK176" s="949"/>
      <c r="AL176" s="949"/>
      <c r="AM176" s="949"/>
      <c r="AN176" s="949"/>
      <c r="AO176" s="949"/>
      <c r="AP176" s="949"/>
      <c r="AQ176" s="1040"/>
      <c r="AR176" s="1040"/>
      <c r="AS176" s="1040"/>
      <c r="AT176" s="1040"/>
      <c r="AU176" s="1040"/>
      <c r="AV176" s="646"/>
      <c r="AW176" s="1040"/>
      <c r="AX176" s="1040"/>
      <c r="AY176" s="1040"/>
      <c r="AZ176" s="1040"/>
      <c r="BA176" s="1040"/>
      <c r="BB176" s="1040"/>
      <c r="BC176" s="1040"/>
      <c r="BD176" s="1040"/>
      <c r="BH176" s="2051">
        <f t="shared" si="155"/>
        <v>0</v>
      </c>
      <c r="BI176" s="2051">
        <f t="shared" si="152"/>
        <v>0</v>
      </c>
      <c r="BJ176" s="2051">
        <f t="shared" si="153"/>
        <v>0</v>
      </c>
      <c r="BK176" s="2051">
        <f t="shared" si="153"/>
        <v>0</v>
      </c>
      <c r="BL176" s="2051">
        <f t="shared" si="154"/>
        <v>0</v>
      </c>
    </row>
    <row r="177" spans="1:64" s="9" customFormat="1" ht="11.25">
      <c r="A177" s="342" t="s">
        <v>1017</v>
      </c>
      <c r="B177" s="949"/>
      <c r="C177" s="949"/>
      <c r="D177" s="949"/>
      <c r="E177" s="949"/>
      <c r="F177" s="949"/>
      <c r="G177" s="949"/>
      <c r="H177" s="949"/>
      <c r="I177" s="949"/>
      <c r="J177" s="949"/>
      <c r="K177" s="949"/>
      <c r="L177" s="949"/>
      <c r="M177" s="949"/>
      <c r="N177" s="949"/>
      <c r="O177" s="949"/>
      <c r="P177" s="949"/>
      <c r="Q177" s="949"/>
      <c r="R177" s="949"/>
      <c r="S177" s="949"/>
      <c r="T177" s="949"/>
      <c r="U177" s="949"/>
      <c r="V177" s="949"/>
      <c r="W177" s="949"/>
      <c r="X177" s="949"/>
      <c r="Y177" s="949"/>
      <c r="Z177" s="949"/>
      <c r="AA177" s="949"/>
      <c r="AB177" s="949"/>
      <c r="AC177" s="949"/>
      <c r="AD177" s="949"/>
      <c r="AE177" s="949"/>
      <c r="AF177" s="949"/>
      <c r="AG177" s="949"/>
      <c r="AH177" s="949"/>
      <c r="AI177" s="949"/>
      <c r="AJ177" s="949"/>
      <c r="AK177" s="949"/>
      <c r="AL177" s="949"/>
      <c r="AM177" s="949"/>
      <c r="AN177" s="949"/>
      <c r="AO177" s="949"/>
      <c r="AP177" s="949"/>
      <c r="BH177" s="2051">
        <f t="shared" si="155"/>
        <v>0</v>
      </c>
      <c r="BI177" s="2051">
        <f t="shared" si="152"/>
        <v>0</v>
      </c>
      <c r="BJ177" s="2051">
        <f t="shared" si="153"/>
        <v>0</v>
      </c>
      <c r="BK177" s="2051">
        <f t="shared" si="153"/>
        <v>0</v>
      </c>
      <c r="BL177" s="2051">
        <f t="shared" si="154"/>
        <v>0</v>
      </c>
    </row>
    <row r="178" spans="1:64" s="9" customFormat="1" ht="11.25">
      <c r="A178" s="342" t="s">
        <v>1120</v>
      </c>
      <c r="B178" s="949"/>
      <c r="C178" s="949"/>
      <c r="D178" s="949"/>
      <c r="E178" s="949"/>
      <c r="F178" s="949"/>
      <c r="G178" s="949"/>
      <c r="H178" s="949"/>
      <c r="I178" s="949"/>
      <c r="J178" s="949"/>
      <c r="K178" s="949"/>
      <c r="L178" s="949"/>
      <c r="M178" s="949"/>
      <c r="N178" s="949"/>
      <c r="O178" s="949"/>
      <c r="P178" s="949"/>
      <c r="Q178" s="949"/>
      <c r="R178" s="949"/>
      <c r="S178" s="949"/>
      <c r="T178" s="949"/>
      <c r="U178" s="949"/>
      <c r="V178" s="949"/>
      <c r="W178" s="949"/>
      <c r="X178" s="949"/>
      <c r="Y178" s="949"/>
      <c r="Z178" s="949"/>
      <c r="AA178" s="949"/>
      <c r="AB178" s="949"/>
      <c r="AC178" s="949"/>
      <c r="AD178" s="949"/>
      <c r="AE178" s="949"/>
      <c r="AF178" s="949"/>
      <c r="AG178" s="949"/>
      <c r="AH178" s="949"/>
      <c r="AI178" s="949"/>
      <c r="AJ178" s="949"/>
      <c r="AK178" s="949"/>
      <c r="AL178" s="949"/>
      <c r="AM178" s="949"/>
      <c r="AN178" s="949"/>
      <c r="AO178" s="949"/>
      <c r="AP178" s="949"/>
      <c r="AQ178" s="1040">
        <v>0.12</v>
      </c>
      <c r="AR178" s="1040">
        <v>0.09</v>
      </c>
      <c r="AS178" s="1040">
        <v>0.06</v>
      </c>
      <c r="AT178" s="1040">
        <v>0.05</v>
      </c>
      <c r="AU178" s="1040">
        <v>0.13</v>
      </c>
      <c r="AV178" s="646">
        <f>-14%*-1</f>
        <v>0.14000000000000001</v>
      </c>
      <c r="AW178" s="1040">
        <v>0.09</v>
      </c>
      <c r="AX178" s="1040">
        <v>0.09</v>
      </c>
      <c r="AY178" s="1040">
        <v>0.02</v>
      </c>
      <c r="AZ178" s="1040">
        <v>0.06</v>
      </c>
      <c r="BA178" s="1040">
        <v>0.06</v>
      </c>
      <c r="BB178" s="1040">
        <v>0.06</v>
      </c>
      <c r="BC178" s="1040">
        <v>0.08</v>
      </c>
      <c r="BD178" s="1040">
        <v>7.0000000000000007E-2</v>
      </c>
      <c r="BE178" s="1040">
        <v>0.04</v>
      </c>
      <c r="BF178" s="1040">
        <v>7.0000000000000007E-2</v>
      </c>
      <c r="BG178" s="1040">
        <v>0.08</v>
      </c>
      <c r="BH178" s="2051">
        <f t="shared" si="155"/>
        <v>7.0000000000000007E-2</v>
      </c>
      <c r="BI178" s="2051">
        <f t="shared" si="152"/>
        <v>0.04</v>
      </c>
      <c r="BJ178" s="2051">
        <f t="shared" si="153"/>
        <v>7.0000000000000007E-2</v>
      </c>
      <c r="BK178" s="2051">
        <f t="shared" si="153"/>
        <v>0.08</v>
      </c>
      <c r="BL178" s="2051">
        <f t="shared" si="154"/>
        <v>7.0000000000000007E-2</v>
      </c>
    </row>
    <row r="179" spans="1:64" s="9" customFormat="1" ht="11.25">
      <c r="A179" s="342" t="s">
        <v>331</v>
      </c>
      <c r="B179" s="949"/>
      <c r="C179" s="949"/>
      <c r="D179" s="949"/>
      <c r="E179" s="949"/>
      <c r="F179" s="949"/>
      <c r="G179" s="949"/>
      <c r="H179" s="949"/>
      <c r="I179" s="949"/>
      <c r="J179" s="949"/>
      <c r="K179" s="949"/>
      <c r="L179" s="949"/>
      <c r="M179" s="949"/>
      <c r="N179" s="949"/>
      <c r="O179" s="949"/>
      <c r="P179" s="949"/>
      <c r="Q179" s="949"/>
      <c r="R179" s="949"/>
      <c r="S179" s="949"/>
      <c r="T179" s="949"/>
      <c r="U179" s="949"/>
      <c r="V179" s="949"/>
      <c r="W179" s="949"/>
      <c r="X179" s="949"/>
      <c r="Y179" s="949"/>
      <c r="Z179" s="949"/>
      <c r="AA179" s="949"/>
      <c r="AB179" s="949"/>
      <c r="AC179" s="949"/>
      <c r="AD179" s="949"/>
      <c r="AE179" s="949"/>
      <c r="AF179" s="949"/>
      <c r="AG179" s="949"/>
      <c r="AH179" s="949"/>
      <c r="AI179" s="949"/>
      <c r="AJ179" s="949"/>
      <c r="AK179" s="949"/>
      <c r="AL179" s="949"/>
      <c r="AM179" s="949"/>
      <c r="AN179" s="949"/>
      <c r="AO179" s="949"/>
      <c r="AP179" s="949"/>
      <c r="AQ179" s="1040">
        <f>(0.03+0.01+0.01)</f>
        <v>0.05</v>
      </c>
      <c r="AR179" s="1040">
        <v>0.02</v>
      </c>
      <c r="AS179" s="1040">
        <v>0.04</v>
      </c>
      <c r="AT179" s="1040">
        <f>1-SUM(AT170:AT178)</f>
        <v>3.7499999999999978E-2</v>
      </c>
      <c r="AU179" s="1040">
        <f>-2%+0%</f>
        <v>-0.02</v>
      </c>
      <c r="AV179" s="646">
        <f>(-3%-4%-1%)*-1</f>
        <v>0.08</v>
      </c>
      <c r="AW179" s="1040">
        <f>-1%-1%+3%</f>
        <v>9.9999999999999985E-3</v>
      </c>
      <c r="AX179" s="1040">
        <v>0.06</v>
      </c>
      <c r="AY179" s="1040">
        <v>0.02</v>
      </c>
      <c r="AZ179" s="1040">
        <v>0.04</v>
      </c>
      <c r="BA179" s="1040">
        <v>0.02</v>
      </c>
      <c r="BB179" s="1040">
        <v>0.02</v>
      </c>
      <c r="BC179" s="1040">
        <v>0.02</v>
      </c>
      <c r="BD179" s="1040">
        <f>1%+2%</f>
        <v>0.03</v>
      </c>
      <c r="BE179" s="1040">
        <f>3%</f>
        <v>0.03</v>
      </c>
      <c r="BF179" s="1040">
        <f>2%</f>
        <v>0.02</v>
      </c>
      <c r="BG179" s="1040">
        <v>0.02</v>
      </c>
      <c r="BH179" s="2051">
        <f t="shared" si="155"/>
        <v>0.03</v>
      </c>
      <c r="BI179" s="2051">
        <f t="shared" si="152"/>
        <v>0.03</v>
      </c>
      <c r="BJ179" s="2051">
        <f t="shared" si="153"/>
        <v>0.02</v>
      </c>
      <c r="BK179" s="2051">
        <f t="shared" si="153"/>
        <v>0.02</v>
      </c>
      <c r="BL179" s="2051">
        <f t="shared" si="154"/>
        <v>0.03</v>
      </c>
    </row>
    <row r="180" spans="1:64" s="9" customFormat="1" ht="11.25">
      <c r="A180" s="950" t="s">
        <v>325</v>
      </c>
      <c r="B180" s="949"/>
      <c r="C180" s="949"/>
      <c r="D180" s="949"/>
      <c r="E180" s="949"/>
      <c r="F180" s="949"/>
      <c r="G180" s="949"/>
      <c r="H180" s="949"/>
      <c r="I180" s="949"/>
      <c r="J180" s="949"/>
      <c r="K180" s="949"/>
      <c r="L180" s="949"/>
      <c r="M180" s="949"/>
      <c r="N180" s="949"/>
      <c r="O180" s="949"/>
      <c r="P180" s="949"/>
      <c r="Q180" s="949"/>
      <c r="R180" s="949"/>
      <c r="S180" s="949"/>
      <c r="T180" s="949"/>
      <c r="U180" s="949"/>
      <c r="V180" s="949"/>
      <c r="W180" s="949"/>
      <c r="X180" s="949"/>
      <c r="Y180" s="949"/>
      <c r="Z180" s="949"/>
      <c r="AA180" s="949"/>
      <c r="AB180" s="949"/>
      <c r="AC180" s="949"/>
      <c r="AD180" s="949"/>
      <c r="AE180" s="949"/>
      <c r="AF180" s="949"/>
      <c r="AG180" s="949"/>
      <c r="AH180" s="949"/>
      <c r="AI180" s="949"/>
      <c r="AJ180" s="949"/>
      <c r="AK180" s="949"/>
      <c r="AL180" s="949"/>
      <c r="AM180" s="949"/>
      <c r="AN180" s="949"/>
      <c r="AO180" s="949"/>
      <c r="AP180" s="949"/>
      <c r="AQ180" s="949">
        <f t="shared" ref="AQ180:AV180" si="156">SUM(AQ170:AQ179)</f>
        <v>1</v>
      </c>
      <c r="AR180" s="949">
        <f t="shared" si="156"/>
        <v>1</v>
      </c>
      <c r="AS180" s="949">
        <f t="shared" si="156"/>
        <v>1</v>
      </c>
      <c r="AT180" s="949">
        <f t="shared" si="156"/>
        <v>1</v>
      </c>
      <c r="AU180" s="949">
        <f t="shared" si="156"/>
        <v>1</v>
      </c>
      <c r="AV180" s="1804">
        <f t="shared" si="156"/>
        <v>1</v>
      </c>
      <c r="AW180" s="949">
        <f t="shared" ref="AW180:BE180" si="157">SUM(AW170:AW179)</f>
        <v>1</v>
      </c>
      <c r="AX180" s="949">
        <f t="shared" si="157"/>
        <v>1</v>
      </c>
      <c r="AY180" s="949">
        <f t="shared" si="157"/>
        <v>1</v>
      </c>
      <c r="AZ180" s="949">
        <f t="shared" si="157"/>
        <v>1</v>
      </c>
      <c r="BA180" s="949">
        <f t="shared" si="157"/>
        <v>1</v>
      </c>
      <c r="BB180" s="949">
        <f t="shared" si="157"/>
        <v>1.0000000000000002</v>
      </c>
      <c r="BC180" s="949">
        <f t="shared" si="157"/>
        <v>0.99999999999999989</v>
      </c>
      <c r="BD180" s="949">
        <f t="shared" si="157"/>
        <v>1</v>
      </c>
      <c r="BE180" s="949">
        <f t="shared" si="157"/>
        <v>1</v>
      </c>
      <c r="BF180" s="949">
        <f>SUM(BF170:BF179)</f>
        <v>1</v>
      </c>
      <c r="BG180" s="949">
        <f>SUM(BG170:BG179)</f>
        <v>1</v>
      </c>
      <c r="BH180" s="1951">
        <f>SUM(BH170:BH179)</f>
        <v>1</v>
      </c>
      <c r="BI180" s="1951">
        <f t="shared" ref="BI180:BK180" si="158">SUM(BI170:BI179)</f>
        <v>1</v>
      </c>
      <c r="BJ180" s="1951">
        <f t="shared" si="158"/>
        <v>1</v>
      </c>
      <c r="BK180" s="1951">
        <f t="shared" si="158"/>
        <v>1</v>
      </c>
      <c r="BL180" s="1951">
        <f t="shared" ref="BL180" si="159">SUM(BL170:BL179)</f>
        <v>1</v>
      </c>
    </row>
    <row r="181" spans="1:64" s="9" customFormat="1" ht="11.25">
      <c r="A181" s="950"/>
      <c r="B181" s="949"/>
      <c r="C181" s="949"/>
      <c r="D181" s="949"/>
      <c r="E181" s="949"/>
      <c r="F181" s="949"/>
      <c r="G181" s="949"/>
      <c r="H181" s="949"/>
      <c r="I181" s="949"/>
      <c r="J181" s="949"/>
      <c r="K181" s="949"/>
      <c r="L181" s="949"/>
      <c r="M181" s="949"/>
      <c r="N181" s="949"/>
      <c r="O181" s="949"/>
      <c r="P181" s="949"/>
      <c r="Q181" s="949"/>
      <c r="R181" s="949"/>
      <c r="S181" s="949"/>
      <c r="T181" s="949"/>
      <c r="U181" s="949"/>
      <c r="V181" s="949"/>
      <c r="W181" s="949"/>
      <c r="X181" s="949"/>
      <c r="Y181" s="949"/>
      <c r="Z181" s="949"/>
      <c r="AA181" s="949"/>
      <c r="AB181" s="949"/>
      <c r="AC181" s="949"/>
      <c r="AD181" s="949"/>
      <c r="AE181" s="949"/>
      <c r="AF181" s="949"/>
      <c r="AG181" s="949"/>
      <c r="AH181" s="949"/>
      <c r="AI181" s="949"/>
      <c r="AJ181" s="949"/>
      <c r="AK181" s="949"/>
      <c r="AL181" s="949"/>
      <c r="AM181" s="949"/>
      <c r="AN181" s="949"/>
      <c r="AO181" s="949"/>
      <c r="AP181" s="949"/>
      <c r="AT181" s="241"/>
    </row>
    <row r="182" spans="1:64" s="9" customFormat="1" ht="11.25">
      <c r="A182" s="513" t="s">
        <v>1206</v>
      </c>
      <c r="B182" s="949"/>
      <c r="C182" s="949"/>
      <c r="D182" s="949"/>
      <c r="E182" s="949"/>
      <c r="F182" s="949"/>
      <c r="G182" s="949"/>
      <c r="H182" s="949"/>
      <c r="I182" s="949"/>
      <c r="J182" s="949"/>
      <c r="K182" s="949"/>
      <c r="L182" s="949"/>
      <c r="M182" s="949"/>
      <c r="N182" s="949"/>
      <c r="O182" s="949"/>
      <c r="P182" s="949"/>
      <c r="Q182" s="949"/>
      <c r="R182" s="949"/>
      <c r="S182" s="949"/>
      <c r="T182" s="949"/>
      <c r="U182" s="949"/>
      <c r="V182" s="949"/>
      <c r="W182" s="949"/>
      <c r="X182" s="949"/>
      <c r="Y182" s="949"/>
      <c r="Z182" s="949"/>
      <c r="AA182" s="949"/>
      <c r="AB182" s="949"/>
      <c r="AC182" s="949"/>
      <c r="AD182" s="949"/>
      <c r="AE182" s="949"/>
      <c r="AF182" s="949"/>
      <c r="AG182" s="949"/>
      <c r="AH182" s="949"/>
      <c r="AI182" s="949"/>
      <c r="AJ182" s="949"/>
      <c r="AK182" s="949"/>
      <c r="AL182" s="949"/>
      <c r="AM182" s="949"/>
      <c r="AN182" s="949"/>
      <c r="AO182" s="949"/>
      <c r="AP182" s="949"/>
      <c r="AT182" s="241"/>
    </row>
    <row r="183" spans="1:64" s="1040" customFormat="1" ht="11.25">
      <c r="A183" s="342" t="s">
        <v>1007</v>
      </c>
      <c r="B183" s="949"/>
      <c r="C183" s="949"/>
      <c r="D183" s="949"/>
      <c r="E183" s="949"/>
      <c r="F183" s="949"/>
      <c r="G183" s="949"/>
      <c r="H183" s="949"/>
      <c r="I183" s="949"/>
      <c r="J183" s="949"/>
      <c r="K183" s="949"/>
      <c r="L183" s="949"/>
      <c r="M183" s="949"/>
      <c r="N183" s="949"/>
      <c r="O183" s="949"/>
      <c r="P183" s="949"/>
      <c r="Q183" s="949"/>
      <c r="R183" s="949"/>
      <c r="S183" s="949"/>
      <c r="T183" s="949"/>
      <c r="U183" s="949"/>
      <c r="V183" s="949"/>
      <c r="W183" s="949"/>
      <c r="X183" s="949"/>
      <c r="Y183" s="949"/>
      <c r="Z183" s="949"/>
      <c r="AA183" s="949"/>
      <c r="AB183" s="949"/>
      <c r="AC183" s="949"/>
      <c r="AD183" s="949"/>
      <c r="AE183" s="949"/>
      <c r="AF183" s="949"/>
      <c r="AG183" s="949"/>
      <c r="AH183" s="949"/>
      <c r="AI183" s="949"/>
      <c r="AJ183" s="949"/>
      <c r="AK183" s="949"/>
      <c r="AL183" s="949"/>
      <c r="AM183" s="949"/>
      <c r="AN183" s="949"/>
      <c r="AO183" s="949"/>
      <c r="AP183" s="9"/>
      <c r="AQ183" s="1040">
        <v>0.12</v>
      </c>
      <c r="AR183" s="1040">
        <v>0.14000000000000001</v>
      </c>
      <c r="AS183" s="1040">
        <v>0.09</v>
      </c>
      <c r="AT183" s="1040">
        <v>0.17</v>
      </c>
      <c r="AU183" s="1040">
        <v>0.47</v>
      </c>
      <c r="AV183" s="646">
        <f>61%*-1</f>
        <v>-0.61</v>
      </c>
      <c r="AW183" s="1040">
        <v>0.38</v>
      </c>
      <c r="AX183" s="1040">
        <v>0.19</v>
      </c>
      <c r="AY183" s="1040">
        <v>0.21</v>
      </c>
      <c r="AZ183" s="1040">
        <v>0.21</v>
      </c>
      <c r="BA183" s="1040">
        <v>0.13</v>
      </c>
      <c r="BB183" s="1040">
        <v>0.14000000000000001</v>
      </c>
      <c r="BC183" s="1040">
        <v>0.14000000000000001</v>
      </c>
      <c r="BD183" s="1040">
        <v>0.1</v>
      </c>
      <c r="BE183" s="1040">
        <v>0.06</v>
      </c>
      <c r="BF183" s="1040">
        <v>0.09</v>
      </c>
      <c r="BG183" s="1040">
        <v>0.08</v>
      </c>
      <c r="BH183" s="2051">
        <f>BD183</f>
        <v>0.1</v>
      </c>
      <c r="BI183" s="2051">
        <f t="shared" ref="BI183:BI192" si="160">BE183</f>
        <v>0.06</v>
      </c>
      <c r="BJ183" s="2051">
        <f t="shared" ref="BJ183:BK192" si="161">BF183</f>
        <v>0.09</v>
      </c>
      <c r="BK183" s="2051">
        <f t="shared" si="161"/>
        <v>0.08</v>
      </c>
      <c r="BL183" s="2051">
        <f t="shared" ref="BL183:BL192" si="162">BH183</f>
        <v>0.1</v>
      </c>
    </row>
    <row r="184" spans="1:64" s="1040" customFormat="1" ht="11.25">
      <c r="A184" s="342" t="s">
        <v>1008</v>
      </c>
      <c r="B184" s="949"/>
      <c r="C184" s="949"/>
      <c r="D184" s="949"/>
      <c r="E184" s="949"/>
      <c r="F184" s="949"/>
      <c r="G184" s="949"/>
      <c r="H184" s="949"/>
      <c r="I184" s="949"/>
      <c r="J184" s="949"/>
      <c r="K184" s="949"/>
      <c r="L184" s="949"/>
      <c r="M184" s="949"/>
      <c r="N184" s="949"/>
      <c r="O184" s="949"/>
      <c r="P184" s="949"/>
      <c r="Q184" s="949"/>
      <c r="R184" s="949"/>
      <c r="S184" s="949"/>
      <c r="T184" s="949"/>
      <c r="U184" s="949"/>
      <c r="V184" s="949"/>
      <c r="W184" s="949"/>
      <c r="X184" s="949"/>
      <c r="Y184" s="949"/>
      <c r="Z184" s="949"/>
      <c r="AA184" s="949"/>
      <c r="AB184" s="949"/>
      <c r="AC184" s="949"/>
      <c r="AD184" s="949"/>
      <c r="AE184" s="949"/>
      <c r="AF184" s="949"/>
      <c r="AG184" s="949"/>
      <c r="AH184" s="949"/>
      <c r="AI184" s="949"/>
      <c r="AJ184" s="949"/>
      <c r="AK184" s="949"/>
      <c r="AL184" s="949"/>
      <c r="AM184" s="949"/>
      <c r="AN184" s="949"/>
      <c r="AO184" s="949"/>
      <c r="AP184" s="9"/>
      <c r="AQ184" s="1040">
        <v>0.37</v>
      </c>
      <c r="AR184" s="1040">
        <v>0.31</v>
      </c>
      <c r="AS184" s="1040">
        <v>0.38</v>
      </c>
      <c r="AT184" s="1040">
        <v>0.33</v>
      </c>
      <c r="AU184" s="1040">
        <v>-0.01</v>
      </c>
      <c r="AV184" s="646">
        <f>-85%*-1</f>
        <v>0.85</v>
      </c>
      <c r="AW184" s="1040">
        <v>0.5</v>
      </c>
      <c r="AX184" s="1040">
        <v>0.38</v>
      </c>
      <c r="AY184" s="1040">
        <v>0.28999999999999998</v>
      </c>
      <c r="AZ184" s="1040">
        <v>0.36</v>
      </c>
      <c r="BA184" s="1040">
        <v>0.42</v>
      </c>
      <c r="BB184" s="1040">
        <v>0.38</v>
      </c>
      <c r="BC184" s="1040">
        <v>0.41</v>
      </c>
      <c r="BD184" s="1040">
        <v>0.38</v>
      </c>
      <c r="BE184" s="1040">
        <v>0.45</v>
      </c>
      <c r="BF184" s="1040">
        <v>0.32</v>
      </c>
      <c r="BG184" s="1040">
        <v>0.36</v>
      </c>
      <c r="BH184" s="2051">
        <f t="shared" ref="BH184:BH192" si="163">BD184</f>
        <v>0.38</v>
      </c>
      <c r="BI184" s="2051">
        <f t="shared" si="160"/>
        <v>0.45</v>
      </c>
      <c r="BJ184" s="2051">
        <f t="shared" si="161"/>
        <v>0.32</v>
      </c>
      <c r="BK184" s="2051">
        <f t="shared" si="161"/>
        <v>0.36</v>
      </c>
      <c r="BL184" s="2051">
        <f t="shared" si="162"/>
        <v>0.38</v>
      </c>
    </row>
    <row r="185" spans="1:64" s="1040" customFormat="1" ht="11.25">
      <c r="A185" s="342" t="s">
        <v>1018</v>
      </c>
      <c r="B185" s="949"/>
      <c r="C185" s="949"/>
      <c r="D185" s="949"/>
      <c r="E185" s="949"/>
      <c r="F185" s="949"/>
      <c r="G185" s="949"/>
      <c r="H185" s="949"/>
      <c r="I185" s="949"/>
      <c r="J185" s="949"/>
      <c r="K185" s="949"/>
      <c r="L185" s="949"/>
      <c r="M185" s="949"/>
      <c r="N185" s="949"/>
      <c r="O185" s="949"/>
      <c r="P185" s="949"/>
      <c r="Q185" s="949"/>
      <c r="R185" s="949"/>
      <c r="S185" s="949"/>
      <c r="T185" s="949"/>
      <c r="U185" s="949"/>
      <c r="V185" s="949"/>
      <c r="W185" s="949"/>
      <c r="X185" s="949"/>
      <c r="Y185" s="949"/>
      <c r="Z185" s="949"/>
      <c r="AA185" s="949"/>
      <c r="AB185" s="949"/>
      <c r="AC185" s="949"/>
      <c r="AD185" s="949"/>
      <c r="AE185" s="949"/>
      <c r="AF185" s="949"/>
      <c r="AG185" s="949"/>
      <c r="AH185" s="949"/>
      <c r="AI185" s="949"/>
      <c r="AJ185" s="949"/>
      <c r="AK185" s="949"/>
      <c r="AL185" s="949"/>
      <c r="AM185" s="949"/>
      <c r="AN185" s="949"/>
      <c r="AO185" s="949"/>
      <c r="AP185" s="9"/>
      <c r="AQ185" s="1040">
        <v>0.47</v>
      </c>
      <c r="AR185" s="1040">
        <v>0.49</v>
      </c>
      <c r="AS185" s="1040">
        <v>0.48</v>
      </c>
      <c r="AT185" s="1040">
        <v>0.42</v>
      </c>
      <c r="AU185" s="1040">
        <v>0.53</v>
      </c>
      <c r="AV185" s="646">
        <f>-70%*-1</f>
        <v>0.7</v>
      </c>
      <c r="AW185" s="1040">
        <v>0.19</v>
      </c>
      <c r="AX185" s="1040">
        <v>0.34</v>
      </c>
      <c r="AY185" s="1040">
        <v>0.47</v>
      </c>
      <c r="AZ185" s="1040">
        <v>0.42</v>
      </c>
      <c r="BA185" s="1040">
        <v>0.39</v>
      </c>
      <c r="BB185" s="1040">
        <v>0.43</v>
      </c>
      <c r="BC185" s="1040">
        <v>0.38</v>
      </c>
      <c r="BD185" s="1040">
        <v>0.47</v>
      </c>
      <c r="BE185" s="1040">
        <v>0.45</v>
      </c>
      <c r="BF185" s="1040">
        <v>0.53</v>
      </c>
      <c r="BG185" s="1040">
        <v>0.52</v>
      </c>
      <c r="BH185" s="2051">
        <f t="shared" si="163"/>
        <v>0.47</v>
      </c>
      <c r="BI185" s="2051">
        <f t="shared" si="160"/>
        <v>0.45</v>
      </c>
      <c r="BJ185" s="2051">
        <f t="shared" si="161"/>
        <v>0.53</v>
      </c>
      <c r="BK185" s="2051">
        <f t="shared" si="161"/>
        <v>0.52</v>
      </c>
      <c r="BL185" s="2051">
        <f t="shared" si="162"/>
        <v>0.47</v>
      </c>
    </row>
    <row r="186" spans="1:64" s="1040" customFormat="1" ht="11.25">
      <c r="A186" s="342" t="s">
        <v>1011</v>
      </c>
      <c r="B186" s="949"/>
      <c r="C186" s="949"/>
      <c r="D186" s="949"/>
      <c r="E186" s="949"/>
      <c r="F186" s="949"/>
      <c r="G186" s="949"/>
      <c r="H186" s="949"/>
      <c r="I186" s="949"/>
      <c r="J186" s="949"/>
      <c r="K186" s="949"/>
      <c r="L186" s="949"/>
      <c r="M186" s="949"/>
      <c r="N186" s="949"/>
      <c r="O186" s="949"/>
      <c r="P186" s="949"/>
      <c r="Q186" s="949"/>
      <c r="R186" s="949"/>
      <c r="S186" s="949"/>
      <c r="T186" s="949"/>
      <c r="U186" s="949"/>
      <c r="V186" s="949"/>
      <c r="W186" s="949"/>
      <c r="X186" s="949"/>
      <c r="Y186" s="949"/>
      <c r="Z186" s="949"/>
      <c r="AA186" s="949"/>
      <c r="AB186" s="949"/>
      <c r="AC186" s="949"/>
      <c r="AD186" s="949"/>
      <c r="AE186" s="949"/>
      <c r="AF186" s="949"/>
      <c r="AG186" s="949"/>
      <c r="AH186" s="949"/>
      <c r="AI186" s="949"/>
      <c r="AJ186" s="949"/>
      <c r="AK186" s="949"/>
      <c r="AL186" s="949"/>
      <c r="AM186" s="949"/>
      <c r="AN186" s="949"/>
      <c r="AO186" s="949"/>
      <c r="AP186" s="9"/>
      <c r="AV186" s="646"/>
      <c r="BH186" s="2051">
        <f t="shared" si="163"/>
        <v>0</v>
      </c>
      <c r="BI186" s="2051">
        <f t="shared" si="160"/>
        <v>0</v>
      </c>
      <c r="BJ186" s="2051">
        <f t="shared" si="161"/>
        <v>0</v>
      </c>
      <c r="BK186" s="2051">
        <f t="shared" si="161"/>
        <v>0</v>
      </c>
      <c r="BL186" s="2051">
        <f t="shared" si="162"/>
        <v>0</v>
      </c>
    </row>
    <row r="187" spans="1:64" s="1040" customFormat="1" ht="11.25">
      <c r="A187" s="342" t="s">
        <v>1019</v>
      </c>
      <c r="B187" s="949"/>
      <c r="C187" s="949"/>
      <c r="D187" s="949"/>
      <c r="E187" s="949"/>
      <c r="F187" s="949"/>
      <c r="G187" s="949"/>
      <c r="H187" s="949"/>
      <c r="I187" s="949"/>
      <c r="J187" s="949"/>
      <c r="K187" s="949"/>
      <c r="L187" s="949"/>
      <c r="M187" s="949"/>
      <c r="N187" s="949"/>
      <c r="O187" s="949"/>
      <c r="P187" s="949"/>
      <c r="Q187" s="949"/>
      <c r="R187" s="949"/>
      <c r="S187" s="949"/>
      <c r="T187" s="949"/>
      <c r="U187" s="949"/>
      <c r="V187" s="949"/>
      <c r="W187" s="949"/>
      <c r="X187" s="949"/>
      <c r="Y187" s="949"/>
      <c r="Z187" s="949"/>
      <c r="AA187" s="949"/>
      <c r="AB187" s="949"/>
      <c r="AC187" s="949"/>
      <c r="AD187" s="949"/>
      <c r="AE187" s="949"/>
      <c r="AF187" s="949"/>
      <c r="AG187" s="949"/>
      <c r="AH187" s="949"/>
      <c r="AI187" s="949"/>
      <c r="AJ187" s="949"/>
      <c r="AK187" s="949"/>
      <c r="AL187" s="949"/>
      <c r="AM187" s="949"/>
      <c r="AN187" s="949"/>
      <c r="AO187" s="949"/>
      <c r="AP187" s="9"/>
      <c r="AV187" s="646"/>
      <c r="BH187" s="2051">
        <f t="shared" si="163"/>
        <v>0</v>
      </c>
      <c r="BI187" s="2051">
        <f t="shared" si="160"/>
        <v>0</v>
      </c>
      <c r="BJ187" s="2051">
        <f t="shared" si="161"/>
        <v>0</v>
      </c>
      <c r="BK187" s="2051">
        <f t="shared" si="161"/>
        <v>0</v>
      </c>
      <c r="BL187" s="2051">
        <f t="shared" si="162"/>
        <v>0</v>
      </c>
    </row>
    <row r="188" spans="1:64" s="1040" customFormat="1" ht="11.25">
      <c r="A188" s="342" t="s">
        <v>1016</v>
      </c>
      <c r="B188" s="949"/>
      <c r="C188" s="949"/>
      <c r="D188" s="949"/>
      <c r="E188" s="949"/>
      <c r="F188" s="949"/>
      <c r="G188" s="949"/>
      <c r="H188" s="949"/>
      <c r="I188" s="949"/>
      <c r="J188" s="949"/>
      <c r="K188" s="949"/>
      <c r="L188" s="949"/>
      <c r="M188" s="949"/>
      <c r="N188" s="949"/>
      <c r="O188" s="949"/>
      <c r="P188" s="949"/>
      <c r="Q188" s="949"/>
      <c r="R188" s="949"/>
      <c r="S188" s="949"/>
      <c r="T188" s="949"/>
      <c r="U188" s="949"/>
      <c r="V188" s="949"/>
      <c r="W188" s="949"/>
      <c r="X188" s="949"/>
      <c r="Y188" s="949"/>
      <c r="Z188" s="949"/>
      <c r="AA188" s="949"/>
      <c r="AB188" s="949"/>
      <c r="AC188" s="949"/>
      <c r="AD188" s="949"/>
      <c r="AE188" s="949"/>
      <c r="AF188" s="949"/>
      <c r="AG188" s="949"/>
      <c r="AH188" s="949"/>
      <c r="AI188" s="949"/>
      <c r="AJ188" s="949"/>
      <c r="AK188" s="949"/>
      <c r="AL188" s="949"/>
      <c r="AM188" s="949"/>
      <c r="AN188" s="949"/>
      <c r="AO188" s="949"/>
      <c r="AP188" s="9"/>
      <c r="AQ188" s="1040">
        <v>0.02</v>
      </c>
      <c r="AR188" s="1040">
        <v>0.03</v>
      </c>
      <c r="AS188" s="1040">
        <v>0.02</v>
      </c>
      <c r="AT188" s="1040">
        <v>0.01</v>
      </c>
      <c r="AU188" s="1040">
        <v>0.04</v>
      </c>
      <c r="AV188" s="646">
        <f>9%*-1</f>
        <v>-0.09</v>
      </c>
      <c r="AW188" s="1040">
        <v>-0.04</v>
      </c>
      <c r="AX188" s="1040">
        <v>7.0000000000000007E-2</v>
      </c>
      <c r="AY188" s="1040">
        <v>0.02</v>
      </c>
      <c r="AZ188" s="1040">
        <v>0.03</v>
      </c>
      <c r="BA188" s="1040">
        <v>0.03</v>
      </c>
      <c r="BB188" s="1040">
        <v>0.04</v>
      </c>
      <c r="BC188" s="1040">
        <v>0.04</v>
      </c>
      <c r="BD188" s="1040">
        <v>0.03</v>
      </c>
      <c r="BE188" s="1040">
        <v>0.02</v>
      </c>
      <c r="BF188" s="1040">
        <v>0.03</v>
      </c>
      <c r="BG188" s="1040">
        <v>0.02</v>
      </c>
      <c r="BH188" s="2051">
        <f t="shared" si="163"/>
        <v>0.03</v>
      </c>
      <c r="BI188" s="2051">
        <f t="shared" si="160"/>
        <v>0.02</v>
      </c>
      <c r="BJ188" s="2051">
        <f t="shared" si="161"/>
        <v>0.03</v>
      </c>
      <c r="BK188" s="2051">
        <f t="shared" si="161"/>
        <v>0.02</v>
      </c>
      <c r="BL188" s="2051">
        <f t="shared" si="162"/>
        <v>0.03</v>
      </c>
    </row>
    <row r="189" spans="1:64" s="1040" customFormat="1" ht="11.25">
      <c r="A189" s="342" t="s">
        <v>1015</v>
      </c>
      <c r="B189" s="949"/>
      <c r="C189" s="949"/>
      <c r="D189" s="949"/>
      <c r="E189" s="949"/>
      <c r="F189" s="949"/>
      <c r="G189" s="949"/>
      <c r="H189" s="949"/>
      <c r="I189" s="949"/>
      <c r="J189" s="949"/>
      <c r="K189" s="949"/>
      <c r="L189" s="949"/>
      <c r="M189" s="949"/>
      <c r="N189" s="949"/>
      <c r="O189" s="949"/>
      <c r="P189" s="949"/>
      <c r="Q189" s="949"/>
      <c r="R189" s="949"/>
      <c r="S189" s="949"/>
      <c r="T189" s="949"/>
      <c r="U189" s="949"/>
      <c r="V189" s="949"/>
      <c r="W189" s="949"/>
      <c r="X189" s="949"/>
      <c r="Y189" s="949"/>
      <c r="Z189" s="949"/>
      <c r="AA189" s="949"/>
      <c r="AB189" s="949"/>
      <c r="AC189" s="949"/>
      <c r="AD189" s="949"/>
      <c r="AE189" s="949"/>
      <c r="AF189" s="949"/>
      <c r="AG189" s="949"/>
      <c r="AH189" s="949"/>
      <c r="AI189" s="949"/>
      <c r="AJ189" s="949"/>
      <c r="AK189" s="949"/>
      <c r="AL189" s="949"/>
      <c r="AM189" s="949"/>
      <c r="AN189" s="949"/>
      <c r="AO189" s="949"/>
      <c r="AP189" s="9"/>
      <c r="AQ189" s="1040">
        <v>0.01</v>
      </c>
      <c r="AR189" s="1040">
        <v>0.01</v>
      </c>
      <c r="AS189" s="1040">
        <v>0.01</v>
      </c>
      <c r="AT189" s="1040">
        <v>0.01</v>
      </c>
      <c r="AU189" s="1040">
        <v>-0.01</v>
      </c>
      <c r="AV189" s="646">
        <f>1%*-1</f>
        <v>-0.01</v>
      </c>
      <c r="AW189" s="1040">
        <v>-0.03</v>
      </c>
      <c r="AX189" s="1040">
        <v>0.01</v>
      </c>
      <c r="AY189" s="1040">
        <v>0</v>
      </c>
      <c r="AZ189" s="1040">
        <v>-0.01</v>
      </c>
      <c r="BA189" s="1040">
        <v>0.01</v>
      </c>
      <c r="BB189" s="1040">
        <v>0</v>
      </c>
      <c r="BC189" s="1040">
        <v>0</v>
      </c>
      <c r="BD189" s="1040">
        <v>0.01</v>
      </c>
      <c r="BE189" s="1040">
        <v>0.01</v>
      </c>
      <c r="BF189" s="1040">
        <v>0.01</v>
      </c>
      <c r="BG189" s="1040">
        <v>0.01</v>
      </c>
      <c r="BH189" s="2051">
        <f t="shared" si="163"/>
        <v>0.01</v>
      </c>
      <c r="BI189" s="2051">
        <f t="shared" si="160"/>
        <v>0.01</v>
      </c>
      <c r="BJ189" s="2051">
        <f t="shared" si="161"/>
        <v>0.01</v>
      </c>
      <c r="BK189" s="2051">
        <f t="shared" si="161"/>
        <v>0.01</v>
      </c>
      <c r="BL189" s="2051">
        <f t="shared" si="162"/>
        <v>0.01</v>
      </c>
    </row>
    <row r="190" spans="1:64" s="1040" customFormat="1" ht="11.25">
      <c r="A190" s="342" t="s">
        <v>1017</v>
      </c>
      <c r="B190" s="949"/>
      <c r="C190" s="949"/>
      <c r="D190" s="949"/>
      <c r="E190" s="949"/>
      <c r="F190" s="949"/>
      <c r="G190" s="949"/>
      <c r="H190" s="949"/>
      <c r="I190" s="949"/>
      <c r="J190" s="949"/>
      <c r="K190" s="949"/>
      <c r="L190" s="949"/>
      <c r="M190" s="949"/>
      <c r="N190" s="949"/>
      <c r="O190" s="949"/>
      <c r="P190" s="949"/>
      <c r="Q190" s="949"/>
      <c r="R190" s="949"/>
      <c r="S190" s="949"/>
      <c r="T190" s="949"/>
      <c r="U190" s="949"/>
      <c r="V190" s="949"/>
      <c r="W190" s="949"/>
      <c r="X190" s="949"/>
      <c r="Y190" s="949"/>
      <c r="Z190" s="949"/>
      <c r="AA190" s="949"/>
      <c r="AB190" s="949"/>
      <c r="AC190" s="949"/>
      <c r="AD190" s="949"/>
      <c r="AE190" s="949"/>
      <c r="AF190" s="949"/>
      <c r="AG190" s="949"/>
      <c r="AH190" s="949"/>
      <c r="AI190" s="949"/>
      <c r="AJ190" s="949"/>
      <c r="AK190" s="949"/>
      <c r="AL190" s="949"/>
      <c r="AM190" s="949"/>
      <c r="AN190" s="949"/>
      <c r="AO190" s="949"/>
      <c r="AP190" s="9"/>
      <c r="AV190" s="646"/>
      <c r="BH190" s="2051">
        <f t="shared" si="163"/>
        <v>0</v>
      </c>
      <c r="BI190" s="2051">
        <f t="shared" si="160"/>
        <v>0</v>
      </c>
      <c r="BJ190" s="2051">
        <f t="shared" si="161"/>
        <v>0</v>
      </c>
      <c r="BK190" s="2051">
        <f t="shared" si="161"/>
        <v>0</v>
      </c>
      <c r="BL190" s="2051">
        <f t="shared" si="162"/>
        <v>0</v>
      </c>
    </row>
    <row r="191" spans="1:64" s="1040" customFormat="1" ht="11.25">
      <c r="A191" s="342" t="s">
        <v>1120</v>
      </c>
      <c r="B191" s="949"/>
      <c r="C191" s="949"/>
      <c r="D191" s="949"/>
      <c r="E191" s="949"/>
      <c r="F191" s="949"/>
      <c r="G191" s="949"/>
      <c r="H191" s="949"/>
      <c r="I191" s="949"/>
      <c r="J191" s="949"/>
      <c r="K191" s="949"/>
      <c r="L191" s="949"/>
      <c r="M191" s="949"/>
      <c r="N191" s="949"/>
      <c r="O191" s="949"/>
      <c r="P191" s="949"/>
      <c r="Q191" s="949"/>
      <c r="R191" s="949"/>
      <c r="S191" s="949"/>
      <c r="T191" s="949"/>
      <c r="U191" s="949"/>
      <c r="V191" s="949"/>
      <c r="W191" s="949"/>
      <c r="X191" s="949"/>
      <c r="Y191" s="949"/>
      <c r="Z191" s="949"/>
      <c r="AA191" s="949"/>
      <c r="AB191" s="949"/>
      <c r="AC191" s="949"/>
      <c r="AD191" s="949"/>
      <c r="AE191" s="949"/>
      <c r="AF191" s="949"/>
      <c r="AG191" s="949"/>
      <c r="AH191" s="949"/>
      <c r="AI191" s="949"/>
      <c r="AJ191" s="949"/>
      <c r="AK191" s="949"/>
      <c r="AL191" s="949"/>
      <c r="AM191" s="949"/>
      <c r="AN191" s="949"/>
      <c r="AO191" s="949"/>
      <c r="AP191" s="9"/>
      <c r="AV191" s="646"/>
      <c r="BH191" s="2051">
        <f t="shared" si="163"/>
        <v>0</v>
      </c>
      <c r="BI191" s="2051">
        <f t="shared" si="160"/>
        <v>0</v>
      </c>
      <c r="BJ191" s="2051">
        <f t="shared" si="161"/>
        <v>0</v>
      </c>
      <c r="BK191" s="2051">
        <f t="shared" si="161"/>
        <v>0</v>
      </c>
      <c r="BL191" s="2051">
        <f t="shared" si="162"/>
        <v>0</v>
      </c>
    </row>
    <row r="192" spans="1:64" s="1040" customFormat="1" ht="11.25">
      <c r="A192" s="342" t="s">
        <v>331</v>
      </c>
      <c r="B192" s="949"/>
      <c r="C192" s="949"/>
      <c r="D192" s="949"/>
      <c r="E192" s="949"/>
      <c r="F192" s="949"/>
      <c r="G192" s="949"/>
      <c r="H192" s="949"/>
      <c r="I192" s="949"/>
      <c r="J192" s="949"/>
      <c r="K192" s="949"/>
      <c r="L192" s="949"/>
      <c r="M192" s="949"/>
      <c r="N192" s="949"/>
      <c r="O192" s="949"/>
      <c r="P192" s="949"/>
      <c r="Q192" s="949"/>
      <c r="R192" s="949"/>
      <c r="S192" s="949"/>
      <c r="T192" s="949"/>
      <c r="U192" s="949"/>
      <c r="V192" s="949"/>
      <c r="W192" s="949"/>
      <c r="X192" s="949"/>
      <c r="Y192" s="949"/>
      <c r="Z192" s="949"/>
      <c r="AA192" s="949"/>
      <c r="AB192" s="949"/>
      <c r="AC192" s="949"/>
      <c r="AD192" s="949"/>
      <c r="AE192" s="949"/>
      <c r="AF192" s="949"/>
      <c r="AG192" s="949"/>
      <c r="AH192" s="949"/>
      <c r="AI192" s="949"/>
      <c r="AJ192" s="949"/>
      <c r="AK192" s="949"/>
      <c r="AL192" s="949"/>
      <c r="AM192" s="949"/>
      <c r="AN192" s="949"/>
      <c r="AO192" s="949"/>
      <c r="AP192" s="9"/>
      <c r="AQ192" s="1040">
        <v>0.01</v>
      </c>
      <c r="AR192" s="1040">
        <v>0.02</v>
      </c>
      <c r="AS192" s="1040">
        <v>0.02</v>
      </c>
      <c r="AT192" s="1040">
        <f>5%+1%</f>
        <v>6.0000000000000005E-2</v>
      </c>
      <c r="AU192" s="1040">
        <f>-4%+2%</f>
        <v>-0.02</v>
      </c>
      <c r="AV192" s="646">
        <f>(-5%-11%)*-1</f>
        <v>0.16</v>
      </c>
      <c r="AW192" s="1040">
        <f>-4%+4%</f>
        <v>0</v>
      </c>
      <c r="AX192" s="1040">
        <f>-1%+2%</f>
        <v>0.01</v>
      </c>
      <c r="AY192" s="1040">
        <v>0.01</v>
      </c>
      <c r="AZ192" s="1040">
        <v>-0.01</v>
      </c>
      <c r="BA192" s="1040">
        <v>0.02</v>
      </c>
      <c r="BB192" s="1040">
        <v>0.01</v>
      </c>
      <c r="BC192" s="1040">
        <v>0.03</v>
      </c>
      <c r="BD192" s="1040">
        <v>0.01</v>
      </c>
      <c r="BE192" s="1040">
        <v>0.01</v>
      </c>
      <c r="BF192" s="1040">
        <v>0.02</v>
      </c>
      <c r="BG192" s="1040">
        <v>0.01</v>
      </c>
      <c r="BH192" s="2051">
        <f t="shared" si="163"/>
        <v>0.01</v>
      </c>
      <c r="BI192" s="2051">
        <f t="shared" si="160"/>
        <v>0.01</v>
      </c>
      <c r="BJ192" s="2051">
        <f t="shared" si="161"/>
        <v>0.02</v>
      </c>
      <c r="BK192" s="2051">
        <f t="shared" si="161"/>
        <v>0.01</v>
      </c>
      <c r="BL192" s="2051">
        <f t="shared" si="162"/>
        <v>0.01</v>
      </c>
    </row>
    <row r="193" spans="1:70" s="949" customFormat="1" ht="11.25">
      <c r="A193" s="950" t="s">
        <v>325</v>
      </c>
      <c r="AQ193" s="949">
        <f t="shared" ref="AQ193:AV193" si="164">SUM(AQ183:AQ192)</f>
        <v>1</v>
      </c>
      <c r="AR193" s="949">
        <f t="shared" si="164"/>
        <v>1</v>
      </c>
      <c r="AS193" s="949">
        <f t="shared" si="164"/>
        <v>1</v>
      </c>
      <c r="AT193" s="949">
        <f t="shared" si="164"/>
        <v>1</v>
      </c>
      <c r="AU193" s="949">
        <f t="shared" si="164"/>
        <v>1</v>
      </c>
      <c r="AV193" s="1804">
        <f t="shared" si="164"/>
        <v>1</v>
      </c>
      <c r="AW193" s="949">
        <f t="shared" ref="AW193:BG193" si="165">SUM(AW183:AW192)</f>
        <v>1</v>
      </c>
      <c r="AX193" s="949">
        <f t="shared" si="165"/>
        <v>1.0000000000000002</v>
      </c>
      <c r="AY193" s="949">
        <f t="shared" si="165"/>
        <v>1</v>
      </c>
      <c r="AZ193" s="949">
        <f t="shared" si="165"/>
        <v>1</v>
      </c>
      <c r="BA193" s="949">
        <f t="shared" si="165"/>
        <v>1</v>
      </c>
      <c r="BB193" s="949">
        <f t="shared" si="165"/>
        <v>1</v>
      </c>
      <c r="BC193" s="949">
        <f t="shared" si="165"/>
        <v>1</v>
      </c>
      <c r="BD193" s="949">
        <f t="shared" si="165"/>
        <v>1</v>
      </c>
      <c r="BE193" s="949">
        <f t="shared" si="165"/>
        <v>1</v>
      </c>
      <c r="BF193" s="949">
        <f t="shared" si="165"/>
        <v>1</v>
      </c>
      <c r="BG193" s="949">
        <f t="shared" si="165"/>
        <v>1</v>
      </c>
      <c r="BH193" s="1951">
        <f>SUM(BH183:BH192)</f>
        <v>1</v>
      </c>
      <c r="BI193" s="1951">
        <f t="shared" ref="BI193:BK193" si="166">SUM(BI183:BI192)</f>
        <v>1</v>
      </c>
      <c r="BJ193" s="1951">
        <f t="shared" si="166"/>
        <v>1</v>
      </c>
      <c r="BK193" s="1951">
        <f t="shared" si="166"/>
        <v>1</v>
      </c>
      <c r="BL193" s="1951">
        <f t="shared" ref="BL193" si="167">SUM(BL183:BL192)</f>
        <v>1</v>
      </c>
    </row>
    <row r="194" spans="1:70" s="9" customFormat="1" ht="11.25">
      <c r="A194" s="950"/>
      <c r="B194" s="949"/>
      <c r="C194" s="949"/>
      <c r="D194" s="949"/>
      <c r="E194" s="949"/>
      <c r="F194" s="949"/>
      <c r="G194" s="949"/>
      <c r="H194" s="949"/>
      <c r="I194" s="949"/>
      <c r="J194" s="949"/>
      <c r="K194" s="949"/>
      <c r="L194" s="949"/>
      <c r="M194" s="949"/>
      <c r="N194" s="949"/>
      <c r="O194" s="949"/>
      <c r="P194" s="949"/>
      <c r="Q194" s="949"/>
      <c r="R194" s="949"/>
      <c r="S194" s="949"/>
      <c r="T194" s="949"/>
      <c r="U194" s="949"/>
      <c r="V194" s="949"/>
      <c r="W194" s="949"/>
      <c r="X194" s="949"/>
      <c r="Y194" s="949"/>
      <c r="Z194" s="949"/>
      <c r="AA194" s="949"/>
      <c r="AB194" s="949"/>
      <c r="AC194" s="949"/>
      <c r="AD194" s="949"/>
      <c r="AE194" s="949"/>
      <c r="AF194" s="949"/>
      <c r="AG194" s="949"/>
      <c r="AH194" s="949"/>
      <c r="AI194" s="949"/>
      <c r="AJ194" s="949"/>
      <c r="AK194" s="949"/>
      <c r="AL194" s="949"/>
      <c r="AM194" s="949"/>
      <c r="AN194" s="949"/>
      <c r="AO194" s="949"/>
      <c r="AP194" s="949"/>
      <c r="AT194" s="241"/>
    </row>
    <row r="195" spans="1:70" s="9" customFormat="1" ht="11.25">
      <c r="A195" s="513" t="s">
        <v>1022</v>
      </c>
      <c r="B195" s="949"/>
      <c r="C195" s="949"/>
      <c r="D195" s="949"/>
      <c r="E195" s="949"/>
      <c r="F195" s="949"/>
      <c r="G195" s="949"/>
      <c r="H195" s="949"/>
      <c r="I195" s="949"/>
      <c r="J195" s="949"/>
      <c r="K195" s="949"/>
      <c r="L195" s="949"/>
      <c r="M195" s="949"/>
      <c r="N195" s="949"/>
      <c r="O195" s="949"/>
      <c r="P195" s="949"/>
      <c r="Q195" s="949"/>
      <c r="R195" s="949"/>
      <c r="S195" s="949"/>
      <c r="T195" s="949"/>
      <c r="U195" s="949"/>
      <c r="V195" s="949"/>
      <c r="W195" s="949"/>
      <c r="X195" s="949"/>
      <c r="Y195" s="949"/>
      <c r="Z195" s="949"/>
      <c r="AA195" s="949"/>
      <c r="AB195" s="949"/>
      <c r="AC195" s="949"/>
      <c r="AD195" s="949"/>
      <c r="AE195" s="949"/>
      <c r="AF195" s="949"/>
      <c r="AG195" s="949"/>
      <c r="AH195" s="949"/>
      <c r="AI195" s="949"/>
      <c r="AJ195" s="949"/>
      <c r="AK195" s="949"/>
      <c r="AL195" s="949"/>
      <c r="AM195" s="949"/>
      <c r="AN195" s="949"/>
      <c r="AO195" s="949"/>
      <c r="AP195" s="949"/>
      <c r="AT195" s="241"/>
    </row>
    <row r="196" spans="1:70" s="1040" customFormat="1" ht="11.25">
      <c r="A196" s="342" t="s">
        <v>1007</v>
      </c>
      <c r="B196" s="949"/>
      <c r="C196" s="949"/>
      <c r="D196" s="949"/>
      <c r="E196" s="949"/>
      <c r="F196" s="949"/>
      <c r="G196" s="949"/>
      <c r="H196" s="949"/>
      <c r="I196" s="949"/>
      <c r="J196" s="949"/>
      <c r="K196" s="949"/>
      <c r="L196" s="949"/>
      <c r="M196" s="949"/>
      <c r="N196" s="949"/>
      <c r="O196" s="949"/>
      <c r="P196" s="949"/>
      <c r="Q196" s="949"/>
      <c r="R196" s="949"/>
      <c r="S196" s="949"/>
      <c r="T196" s="949"/>
      <c r="U196" s="949"/>
      <c r="V196" s="949"/>
      <c r="W196" s="949"/>
      <c r="X196" s="949"/>
      <c r="Y196" s="949"/>
      <c r="Z196" s="949"/>
      <c r="AA196" s="949"/>
      <c r="AB196" s="949"/>
      <c r="AC196" s="1040">
        <v>0.16</v>
      </c>
      <c r="AD196" s="1041"/>
      <c r="AE196" s="1040">
        <v>0.24</v>
      </c>
      <c r="AF196" s="1040">
        <v>0.24</v>
      </c>
      <c r="AG196" s="1040">
        <v>0.18</v>
      </c>
      <c r="AH196" s="1040">
        <v>0.23</v>
      </c>
      <c r="AI196" s="1040">
        <v>0.24</v>
      </c>
      <c r="AJ196" s="1040">
        <v>0.25</v>
      </c>
      <c r="AK196" s="1040">
        <v>0.19</v>
      </c>
      <c r="AL196" s="1040">
        <v>0.27</v>
      </c>
      <c r="AM196" s="1040">
        <v>0.28999999999999998</v>
      </c>
      <c r="AN196" s="1040">
        <v>0.28999999999999998</v>
      </c>
      <c r="AO196" s="1040">
        <v>0.28999999999999998</v>
      </c>
      <c r="AP196" s="1040">
        <v>0.31</v>
      </c>
      <c r="AQ196" s="1040">
        <f>(IS!$AQ$102*AQ170+IS!$AQ$113*AQ183)/(IS!$AQ$102+IS!$AQ$113)</f>
        <v>0.20998624673359922</v>
      </c>
      <c r="AR196" s="1040">
        <v>0.17</v>
      </c>
      <c r="AS196" s="1040">
        <f>(IS!$AQ$102*AS170+IS!$AQ$113*AS183)/(IS!$AQ$102+IS!$AQ$113)</f>
        <v>0.17306422775409161</v>
      </c>
      <c r="AT196" s="1040">
        <v>0.15</v>
      </c>
      <c r="AU196" s="1040">
        <v>0.23</v>
      </c>
      <c r="AV196" s="646">
        <f>39%*-1</f>
        <v>-0.39</v>
      </c>
      <c r="AW196" s="1040">
        <v>0.38</v>
      </c>
      <c r="AX196" s="1040">
        <v>0.28000000000000003</v>
      </c>
      <c r="AY196" s="1040">
        <v>0.33</v>
      </c>
      <c r="AZ196" s="1040">
        <v>0.33</v>
      </c>
      <c r="BA196" s="1040">
        <v>0.17</v>
      </c>
      <c r="BB196" s="1040">
        <v>0.18</v>
      </c>
      <c r="BC196" s="1040">
        <v>0.2</v>
      </c>
      <c r="BD196" s="1040">
        <v>0.17</v>
      </c>
      <c r="BE196" s="1040">
        <v>0.12</v>
      </c>
      <c r="BF196" s="1040">
        <v>0.18</v>
      </c>
      <c r="BG196" s="1040">
        <v>0.15</v>
      </c>
      <c r="BH196" s="2051">
        <f>BD196</f>
        <v>0.17</v>
      </c>
      <c r="BI196" s="2051">
        <f t="shared" ref="BI196:BK205" si="168">BE196</f>
        <v>0.12</v>
      </c>
      <c r="BJ196" s="2051">
        <f t="shared" si="168"/>
        <v>0.18</v>
      </c>
      <c r="BK196" s="2051">
        <f t="shared" si="168"/>
        <v>0.15</v>
      </c>
      <c r="BL196" s="2051">
        <f t="shared" ref="BL196:BL205" si="169">BH196</f>
        <v>0.17</v>
      </c>
    </row>
    <row r="197" spans="1:70" s="1040" customFormat="1" ht="11.25">
      <c r="A197" s="342" t="s">
        <v>1008</v>
      </c>
      <c r="B197" s="949"/>
      <c r="C197" s="949"/>
      <c r="D197" s="949"/>
      <c r="E197" s="949"/>
      <c r="F197" s="949"/>
      <c r="G197" s="949"/>
      <c r="H197" s="949"/>
      <c r="I197" s="949"/>
      <c r="J197" s="949"/>
      <c r="K197" s="949"/>
      <c r="L197" s="949"/>
      <c r="M197" s="949"/>
      <c r="N197" s="949"/>
      <c r="O197" s="949"/>
      <c r="P197" s="949"/>
      <c r="Q197" s="949"/>
      <c r="R197" s="949"/>
      <c r="S197" s="949"/>
      <c r="T197" s="949"/>
      <c r="U197" s="949"/>
      <c r="V197" s="949"/>
      <c r="W197" s="949"/>
      <c r="X197" s="949"/>
      <c r="Y197" s="949"/>
      <c r="Z197" s="949"/>
      <c r="AA197" s="949"/>
      <c r="AB197" s="949"/>
      <c r="AC197" s="1040">
        <v>0.32</v>
      </c>
      <c r="AD197" s="1041"/>
      <c r="AE197" s="1040">
        <v>0.23</v>
      </c>
      <c r="AF197" s="1040">
        <v>0.28000000000000003</v>
      </c>
      <c r="AG197" s="1040">
        <v>0.33</v>
      </c>
      <c r="AH197" s="1040">
        <v>0.27</v>
      </c>
      <c r="AI197" s="1040">
        <v>0.28999999999999998</v>
      </c>
      <c r="AJ197" s="1040">
        <v>0.28999999999999998</v>
      </c>
      <c r="AK197" s="1040">
        <v>0.35</v>
      </c>
      <c r="AL197" s="1040">
        <v>0.25</v>
      </c>
      <c r="AM197" s="1040">
        <v>0.24</v>
      </c>
      <c r="AN197" s="1040">
        <v>0.24</v>
      </c>
      <c r="AO197" s="1040">
        <v>0.24</v>
      </c>
      <c r="AP197" s="1040">
        <v>0.21</v>
      </c>
      <c r="AQ197" s="1040">
        <f>(IS!$AQ$102*AQ171+IS!$AQ$113*AQ184)/(IS!$AQ$102+IS!$AQ$113)</f>
        <v>0.14849539265575576</v>
      </c>
      <c r="AR197" s="1040">
        <v>0.08</v>
      </c>
      <c r="AS197" s="1040">
        <f>(IS!$AQ$102*AS171+IS!$AQ$113*AS184)/(IS!$AQ$102+IS!$AQ$113)</f>
        <v>0.15849539265575574</v>
      </c>
      <c r="AT197" s="1040">
        <v>0.08</v>
      </c>
      <c r="AU197" s="1040">
        <v>0.02</v>
      </c>
      <c r="AV197" s="646">
        <f>-15%*-1</f>
        <v>0.15</v>
      </c>
      <c r="AW197" s="1040">
        <v>0.05</v>
      </c>
      <c r="AX197" s="1040">
        <v>0.09</v>
      </c>
      <c r="AY197" s="1040">
        <v>0.08</v>
      </c>
      <c r="AZ197" s="1040">
        <v>0.08</v>
      </c>
      <c r="BA197" s="1040">
        <v>0.1</v>
      </c>
      <c r="BB197" s="1040">
        <v>0.1</v>
      </c>
      <c r="BC197" s="1040">
        <v>0.09</v>
      </c>
      <c r="BD197" s="1040">
        <v>0.1</v>
      </c>
      <c r="BE197" s="1040">
        <v>0.13</v>
      </c>
      <c r="BF197" s="1040">
        <v>0.09</v>
      </c>
      <c r="BG197" s="1040">
        <v>0.1</v>
      </c>
      <c r="BH197" s="2051">
        <f t="shared" ref="BH197:BH205" si="170">BD197</f>
        <v>0.1</v>
      </c>
      <c r="BI197" s="2051">
        <f t="shared" ref="BI197:BI205" si="171">BE197</f>
        <v>0.13</v>
      </c>
      <c r="BJ197" s="2051">
        <f t="shared" ref="BJ197:BJ205" si="172">BF197</f>
        <v>0.09</v>
      </c>
      <c r="BK197" s="2051">
        <f t="shared" si="168"/>
        <v>0.1</v>
      </c>
      <c r="BL197" s="2051">
        <f t="shared" si="169"/>
        <v>0.1</v>
      </c>
    </row>
    <row r="198" spans="1:70" s="1040" customFormat="1" ht="11.25">
      <c r="A198" s="342" t="s">
        <v>1018</v>
      </c>
      <c r="B198" s="949"/>
      <c r="C198" s="949"/>
      <c r="D198" s="949"/>
      <c r="E198" s="949"/>
      <c r="F198" s="949"/>
      <c r="G198" s="949"/>
      <c r="H198" s="949"/>
      <c r="I198" s="949"/>
      <c r="J198" s="949"/>
      <c r="K198" s="949"/>
      <c r="L198" s="949"/>
      <c r="M198" s="949"/>
      <c r="N198" s="949"/>
      <c r="O198" s="949"/>
      <c r="P198" s="949"/>
      <c r="Q198" s="949"/>
      <c r="R198" s="949"/>
      <c r="S198" s="949"/>
      <c r="T198" s="949"/>
      <c r="U198" s="949"/>
      <c r="V198" s="949"/>
      <c r="W198" s="949"/>
      <c r="X198" s="949"/>
      <c r="Y198" s="949"/>
      <c r="Z198" s="949"/>
      <c r="AA198" s="949"/>
      <c r="AB198" s="949"/>
      <c r="AC198" s="1040">
        <v>0.24</v>
      </c>
      <c r="AD198" s="1041"/>
      <c r="AE198" s="1040">
        <v>0.19</v>
      </c>
      <c r="AF198" s="1040">
        <v>0.23</v>
      </c>
      <c r="AG198" s="1040">
        <v>0.24</v>
      </c>
      <c r="AH198" s="1040">
        <v>0.21</v>
      </c>
      <c r="AI198" s="1040">
        <v>0.21</v>
      </c>
      <c r="AJ198" s="1040">
        <v>0.23</v>
      </c>
      <c r="AK198" s="1040">
        <v>0.23</v>
      </c>
      <c r="AL198" s="1040">
        <v>0.2</v>
      </c>
      <c r="AM198" s="1040">
        <v>0.2</v>
      </c>
      <c r="AN198" s="1040">
        <v>0.23</v>
      </c>
      <c r="AO198" s="1040">
        <v>0.2</v>
      </c>
      <c r="AP198" s="1040">
        <v>0.18</v>
      </c>
      <c r="AQ198" s="1040">
        <f>(IS!$AQ$102*AQ172+IS!$AQ$113*AQ185)/(IS!$AQ$102+IS!$AQ$113)</f>
        <v>0.22772933571723281</v>
      </c>
      <c r="AR198" s="1040">
        <v>0.28999999999999998</v>
      </c>
      <c r="AS198" s="1040">
        <f>(IS!$AQ$102*AS172+IS!$AQ$113*AS185)/(IS!$AQ$102+IS!$AQ$113)</f>
        <v>0.32079356347132443</v>
      </c>
      <c r="AT198" s="1040">
        <v>0.28000000000000003</v>
      </c>
      <c r="AU198" s="1040">
        <v>0.35</v>
      </c>
      <c r="AV198" s="646">
        <f>-34%*-1</f>
        <v>0.34</v>
      </c>
      <c r="AW198" s="1040">
        <v>0.35</v>
      </c>
      <c r="AX198" s="1040">
        <v>0.28000000000000003</v>
      </c>
      <c r="AY198" s="1040">
        <v>0.39</v>
      </c>
      <c r="AZ198" s="1040">
        <v>0.39</v>
      </c>
      <c r="BA198" s="1040">
        <v>0.39</v>
      </c>
      <c r="BB198" s="1040">
        <v>0.35</v>
      </c>
      <c r="BC198" s="1040">
        <v>0.38</v>
      </c>
      <c r="BD198" s="1040">
        <v>0.42</v>
      </c>
      <c r="BE198" s="1040">
        <v>0.49</v>
      </c>
      <c r="BF198" s="1040">
        <v>0.41</v>
      </c>
      <c r="BG198" s="1040">
        <v>0.46</v>
      </c>
      <c r="BH198" s="2051">
        <f t="shared" si="170"/>
        <v>0.42</v>
      </c>
      <c r="BI198" s="2051">
        <f t="shared" si="171"/>
        <v>0.49</v>
      </c>
      <c r="BJ198" s="2051">
        <f t="shared" si="172"/>
        <v>0.41</v>
      </c>
      <c r="BK198" s="2051">
        <f t="shared" si="168"/>
        <v>0.46</v>
      </c>
      <c r="BL198" s="2051">
        <f t="shared" si="169"/>
        <v>0.42</v>
      </c>
    </row>
    <row r="199" spans="1:70" s="1040" customFormat="1" ht="11.25">
      <c r="A199" s="342" t="s">
        <v>1011</v>
      </c>
      <c r="B199" s="949"/>
      <c r="C199" s="949"/>
      <c r="D199" s="949"/>
      <c r="E199" s="949"/>
      <c r="F199" s="949"/>
      <c r="G199" s="949"/>
      <c r="H199" s="949"/>
      <c r="I199" s="949"/>
      <c r="J199" s="949"/>
      <c r="K199" s="949"/>
      <c r="L199" s="949"/>
      <c r="M199" s="949"/>
      <c r="N199" s="949"/>
      <c r="O199" s="949"/>
      <c r="P199" s="949"/>
      <c r="Q199" s="949"/>
      <c r="R199" s="949"/>
      <c r="S199" s="949"/>
      <c r="T199" s="949"/>
      <c r="U199" s="949"/>
      <c r="V199" s="949"/>
      <c r="W199" s="949"/>
      <c r="X199" s="949"/>
      <c r="Y199" s="949"/>
      <c r="Z199" s="949"/>
      <c r="AA199" s="949"/>
      <c r="AB199" s="949"/>
      <c r="AD199" s="1041"/>
      <c r="AQ199" s="1040">
        <f>(IS!$AQ$102*AQ173+IS!$AQ$113*AQ186)/(IS!$AQ$102+IS!$AQ$113)</f>
        <v>0.11767432265162976</v>
      </c>
      <c r="AR199" s="1040">
        <v>0.16</v>
      </c>
      <c r="AS199" s="1040">
        <f>(IS!$AQ$102*AS173+IS!$AQ$113*AS186)/(IS!$AQ$102+IS!$AQ$113)</f>
        <v>9.6908265713106873E-2</v>
      </c>
      <c r="AT199" s="1040">
        <v>0.17</v>
      </c>
      <c r="AU199" s="1040">
        <v>0.16</v>
      </c>
      <c r="AV199" s="646">
        <f>-49%*-1</f>
        <v>0.49</v>
      </c>
      <c r="AW199" s="1040">
        <v>0</v>
      </c>
      <c r="AX199" s="1040">
        <v>0.09</v>
      </c>
      <c r="AY199" s="1040">
        <v>0.02</v>
      </c>
      <c r="AZ199" s="1040">
        <v>0.02</v>
      </c>
      <c r="BA199" s="1040">
        <v>7.0000000000000007E-2</v>
      </c>
      <c r="BB199" s="1040">
        <v>0.11</v>
      </c>
      <c r="BC199" s="1040">
        <v>0.12</v>
      </c>
      <c r="BD199" s="1040">
        <v>0.12</v>
      </c>
      <c r="BE199" s="1040">
        <v>0.09</v>
      </c>
      <c r="BF199" s="1040">
        <v>0.11</v>
      </c>
      <c r="BG199" s="1040">
        <v>0.11</v>
      </c>
      <c r="BH199" s="2051">
        <f t="shared" si="170"/>
        <v>0.12</v>
      </c>
      <c r="BI199" s="2051">
        <f t="shared" si="171"/>
        <v>0.09</v>
      </c>
      <c r="BJ199" s="2051">
        <f t="shared" si="172"/>
        <v>0.11</v>
      </c>
      <c r="BK199" s="2051">
        <f t="shared" si="168"/>
        <v>0.11</v>
      </c>
      <c r="BL199" s="2051">
        <f t="shared" si="169"/>
        <v>0.12</v>
      </c>
    </row>
    <row r="200" spans="1:70" s="1040" customFormat="1" ht="11.25">
      <c r="A200" s="342" t="s">
        <v>1019</v>
      </c>
      <c r="B200" s="949"/>
      <c r="C200" s="949"/>
      <c r="D200" s="949"/>
      <c r="E200" s="949"/>
      <c r="F200" s="949"/>
      <c r="G200" s="949"/>
      <c r="H200" s="949"/>
      <c r="I200" s="949"/>
      <c r="J200" s="949"/>
      <c r="K200" s="949"/>
      <c r="L200" s="949"/>
      <c r="M200" s="949"/>
      <c r="N200" s="949"/>
      <c r="O200" s="949"/>
      <c r="P200" s="949"/>
      <c r="Q200" s="949"/>
      <c r="R200" s="949"/>
      <c r="S200" s="949"/>
      <c r="T200" s="949"/>
      <c r="U200" s="949"/>
      <c r="V200" s="949"/>
      <c r="W200" s="949"/>
      <c r="X200" s="949"/>
      <c r="Y200" s="949"/>
      <c r="Z200" s="949"/>
      <c r="AA200" s="949"/>
      <c r="AB200" s="949"/>
      <c r="AC200" s="1040">
        <v>0.25</v>
      </c>
      <c r="AD200" s="1041"/>
      <c r="AE200" s="1040">
        <v>0.3</v>
      </c>
      <c r="AF200" s="1040">
        <v>0.24</v>
      </c>
      <c r="AG200" s="1040">
        <v>0.24</v>
      </c>
      <c r="AH200" s="1040">
        <v>0.25</v>
      </c>
      <c r="AI200" s="1040">
        <v>0.24</v>
      </c>
      <c r="AJ200" s="1040">
        <v>0.21</v>
      </c>
      <c r="AK200" s="1040">
        <v>0.23</v>
      </c>
      <c r="AL200" s="1040">
        <v>0.25</v>
      </c>
      <c r="AM200" s="1040">
        <v>0.26</v>
      </c>
      <c r="AN200" s="1040">
        <v>0.23</v>
      </c>
      <c r="AO200" s="1040">
        <v>0.26</v>
      </c>
      <c r="AP200" s="1040">
        <v>0.25</v>
      </c>
      <c r="AQ200" s="1040">
        <f>(IS!$AQ$102*AQ174+IS!$AQ$113*AQ187)/(IS!$AQ$102+IS!$AQ$113)</f>
        <v>0.16612845550818317</v>
      </c>
      <c r="AR200" s="1040">
        <v>7.0000000000000007E-2</v>
      </c>
      <c r="AS200" s="1040">
        <f>(IS!$AQ$102*AS174+IS!$AQ$113*AS187)/(IS!$AQ$102+IS!$AQ$113)</f>
        <v>0.16612845550818317</v>
      </c>
      <c r="AT200" s="1040">
        <v>7.0000000000000007E-2</v>
      </c>
      <c r="AU200" s="1040">
        <v>0.06</v>
      </c>
      <c r="AV200" s="646">
        <f>-10%*-1</f>
        <v>0.1</v>
      </c>
      <c r="AW200" s="1040">
        <v>0.13</v>
      </c>
      <c r="AX200" s="1040">
        <v>0.05</v>
      </c>
      <c r="AY200" s="1040">
        <v>0.03</v>
      </c>
      <c r="AZ200" s="1040">
        <v>0.03</v>
      </c>
      <c r="BA200" s="1040">
        <v>0.06</v>
      </c>
      <c r="BB200" s="1040">
        <v>7.0000000000000007E-2</v>
      </c>
      <c r="BC200" s="1040">
        <v>0.06</v>
      </c>
      <c r="BD200" s="1040">
        <v>0.03</v>
      </c>
      <c r="BE200" s="1040">
        <v>0.04</v>
      </c>
      <c r="BF200" s="1040">
        <v>0.04</v>
      </c>
      <c r="BG200" s="1040">
        <v>0.04</v>
      </c>
      <c r="BH200" s="2051">
        <f t="shared" si="170"/>
        <v>0.03</v>
      </c>
      <c r="BI200" s="2051">
        <f t="shared" si="171"/>
        <v>0.04</v>
      </c>
      <c r="BJ200" s="2051">
        <f t="shared" si="172"/>
        <v>0.04</v>
      </c>
      <c r="BK200" s="2051">
        <f t="shared" si="168"/>
        <v>0.04</v>
      </c>
      <c r="BL200" s="2051">
        <f t="shared" si="169"/>
        <v>0.03</v>
      </c>
    </row>
    <row r="201" spans="1:70" s="1040" customFormat="1" ht="11.25">
      <c r="A201" s="342" t="s">
        <v>1016</v>
      </c>
      <c r="B201" s="949"/>
      <c r="C201" s="949"/>
      <c r="D201" s="949"/>
      <c r="E201" s="949"/>
      <c r="F201" s="949"/>
      <c r="G201" s="949"/>
      <c r="H201" s="949"/>
      <c r="I201" s="949"/>
      <c r="J201" s="949"/>
      <c r="K201" s="949"/>
      <c r="L201" s="949"/>
      <c r="M201" s="949"/>
      <c r="N201" s="949"/>
      <c r="O201" s="949"/>
      <c r="P201" s="949"/>
      <c r="Q201" s="949"/>
      <c r="R201" s="949"/>
      <c r="S201" s="949"/>
      <c r="T201" s="949"/>
      <c r="U201" s="949"/>
      <c r="V201" s="949"/>
      <c r="W201" s="949"/>
      <c r="X201" s="949"/>
      <c r="Y201" s="949"/>
      <c r="Z201" s="949"/>
      <c r="AA201" s="949"/>
      <c r="AB201" s="949"/>
      <c r="AC201" s="1040">
        <v>0</v>
      </c>
      <c r="AD201" s="1041"/>
      <c r="AE201" s="1040">
        <v>0</v>
      </c>
      <c r="AF201" s="1040">
        <v>0.01</v>
      </c>
      <c r="AG201" s="1040">
        <v>0.02</v>
      </c>
      <c r="AH201" s="1040">
        <v>0.02</v>
      </c>
      <c r="AI201" s="1040">
        <v>0.01</v>
      </c>
      <c r="AJ201" s="1040">
        <v>0.01</v>
      </c>
      <c r="AK201" s="1040">
        <v>0</v>
      </c>
      <c r="AL201" s="1040">
        <v>0.01</v>
      </c>
      <c r="AM201" s="1040">
        <v>0.01</v>
      </c>
      <c r="AN201" s="1040">
        <v>0</v>
      </c>
      <c r="AO201" s="1040">
        <v>0</v>
      </c>
      <c r="AP201" s="1040">
        <v>0</v>
      </c>
      <c r="AQ201" s="1040">
        <f>(IS!$AQ$102*AQ175+IS!$AQ$113*AQ188)/(IS!$AQ$102+IS!$AQ$113)</f>
        <v>6.1559620409847339E-3</v>
      </c>
      <c r="AS201" s="1040">
        <f>(IS!$AQ$102*AS175+IS!$AQ$113*AS188)/(IS!$AQ$102+IS!$AQ$113)</f>
        <v>6.1559620409847339E-3</v>
      </c>
      <c r="AV201" s="646"/>
      <c r="BH201" s="2051">
        <f t="shared" si="170"/>
        <v>0</v>
      </c>
      <c r="BI201" s="2051">
        <f t="shared" si="171"/>
        <v>0</v>
      </c>
      <c r="BJ201" s="2051">
        <f t="shared" si="172"/>
        <v>0</v>
      </c>
      <c r="BK201" s="2051">
        <f t="shared" si="168"/>
        <v>0</v>
      </c>
      <c r="BL201" s="2051">
        <f t="shared" si="169"/>
        <v>0</v>
      </c>
    </row>
    <row r="202" spans="1:70" s="1040" customFormat="1" ht="11.25">
      <c r="A202" s="342" t="s">
        <v>1015</v>
      </c>
      <c r="B202" s="949"/>
      <c r="C202" s="949"/>
      <c r="D202" s="949"/>
      <c r="E202" s="949"/>
      <c r="F202" s="949"/>
      <c r="G202" s="949"/>
      <c r="H202" s="949"/>
      <c r="I202" s="949"/>
      <c r="J202" s="949"/>
      <c r="K202" s="949"/>
      <c r="L202" s="949"/>
      <c r="M202" s="949"/>
      <c r="N202" s="949"/>
      <c r="O202" s="949"/>
      <c r="P202" s="949"/>
      <c r="Q202" s="949"/>
      <c r="R202" s="949"/>
      <c r="S202" s="949"/>
      <c r="T202" s="949"/>
      <c r="U202" s="949"/>
      <c r="V202" s="949"/>
      <c r="W202" s="949"/>
      <c r="X202" s="949"/>
      <c r="Y202" s="949"/>
      <c r="Z202" s="949"/>
      <c r="AA202" s="949"/>
      <c r="AB202" s="949"/>
      <c r="AC202" s="1040">
        <v>0.01</v>
      </c>
      <c r="AD202" s="1041"/>
      <c r="AE202" s="1040">
        <v>0.01</v>
      </c>
      <c r="AF202" s="1040">
        <v>0</v>
      </c>
      <c r="AG202" s="1040">
        <v>0.01</v>
      </c>
      <c r="AH202" s="1040">
        <v>0.01</v>
      </c>
      <c r="AI202" s="1040">
        <v>0.01</v>
      </c>
      <c r="AJ202" s="1040">
        <v>0.01</v>
      </c>
      <c r="AK202" s="1040">
        <v>0</v>
      </c>
      <c r="AL202" s="1040">
        <v>0.01</v>
      </c>
      <c r="AM202" s="1040">
        <v>0</v>
      </c>
      <c r="AN202" s="1040">
        <v>0</v>
      </c>
      <c r="AO202" s="1040">
        <v>0</v>
      </c>
      <c r="AP202" s="1040">
        <v>0</v>
      </c>
      <c r="AQ202" s="1040">
        <f>(IS!$AQ$102*AQ176+IS!$AQ$113*AQ189)/(IS!$AQ$102+IS!$AQ$113)</f>
        <v>3.077981020492367E-3</v>
      </c>
      <c r="AR202" s="1040">
        <v>0.02</v>
      </c>
      <c r="AS202" s="1040">
        <f>(IS!$AQ$102*AS176+IS!$AQ$113*AS189)/(IS!$AQ$102+IS!$AQ$113)</f>
        <v>3.077981020492367E-3</v>
      </c>
      <c r="AT202" s="1040">
        <v>0.02</v>
      </c>
      <c r="AU202" s="1040">
        <v>0.02</v>
      </c>
      <c r="AV202" s="646">
        <f>-2%*-1</f>
        <v>0.02</v>
      </c>
      <c r="AW202" s="1040">
        <v>0.01</v>
      </c>
      <c r="AX202" s="1040">
        <v>0.01</v>
      </c>
      <c r="AY202" s="1040">
        <v>0.01</v>
      </c>
      <c r="AZ202" s="1040">
        <v>0.02</v>
      </c>
      <c r="BA202" s="1040">
        <v>0.01</v>
      </c>
      <c r="BB202" s="1040">
        <v>0.01</v>
      </c>
      <c r="BC202" s="1040">
        <v>0.02</v>
      </c>
      <c r="BD202" s="1040">
        <v>0.02</v>
      </c>
      <c r="BE202" s="1040">
        <v>0.01</v>
      </c>
      <c r="BF202" s="1040">
        <v>0.02</v>
      </c>
      <c r="BG202" s="1040">
        <v>0.01</v>
      </c>
      <c r="BH202" s="2051">
        <f t="shared" si="170"/>
        <v>0.02</v>
      </c>
      <c r="BI202" s="2051">
        <f t="shared" si="171"/>
        <v>0.01</v>
      </c>
      <c r="BJ202" s="2051">
        <f t="shared" si="172"/>
        <v>0.02</v>
      </c>
      <c r="BK202" s="2051">
        <f t="shared" si="168"/>
        <v>0.01</v>
      </c>
      <c r="BL202" s="2051">
        <f t="shared" si="169"/>
        <v>0.02</v>
      </c>
    </row>
    <row r="203" spans="1:70" s="1040" customFormat="1" ht="11.25">
      <c r="A203" s="342" t="s">
        <v>1017</v>
      </c>
      <c r="B203" s="949"/>
      <c r="C203" s="949"/>
      <c r="D203" s="949"/>
      <c r="E203" s="949"/>
      <c r="F203" s="949"/>
      <c r="G203" s="949"/>
      <c r="H203" s="949"/>
      <c r="I203" s="949"/>
      <c r="J203" s="949"/>
      <c r="K203" s="949"/>
      <c r="L203" s="949"/>
      <c r="M203" s="949"/>
      <c r="N203" s="949"/>
      <c r="O203" s="949"/>
      <c r="P203" s="949"/>
      <c r="Q203" s="949"/>
      <c r="R203" s="949"/>
      <c r="S203" s="949"/>
      <c r="T203" s="949"/>
      <c r="U203" s="949"/>
      <c r="V203" s="949"/>
      <c r="W203" s="949"/>
      <c r="X203" s="949"/>
      <c r="Y203" s="949"/>
      <c r="Z203" s="949"/>
      <c r="AA203" s="949"/>
      <c r="AB203" s="949"/>
      <c r="AC203" s="1040">
        <v>0.01</v>
      </c>
      <c r="AD203" s="1041"/>
      <c r="AE203" s="1040">
        <v>0.01</v>
      </c>
      <c r="AF203" s="1040">
        <v>0.01</v>
      </c>
      <c r="AG203" s="1040">
        <v>0</v>
      </c>
      <c r="AH203" s="1040">
        <v>0.01</v>
      </c>
      <c r="AI203" s="1040">
        <v>0</v>
      </c>
      <c r="AJ203" s="1040">
        <v>0</v>
      </c>
      <c r="AK203" s="1040">
        <v>0</v>
      </c>
      <c r="AL203" s="1040">
        <v>0.01</v>
      </c>
      <c r="AM203" s="1040">
        <v>0.01</v>
      </c>
      <c r="AN203" s="1040">
        <v>0.01</v>
      </c>
      <c r="AO203" s="1040">
        <v>0</v>
      </c>
      <c r="AP203" s="1040">
        <v>0.01</v>
      </c>
      <c r="AQ203" s="1040">
        <f>(IS!$AQ$102*AQ177+IS!$AQ$113*AQ190)/(IS!$AQ$102+IS!$AQ$113)</f>
        <v>0</v>
      </c>
      <c r="AS203" s="1040">
        <f>(IS!$AQ$102*AS177+IS!$AQ$113*AS190)/(IS!$AQ$102+IS!$AQ$113)</f>
        <v>0</v>
      </c>
      <c r="AV203" s="646"/>
      <c r="BH203" s="2051">
        <f t="shared" si="170"/>
        <v>0</v>
      </c>
      <c r="BI203" s="2051">
        <f t="shared" si="171"/>
        <v>0</v>
      </c>
      <c r="BJ203" s="2051">
        <f t="shared" si="172"/>
        <v>0</v>
      </c>
      <c r="BK203" s="2051">
        <f t="shared" si="168"/>
        <v>0</v>
      </c>
      <c r="BL203" s="2051">
        <f t="shared" si="169"/>
        <v>0</v>
      </c>
    </row>
    <row r="204" spans="1:70" s="1040" customFormat="1" ht="11.25">
      <c r="A204" s="342" t="s">
        <v>1120</v>
      </c>
      <c r="B204" s="949"/>
      <c r="C204" s="949"/>
      <c r="D204" s="949"/>
      <c r="E204" s="949"/>
      <c r="F204" s="949"/>
      <c r="G204" s="949"/>
      <c r="H204" s="949"/>
      <c r="I204" s="949"/>
      <c r="J204" s="949"/>
      <c r="K204" s="949"/>
      <c r="L204" s="949"/>
      <c r="M204" s="949"/>
      <c r="N204" s="949"/>
      <c r="O204" s="949"/>
      <c r="P204" s="949"/>
      <c r="Q204" s="949"/>
      <c r="R204" s="949"/>
      <c r="S204" s="949"/>
      <c r="T204" s="949"/>
      <c r="U204" s="949"/>
      <c r="V204" s="949"/>
      <c r="W204" s="949"/>
      <c r="X204" s="949"/>
      <c r="Y204" s="949"/>
      <c r="Z204" s="949"/>
      <c r="AA204" s="949"/>
      <c r="AB204" s="949"/>
      <c r="AD204" s="1041"/>
      <c r="AQ204" s="1040">
        <f>(IS!$AQ$102*AQ178+IS!$AQ$113*AQ191)/(IS!$AQ$102+IS!$AQ$113)</f>
        <v>8.3064227754091585E-2</v>
      </c>
      <c r="AR204" s="1040">
        <v>0.03</v>
      </c>
      <c r="AS204" s="1040">
        <f>(IS!$AQ$102*AS178+IS!$AQ$113*AS191)/(IS!$AQ$102+IS!$AQ$113)</f>
        <v>4.1532113877045793E-2</v>
      </c>
      <c r="AT204" s="1040">
        <v>0.03</v>
      </c>
      <c r="AU204" s="1040">
        <v>0.02</v>
      </c>
      <c r="AV204" s="646">
        <f>-7%*-1</f>
        <v>7.0000000000000007E-2</v>
      </c>
      <c r="AW204" s="1040">
        <v>0.04</v>
      </c>
      <c r="AX204" s="1040">
        <v>0.02</v>
      </c>
      <c r="AY204" s="1040">
        <v>0.01</v>
      </c>
      <c r="AZ204" s="1040">
        <v>0.01</v>
      </c>
      <c r="BA204" s="1040">
        <v>0.02</v>
      </c>
      <c r="BB204" s="1040">
        <v>0.02</v>
      </c>
      <c r="BC204" s="1040">
        <v>0.02</v>
      </c>
      <c r="BD204" s="1040">
        <v>0.02</v>
      </c>
      <c r="BE204" s="1040">
        <v>0.01</v>
      </c>
      <c r="BF204" s="1040">
        <v>0.02</v>
      </c>
      <c r="BG204" s="1040">
        <v>0.02</v>
      </c>
      <c r="BH204" s="2051">
        <f t="shared" si="170"/>
        <v>0.02</v>
      </c>
      <c r="BI204" s="2051">
        <f t="shared" si="171"/>
        <v>0.01</v>
      </c>
      <c r="BJ204" s="2051">
        <f t="shared" si="172"/>
        <v>0.02</v>
      </c>
      <c r="BK204" s="2051">
        <f t="shared" si="168"/>
        <v>0.02</v>
      </c>
      <c r="BL204" s="2051">
        <f t="shared" si="169"/>
        <v>0.02</v>
      </c>
    </row>
    <row r="205" spans="1:70" s="1040" customFormat="1" ht="11.25">
      <c r="A205" s="342" t="s">
        <v>331</v>
      </c>
      <c r="B205" s="949"/>
      <c r="C205" s="949"/>
      <c r="D205" s="949"/>
      <c r="E205" s="949"/>
      <c r="F205" s="949"/>
      <c r="G205" s="949"/>
      <c r="H205" s="949"/>
      <c r="I205" s="949"/>
      <c r="J205" s="949"/>
      <c r="K205" s="949"/>
      <c r="L205" s="949"/>
      <c r="M205" s="949"/>
      <c r="N205" s="949"/>
      <c r="O205" s="949"/>
      <c r="P205" s="949"/>
      <c r="Q205" s="949"/>
      <c r="R205" s="949"/>
      <c r="S205" s="949"/>
      <c r="T205" s="949"/>
      <c r="U205" s="949"/>
      <c r="V205" s="949"/>
      <c r="W205" s="949"/>
      <c r="X205" s="949"/>
      <c r="Y205" s="949"/>
      <c r="Z205" s="949"/>
      <c r="AA205" s="949"/>
      <c r="AB205" s="949"/>
      <c r="AC205" s="1040">
        <f>0.01+0.002</f>
        <v>1.2E-2</v>
      </c>
      <c r="AD205" s="1041"/>
      <c r="AE205" s="1040">
        <f>-0.01+0.002+0.03</f>
        <v>2.1999999999999999E-2</v>
      </c>
      <c r="AF205" s="1040">
        <f>-0.01+0</f>
        <v>-0.01</v>
      </c>
      <c r="AG205" s="1040">
        <v>-0.01</v>
      </c>
      <c r="AH205" s="1040">
        <v>0</v>
      </c>
      <c r="AI205" s="1040">
        <v>0</v>
      </c>
      <c r="AJ205" s="1040">
        <v>0</v>
      </c>
      <c r="AK205" s="1040">
        <v>0</v>
      </c>
      <c r="AL205" s="1040">
        <v>0</v>
      </c>
      <c r="AM205" s="1040">
        <v>-0.01</v>
      </c>
      <c r="AN205" s="1040">
        <v>0</v>
      </c>
      <c r="AO205" s="1040">
        <v>0.01</v>
      </c>
      <c r="AP205" s="1040">
        <v>0.04</v>
      </c>
      <c r="AQ205" s="1040">
        <f>(IS!$AQ$102*(AQ179)+IS!$AQ$113*AQ192)/(IS!$AQ$102+IS!$AQ$113)</f>
        <v>3.7688075918030535E-2</v>
      </c>
      <c r="AR205" s="1040">
        <v>0.18</v>
      </c>
      <c r="AS205" s="1040">
        <f>(IS!$AQ$102*(AS179)+IS!$AQ$113*AS192)/(IS!$AQ$102+IS!$AQ$113)</f>
        <v>3.3844037959015263E-2</v>
      </c>
      <c r="AT205" s="1040">
        <f>1-SUM(AT196:AT204)</f>
        <v>0.19999999999999996</v>
      </c>
      <c r="AU205" s="1040">
        <f>7%+3%+1%+1%+2%</f>
        <v>0.13999999999999999</v>
      </c>
      <c r="AV205" s="646">
        <f>(4%-4%-6%-7%-9%)*-1</f>
        <v>0.22</v>
      </c>
      <c r="AW205" s="1040">
        <f>-2%+1%+4%+1%</f>
        <v>0.04</v>
      </c>
      <c r="AX205" s="1040">
        <f>-1%+2%+3%+9%+4%+1%</f>
        <v>0.18000000000000002</v>
      </c>
      <c r="AY205" s="1040">
        <v>0.13</v>
      </c>
      <c r="AZ205" s="1040">
        <v>0.12</v>
      </c>
      <c r="BA205" s="1040">
        <v>0.18</v>
      </c>
      <c r="BB205" s="1040">
        <v>0.16000000000000003</v>
      </c>
      <c r="BC205" s="1040">
        <v>0.11</v>
      </c>
      <c r="BD205" s="1040">
        <f>1%+1%+3%+5%+2%</f>
        <v>0.12000000000000001</v>
      </c>
      <c r="BE205" s="1040">
        <f>4%+3%+2%+1%+1%</f>
        <v>0.11</v>
      </c>
      <c r="BF205" s="1040">
        <f>2%+5%+1%+4%+1%</f>
        <v>0.13</v>
      </c>
      <c r="BG205" s="1040">
        <f>0.02+0.02+0.01+0.02+0.04</f>
        <v>0.11000000000000001</v>
      </c>
      <c r="BH205" s="2051">
        <f t="shared" si="170"/>
        <v>0.12000000000000001</v>
      </c>
      <c r="BI205" s="2051">
        <f t="shared" si="171"/>
        <v>0.11</v>
      </c>
      <c r="BJ205" s="2051">
        <f t="shared" si="172"/>
        <v>0.13</v>
      </c>
      <c r="BK205" s="2051">
        <f t="shared" si="168"/>
        <v>0.11000000000000001</v>
      </c>
      <c r="BL205" s="2051">
        <f t="shared" si="169"/>
        <v>0.12000000000000001</v>
      </c>
    </row>
    <row r="206" spans="1:70" s="949" customFormat="1" ht="11.25">
      <c r="A206" s="950" t="s">
        <v>325</v>
      </c>
      <c r="AC206" s="949">
        <f>SUM(AC196:AC205)</f>
        <v>1.002</v>
      </c>
      <c r="AE206" s="949">
        <f t="shared" ref="AE206:AU206" si="173">SUM(AE196:AE205)</f>
        <v>1.002</v>
      </c>
      <c r="AF206" s="949">
        <f t="shared" si="173"/>
        <v>1</v>
      </c>
      <c r="AG206" s="949">
        <f t="shared" si="173"/>
        <v>1.01</v>
      </c>
      <c r="AH206" s="949">
        <f t="shared" si="173"/>
        <v>1</v>
      </c>
      <c r="AI206" s="949">
        <f t="shared" si="173"/>
        <v>1</v>
      </c>
      <c r="AJ206" s="949">
        <f t="shared" si="173"/>
        <v>1</v>
      </c>
      <c r="AK206" s="949">
        <f t="shared" si="173"/>
        <v>1</v>
      </c>
      <c r="AL206" s="949">
        <f t="shared" si="173"/>
        <v>1</v>
      </c>
      <c r="AM206" s="949">
        <f t="shared" si="173"/>
        <v>1</v>
      </c>
      <c r="AN206" s="949">
        <f t="shared" si="173"/>
        <v>1</v>
      </c>
      <c r="AO206" s="949">
        <f t="shared" si="173"/>
        <v>1</v>
      </c>
      <c r="AP206" s="949">
        <f t="shared" si="173"/>
        <v>1</v>
      </c>
      <c r="AQ206" s="949">
        <f t="shared" si="173"/>
        <v>1</v>
      </c>
      <c r="AR206" s="949">
        <f t="shared" si="173"/>
        <v>1</v>
      </c>
      <c r="AS206" s="949">
        <f t="shared" si="173"/>
        <v>1.0000000000000002</v>
      </c>
      <c r="AT206" s="949">
        <f t="shared" si="173"/>
        <v>1</v>
      </c>
      <c r="AU206" s="949">
        <f t="shared" si="173"/>
        <v>1</v>
      </c>
      <c r="AV206" s="1804">
        <f t="shared" ref="AV206:BG206" si="174">SUM(AV196:AV205)</f>
        <v>1</v>
      </c>
      <c r="AW206" s="949">
        <f t="shared" si="174"/>
        <v>1</v>
      </c>
      <c r="AX206" s="949">
        <f t="shared" si="174"/>
        <v>1</v>
      </c>
      <c r="AY206" s="949">
        <f t="shared" si="174"/>
        <v>1</v>
      </c>
      <c r="AZ206" s="949">
        <f t="shared" si="174"/>
        <v>1</v>
      </c>
      <c r="BA206" s="949">
        <f t="shared" si="174"/>
        <v>1</v>
      </c>
      <c r="BB206" s="949">
        <f t="shared" si="174"/>
        <v>1</v>
      </c>
      <c r="BC206" s="949">
        <f t="shared" si="174"/>
        <v>1.0000000000000002</v>
      </c>
      <c r="BD206" s="949">
        <f t="shared" si="174"/>
        <v>1</v>
      </c>
      <c r="BE206" s="949">
        <f t="shared" si="174"/>
        <v>1</v>
      </c>
      <c r="BF206" s="949">
        <f t="shared" si="174"/>
        <v>1</v>
      </c>
      <c r="BG206" s="949">
        <f t="shared" si="174"/>
        <v>1</v>
      </c>
      <c r="BH206" s="1951">
        <f>SUM(BH196:BH205)</f>
        <v>1</v>
      </c>
      <c r="BI206" s="1951">
        <f t="shared" ref="BI206:BK206" si="175">SUM(BI196:BI205)</f>
        <v>1</v>
      </c>
      <c r="BJ206" s="1951">
        <f t="shared" si="175"/>
        <v>1</v>
      </c>
      <c r="BK206" s="1951">
        <f t="shared" si="175"/>
        <v>1</v>
      </c>
      <c r="BL206" s="1951">
        <f t="shared" ref="BL206" si="176">SUM(BL196:BL205)</f>
        <v>1</v>
      </c>
    </row>
    <row r="207" spans="1:70" s="9" customFormat="1" ht="11.25">
      <c r="A207" s="13"/>
      <c r="B207" s="13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R207" s="949"/>
    </row>
    <row r="208" spans="1:70" s="9" customFormat="1" ht="11.25">
      <c r="A208" s="1042" t="s">
        <v>325</v>
      </c>
      <c r="B208" s="1043"/>
      <c r="C208" s="1044"/>
      <c r="D208" s="1043"/>
      <c r="E208" s="1043"/>
      <c r="F208" s="1043"/>
      <c r="G208" s="1043"/>
      <c r="H208" s="1043"/>
      <c r="I208" s="1043"/>
      <c r="J208" s="1043"/>
      <c r="K208" s="1043"/>
      <c r="L208" s="1043"/>
      <c r="M208" s="1043"/>
      <c r="N208" s="1043"/>
      <c r="O208" s="1043"/>
      <c r="P208" s="1043"/>
      <c r="Q208" s="1043"/>
      <c r="R208" s="1043"/>
      <c r="S208" s="1043"/>
      <c r="T208" s="1043"/>
      <c r="U208" s="1043"/>
      <c r="V208" s="1044"/>
      <c r="W208" s="1043"/>
      <c r="X208" s="1043"/>
      <c r="Y208" s="1044"/>
      <c r="Z208" s="1043"/>
      <c r="AA208" s="1043"/>
      <c r="AB208" s="1043"/>
      <c r="AC208" s="1044"/>
      <c r="AD208" s="1044"/>
      <c r="AE208" s="1044"/>
      <c r="AF208" s="1044"/>
      <c r="AG208" s="1043"/>
      <c r="AH208" s="1044"/>
      <c r="AI208" s="1044"/>
      <c r="AJ208" s="1044"/>
      <c r="AK208" s="1044"/>
      <c r="AL208" s="1044"/>
      <c r="AM208" s="1044"/>
      <c r="AN208" s="1043"/>
      <c r="AO208" s="1044"/>
      <c r="AP208" s="1044"/>
      <c r="AQ208" s="1043"/>
      <c r="AR208" s="1043"/>
      <c r="AS208" s="1043"/>
      <c r="AT208" s="1043"/>
      <c r="AU208" s="1043"/>
      <c r="AV208" s="1043"/>
      <c r="AW208" s="1043"/>
      <c r="AX208" s="1043"/>
      <c r="AY208" s="1043"/>
      <c r="AZ208" s="1043"/>
      <c r="BA208" s="1043"/>
      <c r="BB208" s="1043"/>
      <c r="BC208" s="1043"/>
      <c r="BD208" s="1043"/>
      <c r="BE208" s="1043"/>
      <c r="BF208" s="1043"/>
      <c r="BG208" s="1043"/>
      <c r="BH208" s="1043"/>
      <c r="BI208" s="1043"/>
      <c r="BJ208" s="1043"/>
      <c r="BK208" s="1043"/>
      <c r="BL208" s="1043"/>
      <c r="BM208" s="1043"/>
      <c r="BN208" s="1043"/>
      <c r="BO208" s="1043"/>
      <c r="BP208" s="1043"/>
      <c r="BQ208" s="1043"/>
      <c r="BR208" s="1043"/>
    </row>
    <row r="209" spans="1:72" s="9" customFormat="1" ht="11.25">
      <c r="A209" s="513" t="s">
        <v>1060</v>
      </c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</row>
    <row r="210" spans="1:72" s="9" customFormat="1" ht="11.25">
      <c r="A210" s="342" t="s">
        <v>1007</v>
      </c>
      <c r="C210" s="335"/>
      <c r="D210" s="335"/>
      <c r="E210" s="335"/>
      <c r="F210" s="335"/>
      <c r="G210" s="335"/>
      <c r="H210" s="335"/>
      <c r="I210" s="335"/>
      <c r="J210" s="335"/>
      <c r="K210" s="335"/>
      <c r="L210" s="335"/>
      <c r="M210" s="335"/>
      <c r="N210" s="335"/>
      <c r="O210" s="335"/>
      <c r="P210" s="335"/>
      <c r="Q210" s="335"/>
      <c r="R210" s="335"/>
      <c r="S210" s="335"/>
      <c r="T210" s="335"/>
      <c r="U210" s="335"/>
      <c r="V210" s="335"/>
      <c r="W210" s="335"/>
      <c r="X210" s="335"/>
      <c r="Y210" s="335"/>
      <c r="Z210" s="335"/>
      <c r="AA210" s="335"/>
      <c r="AB210" s="335"/>
      <c r="AC210" s="335">
        <f t="shared" ref="AC210:AQ210" si="177">+AC244-AC227</f>
        <v>564</v>
      </c>
      <c r="AD210" s="335">
        <f t="shared" si="177"/>
        <v>579</v>
      </c>
      <c r="AE210" s="335">
        <f t="shared" si="177"/>
        <v>583</v>
      </c>
      <c r="AF210" s="335">
        <f t="shared" si="177"/>
        <v>594</v>
      </c>
      <c r="AG210" s="335">
        <f t="shared" si="177"/>
        <v>618</v>
      </c>
      <c r="AH210" s="335">
        <f t="shared" si="177"/>
        <v>639</v>
      </c>
      <c r="AI210" s="92">
        <f t="shared" si="177"/>
        <v>660</v>
      </c>
      <c r="AJ210" s="92">
        <f t="shared" si="177"/>
        <v>668</v>
      </c>
      <c r="AK210" s="92">
        <f t="shared" si="177"/>
        <v>681</v>
      </c>
      <c r="AL210" s="92">
        <f t="shared" si="177"/>
        <v>705</v>
      </c>
      <c r="AM210" s="92">
        <f t="shared" si="177"/>
        <v>717</v>
      </c>
      <c r="AN210" s="92">
        <f t="shared" si="177"/>
        <v>731</v>
      </c>
      <c r="AO210" s="92">
        <f t="shared" si="177"/>
        <v>749</v>
      </c>
      <c r="AP210" s="92">
        <f t="shared" si="177"/>
        <v>799</v>
      </c>
      <c r="AQ210" s="92">
        <f t="shared" si="177"/>
        <v>808</v>
      </c>
      <c r="AR210" s="92">
        <f t="shared" ref="AR210:AT222" si="178">+AR244-AR227</f>
        <v>814</v>
      </c>
      <c r="AS210" s="92">
        <f t="shared" si="178"/>
        <v>818</v>
      </c>
      <c r="AT210" s="92">
        <f t="shared" si="178"/>
        <v>815</v>
      </c>
      <c r="AU210" s="92">
        <f>+AU244-AU227</f>
        <v>810</v>
      </c>
      <c r="AV210" s="92">
        <f t="shared" ref="AV210:BA210" si="179">+AV244-AV227</f>
        <v>807</v>
      </c>
      <c r="AW210" s="92">
        <f t="shared" si="179"/>
        <v>807</v>
      </c>
      <c r="AX210" s="92">
        <f t="shared" si="179"/>
        <v>811</v>
      </c>
      <c r="AY210" s="92">
        <f t="shared" si="179"/>
        <v>815</v>
      </c>
      <c r="AZ210" s="92">
        <f t="shared" si="179"/>
        <v>818</v>
      </c>
      <c r="BA210" s="92">
        <f t="shared" si="179"/>
        <v>820</v>
      </c>
      <c r="BB210" s="92">
        <f t="shared" ref="BB210:BD222" si="180">+BB244-BB227</f>
        <v>838</v>
      </c>
      <c r="BC210" s="92">
        <f t="shared" si="180"/>
        <v>835</v>
      </c>
      <c r="BD210" s="92">
        <f t="shared" si="180"/>
        <v>842</v>
      </c>
      <c r="BE210" s="92">
        <f t="shared" ref="BE210:BF222" si="181">+BE244-BE227</f>
        <v>852</v>
      </c>
      <c r="BF210" s="92">
        <f t="shared" si="181"/>
        <v>873</v>
      </c>
      <c r="BG210" s="92">
        <f t="shared" ref="BG210:BH210" si="182">+BG244-BG227</f>
        <v>879</v>
      </c>
      <c r="BH210" s="92">
        <f t="shared" si="182"/>
        <v>884</v>
      </c>
      <c r="BI210" s="92">
        <f t="shared" ref="BI210:BK214" si="183">+BI244-BI227</f>
        <v>888</v>
      </c>
      <c r="BJ210" s="92">
        <f t="shared" si="183"/>
        <v>912</v>
      </c>
      <c r="BK210" s="92">
        <f t="shared" si="183"/>
        <v>919</v>
      </c>
      <c r="BL210" s="92">
        <f t="shared" ref="BL210" si="184">+BL244-BL227</f>
        <v>927</v>
      </c>
      <c r="BS210" s="92"/>
      <c r="BT210" s="92"/>
    </row>
    <row r="211" spans="1:72" s="9" customFormat="1" ht="11.25">
      <c r="A211" s="342" t="s">
        <v>1008</v>
      </c>
      <c r="C211" s="335"/>
      <c r="D211" s="335"/>
      <c r="E211" s="335"/>
      <c r="F211" s="335"/>
      <c r="G211" s="335"/>
      <c r="H211" s="335"/>
      <c r="I211" s="335"/>
      <c r="J211" s="335"/>
      <c r="K211" s="335"/>
      <c r="L211" s="335"/>
      <c r="M211" s="335"/>
      <c r="N211" s="335"/>
      <c r="O211" s="335"/>
      <c r="P211" s="335"/>
      <c r="Q211" s="335"/>
      <c r="R211" s="335"/>
      <c r="S211" s="335"/>
      <c r="T211" s="335"/>
      <c r="U211" s="335"/>
      <c r="V211" s="335"/>
      <c r="W211" s="335"/>
      <c r="X211" s="335"/>
      <c r="Y211" s="335"/>
      <c r="Z211" s="335"/>
      <c r="AA211" s="335"/>
      <c r="AB211" s="335"/>
      <c r="AC211" s="335">
        <f t="shared" ref="AC211:AQ211" si="185">+AC245-AC228</f>
        <v>407</v>
      </c>
      <c r="AD211" s="335">
        <f t="shared" si="185"/>
        <v>410</v>
      </c>
      <c r="AE211" s="335">
        <f t="shared" si="185"/>
        <v>406</v>
      </c>
      <c r="AF211" s="335">
        <f t="shared" si="185"/>
        <v>405</v>
      </c>
      <c r="AG211" s="335">
        <f t="shared" si="185"/>
        <v>407</v>
      </c>
      <c r="AH211" s="335">
        <f t="shared" si="185"/>
        <v>416</v>
      </c>
      <c r="AI211" s="92">
        <f t="shared" si="185"/>
        <v>415</v>
      </c>
      <c r="AJ211" s="92">
        <f t="shared" si="185"/>
        <v>422</v>
      </c>
      <c r="AK211" s="92">
        <f t="shared" si="185"/>
        <v>423</v>
      </c>
      <c r="AL211" s="92">
        <f t="shared" si="185"/>
        <v>430</v>
      </c>
      <c r="AM211" s="92">
        <f t="shared" si="185"/>
        <v>410</v>
      </c>
      <c r="AN211" s="92">
        <f t="shared" si="185"/>
        <v>411</v>
      </c>
      <c r="AO211" s="92">
        <f t="shared" si="185"/>
        <v>417</v>
      </c>
      <c r="AP211" s="92">
        <f t="shared" si="185"/>
        <v>423</v>
      </c>
      <c r="AQ211" s="92">
        <f t="shared" si="185"/>
        <v>421</v>
      </c>
      <c r="AR211" s="92">
        <f t="shared" si="178"/>
        <v>427</v>
      </c>
      <c r="AS211" s="92">
        <f t="shared" si="178"/>
        <v>415</v>
      </c>
      <c r="AT211" s="92">
        <f t="shared" ref="AT211:AT222" si="186">+AT245-AT228</f>
        <v>419</v>
      </c>
      <c r="AU211" s="92">
        <f>+AU245-AU228</f>
        <v>420</v>
      </c>
      <c r="AV211" s="92">
        <f t="shared" ref="AV211:BA214" si="187">+AV245-AV228</f>
        <v>411</v>
      </c>
      <c r="AW211" s="92">
        <f t="shared" si="187"/>
        <v>408</v>
      </c>
      <c r="AX211" s="92">
        <f t="shared" si="187"/>
        <v>402</v>
      </c>
      <c r="AY211" s="92">
        <f t="shared" si="187"/>
        <v>403</v>
      </c>
      <c r="AZ211" s="92">
        <f t="shared" si="187"/>
        <v>402</v>
      </c>
      <c r="BA211" s="92">
        <f t="shared" si="187"/>
        <v>401</v>
      </c>
      <c r="BB211" s="92">
        <f t="shared" si="180"/>
        <v>400</v>
      </c>
      <c r="BC211" s="92">
        <f t="shared" si="180"/>
        <v>403</v>
      </c>
      <c r="BD211" s="92">
        <f t="shared" si="180"/>
        <v>405</v>
      </c>
      <c r="BE211" s="92">
        <f t="shared" si="181"/>
        <v>405</v>
      </c>
      <c r="BF211" s="92">
        <f t="shared" si="181"/>
        <v>410</v>
      </c>
      <c r="BG211" s="92">
        <f t="shared" ref="BG211:BH211" si="188">+BG245-BG228</f>
        <v>411</v>
      </c>
      <c r="BH211" s="92">
        <f t="shared" si="188"/>
        <v>415</v>
      </c>
      <c r="BI211" s="92">
        <f t="shared" ref="BI211:BJ211" si="189">+BI245-BI228</f>
        <v>415</v>
      </c>
      <c r="BJ211" s="92">
        <f t="shared" si="189"/>
        <v>425</v>
      </c>
      <c r="BK211" s="92">
        <f t="shared" si="183"/>
        <v>425</v>
      </c>
      <c r="BL211" s="92">
        <f t="shared" ref="BL211" si="190">+BL245-BL228</f>
        <v>426</v>
      </c>
      <c r="BS211" s="92"/>
      <c r="BT211" s="92"/>
    </row>
    <row r="212" spans="1:72" s="9" customFormat="1" ht="11.25">
      <c r="A212" s="342" t="s">
        <v>1018</v>
      </c>
      <c r="C212" s="335"/>
      <c r="D212" s="335"/>
      <c r="E212" s="335"/>
      <c r="F212" s="335"/>
      <c r="G212" s="335"/>
      <c r="H212" s="335"/>
      <c r="I212" s="335"/>
      <c r="J212" s="335"/>
      <c r="K212" s="335"/>
      <c r="L212" s="335"/>
      <c r="M212" s="335"/>
      <c r="N212" s="335"/>
      <c r="O212" s="335"/>
      <c r="P212" s="335"/>
      <c r="Q212" s="335"/>
      <c r="R212" s="335"/>
      <c r="S212" s="335"/>
      <c r="T212" s="335"/>
      <c r="U212" s="335"/>
      <c r="V212" s="335"/>
      <c r="W212" s="335"/>
      <c r="X212" s="335"/>
      <c r="Y212" s="335"/>
      <c r="Z212" s="335"/>
      <c r="AA212" s="335"/>
      <c r="AB212" s="335"/>
      <c r="AC212" s="335">
        <f t="shared" ref="AC212:AQ212" si="191">+AC246-AC229</f>
        <v>686</v>
      </c>
      <c r="AD212" s="335">
        <f t="shared" si="191"/>
        <v>705</v>
      </c>
      <c r="AE212" s="335">
        <f t="shared" si="191"/>
        <v>716</v>
      </c>
      <c r="AF212" s="335">
        <f t="shared" si="191"/>
        <v>736</v>
      </c>
      <c r="AG212" s="335">
        <f t="shared" si="191"/>
        <v>774</v>
      </c>
      <c r="AH212" s="335">
        <f t="shared" si="191"/>
        <v>803</v>
      </c>
      <c r="AI212" s="92">
        <f t="shared" si="191"/>
        <v>825</v>
      </c>
      <c r="AJ212" s="92">
        <f t="shared" si="191"/>
        <v>847</v>
      </c>
      <c r="AK212" s="92">
        <f t="shared" si="191"/>
        <v>880</v>
      </c>
      <c r="AL212" s="92">
        <f t="shared" si="191"/>
        <v>901</v>
      </c>
      <c r="AM212" s="92">
        <f t="shared" si="191"/>
        <v>930</v>
      </c>
      <c r="AN212" s="92">
        <f t="shared" si="191"/>
        <v>962</v>
      </c>
      <c r="AO212" s="92">
        <f t="shared" si="191"/>
        <v>1003</v>
      </c>
      <c r="AP212" s="92">
        <f t="shared" si="191"/>
        <v>1024</v>
      </c>
      <c r="AQ212" s="92">
        <f t="shared" si="191"/>
        <v>1259</v>
      </c>
      <c r="AR212" s="92">
        <f t="shared" si="178"/>
        <v>1275</v>
      </c>
      <c r="AS212" s="92">
        <f t="shared" si="178"/>
        <v>1290</v>
      </c>
      <c r="AT212" s="92">
        <f t="shared" si="186"/>
        <v>1291</v>
      </c>
      <c r="AU212" s="92">
        <f>+AU246-AU229</f>
        <v>1295</v>
      </c>
      <c r="AV212" s="92">
        <f t="shared" si="187"/>
        <v>1285</v>
      </c>
      <c r="AW212" s="92">
        <f t="shared" si="187"/>
        <v>1284</v>
      </c>
      <c r="AX212" s="92">
        <f t="shared" si="187"/>
        <v>1270</v>
      </c>
      <c r="AY212" s="92">
        <f t="shared" si="187"/>
        <v>1270</v>
      </c>
      <c r="AZ212" s="92">
        <f t="shared" si="187"/>
        <v>1275</v>
      </c>
      <c r="BA212" s="92">
        <f t="shared" si="187"/>
        <v>1276</v>
      </c>
      <c r="BB212" s="92">
        <f t="shared" si="180"/>
        <v>1286</v>
      </c>
      <c r="BC212" s="92">
        <f t="shared" si="180"/>
        <v>1304</v>
      </c>
      <c r="BD212" s="92">
        <f t="shared" si="180"/>
        <v>1322</v>
      </c>
      <c r="BE212" s="92">
        <f t="shared" si="181"/>
        <v>1342</v>
      </c>
      <c r="BF212" s="92">
        <f t="shared" si="181"/>
        <v>1387</v>
      </c>
      <c r="BG212" s="92">
        <f t="shared" ref="BG212:BH212" si="192">+BG246-BG229</f>
        <v>1394</v>
      </c>
      <c r="BH212" s="92">
        <f t="shared" si="192"/>
        <v>1415</v>
      </c>
      <c r="BI212" s="92">
        <f t="shared" ref="BI212:BJ212" si="193">+BI246-BI229</f>
        <v>1438</v>
      </c>
      <c r="BJ212" s="92">
        <f t="shared" si="193"/>
        <v>1492</v>
      </c>
      <c r="BK212" s="92">
        <f t="shared" si="183"/>
        <v>1507</v>
      </c>
      <c r="BL212" s="92">
        <f t="shared" ref="BL212" si="194">+BL246-BL229</f>
        <v>1537</v>
      </c>
      <c r="BS212" s="92"/>
      <c r="BT212" s="92"/>
    </row>
    <row r="213" spans="1:72" s="9" customFormat="1" ht="11.25">
      <c r="A213" s="342" t="s">
        <v>1009</v>
      </c>
      <c r="C213" s="335"/>
      <c r="D213" s="335"/>
      <c r="E213" s="335"/>
      <c r="F213" s="335"/>
      <c r="G213" s="335"/>
      <c r="H213" s="335"/>
      <c r="I213" s="335"/>
      <c r="J213" s="335"/>
      <c r="K213" s="335"/>
      <c r="L213" s="335"/>
      <c r="M213" s="335"/>
      <c r="N213" s="335"/>
      <c r="O213" s="335"/>
      <c r="P213" s="335"/>
      <c r="Q213" s="335"/>
      <c r="R213" s="335"/>
      <c r="S213" s="335"/>
      <c r="T213" s="335"/>
      <c r="U213" s="335"/>
      <c r="V213" s="335"/>
      <c r="W213" s="335"/>
      <c r="X213" s="335"/>
      <c r="Y213" s="335"/>
      <c r="Z213" s="335"/>
      <c r="AA213" s="335"/>
      <c r="AB213" s="335"/>
      <c r="AC213" s="335">
        <f t="shared" ref="AC213:AQ213" si="195">+AC247-AC230</f>
        <v>51</v>
      </c>
      <c r="AD213" s="335">
        <f t="shared" si="195"/>
        <v>53</v>
      </c>
      <c r="AE213" s="335">
        <f t="shared" si="195"/>
        <v>53</v>
      </c>
      <c r="AF213" s="335">
        <f t="shared" si="195"/>
        <v>55</v>
      </c>
      <c r="AG213" s="335">
        <f t="shared" si="195"/>
        <v>54</v>
      </c>
      <c r="AH213" s="335">
        <f t="shared" si="195"/>
        <v>57</v>
      </c>
      <c r="AI213" s="92">
        <f t="shared" si="195"/>
        <v>58</v>
      </c>
      <c r="AJ213" s="92">
        <f t="shared" si="195"/>
        <v>58</v>
      </c>
      <c r="AK213" s="92">
        <f t="shared" si="195"/>
        <v>62</v>
      </c>
      <c r="AL213" s="92">
        <f t="shared" si="195"/>
        <v>64</v>
      </c>
      <c r="AM213" s="92">
        <f t="shared" si="195"/>
        <v>67</v>
      </c>
      <c r="AN213" s="92">
        <f t="shared" si="195"/>
        <v>71</v>
      </c>
      <c r="AO213" s="92">
        <f t="shared" si="195"/>
        <v>71</v>
      </c>
      <c r="AP213" s="92">
        <f t="shared" si="195"/>
        <v>72</v>
      </c>
      <c r="AQ213" s="92">
        <f t="shared" si="195"/>
        <v>73</v>
      </c>
      <c r="AR213" s="92">
        <f t="shared" si="178"/>
        <v>73</v>
      </c>
      <c r="AS213" s="92">
        <f t="shared" si="178"/>
        <v>78</v>
      </c>
      <c r="AT213" s="92">
        <f t="shared" si="186"/>
        <v>75</v>
      </c>
      <c r="AU213" s="92">
        <f>+AU247-AU230</f>
        <v>75</v>
      </c>
      <c r="AV213" s="92">
        <f t="shared" si="187"/>
        <v>73</v>
      </c>
      <c r="AW213" s="92">
        <f t="shared" si="187"/>
        <v>71</v>
      </c>
      <c r="AX213" s="92">
        <f t="shared" si="187"/>
        <v>71</v>
      </c>
      <c r="AY213" s="92">
        <f t="shared" si="187"/>
        <v>71</v>
      </c>
      <c r="AZ213" s="92">
        <f t="shared" si="187"/>
        <v>71</v>
      </c>
      <c r="BA213" s="92">
        <f t="shared" si="187"/>
        <v>71</v>
      </c>
      <c r="BB213" s="92">
        <f t="shared" si="180"/>
        <v>71</v>
      </c>
      <c r="BC213" s="92">
        <f t="shared" si="180"/>
        <v>71</v>
      </c>
      <c r="BD213" s="92">
        <f t="shared" si="180"/>
        <v>72</v>
      </c>
      <c r="BE213" s="92">
        <f t="shared" si="181"/>
        <v>72</v>
      </c>
      <c r="BF213" s="92">
        <f t="shared" si="181"/>
        <v>73</v>
      </c>
      <c r="BG213" s="92">
        <f t="shared" ref="BG213:BH213" si="196">+BG247-BG230</f>
        <v>70</v>
      </c>
      <c r="BH213" s="92">
        <f t="shared" si="196"/>
        <v>70</v>
      </c>
      <c r="BI213" s="92">
        <f t="shared" ref="BI213:BJ213" si="197">+BI247-BI230</f>
        <v>70</v>
      </c>
      <c r="BJ213" s="92">
        <f t="shared" si="197"/>
        <v>72</v>
      </c>
      <c r="BK213" s="92">
        <f t="shared" si="183"/>
        <v>72</v>
      </c>
      <c r="BL213" s="92">
        <f t="shared" ref="BL213" si="198">+BL247-BL230</f>
        <v>72</v>
      </c>
      <c r="BS213" s="92"/>
      <c r="BT213" s="92"/>
    </row>
    <row r="214" spans="1:72" s="9" customFormat="1" ht="11.25">
      <c r="A214" s="342" t="s">
        <v>1010</v>
      </c>
      <c r="C214" s="335"/>
      <c r="D214" s="335"/>
      <c r="E214" s="335"/>
      <c r="F214" s="335"/>
      <c r="G214" s="335"/>
      <c r="H214" s="335"/>
      <c r="I214" s="335"/>
      <c r="J214" s="335"/>
      <c r="K214" s="335"/>
      <c r="L214" s="335"/>
      <c r="M214" s="335"/>
      <c r="N214" s="335"/>
      <c r="O214" s="335"/>
      <c r="P214" s="335"/>
      <c r="Q214" s="335"/>
      <c r="R214" s="335"/>
      <c r="S214" s="335"/>
      <c r="T214" s="335"/>
      <c r="U214" s="335"/>
      <c r="V214" s="335"/>
      <c r="W214" s="335"/>
      <c r="X214" s="335"/>
      <c r="Y214" s="335"/>
      <c r="Z214" s="335"/>
      <c r="AA214" s="335"/>
      <c r="AB214" s="335"/>
      <c r="AC214" s="335">
        <f t="shared" ref="AC214:AQ214" si="199">+AC248-AC231</f>
        <v>61</v>
      </c>
      <c r="AD214" s="335">
        <f t="shared" si="199"/>
        <v>62</v>
      </c>
      <c r="AE214" s="335">
        <f t="shared" si="199"/>
        <v>62</v>
      </c>
      <c r="AF214" s="335">
        <f t="shared" si="199"/>
        <v>62</v>
      </c>
      <c r="AG214" s="335">
        <f t="shared" si="199"/>
        <v>63</v>
      </c>
      <c r="AH214" s="335">
        <f t="shared" si="199"/>
        <v>68</v>
      </c>
      <c r="AI214" s="92">
        <f t="shared" si="199"/>
        <v>74</v>
      </c>
      <c r="AJ214" s="92">
        <f t="shared" si="199"/>
        <v>77</v>
      </c>
      <c r="AK214" s="92">
        <f t="shared" si="199"/>
        <v>78</v>
      </c>
      <c r="AL214" s="92">
        <f t="shared" si="199"/>
        <v>81</v>
      </c>
      <c r="AM214" s="92">
        <f t="shared" si="199"/>
        <v>81</v>
      </c>
      <c r="AN214" s="92">
        <f t="shared" si="199"/>
        <v>82</v>
      </c>
      <c r="AO214" s="92">
        <f t="shared" si="199"/>
        <v>81</v>
      </c>
      <c r="AP214" s="92">
        <f t="shared" si="199"/>
        <v>81</v>
      </c>
      <c r="AQ214" s="92">
        <f t="shared" si="199"/>
        <v>81</v>
      </c>
      <c r="AR214" s="92">
        <f t="shared" si="178"/>
        <v>81</v>
      </c>
      <c r="AS214" s="92">
        <f t="shared" si="178"/>
        <v>79</v>
      </c>
      <c r="AT214" s="92">
        <f t="shared" si="186"/>
        <v>78</v>
      </c>
      <c r="AU214" s="92">
        <f>+AU248-AU231</f>
        <v>74</v>
      </c>
      <c r="AV214" s="92">
        <f t="shared" si="187"/>
        <v>71</v>
      </c>
      <c r="AW214" s="92">
        <f t="shared" si="187"/>
        <v>64</v>
      </c>
      <c r="AX214" s="92">
        <f t="shared" si="187"/>
        <v>62</v>
      </c>
      <c r="AY214" s="92">
        <f t="shared" si="187"/>
        <v>60</v>
      </c>
      <c r="AZ214" s="92">
        <f t="shared" si="187"/>
        <v>60</v>
      </c>
      <c r="BA214" s="92">
        <f t="shared" si="187"/>
        <v>60</v>
      </c>
      <c r="BB214" s="92">
        <f t="shared" si="180"/>
        <v>60</v>
      </c>
      <c r="BC214" s="92">
        <f t="shared" si="180"/>
        <v>58</v>
      </c>
      <c r="BD214" s="92">
        <f t="shared" si="180"/>
        <v>58</v>
      </c>
      <c r="BE214" s="92">
        <f t="shared" si="181"/>
        <v>58</v>
      </c>
      <c r="BF214" s="92">
        <f t="shared" si="181"/>
        <v>58</v>
      </c>
      <c r="BG214" s="92">
        <f t="shared" ref="BG214:BH214" si="200">+BG248-BG231</f>
        <v>58</v>
      </c>
      <c r="BH214" s="92">
        <f t="shared" si="200"/>
        <v>59</v>
      </c>
      <c r="BI214" s="92">
        <f t="shared" ref="BI214:BJ214" si="201">+BI248-BI231</f>
        <v>59</v>
      </c>
      <c r="BJ214" s="92">
        <f t="shared" si="201"/>
        <v>60</v>
      </c>
      <c r="BK214" s="92">
        <f t="shared" si="183"/>
        <v>60</v>
      </c>
      <c r="BL214" s="92">
        <f t="shared" ref="BL214:BL215" si="202">+BL248-BL231</f>
        <v>60</v>
      </c>
      <c r="BS214" s="92"/>
      <c r="BT214" s="92"/>
    </row>
    <row r="215" spans="1:72" s="9" customFormat="1" ht="11.25">
      <c r="A215" s="342" t="s">
        <v>1011</v>
      </c>
      <c r="C215" s="335"/>
      <c r="D215" s="335"/>
      <c r="E215" s="335"/>
      <c r="F215" s="335"/>
      <c r="G215" s="335"/>
      <c r="H215" s="335"/>
      <c r="I215" s="335"/>
      <c r="J215" s="335"/>
      <c r="K215" s="335"/>
      <c r="L215" s="335"/>
      <c r="M215" s="335"/>
      <c r="N215" s="335"/>
      <c r="O215" s="335"/>
      <c r="P215" s="335"/>
      <c r="Q215" s="335"/>
      <c r="R215" s="335"/>
      <c r="S215" s="335"/>
      <c r="T215" s="335"/>
      <c r="U215" s="335"/>
      <c r="V215" s="335"/>
      <c r="W215" s="335"/>
      <c r="X215" s="335"/>
      <c r="Y215" s="335"/>
      <c r="Z215" s="335"/>
      <c r="AA215" s="335"/>
      <c r="AB215" s="335"/>
      <c r="AC215" s="335">
        <f t="shared" ref="AC215:AQ215" si="203">+AC249-AC232</f>
        <v>250</v>
      </c>
      <c r="AD215" s="335">
        <f t="shared" si="203"/>
        <v>247</v>
      </c>
      <c r="AE215" s="335">
        <f t="shared" si="203"/>
        <v>245</v>
      </c>
      <c r="AF215" s="335">
        <f t="shared" si="203"/>
        <v>246</v>
      </c>
      <c r="AG215" s="335">
        <f t="shared" si="203"/>
        <v>248</v>
      </c>
      <c r="AH215" s="335">
        <f t="shared" si="203"/>
        <v>256</v>
      </c>
      <c r="AI215" s="92">
        <f t="shared" si="203"/>
        <v>257</v>
      </c>
      <c r="AJ215" s="92">
        <f t="shared" si="203"/>
        <v>258</v>
      </c>
      <c r="AK215" s="92">
        <f t="shared" si="203"/>
        <v>262</v>
      </c>
      <c r="AL215" s="92">
        <f t="shared" si="203"/>
        <v>270</v>
      </c>
      <c r="AM215" s="92">
        <f t="shared" si="203"/>
        <v>268</v>
      </c>
      <c r="AN215" s="92">
        <f t="shared" si="203"/>
        <v>271</v>
      </c>
      <c r="AO215" s="92">
        <f t="shared" si="203"/>
        <v>272</v>
      </c>
      <c r="AP215" s="92">
        <f t="shared" si="203"/>
        <v>281</v>
      </c>
      <c r="AQ215" s="92">
        <f t="shared" si="203"/>
        <v>370</v>
      </c>
      <c r="AR215" s="92">
        <f t="shared" si="178"/>
        <v>372</v>
      </c>
      <c r="AS215" s="92">
        <f t="shared" si="178"/>
        <v>372</v>
      </c>
      <c r="AT215" s="92">
        <f t="shared" si="186"/>
        <v>377</v>
      </c>
      <c r="AU215" s="92">
        <f t="shared" ref="AU215:AV222" si="204">+AU249-AU232</f>
        <v>373</v>
      </c>
      <c r="AV215" s="92">
        <f t="shared" si="204"/>
        <v>360</v>
      </c>
      <c r="AW215" s="92">
        <f t="shared" ref="AW215:BA222" si="205">+AW249-AW232</f>
        <v>366</v>
      </c>
      <c r="AX215" s="92">
        <f t="shared" si="205"/>
        <v>361</v>
      </c>
      <c r="AY215" s="92">
        <f t="shared" si="205"/>
        <v>350</v>
      </c>
      <c r="AZ215" s="92">
        <f t="shared" si="205"/>
        <v>344</v>
      </c>
      <c r="BA215" s="92">
        <f t="shared" si="205"/>
        <v>331</v>
      </c>
      <c r="BB215" s="92">
        <f t="shared" si="180"/>
        <v>332</v>
      </c>
      <c r="BC215" s="92">
        <f t="shared" si="180"/>
        <v>335</v>
      </c>
      <c r="BD215" s="92">
        <f t="shared" si="180"/>
        <v>336</v>
      </c>
      <c r="BE215" s="92">
        <f t="shared" si="181"/>
        <v>330</v>
      </c>
      <c r="BF215" s="92">
        <f t="shared" si="181"/>
        <v>328</v>
      </c>
      <c r="BG215" s="92">
        <f t="shared" ref="BG215:BH215" si="206">+BG249-BG232</f>
        <v>338</v>
      </c>
      <c r="BH215" s="92">
        <f t="shared" si="206"/>
        <v>339</v>
      </c>
      <c r="BI215" s="92">
        <f t="shared" ref="BI215" si="207">+BI249-BI232</f>
        <v>336</v>
      </c>
      <c r="BJ215" s="92">
        <f>+BJ249-BJ232</f>
        <v>319</v>
      </c>
      <c r="BK215" s="92">
        <f>+BK249-BK232</f>
        <v>318</v>
      </c>
      <c r="BL215" s="92">
        <f t="shared" si="202"/>
        <v>319</v>
      </c>
      <c r="BS215" s="92"/>
      <c r="BT215" s="92"/>
    </row>
    <row r="216" spans="1:72" s="9" customFormat="1" ht="11.25">
      <c r="A216" s="342" t="s">
        <v>1012</v>
      </c>
      <c r="C216" s="335"/>
      <c r="D216" s="335"/>
      <c r="E216" s="335"/>
      <c r="F216" s="335"/>
      <c r="G216" s="335"/>
      <c r="H216" s="335"/>
      <c r="I216" s="335"/>
      <c r="J216" s="335"/>
      <c r="K216" s="335"/>
      <c r="L216" s="335"/>
      <c r="M216" s="335"/>
      <c r="N216" s="335"/>
      <c r="O216" s="335"/>
      <c r="P216" s="335"/>
      <c r="Q216" s="335"/>
      <c r="R216" s="335"/>
      <c r="S216" s="335"/>
      <c r="T216" s="335"/>
      <c r="U216" s="335"/>
      <c r="V216" s="335"/>
      <c r="W216" s="335"/>
      <c r="X216" s="335"/>
      <c r="Y216" s="335"/>
      <c r="Z216" s="335"/>
      <c r="AA216" s="335"/>
      <c r="AB216" s="335"/>
      <c r="AC216" s="335">
        <f t="shared" ref="AC216:AQ216" si="208">+AC250-AC233</f>
        <v>81</v>
      </c>
      <c r="AD216" s="335">
        <f t="shared" si="208"/>
        <v>74</v>
      </c>
      <c r="AE216" s="335">
        <f t="shared" si="208"/>
        <v>71</v>
      </c>
      <c r="AF216" s="335">
        <f t="shared" si="208"/>
        <v>71</v>
      </c>
      <c r="AG216" s="335">
        <f t="shared" si="208"/>
        <v>67</v>
      </c>
      <c r="AH216" s="335">
        <f t="shared" si="208"/>
        <v>67</v>
      </c>
      <c r="AI216" s="92">
        <f t="shared" si="208"/>
        <v>67</v>
      </c>
      <c r="AJ216" s="92">
        <f t="shared" si="208"/>
        <v>67</v>
      </c>
      <c r="AK216" s="92">
        <f t="shared" si="208"/>
        <v>66</v>
      </c>
      <c r="AL216" s="92">
        <f t="shared" si="208"/>
        <v>67</v>
      </c>
      <c r="AM216" s="92">
        <f t="shared" si="208"/>
        <v>67</v>
      </c>
      <c r="AN216" s="92">
        <f t="shared" si="208"/>
        <v>64</v>
      </c>
      <c r="AO216" s="92">
        <f t="shared" si="208"/>
        <v>64</v>
      </c>
      <c r="AP216" s="92">
        <f t="shared" si="208"/>
        <v>64</v>
      </c>
      <c r="AQ216" s="92">
        <f t="shared" si="208"/>
        <v>64</v>
      </c>
      <c r="AR216" s="92">
        <f t="shared" si="178"/>
        <v>57</v>
      </c>
      <c r="AS216" s="92">
        <f t="shared" si="178"/>
        <v>50</v>
      </c>
      <c r="AT216" s="92">
        <f t="shared" si="186"/>
        <v>46</v>
      </c>
      <c r="AU216" s="92">
        <f t="shared" si="204"/>
        <v>46</v>
      </c>
      <c r="AV216" s="92">
        <f t="shared" si="204"/>
        <v>43</v>
      </c>
      <c r="AW216" s="92">
        <f t="shared" si="205"/>
        <v>32</v>
      </c>
      <c r="AX216" s="92">
        <f t="shared" si="205"/>
        <v>16</v>
      </c>
      <c r="AY216" s="92">
        <f t="shared" si="205"/>
        <v>16</v>
      </c>
      <c r="AZ216" s="92">
        <f t="shared" si="205"/>
        <v>16</v>
      </c>
      <c r="BA216" s="92">
        <f t="shared" si="205"/>
        <v>16</v>
      </c>
      <c r="BB216" s="92">
        <f t="shared" si="180"/>
        <v>15</v>
      </c>
      <c r="BC216" s="92">
        <f t="shared" si="180"/>
        <v>15</v>
      </c>
      <c r="BD216" s="92">
        <f t="shared" si="180"/>
        <v>15</v>
      </c>
      <c r="BE216" s="92">
        <f t="shared" si="181"/>
        <v>15</v>
      </c>
      <c r="BF216" s="92">
        <f t="shared" si="181"/>
        <v>15</v>
      </c>
      <c r="BG216" s="92">
        <f t="shared" ref="BG216:BH216" si="209">+BG250-BG233</f>
        <v>15</v>
      </c>
      <c r="BH216" s="92">
        <f t="shared" si="209"/>
        <v>0</v>
      </c>
      <c r="BI216" s="92">
        <f t="shared" ref="BI216:BK222" si="210">+BI250-BI233</f>
        <v>0</v>
      </c>
      <c r="BJ216" s="92">
        <f t="shared" si="210"/>
        <v>0</v>
      </c>
      <c r="BK216" s="92">
        <f t="shared" si="210"/>
        <v>0</v>
      </c>
      <c r="BL216" s="92">
        <f t="shared" ref="BL216" si="211">+BL250-BL233</f>
        <v>28</v>
      </c>
      <c r="BS216" s="92"/>
      <c r="BT216" s="92"/>
    </row>
    <row r="217" spans="1:72" s="9" customFormat="1" ht="11.25">
      <c r="A217" s="342" t="s">
        <v>1019</v>
      </c>
      <c r="C217" s="335"/>
      <c r="D217" s="335"/>
      <c r="E217" s="335"/>
      <c r="F217" s="335"/>
      <c r="G217" s="335"/>
      <c r="H217" s="335"/>
      <c r="I217" s="335"/>
      <c r="J217" s="335"/>
      <c r="K217" s="335"/>
      <c r="L217" s="335"/>
      <c r="M217" s="335"/>
      <c r="N217" s="335"/>
      <c r="O217" s="335"/>
      <c r="P217" s="335"/>
      <c r="Q217" s="335"/>
      <c r="R217" s="335"/>
      <c r="S217" s="335"/>
      <c r="T217" s="335"/>
      <c r="U217" s="335"/>
      <c r="V217" s="335"/>
      <c r="W217" s="335"/>
      <c r="X217" s="335"/>
      <c r="Y217" s="335"/>
      <c r="Z217" s="335"/>
      <c r="AA217" s="335"/>
      <c r="AB217" s="335"/>
      <c r="AC217" s="335">
        <f t="shared" ref="AC217:AQ217" si="212">+AC251-AC234</f>
        <v>79</v>
      </c>
      <c r="AD217" s="335">
        <f t="shared" si="212"/>
        <v>82</v>
      </c>
      <c r="AE217" s="335">
        <f t="shared" si="212"/>
        <v>85</v>
      </c>
      <c r="AF217" s="335">
        <f t="shared" si="212"/>
        <v>84</v>
      </c>
      <c r="AG217" s="335">
        <f t="shared" si="212"/>
        <v>85</v>
      </c>
      <c r="AH217" s="335">
        <f t="shared" si="212"/>
        <v>87</v>
      </c>
      <c r="AI217" s="92">
        <f t="shared" si="212"/>
        <v>90</v>
      </c>
      <c r="AJ217" s="92">
        <f t="shared" si="212"/>
        <v>92</v>
      </c>
      <c r="AK217" s="92">
        <f t="shared" si="212"/>
        <v>92</v>
      </c>
      <c r="AL217" s="92">
        <f t="shared" si="212"/>
        <v>94</v>
      </c>
      <c r="AM217" s="92">
        <f t="shared" si="212"/>
        <v>96</v>
      </c>
      <c r="AN217" s="92">
        <f t="shared" si="212"/>
        <v>97</v>
      </c>
      <c r="AO217" s="92">
        <f t="shared" si="212"/>
        <v>98</v>
      </c>
      <c r="AP217" s="92">
        <f t="shared" si="212"/>
        <v>100</v>
      </c>
      <c r="AQ217" s="92">
        <f t="shared" si="212"/>
        <v>99</v>
      </c>
      <c r="AR217" s="92">
        <f t="shared" si="178"/>
        <v>99</v>
      </c>
      <c r="AS217" s="92">
        <f t="shared" si="178"/>
        <v>101</v>
      </c>
      <c r="AT217" s="92">
        <f t="shared" si="186"/>
        <v>102</v>
      </c>
      <c r="AU217" s="92">
        <f t="shared" si="204"/>
        <v>105</v>
      </c>
      <c r="AV217" s="92">
        <f t="shared" si="204"/>
        <v>103</v>
      </c>
      <c r="AW217" s="92">
        <f t="shared" si="205"/>
        <v>102</v>
      </c>
      <c r="AX217" s="92">
        <f t="shared" si="205"/>
        <v>101</v>
      </c>
      <c r="AY217" s="92">
        <f t="shared" si="205"/>
        <v>101</v>
      </c>
      <c r="AZ217" s="92">
        <f t="shared" si="205"/>
        <v>100</v>
      </c>
      <c r="BA217" s="92">
        <f t="shared" si="205"/>
        <v>99</v>
      </c>
      <c r="BB217" s="92">
        <f t="shared" si="180"/>
        <v>100</v>
      </c>
      <c r="BC217" s="92">
        <f t="shared" si="180"/>
        <v>100</v>
      </c>
      <c r="BD217" s="92">
        <f t="shared" si="180"/>
        <v>100</v>
      </c>
      <c r="BE217" s="92">
        <f t="shared" si="181"/>
        <v>101</v>
      </c>
      <c r="BF217" s="92">
        <f t="shared" si="181"/>
        <v>103</v>
      </c>
      <c r="BG217" s="92">
        <f t="shared" ref="BG217:BH217" si="213">+BG251-BG234</f>
        <v>104</v>
      </c>
      <c r="BH217" s="92">
        <f t="shared" si="213"/>
        <v>105</v>
      </c>
      <c r="BI217" s="92">
        <f t="shared" ref="BI217:BJ217" si="214">+BI251-BI234</f>
        <v>105</v>
      </c>
      <c r="BJ217" s="92">
        <f t="shared" si="214"/>
        <v>103</v>
      </c>
      <c r="BK217" s="92">
        <f t="shared" si="210"/>
        <v>101</v>
      </c>
      <c r="BL217" s="92">
        <f t="shared" ref="BL217" si="215">+BL251-BL234</f>
        <v>101</v>
      </c>
      <c r="BS217" s="92"/>
      <c r="BT217" s="92"/>
    </row>
    <row r="218" spans="1:72" s="9" customFormat="1" ht="11.25">
      <c r="A218" s="342" t="s">
        <v>1016</v>
      </c>
      <c r="C218" s="335"/>
      <c r="D218" s="335"/>
      <c r="E218" s="335"/>
      <c r="F218" s="335"/>
      <c r="G218" s="335"/>
      <c r="H218" s="335"/>
      <c r="I218" s="335"/>
      <c r="J218" s="335"/>
      <c r="K218" s="335"/>
      <c r="L218" s="335"/>
      <c r="M218" s="335"/>
      <c r="N218" s="335"/>
      <c r="O218" s="335"/>
      <c r="P218" s="335"/>
      <c r="Q218" s="335"/>
      <c r="R218" s="335"/>
      <c r="S218" s="335"/>
      <c r="T218" s="335"/>
      <c r="U218" s="335"/>
      <c r="V218" s="335"/>
      <c r="W218" s="335"/>
      <c r="X218" s="335"/>
      <c r="Y218" s="335"/>
      <c r="Z218" s="335"/>
      <c r="AA218" s="335"/>
      <c r="AB218" s="335"/>
      <c r="AC218" s="335">
        <f t="shared" ref="AC218:AQ218" si="216">+AC252-AC235</f>
        <v>0</v>
      </c>
      <c r="AD218" s="335">
        <f t="shared" si="216"/>
        <v>0</v>
      </c>
      <c r="AE218" s="335">
        <f t="shared" si="216"/>
        <v>41</v>
      </c>
      <c r="AF218" s="335">
        <f t="shared" si="216"/>
        <v>41</v>
      </c>
      <c r="AG218" s="335">
        <f t="shared" si="216"/>
        <v>41</v>
      </c>
      <c r="AH218" s="335">
        <f t="shared" si="216"/>
        <v>39</v>
      </c>
      <c r="AI218" s="92">
        <f t="shared" si="216"/>
        <v>38</v>
      </c>
      <c r="AJ218" s="92">
        <f t="shared" si="216"/>
        <v>38</v>
      </c>
      <c r="AK218" s="92">
        <f t="shared" si="216"/>
        <v>35</v>
      </c>
      <c r="AL218" s="92">
        <f t="shared" si="216"/>
        <v>33</v>
      </c>
      <c r="AM218" s="92">
        <f t="shared" si="216"/>
        <v>33</v>
      </c>
      <c r="AN218" s="92">
        <f t="shared" si="216"/>
        <v>33</v>
      </c>
      <c r="AO218" s="92">
        <f t="shared" si="216"/>
        <v>32</v>
      </c>
      <c r="AP218" s="92">
        <f t="shared" si="216"/>
        <v>32</v>
      </c>
      <c r="AQ218" s="92">
        <f t="shared" si="216"/>
        <v>32</v>
      </c>
      <c r="AR218" s="92">
        <f t="shared" si="178"/>
        <v>31</v>
      </c>
      <c r="AS218" s="92">
        <f t="shared" si="178"/>
        <v>31</v>
      </c>
      <c r="AT218" s="92">
        <f t="shared" si="186"/>
        <v>31</v>
      </c>
      <c r="AU218" s="92">
        <f t="shared" si="204"/>
        <v>31</v>
      </c>
      <c r="AV218" s="92">
        <f t="shared" si="204"/>
        <v>30</v>
      </c>
      <c r="AW218" s="92">
        <f t="shared" si="205"/>
        <v>29</v>
      </c>
      <c r="AX218" s="92">
        <f t="shared" si="205"/>
        <v>28</v>
      </c>
      <c r="AY218" s="92">
        <f t="shared" si="205"/>
        <v>27</v>
      </c>
      <c r="AZ218" s="92">
        <f t="shared" si="205"/>
        <v>27</v>
      </c>
      <c r="BA218" s="92">
        <f t="shared" si="205"/>
        <v>28</v>
      </c>
      <c r="BB218" s="92">
        <f t="shared" si="180"/>
        <v>29</v>
      </c>
      <c r="BC218" s="92">
        <f t="shared" si="180"/>
        <v>28</v>
      </c>
      <c r="BD218" s="92">
        <f t="shared" si="180"/>
        <v>28</v>
      </c>
      <c r="BE218" s="92">
        <f t="shared" si="181"/>
        <v>29</v>
      </c>
      <c r="BF218" s="92">
        <f t="shared" si="181"/>
        <v>29</v>
      </c>
      <c r="BG218" s="92">
        <f t="shared" ref="BG218:BH218" si="217">+BG252-BG235</f>
        <v>29</v>
      </c>
      <c r="BH218" s="92">
        <f t="shared" si="217"/>
        <v>29</v>
      </c>
      <c r="BI218" s="92">
        <f t="shared" ref="BI218:BJ218" si="218">+BI252-BI235</f>
        <v>29</v>
      </c>
      <c r="BJ218" s="92">
        <f t="shared" si="218"/>
        <v>29</v>
      </c>
      <c r="BK218" s="92">
        <f t="shared" si="210"/>
        <v>29</v>
      </c>
      <c r="BL218" s="92">
        <f t="shared" ref="BL218" si="219">+BL252-BL235</f>
        <v>28</v>
      </c>
      <c r="BS218" s="92"/>
      <c r="BT218" s="92"/>
    </row>
    <row r="219" spans="1:72" s="9" customFormat="1" ht="11.25">
      <c r="A219" s="342" t="s">
        <v>1015</v>
      </c>
      <c r="C219" s="335"/>
      <c r="D219" s="335"/>
      <c r="E219" s="335"/>
      <c r="F219" s="335"/>
      <c r="G219" s="335"/>
      <c r="H219" s="335"/>
      <c r="I219" s="335"/>
      <c r="J219" s="335"/>
      <c r="K219" s="335"/>
      <c r="L219" s="335"/>
      <c r="M219" s="335"/>
      <c r="N219" s="335"/>
      <c r="O219" s="335"/>
      <c r="P219" s="335"/>
      <c r="Q219" s="335"/>
      <c r="R219" s="335"/>
      <c r="S219" s="335"/>
      <c r="T219" s="335"/>
      <c r="U219" s="335"/>
      <c r="V219" s="335"/>
      <c r="W219" s="335"/>
      <c r="X219" s="335"/>
      <c r="Y219" s="335"/>
      <c r="Z219" s="335"/>
      <c r="AA219" s="335"/>
      <c r="AB219" s="335"/>
      <c r="AC219" s="335">
        <f t="shared" ref="AC219:AQ219" si="220">+AC253-AC236</f>
        <v>8</v>
      </c>
      <c r="AD219" s="335">
        <f t="shared" si="220"/>
        <v>8</v>
      </c>
      <c r="AE219" s="335">
        <f t="shared" si="220"/>
        <v>8</v>
      </c>
      <c r="AF219" s="335">
        <f t="shared" si="220"/>
        <v>9</v>
      </c>
      <c r="AG219" s="335">
        <f t="shared" si="220"/>
        <v>9</v>
      </c>
      <c r="AH219" s="335">
        <f t="shared" si="220"/>
        <v>8</v>
      </c>
      <c r="AI219" s="92">
        <f t="shared" si="220"/>
        <v>9</v>
      </c>
      <c r="AJ219" s="92">
        <f t="shared" si="220"/>
        <v>9</v>
      </c>
      <c r="AK219" s="92">
        <f t="shared" si="220"/>
        <v>10</v>
      </c>
      <c r="AL219" s="92">
        <f t="shared" si="220"/>
        <v>10</v>
      </c>
      <c r="AM219" s="92">
        <f t="shared" si="220"/>
        <v>10</v>
      </c>
      <c r="AN219" s="92">
        <f t="shared" si="220"/>
        <v>10</v>
      </c>
      <c r="AO219" s="92">
        <f t="shared" si="220"/>
        <v>10</v>
      </c>
      <c r="AP219" s="92">
        <f t="shared" si="220"/>
        <v>10</v>
      </c>
      <c r="AQ219" s="92">
        <f t="shared" si="220"/>
        <v>10</v>
      </c>
      <c r="AR219" s="92">
        <f t="shared" si="178"/>
        <v>6</v>
      </c>
      <c r="AS219" s="92">
        <f t="shared" si="178"/>
        <v>5</v>
      </c>
      <c r="AT219" s="92">
        <f t="shared" si="186"/>
        <v>5</v>
      </c>
      <c r="AU219" s="92">
        <f t="shared" si="204"/>
        <v>5</v>
      </c>
      <c r="AV219" s="92">
        <f t="shared" si="204"/>
        <v>5</v>
      </c>
      <c r="AW219" s="92">
        <f t="shared" si="205"/>
        <v>6</v>
      </c>
      <c r="AX219" s="92">
        <f t="shared" si="205"/>
        <v>7</v>
      </c>
      <c r="AY219" s="92">
        <f t="shared" si="205"/>
        <v>7</v>
      </c>
      <c r="AZ219" s="92">
        <f t="shared" si="205"/>
        <v>7</v>
      </c>
      <c r="BA219" s="92">
        <f t="shared" si="205"/>
        <v>7</v>
      </c>
      <c r="BB219" s="92">
        <f t="shared" si="180"/>
        <v>3</v>
      </c>
      <c r="BC219" s="92">
        <f t="shared" si="180"/>
        <v>3</v>
      </c>
      <c r="BD219" s="92">
        <f t="shared" si="180"/>
        <v>3</v>
      </c>
      <c r="BE219" s="92">
        <f t="shared" si="181"/>
        <v>3</v>
      </c>
      <c r="BF219" s="92">
        <f t="shared" si="181"/>
        <v>3</v>
      </c>
      <c r="BG219" s="92">
        <f t="shared" ref="BG219:BH219" si="221">+BG253-BG236</f>
        <v>3</v>
      </c>
      <c r="BH219" s="92">
        <f t="shared" si="221"/>
        <v>3</v>
      </c>
      <c r="BI219" s="92">
        <f t="shared" ref="BI219:BJ219" si="222">+BI253-BI236</f>
        <v>3</v>
      </c>
      <c r="BJ219" s="92">
        <f t="shared" si="222"/>
        <v>3</v>
      </c>
      <c r="BK219" s="92">
        <f t="shared" si="210"/>
        <v>3</v>
      </c>
      <c r="BL219" s="92">
        <f t="shared" ref="BL219" si="223">+BL253-BL236</f>
        <v>3</v>
      </c>
      <c r="BS219" s="92"/>
      <c r="BT219" s="92"/>
    </row>
    <row r="220" spans="1:72" s="9" customFormat="1" ht="11.25">
      <c r="A220" s="342" t="s">
        <v>1017</v>
      </c>
      <c r="C220" s="335"/>
      <c r="D220" s="335"/>
      <c r="E220" s="335"/>
      <c r="F220" s="335"/>
      <c r="G220" s="335"/>
      <c r="H220" s="335"/>
      <c r="I220" s="335"/>
      <c r="J220" s="335"/>
      <c r="K220" s="335"/>
      <c r="L220" s="335"/>
      <c r="M220" s="335"/>
      <c r="N220" s="335"/>
      <c r="O220" s="335"/>
      <c r="P220" s="335"/>
      <c r="Q220" s="335"/>
      <c r="R220" s="335"/>
      <c r="S220" s="335"/>
      <c r="T220" s="335"/>
      <c r="U220" s="335"/>
      <c r="V220" s="335"/>
      <c r="W220" s="335"/>
      <c r="X220" s="335"/>
      <c r="Y220" s="335"/>
      <c r="Z220" s="335"/>
      <c r="AA220" s="335"/>
      <c r="AB220" s="335"/>
      <c r="AC220" s="335">
        <f t="shared" ref="AC220:AQ221" si="224">+AC254-AC237</f>
        <v>7</v>
      </c>
      <c r="AD220" s="335">
        <f t="shared" si="224"/>
        <v>6</v>
      </c>
      <c r="AE220" s="335">
        <f t="shared" si="224"/>
        <v>6</v>
      </c>
      <c r="AF220" s="335">
        <f t="shared" si="224"/>
        <v>5</v>
      </c>
      <c r="AG220" s="335">
        <f t="shared" si="224"/>
        <v>5</v>
      </c>
      <c r="AH220" s="335">
        <f t="shared" si="224"/>
        <v>6</v>
      </c>
      <c r="AI220" s="92">
        <f t="shared" si="224"/>
        <v>7</v>
      </c>
      <c r="AJ220" s="92">
        <f t="shared" si="224"/>
        <v>7</v>
      </c>
      <c r="AK220" s="92">
        <f t="shared" si="224"/>
        <v>7</v>
      </c>
      <c r="AL220" s="92">
        <f t="shared" si="224"/>
        <v>8</v>
      </c>
      <c r="AM220" s="92">
        <f t="shared" si="224"/>
        <v>8</v>
      </c>
      <c r="AN220" s="92">
        <f t="shared" si="224"/>
        <v>9</v>
      </c>
      <c r="AO220" s="92">
        <f t="shared" si="224"/>
        <v>10</v>
      </c>
      <c r="AP220" s="92">
        <f t="shared" si="224"/>
        <v>11</v>
      </c>
      <c r="AQ220" s="92">
        <f t="shared" si="224"/>
        <v>10</v>
      </c>
      <c r="AR220" s="92">
        <f t="shared" si="178"/>
        <v>10</v>
      </c>
      <c r="AS220" s="92">
        <f t="shared" si="178"/>
        <v>10</v>
      </c>
      <c r="AT220" s="92">
        <f t="shared" si="186"/>
        <v>9</v>
      </c>
      <c r="AU220" s="92">
        <f t="shared" si="204"/>
        <v>9</v>
      </c>
      <c r="AV220" s="92">
        <f t="shared" si="204"/>
        <v>8</v>
      </c>
      <c r="AW220" s="92">
        <f t="shared" si="205"/>
        <v>7</v>
      </c>
      <c r="AX220" s="92">
        <f t="shared" si="205"/>
        <v>1</v>
      </c>
      <c r="AY220" s="92">
        <f t="shared" si="205"/>
        <v>0</v>
      </c>
      <c r="AZ220" s="92">
        <f t="shared" si="205"/>
        <v>0</v>
      </c>
      <c r="BA220" s="92">
        <f t="shared" si="205"/>
        <v>0</v>
      </c>
      <c r="BB220" s="92">
        <f t="shared" si="180"/>
        <v>0</v>
      </c>
      <c r="BC220" s="92">
        <f t="shared" si="180"/>
        <v>0</v>
      </c>
      <c r="BD220" s="92">
        <f t="shared" si="180"/>
        <v>0</v>
      </c>
      <c r="BE220" s="92">
        <f t="shared" si="181"/>
        <v>0</v>
      </c>
      <c r="BF220" s="92">
        <f t="shared" si="181"/>
        <v>0</v>
      </c>
      <c r="BG220" s="92">
        <f t="shared" ref="BG220:BH220" si="225">+BG254-BG237</f>
        <v>0</v>
      </c>
      <c r="BH220" s="92">
        <f t="shared" si="225"/>
        <v>0</v>
      </c>
      <c r="BI220" s="92">
        <f t="shared" ref="BI220:BJ220" si="226">+BI254-BI237</f>
        <v>0</v>
      </c>
      <c r="BJ220" s="92">
        <f t="shared" si="226"/>
        <v>0</v>
      </c>
      <c r="BK220" s="92">
        <f t="shared" si="210"/>
        <v>0</v>
      </c>
      <c r="BL220" s="92">
        <f t="shared" ref="BL220" si="227">+BL254-BL237</f>
        <v>0</v>
      </c>
      <c r="BS220" s="92"/>
      <c r="BT220" s="92"/>
    </row>
    <row r="221" spans="1:72" s="9" customFormat="1" ht="11.25">
      <c r="A221" s="342" t="s">
        <v>1120</v>
      </c>
      <c r="C221" s="335"/>
      <c r="D221" s="335"/>
      <c r="E221" s="335"/>
      <c r="F221" s="335"/>
      <c r="G221" s="335"/>
      <c r="H221" s="335"/>
      <c r="I221" s="335"/>
      <c r="J221" s="335"/>
      <c r="K221" s="335"/>
      <c r="L221" s="335"/>
      <c r="M221" s="335"/>
      <c r="N221" s="335"/>
      <c r="O221" s="335"/>
      <c r="P221" s="335"/>
      <c r="Q221" s="335"/>
      <c r="R221" s="335"/>
      <c r="S221" s="335"/>
      <c r="T221" s="335"/>
      <c r="U221" s="335"/>
      <c r="V221" s="335"/>
      <c r="W221" s="335"/>
      <c r="X221" s="335"/>
      <c r="Y221" s="335"/>
      <c r="Z221" s="335"/>
      <c r="AA221" s="335"/>
      <c r="AB221" s="335"/>
      <c r="AC221" s="335"/>
      <c r="AD221" s="335"/>
      <c r="AE221" s="335"/>
      <c r="AF221" s="335"/>
      <c r="AG221" s="335"/>
      <c r="AH221" s="335"/>
      <c r="AI221" s="92"/>
      <c r="AJ221" s="92"/>
      <c r="AK221" s="92"/>
      <c r="AL221" s="92"/>
      <c r="AM221" s="92"/>
      <c r="AN221" s="92"/>
      <c r="AO221" s="92"/>
      <c r="AP221" s="92"/>
      <c r="AQ221" s="92">
        <f t="shared" si="224"/>
        <v>93</v>
      </c>
      <c r="AR221" s="92">
        <f t="shared" si="178"/>
        <v>93</v>
      </c>
      <c r="AS221" s="92">
        <f t="shared" si="178"/>
        <v>97</v>
      </c>
      <c r="AT221" s="92">
        <f t="shared" si="186"/>
        <v>94</v>
      </c>
      <c r="AU221" s="92">
        <f t="shared" si="204"/>
        <v>93</v>
      </c>
      <c r="AV221" s="92">
        <f t="shared" si="204"/>
        <v>88</v>
      </c>
      <c r="AW221" s="92">
        <f t="shared" si="205"/>
        <v>88</v>
      </c>
      <c r="AX221" s="92">
        <f t="shared" si="205"/>
        <v>85</v>
      </c>
      <c r="AY221" s="92">
        <f t="shared" si="205"/>
        <v>85</v>
      </c>
      <c r="AZ221" s="92">
        <f t="shared" si="205"/>
        <v>84</v>
      </c>
      <c r="BA221" s="92">
        <f t="shared" si="205"/>
        <v>83</v>
      </c>
      <c r="BB221" s="92">
        <f t="shared" si="180"/>
        <v>82</v>
      </c>
      <c r="BC221" s="92">
        <f t="shared" si="180"/>
        <v>83</v>
      </c>
      <c r="BD221" s="92">
        <f t="shared" si="180"/>
        <v>84</v>
      </c>
      <c r="BE221" s="92">
        <f t="shared" si="181"/>
        <v>84</v>
      </c>
      <c r="BF221" s="92">
        <f t="shared" si="181"/>
        <v>83</v>
      </c>
      <c r="BG221" s="92">
        <f t="shared" ref="BG221:BH221" si="228">+BG255-BG238</f>
        <v>83</v>
      </c>
      <c r="BH221" s="92">
        <f t="shared" si="228"/>
        <v>84</v>
      </c>
      <c r="BI221" s="92">
        <f t="shared" ref="BI221:BJ221" si="229">+BI255-BI238</f>
        <v>84</v>
      </c>
      <c r="BJ221" s="92">
        <f t="shared" si="229"/>
        <v>84</v>
      </c>
      <c r="BK221" s="92">
        <f t="shared" si="210"/>
        <v>83</v>
      </c>
      <c r="BL221" s="92">
        <f t="shared" ref="BL221" si="230">+BL255-BL238</f>
        <v>82</v>
      </c>
      <c r="BS221" s="92"/>
      <c r="BT221" s="92"/>
    </row>
    <row r="222" spans="1:72" s="9" customFormat="1" ht="11.25">
      <c r="A222" s="342" t="s">
        <v>331</v>
      </c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335">
        <f t="shared" ref="AC222:AR222" si="231">+AC256-AC239</f>
        <v>58</v>
      </c>
      <c r="AD222" s="335">
        <f t="shared" si="231"/>
        <v>57</v>
      </c>
      <c r="AE222" s="335">
        <f t="shared" si="231"/>
        <v>57</v>
      </c>
      <c r="AF222" s="335">
        <f t="shared" si="231"/>
        <v>55</v>
      </c>
      <c r="AG222" s="335">
        <f t="shared" si="231"/>
        <v>54</v>
      </c>
      <c r="AH222" s="335">
        <f t="shared" si="231"/>
        <v>56</v>
      </c>
      <c r="AI222" s="92">
        <f t="shared" si="231"/>
        <v>53</v>
      </c>
      <c r="AJ222" s="92">
        <f t="shared" si="231"/>
        <v>54</v>
      </c>
      <c r="AK222" s="92">
        <f t="shared" si="231"/>
        <v>55</v>
      </c>
      <c r="AL222" s="92">
        <f t="shared" si="231"/>
        <v>53</v>
      </c>
      <c r="AM222" s="92">
        <f t="shared" si="231"/>
        <v>50</v>
      </c>
      <c r="AN222" s="92">
        <f t="shared" si="231"/>
        <v>52</v>
      </c>
      <c r="AO222" s="92">
        <f t="shared" si="231"/>
        <v>49</v>
      </c>
      <c r="AP222" s="92">
        <f t="shared" si="231"/>
        <v>50</v>
      </c>
      <c r="AQ222" s="92">
        <f t="shared" si="231"/>
        <v>89</v>
      </c>
      <c r="AR222" s="92">
        <f t="shared" si="231"/>
        <v>77</v>
      </c>
      <c r="AS222" s="92">
        <f t="shared" si="178"/>
        <v>76</v>
      </c>
      <c r="AT222" s="92">
        <f t="shared" si="186"/>
        <v>77</v>
      </c>
      <c r="AU222" s="92">
        <f t="shared" si="204"/>
        <v>76</v>
      </c>
      <c r="AV222" s="92">
        <f t="shared" si="204"/>
        <v>74</v>
      </c>
      <c r="AW222" s="92">
        <f t="shared" si="205"/>
        <v>71</v>
      </c>
      <c r="AX222" s="92">
        <f t="shared" si="205"/>
        <v>69</v>
      </c>
      <c r="AY222" s="92">
        <f t="shared" si="205"/>
        <v>69</v>
      </c>
      <c r="AZ222" s="92">
        <f t="shared" si="205"/>
        <v>72</v>
      </c>
      <c r="BA222" s="92">
        <f t="shared" si="205"/>
        <v>72</v>
      </c>
      <c r="BB222" s="92">
        <f t="shared" si="180"/>
        <v>73</v>
      </c>
      <c r="BC222" s="92">
        <f t="shared" si="180"/>
        <v>74</v>
      </c>
      <c r="BD222" s="92">
        <f t="shared" si="180"/>
        <v>73</v>
      </c>
      <c r="BE222" s="92">
        <f t="shared" si="181"/>
        <v>71</v>
      </c>
      <c r="BF222" s="92">
        <f t="shared" si="181"/>
        <v>74</v>
      </c>
      <c r="BG222" s="92">
        <f t="shared" ref="BG222:BH222" si="232">+BG256-BG239</f>
        <v>57</v>
      </c>
      <c r="BH222" s="92">
        <f t="shared" si="232"/>
        <v>56</v>
      </c>
      <c r="BI222" s="92">
        <f t="shared" ref="BI222:BJ222" si="233">+BI256-BI239</f>
        <v>53</v>
      </c>
      <c r="BJ222" s="92">
        <f t="shared" si="233"/>
        <v>53</v>
      </c>
      <c r="BK222" s="92">
        <f t="shared" si="210"/>
        <v>54</v>
      </c>
      <c r="BL222" s="92">
        <f t="shared" ref="BL222" si="234">+BL256-BL239</f>
        <v>26</v>
      </c>
      <c r="BS222" s="92"/>
      <c r="BT222" s="92"/>
    </row>
    <row r="223" spans="1:72" s="9" customFormat="1" ht="11.25">
      <c r="A223" s="1046" t="s">
        <v>325</v>
      </c>
      <c r="B223" s="949"/>
      <c r="C223" s="949"/>
      <c r="D223" s="949"/>
      <c r="E223" s="949"/>
      <c r="F223" s="949"/>
      <c r="G223" s="949"/>
      <c r="H223" s="949"/>
      <c r="I223" s="949"/>
      <c r="J223" s="949"/>
      <c r="K223" s="949"/>
      <c r="L223" s="949"/>
      <c r="M223" s="949"/>
      <c r="N223" s="949"/>
      <c r="O223" s="949"/>
      <c r="P223" s="949"/>
      <c r="Q223" s="949"/>
      <c r="R223" s="949"/>
      <c r="S223" s="949"/>
      <c r="T223" s="949"/>
      <c r="U223" s="949"/>
      <c r="V223" s="949"/>
      <c r="W223" s="949"/>
      <c r="X223" s="949"/>
      <c r="Y223" s="949"/>
      <c r="Z223" s="949"/>
      <c r="AA223" s="949"/>
      <c r="AB223" s="949"/>
      <c r="AC223" s="170">
        <f t="shared" ref="AC223:AQ223" si="235">SUM(AC210:AC222)</f>
        <v>2252</v>
      </c>
      <c r="AD223" s="170">
        <f t="shared" si="235"/>
        <v>2283</v>
      </c>
      <c r="AE223" s="170">
        <f t="shared" si="235"/>
        <v>2333</v>
      </c>
      <c r="AF223" s="170">
        <f t="shared" si="235"/>
        <v>2363</v>
      </c>
      <c r="AG223" s="170">
        <f t="shared" si="235"/>
        <v>2425</v>
      </c>
      <c r="AH223" s="170">
        <f t="shared" si="235"/>
        <v>2502</v>
      </c>
      <c r="AI223" s="170">
        <f t="shared" si="235"/>
        <v>2553</v>
      </c>
      <c r="AJ223" s="170">
        <f t="shared" si="235"/>
        <v>2597</v>
      </c>
      <c r="AK223" s="170">
        <f t="shared" si="235"/>
        <v>2651</v>
      </c>
      <c r="AL223" s="170">
        <f t="shared" si="235"/>
        <v>2716</v>
      </c>
      <c r="AM223" s="170">
        <f t="shared" si="235"/>
        <v>2737</v>
      </c>
      <c r="AN223" s="170">
        <f t="shared" si="235"/>
        <v>2793</v>
      </c>
      <c r="AO223" s="170">
        <f t="shared" si="235"/>
        <v>2856</v>
      </c>
      <c r="AP223" s="170">
        <f t="shared" si="235"/>
        <v>2947</v>
      </c>
      <c r="AQ223" s="170">
        <f t="shared" si="235"/>
        <v>3409</v>
      </c>
      <c r="AR223" s="170">
        <f t="shared" ref="AR223:AW223" si="236">SUM(AR210:AR222)</f>
        <v>3415</v>
      </c>
      <c r="AS223" s="170">
        <f t="shared" si="236"/>
        <v>3422</v>
      </c>
      <c r="AT223" s="170">
        <f t="shared" si="236"/>
        <v>3419</v>
      </c>
      <c r="AU223" s="170">
        <f t="shared" si="236"/>
        <v>3412</v>
      </c>
      <c r="AV223" s="170">
        <f t="shared" si="236"/>
        <v>3358</v>
      </c>
      <c r="AW223" s="170">
        <f t="shared" si="236"/>
        <v>3335</v>
      </c>
      <c r="AX223" s="170">
        <f t="shared" ref="AX223:BD223" si="237">SUM(AX210:AX222)</f>
        <v>3284</v>
      </c>
      <c r="AY223" s="170">
        <f t="shared" si="237"/>
        <v>3274</v>
      </c>
      <c r="AZ223" s="170">
        <f t="shared" si="237"/>
        <v>3276</v>
      </c>
      <c r="BA223" s="170">
        <f t="shared" si="237"/>
        <v>3264</v>
      </c>
      <c r="BB223" s="170">
        <f t="shared" si="237"/>
        <v>3289</v>
      </c>
      <c r="BC223" s="170">
        <f t="shared" si="237"/>
        <v>3309</v>
      </c>
      <c r="BD223" s="170">
        <f t="shared" si="237"/>
        <v>3338</v>
      </c>
      <c r="BE223" s="170">
        <f t="shared" ref="BE223:BK223" si="238">SUM(BE210:BE222)</f>
        <v>3362</v>
      </c>
      <c r="BF223" s="170">
        <f t="shared" si="238"/>
        <v>3436</v>
      </c>
      <c r="BG223" s="170">
        <f t="shared" si="238"/>
        <v>3441</v>
      </c>
      <c r="BH223" s="170">
        <f t="shared" si="238"/>
        <v>3459</v>
      </c>
      <c r="BI223" s="170">
        <f t="shared" si="238"/>
        <v>3480</v>
      </c>
      <c r="BJ223" s="170">
        <f t="shared" si="238"/>
        <v>3552</v>
      </c>
      <c r="BK223" s="170">
        <f t="shared" si="238"/>
        <v>3571</v>
      </c>
      <c r="BL223" s="170">
        <f t="shared" ref="BL223" si="239">SUM(BL210:BL222)</f>
        <v>3609</v>
      </c>
      <c r="BS223" s="92"/>
      <c r="BT223" s="92"/>
    </row>
    <row r="224" spans="1:72" s="9" customFormat="1" ht="11.25">
      <c r="A224" s="604"/>
      <c r="B224" s="128"/>
      <c r="C224" s="797"/>
      <c r="D224" s="797"/>
      <c r="E224" s="797"/>
      <c r="F224" s="797"/>
      <c r="G224" s="797"/>
      <c r="H224" s="797"/>
      <c r="I224" s="797"/>
      <c r="J224" s="797"/>
      <c r="K224" s="797"/>
      <c r="L224" s="797"/>
      <c r="M224" s="797"/>
      <c r="N224" s="797"/>
      <c r="O224" s="797"/>
      <c r="P224" s="797"/>
      <c r="Q224" s="797"/>
      <c r="R224" s="797"/>
      <c r="S224" s="797"/>
      <c r="T224" s="797"/>
      <c r="U224" s="797"/>
      <c r="V224" s="797"/>
      <c r="W224" s="797"/>
      <c r="X224" s="797"/>
      <c r="Y224" s="797"/>
      <c r="Z224" s="797"/>
      <c r="AA224" s="797"/>
      <c r="AB224" s="797"/>
      <c r="AC224" s="797"/>
      <c r="AD224" s="797"/>
      <c r="AE224" s="797"/>
      <c r="AF224" s="797"/>
      <c r="AG224" s="797"/>
      <c r="AH224" s="797"/>
      <c r="AI224" s="797"/>
      <c r="AJ224" s="797"/>
      <c r="AK224" s="797"/>
      <c r="AL224" s="797"/>
      <c r="AM224" s="797"/>
      <c r="AN224" s="797"/>
      <c r="AO224" s="797"/>
      <c r="AP224" s="797"/>
      <c r="AQ224" s="797"/>
      <c r="AR224" s="797"/>
      <c r="AS224" s="797"/>
      <c r="AT224" s="797"/>
      <c r="AU224" s="797"/>
      <c r="AV224" s="797"/>
      <c r="AW224" s="797"/>
      <c r="AX224" s="797"/>
      <c r="AY224" s="797"/>
      <c r="AZ224" s="797"/>
      <c r="BA224" s="797"/>
      <c r="BB224" s="797"/>
      <c r="BC224" s="797"/>
      <c r="BD224" s="797"/>
      <c r="BE224" s="797"/>
      <c r="BF224" s="797"/>
      <c r="BG224" s="797"/>
      <c r="BH224" s="797"/>
      <c r="BI224" s="797"/>
      <c r="BJ224" s="797"/>
      <c r="BK224" s="797"/>
      <c r="BL224" s="797"/>
      <c r="BT224" s="92"/>
    </row>
    <row r="225" spans="1:64" s="9" customFormat="1" ht="11.25">
      <c r="A225" s="513"/>
      <c r="BD225" s="92"/>
      <c r="BE225" s="92"/>
      <c r="BF225" s="92"/>
      <c r="BG225" s="92"/>
      <c r="BH225" s="92"/>
      <c r="BI225" s="92"/>
      <c r="BJ225" s="92"/>
      <c r="BK225" s="92"/>
      <c r="BL225" s="92"/>
    </row>
    <row r="226" spans="1:64" s="9" customFormat="1" ht="11.25">
      <c r="A226" s="513" t="s">
        <v>1061</v>
      </c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</row>
    <row r="227" spans="1:64" s="9" customFormat="1" ht="11.25">
      <c r="A227" s="342" t="s">
        <v>1007</v>
      </c>
      <c r="C227" s="335"/>
      <c r="D227" s="335"/>
      <c r="E227" s="335"/>
      <c r="F227" s="335"/>
      <c r="G227" s="335"/>
      <c r="H227" s="335"/>
      <c r="I227" s="335"/>
      <c r="J227" s="335"/>
      <c r="K227" s="335"/>
      <c r="L227" s="335"/>
      <c r="M227" s="335"/>
      <c r="N227" s="335"/>
      <c r="O227" s="335"/>
      <c r="P227" s="335"/>
      <c r="Q227" s="335"/>
      <c r="R227" s="335"/>
      <c r="S227" s="335"/>
      <c r="T227" s="335"/>
      <c r="U227" s="335"/>
      <c r="V227" s="335"/>
      <c r="W227" s="335"/>
      <c r="X227" s="335"/>
      <c r="Y227" s="335"/>
      <c r="Z227" s="335"/>
      <c r="AA227" s="335"/>
      <c r="AB227" s="335"/>
      <c r="AC227" s="335">
        <f t="shared" ref="AC227:AS227" si="240">+AC91+AC19</f>
        <v>260</v>
      </c>
      <c r="AD227" s="335">
        <f t="shared" si="240"/>
        <v>268</v>
      </c>
      <c r="AE227" s="335">
        <f t="shared" si="240"/>
        <v>269</v>
      </c>
      <c r="AF227" s="335">
        <f t="shared" si="240"/>
        <v>279</v>
      </c>
      <c r="AG227" s="335">
        <f t="shared" si="240"/>
        <v>270</v>
      </c>
      <c r="AH227" s="335">
        <f t="shared" si="240"/>
        <v>285</v>
      </c>
      <c r="AI227" s="92">
        <f t="shared" si="240"/>
        <v>281</v>
      </c>
      <c r="AJ227" s="92">
        <f t="shared" si="240"/>
        <v>289</v>
      </c>
      <c r="AK227" s="92">
        <f t="shared" si="240"/>
        <v>299</v>
      </c>
      <c r="AL227" s="92">
        <f t="shared" si="240"/>
        <v>310</v>
      </c>
      <c r="AM227" s="92">
        <f t="shared" si="240"/>
        <v>321</v>
      </c>
      <c r="AN227" s="92">
        <f t="shared" si="240"/>
        <v>323</v>
      </c>
      <c r="AO227" s="92">
        <f t="shared" si="240"/>
        <v>326</v>
      </c>
      <c r="AP227" s="92">
        <f t="shared" si="240"/>
        <v>340</v>
      </c>
      <c r="AQ227" s="92">
        <f t="shared" si="240"/>
        <v>346</v>
      </c>
      <c r="AR227" s="92">
        <f t="shared" si="240"/>
        <v>353</v>
      </c>
      <c r="AS227" s="92">
        <f t="shared" si="240"/>
        <v>363</v>
      </c>
      <c r="AT227" s="92">
        <f t="shared" ref="AT227:BD227" si="241">+AT91+AT19</f>
        <v>405</v>
      </c>
      <c r="AU227" s="92">
        <f t="shared" si="241"/>
        <v>413</v>
      </c>
      <c r="AV227" s="92">
        <f t="shared" si="241"/>
        <v>414</v>
      </c>
      <c r="AW227" s="92">
        <f t="shared" si="241"/>
        <v>416</v>
      </c>
      <c r="AX227" s="92">
        <f t="shared" si="241"/>
        <v>423</v>
      </c>
      <c r="AY227" s="92">
        <f t="shared" si="241"/>
        <v>428</v>
      </c>
      <c r="AZ227" s="92">
        <f t="shared" si="241"/>
        <v>437</v>
      </c>
      <c r="BA227" s="92">
        <f t="shared" si="241"/>
        <v>451</v>
      </c>
      <c r="BB227" s="92">
        <f t="shared" si="241"/>
        <v>462</v>
      </c>
      <c r="BC227" s="92">
        <f t="shared" si="241"/>
        <v>472</v>
      </c>
      <c r="BD227" s="92">
        <f t="shared" si="241"/>
        <v>481</v>
      </c>
      <c r="BE227" s="92">
        <f t="shared" ref="BE227:BK227" si="242">+BE91+BE19</f>
        <v>485</v>
      </c>
      <c r="BF227" s="92">
        <f t="shared" si="242"/>
        <v>497</v>
      </c>
      <c r="BG227" s="92">
        <f t="shared" si="242"/>
        <v>497</v>
      </c>
      <c r="BH227" s="92">
        <f t="shared" si="242"/>
        <v>501</v>
      </c>
      <c r="BI227" s="92">
        <f t="shared" si="242"/>
        <v>513</v>
      </c>
      <c r="BJ227" s="92">
        <f t="shared" si="242"/>
        <v>529</v>
      </c>
      <c r="BK227" s="92">
        <f t="shared" si="242"/>
        <v>532</v>
      </c>
      <c r="BL227" s="92">
        <f t="shared" ref="BL227" si="243">+BL91+BL19</f>
        <v>537</v>
      </c>
    </row>
    <row r="228" spans="1:64" s="9" customFormat="1" ht="11.25">
      <c r="A228" s="342" t="s">
        <v>1008</v>
      </c>
      <c r="C228" s="335"/>
      <c r="D228" s="335"/>
      <c r="E228" s="335"/>
      <c r="F228" s="335"/>
      <c r="G228" s="335"/>
      <c r="H228" s="335"/>
      <c r="I228" s="335"/>
      <c r="J228" s="335"/>
      <c r="K228" s="335"/>
      <c r="L228" s="335"/>
      <c r="M228" s="335"/>
      <c r="N228" s="335"/>
      <c r="O228" s="335"/>
      <c r="P228" s="335"/>
      <c r="Q228" s="335"/>
      <c r="R228" s="335"/>
      <c r="S228" s="335"/>
      <c r="T228" s="335"/>
      <c r="U228" s="335"/>
      <c r="V228" s="335"/>
      <c r="W228" s="335"/>
      <c r="X228" s="335"/>
      <c r="Y228" s="335"/>
      <c r="Z228" s="335"/>
      <c r="AA228" s="335"/>
      <c r="AB228" s="335"/>
      <c r="AC228" s="335">
        <f t="shared" ref="AC228:AS228" si="244">+AC21+AC92</f>
        <v>235</v>
      </c>
      <c r="AD228" s="335">
        <f t="shared" si="244"/>
        <v>242</v>
      </c>
      <c r="AE228" s="335">
        <f t="shared" si="244"/>
        <v>246</v>
      </c>
      <c r="AF228" s="335">
        <f t="shared" si="244"/>
        <v>241</v>
      </c>
      <c r="AG228" s="335">
        <f t="shared" si="244"/>
        <v>243</v>
      </c>
      <c r="AH228" s="335">
        <f t="shared" si="244"/>
        <v>250</v>
      </c>
      <c r="AI228" s="92">
        <f t="shared" si="244"/>
        <v>244</v>
      </c>
      <c r="AJ228" s="92">
        <f t="shared" si="244"/>
        <v>243</v>
      </c>
      <c r="AK228" s="92">
        <f t="shared" si="244"/>
        <v>241</v>
      </c>
      <c r="AL228" s="92">
        <f t="shared" si="244"/>
        <v>247</v>
      </c>
      <c r="AM228" s="92">
        <f t="shared" si="244"/>
        <v>248</v>
      </c>
      <c r="AN228" s="92">
        <f t="shared" si="244"/>
        <v>248</v>
      </c>
      <c r="AO228" s="92">
        <f t="shared" si="244"/>
        <v>248</v>
      </c>
      <c r="AP228" s="92">
        <f t="shared" si="244"/>
        <v>243</v>
      </c>
      <c r="AQ228" s="92">
        <f t="shared" si="244"/>
        <v>240</v>
      </c>
      <c r="AR228" s="92">
        <f t="shared" si="244"/>
        <v>236</v>
      </c>
      <c r="AS228" s="92">
        <f t="shared" si="244"/>
        <v>234</v>
      </c>
      <c r="AT228" s="92">
        <f t="shared" ref="AT228:BD228" si="245">+AT21+AT92</f>
        <v>0</v>
      </c>
      <c r="AU228" s="92">
        <f t="shared" si="245"/>
        <v>0</v>
      </c>
      <c r="AV228" s="92">
        <f t="shared" si="245"/>
        <v>0</v>
      </c>
      <c r="AW228" s="92">
        <f t="shared" si="245"/>
        <v>0</v>
      </c>
      <c r="AX228" s="92">
        <f t="shared" si="245"/>
        <v>0</v>
      </c>
      <c r="AY228" s="92">
        <f t="shared" si="245"/>
        <v>0</v>
      </c>
      <c r="AZ228" s="92">
        <f t="shared" si="245"/>
        <v>0</v>
      </c>
      <c r="BA228" s="92">
        <f t="shared" si="245"/>
        <v>0</v>
      </c>
      <c r="BB228" s="92">
        <f t="shared" si="245"/>
        <v>0</v>
      </c>
      <c r="BC228" s="92">
        <f t="shared" si="245"/>
        <v>0</v>
      </c>
      <c r="BD228" s="92">
        <f t="shared" si="245"/>
        <v>0</v>
      </c>
      <c r="BE228" s="92">
        <f t="shared" ref="BE228:BK228" si="246">+BE21+BE92</f>
        <v>0</v>
      </c>
      <c r="BF228" s="92">
        <f t="shared" si="246"/>
        <v>0</v>
      </c>
      <c r="BG228" s="92">
        <f t="shared" si="246"/>
        <v>0</v>
      </c>
      <c r="BH228" s="92">
        <f t="shared" si="246"/>
        <v>0</v>
      </c>
      <c r="BI228" s="92">
        <f t="shared" si="246"/>
        <v>0</v>
      </c>
      <c r="BJ228" s="92">
        <f t="shared" si="246"/>
        <v>0</v>
      </c>
      <c r="BK228" s="92">
        <f t="shared" si="246"/>
        <v>0</v>
      </c>
      <c r="BL228" s="92">
        <f t="shared" ref="BL228" si="247">+BL21+BL92</f>
        <v>0</v>
      </c>
    </row>
    <row r="229" spans="1:64" s="9" customFormat="1" ht="11.25">
      <c r="A229" s="342" t="s">
        <v>1018</v>
      </c>
      <c r="C229" s="335"/>
      <c r="D229" s="335"/>
      <c r="E229" s="335"/>
      <c r="F229" s="335"/>
      <c r="G229" s="335"/>
      <c r="H229" s="335"/>
      <c r="I229" s="335"/>
      <c r="J229" s="335"/>
      <c r="K229" s="335"/>
      <c r="L229" s="335"/>
      <c r="M229" s="335"/>
      <c r="N229" s="335"/>
      <c r="O229" s="335"/>
      <c r="P229" s="335"/>
      <c r="Q229" s="335"/>
      <c r="R229" s="335"/>
      <c r="S229" s="335"/>
      <c r="T229" s="335"/>
      <c r="U229" s="335"/>
      <c r="V229" s="335"/>
      <c r="W229" s="335"/>
      <c r="X229" s="335"/>
      <c r="Y229" s="335"/>
      <c r="Z229" s="335"/>
      <c r="AA229" s="335"/>
      <c r="AB229" s="335"/>
      <c r="AC229" s="335">
        <f t="shared" ref="AC229:AS229" si="248">+AC93+AC20</f>
        <v>0</v>
      </c>
      <c r="AD229" s="335">
        <f t="shared" si="248"/>
        <v>0</v>
      </c>
      <c r="AE229" s="335">
        <f t="shared" si="248"/>
        <v>0</v>
      </c>
      <c r="AF229" s="335">
        <f t="shared" si="248"/>
        <v>0</v>
      </c>
      <c r="AG229" s="335">
        <f t="shared" si="248"/>
        <v>0</v>
      </c>
      <c r="AH229" s="335">
        <f t="shared" si="248"/>
        <v>0</v>
      </c>
      <c r="AI229" s="92">
        <f t="shared" si="248"/>
        <v>0</v>
      </c>
      <c r="AJ229" s="92">
        <f t="shared" si="248"/>
        <v>0</v>
      </c>
      <c r="AK229" s="92">
        <f t="shared" si="248"/>
        <v>0</v>
      </c>
      <c r="AL229" s="92">
        <f t="shared" si="248"/>
        <v>0</v>
      </c>
      <c r="AM229" s="92">
        <f t="shared" si="248"/>
        <v>0</v>
      </c>
      <c r="AN229" s="92">
        <f t="shared" si="248"/>
        <v>0</v>
      </c>
      <c r="AO229" s="92">
        <f t="shared" si="248"/>
        <v>0</v>
      </c>
      <c r="AP229" s="92">
        <f t="shared" si="248"/>
        <v>0</v>
      </c>
      <c r="AQ229" s="92">
        <f t="shared" si="248"/>
        <v>239</v>
      </c>
      <c r="AR229" s="92">
        <f t="shared" si="248"/>
        <v>242</v>
      </c>
      <c r="AS229" s="92">
        <f t="shared" si="248"/>
        <v>244</v>
      </c>
      <c r="AT229" s="92">
        <f t="shared" ref="AT229:BD229" si="249">+AT93+AT20</f>
        <v>248</v>
      </c>
      <c r="AU229" s="92">
        <f t="shared" si="249"/>
        <v>251</v>
      </c>
      <c r="AV229" s="92">
        <f t="shared" si="249"/>
        <v>253</v>
      </c>
      <c r="AW229" s="92">
        <f t="shared" si="249"/>
        <v>253</v>
      </c>
      <c r="AX229" s="92">
        <f t="shared" si="249"/>
        <v>254</v>
      </c>
      <c r="AY229" s="92">
        <f t="shared" si="249"/>
        <v>252</v>
      </c>
      <c r="AZ229" s="92">
        <f t="shared" si="249"/>
        <v>257</v>
      </c>
      <c r="BA229" s="92">
        <f t="shared" si="249"/>
        <v>264</v>
      </c>
      <c r="BB229" s="92">
        <f t="shared" si="249"/>
        <v>266</v>
      </c>
      <c r="BC229" s="92">
        <f t="shared" si="249"/>
        <v>270</v>
      </c>
      <c r="BD229" s="92">
        <f t="shared" si="249"/>
        <v>269</v>
      </c>
      <c r="BE229" s="92">
        <f t="shared" ref="BE229:BK229" si="250">+BE93+BE20</f>
        <v>270</v>
      </c>
      <c r="BF229" s="92">
        <f t="shared" si="250"/>
        <v>274</v>
      </c>
      <c r="BG229" s="92">
        <f t="shared" si="250"/>
        <v>279</v>
      </c>
      <c r="BH229" s="92">
        <f t="shared" si="250"/>
        <v>280</v>
      </c>
      <c r="BI229" s="92">
        <f t="shared" si="250"/>
        <v>289</v>
      </c>
      <c r="BJ229" s="92">
        <f t="shared" si="250"/>
        <v>285</v>
      </c>
      <c r="BK229" s="92">
        <f t="shared" si="250"/>
        <v>285</v>
      </c>
      <c r="BL229" s="92">
        <f t="shared" ref="BL229" si="251">+BL93+BL20</f>
        <v>288</v>
      </c>
    </row>
    <row r="230" spans="1:64" s="9" customFormat="1" ht="11.25">
      <c r="A230" s="342" t="s">
        <v>1009</v>
      </c>
      <c r="C230" s="335"/>
      <c r="D230" s="335"/>
      <c r="E230" s="335"/>
      <c r="F230" s="335"/>
      <c r="G230" s="335"/>
      <c r="H230" s="335"/>
      <c r="I230" s="335"/>
      <c r="J230" s="335"/>
      <c r="K230" s="335"/>
      <c r="L230" s="335"/>
      <c r="M230" s="335"/>
      <c r="N230" s="335"/>
      <c r="O230" s="335"/>
      <c r="P230" s="335"/>
      <c r="Q230" s="335"/>
      <c r="R230" s="335"/>
      <c r="S230" s="335"/>
      <c r="T230" s="335"/>
      <c r="U230" s="335"/>
      <c r="V230" s="335"/>
      <c r="W230" s="335"/>
      <c r="X230" s="335"/>
      <c r="Y230" s="335"/>
      <c r="Z230" s="335"/>
      <c r="AA230" s="335"/>
      <c r="AB230" s="335"/>
      <c r="AC230" s="335">
        <f t="shared" ref="AC230:AS231" si="252">+AC22</f>
        <v>0</v>
      </c>
      <c r="AD230" s="335">
        <f t="shared" si="252"/>
        <v>0</v>
      </c>
      <c r="AE230" s="335">
        <f t="shared" si="252"/>
        <v>0</v>
      </c>
      <c r="AF230" s="335">
        <f t="shared" si="252"/>
        <v>0</v>
      </c>
      <c r="AG230" s="335">
        <f t="shared" si="252"/>
        <v>0</v>
      </c>
      <c r="AH230" s="335">
        <f t="shared" si="252"/>
        <v>0</v>
      </c>
      <c r="AI230" s="92">
        <f t="shared" si="252"/>
        <v>0</v>
      </c>
      <c r="AJ230" s="92">
        <f t="shared" si="252"/>
        <v>0</v>
      </c>
      <c r="AK230" s="92">
        <f t="shared" si="252"/>
        <v>0</v>
      </c>
      <c r="AL230" s="92">
        <f t="shared" si="252"/>
        <v>0</v>
      </c>
      <c r="AM230" s="92">
        <f t="shared" si="252"/>
        <v>0</v>
      </c>
      <c r="AN230" s="92">
        <f t="shared" si="252"/>
        <v>0</v>
      </c>
      <c r="AO230" s="92">
        <f t="shared" si="252"/>
        <v>0</v>
      </c>
      <c r="AP230" s="92">
        <f t="shared" si="252"/>
        <v>0</v>
      </c>
      <c r="AQ230" s="92">
        <f t="shared" si="252"/>
        <v>0</v>
      </c>
      <c r="AR230" s="92">
        <f t="shared" si="252"/>
        <v>0</v>
      </c>
      <c r="AS230" s="92">
        <f t="shared" si="252"/>
        <v>0</v>
      </c>
      <c r="AT230" s="92">
        <f t="shared" ref="AT230:BD230" si="253">+AT22</f>
        <v>0</v>
      </c>
      <c r="AU230" s="92">
        <f t="shared" si="253"/>
        <v>0</v>
      </c>
      <c r="AV230" s="92">
        <f t="shared" si="253"/>
        <v>0</v>
      </c>
      <c r="AW230" s="92">
        <f t="shared" si="253"/>
        <v>0</v>
      </c>
      <c r="AX230" s="92">
        <f t="shared" si="253"/>
        <v>0</v>
      </c>
      <c r="AY230" s="92">
        <f t="shared" si="253"/>
        <v>0</v>
      </c>
      <c r="AZ230" s="92">
        <f t="shared" si="253"/>
        <v>0</v>
      </c>
      <c r="BA230" s="92">
        <f t="shared" si="253"/>
        <v>0</v>
      </c>
      <c r="BB230" s="92">
        <f t="shared" si="253"/>
        <v>0</v>
      </c>
      <c r="BC230" s="92">
        <f t="shared" si="253"/>
        <v>0</v>
      </c>
      <c r="BD230" s="92">
        <f t="shared" si="253"/>
        <v>0</v>
      </c>
      <c r="BE230" s="92">
        <f t="shared" ref="BE230:BG231" si="254">+BE22</f>
        <v>0</v>
      </c>
      <c r="BF230" s="92">
        <f t="shared" si="254"/>
        <v>0</v>
      </c>
      <c r="BG230" s="92">
        <f t="shared" si="254"/>
        <v>0</v>
      </c>
      <c r="BH230" s="92">
        <f t="shared" ref="BH230:BI230" si="255">+BH22</f>
        <v>0</v>
      </c>
      <c r="BI230" s="92">
        <f t="shared" si="255"/>
        <v>0</v>
      </c>
      <c r="BJ230" s="92">
        <f t="shared" ref="BJ230:BK231" si="256">+BJ22</f>
        <v>0</v>
      </c>
      <c r="BK230" s="92">
        <f t="shared" si="256"/>
        <v>0</v>
      </c>
      <c r="BL230" s="92">
        <f t="shared" ref="BL230" si="257">+BL22</f>
        <v>0</v>
      </c>
    </row>
    <row r="231" spans="1:64" s="9" customFormat="1" ht="11.25">
      <c r="A231" s="342" t="s">
        <v>1010</v>
      </c>
      <c r="C231" s="335"/>
      <c r="D231" s="335"/>
      <c r="E231" s="335"/>
      <c r="F231" s="335"/>
      <c r="G231" s="335"/>
      <c r="H231" s="335"/>
      <c r="I231" s="335"/>
      <c r="J231" s="335"/>
      <c r="K231" s="335"/>
      <c r="L231" s="335"/>
      <c r="M231" s="335"/>
      <c r="N231" s="335"/>
      <c r="O231" s="335"/>
      <c r="P231" s="335"/>
      <c r="Q231" s="335"/>
      <c r="R231" s="335"/>
      <c r="S231" s="335"/>
      <c r="T231" s="335"/>
      <c r="U231" s="335"/>
      <c r="V231" s="335"/>
      <c r="W231" s="335"/>
      <c r="X231" s="335"/>
      <c r="Y231" s="335"/>
      <c r="Z231" s="335"/>
      <c r="AA231" s="335"/>
      <c r="AB231" s="335"/>
      <c r="AC231" s="335">
        <f t="shared" ref="AC231:AR231" si="258">+AC23</f>
        <v>11</v>
      </c>
      <c r="AD231" s="335">
        <f t="shared" si="258"/>
        <v>11</v>
      </c>
      <c r="AE231" s="335">
        <f t="shared" si="258"/>
        <v>11</v>
      </c>
      <c r="AF231" s="335">
        <f t="shared" si="258"/>
        <v>12</v>
      </c>
      <c r="AG231" s="335">
        <f t="shared" si="258"/>
        <v>12</v>
      </c>
      <c r="AH231" s="335">
        <f t="shared" si="258"/>
        <v>13</v>
      </c>
      <c r="AI231" s="92">
        <f t="shared" si="258"/>
        <v>13</v>
      </c>
      <c r="AJ231" s="92">
        <f t="shared" si="258"/>
        <v>13</v>
      </c>
      <c r="AK231" s="92">
        <f t="shared" si="258"/>
        <v>13</v>
      </c>
      <c r="AL231" s="92">
        <f t="shared" si="258"/>
        <v>13</v>
      </c>
      <c r="AM231" s="92">
        <f t="shared" si="258"/>
        <v>13</v>
      </c>
      <c r="AN231" s="92">
        <f t="shared" si="258"/>
        <v>13</v>
      </c>
      <c r="AO231" s="92">
        <f t="shared" si="258"/>
        <v>14</v>
      </c>
      <c r="AP231" s="92">
        <f t="shared" si="258"/>
        <v>14</v>
      </c>
      <c r="AQ231" s="92">
        <f t="shared" si="258"/>
        <v>14</v>
      </c>
      <c r="AR231" s="92">
        <f t="shared" si="258"/>
        <v>14</v>
      </c>
      <c r="AS231" s="92">
        <f t="shared" si="252"/>
        <v>14</v>
      </c>
      <c r="AT231" s="92">
        <f t="shared" ref="AT231:BD231" si="259">+AT23</f>
        <v>15</v>
      </c>
      <c r="AU231" s="92">
        <f t="shared" si="259"/>
        <v>15</v>
      </c>
      <c r="AV231" s="92">
        <f t="shared" si="259"/>
        <v>15</v>
      </c>
      <c r="AW231" s="92">
        <f t="shared" si="259"/>
        <v>15</v>
      </c>
      <c r="AX231" s="92">
        <f t="shared" si="259"/>
        <v>17</v>
      </c>
      <c r="AY231" s="92">
        <f t="shared" si="259"/>
        <v>17</v>
      </c>
      <c r="AZ231" s="92">
        <f t="shared" si="259"/>
        <v>17</v>
      </c>
      <c r="BA231" s="92">
        <f t="shared" si="259"/>
        <v>16</v>
      </c>
      <c r="BB231" s="92">
        <f t="shared" si="259"/>
        <v>16</v>
      </c>
      <c r="BC231" s="92">
        <f t="shared" si="259"/>
        <v>16</v>
      </c>
      <c r="BD231" s="92">
        <f t="shared" si="259"/>
        <v>16</v>
      </c>
      <c r="BE231" s="92">
        <f t="shared" si="254"/>
        <v>16</v>
      </c>
      <c r="BF231" s="92">
        <f t="shared" si="254"/>
        <v>16</v>
      </c>
      <c r="BG231" s="92">
        <f t="shared" si="254"/>
        <v>16</v>
      </c>
      <c r="BH231" s="92">
        <f t="shared" ref="BH231:BI231" si="260">+BH23</f>
        <v>16</v>
      </c>
      <c r="BI231" s="92">
        <f t="shared" si="260"/>
        <v>16</v>
      </c>
      <c r="BJ231" s="92">
        <f t="shared" ref="BJ231" si="261">+BJ23</f>
        <v>16</v>
      </c>
      <c r="BK231" s="92">
        <f t="shared" si="256"/>
        <v>16</v>
      </c>
      <c r="BL231" s="92">
        <f t="shared" ref="BL231" si="262">+BL23</f>
        <v>17</v>
      </c>
    </row>
    <row r="232" spans="1:64" s="9" customFormat="1" ht="11.25">
      <c r="A232" s="342" t="s">
        <v>1011</v>
      </c>
      <c r="C232" s="335"/>
      <c r="D232" s="335"/>
      <c r="E232" s="335"/>
      <c r="F232" s="335"/>
      <c r="G232" s="335"/>
      <c r="H232" s="335"/>
      <c r="I232" s="335"/>
      <c r="J232" s="335"/>
      <c r="K232" s="335"/>
      <c r="L232" s="335"/>
      <c r="M232" s="335"/>
      <c r="N232" s="335"/>
      <c r="O232" s="335"/>
      <c r="P232" s="335"/>
      <c r="Q232" s="335"/>
      <c r="R232" s="335"/>
      <c r="S232" s="335"/>
      <c r="T232" s="335"/>
      <c r="U232" s="335"/>
      <c r="V232" s="335"/>
      <c r="W232" s="335"/>
      <c r="X232" s="335"/>
      <c r="Y232" s="335"/>
      <c r="Z232" s="335"/>
      <c r="AA232" s="335"/>
      <c r="AB232" s="335"/>
      <c r="AC232" s="335">
        <f t="shared" ref="AC232:AP232" si="263">+AC24</f>
        <v>5</v>
      </c>
      <c r="AD232" s="335">
        <f t="shared" si="263"/>
        <v>5</v>
      </c>
      <c r="AE232" s="335">
        <f t="shared" si="263"/>
        <v>5</v>
      </c>
      <c r="AF232" s="335">
        <f t="shared" si="263"/>
        <v>5</v>
      </c>
      <c r="AG232" s="335">
        <f t="shared" si="263"/>
        <v>5</v>
      </c>
      <c r="AH232" s="335">
        <f t="shared" si="263"/>
        <v>5</v>
      </c>
      <c r="AI232" s="92">
        <f t="shared" si="263"/>
        <v>5</v>
      </c>
      <c r="AJ232" s="92">
        <f t="shared" si="263"/>
        <v>5</v>
      </c>
      <c r="AK232" s="92">
        <f t="shared" si="263"/>
        <v>5</v>
      </c>
      <c r="AL232" s="92">
        <f t="shared" si="263"/>
        <v>5</v>
      </c>
      <c r="AM232" s="92">
        <f t="shared" si="263"/>
        <v>5</v>
      </c>
      <c r="AN232" s="92">
        <f t="shared" si="263"/>
        <v>5</v>
      </c>
      <c r="AO232" s="92">
        <f t="shared" si="263"/>
        <v>5</v>
      </c>
      <c r="AP232" s="92">
        <f t="shared" si="263"/>
        <v>5</v>
      </c>
      <c r="AQ232" s="92">
        <f t="shared" ref="AQ232:BD232" si="264">+AQ24+AQ94</f>
        <v>21</v>
      </c>
      <c r="AR232" s="92">
        <f t="shared" si="264"/>
        <v>21</v>
      </c>
      <c r="AS232" s="92">
        <f t="shared" si="264"/>
        <v>22</v>
      </c>
      <c r="AT232" s="92">
        <f t="shared" si="264"/>
        <v>23</v>
      </c>
      <c r="AU232" s="92">
        <f t="shared" si="264"/>
        <v>24</v>
      </c>
      <c r="AV232" s="92">
        <f t="shared" si="264"/>
        <v>24</v>
      </c>
      <c r="AW232" s="92">
        <f t="shared" si="264"/>
        <v>24</v>
      </c>
      <c r="AX232" s="92">
        <f t="shared" si="264"/>
        <v>27</v>
      </c>
      <c r="AY232" s="92">
        <f t="shared" si="264"/>
        <v>27</v>
      </c>
      <c r="AZ232" s="92">
        <f t="shared" si="264"/>
        <v>27</v>
      </c>
      <c r="BA232" s="92">
        <f t="shared" si="264"/>
        <v>30</v>
      </c>
      <c r="BB232" s="92">
        <f t="shared" si="264"/>
        <v>32</v>
      </c>
      <c r="BC232" s="92">
        <f t="shared" si="264"/>
        <v>33</v>
      </c>
      <c r="BD232" s="92">
        <f t="shared" si="264"/>
        <v>34</v>
      </c>
      <c r="BE232" s="92">
        <f t="shared" ref="BE232:BK232" si="265">+BE24+BE94</f>
        <v>35</v>
      </c>
      <c r="BF232" s="92">
        <f t="shared" si="265"/>
        <v>37</v>
      </c>
      <c r="BG232" s="92">
        <f t="shared" si="265"/>
        <v>39</v>
      </c>
      <c r="BH232" s="92">
        <f t="shared" si="265"/>
        <v>41</v>
      </c>
      <c r="BI232" s="92">
        <f t="shared" si="265"/>
        <v>42</v>
      </c>
      <c r="BJ232" s="92">
        <f t="shared" si="265"/>
        <v>86</v>
      </c>
      <c r="BK232" s="92">
        <f t="shared" si="265"/>
        <v>85</v>
      </c>
      <c r="BL232" s="92">
        <f t="shared" ref="BL232" si="266">+BL24+BL94</f>
        <v>85</v>
      </c>
    </row>
    <row r="233" spans="1:64" s="9" customFormat="1" ht="11.25">
      <c r="A233" s="342" t="s">
        <v>1012</v>
      </c>
      <c r="C233" s="335"/>
      <c r="D233" s="335"/>
      <c r="E233" s="335"/>
      <c r="F233" s="335"/>
      <c r="G233" s="335"/>
      <c r="H233" s="335"/>
      <c r="I233" s="335"/>
      <c r="J233" s="335"/>
      <c r="K233" s="335"/>
      <c r="L233" s="335"/>
      <c r="M233" s="335"/>
      <c r="N233" s="335"/>
      <c r="O233" s="335"/>
      <c r="P233" s="335"/>
      <c r="Q233" s="335"/>
      <c r="R233" s="335"/>
      <c r="S233" s="335"/>
      <c r="T233" s="335"/>
      <c r="U233" s="335"/>
      <c r="V233" s="335"/>
      <c r="W233" s="335"/>
      <c r="X233" s="335"/>
      <c r="Y233" s="335"/>
      <c r="Z233" s="335"/>
      <c r="AA233" s="335"/>
      <c r="AB233" s="335"/>
      <c r="AC233" s="335">
        <f t="shared" ref="AC233:AP233" si="267">+AC25</f>
        <v>0</v>
      </c>
      <c r="AD233" s="335">
        <f t="shared" si="267"/>
        <v>0</v>
      </c>
      <c r="AE233" s="335">
        <f t="shared" si="267"/>
        <v>0</v>
      </c>
      <c r="AF233" s="335">
        <f t="shared" si="267"/>
        <v>0</v>
      </c>
      <c r="AG233" s="335">
        <f t="shared" si="267"/>
        <v>0</v>
      </c>
      <c r="AH233" s="335">
        <f t="shared" si="267"/>
        <v>0</v>
      </c>
      <c r="AI233" s="92">
        <f t="shared" si="267"/>
        <v>0</v>
      </c>
      <c r="AJ233" s="92">
        <f t="shared" si="267"/>
        <v>0</v>
      </c>
      <c r="AK233" s="92">
        <f t="shared" si="267"/>
        <v>0</v>
      </c>
      <c r="AL233" s="92">
        <f t="shared" si="267"/>
        <v>0</v>
      </c>
      <c r="AM233" s="92">
        <f t="shared" si="267"/>
        <v>0</v>
      </c>
      <c r="AN233" s="92">
        <f t="shared" si="267"/>
        <v>0</v>
      </c>
      <c r="AO233" s="92">
        <f t="shared" si="267"/>
        <v>0</v>
      </c>
      <c r="AP233" s="92">
        <f t="shared" si="267"/>
        <v>0</v>
      </c>
      <c r="AQ233" s="92">
        <f t="shared" ref="AQ233:BD233" si="268">+AQ25</f>
        <v>0</v>
      </c>
      <c r="AR233" s="92">
        <f t="shared" si="268"/>
        <v>0</v>
      </c>
      <c r="AS233" s="92">
        <f t="shared" si="268"/>
        <v>0</v>
      </c>
      <c r="AT233" s="92">
        <f t="shared" si="268"/>
        <v>0</v>
      </c>
      <c r="AU233" s="92">
        <f t="shared" si="268"/>
        <v>0</v>
      </c>
      <c r="AV233" s="92">
        <f t="shared" si="268"/>
        <v>0</v>
      </c>
      <c r="AW233" s="92">
        <f t="shared" si="268"/>
        <v>0</v>
      </c>
      <c r="AX233" s="92">
        <f t="shared" si="268"/>
        <v>0</v>
      </c>
      <c r="AY233" s="92">
        <f t="shared" si="268"/>
        <v>0</v>
      </c>
      <c r="AZ233" s="92">
        <f t="shared" si="268"/>
        <v>0</v>
      </c>
      <c r="BA233" s="92">
        <f t="shared" si="268"/>
        <v>0</v>
      </c>
      <c r="BB233" s="92">
        <f t="shared" si="268"/>
        <v>0</v>
      </c>
      <c r="BC233" s="92">
        <f t="shared" si="268"/>
        <v>0</v>
      </c>
      <c r="BD233" s="92">
        <f t="shared" si="268"/>
        <v>0</v>
      </c>
      <c r="BE233" s="92">
        <f t="shared" ref="BE233:BK233" si="269">+BE25</f>
        <v>0</v>
      </c>
      <c r="BF233" s="92">
        <f t="shared" si="269"/>
        <v>0</v>
      </c>
      <c r="BG233" s="92">
        <f t="shared" si="269"/>
        <v>0</v>
      </c>
      <c r="BH233" s="92">
        <f t="shared" si="269"/>
        <v>0</v>
      </c>
      <c r="BI233" s="92">
        <f t="shared" si="269"/>
        <v>0</v>
      </c>
      <c r="BJ233" s="92">
        <f t="shared" si="269"/>
        <v>0</v>
      </c>
      <c r="BK233" s="92">
        <f t="shared" si="269"/>
        <v>0</v>
      </c>
      <c r="BL233" s="92">
        <f t="shared" ref="BL233" si="270">+BL25</f>
        <v>0</v>
      </c>
    </row>
    <row r="234" spans="1:64" s="9" customFormat="1" ht="11.25">
      <c r="A234" s="342" t="s">
        <v>1019</v>
      </c>
      <c r="C234" s="335"/>
      <c r="D234" s="335"/>
      <c r="E234" s="335"/>
      <c r="F234" s="335"/>
      <c r="G234" s="335"/>
      <c r="H234" s="335"/>
      <c r="I234" s="335"/>
      <c r="J234" s="335"/>
      <c r="K234" s="335"/>
      <c r="L234" s="335"/>
      <c r="M234" s="335"/>
      <c r="N234" s="335"/>
      <c r="O234" s="335"/>
      <c r="P234" s="335"/>
      <c r="Q234" s="335"/>
      <c r="R234" s="335"/>
      <c r="S234" s="335"/>
      <c r="T234" s="335"/>
      <c r="U234" s="335"/>
      <c r="V234" s="335"/>
      <c r="W234" s="335"/>
      <c r="X234" s="335"/>
      <c r="Y234" s="335"/>
      <c r="Z234" s="335"/>
      <c r="AA234" s="335"/>
      <c r="AB234" s="335"/>
      <c r="AC234" s="335">
        <f t="shared" ref="AC234:BA234" si="271">+AC95</f>
        <v>124</v>
      </c>
      <c r="AD234" s="335">
        <f t="shared" si="271"/>
        <v>127</v>
      </c>
      <c r="AE234" s="335">
        <f t="shared" si="271"/>
        <v>125</v>
      </c>
      <c r="AF234" s="335">
        <f t="shared" si="271"/>
        <v>125</v>
      </c>
      <c r="AG234" s="335">
        <f t="shared" si="271"/>
        <v>126</v>
      </c>
      <c r="AH234" s="335">
        <f t="shared" si="271"/>
        <v>129</v>
      </c>
      <c r="AI234" s="92">
        <f t="shared" si="271"/>
        <v>129</v>
      </c>
      <c r="AJ234" s="92">
        <f t="shared" si="271"/>
        <v>134</v>
      </c>
      <c r="AK234" s="92">
        <f t="shared" si="271"/>
        <v>133</v>
      </c>
      <c r="AL234" s="92">
        <f t="shared" si="271"/>
        <v>136</v>
      </c>
      <c r="AM234" s="92">
        <f t="shared" si="271"/>
        <v>133</v>
      </c>
      <c r="AN234" s="92">
        <f t="shared" si="271"/>
        <v>129</v>
      </c>
      <c r="AO234" s="92">
        <f t="shared" si="271"/>
        <v>129</v>
      </c>
      <c r="AP234" s="92">
        <f t="shared" si="271"/>
        <v>129</v>
      </c>
      <c r="AQ234" s="92">
        <f t="shared" si="271"/>
        <v>131</v>
      </c>
      <c r="AR234" s="92">
        <f t="shared" si="271"/>
        <v>134</v>
      </c>
      <c r="AS234" s="92">
        <f t="shared" si="271"/>
        <v>135</v>
      </c>
      <c r="AT234" s="92">
        <f t="shared" si="271"/>
        <v>131</v>
      </c>
      <c r="AU234" s="92">
        <f t="shared" si="271"/>
        <v>129</v>
      </c>
      <c r="AV234" s="92">
        <f t="shared" si="271"/>
        <v>126</v>
      </c>
      <c r="AW234" s="92">
        <f t="shared" si="271"/>
        <v>125</v>
      </c>
      <c r="AX234" s="92">
        <f t="shared" si="271"/>
        <v>128</v>
      </c>
      <c r="AY234" s="92">
        <f t="shared" si="271"/>
        <v>127</v>
      </c>
      <c r="AZ234" s="92">
        <f t="shared" si="271"/>
        <v>127</v>
      </c>
      <c r="BA234" s="92">
        <f t="shared" si="271"/>
        <v>128</v>
      </c>
      <c r="BB234" s="92">
        <f t="shared" ref="BB234:BC238" si="272">+BB95</f>
        <v>128</v>
      </c>
      <c r="BC234" s="92">
        <f t="shared" si="272"/>
        <v>127</v>
      </c>
      <c r="BD234" s="92">
        <f t="shared" ref="BD234:BE238" si="273">+BD95</f>
        <v>127</v>
      </c>
      <c r="BE234" s="92">
        <f t="shared" si="273"/>
        <v>124</v>
      </c>
      <c r="BF234" s="92">
        <f t="shared" ref="BF234:BG238" si="274">+BF95</f>
        <v>121</v>
      </c>
      <c r="BG234" s="92">
        <f t="shared" si="274"/>
        <v>117</v>
      </c>
      <c r="BH234" s="92">
        <f t="shared" ref="BH234:BI234" si="275">+BH95</f>
        <v>115</v>
      </c>
      <c r="BI234" s="92">
        <f t="shared" si="275"/>
        <v>116</v>
      </c>
      <c r="BJ234" s="92">
        <f t="shared" ref="BJ234:BK238" si="276">+BJ95</f>
        <v>118</v>
      </c>
      <c r="BK234" s="92">
        <f t="shared" si="276"/>
        <v>115</v>
      </c>
      <c r="BL234" s="92">
        <f t="shared" ref="BL234" si="277">+BL95</f>
        <v>114</v>
      </c>
    </row>
    <row r="235" spans="1:64" s="9" customFormat="1" ht="11.25">
      <c r="A235" s="342" t="s">
        <v>1016</v>
      </c>
      <c r="C235" s="335"/>
      <c r="D235" s="335"/>
      <c r="E235" s="335"/>
      <c r="F235" s="335"/>
      <c r="G235" s="335"/>
      <c r="H235" s="335"/>
      <c r="I235" s="335"/>
      <c r="J235" s="335"/>
      <c r="K235" s="335"/>
      <c r="L235" s="335"/>
      <c r="M235" s="335"/>
      <c r="N235" s="335"/>
      <c r="O235" s="335"/>
      <c r="P235" s="335"/>
      <c r="Q235" s="335"/>
      <c r="R235" s="335"/>
      <c r="S235" s="335"/>
      <c r="T235" s="335"/>
      <c r="U235" s="335"/>
      <c r="V235" s="335"/>
      <c r="W235" s="335"/>
      <c r="X235" s="335"/>
      <c r="Y235" s="335"/>
      <c r="Z235" s="335"/>
      <c r="AA235" s="335"/>
      <c r="AB235" s="335"/>
      <c r="AC235" s="335">
        <f t="shared" ref="AC235:AR235" si="278">+AC96</f>
        <v>0</v>
      </c>
      <c r="AD235" s="335">
        <f t="shared" si="278"/>
        <v>0</v>
      </c>
      <c r="AE235" s="335">
        <f t="shared" si="278"/>
        <v>0</v>
      </c>
      <c r="AF235" s="335">
        <f t="shared" si="278"/>
        <v>0</v>
      </c>
      <c r="AG235" s="335">
        <f t="shared" si="278"/>
        <v>0</v>
      </c>
      <c r="AH235" s="335">
        <f t="shared" si="278"/>
        <v>0</v>
      </c>
      <c r="AI235" s="92">
        <f t="shared" si="278"/>
        <v>0</v>
      </c>
      <c r="AJ235" s="92">
        <f t="shared" si="278"/>
        <v>0</v>
      </c>
      <c r="AK235" s="92">
        <f t="shared" si="278"/>
        <v>0</v>
      </c>
      <c r="AL235" s="92">
        <f t="shared" si="278"/>
        <v>0</v>
      </c>
      <c r="AM235" s="92">
        <f t="shared" si="278"/>
        <v>0</v>
      </c>
      <c r="AN235" s="92">
        <f t="shared" si="278"/>
        <v>0</v>
      </c>
      <c r="AO235" s="92">
        <f t="shared" si="278"/>
        <v>0</v>
      </c>
      <c r="AP235" s="92">
        <f t="shared" si="278"/>
        <v>0</v>
      </c>
      <c r="AQ235" s="92">
        <f t="shared" si="278"/>
        <v>0</v>
      </c>
      <c r="AR235" s="92">
        <f t="shared" si="278"/>
        <v>0</v>
      </c>
      <c r="AS235" s="92">
        <f t="shared" ref="AS235:BB235" si="279">+AS96</f>
        <v>0</v>
      </c>
      <c r="AT235" s="92">
        <f t="shared" si="279"/>
        <v>0</v>
      </c>
      <c r="AU235" s="92">
        <f t="shared" si="279"/>
        <v>0</v>
      </c>
      <c r="AV235" s="92">
        <f t="shared" si="279"/>
        <v>0</v>
      </c>
      <c r="AW235" s="92">
        <f t="shared" si="279"/>
        <v>0</v>
      </c>
      <c r="AX235" s="92">
        <f t="shared" si="279"/>
        <v>0</v>
      </c>
      <c r="AY235" s="92">
        <f t="shared" si="279"/>
        <v>0</v>
      </c>
      <c r="AZ235" s="92">
        <f t="shared" si="279"/>
        <v>0</v>
      </c>
      <c r="BA235" s="92">
        <f t="shared" si="279"/>
        <v>0</v>
      </c>
      <c r="BB235" s="92">
        <f t="shared" si="279"/>
        <v>0</v>
      </c>
      <c r="BC235" s="92">
        <f t="shared" si="272"/>
        <v>0</v>
      </c>
      <c r="BD235" s="92">
        <f t="shared" si="273"/>
        <v>0</v>
      </c>
      <c r="BE235" s="92">
        <f t="shared" si="273"/>
        <v>0</v>
      </c>
      <c r="BF235" s="92">
        <f t="shared" si="274"/>
        <v>0</v>
      </c>
      <c r="BG235" s="92">
        <f t="shared" si="274"/>
        <v>0</v>
      </c>
      <c r="BH235" s="92">
        <f t="shared" ref="BH235:BI235" si="280">+BH96</f>
        <v>0</v>
      </c>
      <c r="BI235" s="92">
        <f t="shared" si="280"/>
        <v>0</v>
      </c>
      <c r="BJ235" s="92">
        <f t="shared" ref="BJ235" si="281">+BJ96</f>
        <v>0</v>
      </c>
      <c r="BK235" s="92">
        <f t="shared" si="276"/>
        <v>0</v>
      </c>
      <c r="BL235" s="92">
        <f t="shared" ref="BL235" si="282">+BL96</f>
        <v>0</v>
      </c>
    </row>
    <row r="236" spans="1:64" s="9" customFormat="1" ht="11.25">
      <c r="A236" s="342" t="s">
        <v>1015</v>
      </c>
      <c r="C236" s="335"/>
      <c r="D236" s="335"/>
      <c r="E236" s="335"/>
      <c r="F236" s="335"/>
      <c r="G236" s="335"/>
      <c r="H236" s="335"/>
      <c r="I236" s="335"/>
      <c r="J236" s="335"/>
      <c r="K236" s="335"/>
      <c r="L236" s="335"/>
      <c r="M236" s="335"/>
      <c r="N236" s="335"/>
      <c r="O236" s="335"/>
      <c r="P236" s="335"/>
      <c r="Q236" s="335"/>
      <c r="R236" s="335"/>
      <c r="S236" s="335"/>
      <c r="T236" s="335"/>
      <c r="U236" s="335"/>
      <c r="V236" s="335"/>
      <c r="W236" s="335"/>
      <c r="X236" s="335"/>
      <c r="Y236" s="335"/>
      <c r="Z236" s="335"/>
      <c r="AA236" s="335"/>
      <c r="AB236" s="335"/>
      <c r="AC236" s="335">
        <f t="shared" ref="AC236:AR236" si="283">+AC97</f>
        <v>0</v>
      </c>
      <c r="AD236" s="335">
        <f t="shared" si="283"/>
        <v>0</v>
      </c>
      <c r="AE236" s="335">
        <f t="shared" si="283"/>
        <v>0</v>
      </c>
      <c r="AF236" s="335">
        <f t="shared" si="283"/>
        <v>0</v>
      </c>
      <c r="AG236" s="335">
        <f t="shared" si="283"/>
        <v>0</v>
      </c>
      <c r="AH236" s="335">
        <f t="shared" si="283"/>
        <v>0</v>
      </c>
      <c r="AI236" s="92">
        <f t="shared" si="283"/>
        <v>0</v>
      </c>
      <c r="AJ236" s="92">
        <f t="shared" si="283"/>
        <v>0</v>
      </c>
      <c r="AK236" s="92">
        <f t="shared" si="283"/>
        <v>0</v>
      </c>
      <c r="AL236" s="92">
        <f t="shared" si="283"/>
        <v>0</v>
      </c>
      <c r="AM236" s="92">
        <f t="shared" si="283"/>
        <v>0</v>
      </c>
      <c r="AN236" s="92">
        <f t="shared" si="283"/>
        <v>0</v>
      </c>
      <c r="AO236" s="92">
        <f t="shared" si="283"/>
        <v>0</v>
      </c>
      <c r="AP236" s="92">
        <f t="shared" si="283"/>
        <v>0</v>
      </c>
      <c r="AQ236" s="92">
        <f t="shared" si="283"/>
        <v>0</v>
      </c>
      <c r="AR236" s="92">
        <f t="shared" si="283"/>
        <v>0</v>
      </c>
      <c r="AS236" s="92">
        <f t="shared" ref="AS236:BB236" si="284">+AS97</f>
        <v>0</v>
      </c>
      <c r="AT236" s="92">
        <f t="shared" si="284"/>
        <v>0</v>
      </c>
      <c r="AU236" s="92">
        <f t="shared" si="284"/>
        <v>0</v>
      </c>
      <c r="AV236" s="92">
        <f t="shared" si="284"/>
        <v>0</v>
      </c>
      <c r="AW236" s="92">
        <f t="shared" si="284"/>
        <v>0</v>
      </c>
      <c r="AX236" s="92">
        <f t="shared" si="284"/>
        <v>0</v>
      </c>
      <c r="AY236" s="92">
        <f t="shared" si="284"/>
        <v>0</v>
      </c>
      <c r="AZ236" s="92">
        <f t="shared" si="284"/>
        <v>0</v>
      </c>
      <c r="BA236" s="92">
        <f t="shared" si="284"/>
        <v>0</v>
      </c>
      <c r="BB236" s="92">
        <f t="shared" si="284"/>
        <v>0</v>
      </c>
      <c r="BC236" s="92">
        <f t="shared" si="272"/>
        <v>0</v>
      </c>
      <c r="BD236" s="92">
        <f t="shared" si="273"/>
        <v>0</v>
      </c>
      <c r="BE236" s="92">
        <f t="shared" si="273"/>
        <v>0</v>
      </c>
      <c r="BF236" s="92">
        <f t="shared" si="274"/>
        <v>0</v>
      </c>
      <c r="BG236" s="92">
        <f t="shared" si="274"/>
        <v>0</v>
      </c>
      <c r="BH236" s="92">
        <f t="shared" ref="BH236:BI236" si="285">+BH97</f>
        <v>0</v>
      </c>
      <c r="BI236" s="92">
        <f t="shared" si="285"/>
        <v>0</v>
      </c>
      <c r="BJ236" s="92">
        <f t="shared" ref="BJ236" si="286">+BJ97</f>
        <v>0</v>
      </c>
      <c r="BK236" s="92">
        <f t="shared" si="276"/>
        <v>0</v>
      </c>
      <c r="BL236" s="92">
        <f t="shared" ref="BL236" si="287">+BL97</f>
        <v>0</v>
      </c>
    </row>
    <row r="237" spans="1:64" s="9" customFormat="1" ht="11.25">
      <c r="A237" s="342" t="s">
        <v>1017</v>
      </c>
      <c r="C237" s="335"/>
      <c r="D237" s="335"/>
      <c r="E237" s="335"/>
      <c r="F237" s="335"/>
      <c r="G237" s="335"/>
      <c r="H237" s="335"/>
      <c r="I237" s="335"/>
      <c r="J237" s="335"/>
      <c r="K237" s="335"/>
      <c r="L237" s="335"/>
      <c r="M237" s="335"/>
      <c r="N237" s="335"/>
      <c r="O237" s="335"/>
      <c r="P237" s="335"/>
      <c r="Q237" s="335"/>
      <c r="R237" s="335"/>
      <c r="S237" s="335"/>
      <c r="T237" s="335"/>
      <c r="U237" s="335"/>
      <c r="V237" s="335"/>
      <c r="W237" s="335"/>
      <c r="X237" s="335"/>
      <c r="Y237" s="335"/>
      <c r="Z237" s="335"/>
      <c r="AA237" s="335"/>
      <c r="AB237" s="335"/>
      <c r="AC237" s="335">
        <f t="shared" ref="AC237:AR237" si="288">+AC98</f>
        <v>11</v>
      </c>
      <c r="AD237" s="335">
        <f t="shared" si="288"/>
        <v>11</v>
      </c>
      <c r="AE237" s="335">
        <f t="shared" si="288"/>
        <v>11</v>
      </c>
      <c r="AF237" s="335">
        <f t="shared" si="288"/>
        <v>10</v>
      </c>
      <c r="AG237" s="335">
        <f t="shared" si="288"/>
        <v>10</v>
      </c>
      <c r="AH237" s="335">
        <f t="shared" si="288"/>
        <v>9</v>
      </c>
      <c r="AI237" s="92">
        <f t="shared" si="288"/>
        <v>8</v>
      </c>
      <c r="AJ237" s="92">
        <f t="shared" si="288"/>
        <v>8</v>
      </c>
      <c r="AK237" s="92">
        <f t="shared" si="288"/>
        <v>9</v>
      </c>
      <c r="AL237" s="92">
        <f t="shared" si="288"/>
        <v>9</v>
      </c>
      <c r="AM237" s="92">
        <f t="shared" si="288"/>
        <v>9</v>
      </c>
      <c r="AN237" s="92">
        <f t="shared" si="288"/>
        <v>8</v>
      </c>
      <c r="AO237" s="92">
        <f t="shared" si="288"/>
        <v>8</v>
      </c>
      <c r="AP237" s="92">
        <f t="shared" si="288"/>
        <v>8</v>
      </c>
      <c r="AQ237" s="92">
        <f t="shared" si="288"/>
        <v>8</v>
      </c>
      <c r="AR237" s="92">
        <f t="shared" si="288"/>
        <v>8</v>
      </c>
      <c r="AS237" s="92">
        <f t="shared" ref="AS237:BB237" si="289">+AS98</f>
        <v>7</v>
      </c>
      <c r="AT237" s="92">
        <f t="shared" si="289"/>
        <v>8</v>
      </c>
      <c r="AU237" s="92">
        <f t="shared" si="289"/>
        <v>9</v>
      </c>
      <c r="AV237" s="92">
        <f t="shared" si="289"/>
        <v>9</v>
      </c>
      <c r="AW237" s="92">
        <f t="shared" si="289"/>
        <v>10</v>
      </c>
      <c r="AX237" s="92">
        <f t="shared" si="289"/>
        <v>0</v>
      </c>
      <c r="AY237" s="92">
        <f t="shared" si="289"/>
        <v>0</v>
      </c>
      <c r="AZ237" s="92">
        <f t="shared" si="289"/>
        <v>0</v>
      </c>
      <c r="BA237" s="92">
        <f t="shared" si="289"/>
        <v>0</v>
      </c>
      <c r="BB237" s="92">
        <f t="shared" si="289"/>
        <v>0</v>
      </c>
      <c r="BC237" s="92">
        <f t="shared" si="272"/>
        <v>0</v>
      </c>
      <c r="BD237" s="92">
        <f t="shared" si="273"/>
        <v>0</v>
      </c>
      <c r="BE237" s="92">
        <f t="shared" si="273"/>
        <v>0</v>
      </c>
      <c r="BF237" s="92">
        <f t="shared" si="274"/>
        <v>0</v>
      </c>
      <c r="BG237" s="92">
        <f t="shared" si="274"/>
        <v>0</v>
      </c>
      <c r="BH237" s="92">
        <f t="shared" ref="BH237:BI237" si="290">+BH98</f>
        <v>0</v>
      </c>
      <c r="BI237" s="92">
        <f t="shared" si="290"/>
        <v>0</v>
      </c>
      <c r="BJ237" s="92">
        <f t="shared" ref="BJ237" si="291">+BJ98</f>
        <v>0</v>
      </c>
      <c r="BK237" s="92">
        <f t="shared" si="276"/>
        <v>0</v>
      </c>
      <c r="BL237" s="92">
        <f t="shared" ref="BL237" si="292">+BL98</f>
        <v>0</v>
      </c>
    </row>
    <row r="238" spans="1:64" s="9" customFormat="1" ht="11.25">
      <c r="A238" s="342" t="s">
        <v>1120</v>
      </c>
      <c r="C238" s="335"/>
      <c r="D238" s="335"/>
      <c r="E238" s="335"/>
      <c r="F238" s="335"/>
      <c r="G238" s="335"/>
      <c r="H238" s="335"/>
      <c r="I238" s="335"/>
      <c r="J238" s="335"/>
      <c r="K238" s="335"/>
      <c r="L238" s="335"/>
      <c r="M238" s="335"/>
      <c r="N238" s="335"/>
      <c r="O238" s="335"/>
      <c r="P238" s="335"/>
      <c r="Q238" s="335"/>
      <c r="R238" s="335"/>
      <c r="S238" s="335"/>
      <c r="T238" s="335"/>
      <c r="U238" s="335"/>
      <c r="V238" s="335"/>
      <c r="W238" s="335"/>
      <c r="X238" s="335"/>
      <c r="Y238" s="335"/>
      <c r="Z238" s="335"/>
      <c r="AA238" s="335"/>
      <c r="AB238" s="335"/>
      <c r="AC238" s="335"/>
      <c r="AD238" s="335"/>
      <c r="AE238" s="335"/>
      <c r="AF238" s="335"/>
      <c r="AG238" s="335"/>
      <c r="AH238" s="335"/>
      <c r="AI238" s="92"/>
      <c r="AJ238" s="92"/>
      <c r="AK238" s="92"/>
      <c r="AL238" s="92"/>
      <c r="AM238" s="92"/>
      <c r="AN238" s="92"/>
      <c r="AO238" s="92"/>
      <c r="AP238" s="92"/>
      <c r="AQ238" s="92">
        <f>+AQ99</f>
        <v>31</v>
      </c>
      <c r="AR238" s="92">
        <f>+AR99</f>
        <v>31</v>
      </c>
      <c r="AS238" s="92">
        <f t="shared" ref="AS238:BB238" si="293">+AS99</f>
        <v>34</v>
      </c>
      <c r="AT238" s="92">
        <f t="shared" si="293"/>
        <v>37</v>
      </c>
      <c r="AU238" s="92">
        <f t="shared" si="293"/>
        <v>35</v>
      </c>
      <c r="AV238" s="92">
        <f t="shared" si="293"/>
        <v>35</v>
      </c>
      <c r="AW238" s="92">
        <f t="shared" si="293"/>
        <v>36</v>
      </c>
      <c r="AX238" s="92">
        <f t="shared" si="293"/>
        <v>36</v>
      </c>
      <c r="AY238" s="92">
        <f t="shared" si="293"/>
        <v>35</v>
      </c>
      <c r="AZ238" s="92">
        <f t="shared" si="293"/>
        <v>36</v>
      </c>
      <c r="BA238" s="92">
        <f t="shared" si="293"/>
        <v>38</v>
      </c>
      <c r="BB238" s="92">
        <f t="shared" si="293"/>
        <v>40</v>
      </c>
      <c r="BC238" s="92">
        <f t="shared" si="272"/>
        <v>41</v>
      </c>
      <c r="BD238" s="92">
        <f t="shared" si="273"/>
        <v>41</v>
      </c>
      <c r="BE238" s="92">
        <f t="shared" si="273"/>
        <v>40</v>
      </c>
      <c r="BF238" s="92">
        <f t="shared" si="274"/>
        <v>38</v>
      </c>
      <c r="BG238" s="92">
        <f t="shared" si="274"/>
        <v>37</v>
      </c>
      <c r="BH238" s="92">
        <f t="shared" ref="BH238:BI238" si="294">+BH99</f>
        <v>36</v>
      </c>
      <c r="BI238" s="92">
        <f t="shared" si="294"/>
        <v>36</v>
      </c>
      <c r="BJ238" s="92">
        <f t="shared" ref="BJ238" si="295">+BJ99</f>
        <v>36</v>
      </c>
      <c r="BK238" s="92">
        <f t="shared" si="276"/>
        <v>37</v>
      </c>
      <c r="BL238" s="92">
        <f t="shared" ref="BL238" si="296">+BL99</f>
        <v>36</v>
      </c>
    </row>
    <row r="239" spans="1:64" s="9" customFormat="1" ht="11.25">
      <c r="A239" s="342" t="s">
        <v>331</v>
      </c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335">
        <f t="shared" ref="AC239:AS239" si="297">+AC100+AC26</f>
        <v>7</v>
      </c>
      <c r="AD239" s="335">
        <f t="shared" si="297"/>
        <v>7</v>
      </c>
      <c r="AE239" s="335">
        <f t="shared" si="297"/>
        <v>2</v>
      </c>
      <c r="AF239" s="335">
        <f t="shared" si="297"/>
        <v>2</v>
      </c>
      <c r="AG239" s="335">
        <f t="shared" si="297"/>
        <v>2</v>
      </c>
      <c r="AH239" s="335">
        <f t="shared" si="297"/>
        <v>2</v>
      </c>
      <c r="AI239" s="92">
        <f t="shared" si="297"/>
        <v>2</v>
      </c>
      <c r="AJ239" s="92">
        <f t="shared" si="297"/>
        <v>2</v>
      </c>
      <c r="AK239" s="92">
        <f t="shared" si="297"/>
        <v>2</v>
      </c>
      <c r="AL239" s="92">
        <f t="shared" si="297"/>
        <v>2</v>
      </c>
      <c r="AM239" s="92">
        <f t="shared" si="297"/>
        <v>2</v>
      </c>
      <c r="AN239" s="92">
        <f t="shared" si="297"/>
        <v>2</v>
      </c>
      <c r="AO239" s="92">
        <f t="shared" si="297"/>
        <v>2</v>
      </c>
      <c r="AP239" s="92">
        <f t="shared" si="297"/>
        <v>2</v>
      </c>
      <c r="AQ239" s="92">
        <f t="shared" si="297"/>
        <v>22</v>
      </c>
      <c r="AR239" s="92">
        <f t="shared" si="297"/>
        <v>20</v>
      </c>
      <c r="AS239" s="92">
        <f t="shared" si="297"/>
        <v>20</v>
      </c>
      <c r="AT239" s="92">
        <f t="shared" ref="AT239:BD239" si="298">+AT100+AT26</f>
        <v>24</v>
      </c>
      <c r="AU239" s="92">
        <f t="shared" si="298"/>
        <v>23</v>
      </c>
      <c r="AV239" s="92">
        <f t="shared" si="298"/>
        <v>22</v>
      </c>
      <c r="AW239" s="92">
        <f t="shared" si="298"/>
        <v>22</v>
      </c>
      <c r="AX239" s="92">
        <f t="shared" si="298"/>
        <v>24</v>
      </c>
      <c r="AY239" s="92">
        <f t="shared" si="298"/>
        <v>25</v>
      </c>
      <c r="AZ239" s="92">
        <f t="shared" si="298"/>
        <v>27</v>
      </c>
      <c r="BA239" s="92">
        <f t="shared" si="298"/>
        <v>28</v>
      </c>
      <c r="BB239" s="92">
        <f t="shared" si="298"/>
        <v>29</v>
      </c>
      <c r="BC239" s="92">
        <f t="shared" si="298"/>
        <v>31</v>
      </c>
      <c r="BD239" s="92">
        <f t="shared" si="298"/>
        <v>30</v>
      </c>
      <c r="BE239" s="92">
        <f t="shared" ref="BE239:BK239" si="299">+BE100+BE26</f>
        <v>29</v>
      </c>
      <c r="BF239" s="92">
        <f t="shared" si="299"/>
        <v>28</v>
      </c>
      <c r="BG239" s="92">
        <f t="shared" si="299"/>
        <v>23</v>
      </c>
      <c r="BH239" s="92">
        <f t="shared" si="299"/>
        <v>28</v>
      </c>
      <c r="BI239" s="92">
        <f t="shared" si="299"/>
        <v>24</v>
      </c>
      <c r="BJ239" s="92">
        <f t="shared" si="299"/>
        <v>0</v>
      </c>
      <c r="BK239" s="92">
        <f t="shared" si="299"/>
        <v>0</v>
      </c>
      <c r="BL239" s="92">
        <f t="shared" ref="BL239" si="300">+BL100+BL26</f>
        <v>0</v>
      </c>
    </row>
    <row r="240" spans="1:64" s="9" customFormat="1" ht="11.25">
      <c r="A240" s="1046" t="s">
        <v>325</v>
      </c>
      <c r="B240" s="949"/>
      <c r="C240" s="949"/>
      <c r="D240" s="949"/>
      <c r="E240" s="949"/>
      <c r="F240" s="949"/>
      <c r="G240" s="949"/>
      <c r="H240" s="949"/>
      <c r="I240" s="949"/>
      <c r="J240" s="949"/>
      <c r="K240" s="949"/>
      <c r="L240" s="949"/>
      <c r="M240" s="949"/>
      <c r="N240" s="949"/>
      <c r="O240" s="949"/>
      <c r="P240" s="949"/>
      <c r="Q240" s="949"/>
      <c r="R240" s="949"/>
      <c r="S240" s="949"/>
      <c r="T240" s="949"/>
      <c r="U240" s="949"/>
      <c r="V240" s="949"/>
      <c r="W240" s="949"/>
      <c r="X240" s="949"/>
      <c r="Y240" s="949"/>
      <c r="Z240" s="949"/>
      <c r="AA240" s="949"/>
      <c r="AB240" s="949"/>
      <c r="AC240" s="170">
        <f t="shared" ref="AC240:AQ240" si="301">SUM(AC227:AC239)</f>
        <v>653</v>
      </c>
      <c r="AD240" s="170">
        <f t="shared" si="301"/>
        <v>671</v>
      </c>
      <c r="AE240" s="170">
        <f t="shared" si="301"/>
        <v>669</v>
      </c>
      <c r="AF240" s="170">
        <f t="shared" si="301"/>
        <v>674</v>
      </c>
      <c r="AG240" s="170">
        <f t="shared" si="301"/>
        <v>668</v>
      </c>
      <c r="AH240" s="170">
        <f t="shared" si="301"/>
        <v>693</v>
      </c>
      <c r="AI240" s="170">
        <f t="shared" si="301"/>
        <v>682</v>
      </c>
      <c r="AJ240" s="170">
        <f t="shared" si="301"/>
        <v>694</v>
      </c>
      <c r="AK240" s="170">
        <f t="shared" si="301"/>
        <v>702</v>
      </c>
      <c r="AL240" s="170">
        <f t="shared" si="301"/>
        <v>722</v>
      </c>
      <c r="AM240" s="170">
        <f t="shared" si="301"/>
        <v>731</v>
      </c>
      <c r="AN240" s="170">
        <f t="shared" si="301"/>
        <v>728</v>
      </c>
      <c r="AO240" s="170">
        <f t="shared" si="301"/>
        <v>732</v>
      </c>
      <c r="AP240" s="170">
        <f t="shared" si="301"/>
        <v>741</v>
      </c>
      <c r="AQ240" s="170">
        <f t="shared" si="301"/>
        <v>1052</v>
      </c>
      <c r="AR240" s="170">
        <f t="shared" ref="AR240:AW240" si="302">SUM(AR227:AR239)</f>
        <v>1059</v>
      </c>
      <c r="AS240" s="170">
        <f t="shared" si="302"/>
        <v>1073</v>
      </c>
      <c r="AT240" s="170">
        <f t="shared" si="302"/>
        <v>891</v>
      </c>
      <c r="AU240" s="170">
        <f t="shared" si="302"/>
        <v>899</v>
      </c>
      <c r="AV240" s="170">
        <f t="shared" si="302"/>
        <v>898</v>
      </c>
      <c r="AW240" s="170">
        <f t="shared" si="302"/>
        <v>901</v>
      </c>
      <c r="AX240" s="170">
        <f t="shared" ref="AX240:BD240" si="303">SUM(AX227:AX239)</f>
        <v>909</v>
      </c>
      <c r="AY240" s="170">
        <f t="shared" si="303"/>
        <v>911</v>
      </c>
      <c r="AZ240" s="170">
        <f t="shared" si="303"/>
        <v>928</v>
      </c>
      <c r="BA240" s="170">
        <f t="shared" si="303"/>
        <v>955</v>
      </c>
      <c r="BB240" s="170">
        <f t="shared" si="303"/>
        <v>973</v>
      </c>
      <c r="BC240" s="170">
        <f t="shared" si="303"/>
        <v>990</v>
      </c>
      <c r="BD240" s="170">
        <f t="shared" si="303"/>
        <v>998</v>
      </c>
      <c r="BE240" s="170">
        <f t="shared" ref="BE240:BK240" si="304">SUM(BE227:BE239)</f>
        <v>999</v>
      </c>
      <c r="BF240" s="170">
        <f t="shared" si="304"/>
        <v>1011</v>
      </c>
      <c r="BG240" s="170">
        <f t="shared" si="304"/>
        <v>1008</v>
      </c>
      <c r="BH240" s="170">
        <f t="shared" si="304"/>
        <v>1017</v>
      </c>
      <c r="BI240" s="170">
        <f t="shared" si="304"/>
        <v>1036</v>
      </c>
      <c r="BJ240" s="170">
        <f t="shared" si="304"/>
        <v>1070</v>
      </c>
      <c r="BK240" s="170">
        <f t="shared" si="304"/>
        <v>1070</v>
      </c>
      <c r="BL240" s="170">
        <f t="shared" ref="BL240" si="305">SUM(BL227:BL239)</f>
        <v>1077</v>
      </c>
    </row>
    <row r="241" spans="1:64" s="9" customFormat="1" ht="11.25">
      <c r="A241" s="604"/>
      <c r="B241" s="128"/>
      <c r="C241" s="797"/>
      <c r="D241" s="797"/>
      <c r="E241" s="797"/>
      <c r="F241" s="797"/>
      <c r="G241" s="797"/>
      <c r="H241" s="797"/>
      <c r="I241" s="797"/>
      <c r="J241" s="797"/>
      <c r="K241" s="797"/>
      <c r="L241" s="797"/>
      <c r="M241" s="797"/>
      <c r="N241" s="797"/>
      <c r="O241" s="797"/>
      <c r="P241" s="797"/>
      <c r="Q241" s="797"/>
      <c r="R241" s="797"/>
      <c r="S241" s="797"/>
      <c r="T241" s="797"/>
      <c r="U241" s="797"/>
      <c r="V241" s="797"/>
      <c r="W241" s="797"/>
      <c r="X241" s="797"/>
      <c r="Y241" s="797"/>
      <c r="Z241" s="797"/>
      <c r="AA241" s="797"/>
      <c r="AB241" s="797"/>
      <c r="AC241" s="797"/>
      <c r="AD241" s="797"/>
      <c r="AE241" s="797"/>
      <c r="AF241" s="797"/>
      <c r="AG241" s="797"/>
      <c r="AH241" s="797"/>
      <c r="AI241" s="797"/>
      <c r="AJ241" s="797"/>
      <c r="AK241" s="797"/>
      <c r="AL241" s="797"/>
      <c r="AM241" s="797"/>
      <c r="AN241" s="797"/>
      <c r="AO241" s="797"/>
      <c r="AP241" s="797"/>
      <c r="AQ241" s="797"/>
      <c r="AR241" s="797"/>
      <c r="AS241" s="797"/>
      <c r="AT241" s="797"/>
      <c r="AU241" s="797"/>
      <c r="AV241" s="797"/>
      <c r="AW241" s="797"/>
      <c r="AX241" s="797"/>
      <c r="AY241" s="797"/>
      <c r="AZ241" s="797"/>
      <c r="BA241" s="797"/>
      <c r="BB241" s="797"/>
      <c r="BC241" s="797"/>
      <c r="BD241" s="797"/>
      <c r="BE241" s="797"/>
      <c r="BF241" s="797"/>
      <c r="BG241" s="797"/>
      <c r="BH241" s="797"/>
      <c r="BI241" s="797"/>
      <c r="BJ241" s="797"/>
      <c r="BK241" s="797"/>
      <c r="BL241" s="797"/>
    </row>
    <row r="242" spans="1:64" s="9" customFormat="1" ht="11.25">
      <c r="A242" s="34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</row>
    <row r="243" spans="1:64" s="9" customFormat="1" ht="11.25">
      <c r="A243" s="513" t="s">
        <v>1006</v>
      </c>
    </row>
    <row r="244" spans="1:64" s="9" customFormat="1" ht="11.25">
      <c r="A244" s="342" t="s">
        <v>1007</v>
      </c>
      <c r="C244" s="335">
        <f t="shared" ref="C244:AQ244" si="306">+C104+C31</f>
        <v>605</v>
      </c>
      <c r="D244" s="335">
        <f t="shared" si="306"/>
        <v>608</v>
      </c>
      <c r="E244" s="335">
        <f t="shared" si="306"/>
        <v>608</v>
      </c>
      <c r="F244" s="335">
        <f t="shared" si="306"/>
        <v>612</v>
      </c>
      <c r="G244" s="335">
        <f t="shared" si="306"/>
        <v>609</v>
      </c>
      <c r="H244" s="335">
        <f t="shared" si="306"/>
        <v>608</v>
      </c>
      <c r="I244" s="335">
        <f t="shared" si="306"/>
        <v>607</v>
      </c>
      <c r="J244" s="335">
        <f t="shared" si="306"/>
        <v>605</v>
      </c>
      <c r="K244" s="335">
        <f t="shared" si="306"/>
        <v>600</v>
      </c>
      <c r="L244" s="335">
        <f t="shared" si="306"/>
        <v>600</v>
      </c>
      <c r="M244" s="335">
        <f t="shared" si="306"/>
        <v>598</v>
      </c>
      <c r="N244" s="335">
        <f t="shared" si="306"/>
        <v>598</v>
      </c>
      <c r="O244" s="335">
        <f t="shared" si="306"/>
        <v>598</v>
      </c>
      <c r="P244" s="335">
        <f t="shared" si="306"/>
        <v>601</v>
      </c>
      <c r="Q244" s="335">
        <f t="shared" si="306"/>
        <v>608</v>
      </c>
      <c r="R244" s="335">
        <f t="shared" si="306"/>
        <v>627</v>
      </c>
      <c r="S244" s="335">
        <f t="shared" si="306"/>
        <v>608</v>
      </c>
      <c r="T244" s="335">
        <f t="shared" si="306"/>
        <v>614</v>
      </c>
      <c r="U244" s="335">
        <f t="shared" si="306"/>
        <v>620</v>
      </c>
      <c r="V244" s="335">
        <f t="shared" si="306"/>
        <v>628</v>
      </c>
      <c r="W244" s="335">
        <f t="shared" si="306"/>
        <v>631</v>
      </c>
      <c r="X244" s="335">
        <f t="shared" si="306"/>
        <v>634</v>
      </c>
      <c r="Y244" s="335">
        <f t="shared" si="306"/>
        <v>640</v>
      </c>
      <c r="Z244" s="335">
        <f t="shared" si="306"/>
        <v>799</v>
      </c>
      <c r="AA244" s="335">
        <f t="shared" si="306"/>
        <v>802</v>
      </c>
      <c r="AB244" s="335">
        <f t="shared" si="306"/>
        <v>808</v>
      </c>
      <c r="AC244" s="335">
        <f t="shared" si="306"/>
        <v>824</v>
      </c>
      <c r="AD244" s="335">
        <f t="shared" si="306"/>
        <v>847</v>
      </c>
      <c r="AE244" s="335">
        <f t="shared" si="306"/>
        <v>852</v>
      </c>
      <c r="AF244" s="335">
        <f t="shared" si="306"/>
        <v>873</v>
      </c>
      <c r="AG244" s="335">
        <f t="shared" si="306"/>
        <v>888</v>
      </c>
      <c r="AH244" s="335">
        <f t="shared" si="306"/>
        <v>924</v>
      </c>
      <c r="AI244" s="92">
        <f t="shared" si="306"/>
        <v>941</v>
      </c>
      <c r="AJ244" s="92">
        <f t="shared" si="306"/>
        <v>957</v>
      </c>
      <c r="AK244" s="92">
        <f t="shared" si="306"/>
        <v>980</v>
      </c>
      <c r="AL244" s="92">
        <f t="shared" si="306"/>
        <v>1015</v>
      </c>
      <c r="AM244" s="92">
        <f t="shared" si="306"/>
        <v>1038</v>
      </c>
      <c r="AN244" s="92">
        <f t="shared" si="306"/>
        <v>1054</v>
      </c>
      <c r="AO244" s="92">
        <f t="shared" si="306"/>
        <v>1075</v>
      </c>
      <c r="AP244" s="92">
        <f t="shared" si="306"/>
        <v>1139</v>
      </c>
      <c r="AQ244" s="92">
        <f t="shared" si="306"/>
        <v>1154</v>
      </c>
      <c r="AR244" s="92">
        <f t="shared" ref="AR244:AW244" si="307">+AR104+AR31</f>
        <v>1167</v>
      </c>
      <c r="AS244" s="92">
        <f t="shared" si="307"/>
        <v>1181</v>
      </c>
      <c r="AT244" s="92">
        <f t="shared" si="307"/>
        <v>1220</v>
      </c>
      <c r="AU244" s="92">
        <f t="shared" si="307"/>
        <v>1223</v>
      </c>
      <c r="AV244" s="92">
        <f t="shared" si="307"/>
        <v>1221</v>
      </c>
      <c r="AW244" s="92">
        <f t="shared" si="307"/>
        <v>1223</v>
      </c>
      <c r="AX244" s="92">
        <f t="shared" ref="AX244:BD244" si="308">+AX104+AX31</f>
        <v>1234</v>
      </c>
      <c r="AY244" s="92">
        <f t="shared" si="308"/>
        <v>1243</v>
      </c>
      <c r="AZ244" s="92">
        <f t="shared" si="308"/>
        <v>1255</v>
      </c>
      <c r="BA244" s="92">
        <f t="shared" si="308"/>
        <v>1271</v>
      </c>
      <c r="BB244" s="92">
        <f t="shared" si="308"/>
        <v>1300</v>
      </c>
      <c r="BC244" s="92">
        <f t="shared" si="308"/>
        <v>1307</v>
      </c>
      <c r="BD244" s="92">
        <f t="shared" si="308"/>
        <v>1323</v>
      </c>
      <c r="BE244" s="92">
        <f t="shared" ref="BE244:BJ244" si="309">+BE104+BE31</f>
        <v>1337</v>
      </c>
      <c r="BF244" s="92">
        <f t="shared" si="309"/>
        <v>1370</v>
      </c>
      <c r="BG244" s="92">
        <f t="shared" si="309"/>
        <v>1376</v>
      </c>
      <c r="BH244" s="92">
        <f t="shared" si="309"/>
        <v>1385</v>
      </c>
      <c r="BI244" s="92">
        <f t="shared" si="309"/>
        <v>1401</v>
      </c>
      <c r="BJ244" s="92">
        <f t="shared" si="309"/>
        <v>1441</v>
      </c>
      <c r="BK244" s="92">
        <f t="shared" ref="BK244:BL244" si="310">+BK104+BK31</f>
        <v>1451</v>
      </c>
      <c r="BL244" s="92">
        <f t="shared" si="310"/>
        <v>1464</v>
      </c>
    </row>
    <row r="245" spans="1:64" s="9" customFormat="1" ht="11.25">
      <c r="A245" s="342" t="s">
        <v>1008</v>
      </c>
      <c r="C245" s="335">
        <f t="shared" ref="C245:AS245" si="311">+C33+C105</f>
        <v>185</v>
      </c>
      <c r="D245" s="335">
        <f t="shared" si="311"/>
        <v>186</v>
      </c>
      <c r="E245" s="335">
        <f t="shared" si="311"/>
        <v>187</v>
      </c>
      <c r="F245" s="335">
        <f t="shared" si="311"/>
        <v>188</v>
      </c>
      <c r="G245" s="335">
        <f t="shared" si="311"/>
        <v>188</v>
      </c>
      <c r="H245" s="335">
        <f t="shared" si="311"/>
        <v>190</v>
      </c>
      <c r="I245" s="335">
        <f t="shared" si="311"/>
        <v>190</v>
      </c>
      <c r="J245" s="335">
        <f t="shared" si="311"/>
        <v>196</v>
      </c>
      <c r="K245" s="335">
        <f t="shared" si="311"/>
        <v>197</v>
      </c>
      <c r="L245" s="335">
        <f t="shared" si="311"/>
        <v>199</v>
      </c>
      <c r="M245" s="335">
        <f t="shared" si="311"/>
        <v>200</v>
      </c>
      <c r="N245" s="335">
        <f t="shared" si="311"/>
        <v>207</v>
      </c>
      <c r="O245" s="335">
        <f t="shared" si="311"/>
        <v>207</v>
      </c>
      <c r="P245" s="335">
        <f t="shared" si="311"/>
        <v>212</v>
      </c>
      <c r="Q245" s="335">
        <f t="shared" si="311"/>
        <v>215</v>
      </c>
      <c r="R245" s="335">
        <f t="shared" si="311"/>
        <v>221</v>
      </c>
      <c r="S245" s="335">
        <f t="shared" si="311"/>
        <v>221</v>
      </c>
      <c r="T245" s="335">
        <f t="shared" si="311"/>
        <v>541</v>
      </c>
      <c r="U245" s="335">
        <f t="shared" si="311"/>
        <v>542</v>
      </c>
      <c r="V245" s="335">
        <f t="shared" si="311"/>
        <v>558</v>
      </c>
      <c r="W245" s="335">
        <f t="shared" si="311"/>
        <v>559</v>
      </c>
      <c r="X245" s="335">
        <f t="shared" si="311"/>
        <v>563</v>
      </c>
      <c r="Y245" s="335">
        <f t="shared" si="311"/>
        <v>561</v>
      </c>
      <c r="Z245" s="335">
        <f t="shared" si="311"/>
        <v>629</v>
      </c>
      <c r="AA245" s="335">
        <f t="shared" si="311"/>
        <v>626</v>
      </c>
      <c r="AB245" s="335">
        <f t="shared" si="311"/>
        <v>629</v>
      </c>
      <c r="AC245" s="335">
        <f t="shared" si="311"/>
        <v>642</v>
      </c>
      <c r="AD245" s="335">
        <f t="shared" si="311"/>
        <v>652</v>
      </c>
      <c r="AE245" s="335">
        <f t="shared" si="311"/>
        <v>652</v>
      </c>
      <c r="AF245" s="335">
        <f t="shared" si="311"/>
        <v>646</v>
      </c>
      <c r="AG245" s="335">
        <f t="shared" si="311"/>
        <v>650</v>
      </c>
      <c r="AH245" s="335">
        <f t="shared" si="311"/>
        <v>666</v>
      </c>
      <c r="AI245" s="92">
        <f t="shared" si="311"/>
        <v>659</v>
      </c>
      <c r="AJ245" s="92">
        <f t="shared" si="311"/>
        <v>665</v>
      </c>
      <c r="AK245" s="92">
        <f t="shared" si="311"/>
        <v>664</v>
      </c>
      <c r="AL245" s="92">
        <f t="shared" si="311"/>
        <v>677</v>
      </c>
      <c r="AM245" s="92">
        <f t="shared" si="311"/>
        <v>658</v>
      </c>
      <c r="AN245" s="92">
        <f t="shared" si="311"/>
        <v>659</v>
      </c>
      <c r="AO245" s="92">
        <f t="shared" si="311"/>
        <v>665</v>
      </c>
      <c r="AP245" s="92">
        <f t="shared" si="311"/>
        <v>666</v>
      </c>
      <c r="AQ245" s="92">
        <f t="shared" si="311"/>
        <v>661</v>
      </c>
      <c r="AR245" s="92">
        <f t="shared" si="311"/>
        <v>663</v>
      </c>
      <c r="AS245" s="92">
        <f t="shared" si="311"/>
        <v>649</v>
      </c>
      <c r="AT245" s="92">
        <f t="shared" ref="AT245:BD245" si="312">+AT33+AT105</f>
        <v>419</v>
      </c>
      <c r="AU245" s="92">
        <f t="shared" si="312"/>
        <v>420</v>
      </c>
      <c r="AV245" s="92">
        <f t="shared" si="312"/>
        <v>411</v>
      </c>
      <c r="AW245" s="92">
        <f t="shared" si="312"/>
        <v>408</v>
      </c>
      <c r="AX245" s="92">
        <f t="shared" si="312"/>
        <v>402</v>
      </c>
      <c r="AY245" s="92">
        <f t="shared" si="312"/>
        <v>403</v>
      </c>
      <c r="AZ245" s="92">
        <f t="shared" si="312"/>
        <v>402</v>
      </c>
      <c r="BA245" s="92">
        <f t="shared" si="312"/>
        <v>401</v>
      </c>
      <c r="BB245" s="92">
        <f t="shared" si="312"/>
        <v>400</v>
      </c>
      <c r="BC245" s="92">
        <f t="shared" si="312"/>
        <v>403</v>
      </c>
      <c r="BD245" s="92">
        <f t="shared" si="312"/>
        <v>405</v>
      </c>
      <c r="BE245" s="92">
        <f t="shared" ref="BE245:BJ245" si="313">+BE33+BE105</f>
        <v>405</v>
      </c>
      <c r="BF245" s="92">
        <f t="shared" si="313"/>
        <v>410</v>
      </c>
      <c r="BG245" s="92">
        <f t="shared" si="313"/>
        <v>411</v>
      </c>
      <c r="BH245" s="92">
        <f t="shared" si="313"/>
        <v>415</v>
      </c>
      <c r="BI245" s="92">
        <f t="shared" si="313"/>
        <v>415</v>
      </c>
      <c r="BJ245" s="92">
        <f t="shared" si="313"/>
        <v>425</v>
      </c>
      <c r="BK245" s="92">
        <f t="shared" ref="BK245:BL245" si="314">+BK33+BK105</f>
        <v>425</v>
      </c>
      <c r="BL245" s="92">
        <f t="shared" si="314"/>
        <v>426</v>
      </c>
    </row>
    <row r="246" spans="1:64" s="9" customFormat="1" ht="11.25">
      <c r="A246" s="342" t="s">
        <v>1018</v>
      </c>
      <c r="C246" s="335">
        <f t="shared" ref="C246:AS246" si="315">+C106+C32</f>
        <v>317</v>
      </c>
      <c r="D246" s="335">
        <f t="shared" si="315"/>
        <v>321</v>
      </c>
      <c r="E246" s="335">
        <f t="shared" si="315"/>
        <v>326</v>
      </c>
      <c r="F246" s="335">
        <f t="shared" si="315"/>
        <v>334</v>
      </c>
      <c r="G246" s="335">
        <f t="shared" si="315"/>
        <v>338</v>
      </c>
      <c r="H246" s="335">
        <f t="shared" si="315"/>
        <v>351</v>
      </c>
      <c r="I246" s="335">
        <f t="shared" si="315"/>
        <v>337</v>
      </c>
      <c r="J246" s="335">
        <f t="shared" si="315"/>
        <v>361</v>
      </c>
      <c r="K246" s="335">
        <f t="shared" si="315"/>
        <v>367</v>
      </c>
      <c r="L246" s="335">
        <f t="shared" si="315"/>
        <v>378</v>
      </c>
      <c r="M246" s="335">
        <f t="shared" si="315"/>
        <v>392</v>
      </c>
      <c r="N246" s="335">
        <f t="shared" si="315"/>
        <v>423</v>
      </c>
      <c r="O246" s="335">
        <f t="shared" si="315"/>
        <v>429</v>
      </c>
      <c r="P246" s="335">
        <f t="shared" si="315"/>
        <v>442</v>
      </c>
      <c r="Q246" s="335">
        <f t="shared" si="315"/>
        <v>453</v>
      </c>
      <c r="R246" s="335">
        <f t="shared" si="315"/>
        <v>472</v>
      </c>
      <c r="S246" s="335">
        <f t="shared" si="315"/>
        <v>482</v>
      </c>
      <c r="T246" s="335">
        <f t="shared" si="315"/>
        <v>492</v>
      </c>
      <c r="U246" s="335">
        <f t="shared" si="315"/>
        <v>519</v>
      </c>
      <c r="V246" s="335">
        <f t="shared" si="315"/>
        <v>536</v>
      </c>
      <c r="W246" s="335">
        <f t="shared" si="315"/>
        <v>548</v>
      </c>
      <c r="X246" s="335">
        <f t="shared" si="315"/>
        <v>553</v>
      </c>
      <c r="Y246" s="335">
        <f t="shared" si="315"/>
        <v>583</v>
      </c>
      <c r="Z246" s="335">
        <f t="shared" si="315"/>
        <v>609</v>
      </c>
      <c r="AA246" s="335">
        <f t="shared" si="315"/>
        <v>617</v>
      </c>
      <c r="AB246" s="335">
        <f t="shared" si="315"/>
        <v>647</v>
      </c>
      <c r="AC246" s="335">
        <f t="shared" si="315"/>
        <v>686</v>
      </c>
      <c r="AD246" s="335">
        <f t="shared" si="315"/>
        <v>705</v>
      </c>
      <c r="AE246" s="335">
        <f t="shared" si="315"/>
        <v>716</v>
      </c>
      <c r="AF246" s="335">
        <f t="shared" si="315"/>
        <v>736</v>
      </c>
      <c r="AG246" s="335">
        <f t="shared" si="315"/>
        <v>774</v>
      </c>
      <c r="AH246" s="335">
        <f t="shared" si="315"/>
        <v>803</v>
      </c>
      <c r="AI246" s="92">
        <f t="shared" si="315"/>
        <v>825</v>
      </c>
      <c r="AJ246" s="92">
        <f t="shared" si="315"/>
        <v>847</v>
      </c>
      <c r="AK246" s="92">
        <f t="shared" si="315"/>
        <v>880</v>
      </c>
      <c r="AL246" s="92">
        <f t="shared" si="315"/>
        <v>901</v>
      </c>
      <c r="AM246" s="92">
        <f t="shared" si="315"/>
        <v>930</v>
      </c>
      <c r="AN246" s="92">
        <f t="shared" si="315"/>
        <v>962</v>
      </c>
      <c r="AO246" s="92">
        <f t="shared" si="315"/>
        <v>1003</v>
      </c>
      <c r="AP246" s="92">
        <f t="shared" si="315"/>
        <v>1024</v>
      </c>
      <c r="AQ246" s="92">
        <f t="shared" si="315"/>
        <v>1498</v>
      </c>
      <c r="AR246" s="92">
        <f t="shared" si="315"/>
        <v>1517</v>
      </c>
      <c r="AS246" s="92">
        <f t="shared" si="315"/>
        <v>1534</v>
      </c>
      <c r="AT246" s="92">
        <f t="shared" ref="AT246:BD246" si="316">+AT106+AT32</f>
        <v>1539</v>
      </c>
      <c r="AU246" s="92">
        <f t="shared" si="316"/>
        <v>1546</v>
      </c>
      <c r="AV246" s="92">
        <f t="shared" si="316"/>
        <v>1538</v>
      </c>
      <c r="AW246" s="92">
        <f t="shared" si="316"/>
        <v>1537</v>
      </c>
      <c r="AX246" s="92">
        <f t="shared" si="316"/>
        <v>1524</v>
      </c>
      <c r="AY246" s="92">
        <f t="shared" si="316"/>
        <v>1522</v>
      </c>
      <c r="AZ246" s="92">
        <f t="shared" si="316"/>
        <v>1532</v>
      </c>
      <c r="BA246" s="92">
        <f t="shared" si="316"/>
        <v>1540</v>
      </c>
      <c r="BB246" s="92">
        <f t="shared" si="316"/>
        <v>1552</v>
      </c>
      <c r="BC246" s="92">
        <f t="shared" si="316"/>
        <v>1574</v>
      </c>
      <c r="BD246" s="92">
        <f t="shared" si="316"/>
        <v>1591</v>
      </c>
      <c r="BE246" s="92">
        <f t="shared" ref="BE246:BJ246" si="317">+BE106+BE32</f>
        <v>1612</v>
      </c>
      <c r="BF246" s="92">
        <f t="shared" si="317"/>
        <v>1661</v>
      </c>
      <c r="BG246" s="92">
        <f t="shared" si="317"/>
        <v>1673</v>
      </c>
      <c r="BH246" s="92">
        <f t="shared" si="317"/>
        <v>1695</v>
      </c>
      <c r="BI246" s="92">
        <f>+BI106+BI32</f>
        <v>1727</v>
      </c>
      <c r="BJ246" s="92">
        <f t="shared" si="317"/>
        <v>1777</v>
      </c>
      <c r="BK246" s="92">
        <f t="shared" ref="BK246:BL246" si="318">+BK106+BK32</f>
        <v>1792</v>
      </c>
      <c r="BL246" s="92">
        <f t="shared" si="318"/>
        <v>1825</v>
      </c>
    </row>
    <row r="247" spans="1:64" s="9" customFormat="1" ht="11.25">
      <c r="A247" s="342" t="s">
        <v>1009</v>
      </c>
      <c r="C247" s="335">
        <f t="shared" ref="C247:AS248" si="319">+C34</f>
        <v>28</v>
      </c>
      <c r="D247" s="335">
        <f t="shared" si="319"/>
        <v>28</v>
      </c>
      <c r="E247" s="335">
        <f t="shared" si="319"/>
        <v>28</v>
      </c>
      <c r="F247" s="335">
        <f t="shared" si="319"/>
        <v>29</v>
      </c>
      <c r="G247" s="335">
        <f t="shared" si="319"/>
        <v>28</v>
      </c>
      <c r="H247" s="335">
        <f t="shared" si="319"/>
        <v>29</v>
      </c>
      <c r="I247" s="335">
        <f t="shared" si="319"/>
        <v>29</v>
      </c>
      <c r="J247" s="335">
        <f t="shared" si="319"/>
        <v>31</v>
      </c>
      <c r="K247" s="335">
        <f t="shared" si="319"/>
        <v>31</v>
      </c>
      <c r="L247" s="335">
        <f t="shared" si="319"/>
        <v>32</v>
      </c>
      <c r="M247" s="335">
        <f t="shared" si="319"/>
        <v>32</v>
      </c>
      <c r="N247" s="335">
        <f t="shared" si="319"/>
        <v>33</v>
      </c>
      <c r="O247" s="335">
        <f t="shared" si="319"/>
        <v>33</v>
      </c>
      <c r="P247" s="335">
        <f t="shared" si="319"/>
        <v>34</v>
      </c>
      <c r="Q247" s="335">
        <f t="shared" si="319"/>
        <v>35</v>
      </c>
      <c r="R247" s="335">
        <f t="shared" si="319"/>
        <v>36</v>
      </c>
      <c r="S247" s="335">
        <f t="shared" si="319"/>
        <v>37</v>
      </c>
      <c r="T247" s="335">
        <f t="shared" si="319"/>
        <v>37</v>
      </c>
      <c r="U247" s="335">
        <f t="shared" si="319"/>
        <v>38</v>
      </c>
      <c r="V247" s="335">
        <f t="shared" si="319"/>
        <v>39</v>
      </c>
      <c r="W247" s="335">
        <f t="shared" si="319"/>
        <v>40</v>
      </c>
      <c r="X247" s="335">
        <f t="shared" si="319"/>
        <v>41</v>
      </c>
      <c r="Y247" s="335">
        <f t="shared" si="319"/>
        <v>42</v>
      </c>
      <c r="Z247" s="335">
        <f t="shared" si="319"/>
        <v>47</v>
      </c>
      <c r="AA247" s="335">
        <f t="shared" si="319"/>
        <v>48</v>
      </c>
      <c r="AB247" s="335">
        <f t="shared" si="319"/>
        <v>50</v>
      </c>
      <c r="AC247" s="335">
        <f t="shared" si="319"/>
        <v>51</v>
      </c>
      <c r="AD247" s="335">
        <f t="shared" si="319"/>
        <v>53</v>
      </c>
      <c r="AE247" s="335">
        <f t="shared" si="319"/>
        <v>53</v>
      </c>
      <c r="AF247" s="335">
        <f t="shared" si="319"/>
        <v>55</v>
      </c>
      <c r="AG247" s="335">
        <f t="shared" si="319"/>
        <v>54</v>
      </c>
      <c r="AH247" s="335">
        <f t="shared" si="319"/>
        <v>57</v>
      </c>
      <c r="AI247" s="92">
        <f t="shared" si="319"/>
        <v>58</v>
      </c>
      <c r="AJ247" s="92">
        <f t="shared" si="319"/>
        <v>58</v>
      </c>
      <c r="AK247" s="92">
        <f t="shared" si="319"/>
        <v>62</v>
      </c>
      <c r="AL247" s="92">
        <f t="shared" si="319"/>
        <v>64</v>
      </c>
      <c r="AM247" s="92">
        <f t="shared" si="319"/>
        <v>67</v>
      </c>
      <c r="AN247" s="92">
        <f t="shared" si="319"/>
        <v>71</v>
      </c>
      <c r="AO247" s="92">
        <f t="shared" si="319"/>
        <v>71</v>
      </c>
      <c r="AP247" s="92">
        <f t="shared" si="319"/>
        <v>72</v>
      </c>
      <c r="AQ247" s="770">
        <f t="shared" si="319"/>
        <v>73</v>
      </c>
      <c r="AR247" s="770">
        <f t="shared" si="319"/>
        <v>73</v>
      </c>
      <c r="AS247" s="770">
        <f t="shared" si="319"/>
        <v>78</v>
      </c>
      <c r="AT247" s="770">
        <f t="shared" ref="AT247:AZ248" si="320">+AT34</f>
        <v>75</v>
      </c>
      <c r="AU247" s="770">
        <f t="shared" si="320"/>
        <v>75</v>
      </c>
      <c r="AV247" s="770">
        <f t="shared" si="320"/>
        <v>73</v>
      </c>
      <c r="AW247" s="770">
        <f t="shared" si="320"/>
        <v>71</v>
      </c>
      <c r="AX247" s="770">
        <f t="shared" si="320"/>
        <v>71</v>
      </c>
      <c r="AY247" s="770">
        <f t="shared" si="320"/>
        <v>71</v>
      </c>
      <c r="AZ247" s="770">
        <f t="shared" si="320"/>
        <v>71</v>
      </c>
      <c r="BA247" s="770">
        <f t="shared" ref="BA247:BC248" si="321">+BA34</f>
        <v>71</v>
      </c>
      <c r="BB247" s="770">
        <f t="shared" si="321"/>
        <v>71</v>
      </c>
      <c r="BC247" s="770">
        <f t="shared" si="321"/>
        <v>71</v>
      </c>
      <c r="BD247" s="770">
        <f t="shared" ref="BD247:BF248" si="322">+BD34</f>
        <v>72</v>
      </c>
      <c r="BE247" s="770">
        <f t="shared" si="322"/>
        <v>72</v>
      </c>
      <c r="BF247" s="770">
        <f t="shared" si="322"/>
        <v>73</v>
      </c>
      <c r="BG247" s="770">
        <f t="shared" ref="BG247:BH247" si="323">+BG34</f>
        <v>70</v>
      </c>
      <c r="BH247" s="770">
        <f t="shared" si="323"/>
        <v>70</v>
      </c>
      <c r="BI247" s="770">
        <f t="shared" ref="BI247:BJ247" si="324">+BI34</f>
        <v>70</v>
      </c>
      <c r="BJ247" s="770">
        <f t="shared" si="324"/>
        <v>72</v>
      </c>
      <c r="BK247" s="770">
        <f t="shared" ref="BK247:BL247" si="325">+BK34</f>
        <v>72</v>
      </c>
      <c r="BL247" s="770">
        <f t="shared" si="325"/>
        <v>72</v>
      </c>
    </row>
    <row r="248" spans="1:64" s="9" customFormat="1" ht="11.25">
      <c r="A248" s="342" t="s">
        <v>1010</v>
      </c>
      <c r="C248" s="335">
        <f t="shared" ref="C248:AR248" si="326">+C35</f>
        <v>0</v>
      </c>
      <c r="D248" s="335">
        <f t="shared" si="326"/>
        <v>0</v>
      </c>
      <c r="E248" s="335">
        <f t="shared" si="326"/>
        <v>0</v>
      </c>
      <c r="F248" s="335">
        <f t="shared" si="326"/>
        <v>0</v>
      </c>
      <c r="G248" s="335">
        <f t="shared" si="326"/>
        <v>0</v>
      </c>
      <c r="H248" s="335">
        <f t="shared" si="326"/>
        <v>0</v>
      </c>
      <c r="I248" s="335">
        <f t="shared" si="326"/>
        <v>0</v>
      </c>
      <c r="J248" s="335">
        <f t="shared" si="326"/>
        <v>0</v>
      </c>
      <c r="K248" s="335">
        <f t="shared" si="326"/>
        <v>0</v>
      </c>
      <c r="L248" s="335">
        <f t="shared" si="326"/>
        <v>0</v>
      </c>
      <c r="M248" s="335">
        <f t="shared" si="326"/>
        <v>0</v>
      </c>
      <c r="N248" s="335">
        <f t="shared" si="326"/>
        <v>0</v>
      </c>
      <c r="O248" s="335">
        <f t="shared" si="326"/>
        <v>52</v>
      </c>
      <c r="P248" s="335">
        <f t="shared" si="326"/>
        <v>51</v>
      </c>
      <c r="Q248" s="335">
        <f t="shared" si="326"/>
        <v>52</v>
      </c>
      <c r="R248" s="335">
        <f t="shared" si="326"/>
        <v>53</v>
      </c>
      <c r="S248" s="335">
        <f t="shared" si="326"/>
        <v>53</v>
      </c>
      <c r="T248" s="335">
        <f t="shared" si="326"/>
        <v>54</v>
      </c>
      <c r="U248" s="335">
        <f t="shared" si="326"/>
        <v>57</v>
      </c>
      <c r="V248" s="335">
        <f t="shared" si="326"/>
        <v>62</v>
      </c>
      <c r="W248" s="335">
        <f t="shared" si="326"/>
        <v>63</v>
      </c>
      <c r="X248" s="335">
        <f t="shared" si="326"/>
        <v>63</v>
      </c>
      <c r="Y248" s="335">
        <f t="shared" si="326"/>
        <v>63</v>
      </c>
      <c r="Z248" s="335">
        <f t="shared" si="326"/>
        <v>66</v>
      </c>
      <c r="AA248" s="335">
        <f t="shared" si="326"/>
        <v>68</v>
      </c>
      <c r="AB248" s="335">
        <f t="shared" si="326"/>
        <v>71</v>
      </c>
      <c r="AC248" s="335">
        <f t="shared" si="326"/>
        <v>72</v>
      </c>
      <c r="AD248" s="335">
        <f t="shared" si="326"/>
        <v>73</v>
      </c>
      <c r="AE248" s="335">
        <f t="shared" si="326"/>
        <v>73</v>
      </c>
      <c r="AF248" s="335">
        <f t="shared" si="326"/>
        <v>74</v>
      </c>
      <c r="AG248" s="335">
        <f t="shared" si="326"/>
        <v>75</v>
      </c>
      <c r="AH248" s="335">
        <f t="shared" si="326"/>
        <v>81</v>
      </c>
      <c r="AI248" s="92">
        <f t="shared" si="326"/>
        <v>87</v>
      </c>
      <c r="AJ248" s="92">
        <f t="shared" si="326"/>
        <v>90</v>
      </c>
      <c r="AK248" s="92">
        <f t="shared" si="326"/>
        <v>91</v>
      </c>
      <c r="AL248" s="92">
        <f t="shared" si="326"/>
        <v>94</v>
      </c>
      <c r="AM248" s="92">
        <f t="shared" si="326"/>
        <v>94</v>
      </c>
      <c r="AN248" s="92">
        <f t="shared" si="326"/>
        <v>95</v>
      </c>
      <c r="AO248" s="92">
        <f t="shared" si="326"/>
        <v>95</v>
      </c>
      <c r="AP248" s="92">
        <f t="shared" si="326"/>
        <v>95</v>
      </c>
      <c r="AQ248" s="770">
        <f t="shared" si="326"/>
        <v>95</v>
      </c>
      <c r="AR248" s="770">
        <f t="shared" si="326"/>
        <v>95</v>
      </c>
      <c r="AS248" s="770">
        <f t="shared" si="319"/>
        <v>93</v>
      </c>
      <c r="AT248" s="770">
        <f t="shared" si="320"/>
        <v>93</v>
      </c>
      <c r="AU248" s="770">
        <f t="shared" si="320"/>
        <v>89</v>
      </c>
      <c r="AV248" s="770">
        <f t="shared" si="320"/>
        <v>86</v>
      </c>
      <c r="AW248" s="770">
        <f t="shared" si="320"/>
        <v>79</v>
      </c>
      <c r="AX248" s="770">
        <f t="shared" si="320"/>
        <v>79</v>
      </c>
      <c r="AY248" s="770">
        <f t="shared" si="320"/>
        <v>77</v>
      </c>
      <c r="AZ248" s="770">
        <f t="shared" si="320"/>
        <v>77</v>
      </c>
      <c r="BA248" s="770">
        <f>+BA35</f>
        <v>76</v>
      </c>
      <c r="BB248" s="770">
        <f>+BB35</f>
        <v>76</v>
      </c>
      <c r="BC248" s="770">
        <f t="shared" si="321"/>
        <v>74</v>
      </c>
      <c r="BD248" s="770">
        <f t="shared" si="322"/>
        <v>74</v>
      </c>
      <c r="BE248" s="770">
        <f t="shared" si="322"/>
        <v>74</v>
      </c>
      <c r="BF248" s="770">
        <f t="shared" si="322"/>
        <v>74</v>
      </c>
      <c r="BG248" s="770">
        <f t="shared" ref="BG248:BH248" si="327">+BG35</f>
        <v>74</v>
      </c>
      <c r="BH248" s="770">
        <f t="shared" si="327"/>
        <v>75</v>
      </c>
      <c r="BI248" s="770">
        <f t="shared" ref="BI248:BJ248" si="328">+BI35</f>
        <v>75</v>
      </c>
      <c r="BJ248" s="770">
        <f t="shared" si="328"/>
        <v>76</v>
      </c>
      <c r="BK248" s="770">
        <f t="shared" ref="BK248:BL248" si="329">+BK35</f>
        <v>76</v>
      </c>
      <c r="BL248" s="770">
        <f t="shared" si="329"/>
        <v>77</v>
      </c>
    </row>
    <row r="249" spans="1:64" s="9" customFormat="1" ht="11.25">
      <c r="A249" s="342" t="s">
        <v>1011</v>
      </c>
      <c r="C249" s="335">
        <f t="shared" ref="C249:AP249" si="330">+C36</f>
        <v>0</v>
      </c>
      <c r="D249" s="335">
        <f t="shared" si="330"/>
        <v>0</v>
      </c>
      <c r="E249" s="335">
        <f t="shared" si="330"/>
        <v>0</v>
      </c>
      <c r="F249" s="335">
        <f t="shared" si="330"/>
        <v>0</v>
      </c>
      <c r="G249" s="335">
        <f t="shared" si="330"/>
        <v>0</v>
      </c>
      <c r="H249" s="335">
        <f t="shared" si="330"/>
        <v>0</v>
      </c>
      <c r="I249" s="335">
        <f t="shared" si="330"/>
        <v>0</v>
      </c>
      <c r="J249" s="335">
        <f t="shared" si="330"/>
        <v>0</v>
      </c>
      <c r="K249" s="335">
        <f t="shared" si="330"/>
        <v>0</v>
      </c>
      <c r="L249" s="335">
        <f t="shared" si="330"/>
        <v>0</v>
      </c>
      <c r="M249" s="335">
        <f t="shared" si="330"/>
        <v>0</v>
      </c>
      <c r="N249" s="335">
        <f t="shared" si="330"/>
        <v>0</v>
      </c>
      <c r="O249" s="335">
        <f t="shared" si="330"/>
        <v>0</v>
      </c>
      <c r="P249" s="335">
        <f t="shared" si="330"/>
        <v>0</v>
      </c>
      <c r="Q249" s="335">
        <f t="shared" si="330"/>
        <v>0</v>
      </c>
      <c r="R249" s="335">
        <f t="shared" si="330"/>
        <v>0</v>
      </c>
      <c r="S249" s="335">
        <f t="shared" si="330"/>
        <v>0</v>
      </c>
      <c r="T249" s="335">
        <f t="shared" si="330"/>
        <v>0</v>
      </c>
      <c r="U249" s="335">
        <f t="shared" si="330"/>
        <v>0</v>
      </c>
      <c r="V249" s="335">
        <f t="shared" si="330"/>
        <v>0</v>
      </c>
      <c r="W249" s="335">
        <f t="shared" si="330"/>
        <v>0</v>
      </c>
      <c r="X249" s="335">
        <f t="shared" si="330"/>
        <v>261</v>
      </c>
      <c r="Y249" s="335">
        <f t="shared" si="330"/>
        <v>260</v>
      </c>
      <c r="Z249" s="335">
        <f t="shared" si="330"/>
        <v>259</v>
      </c>
      <c r="AA249" s="335">
        <f t="shared" si="330"/>
        <v>258</v>
      </c>
      <c r="AB249" s="335">
        <f t="shared" si="330"/>
        <v>256</v>
      </c>
      <c r="AC249" s="335">
        <f t="shared" si="330"/>
        <v>255</v>
      </c>
      <c r="AD249" s="335">
        <f t="shared" si="330"/>
        <v>252</v>
      </c>
      <c r="AE249" s="335">
        <f t="shared" si="330"/>
        <v>250</v>
      </c>
      <c r="AF249" s="335">
        <f t="shared" si="330"/>
        <v>251</v>
      </c>
      <c r="AG249" s="335">
        <f t="shared" si="330"/>
        <v>253</v>
      </c>
      <c r="AH249" s="335">
        <f t="shared" si="330"/>
        <v>261</v>
      </c>
      <c r="AI249" s="92">
        <f t="shared" si="330"/>
        <v>262</v>
      </c>
      <c r="AJ249" s="92">
        <f t="shared" si="330"/>
        <v>263</v>
      </c>
      <c r="AK249" s="92">
        <f t="shared" si="330"/>
        <v>267</v>
      </c>
      <c r="AL249" s="92">
        <f t="shared" si="330"/>
        <v>275</v>
      </c>
      <c r="AM249" s="92">
        <f t="shared" si="330"/>
        <v>273</v>
      </c>
      <c r="AN249" s="92">
        <f t="shared" si="330"/>
        <v>276</v>
      </c>
      <c r="AO249" s="92">
        <f t="shared" si="330"/>
        <v>277</v>
      </c>
      <c r="AP249" s="92">
        <f t="shared" si="330"/>
        <v>286</v>
      </c>
      <c r="AQ249" s="770">
        <f t="shared" ref="AQ249:AV249" si="331">+AQ36+AQ107</f>
        <v>391</v>
      </c>
      <c r="AR249" s="770">
        <f t="shared" si="331"/>
        <v>393</v>
      </c>
      <c r="AS249" s="770">
        <f t="shared" si="331"/>
        <v>394</v>
      </c>
      <c r="AT249" s="770">
        <f t="shared" si="331"/>
        <v>400</v>
      </c>
      <c r="AU249" s="770">
        <f t="shared" si="331"/>
        <v>397</v>
      </c>
      <c r="AV249" s="770">
        <f t="shared" si="331"/>
        <v>384</v>
      </c>
      <c r="AW249" s="770">
        <f t="shared" ref="AW249:BD249" si="332">+AW36+AW107</f>
        <v>390</v>
      </c>
      <c r="AX249" s="770">
        <f t="shared" si="332"/>
        <v>388</v>
      </c>
      <c r="AY249" s="770">
        <f t="shared" si="332"/>
        <v>377</v>
      </c>
      <c r="AZ249" s="770">
        <f t="shared" si="332"/>
        <v>371</v>
      </c>
      <c r="BA249" s="770">
        <f t="shared" si="332"/>
        <v>361</v>
      </c>
      <c r="BB249" s="770">
        <f t="shared" si="332"/>
        <v>364</v>
      </c>
      <c r="BC249" s="770">
        <f t="shared" si="332"/>
        <v>368</v>
      </c>
      <c r="BD249" s="770">
        <f t="shared" si="332"/>
        <v>370</v>
      </c>
      <c r="BE249" s="770">
        <f t="shared" ref="BE249:BJ249" si="333">+BE36+BE107</f>
        <v>365</v>
      </c>
      <c r="BF249" s="770">
        <f t="shared" si="333"/>
        <v>365</v>
      </c>
      <c r="BG249" s="770">
        <f t="shared" si="333"/>
        <v>377</v>
      </c>
      <c r="BH249" s="770">
        <f t="shared" si="333"/>
        <v>380</v>
      </c>
      <c r="BI249" s="770">
        <f t="shared" si="333"/>
        <v>378</v>
      </c>
      <c r="BJ249" s="770">
        <f t="shared" si="333"/>
        <v>405</v>
      </c>
      <c r="BK249" s="770">
        <f t="shared" ref="BK249:BL249" si="334">+BK36+BK107</f>
        <v>403</v>
      </c>
      <c r="BL249" s="770">
        <f t="shared" si="334"/>
        <v>404</v>
      </c>
    </row>
    <row r="250" spans="1:64" s="9" customFormat="1" ht="11.25">
      <c r="A250" s="342" t="s">
        <v>1012</v>
      </c>
      <c r="C250" s="335">
        <f t="shared" ref="C250:AP250" si="335">+C37</f>
        <v>0</v>
      </c>
      <c r="D250" s="335">
        <f t="shared" si="335"/>
        <v>0</v>
      </c>
      <c r="E250" s="335">
        <f t="shared" si="335"/>
        <v>0</v>
      </c>
      <c r="F250" s="335">
        <f t="shared" si="335"/>
        <v>0</v>
      </c>
      <c r="G250" s="335">
        <f t="shared" si="335"/>
        <v>0</v>
      </c>
      <c r="H250" s="335">
        <f t="shared" si="335"/>
        <v>0</v>
      </c>
      <c r="I250" s="335">
        <f t="shared" si="335"/>
        <v>0</v>
      </c>
      <c r="J250" s="335">
        <f t="shared" si="335"/>
        <v>0</v>
      </c>
      <c r="K250" s="335">
        <f t="shared" si="335"/>
        <v>0</v>
      </c>
      <c r="L250" s="335">
        <f t="shared" si="335"/>
        <v>0</v>
      </c>
      <c r="M250" s="335">
        <f t="shared" si="335"/>
        <v>0</v>
      </c>
      <c r="N250" s="335">
        <f t="shared" si="335"/>
        <v>0</v>
      </c>
      <c r="O250" s="335">
        <f t="shared" si="335"/>
        <v>0</v>
      </c>
      <c r="P250" s="335">
        <f t="shared" si="335"/>
        <v>0</v>
      </c>
      <c r="Q250" s="335">
        <f t="shared" si="335"/>
        <v>0</v>
      </c>
      <c r="R250" s="335">
        <f t="shared" si="335"/>
        <v>0</v>
      </c>
      <c r="S250" s="335">
        <f t="shared" si="335"/>
        <v>0</v>
      </c>
      <c r="T250" s="335">
        <f t="shared" si="335"/>
        <v>0</v>
      </c>
      <c r="U250" s="335">
        <f t="shared" si="335"/>
        <v>0</v>
      </c>
      <c r="V250" s="335">
        <f t="shared" si="335"/>
        <v>0</v>
      </c>
      <c r="W250" s="335">
        <f t="shared" si="335"/>
        <v>0</v>
      </c>
      <c r="X250" s="335">
        <f t="shared" si="335"/>
        <v>84</v>
      </c>
      <c r="Y250" s="335">
        <f t="shared" si="335"/>
        <v>84</v>
      </c>
      <c r="Z250" s="335">
        <f t="shared" si="335"/>
        <v>85</v>
      </c>
      <c r="AA250" s="335">
        <f t="shared" si="335"/>
        <v>85</v>
      </c>
      <c r="AB250" s="335">
        <f t="shared" si="335"/>
        <v>82</v>
      </c>
      <c r="AC250" s="335">
        <f t="shared" si="335"/>
        <v>81</v>
      </c>
      <c r="AD250" s="335">
        <f t="shared" si="335"/>
        <v>74</v>
      </c>
      <c r="AE250" s="335">
        <f t="shared" si="335"/>
        <v>71</v>
      </c>
      <c r="AF250" s="335">
        <f t="shared" si="335"/>
        <v>71</v>
      </c>
      <c r="AG250" s="335">
        <f t="shared" si="335"/>
        <v>67</v>
      </c>
      <c r="AH250" s="335">
        <f t="shared" si="335"/>
        <v>67</v>
      </c>
      <c r="AI250" s="92">
        <f t="shared" si="335"/>
        <v>67</v>
      </c>
      <c r="AJ250" s="92">
        <f t="shared" si="335"/>
        <v>67</v>
      </c>
      <c r="AK250" s="92">
        <f t="shared" si="335"/>
        <v>66</v>
      </c>
      <c r="AL250" s="92">
        <f t="shared" si="335"/>
        <v>67</v>
      </c>
      <c r="AM250" s="92">
        <f t="shared" si="335"/>
        <v>67</v>
      </c>
      <c r="AN250" s="92">
        <f t="shared" si="335"/>
        <v>64</v>
      </c>
      <c r="AO250" s="92">
        <f t="shared" si="335"/>
        <v>64</v>
      </c>
      <c r="AP250" s="92">
        <f t="shared" si="335"/>
        <v>64</v>
      </c>
      <c r="AQ250" s="770">
        <f t="shared" ref="AQ250:AV250" si="336">+AQ37</f>
        <v>64</v>
      </c>
      <c r="AR250" s="770">
        <f t="shared" si="336"/>
        <v>57</v>
      </c>
      <c r="AS250" s="770">
        <f t="shared" si="336"/>
        <v>50</v>
      </c>
      <c r="AT250" s="770">
        <f t="shared" si="336"/>
        <v>46</v>
      </c>
      <c r="AU250" s="770">
        <f t="shared" si="336"/>
        <v>46</v>
      </c>
      <c r="AV250" s="770">
        <f t="shared" si="336"/>
        <v>43</v>
      </c>
      <c r="AW250" s="770">
        <f t="shared" ref="AW250:BD250" si="337">+AW37</f>
        <v>32</v>
      </c>
      <c r="AX250" s="770">
        <f t="shared" si="337"/>
        <v>16</v>
      </c>
      <c r="AY250" s="770">
        <f t="shared" si="337"/>
        <v>16</v>
      </c>
      <c r="AZ250" s="770">
        <f t="shared" si="337"/>
        <v>16</v>
      </c>
      <c r="BA250" s="770">
        <f t="shared" si="337"/>
        <v>16</v>
      </c>
      <c r="BB250" s="770">
        <f t="shared" si="337"/>
        <v>15</v>
      </c>
      <c r="BC250" s="770">
        <f t="shared" si="337"/>
        <v>15</v>
      </c>
      <c r="BD250" s="770">
        <f t="shared" si="337"/>
        <v>15</v>
      </c>
      <c r="BE250" s="770">
        <f t="shared" ref="BE250:BJ250" si="338">+BE37</f>
        <v>15</v>
      </c>
      <c r="BF250" s="770">
        <f t="shared" si="338"/>
        <v>15</v>
      </c>
      <c r="BG250" s="770">
        <f t="shared" si="338"/>
        <v>15</v>
      </c>
      <c r="BH250" s="770">
        <f t="shared" si="338"/>
        <v>0</v>
      </c>
      <c r="BI250" s="770">
        <f t="shared" si="338"/>
        <v>0</v>
      </c>
      <c r="BJ250" s="770">
        <f t="shared" si="338"/>
        <v>0</v>
      </c>
      <c r="BK250" s="770">
        <f t="shared" ref="BK250:BL250" si="339">+BK37</f>
        <v>0</v>
      </c>
      <c r="BL250" s="770">
        <f t="shared" si="339"/>
        <v>28</v>
      </c>
    </row>
    <row r="251" spans="1:64" s="9" customFormat="1" ht="11.25">
      <c r="A251" s="342" t="s">
        <v>1019</v>
      </c>
      <c r="C251" s="335">
        <f t="shared" ref="C251:AT251" si="340">+C108</f>
        <v>0</v>
      </c>
      <c r="D251" s="335">
        <f t="shared" si="340"/>
        <v>0</v>
      </c>
      <c r="E251" s="335">
        <f t="shared" si="340"/>
        <v>0</v>
      </c>
      <c r="F251" s="335">
        <f t="shared" si="340"/>
        <v>0</v>
      </c>
      <c r="G251" s="335">
        <f t="shared" si="340"/>
        <v>0</v>
      </c>
      <c r="H251" s="335">
        <f t="shared" si="340"/>
        <v>0</v>
      </c>
      <c r="I251" s="335">
        <f t="shared" si="340"/>
        <v>0</v>
      </c>
      <c r="J251" s="335">
        <f t="shared" si="340"/>
        <v>0</v>
      </c>
      <c r="K251" s="335">
        <f t="shared" si="340"/>
        <v>0</v>
      </c>
      <c r="L251" s="335">
        <f t="shared" si="340"/>
        <v>0</v>
      </c>
      <c r="M251" s="335">
        <f t="shared" si="340"/>
        <v>0</v>
      </c>
      <c r="N251" s="335">
        <f t="shared" si="340"/>
        <v>0</v>
      </c>
      <c r="O251" s="335">
        <f t="shared" si="340"/>
        <v>0</v>
      </c>
      <c r="P251" s="335">
        <f t="shared" si="340"/>
        <v>0</v>
      </c>
      <c r="Q251" s="335">
        <f t="shared" si="340"/>
        <v>0</v>
      </c>
      <c r="R251" s="335">
        <f t="shared" si="340"/>
        <v>0</v>
      </c>
      <c r="S251" s="335">
        <f t="shared" si="340"/>
        <v>0</v>
      </c>
      <c r="T251" s="335">
        <f t="shared" si="340"/>
        <v>0</v>
      </c>
      <c r="U251" s="335">
        <f t="shared" si="340"/>
        <v>0</v>
      </c>
      <c r="V251" s="335">
        <f t="shared" si="340"/>
        <v>0</v>
      </c>
      <c r="W251" s="335">
        <f t="shared" si="340"/>
        <v>0</v>
      </c>
      <c r="X251" s="335">
        <f t="shared" si="340"/>
        <v>0</v>
      </c>
      <c r="Y251" s="335">
        <f t="shared" si="340"/>
        <v>0</v>
      </c>
      <c r="Z251" s="335">
        <f t="shared" si="340"/>
        <v>198</v>
      </c>
      <c r="AA251" s="335">
        <f t="shared" si="340"/>
        <v>197</v>
      </c>
      <c r="AB251" s="335">
        <f t="shared" si="340"/>
        <v>198</v>
      </c>
      <c r="AC251" s="335">
        <f t="shared" si="340"/>
        <v>203</v>
      </c>
      <c r="AD251" s="335">
        <f t="shared" si="340"/>
        <v>209</v>
      </c>
      <c r="AE251" s="335">
        <f t="shared" si="340"/>
        <v>210</v>
      </c>
      <c r="AF251" s="335">
        <f t="shared" si="340"/>
        <v>209</v>
      </c>
      <c r="AG251" s="335">
        <f t="shared" si="340"/>
        <v>211</v>
      </c>
      <c r="AH251" s="335">
        <f t="shared" si="340"/>
        <v>216</v>
      </c>
      <c r="AI251" s="92">
        <f t="shared" si="340"/>
        <v>219</v>
      </c>
      <c r="AJ251" s="92">
        <f t="shared" si="340"/>
        <v>226</v>
      </c>
      <c r="AK251" s="92">
        <f t="shared" si="340"/>
        <v>225</v>
      </c>
      <c r="AL251" s="92">
        <f t="shared" si="340"/>
        <v>230</v>
      </c>
      <c r="AM251" s="92">
        <f t="shared" si="340"/>
        <v>229</v>
      </c>
      <c r="AN251" s="92">
        <f t="shared" si="340"/>
        <v>226</v>
      </c>
      <c r="AO251" s="92">
        <f t="shared" si="340"/>
        <v>227</v>
      </c>
      <c r="AP251" s="92">
        <f t="shared" si="340"/>
        <v>229</v>
      </c>
      <c r="AQ251" s="770">
        <f t="shared" si="340"/>
        <v>230</v>
      </c>
      <c r="AR251" s="770">
        <f t="shared" si="340"/>
        <v>233</v>
      </c>
      <c r="AS251" s="770">
        <f t="shared" si="340"/>
        <v>236</v>
      </c>
      <c r="AT251" s="770">
        <f t="shared" si="340"/>
        <v>233</v>
      </c>
      <c r="AU251" s="770">
        <f t="shared" ref="AU251:AV255" si="341">+AU108</f>
        <v>234</v>
      </c>
      <c r="AV251" s="770">
        <f t="shared" si="341"/>
        <v>229</v>
      </c>
      <c r="AW251" s="770">
        <f t="shared" ref="AW251:AZ255" si="342">+AW108</f>
        <v>227</v>
      </c>
      <c r="AX251" s="770">
        <f t="shared" si="342"/>
        <v>229</v>
      </c>
      <c r="AY251" s="770">
        <f t="shared" si="342"/>
        <v>228</v>
      </c>
      <c r="AZ251" s="770">
        <f t="shared" si="342"/>
        <v>227</v>
      </c>
      <c r="BA251" s="770">
        <f t="shared" ref="BA251:BC255" si="343">+BA108</f>
        <v>227</v>
      </c>
      <c r="BB251" s="770">
        <f t="shared" si="343"/>
        <v>228</v>
      </c>
      <c r="BC251" s="770">
        <f t="shared" si="343"/>
        <v>227</v>
      </c>
      <c r="BD251" s="770">
        <f t="shared" ref="BD251:BE255" si="344">+BD108</f>
        <v>227</v>
      </c>
      <c r="BE251" s="770">
        <f t="shared" si="344"/>
        <v>225</v>
      </c>
      <c r="BF251" s="770">
        <f t="shared" ref="BF251:BG255" si="345">+BF108</f>
        <v>224</v>
      </c>
      <c r="BG251" s="770">
        <f t="shared" si="345"/>
        <v>221</v>
      </c>
      <c r="BH251" s="770">
        <f t="shared" ref="BH251:BI251" si="346">+BH108</f>
        <v>220</v>
      </c>
      <c r="BI251" s="770">
        <f t="shared" si="346"/>
        <v>221</v>
      </c>
      <c r="BJ251" s="770">
        <f t="shared" ref="BJ251" si="347">+BJ108</f>
        <v>221</v>
      </c>
      <c r="BK251" s="770">
        <f t="shared" ref="BK251:BL251" si="348">+BK108</f>
        <v>216</v>
      </c>
      <c r="BL251" s="770">
        <f t="shared" si="348"/>
        <v>215</v>
      </c>
    </row>
    <row r="252" spans="1:64" s="9" customFormat="1" ht="11.25">
      <c r="A252" s="342" t="s">
        <v>1016</v>
      </c>
      <c r="C252" s="335">
        <f t="shared" ref="C252:AR252" si="349">+C109</f>
        <v>0</v>
      </c>
      <c r="D252" s="335">
        <f t="shared" si="349"/>
        <v>0</v>
      </c>
      <c r="E252" s="335">
        <f t="shared" si="349"/>
        <v>0</v>
      </c>
      <c r="F252" s="335">
        <f t="shared" si="349"/>
        <v>0</v>
      </c>
      <c r="G252" s="335">
        <f t="shared" si="349"/>
        <v>0</v>
      </c>
      <c r="H252" s="335">
        <f t="shared" si="349"/>
        <v>0</v>
      </c>
      <c r="I252" s="335">
        <f t="shared" si="349"/>
        <v>0</v>
      </c>
      <c r="J252" s="335">
        <f t="shared" si="349"/>
        <v>0</v>
      </c>
      <c r="K252" s="335">
        <f t="shared" si="349"/>
        <v>0</v>
      </c>
      <c r="L252" s="335">
        <f t="shared" si="349"/>
        <v>0</v>
      </c>
      <c r="M252" s="335">
        <f t="shared" si="349"/>
        <v>0</v>
      </c>
      <c r="N252" s="335">
        <f t="shared" si="349"/>
        <v>0</v>
      </c>
      <c r="O252" s="335">
        <f t="shared" si="349"/>
        <v>0</v>
      </c>
      <c r="P252" s="335">
        <f t="shared" si="349"/>
        <v>0</v>
      </c>
      <c r="Q252" s="335">
        <f t="shared" si="349"/>
        <v>0</v>
      </c>
      <c r="R252" s="335">
        <f t="shared" si="349"/>
        <v>0</v>
      </c>
      <c r="S252" s="335">
        <f t="shared" si="349"/>
        <v>0</v>
      </c>
      <c r="T252" s="335">
        <f t="shared" si="349"/>
        <v>0</v>
      </c>
      <c r="U252" s="335">
        <f t="shared" si="349"/>
        <v>0</v>
      </c>
      <c r="V252" s="335">
        <f t="shared" si="349"/>
        <v>0</v>
      </c>
      <c r="W252" s="335">
        <f t="shared" si="349"/>
        <v>0</v>
      </c>
      <c r="X252" s="335">
        <f t="shared" si="349"/>
        <v>0</v>
      </c>
      <c r="Y252" s="335">
        <f t="shared" si="349"/>
        <v>0</v>
      </c>
      <c r="Z252" s="335">
        <f t="shared" si="349"/>
        <v>0</v>
      </c>
      <c r="AA252" s="335">
        <f t="shared" si="349"/>
        <v>0</v>
      </c>
      <c r="AB252" s="335">
        <f t="shared" si="349"/>
        <v>0</v>
      </c>
      <c r="AC252" s="335">
        <f t="shared" si="349"/>
        <v>0</v>
      </c>
      <c r="AD252" s="335">
        <f t="shared" si="349"/>
        <v>0</v>
      </c>
      <c r="AE252" s="335">
        <f t="shared" si="349"/>
        <v>41</v>
      </c>
      <c r="AF252" s="335">
        <f t="shared" si="349"/>
        <v>41</v>
      </c>
      <c r="AG252" s="335">
        <f t="shared" si="349"/>
        <v>41</v>
      </c>
      <c r="AH252" s="335">
        <f t="shared" si="349"/>
        <v>39</v>
      </c>
      <c r="AI252" s="92">
        <f t="shared" si="349"/>
        <v>38</v>
      </c>
      <c r="AJ252" s="92">
        <f t="shared" si="349"/>
        <v>38</v>
      </c>
      <c r="AK252" s="92">
        <f t="shared" si="349"/>
        <v>35</v>
      </c>
      <c r="AL252" s="92">
        <f t="shared" si="349"/>
        <v>33</v>
      </c>
      <c r="AM252" s="92">
        <f t="shared" si="349"/>
        <v>33</v>
      </c>
      <c r="AN252" s="92">
        <f t="shared" si="349"/>
        <v>33</v>
      </c>
      <c r="AO252" s="92">
        <f t="shared" si="349"/>
        <v>32</v>
      </c>
      <c r="AP252" s="92">
        <f t="shared" si="349"/>
        <v>32</v>
      </c>
      <c r="AQ252" s="770">
        <f t="shared" si="349"/>
        <v>32</v>
      </c>
      <c r="AR252" s="770">
        <f t="shared" si="349"/>
        <v>31</v>
      </c>
      <c r="AS252" s="770">
        <f t="shared" ref="AS252:AT255" si="350">+AS109</f>
        <v>31</v>
      </c>
      <c r="AT252" s="770">
        <f t="shared" si="350"/>
        <v>31</v>
      </c>
      <c r="AU252" s="770">
        <f t="shared" si="341"/>
        <v>31</v>
      </c>
      <c r="AV252" s="770">
        <f t="shared" si="341"/>
        <v>30</v>
      </c>
      <c r="AW252" s="770">
        <f t="shared" si="342"/>
        <v>29</v>
      </c>
      <c r="AX252" s="770">
        <f t="shared" si="342"/>
        <v>28</v>
      </c>
      <c r="AY252" s="770">
        <f t="shared" si="342"/>
        <v>27</v>
      </c>
      <c r="AZ252" s="770">
        <f t="shared" si="342"/>
        <v>27</v>
      </c>
      <c r="BA252" s="770">
        <f t="shared" ref="BA252:BB255" si="351">+BA109</f>
        <v>28</v>
      </c>
      <c r="BB252" s="770">
        <f t="shared" si="351"/>
        <v>29</v>
      </c>
      <c r="BC252" s="770">
        <f t="shared" si="343"/>
        <v>28</v>
      </c>
      <c r="BD252" s="770">
        <f t="shared" si="344"/>
        <v>28</v>
      </c>
      <c r="BE252" s="770">
        <f t="shared" si="344"/>
        <v>29</v>
      </c>
      <c r="BF252" s="770">
        <f t="shared" si="345"/>
        <v>29</v>
      </c>
      <c r="BG252" s="770">
        <f t="shared" si="345"/>
        <v>29</v>
      </c>
      <c r="BH252" s="770">
        <f t="shared" ref="BH252:BI252" si="352">+BH109</f>
        <v>29</v>
      </c>
      <c r="BI252" s="770">
        <f t="shared" si="352"/>
        <v>29</v>
      </c>
      <c r="BJ252" s="770">
        <f t="shared" ref="BJ252" si="353">+BJ109</f>
        <v>29</v>
      </c>
      <c r="BK252" s="770">
        <f t="shared" ref="BK252:BL252" si="354">+BK109</f>
        <v>29</v>
      </c>
      <c r="BL252" s="770">
        <f t="shared" si="354"/>
        <v>28</v>
      </c>
    </row>
    <row r="253" spans="1:64" s="9" customFormat="1" ht="11.25">
      <c r="A253" s="342" t="s">
        <v>1015</v>
      </c>
      <c r="C253" s="335">
        <f t="shared" ref="C253:AR253" si="355">+C110</f>
        <v>0</v>
      </c>
      <c r="D253" s="335">
        <f t="shared" si="355"/>
        <v>0</v>
      </c>
      <c r="E253" s="335">
        <f t="shared" si="355"/>
        <v>0</v>
      </c>
      <c r="F253" s="335">
        <f t="shared" si="355"/>
        <v>0</v>
      </c>
      <c r="G253" s="335">
        <f t="shared" si="355"/>
        <v>0</v>
      </c>
      <c r="H253" s="335">
        <f t="shared" si="355"/>
        <v>0</v>
      </c>
      <c r="I253" s="335">
        <f t="shared" si="355"/>
        <v>0</v>
      </c>
      <c r="J253" s="335">
        <f t="shared" si="355"/>
        <v>0</v>
      </c>
      <c r="K253" s="335">
        <f t="shared" si="355"/>
        <v>0</v>
      </c>
      <c r="L253" s="335">
        <f t="shared" si="355"/>
        <v>0</v>
      </c>
      <c r="M253" s="335">
        <f t="shared" si="355"/>
        <v>0</v>
      </c>
      <c r="N253" s="335">
        <f t="shared" si="355"/>
        <v>0</v>
      </c>
      <c r="O253" s="335">
        <f t="shared" si="355"/>
        <v>0</v>
      </c>
      <c r="P253" s="335">
        <f t="shared" si="355"/>
        <v>0</v>
      </c>
      <c r="Q253" s="335">
        <f t="shared" si="355"/>
        <v>1</v>
      </c>
      <c r="R253" s="335">
        <f t="shared" si="355"/>
        <v>1</v>
      </c>
      <c r="S253" s="335">
        <f t="shared" si="355"/>
        <v>1</v>
      </c>
      <c r="T253" s="335">
        <f t="shared" si="355"/>
        <v>1</v>
      </c>
      <c r="U253" s="335">
        <f t="shared" si="355"/>
        <v>2</v>
      </c>
      <c r="V253" s="335">
        <f t="shared" si="355"/>
        <v>3</v>
      </c>
      <c r="W253" s="335">
        <f t="shared" si="355"/>
        <v>3</v>
      </c>
      <c r="X253" s="335">
        <f t="shared" si="355"/>
        <v>3</v>
      </c>
      <c r="Y253" s="335">
        <f t="shared" si="355"/>
        <v>5</v>
      </c>
      <c r="Z253" s="335">
        <f t="shared" si="355"/>
        <v>5</v>
      </c>
      <c r="AA253" s="335">
        <f t="shared" si="355"/>
        <v>6</v>
      </c>
      <c r="AB253" s="335">
        <f t="shared" si="355"/>
        <v>6</v>
      </c>
      <c r="AC253" s="335">
        <f t="shared" si="355"/>
        <v>8</v>
      </c>
      <c r="AD253" s="335">
        <f t="shared" si="355"/>
        <v>8</v>
      </c>
      <c r="AE253" s="335">
        <f t="shared" si="355"/>
        <v>8</v>
      </c>
      <c r="AF253" s="335">
        <f t="shared" si="355"/>
        <v>9</v>
      </c>
      <c r="AG253" s="335">
        <f t="shared" si="355"/>
        <v>9</v>
      </c>
      <c r="AH253" s="335">
        <f t="shared" si="355"/>
        <v>8</v>
      </c>
      <c r="AI253" s="92">
        <f t="shared" si="355"/>
        <v>9</v>
      </c>
      <c r="AJ253" s="92">
        <f t="shared" si="355"/>
        <v>9</v>
      </c>
      <c r="AK253" s="92">
        <f t="shared" si="355"/>
        <v>10</v>
      </c>
      <c r="AL253" s="92">
        <f t="shared" si="355"/>
        <v>10</v>
      </c>
      <c r="AM253" s="92">
        <f t="shared" si="355"/>
        <v>10</v>
      </c>
      <c r="AN253" s="92">
        <f t="shared" si="355"/>
        <v>10</v>
      </c>
      <c r="AO253" s="92">
        <f t="shared" si="355"/>
        <v>10</v>
      </c>
      <c r="AP253" s="92">
        <f t="shared" si="355"/>
        <v>10</v>
      </c>
      <c r="AQ253" s="770">
        <f t="shared" si="355"/>
        <v>10</v>
      </c>
      <c r="AR253" s="770">
        <f t="shared" si="355"/>
        <v>6</v>
      </c>
      <c r="AS253" s="770">
        <f t="shared" si="350"/>
        <v>5</v>
      </c>
      <c r="AT253" s="770">
        <f t="shared" si="350"/>
        <v>5</v>
      </c>
      <c r="AU253" s="770">
        <f t="shared" si="341"/>
        <v>5</v>
      </c>
      <c r="AV253" s="770">
        <f t="shared" si="341"/>
        <v>5</v>
      </c>
      <c r="AW253" s="770">
        <f t="shared" si="342"/>
        <v>6</v>
      </c>
      <c r="AX253" s="770">
        <f t="shared" si="342"/>
        <v>7</v>
      </c>
      <c r="AY253" s="770">
        <f t="shared" si="342"/>
        <v>7</v>
      </c>
      <c r="AZ253" s="770">
        <f t="shared" si="342"/>
        <v>7</v>
      </c>
      <c r="BA253" s="770">
        <f t="shared" si="351"/>
        <v>7</v>
      </c>
      <c r="BB253" s="770">
        <f t="shared" si="351"/>
        <v>3</v>
      </c>
      <c r="BC253" s="770">
        <f t="shared" si="343"/>
        <v>3</v>
      </c>
      <c r="BD253" s="770">
        <f t="shared" si="344"/>
        <v>3</v>
      </c>
      <c r="BE253" s="770">
        <f t="shared" si="344"/>
        <v>3</v>
      </c>
      <c r="BF253" s="770">
        <f t="shared" si="345"/>
        <v>3</v>
      </c>
      <c r="BG253" s="770">
        <f t="shared" si="345"/>
        <v>3</v>
      </c>
      <c r="BH253" s="770">
        <f t="shared" ref="BH253:BI253" si="356">+BH110</f>
        <v>3</v>
      </c>
      <c r="BI253" s="770">
        <f t="shared" si="356"/>
        <v>3</v>
      </c>
      <c r="BJ253" s="770">
        <f t="shared" ref="BJ253" si="357">+BJ110</f>
        <v>3</v>
      </c>
      <c r="BK253" s="770">
        <f t="shared" ref="BK253:BL253" si="358">+BK110</f>
        <v>3</v>
      </c>
      <c r="BL253" s="770">
        <f t="shared" si="358"/>
        <v>3</v>
      </c>
    </row>
    <row r="254" spans="1:64" s="9" customFormat="1" ht="11.25">
      <c r="A254" s="342" t="s">
        <v>1017</v>
      </c>
      <c r="C254" s="335">
        <f t="shared" ref="C254:AR254" si="359">+C111</f>
        <v>0</v>
      </c>
      <c r="D254" s="335">
        <f t="shared" si="359"/>
        <v>0</v>
      </c>
      <c r="E254" s="335">
        <f t="shared" si="359"/>
        <v>0</v>
      </c>
      <c r="F254" s="335">
        <f t="shared" si="359"/>
        <v>0</v>
      </c>
      <c r="G254" s="335">
        <f t="shared" si="359"/>
        <v>0</v>
      </c>
      <c r="H254" s="335">
        <f t="shared" si="359"/>
        <v>0</v>
      </c>
      <c r="I254" s="335">
        <f t="shared" si="359"/>
        <v>0</v>
      </c>
      <c r="J254" s="335">
        <f t="shared" si="359"/>
        <v>0</v>
      </c>
      <c r="K254" s="335">
        <f t="shared" si="359"/>
        <v>0</v>
      </c>
      <c r="L254" s="335">
        <f t="shared" si="359"/>
        <v>0</v>
      </c>
      <c r="M254" s="335">
        <f t="shared" si="359"/>
        <v>0</v>
      </c>
      <c r="N254" s="335">
        <f t="shared" si="359"/>
        <v>0</v>
      </c>
      <c r="O254" s="335">
        <f t="shared" si="359"/>
        <v>0</v>
      </c>
      <c r="P254" s="335">
        <f t="shared" si="359"/>
        <v>0</v>
      </c>
      <c r="Q254" s="335">
        <f t="shared" si="359"/>
        <v>0</v>
      </c>
      <c r="R254" s="335">
        <f t="shared" si="359"/>
        <v>0</v>
      </c>
      <c r="S254" s="335">
        <f t="shared" si="359"/>
        <v>0</v>
      </c>
      <c r="T254" s="335">
        <f t="shared" si="359"/>
        <v>0</v>
      </c>
      <c r="U254" s="335">
        <f t="shared" si="359"/>
        <v>0</v>
      </c>
      <c r="V254" s="335">
        <f t="shared" si="359"/>
        <v>0</v>
      </c>
      <c r="W254" s="335">
        <f t="shared" si="359"/>
        <v>0</v>
      </c>
      <c r="X254" s="335">
        <f t="shared" si="359"/>
        <v>0</v>
      </c>
      <c r="Y254" s="335">
        <f t="shared" si="359"/>
        <v>0</v>
      </c>
      <c r="Z254" s="335">
        <f t="shared" si="359"/>
        <v>19</v>
      </c>
      <c r="AA254" s="335">
        <f t="shared" si="359"/>
        <v>19</v>
      </c>
      <c r="AB254" s="335">
        <f t="shared" si="359"/>
        <v>18</v>
      </c>
      <c r="AC254" s="335">
        <f t="shared" si="359"/>
        <v>18</v>
      </c>
      <c r="AD254" s="335">
        <f t="shared" si="359"/>
        <v>17</v>
      </c>
      <c r="AE254" s="335">
        <f t="shared" si="359"/>
        <v>17</v>
      </c>
      <c r="AF254" s="335">
        <f t="shared" si="359"/>
        <v>15</v>
      </c>
      <c r="AG254" s="335">
        <f t="shared" si="359"/>
        <v>15</v>
      </c>
      <c r="AH254" s="335">
        <f t="shared" si="359"/>
        <v>15</v>
      </c>
      <c r="AI254" s="92">
        <f t="shared" si="359"/>
        <v>15</v>
      </c>
      <c r="AJ254" s="92">
        <f t="shared" si="359"/>
        <v>15</v>
      </c>
      <c r="AK254" s="92">
        <f t="shared" si="359"/>
        <v>16</v>
      </c>
      <c r="AL254" s="92">
        <f t="shared" si="359"/>
        <v>17</v>
      </c>
      <c r="AM254" s="92">
        <f t="shared" si="359"/>
        <v>17</v>
      </c>
      <c r="AN254" s="92">
        <f t="shared" si="359"/>
        <v>17</v>
      </c>
      <c r="AO254" s="92">
        <f t="shared" si="359"/>
        <v>18</v>
      </c>
      <c r="AP254" s="92">
        <f t="shared" si="359"/>
        <v>19</v>
      </c>
      <c r="AQ254" s="770">
        <f t="shared" si="359"/>
        <v>18</v>
      </c>
      <c r="AR254" s="770">
        <f t="shared" si="359"/>
        <v>18</v>
      </c>
      <c r="AS254" s="770">
        <f t="shared" si="350"/>
        <v>17</v>
      </c>
      <c r="AT254" s="770">
        <f t="shared" si="350"/>
        <v>17</v>
      </c>
      <c r="AU254" s="770">
        <f t="shared" si="341"/>
        <v>18</v>
      </c>
      <c r="AV254" s="770">
        <f t="shared" si="341"/>
        <v>17</v>
      </c>
      <c r="AW254" s="770">
        <f t="shared" si="342"/>
        <v>17</v>
      </c>
      <c r="AX254" s="770">
        <f t="shared" si="342"/>
        <v>1</v>
      </c>
      <c r="AY254" s="770">
        <f t="shared" si="342"/>
        <v>0</v>
      </c>
      <c r="AZ254" s="770">
        <f t="shared" si="342"/>
        <v>0</v>
      </c>
      <c r="BA254" s="770">
        <f t="shared" si="351"/>
        <v>0</v>
      </c>
      <c r="BB254" s="770">
        <f t="shared" si="351"/>
        <v>0</v>
      </c>
      <c r="BC254" s="770">
        <f t="shared" si="343"/>
        <v>0</v>
      </c>
      <c r="BD254" s="770">
        <f t="shared" si="344"/>
        <v>0</v>
      </c>
      <c r="BE254" s="770">
        <f t="shared" si="344"/>
        <v>0</v>
      </c>
      <c r="BF254" s="770">
        <f t="shared" si="345"/>
        <v>0</v>
      </c>
      <c r="BG254" s="770">
        <f t="shared" si="345"/>
        <v>0</v>
      </c>
      <c r="BH254" s="770">
        <f t="shared" ref="BH254:BI254" si="360">+BH111</f>
        <v>0</v>
      </c>
      <c r="BI254" s="770">
        <f t="shared" si="360"/>
        <v>0</v>
      </c>
      <c r="BJ254" s="770">
        <f t="shared" ref="BJ254" si="361">+BJ111</f>
        <v>0</v>
      </c>
      <c r="BK254" s="770">
        <f t="shared" ref="BK254:BL254" si="362">+BK111</f>
        <v>0</v>
      </c>
      <c r="BL254" s="770">
        <f t="shared" si="362"/>
        <v>0</v>
      </c>
    </row>
    <row r="255" spans="1:64" s="9" customFormat="1" ht="11.25">
      <c r="A255" s="342" t="s">
        <v>1120</v>
      </c>
      <c r="C255" s="335"/>
      <c r="D255" s="335"/>
      <c r="E255" s="335"/>
      <c r="F255" s="335"/>
      <c r="G255" s="335"/>
      <c r="H255" s="335"/>
      <c r="I255" s="335"/>
      <c r="J255" s="335"/>
      <c r="K255" s="335"/>
      <c r="L255" s="335"/>
      <c r="M255" s="335"/>
      <c r="N255" s="335"/>
      <c r="O255" s="335"/>
      <c r="P255" s="335"/>
      <c r="Q255" s="335"/>
      <c r="R255" s="335"/>
      <c r="S255" s="335"/>
      <c r="T255" s="335"/>
      <c r="U255" s="335"/>
      <c r="V255" s="335"/>
      <c r="W255" s="335"/>
      <c r="X255" s="335"/>
      <c r="Y255" s="335"/>
      <c r="Z255" s="335"/>
      <c r="AA255" s="335"/>
      <c r="AB255" s="335"/>
      <c r="AC255" s="335"/>
      <c r="AD255" s="335"/>
      <c r="AE255" s="335"/>
      <c r="AF255" s="335"/>
      <c r="AG255" s="335"/>
      <c r="AH255" s="335"/>
      <c r="AI255" s="92"/>
      <c r="AJ255" s="92"/>
      <c r="AK255" s="92"/>
      <c r="AL255" s="92"/>
      <c r="AM255" s="92"/>
      <c r="AN255" s="92"/>
      <c r="AO255" s="92"/>
      <c r="AP255" s="92"/>
      <c r="AQ255" s="770">
        <f>+AQ112</f>
        <v>124</v>
      </c>
      <c r="AR255" s="770">
        <f>+AR112</f>
        <v>124</v>
      </c>
      <c r="AS255" s="770">
        <f t="shared" si="350"/>
        <v>131</v>
      </c>
      <c r="AT255" s="770">
        <f t="shared" si="350"/>
        <v>131</v>
      </c>
      <c r="AU255" s="770">
        <f t="shared" si="341"/>
        <v>128</v>
      </c>
      <c r="AV255" s="770">
        <f t="shared" si="341"/>
        <v>123</v>
      </c>
      <c r="AW255" s="770">
        <f t="shared" si="342"/>
        <v>124</v>
      </c>
      <c r="AX255" s="770">
        <f t="shared" si="342"/>
        <v>121</v>
      </c>
      <c r="AY255" s="770">
        <f t="shared" si="342"/>
        <v>120</v>
      </c>
      <c r="AZ255" s="770">
        <f t="shared" si="342"/>
        <v>120</v>
      </c>
      <c r="BA255" s="770">
        <f t="shared" si="351"/>
        <v>121</v>
      </c>
      <c r="BB255" s="770">
        <f t="shared" si="351"/>
        <v>122</v>
      </c>
      <c r="BC255" s="770">
        <f t="shared" si="343"/>
        <v>124</v>
      </c>
      <c r="BD255" s="770">
        <f t="shared" si="344"/>
        <v>125</v>
      </c>
      <c r="BE255" s="770">
        <f t="shared" si="344"/>
        <v>124</v>
      </c>
      <c r="BF255" s="770">
        <f t="shared" si="345"/>
        <v>121</v>
      </c>
      <c r="BG255" s="770">
        <f t="shared" si="345"/>
        <v>120</v>
      </c>
      <c r="BH255" s="770">
        <f t="shared" ref="BH255:BI255" si="363">+BH112</f>
        <v>120</v>
      </c>
      <c r="BI255" s="770">
        <f t="shared" si="363"/>
        <v>120</v>
      </c>
      <c r="BJ255" s="770">
        <f t="shared" ref="BJ255" si="364">+BJ112</f>
        <v>120</v>
      </c>
      <c r="BK255" s="770">
        <f t="shared" ref="BK255:BL255" si="365">+BK112</f>
        <v>120</v>
      </c>
      <c r="BL255" s="770">
        <f t="shared" si="365"/>
        <v>118</v>
      </c>
    </row>
    <row r="256" spans="1:64" s="9" customFormat="1" ht="11.25">
      <c r="A256" s="342" t="s">
        <v>331</v>
      </c>
      <c r="C256" s="335">
        <f t="shared" ref="C256:AS256" si="366">+C113+C38</f>
        <v>14</v>
      </c>
      <c r="D256" s="335">
        <f t="shared" si="366"/>
        <v>12</v>
      </c>
      <c r="E256" s="335">
        <f t="shared" si="366"/>
        <v>6</v>
      </c>
      <c r="F256" s="335">
        <f t="shared" si="366"/>
        <v>8</v>
      </c>
      <c r="G256" s="335">
        <f t="shared" si="366"/>
        <v>8</v>
      </c>
      <c r="H256" s="335">
        <f t="shared" si="366"/>
        <v>10</v>
      </c>
      <c r="I256" s="335">
        <f t="shared" si="366"/>
        <v>11</v>
      </c>
      <c r="J256" s="335">
        <f t="shared" si="366"/>
        <v>13</v>
      </c>
      <c r="K256" s="335">
        <f t="shared" si="366"/>
        <v>16</v>
      </c>
      <c r="L256" s="335">
        <f t="shared" si="366"/>
        <v>18</v>
      </c>
      <c r="M256" s="335">
        <f t="shared" si="366"/>
        <v>20</v>
      </c>
      <c r="N256" s="335">
        <f t="shared" si="366"/>
        <v>22</v>
      </c>
      <c r="O256" s="335">
        <f t="shared" si="366"/>
        <v>22</v>
      </c>
      <c r="P256" s="335">
        <f t="shared" si="366"/>
        <v>23</v>
      </c>
      <c r="Q256" s="335">
        <f t="shared" si="366"/>
        <v>24</v>
      </c>
      <c r="R256" s="335">
        <f t="shared" si="366"/>
        <v>25</v>
      </c>
      <c r="S256" s="335">
        <f t="shared" si="366"/>
        <v>29</v>
      </c>
      <c r="T256" s="335">
        <f t="shared" si="366"/>
        <v>29</v>
      </c>
      <c r="U256" s="335">
        <f t="shared" si="366"/>
        <v>33</v>
      </c>
      <c r="V256" s="335">
        <f t="shared" si="366"/>
        <v>36</v>
      </c>
      <c r="W256" s="335">
        <f t="shared" si="366"/>
        <v>37</v>
      </c>
      <c r="X256" s="335">
        <f t="shared" si="366"/>
        <v>39</v>
      </c>
      <c r="Y256" s="335">
        <f t="shared" si="366"/>
        <v>39</v>
      </c>
      <c r="Z256" s="335">
        <f t="shared" si="366"/>
        <v>68</v>
      </c>
      <c r="AA256" s="335">
        <f t="shared" si="366"/>
        <v>62</v>
      </c>
      <c r="AB256" s="335">
        <f t="shared" si="366"/>
        <v>65</v>
      </c>
      <c r="AC256" s="335">
        <f t="shared" si="366"/>
        <v>65</v>
      </c>
      <c r="AD256" s="335">
        <f t="shared" si="366"/>
        <v>64</v>
      </c>
      <c r="AE256" s="335">
        <f t="shared" si="366"/>
        <v>59</v>
      </c>
      <c r="AF256" s="335">
        <f t="shared" si="366"/>
        <v>57</v>
      </c>
      <c r="AG256" s="335">
        <f t="shared" si="366"/>
        <v>56</v>
      </c>
      <c r="AH256" s="335">
        <f t="shared" si="366"/>
        <v>58</v>
      </c>
      <c r="AI256" s="92">
        <f t="shared" si="366"/>
        <v>55</v>
      </c>
      <c r="AJ256" s="92">
        <f t="shared" si="366"/>
        <v>56</v>
      </c>
      <c r="AK256" s="92">
        <f t="shared" si="366"/>
        <v>57</v>
      </c>
      <c r="AL256" s="92">
        <f t="shared" si="366"/>
        <v>55</v>
      </c>
      <c r="AM256" s="92">
        <f t="shared" si="366"/>
        <v>52</v>
      </c>
      <c r="AN256" s="92">
        <f t="shared" si="366"/>
        <v>54</v>
      </c>
      <c r="AO256" s="92">
        <f t="shared" si="366"/>
        <v>51</v>
      </c>
      <c r="AP256" s="92">
        <f t="shared" si="366"/>
        <v>52</v>
      </c>
      <c r="AQ256" s="770">
        <f t="shared" si="366"/>
        <v>111</v>
      </c>
      <c r="AR256" s="770">
        <f t="shared" si="366"/>
        <v>97</v>
      </c>
      <c r="AS256" s="770">
        <f t="shared" si="366"/>
        <v>96</v>
      </c>
      <c r="AT256" s="770">
        <f>+AT113+AT38</f>
        <v>101</v>
      </c>
      <c r="AU256" s="770">
        <f t="shared" ref="AU256:AZ256" si="367">+AU113+AU38</f>
        <v>99</v>
      </c>
      <c r="AV256" s="770">
        <f t="shared" si="367"/>
        <v>96</v>
      </c>
      <c r="AW256" s="770">
        <f t="shared" si="367"/>
        <v>93</v>
      </c>
      <c r="AX256" s="770">
        <f t="shared" si="367"/>
        <v>93</v>
      </c>
      <c r="AY256" s="770">
        <f t="shared" si="367"/>
        <v>94</v>
      </c>
      <c r="AZ256" s="770">
        <f t="shared" si="367"/>
        <v>99</v>
      </c>
      <c r="BA256" s="770">
        <f t="shared" ref="BA256:BF256" si="368">+BA113+BA38</f>
        <v>100</v>
      </c>
      <c r="BB256" s="770">
        <f t="shared" si="368"/>
        <v>102</v>
      </c>
      <c r="BC256" s="770">
        <f t="shared" si="368"/>
        <v>105</v>
      </c>
      <c r="BD256" s="770">
        <f t="shared" si="368"/>
        <v>103</v>
      </c>
      <c r="BE256" s="770">
        <f t="shared" si="368"/>
        <v>100</v>
      </c>
      <c r="BF256" s="770">
        <f t="shared" si="368"/>
        <v>102</v>
      </c>
      <c r="BG256" s="770">
        <f t="shared" ref="BG256" si="369">+BG113+BG38</f>
        <v>80</v>
      </c>
      <c r="BH256" s="770">
        <f>+BH113+BH38</f>
        <v>84</v>
      </c>
      <c r="BI256" s="770">
        <f>+BI113+BI38</f>
        <v>77</v>
      </c>
      <c r="BJ256" s="770">
        <f>+BJ113+BJ38</f>
        <v>53</v>
      </c>
      <c r="BK256" s="770">
        <f t="shared" ref="BK256:BL256" si="370">+BK113+BK38</f>
        <v>54</v>
      </c>
      <c r="BL256" s="770">
        <f t="shared" si="370"/>
        <v>26</v>
      </c>
    </row>
    <row r="257" spans="1:64" s="9" customFormat="1" ht="11.25">
      <c r="A257" s="1046" t="s">
        <v>325</v>
      </c>
      <c r="B257" s="949"/>
      <c r="C257" s="170">
        <f t="shared" ref="C257:AR257" si="371">+SUM(C244:C256)</f>
        <v>1149</v>
      </c>
      <c r="D257" s="170">
        <f t="shared" si="371"/>
        <v>1155</v>
      </c>
      <c r="E257" s="170">
        <f t="shared" si="371"/>
        <v>1155</v>
      </c>
      <c r="F257" s="170">
        <f t="shared" si="371"/>
        <v>1171</v>
      </c>
      <c r="G257" s="170">
        <f t="shared" si="371"/>
        <v>1171</v>
      </c>
      <c r="H257" s="170">
        <f t="shared" si="371"/>
        <v>1188</v>
      </c>
      <c r="I257" s="170">
        <f t="shared" si="371"/>
        <v>1174</v>
      </c>
      <c r="J257" s="170">
        <f t="shared" si="371"/>
        <v>1206</v>
      </c>
      <c r="K257" s="170">
        <f t="shared" si="371"/>
        <v>1211</v>
      </c>
      <c r="L257" s="170">
        <f t="shared" si="371"/>
        <v>1227</v>
      </c>
      <c r="M257" s="170">
        <f t="shared" si="371"/>
        <v>1242</v>
      </c>
      <c r="N257" s="170">
        <f t="shared" si="371"/>
        <v>1283</v>
      </c>
      <c r="O257" s="170">
        <f t="shared" si="371"/>
        <v>1341</v>
      </c>
      <c r="P257" s="170">
        <f t="shared" si="371"/>
        <v>1363</v>
      </c>
      <c r="Q257" s="170">
        <f t="shared" si="371"/>
        <v>1388</v>
      </c>
      <c r="R257" s="170">
        <f t="shared" si="371"/>
        <v>1435</v>
      </c>
      <c r="S257" s="170">
        <f t="shared" si="371"/>
        <v>1431</v>
      </c>
      <c r="T257" s="170">
        <f t="shared" si="371"/>
        <v>1768</v>
      </c>
      <c r="U257" s="170">
        <f t="shared" si="371"/>
        <v>1811</v>
      </c>
      <c r="V257" s="170">
        <f t="shared" si="371"/>
        <v>1862</v>
      </c>
      <c r="W257" s="170">
        <f t="shared" si="371"/>
        <v>1881</v>
      </c>
      <c r="X257" s="170">
        <f t="shared" si="371"/>
        <v>2241</v>
      </c>
      <c r="Y257" s="170">
        <f t="shared" si="371"/>
        <v>2277</v>
      </c>
      <c r="Z257" s="170">
        <f t="shared" si="371"/>
        <v>2784</v>
      </c>
      <c r="AA257" s="170">
        <f t="shared" si="371"/>
        <v>2788</v>
      </c>
      <c r="AB257" s="170">
        <f t="shared" si="371"/>
        <v>2830</v>
      </c>
      <c r="AC257" s="170">
        <f t="shared" si="371"/>
        <v>2905</v>
      </c>
      <c r="AD257" s="170">
        <f t="shared" si="371"/>
        <v>2954</v>
      </c>
      <c r="AE257" s="170">
        <f t="shared" si="371"/>
        <v>3002</v>
      </c>
      <c r="AF257" s="170">
        <f t="shared" si="371"/>
        <v>3037</v>
      </c>
      <c r="AG257" s="170">
        <f t="shared" si="371"/>
        <v>3093</v>
      </c>
      <c r="AH257" s="170">
        <f t="shared" si="371"/>
        <v>3195</v>
      </c>
      <c r="AI257" s="170">
        <f t="shared" si="371"/>
        <v>3235</v>
      </c>
      <c r="AJ257" s="170">
        <f t="shared" si="371"/>
        <v>3291</v>
      </c>
      <c r="AK257" s="170">
        <f t="shared" si="371"/>
        <v>3353</v>
      </c>
      <c r="AL257" s="170">
        <f t="shared" si="371"/>
        <v>3438</v>
      </c>
      <c r="AM257" s="170">
        <f t="shared" si="371"/>
        <v>3468</v>
      </c>
      <c r="AN257" s="170">
        <f t="shared" si="371"/>
        <v>3521</v>
      </c>
      <c r="AO257" s="170">
        <f t="shared" si="371"/>
        <v>3588</v>
      </c>
      <c r="AP257" s="170">
        <f t="shared" si="371"/>
        <v>3688</v>
      </c>
      <c r="AQ257" s="170">
        <f t="shared" si="371"/>
        <v>4461</v>
      </c>
      <c r="AR257" s="170">
        <f t="shared" si="371"/>
        <v>4474</v>
      </c>
      <c r="AS257" s="170">
        <f>+SUM(AS244:AS256)</f>
        <v>4495</v>
      </c>
      <c r="AT257" s="170">
        <f>+SUM(AT244:AT256)</f>
        <v>4310</v>
      </c>
      <c r="AU257" s="170">
        <f t="shared" ref="AU257:AZ257" si="372">+SUM(AU244:AU256)</f>
        <v>4311</v>
      </c>
      <c r="AV257" s="170">
        <f t="shared" si="372"/>
        <v>4256</v>
      </c>
      <c r="AW257" s="170">
        <f t="shared" si="372"/>
        <v>4236</v>
      </c>
      <c r="AX257" s="170">
        <f t="shared" si="372"/>
        <v>4193</v>
      </c>
      <c r="AY257" s="170">
        <f t="shared" si="372"/>
        <v>4185</v>
      </c>
      <c r="AZ257" s="170">
        <f t="shared" si="372"/>
        <v>4204</v>
      </c>
      <c r="BA257" s="170">
        <f t="shared" ref="BA257:BF257" si="373">+SUM(BA244:BA256)</f>
        <v>4219</v>
      </c>
      <c r="BB257" s="170">
        <f t="shared" si="373"/>
        <v>4262</v>
      </c>
      <c r="BC257" s="170">
        <f t="shared" si="373"/>
        <v>4299</v>
      </c>
      <c r="BD257" s="170">
        <f t="shared" si="373"/>
        <v>4336</v>
      </c>
      <c r="BE257" s="170">
        <f t="shared" si="373"/>
        <v>4361</v>
      </c>
      <c r="BF257" s="170">
        <f t="shared" si="373"/>
        <v>4447</v>
      </c>
      <c r="BG257" s="170">
        <f t="shared" ref="BG257" si="374">+SUM(BG244:BG256)</f>
        <v>4449</v>
      </c>
      <c r="BH257" s="170">
        <f>+SUM(BH244:BH256)</f>
        <v>4476</v>
      </c>
      <c r="BI257" s="170">
        <f>+SUM(BI244:BI256)</f>
        <v>4516</v>
      </c>
      <c r="BJ257" s="170">
        <f>+SUM(BJ244:BJ256)</f>
        <v>4622</v>
      </c>
      <c r="BK257" s="170">
        <f t="shared" ref="BK257:BL257" si="375">+SUM(BK244:BK256)</f>
        <v>4641</v>
      </c>
      <c r="BL257" s="170">
        <f t="shared" si="375"/>
        <v>4686</v>
      </c>
    </row>
    <row r="258" spans="1:64" s="9" customFormat="1" ht="11.25">
      <c r="A258" s="604"/>
      <c r="B258" s="128"/>
      <c r="C258" s="797"/>
      <c r="D258" s="797"/>
      <c r="E258" s="797"/>
      <c r="F258" s="797"/>
      <c r="G258" s="797"/>
      <c r="H258" s="797"/>
      <c r="I258" s="797"/>
      <c r="J258" s="797"/>
      <c r="K258" s="797"/>
      <c r="L258" s="797"/>
      <c r="M258" s="797"/>
      <c r="N258" s="797"/>
      <c r="O258" s="797"/>
      <c r="P258" s="797"/>
      <c r="Q258" s="797"/>
      <c r="R258" s="797"/>
      <c r="S258" s="797"/>
      <c r="T258" s="797"/>
      <c r="U258" s="797"/>
      <c r="V258" s="797"/>
      <c r="W258" s="797"/>
      <c r="X258" s="797"/>
      <c r="Y258" s="797"/>
      <c r="Z258" s="797"/>
      <c r="AA258" s="797"/>
      <c r="AB258" s="797"/>
      <c r="AC258" s="797"/>
      <c r="AD258" s="797"/>
      <c r="AE258" s="797"/>
      <c r="AF258" s="797"/>
      <c r="AG258" s="797"/>
      <c r="AH258" s="797"/>
      <c r="AI258" s="797"/>
      <c r="AJ258" s="797"/>
      <c r="AK258" s="797"/>
      <c r="AL258" s="797"/>
      <c r="AM258" s="797"/>
      <c r="AN258" s="797"/>
      <c r="AO258" s="797"/>
      <c r="AP258" s="797"/>
      <c r="AQ258" s="797"/>
      <c r="AR258" s="797"/>
      <c r="AS258" s="797"/>
      <c r="AT258" s="797"/>
      <c r="AU258" s="797"/>
      <c r="AV258" s="797"/>
      <c r="AW258" s="797"/>
      <c r="AX258" s="797"/>
      <c r="AY258" s="797"/>
      <c r="AZ258" s="797"/>
      <c r="BA258" s="797"/>
      <c r="BB258" s="797"/>
      <c r="BC258" s="797"/>
      <c r="BD258" s="797"/>
      <c r="BE258" s="797"/>
      <c r="BF258" s="797"/>
      <c r="BG258" s="797"/>
      <c r="BH258" s="797"/>
      <c r="BI258" s="797"/>
      <c r="BJ258" s="797"/>
      <c r="BK258" s="797"/>
      <c r="BL258" s="797"/>
    </row>
    <row r="259" spans="1:64" s="9" customFormat="1" ht="11.25">
      <c r="A259" s="13"/>
      <c r="C259" s="92"/>
      <c r="V259" s="92"/>
      <c r="Y259" s="92"/>
      <c r="AC259" s="92"/>
      <c r="AD259" s="92"/>
      <c r="AE259" s="92"/>
      <c r="AF259" s="92"/>
      <c r="AH259" s="92"/>
      <c r="AI259" s="92"/>
      <c r="AJ259" s="92"/>
      <c r="AK259" s="92"/>
      <c r="AL259" s="92"/>
      <c r="AM259" s="92"/>
      <c r="AN259" s="92"/>
      <c r="AO259" s="92"/>
      <c r="AP259" s="92"/>
    </row>
    <row r="260" spans="1:64" s="9" customFormat="1" ht="11.25">
      <c r="A260" s="513" t="s">
        <v>1013</v>
      </c>
      <c r="C260" s="92"/>
      <c r="V260" s="92"/>
      <c r="Y260" s="92"/>
      <c r="AC260" s="92"/>
      <c r="AD260" s="92"/>
      <c r="AE260" s="92"/>
      <c r="AF260" s="92"/>
      <c r="AH260" s="92"/>
      <c r="AI260" s="92"/>
      <c r="AJ260" s="92"/>
      <c r="AK260" s="92"/>
      <c r="AL260" s="92"/>
      <c r="AM260" s="92"/>
      <c r="AN260" s="92"/>
      <c r="AO260" s="92"/>
      <c r="AP260" s="92"/>
    </row>
    <row r="261" spans="1:64" s="9" customFormat="1" ht="11.25">
      <c r="A261" s="342" t="s">
        <v>1007</v>
      </c>
      <c r="C261" s="37">
        <f t="shared" ref="C261:AS261" si="376">+C244/C$257</f>
        <v>0.52654482158398608</v>
      </c>
      <c r="D261" s="37">
        <f t="shared" si="376"/>
        <v>0.52640692640692643</v>
      </c>
      <c r="E261" s="37">
        <f t="shared" si="376"/>
        <v>0.52640692640692643</v>
      </c>
      <c r="F261" s="37">
        <f t="shared" si="376"/>
        <v>0.52263023057216051</v>
      </c>
      <c r="G261" s="37">
        <f t="shared" si="376"/>
        <v>0.52006831767719897</v>
      </c>
      <c r="H261" s="37">
        <f t="shared" si="376"/>
        <v>0.51178451178451179</v>
      </c>
      <c r="I261" s="37">
        <f t="shared" si="376"/>
        <v>0.51703577512776833</v>
      </c>
      <c r="J261" s="37">
        <f t="shared" si="376"/>
        <v>0.50165837479270314</v>
      </c>
      <c r="K261" s="37">
        <f t="shared" si="376"/>
        <v>0.495458298926507</v>
      </c>
      <c r="L261" s="37">
        <f t="shared" si="376"/>
        <v>0.48899755501222492</v>
      </c>
      <c r="M261" s="37">
        <f t="shared" si="376"/>
        <v>0.48148148148148145</v>
      </c>
      <c r="N261" s="37">
        <f t="shared" si="376"/>
        <v>0.46609508963367108</v>
      </c>
      <c r="O261" s="37">
        <f t="shared" si="376"/>
        <v>0.44593586875466068</v>
      </c>
      <c r="P261" s="37">
        <f t="shared" si="376"/>
        <v>0.44093910491562727</v>
      </c>
      <c r="Q261" s="37">
        <f t="shared" si="376"/>
        <v>0.43804034582132567</v>
      </c>
      <c r="R261" s="37">
        <f t="shared" si="376"/>
        <v>0.43693379790940767</v>
      </c>
      <c r="S261" s="37">
        <f t="shared" si="376"/>
        <v>0.42487770789657581</v>
      </c>
      <c r="T261" s="37">
        <f t="shared" si="376"/>
        <v>0.34728506787330315</v>
      </c>
      <c r="U261" s="37">
        <f t="shared" si="376"/>
        <v>0.34235229155162894</v>
      </c>
      <c r="V261" s="37">
        <f t="shared" si="376"/>
        <v>0.33727175080558541</v>
      </c>
      <c r="W261" s="37">
        <f t="shared" si="376"/>
        <v>0.33545986177565124</v>
      </c>
      <c r="X261" s="37">
        <f t="shared" si="376"/>
        <v>0.28290941543953591</v>
      </c>
      <c r="Y261" s="37">
        <f t="shared" si="376"/>
        <v>0.28107158541941152</v>
      </c>
      <c r="Z261" s="37">
        <f t="shared" si="376"/>
        <v>0.2869971264367816</v>
      </c>
      <c r="AA261" s="37">
        <f t="shared" si="376"/>
        <v>0.28766140602582496</v>
      </c>
      <c r="AB261" s="37">
        <f t="shared" si="376"/>
        <v>0.2855123674911661</v>
      </c>
      <c r="AC261" s="37">
        <f t="shared" si="376"/>
        <v>0.2836488812392427</v>
      </c>
      <c r="AD261" s="37">
        <f t="shared" si="376"/>
        <v>0.28672985781990523</v>
      </c>
      <c r="AE261" s="37">
        <f t="shared" si="376"/>
        <v>0.28381079280479682</v>
      </c>
      <c r="AF261" s="37">
        <f t="shared" si="376"/>
        <v>0.28745472505762265</v>
      </c>
      <c r="AG261" s="37">
        <f t="shared" si="376"/>
        <v>0.2870999030067895</v>
      </c>
      <c r="AH261" s="37">
        <f t="shared" si="376"/>
        <v>0.28920187793427232</v>
      </c>
      <c r="AI261" s="37">
        <f t="shared" si="376"/>
        <v>0.2908809891808346</v>
      </c>
      <c r="AJ261" s="37">
        <f t="shared" si="376"/>
        <v>0.29079307201458521</v>
      </c>
      <c r="AK261" s="37">
        <f t="shared" si="376"/>
        <v>0.29227557411273486</v>
      </c>
      <c r="AL261" s="37">
        <f t="shared" si="376"/>
        <v>0.29522978475858058</v>
      </c>
      <c r="AM261" s="37">
        <f t="shared" si="376"/>
        <v>0.29930795847750863</v>
      </c>
      <c r="AN261" s="37">
        <f t="shared" si="376"/>
        <v>0.29934677648395341</v>
      </c>
      <c r="AO261" s="37">
        <f t="shared" si="376"/>
        <v>0.29960981047937568</v>
      </c>
      <c r="AP261" s="37">
        <f t="shared" si="376"/>
        <v>0.30883947939262474</v>
      </c>
      <c r="AQ261" s="37">
        <f t="shared" si="376"/>
        <v>0.25868639318538444</v>
      </c>
      <c r="AR261" s="37">
        <f t="shared" si="376"/>
        <v>0.26084041126508717</v>
      </c>
      <c r="AS261" s="37">
        <f t="shared" si="376"/>
        <v>0.26273637374860959</v>
      </c>
      <c r="AT261" s="37">
        <f>+AT244/AT$257</f>
        <v>0.28306264501160094</v>
      </c>
      <c r="AU261" s="37">
        <f t="shared" ref="AU261:AZ261" si="377">+AU244/AU$257</f>
        <v>0.28369287868244025</v>
      </c>
      <c r="AV261" s="37">
        <f t="shared" si="377"/>
        <v>0.28688909774436089</v>
      </c>
      <c r="AW261" s="37">
        <f t="shared" si="377"/>
        <v>0.28871576959395656</v>
      </c>
      <c r="AX261" s="37">
        <f t="shared" si="377"/>
        <v>0.29430002384927262</v>
      </c>
      <c r="AY261" s="37">
        <f t="shared" si="377"/>
        <v>0.29701314217443248</v>
      </c>
      <c r="AZ261" s="37">
        <f t="shared" si="377"/>
        <v>0.29852521408182681</v>
      </c>
      <c r="BA261" s="37">
        <f t="shared" ref="BA261:BF261" si="378">+BA244/BA$257</f>
        <v>0.3012562218535198</v>
      </c>
      <c r="BB261" s="37">
        <f t="shared" si="378"/>
        <v>0.30502111684655092</v>
      </c>
      <c r="BC261" s="37">
        <f t="shared" si="378"/>
        <v>0.30402419167248196</v>
      </c>
      <c r="BD261" s="37">
        <f t="shared" si="378"/>
        <v>0.30511992619926198</v>
      </c>
      <c r="BE261" s="37">
        <f t="shared" si="378"/>
        <v>0.30658105939004815</v>
      </c>
      <c r="BF261" s="37">
        <f t="shared" si="378"/>
        <v>0.30807285810658869</v>
      </c>
      <c r="BG261" s="37">
        <f t="shared" ref="BG261:BH261" si="379">+BG244/BG$257</f>
        <v>0.30928298494043605</v>
      </c>
      <c r="BH261" s="37">
        <f t="shared" si="379"/>
        <v>0.30942806076854334</v>
      </c>
      <c r="BI261" s="37">
        <f t="shared" ref="BI261:BJ261" si="380">+BI244/BI$257</f>
        <v>0.31023029229406557</v>
      </c>
      <c r="BJ261" s="37">
        <f t="shared" si="380"/>
        <v>0.31176979662483773</v>
      </c>
      <c r="BK261" s="37">
        <f t="shared" ref="BK261:BL261" si="381">+BK244/BK$257</f>
        <v>0.31264813617754794</v>
      </c>
      <c r="BL261" s="37">
        <f t="shared" si="381"/>
        <v>0.31241997439180536</v>
      </c>
    </row>
    <row r="262" spans="1:64" s="9" customFormat="1" ht="11.25">
      <c r="A262" s="342" t="s">
        <v>1018</v>
      </c>
      <c r="C262" s="37">
        <f t="shared" ref="C262:AS262" si="382">+C246/C$257</f>
        <v>0.27589208006962579</v>
      </c>
      <c r="D262" s="37">
        <f t="shared" si="382"/>
        <v>0.2779220779220779</v>
      </c>
      <c r="E262" s="37">
        <f t="shared" si="382"/>
        <v>0.28225108225108225</v>
      </c>
      <c r="F262" s="37">
        <f t="shared" si="382"/>
        <v>0.2852263023057216</v>
      </c>
      <c r="G262" s="37">
        <f t="shared" si="382"/>
        <v>0.28864218616567039</v>
      </c>
      <c r="H262" s="37">
        <f t="shared" si="382"/>
        <v>0.29545454545454547</v>
      </c>
      <c r="I262" s="37">
        <f t="shared" si="382"/>
        <v>0.28705281090289608</v>
      </c>
      <c r="J262" s="37">
        <f t="shared" si="382"/>
        <v>0.29933665008291876</v>
      </c>
      <c r="K262" s="37">
        <f t="shared" si="382"/>
        <v>0.30305532617671344</v>
      </c>
      <c r="L262" s="37">
        <f t="shared" si="382"/>
        <v>0.30806845965770169</v>
      </c>
      <c r="M262" s="37">
        <f t="shared" si="382"/>
        <v>0.31561996779388085</v>
      </c>
      <c r="N262" s="37">
        <f t="shared" si="382"/>
        <v>0.32969602494154326</v>
      </c>
      <c r="O262" s="37">
        <f t="shared" si="382"/>
        <v>0.31991051454138703</v>
      </c>
      <c r="P262" s="37">
        <f t="shared" si="382"/>
        <v>0.32428466617754953</v>
      </c>
      <c r="Q262" s="37">
        <f t="shared" si="382"/>
        <v>0.32636887608069165</v>
      </c>
      <c r="R262" s="37">
        <f t="shared" si="382"/>
        <v>0.32891986062717771</v>
      </c>
      <c r="S262" s="37">
        <f t="shared" si="382"/>
        <v>0.33682739343116702</v>
      </c>
      <c r="T262" s="37">
        <f t="shared" si="382"/>
        <v>0.27828054298642535</v>
      </c>
      <c r="U262" s="37">
        <f t="shared" si="382"/>
        <v>0.28658199889563779</v>
      </c>
      <c r="V262" s="37">
        <f t="shared" si="382"/>
        <v>0.28786251342642322</v>
      </c>
      <c r="W262" s="37">
        <f t="shared" si="382"/>
        <v>0.2913343965975545</v>
      </c>
      <c r="X262" s="37">
        <f t="shared" si="382"/>
        <v>0.24676483712628292</v>
      </c>
      <c r="Y262" s="37">
        <f t="shared" si="382"/>
        <v>0.2560386473429952</v>
      </c>
      <c r="Z262" s="37">
        <f t="shared" si="382"/>
        <v>0.21875</v>
      </c>
      <c r="AA262" s="37">
        <f t="shared" si="382"/>
        <v>0.22130559540889527</v>
      </c>
      <c r="AB262" s="37">
        <f t="shared" si="382"/>
        <v>0.22862190812720848</v>
      </c>
      <c r="AC262" s="37">
        <f t="shared" si="382"/>
        <v>0.236144578313253</v>
      </c>
      <c r="AD262" s="37">
        <f t="shared" si="382"/>
        <v>0.23865944482058227</v>
      </c>
      <c r="AE262" s="37">
        <f t="shared" si="382"/>
        <v>0.23850766155896069</v>
      </c>
      <c r="AF262" s="37">
        <f t="shared" si="382"/>
        <v>0.24234441883437602</v>
      </c>
      <c r="AG262" s="37">
        <f t="shared" si="382"/>
        <v>0.25024248302618818</v>
      </c>
      <c r="AH262" s="37">
        <f t="shared" si="382"/>
        <v>0.25133020344287949</v>
      </c>
      <c r="AI262" s="37">
        <f t="shared" si="382"/>
        <v>0.25502318392581141</v>
      </c>
      <c r="AJ262" s="37">
        <f t="shared" si="382"/>
        <v>0.25736858097842602</v>
      </c>
      <c r="AK262" s="37">
        <f t="shared" si="382"/>
        <v>0.262451535937966</v>
      </c>
      <c r="AL262" s="37">
        <f t="shared" si="382"/>
        <v>0.26207097149505526</v>
      </c>
      <c r="AM262" s="37">
        <f t="shared" si="382"/>
        <v>0.26816608996539792</v>
      </c>
      <c r="AN262" s="37">
        <f t="shared" si="382"/>
        <v>0.27321783584209031</v>
      </c>
      <c r="AO262" s="37">
        <f t="shared" si="382"/>
        <v>0.27954292084726867</v>
      </c>
      <c r="AP262" s="37">
        <f t="shared" si="382"/>
        <v>0.27765726681127983</v>
      </c>
      <c r="AQ262" s="37">
        <f t="shared" si="382"/>
        <v>0.3357991481730554</v>
      </c>
      <c r="AR262" s="37">
        <f t="shared" si="382"/>
        <v>0.33907018328118016</v>
      </c>
      <c r="AS262" s="37">
        <f t="shared" si="382"/>
        <v>0.34126807563959954</v>
      </c>
      <c r="AT262" s="37">
        <f>+AT246/AT$257</f>
        <v>0.35707656612529004</v>
      </c>
      <c r="AU262" s="37">
        <f t="shared" ref="AU262:AZ262" si="383">+AU246/AU$257</f>
        <v>0.35861749014149852</v>
      </c>
      <c r="AV262" s="37">
        <f t="shared" si="383"/>
        <v>0.36137218045112784</v>
      </c>
      <c r="AW262" s="37">
        <f t="shared" si="383"/>
        <v>0.36284230406043438</v>
      </c>
      <c r="AX262" s="37">
        <f t="shared" si="383"/>
        <v>0.36346291438111139</v>
      </c>
      <c r="AY262" s="37">
        <f t="shared" si="383"/>
        <v>0.36367980884109918</v>
      </c>
      <c r="AZ262" s="37">
        <f t="shared" si="383"/>
        <v>0.36441484300666033</v>
      </c>
      <c r="BA262" s="37">
        <f t="shared" ref="BA262:BF262" si="384">+BA246/BA$257</f>
        <v>0.36501540649442998</v>
      </c>
      <c r="BB262" s="37">
        <f t="shared" si="384"/>
        <v>0.36414828718911307</v>
      </c>
      <c r="BC262" s="37">
        <f t="shared" si="384"/>
        <v>0.36613165852523843</v>
      </c>
      <c r="BD262" s="37">
        <f t="shared" si="384"/>
        <v>0.36692804428044279</v>
      </c>
      <c r="BE262" s="37">
        <f t="shared" si="384"/>
        <v>0.36963999082779181</v>
      </c>
      <c r="BF262" s="37">
        <f t="shared" si="384"/>
        <v>0.37351023161682034</v>
      </c>
      <c r="BG262" s="37">
        <f t="shared" ref="BG262:BH262" si="385">+BG246/BG$257</f>
        <v>0.37603955945156214</v>
      </c>
      <c r="BH262" s="37">
        <f t="shared" si="385"/>
        <v>0.37868632707774796</v>
      </c>
      <c r="BI262" s="37">
        <f t="shared" ref="BI262:BJ262" si="386">+BI246/BI$257</f>
        <v>0.38241806908768822</v>
      </c>
      <c r="BJ262" s="37">
        <f t="shared" si="386"/>
        <v>0.384465599307659</v>
      </c>
      <c r="BK262" s="37">
        <f t="shared" ref="BK262:BL262" si="387">+BK246/BK$257</f>
        <v>0.38612368024132732</v>
      </c>
      <c r="BL262" s="37">
        <f t="shared" si="387"/>
        <v>0.38945795988049509</v>
      </c>
    </row>
    <row r="263" spans="1:64" s="9" customFormat="1" ht="11.25">
      <c r="A263" s="342" t="s">
        <v>1008</v>
      </c>
      <c r="C263" s="37">
        <f t="shared" ref="C263:AS263" si="388">+C245/C$257</f>
        <v>0.16100957354221063</v>
      </c>
      <c r="D263" s="37">
        <f t="shared" si="388"/>
        <v>0.16103896103896104</v>
      </c>
      <c r="E263" s="37">
        <f t="shared" si="388"/>
        <v>0.16190476190476191</v>
      </c>
      <c r="F263" s="37">
        <f t="shared" si="388"/>
        <v>0.16054654141759181</v>
      </c>
      <c r="G263" s="37">
        <f t="shared" si="388"/>
        <v>0.16054654141759181</v>
      </c>
      <c r="H263" s="37">
        <f t="shared" si="388"/>
        <v>0.15993265993265993</v>
      </c>
      <c r="I263" s="37">
        <f t="shared" si="388"/>
        <v>0.16183986371379896</v>
      </c>
      <c r="J263" s="37">
        <f t="shared" si="388"/>
        <v>0.1625207296849088</v>
      </c>
      <c r="K263" s="37">
        <f t="shared" si="388"/>
        <v>0.16267547481420314</v>
      </c>
      <c r="L263" s="37">
        <f t="shared" si="388"/>
        <v>0.1621841890790546</v>
      </c>
      <c r="M263" s="37">
        <f t="shared" si="388"/>
        <v>0.1610305958132045</v>
      </c>
      <c r="N263" s="37">
        <f t="shared" si="388"/>
        <v>0.16134060795011693</v>
      </c>
      <c r="O263" s="37">
        <f t="shared" si="388"/>
        <v>0.15436241610738255</v>
      </c>
      <c r="P263" s="37">
        <f t="shared" si="388"/>
        <v>0.15553925165077037</v>
      </c>
      <c r="Q263" s="37">
        <f t="shared" si="388"/>
        <v>0.15489913544668588</v>
      </c>
      <c r="R263" s="37">
        <f t="shared" si="388"/>
        <v>0.15400696864111499</v>
      </c>
      <c r="S263" s="37">
        <f t="shared" si="388"/>
        <v>0.15443745632424877</v>
      </c>
      <c r="T263" s="37">
        <f t="shared" si="388"/>
        <v>0.3059954751131222</v>
      </c>
      <c r="U263" s="37">
        <f t="shared" si="388"/>
        <v>0.29928216454997242</v>
      </c>
      <c r="V263" s="37">
        <f t="shared" si="388"/>
        <v>0.2996777658431794</v>
      </c>
      <c r="W263" s="37">
        <f t="shared" si="388"/>
        <v>0.29718234981392877</v>
      </c>
      <c r="X263" s="37">
        <f t="shared" si="388"/>
        <v>0.25122713074520303</v>
      </c>
      <c r="Y263" s="37">
        <f t="shared" si="388"/>
        <v>0.24637681159420291</v>
      </c>
      <c r="Z263" s="37">
        <f t="shared" si="388"/>
        <v>0.22593390804597702</v>
      </c>
      <c r="AA263" s="37">
        <f t="shared" si="388"/>
        <v>0.22453371592539456</v>
      </c>
      <c r="AB263" s="37">
        <f t="shared" si="388"/>
        <v>0.22226148409893992</v>
      </c>
      <c r="AC263" s="37">
        <f t="shared" si="388"/>
        <v>0.22099827882960413</v>
      </c>
      <c r="AD263" s="37">
        <f t="shared" si="388"/>
        <v>0.22071767095463779</v>
      </c>
      <c r="AE263" s="37">
        <f t="shared" si="388"/>
        <v>0.21718854097268489</v>
      </c>
      <c r="AF263" s="37">
        <f t="shared" si="388"/>
        <v>0.21270991109647677</v>
      </c>
      <c r="AG263" s="37">
        <f t="shared" si="388"/>
        <v>0.2101519560297446</v>
      </c>
      <c r="AH263" s="37">
        <f t="shared" si="388"/>
        <v>0.20845070422535211</v>
      </c>
      <c r="AI263" s="37">
        <f t="shared" si="388"/>
        <v>0.20370942812982998</v>
      </c>
      <c r="AJ263" s="37">
        <f t="shared" si="388"/>
        <v>0.20206624126405348</v>
      </c>
      <c r="AK263" s="37">
        <f t="shared" si="388"/>
        <v>0.19803161348046525</v>
      </c>
      <c r="AL263" s="37">
        <f t="shared" si="388"/>
        <v>0.19691681210005818</v>
      </c>
      <c r="AM263" s="37">
        <f t="shared" si="388"/>
        <v>0.18973471741637832</v>
      </c>
      <c r="AN263" s="37">
        <f t="shared" si="388"/>
        <v>0.18716273785856291</v>
      </c>
      <c r="AO263" s="37">
        <f t="shared" si="388"/>
        <v>0.18534002229654403</v>
      </c>
      <c r="AP263" s="37">
        <f t="shared" si="388"/>
        <v>0.18058568329718006</v>
      </c>
      <c r="AQ263" s="37">
        <f t="shared" si="388"/>
        <v>0.14817305536875139</v>
      </c>
      <c r="AR263" s="37">
        <f t="shared" si="388"/>
        <v>0.14818953956191327</v>
      </c>
      <c r="AS263" s="37">
        <f t="shared" si="388"/>
        <v>0.14438264738598441</v>
      </c>
      <c r="AT263" s="37">
        <f>+AT245/AT$257</f>
        <v>9.7215777262180975E-2</v>
      </c>
      <c r="AU263" s="37">
        <f t="shared" ref="AU263:AZ263" si="389">+AU245/AU$257</f>
        <v>9.7425191370911615E-2</v>
      </c>
      <c r="AV263" s="37">
        <f t="shared" si="389"/>
        <v>9.6569548872180458E-2</v>
      </c>
      <c r="AW263" s="37">
        <f t="shared" si="389"/>
        <v>9.6317280453257784E-2</v>
      </c>
      <c r="AX263" s="37">
        <f t="shared" si="389"/>
        <v>9.5874075840686857E-2</v>
      </c>
      <c r="AY263" s="37">
        <f t="shared" si="389"/>
        <v>9.6296296296296297E-2</v>
      </c>
      <c r="AZ263" s="37">
        <f t="shared" si="389"/>
        <v>9.5623215984776397E-2</v>
      </c>
      <c r="BA263" s="37">
        <f t="shared" ref="BA263:BF263" si="390">+BA245/BA$257</f>
        <v>9.5046219483289882E-2</v>
      </c>
      <c r="BB263" s="37">
        <f t="shared" si="390"/>
        <v>9.3852651337400284E-2</v>
      </c>
      <c r="BC263" s="37">
        <f t="shared" si="390"/>
        <v>9.3742730867643634E-2</v>
      </c>
      <c r="BD263" s="37">
        <f t="shared" si="390"/>
        <v>9.3404059040590404E-2</v>
      </c>
      <c r="BE263" s="37">
        <f t="shared" si="390"/>
        <v>9.2868608117404258E-2</v>
      </c>
      <c r="BF263" s="37">
        <f t="shared" si="390"/>
        <v>9.2196986732628744E-2</v>
      </c>
      <c r="BG263" s="37">
        <f t="shared" ref="BG263:BH263" si="391">+BG245/BG$257</f>
        <v>9.2380310182063385E-2</v>
      </c>
      <c r="BH263" s="37">
        <f t="shared" si="391"/>
        <v>9.2716711349419126E-2</v>
      </c>
      <c r="BI263" s="37">
        <f t="shared" ref="BI263:BJ263" si="392">+BI245/BI$257</f>
        <v>9.1895482728077946E-2</v>
      </c>
      <c r="BJ263" s="37">
        <f t="shared" si="392"/>
        <v>9.1951536131544789E-2</v>
      </c>
      <c r="BK263" s="37">
        <f t="shared" ref="BK263:BL263" si="393">+BK245/BK$257</f>
        <v>9.1575091575091569E-2</v>
      </c>
      <c r="BL263" s="37">
        <f t="shared" si="393"/>
        <v>9.0909090909090912E-2</v>
      </c>
    </row>
    <row r="264" spans="1:64" s="9" customFormat="1" ht="11.25">
      <c r="A264" s="342" t="s">
        <v>1009</v>
      </c>
      <c r="C264" s="37">
        <f t="shared" ref="C264:AT264" si="394">+C247/C$257</f>
        <v>2.4369016536118365E-2</v>
      </c>
      <c r="D264" s="37">
        <f t="shared" si="394"/>
        <v>2.4242424242424242E-2</v>
      </c>
      <c r="E264" s="37">
        <f t="shared" si="394"/>
        <v>2.4242424242424242E-2</v>
      </c>
      <c r="F264" s="37">
        <f t="shared" si="394"/>
        <v>2.4765157984628524E-2</v>
      </c>
      <c r="G264" s="37">
        <f t="shared" si="394"/>
        <v>2.3911187019641331E-2</v>
      </c>
      <c r="H264" s="37">
        <f t="shared" si="394"/>
        <v>2.4410774410774411E-2</v>
      </c>
      <c r="I264" s="37">
        <f t="shared" si="394"/>
        <v>2.4701873935264053E-2</v>
      </c>
      <c r="J264" s="37">
        <f t="shared" si="394"/>
        <v>2.570480928689884E-2</v>
      </c>
      <c r="K264" s="37">
        <f t="shared" si="394"/>
        <v>2.5598678777869529E-2</v>
      </c>
      <c r="L264" s="37">
        <f t="shared" si="394"/>
        <v>2.6079869600651995E-2</v>
      </c>
      <c r="M264" s="37">
        <f t="shared" si="394"/>
        <v>2.5764895330112721E-2</v>
      </c>
      <c r="N264" s="37">
        <f t="shared" si="394"/>
        <v>2.5720966484801246E-2</v>
      </c>
      <c r="O264" s="37">
        <f t="shared" si="394"/>
        <v>2.4608501118568233E-2</v>
      </c>
      <c r="P264" s="37">
        <f t="shared" si="394"/>
        <v>2.4944974321349962E-2</v>
      </c>
      <c r="Q264" s="37">
        <f t="shared" si="394"/>
        <v>2.5216138328530261E-2</v>
      </c>
      <c r="R264" s="37">
        <f t="shared" si="394"/>
        <v>2.5087108013937282E-2</v>
      </c>
      <c r="S264" s="37">
        <f t="shared" si="394"/>
        <v>2.5856044723969251E-2</v>
      </c>
      <c r="T264" s="37">
        <f t="shared" si="394"/>
        <v>2.092760180995475E-2</v>
      </c>
      <c r="U264" s="37">
        <f t="shared" si="394"/>
        <v>2.0982882385422418E-2</v>
      </c>
      <c r="V264" s="37">
        <f t="shared" si="394"/>
        <v>2.0945220193340493E-2</v>
      </c>
      <c r="W264" s="37">
        <f t="shared" si="394"/>
        <v>2.1265284423179161E-2</v>
      </c>
      <c r="X264" s="37">
        <f t="shared" si="394"/>
        <v>1.8295403837572513E-2</v>
      </c>
      <c r="Y264" s="37">
        <f t="shared" si="394"/>
        <v>1.844532279314888E-2</v>
      </c>
      <c r="Z264" s="37">
        <f t="shared" si="394"/>
        <v>1.6882183908045977E-2</v>
      </c>
      <c r="AA264" s="37">
        <f t="shared" si="394"/>
        <v>1.721664275466284E-2</v>
      </c>
      <c r="AB264" s="37">
        <f t="shared" si="394"/>
        <v>1.7667844522968199E-2</v>
      </c>
      <c r="AC264" s="37">
        <f t="shared" si="394"/>
        <v>1.7555938037865749E-2</v>
      </c>
      <c r="AD264" s="37">
        <f t="shared" si="394"/>
        <v>1.794177386594448E-2</v>
      </c>
      <c r="AE264" s="37">
        <f t="shared" si="394"/>
        <v>1.765489673550966E-2</v>
      </c>
      <c r="AF264" s="37">
        <f t="shared" si="394"/>
        <v>1.8109976950938425E-2</v>
      </c>
      <c r="AG264" s="37">
        <f t="shared" si="394"/>
        <v>1.7458777885548012E-2</v>
      </c>
      <c r="AH264" s="37">
        <f t="shared" si="394"/>
        <v>1.7840375586854459E-2</v>
      </c>
      <c r="AI264" s="37">
        <f t="shared" si="394"/>
        <v>1.7928902627511591E-2</v>
      </c>
      <c r="AJ264" s="37">
        <f t="shared" si="394"/>
        <v>1.76238225463385E-2</v>
      </c>
      <c r="AK264" s="37">
        <f t="shared" si="394"/>
        <v>1.8490903668356696E-2</v>
      </c>
      <c r="AL264" s="37">
        <f t="shared" si="394"/>
        <v>1.8615474112856311E-2</v>
      </c>
      <c r="AM264" s="37">
        <f t="shared" si="394"/>
        <v>1.9319492502883506E-2</v>
      </c>
      <c r="AN264" s="37">
        <f t="shared" si="394"/>
        <v>2.0164725930133486E-2</v>
      </c>
      <c r="AO264" s="37">
        <f t="shared" si="394"/>
        <v>1.9788182831661092E-2</v>
      </c>
      <c r="AP264" s="37">
        <f t="shared" si="394"/>
        <v>1.9522776572668113E-2</v>
      </c>
      <c r="AQ264" s="37">
        <f t="shared" si="394"/>
        <v>1.6364043936337145E-2</v>
      </c>
      <c r="AR264" s="37">
        <f t="shared" si="394"/>
        <v>1.631649530621368E-2</v>
      </c>
      <c r="AS264" s="37">
        <f t="shared" si="394"/>
        <v>1.7352614015572858E-2</v>
      </c>
      <c r="AT264" s="37">
        <f t="shared" si="394"/>
        <v>1.7401392111368909E-2</v>
      </c>
      <c r="AU264" s="37">
        <f t="shared" ref="AU264:AV273" si="395">+AU247/AU$257</f>
        <v>1.7397355601948505E-2</v>
      </c>
      <c r="AV264" s="37">
        <f t="shared" si="395"/>
        <v>1.7152255639097745E-2</v>
      </c>
      <c r="AW264" s="37">
        <f t="shared" ref="AW264:BD273" si="396">+AW247/AW$257</f>
        <v>1.676109537299339E-2</v>
      </c>
      <c r="AX264" s="37">
        <f t="shared" si="396"/>
        <v>1.6932983544001908E-2</v>
      </c>
      <c r="AY264" s="37">
        <f t="shared" si="396"/>
        <v>1.6965352449223418E-2</v>
      </c>
      <c r="AZ264" s="37">
        <f t="shared" si="396"/>
        <v>1.6888677450047573E-2</v>
      </c>
      <c r="BA264" s="37">
        <f t="shared" si="396"/>
        <v>1.6828632377340603E-2</v>
      </c>
      <c r="BB264" s="37">
        <f t="shared" si="396"/>
        <v>1.6658845612388552E-2</v>
      </c>
      <c r="BC264" s="37">
        <f t="shared" si="396"/>
        <v>1.6515468713654339E-2</v>
      </c>
      <c r="BD264" s="37">
        <f t="shared" si="396"/>
        <v>1.6605166051660517E-2</v>
      </c>
      <c r="BE264" s="37">
        <f t="shared" ref="BE264:BF273" si="397">+BE247/BE$257</f>
        <v>1.6509974776427426E-2</v>
      </c>
      <c r="BF264" s="37">
        <f t="shared" si="397"/>
        <v>1.6415561052394872E-2</v>
      </c>
      <c r="BG264" s="37">
        <f t="shared" ref="BG264:BH264" si="398">+BG247/BG$257</f>
        <v>1.5733872780400091E-2</v>
      </c>
      <c r="BH264" s="37">
        <f t="shared" si="398"/>
        <v>1.5638963360142984E-2</v>
      </c>
      <c r="BI264" s="37">
        <f t="shared" ref="BI264:BJ264" si="399">+BI247/BI$257</f>
        <v>1.550044286979628E-2</v>
      </c>
      <c r="BJ264" s="37">
        <f t="shared" si="399"/>
        <v>1.5577672003461706E-2</v>
      </c>
      <c r="BK264" s="37">
        <f t="shared" ref="BK264:BL264" si="400">+BK247/BK$257</f>
        <v>1.5513897866839044E-2</v>
      </c>
      <c r="BL264" s="37">
        <f t="shared" si="400"/>
        <v>1.5364916773367477E-2</v>
      </c>
    </row>
    <row r="265" spans="1:64" s="9" customFormat="1" ht="11.25">
      <c r="A265" s="342" t="s">
        <v>1010</v>
      </c>
      <c r="C265" s="37">
        <f t="shared" ref="C265:AR265" si="401">+C248/C$257</f>
        <v>0</v>
      </c>
      <c r="D265" s="37">
        <f t="shared" si="401"/>
        <v>0</v>
      </c>
      <c r="E265" s="37">
        <f t="shared" si="401"/>
        <v>0</v>
      </c>
      <c r="F265" s="37">
        <f t="shared" si="401"/>
        <v>0</v>
      </c>
      <c r="G265" s="37">
        <f t="shared" si="401"/>
        <v>0</v>
      </c>
      <c r="H265" s="37">
        <f t="shared" si="401"/>
        <v>0</v>
      </c>
      <c r="I265" s="37">
        <f t="shared" si="401"/>
        <v>0</v>
      </c>
      <c r="J265" s="37">
        <f t="shared" si="401"/>
        <v>0</v>
      </c>
      <c r="K265" s="37">
        <f t="shared" si="401"/>
        <v>0</v>
      </c>
      <c r="L265" s="37">
        <f t="shared" si="401"/>
        <v>0</v>
      </c>
      <c r="M265" s="37">
        <f t="shared" si="401"/>
        <v>0</v>
      </c>
      <c r="N265" s="37">
        <f t="shared" si="401"/>
        <v>0</v>
      </c>
      <c r="O265" s="37">
        <f t="shared" si="401"/>
        <v>3.877703206562267E-2</v>
      </c>
      <c r="P265" s="37">
        <f t="shared" si="401"/>
        <v>3.7417461482024947E-2</v>
      </c>
      <c r="Q265" s="37">
        <f t="shared" si="401"/>
        <v>3.7463976945244955E-2</v>
      </c>
      <c r="R265" s="37">
        <f t="shared" si="401"/>
        <v>3.6933797909407665E-2</v>
      </c>
      <c r="S265" s="37">
        <f t="shared" si="401"/>
        <v>3.7037037037037035E-2</v>
      </c>
      <c r="T265" s="37">
        <f t="shared" si="401"/>
        <v>3.0542986425339366E-2</v>
      </c>
      <c r="U265" s="37">
        <f t="shared" si="401"/>
        <v>3.147432357813363E-2</v>
      </c>
      <c r="V265" s="37">
        <f t="shared" si="401"/>
        <v>3.3297529538131039E-2</v>
      </c>
      <c r="W265" s="37">
        <f t="shared" si="401"/>
        <v>3.3492822966507178E-2</v>
      </c>
      <c r="X265" s="37">
        <f t="shared" si="401"/>
        <v>2.8112449799196786E-2</v>
      </c>
      <c r="Y265" s="37">
        <f t="shared" si="401"/>
        <v>2.766798418972332E-2</v>
      </c>
      <c r="Z265" s="37">
        <f t="shared" si="401"/>
        <v>2.3706896551724137E-2</v>
      </c>
      <c r="AA265" s="37">
        <f t="shared" si="401"/>
        <v>2.4390243902439025E-2</v>
      </c>
      <c r="AB265" s="37">
        <f t="shared" si="401"/>
        <v>2.5088339222614841E-2</v>
      </c>
      <c r="AC265" s="37">
        <f t="shared" si="401"/>
        <v>2.4784853700516352E-2</v>
      </c>
      <c r="AD265" s="37">
        <f t="shared" si="401"/>
        <v>2.4712254570074477E-2</v>
      </c>
      <c r="AE265" s="37">
        <f t="shared" si="401"/>
        <v>2.4317121918720853E-2</v>
      </c>
      <c r="AF265" s="37">
        <f t="shared" si="401"/>
        <v>2.4366150806717154E-2</v>
      </c>
      <c r="AG265" s="37">
        <f t="shared" si="401"/>
        <v>2.4248302618816681E-2</v>
      </c>
      <c r="AH265" s="37">
        <f t="shared" si="401"/>
        <v>2.5352112676056339E-2</v>
      </c>
      <c r="AI265" s="37">
        <f t="shared" si="401"/>
        <v>2.6893353941267389E-2</v>
      </c>
      <c r="AJ265" s="37">
        <f t="shared" si="401"/>
        <v>2.7347310847766638E-2</v>
      </c>
      <c r="AK265" s="37">
        <f t="shared" si="401"/>
        <v>2.7139874739039668E-2</v>
      </c>
      <c r="AL265" s="37">
        <f t="shared" si="401"/>
        <v>2.7341477603257707E-2</v>
      </c>
      <c r="AM265" s="37">
        <f t="shared" si="401"/>
        <v>2.7104959630911189E-2</v>
      </c>
      <c r="AN265" s="37">
        <f t="shared" si="401"/>
        <v>2.698097131496734E-2</v>
      </c>
      <c r="AO265" s="37">
        <f t="shared" si="401"/>
        <v>2.6477146042363432E-2</v>
      </c>
      <c r="AP265" s="37">
        <f t="shared" si="401"/>
        <v>2.5759219088937094E-2</v>
      </c>
      <c r="AQ265" s="37">
        <f t="shared" si="401"/>
        <v>2.1295673615781215E-2</v>
      </c>
      <c r="AR265" s="37">
        <f t="shared" si="401"/>
        <v>2.1233795261510952E-2</v>
      </c>
      <c r="AS265" s="37">
        <f t="shared" ref="AS265:AT273" si="402">+AS248/AS$257</f>
        <v>2.0689655172413793E-2</v>
      </c>
      <c r="AT265" s="37">
        <f t="shared" si="402"/>
        <v>2.1577726218097448E-2</v>
      </c>
      <c r="AU265" s="37">
        <f t="shared" si="395"/>
        <v>2.0644861980978892E-2</v>
      </c>
      <c r="AV265" s="37">
        <f t="shared" si="395"/>
        <v>2.0206766917293232E-2</v>
      </c>
      <c r="AW265" s="37">
        <f t="shared" si="396"/>
        <v>1.8649669499527857E-2</v>
      </c>
      <c r="AX265" s="37">
        <f t="shared" si="396"/>
        <v>1.8840925351776772E-2</v>
      </c>
      <c r="AY265" s="37">
        <f t="shared" si="396"/>
        <v>1.8399044205495818E-2</v>
      </c>
      <c r="AZ265" s="37">
        <f t="shared" si="396"/>
        <v>1.8315889628924834E-2</v>
      </c>
      <c r="BA265" s="37">
        <f t="shared" si="396"/>
        <v>1.8013747333491349E-2</v>
      </c>
      <c r="BB265" s="37">
        <f t="shared" si="396"/>
        <v>1.7832003754106054E-2</v>
      </c>
      <c r="BC265" s="37">
        <f t="shared" si="396"/>
        <v>1.7213305419865085E-2</v>
      </c>
      <c r="BD265" s="37">
        <f t="shared" si="396"/>
        <v>1.7066420664206643E-2</v>
      </c>
      <c r="BE265" s="37">
        <f t="shared" si="397"/>
        <v>1.6968585186883742E-2</v>
      </c>
      <c r="BF265" s="37">
        <f t="shared" si="397"/>
        <v>1.6640431751742749E-2</v>
      </c>
      <c r="BG265" s="37">
        <f t="shared" ref="BG265:BH265" si="403">+BG248/BG$257</f>
        <v>1.6632951224994381E-2</v>
      </c>
      <c r="BH265" s="37">
        <f t="shared" si="403"/>
        <v>1.675603217158177E-2</v>
      </c>
      <c r="BI265" s="37">
        <f t="shared" ref="BI265:BJ265" si="404">+BI248/BI$257</f>
        <v>1.6607617360496013E-2</v>
      </c>
      <c r="BJ265" s="37">
        <f t="shared" si="404"/>
        <v>1.6443098225876245E-2</v>
      </c>
      <c r="BK265" s="37">
        <f t="shared" ref="BK265:BL265" si="405">+BK248/BK$257</f>
        <v>1.6375781081663435E-2</v>
      </c>
      <c r="BL265" s="37">
        <f t="shared" si="405"/>
        <v>1.6431924882629109E-2</v>
      </c>
    </row>
    <row r="266" spans="1:64" s="9" customFormat="1" ht="11.25">
      <c r="A266" s="342" t="s">
        <v>1011</v>
      </c>
      <c r="C266" s="37">
        <f t="shared" ref="C266:AR266" si="406">+C249/C$257</f>
        <v>0</v>
      </c>
      <c r="D266" s="37">
        <f t="shared" si="406"/>
        <v>0</v>
      </c>
      <c r="E266" s="37">
        <f t="shared" si="406"/>
        <v>0</v>
      </c>
      <c r="F266" s="37">
        <f t="shared" si="406"/>
        <v>0</v>
      </c>
      <c r="G266" s="37">
        <f t="shared" si="406"/>
        <v>0</v>
      </c>
      <c r="H266" s="37">
        <f t="shared" si="406"/>
        <v>0</v>
      </c>
      <c r="I266" s="37">
        <f t="shared" si="406"/>
        <v>0</v>
      </c>
      <c r="J266" s="37">
        <f t="shared" si="406"/>
        <v>0</v>
      </c>
      <c r="K266" s="37">
        <f t="shared" si="406"/>
        <v>0</v>
      </c>
      <c r="L266" s="37">
        <f t="shared" si="406"/>
        <v>0</v>
      </c>
      <c r="M266" s="37">
        <f t="shared" si="406"/>
        <v>0</v>
      </c>
      <c r="N266" s="37">
        <f t="shared" si="406"/>
        <v>0</v>
      </c>
      <c r="O266" s="37">
        <f t="shared" si="406"/>
        <v>0</v>
      </c>
      <c r="P266" s="37">
        <f t="shared" si="406"/>
        <v>0</v>
      </c>
      <c r="Q266" s="37">
        <f t="shared" si="406"/>
        <v>0</v>
      </c>
      <c r="R266" s="37">
        <f t="shared" si="406"/>
        <v>0</v>
      </c>
      <c r="S266" s="37">
        <f t="shared" si="406"/>
        <v>0</v>
      </c>
      <c r="T266" s="37">
        <f t="shared" si="406"/>
        <v>0</v>
      </c>
      <c r="U266" s="37">
        <f t="shared" si="406"/>
        <v>0</v>
      </c>
      <c r="V266" s="37">
        <f t="shared" si="406"/>
        <v>0</v>
      </c>
      <c r="W266" s="37">
        <f t="shared" si="406"/>
        <v>0</v>
      </c>
      <c r="X266" s="37">
        <f t="shared" si="406"/>
        <v>0.11646586345381527</v>
      </c>
      <c r="Y266" s="37">
        <f t="shared" si="406"/>
        <v>0.11418533157663592</v>
      </c>
      <c r="Z266" s="37">
        <f t="shared" si="406"/>
        <v>9.3031609195402293E-2</v>
      </c>
      <c r="AA266" s="37">
        <f t="shared" si="406"/>
        <v>9.2539454806312774E-2</v>
      </c>
      <c r="AB266" s="37">
        <f t="shared" si="406"/>
        <v>9.0459363957597169E-2</v>
      </c>
      <c r="AC266" s="37">
        <f t="shared" si="406"/>
        <v>8.7779690189328741E-2</v>
      </c>
      <c r="AD266" s="37">
        <f t="shared" si="406"/>
        <v>8.5308056872037921E-2</v>
      </c>
      <c r="AE266" s="37">
        <f t="shared" si="406"/>
        <v>8.3277814790139904E-2</v>
      </c>
      <c r="AF266" s="37">
        <f t="shared" si="406"/>
        <v>8.2647349357918995E-2</v>
      </c>
      <c r="AG266" s="37">
        <f t="shared" si="406"/>
        <v>8.1797607500808278E-2</v>
      </c>
      <c r="AH266" s="37">
        <f t="shared" si="406"/>
        <v>8.1690140845070425E-2</v>
      </c>
      <c r="AI266" s="37">
        <f t="shared" si="406"/>
        <v>8.0989180834621324E-2</v>
      </c>
      <c r="AJ266" s="37">
        <f t="shared" si="406"/>
        <v>7.9914919477362498E-2</v>
      </c>
      <c r="AK266" s="37">
        <f t="shared" si="406"/>
        <v>7.9630181926632862E-2</v>
      </c>
      <c r="AL266" s="37">
        <f t="shared" si="406"/>
        <v>7.9988365328679464E-2</v>
      </c>
      <c r="AM266" s="37">
        <f t="shared" si="406"/>
        <v>7.8719723183391002E-2</v>
      </c>
      <c r="AN266" s="37">
        <f t="shared" si="406"/>
        <v>7.8386821925589323E-2</v>
      </c>
      <c r="AO266" s="37">
        <f t="shared" si="406"/>
        <v>7.7201783723522849E-2</v>
      </c>
      <c r="AP266" s="37">
        <f t="shared" si="406"/>
        <v>7.7548806941431667E-2</v>
      </c>
      <c r="AQ266" s="37">
        <f t="shared" si="406"/>
        <v>8.76485093028469E-2</v>
      </c>
      <c r="AR266" s="37">
        <f t="shared" si="406"/>
        <v>8.7840858292355828E-2</v>
      </c>
      <c r="AS266" s="37">
        <f t="shared" si="402"/>
        <v>8.765294771968854E-2</v>
      </c>
      <c r="AT266" s="37">
        <f t="shared" si="402"/>
        <v>9.2807424593967514E-2</v>
      </c>
      <c r="AU266" s="37">
        <f t="shared" si="395"/>
        <v>9.209000231964741E-2</v>
      </c>
      <c r="AV266" s="37">
        <f t="shared" si="395"/>
        <v>9.0225563909774431E-2</v>
      </c>
      <c r="AW266" s="37">
        <f t="shared" si="396"/>
        <v>9.2067988668555242E-2</v>
      </c>
      <c r="AX266" s="37">
        <f t="shared" si="396"/>
        <v>9.2535177677080846E-2</v>
      </c>
      <c r="AY266" s="37">
        <f t="shared" si="396"/>
        <v>9.0083632019115886E-2</v>
      </c>
      <c r="AZ266" s="37">
        <f t="shared" si="396"/>
        <v>8.8249286393910567E-2</v>
      </c>
      <c r="BA266" s="37">
        <f t="shared" si="396"/>
        <v>8.556529983408391E-2</v>
      </c>
      <c r="BB266" s="37">
        <f t="shared" si="396"/>
        <v>8.5405912717034252E-2</v>
      </c>
      <c r="BC266" s="37">
        <f t="shared" si="396"/>
        <v>8.5601302628518255E-2</v>
      </c>
      <c r="BD266" s="37">
        <f t="shared" si="396"/>
        <v>8.5332103321033206E-2</v>
      </c>
      <c r="BE266" s="37">
        <f t="shared" si="397"/>
        <v>8.3696399908277916E-2</v>
      </c>
      <c r="BF266" s="37">
        <f t="shared" si="397"/>
        <v>8.2077805261974363E-2</v>
      </c>
      <c r="BG266" s="37">
        <f t="shared" ref="BG266:BH266" si="407">+BG249/BG$257</f>
        <v>8.4738143403011917E-2</v>
      </c>
      <c r="BH266" s="37">
        <f t="shared" si="407"/>
        <v>8.4897229669347637E-2</v>
      </c>
      <c r="BI266" s="37">
        <f t="shared" ref="BI266:BJ266" si="408">+BI249/BI$257</f>
        <v>8.3702391496899911E-2</v>
      </c>
      <c r="BJ266" s="37">
        <f t="shared" si="408"/>
        <v>8.7624405019472093E-2</v>
      </c>
      <c r="BK266" s="37">
        <f t="shared" ref="BK266:BL266" si="409">+BK249/BK$257</f>
        <v>8.683473389355742E-2</v>
      </c>
      <c r="BL266" s="37">
        <f t="shared" si="409"/>
        <v>8.621425522833974E-2</v>
      </c>
    </row>
    <row r="267" spans="1:64" s="9" customFormat="1" ht="11.25">
      <c r="A267" s="342" t="s">
        <v>1012</v>
      </c>
      <c r="C267" s="37">
        <f t="shared" ref="C267:AR267" si="410">+C250/C$257</f>
        <v>0</v>
      </c>
      <c r="D267" s="37">
        <f t="shared" si="410"/>
        <v>0</v>
      </c>
      <c r="E267" s="37">
        <f t="shared" si="410"/>
        <v>0</v>
      </c>
      <c r="F267" s="37">
        <f t="shared" si="410"/>
        <v>0</v>
      </c>
      <c r="G267" s="37">
        <f t="shared" si="410"/>
        <v>0</v>
      </c>
      <c r="H267" s="37">
        <f t="shared" si="410"/>
        <v>0</v>
      </c>
      <c r="I267" s="37">
        <f t="shared" si="410"/>
        <v>0</v>
      </c>
      <c r="J267" s="37">
        <f t="shared" si="410"/>
        <v>0</v>
      </c>
      <c r="K267" s="37">
        <f t="shared" si="410"/>
        <v>0</v>
      </c>
      <c r="L267" s="37">
        <f t="shared" si="410"/>
        <v>0</v>
      </c>
      <c r="M267" s="37">
        <f t="shared" si="410"/>
        <v>0</v>
      </c>
      <c r="N267" s="37">
        <f t="shared" si="410"/>
        <v>0</v>
      </c>
      <c r="O267" s="37">
        <f t="shared" si="410"/>
        <v>0</v>
      </c>
      <c r="P267" s="37">
        <f t="shared" si="410"/>
        <v>0</v>
      </c>
      <c r="Q267" s="37">
        <f t="shared" si="410"/>
        <v>0</v>
      </c>
      <c r="R267" s="37">
        <f t="shared" si="410"/>
        <v>0</v>
      </c>
      <c r="S267" s="37">
        <f t="shared" si="410"/>
        <v>0</v>
      </c>
      <c r="T267" s="37">
        <f t="shared" si="410"/>
        <v>0</v>
      </c>
      <c r="U267" s="37">
        <f t="shared" si="410"/>
        <v>0</v>
      </c>
      <c r="V267" s="37">
        <f t="shared" si="410"/>
        <v>0</v>
      </c>
      <c r="W267" s="37">
        <f t="shared" si="410"/>
        <v>0</v>
      </c>
      <c r="X267" s="37">
        <f t="shared" si="410"/>
        <v>3.7483266398929051E-2</v>
      </c>
      <c r="Y267" s="37">
        <f t="shared" si="410"/>
        <v>3.689064558629776E-2</v>
      </c>
      <c r="Z267" s="37">
        <f t="shared" si="410"/>
        <v>3.05316091954023E-2</v>
      </c>
      <c r="AA267" s="37">
        <f t="shared" si="410"/>
        <v>3.048780487804878E-2</v>
      </c>
      <c r="AB267" s="37">
        <f t="shared" si="410"/>
        <v>2.8975265017667843E-2</v>
      </c>
      <c r="AC267" s="37">
        <f t="shared" si="410"/>
        <v>2.7882960413080894E-2</v>
      </c>
      <c r="AD267" s="37">
        <f t="shared" si="410"/>
        <v>2.5050778605280974E-2</v>
      </c>
      <c r="AE267" s="37">
        <f t="shared" si="410"/>
        <v>2.3650899400399734E-2</v>
      </c>
      <c r="AF267" s="37">
        <f t="shared" si="410"/>
        <v>2.3378333882120513E-2</v>
      </c>
      <c r="AG267" s="37">
        <f t="shared" si="410"/>
        <v>2.1661817006142902E-2</v>
      </c>
      <c r="AH267" s="37">
        <f t="shared" si="410"/>
        <v>2.0970266040688575E-2</v>
      </c>
      <c r="AI267" s="37">
        <f t="shared" si="410"/>
        <v>2.071097372488408E-2</v>
      </c>
      <c r="AJ267" s="37">
        <f t="shared" si="410"/>
        <v>2.0358553631115162E-2</v>
      </c>
      <c r="AK267" s="37">
        <f t="shared" si="410"/>
        <v>1.9683865195347448E-2</v>
      </c>
      <c r="AL267" s="37">
        <f t="shared" si="410"/>
        <v>1.9488074461896453E-2</v>
      </c>
      <c r="AM267" s="37">
        <f t="shared" si="410"/>
        <v>1.9319492502883506E-2</v>
      </c>
      <c r="AN267" s="37">
        <f t="shared" si="410"/>
        <v>1.8176654359556944E-2</v>
      </c>
      <c r="AO267" s="37">
        <f t="shared" si="410"/>
        <v>1.7837235228539576E-2</v>
      </c>
      <c r="AP267" s="37">
        <f t="shared" si="410"/>
        <v>1.735357917570499E-2</v>
      </c>
      <c r="AQ267" s="37">
        <f t="shared" si="410"/>
        <v>1.434655906747366E-2</v>
      </c>
      <c r="AR267" s="37">
        <f t="shared" si="410"/>
        <v>1.2740277156906571E-2</v>
      </c>
      <c r="AS267" s="37">
        <f t="shared" si="402"/>
        <v>1.1123470522803115E-2</v>
      </c>
      <c r="AT267" s="37">
        <f t="shared" si="402"/>
        <v>1.0672853828306265E-2</v>
      </c>
      <c r="AU267" s="37">
        <f t="shared" si="395"/>
        <v>1.0670378102528416E-2</v>
      </c>
      <c r="AV267" s="37">
        <f t="shared" si="395"/>
        <v>1.0103383458646616E-2</v>
      </c>
      <c r="AW267" s="37">
        <f t="shared" si="396"/>
        <v>7.5542965061378663E-3</v>
      </c>
      <c r="AX267" s="37">
        <f t="shared" si="396"/>
        <v>3.8158836155497257E-3</v>
      </c>
      <c r="AY267" s="37">
        <f t="shared" si="396"/>
        <v>3.8231780167264037E-3</v>
      </c>
      <c r="AZ267" s="37">
        <f t="shared" si="396"/>
        <v>3.8058991436726928E-3</v>
      </c>
      <c r="BA267" s="37">
        <f t="shared" si="396"/>
        <v>3.7923678596823891E-3</v>
      </c>
      <c r="BB267" s="37">
        <f t="shared" si="396"/>
        <v>3.5194744251525107E-3</v>
      </c>
      <c r="BC267" s="37">
        <f t="shared" si="396"/>
        <v>3.4891835310537334E-3</v>
      </c>
      <c r="BD267" s="37">
        <f t="shared" si="396"/>
        <v>3.4594095940959409E-3</v>
      </c>
      <c r="BE267" s="37">
        <f t="shared" si="397"/>
        <v>3.4395780784223801E-3</v>
      </c>
      <c r="BF267" s="37">
        <f t="shared" si="397"/>
        <v>3.3730604902181245E-3</v>
      </c>
      <c r="BG267" s="37">
        <f t="shared" ref="BG267:BH267" si="411">+BG250/BG$257</f>
        <v>3.3715441672285905E-3</v>
      </c>
      <c r="BH267" s="37">
        <f t="shared" si="411"/>
        <v>0</v>
      </c>
      <c r="BI267" s="37">
        <f t="shared" ref="BI267:BJ267" si="412">+BI250/BI$257</f>
        <v>0</v>
      </c>
      <c r="BJ267" s="37">
        <f t="shared" si="412"/>
        <v>0</v>
      </c>
      <c r="BK267" s="37">
        <f t="shared" ref="BK267:BL267" si="413">+BK250/BK$257</f>
        <v>0</v>
      </c>
      <c r="BL267" s="37">
        <f t="shared" si="413"/>
        <v>5.9752454118651302E-3</v>
      </c>
    </row>
    <row r="268" spans="1:64" s="9" customFormat="1" ht="11.25">
      <c r="A268" s="342" t="s">
        <v>1019</v>
      </c>
      <c r="C268" s="37">
        <f t="shared" ref="C268:AR268" si="414">+C251/C$257</f>
        <v>0</v>
      </c>
      <c r="D268" s="37">
        <f t="shared" si="414"/>
        <v>0</v>
      </c>
      <c r="E268" s="37">
        <f t="shared" si="414"/>
        <v>0</v>
      </c>
      <c r="F268" s="37">
        <f t="shared" si="414"/>
        <v>0</v>
      </c>
      <c r="G268" s="37">
        <f t="shared" si="414"/>
        <v>0</v>
      </c>
      <c r="H268" s="37">
        <f t="shared" si="414"/>
        <v>0</v>
      </c>
      <c r="I268" s="37">
        <f t="shared" si="414"/>
        <v>0</v>
      </c>
      <c r="J268" s="37">
        <f t="shared" si="414"/>
        <v>0</v>
      </c>
      <c r="K268" s="37">
        <f t="shared" si="414"/>
        <v>0</v>
      </c>
      <c r="L268" s="37">
        <f t="shared" si="414"/>
        <v>0</v>
      </c>
      <c r="M268" s="37">
        <f t="shared" si="414"/>
        <v>0</v>
      </c>
      <c r="N268" s="37">
        <f t="shared" si="414"/>
        <v>0</v>
      </c>
      <c r="O268" s="37">
        <f t="shared" si="414"/>
        <v>0</v>
      </c>
      <c r="P268" s="37">
        <f t="shared" si="414"/>
        <v>0</v>
      </c>
      <c r="Q268" s="37">
        <f t="shared" si="414"/>
        <v>0</v>
      </c>
      <c r="R268" s="37">
        <f t="shared" si="414"/>
        <v>0</v>
      </c>
      <c r="S268" s="37">
        <f t="shared" si="414"/>
        <v>0</v>
      </c>
      <c r="T268" s="37">
        <f t="shared" si="414"/>
        <v>0</v>
      </c>
      <c r="U268" s="37">
        <f t="shared" si="414"/>
        <v>0</v>
      </c>
      <c r="V268" s="37">
        <f t="shared" si="414"/>
        <v>0</v>
      </c>
      <c r="W268" s="37">
        <f t="shared" si="414"/>
        <v>0</v>
      </c>
      <c r="X268" s="37">
        <f t="shared" si="414"/>
        <v>0</v>
      </c>
      <c r="Y268" s="37">
        <f t="shared" si="414"/>
        <v>0</v>
      </c>
      <c r="Z268" s="37">
        <f t="shared" si="414"/>
        <v>7.1120689655172417E-2</v>
      </c>
      <c r="AA268" s="37">
        <f t="shared" si="414"/>
        <v>7.0659971305595412E-2</v>
      </c>
      <c r="AB268" s="37">
        <f t="shared" si="414"/>
        <v>6.9964664310954064E-2</v>
      </c>
      <c r="AC268" s="37">
        <f t="shared" si="414"/>
        <v>6.9879518072289162E-2</v>
      </c>
      <c r="AD268" s="37">
        <f t="shared" si="414"/>
        <v>7.075152335815843E-2</v>
      </c>
      <c r="AE268" s="37">
        <f t="shared" si="414"/>
        <v>6.9953364423717523E-2</v>
      </c>
      <c r="AF268" s="37">
        <f t="shared" si="414"/>
        <v>6.8817912413566024E-2</v>
      </c>
      <c r="AG268" s="37">
        <f t="shared" si="414"/>
        <v>6.8218558034270932E-2</v>
      </c>
      <c r="AH268" s="37">
        <f t="shared" si="414"/>
        <v>6.7605633802816895E-2</v>
      </c>
      <c r="AI268" s="37">
        <f t="shared" si="414"/>
        <v>6.7697063369397223E-2</v>
      </c>
      <c r="AJ268" s="37">
        <f t="shared" si="414"/>
        <v>6.8672136128836214E-2</v>
      </c>
      <c r="AK268" s="37">
        <f t="shared" si="414"/>
        <v>6.7104085893229942E-2</v>
      </c>
      <c r="AL268" s="37">
        <f t="shared" si="414"/>
        <v>6.689936009307737E-2</v>
      </c>
      <c r="AM268" s="37">
        <f t="shared" si="414"/>
        <v>6.603229527104959E-2</v>
      </c>
      <c r="AN268" s="37">
        <f t="shared" si="414"/>
        <v>6.4186310707185459E-2</v>
      </c>
      <c r="AO268" s="37">
        <f t="shared" si="414"/>
        <v>6.3266443701226305E-2</v>
      </c>
      <c r="AP268" s="37">
        <f t="shared" si="414"/>
        <v>6.2093275488069415E-2</v>
      </c>
      <c r="AQ268" s="37">
        <f t="shared" si="414"/>
        <v>5.155794664873347E-2</v>
      </c>
      <c r="AR268" s="37">
        <f t="shared" si="414"/>
        <v>5.2078676799284754E-2</v>
      </c>
      <c r="AS268" s="37">
        <f t="shared" si="402"/>
        <v>5.2502780867630702E-2</v>
      </c>
      <c r="AT268" s="37">
        <f t="shared" si="402"/>
        <v>5.4060324825986078E-2</v>
      </c>
      <c r="AU268" s="37">
        <f t="shared" si="395"/>
        <v>5.4279749478079335E-2</v>
      </c>
      <c r="AV268" s="37">
        <f t="shared" si="395"/>
        <v>5.3806390977443608E-2</v>
      </c>
      <c r="AW268" s="37">
        <f t="shared" si="396"/>
        <v>5.3588290840415484E-2</v>
      </c>
      <c r="AX268" s="37">
        <f t="shared" si="396"/>
        <v>5.4614834247555449E-2</v>
      </c>
      <c r="AY268" s="37">
        <f t="shared" si="396"/>
        <v>5.4480286738351258E-2</v>
      </c>
      <c r="AZ268" s="37">
        <f t="shared" si="396"/>
        <v>5.3996194100856328E-2</v>
      </c>
      <c r="BA268" s="37">
        <f t="shared" si="396"/>
        <v>5.3804219009243898E-2</v>
      </c>
      <c r="BB268" s="37">
        <f t="shared" si="396"/>
        <v>5.3496011262318163E-2</v>
      </c>
      <c r="BC268" s="37">
        <f t="shared" si="396"/>
        <v>5.2802977436613163E-2</v>
      </c>
      <c r="BD268" s="37">
        <f t="shared" si="396"/>
        <v>5.2352398523985239E-2</v>
      </c>
      <c r="BE268" s="37">
        <f t="shared" si="397"/>
        <v>5.1593671176335704E-2</v>
      </c>
      <c r="BF268" s="37">
        <f t="shared" si="397"/>
        <v>5.0371036653923992E-2</v>
      </c>
      <c r="BG268" s="37">
        <f t="shared" ref="BG268:BH268" si="415">+BG251/BG$257</f>
        <v>4.967408406383457E-2</v>
      </c>
      <c r="BH268" s="37">
        <f t="shared" si="415"/>
        <v>4.9151027703306524E-2</v>
      </c>
      <c r="BI268" s="37">
        <f t="shared" ref="BI268:BJ268" si="416">+BI251/BI$257</f>
        <v>4.8937112488928257E-2</v>
      </c>
      <c r="BJ268" s="37">
        <f t="shared" si="416"/>
        <v>4.7814798788403286E-2</v>
      </c>
      <c r="BK268" s="37">
        <f t="shared" ref="BK268:BL268" si="417">+BK251/BK$257</f>
        <v>4.6541693600517131E-2</v>
      </c>
      <c r="BL268" s="37">
        <f t="shared" si="417"/>
        <v>4.5881348698250106E-2</v>
      </c>
    </row>
    <row r="269" spans="1:64" s="9" customFormat="1" ht="11.25">
      <c r="A269" s="342" t="s">
        <v>1016</v>
      </c>
      <c r="C269" s="37">
        <f t="shared" ref="C269:AR269" si="418">+C252/C$257</f>
        <v>0</v>
      </c>
      <c r="D269" s="37">
        <f t="shared" si="418"/>
        <v>0</v>
      </c>
      <c r="E269" s="37">
        <f t="shared" si="418"/>
        <v>0</v>
      </c>
      <c r="F269" s="37">
        <f t="shared" si="418"/>
        <v>0</v>
      </c>
      <c r="G269" s="37">
        <f t="shared" si="418"/>
        <v>0</v>
      </c>
      <c r="H269" s="37">
        <f t="shared" si="418"/>
        <v>0</v>
      </c>
      <c r="I269" s="37">
        <f t="shared" si="418"/>
        <v>0</v>
      </c>
      <c r="J269" s="37">
        <f t="shared" si="418"/>
        <v>0</v>
      </c>
      <c r="K269" s="37">
        <f t="shared" si="418"/>
        <v>0</v>
      </c>
      <c r="L269" s="37">
        <f t="shared" si="418"/>
        <v>0</v>
      </c>
      <c r="M269" s="37">
        <f t="shared" si="418"/>
        <v>0</v>
      </c>
      <c r="N269" s="37">
        <f t="shared" si="418"/>
        <v>0</v>
      </c>
      <c r="O269" s="37">
        <f t="shared" si="418"/>
        <v>0</v>
      </c>
      <c r="P269" s="37">
        <f t="shared" si="418"/>
        <v>0</v>
      </c>
      <c r="Q269" s="37">
        <f t="shared" si="418"/>
        <v>0</v>
      </c>
      <c r="R269" s="37">
        <f t="shared" si="418"/>
        <v>0</v>
      </c>
      <c r="S269" s="37">
        <f t="shared" si="418"/>
        <v>0</v>
      </c>
      <c r="T269" s="37">
        <f t="shared" si="418"/>
        <v>0</v>
      </c>
      <c r="U269" s="37">
        <f t="shared" si="418"/>
        <v>0</v>
      </c>
      <c r="V269" s="37">
        <f t="shared" si="418"/>
        <v>0</v>
      </c>
      <c r="W269" s="37">
        <f t="shared" si="418"/>
        <v>0</v>
      </c>
      <c r="X269" s="37">
        <f t="shared" si="418"/>
        <v>0</v>
      </c>
      <c r="Y269" s="37">
        <f t="shared" si="418"/>
        <v>0</v>
      </c>
      <c r="Z269" s="37">
        <f t="shared" si="418"/>
        <v>0</v>
      </c>
      <c r="AA269" s="37">
        <f t="shared" si="418"/>
        <v>0</v>
      </c>
      <c r="AB269" s="37">
        <f t="shared" si="418"/>
        <v>0</v>
      </c>
      <c r="AC269" s="37">
        <f t="shared" si="418"/>
        <v>0</v>
      </c>
      <c r="AD269" s="37">
        <f t="shared" si="418"/>
        <v>0</v>
      </c>
      <c r="AE269" s="37">
        <f t="shared" si="418"/>
        <v>1.3657561625582945E-2</v>
      </c>
      <c r="AF269" s="37">
        <f t="shared" si="418"/>
        <v>1.35001646361541E-2</v>
      </c>
      <c r="AG269" s="37">
        <f t="shared" si="418"/>
        <v>1.3255738764953119E-2</v>
      </c>
      <c r="AH269" s="37">
        <f t="shared" si="418"/>
        <v>1.2206572769953052E-2</v>
      </c>
      <c r="AI269" s="37">
        <f t="shared" si="418"/>
        <v>1.1746522411128285E-2</v>
      </c>
      <c r="AJ269" s="37">
        <f t="shared" si="418"/>
        <v>1.1546642357945914E-2</v>
      </c>
      <c r="AK269" s="37">
        <f t="shared" si="418"/>
        <v>1.0438413361169102E-2</v>
      </c>
      <c r="AL269" s="37">
        <f t="shared" si="418"/>
        <v>9.5986038394415361E-3</v>
      </c>
      <c r="AM269" s="37">
        <f t="shared" si="418"/>
        <v>9.5155709342560554E-3</v>
      </c>
      <c r="AN269" s="37">
        <f t="shared" si="418"/>
        <v>9.3723374041465492E-3</v>
      </c>
      <c r="AO269" s="37">
        <f t="shared" si="418"/>
        <v>8.918617614269788E-3</v>
      </c>
      <c r="AP269" s="37">
        <f t="shared" si="418"/>
        <v>8.6767895878524948E-3</v>
      </c>
      <c r="AQ269" s="37">
        <f t="shared" si="418"/>
        <v>7.1732795337368302E-3</v>
      </c>
      <c r="AR269" s="37">
        <f t="shared" si="418"/>
        <v>6.928922664282521E-3</v>
      </c>
      <c r="AS269" s="37">
        <f t="shared" si="402"/>
        <v>6.8965517241379309E-3</v>
      </c>
      <c r="AT269" s="37">
        <f t="shared" si="402"/>
        <v>7.1925754060324825E-3</v>
      </c>
      <c r="AU269" s="37">
        <f t="shared" si="395"/>
        <v>7.1909069821387145E-3</v>
      </c>
      <c r="AV269" s="37">
        <f t="shared" si="395"/>
        <v>7.0488721804511274E-3</v>
      </c>
      <c r="AW269" s="37">
        <f t="shared" si="396"/>
        <v>6.846081208687441E-3</v>
      </c>
      <c r="AX269" s="37">
        <f t="shared" si="396"/>
        <v>6.6777963272120202E-3</v>
      </c>
      <c r="AY269" s="37">
        <f t="shared" si="396"/>
        <v>6.4516129032258064E-3</v>
      </c>
      <c r="AZ269" s="37">
        <f t="shared" si="396"/>
        <v>6.4224548049476686E-3</v>
      </c>
      <c r="BA269" s="37">
        <f t="shared" si="396"/>
        <v>6.636643754444181E-3</v>
      </c>
      <c r="BB269" s="37">
        <f t="shared" si="396"/>
        <v>6.8043172219615202E-3</v>
      </c>
      <c r="BC269" s="37">
        <f t="shared" si="396"/>
        <v>6.5131425913003025E-3</v>
      </c>
      <c r="BD269" s="37">
        <f t="shared" si="396"/>
        <v>6.4575645756457566E-3</v>
      </c>
      <c r="BE269" s="37">
        <f t="shared" si="397"/>
        <v>6.649850951616602E-3</v>
      </c>
      <c r="BF269" s="37">
        <f t="shared" si="397"/>
        <v>6.5212502810883741E-3</v>
      </c>
      <c r="BG269" s="37">
        <f t="shared" ref="BG269:BH269" si="419">+BG252/BG$257</f>
        <v>6.5183187233086087E-3</v>
      </c>
      <c r="BH269" s="37">
        <f t="shared" si="419"/>
        <v>6.4789991063449511E-3</v>
      </c>
      <c r="BI269" s="37">
        <f t="shared" ref="BI269:BJ269" si="420">+BI252/BI$257</f>
        <v>6.4216120460584584E-3</v>
      </c>
      <c r="BJ269" s="37">
        <f t="shared" si="420"/>
        <v>6.2743401125054093E-3</v>
      </c>
      <c r="BK269" s="37">
        <f t="shared" ref="BK269:BL269" si="421">+BK252/BK$257</f>
        <v>6.2486533074768372E-3</v>
      </c>
      <c r="BL269" s="37">
        <f t="shared" si="421"/>
        <v>5.9752454118651302E-3</v>
      </c>
    </row>
    <row r="270" spans="1:64" s="9" customFormat="1" ht="11.25">
      <c r="A270" s="342" t="s">
        <v>1015</v>
      </c>
      <c r="C270" s="37">
        <f t="shared" ref="C270:AR270" si="422">+C253/C$257</f>
        <v>0</v>
      </c>
      <c r="D270" s="37">
        <f t="shared" si="422"/>
        <v>0</v>
      </c>
      <c r="E270" s="37">
        <f t="shared" si="422"/>
        <v>0</v>
      </c>
      <c r="F270" s="37">
        <f t="shared" si="422"/>
        <v>0</v>
      </c>
      <c r="G270" s="37">
        <f t="shared" si="422"/>
        <v>0</v>
      </c>
      <c r="H270" s="37">
        <f t="shared" si="422"/>
        <v>0</v>
      </c>
      <c r="I270" s="37">
        <f t="shared" si="422"/>
        <v>0</v>
      </c>
      <c r="J270" s="37">
        <f t="shared" si="422"/>
        <v>0</v>
      </c>
      <c r="K270" s="37">
        <f t="shared" si="422"/>
        <v>0</v>
      </c>
      <c r="L270" s="37">
        <f t="shared" si="422"/>
        <v>0</v>
      </c>
      <c r="M270" s="37">
        <f t="shared" si="422"/>
        <v>0</v>
      </c>
      <c r="N270" s="37">
        <f t="shared" si="422"/>
        <v>0</v>
      </c>
      <c r="O270" s="37">
        <f t="shared" si="422"/>
        <v>0</v>
      </c>
      <c r="P270" s="37">
        <f t="shared" si="422"/>
        <v>0</v>
      </c>
      <c r="Q270" s="37">
        <f t="shared" si="422"/>
        <v>7.2046109510086451E-4</v>
      </c>
      <c r="R270" s="37">
        <f t="shared" si="422"/>
        <v>6.9686411149825784E-4</v>
      </c>
      <c r="S270" s="37">
        <f t="shared" si="422"/>
        <v>6.9881201956673651E-4</v>
      </c>
      <c r="T270" s="37">
        <f t="shared" si="422"/>
        <v>5.6561085972850684E-4</v>
      </c>
      <c r="U270" s="37">
        <f t="shared" si="422"/>
        <v>1.1043622308117063E-3</v>
      </c>
      <c r="V270" s="37">
        <f t="shared" si="422"/>
        <v>1.611170784103115E-3</v>
      </c>
      <c r="W270" s="37">
        <f t="shared" si="422"/>
        <v>1.594896331738437E-3</v>
      </c>
      <c r="X270" s="37">
        <f t="shared" si="422"/>
        <v>1.3386880856760374E-3</v>
      </c>
      <c r="Y270" s="37">
        <f t="shared" si="422"/>
        <v>2.1958717610891525E-3</v>
      </c>
      <c r="Z270" s="37">
        <f t="shared" si="422"/>
        <v>1.7959770114942528E-3</v>
      </c>
      <c r="AA270" s="37">
        <f t="shared" si="422"/>
        <v>2.152080344332855E-3</v>
      </c>
      <c r="AB270" s="37">
        <f t="shared" si="422"/>
        <v>2.1201413427561835E-3</v>
      </c>
      <c r="AC270" s="37">
        <f t="shared" si="422"/>
        <v>2.7538726333907059E-3</v>
      </c>
      <c r="AD270" s="37">
        <f t="shared" si="422"/>
        <v>2.7081922816519972E-3</v>
      </c>
      <c r="AE270" s="37">
        <f t="shared" si="422"/>
        <v>2.6648900732844771E-3</v>
      </c>
      <c r="AF270" s="37">
        <f t="shared" si="422"/>
        <v>2.9634507737899243E-3</v>
      </c>
      <c r="AG270" s="37">
        <f t="shared" si="422"/>
        <v>2.9097963142580021E-3</v>
      </c>
      <c r="AH270" s="37">
        <f t="shared" si="422"/>
        <v>2.5039123630672924E-3</v>
      </c>
      <c r="AI270" s="37">
        <f t="shared" si="422"/>
        <v>2.7820710973724882E-3</v>
      </c>
      <c r="AJ270" s="37">
        <f t="shared" si="422"/>
        <v>2.7347310847766638E-3</v>
      </c>
      <c r="AK270" s="37">
        <f t="shared" si="422"/>
        <v>2.9824038174768863E-3</v>
      </c>
      <c r="AL270" s="37">
        <f t="shared" si="422"/>
        <v>2.9086678301337987E-3</v>
      </c>
      <c r="AM270" s="37">
        <f t="shared" si="422"/>
        <v>2.8835063437139563E-3</v>
      </c>
      <c r="AN270" s="37">
        <f t="shared" si="422"/>
        <v>2.8401022436807723E-3</v>
      </c>
      <c r="AO270" s="37">
        <f t="shared" si="422"/>
        <v>2.787068004459309E-3</v>
      </c>
      <c r="AP270" s="37">
        <f t="shared" si="422"/>
        <v>2.7114967462039045E-3</v>
      </c>
      <c r="AQ270" s="37">
        <f t="shared" si="422"/>
        <v>2.2416498542927594E-3</v>
      </c>
      <c r="AR270" s="37">
        <f t="shared" si="422"/>
        <v>1.3410818059901655E-3</v>
      </c>
      <c r="AS270" s="37">
        <f t="shared" si="402"/>
        <v>1.1123470522803114E-3</v>
      </c>
      <c r="AT270" s="37">
        <f t="shared" si="402"/>
        <v>1.1600928074245939E-3</v>
      </c>
      <c r="AU270" s="37">
        <f t="shared" si="395"/>
        <v>1.159823706796567E-3</v>
      </c>
      <c r="AV270" s="37">
        <f t="shared" si="395"/>
        <v>1.1748120300751879E-3</v>
      </c>
      <c r="AW270" s="37">
        <f t="shared" si="396"/>
        <v>1.4164305949008499E-3</v>
      </c>
      <c r="AX270" s="37">
        <f t="shared" si="396"/>
        <v>1.6694490818030051E-3</v>
      </c>
      <c r="AY270" s="37">
        <f t="shared" si="396"/>
        <v>1.6726403823178017E-3</v>
      </c>
      <c r="AZ270" s="37">
        <f t="shared" si="396"/>
        <v>1.6650808753568031E-3</v>
      </c>
      <c r="BA270" s="37">
        <f t="shared" si="396"/>
        <v>1.6591609386110452E-3</v>
      </c>
      <c r="BB270" s="37">
        <f t="shared" si="396"/>
        <v>7.0389488503050217E-4</v>
      </c>
      <c r="BC270" s="37">
        <f t="shared" si="396"/>
        <v>6.9783670621074664E-4</v>
      </c>
      <c r="BD270" s="37">
        <f t="shared" si="396"/>
        <v>6.9188191881918814E-4</v>
      </c>
      <c r="BE270" s="37">
        <f t="shared" si="397"/>
        <v>6.8791561568447605E-4</v>
      </c>
      <c r="BF270" s="37">
        <f t="shared" si="397"/>
        <v>6.7461209804362487E-4</v>
      </c>
      <c r="BG270" s="37">
        <f t="shared" ref="BG270:BH270" si="423">+BG253/BG$257</f>
        <v>6.7430883344571813E-4</v>
      </c>
      <c r="BH270" s="37">
        <f t="shared" si="423"/>
        <v>6.7024128686327079E-4</v>
      </c>
      <c r="BI270" s="37">
        <f t="shared" ref="BI270:BJ270" si="424">+BI253/BI$257</f>
        <v>6.6430469441984053E-4</v>
      </c>
      <c r="BJ270" s="37">
        <f t="shared" si="424"/>
        <v>6.490696668109044E-4</v>
      </c>
      <c r="BK270" s="37">
        <f t="shared" ref="BK270:BL270" si="425">+BK253/BK$257</f>
        <v>6.4641241111829345E-4</v>
      </c>
      <c r="BL270" s="37">
        <f t="shared" si="425"/>
        <v>6.4020486555697821E-4</v>
      </c>
    </row>
    <row r="271" spans="1:64" s="9" customFormat="1" ht="11.25">
      <c r="A271" s="342" t="s">
        <v>1017</v>
      </c>
      <c r="C271" s="37">
        <f t="shared" ref="C271:AR271" si="426">+C254/C$257</f>
        <v>0</v>
      </c>
      <c r="D271" s="37">
        <f t="shared" si="426"/>
        <v>0</v>
      </c>
      <c r="E271" s="37">
        <f t="shared" si="426"/>
        <v>0</v>
      </c>
      <c r="F271" s="37">
        <f t="shared" si="426"/>
        <v>0</v>
      </c>
      <c r="G271" s="37">
        <f t="shared" si="426"/>
        <v>0</v>
      </c>
      <c r="H271" s="37">
        <f t="shared" si="426"/>
        <v>0</v>
      </c>
      <c r="I271" s="37">
        <f t="shared" si="426"/>
        <v>0</v>
      </c>
      <c r="J271" s="37">
        <f t="shared" si="426"/>
        <v>0</v>
      </c>
      <c r="K271" s="37">
        <f t="shared" si="426"/>
        <v>0</v>
      </c>
      <c r="L271" s="37">
        <f t="shared" si="426"/>
        <v>0</v>
      </c>
      <c r="M271" s="37">
        <f t="shared" si="426"/>
        <v>0</v>
      </c>
      <c r="N271" s="37">
        <f t="shared" si="426"/>
        <v>0</v>
      </c>
      <c r="O271" s="37">
        <f t="shared" si="426"/>
        <v>0</v>
      </c>
      <c r="P271" s="37">
        <f t="shared" si="426"/>
        <v>0</v>
      </c>
      <c r="Q271" s="37">
        <f t="shared" si="426"/>
        <v>0</v>
      </c>
      <c r="R271" s="37">
        <f t="shared" si="426"/>
        <v>0</v>
      </c>
      <c r="S271" s="37">
        <f t="shared" si="426"/>
        <v>0</v>
      </c>
      <c r="T271" s="37">
        <f t="shared" si="426"/>
        <v>0</v>
      </c>
      <c r="U271" s="37">
        <f t="shared" si="426"/>
        <v>0</v>
      </c>
      <c r="V271" s="37">
        <f t="shared" si="426"/>
        <v>0</v>
      </c>
      <c r="W271" s="37">
        <f t="shared" si="426"/>
        <v>0</v>
      </c>
      <c r="X271" s="37">
        <f t="shared" si="426"/>
        <v>0</v>
      </c>
      <c r="Y271" s="37">
        <f t="shared" si="426"/>
        <v>0</v>
      </c>
      <c r="Z271" s="37">
        <f t="shared" si="426"/>
        <v>6.8247126436781613E-3</v>
      </c>
      <c r="AA271" s="37">
        <f t="shared" si="426"/>
        <v>6.8149210903873745E-3</v>
      </c>
      <c r="AB271" s="37">
        <f t="shared" si="426"/>
        <v>6.3604240282685515E-3</v>
      </c>
      <c r="AC271" s="37">
        <f t="shared" si="426"/>
        <v>6.1962134251290881E-3</v>
      </c>
      <c r="AD271" s="37">
        <f t="shared" si="426"/>
        <v>5.7549085985104942E-3</v>
      </c>
      <c r="AE271" s="37">
        <f t="shared" si="426"/>
        <v>5.662891405729514E-3</v>
      </c>
      <c r="AF271" s="37">
        <f t="shared" si="426"/>
        <v>4.9390846229832074E-3</v>
      </c>
      <c r="AG271" s="37">
        <f t="shared" si="426"/>
        <v>4.849660523763337E-3</v>
      </c>
      <c r="AH271" s="37">
        <f t="shared" si="426"/>
        <v>4.6948356807511738E-3</v>
      </c>
      <c r="AI271" s="37">
        <f t="shared" si="426"/>
        <v>4.6367851622874804E-3</v>
      </c>
      <c r="AJ271" s="37">
        <f t="shared" si="426"/>
        <v>4.5578851412944391E-3</v>
      </c>
      <c r="AK271" s="37">
        <f t="shared" si="426"/>
        <v>4.7718461079630185E-3</v>
      </c>
      <c r="AL271" s="37">
        <f t="shared" si="426"/>
        <v>4.9447353112274574E-3</v>
      </c>
      <c r="AM271" s="37">
        <f t="shared" si="426"/>
        <v>4.9019607843137254E-3</v>
      </c>
      <c r="AN271" s="37">
        <f t="shared" si="426"/>
        <v>4.8281738142573133E-3</v>
      </c>
      <c r="AO271" s="37">
        <f t="shared" si="426"/>
        <v>5.016722408026756E-3</v>
      </c>
      <c r="AP271" s="37">
        <f t="shared" si="426"/>
        <v>5.1518438177874191E-3</v>
      </c>
      <c r="AQ271" s="37">
        <f t="shared" si="426"/>
        <v>4.0349697377269674E-3</v>
      </c>
      <c r="AR271" s="37">
        <f t="shared" si="426"/>
        <v>4.0232454179704958E-3</v>
      </c>
      <c r="AS271" s="37">
        <f t="shared" si="402"/>
        <v>3.7819799777530591E-3</v>
      </c>
      <c r="AT271" s="37">
        <f t="shared" si="402"/>
        <v>3.9443155452436197E-3</v>
      </c>
      <c r="AU271" s="37">
        <f t="shared" si="395"/>
        <v>4.1753653444676405E-3</v>
      </c>
      <c r="AV271" s="37">
        <f t="shared" si="395"/>
        <v>3.9943609022556389E-3</v>
      </c>
      <c r="AW271" s="37">
        <f t="shared" si="396"/>
        <v>4.0132200188857416E-3</v>
      </c>
      <c r="AX271" s="37">
        <f t="shared" si="396"/>
        <v>2.3849272597185786E-4</v>
      </c>
      <c r="AY271" s="37">
        <f t="shared" si="396"/>
        <v>0</v>
      </c>
      <c r="AZ271" s="37">
        <f t="shared" si="396"/>
        <v>0</v>
      </c>
      <c r="BA271" s="37">
        <f t="shared" si="396"/>
        <v>0</v>
      </c>
      <c r="BB271" s="37">
        <f t="shared" si="396"/>
        <v>0</v>
      </c>
      <c r="BC271" s="37">
        <f t="shared" si="396"/>
        <v>0</v>
      </c>
      <c r="BD271" s="37">
        <f t="shared" si="396"/>
        <v>0</v>
      </c>
      <c r="BE271" s="37">
        <f t="shared" si="397"/>
        <v>0</v>
      </c>
      <c r="BF271" s="37">
        <f t="shared" si="397"/>
        <v>0</v>
      </c>
      <c r="BG271" s="37">
        <f t="shared" ref="BG271:BH271" si="427">+BG254/BG$257</f>
        <v>0</v>
      </c>
      <c r="BH271" s="37">
        <f t="shared" si="427"/>
        <v>0</v>
      </c>
      <c r="BI271" s="37">
        <f t="shared" ref="BI271:BJ271" si="428">+BI254/BI$257</f>
        <v>0</v>
      </c>
      <c r="BJ271" s="37">
        <f t="shared" si="428"/>
        <v>0</v>
      </c>
      <c r="BK271" s="37">
        <f t="shared" ref="BK271:BL271" si="429">+BK254/BK$257</f>
        <v>0</v>
      </c>
      <c r="BL271" s="37">
        <f t="shared" si="429"/>
        <v>0</v>
      </c>
    </row>
    <row r="272" spans="1:64" s="9" customFormat="1" ht="11.25">
      <c r="A272" s="342" t="s">
        <v>1120</v>
      </c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>
        <f>+AQ255/AQ$257</f>
        <v>2.7796458193230216E-2</v>
      </c>
      <c r="AR272" s="37">
        <f>+AR255/AR$257</f>
        <v>2.7715690657130084E-2</v>
      </c>
      <c r="AS272" s="37">
        <f t="shared" si="402"/>
        <v>2.9143492769744161E-2</v>
      </c>
      <c r="AT272" s="37">
        <f t="shared" si="402"/>
        <v>3.0394431554524363E-2</v>
      </c>
      <c r="AU272" s="37">
        <f t="shared" si="395"/>
        <v>2.9691486893992113E-2</v>
      </c>
      <c r="AV272" s="37">
        <f t="shared" si="395"/>
        <v>2.8900375939849624E-2</v>
      </c>
      <c r="AW272" s="37">
        <f t="shared" si="396"/>
        <v>2.9272898961284231E-2</v>
      </c>
      <c r="AX272" s="37">
        <f t="shared" si="396"/>
        <v>2.8857619842594801E-2</v>
      </c>
      <c r="AY272" s="37">
        <f t="shared" si="396"/>
        <v>2.8673835125448029E-2</v>
      </c>
      <c r="AZ272" s="37">
        <f t="shared" si="396"/>
        <v>2.8544243577545196E-2</v>
      </c>
      <c r="BA272" s="37">
        <f t="shared" si="396"/>
        <v>2.8679781938848067E-2</v>
      </c>
      <c r="BB272" s="37">
        <f t="shared" si="396"/>
        <v>2.8625058657907085E-2</v>
      </c>
      <c r="BC272" s="37">
        <f t="shared" si="396"/>
        <v>2.8843917190044196E-2</v>
      </c>
      <c r="BD272" s="37">
        <f t="shared" si="396"/>
        <v>2.8828413284132843E-2</v>
      </c>
      <c r="BE272" s="37">
        <f t="shared" si="397"/>
        <v>2.8433845448291677E-2</v>
      </c>
      <c r="BF272" s="37">
        <f t="shared" si="397"/>
        <v>2.7209354621092873E-2</v>
      </c>
      <c r="BG272" s="37">
        <f t="shared" ref="BG272:BH272" si="430">+BG255/BG$257</f>
        <v>2.6972353337828724E-2</v>
      </c>
      <c r="BH272" s="37">
        <f t="shared" si="430"/>
        <v>2.6809651474530832E-2</v>
      </c>
      <c r="BI272" s="37">
        <f t="shared" ref="BI272:BJ272" si="431">+BI255/BI$257</f>
        <v>2.6572187776793623E-2</v>
      </c>
      <c r="BJ272" s="37">
        <f t="shared" si="431"/>
        <v>2.5962786672436174E-2</v>
      </c>
      <c r="BK272" s="37">
        <f t="shared" ref="BK272:BL272" si="432">+BK255/BK$257</f>
        <v>2.5856496444731737E-2</v>
      </c>
      <c r="BL272" s="37">
        <f t="shared" si="432"/>
        <v>2.5181391378574478E-2</v>
      </c>
    </row>
    <row r="273" spans="1:64" s="9" customFormat="1" ht="11.25">
      <c r="A273" s="342" t="s">
        <v>331</v>
      </c>
      <c r="C273" s="37">
        <f t="shared" ref="C273:AO273" si="433">+C256/C$257</f>
        <v>1.2184508268059183E-2</v>
      </c>
      <c r="D273" s="37">
        <f t="shared" si="433"/>
        <v>1.038961038961039E-2</v>
      </c>
      <c r="E273" s="37">
        <f t="shared" si="433"/>
        <v>5.1948051948051948E-3</v>
      </c>
      <c r="F273" s="37">
        <f t="shared" si="433"/>
        <v>6.8317677198975234E-3</v>
      </c>
      <c r="G273" s="37">
        <f t="shared" si="433"/>
        <v>6.8317677198975234E-3</v>
      </c>
      <c r="H273" s="37">
        <f t="shared" si="433"/>
        <v>8.4175084175084174E-3</v>
      </c>
      <c r="I273" s="37">
        <f t="shared" si="433"/>
        <v>9.3696763202725727E-3</v>
      </c>
      <c r="J273" s="37">
        <f t="shared" si="433"/>
        <v>1.077943615257048E-2</v>
      </c>
      <c r="K273" s="37">
        <f t="shared" si="433"/>
        <v>1.3212221304706853E-2</v>
      </c>
      <c r="L273" s="37">
        <f t="shared" si="433"/>
        <v>1.4669926650366748E-2</v>
      </c>
      <c r="M273" s="37">
        <f t="shared" si="433"/>
        <v>1.610305958132045E-2</v>
      </c>
      <c r="N273" s="37">
        <f t="shared" si="433"/>
        <v>1.7147310989867499E-2</v>
      </c>
      <c r="O273" s="37">
        <f t="shared" si="433"/>
        <v>1.6405667412378821E-2</v>
      </c>
      <c r="P273" s="37">
        <f t="shared" si="433"/>
        <v>1.6874541452677916E-2</v>
      </c>
      <c r="Q273" s="37">
        <f t="shared" si="433"/>
        <v>1.7291066282420751E-2</v>
      </c>
      <c r="R273" s="37">
        <f t="shared" si="433"/>
        <v>1.7421602787456445E-2</v>
      </c>
      <c r="S273" s="37">
        <f t="shared" si="433"/>
        <v>2.026554856743536E-2</v>
      </c>
      <c r="T273" s="37">
        <f t="shared" si="433"/>
        <v>1.6402714932126698E-2</v>
      </c>
      <c r="U273" s="37">
        <f t="shared" si="433"/>
        <v>1.8221976808393152E-2</v>
      </c>
      <c r="V273" s="37">
        <f t="shared" si="433"/>
        <v>1.9334049409237379E-2</v>
      </c>
      <c r="W273" s="37">
        <f t="shared" si="433"/>
        <v>1.9670388091440724E-2</v>
      </c>
      <c r="X273" s="37">
        <f t="shared" si="433"/>
        <v>1.7402945113788489E-2</v>
      </c>
      <c r="Y273" s="37">
        <f t="shared" si="433"/>
        <v>1.7127799736495388E-2</v>
      </c>
      <c r="Z273" s="37">
        <f t="shared" si="433"/>
        <v>2.442528735632184E-2</v>
      </c>
      <c r="AA273" s="37">
        <f t="shared" si="433"/>
        <v>2.2238163558106171E-2</v>
      </c>
      <c r="AB273" s="37">
        <f t="shared" si="433"/>
        <v>2.2968197879858657E-2</v>
      </c>
      <c r="AC273" s="37">
        <f t="shared" si="433"/>
        <v>2.2375215146299483E-2</v>
      </c>
      <c r="AD273" s="37">
        <f t="shared" si="433"/>
        <v>2.1665538253215978E-2</v>
      </c>
      <c r="AE273" s="37">
        <f t="shared" si="433"/>
        <v>1.9653564290473019E-2</v>
      </c>
      <c r="AF273" s="37">
        <f t="shared" si="433"/>
        <v>1.8768521567336188E-2</v>
      </c>
      <c r="AG273" s="37">
        <f t="shared" si="433"/>
        <v>1.8105399288716458E-2</v>
      </c>
      <c r="AH273" s="37">
        <f t="shared" si="433"/>
        <v>1.8153364632237871E-2</v>
      </c>
      <c r="AI273" s="37">
        <f t="shared" si="433"/>
        <v>1.7001545595054096E-2</v>
      </c>
      <c r="AJ273" s="37">
        <f t="shared" si="433"/>
        <v>1.7016104527499239E-2</v>
      </c>
      <c r="AK273" s="37">
        <f t="shared" si="433"/>
        <v>1.6999701759618253E-2</v>
      </c>
      <c r="AL273" s="37">
        <f t="shared" si="433"/>
        <v>1.5997673065735893E-2</v>
      </c>
      <c r="AM273" s="37">
        <f t="shared" si="433"/>
        <v>1.4994232987312572E-2</v>
      </c>
      <c r="AN273" s="37">
        <f t="shared" si="433"/>
        <v>1.5336552115876171E-2</v>
      </c>
      <c r="AO273" s="37">
        <f t="shared" si="433"/>
        <v>1.4214046822742474E-2</v>
      </c>
      <c r="AP273" s="37">
        <f>+AP256/AP$257</f>
        <v>1.4099783080260303E-2</v>
      </c>
      <c r="AQ273" s="37">
        <f>+AQ256/AQ$257</f>
        <v>2.488231338264963E-2</v>
      </c>
      <c r="AR273" s="37">
        <f>+AR256/AR$257</f>
        <v>2.1680822530174341E-2</v>
      </c>
      <c r="AS273" s="37">
        <f t="shared" si="402"/>
        <v>2.1357063403781979E-2</v>
      </c>
      <c r="AT273" s="37">
        <f t="shared" si="402"/>
        <v>2.3433874709976796E-2</v>
      </c>
      <c r="AU273" s="37">
        <f t="shared" si="395"/>
        <v>2.2964509394572025E-2</v>
      </c>
      <c r="AV273" s="37">
        <f t="shared" si="395"/>
        <v>2.2556390977443608E-2</v>
      </c>
      <c r="AW273" s="37">
        <f t="shared" si="396"/>
        <v>2.1954674220963172E-2</v>
      </c>
      <c r="AX273" s="37">
        <f t="shared" si="396"/>
        <v>2.2179823515382779E-2</v>
      </c>
      <c r="AY273" s="37">
        <f t="shared" si="396"/>
        <v>2.2461170848267622E-2</v>
      </c>
      <c r="AZ273" s="37">
        <f t="shared" si="396"/>
        <v>2.3549000951474785E-2</v>
      </c>
      <c r="BA273" s="37">
        <f t="shared" si="396"/>
        <v>2.3702299123014931E-2</v>
      </c>
      <c r="BB273" s="37">
        <f t="shared" si="396"/>
        <v>2.3932426091037073E-2</v>
      </c>
      <c r="BC273" s="37">
        <f t="shared" si="396"/>
        <v>2.4424284717376135E-2</v>
      </c>
      <c r="BD273" s="37">
        <f t="shared" si="396"/>
        <v>2.3754612546125462E-2</v>
      </c>
      <c r="BE273" s="37">
        <f t="shared" si="397"/>
        <v>2.2930520522815866E-2</v>
      </c>
      <c r="BF273" s="37">
        <f t="shared" si="397"/>
        <v>2.2936811333483246E-2</v>
      </c>
      <c r="BG273" s="37">
        <f t="shared" ref="BG273:BH273" si="434">+BG256/BG$257</f>
        <v>1.7981568891885819E-2</v>
      </c>
      <c r="BH273" s="37">
        <f t="shared" si="434"/>
        <v>1.876675603217158E-2</v>
      </c>
      <c r="BI273" s="37">
        <f t="shared" ref="BI273:BJ273" si="435">+BI256/BI$257</f>
        <v>1.7050487156775908E-2</v>
      </c>
      <c r="BJ273" s="37">
        <f t="shared" si="435"/>
        <v>1.1466897446992644E-2</v>
      </c>
      <c r="BK273" s="37">
        <f t="shared" ref="BK273:BL273" si="436">+BK256/BK$257</f>
        <v>1.1635423400129283E-2</v>
      </c>
      <c r="BL273" s="37">
        <f t="shared" si="436"/>
        <v>5.5484421681604784E-3</v>
      </c>
    </row>
    <row r="274" spans="1:64" s="9" customFormat="1" ht="11.25">
      <c r="A274" s="950" t="s">
        <v>325</v>
      </c>
      <c r="B274" s="949"/>
      <c r="C274" s="949">
        <f t="shared" ref="C274:AO274" si="437">+SUM(C261:C273)</f>
        <v>1</v>
      </c>
      <c r="D274" s="949">
        <f t="shared" si="437"/>
        <v>1</v>
      </c>
      <c r="E274" s="949">
        <f t="shared" si="437"/>
        <v>1</v>
      </c>
      <c r="F274" s="949">
        <f t="shared" si="437"/>
        <v>1</v>
      </c>
      <c r="G274" s="949">
        <f t="shared" si="437"/>
        <v>1</v>
      </c>
      <c r="H274" s="949">
        <f t="shared" si="437"/>
        <v>1</v>
      </c>
      <c r="I274" s="949">
        <f t="shared" si="437"/>
        <v>0.99999999999999989</v>
      </c>
      <c r="J274" s="949">
        <f t="shared" si="437"/>
        <v>1</v>
      </c>
      <c r="K274" s="949">
        <f t="shared" si="437"/>
        <v>0.99999999999999989</v>
      </c>
      <c r="L274" s="949">
        <f t="shared" si="437"/>
        <v>1</v>
      </c>
      <c r="M274" s="949">
        <f t="shared" si="437"/>
        <v>1</v>
      </c>
      <c r="N274" s="949">
        <f t="shared" si="437"/>
        <v>1</v>
      </c>
      <c r="O274" s="949">
        <f t="shared" si="437"/>
        <v>1</v>
      </c>
      <c r="P274" s="949">
        <f t="shared" si="437"/>
        <v>1</v>
      </c>
      <c r="Q274" s="949">
        <f t="shared" si="437"/>
        <v>1</v>
      </c>
      <c r="R274" s="949">
        <f t="shared" si="437"/>
        <v>1</v>
      </c>
      <c r="S274" s="949">
        <f t="shared" si="437"/>
        <v>1.0000000000000002</v>
      </c>
      <c r="T274" s="949">
        <f t="shared" si="437"/>
        <v>1</v>
      </c>
      <c r="U274" s="949">
        <f t="shared" si="437"/>
        <v>1</v>
      </c>
      <c r="V274" s="949">
        <f t="shared" si="437"/>
        <v>0.99999999999999989</v>
      </c>
      <c r="W274" s="949">
        <f t="shared" si="437"/>
        <v>1</v>
      </c>
      <c r="X274" s="949">
        <f t="shared" si="437"/>
        <v>1.0000000000000002</v>
      </c>
      <c r="Y274" s="949">
        <f t="shared" si="437"/>
        <v>0.99999999999999989</v>
      </c>
      <c r="Z274" s="949">
        <f t="shared" si="437"/>
        <v>1</v>
      </c>
      <c r="AA274" s="949">
        <f t="shared" si="437"/>
        <v>1.0000000000000002</v>
      </c>
      <c r="AB274" s="949">
        <f t="shared" si="437"/>
        <v>1</v>
      </c>
      <c r="AC274" s="949">
        <f t="shared" si="437"/>
        <v>0.99999999999999989</v>
      </c>
      <c r="AD274" s="949">
        <f t="shared" si="437"/>
        <v>0.99999999999999978</v>
      </c>
      <c r="AE274" s="949">
        <f t="shared" si="437"/>
        <v>1.0000000000000002</v>
      </c>
      <c r="AF274" s="949">
        <f t="shared" si="437"/>
        <v>0.99999999999999989</v>
      </c>
      <c r="AG274" s="949">
        <f t="shared" si="437"/>
        <v>1</v>
      </c>
      <c r="AH274" s="949">
        <f t="shared" si="437"/>
        <v>0.99999999999999989</v>
      </c>
      <c r="AI274" s="949">
        <f t="shared" si="437"/>
        <v>0.99999999999999989</v>
      </c>
      <c r="AJ274" s="949">
        <f t="shared" si="437"/>
        <v>1</v>
      </c>
      <c r="AK274" s="949">
        <f t="shared" si="437"/>
        <v>1</v>
      </c>
      <c r="AL274" s="949">
        <f t="shared" si="437"/>
        <v>1</v>
      </c>
      <c r="AM274" s="949">
        <f t="shared" si="437"/>
        <v>1</v>
      </c>
      <c r="AN274" s="949">
        <f t="shared" si="437"/>
        <v>1.0000000000000002</v>
      </c>
      <c r="AO274" s="949">
        <f t="shared" si="437"/>
        <v>0.99999999999999978</v>
      </c>
      <c r="AP274" s="949">
        <f t="shared" ref="AP274:AU274" si="438">+SUM(AP261:AP273)</f>
        <v>0.99999999999999989</v>
      </c>
      <c r="AQ274" s="949">
        <f t="shared" si="438"/>
        <v>1</v>
      </c>
      <c r="AR274" s="949">
        <f t="shared" si="438"/>
        <v>1</v>
      </c>
      <c r="AS274" s="949">
        <f t="shared" si="438"/>
        <v>1.0000000000000002</v>
      </c>
      <c r="AT274" s="949">
        <f t="shared" si="438"/>
        <v>1</v>
      </c>
      <c r="AU274" s="949">
        <f t="shared" si="438"/>
        <v>1.0000000000000002</v>
      </c>
      <c r="AV274" s="949">
        <f t="shared" ref="AV274:BD274" si="439">+SUM(AV261:AV273)</f>
        <v>1</v>
      </c>
      <c r="AW274" s="949">
        <f t="shared" si="439"/>
        <v>1</v>
      </c>
      <c r="AX274" s="949">
        <f t="shared" si="439"/>
        <v>1</v>
      </c>
      <c r="AY274" s="949">
        <f t="shared" si="439"/>
        <v>1.0000000000000002</v>
      </c>
      <c r="AZ274" s="949">
        <f t="shared" si="439"/>
        <v>0.99999999999999989</v>
      </c>
      <c r="BA274" s="949">
        <f t="shared" si="439"/>
        <v>0.99999999999999989</v>
      </c>
      <c r="BB274" s="949">
        <f t="shared" si="439"/>
        <v>1</v>
      </c>
      <c r="BC274" s="949">
        <f t="shared" si="439"/>
        <v>1.0000000000000002</v>
      </c>
      <c r="BD274" s="949">
        <f t="shared" si="439"/>
        <v>0.99999999999999989</v>
      </c>
      <c r="BE274" s="949">
        <f t="shared" ref="BE274:BJ274" si="440">+SUM(BE261:BE273)</f>
        <v>1.0000000000000002</v>
      </c>
      <c r="BF274" s="949">
        <f t="shared" si="440"/>
        <v>1</v>
      </c>
      <c r="BG274" s="949">
        <f t="shared" si="440"/>
        <v>1</v>
      </c>
      <c r="BH274" s="949">
        <f t="shared" si="440"/>
        <v>1</v>
      </c>
      <c r="BI274" s="949">
        <f t="shared" si="440"/>
        <v>1</v>
      </c>
      <c r="BJ274" s="949">
        <f t="shared" si="440"/>
        <v>1</v>
      </c>
      <c r="BK274" s="949">
        <f t="shared" ref="BK274:BL274" si="441">+SUM(BK261:BK273)</f>
        <v>1.0000000000000002</v>
      </c>
      <c r="BL274" s="949">
        <f t="shared" si="441"/>
        <v>1</v>
      </c>
    </row>
    <row r="275" spans="1:64" s="9" customFormat="1" ht="11.25">
      <c r="A275" s="950"/>
      <c r="B275" s="949"/>
      <c r="C275" s="949"/>
      <c r="D275" s="949"/>
      <c r="E275" s="949"/>
      <c r="F275" s="949"/>
      <c r="G275" s="949"/>
      <c r="H275" s="949"/>
      <c r="I275" s="949"/>
      <c r="J275" s="949"/>
      <c r="K275" s="949"/>
      <c r="L275" s="949"/>
      <c r="M275" s="949"/>
      <c r="N275" s="949"/>
      <c r="O275" s="949"/>
      <c r="P275" s="949"/>
      <c r="Q275" s="949"/>
      <c r="R275" s="949"/>
      <c r="S275" s="949"/>
      <c r="T275" s="949"/>
      <c r="U275" s="949"/>
      <c r="V275" s="949"/>
      <c r="W275" s="949"/>
      <c r="X275" s="949"/>
      <c r="Y275" s="949"/>
      <c r="Z275" s="949"/>
      <c r="AA275" s="949"/>
      <c r="AB275" s="949"/>
      <c r="AC275" s="949"/>
      <c r="AD275" s="949"/>
      <c r="AE275" s="949"/>
      <c r="AF275" s="949"/>
      <c r="AG275" s="949"/>
      <c r="AH275" s="949"/>
      <c r="AI275" s="949"/>
      <c r="AJ275" s="949"/>
      <c r="AK275" s="949"/>
      <c r="AL275" s="949"/>
      <c r="AM275" s="949"/>
      <c r="AN275" s="949"/>
      <c r="AO275" s="949"/>
      <c r="AP275" s="949"/>
    </row>
    <row r="276" spans="1:64" s="9" customFormat="1" ht="11.25">
      <c r="A276" s="513" t="s">
        <v>742</v>
      </c>
      <c r="B276" s="949"/>
      <c r="C276" s="949"/>
      <c r="D276" s="949"/>
      <c r="E276" s="949"/>
      <c r="F276" s="949"/>
      <c r="G276" s="949"/>
      <c r="H276" s="949"/>
      <c r="I276" s="949"/>
      <c r="J276" s="949"/>
      <c r="K276" s="949"/>
      <c r="L276" s="949"/>
      <c r="M276" s="949"/>
      <c r="N276" s="949"/>
      <c r="O276" s="949"/>
      <c r="P276" s="949"/>
      <c r="Q276" s="949"/>
      <c r="R276" s="949"/>
      <c r="S276" s="949"/>
      <c r="T276" s="949"/>
      <c r="U276" s="949"/>
      <c r="V276" s="949"/>
      <c r="W276" s="949"/>
      <c r="X276" s="949"/>
      <c r="Y276" s="949"/>
      <c r="Z276" s="949"/>
      <c r="AA276" s="949"/>
      <c r="AB276" s="949"/>
      <c r="AC276" s="949"/>
      <c r="AD276" s="949"/>
      <c r="AE276" s="949"/>
      <c r="AF276" s="949"/>
      <c r="AG276" s="949"/>
      <c r="AH276" s="949"/>
      <c r="AI276" s="949"/>
      <c r="AJ276" s="949"/>
      <c r="AK276" s="949"/>
      <c r="AL276" s="949"/>
      <c r="AM276" s="949"/>
      <c r="AN276" s="949"/>
      <c r="AO276" s="949"/>
      <c r="AP276" s="949"/>
    </row>
    <row r="277" spans="1:64" s="9" customFormat="1" ht="11.25">
      <c r="A277" s="342" t="s">
        <v>1007</v>
      </c>
      <c r="B277" s="949"/>
      <c r="C277" s="949"/>
      <c r="D277" s="949"/>
      <c r="E277" s="949"/>
      <c r="F277" s="949"/>
      <c r="G277" s="949"/>
      <c r="H277" s="949"/>
      <c r="I277" s="949"/>
      <c r="J277" s="949"/>
      <c r="K277" s="949"/>
      <c r="L277" s="949"/>
      <c r="M277" s="949"/>
      <c r="N277" s="949"/>
      <c r="O277" s="949"/>
      <c r="P277" s="949"/>
      <c r="Q277" s="949"/>
      <c r="R277" s="949"/>
      <c r="S277" s="949"/>
      <c r="T277" s="949"/>
      <c r="U277" s="949"/>
      <c r="V277" s="949"/>
      <c r="W277" s="949"/>
      <c r="X277" s="949"/>
      <c r="Y277" s="949"/>
      <c r="Z277" s="949"/>
      <c r="AA277" s="949"/>
      <c r="AB277" s="949"/>
      <c r="AC277" s="306">
        <f>+AC157*(IS!AC$102+IS!AC$113)+AC54*IS!AC$76</f>
        <v>1280.8600000000001</v>
      </c>
      <c r="AD277" s="306">
        <f>+AD157*(IS!AD$102+IS!AD$113)+AD54*IS!AD$76</f>
        <v>0</v>
      </c>
      <c r="AE277" s="1154">
        <f>IF(+AE157*(IS!AE$102+IS!AE$113)+AE54*IS!AE$76=0,"NA",+AE157*(IS!AE$102+IS!AE$113)+AE54*IS!AE$76)</f>
        <v>1465.3000000000002</v>
      </c>
      <c r="AF277" s="1154">
        <f>IF(+AF157*(IS!AF$102+IS!AF$113)+AF54*IS!AF$76=0,"NA",+AF157*(IS!AF$102+IS!AF$113)+AF54*IS!AF$76)</f>
        <v>1529.5</v>
      </c>
      <c r="AG277" s="1154">
        <f>IF(+AG157*(IS!AG$102+IS!AG$113)+AG54*IS!AG$76=0,"NA",+AG157*(IS!AG$102+IS!AG$113)+AG54*IS!AG$76)</f>
        <v>1603.55</v>
      </c>
      <c r="AH277" s="1154">
        <f>IF(+AH157*(IS!AH$102+IS!AH$113)+AH54*IS!AH$76=0,"NA",+AH157*(IS!AH$102+IS!AH$113)+AH54*IS!AH$76)</f>
        <v>1892.09</v>
      </c>
      <c r="AI277" s="1154">
        <f>IF(+AI157*(IS!AI$102+IS!AI$113)+AI54*IS!AI$76=0,"NA",+AI157*(IS!AI$102+IS!AI$113)+AI54*IS!AI$76)</f>
        <v>1841.04</v>
      </c>
      <c r="AJ277" s="1154">
        <f>IF(+AJ157*(IS!AJ$102+IS!AJ$113)+AJ54*IS!AJ$76=0,"NA",+AJ157*(IS!AJ$102+IS!AJ$113)+AJ54*IS!AJ$76)</f>
        <v>1817.1299999999999</v>
      </c>
      <c r="AK277" s="1154">
        <f>IF(+AK157*(IS!AK$102+IS!AK$113)+AK54*IS!AK$76=0,"NA",+AK157*(IS!AK$102+IS!AK$113)+AK54*IS!AK$76)</f>
        <v>1863.2400000000002</v>
      </c>
      <c r="AL277" s="1154">
        <f>IF(+AL157*(IS!AL$102+IS!AL$113)+AL54*IS!AL$76=0,"NA",+AL157*(IS!AL$102+IS!AL$113)+AL54*IS!AL$76)</f>
        <v>2213.2199999999998</v>
      </c>
      <c r="AM277" s="1154">
        <f>IF(+AM157*(IS!AM$102+IS!AM$113)+AM54*IS!AM$76=0,"NA",+AM157*(IS!AM$102+IS!AM$113)+AM54*IS!AM$76)</f>
        <v>2272.9900000000002</v>
      </c>
      <c r="AN277" s="1154">
        <f>IF(+AN157*(IS!AN$102+IS!AN$113)+AN54*IS!AN$76=0,"NA",+AN157*(IS!AN$102+IS!AN$113)+AN54*IS!AN$76)</f>
        <v>2299.3100000000004</v>
      </c>
      <c r="AO277" s="1154">
        <f>IF(+AO157*(IS!AO$102+IS!AO$113)+AO54*IS!AO$76=0,"NA",+AO157*(IS!AO$102+IS!AO$113)+AO54*IS!AO$76)</f>
        <v>2274.5500000000002</v>
      </c>
      <c r="AP277" s="1154">
        <f>IF(+AP157*(IS!AP$102+IS!AP$113)+AP54*IS!AP$76=0,"NA",+AP157*(IS!AP$102+IS!AP$113)+AP54*IS!AP$76)</f>
        <v>2605.3200000000002</v>
      </c>
      <c r="AQ277" s="1154">
        <f>IF(+AQ157*(IS!AQ$102+IS!AQ$113)+AQ54*IS!AQ$76=0,"NA",+AQ157*(IS!AQ$102+IS!AQ$113)+AQ54*IS!AQ$76)</f>
        <v>2472.75</v>
      </c>
      <c r="AR277" s="1154">
        <f>IF(+AR157*(IS!AR$102+IS!AR$113)+AR54*IS!AR$76=0,"NA",+AR157*(IS!AR$102+IS!AR$113)+AR54*IS!AR$76)</f>
        <v>2616.19</v>
      </c>
      <c r="AS277" s="1154">
        <f>IF(+AS157*(IS!AS$102+IS!AS$113)+AS54*IS!AS$76=0,"NA",+AS157*(IS!AS$102+IS!AS$113)+AS54*IS!AS$76)</f>
        <v>2510.08</v>
      </c>
      <c r="AT277" s="1154">
        <f>IF(+AT157*(IS!AT$102+IS!AT$113)+AT54*IS!AT$76=0,"NA",+AT157*(IS!AT$102+IS!AT$113)+AT54*IS!AT$76)</f>
        <v>2653.86</v>
      </c>
      <c r="AU277" s="1154">
        <f>IF(+AU157*(IS!AU$102+IS!AU$113)+AU54*IS!AU$76=0,"NA",+AU157*(IS!AU$102+IS!AU$113)+AU54*IS!AU$76)</f>
        <v>2188.15</v>
      </c>
      <c r="AV277" s="1154">
        <f>IF(+AV157*(IS!AV$102+IS!AV$113)+AV54*IS!AV$76=0,"NA",+AV157*(IS!AV$102+IS!AV$113)+AV54*IS!AV$76)</f>
        <v>2164.33</v>
      </c>
      <c r="AW277" s="1154">
        <f>IF(+AW157*(IS!AW$102+IS!AW$113)+AW54*IS!AW$76=0,"NA",+AW157*(IS!AW$102+IS!AW$113)+AW54*IS!AW$76)</f>
        <v>2500.1</v>
      </c>
      <c r="AX277" s="1154">
        <f>IF(+AX157*(IS!AX$102+IS!AX$113)+AX54*IS!AX$76=0,"NA",+AX157*(IS!AX$102+IS!AX$113)+AX54*IS!AX$76)</f>
        <v>2799</v>
      </c>
      <c r="AY277" s="1154">
        <f>IF(+AY157*(IS!AY$102+IS!AY$113)+AY54*IS!AY$76=0,"NA",+AY157*(IS!AY$102+IS!AY$113)+AY54*IS!AY$76)</f>
        <v>2747.79</v>
      </c>
      <c r="AZ277" s="1154">
        <f>IF(+AZ157*(IS!AZ$102+IS!AZ$113)+AZ54*IS!AZ$76=0,"NA",+AZ157*(IS!AZ$102+IS!AZ$113)+AZ54*IS!AZ$76)</f>
        <v>2932.3999999999996</v>
      </c>
      <c r="BA277" s="1154">
        <f>IF(+BA157*(IS!BA$102+IS!BA$113)+BA54*IS!BA$76=0,"NA",+BA157*(IS!BA$102+IS!BA$113)+BA54*IS!BA$76)</f>
        <v>2850.35</v>
      </c>
      <c r="BB277" s="1154">
        <f>IF(+BB157*(IS!BB$102+IS!BB$113)+BB54*IS!BB$76=0,"NA",+BB157*(IS!BB$102+IS!BB$113)+BB54*IS!BB$76)</f>
        <v>3308.37</v>
      </c>
      <c r="BC277" s="1154">
        <f>IF(+BC157*(IS!BC$102+IS!BC$113)+BC54*IS!BC$76=0,"NA",+BC157*(IS!BC$102+IS!BC$113)+BC54*IS!BC$76)</f>
        <v>3084.55</v>
      </c>
      <c r="BD277" s="1154">
        <f>IF(+BD157*(IS!BD$102+IS!BD$113)+BD54*IS!BD$76=0,"NA",+BD157*(IS!BD$102+IS!BD$113)+BD54*IS!BD$76)</f>
        <v>3130.95</v>
      </c>
      <c r="BE277" s="670">
        <f>IF(+BE157*(IS!BE$102+IS!BE$113)+BE54*IS!BE$76=0,"NA",+BE157*(IS!BE$102+IS!BE$113)+BE54*IS!BE$76)</f>
        <v>2912.77</v>
      </c>
      <c r="BF277" s="670">
        <f>IF(+BF157*(IS!BF$102+IS!BF$113)+BF54*IS!BF$76=0,"NA",+BF157*(IS!BF$102+IS!BF$113)+BF54*IS!BF$76)</f>
        <v>3149.51</v>
      </c>
      <c r="BG277" s="670">
        <f>IF(+BG157*(IS!BG$102+IS!BG$113)+BG54*IS!BG$76=0,"NA",+BG157*(IS!BG$102+IS!BG$113)+BG54*IS!BG$76)</f>
        <v>3130.04</v>
      </c>
      <c r="BH277" s="670">
        <f>IF(+BH157*(IS!BH$102+IS!BH$113)+BH54*IS!BH$76=0,"NA",+BH157*(IS!BH$102+IS!BH$113)+BH54*IS!BH$76)</f>
        <v>3181.76</v>
      </c>
      <c r="BI277" s="670">
        <f>IF(+BI157*(IS!BI$102+IS!BI$113)+BI54*IS!BI$76=0,"NA",+BI157*(IS!BI$102+IS!BI$113)+BI54*IS!BI$76)</f>
        <v>3135.8000000000006</v>
      </c>
      <c r="BJ277" s="670">
        <f>IF(+BJ157*(IS!BJ$102+IS!BJ$113)+BJ54*IS!BJ$76=0,"NA",+BJ157*(IS!BJ$102+IS!BJ$113)+BJ54*IS!BJ$76)</f>
        <v>3373.17</v>
      </c>
      <c r="BK277" s="670">
        <f>IF(+BK157*(IS!BK$102+IS!BK$113)+BK54*IS!BK$76=0,"NA",+BK157*(IS!BK$102+IS!BK$113)+BK54*IS!BK$76)</f>
        <v>3092.2700000000004</v>
      </c>
      <c r="BL277" s="670">
        <f>IF(+BL157*(IS!BL$102+IS!BL$113)+BL54*IS!BL$76=0,"NA",+BL157*(IS!BL$102+IS!BL$113)+BL54*IS!BL$76)</f>
        <v>3228.42</v>
      </c>
    </row>
    <row r="278" spans="1:64" s="9" customFormat="1" ht="11.25">
      <c r="A278" s="342" t="s">
        <v>1008</v>
      </c>
      <c r="B278" s="949"/>
      <c r="C278" s="949"/>
      <c r="D278" s="949"/>
      <c r="E278" s="949"/>
      <c r="F278" s="949"/>
      <c r="G278" s="949"/>
      <c r="H278" s="949"/>
      <c r="I278" s="949"/>
      <c r="J278" s="949"/>
      <c r="K278" s="949"/>
      <c r="L278" s="949"/>
      <c r="M278" s="949"/>
      <c r="N278" s="949"/>
      <c r="O278" s="949"/>
      <c r="P278" s="949"/>
      <c r="Q278" s="949"/>
      <c r="R278" s="949"/>
      <c r="S278" s="949"/>
      <c r="T278" s="949"/>
      <c r="U278" s="949"/>
      <c r="V278" s="949"/>
      <c r="W278" s="949"/>
      <c r="X278" s="949"/>
      <c r="Y278" s="949"/>
      <c r="Z278" s="949"/>
      <c r="AA278" s="949"/>
      <c r="AB278" s="949"/>
      <c r="AC278" s="306">
        <f>+AC158*(IS!AC$102+IS!AC$113)+IS!AC$76*AC56</f>
        <v>1777.19</v>
      </c>
      <c r="AD278" s="306">
        <f>+AD158*(IS!AD$102+IS!AD$113)+IS!AD$76*AD56</f>
        <v>0</v>
      </c>
      <c r="AE278" s="1154">
        <f>IF(AE158*(IS!AE$102+IS!AE$113)+IS!AE$76*AE56=0,"NA",AE158*(IS!AE$102+IS!AE$113)+IS!AE$76*AE56)</f>
        <v>1629.2</v>
      </c>
      <c r="AF278" s="1154">
        <f>IF(AF158*(IS!AF$102+IS!AF$113)+IS!AF$76*AF56=0,"NA",AF158*(IS!AF$102+IS!AF$113)+IS!AF$76*AF56)</f>
        <v>1856.98</v>
      </c>
      <c r="AG278" s="1154">
        <f>IF(AG158*(IS!AG$102+IS!AG$113)+IS!AG$76*AG56=0,"NA",AG158*(IS!AG$102+IS!AG$113)+IS!AG$76*AG56)</f>
        <v>2089.59</v>
      </c>
      <c r="AH278" s="1154">
        <f>IF(AH158*(IS!AH$102+IS!AH$113)+IS!AH$76*AH56=0,"NA",AH158*(IS!AH$102+IS!AH$113)+IS!AH$76*AH56)</f>
        <v>2154.1999999999998</v>
      </c>
      <c r="AI278" s="1154">
        <f>IF(AI158*(IS!AI$102+IS!AI$113)+IS!AI$76*AI56=0,"NA",AI158*(IS!AI$102+IS!AI$113)+IS!AI$76*AI56)</f>
        <v>2163.52</v>
      </c>
      <c r="AJ278" s="1154">
        <f>IF(AJ158*(IS!AJ$102+IS!AJ$113)+IS!AJ$76*AJ56=0,"NA",AJ158*(IS!AJ$102+IS!AJ$113)+IS!AJ$76*AJ56)</f>
        <v>2154.5</v>
      </c>
      <c r="AK278" s="1154">
        <f>IF(AK158*(IS!AK$102+IS!AK$113)+IS!AK$76*AK56=0,"NA",AK158*(IS!AK$102+IS!AK$113)+IS!AK$76*AK56)</f>
        <v>2392.71</v>
      </c>
      <c r="AL278" s="1154">
        <f>IF(AL158*(IS!AL$102+IS!AL$113)+IS!AL$76*AL56=0,"NA",AL158*(IS!AL$102+IS!AL$113)+IS!AL$76*AL56)</f>
        <v>2458.2599999999998</v>
      </c>
      <c r="AM278" s="1154">
        <f>IF(AM158*(IS!AM$102+IS!AM$113)+IS!AM$76*AM56=0,"NA",AM158*(IS!AM$102+IS!AM$113)+IS!AM$76*AM56)</f>
        <v>2174.69</v>
      </c>
      <c r="AN278" s="1154">
        <f>IF(AN158*(IS!AN$102+IS!AN$113)+IS!AN$76*AN56=0,"NA",AN158*(IS!AN$102+IS!AN$113)+IS!AN$76*AN56)</f>
        <v>2183.12</v>
      </c>
      <c r="AO278" s="1154">
        <f>IF(AO158*(IS!AO$102+IS!AO$113)+IS!AO$76*AO56=0,"NA",AO158*(IS!AO$102+IS!AO$113)+IS!AO$76*AO56)</f>
        <v>2127.65</v>
      </c>
      <c r="AP278" s="1154">
        <f>IF(AP158*(IS!AP$102+IS!AP$113)+IS!AP$76*AP56=0,"NA",AP158*(IS!AP$102+IS!AP$113)+IS!AP$76*AP56)</f>
        <v>2014.04</v>
      </c>
      <c r="AQ278" s="1154">
        <f>IF(AQ158*(IS!AQ$102+IS!AQ$113)+IS!AQ$76*AQ56=0,"NA",AQ158*(IS!AQ$102+IS!AQ$113)+IS!AQ$76*AQ56)</f>
        <v>1943.08</v>
      </c>
      <c r="AR278" s="1154">
        <f>IF(AR158*(IS!AR$102+IS!AR$113)+IS!AR$76*AR56=0,"NA",AR158*(IS!AR$102+IS!AR$113)+IS!AR$76*AR56)</f>
        <v>2036.6400000000003</v>
      </c>
      <c r="AS278" s="1154">
        <f>IF(AS158*(IS!AS$102+IS!AS$113)+IS!AS$76*AS56=0,"NA",AS158*(IS!AS$102+IS!AS$113)+IS!AS$76*AS56)</f>
        <v>2088.73</v>
      </c>
      <c r="AT278" s="1154">
        <f>IF(AT158*(IS!AT$102+IS!AT$113)+IS!AT$76*AT56=0,"NA",AT158*(IS!AT$102+IS!AT$113)+IS!AT$76*AT56)</f>
        <v>1938.6800000000003</v>
      </c>
      <c r="AU278" s="1154">
        <f>IF(AU158*(IS!AU$102+IS!AU$113)+IS!AU$76*AU56=0,"NA",AU158*(IS!AU$102+IS!AU$113)+IS!AU$76*AU56)</f>
        <v>1596.6</v>
      </c>
      <c r="AV278" s="1154">
        <f>IF(AV158*(IS!AV$102+IS!AV$113)+IS!AV$76*AV56=0,"NA",AV158*(IS!AV$102+IS!AV$113)+IS!AV$76*AV56)</f>
        <v>698.79</v>
      </c>
      <c r="AW278" s="1154">
        <f>IF(AW158*(IS!AW$102+IS!AW$113)+IS!AW$76*AW56=0,"NA",AW158*(IS!AW$102+IS!AW$113)+IS!AW$76*AW56)</f>
        <v>1200.0899999999999</v>
      </c>
      <c r="AX278" s="1154">
        <f>IF(AX158*(IS!AX$102+IS!AX$113)+IS!AX$76*AX56=0,"NA",AX158*(IS!AX$102+IS!AX$113)+IS!AX$76*AX56)</f>
        <v>1473.3600000000001</v>
      </c>
      <c r="AY278" s="1154">
        <f>IF(AY158*(IS!AY$102+IS!AY$113)+IS!AY$76*AY56=0,"NA",AY158*(IS!AY$102+IS!AY$113)+IS!AY$76*AY56)</f>
        <v>1529.85</v>
      </c>
      <c r="AZ278" s="1154">
        <f>IF(AZ158*(IS!AZ$102+IS!AZ$113)+IS!AZ$76*AZ56=0,"NA",AZ158*(IS!AZ$102+IS!AZ$113)+IS!AZ$76*AZ56)</f>
        <v>1677.8400000000001</v>
      </c>
      <c r="BA278" s="1154">
        <f>IF(BA158*(IS!BA$102+IS!BA$113)+IS!BA$76*BA56=0,"NA",BA158*(IS!BA$102+IS!BA$113)+IS!BA$76*BA56)</f>
        <v>2027.1</v>
      </c>
      <c r="BB278" s="1154">
        <f>IF(BB158*(IS!BB$102+IS!BB$113)+IS!BB$76*BB56=0,"NA",BB158*(IS!BB$102+IS!BB$113)+IS!BB$76*BB56)</f>
        <v>2357.2600000000002</v>
      </c>
      <c r="BC278" s="1154">
        <f>IF(BC158*(IS!BC$102+IS!BC$113)+IS!BC$76*BC56=0,"NA",BC158*(IS!BC$102+IS!BC$113)+IS!BC$76*BC56)</f>
        <v>2191.85</v>
      </c>
      <c r="BD278" s="1154">
        <f>IF(BD158*(IS!BD$102+IS!BD$113)+IS!BD$76*BD56=0,"NA",BD158*(IS!BD$102+IS!BD$113)+IS!BD$76*BD56)</f>
        <v>2549.92</v>
      </c>
      <c r="BE278" s="670">
        <f>IF(BE158*(IS!BE$102+IS!BE$113)+IS!BE$76*BE56=0,"NA",BE158*(IS!BE$102+IS!BE$113)+IS!BE$76*BE56)</f>
        <v>2670.69</v>
      </c>
      <c r="BF278" s="670">
        <f>IF(BF158*(IS!BF$102+IS!BF$113)+IS!BF$76*BF56=0,"NA",BF158*(IS!BF$102+IS!BF$113)+IS!BF$76*BF56)</f>
        <v>2636.39</v>
      </c>
      <c r="BG278" s="670">
        <f>IF(BG158*(IS!BG$102+IS!BG$113)+IS!BG$76*BG56=0,"NA",BG158*(IS!BG$102+IS!BG$113)+IS!BG$76*BG56)</f>
        <v>2511.4700000000003</v>
      </c>
      <c r="BH278" s="670">
        <f>IF(BH158*(IS!BH$102+IS!BH$113)+IS!BH$76*BH56=0,"NA",BH158*(IS!BH$102+IS!BH$113)+IS!BH$76*BH56)</f>
        <v>2986.9800000000005</v>
      </c>
      <c r="BI278" s="670">
        <f>IF(BI158*(IS!BI$102+IS!BI$113)+IS!BI$76*BI56=0,"NA",BI158*(IS!BI$102+IS!BI$113)+IS!BI$76*BI56)</f>
        <v>2545.83</v>
      </c>
      <c r="BJ278" s="670">
        <f>IF(BJ158*(IS!BJ$102+IS!BJ$113)+IS!BJ$76*BJ56=0,"NA",BJ158*(IS!BJ$102+IS!BJ$113)+IS!BJ$76*BJ56)</f>
        <v>2668</v>
      </c>
      <c r="BK278" s="670">
        <f>IF(BK158*(IS!BK$102+IS!BK$113)+IS!BK$76*BK56=0,"NA",BK158*(IS!BK$102+IS!BK$113)+IS!BK$76*BK56)</f>
        <v>2286.0500000000002</v>
      </c>
      <c r="BL278" s="670">
        <f>IF(BL158*(IS!BL$102+IS!BL$113)+IS!BL$76*BL56=0,"NA",BL158*(IS!BL$102+IS!BL$113)+IS!BL$76*BL56)</f>
        <v>2503.71</v>
      </c>
    </row>
    <row r="279" spans="1:64" s="9" customFormat="1" ht="11.25">
      <c r="A279" s="342" t="s">
        <v>1018</v>
      </c>
      <c r="B279" s="949"/>
      <c r="C279" s="949"/>
      <c r="D279" s="949"/>
      <c r="E279" s="949"/>
      <c r="F279" s="949"/>
      <c r="G279" s="949"/>
      <c r="H279" s="949"/>
      <c r="I279" s="949"/>
      <c r="J279" s="949"/>
      <c r="K279" s="949"/>
      <c r="L279" s="949"/>
      <c r="M279" s="949"/>
      <c r="N279" s="949"/>
      <c r="O279" s="949"/>
      <c r="P279" s="949"/>
      <c r="Q279" s="949"/>
      <c r="R279" s="949"/>
      <c r="S279" s="949"/>
      <c r="T279" s="949"/>
      <c r="U279" s="949"/>
      <c r="V279" s="949"/>
      <c r="W279" s="949"/>
      <c r="X279" s="949"/>
      <c r="Y279" s="949"/>
      <c r="Z279" s="949"/>
      <c r="AA279" s="949"/>
      <c r="AB279" s="949"/>
      <c r="AC279" s="306">
        <f>+AC159*(IS!AC$102+IS!AC$113)+IS!AC$76*AC55</f>
        <v>1811.47</v>
      </c>
      <c r="AD279" s="306">
        <f>+AD159*(IS!AD$102+IS!AD$113)+IS!AD$76*AD55</f>
        <v>0</v>
      </c>
      <c r="AE279" s="1154">
        <f>IF(AE159*(IS!AE$102+IS!AE$113)+IS!AE$76*AE55=0,"NA",AE159*(IS!AE$102+IS!AE$113)+IS!AE$76*AE55)</f>
        <v>1881.1</v>
      </c>
      <c r="AF279" s="1154">
        <f>IF(AF159*(IS!AF$102+IS!AF$113)+IS!AF$76*AF55=0,"NA",AF159*(IS!AF$102+IS!AF$113)+IS!AF$76*AF55)</f>
        <v>2022.54</v>
      </c>
      <c r="AG279" s="1154">
        <f>IF(AG159*(IS!AG$102+IS!AG$113)+IS!AG$76*AG55=0,"NA",AG159*(IS!AG$102+IS!AG$113)+IS!AG$76*AG55)</f>
        <v>2169.46</v>
      </c>
      <c r="AH279" s="1154">
        <f>IF(AH159*(IS!AH$102+IS!AH$113)+IS!AH$76*AH55=0,"NA",AH159*(IS!AH$102+IS!AH$113)+IS!AH$76*AH55)</f>
        <v>2321.86</v>
      </c>
      <c r="AI279" s="1154">
        <f>IF(AI159*(IS!AI$102+IS!AI$113)+IS!AI$76*AI55=0,"NA",AI159*(IS!AI$102+IS!AI$113)+IS!AI$76*AI55)</f>
        <v>2262.84</v>
      </c>
      <c r="AJ279" s="1154">
        <f>IF(AJ159*(IS!AJ$102+IS!AJ$113)+IS!AJ$76*AJ55=0,"NA",AJ159*(IS!AJ$102+IS!AJ$113)+IS!AJ$76*AJ55)</f>
        <v>2439.31</v>
      </c>
      <c r="AK279" s="1154">
        <f>IF(AK159*(IS!AK$102+IS!AK$113)+IS!AK$76*AK55=0,"NA",AK159*(IS!AK$102+IS!AK$113)+IS!AK$76*AK55)</f>
        <v>2407.59</v>
      </c>
      <c r="AL279" s="1154">
        <f>IF(AL159*(IS!AL$102+IS!AL$113)+IS!AL$76*AL55=0,"NA",AL159*(IS!AL$102+IS!AL$113)+IS!AL$76*AL55)</f>
        <v>2601.2600000000002</v>
      </c>
      <c r="AM279" s="1154">
        <f>IF(AM159*(IS!AM$102+IS!AM$113)+IS!AM$76*AM55=0,"NA",AM159*(IS!AM$102+IS!AM$113)+IS!AM$76*AM55)</f>
        <v>2471.5700000000002</v>
      </c>
      <c r="AN279" s="1154">
        <f>IF(AN159*(IS!AN$102+IS!AN$113)+IS!AN$76*AN55=0,"NA",AN159*(IS!AN$102+IS!AN$113)+IS!AN$76*AN55)</f>
        <v>2576.9700000000003</v>
      </c>
      <c r="AO279" s="1154">
        <f>IF(AO159*(IS!AO$102+IS!AO$113)+IS!AO$76*AO55=0,"NA",AO159*(IS!AO$102+IS!AO$113)+IS!AO$76*AO55)</f>
        <v>2517.8700000000003</v>
      </c>
      <c r="AP279" s="1154">
        <f>IF(AP159*(IS!AP$102+IS!AP$113)+IS!AP$76*AP55=0,"NA",AP159*(IS!AP$102+IS!AP$113)+IS!AP$76*AP55)</f>
        <v>2687</v>
      </c>
      <c r="AQ279" s="1154">
        <f>IF(AQ159*(IS!AQ$102+IS!AQ$113)+IS!AQ$76*AQ55=0,"NA",AQ159*(IS!AQ$102+IS!AQ$113)+IS!AQ$76*AQ55)</f>
        <v>3421.7</v>
      </c>
      <c r="AR279" s="1154">
        <f>IF(AR159*(IS!AR$102+IS!AR$113)+IS!AR$76*AR55=0,"NA",AR159*(IS!AR$102+IS!AR$113)+IS!AR$76*AR55)</f>
        <v>3941.88</v>
      </c>
      <c r="AS279" s="1154">
        <f>IF(AS159*(IS!AS$102+IS!AS$113)+IS!AS$76*AS55=0,"NA",AS159*(IS!AS$102+IS!AS$113)+IS!AS$76*AS55)</f>
        <v>3916.9700000000003</v>
      </c>
      <c r="AT279" s="1154">
        <f>IF(AT159*(IS!AT$102+IS!AT$113)+IS!AT$76*AT55=0,"NA",AT159*(IS!AT$102+IS!AT$113)+IS!AT$76*AT55)</f>
        <v>3907.5600000000004</v>
      </c>
      <c r="AU279" s="1154">
        <f>IF(AU159*(IS!AU$102+IS!AU$113)+IS!AU$76*AU55=0,"NA",AU159*(IS!AU$102+IS!AU$113)+IS!AU$76*AU55)</f>
        <v>3300.5999999999995</v>
      </c>
      <c r="AV279" s="1154">
        <f>IF(AV159*(IS!AV$102+IS!AV$113)+IS!AV$76*AV55=0,"NA",AV159*(IS!AV$102+IS!AV$113)+IS!AV$76*AV55)</f>
        <v>1077.42</v>
      </c>
      <c r="AW279" s="1154">
        <f>IF(AW159*(IS!AW$102+IS!AW$113)+IS!AW$76*AW55=0,"NA",AW159*(IS!AW$102+IS!AW$113)+IS!AW$76*AW55)</f>
        <v>2745.91</v>
      </c>
      <c r="AX279" s="1154">
        <f>IF(AX159*(IS!AX$102+IS!AX$113)+IS!AX$76*AX55=0,"NA",AX159*(IS!AX$102+IS!AX$113)+IS!AX$76*AX55)</f>
        <v>3016.9800000000005</v>
      </c>
      <c r="AY279" s="1154">
        <f>IF(AY159*(IS!AY$102+IS!AY$113)+IS!AY$76*AY55=0,"NA",AY159*(IS!AY$102+IS!AY$113)+IS!AY$76*AY55)</f>
        <v>3097.5099999999998</v>
      </c>
      <c r="AZ279" s="1154">
        <f>IF(AZ159*(IS!AZ$102+IS!AZ$113)+IS!AZ$76*AZ55=0,"NA",AZ159*(IS!AZ$102+IS!AZ$113)+IS!AZ$76*AZ55)</f>
        <v>3611.7</v>
      </c>
      <c r="BA279" s="1154">
        <f>IF(BA159*(IS!BA$102+IS!BA$113)+IS!BA$76*BA55=0,"NA",BA159*(IS!BA$102+IS!BA$113)+IS!BA$76*BA55)</f>
        <v>4354.5</v>
      </c>
      <c r="BB279" s="1154">
        <f>IF(BB159*(IS!BB$102+IS!BB$113)+IS!BB$76*BB55=0,"NA",BB159*(IS!BB$102+IS!BB$113)+IS!BB$76*BB55)</f>
        <v>4993.8899999999994</v>
      </c>
      <c r="BC279" s="1154">
        <f>IF(BC159*(IS!BC$102+IS!BC$113)+IS!BC$76*BC55=0,"NA",BC159*(IS!BC$102+IS!BC$113)+IS!BC$76*BC55)</f>
        <v>4681.6499999999996</v>
      </c>
      <c r="BD279" s="1154">
        <f>IF(BD159*(IS!BD$102+IS!BD$113)+IS!BD$76*BD55=0,"NA",BD159*(IS!BD$102+IS!BD$113)+IS!BD$76*BD55)</f>
        <v>5509.05</v>
      </c>
      <c r="BE279" s="670">
        <f>IF(BE159*(IS!BE$102+IS!BE$113)+IS!BE$76*BE55=0,"NA",BE159*(IS!BE$102+IS!BE$113)+IS!BE$76*BE55)</f>
        <v>6184.01</v>
      </c>
      <c r="BF279" s="670">
        <f>IF(BF159*(IS!BF$102+IS!BF$113)+IS!BF$76*BF55=0,"NA",BF159*(IS!BF$102+IS!BF$113)+IS!BF$76*BF55)</f>
        <v>6465.9599999999991</v>
      </c>
      <c r="BG279" s="670">
        <f>IF(BG159*(IS!BG$102+IS!BG$113)+IS!BG$76*BG55=0,"NA",BG159*(IS!BG$102+IS!BG$113)+IS!BG$76*BG55)</f>
        <v>6350.8799999999992</v>
      </c>
      <c r="BH279" s="670">
        <f>IF(BH159*(IS!BH$102+IS!BH$113)+IS!BH$76*BH55=0,"NA",BH159*(IS!BH$102+IS!BH$113)+IS!BH$76*BH55)</f>
        <v>6720.6</v>
      </c>
      <c r="BI279" s="670">
        <f>IF(BI159*(IS!BI$102+IS!BI$113)+IS!BI$76*BI55=0,"NA",BI159*(IS!BI$102+IS!BI$113)+IS!BI$76*BI55)</f>
        <v>7020.18</v>
      </c>
      <c r="BJ279" s="670">
        <f>IF(BJ159*(IS!BJ$102+IS!BJ$113)+IS!BJ$76*BJ55=0,"NA",BJ159*(IS!BJ$102+IS!BJ$113)+IS!BJ$76*BJ55)</f>
        <v>7510.21</v>
      </c>
      <c r="BK279" s="670">
        <f>IF(BK159*(IS!BK$102+IS!BK$113)+IS!BK$76*BK55=0,"NA",BK159*(IS!BK$102+IS!BK$113)+IS!BK$76*BK55)</f>
        <v>6848.21</v>
      </c>
      <c r="BL279" s="670">
        <f>IF(BL159*(IS!BL$102+IS!BL$113)+IS!BL$76*BL55=0,"NA",BL159*(IS!BL$102+IS!BL$113)+IS!BL$76*BL55)</f>
        <v>7252.32</v>
      </c>
    </row>
    <row r="280" spans="1:64" s="9" customFormat="1" ht="11.25">
      <c r="A280" s="342" t="s">
        <v>1009</v>
      </c>
      <c r="B280" s="949"/>
      <c r="C280" s="949"/>
      <c r="D280" s="949"/>
      <c r="E280" s="949"/>
      <c r="F280" s="949"/>
      <c r="G280" s="949"/>
      <c r="H280" s="949"/>
      <c r="I280" s="949"/>
      <c r="J280" s="949"/>
      <c r="K280" s="949"/>
      <c r="L280" s="949"/>
      <c r="M280" s="949"/>
      <c r="N280" s="949"/>
      <c r="O280" s="949"/>
      <c r="P280" s="949"/>
      <c r="Q280" s="949"/>
      <c r="R280" s="949"/>
      <c r="S280" s="949"/>
      <c r="T280" s="949"/>
      <c r="U280" s="949"/>
      <c r="V280" s="949"/>
      <c r="W280" s="949"/>
      <c r="X280" s="949"/>
      <c r="Y280" s="949"/>
      <c r="Z280" s="949"/>
      <c r="AA280" s="949"/>
      <c r="AB280" s="949"/>
      <c r="AC280" s="306">
        <f>+AC57*IS!AC$76</f>
        <v>348.74</v>
      </c>
      <c r="AD280" s="306" t="e">
        <f>IF(AD57*IS!AD$76=0,NA(),AD57*IS!AD$76)</f>
        <v>#N/A</v>
      </c>
      <c r="AE280" s="1154">
        <f>IF(AE57*IS!AE$76=0,"NA",AE57*IS!AE$76)</f>
        <v>309.3</v>
      </c>
      <c r="AF280" s="1154">
        <f>IF(AF57*IS!AF$76=0,"NA",AF57*IS!AF$76)</f>
        <v>374.36</v>
      </c>
      <c r="AG280" s="1154">
        <f>IF(AG57*IS!AG$76=0,"NA",AG57*IS!AG$76)</f>
        <v>330.96</v>
      </c>
      <c r="AH280" s="1154">
        <f>IF(AH57*IS!AH$76=0,"NA",AH57*IS!AH$76)</f>
        <v>358.02</v>
      </c>
      <c r="AI280" s="1154">
        <f>IF(AI57*IS!AI$76=0,"NA",AI57*IS!AI$76)</f>
        <v>334.44</v>
      </c>
      <c r="AJ280" s="1154">
        <f>IF(AJ57*IS!AJ$76=0,"NA",AJ57*IS!AJ$76)</f>
        <v>414.54</v>
      </c>
      <c r="AK280" s="1154">
        <f>IF(AK57*IS!AK$76=0,"NA",AK57*IS!AK$76)</f>
        <v>347.94</v>
      </c>
      <c r="AL280" s="1154">
        <f>IF(AL57*IS!AL$76=0,"NA",AL57*IS!AL$76)</f>
        <v>446.74000000000007</v>
      </c>
      <c r="AM280" s="1154">
        <f>IF(AM57*IS!AM$76=0,"NA",AM57*IS!AM$76)</f>
        <v>419.79</v>
      </c>
      <c r="AN280" s="1154">
        <f>IF(AN57*IS!AN$76=0,"NA",AN57*IS!AN$76)</f>
        <v>437.01000000000005</v>
      </c>
      <c r="AO280" s="1154">
        <f>IF(AO57*IS!AO$76=0,"NA",AO57*IS!AO$76)</f>
        <v>440.30000000000007</v>
      </c>
      <c r="AP280" s="1154">
        <f>IF(AP57*IS!AP$76=0,"NA",AP57*IS!AP$76)</f>
        <v>485.24000000000007</v>
      </c>
      <c r="AQ280" s="1154">
        <f>IF(AQ57*IS!AQ$76=0,"NA",AQ57*IS!AQ$76)</f>
        <v>447.09000000000003</v>
      </c>
      <c r="AR280" s="1154">
        <f>IF(AR57*IS!AR$76=0,"NA",AR57*IS!AR$76)</f>
        <v>482.93000000000006</v>
      </c>
      <c r="AS280" s="1154">
        <f>IF(AS57*IS!AS$76=0,"NA",AS57*IS!AS$76)</f>
        <v>467.6</v>
      </c>
      <c r="AT280" s="1154">
        <f>IF(AT57*IS!AT$76=0,"NA",AT57*IS!AT$76)</f>
        <v>507.57000000000005</v>
      </c>
      <c r="AU280" s="1154">
        <f>IF(AU57*IS!AU$76=0,"NA",AU57*IS!AU$76)</f>
        <v>496.8</v>
      </c>
      <c r="AV280" s="1154">
        <f>IF(AV57*IS!AV$76=0,"NA",AV57*IS!AV$76)</f>
        <v>55.36</v>
      </c>
      <c r="AW280" s="1154">
        <f>IF(AW57*IS!AW$76=0,"NA",AW57*IS!AW$76)</f>
        <v>228.45000000000002</v>
      </c>
      <c r="AX280" s="1154">
        <f>IF(AX57*IS!AX$76=0,"NA",AX57*IS!AX$76)</f>
        <v>276</v>
      </c>
      <c r="AY280" s="1154">
        <f>IF(AY57*IS!AY$76=0,"NA",AY57*IS!AY$76)</f>
        <v>248.75</v>
      </c>
      <c r="AZ280" s="1154">
        <f>IF(AZ57*IS!AZ$76=0,"NA",AZ57*IS!AZ$76)</f>
        <v>387.9</v>
      </c>
      <c r="BA280" s="1154">
        <f>IF(BA57*IS!BA$76=0,"NA",BA57*IS!BA$76)</f>
        <v>402.3</v>
      </c>
      <c r="BB280" s="1154">
        <f>IF(BB57*IS!BB$76=0,"NA",BB57*IS!BB$76)</f>
        <v>550.90000000000009</v>
      </c>
      <c r="BC280" s="1154">
        <f>IF(BC57*IS!BC$76=0,"NA",BC57*IS!BC$76)</f>
        <v>440.09999999999997</v>
      </c>
      <c r="BD280" s="1154">
        <f>IF(BD57*IS!BD$76=0,"NA",BD57*IS!BD$76)</f>
        <v>501.41999999999996</v>
      </c>
      <c r="BE280" s="670">
        <f>IF(BE57*IS!BE$76=0,"NA",BE57*IS!BE$76)</f>
        <v>504.18</v>
      </c>
      <c r="BF280" s="670">
        <f>IF(BF57*IS!BF$76=0,"NA",BF57*IS!BF$76)</f>
        <v>656.11</v>
      </c>
      <c r="BG280" s="670">
        <f>IF(BG57*IS!BG$76=0,"NA",BG57*IS!BG$76)</f>
        <v>537.17999999999995</v>
      </c>
      <c r="BH280" s="670">
        <f>IF(BH57*IS!BH$76=0,"NA",BH57*IS!BH$76)</f>
        <v>589.86</v>
      </c>
      <c r="BI280" s="670">
        <f>IF(BI57*IS!BI$76=0,"NA",BI57*IS!BI$76)</f>
        <v>594</v>
      </c>
      <c r="BJ280" s="670">
        <f>IF(BJ57*IS!BJ$76=0,"NA",BJ57*IS!BJ$76)</f>
        <v>640.43999999999994</v>
      </c>
      <c r="BK280" s="670">
        <f>IF(BK57*IS!BK$76=0,"NA",BK57*IS!BK$76)</f>
        <v>607.31999999999994</v>
      </c>
      <c r="BL280" s="670">
        <f>IF(BL57*IS!BL$76=0,"NA",BL57*IS!BL$76)</f>
        <v>641.64</v>
      </c>
    </row>
    <row r="281" spans="1:64" s="9" customFormat="1" ht="11.25">
      <c r="A281" s="342" t="s">
        <v>1010</v>
      </c>
      <c r="B281" s="949"/>
      <c r="C281" s="949"/>
      <c r="D281" s="949"/>
      <c r="E281" s="949"/>
      <c r="F281" s="949"/>
      <c r="G281" s="949"/>
      <c r="H281" s="949"/>
      <c r="I281" s="949"/>
      <c r="J281" s="949"/>
      <c r="K281" s="949"/>
      <c r="L281" s="949"/>
      <c r="M281" s="949"/>
      <c r="N281" s="949"/>
      <c r="O281" s="949"/>
      <c r="P281" s="949"/>
      <c r="Q281" s="949"/>
      <c r="R281" s="949"/>
      <c r="S281" s="949"/>
      <c r="T281" s="949"/>
      <c r="U281" s="949"/>
      <c r="V281" s="949"/>
      <c r="W281" s="949"/>
      <c r="X281" s="949"/>
      <c r="Y281" s="949"/>
      <c r="Z281" s="949"/>
      <c r="AA281" s="949"/>
      <c r="AB281" s="949"/>
      <c r="AC281" s="306">
        <f>+AC58*IS!AC$76</f>
        <v>298.92</v>
      </c>
      <c r="AD281" s="306">
        <f>+AD58*IS!AD$76</f>
        <v>0</v>
      </c>
      <c r="AE281" s="1154">
        <f>IF(AE58*IS!AE$76=0,"NA",AE58*IS!AE$76)</f>
        <v>309.3</v>
      </c>
      <c r="AF281" s="1154">
        <f>IF(AF58*IS!AF$76=0,"NA",AF58*IS!AF$76)</f>
        <v>320.88</v>
      </c>
      <c r="AG281" s="1154">
        <f>IF(AG58*IS!AG$76=0,"NA",AG58*IS!AG$76)</f>
        <v>330.96</v>
      </c>
      <c r="AH281" s="1154">
        <f>IF(AH58*IS!AH$76=0,"NA",AH58*IS!AH$76)</f>
        <v>358.02</v>
      </c>
      <c r="AI281" s="1154">
        <f>IF(AI58*IS!AI$76=0,"NA",AI58*IS!AI$76)</f>
        <v>334.44</v>
      </c>
      <c r="AJ281" s="1154">
        <f>IF(AJ58*IS!AJ$76=0,"NA",AJ58*IS!AJ$76)</f>
        <v>355.32</v>
      </c>
      <c r="AK281" s="1154">
        <f>IF(AK58*IS!AK$76=0,"NA",AK58*IS!AK$76)</f>
        <v>347.94</v>
      </c>
      <c r="AL281" s="1154">
        <f>IF(AL58*IS!AL$76=0,"NA",AL58*IS!AL$76)</f>
        <v>446.74000000000007</v>
      </c>
      <c r="AM281" s="1154">
        <f>IF(AM58*IS!AM$76=0,"NA",AM58*IS!AM$76)</f>
        <v>359.82</v>
      </c>
      <c r="AN281" s="1154">
        <f>IF(AN58*IS!AN$76=0,"NA",AN58*IS!AN$76)</f>
        <v>374.58</v>
      </c>
      <c r="AO281" s="1154">
        <f>IF(AO58*IS!AO$76=0,"NA",AO58*IS!AO$76)</f>
        <v>377.4</v>
      </c>
      <c r="AP281" s="1154">
        <f>IF(AP58*IS!AP$76=0,"NA",AP58*IS!AP$76)</f>
        <v>415.91999999999996</v>
      </c>
      <c r="AQ281" s="1154">
        <f>IF(AQ58*IS!AQ$76=0,"NA",AQ58*IS!AQ$76)</f>
        <v>319.35000000000002</v>
      </c>
      <c r="AR281" s="1154">
        <f>IF(AR58*IS!AR$76=0,"NA",AR58*IS!AR$76)</f>
        <v>344.95000000000005</v>
      </c>
      <c r="AS281" s="1154">
        <f>IF(AS58*IS!AS$76=0,"NA",AS58*IS!AS$76)</f>
        <v>334</v>
      </c>
      <c r="AT281" s="1154">
        <f>IF(AT58*IS!AT$76=0,"NA",AT58*IS!AT$76)</f>
        <v>435.06</v>
      </c>
      <c r="AU281" s="1154">
        <f>IF(AU58*IS!AU$76=0,"NA",AU58*IS!AU$76)</f>
        <v>310.5</v>
      </c>
      <c r="AV281" s="1154">
        <f>IF(AV58*IS!AV$76=0,"NA",AV58*IS!AV$76)</f>
        <v>27.68</v>
      </c>
      <c r="AW281" s="1154">
        <f>IF(AW58*IS!AW$76=0,"NA",AW58*IS!AW$76)</f>
        <v>182.76</v>
      </c>
      <c r="AX281" s="1154">
        <f>IF(AX58*IS!AX$76=0,"NA",AX58*IS!AX$76)</f>
        <v>220.8</v>
      </c>
      <c r="AY281" s="1154">
        <f>IF(AY58*IS!AY$76=0,"NA",AY58*IS!AY$76)</f>
        <v>149.25</v>
      </c>
      <c r="AZ281" s="1154">
        <f>IF(AZ58*IS!AZ$76=0,"NA",AZ58*IS!AZ$76)</f>
        <v>323.25</v>
      </c>
      <c r="BA281" s="1154">
        <f>IF(BA58*IS!BA$76=0,"NA",BA58*IS!BA$76)</f>
        <v>268.2</v>
      </c>
      <c r="BB281" s="1154">
        <f>IF(BB58*IS!BB$76=0,"NA",BB58*IS!BB$76)</f>
        <v>393.5</v>
      </c>
      <c r="BC281" s="1154">
        <f>IF(BC58*IS!BC$76=0,"NA",BC58*IS!BC$76)</f>
        <v>293.40000000000003</v>
      </c>
      <c r="BD281" s="1154">
        <f>IF(BD58*IS!BD$76=0,"NA",BD58*IS!BD$76)</f>
        <v>417.85</v>
      </c>
      <c r="BE281" s="670">
        <f>IF(BE58*IS!BE$76=0,"NA",BE58*IS!BE$76)</f>
        <v>336.12</v>
      </c>
      <c r="BF281" s="670">
        <f>IF(BF58*IS!BF$76=0,"NA",BF58*IS!BF$76)</f>
        <v>374.92</v>
      </c>
      <c r="BG281" s="670">
        <f>IF(BG58*IS!BG$76=0,"NA",BG58*IS!BG$76)</f>
        <v>268.58999999999997</v>
      </c>
      <c r="BH281" s="670">
        <f>IF(BH58*IS!BH$76=0,"NA",BH58*IS!BH$76)</f>
        <v>393.24</v>
      </c>
      <c r="BI281" s="670">
        <f>IF(BI58*IS!BI$76=0,"NA",BI58*IS!BI$76)</f>
        <v>396</v>
      </c>
      <c r="BJ281" s="670">
        <f>IF(BJ58*IS!BJ$76=0,"NA",BJ58*IS!BJ$76)</f>
        <v>426.96000000000004</v>
      </c>
      <c r="BK281" s="670">
        <f>IF(BK58*IS!BK$76=0,"NA",BK58*IS!BK$76)</f>
        <v>404.88</v>
      </c>
      <c r="BL281" s="670">
        <f>IF(BL58*IS!BL$76=0,"NA",BL58*IS!BL$76)</f>
        <v>427.76</v>
      </c>
    </row>
    <row r="282" spans="1:64" s="9" customFormat="1" ht="11.25">
      <c r="A282" s="342" t="s">
        <v>1011</v>
      </c>
      <c r="B282" s="949"/>
      <c r="C282" s="949"/>
      <c r="D282" s="949"/>
      <c r="E282" s="949"/>
      <c r="F282" s="949"/>
      <c r="G282" s="949"/>
      <c r="H282" s="949"/>
      <c r="I282" s="949"/>
      <c r="J282" s="949"/>
      <c r="K282" s="949"/>
      <c r="L282" s="949"/>
      <c r="M282" s="949"/>
      <c r="N282" s="949"/>
      <c r="O282" s="949"/>
      <c r="P282" s="949"/>
      <c r="Q282" s="949"/>
      <c r="R282" s="949"/>
      <c r="S282" s="949"/>
      <c r="T282" s="949"/>
      <c r="U282" s="949"/>
      <c r="V282" s="949"/>
      <c r="W282" s="949"/>
      <c r="X282" s="949"/>
      <c r="Y282" s="949"/>
      <c r="Z282" s="949"/>
      <c r="AA282" s="949"/>
      <c r="AB282" s="949"/>
      <c r="AC282" s="306">
        <f>+AC59*IS!AC$76</f>
        <v>1195.68</v>
      </c>
      <c r="AD282" s="306">
        <f>+AD59*IS!AD$76</f>
        <v>0</v>
      </c>
      <c r="AE282" s="1154">
        <f>IF(AE59*IS!AE$76++AE160*(IS!AE$102+IS!AE$113)=0,"NA",AE59*IS!AE$76++AE160*(IS!AE$102+IS!AE$113))</f>
        <v>1185.6500000000001</v>
      </c>
      <c r="AF282" s="1154">
        <f>IF(AF59*IS!AF$76++AF160*(IS!AF$102+IS!AF$113)=0,"NA",AF59*IS!AF$76++AF160*(IS!AF$102+IS!AF$113))</f>
        <v>1176.56</v>
      </c>
      <c r="AG282" s="1154">
        <f>IF(AG59*IS!AG$76++AG160*(IS!AG$102+IS!AG$113)=0,"NA",AG59*IS!AG$76++AG160*(IS!AG$102+IS!AG$113))</f>
        <v>1268.68</v>
      </c>
      <c r="AH282" s="1154">
        <f>IF(AH59*IS!AH$76++AH160*(IS!AH$102+IS!AH$113)=0,"NA",AH59*IS!AH$76++AH160*(IS!AH$102+IS!AH$113))</f>
        <v>1312.74</v>
      </c>
      <c r="AI282" s="1154">
        <f>IF(AI59*IS!AI$76++AI160*(IS!AI$102+IS!AI$113)=0,"NA",AI59*IS!AI$76++AI160*(IS!AI$102+IS!AI$113))</f>
        <v>1226.28</v>
      </c>
      <c r="AJ282" s="1154">
        <f>IF(AJ59*IS!AJ$76++AJ160*(IS!AJ$102+IS!AJ$113)=0,"NA",AJ59*IS!AJ$76++AJ160*(IS!AJ$102+IS!AJ$113))</f>
        <v>1302.8399999999999</v>
      </c>
      <c r="AK282" s="1154">
        <f>IF(AK59*IS!AK$76++AK160*(IS!AK$102+IS!AK$113)=0,"NA",AK59*IS!AK$76++AK160*(IS!AK$102+IS!AK$113))</f>
        <v>1275.78</v>
      </c>
      <c r="AL282" s="1154">
        <f>IF(AL59*IS!AL$76++AL160*(IS!AL$102+IS!AL$113)=0,"NA",AL59*IS!AL$76++AL160*(IS!AL$102+IS!AL$113))</f>
        <v>1404.04</v>
      </c>
      <c r="AM282" s="1154">
        <f>IF(AM59*IS!AM$76++AM160*(IS!AM$102+IS!AM$113)=0,"NA",AM59*IS!AM$76++AM160*(IS!AM$102+IS!AM$113))</f>
        <v>1319.34</v>
      </c>
      <c r="AN282" s="1154">
        <f>IF(AN59*IS!AN$76++AN160*(IS!AN$102+IS!AN$113)=0,"NA",AN59*IS!AN$76++AN160*(IS!AN$102+IS!AN$113))</f>
        <v>1311.03</v>
      </c>
      <c r="AO282" s="1154">
        <f>IF(AO59*IS!AO$76++AO160*(IS!AO$102+IS!AO$113)=0,"NA",AO59*IS!AO$76++AO160*(IS!AO$102+IS!AO$113))</f>
        <v>1383.8</v>
      </c>
      <c r="AP282" s="1154">
        <f>IF(AP59*IS!AP$76++AP160*(IS!AP$102+IS!AP$113)=0,"NA",AP59*IS!AP$76++AP160*(IS!AP$102+IS!AP$113))</f>
        <v>1525.04</v>
      </c>
      <c r="AQ282" s="1154">
        <f>IF(AQ59*IS!AQ$76++AQ160*(IS!AQ$102+IS!AQ$113)=0,"NA",AQ59*IS!AQ$76++AQ160*(IS!AQ$102+IS!AQ$113))</f>
        <v>2260.75</v>
      </c>
      <c r="AR282" s="1154">
        <f>IF(AR59*IS!AR$76++AR160*(IS!AR$102+IS!AR$113)=0,"NA",AR59*IS!AR$76++AR160*(IS!AR$102+IS!AR$113))</f>
        <v>2408.92</v>
      </c>
      <c r="AS282" s="1154">
        <f>IF(AS59*IS!AS$76++AS160*(IS!AS$102+IS!AS$113)=0,"NA",AS59*IS!AS$76++AS160*(IS!AS$102+IS!AS$113))</f>
        <v>2308.16</v>
      </c>
      <c r="AT282" s="1154">
        <f>IF(AT59*IS!AT$76++AT160*(IS!AT$102+IS!AT$113)=0,"NA",AT59*IS!AT$76++AT160*(IS!AT$102+IS!AT$113))</f>
        <v>2505.7800000000002</v>
      </c>
      <c r="AU282" s="1154">
        <f>IF(AU59*IS!AU$76++AU160*(IS!AU$102+IS!AU$113)=0,"NA",AU59*IS!AU$76++AU160*(IS!AU$102+IS!AU$113))</f>
        <v>2051.1</v>
      </c>
      <c r="AV282" s="1154">
        <f>IF(AV59*IS!AV$76++AV160*(IS!AV$102+IS!AV$113)=0,"NA",AV59*IS!AV$76++AV160*(IS!AV$102+IS!AV$113))</f>
        <v>319.68</v>
      </c>
      <c r="AW282" s="1154">
        <f>IF(AW59*IS!AW$76++AW160*(IS!AW$102+IS!AW$113)=0,"NA",AW59*IS!AW$76++AW160*(IS!AW$102+IS!AW$113))</f>
        <v>1289.2600000000002</v>
      </c>
      <c r="AX282" s="1154">
        <f>IF(AX59*IS!AX$76++AX160*(IS!AX$102+IS!AX$113)=0,"NA",AX59*IS!AX$76++AX160*(IS!AX$102+IS!AX$113))</f>
        <v>1523.52</v>
      </c>
      <c r="AY282" s="1154">
        <f>IF(AY59*IS!AY$76++AY160*(IS!AY$102+IS!AY$113)=0,"NA",AY59*IS!AY$76++AY160*(IS!AY$102+IS!AY$113))</f>
        <v>1155.72</v>
      </c>
      <c r="AZ282" s="1154">
        <f>IF(AZ59*IS!AZ$76++AZ160*(IS!AZ$102+IS!AZ$113)=0,"NA",AZ59*IS!AZ$76++AZ160*(IS!AZ$102+IS!AZ$113))</f>
        <v>1740.15</v>
      </c>
      <c r="BA282" s="1154">
        <f>IF(BA59*IS!BA$76++BA160*(IS!BA$102+IS!BA$113)=0,"NA",BA59*IS!BA$76++BA160*(IS!BA$102+IS!BA$113))</f>
        <v>1826.85</v>
      </c>
      <c r="BB282" s="1154">
        <f>IF(BB59*IS!BB$76++BB160*(IS!BB$102+IS!BB$113)=0,"NA",BB59*IS!BB$76++BB160*(IS!BB$102+IS!BB$113))</f>
        <v>2305.3599999999997</v>
      </c>
      <c r="BC282" s="1154">
        <f>IF(BC59*IS!BC$76++BC160*(IS!BC$102+IS!BC$113)=0,"NA",BC59*IS!BC$76++BC160*(IS!BC$102+IS!BC$113))</f>
        <v>2085.4</v>
      </c>
      <c r="BD282" s="1154">
        <f>IF(BD59*IS!BD$76++BD160*(IS!BD$102+IS!BD$113)=0,"NA",BD59*IS!BD$76++BD160*(IS!BD$102+IS!BD$113))</f>
        <v>2283.54</v>
      </c>
      <c r="BE282" s="670">
        <f>IF(BE59*IS!BE$76++BE160*(IS!BE$102+IS!BE$113)=0,"NA",BE59*IS!BE$76++BE160*(IS!BE$102+IS!BE$113))</f>
        <v>2184.4</v>
      </c>
      <c r="BF282" s="670">
        <f>IF(BF59*IS!BF$76++BF160*(IS!BF$102+IS!BF$113)=0,"NA",BF59*IS!BF$76++BF160*(IS!BF$102+IS!BF$113))</f>
        <v>2474.25</v>
      </c>
      <c r="BG282" s="670">
        <f>IF(BG59*IS!BG$76++BG160*(IS!BG$102+IS!BG$113)=0,"NA",BG59*IS!BG$76++BG160*(IS!BG$102+IS!BG$113))</f>
        <v>2313.0500000000002</v>
      </c>
      <c r="BH282" s="670">
        <f>IF(BH59*IS!BH$76++BH160*(IS!BH$102+IS!BH$113)=0,"NA",BH59*IS!BH$76++BH160*(IS!BH$102+IS!BH$113))</f>
        <v>2353.0500000000002</v>
      </c>
      <c r="BI282" s="670">
        <f>IF(BI59*IS!BI$76++BI160*(IS!BI$102+IS!BI$113)=0,"NA",BI59*IS!BI$76++BI160*(IS!BI$102+IS!BI$113))</f>
        <v>2457.0300000000002</v>
      </c>
      <c r="BJ282" s="670">
        <f>IF(BJ59*IS!BJ$76++BJ160*(IS!BJ$102+IS!BJ$113)=0,"NA",BJ59*IS!BJ$76++BJ160*(IS!BJ$102+IS!BJ$113))</f>
        <v>2652.2200000000003</v>
      </c>
      <c r="BK282" s="670">
        <f>IF(BK59*IS!BK$76++BK160*(IS!BK$102+IS!BK$113)=0,"NA",BK59*IS!BK$76++BK160*(IS!BK$102+IS!BK$113))</f>
        <v>2450.87</v>
      </c>
      <c r="BL282" s="670">
        <f>IF(BL59*IS!BL$76++BL160*(IS!BL$102+IS!BL$113)=0,"NA",BL59*IS!BL$76++BL160*(IS!BL$102+IS!BL$113))</f>
        <v>2542.73</v>
      </c>
    </row>
    <row r="283" spans="1:64" s="9" customFormat="1" ht="11.25">
      <c r="A283" s="342" t="s">
        <v>1012</v>
      </c>
      <c r="B283" s="949"/>
      <c r="C283" s="949"/>
      <c r="D283" s="949"/>
      <c r="E283" s="949"/>
      <c r="F283" s="949"/>
      <c r="G283" s="949"/>
      <c r="H283" s="949"/>
      <c r="I283" s="949"/>
      <c r="J283" s="949"/>
      <c r="K283" s="949"/>
      <c r="L283" s="949"/>
      <c r="M283" s="949"/>
      <c r="N283" s="949"/>
      <c r="O283" s="949"/>
      <c r="P283" s="949"/>
      <c r="Q283" s="949"/>
      <c r="R283" s="949"/>
      <c r="S283" s="949"/>
      <c r="T283" s="949"/>
      <c r="U283" s="949"/>
      <c r="V283" s="949"/>
      <c r="W283" s="949"/>
      <c r="X283" s="949"/>
      <c r="Y283" s="949"/>
      <c r="Z283" s="949"/>
      <c r="AA283" s="949"/>
      <c r="AB283" s="949"/>
      <c r="AC283" s="306">
        <f>+AC61*IS!AC$76</f>
        <v>249.10000000000002</v>
      </c>
      <c r="AD283" s="306">
        <f>+AD61*IS!AD$76</f>
        <v>0</v>
      </c>
      <c r="AE283" s="1154">
        <f>IF(AE61*IS!AE$76=0,"NA",AE61*IS!AE$76)</f>
        <v>257.75</v>
      </c>
      <c r="AF283" s="1154">
        <f>IF(AF61*IS!AF$76=0,"NA",AF61*IS!AF$76)</f>
        <v>213.92000000000002</v>
      </c>
      <c r="AG283" s="1154">
        <f>IF(AG61*IS!AG$76=0,"NA",AG61*IS!AG$76)</f>
        <v>220.64000000000001</v>
      </c>
      <c r="AH283" s="1154">
        <f>IF(AH61*IS!AH$76=0,"NA",AH61*IS!AH$76)</f>
        <v>238.68</v>
      </c>
      <c r="AI283" s="1154">
        <f>IF(AI61*IS!AI$76=0,"NA",AI61*IS!AI$76)</f>
        <v>222.96</v>
      </c>
      <c r="AJ283" s="1154">
        <f>IF(AJ61*IS!AJ$76=0,"NA",AJ61*IS!AJ$76)</f>
        <v>236.88</v>
      </c>
      <c r="AK283" s="1154">
        <f>IF(AK61*IS!AK$76=0,"NA",AK61*IS!AK$76)</f>
        <v>231.96</v>
      </c>
      <c r="AL283" s="1154">
        <f>IF(AL61*IS!AL$76=0,"NA",AL61*IS!AL$76)</f>
        <v>255.28</v>
      </c>
      <c r="AM283" s="1154">
        <f>IF(AM61*IS!AM$76=0,"NA",AM61*IS!AM$76)</f>
        <v>239.88</v>
      </c>
      <c r="AN283" s="1154">
        <f>IF(AN61*IS!AN$76=0,"NA",AN61*IS!AN$76)</f>
        <v>249.72</v>
      </c>
      <c r="AO283" s="1154">
        <f>IF(AO61*IS!AO$76=0,"NA",AO61*IS!AO$76)</f>
        <v>251.6</v>
      </c>
      <c r="AP283" s="1154">
        <f>IF(AP61*IS!AP$76=0,"NA",AP61*IS!AP$76)</f>
        <v>277.28000000000003</v>
      </c>
      <c r="AQ283" s="1154">
        <f>IF(AQ61*IS!AQ$76=0,"NA",AQ61*IS!AQ$76)</f>
        <v>255.48000000000002</v>
      </c>
      <c r="AR283" s="1154">
        <f>IF(AR61*IS!AR$76=0,"NA",AR61*IS!AR$76)</f>
        <v>344.95000000000005</v>
      </c>
      <c r="AS283" s="1154">
        <f>IF(AS61*IS!AS$76=0,"NA",AS61*IS!AS$76)</f>
        <v>200.4</v>
      </c>
      <c r="AT283" s="1154">
        <f>IF(AT61*IS!AT$76=0,"NA",AT61*IS!AT$76)</f>
        <v>217.53</v>
      </c>
      <c r="AU283" s="1154">
        <f>IF(AU61*IS!AU$76=0,"NA",AU61*IS!AU$76)</f>
        <v>186.29999999999998</v>
      </c>
      <c r="AV283" s="1154">
        <f>IF(AV61*IS!AV$76=0,"NA",AV61*IS!AV$76)</f>
        <v>27.68</v>
      </c>
      <c r="AW283" s="1154">
        <f>IF(AW61*IS!AW$76=0,"NA",AW61*IS!AW$76)</f>
        <v>45.69</v>
      </c>
      <c r="AX283" s="1154">
        <f>IF(AX61*IS!AX$76=0,"NA",AX61*IS!AX$76)</f>
        <v>55.2</v>
      </c>
      <c r="AY283" s="1154">
        <f>IF(AY61*IS!AY$76=0,"NA",AY61*IS!AY$76)</f>
        <v>49.75</v>
      </c>
      <c r="AZ283" s="1154">
        <f>IF(AZ61*IS!AZ$76=0,"NA",AZ61*IS!AZ$76)</f>
        <v>64.650000000000006</v>
      </c>
      <c r="BA283" s="1154">
        <f>IF(BA61*IS!BA$76=0,"NA",BA61*IS!BA$76)</f>
        <v>67.05</v>
      </c>
      <c r="BB283" s="1154">
        <f>IF(BB61*IS!BB$76=0,"NA",BB61*IS!BB$76)</f>
        <v>78.7</v>
      </c>
      <c r="BC283" s="1154">
        <f>IF(BC61*IS!BC$76=0,"NA",BC61*IS!BC$76)</f>
        <v>73.350000000000009</v>
      </c>
      <c r="BD283" s="1154">
        <f>IF(BD61*IS!BD$76=0,"NA",BD61*IS!BD$76)</f>
        <v>83.570000000000007</v>
      </c>
      <c r="BE283" s="670">
        <f>IF(BE61*IS!BE$76=0,"NA",BE61*IS!BE$76)</f>
        <v>84.03</v>
      </c>
      <c r="BF283" s="670">
        <f>IF(BF61*IS!BF$76=0,"NA",BF61*IS!BF$76)</f>
        <v>93.73</v>
      </c>
      <c r="BG283" s="670">
        <f>IF(BG61*IS!BG$76=0,"NA",BG61*IS!BG$76)</f>
        <v>89.53</v>
      </c>
      <c r="BH283" s="670" t="str">
        <f>IF(BH61*IS!BH$76=0,"NA",BH61*IS!BH$76)</f>
        <v>NA</v>
      </c>
      <c r="BI283" s="670" t="str">
        <f>IF(BI61*IS!BI$76=0,"NA",BI61*IS!BI$76)</f>
        <v>NA</v>
      </c>
      <c r="BJ283" s="670" t="str">
        <f>IF(BJ61*IS!BJ$76=0,"NA",BJ61*IS!BJ$76)</f>
        <v>NA</v>
      </c>
      <c r="BK283" s="670" t="str">
        <f>IF(BK61*IS!BK$76=0,"NA",BK61*IS!BK$76)</f>
        <v>NA</v>
      </c>
      <c r="BL283" s="670" t="str">
        <f>IF(BL61*IS!BL$76=0,"NA",BL61*IS!BL$76)</f>
        <v>NA</v>
      </c>
    </row>
    <row r="284" spans="1:64" s="9" customFormat="1" ht="11.25">
      <c r="A284" s="342" t="s">
        <v>1019</v>
      </c>
      <c r="B284" s="949"/>
      <c r="C284" s="949"/>
      <c r="D284" s="949"/>
      <c r="E284" s="949"/>
      <c r="F284" s="949"/>
      <c r="G284" s="949"/>
      <c r="H284" s="949"/>
      <c r="I284" s="949"/>
      <c r="J284" s="949"/>
      <c r="K284" s="949"/>
      <c r="L284" s="949"/>
      <c r="M284" s="949"/>
      <c r="N284" s="949"/>
      <c r="O284" s="949"/>
      <c r="P284" s="949"/>
      <c r="Q284" s="949"/>
      <c r="R284" s="949"/>
      <c r="S284" s="949"/>
      <c r="T284" s="949"/>
      <c r="U284" s="949"/>
      <c r="V284" s="949"/>
      <c r="W284" s="949"/>
      <c r="X284" s="949"/>
      <c r="Y284" s="949"/>
      <c r="Z284" s="949"/>
      <c r="AA284" s="949"/>
      <c r="AB284" s="949"/>
      <c r="AC284" s="306">
        <f>+AC161*(IS!AC$102+IS!AC$113)</f>
        <v>583.38</v>
      </c>
      <c r="AD284" s="306">
        <f>+AD161*(IS!AD$102+IS!AD$113)</f>
        <v>0</v>
      </c>
      <c r="AE284" s="1154">
        <f>IF(AE161*(IS!AE$102+IS!AE$113)=0,"NA",(AE161*(IS!AE$102+IS!AE$113)))</f>
        <v>676</v>
      </c>
      <c r="AF284" s="1154">
        <f>IF(AF161*(IS!AF$102+IS!AF$113)=0,"NA",(AF161*(IS!AF$102+IS!AF$113)))</f>
        <v>669.24</v>
      </c>
      <c r="AG284" s="1154">
        <f>IF(AG161*(IS!AG$102+IS!AG$113)=0,"NA",(AG161*(IS!AG$102+IS!AG$113)))</f>
        <v>735.3</v>
      </c>
      <c r="AH284" s="1154">
        <f>IF(AH161*(IS!AH$102+IS!AH$113)=0,"NA",(AH161*(IS!AH$102+IS!AH$113)))</f>
        <v>815.76</v>
      </c>
      <c r="AI284" s="1154">
        <f>IF(AI161*(IS!AI$102+IS!AI$113)=0,"NA",(AI161*(IS!AI$102+IS!AI$113)))</f>
        <v>768.40000000000009</v>
      </c>
      <c r="AJ284" s="1154">
        <f>IF(AJ161*(IS!AJ$102+IS!AJ$113)=0,"NA",(AJ161*(IS!AJ$102+IS!AJ$113)))</f>
        <v>707.68000000000006</v>
      </c>
      <c r="AK284" s="1154">
        <f>IF(AK161*(IS!AK$102+IS!AK$113)=0,"NA",(AK161*(IS!AK$102+IS!AK$113)))</f>
        <v>795.09</v>
      </c>
      <c r="AL284" s="1154">
        <f>IF(AL161*(IS!AL$102+IS!AL$113)=0,"NA",(AL161*(IS!AL$102+IS!AL$113)))</f>
        <v>889.61</v>
      </c>
      <c r="AM284" s="1154">
        <f>IF(AM161*(IS!AM$102+IS!AM$113)=0,"NA",(AM161*(IS!AM$102+IS!AM$113)))</f>
        <v>902.52</v>
      </c>
      <c r="AN284" s="1154">
        <f>IF(AN161*(IS!AN$102+IS!AN$113)=0,"NA",(AN161*(IS!AN$102+IS!AN$113)))</f>
        <v>841.84</v>
      </c>
      <c r="AO284" s="1154">
        <f>IF(AO161*(IS!AO$102+IS!AO$113)=0,"NA",(AO161*(IS!AO$102+IS!AO$113)))</f>
        <v>867.78</v>
      </c>
      <c r="AP284" s="1154">
        <f>IF(AP161*(IS!AP$102+IS!AP$113)=0,"NA",(AP161*(IS!AP$102+IS!AP$113)))</f>
        <v>968.24</v>
      </c>
      <c r="AQ284" s="1154">
        <f>IF(AQ161*(IS!AQ$102+IS!AQ$113)=0,"NA",(AQ161*(IS!AQ$102+IS!AQ$113)))</f>
        <v>855.61</v>
      </c>
      <c r="AR284" s="1154">
        <f>IF(AR161*(IS!AR$102+IS!AR$113)=0,"NA",(AR161*(IS!AR$102+IS!AR$113)))</f>
        <v>838.72</v>
      </c>
      <c r="AS284" s="1154">
        <f>IF(AS161*(IS!AS$102+IS!AS$113)=0,"NA",(AS161*(IS!AS$102+IS!AS$113)))</f>
        <v>890.97</v>
      </c>
      <c r="AT284" s="1154">
        <f>IF(AT161*(IS!AT$102+IS!AT$113)=0,"NA",(AT161*(IS!AT$102+IS!AT$113)))</f>
        <v>967.47</v>
      </c>
      <c r="AU284" s="1154">
        <f>IF(AU161*(IS!AU$102+IS!AU$113)=0,"NA",(AU161*(IS!AU$102+IS!AU$113)))</f>
        <v>622.5</v>
      </c>
      <c r="AV284" s="1154">
        <f>IF(AV161*(IS!AV$102+IS!AV$113)=0,"NA",(AV161*(IS!AV$102+IS!AV$113)))</f>
        <v>197.76</v>
      </c>
      <c r="AW284" s="1154">
        <f>IF(AW161*(IS!AW$102+IS!AW$113)=0,"NA",(AW161*(IS!AW$102+IS!AW$113)))</f>
        <v>690.2</v>
      </c>
      <c r="AX284" s="1154">
        <f>IF(AX161*(IS!AX$102+IS!AX$113)=0,"NA",(AX161*(IS!AX$102+IS!AX$113)))</f>
        <v>560.28000000000009</v>
      </c>
      <c r="AY284" s="1154">
        <f>IF(AY161*(IS!AY$102+IS!AY$113)=0,"NA",(AY161*(IS!AY$102+IS!AY$113)))</f>
        <v>349.20000000000005</v>
      </c>
      <c r="AZ284" s="1154">
        <f>IF(AZ161*(IS!AZ$102+IS!AZ$113)=0,"NA",(AZ161*(IS!AZ$102+IS!AZ$113)))</f>
        <v>599.20000000000005</v>
      </c>
      <c r="BA284" s="1154">
        <f>IF(BA161*(IS!BA$102+IS!BA$113)=0,"NA",(BA161*(IS!BA$102+IS!BA$113)))</f>
        <v>724.5</v>
      </c>
      <c r="BB284" s="1154">
        <f>IF(BB161*(IS!BB$102+IS!BB$113)=0,"NA",(BB161*(IS!BB$102+IS!BB$113)))</f>
        <v>871.8</v>
      </c>
      <c r="BC284" s="1154">
        <f>IF(BC161*(IS!BC$102+IS!BC$113)=0,"NA",(BC161*(IS!BC$102+IS!BC$113)))</f>
        <v>725.90000000000009</v>
      </c>
      <c r="BD284" s="1154">
        <f>IF(BD161*(IS!BD$102+IS!BD$113)=0,"NA",(BD161*(IS!BD$102+IS!BD$113)))</f>
        <v>704.73</v>
      </c>
      <c r="BE284" s="670">
        <f>IF(BE161*(IS!BE$102+IS!BE$113)=0,"NA",(BE161*(IS!BE$102+IS!BE$113)))</f>
        <v>706.55000000000007</v>
      </c>
      <c r="BF284" s="670">
        <f>IF(BF161*(IS!BF$102+IS!BF$113)=0,"NA",(BF161*(IS!BF$102+IS!BF$113)))</f>
        <v>712.19999999999993</v>
      </c>
      <c r="BG284" s="670">
        <f>IF(BG161*(IS!BG$102+IS!BG$113)=0,"NA",(BG161*(IS!BG$102+IS!BG$113)))</f>
        <v>780.78000000000009</v>
      </c>
      <c r="BH284" s="670">
        <f>IF(BH161*(IS!BH$102+IS!BH$113)=0,"NA",(BH161*(IS!BH$102+IS!BH$113)))</f>
        <v>735.54000000000008</v>
      </c>
      <c r="BI284" s="670">
        <f>IF(BI161*(IS!BI$102+IS!BI$113)=0,"NA",(BI161*(IS!BI$102+IS!BI$113)))</f>
        <v>789.18000000000006</v>
      </c>
      <c r="BJ284" s="670">
        <f>IF(BJ161*(IS!BJ$102+IS!BJ$113)=0,"NA",(BJ161*(IS!BJ$102+IS!BJ$113)))</f>
        <v>853.16000000000008</v>
      </c>
      <c r="BK284" s="670">
        <f>IF(BK161*(IS!BK$102+IS!BK$113)=0,"NA",(BK161*(IS!BK$102+IS!BK$113)))</f>
        <v>761.74000000000012</v>
      </c>
      <c r="BL284" s="670">
        <f>IF(BL161*(IS!BL$102+IS!BL$113)=0,"NA",(BL161*(IS!BL$102+IS!BL$113)))</f>
        <v>770.42000000000007</v>
      </c>
    </row>
    <row r="285" spans="1:64" s="9" customFormat="1" ht="11.25">
      <c r="A285" s="342" t="s">
        <v>1016</v>
      </c>
      <c r="B285" s="949"/>
      <c r="C285" s="949"/>
      <c r="D285" s="949"/>
      <c r="E285" s="949"/>
      <c r="F285" s="949"/>
      <c r="G285" s="949"/>
      <c r="H285" s="949"/>
      <c r="I285" s="949"/>
      <c r="J285" s="949"/>
      <c r="K285" s="949"/>
      <c r="L285" s="949"/>
      <c r="M285" s="949"/>
      <c r="N285" s="949"/>
      <c r="O285" s="949"/>
      <c r="P285" s="949"/>
      <c r="Q285" s="949"/>
      <c r="R285" s="949"/>
      <c r="S285" s="949"/>
      <c r="T285" s="949"/>
      <c r="U285" s="949"/>
      <c r="V285" s="949"/>
      <c r="W285" s="949"/>
      <c r="X285" s="949"/>
      <c r="Y285" s="949"/>
      <c r="Z285" s="949"/>
      <c r="AA285" s="949"/>
      <c r="AB285" s="949"/>
      <c r="AC285" s="306">
        <f>+AC162*(IS!AC$102+IS!AC$113)</f>
        <v>0</v>
      </c>
      <c r="AD285" s="306">
        <f>+AD162*(IS!AD$102+IS!AD$113)</f>
        <v>0</v>
      </c>
      <c r="AE285" s="1154" t="str">
        <f>IF(AE162*(IS!AE$102+IS!AE$113)=0,"NA",AE162*(IS!AE$102+IS!AE$113))</f>
        <v>NA</v>
      </c>
      <c r="AF285" s="1154">
        <f>IF(AF162*(IS!AF$102+IS!AF$113)=0,"NA",AF162*(IS!AF$102+IS!AF$113))</f>
        <v>111.53999999999999</v>
      </c>
      <c r="AG285" s="1154">
        <f>IF(AG162*(IS!AG$102+IS!AG$113)=0,"NA",AG162*(IS!AG$102+IS!AG$113))</f>
        <v>122.55</v>
      </c>
      <c r="AH285" s="1154">
        <f>IF(AH162*(IS!AH$102+IS!AH$113)=0,"NA",AH162*(IS!AH$102+IS!AH$113))</f>
        <v>135.96</v>
      </c>
      <c r="AI285" s="1154">
        <f>IF(AI162*(IS!AI$102+IS!AI$113)=0,"NA",AI162*(IS!AI$102+IS!AI$113))</f>
        <v>90.4</v>
      </c>
      <c r="AJ285" s="1154">
        <f>IF(AJ162*(IS!AJ$102+IS!AJ$113)=0,"NA",AJ162*(IS!AJ$102+IS!AJ$113))</f>
        <v>88.460000000000008</v>
      </c>
      <c r="AK285" s="1154">
        <f>IF(AK162*(IS!AK$102+IS!AK$113)=0,"NA",AK162*(IS!AK$102+IS!AK$113))</f>
        <v>93.54</v>
      </c>
      <c r="AL285" s="1154">
        <f>IF(AL162*(IS!AL$102+IS!AL$113)=0,"NA",AL162*(IS!AL$102+IS!AL$113))</f>
        <v>104.66</v>
      </c>
      <c r="AM285" s="1154">
        <f>IF(AM162*(IS!AM$102+IS!AM$113)=0,"NA",AM162*(IS!AM$102+IS!AM$113))</f>
        <v>100.28</v>
      </c>
      <c r="AN285" s="1154">
        <f>IF(AN162*(IS!AN$102+IS!AN$113)=0,"NA",AN162*(IS!AN$102+IS!AN$113))</f>
        <v>99.04</v>
      </c>
      <c r="AO285" s="1154">
        <f>IF(AO162*(IS!AO$102+IS!AO$113)=0,"NA",AO162*(IS!AO$102+IS!AO$113))</f>
        <v>96.42</v>
      </c>
      <c r="AP285" s="1154">
        <f>IF(AP162*(IS!AP$102+IS!AP$113)=0,"NA",AP162*(IS!AP$102+IS!AP$113))</f>
        <v>101.92</v>
      </c>
      <c r="AQ285" s="1154">
        <f>IF(AQ162*(IS!AQ$102+IS!AQ$113)=0,"NA",AQ162*(IS!AQ$102+IS!AQ$113))</f>
        <v>89.52</v>
      </c>
      <c r="AR285" s="1154">
        <f>IF(AR162*(IS!AR$102+IS!AR$113)=0,"NA",AR162*(IS!AR$102+IS!AR$113))</f>
        <v>92.64</v>
      </c>
      <c r="AS285" s="1154">
        <f>IF(AS162*(IS!AS$102+IS!AS$113)=0,"NA",AS162*(IS!AS$102+IS!AS$113))</f>
        <v>96.600000000000009</v>
      </c>
      <c r="AT285" s="1154">
        <f>IF(AT162*(IS!AT$102+IS!AT$113)=0,"NA",AT162*(IS!AT$102+IS!AT$113))</f>
        <v>102.65</v>
      </c>
      <c r="AU285" s="1154">
        <f>IF(AU162*(IS!AU$102+IS!AU$113)=0,"NA",AU162*(IS!AU$102+IS!AU$113))</f>
        <v>87.25</v>
      </c>
      <c r="AV285" s="1154">
        <f>IF(AV162*(IS!AV$102+IS!AV$113)=0,"NA",AV162*(IS!AV$102+IS!AV$113))</f>
        <v>36.75</v>
      </c>
      <c r="AW285" s="1154">
        <f>IF(AW162*(IS!AW$102+IS!AW$113)=0,"NA",AW162*(IS!AW$102+IS!AW$113))</f>
        <v>60.150000000000006</v>
      </c>
      <c r="AX285" s="1154">
        <f>IF(AX162*(IS!AX$102+IS!AX$113)=0,"NA",AX162*(IS!AX$102+IS!AX$113))</f>
        <v>65.52</v>
      </c>
      <c r="AY285" s="1154">
        <f>IF(AY162*(IS!AY$102+IS!AY$113)=0,"NA",AY162*(IS!AY$102+IS!AY$113))</f>
        <v>69.8</v>
      </c>
      <c r="AZ285" s="1154">
        <f>IF(AZ162*(IS!AZ$102+IS!AZ$113)=0,"NA",AZ162*(IS!AZ$102+IS!AZ$113))</f>
        <v>66.12</v>
      </c>
      <c r="BA285" s="1154">
        <f>IF(BA162*(IS!BA$102+IS!BA$113)=0,"NA",BA162*(IS!BA$102+IS!BA$113))</f>
        <v>92.2</v>
      </c>
      <c r="BB285" s="1154">
        <f>IF(BB162*(IS!BB$102+IS!BB$113)=0,"NA",BB162*(IS!BB$102+IS!BB$113))</f>
        <v>109.8</v>
      </c>
      <c r="BC285" s="1154">
        <f>IF(BC162*(IS!BC$102+IS!BC$113)=0,"NA",BC162*(IS!BC$102+IS!BC$113))</f>
        <v>105.8</v>
      </c>
      <c r="BD285" s="1154">
        <f>IF(BD162*(IS!BD$102+IS!BD$113)=0,"NA",BD162*(IS!BD$102+IS!BD$113))</f>
        <v>120.64</v>
      </c>
      <c r="BE285" s="670">
        <f>IF(BE162*(IS!BE$102+IS!BE$113)=0,"NA",BE162*(IS!BE$102+IS!BE$113))</f>
        <v>97.08</v>
      </c>
      <c r="BF285" s="670">
        <f>IF(BF162*(IS!BF$102+IS!BF$113)=0,"NA",BF162*(IS!BF$102+IS!BF$113))</f>
        <v>93.899999999999991</v>
      </c>
      <c r="BG285" s="670">
        <f>IF(BG162*(IS!BG$102+IS!BG$113)=0,"NA",BG162*(IS!BG$102+IS!BG$113))</f>
        <v>91.62</v>
      </c>
      <c r="BH285" s="670">
        <f>IF(BH162*(IS!BH$102+IS!BH$113)=0,"NA",BH162*(IS!BH$102+IS!BH$113))</f>
        <v>94.08</v>
      </c>
      <c r="BI285" s="670">
        <f>IF(BI162*(IS!BI$102+IS!BI$113)=0,"NA",BI162*(IS!BI$102+IS!BI$113))</f>
        <v>91.14</v>
      </c>
      <c r="BJ285" s="670">
        <f>IF(BJ162*(IS!BJ$102+IS!BJ$113)=0,"NA",BJ162*(IS!BJ$102+IS!BJ$113))</f>
        <v>93.39</v>
      </c>
      <c r="BK285" s="670">
        <f>IF(BK162*(IS!BK$102+IS!BK$113)=0,"NA",BK162*(IS!BK$102+IS!BK$113))</f>
        <v>74.789999999999992</v>
      </c>
      <c r="BL285" s="670">
        <f>IF(BL162*(IS!BL$102+IS!BL$113)=0,"NA",BL162*(IS!BL$102+IS!BL$113))</f>
        <v>85.61999999999999</v>
      </c>
    </row>
    <row r="286" spans="1:64" s="9" customFormat="1" ht="11.25">
      <c r="A286" s="342" t="s">
        <v>1015</v>
      </c>
      <c r="B286" s="949"/>
      <c r="C286" s="949"/>
      <c r="D286" s="949"/>
      <c r="E286" s="949"/>
      <c r="F286" s="949"/>
      <c r="G286" s="949"/>
      <c r="H286" s="949"/>
      <c r="I286" s="949"/>
      <c r="J286" s="949"/>
      <c r="K286" s="949"/>
      <c r="L286" s="949"/>
      <c r="M286" s="949"/>
      <c r="N286" s="949"/>
      <c r="O286" s="949"/>
      <c r="P286" s="949"/>
      <c r="Q286" s="949"/>
      <c r="R286" s="949"/>
      <c r="S286" s="949"/>
      <c r="T286" s="949"/>
      <c r="U286" s="949"/>
      <c r="V286" s="949"/>
      <c r="W286" s="949"/>
      <c r="X286" s="949"/>
      <c r="Y286" s="949"/>
      <c r="Z286" s="949"/>
      <c r="AA286" s="949"/>
      <c r="AB286" s="949"/>
      <c r="AC286" s="306">
        <f>+AC163*(IS!AC$102+IS!AC$113)</f>
        <v>64.820000000000007</v>
      </c>
      <c r="AD286" s="306">
        <f>+AD163*(IS!AD$102+IS!AD$113)</f>
        <v>0</v>
      </c>
      <c r="AE286" s="1154">
        <f>IF(AE163*(IS!AE$102+IS!AE$113)=0,"NA",AE163*(IS!AE$102+IS!AE$113))</f>
        <v>67.599999999999994</v>
      </c>
      <c r="AF286" s="1154">
        <f>IF(AF163*(IS!AF$102+IS!AF$113)=0,"NA",AF163*(IS!AF$102+IS!AF$113))</f>
        <v>74.36</v>
      </c>
      <c r="AG286" s="1154">
        <f>IF(AG163*(IS!AG$102+IS!AG$113)=0,"NA",AG163*(IS!AG$102+IS!AG$113))</f>
        <v>81.7</v>
      </c>
      <c r="AH286" s="1154">
        <f>IF(AH163*(IS!AH$102+IS!AH$113)=0,"NA",AH163*(IS!AH$102+IS!AH$113))</f>
        <v>45.32</v>
      </c>
      <c r="AI286" s="1154">
        <f>IF(AI163*(IS!AI$102+IS!AI$113)=0,"NA",AI163*(IS!AI$102+IS!AI$113))</f>
        <v>90.4</v>
      </c>
      <c r="AJ286" s="1154">
        <f>IF(AJ163*(IS!AJ$102+IS!AJ$113)=0,"NA",AJ163*(IS!AJ$102+IS!AJ$113))</f>
        <v>88.460000000000008</v>
      </c>
      <c r="AK286" s="1154">
        <f>IF(AK163*(IS!AK$102+IS!AK$113)=0,"NA",AK163*(IS!AK$102+IS!AK$113))</f>
        <v>93.54</v>
      </c>
      <c r="AL286" s="1154">
        <f>IF(AL163*(IS!AL$102+IS!AL$113)=0,"NA",AL163*(IS!AL$102+IS!AL$113))</f>
        <v>104.66</v>
      </c>
      <c r="AM286" s="1154">
        <f>IF(AM163*(IS!AM$102+IS!AM$113)=0,"NA",AM163*(IS!AM$102+IS!AM$113))</f>
        <v>100.28</v>
      </c>
      <c r="AN286" s="1154">
        <f>IF(AN163*(IS!AN$102+IS!AN$113)=0,"NA",AN163*(IS!AN$102+IS!AN$113))</f>
        <v>99.04</v>
      </c>
      <c r="AO286" s="1154">
        <f>IF(AO163*(IS!AO$102+IS!AO$113)=0,"NA",AO163*(IS!AO$102+IS!AO$113))</f>
        <v>96.42</v>
      </c>
      <c r="AP286" s="1154">
        <f>IF(AP163*(IS!AP$102+IS!AP$113)=0,"NA",AP163*(IS!AP$102+IS!AP$113))</f>
        <v>101.92</v>
      </c>
      <c r="AQ286" s="1154">
        <f>IF(AQ163*(IS!AQ$102+IS!AQ$113)=0,"NA",AQ163*(IS!AQ$102+IS!AQ$113))</f>
        <v>67.14</v>
      </c>
      <c r="AR286" s="1154">
        <f>IF(AR163*(IS!AR$102+IS!AR$113)=0,"NA",AR163*(IS!AR$102+IS!AR$113))</f>
        <v>69.48</v>
      </c>
      <c r="AS286" s="1154">
        <f>IF(AS163*(IS!AS$102+IS!AS$113)=0,"NA",AS163*(IS!AS$102+IS!AS$113))</f>
        <v>48.300000000000004</v>
      </c>
      <c r="AT286" s="1154">
        <f>IF(AT163*(IS!AT$102+IS!AT$113)=0,"NA",AT163*(IS!AT$102+IS!AT$113))</f>
        <v>41.06</v>
      </c>
      <c r="AU286" s="1154">
        <f>IF(AU163*(IS!AU$102+IS!AU$113)=0,"NA",AU163*(IS!AU$102+IS!AU$113))</f>
        <v>34.9</v>
      </c>
      <c r="AV286" s="1154">
        <f>IF(AV163*(IS!AV$102+IS!AV$113)=0,"NA",AV163*(IS!AV$102+IS!AV$113))</f>
        <v>22.05</v>
      </c>
      <c r="AW286" s="1154">
        <f>IF(AW163*(IS!AW$102+IS!AW$113)=0,"NA",AW163*(IS!AW$102+IS!AW$113))</f>
        <v>36.089999999999996</v>
      </c>
      <c r="AX286" s="1154">
        <f>IF(AX163*(IS!AX$102+IS!AX$113)=0,"NA",AX163*(IS!AX$102+IS!AX$113))</f>
        <v>32.76</v>
      </c>
      <c r="AY286" s="1154">
        <f>IF(AY163*(IS!AY$102+IS!AY$113)=0,"NA",AY163*(IS!AY$102+IS!AY$113))</f>
        <v>34.9</v>
      </c>
      <c r="AZ286" s="1154">
        <f>IF(AZ163*(IS!AZ$102+IS!AZ$113)=0,"NA",AZ163*(IS!AZ$102+IS!AZ$113))</f>
        <v>33.06</v>
      </c>
      <c r="BA286" s="1154">
        <f>IF(BA163*(IS!BA$102+IS!BA$113)=0,"NA",BA163*(IS!BA$102+IS!BA$113))</f>
        <v>46.1</v>
      </c>
      <c r="BB286" s="1154">
        <f>IF(BB163*(IS!BB$102+IS!BB$113)=0,"NA",BB163*(IS!BB$102+IS!BB$113))</f>
        <v>54.9</v>
      </c>
      <c r="BC286" s="1154">
        <f>IF(BC163*(IS!BC$102+IS!BC$113)=0,"NA",BC163*(IS!BC$102+IS!BC$113))</f>
        <v>52.9</v>
      </c>
      <c r="BD286" s="1154">
        <f>IF(BD163*(IS!BD$102+IS!BD$113)=0,"NA",BD163*(IS!BD$102+IS!BD$113))</f>
        <v>30.16</v>
      </c>
      <c r="BE286" s="670">
        <f>IF(BE163*(IS!BE$102+IS!BE$113)=0,"NA",BE163*(IS!BE$102+IS!BE$113))</f>
        <v>32.36</v>
      </c>
      <c r="BF286" s="670">
        <f>IF(BF163*(IS!BF$102+IS!BF$113)=0,"NA",BF163*(IS!BF$102+IS!BF$113))</f>
        <v>31.3</v>
      </c>
      <c r="BG286" s="670">
        <f>IF(BG163*(IS!BG$102+IS!BG$113)=0,"NA",BG163*(IS!BG$102+IS!BG$113))</f>
        <v>30.54</v>
      </c>
      <c r="BH286" s="670">
        <f>IF(BH163*(IS!BH$102+IS!BH$113)=0,"NA",BH163*(IS!BH$102+IS!BH$113))</f>
        <v>31.36</v>
      </c>
      <c r="BI286" s="670">
        <f>IF(BI163*(IS!BI$102+IS!BI$113)=0,"NA",BI163*(IS!BI$102+IS!BI$113))</f>
        <v>30.38</v>
      </c>
      <c r="BJ286" s="670">
        <f>IF(BJ163*(IS!BJ$102+IS!BJ$113)=0,"NA",BJ163*(IS!BJ$102+IS!BJ$113))</f>
        <v>31.13</v>
      </c>
      <c r="BK286" s="670">
        <f>IF(BK163*(IS!BK$102+IS!BK$113)=0,"NA",BK163*(IS!BK$102+IS!BK$113))</f>
        <v>24.93</v>
      </c>
      <c r="BL286" s="670">
        <f>IF(BL163*(IS!BL$102+IS!BL$113)=0,"NA",BL163*(IS!BL$102+IS!BL$113))</f>
        <v>28.54</v>
      </c>
    </row>
    <row r="287" spans="1:64" s="9" customFormat="1" ht="11.25">
      <c r="A287" s="342" t="s">
        <v>1017</v>
      </c>
      <c r="B287" s="949"/>
      <c r="C287" s="949"/>
      <c r="D287" s="949"/>
      <c r="E287" s="949"/>
      <c r="F287" s="949"/>
      <c r="G287" s="949"/>
      <c r="H287" s="949"/>
      <c r="I287" s="949"/>
      <c r="J287" s="949"/>
      <c r="K287" s="949"/>
      <c r="L287" s="949"/>
      <c r="M287" s="949"/>
      <c r="N287" s="949"/>
      <c r="O287" s="949"/>
      <c r="P287" s="949"/>
      <c r="Q287" s="949"/>
      <c r="R287" s="949"/>
      <c r="S287" s="949"/>
      <c r="T287" s="949"/>
      <c r="U287" s="949"/>
      <c r="V287" s="949"/>
      <c r="W287" s="949"/>
      <c r="X287" s="949"/>
      <c r="Y287" s="949"/>
      <c r="Z287" s="949"/>
      <c r="AA287" s="949"/>
      <c r="AB287" s="949"/>
      <c r="AC287" s="306">
        <f>+AC164*(IS!AC$102+IS!AC$113)</f>
        <v>32.410000000000004</v>
      </c>
      <c r="AD287" s="306">
        <f>+AD164*(IS!AD$102+IS!AD$113)</f>
        <v>0</v>
      </c>
      <c r="AE287" s="306">
        <f>+AE164*(IS!AE$102+IS!AE$113)</f>
        <v>33.799999999999997</v>
      </c>
      <c r="AF287" s="306">
        <f>+AF164*(IS!AF$102+IS!AF$113)</f>
        <v>37.18</v>
      </c>
      <c r="AG287" s="306">
        <f>+AG164*(IS!AG$102+IS!AG$113)</f>
        <v>40.85</v>
      </c>
      <c r="AH287" s="306">
        <f>+AH164*(IS!AH$102+IS!AH$113)</f>
        <v>45.32</v>
      </c>
      <c r="AI287" s="306">
        <f>+AI164*(IS!AI$102+IS!AI$113)</f>
        <v>45.2</v>
      </c>
      <c r="AJ287" s="306">
        <f>+AJ164*(IS!AJ$102+IS!AJ$113)</f>
        <v>44.230000000000004</v>
      </c>
      <c r="AK287" s="306">
        <f>+AK164*(IS!AK$102+IS!AK$113)</f>
        <v>46.77</v>
      </c>
      <c r="AL287" s="306">
        <f>+AL164*(IS!AL$102+IS!AL$113)</f>
        <v>52.33</v>
      </c>
      <c r="AM287" s="306">
        <f>+AM164*(IS!AM$102+IS!AM$113)</f>
        <v>50.14</v>
      </c>
      <c r="AN287" s="306">
        <f>+AN164*(IS!AN$102+IS!AN$113)</f>
        <v>49.52</v>
      </c>
      <c r="AO287" s="306">
        <f>+AO164*(IS!AO$102+IS!AO$113)</f>
        <v>48.21</v>
      </c>
      <c r="AP287" s="306">
        <f>+AP164*(IS!AP$102+IS!AP$113)</f>
        <v>50.96</v>
      </c>
      <c r="AQ287" s="306">
        <f>+AQ164*(IS!AQ$102+IS!AQ$113)</f>
        <v>0</v>
      </c>
      <c r="AR287" s="373">
        <f>+AR164*(IS!AR$102+IS!AR$113)</f>
        <v>52.42</v>
      </c>
      <c r="AS287" s="373">
        <f>+AS164*(IS!AS$102+IS!AS$113)</f>
        <v>52.410000000000004</v>
      </c>
      <c r="AT287" s="1154">
        <f>IF(AT164*(IS!AT$102+IS!AT$113)=0,"NA",AT164*(IS!AT$102+IS!AT$113))</f>
        <v>56.910000000000004</v>
      </c>
      <c r="AU287" s="1154" t="str">
        <f>IF(AU164*(IS!AU$102+IS!AU$113)=0,"NA",AU164*(IS!AU$102+IS!AU$113))</f>
        <v>NA</v>
      </c>
      <c r="AV287" s="1154" t="str">
        <f>IF(AV164*(IS!AV$102+IS!AV$113)=0,"NA",AV164*(IS!AV$102+IS!AV$113))</f>
        <v>NA</v>
      </c>
      <c r="AW287" s="1154" t="str">
        <f>IF(AW164*(IS!AW$102+IS!AW$113)=0,"NA",AW164*(IS!AW$102+IS!AW$113))</f>
        <v>NA</v>
      </c>
      <c r="AX287" s="1154" t="str">
        <f>IF(AX164*(IS!AX$102+IS!AX$113)=0,"NA",AX164*(IS!AX$102+IS!AX$113))</f>
        <v>NA</v>
      </c>
      <c r="AY287" s="1154" t="str">
        <f>IF(AY164*(IS!AY$102+IS!AY$113)=0,"NA",AY164*(IS!AY$102+IS!AY$113))</f>
        <v>NA</v>
      </c>
      <c r="AZ287" s="1154" t="str">
        <f>IF(AZ164*(IS!AZ$102+IS!AZ$113)=0,"NA",AZ164*(IS!AZ$102+IS!AZ$113))</f>
        <v>NA</v>
      </c>
      <c r="BA287" s="1154" t="str">
        <f>IF(BA164*(IS!BA$102+IS!BA$113)=0,"NA",BA164*(IS!BA$102+IS!BA$113))</f>
        <v>NA</v>
      </c>
      <c r="BB287" s="1154" t="str">
        <f>IF(BB164*(IS!BB$102+IS!BB$113)=0,"NA",BB164*(IS!BB$102+IS!BB$113))</f>
        <v>NA</v>
      </c>
      <c r="BC287" s="1154" t="str">
        <f>IF(BC164*(IS!BC$102+IS!BC$113)=0,"NA",BC164*(IS!BC$102+IS!BC$113))</f>
        <v>NA</v>
      </c>
      <c r="BD287" s="1154" t="str">
        <f>IF(BD164*(IS!BD$102+IS!BD$113)=0,"NA",BD164*(IS!BD$102+IS!BD$113))</f>
        <v>NA</v>
      </c>
      <c r="BE287" s="670" t="str">
        <f>IF(BE164*(IS!BE$102+IS!BE$113)=0,"NA",BE164*(IS!BE$102+IS!BE$113))</f>
        <v>NA</v>
      </c>
      <c r="BF287" s="670" t="str">
        <f>IF(BF164*(IS!BF$102+IS!BF$113)=0,"NA",BF164*(IS!BF$102+IS!BF$113))</f>
        <v>NA</v>
      </c>
      <c r="BG287" s="670" t="str">
        <f>IF(BG164*(IS!BG$102+IS!BG$113)=0,"NA",BG164*(IS!BG$102+IS!BG$113))</f>
        <v>NA</v>
      </c>
      <c r="BH287" s="670" t="str">
        <f>IF(BH164*(IS!BH$102+IS!BH$113)=0,"NA",BH164*(IS!BH$102+IS!BH$113))</f>
        <v>NA</v>
      </c>
      <c r="BI287" s="670" t="str">
        <f>IF(BI164*(IS!BI$102+IS!BI$113)=0,"NA",BI164*(IS!BI$102+IS!BI$113))</f>
        <v>NA</v>
      </c>
      <c r="BJ287" s="670" t="str">
        <f>IF(BJ164*(IS!BJ$102+IS!BJ$113)=0,"NA",BJ164*(IS!BJ$102+IS!BJ$113))</f>
        <v>NA</v>
      </c>
      <c r="BK287" s="670" t="str">
        <f>IF(BK164*(IS!BK$102+IS!BK$113)=0,"NA",BK164*(IS!BK$102+IS!BK$113))</f>
        <v>NA</v>
      </c>
      <c r="BL287" s="670" t="str">
        <f>IF(BL164*(IS!BL$102+IS!BL$113)=0,"NA",BL164*(IS!BL$102+IS!BL$113))</f>
        <v>NA</v>
      </c>
    </row>
    <row r="288" spans="1:64" s="9" customFormat="1" ht="11.25">
      <c r="A288" s="342" t="s">
        <v>1120</v>
      </c>
      <c r="B288" s="949"/>
      <c r="C288" s="949"/>
      <c r="D288" s="949"/>
      <c r="E288" s="949"/>
      <c r="F288" s="949"/>
      <c r="G288" s="949"/>
      <c r="H288" s="949"/>
      <c r="I288" s="949"/>
      <c r="J288" s="949"/>
      <c r="K288" s="949"/>
      <c r="L288" s="949"/>
      <c r="M288" s="949"/>
      <c r="N288" s="949"/>
      <c r="O288" s="949"/>
      <c r="P288" s="949"/>
      <c r="Q288" s="949"/>
      <c r="R288" s="949"/>
      <c r="S288" s="949"/>
      <c r="T288" s="949"/>
      <c r="U288" s="949"/>
      <c r="V288" s="949"/>
      <c r="W288" s="949"/>
      <c r="X288" s="949"/>
      <c r="Y288" s="949"/>
      <c r="Z288" s="949"/>
      <c r="AA288" s="949"/>
      <c r="AB288" s="949"/>
      <c r="AC288" s="306"/>
      <c r="AD288" s="306"/>
      <c r="AE288" s="306"/>
      <c r="AF288" s="306"/>
      <c r="AG288" s="306"/>
      <c r="AH288" s="306"/>
      <c r="AI288" s="306"/>
      <c r="AJ288" s="306"/>
      <c r="AK288" s="306"/>
      <c r="AL288" s="306"/>
      <c r="AM288" s="306"/>
      <c r="AN288" s="306"/>
      <c r="AO288" s="306"/>
      <c r="AP288" s="306"/>
      <c r="AQ288" s="306">
        <f>+AQ165*(IS!AQ$102+IS!AQ$113)</f>
        <v>452.96999999999997</v>
      </c>
      <c r="AR288" s="306">
        <f>+AR165*(IS!AR$102+IS!AR$113)</f>
        <v>419.36</v>
      </c>
      <c r="AS288" s="306">
        <f>+AS165*(IS!AS$102+IS!AS$113)</f>
        <v>419.28000000000003</v>
      </c>
      <c r="AT288" s="1154">
        <f>IF(AT165*(IS!AT$102+IS!AT$113)=0,"NA",AT165*(IS!AT$102+IS!AT$113))</f>
        <v>455.28000000000003</v>
      </c>
      <c r="AU288" s="1154">
        <f>IF(AU165*(IS!AU$102+IS!AU$113)=0,"NA",AU165*(IS!AU$102+IS!AU$113))</f>
        <v>373.5</v>
      </c>
      <c r="AV288" s="1154">
        <f>IF(AV165*(IS!AV$102+IS!AV$113)=0,"NA",AV165*(IS!AV$102+IS!AV$113))</f>
        <v>49.44</v>
      </c>
      <c r="AW288" s="1154">
        <f>IF(AW165*(IS!AW$102+IS!AW$113)=0,"NA",AW165*(IS!AW$102+IS!AW$113))</f>
        <v>284.20000000000005</v>
      </c>
      <c r="AX288" s="1154">
        <f>IF(AX165*(IS!AX$102+IS!AX$113)=0,"NA",AX165*(IS!AX$102+IS!AX$113))</f>
        <v>280.14000000000004</v>
      </c>
      <c r="AY288" s="1154">
        <f>IF(AY165*(IS!AY$102+IS!AY$113)=0,"NA",AY165*(IS!AY$102+IS!AY$113))</f>
        <v>174.60000000000002</v>
      </c>
      <c r="AZ288" s="1154">
        <f>IF(AZ165*(IS!AZ$102+IS!AZ$113)=0,"NA",AZ165*(IS!AZ$102+IS!AZ$113))</f>
        <v>256.8</v>
      </c>
      <c r="BA288" s="1154">
        <f>IF(BA165*(IS!BA$102+IS!BA$113)=0,"NA",BA165*(IS!BA$102+IS!BA$113))</f>
        <v>338.1</v>
      </c>
      <c r="BB288" s="1154">
        <f>IF(BB165*(IS!BB$102+IS!BB$113)=0,"NA",BB165*(IS!BB$102+IS!BB$113))</f>
        <v>406.84000000000003</v>
      </c>
      <c r="BC288" s="1154">
        <f>IF(BC165*(IS!BC$102+IS!BC$113)=0,"NA",BC165*(IS!BC$102+IS!BC$113))</f>
        <v>362.95000000000005</v>
      </c>
      <c r="BD288" s="1154">
        <f>IF(BD165*(IS!BD$102+IS!BD$113)=0,"NA",BD165*(IS!BD$102+IS!BD$113))</f>
        <v>379.47</v>
      </c>
      <c r="BE288" s="670">
        <f>IF(BE165*(IS!BE$102+IS!BE$113)=0,"NA",BE165*(IS!BE$102+IS!BE$113))</f>
        <v>326.09999999999997</v>
      </c>
      <c r="BF288" s="670">
        <f>IF(BF165*(IS!BF$102+IS!BF$113)=0,"NA",BF165*(IS!BF$102+IS!BF$113))</f>
        <v>415.45000000000005</v>
      </c>
      <c r="BG288" s="670">
        <f>IF(BG165*(IS!BG$102+IS!BG$113)=0,"NA",BG165*(IS!BG$102+IS!BG$113))</f>
        <v>390.39000000000004</v>
      </c>
      <c r="BH288" s="670">
        <f>IF(BH165*(IS!BH$102+IS!BH$113)=0,"NA",BH165*(IS!BH$102+IS!BH$113))</f>
        <v>396.06000000000006</v>
      </c>
      <c r="BI288" s="670">
        <f>IF(BI165*(IS!BI$102+IS!BI$113)=0,"NA",BI165*(IS!BI$102+IS!BI$113))</f>
        <v>394.59000000000003</v>
      </c>
      <c r="BJ288" s="670">
        <f>IF(BJ165*(IS!BJ$102+IS!BJ$113)=0,"NA",BJ165*(IS!BJ$102+IS!BJ$113))</f>
        <v>426.58000000000004</v>
      </c>
      <c r="BK288" s="670">
        <f>IF(BK165*(IS!BK$102+IS!BK$113)=0,"NA",BK165*(IS!BK$102+IS!BK$113))</f>
        <v>380.87000000000006</v>
      </c>
      <c r="BL288" s="670">
        <f>IF(BL165*(IS!BL$102+IS!BL$113)=0,"NA",BL165*(IS!BL$102+IS!BL$113))</f>
        <v>385.21000000000004</v>
      </c>
    </row>
    <row r="289" spans="1:64" s="9" customFormat="1" ht="11.25">
      <c r="A289" s="342" t="s">
        <v>331</v>
      </c>
      <c r="B289" s="949"/>
      <c r="C289" s="949"/>
      <c r="D289" s="949"/>
      <c r="E289" s="949"/>
      <c r="F289" s="949"/>
      <c r="G289" s="949"/>
      <c r="H289" s="949"/>
      <c r="I289" s="949"/>
      <c r="J289" s="949"/>
      <c r="K289" s="949"/>
      <c r="L289" s="949"/>
      <c r="M289" s="949"/>
      <c r="N289" s="949"/>
      <c r="O289" s="949"/>
      <c r="P289" s="949"/>
      <c r="Q289" s="949"/>
      <c r="R289" s="949"/>
      <c r="S289" s="949"/>
      <c r="T289" s="949"/>
      <c r="U289" s="949"/>
      <c r="V289" s="949"/>
      <c r="W289" s="949"/>
      <c r="X289" s="949"/>
      <c r="Y289" s="949"/>
      <c r="Z289" s="949"/>
      <c r="AA289" s="949"/>
      <c r="AB289" s="949"/>
      <c r="AC289" s="306">
        <f>+AC166*(IS!AC$102+IS!AC$113)+AC62*IS!AC$76</f>
        <v>294.47400000000005</v>
      </c>
      <c r="AD289" s="306">
        <f>+AD166*(IS!AD$102+IS!AD$113)+AD62*IS!AD$76</f>
        <v>0</v>
      </c>
      <c r="AE289" s="1154">
        <f>IF(AE166*(IS!AE$102+IS!AE$113)+AE62*IS!AE$76=0,"NA",AE166*(IS!AE$102+IS!AE$113)+AE62*IS!AE$76)</f>
        <v>424.22</v>
      </c>
      <c r="AF289" s="1154">
        <f>IF(AF166*(IS!AF$102+IS!AF$113)+AF62*IS!AF$76=0,"NA",AF166*(IS!AF$102+IS!AF$113)+AF62*IS!AF$76)</f>
        <v>361.77800000000002</v>
      </c>
      <c r="AG289" s="1154">
        <f>IF(AG166*(IS!AG$102+IS!AG$113)+AG62*IS!AG$76=0,"NA",AG166*(IS!AG$102+IS!AG$113)+AG62*IS!AG$76)</f>
        <v>316.65000000000003</v>
      </c>
      <c r="AH289" s="1154">
        <f>IF(AH166*(IS!AH$102+IS!AH$113)+AH62*IS!AH$76=0,"NA",AH166*(IS!AH$102+IS!AH$113)+AH62*IS!AH$76)</f>
        <v>403.34</v>
      </c>
      <c r="AI289" s="1154">
        <f>IF(AI166*(IS!AI$102+IS!AI$113)+AI62*IS!AI$76=0,"NA",AI166*(IS!AI$102+IS!AI$113)+AI62*IS!AI$76)</f>
        <v>323.89999999999998</v>
      </c>
      <c r="AJ289" s="1154">
        <f>IF(AJ166*(IS!AJ$102+IS!AJ$113)+AJ62*IS!AJ$76=0,"NA",AJ166*(IS!AJ$102+IS!AJ$113)+AJ62*IS!AJ$76)</f>
        <v>340.33000000000004</v>
      </c>
      <c r="AK289" s="1154">
        <f>IF(AK166*(IS!AK$102+IS!AK$113)+AK62*IS!AK$76=0,"NA",AK166*(IS!AK$102+IS!AK$113)+AK62*IS!AK$76)</f>
        <v>289.95</v>
      </c>
      <c r="AL289" s="1154">
        <f>IF(AL166*(IS!AL$102+IS!AL$113)+AL62*IS!AL$76=0,"NA",AL166*(IS!AL$102+IS!AL$113)+AL62*IS!AL$76)</f>
        <v>319.10000000000002</v>
      </c>
      <c r="AM289" s="1154">
        <f>IF(AM166*(IS!AM$102+IS!AM$113)+AM62*IS!AM$76=0,"NA",AM166*(IS!AM$102+IS!AM$113)+AM62*IS!AM$76)</f>
        <v>299.85000000000002</v>
      </c>
      <c r="AN289" s="1154">
        <f>IF(AN166*(IS!AN$102+IS!AN$113)+AN62*IS!AN$76=0,"NA",AN166*(IS!AN$102+IS!AN$113)+AN62*IS!AN$76)</f>
        <v>361.67</v>
      </c>
      <c r="AO289" s="1154">
        <f>IF(AO166*(IS!AO$102+IS!AO$113)+AO62*IS!AO$76=0,"NA",AO166*(IS!AO$102+IS!AO$113)+AO62*IS!AO$76)</f>
        <v>314.5</v>
      </c>
      <c r="AP289" s="1154">
        <f>IF(AP166*(IS!AP$102+IS!AP$113)+AP62*IS!AP$76=0,"NA",AP166*(IS!AP$102+IS!AP$113)+AP62*IS!AP$76)</f>
        <v>448.52000000000004</v>
      </c>
      <c r="AQ289" s="1154">
        <f>IF(AQ166*(IS!AQ$102+IS!AQ$113)+AQ62*IS!AQ$76=0,"NA",AQ166*(IS!AQ$102+IS!AQ$113)+AQ62*IS!AQ$76)</f>
        <v>817.07999999999993</v>
      </c>
      <c r="AR289" s="1154">
        <f>IF(AR166*(IS!AR$102+IS!AR$113)+AR62*IS!AR$76=0,"NA",AR166*(IS!AR$102+IS!AR$113)+AR62*IS!AR$76)</f>
        <v>462.97</v>
      </c>
      <c r="AS289" s="1154">
        <f>IF(AS166*(IS!AS$102+IS!AS$113)+AS62*IS!AS$76=0,"NA",AS166*(IS!AS$102+IS!AS$113)+AS62*IS!AS$76)</f>
        <v>668.5</v>
      </c>
      <c r="AT289" s="1154">
        <f>IF(AT166*(IS!AT$102+IS!AT$113)+AT62*IS!AT$76=0,"NA",AT166*(IS!AT$102+IS!AT$113)+AT62*IS!AT$76)</f>
        <v>770.53000000000009</v>
      </c>
      <c r="AU289" s="1154">
        <f>IF(AU166*(IS!AU$102+IS!AU$113)+AU62*IS!AU$76=0,"NA",AU166*(IS!AU$102+IS!AU$113)+AU62*IS!AU$76)</f>
        <v>546.29999999999995</v>
      </c>
      <c r="AV289" s="1154">
        <f>IF(AV166*(IS!AV$102+IS!AV$113)+AV62*IS!AV$76=0,"NA",AV166*(IS!AV$102+IS!AV$113)+AV62*IS!AV$76)</f>
        <v>141.9</v>
      </c>
      <c r="AW289" s="1154">
        <f>IF(AW166*(IS!AW$102+IS!AW$113)+AW62*IS!AW$76=0,"NA",AW166*(IS!AW$102+IS!AW$113)+AW62*IS!AW$76)</f>
        <v>294.95999999999998</v>
      </c>
      <c r="AX289" s="1154">
        <f>IF(AX166*(IS!AX$102+IS!AX$113)+AX62*IS!AX$76=0,"NA",AX166*(IS!AX$102+IS!AX$113)+AX62*IS!AX$76)</f>
        <v>580.44000000000005</v>
      </c>
      <c r="AY289" s="1154">
        <f>IF(AY166*(IS!AY$102+IS!AY$113)+AY62*IS!AY$76=0,"NA",AY166*(IS!AY$102+IS!AY$113)+AY62*IS!AY$76)</f>
        <v>306.38</v>
      </c>
      <c r="AZ289" s="1154">
        <f>IF(AZ166*(IS!AZ$102+IS!AZ$113)+AZ62*IS!AZ$76=0,"NA",AZ166*(IS!AZ$102+IS!AZ$113)+AZ62*IS!AZ$76)</f>
        <v>446.33000000000004</v>
      </c>
      <c r="BA289" s="1154">
        <f>IF(BA166*(IS!BA$102+IS!BA$113)+BA62*IS!BA$76=0,"NA",BA166*(IS!BA$102+IS!BA$113)+BA62*IS!BA$76)</f>
        <v>574.54999999999995</v>
      </c>
      <c r="BB289" s="1154">
        <f>IF(BB166*(IS!BB$102+IS!BB$113)+BB62*IS!BB$76=0,"NA",BB166*(IS!BB$102+IS!BB$113)+BB62*IS!BB$76)</f>
        <v>680.88</v>
      </c>
      <c r="BC289" s="1154">
        <f>IF(BC166*(IS!BC$102+IS!BC$113)+BC62*IS!BC$76=0,"NA",BC166*(IS!BC$102+IS!BC$113)+BC62*IS!BC$76)</f>
        <v>700.4</v>
      </c>
      <c r="BD289" s="1154">
        <f>IF(BD166*(IS!BD$102+IS!BD$113)+BD62*IS!BD$76=0,"NA",BD166*(IS!BD$102+IS!BD$113)+BD62*IS!BD$76)</f>
        <v>664.85</v>
      </c>
      <c r="BE289" s="670">
        <f>IF(BE166*(IS!BE$102+IS!BE$113)+BE62*IS!BE$76=0,"NA",BE166*(IS!BE$102+IS!BE$113)+BE62*IS!BE$76)</f>
        <v>615.55999999999995</v>
      </c>
      <c r="BF289" s="670">
        <f>IF(BF166*(IS!BF$102+IS!BF$113)+BF62*IS!BF$76=0,"NA",BF166*(IS!BF$102+IS!BF$113)+BF62*IS!BF$76)</f>
        <v>865.63</v>
      </c>
      <c r="BG289" s="670">
        <f>IF(BG166*(IS!BG$102+IS!BG$113)+BG62*IS!BG$76=0,"NA",BG166*(IS!BG$102+IS!BG$113)+BG62*IS!BG$76)</f>
        <v>642.28</v>
      </c>
      <c r="BH289" s="670">
        <f>IF(BH166*(IS!BH$102+IS!BH$113)+BH62*IS!BH$76=0,"NA",BH166*(IS!BH$102+IS!BH$113)+BH62*IS!BH$76)</f>
        <v>650.92000000000007</v>
      </c>
      <c r="BI289" s="670">
        <f>IF(BI166*(IS!BI$102+IS!BI$113)+BI62*IS!BI$76=0,"NA",BI166*(IS!BI$102+IS!BI$113)+BI62*IS!BI$76)</f>
        <v>625.87</v>
      </c>
      <c r="BJ289" s="670">
        <f>IF(BJ166*(IS!BJ$102+IS!BJ$113)+BJ62*IS!BJ$76=0,"NA",BJ166*(IS!BJ$102+IS!BJ$113)+BJ62*IS!BJ$76)</f>
        <v>672.04</v>
      </c>
      <c r="BK289" s="670">
        <f>IF(BK166*(IS!BK$102+IS!BK$113)+BK62*IS!BK$76=0,"NA",BK166*(IS!BK$102+IS!BK$113)+BK62*IS!BK$76)</f>
        <v>617.97</v>
      </c>
      <c r="BL289" s="670">
        <f>IF(BL166*(IS!BL$102+IS!BL$113)+BL62*IS!BL$76=0,"NA",BL166*(IS!BL$102+IS!BL$113)+BL62*IS!BL$76)</f>
        <v>649.93000000000006</v>
      </c>
    </row>
    <row r="290" spans="1:64" s="9" customFormat="1" ht="11.25">
      <c r="A290" s="342" t="s">
        <v>1043</v>
      </c>
      <c r="B290" s="949"/>
      <c r="C290" s="949"/>
      <c r="D290" s="949"/>
      <c r="E290" s="949"/>
      <c r="F290" s="949"/>
      <c r="G290" s="949"/>
      <c r="H290" s="949"/>
      <c r="I290" s="949"/>
      <c r="J290" s="949"/>
      <c r="K290" s="949"/>
      <c r="L290" s="949"/>
      <c r="M290" s="949"/>
      <c r="N290" s="949"/>
      <c r="O290" s="949"/>
      <c r="P290" s="949"/>
      <c r="Q290" s="949"/>
      <c r="R290" s="949"/>
      <c r="S290" s="949"/>
      <c r="T290" s="949"/>
      <c r="U290" s="949"/>
      <c r="V290" s="949"/>
      <c r="W290" s="949"/>
      <c r="X290" s="949"/>
      <c r="Y290" s="949"/>
      <c r="Z290" s="949"/>
      <c r="AA290" s="949"/>
      <c r="AB290" s="949"/>
      <c r="AC290" s="306">
        <f>+AC60*IS!AC$76</f>
        <v>298.92</v>
      </c>
      <c r="AD290" s="306">
        <f>+AD60*IS!AD$76</f>
        <v>0</v>
      </c>
      <c r="AE290" s="1154">
        <f>IF(AE60*IS!AE$76=0,"NA",AE60*IS!AE$76)</f>
        <v>309.3</v>
      </c>
      <c r="AF290" s="1154">
        <f>IF(AF60*IS!AF$76=0,"NA",AF60*IS!AF$76)</f>
        <v>320.88</v>
      </c>
      <c r="AG290" s="1154">
        <f>IF(AG60*IS!AG$76=0,"NA",AG60*IS!AG$76)</f>
        <v>330.96</v>
      </c>
      <c r="AH290" s="1154">
        <f>IF(AH60*IS!AH$76=0,"NA",AH60*IS!AH$76)</f>
        <v>417.69000000000005</v>
      </c>
      <c r="AI290" s="1154">
        <f>IF(AI60*IS!AI$76=0,"NA",AI60*IS!AI$76)</f>
        <v>390.18000000000006</v>
      </c>
      <c r="AJ290" s="1154">
        <f>IF(AJ60*IS!AJ$76=0,"NA",AJ60*IS!AJ$76)</f>
        <v>355.32</v>
      </c>
      <c r="AK290" s="1154">
        <f>IF(AK60*IS!AK$76=0,"NA",AK60*IS!AK$76)</f>
        <v>289.95</v>
      </c>
      <c r="AL290" s="1154">
        <f>IF(AL60*IS!AL$76=0,"NA",AL60*IS!AL$76)</f>
        <v>319.10000000000002</v>
      </c>
      <c r="AM290" s="1154">
        <f>IF(AM60*IS!AM$76=0,"NA",AM60*IS!AM$76)</f>
        <v>299.85000000000002</v>
      </c>
      <c r="AN290" s="1154">
        <f>IF(AN60*IS!AN$76=0,"NA",AN60*IS!AN$76)</f>
        <v>312.15000000000003</v>
      </c>
      <c r="AO290" s="1154">
        <f>IF(AO60*IS!AO$76=0,"NA",AO60*IS!AO$76)</f>
        <v>314.5</v>
      </c>
      <c r="AP290" s="1154">
        <f>IF(AP60*IS!AP$76=0,"NA",AP60*IS!AP$76)</f>
        <v>346.6</v>
      </c>
      <c r="AQ290" s="1154">
        <f>IF(AQ60*IS!AQ$76=0,"NA",AQ60*IS!AQ$76)</f>
        <v>255.48000000000002</v>
      </c>
      <c r="AR290" s="1154">
        <f>IF(AR60*IS!AR$76=0,"NA",AR60*IS!AR$76)</f>
        <v>344.95000000000005</v>
      </c>
      <c r="AS290" s="1154">
        <f>IF(AS60*IS!AS$76=0,"NA",AS60*IS!AS$76)</f>
        <v>334</v>
      </c>
      <c r="AT290" s="1154">
        <f>IF(AT60*IS!AT$76=0,"NA",AT60*IS!AT$76)</f>
        <v>435.06</v>
      </c>
      <c r="AU290" s="1154">
        <f>IF(AU60*IS!AU$76=0,"NA",AU60*IS!AU$76)</f>
        <v>310.5</v>
      </c>
      <c r="AV290" s="1154">
        <f>IF(AV60*IS!AV$76=0,"NA",AV60*IS!AV$76)</f>
        <v>332.15999999999997</v>
      </c>
      <c r="AW290" s="1154">
        <f>IF(AW60*IS!AW$76=0,"NA",AW60*IS!AW$76)</f>
        <v>274.14</v>
      </c>
      <c r="AX290" s="1154">
        <f>IF(AX60*IS!AX$76=0,"NA",AX60*IS!AX$76)</f>
        <v>276</v>
      </c>
      <c r="AY290" s="1154">
        <f>IF(AY60*IS!AY$76=0,"NA",AY60*IS!AY$76)</f>
        <v>298.5</v>
      </c>
      <c r="AZ290" s="1154">
        <f>IF(AZ60*IS!AZ$76=0,"NA",AZ60*IS!AZ$76)</f>
        <v>258.60000000000002</v>
      </c>
      <c r="BA290" s="1154">
        <f>IF(BA60*IS!BA$76=0,"NA",BA60*IS!BA$76)</f>
        <v>268.2</v>
      </c>
      <c r="BB290" s="1154">
        <f>IF(BB60*IS!BB$76=0,"NA",BB60*IS!BB$76)</f>
        <v>314.8</v>
      </c>
      <c r="BC290" s="1154">
        <f>IF(BC60*IS!BC$76=0,"NA",BC60*IS!BC$76)</f>
        <v>366.75</v>
      </c>
      <c r="BD290" s="1154">
        <f>IF(BD60*IS!BD$76=0,"NA",BD60*IS!BD$76)</f>
        <v>417.85</v>
      </c>
      <c r="BE290" s="670">
        <f>IF(BE60*IS!BE$76=0,"NA",BE60*IS!BE$76)</f>
        <v>420.15000000000003</v>
      </c>
      <c r="BF290" s="670">
        <f>IF(BF60*IS!BF$76=0,"NA",BF60*IS!BF$76)</f>
        <v>468.65000000000003</v>
      </c>
      <c r="BG290" s="670">
        <f>IF(BG60*IS!BG$76=0,"NA",BG60*IS!BG$76)</f>
        <v>447.65000000000003</v>
      </c>
      <c r="BH290" s="670">
        <f>IF(BH60*IS!BH$76=0,"NA",BH60*IS!BH$76)</f>
        <v>491.55</v>
      </c>
      <c r="BI290" s="670">
        <f>IF(BI60*IS!BI$76=0,"NA",BI60*IS!BI$76)</f>
        <v>495</v>
      </c>
      <c r="BJ290" s="670">
        <f>IF(BJ60*IS!BJ$76=0,"NA",BJ60*IS!BJ$76)</f>
        <v>533.70000000000005</v>
      </c>
      <c r="BK290" s="670">
        <f>IF(BK60*IS!BK$76=0,"NA",BK60*IS!BK$76)</f>
        <v>506.1</v>
      </c>
      <c r="BL290" s="670">
        <f>IF(BL60*IS!BL$76=0,"NA",BL60*IS!BL$76)</f>
        <v>534.70000000000005</v>
      </c>
    </row>
    <row r="291" spans="1:64" s="9" customFormat="1" ht="11.25">
      <c r="A291" s="1046" t="s">
        <v>325</v>
      </c>
      <c r="B291" s="949"/>
      <c r="C291" s="949"/>
      <c r="D291" s="949"/>
      <c r="E291" s="949"/>
      <c r="F291" s="949"/>
      <c r="G291" s="949"/>
      <c r="H291" s="949"/>
      <c r="I291" s="949"/>
      <c r="J291" s="949"/>
      <c r="K291" s="949"/>
      <c r="L291" s="949"/>
      <c r="M291" s="949"/>
      <c r="N291" s="949"/>
      <c r="O291" s="949"/>
      <c r="P291" s="949"/>
      <c r="Q291" s="949"/>
      <c r="R291" s="949"/>
      <c r="S291" s="949"/>
      <c r="T291" s="949"/>
      <c r="U291" s="949"/>
      <c r="V291" s="949"/>
      <c r="W291" s="949"/>
      <c r="X291" s="949"/>
      <c r="Y291" s="949"/>
      <c r="Z291" s="949"/>
      <c r="AA291" s="949"/>
      <c r="AB291" s="949"/>
      <c r="AC291" s="1022">
        <f>+SUM(AC277:AC290)</f>
        <v>8235.9639999999999</v>
      </c>
      <c r="AD291" s="1022" t="e">
        <f>+SUM(AD277:AD290)</f>
        <v>#N/A</v>
      </c>
      <c r="AE291" s="1554">
        <f t="shared" ref="AE291:AS291" si="442">IF(SUM(AE277:AE290)=0,"NA",SUM(AE277:AE290))</f>
        <v>8548.52</v>
      </c>
      <c r="AF291" s="1554">
        <f t="shared" si="442"/>
        <v>9069.7180000000008</v>
      </c>
      <c r="AG291" s="1554">
        <f t="shared" si="442"/>
        <v>9641.85</v>
      </c>
      <c r="AH291" s="1554">
        <f t="shared" si="442"/>
        <v>10499</v>
      </c>
      <c r="AI291" s="1554">
        <f t="shared" si="442"/>
        <v>10093.999999999998</v>
      </c>
      <c r="AJ291" s="1554">
        <f t="shared" si="442"/>
        <v>10344.999999999996</v>
      </c>
      <c r="AK291" s="1554">
        <f t="shared" si="442"/>
        <v>10476.000000000004</v>
      </c>
      <c r="AL291" s="1554">
        <f t="shared" si="442"/>
        <v>11615</v>
      </c>
      <c r="AM291" s="1554">
        <f t="shared" si="442"/>
        <v>11011</v>
      </c>
      <c r="AN291" s="1554">
        <f t="shared" si="442"/>
        <v>11195.000000000002</v>
      </c>
      <c r="AO291" s="1554">
        <f t="shared" si="442"/>
        <v>11111.000000000002</v>
      </c>
      <c r="AP291" s="1554">
        <f t="shared" si="442"/>
        <v>12028.000000000002</v>
      </c>
      <c r="AQ291" s="1554">
        <f t="shared" si="442"/>
        <v>13657.999999999998</v>
      </c>
      <c r="AR291" s="1554">
        <f t="shared" si="442"/>
        <v>14457</v>
      </c>
      <c r="AS291" s="1554">
        <f t="shared" si="442"/>
        <v>14335.999999999998</v>
      </c>
      <c r="AT291" s="1554">
        <f t="shared" ref="AT291:AY291" si="443">IF(SUM(AT277:AT290)=0,"NA",SUM(AT277:AT290))</f>
        <v>14995.000000000002</v>
      </c>
      <c r="AU291" s="1554">
        <f t="shared" si="443"/>
        <v>12104.999999999998</v>
      </c>
      <c r="AV291" s="1554">
        <f t="shared" si="443"/>
        <v>5151</v>
      </c>
      <c r="AW291" s="1554">
        <f t="shared" si="443"/>
        <v>9832</v>
      </c>
      <c r="AX291" s="1554">
        <f t="shared" si="443"/>
        <v>11160.000000000004</v>
      </c>
      <c r="AY291" s="1554">
        <f t="shared" si="443"/>
        <v>10211.999999999998</v>
      </c>
      <c r="AZ291" s="1554">
        <f t="shared" ref="AZ291:BE291" si="444">IF(SUM(AZ277:AZ290)=0,"NA",SUM(AZ277:AZ290))</f>
        <v>12397.999999999998</v>
      </c>
      <c r="BA291" s="1554">
        <f t="shared" si="444"/>
        <v>13840.000000000002</v>
      </c>
      <c r="BB291" s="1554">
        <f t="shared" si="444"/>
        <v>16426.999999999996</v>
      </c>
      <c r="BC291" s="1554">
        <f t="shared" si="444"/>
        <v>15164.999999999998</v>
      </c>
      <c r="BD291" s="1554">
        <f t="shared" si="444"/>
        <v>16793.999999999996</v>
      </c>
      <c r="BE291" s="875">
        <f t="shared" si="444"/>
        <v>17074.000000000004</v>
      </c>
      <c r="BF291" s="875">
        <f t="shared" ref="BF291:BJ291" si="445">IF(SUM(BF277:BF290)=0,"NA",SUM(BF277:BF290))</f>
        <v>18438.000000000004</v>
      </c>
      <c r="BG291" s="875">
        <f t="shared" si="445"/>
        <v>17584.000000000004</v>
      </c>
      <c r="BH291" s="875">
        <f t="shared" si="445"/>
        <v>18625.000000000004</v>
      </c>
      <c r="BI291" s="875">
        <f t="shared" si="445"/>
        <v>18575</v>
      </c>
      <c r="BJ291" s="875">
        <f t="shared" si="445"/>
        <v>19881.000000000007</v>
      </c>
      <c r="BK291" s="875">
        <f t="shared" ref="BK291:BL291" si="446">IF(SUM(BK277:BK290)=0,"NA",SUM(BK277:BK290))</f>
        <v>18056</v>
      </c>
      <c r="BL291" s="875">
        <f t="shared" si="446"/>
        <v>19051</v>
      </c>
    </row>
    <row r="292" spans="1:64" s="9" customFormat="1" ht="11.25">
      <c r="A292" s="604"/>
      <c r="B292" s="949"/>
      <c r="C292" s="949"/>
      <c r="D292" s="949"/>
      <c r="E292" s="949"/>
      <c r="F292" s="949"/>
      <c r="G292" s="949"/>
      <c r="H292" s="949"/>
      <c r="I292" s="949"/>
      <c r="J292" s="949"/>
      <c r="K292" s="949"/>
      <c r="L292" s="949"/>
      <c r="M292" s="949"/>
      <c r="N292" s="949"/>
      <c r="O292" s="949"/>
      <c r="P292" s="949"/>
      <c r="Q292" s="949"/>
      <c r="R292" s="949"/>
      <c r="S292" s="949"/>
      <c r="T292" s="949"/>
      <c r="U292" s="949"/>
      <c r="V292" s="949"/>
      <c r="W292" s="949"/>
      <c r="X292" s="949"/>
      <c r="Y292" s="949"/>
      <c r="Z292" s="949"/>
      <c r="AA292" s="949"/>
      <c r="AB292" s="949"/>
      <c r="AC292" s="1045"/>
      <c r="AD292" s="1045"/>
      <c r="AE292" s="1555"/>
      <c r="AF292" s="1555"/>
      <c r="AG292" s="1555"/>
      <c r="AH292" s="1555"/>
      <c r="AI292" s="1555"/>
      <c r="AJ292" s="1555"/>
      <c r="AK292" s="1555"/>
      <c r="AL292" s="1555"/>
      <c r="AM292" s="1555"/>
      <c r="AN292" s="1555"/>
      <c r="AO292" s="1555"/>
      <c r="AP292" s="1555"/>
      <c r="AQ292" s="1555"/>
      <c r="AR292" s="822"/>
      <c r="AS292" s="822"/>
      <c r="AT292" s="1555"/>
      <c r="AU292" s="1555"/>
      <c r="AV292" s="1555"/>
      <c r="AW292" s="1555"/>
      <c r="AX292" s="1555"/>
      <c r="AY292" s="1555"/>
      <c r="AZ292" s="1555"/>
      <c r="BA292" s="1555"/>
      <c r="BB292" s="1555"/>
      <c r="BC292" s="1555"/>
      <c r="BD292" s="1555"/>
      <c r="BE292" s="822"/>
      <c r="BF292" s="822"/>
      <c r="BG292" s="822"/>
      <c r="BH292" s="822"/>
      <c r="BI292" s="822"/>
      <c r="BJ292" s="822"/>
      <c r="BK292" s="822"/>
      <c r="BL292" s="822"/>
    </row>
    <row r="293" spans="1:64" s="9" customFormat="1" ht="11.25">
      <c r="A293" s="13"/>
      <c r="C293" s="92"/>
      <c r="V293" s="92"/>
      <c r="Y293" s="92"/>
      <c r="AC293" s="92">
        <f>+AC291-IS!AC4</f>
        <v>11.590000000000146</v>
      </c>
      <c r="AD293" s="92" t="e">
        <f>+AD291-IS!AD4</f>
        <v>#N/A</v>
      </c>
      <c r="AE293" s="92">
        <f>+AE291-IS!AE4</f>
        <v>13.760000000000218</v>
      </c>
      <c r="AF293" s="92">
        <f>+AF291-IS!AF4</f>
        <v>4.1500000000014552</v>
      </c>
      <c r="AG293" s="92">
        <f>+AG291-IS!AG4</f>
        <v>39.865999999999985</v>
      </c>
      <c r="AH293" s="92">
        <f>+AH291-IS!AH4</f>
        <v>-0.55500000000029104</v>
      </c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41"/>
    </row>
    <row r="294" spans="1:64" s="9" customFormat="1" ht="11.25">
      <c r="A294" s="513" t="s">
        <v>1020</v>
      </c>
      <c r="C294" s="92"/>
      <c r="V294" s="92"/>
      <c r="Y294" s="92"/>
      <c r="AC294" s="92"/>
      <c r="AD294" s="92"/>
      <c r="AE294" s="92"/>
      <c r="AF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</row>
    <row r="295" spans="1:64" s="9" customFormat="1" ht="11.25">
      <c r="A295" s="342" t="s">
        <v>1007</v>
      </c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918">
        <f t="shared" ref="AC295:AO295" si="447">IFERROR(AC277/AC$291,"NA")</f>
        <v>0.15552034953042534</v>
      </c>
      <c r="AD295" s="918" t="str">
        <f t="shared" si="447"/>
        <v>NA</v>
      </c>
      <c r="AE295" s="918">
        <f t="shared" si="447"/>
        <v>0.17140978789310898</v>
      </c>
      <c r="AF295" s="918">
        <f t="shared" si="447"/>
        <v>0.16863809878102051</v>
      </c>
      <c r="AG295" s="918">
        <f t="shared" si="447"/>
        <v>0.16631144438048714</v>
      </c>
      <c r="AH295" s="918">
        <f t="shared" si="447"/>
        <v>0.18021621106772073</v>
      </c>
      <c r="AI295" s="918">
        <f t="shared" si="447"/>
        <v>0.18238953833960772</v>
      </c>
      <c r="AJ295" s="918">
        <f t="shared" si="447"/>
        <v>0.17565297245045922</v>
      </c>
      <c r="AK295" s="918">
        <f t="shared" si="447"/>
        <v>0.1778579610538373</v>
      </c>
      <c r="AL295" s="918">
        <f t="shared" si="447"/>
        <v>0.19054842875591904</v>
      </c>
      <c r="AM295" s="918">
        <f t="shared" si="447"/>
        <v>0.20642902551993464</v>
      </c>
      <c r="AN295" s="918">
        <f t="shared" si="447"/>
        <v>0.20538722644037516</v>
      </c>
      <c r="AO295" s="918">
        <f t="shared" si="447"/>
        <v>0.20471154711547113</v>
      </c>
      <c r="AP295" s="918">
        <f t="shared" ref="AP295:AS308" si="448">IFERROR(AP277/AP$291,"NA")</f>
        <v>0.2166045892916528</v>
      </c>
      <c r="AQ295" s="918">
        <f t="shared" si="448"/>
        <v>0.18104773758969106</v>
      </c>
      <c r="AR295" s="918">
        <f t="shared" si="448"/>
        <v>0.18096354707062323</v>
      </c>
      <c r="AS295" s="918">
        <f t="shared" si="448"/>
        <v>0.17508928571428573</v>
      </c>
      <c r="AT295" s="918">
        <f t="shared" ref="AT295:BD295" si="449">IFERROR(AT277/AT$291,"NA")</f>
        <v>0.17698299433144379</v>
      </c>
      <c r="AU295" s="918">
        <f t="shared" si="449"/>
        <v>0.18076414704667496</v>
      </c>
      <c r="AV295" s="918">
        <f t="shared" si="449"/>
        <v>0.42017666472529602</v>
      </c>
      <c r="AW295" s="918">
        <f t="shared" si="449"/>
        <v>0.25428193653376729</v>
      </c>
      <c r="AX295" s="918">
        <f t="shared" si="449"/>
        <v>0.25080645161290316</v>
      </c>
      <c r="AY295" s="918">
        <f t="shared" si="449"/>
        <v>0.2690746180963573</v>
      </c>
      <c r="AZ295" s="918">
        <f t="shared" si="449"/>
        <v>0.23652201968059364</v>
      </c>
      <c r="BA295" s="918">
        <f t="shared" si="449"/>
        <v>0.2059501445086705</v>
      </c>
      <c r="BB295" s="918">
        <f t="shared" si="449"/>
        <v>0.20139830766421141</v>
      </c>
      <c r="BC295" s="918">
        <f t="shared" si="449"/>
        <v>0.20339927464556548</v>
      </c>
      <c r="BD295" s="918">
        <f t="shared" si="449"/>
        <v>0.18643265451947127</v>
      </c>
      <c r="BE295" s="1109">
        <f t="shared" ref="BE295:BF308" si="450">IFERROR(BE277/BE$291,"NA")</f>
        <v>0.1705968138690406</v>
      </c>
      <c r="BF295" s="1109">
        <f t="shared" si="450"/>
        <v>0.17081624905087317</v>
      </c>
      <c r="BG295" s="1109">
        <f t="shared" ref="BG295:BH295" si="451">IFERROR(BG277/BG$291,"NA")</f>
        <v>0.17800500454959051</v>
      </c>
      <c r="BH295" s="1109">
        <f t="shared" si="451"/>
        <v>0.17083275167785233</v>
      </c>
      <c r="BI295" s="1109">
        <f t="shared" ref="BI295:BJ295" si="452">IFERROR(BI277/BI$291,"NA")</f>
        <v>0.16881830417227459</v>
      </c>
      <c r="BJ295" s="1109">
        <f t="shared" si="452"/>
        <v>0.16966802474724604</v>
      </c>
      <c r="BK295" s="1109">
        <f t="shared" ref="BK295:BL295" si="453">IFERROR(BK277/BK$291,"NA")</f>
        <v>0.17125996898537885</v>
      </c>
      <c r="BL295" s="1109">
        <f t="shared" si="453"/>
        <v>0.1694619705002362</v>
      </c>
    </row>
    <row r="296" spans="1:64" s="9" customFormat="1" ht="11.25">
      <c r="A296" s="342" t="s">
        <v>1008</v>
      </c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918">
        <f t="shared" ref="AC296:AO296" si="454">IFERROR(AC278/AC$291,"NA")</f>
        <v>0.21578409036270679</v>
      </c>
      <c r="AD296" s="918" t="str">
        <f t="shared" si="454"/>
        <v>NA</v>
      </c>
      <c r="AE296" s="918">
        <f t="shared" si="454"/>
        <v>0.19058269735579961</v>
      </c>
      <c r="AF296" s="918">
        <f t="shared" si="454"/>
        <v>0.20474506484104577</v>
      </c>
      <c r="AG296" s="918">
        <f t="shared" si="454"/>
        <v>0.21672085751178458</v>
      </c>
      <c r="AH296" s="918">
        <f t="shared" si="454"/>
        <v>0.20518144585198589</v>
      </c>
      <c r="AI296" s="918">
        <f t="shared" si="454"/>
        <v>0.21433723003764615</v>
      </c>
      <c r="AJ296" s="918">
        <f t="shared" si="454"/>
        <v>0.20826486225229587</v>
      </c>
      <c r="AK296" s="918">
        <f t="shared" si="454"/>
        <v>0.22839919816723933</v>
      </c>
      <c r="AL296" s="918">
        <f t="shared" si="454"/>
        <v>0.21164528626775719</v>
      </c>
      <c r="AM296" s="918">
        <f t="shared" si="454"/>
        <v>0.19750158931977113</v>
      </c>
      <c r="AN296" s="918">
        <f t="shared" si="454"/>
        <v>0.19500848593121925</v>
      </c>
      <c r="AO296" s="918">
        <f t="shared" si="454"/>
        <v>0.19149041490414903</v>
      </c>
      <c r="AP296" s="918">
        <f t="shared" si="448"/>
        <v>0.16744595942800131</v>
      </c>
      <c r="AQ296" s="918">
        <f t="shared" si="448"/>
        <v>0.14226680333870262</v>
      </c>
      <c r="AR296" s="918">
        <f t="shared" si="448"/>
        <v>0.14087570035277031</v>
      </c>
      <c r="AS296" s="918">
        <f t="shared" si="448"/>
        <v>0.14569824218750002</v>
      </c>
      <c r="AT296" s="918">
        <f t="shared" ref="AT296:BD296" si="455">IFERROR(AT278/AT$291,"NA")</f>
        <v>0.12928842947649216</v>
      </c>
      <c r="AU296" s="918">
        <f t="shared" si="455"/>
        <v>0.13189591078066915</v>
      </c>
      <c r="AV296" s="918">
        <f t="shared" si="455"/>
        <v>0.13566103669190449</v>
      </c>
      <c r="AW296" s="918">
        <f t="shared" si="455"/>
        <v>0.12205960130187143</v>
      </c>
      <c r="AX296" s="918">
        <f t="shared" si="455"/>
        <v>0.13202150537634405</v>
      </c>
      <c r="AY296" s="918">
        <f t="shared" si="455"/>
        <v>0.1498090481786134</v>
      </c>
      <c r="AZ296" s="918">
        <f t="shared" si="455"/>
        <v>0.13533150508146477</v>
      </c>
      <c r="BA296" s="918">
        <f t="shared" si="455"/>
        <v>0.14646676300578032</v>
      </c>
      <c r="BB296" s="918">
        <f t="shared" si="455"/>
        <v>0.14349911730687287</v>
      </c>
      <c r="BC296" s="918">
        <f t="shared" si="455"/>
        <v>0.14453346521595781</v>
      </c>
      <c r="BD296" s="918">
        <f t="shared" si="455"/>
        <v>0.15183517923067766</v>
      </c>
      <c r="BE296" s="1109">
        <f t="shared" si="450"/>
        <v>0.15641853109991796</v>
      </c>
      <c r="BF296" s="1109">
        <f t="shared" si="450"/>
        <v>0.14298676646057051</v>
      </c>
      <c r="BG296" s="1109">
        <f t="shared" ref="BG296:BH296" si="456">IFERROR(BG278/BG$291,"NA")</f>
        <v>0.14282700181983621</v>
      </c>
      <c r="BH296" s="1109">
        <f t="shared" si="456"/>
        <v>0.16037476510067114</v>
      </c>
      <c r="BI296" s="1109">
        <f t="shared" ref="BI296:BJ296" si="457">IFERROR(BI278/BI$291,"NA")</f>
        <v>0.13705679676985194</v>
      </c>
      <c r="BJ296" s="1109">
        <f t="shared" si="457"/>
        <v>0.13419848096172221</v>
      </c>
      <c r="BK296" s="1109">
        <f t="shared" ref="BK296:BL296" si="458">IFERROR(BK278/BK$291,"NA")</f>
        <v>0.12660888347363758</v>
      </c>
      <c r="BL296" s="1109">
        <f t="shared" si="458"/>
        <v>0.13142144769303449</v>
      </c>
    </row>
    <row r="297" spans="1:64" s="9" customFormat="1" ht="11.25">
      <c r="A297" s="342" t="s">
        <v>1018</v>
      </c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918">
        <f t="shared" ref="AC297:AO297" si="459">IFERROR(AC279/AC$291,"NA")</f>
        <v>0.21994632322336524</v>
      </c>
      <c r="AD297" s="918" t="str">
        <f t="shared" si="459"/>
        <v>NA</v>
      </c>
      <c r="AE297" s="918">
        <f t="shared" si="459"/>
        <v>0.22004978639577374</v>
      </c>
      <c r="AF297" s="918">
        <f t="shared" si="459"/>
        <v>0.22299921563162159</v>
      </c>
      <c r="AG297" s="918">
        <f t="shared" si="459"/>
        <v>0.22500453751095484</v>
      </c>
      <c r="AH297" s="918">
        <f t="shared" si="459"/>
        <v>0.22115058577007335</v>
      </c>
      <c r="AI297" s="918">
        <f t="shared" si="459"/>
        <v>0.22417673865662777</v>
      </c>
      <c r="AJ297" s="918">
        <f t="shared" si="459"/>
        <v>0.2357960367327212</v>
      </c>
      <c r="AK297" s="918">
        <f t="shared" si="459"/>
        <v>0.22981958762886592</v>
      </c>
      <c r="AL297" s="918">
        <f t="shared" si="459"/>
        <v>0.22395695221696085</v>
      </c>
      <c r="AM297" s="918">
        <f t="shared" si="459"/>
        <v>0.22446371810008175</v>
      </c>
      <c r="AN297" s="918">
        <f t="shared" si="459"/>
        <v>0.23018937025457792</v>
      </c>
      <c r="AO297" s="918">
        <f t="shared" si="459"/>
        <v>0.22661056610566105</v>
      </c>
      <c r="AP297" s="918">
        <f t="shared" si="448"/>
        <v>0.22339541070834715</v>
      </c>
      <c r="AQ297" s="918">
        <f t="shared" si="448"/>
        <v>0.25052716356714017</v>
      </c>
      <c r="AR297" s="918">
        <f t="shared" si="448"/>
        <v>0.27266237808673999</v>
      </c>
      <c r="AS297" s="918">
        <f t="shared" si="448"/>
        <v>0.27322614397321432</v>
      </c>
      <c r="AT297" s="918">
        <f t="shared" ref="AT297:BD297" si="460">IFERROR(AT279/AT$291,"NA")</f>
        <v>0.26059086362120709</v>
      </c>
      <c r="AU297" s="918">
        <f t="shared" si="460"/>
        <v>0.27266418835192069</v>
      </c>
      <c r="AV297" s="918">
        <f t="shared" si="460"/>
        <v>0.2091671520093186</v>
      </c>
      <c r="AW297" s="918">
        <f t="shared" si="460"/>
        <v>0.27928295362082994</v>
      </c>
      <c r="AX297" s="918">
        <f t="shared" si="460"/>
        <v>0.2703387096774193</v>
      </c>
      <c r="AY297" s="918">
        <f t="shared" si="460"/>
        <v>0.30332060321190757</v>
      </c>
      <c r="AZ297" s="918">
        <f t="shared" si="460"/>
        <v>0.29131311501855139</v>
      </c>
      <c r="BA297" s="918">
        <f t="shared" si="460"/>
        <v>0.31463150289017339</v>
      </c>
      <c r="BB297" s="918">
        <f t="shared" si="460"/>
        <v>0.30400499178182266</v>
      </c>
      <c r="BC297" s="918">
        <f t="shared" si="460"/>
        <v>0.30871414441147382</v>
      </c>
      <c r="BD297" s="918">
        <f t="shared" si="460"/>
        <v>0.32803679885673465</v>
      </c>
      <c r="BE297" s="1109">
        <f t="shared" si="450"/>
        <v>0.36218870797704106</v>
      </c>
      <c r="BF297" s="1109">
        <f t="shared" si="450"/>
        <v>0.35068662544744539</v>
      </c>
      <c r="BG297" s="1109">
        <f t="shared" ref="BG297:BH297" si="461">IFERROR(BG279/BG$291,"NA")</f>
        <v>0.3611737943585076</v>
      </c>
      <c r="BH297" s="1109">
        <f t="shared" si="461"/>
        <v>0.36083758389261739</v>
      </c>
      <c r="BI297" s="1109">
        <f t="shared" ref="BI297:BJ297" si="462">IFERROR(BI279/BI$291,"NA")</f>
        <v>0.37793701211305519</v>
      </c>
      <c r="BJ297" s="1109">
        <f t="shared" si="462"/>
        <v>0.37775816105829674</v>
      </c>
      <c r="BK297" s="1109">
        <f t="shared" ref="BK297:BL297" si="463">IFERROR(BK279/BK$291,"NA")</f>
        <v>0.37927614089499334</v>
      </c>
      <c r="BL297" s="1109">
        <f t="shared" si="463"/>
        <v>0.38067922943677496</v>
      </c>
    </row>
    <row r="298" spans="1:64" s="9" customFormat="1" ht="11.25">
      <c r="A298" s="342" t="s">
        <v>1009</v>
      </c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918">
        <f t="shared" ref="AC298:AO298" si="464">IFERROR(AC280/AC$291,"NA")</f>
        <v>4.2343555654201503E-2</v>
      </c>
      <c r="AD298" s="918" t="str">
        <f t="shared" si="464"/>
        <v>NA</v>
      </c>
      <c r="AE298" s="918">
        <f t="shared" si="464"/>
        <v>3.6181701627884123E-2</v>
      </c>
      <c r="AF298" s="918">
        <f t="shared" si="464"/>
        <v>4.1275814749697839E-2</v>
      </c>
      <c r="AG298" s="918">
        <f t="shared" si="464"/>
        <v>3.4325362871233216E-2</v>
      </c>
      <c r="AH298" s="918">
        <f t="shared" si="464"/>
        <v>3.4100390513382227E-2</v>
      </c>
      <c r="AI298" s="918">
        <f t="shared" si="464"/>
        <v>3.3132553992470781E-2</v>
      </c>
      <c r="AJ298" s="918">
        <f t="shared" si="464"/>
        <v>4.0071532141130996E-2</v>
      </c>
      <c r="AK298" s="918">
        <f t="shared" si="464"/>
        <v>3.3213058419243977E-2</v>
      </c>
      <c r="AL298" s="918">
        <f t="shared" si="464"/>
        <v>3.8462333189840728E-2</v>
      </c>
      <c r="AM298" s="918">
        <f t="shared" si="464"/>
        <v>3.8124602670057219E-2</v>
      </c>
      <c r="AN298" s="918">
        <f t="shared" si="464"/>
        <v>3.9036176864671729E-2</v>
      </c>
      <c r="AO298" s="918">
        <f t="shared" si="464"/>
        <v>3.9627396273962737E-2</v>
      </c>
      <c r="AP298" s="918">
        <f t="shared" si="448"/>
        <v>4.0342534087130032E-2</v>
      </c>
      <c r="AQ298" s="918">
        <f t="shared" si="448"/>
        <v>3.2734661004539471E-2</v>
      </c>
      <c r="AR298" s="918">
        <f t="shared" si="448"/>
        <v>3.3404579096631394E-2</v>
      </c>
      <c r="AS298" s="918">
        <f t="shared" si="448"/>
        <v>3.2617187500000006E-2</v>
      </c>
      <c r="AT298" s="918">
        <f t="shared" ref="AT298:BD298" si="465">IFERROR(AT280/AT$291,"NA")</f>
        <v>3.3849283094364788E-2</v>
      </c>
      <c r="AU298" s="918">
        <f t="shared" si="465"/>
        <v>4.1040892193308559E-2</v>
      </c>
      <c r="AV298" s="918">
        <f t="shared" si="465"/>
        <v>1.0747427683944865E-2</v>
      </c>
      <c r="AW298" s="918">
        <f t="shared" si="465"/>
        <v>2.3235353946297804E-2</v>
      </c>
      <c r="AX298" s="918">
        <f t="shared" si="465"/>
        <v>2.4731182795698917E-2</v>
      </c>
      <c r="AY298" s="918">
        <f t="shared" si="465"/>
        <v>2.4358597728162949E-2</v>
      </c>
      <c r="AZ298" s="918">
        <f t="shared" si="465"/>
        <v>3.1287304403936123E-2</v>
      </c>
      <c r="BA298" s="918">
        <f t="shared" si="465"/>
        <v>2.9067919075144506E-2</v>
      </c>
      <c r="BB298" s="918">
        <f t="shared" si="465"/>
        <v>3.3536251293602007E-2</v>
      </c>
      <c r="BC298" s="918">
        <f t="shared" si="465"/>
        <v>2.9020771513353118E-2</v>
      </c>
      <c r="BD298" s="918">
        <f t="shared" si="465"/>
        <v>2.9857091818506612E-2</v>
      </c>
      <c r="BE298" s="1109">
        <f t="shared" si="450"/>
        <v>2.952910858615438E-2</v>
      </c>
      <c r="BF298" s="1109">
        <f t="shared" si="450"/>
        <v>3.5584662110858006E-2</v>
      </c>
      <c r="BG298" s="1109">
        <f t="shared" ref="BG298:BH298" si="466">IFERROR(BG280/BG$291,"NA")</f>
        <v>3.0549363057324832E-2</v>
      </c>
      <c r="BH298" s="1109">
        <f t="shared" si="466"/>
        <v>3.167033557046979E-2</v>
      </c>
      <c r="BI298" s="1109">
        <f t="shared" ref="BI298:BJ298" si="467">IFERROR(BI280/BI$291,"NA")</f>
        <v>3.1978465679676986E-2</v>
      </c>
      <c r="BJ298" s="1109">
        <f t="shared" si="467"/>
        <v>3.2213671344499761E-2</v>
      </c>
      <c r="BK298" s="1109">
        <f t="shared" ref="BK298:BL298" si="468">IFERROR(BK280/BK$291,"NA")</f>
        <v>3.3635356668143553E-2</v>
      </c>
      <c r="BL298" s="1109">
        <f t="shared" si="468"/>
        <v>3.3680121778384337E-2</v>
      </c>
    </row>
    <row r="299" spans="1:64" s="9" customFormat="1" ht="11.25">
      <c r="A299" s="342" t="s">
        <v>1010</v>
      </c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918">
        <f t="shared" ref="AC299:AO299" si="469">IFERROR(AC281/AC$291,"NA")</f>
        <v>3.6294476275029859E-2</v>
      </c>
      <c r="AD299" s="918" t="str">
        <f t="shared" si="469"/>
        <v>NA</v>
      </c>
      <c r="AE299" s="918">
        <f t="shared" si="469"/>
        <v>3.6181701627884123E-2</v>
      </c>
      <c r="AF299" s="918">
        <f t="shared" si="469"/>
        <v>3.5379269785455289E-2</v>
      </c>
      <c r="AG299" s="918">
        <f t="shared" si="469"/>
        <v>3.4325362871233216E-2</v>
      </c>
      <c r="AH299" s="918">
        <f t="shared" si="469"/>
        <v>3.4100390513382227E-2</v>
      </c>
      <c r="AI299" s="918">
        <f t="shared" si="469"/>
        <v>3.3132553992470781E-2</v>
      </c>
      <c r="AJ299" s="918">
        <f t="shared" si="469"/>
        <v>3.4347027549540853E-2</v>
      </c>
      <c r="AK299" s="918">
        <f t="shared" si="469"/>
        <v>3.3213058419243977E-2</v>
      </c>
      <c r="AL299" s="918">
        <f t="shared" si="469"/>
        <v>3.8462333189840728E-2</v>
      </c>
      <c r="AM299" s="918">
        <f t="shared" si="469"/>
        <v>3.2678230860049041E-2</v>
      </c>
      <c r="AN299" s="918">
        <f t="shared" si="469"/>
        <v>3.3459580169718617E-2</v>
      </c>
      <c r="AO299" s="918">
        <f t="shared" si="469"/>
        <v>3.3966339663396627E-2</v>
      </c>
      <c r="AP299" s="918">
        <f t="shared" si="448"/>
        <v>3.4579314931825735E-2</v>
      </c>
      <c r="AQ299" s="918">
        <f t="shared" si="448"/>
        <v>2.3381900717528194E-2</v>
      </c>
      <c r="AR299" s="918">
        <f t="shared" si="448"/>
        <v>2.3860413640450995E-2</v>
      </c>
      <c r="AS299" s="918">
        <f t="shared" si="448"/>
        <v>2.3297991071428575E-2</v>
      </c>
      <c r="AT299" s="918">
        <f t="shared" ref="AT299:BD299" si="470">IFERROR(AT281/AT$291,"NA")</f>
        <v>2.9013671223741242E-2</v>
      </c>
      <c r="AU299" s="918">
        <f t="shared" si="470"/>
        <v>2.5650557620817849E-2</v>
      </c>
      <c r="AV299" s="918">
        <f t="shared" si="470"/>
        <v>5.3737138419724323E-3</v>
      </c>
      <c r="AW299" s="918">
        <f t="shared" si="470"/>
        <v>1.8588283157038241E-2</v>
      </c>
      <c r="AX299" s="918">
        <f t="shared" si="470"/>
        <v>1.9784946236559135E-2</v>
      </c>
      <c r="AY299" s="918">
        <f t="shared" si="470"/>
        <v>1.461515863689777E-2</v>
      </c>
      <c r="AZ299" s="918">
        <f t="shared" si="470"/>
        <v>2.6072753669946769E-2</v>
      </c>
      <c r="BA299" s="918">
        <f t="shared" si="470"/>
        <v>1.9378612716763003E-2</v>
      </c>
      <c r="BB299" s="918">
        <f t="shared" si="470"/>
        <v>2.3954465209715718E-2</v>
      </c>
      <c r="BC299" s="918">
        <f t="shared" si="470"/>
        <v>1.9347181008902082E-2</v>
      </c>
      <c r="BD299" s="918">
        <f t="shared" si="470"/>
        <v>2.4880909848755513E-2</v>
      </c>
      <c r="BE299" s="1109">
        <f t="shared" si="450"/>
        <v>1.9686072390769586E-2</v>
      </c>
      <c r="BF299" s="1109">
        <f t="shared" si="450"/>
        <v>2.0334092634776004E-2</v>
      </c>
      <c r="BG299" s="1109">
        <f t="shared" ref="BG299:BH299" si="471">IFERROR(BG281/BG$291,"NA")</f>
        <v>1.5274681528662416E-2</v>
      </c>
      <c r="BH299" s="1109">
        <f t="shared" si="471"/>
        <v>2.1113557046979863E-2</v>
      </c>
      <c r="BI299" s="1109">
        <f t="shared" ref="BI299:BJ299" si="472">IFERROR(BI281/BI$291,"NA")</f>
        <v>2.1318977119784657E-2</v>
      </c>
      <c r="BJ299" s="1109">
        <f t="shared" si="472"/>
        <v>2.1475780896333178E-2</v>
      </c>
      <c r="BK299" s="1109">
        <f t="shared" ref="BK299:BL299" si="473">IFERROR(BK281/BK$291,"NA")</f>
        <v>2.2423571112095701E-2</v>
      </c>
      <c r="BL299" s="1109">
        <f t="shared" si="473"/>
        <v>2.2453414518922892E-2</v>
      </c>
    </row>
    <row r="300" spans="1:64" s="9" customFormat="1" ht="11.25">
      <c r="A300" s="342" t="s">
        <v>1011</v>
      </c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918">
        <f t="shared" ref="AC300:AO300" si="474">IFERROR(AC282/AC$291,"NA")</f>
        <v>0.14517790510011944</v>
      </c>
      <c r="AD300" s="918" t="str">
        <f t="shared" si="474"/>
        <v>NA</v>
      </c>
      <c r="AE300" s="918">
        <f t="shared" si="474"/>
        <v>0.13869652290688914</v>
      </c>
      <c r="AF300" s="918">
        <f t="shared" si="474"/>
        <v>0.12972398921333606</v>
      </c>
      <c r="AG300" s="918">
        <f t="shared" si="474"/>
        <v>0.13158055767306068</v>
      </c>
      <c r="AH300" s="918">
        <f t="shared" si="474"/>
        <v>0.12503476521573484</v>
      </c>
      <c r="AI300" s="918">
        <f t="shared" si="474"/>
        <v>0.12148603130572619</v>
      </c>
      <c r="AJ300" s="918">
        <f t="shared" si="474"/>
        <v>0.12593910101498312</v>
      </c>
      <c r="AK300" s="918">
        <f t="shared" si="474"/>
        <v>0.12178121420389457</v>
      </c>
      <c r="AL300" s="918">
        <f t="shared" si="474"/>
        <v>0.12088161859664227</v>
      </c>
      <c r="AM300" s="918">
        <f t="shared" si="474"/>
        <v>0.11982017982017981</v>
      </c>
      <c r="AN300" s="918">
        <f t="shared" si="474"/>
        <v>0.11710853059401516</v>
      </c>
      <c r="AO300" s="918">
        <f t="shared" si="474"/>
        <v>0.12454324543245431</v>
      </c>
      <c r="AP300" s="918">
        <f t="shared" si="448"/>
        <v>0.12679082141669437</v>
      </c>
      <c r="AQ300" s="918">
        <f t="shared" si="448"/>
        <v>0.16552569922389809</v>
      </c>
      <c r="AR300" s="918">
        <f t="shared" si="448"/>
        <v>0.16662654769315902</v>
      </c>
      <c r="AS300" s="918">
        <f t="shared" si="448"/>
        <v>0.1610044642857143</v>
      </c>
      <c r="AT300" s="918">
        <f t="shared" ref="AT300:BD300" si="475">IFERROR(AT282/AT$291,"NA")</f>
        <v>0.1671077025675225</v>
      </c>
      <c r="AU300" s="918">
        <f t="shared" si="475"/>
        <v>0.16944237918215616</v>
      </c>
      <c r="AV300" s="918">
        <f t="shared" si="475"/>
        <v>6.2061735585323241E-2</v>
      </c>
      <c r="AW300" s="918">
        <f t="shared" si="475"/>
        <v>0.13112896663954438</v>
      </c>
      <c r="AX300" s="918">
        <f t="shared" si="475"/>
        <v>0.13651612903225802</v>
      </c>
      <c r="AY300" s="918">
        <f t="shared" si="475"/>
        <v>0.11317273795534667</v>
      </c>
      <c r="AZ300" s="918">
        <f t="shared" si="475"/>
        <v>0.14035731569608004</v>
      </c>
      <c r="BA300" s="918">
        <f t="shared" si="475"/>
        <v>0.13199783236994217</v>
      </c>
      <c r="BB300" s="918">
        <f t="shared" si="475"/>
        <v>0.14033968466548977</v>
      </c>
      <c r="BC300" s="918">
        <f t="shared" si="475"/>
        <v>0.13751401252884934</v>
      </c>
      <c r="BD300" s="918">
        <f t="shared" si="475"/>
        <v>0.13597356198642374</v>
      </c>
      <c r="BE300" s="1109">
        <f t="shared" si="450"/>
        <v>0.1279372144781539</v>
      </c>
      <c r="BF300" s="1109">
        <f t="shared" si="450"/>
        <v>0.13419297103807351</v>
      </c>
      <c r="BG300" s="1109">
        <f t="shared" ref="BG300:BH300" si="476">IFERROR(BG282/BG$291,"NA")</f>
        <v>0.13154287989080982</v>
      </c>
      <c r="BH300" s="1109">
        <f t="shared" si="476"/>
        <v>0.12633825503355703</v>
      </c>
      <c r="BI300" s="1109">
        <f t="shared" ref="BI300:BJ300" si="477">IFERROR(BI282/BI$291,"NA")</f>
        <v>0.13227617765814267</v>
      </c>
      <c r="BJ300" s="1109">
        <f t="shared" si="477"/>
        <v>0.13340475831195611</v>
      </c>
      <c r="BK300" s="1109">
        <f t="shared" ref="BK300:BL300" si="478">IFERROR(BK282/BK$291,"NA")</f>
        <v>0.13573715108551174</v>
      </c>
      <c r="BL300" s="1109">
        <f t="shared" si="478"/>
        <v>0.13346963413994017</v>
      </c>
    </row>
    <row r="301" spans="1:64" s="9" customFormat="1" ht="11.25">
      <c r="A301" s="342" t="s">
        <v>1012</v>
      </c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918">
        <f t="shared" ref="AC301:AO301" si="479">IFERROR(AC283/AC$291,"NA")</f>
        <v>3.0245396895858218E-2</v>
      </c>
      <c r="AD301" s="918" t="str">
        <f t="shared" si="479"/>
        <v>NA</v>
      </c>
      <c r="AE301" s="918">
        <f t="shared" si="479"/>
        <v>3.0151418023236769E-2</v>
      </c>
      <c r="AF301" s="918">
        <f t="shared" si="479"/>
        <v>2.3586179856970195E-2</v>
      </c>
      <c r="AG301" s="918">
        <f t="shared" si="479"/>
        <v>2.2883575247488814E-2</v>
      </c>
      <c r="AH301" s="918">
        <f t="shared" si="479"/>
        <v>2.2733593675588151E-2</v>
      </c>
      <c r="AI301" s="918">
        <f t="shared" si="479"/>
        <v>2.2088369328313855E-2</v>
      </c>
      <c r="AJ301" s="918">
        <f t="shared" si="479"/>
        <v>2.289801836636057E-2</v>
      </c>
      <c r="AK301" s="918">
        <f t="shared" si="479"/>
        <v>2.2142038946162651E-2</v>
      </c>
      <c r="AL301" s="918">
        <f t="shared" si="479"/>
        <v>2.1978476108480412E-2</v>
      </c>
      <c r="AM301" s="918">
        <f t="shared" si="479"/>
        <v>2.1785487240032694E-2</v>
      </c>
      <c r="AN301" s="918">
        <f t="shared" si="479"/>
        <v>2.2306386779812414E-2</v>
      </c>
      <c r="AO301" s="918">
        <f t="shared" si="479"/>
        <v>2.2644226442264419E-2</v>
      </c>
      <c r="AP301" s="918">
        <f t="shared" si="448"/>
        <v>2.3052876621217157E-2</v>
      </c>
      <c r="AQ301" s="918">
        <f t="shared" si="448"/>
        <v>1.8705520574022555E-2</v>
      </c>
      <c r="AR301" s="918">
        <f t="shared" si="448"/>
        <v>2.3860413640450995E-2</v>
      </c>
      <c r="AS301" s="918">
        <f t="shared" si="448"/>
        <v>1.3978794642857145E-2</v>
      </c>
      <c r="AT301" s="918">
        <f t="shared" ref="AT301:BD301" si="480">IFERROR(AT283/AT$291,"NA")</f>
        <v>1.4506835611870621E-2</v>
      </c>
      <c r="AU301" s="918">
        <f t="shared" si="480"/>
        <v>1.5390334572490708E-2</v>
      </c>
      <c r="AV301" s="918">
        <f t="shared" si="480"/>
        <v>5.3737138419724323E-3</v>
      </c>
      <c r="AW301" s="918">
        <f t="shared" si="480"/>
        <v>4.6470707892595602E-3</v>
      </c>
      <c r="AX301" s="918">
        <f t="shared" si="480"/>
        <v>4.9462365591397836E-3</v>
      </c>
      <c r="AY301" s="918">
        <f t="shared" si="480"/>
        <v>4.8717195456325904E-3</v>
      </c>
      <c r="AZ301" s="918">
        <f t="shared" si="480"/>
        <v>5.2145507339893546E-3</v>
      </c>
      <c r="BA301" s="918">
        <f t="shared" si="480"/>
        <v>4.8446531791907508E-3</v>
      </c>
      <c r="BB301" s="918">
        <f t="shared" si="480"/>
        <v>4.7908930419431435E-3</v>
      </c>
      <c r="BC301" s="918">
        <f t="shared" si="480"/>
        <v>4.8367952522255205E-3</v>
      </c>
      <c r="BD301" s="918">
        <f t="shared" si="480"/>
        <v>4.9761819697511029E-3</v>
      </c>
      <c r="BE301" s="1109">
        <f t="shared" si="450"/>
        <v>4.9215180976923964E-3</v>
      </c>
      <c r="BF301" s="1109">
        <f t="shared" si="450"/>
        <v>5.083523158694001E-3</v>
      </c>
      <c r="BG301" s="1109">
        <f t="shared" ref="BG301:BH301" si="481">IFERROR(BG283/BG$291,"NA")</f>
        <v>5.0915605095541395E-3</v>
      </c>
      <c r="BH301" s="1109" t="str">
        <f t="shared" si="481"/>
        <v>NA</v>
      </c>
      <c r="BI301" s="1109" t="str">
        <f t="shared" ref="BI301:BJ301" si="482">IFERROR(BI283/BI$291,"NA")</f>
        <v>NA</v>
      </c>
      <c r="BJ301" s="1109" t="str">
        <f t="shared" si="482"/>
        <v>NA</v>
      </c>
      <c r="BK301" s="1109" t="str">
        <f t="shared" ref="BK301:BL301" si="483">IFERROR(BK283/BK$291,"NA")</f>
        <v>NA</v>
      </c>
      <c r="BL301" s="1109" t="str">
        <f t="shared" si="483"/>
        <v>NA</v>
      </c>
    </row>
    <row r="302" spans="1:64" s="9" customFormat="1" ht="11.25">
      <c r="A302" s="342" t="s">
        <v>1019</v>
      </c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918">
        <f t="shared" ref="AC302:AO302" si="484">IFERROR(AC284/AC$291,"NA")</f>
        <v>7.0833238222022338E-2</v>
      </c>
      <c r="AD302" s="918" t="str">
        <f t="shared" si="484"/>
        <v>NA</v>
      </c>
      <c r="AE302" s="918">
        <f t="shared" si="484"/>
        <v>7.9078015843678198E-2</v>
      </c>
      <c r="AF302" s="918">
        <f t="shared" si="484"/>
        <v>7.3788402241392728E-2</v>
      </c>
      <c r="AG302" s="918">
        <f t="shared" si="484"/>
        <v>7.6261298402277564E-2</v>
      </c>
      <c r="AH302" s="918">
        <f t="shared" si="484"/>
        <v>7.769882845985332E-2</v>
      </c>
      <c r="AI302" s="918">
        <f t="shared" si="484"/>
        <v>7.6124430354666164E-2</v>
      </c>
      <c r="AJ302" s="918">
        <f t="shared" si="484"/>
        <v>6.8407926534557781E-2</v>
      </c>
      <c r="AK302" s="918">
        <f t="shared" si="484"/>
        <v>7.5896334478808683E-2</v>
      </c>
      <c r="AL302" s="918">
        <f t="shared" si="484"/>
        <v>7.6591476538958245E-2</v>
      </c>
      <c r="AM302" s="918">
        <f t="shared" si="484"/>
        <v>8.1965307419852876E-2</v>
      </c>
      <c r="AN302" s="918">
        <f t="shared" si="484"/>
        <v>7.5197856185797218E-2</v>
      </c>
      <c r="AO302" s="918">
        <f t="shared" si="484"/>
        <v>7.8100981009810083E-2</v>
      </c>
      <c r="AP302" s="918">
        <f t="shared" si="448"/>
        <v>8.0498836049218481E-2</v>
      </c>
      <c r="AQ302" s="918">
        <f t="shared" si="448"/>
        <v>6.2645336066774054E-2</v>
      </c>
      <c r="AR302" s="918">
        <f t="shared" si="448"/>
        <v>5.8014802517811444E-2</v>
      </c>
      <c r="AS302" s="918">
        <f t="shared" si="448"/>
        <v>6.2149135044642867E-2</v>
      </c>
      <c r="AT302" s="918">
        <f t="shared" ref="AT302:BD302" si="485">IFERROR(AT284/AT$291,"NA")</f>
        <v>6.4519506502167381E-2</v>
      </c>
      <c r="AU302" s="918">
        <f t="shared" si="485"/>
        <v>5.1425030978934333E-2</v>
      </c>
      <c r="AV302" s="918">
        <f t="shared" si="485"/>
        <v>3.8392545136866629E-2</v>
      </c>
      <c r="AW302" s="918">
        <f t="shared" si="485"/>
        <v>7.0199349064279909E-2</v>
      </c>
      <c r="AX302" s="918">
        <f t="shared" si="485"/>
        <v>5.0204301075268812E-2</v>
      </c>
      <c r="AY302" s="918">
        <f t="shared" si="485"/>
        <v>3.4195064629847248E-2</v>
      </c>
      <c r="AZ302" s="918">
        <f t="shared" si="485"/>
        <v>4.8330375867075344E-2</v>
      </c>
      <c r="BA302" s="918">
        <f t="shared" si="485"/>
        <v>5.2348265895953754E-2</v>
      </c>
      <c r="BB302" s="918">
        <f t="shared" si="485"/>
        <v>5.3071163328666231E-2</v>
      </c>
      <c r="BC302" s="918">
        <f t="shared" si="485"/>
        <v>4.7866798549291142E-2</v>
      </c>
      <c r="BD302" s="918">
        <f t="shared" si="485"/>
        <v>4.1963201143265461E-2</v>
      </c>
      <c r="BE302" s="1109">
        <f t="shared" si="450"/>
        <v>4.1381632892116667E-2</v>
      </c>
      <c r="BF302" s="1109">
        <f t="shared" si="450"/>
        <v>3.8626749105109E-2</v>
      </c>
      <c r="BG302" s="1109">
        <f t="shared" ref="BG302:BH302" si="486">IFERROR(BG284/BG$291,"NA")</f>
        <v>4.4402866242038215E-2</v>
      </c>
      <c r="BH302" s="1109">
        <f t="shared" si="486"/>
        <v>3.9492080536912749E-2</v>
      </c>
      <c r="BI302" s="1109">
        <f t="shared" ref="BI302:BJ302" si="487">IFERROR(BI284/BI$291,"NA")</f>
        <v>4.2486137281292059E-2</v>
      </c>
      <c r="BJ302" s="1109">
        <f t="shared" si="487"/>
        <v>4.2913334339318938E-2</v>
      </c>
      <c r="BK302" s="1109">
        <f t="shared" ref="BK302:BL302" si="488">IFERROR(BK284/BK$291,"NA")</f>
        <v>4.2187638458130269E-2</v>
      </c>
      <c r="BL302" s="1109">
        <f t="shared" si="488"/>
        <v>4.0439871922733718E-2</v>
      </c>
    </row>
    <row r="303" spans="1:64" s="9" customFormat="1" ht="11.25">
      <c r="A303" s="342" t="s">
        <v>1016</v>
      </c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918">
        <f t="shared" ref="AC303:AO303" si="489">IFERROR(AC285/AC$291,"NA")</f>
        <v>0</v>
      </c>
      <c r="AD303" s="918" t="str">
        <f t="shared" si="489"/>
        <v>NA</v>
      </c>
      <c r="AE303" s="918" t="str">
        <f t="shared" si="489"/>
        <v>NA</v>
      </c>
      <c r="AF303" s="918">
        <f t="shared" si="489"/>
        <v>1.2298067040232121E-2</v>
      </c>
      <c r="AG303" s="918">
        <f t="shared" si="489"/>
        <v>1.2710216400379594E-2</v>
      </c>
      <c r="AH303" s="918">
        <f t="shared" si="489"/>
        <v>1.2949804743308887E-2</v>
      </c>
      <c r="AI303" s="918">
        <f t="shared" si="489"/>
        <v>8.955815335843078E-3</v>
      </c>
      <c r="AJ303" s="918">
        <f t="shared" si="489"/>
        <v>8.5509908168197226E-3</v>
      </c>
      <c r="AK303" s="918">
        <f t="shared" si="489"/>
        <v>8.928980526918668E-3</v>
      </c>
      <c r="AL303" s="918">
        <f t="shared" si="489"/>
        <v>9.0107619457597925E-3</v>
      </c>
      <c r="AM303" s="918">
        <f t="shared" si="489"/>
        <v>9.1072563799836533E-3</v>
      </c>
      <c r="AN303" s="918">
        <f t="shared" si="489"/>
        <v>8.8468066100937902E-3</v>
      </c>
      <c r="AO303" s="918">
        <f t="shared" si="489"/>
        <v>8.6778867788677872E-3</v>
      </c>
      <c r="AP303" s="918">
        <f t="shared" si="448"/>
        <v>8.4735616893914182E-3</v>
      </c>
      <c r="AQ303" s="918">
        <f t="shared" si="448"/>
        <v>6.5544003514423788E-3</v>
      </c>
      <c r="AR303" s="918">
        <f t="shared" si="448"/>
        <v>6.4079684581863456E-3</v>
      </c>
      <c r="AS303" s="918">
        <f t="shared" si="448"/>
        <v>6.7382812500000012E-3</v>
      </c>
      <c r="AT303" s="918">
        <f t="shared" ref="AT303:BD303" si="490">IFERROR(AT285/AT$291,"NA")</f>
        <v>6.8456152050683557E-3</v>
      </c>
      <c r="AU303" s="918">
        <f t="shared" si="490"/>
        <v>7.2077653862040493E-3</v>
      </c>
      <c r="AV303" s="918">
        <f t="shared" si="490"/>
        <v>7.1345369831100755E-3</v>
      </c>
      <c r="AW303" s="918">
        <f t="shared" si="490"/>
        <v>6.1177786818551677E-3</v>
      </c>
      <c r="AX303" s="918">
        <f t="shared" si="490"/>
        <v>5.8709677419354813E-3</v>
      </c>
      <c r="AY303" s="918">
        <f t="shared" si="490"/>
        <v>6.8350959655307493E-3</v>
      </c>
      <c r="AZ303" s="918">
        <f t="shared" si="490"/>
        <v>5.3331182448782075E-3</v>
      </c>
      <c r="BA303" s="918">
        <f t="shared" si="490"/>
        <v>6.6618497109826582E-3</v>
      </c>
      <c r="BB303" s="918">
        <f t="shared" si="490"/>
        <v>6.6841176112497729E-3</v>
      </c>
      <c r="BC303" s="918">
        <f t="shared" si="490"/>
        <v>6.9765908341576002E-3</v>
      </c>
      <c r="BD303" s="918">
        <f t="shared" si="490"/>
        <v>7.1835179230677641E-3</v>
      </c>
      <c r="BE303" s="1109">
        <f t="shared" si="450"/>
        <v>5.6858381164343434E-3</v>
      </c>
      <c r="BF303" s="1109">
        <f t="shared" si="450"/>
        <v>5.0927432476407406E-3</v>
      </c>
      <c r="BG303" s="1109">
        <f t="shared" ref="BG303:BH303" si="491">IFERROR(BG285/BG$291,"NA")</f>
        <v>5.2104185623293893E-3</v>
      </c>
      <c r="BH303" s="1109">
        <f t="shared" si="491"/>
        <v>5.0512751677852337E-3</v>
      </c>
      <c r="BI303" s="1109">
        <f t="shared" ref="BI303:BJ303" si="492">IFERROR(BI285/BI$291,"NA")</f>
        <v>4.9065948855989234E-3</v>
      </c>
      <c r="BJ303" s="1109">
        <f t="shared" si="492"/>
        <v>4.6974498264674798E-3</v>
      </c>
      <c r="BK303" s="1109">
        <f t="shared" ref="BK303:BL303" si="493">IFERROR(BK285/BK$291,"NA")</f>
        <v>4.1421134249003096E-3</v>
      </c>
      <c r="BL303" s="1109">
        <f t="shared" si="493"/>
        <v>4.4942522702220346E-3</v>
      </c>
    </row>
    <row r="304" spans="1:64" s="9" customFormat="1" ht="11.25">
      <c r="A304" s="342" t="s">
        <v>1015</v>
      </c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918">
        <f t="shared" ref="AC304:AO304" si="494">IFERROR(AC286/AC$291,"NA")</f>
        <v>7.870359802446927E-3</v>
      </c>
      <c r="AD304" s="918" t="str">
        <f t="shared" si="494"/>
        <v>NA</v>
      </c>
      <c r="AE304" s="918">
        <f t="shared" si="494"/>
        <v>7.9078015843678188E-3</v>
      </c>
      <c r="AF304" s="918">
        <f t="shared" si="494"/>
        <v>8.1987113601547472E-3</v>
      </c>
      <c r="AG304" s="918">
        <f t="shared" si="494"/>
        <v>8.4734776002530626E-3</v>
      </c>
      <c r="AH304" s="918">
        <f t="shared" si="494"/>
        <v>4.3166015811029624E-3</v>
      </c>
      <c r="AI304" s="918">
        <f t="shared" si="494"/>
        <v>8.955815335843078E-3</v>
      </c>
      <c r="AJ304" s="918">
        <f t="shared" si="494"/>
        <v>8.5509908168197226E-3</v>
      </c>
      <c r="AK304" s="918">
        <f t="shared" si="494"/>
        <v>8.928980526918668E-3</v>
      </c>
      <c r="AL304" s="918">
        <f t="shared" si="494"/>
        <v>9.0107619457597925E-3</v>
      </c>
      <c r="AM304" s="918">
        <f t="shared" si="494"/>
        <v>9.1072563799836533E-3</v>
      </c>
      <c r="AN304" s="918">
        <f t="shared" si="494"/>
        <v>8.8468066100937902E-3</v>
      </c>
      <c r="AO304" s="918">
        <f t="shared" si="494"/>
        <v>8.6778867788677872E-3</v>
      </c>
      <c r="AP304" s="918">
        <f t="shared" si="448"/>
        <v>8.4735616893914182E-3</v>
      </c>
      <c r="AQ304" s="918">
        <f t="shared" si="448"/>
        <v>4.9158002635817846E-3</v>
      </c>
      <c r="AR304" s="918">
        <f t="shared" si="448"/>
        <v>4.8059763436397599E-3</v>
      </c>
      <c r="AS304" s="918">
        <f t="shared" si="448"/>
        <v>3.3691406250000006E-3</v>
      </c>
      <c r="AT304" s="918">
        <f t="shared" ref="AT304:BD304" si="495">IFERROR(AT286/AT$291,"NA")</f>
        <v>2.7382460820273421E-3</v>
      </c>
      <c r="AU304" s="918">
        <f t="shared" si="495"/>
        <v>2.8831061544816196E-3</v>
      </c>
      <c r="AV304" s="918">
        <f t="shared" si="495"/>
        <v>4.2807221898660455E-3</v>
      </c>
      <c r="AW304" s="918">
        <f t="shared" si="495"/>
        <v>3.6706672091130995E-3</v>
      </c>
      <c r="AX304" s="918">
        <f t="shared" si="495"/>
        <v>2.9354838709677407E-3</v>
      </c>
      <c r="AY304" s="918">
        <f t="shared" si="495"/>
        <v>3.4175479827653747E-3</v>
      </c>
      <c r="AZ304" s="918">
        <f t="shared" si="495"/>
        <v>2.6665591224391038E-3</v>
      </c>
      <c r="BA304" s="918">
        <f t="shared" si="495"/>
        <v>3.3309248554913291E-3</v>
      </c>
      <c r="BB304" s="918">
        <f t="shared" si="495"/>
        <v>3.3420588056248864E-3</v>
      </c>
      <c r="BC304" s="918">
        <f t="shared" si="495"/>
        <v>3.4882954170788001E-3</v>
      </c>
      <c r="BD304" s="918">
        <f t="shared" si="495"/>
        <v>1.795879480766941E-3</v>
      </c>
      <c r="BE304" s="1109">
        <f t="shared" si="450"/>
        <v>1.8952793721447811E-3</v>
      </c>
      <c r="BF304" s="1109">
        <f t="shared" si="450"/>
        <v>1.6975810825469136E-3</v>
      </c>
      <c r="BG304" s="1109">
        <f t="shared" ref="BG304:BH304" si="496">IFERROR(BG286/BG$291,"NA")</f>
        <v>1.7368061874431296E-3</v>
      </c>
      <c r="BH304" s="1109">
        <f t="shared" si="496"/>
        <v>1.6837583892617446E-3</v>
      </c>
      <c r="BI304" s="1109">
        <f t="shared" ref="BI304:BJ304" si="497">IFERROR(BI286/BI$291,"NA")</f>
        <v>1.6355316285329743E-3</v>
      </c>
      <c r="BJ304" s="1109">
        <f t="shared" si="497"/>
        <v>1.5658166088224931E-3</v>
      </c>
      <c r="BK304" s="1109">
        <f t="shared" ref="BK304:BL304" si="498">IFERROR(BK286/BK$291,"NA")</f>
        <v>1.3807044749667701E-3</v>
      </c>
      <c r="BL304" s="1109">
        <f t="shared" si="498"/>
        <v>1.4980840900740118E-3</v>
      </c>
    </row>
    <row r="305" spans="1:64" s="9" customFormat="1" ht="11.25">
      <c r="A305" s="342" t="s">
        <v>1017</v>
      </c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918">
        <f t="shared" ref="AC305:AO305" si="499">IFERROR(AC287/AC$291,"NA")</f>
        <v>3.9351799012234635E-3</v>
      </c>
      <c r="AD305" s="918" t="str">
        <f t="shared" si="499"/>
        <v>NA</v>
      </c>
      <c r="AE305" s="918">
        <f t="shared" si="499"/>
        <v>3.9539007921839094E-3</v>
      </c>
      <c r="AF305" s="918">
        <f t="shared" si="499"/>
        <v>4.0993556800773736E-3</v>
      </c>
      <c r="AG305" s="918">
        <f t="shared" si="499"/>
        <v>4.2367388001265313E-3</v>
      </c>
      <c r="AH305" s="918">
        <f t="shared" si="499"/>
        <v>4.3166015811029624E-3</v>
      </c>
      <c r="AI305" s="918">
        <f t="shared" si="499"/>
        <v>4.477907667921539E-3</v>
      </c>
      <c r="AJ305" s="918">
        <f t="shared" si="499"/>
        <v>4.2754954084098613E-3</v>
      </c>
      <c r="AK305" s="918">
        <f t="shared" si="499"/>
        <v>4.464490263459334E-3</v>
      </c>
      <c r="AL305" s="918">
        <f t="shared" si="499"/>
        <v>4.5053809728798962E-3</v>
      </c>
      <c r="AM305" s="918">
        <f t="shared" si="499"/>
        <v>4.5536281899918266E-3</v>
      </c>
      <c r="AN305" s="918">
        <f t="shared" si="499"/>
        <v>4.4234033050468951E-3</v>
      </c>
      <c r="AO305" s="918">
        <f t="shared" si="499"/>
        <v>4.3389433894338936E-3</v>
      </c>
      <c r="AP305" s="918">
        <f t="shared" si="448"/>
        <v>4.2367808446957091E-3</v>
      </c>
      <c r="AQ305" s="918">
        <f t="shared" si="448"/>
        <v>0</v>
      </c>
      <c r="AR305" s="918">
        <f t="shared" si="448"/>
        <v>3.6259251573632152E-3</v>
      </c>
      <c r="AS305" s="918">
        <f t="shared" si="448"/>
        <v>3.6558314732142863E-3</v>
      </c>
      <c r="AT305" s="918">
        <f t="shared" ref="AT305:BD305" si="500">IFERROR(AT287/AT$291,"NA")</f>
        <v>3.7952650883627875E-3</v>
      </c>
      <c r="AU305" s="918" t="str">
        <f t="shared" si="500"/>
        <v>NA</v>
      </c>
      <c r="AV305" s="918" t="str">
        <f t="shared" si="500"/>
        <v>NA</v>
      </c>
      <c r="AW305" s="918" t="str">
        <f t="shared" si="500"/>
        <v>NA</v>
      </c>
      <c r="AX305" s="918" t="str">
        <f t="shared" si="500"/>
        <v>NA</v>
      </c>
      <c r="AY305" s="918" t="str">
        <f t="shared" si="500"/>
        <v>NA</v>
      </c>
      <c r="AZ305" s="918" t="str">
        <f t="shared" si="500"/>
        <v>NA</v>
      </c>
      <c r="BA305" s="918" t="str">
        <f t="shared" si="500"/>
        <v>NA</v>
      </c>
      <c r="BB305" s="918" t="str">
        <f t="shared" si="500"/>
        <v>NA</v>
      </c>
      <c r="BC305" s="918" t="str">
        <f t="shared" si="500"/>
        <v>NA</v>
      </c>
      <c r="BD305" s="918" t="str">
        <f t="shared" si="500"/>
        <v>NA</v>
      </c>
      <c r="BE305" s="1109" t="str">
        <f t="shared" si="450"/>
        <v>NA</v>
      </c>
      <c r="BF305" s="1109" t="str">
        <f t="shared" si="450"/>
        <v>NA</v>
      </c>
      <c r="BG305" s="1109" t="str">
        <f t="shared" ref="BG305:BH305" si="501">IFERROR(BG287/BG$291,"NA")</f>
        <v>NA</v>
      </c>
      <c r="BH305" s="1109" t="str">
        <f t="shared" si="501"/>
        <v>NA</v>
      </c>
      <c r="BI305" s="1109" t="str">
        <f t="shared" ref="BI305:BJ305" si="502">IFERROR(BI287/BI$291,"NA")</f>
        <v>NA</v>
      </c>
      <c r="BJ305" s="1109" t="str">
        <f t="shared" si="502"/>
        <v>NA</v>
      </c>
      <c r="BK305" s="1109" t="str">
        <f t="shared" ref="BK305:BL305" si="503">IFERROR(BK287/BK$291,"NA")</f>
        <v>NA</v>
      </c>
      <c r="BL305" s="1109" t="str">
        <f t="shared" si="503"/>
        <v>NA</v>
      </c>
    </row>
    <row r="306" spans="1:64" s="9" customFormat="1" ht="11.25">
      <c r="A306" s="342" t="s">
        <v>1120</v>
      </c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918"/>
      <c r="AD306" s="918"/>
      <c r="AE306" s="918"/>
      <c r="AF306" s="918"/>
      <c r="AG306" s="918"/>
      <c r="AH306" s="918"/>
      <c r="AI306" s="918"/>
      <c r="AJ306" s="918"/>
      <c r="AK306" s="918"/>
      <c r="AL306" s="918"/>
      <c r="AM306" s="918"/>
      <c r="AN306" s="918"/>
      <c r="AO306" s="918"/>
      <c r="AP306" s="918"/>
      <c r="AQ306" s="918">
        <f t="shared" ref="AQ306:AR308" si="504">IFERROR(AQ288/AQ$291,"NA")</f>
        <v>3.316517791770391E-2</v>
      </c>
      <c r="AR306" s="918">
        <f t="shared" si="504"/>
        <v>2.9007401258905722E-2</v>
      </c>
      <c r="AS306" s="918">
        <f t="shared" si="448"/>
        <v>2.9246651785714291E-2</v>
      </c>
      <c r="AT306" s="918">
        <f t="shared" ref="AT306:BD306" si="505">IFERROR(AT288/AT$291,"NA")</f>
        <v>3.03621207069023E-2</v>
      </c>
      <c r="AU306" s="918">
        <f t="shared" si="505"/>
        <v>3.0855018587360599E-2</v>
      </c>
      <c r="AV306" s="918">
        <f t="shared" si="505"/>
        <v>9.5981362842166573E-3</v>
      </c>
      <c r="AW306" s="918">
        <f t="shared" si="505"/>
        <v>2.8905614320585846E-2</v>
      </c>
      <c r="AX306" s="918">
        <f t="shared" si="505"/>
        <v>2.5102150537634406E-2</v>
      </c>
      <c r="AY306" s="918">
        <f t="shared" si="505"/>
        <v>1.7097532314923624E-2</v>
      </c>
      <c r="AZ306" s="918">
        <f t="shared" si="505"/>
        <v>2.0713018228746577E-2</v>
      </c>
      <c r="BA306" s="918">
        <f t="shared" si="505"/>
        <v>2.4429190751445087E-2</v>
      </c>
      <c r="BB306" s="918">
        <f t="shared" si="505"/>
        <v>2.4766542886710909E-2</v>
      </c>
      <c r="BC306" s="918">
        <f t="shared" si="505"/>
        <v>2.3933399274645571E-2</v>
      </c>
      <c r="BD306" s="918">
        <f t="shared" si="505"/>
        <v>2.259556984637371E-2</v>
      </c>
      <c r="BE306" s="1109">
        <f t="shared" si="450"/>
        <v>1.9099215180976917E-2</v>
      </c>
      <c r="BF306" s="1109">
        <f t="shared" si="450"/>
        <v>2.253227031131359E-2</v>
      </c>
      <c r="BG306" s="1109">
        <f t="shared" ref="BG306:BH306" si="506">IFERROR(BG288/BG$291,"NA")</f>
        <v>2.2201433121019108E-2</v>
      </c>
      <c r="BH306" s="1109">
        <f t="shared" si="506"/>
        <v>2.1264966442953018E-2</v>
      </c>
      <c r="BI306" s="1109">
        <f t="shared" ref="BI306:BJ306" si="507">IFERROR(BI288/BI$291,"NA")</f>
        <v>2.124306864064603E-2</v>
      </c>
      <c r="BJ306" s="1109">
        <f t="shared" si="507"/>
        <v>2.1456667169659469E-2</v>
      </c>
      <c r="BK306" s="1109">
        <f t="shared" ref="BK306:BL306" si="508">IFERROR(BK288/BK$291,"NA")</f>
        <v>2.1093819229065135E-2</v>
      </c>
      <c r="BL306" s="1109">
        <f t="shared" si="508"/>
        <v>2.0219935961366859E-2</v>
      </c>
    </row>
    <row r="307" spans="1:64" s="9" customFormat="1" ht="11.25">
      <c r="A307" s="342" t="s">
        <v>331</v>
      </c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918">
        <f t="shared" ref="AC307:AO307" si="509">IFERROR(AC289/AC$291,"NA")</f>
        <v>3.5754648757571068E-2</v>
      </c>
      <c r="AD307" s="918" t="str">
        <f t="shared" si="509"/>
        <v>NA</v>
      </c>
      <c r="AE307" s="918">
        <f t="shared" si="509"/>
        <v>4.9624964321309417E-2</v>
      </c>
      <c r="AF307" s="918">
        <f t="shared" si="509"/>
        <v>3.9888561033540403E-2</v>
      </c>
      <c r="AG307" s="918">
        <f t="shared" si="509"/>
        <v>3.2841207859487548E-2</v>
      </c>
      <c r="AH307" s="918">
        <f t="shared" si="509"/>
        <v>3.8416992094485188E-2</v>
      </c>
      <c r="AI307" s="918">
        <f t="shared" si="509"/>
        <v>3.2088369328313854E-2</v>
      </c>
      <c r="AJ307" s="918">
        <f t="shared" si="509"/>
        <v>3.2898018366360575E-2</v>
      </c>
      <c r="AK307" s="918">
        <f t="shared" si="509"/>
        <v>2.767754868270331E-2</v>
      </c>
      <c r="AL307" s="918">
        <f t="shared" si="509"/>
        <v>2.747309513560052E-2</v>
      </c>
      <c r="AM307" s="918">
        <f t="shared" si="509"/>
        <v>2.7231859050040871E-2</v>
      </c>
      <c r="AN307" s="918">
        <f t="shared" si="509"/>
        <v>3.2306386779812415E-2</v>
      </c>
      <c r="AO307" s="918">
        <f t="shared" si="509"/>
        <v>2.8305283052830525E-2</v>
      </c>
      <c r="AP307" s="918">
        <f>IFERROR(AP289/AP$291,"NA")</f>
        <v>3.7289657465912868E-2</v>
      </c>
      <c r="AQ307" s="918">
        <f t="shared" si="504"/>
        <v>5.9824278810953292E-2</v>
      </c>
      <c r="AR307" s="918">
        <f t="shared" si="504"/>
        <v>3.202393304281663E-2</v>
      </c>
      <c r="AS307" s="918">
        <f t="shared" si="448"/>
        <v>4.6630859375000007E-2</v>
      </c>
      <c r="AT307" s="918">
        <f t="shared" ref="AT307:BD307" si="510">IFERROR(AT289/AT$291,"NA")</f>
        <v>5.1385795265088359E-2</v>
      </c>
      <c r="AU307" s="918">
        <f t="shared" si="510"/>
        <v>4.5130111524163574E-2</v>
      </c>
      <c r="AV307" s="918">
        <f t="shared" si="510"/>
        <v>2.7548048922539314E-2</v>
      </c>
      <c r="AW307" s="918">
        <f t="shared" si="510"/>
        <v>0.03</v>
      </c>
      <c r="AX307" s="918">
        <f t="shared" si="510"/>
        <v>5.2010752688172034E-2</v>
      </c>
      <c r="AY307" s="918">
        <f t="shared" si="510"/>
        <v>3.0001958480219356E-2</v>
      </c>
      <c r="AZ307" s="918">
        <f t="shared" si="510"/>
        <v>3.6000161316341352E-2</v>
      </c>
      <c r="BA307" s="918">
        <f t="shared" si="510"/>
        <v>4.1513728323699414E-2</v>
      </c>
      <c r="BB307" s="918">
        <f t="shared" si="510"/>
        <v>4.1448834236318267E-2</v>
      </c>
      <c r="BC307" s="918">
        <f t="shared" si="510"/>
        <v>4.6185295087372243E-2</v>
      </c>
      <c r="BD307" s="918">
        <f t="shared" si="510"/>
        <v>3.9588543527450289E-2</v>
      </c>
      <c r="BE307" s="1109">
        <f t="shared" si="450"/>
        <v>3.6052477451095223E-2</v>
      </c>
      <c r="BF307" s="1109">
        <f t="shared" si="450"/>
        <v>4.6948150558628908E-2</v>
      </c>
      <c r="BG307" s="1109">
        <f t="shared" ref="BG307:BH307" si="511">IFERROR(BG289/BG$291,"NA")</f>
        <v>3.6526387625113732E-2</v>
      </c>
      <c r="BH307" s="1109">
        <f t="shared" si="511"/>
        <v>3.4948724832214763E-2</v>
      </c>
      <c r="BI307" s="1109">
        <f t="shared" ref="BI307:BJ307" si="512">IFERROR(BI289/BI$291,"NA")</f>
        <v>3.3694212651413188E-2</v>
      </c>
      <c r="BJ307" s="1109">
        <f t="shared" si="512"/>
        <v>3.3803128615260788E-2</v>
      </c>
      <c r="BK307" s="1109">
        <f t="shared" ref="BK307:BL307" si="513">IFERROR(BK289/BK$291,"NA")</f>
        <v>3.4225188303057159E-2</v>
      </c>
      <c r="BL307" s="1109">
        <f t="shared" si="513"/>
        <v>3.4115269539656712E-2</v>
      </c>
    </row>
    <row r="308" spans="1:64" s="9" customFormat="1" ht="11.25">
      <c r="A308" s="342" t="s">
        <v>1043</v>
      </c>
      <c r="B308" s="949"/>
      <c r="C308" s="949"/>
      <c r="D308" s="949"/>
      <c r="E308" s="949"/>
      <c r="F308" s="949"/>
      <c r="G308" s="949"/>
      <c r="H308" s="949"/>
      <c r="I308" s="949"/>
      <c r="J308" s="949"/>
      <c r="K308" s="949"/>
      <c r="L308" s="949"/>
      <c r="M308" s="949"/>
      <c r="N308" s="949"/>
      <c r="O308" s="949"/>
      <c r="P308" s="949"/>
      <c r="Q308" s="949"/>
      <c r="R308" s="949"/>
      <c r="S308" s="949"/>
      <c r="T308" s="949"/>
      <c r="U308" s="949"/>
      <c r="V308" s="949"/>
      <c r="W308" s="949"/>
      <c r="X308" s="949"/>
      <c r="Y308" s="949"/>
      <c r="Z308" s="949"/>
      <c r="AA308" s="949"/>
      <c r="AB308" s="949"/>
      <c r="AC308" s="918">
        <f t="shared" ref="AC308:AO308" si="514">IFERROR(AC290/AC$291,"NA")</f>
        <v>3.6294476275029859E-2</v>
      </c>
      <c r="AD308" s="918" t="str">
        <f t="shared" si="514"/>
        <v>NA</v>
      </c>
      <c r="AE308" s="918">
        <f t="shared" si="514"/>
        <v>3.6181701627884123E-2</v>
      </c>
      <c r="AF308" s="918">
        <f t="shared" si="514"/>
        <v>3.5379269785455289E-2</v>
      </c>
      <c r="AG308" s="918">
        <f t="shared" si="514"/>
        <v>3.4325362871233216E-2</v>
      </c>
      <c r="AH308" s="918">
        <f t="shared" si="514"/>
        <v>3.9783788932279268E-2</v>
      </c>
      <c r="AI308" s="918">
        <f t="shared" si="514"/>
        <v>3.8654646324549249E-2</v>
      </c>
      <c r="AJ308" s="918">
        <f t="shared" si="514"/>
        <v>3.4347027549540853E-2</v>
      </c>
      <c r="AK308" s="918">
        <f t="shared" si="514"/>
        <v>2.767754868270331E-2</v>
      </c>
      <c r="AL308" s="918">
        <f t="shared" si="514"/>
        <v>2.747309513560052E-2</v>
      </c>
      <c r="AM308" s="918">
        <f t="shared" si="514"/>
        <v>2.7231859050040871E-2</v>
      </c>
      <c r="AN308" s="918">
        <f t="shared" si="514"/>
        <v>2.7882983474765519E-2</v>
      </c>
      <c r="AO308" s="918">
        <f t="shared" si="514"/>
        <v>2.8305283052830525E-2</v>
      </c>
      <c r="AP308" s="918">
        <f>IFERROR(AP290/AP$291,"NA")</f>
        <v>2.8816095776521448E-2</v>
      </c>
      <c r="AQ308" s="918">
        <f t="shared" si="504"/>
        <v>1.8705520574022555E-2</v>
      </c>
      <c r="AR308" s="918">
        <f t="shared" si="504"/>
        <v>2.3860413640450995E-2</v>
      </c>
      <c r="AS308" s="918">
        <f t="shared" si="448"/>
        <v>2.3297991071428575E-2</v>
      </c>
      <c r="AT308" s="918">
        <f t="shared" ref="AT308:BD308" si="515">IFERROR(AT290/AT$291,"NA")</f>
        <v>2.9013671223741242E-2</v>
      </c>
      <c r="AU308" s="918">
        <f t="shared" si="515"/>
        <v>2.5650557620817849E-2</v>
      </c>
      <c r="AV308" s="918">
        <f t="shared" si="515"/>
        <v>6.4484566103669178E-2</v>
      </c>
      <c r="AW308" s="918">
        <f t="shared" si="515"/>
        <v>2.7882424735557361E-2</v>
      </c>
      <c r="AX308" s="918">
        <f t="shared" si="515"/>
        <v>2.4731182795698917E-2</v>
      </c>
      <c r="AY308" s="918">
        <f t="shared" si="515"/>
        <v>2.9230317273795541E-2</v>
      </c>
      <c r="AZ308" s="918">
        <f t="shared" si="515"/>
        <v>2.0858202935957419E-2</v>
      </c>
      <c r="BA308" s="918">
        <f t="shared" si="515"/>
        <v>1.9378612716763003E-2</v>
      </c>
      <c r="BB308" s="918">
        <f t="shared" si="515"/>
        <v>1.9163572167772574E-2</v>
      </c>
      <c r="BC308" s="918">
        <f t="shared" si="515"/>
        <v>2.4183976261127598E-2</v>
      </c>
      <c r="BD308" s="918">
        <f t="shared" si="515"/>
        <v>2.4880909848755513E-2</v>
      </c>
      <c r="BE308" s="1109">
        <f t="shared" si="450"/>
        <v>2.4607590488461985E-2</v>
      </c>
      <c r="BF308" s="1109">
        <f t="shared" si="450"/>
        <v>2.5417615793470006E-2</v>
      </c>
      <c r="BG308" s="1109">
        <f t="shared" ref="BG308:BH308" si="516">IFERROR(BG290/BG$291,"NA")</f>
        <v>2.5457802547770698E-2</v>
      </c>
      <c r="BH308" s="1109">
        <f t="shared" si="516"/>
        <v>2.6391946308724826E-2</v>
      </c>
      <c r="BI308" s="1109">
        <f t="shared" ref="BI308:BJ308" si="517">IFERROR(BI290/BI$291,"NA")</f>
        <v>2.6648721399730822E-2</v>
      </c>
      <c r="BJ308" s="1109">
        <f t="shared" si="517"/>
        <v>2.6844726120416471E-2</v>
      </c>
      <c r="BK308" s="1109">
        <f t="shared" ref="BK308:BL308" si="518">IFERROR(BK290/BK$291,"NA")</f>
        <v>2.8029463890119628E-2</v>
      </c>
      <c r="BL308" s="1109">
        <f t="shared" si="518"/>
        <v>2.8066768148653616E-2</v>
      </c>
    </row>
    <row r="309" spans="1:64" s="9" customFormat="1" ht="11.25">
      <c r="A309" s="950" t="s">
        <v>325</v>
      </c>
      <c r="B309" s="949"/>
      <c r="C309" s="949"/>
      <c r="D309" s="949"/>
      <c r="E309" s="949"/>
      <c r="F309" s="949"/>
      <c r="G309" s="949"/>
      <c r="H309" s="949"/>
      <c r="I309" s="949"/>
      <c r="J309" s="949"/>
      <c r="K309" s="949"/>
      <c r="L309" s="949"/>
      <c r="M309" s="949"/>
      <c r="N309" s="949"/>
      <c r="O309" s="949"/>
      <c r="P309" s="949"/>
      <c r="Q309" s="949"/>
      <c r="R309" s="949"/>
      <c r="S309" s="949"/>
      <c r="T309" s="949"/>
      <c r="U309" s="949"/>
      <c r="V309" s="949"/>
      <c r="W309" s="949"/>
      <c r="X309" s="949"/>
      <c r="Y309" s="949"/>
      <c r="Z309" s="949"/>
      <c r="AA309" s="949"/>
      <c r="AB309" s="949"/>
      <c r="AC309" s="949">
        <f>+SUM(AC295:AC308)</f>
        <v>1.0000000000000002</v>
      </c>
      <c r="AD309" s="949">
        <f t="shared" ref="AD309:AO309" si="519">+SUM(AD295:AD308)</f>
        <v>0</v>
      </c>
      <c r="AE309" s="949">
        <f t="shared" si="519"/>
        <v>1</v>
      </c>
      <c r="AF309" s="949">
        <f t="shared" si="519"/>
        <v>0.99999999999999989</v>
      </c>
      <c r="AG309" s="949">
        <f t="shared" si="519"/>
        <v>1</v>
      </c>
      <c r="AH309" s="949">
        <f t="shared" si="519"/>
        <v>0.99999999999999989</v>
      </c>
      <c r="AI309" s="949">
        <f t="shared" si="519"/>
        <v>1.0000000000000002</v>
      </c>
      <c r="AJ309" s="949">
        <f t="shared" si="519"/>
        <v>1.0000000000000004</v>
      </c>
      <c r="AK309" s="949">
        <f t="shared" si="519"/>
        <v>0.99999999999999967</v>
      </c>
      <c r="AL309" s="949">
        <f t="shared" si="519"/>
        <v>0.99999999999999978</v>
      </c>
      <c r="AM309" s="949">
        <f t="shared" si="519"/>
        <v>1</v>
      </c>
      <c r="AN309" s="949">
        <f t="shared" si="519"/>
        <v>0.99999999999999978</v>
      </c>
      <c r="AO309" s="949">
        <f t="shared" si="519"/>
        <v>0.99999999999999989</v>
      </c>
      <c r="AP309" s="949">
        <f t="shared" ref="AP309:AU309" si="520">+SUM(AP295:AP308)</f>
        <v>0.99999999999999989</v>
      </c>
      <c r="AQ309" s="949">
        <f t="shared" si="520"/>
        <v>1</v>
      </c>
      <c r="AR309" s="949">
        <f t="shared" si="520"/>
        <v>1</v>
      </c>
      <c r="AS309" s="949">
        <f t="shared" si="520"/>
        <v>1</v>
      </c>
      <c r="AT309" s="949">
        <f t="shared" si="520"/>
        <v>0.99999999999999978</v>
      </c>
      <c r="AU309" s="949">
        <f t="shared" si="520"/>
        <v>0.99999999999999989</v>
      </c>
      <c r="AV309" s="949">
        <f t="shared" ref="AV309:BD309" si="521">+SUM(AV295:AV308)</f>
        <v>0.99999999999999989</v>
      </c>
      <c r="AW309" s="949">
        <f t="shared" si="521"/>
        <v>0.99999999999999989</v>
      </c>
      <c r="AX309" s="949">
        <f t="shared" si="521"/>
        <v>0.99999999999999989</v>
      </c>
      <c r="AY309" s="949">
        <f t="shared" si="521"/>
        <v>1</v>
      </c>
      <c r="AZ309" s="949">
        <f t="shared" si="521"/>
        <v>1</v>
      </c>
      <c r="BA309" s="949">
        <f t="shared" si="521"/>
        <v>0.99999999999999978</v>
      </c>
      <c r="BB309" s="949">
        <f t="shared" si="521"/>
        <v>1.0000000000000002</v>
      </c>
      <c r="BC309" s="949">
        <f t="shared" si="521"/>
        <v>1</v>
      </c>
      <c r="BD309" s="949">
        <f t="shared" si="521"/>
        <v>1.0000000000000002</v>
      </c>
      <c r="BE309" s="1804">
        <f t="shared" ref="BE309:BJ309" si="522">+SUM(BE295:BE308)</f>
        <v>0.99999999999999967</v>
      </c>
      <c r="BF309" s="1804">
        <f t="shared" si="522"/>
        <v>0.99999999999999967</v>
      </c>
      <c r="BG309" s="1804">
        <f t="shared" si="522"/>
        <v>0.99999999999999989</v>
      </c>
      <c r="BH309" s="1804">
        <f t="shared" si="522"/>
        <v>0.99999999999999989</v>
      </c>
      <c r="BI309" s="1804">
        <f t="shared" si="522"/>
        <v>1.0000000000000002</v>
      </c>
      <c r="BJ309" s="1804">
        <f t="shared" si="522"/>
        <v>0.99999999999999967</v>
      </c>
      <c r="BK309" s="1804">
        <f t="shared" ref="BK309:BL309" si="523">+SUM(BK295:BK308)</f>
        <v>1</v>
      </c>
      <c r="BL309" s="1804">
        <f t="shared" si="523"/>
        <v>0.99999999999999989</v>
      </c>
    </row>
    <row r="310" spans="1:64" s="9" customFormat="1" ht="11.25">
      <c r="A310" s="950"/>
      <c r="B310" s="949"/>
      <c r="C310" s="949"/>
      <c r="D310" s="949"/>
      <c r="E310" s="949"/>
      <c r="F310" s="949"/>
      <c r="G310" s="949"/>
      <c r="H310" s="949"/>
      <c r="I310" s="949"/>
      <c r="J310" s="949"/>
      <c r="K310" s="949"/>
      <c r="L310" s="949"/>
      <c r="M310" s="949"/>
      <c r="N310" s="949"/>
      <c r="O310" s="949"/>
      <c r="P310" s="949"/>
      <c r="Q310" s="949"/>
      <c r="R310" s="949"/>
      <c r="S310" s="949"/>
      <c r="T310" s="949"/>
      <c r="U310" s="949"/>
      <c r="V310" s="949"/>
      <c r="W310" s="949"/>
      <c r="X310" s="949"/>
      <c r="Y310" s="949"/>
      <c r="Z310" s="949"/>
      <c r="AA310" s="949"/>
      <c r="AB310" s="949"/>
      <c r="AC310" s="1045"/>
      <c r="AD310" s="1045"/>
      <c r="AE310" s="1045"/>
      <c r="AF310" s="1045"/>
      <c r="AG310" s="1045"/>
      <c r="AH310" s="1045"/>
      <c r="AI310" s="1045"/>
      <c r="AJ310" s="1045"/>
      <c r="AK310" s="1045"/>
      <c r="AL310" s="1045"/>
      <c r="AM310" s="1045"/>
      <c r="AN310" s="1045"/>
      <c r="AO310" s="1045"/>
      <c r="AP310" s="1045"/>
      <c r="AQ310" s="1045"/>
    </row>
    <row r="311" spans="1:64" s="9" customFormat="1" ht="11.25">
      <c r="A311" s="513" t="s">
        <v>187</v>
      </c>
      <c r="B311" s="949"/>
      <c r="C311" s="949"/>
      <c r="D311" s="949"/>
      <c r="E311" s="949"/>
      <c r="F311" s="949"/>
      <c r="G311" s="949"/>
      <c r="H311" s="949"/>
      <c r="I311" s="949"/>
      <c r="J311" s="949"/>
      <c r="K311" s="949"/>
      <c r="L311" s="949"/>
      <c r="M311" s="949"/>
      <c r="N311" s="949"/>
      <c r="O311" s="949"/>
      <c r="P311" s="949"/>
      <c r="Q311" s="949"/>
      <c r="R311" s="949"/>
      <c r="S311" s="949"/>
      <c r="T311" s="949"/>
      <c r="U311" s="949"/>
      <c r="V311" s="949"/>
      <c r="W311" s="949"/>
      <c r="X311" s="949"/>
      <c r="Y311" s="949"/>
      <c r="Z311" s="949"/>
      <c r="AA311" s="949"/>
      <c r="AB311" s="949"/>
      <c r="AC311" s="1045"/>
      <c r="AD311" s="1045"/>
      <c r="AE311" s="1045"/>
      <c r="AF311" s="1045"/>
      <c r="AG311" s="1045"/>
      <c r="AH311" s="1045"/>
      <c r="AI311" s="1045"/>
      <c r="AJ311" s="1045"/>
      <c r="AK311" s="1045"/>
      <c r="AL311" s="1045"/>
      <c r="AM311" s="1045"/>
      <c r="AN311" s="1045"/>
      <c r="AO311" s="1045"/>
      <c r="AP311" s="1045"/>
      <c r="AQ311" s="1045"/>
    </row>
    <row r="312" spans="1:64" s="9" customFormat="1" ht="11.25">
      <c r="A312" s="342" t="s">
        <v>1007</v>
      </c>
      <c r="B312" s="949"/>
      <c r="C312" s="949"/>
      <c r="D312" s="949"/>
      <c r="E312" s="949"/>
      <c r="F312" s="949"/>
      <c r="G312" s="949"/>
      <c r="H312" s="949"/>
      <c r="I312" s="949"/>
      <c r="J312" s="949"/>
      <c r="K312" s="949"/>
      <c r="L312" s="949"/>
      <c r="M312" s="949"/>
      <c r="N312" s="949"/>
      <c r="O312" s="949"/>
      <c r="P312" s="949"/>
      <c r="Q312" s="949"/>
      <c r="R312" s="949"/>
      <c r="S312" s="949"/>
      <c r="T312" s="949"/>
      <c r="U312" s="949"/>
      <c r="V312" s="949"/>
      <c r="W312" s="949"/>
      <c r="X312" s="949"/>
      <c r="Y312" s="949"/>
      <c r="Z312" s="949"/>
      <c r="AA312" s="949"/>
      <c r="AB312" s="949"/>
      <c r="AC312" s="306">
        <f>+AC196*(IS!AC$103+IS!AC$114)+AC65*IS!AC$77</f>
        <v>227.72000000000003</v>
      </c>
      <c r="AD312" s="306">
        <f>+AD196*(IS!AD$103+IS!AD$114)+AD65*IS!AD$77</f>
        <v>0</v>
      </c>
      <c r="AE312" s="306">
        <f>+AE196*(IS!AE$103+IS!AE$114)+AE65*IS!AE$77</f>
        <v>281.88</v>
      </c>
      <c r="AF312" s="306">
        <f>+AF196*(IS!AF$103+IS!AF$114)+AF65*IS!AF$77</f>
        <v>297.71999999999997</v>
      </c>
      <c r="AG312" s="306">
        <f>+AG196*(IS!AG$103+IS!AG$114)+AG65*IS!AG$77</f>
        <v>298.45</v>
      </c>
      <c r="AH312" s="306">
        <f>+AH196*(IS!AH$103+IS!AH$114)+AH65*IS!AH$77</f>
        <v>362.56</v>
      </c>
      <c r="AI312" s="306">
        <f>+AI196*(IS!AI$103+IS!AI$114)+AI65*IS!AI$77</f>
        <v>358.65999999999997</v>
      </c>
      <c r="AJ312" s="306">
        <f>+AJ196*(IS!AJ$103+IS!AJ$114)+AJ65*IS!AJ$77</f>
        <v>373.56</v>
      </c>
      <c r="AK312" s="306">
        <f>+AK196*(IS!AK$103+IS!AK$114)+AK65*IS!AK$77</f>
        <v>319.27</v>
      </c>
      <c r="AL312" s="306">
        <f>+AL196*(IS!AL$103+IS!AL$114)+AL65*IS!AL$77</f>
        <v>475.97</v>
      </c>
      <c r="AM312" s="306">
        <f>+AM196*(IS!AM$103+IS!AM$114)+AM65*IS!AM$77</f>
        <v>445.74</v>
      </c>
      <c r="AN312" s="373">
        <f>+AN196*(IS!AN$103+IS!AN$114)+AN65*IS!AN$77</f>
        <v>448.15</v>
      </c>
      <c r="AO312" s="306">
        <f>+AO196*(IS!AO$103+IS!AO$114)+AO65*IS!AO$77</f>
        <v>430.05</v>
      </c>
      <c r="AP312" s="306">
        <f>+AP196*(IS!AP$103+IS!AP$114)+AP65*IS!AP$77</f>
        <v>513.45000000000005</v>
      </c>
      <c r="AQ312" s="306">
        <f>+AQ196*(IS!AQ$103+IS!AQ$114)+AQ65*IS!AQ$77</f>
        <v>376.48498143309035</v>
      </c>
      <c r="AR312" s="306">
        <f>+AR196*(IS!AR$103+IS!AR$114)+AR65*IS!AR$77</f>
        <v>417.92</v>
      </c>
      <c r="AS312" s="306">
        <f>+AS196*(IS!AS$103+IS!AS$114)+AS65*IS!AS$77</f>
        <v>404.1533667996149</v>
      </c>
      <c r="AT312" s="306">
        <f>+AT196*(IS!AT$103+IS!AT$114)+AT65*IS!AT$77</f>
        <v>432.65999999999997</v>
      </c>
      <c r="AU312" s="306">
        <f>+AU196*(IS!AU$103+IS!AU$114)+AU65*IS!AU$77</f>
        <v>312.70000000000005</v>
      </c>
      <c r="AV312" s="306">
        <f>+AV196*(IS!AV$103+IS!AV$114)+AV65*IS!AV$77</f>
        <v>501.68</v>
      </c>
      <c r="AW312" s="306">
        <f>+AW196*(IS!AW$103+IS!AW$114)+AW65*IS!AW$77</f>
        <v>478.29999999999995</v>
      </c>
      <c r="AX312" s="306">
        <f>+AX196*(IS!AX$103+IS!AX$114)+AX65*IS!AX$77</f>
        <v>574.78</v>
      </c>
      <c r="AY312" s="306">
        <f>+AY196*(IS!AY$103+IS!AY$114)+AY65*IS!AY$77</f>
        <v>409.95</v>
      </c>
      <c r="AZ312" s="306">
        <f>+AZ196*(IS!AZ$103+IS!AZ$114)+AZ65*IS!AZ$77</f>
        <v>558.07000000000005</v>
      </c>
      <c r="BA312" s="306">
        <f>+BA196*(IS!BA$103+IS!BA$114)+BA65*IS!BA$77</f>
        <v>458.15000000000003</v>
      </c>
      <c r="BB312" s="306">
        <f>+BB196*(IS!BB$103+IS!BB$114)+BB65*IS!BB$77</f>
        <v>699.13</v>
      </c>
      <c r="BC312" s="306">
        <f>+BC196*(IS!BC$103+IS!BC$114)+BC65*IS!BC$77</f>
        <v>528.88</v>
      </c>
      <c r="BD312" s="306">
        <f>+BD196*(IS!BD$103+IS!BD$114)+BD65*IS!BD$77</f>
        <v>554.71</v>
      </c>
      <c r="BE312" s="373">
        <f>+BE196*(IS!BE$103+IS!BE$114)+BE65*IS!BE$77</f>
        <v>425.78999999999996</v>
      </c>
      <c r="BF312" s="373">
        <f>+BF196*(IS!BF$103+IS!BF$114)+BF65*IS!BF$77</f>
        <v>649.07999999999993</v>
      </c>
      <c r="BG312" s="373">
        <f>+BG196*(IS!BG$103+IS!BG$114)+BG65*IS!BG$77</f>
        <v>460.58000000000004</v>
      </c>
      <c r="BH312" s="373">
        <f>+BH196*(IS!BH$103+IS!BH$114)+BH65*IS!BH$77</f>
        <v>566.62</v>
      </c>
      <c r="BI312" s="373">
        <f>+BI196*(IS!BI$103+IS!BI$114)+BI65*IS!BI$77</f>
        <v>495.48</v>
      </c>
      <c r="BJ312" s="373">
        <f>+BJ196*(IS!BJ$103+IS!BJ$114)+BJ65*IS!BJ$77</f>
        <v>632.74</v>
      </c>
      <c r="BK312" s="373">
        <f>+BK196*(IS!BK$103+IS!BK$114)+BK65*IS!BK$77</f>
        <v>513</v>
      </c>
      <c r="BL312" s="373">
        <f>+BL196*(IS!BL$103+IS!BL$114)+BL65*IS!BL$77</f>
        <v>565.69000000000005</v>
      </c>
    </row>
    <row r="313" spans="1:64" s="9" customFormat="1" ht="11.25">
      <c r="A313" s="342" t="s">
        <v>1008</v>
      </c>
      <c r="B313" s="949"/>
      <c r="C313" s="949"/>
      <c r="D313" s="949"/>
      <c r="E313" s="949"/>
      <c r="F313" s="949"/>
      <c r="G313" s="949"/>
      <c r="H313" s="949"/>
      <c r="I313" s="949"/>
      <c r="J313" s="949"/>
      <c r="K313" s="949"/>
      <c r="L313" s="949"/>
      <c r="M313" s="949"/>
      <c r="N313" s="949"/>
      <c r="O313" s="949"/>
      <c r="P313" s="949"/>
      <c r="Q313" s="949"/>
      <c r="R313" s="949"/>
      <c r="S313" s="949"/>
      <c r="T313" s="949"/>
      <c r="U313" s="949"/>
      <c r="V313" s="949"/>
      <c r="W313" s="949"/>
      <c r="X313" s="949"/>
      <c r="Y313" s="949"/>
      <c r="Z313" s="949"/>
      <c r="AA313" s="949"/>
      <c r="AB313" s="949"/>
      <c r="AC313" s="306">
        <f>+AC197*(IS!AC$103+IS!AC$114)+IS!AC$77*AC67</f>
        <v>202.22000000000003</v>
      </c>
      <c r="AD313" s="306">
        <f>+AD197*(IS!AD$103+IS!AD$114)+IS!AD$77*AD67</f>
        <v>0</v>
      </c>
      <c r="AE313" s="306">
        <f>+AE197*(IS!AE$103+IS!AE$114)+IS!AE$77*AE67</f>
        <v>148.4</v>
      </c>
      <c r="AF313" s="306">
        <f>+AF197*(IS!AF$103+IS!AF$114)+IS!AF$77*AF67</f>
        <v>193.86000000000004</v>
      </c>
      <c r="AG313" s="306">
        <f>+AG197*(IS!AG$103+IS!AG$114)+IS!AG$77*AG67</f>
        <v>268.2</v>
      </c>
      <c r="AH313" s="306">
        <f>+AH197*(IS!AH$103+IS!AH$114)+IS!AH$77*AH67</f>
        <v>283.56</v>
      </c>
      <c r="AI313" s="306">
        <f>+AI197*(IS!AI$103+IS!AI$114)+IS!AI$77*AI67</f>
        <v>247.36999999999998</v>
      </c>
      <c r="AJ313" s="306">
        <f>+AJ197*(IS!AJ$103+IS!AJ$114)+IS!AJ$77*AJ67</f>
        <v>262.76</v>
      </c>
      <c r="AK313" s="306">
        <f>+AK197*(IS!AK$103+IS!AK$114)+IS!AK$77*AK67</f>
        <v>304.13</v>
      </c>
      <c r="AL313" s="306">
        <f>+AL197*(IS!AL$103+IS!AL$114)+IS!AL$77*AL67</f>
        <v>307.7</v>
      </c>
      <c r="AM313" s="306">
        <f>+AM197*(IS!AM$103+IS!AM$114)+IS!AM$77*AM67</f>
        <v>240.39</v>
      </c>
      <c r="AN313" s="373">
        <f>+AN197*(IS!AN$103+IS!AN$114)+IS!AN$77*AN67</f>
        <v>270.97000000000003</v>
      </c>
      <c r="AO313" s="306">
        <f>+AO197*(IS!AO$103+IS!AO$114)+IS!AO$77*AO67</f>
        <v>247.79999999999998</v>
      </c>
      <c r="AP313" s="306">
        <f>+AP197*(IS!AP$103+IS!AP$114)+IS!AP$77*AP67</f>
        <v>265.55</v>
      </c>
      <c r="AQ313" s="306">
        <f>+AQ197*(IS!AQ$103+IS!AQ$114)+IS!AQ$77*AQ67</f>
        <v>229.0569687800853</v>
      </c>
      <c r="AR313" s="306">
        <f>+AR197*(IS!AR$103+IS!AR$114)+IS!AR$77*AR67</f>
        <v>177.97000000000003</v>
      </c>
      <c r="AS313" s="306">
        <f>+AS197*(IS!AS$103+IS!AS$114)+IS!AS$77*AS67</f>
        <v>249.49102186769358</v>
      </c>
      <c r="AT313" s="306">
        <f>+AT197*(IS!AT$103+IS!AT$114)+IS!AT$77*AT67</f>
        <v>224.10000000000002</v>
      </c>
      <c r="AU313" s="306">
        <f>+AU197*(IS!AU$103+IS!AU$114)+IS!AU$77*AU67</f>
        <v>47.67</v>
      </c>
      <c r="AV313" s="306">
        <f>+AV197*(IS!AV$103+IS!AV$114)+IS!AV$77*AV67</f>
        <v>-118.96</v>
      </c>
      <c r="AW313" s="306">
        <f>+AW197*(IS!AW$103+IS!AW$114)+IS!AW$77*AW67</f>
        <v>25.720000000000002</v>
      </c>
      <c r="AX313" s="306">
        <f>+AX197*(IS!AX$103+IS!AX$114)+IS!AX$77*AX67</f>
        <v>140.94</v>
      </c>
      <c r="AY313" s="306">
        <f>+AY197*(IS!AY$103+IS!AY$114)+IS!AY$77*AY67</f>
        <v>73.989999999999995</v>
      </c>
      <c r="AZ313" s="306">
        <f>+AZ197*(IS!AZ$103+IS!AZ$114)+IS!AZ$77*AZ67</f>
        <v>133.4</v>
      </c>
      <c r="BA313" s="306">
        <f>+BA197*(IS!BA$103+IS!BA$114)+IS!BA$77*BA67</f>
        <v>186.34</v>
      </c>
      <c r="BB313" s="306">
        <f>+BB197*(IS!BB$103+IS!BB$114)+IS!BB$77*BB67</f>
        <v>273.8</v>
      </c>
      <c r="BC313" s="306">
        <f>+BC197*(IS!BC$103+IS!BC$114)+IS!BC$77*BC67</f>
        <v>170.51</v>
      </c>
      <c r="BD313" s="306">
        <f>+BD197*(IS!BD$103+IS!BD$114)+IS!BD$77*BD67</f>
        <v>212</v>
      </c>
      <c r="BE313" s="373">
        <f>+BE197*(IS!BE$103+IS!BE$114)+IS!BE$77*BE67</f>
        <v>251.01</v>
      </c>
      <c r="BF313" s="373">
        <f>+BF197*(IS!BF$103+IS!BF$114)+IS!BF$77*BF67</f>
        <v>260.13</v>
      </c>
      <c r="BG313" s="373">
        <f>+BG197*(IS!BG$103+IS!BG$114)+IS!BG$77*BG67</f>
        <v>221.60000000000002</v>
      </c>
      <c r="BH313" s="373">
        <f>+BH197*(IS!BH$103+IS!BH$114)+IS!BH$77*BH67</f>
        <v>257.05</v>
      </c>
      <c r="BI313" s="373">
        <f>+BI197*(IS!BI$103+IS!BI$114)+IS!BI$77*BI67</f>
        <v>307.41000000000003</v>
      </c>
      <c r="BJ313" s="373">
        <f>+BJ197*(IS!BJ$103+IS!BJ$114)+IS!BJ$77*BJ67</f>
        <v>267.97000000000003</v>
      </c>
      <c r="BK313" s="373">
        <f>+BK197*(IS!BK$103+IS!BK$114)+IS!BK$77*BK67</f>
        <v>236.7</v>
      </c>
      <c r="BL313" s="373">
        <f>+BL197*(IS!BL$103+IS!BL$114)+IS!BL$77*BL67</f>
        <v>247.25</v>
      </c>
    </row>
    <row r="314" spans="1:64" s="9" customFormat="1" ht="11.25">
      <c r="A314" s="342" t="s">
        <v>1018</v>
      </c>
      <c r="B314" s="949"/>
      <c r="C314" s="949"/>
      <c r="D314" s="949"/>
      <c r="E314" s="949"/>
      <c r="F314" s="949"/>
      <c r="G314" s="949"/>
      <c r="H314" s="949"/>
      <c r="I314" s="949"/>
      <c r="J314" s="949"/>
      <c r="K314" s="949"/>
      <c r="L314" s="949"/>
      <c r="M314" s="949"/>
      <c r="N314" s="949"/>
      <c r="O314" s="949"/>
      <c r="P314" s="949"/>
      <c r="Q314" s="949"/>
      <c r="R314" s="949"/>
      <c r="S314" s="949"/>
      <c r="T314" s="949"/>
      <c r="U314" s="949"/>
      <c r="V314" s="949"/>
      <c r="W314" s="949"/>
      <c r="X314" s="949"/>
      <c r="Y314" s="949"/>
      <c r="Z314" s="949"/>
      <c r="AA314" s="949"/>
      <c r="AB314" s="949"/>
      <c r="AC314" s="306">
        <f>+AC198*(IS!AC$103+IS!AC$114)+IS!AC$77*AC66</f>
        <v>422.15</v>
      </c>
      <c r="AD314" s="306">
        <f>+AD198*(IS!AD$103+IS!AD$114)+IS!AD$77*AD66</f>
        <v>0</v>
      </c>
      <c r="AE314" s="306">
        <f>+AE198*(IS!AE$103+IS!AE$114)+IS!AE$77*AE66</f>
        <v>429.28000000000003</v>
      </c>
      <c r="AF314" s="306">
        <f>+AF198*(IS!AF$103+IS!AF$114)+IS!AF$77*AF66</f>
        <v>496.35000000000008</v>
      </c>
      <c r="AG314" s="306">
        <f>+AG198*(IS!AG$103+IS!AG$114)+IS!AG$77*AG66</f>
        <v>554.15</v>
      </c>
      <c r="AH314" s="306">
        <f>+AH198*(IS!AH$103+IS!AH$114)+IS!AH$77*AH66</f>
        <v>531.03</v>
      </c>
      <c r="AI314" s="306">
        <f>+AI198*(IS!AI$103+IS!AI$114)+IS!AI$77*AI66</f>
        <v>485.29</v>
      </c>
      <c r="AJ314" s="306">
        <f>+AJ198*(IS!AJ$103+IS!AJ$114)+IS!AJ$77*AJ66</f>
        <v>556.04</v>
      </c>
      <c r="AK314" s="306">
        <f>+AK198*(IS!AK$103+IS!AK$114)+IS!AK$77*AK66</f>
        <v>532.23</v>
      </c>
      <c r="AL314" s="306">
        <f>+AL198*(IS!AL$103+IS!AL$114)+IS!AL$77*AL66</f>
        <v>606.95000000000005</v>
      </c>
      <c r="AM314" s="306">
        <f>+AM198*(IS!AM$103+IS!AM$114)+IS!AM$77*AM66</f>
        <v>534.75</v>
      </c>
      <c r="AN314" s="373">
        <f>+AN198*(IS!AN$103+IS!AN$114)+IS!AN$77*AN66</f>
        <v>611.75</v>
      </c>
      <c r="AO314" s="306">
        <f>+AO198*(IS!AO$103+IS!AO$114)+IS!AO$77*AO66</f>
        <v>572.25</v>
      </c>
      <c r="AP314" s="306">
        <f>+AP198*(IS!AP$103+IS!AP$114)+IS!AP$77*AP66</f>
        <v>589.68000000000006</v>
      </c>
      <c r="AQ314" s="306">
        <f>+AQ198*(IS!AQ$103+IS!AQ$114)+IS!AQ$77*AQ66</f>
        <v>650.08043460321824</v>
      </c>
      <c r="AR314" s="306">
        <f>+AR198*(IS!AR$103+IS!AR$114)+IS!AR$77*AR66</f>
        <v>843.81</v>
      </c>
      <c r="AS314" s="306">
        <f>+AS198*(IS!AS$103+IS!AS$114)+IS!AS$77*AS66</f>
        <v>839.22354696740467</v>
      </c>
      <c r="AT314" s="306">
        <f>+AT198*(IS!AT$103+IS!AT$114)+IS!AT$77*AT66</f>
        <v>900.7600000000001</v>
      </c>
      <c r="AU314" s="306">
        <f>+AU198*(IS!AU$103+IS!AU$114)+IS!AU$77*AU66</f>
        <v>662.37</v>
      </c>
      <c r="AV314" s="306">
        <f>+AV198*(IS!AV$103+IS!AV$114)+IS!AV$77*AV66</f>
        <v>-252.72000000000003</v>
      </c>
      <c r="AW314" s="306">
        <f>+AW198*(IS!AW$103+IS!AW$114)+IS!AW$77*AW66</f>
        <v>527.1</v>
      </c>
      <c r="AX314" s="306">
        <f>+AX198*(IS!AX$103+IS!AX$114)+IS!AX$77*AX66</f>
        <v>870.88000000000011</v>
      </c>
      <c r="AY314" s="306">
        <f>+AY198*(IS!AY$103+IS!AY$114)+IS!AY$77*AY66</f>
        <v>688.44</v>
      </c>
      <c r="AZ314" s="306">
        <f>+AZ198*(IS!AZ$103+IS!AZ$114)+IS!AZ$77*AZ66</f>
        <v>1001.0999999999999</v>
      </c>
      <c r="BA314" s="306">
        <f>+BA198*(IS!BA$103+IS!BA$114)+IS!BA$77*BA66</f>
        <v>1161.9299999999998</v>
      </c>
      <c r="BB314" s="306">
        <f>+BB198*(IS!BB$103+IS!BB$114)+IS!BB$77*BB66</f>
        <v>1652.9499999999998</v>
      </c>
      <c r="BC314" s="306">
        <f>+BC198*(IS!BC$103+IS!BC$114)+IS!BC$77*BC66</f>
        <v>1232.02</v>
      </c>
      <c r="BD314" s="306">
        <f>+BD198*(IS!BD$103+IS!BD$114)+IS!BD$77*BD66</f>
        <v>1465.71</v>
      </c>
      <c r="BE314" s="373">
        <f>+BE198*(IS!BE$103+IS!BE$114)+IS!BE$77*BE66</f>
        <v>1472.31</v>
      </c>
      <c r="BF314" s="373">
        <f>+BF198*(IS!BF$103+IS!BF$114)+IS!BF$77*BF66</f>
        <v>1478.46</v>
      </c>
      <c r="BG314" s="373">
        <f>+BG198*(IS!BG$103+IS!BG$114)+IS!BG$77*BG66</f>
        <v>1571.52</v>
      </c>
      <c r="BH314" s="373">
        <f>+BH198*(IS!BH$103+IS!BH$114)+IS!BH$77*BH66</f>
        <v>1786.71</v>
      </c>
      <c r="BI314" s="373">
        <f>+BI198*(IS!BI$103+IS!BI$114)+IS!BI$77*BI66</f>
        <v>1884.09</v>
      </c>
      <c r="BJ314" s="373">
        <f>+BJ198*(IS!BJ$103+IS!BJ$114)+IS!BJ$77*BJ66</f>
        <v>1903.73</v>
      </c>
      <c r="BK314" s="373">
        <f>+BK198*(IS!BK$103+IS!BK$114)+IS!BK$77*BK66</f>
        <v>1769.22</v>
      </c>
      <c r="BL314" s="373">
        <f>+BL198*(IS!BL$103+IS!BL$114)+IS!BL$77*BL66</f>
        <v>1831.35</v>
      </c>
    </row>
    <row r="315" spans="1:64" s="9" customFormat="1" ht="11.25">
      <c r="A315" s="342" t="s">
        <v>1009</v>
      </c>
      <c r="B315" s="949"/>
      <c r="C315" s="949"/>
      <c r="D315" s="949"/>
      <c r="E315" s="949"/>
      <c r="F315" s="949"/>
      <c r="G315" s="949"/>
      <c r="H315" s="949"/>
      <c r="I315" s="949"/>
      <c r="J315" s="949"/>
      <c r="K315" s="949"/>
      <c r="L315" s="949"/>
      <c r="M315" s="949"/>
      <c r="N315" s="949"/>
      <c r="O315" s="949"/>
      <c r="P315" s="949"/>
      <c r="Q315" s="949"/>
      <c r="R315" s="949"/>
      <c r="S315" s="949"/>
      <c r="T315" s="949"/>
      <c r="U315" s="949"/>
      <c r="V315" s="949"/>
      <c r="W315" s="949"/>
      <c r="X315" s="949"/>
      <c r="Y315" s="949"/>
      <c r="Z315" s="949"/>
      <c r="AA315" s="949"/>
      <c r="AB315" s="949"/>
      <c r="AC315" s="306">
        <f>+AC68*IS!AC$77</f>
        <v>92.08</v>
      </c>
      <c r="AD315" s="306">
        <f>+AD68*IS!AD$77</f>
        <v>0</v>
      </c>
      <c r="AE315" s="306">
        <f>+AE68*IS!AE$77</f>
        <v>81.48</v>
      </c>
      <c r="AF315" s="306">
        <f>+AF68*IS!AF$77</f>
        <v>102.32000000000001</v>
      </c>
      <c r="AG315" s="306">
        <f>+AG68*IS!AG$77</f>
        <v>93.73</v>
      </c>
      <c r="AH315" s="306">
        <f>+AH68*IS!AH$77</f>
        <v>114.64</v>
      </c>
      <c r="AI315" s="306">
        <f>+AI68*IS!AI$77</f>
        <v>87.29</v>
      </c>
      <c r="AJ315" s="306">
        <f>+AJ68*IS!AJ$77</f>
        <v>112.96000000000001</v>
      </c>
      <c r="AK315" s="306">
        <f>+AK68*IS!AK$77</f>
        <v>90.580000000000013</v>
      </c>
      <c r="AL315" s="306">
        <f>+AL68*IS!AL$77</f>
        <v>132.4</v>
      </c>
      <c r="AM315" s="306">
        <f>+AM68*IS!AM$77</f>
        <v>109.2</v>
      </c>
      <c r="AN315" s="373">
        <f>+AN68*IS!AN$77</f>
        <v>136.53</v>
      </c>
      <c r="AO315" s="306">
        <f>+AO68*IS!AO$77</f>
        <v>114</v>
      </c>
      <c r="AP315" s="306">
        <f>+AP68*IS!AP$77</f>
        <v>111.58000000000001</v>
      </c>
      <c r="AQ315" s="306">
        <f>+AQ68*IS!AQ$77</f>
        <v>107.04</v>
      </c>
      <c r="AR315" s="306">
        <f>+AR68*IS!AR$77</f>
        <v>133.84</v>
      </c>
      <c r="AS315" s="306">
        <f>+AS68*IS!AS$77</f>
        <v>122.08</v>
      </c>
      <c r="AT315" s="306">
        <f>+AT68*IS!AT$77</f>
        <v>133.04</v>
      </c>
      <c r="AU315" s="306">
        <f>+AU68*IS!AU$77</f>
        <v>114.57</v>
      </c>
      <c r="AV315" s="306">
        <f>+AV68*IS!AV$77</f>
        <v>-80.16</v>
      </c>
      <c r="AW315" s="306">
        <f>+AW68*IS!AW$77</f>
        <v>25.900000000000002</v>
      </c>
      <c r="AX315" s="306">
        <f>+AX68*IS!AX$77</f>
        <v>84.6</v>
      </c>
      <c r="AY315" s="306">
        <f>+AY68*IS!AY$77</f>
        <v>36.04</v>
      </c>
      <c r="AZ315" s="306">
        <f>+AZ68*IS!AZ$77</f>
        <v>109.13000000000001</v>
      </c>
      <c r="BA315" s="306">
        <f>+BA68*IS!BA$77</f>
        <v>97.02000000000001</v>
      </c>
      <c r="BB315" s="306">
        <f>+BB68*IS!BB$77</f>
        <v>147.35000000000002</v>
      </c>
      <c r="BC315" s="306">
        <f>+BC68*IS!BC$77</f>
        <v>131.68</v>
      </c>
      <c r="BD315" s="306">
        <f>+BD68*IS!BD$77</f>
        <v>152.4</v>
      </c>
      <c r="BE315" s="373">
        <f>+BE68*IS!BE$77</f>
        <v>149.52000000000001</v>
      </c>
      <c r="BF315" s="373">
        <f>+BF68*IS!BF$77</f>
        <v>193.23</v>
      </c>
      <c r="BG315" s="373">
        <f>+BG68*IS!BG$77</f>
        <v>138.04000000000002</v>
      </c>
      <c r="BH315" s="373">
        <f>+BH68*IS!BH$77</f>
        <v>164.99</v>
      </c>
      <c r="BI315" s="373">
        <f>+BI68*IS!BI$77</f>
        <v>157.92000000000002</v>
      </c>
      <c r="BJ315" s="373">
        <f>+BJ68*IS!BJ$77</f>
        <v>169.4</v>
      </c>
      <c r="BK315" s="373">
        <f>+BK68*IS!BK$77</f>
        <v>170.10000000000002</v>
      </c>
      <c r="BL315" s="373">
        <f>+BL68*IS!BL$77</f>
        <v>185.01000000000002</v>
      </c>
    </row>
    <row r="316" spans="1:64" s="9" customFormat="1" ht="11.25">
      <c r="A316" s="342" t="s">
        <v>1010</v>
      </c>
      <c r="B316" s="949"/>
      <c r="C316" s="949"/>
      <c r="D316" s="949"/>
      <c r="E316" s="949"/>
      <c r="F316" s="949"/>
      <c r="G316" s="949"/>
      <c r="H316" s="949"/>
      <c r="I316" s="949"/>
      <c r="J316" s="949"/>
      <c r="K316" s="949"/>
      <c r="L316" s="949"/>
      <c r="M316" s="949"/>
      <c r="N316" s="949"/>
      <c r="O316" s="949"/>
      <c r="P316" s="949"/>
      <c r="Q316" s="949"/>
      <c r="R316" s="949"/>
      <c r="S316" s="949"/>
      <c r="T316" s="949"/>
      <c r="U316" s="949"/>
      <c r="V316" s="949"/>
      <c r="W316" s="949"/>
      <c r="X316" s="949"/>
      <c r="Y316" s="949"/>
      <c r="Z316" s="949"/>
      <c r="AA316" s="949"/>
      <c r="AB316" s="949"/>
      <c r="AC316" s="306">
        <f>+AC69*IS!AC$77</f>
        <v>80.570000000000007</v>
      </c>
      <c r="AD316" s="306">
        <f>+AD69*IS!AD$77</f>
        <v>0</v>
      </c>
      <c r="AE316" s="306">
        <f>+AE69*IS!AE$77</f>
        <v>69.84</v>
      </c>
      <c r="AF316" s="306">
        <f>+AF69*IS!AF$77</f>
        <v>89.530000000000015</v>
      </c>
      <c r="AG316" s="306">
        <f>+AG69*IS!AG$77</f>
        <v>93.73</v>
      </c>
      <c r="AH316" s="306">
        <f>+AH69*IS!AH$77</f>
        <v>114.64</v>
      </c>
      <c r="AI316" s="306">
        <f>+AI69*IS!AI$77</f>
        <v>87.29</v>
      </c>
      <c r="AJ316" s="306">
        <f>+AJ69*IS!AJ$77</f>
        <v>98.84</v>
      </c>
      <c r="AK316" s="306">
        <f>+AK69*IS!AK$77</f>
        <v>77.64</v>
      </c>
      <c r="AL316" s="306">
        <f>+AL69*IS!AL$77</f>
        <v>115.85000000000001</v>
      </c>
      <c r="AM316" s="306">
        <f>+AM69*IS!AM$77</f>
        <v>68.25</v>
      </c>
      <c r="AN316" s="373">
        <f>+AN69*IS!AN$77</f>
        <v>91.02</v>
      </c>
      <c r="AO316" s="306">
        <f>+AO69*IS!AO$77</f>
        <v>85.5</v>
      </c>
      <c r="AP316" s="306">
        <f>+AP69*IS!AP$77</f>
        <v>79.7</v>
      </c>
      <c r="AQ316" s="306">
        <f>+AQ69*IS!AQ$77</f>
        <v>66.900000000000006</v>
      </c>
      <c r="AR316" s="306">
        <f>+AR69*IS!AR$77</f>
        <v>83.65</v>
      </c>
      <c r="AS316" s="306">
        <f>+AS69*IS!AS$77</f>
        <v>61.04</v>
      </c>
      <c r="AT316" s="306">
        <f>+AT69*IS!AT$77</f>
        <v>66.52</v>
      </c>
      <c r="AU316" s="306">
        <f>+AU69*IS!AU$77</f>
        <v>25.46</v>
      </c>
      <c r="AV316" s="306">
        <f>+AV69*IS!AV$77</f>
        <v>-63.46</v>
      </c>
      <c r="AW316" s="306">
        <f>+AW69*IS!AW$77</f>
        <v>5.18</v>
      </c>
      <c r="AX316" s="306">
        <f>+AX69*IS!AX$77</f>
        <v>70.5</v>
      </c>
      <c r="AY316" s="306">
        <f>+AY69*IS!AY$77</f>
        <v>9.01</v>
      </c>
      <c r="AZ316" s="306">
        <f>+AZ69*IS!AZ$77</f>
        <v>77.95</v>
      </c>
      <c r="BA316" s="306">
        <f>+BA69*IS!BA$77</f>
        <v>55.44</v>
      </c>
      <c r="BB316" s="306">
        <f>+BB69*IS!BB$77</f>
        <v>84.2</v>
      </c>
      <c r="BC316" s="306">
        <f>+BC69*IS!BC$77</f>
        <v>65.84</v>
      </c>
      <c r="BD316" s="306">
        <f>+BD69*IS!BD$77</f>
        <v>76.2</v>
      </c>
      <c r="BE316" s="373">
        <f>+BE69*IS!BE$77</f>
        <v>74.760000000000005</v>
      </c>
      <c r="BF316" s="373">
        <f>+BF69*IS!BF$77</f>
        <v>150.29000000000002</v>
      </c>
      <c r="BG316" s="373">
        <f>+BG69*IS!BG$77</f>
        <v>59.16</v>
      </c>
      <c r="BH316" s="373">
        <f>+BH69*IS!BH$77</f>
        <v>70.709999999999994</v>
      </c>
      <c r="BI316" s="373">
        <f>+BI69*IS!BI$77</f>
        <v>67.679999999999993</v>
      </c>
      <c r="BJ316" s="373">
        <f>+BJ69*IS!BJ$77</f>
        <v>72.599999999999994</v>
      </c>
      <c r="BK316" s="373">
        <f>+BK69*IS!BK$77</f>
        <v>72.899999999999991</v>
      </c>
      <c r="BL316" s="373">
        <f>+BL69*IS!BL$77</f>
        <v>79.289999999999992</v>
      </c>
    </row>
    <row r="317" spans="1:64" s="9" customFormat="1" ht="11.25">
      <c r="A317" s="342" t="s">
        <v>1011</v>
      </c>
      <c r="B317" s="949"/>
      <c r="C317" s="949"/>
      <c r="D317" s="949"/>
      <c r="E317" s="949"/>
      <c r="F317" s="949"/>
      <c r="G317" s="949"/>
      <c r="H317" s="949"/>
      <c r="I317" s="949"/>
      <c r="J317" s="949"/>
      <c r="K317" s="949"/>
      <c r="L317" s="949"/>
      <c r="M317" s="949"/>
      <c r="N317" s="949"/>
      <c r="O317" s="949"/>
      <c r="P317" s="949"/>
      <c r="Q317" s="949"/>
      <c r="R317" s="949"/>
      <c r="S317" s="949"/>
      <c r="T317" s="949"/>
      <c r="U317" s="949"/>
      <c r="V317" s="949"/>
      <c r="W317" s="949"/>
      <c r="X317" s="949"/>
      <c r="Y317" s="949"/>
      <c r="Z317" s="949"/>
      <c r="AA317" s="949"/>
      <c r="AB317" s="949"/>
      <c r="AC317" s="306">
        <f>+AC70*IS!AC$77</f>
        <v>241.70999999999998</v>
      </c>
      <c r="AD317" s="306">
        <f>+AD70*IS!AD$77</f>
        <v>0</v>
      </c>
      <c r="AE317" s="306">
        <f>+AE70*IS!AE$77</f>
        <v>256.08</v>
      </c>
      <c r="AF317" s="306">
        <f>+AF70*IS!AF$77</f>
        <v>243.01</v>
      </c>
      <c r="AG317" s="306">
        <f>+AG70*IS!AG$77</f>
        <v>307.97000000000003</v>
      </c>
      <c r="AH317" s="306">
        <f>+AH70*IS!AH$77</f>
        <v>386.91</v>
      </c>
      <c r="AI317" s="306">
        <f>+AI70*IS!AI$77</f>
        <v>286.81</v>
      </c>
      <c r="AJ317" s="306">
        <f>+AJ70*IS!AJ$77</f>
        <v>282.40000000000003</v>
      </c>
      <c r="AK317" s="306">
        <f>+AK70*IS!AK$77</f>
        <v>284.68</v>
      </c>
      <c r="AL317" s="306">
        <f>+AL70*IS!AL$77</f>
        <v>397.2</v>
      </c>
      <c r="AM317" s="306">
        <f>+AM70*IS!AM$77</f>
        <v>300.3</v>
      </c>
      <c r="AN317" s="373">
        <f>+AN70*IS!AN$77</f>
        <v>318.57</v>
      </c>
      <c r="AO317" s="306">
        <f>+AO70*IS!AO$77</f>
        <v>256.5</v>
      </c>
      <c r="AP317" s="306">
        <f>+AP70*IS!AP$77</f>
        <v>366.62</v>
      </c>
      <c r="AQ317" s="306">
        <f>+AQ70*IS!AQ$77+AQ199*(IS!AQ$103+IS!AQ$114)</f>
        <v>396.10036033557969</v>
      </c>
      <c r="AR317" s="306">
        <f>+AR70*IS!AR$77+AR199*(IS!AR$103+IS!AR$114)</f>
        <v>506.51</v>
      </c>
      <c r="AS317" s="306">
        <f>+AS70*IS!AS$77+AS199*(IS!AS$103+IS!AS$114)</f>
        <v>389.90392793288407</v>
      </c>
      <c r="AT317" s="306">
        <f>+AT70*IS!AT$77+AT199*(IS!AT$103+IS!AT$114)</f>
        <v>646.67000000000007</v>
      </c>
      <c r="AU317" s="306">
        <f>+AU70*IS!AU$77+AU199*(IS!AU$103+IS!AU$114)</f>
        <v>343.16999999999996</v>
      </c>
      <c r="AV317" s="306">
        <f>+AV70*IS!AV$77+AV199*(IS!AV$103+IS!AV$114)</f>
        <v>-712.36</v>
      </c>
      <c r="AW317" s="306">
        <f>+AW70*IS!AW$77+AW199*(IS!AW$103+IS!AW$114)</f>
        <v>-93.24</v>
      </c>
      <c r="AX317" s="306">
        <f>+AX70*IS!AX$77+AX199*(IS!AX$103+IS!AX$114)</f>
        <v>225.54</v>
      </c>
      <c r="AY317" s="306">
        <f>+AY70*IS!AY$77+AY199*(IS!AY$103+IS!AY$114)</f>
        <v>29.759999999999998</v>
      </c>
      <c r="AZ317" s="306">
        <f>+AZ70*IS!AZ$77+AZ199*(IS!AZ$103+IS!AZ$114)</f>
        <v>173.66</v>
      </c>
      <c r="BA317" s="306">
        <f>+BA70*IS!BA$77+BA199*(IS!BA$103+IS!BA$114)</f>
        <v>202.51</v>
      </c>
      <c r="BB317" s="306">
        <f>+BB70*IS!BB$77+BB199*(IS!BB$103+IS!BB$114)</f>
        <v>376.96000000000004</v>
      </c>
      <c r="BC317" s="306">
        <f>+BC70*IS!BC$77+BC199*(IS!BC$103+IS!BC$114)</f>
        <v>271.24</v>
      </c>
      <c r="BD317" s="306">
        <f>+BD70*IS!BD$77+BD199*(IS!BD$103+IS!BD$114)</f>
        <v>372.51</v>
      </c>
      <c r="BE317" s="373">
        <f>+BE70*IS!BE$77+BE199*(IS!BE$103+IS!BE$114)</f>
        <v>333.36</v>
      </c>
      <c r="BF317" s="373">
        <f>+BF70*IS!BF$77+BF199*(IS!BF$103+IS!BF$114)</f>
        <v>418.13</v>
      </c>
      <c r="BG317" s="373">
        <f>+BG70*IS!BG$77+BG199*(IS!BG$103+IS!BG$114)</f>
        <v>352.22</v>
      </c>
      <c r="BH317" s="373">
        <f>+BH70*IS!BH$77+BH199*(IS!BH$103+IS!BH$114)</f>
        <v>426.30999999999995</v>
      </c>
      <c r="BI317" s="373">
        <f>+BI70*IS!BI$77+BI199*(IS!BI$103+IS!BI$114)</f>
        <v>382.89</v>
      </c>
      <c r="BJ317" s="373">
        <f>+BJ70*IS!BJ$77+BJ199*(IS!BJ$103+IS!BJ$114)</f>
        <v>445.83</v>
      </c>
      <c r="BK317" s="373">
        <f>+BK70*IS!BK$77+BK199*(IS!BK$103+IS!BK$114)</f>
        <v>394.02</v>
      </c>
      <c r="BL317" s="373">
        <f>+BL70*IS!BL$77+BL199*(IS!BL$103+IS!BL$114)</f>
        <v>428.85</v>
      </c>
    </row>
    <row r="318" spans="1:64" s="9" customFormat="1" ht="11.25">
      <c r="A318" s="342" t="s">
        <v>1012</v>
      </c>
      <c r="B318" s="949"/>
      <c r="C318" s="949"/>
      <c r="D318" s="949"/>
      <c r="E318" s="949"/>
      <c r="F318" s="949"/>
      <c r="G318" s="949"/>
      <c r="H318" s="949"/>
      <c r="I318" s="949"/>
      <c r="J318" s="949"/>
      <c r="K318" s="949"/>
      <c r="L318" s="949"/>
      <c r="M318" s="949"/>
      <c r="N318" s="949"/>
      <c r="O318" s="949"/>
      <c r="P318" s="949"/>
      <c r="Q318" s="949"/>
      <c r="R318" s="949"/>
      <c r="S318" s="949"/>
      <c r="T318" s="949"/>
      <c r="U318" s="949"/>
      <c r="V318" s="949"/>
      <c r="W318" s="949"/>
      <c r="X318" s="949"/>
      <c r="Y318" s="949"/>
      <c r="Z318" s="949"/>
      <c r="AA318" s="949"/>
      <c r="AB318" s="949"/>
      <c r="AC318" s="306">
        <f>+AC72*IS!AC$77</f>
        <v>23.02</v>
      </c>
      <c r="AD318" s="306">
        <f>+AD72*IS!AD$77</f>
        <v>0</v>
      </c>
      <c r="AE318" s="306">
        <f>+AE72*IS!AE$77</f>
        <v>11.64</v>
      </c>
      <c r="AF318" s="306">
        <f>+AF72*IS!AF$77</f>
        <v>25.580000000000002</v>
      </c>
      <c r="AG318" s="306">
        <f>+AG72*IS!AG$77</f>
        <v>40.17</v>
      </c>
      <c r="AH318" s="306">
        <f>+AH72*IS!AH$77</f>
        <v>57.32</v>
      </c>
      <c r="AI318" s="306">
        <f>+AI72*IS!AI$77</f>
        <v>37.409999999999997</v>
      </c>
      <c r="AJ318" s="306">
        <f>+AJ72*IS!AJ$77</f>
        <v>42.36</v>
      </c>
      <c r="AK318" s="306">
        <f>+AK72*IS!AK$77</f>
        <v>38.82</v>
      </c>
      <c r="AL318" s="306">
        <f>+AL72*IS!AL$77</f>
        <v>49.65</v>
      </c>
      <c r="AM318" s="306">
        <f>+AM72*IS!AM$77</f>
        <v>40.949999999999996</v>
      </c>
      <c r="AN318" s="373">
        <f>+AN72*IS!AN$77</f>
        <v>30.34</v>
      </c>
      <c r="AO318" s="306">
        <f>+AO72*IS!AO$77</f>
        <v>28.5</v>
      </c>
      <c r="AP318" s="306">
        <f>+AP72*IS!AP$77</f>
        <v>31.88</v>
      </c>
      <c r="AQ318" s="306">
        <f>+AQ72*IS!AQ$77</f>
        <v>26.76</v>
      </c>
      <c r="AR318" s="306">
        <f>+AR72*IS!AR$77</f>
        <v>33.46</v>
      </c>
      <c r="AS318" s="306">
        <f>+AS72*IS!AS$77</f>
        <v>30.52</v>
      </c>
      <c r="AT318" s="306">
        <f>+AT72*IS!AT$77</f>
        <v>33.26</v>
      </c>
      <c r="AU318" s="306">
        <f>+AU72*IS!AU$77</f>
        <v>12.73</v>
      </c>
      <c r="AV318" s="306">
        <f>+AV72*IS!AV$77</f>
        <v>-53.44</v>
      </c>
      <c r="AW318" s="306">
        <f>+AW72*IS!AW$77</f>
        <v>-25.900000000000002</v>
      </c>
      <c r="AX318" s="306">
        <f>+AX72*IS!AX$77</f>
        <v>-14.1</v>
      </c>
      <c r="AY318" s="306">
        <f>+AY72*IS!AY$77</f>
        <v>9.01</v>
      </c>
      <c r="AZ318" s="306">
        <f>+AZ72*IS!AZ$77</f>
        <v>15.59</v>
      </c>
      <c r="BA318" s="306">
        <f>+BA72*IS!BA$77</f>
        <v>13.86</v>
      </c>
      <c r="BB318" s="306">
        <f>+BB72*IS!BB$77</f>
        <v>21.05</v>
      </c>
      <c r="BC318" s="306">
        <f>+BC72*IS!BC$77</f>
        <v>16.46</v>
      </c>
      <c r="BD318" s="306">
        <f>+BD72*IS!BD$77</f>
        <v>19.05</v>
      </c>
      <c r="BE318" s="373">
        <f>+BE72*IS!BE$77</f>
        <v>18.690000000000001</v>
      </c>
      <c r="BF318" s="373">
        <f>+BF72*IS!BF$77</f>
        <v>21.47</v>
      </c>
      <c r="BG318" s="373">
        <f>+BG72*IS!BG$77</f>
        <v>19.72</v>
      </c>
      <c r="BH318" s="373">
        <f>+BH72*IS!BH$77</f>
        <v>23.57</v>
      </c>
      <c r="BI318" s="373">
        <f>+BI72*IS!BI$77</f>
        <v>22.56</v>
      </c>
      <c r="BJ318" s="373">
        <f>+BJ72*IS!BJ$77</f>
        <v>24.2</v>
      </c>
      <c r="BK318" s="373">
        <f>+BK72*IS!BK$77</f>
        <v>24.3</v>
      </c>
      <c r="BL318" s="373">
        <f>+BL72*IS!BL$77</f>
        <v>26.43</v>
      </c>
    </row>
    <row r="319" spans="1:64" s="9" customFormat="1" ht="11.25">
      <c r="A319" s="342" t="s">
        <v>1019</v>
      </c>
      <c r="B319" s="949"/>
      <c r="C319" s="949"/>
      <c r="D319" s="949"/>
      <c r="E319" s="949"/>
      <c r="F319" s="949"/>
      <c r="G319" s="949"/>
      <c r="H319" s="949"/>
      <c r="I319" s="949"/>
      <c r="J319" s="949"/>
      <c r="K319" s="949"/>
      <c r="L319" s="949"/>
      <c r="M319" s="949"/>
      <c r="N319" s="949"/>
      <c r="O319" s="949"/>
      <c r="P319" s="949"/>
      <c r="Q319" s="949"/>
      <c r="R319" s="949"/>
      <c r="S319" s="949"/>
      <c r="T319" s="949"/>
      <c r="U319" s="949"/>
      <c r="V319" s="949"/>
      <c r="W319" s="949"/>
      <c r="X319" s="949"/>
      <c r="Y319" s="949"/>
      <c r="Z319" s="949"/>
      <c r="AA319" s="949"/>
      <c r="AB319" s="949"/>
      <c r="AC319" s="306">
        <f>+AC200*(IS!AC$103+IS!AC$114)</f>
        <v>140</v>
      </c>
      <c r="AD319" s="306">
        <f>+AD200*(IS!AD$103+IS!AD$114)</f>
        <v>0</v>
      </c>
      <c r="AE319" s="306">
        <f>+AE200*(IS!AE$103+IS!AE$114)</f>
        <v>163.19999999999999</v>
      </c>
      <c r="AF319" s="306">
        <f>+AF200*(IS!AF$103+IS!AF$114)</f>
        <v>144.23999999999998</v>
      </c>
      <c r="AG319" s="306">
        <f>+AG200*(IS!AG$103+IS!AG$114)</f>
        <v>165.84</v>
      </c>
      <c r="AH319" s="306">
        <f>+AH200*(IS!AH$103+IS!AH$114)</f>
        <v>222.75</v>
      </c>
      <c r="AI319" s="306">
        <f>+AI200*(IS!AI$103+IS!AI$114)</f>
        <v>184.07999999999998</v>
      </c>
      <c r="AJ319" s="306">
        <f>+AJ200*(IS!AJ$103+IS!AJ$114)</f>
        <v>159.6</v>
      </c>
      <c r="AK319" s="306">
        <f>+AK200*(IS!AK$103+IS!AK$114)</f>
        <v>182.85</v>
      </c>
      <c r="AL319" s="306">
        <f>+AL200*(IS!AL$103+IS!AL$114)</f>
        <v>241.5</v>
      </c>
      <c r="AM319" s="306">
        <f>+AM200*(IS!AM$103+IS!AM$114)</f>
        <v>216.06</v>
      </c>
      <c r="AN319" s="373">
        <f>+AN200*(IS!AN$103+IS!AN$114)</f>
        <v>186.99</v>
      </c>
      <c r="AO319" s="306">
        <f>+AO200*(IS!AO$103+IS!AO$114)</f>
        <v>206.70000000000002</v>
      </c>
      <c r="AP319" s="306">
        <f>+AP200*(IS!AP$103+IS!AP$114)</f>
        <v>221.25</v>
      </c>
      <c r="AQ319" s="306">
        <f>+AQ200*(IS!AQ$103+IS!AQ$114)</f>
        <v>181.41227341493601</v>
      </c>
      <c r="AR319" s="306">
        <f>+AR200*(IS!AR$103+IS!AR$114)</f>
        <v>82.53</v>
      </c>
      <c r="AS319" s="306">
        <f>+AS200*(IS!AS$103+IS!AS$114)</f>
        <v>197.5267335992298</v>
      </c>
      <c r="AT319" s="306">
        <f>+AT200*(IS!AT$103+IS!AT$114)</f>
        <v>108.78000000000002</v>
      </c>
      <c r="AU319" s="306">
        <f>+AU200*(IS!AU$103+IS!AU$114)</f>
        <v>28.439999999999998</v>
      </c>
      <c r="AV319" s="306">
        <f>+AV200*(IS!AV$103+IS!AV$114)</f>
        <v>-70.400000000000006</v>
      </c>
      <c r="AW319" s="306">
        <f>+AW200*(IS!AW$103+IS!AW$114)</f>
        <v>80.34</v>
      </c>
      <c r="AX319" s="306">
        <f>+AX200*(IS!AX$103+IS!AX$114)</f>
        <v>54.800000000000004</v>
      </c>
      <c r="AY319" s="306">
        <f>+AY200*(IS!AY$103+IS!AY$114)</f>
        <v>17.61</v>
      </c>
      <c r="AZ319" s="306">
        <f>+AZ200*(IS!AZ$103+IS!AZ$114)</f>
        <v>26.64</v>
      </c>
      <c r="BA319" s="306">
        <f>+BA200*(IS!BA$103+IS!BA$114)</f>
        <v>78.539999999999992</v>
      </c>
      <c r="BB319" s="306">
        <f>+BB200*(IS!BB$103+IS!BB$114)</f>
        <v>132.72</v>
      </c>
      <c r="BC319" s="306">
        <f>+BC200*(IS!BC$103+IS!BC$114)</f>
        <v>69.78</v>
      </c>
      <c r="BD319" s="306">
        <f>+BD200*(IS!BD$103+IS!BD$114)</f>
        <v>40.74</v>
      </c>
      <c r="BE319" s="373">
        <f>+BE200*(IS!BE$103+IS!BE$114)</f>
        <v>48.480000000000004</v>
      </c>
      <c r="BF319" s="373">
        <f>+BF200*(IS!BF$103+IS!BF$114)</f>
        <v>58.36</v>
      </c>
      <c r="BG319" s="373">
        <f>+BG200*(IS!BG$103+IS!BG$114)</f>
        <v>49.2</v>
      </c>
      <c r="BH319" s="373">
        <f>+BH200*(IS!BH$103+IS!BH$114)</f>
        <v>41.76</v>
      </c>
      <c r="BI319" s="373">
        <f>+BI200*(IS!BI$103+IS!BI$114)</f>
        <v>59.88</v>
      </c>
      <c r="BJ319" s="373">
        <f>+BJ200*(IS!BJ$103+IS!BJ$114)</f>
        <v>65.320000000000007</v>
      </c>
      <c r="BK319" s="373">
        <f>+BK200*(IS!BK$103+IS!BK$114)</f>
        <v>46.08</v>
      </c>
      <c r="BL319" s="373">
        <f>+BL200*(IS!BL$103+IS!BL$114)</f>
        <v>34.53</v>
      </c>
    </row>
    <row r="320" spans="1:64" s="9" customFormat="1" ht="11.25">
      <c r="A320" s="342" t="s">
        <v>1016</v>
      </c>
      <c r="B320" s="949"/>
      <c r="C320" s="949"/>
      <c r="D320" s="949"/>
      <c r="E320" s="949"/>
      <c r="F320" s="949"/>
      <c r="G320" s="949"/>
      <c r="H320" s="949"/>
      <c r="I320" s="949"/>
      <c r="J320" s="949"/>
      <c r="K320" s="949"/>
      <c r="L320" s="949"/>
      <c r="M320" s="949"/>
      <c r="N320" s="949"/>
      <c r="O320" s="949"/>
      <c r="P320" s="949"/>
      <c r="Q320" s="949"/>
      <c r="R320" s="949"/>
      <c r="S320" s="949"/>
      <c r="T320" s="949"/>
      <c r="U320" s="949"/>
      <c r="V320" s="949"/>
      <c r="W320" s="949"/>
      <c r="X320" s="949"/>
      <c r="Y320" s="949"/>
      <c r="Z320" s="949"/>
      <c r="AA320" s="949"/>
      <c r="AB320" s="949"/>
      <c r="AC320" s="306">
        <f>+AC201*(IS!AC$103+IS!AC$114)</f>
        <v>0</v>
      </c>
      <c r="AD320" s="306">
        <f>+AD201*(IS!AD$103+IS!AD$114)</f>
        <v>0</v>
      </c>
      <c r="AE320" s="306">
        <f>+AE201*(IS!AE$103+IS!AE$114)</f>
        <v>0</v>
      </c>
      <c r="AF320" s="306">
        <f>+AF201*(IS!AF$103+IS!AF$114)</f>
        <v>6.01</v>
      </c>
      <c r="AG320" s="306">
        <f>+AG201*(IS!AG$103+IS!AG$114)</f>
        <v>13.82</v>
      </c>
      <c r="AH320" s="306">
        <f>+AH201*(IS!AH$103+IS!AH$114)</f>
        <v>17.82</v>
      </c>
      <c r="AI320" s="306">
        <f>+AI201*(IS!AI$103+IS!AI$114)</f>
        <v>7.67</v>
      </c>
      <c r="AJ320" s="306">
        <f>+AJ201*(IS!AJ$103+IS!AJ$114)</f>
        <v>7.6000000000000005</v>
      </c>
      <c r="AK320" s="306">
        <f>+AK201*(IS!AK$103+IS!AK$114)</f>
        <v>0</v>
      </c>
      <c r="AL320" s="306">
        <f>+AL201*(IS!AL$103+IS!AL$114)</f>
        <v>9.66</v>
      </c>
      <c r="AM320" s="306">
        <f>+AM201*(IS!AM$103+IS!AM$114)</f>
        <v>8.31</v>
      </c>
      <c r="AN320" s="373">
        <f>+AN201*(IS!AN$103+IS!AN$114)</f>
        <v>0</v>
      </c>
      <c r="AO320" s="306">
        <f>+AO201*(IS!AO$103+IS!AO$114)</f>
        <v>0</v>
      </c>
      <c r="AP320" s="306">
        <f>+AP201*(IS!AP$103+IS!AP$114)</f>
        <v>0</v>
      </c>
      <c r="AQ320" s="306">
        <f>+AQ201*(IS!AQ$103+IS!AQ$114)</f>
        <v>6.7223105487553294</v>
      </c>
      <c r="AR320" s="306">
        <f>+AR201*(IS!AR$103+IS!AR$114)</f>
        <v>0</v>
      </c>
      <c r="AS320" s="306">
        <f>+AS201*(IS!AS$103+IS!AS$114)</f>
        <v>7.3194388667308488</v>
      </c>
      <c r="AT320" s="306">
        <f>+AT201*(IS!AT$103+IS!AT$114)</f>
        <v>0</v>
      </c>
      <c r="AU320" s="306">
        <f>+AU201*(IS!AU$103+IS!AU$114)</f>
        <v>0</v>
      </c>
      <c r="AV320" s="306">
        <f>+AV201*(IS!AV$103+IS!AV$114)</f>
        <v>0</v>
      </c>
      <c r="AW320" s="306">
        <f>+AW201*(IS!AW$103+IS!AW$114)</f>
        <v>0</v>
      </c>
      <c r="AX320" s="306">
        <f>+AX201*(IS!AX$103+IS!AX$114)</f>
        <v>0</v>
      </c>
      <c r="AY320" s="306">
        <f>+AY201*(IS!AY$103+IS!AY$114)</f>
        <v>0</v>
      </c>
      <c r="AZ320" s="306">
        <f>+AZ201*(IS!AZ$103+IS!AZ$114)</f>
        <v>0</v>
      </c>
      <c r="BA320" s="306">
        <f>+BA201*(IS!BA$103+IS!BA$114)</f>
        <v>0</v>
      </c>
      <c r="BB320" s="306">
        <f>+BB201*(IS!BB$103+IS!BB$114)</f>
        <v>0</v>
      </c>
      <c r="BC320" s="306">
        <f>+BC201*(IS!BC$103+IS!BC$114)</f>
        <v>0</v>
      </c>
      <c r="BD320" s="306">
        <f>+BD201*(IS!BD$103+IS!BD$114)</f>
        <v>0</v>
      </c>
      <c r="BE320" s="373">
        <f>+BE201*(IS!BE$103+IS!BE$114)</f>
        <v>0</v>
      </c>
      <c r="BF320" s="373">
        <f>+BF201*(IS!BF$103+IS!BF$114)</f>
        <v>0</v>
      </c>
      <c r="BG320" s="373">
        <f>+BG201*(IS!BG$103+IS!BG$114)</f>
        <v>0</v>
      </c>
      <c r="BH320" s="373">
        <f>+BH201*(IS!BH$103+IS!BH$114)</f>
        <v>0</v>
      </c>
      <c r="BI320" s="373">
        <f>+BI201*(IS!BI$103+IS!BI$114)</f>
        <v>0</v>
      </c>
      <c r="BJ320" s="373">
        <f>+BJ201*(IS!BJ$103+IS!BJ$114)</f>
        <v>0</v>
      </c>
      <c r="BK320" s="373">
        <f>+BK201*(IS!BK$103+IS!BK$114)</f>
        <v>0</v>
      </c>
      <c r="BL320" s="373">
        <f>+BL201*(IS!BL$103+IS!BL$114)</f>
        <v>0</v>
      </c>
    </row>
    <row r="321" spans="1:64" s="9" customFormat="1" ht="11.25">
      <c r="A321" s="342" t="s">
        <v>1015</v>
      </c>
      <c r="B321" s="949"/>
      <c r="C321" s="949"/>
      <c r="D321" s="949"/>
      <c r="E321" s="949"/>
      <c r="F321" s="949"/>
      <c r="G321" s="949"/>
      <c r="H321" s="949"/>
      <c r="I321" s="949"/>
      <c r="J321" s="949"/>
      <c r="K321" s="949"/>
      <c r="L321" s="949"/>
      <c r="M321" s="949"/>
      <c r="N321" s="949"/>
      <c r="O321" s="949"/>
      <c r="P321" s="949"/>
      <c r="Q321" s="949"/>
      <c r="R321" s="949"/>
      <c r="S321" s="949"/>
      <c r="T321" s="949"/>
      <c r="U321" s="949"/>
      <c r="V321" s="949"/>
      <c r="W321" s="949"/>
      <c r="X321" s="949"/>
      <c r="Y321" s="949"/>
      <c r="Z321" s="949"/>
      <c r="AA321" s="949"/>
      <c r="AB321" s="949"/>
      <c r="AC321" s="306">
        <f>+AC202*(IS!AC$103+IS!AC$114)</f>
        <v>5.6000000000000005</v>
      </c>
      <c r="AD321" s="306">
        <f>+AD202*(IS!AD$103+IS!AD$114)</f>
        <v>0</v>
      </c>
      <c r="AE321" s="306">
        <f>+AE202*(IS!AE$103+IS!AE$114)</f>
        <v>5.44</v>
      </c>
      <c r="AF321" s="306">
        <f>+AF202*(IS!AF$103+IS!AF$114)</f>
        <v>0</v>
      </c>
      <c r="AG321" s="306">
        <f>+AG202*(IS!AG$103+IS!AG$114)</f>
        <v>6.91</v>
      </c>
      <c r="AH321" s="306">
        <f>+AH202*(IS!AH$103+IS!AH$114)</f>
        <v>8.91</v>
      </c>
      <c r="AI321" s="306">
        <f>+AI202*(IS!AI$103+IS!AI$114)</f>
        <v>7.67</v>
      </c>
      <c r="AJ321" s="306">
        <f>+AJ202*(IS!AJ$103+IS!AJ$114)</f>
        <v>7.6000000000000005</v>
      </c>
      <c r="AK321" s="306">
        <f>+AK202*(IS!AK$103+IS!AK$114)</f>
        <v>0</v>
      </c>
      <c r="AL321" s="306">
        <f>+AL202*(IS!AL$103+IS!AL$114)</f>
        <v>9.66</v>
      </c>
      <c r="AM321" s="306">
        <f>+AM202*(IS!AM$103+IS!AM$114)</f>
        <v>0</v>
      </c>
      <c r="AN321" s="373">
        <f>+AN202*(IS!AN$103+IS!AN$114)</f>
        <v>0</v>
      </c>
      <c r="AO321" s="306">
        <f>+AO202*(IS!AO$103+IS!AO$114)</f>
        <v>0</v>
      </c>
      <c r="AP321" s="306">
        <f>+AP202*(IS!AP$103+IS!AP$114)</f>
        <v>0</v>
      </c>
      <c r="AQ321" s="306">
        <f>+AQ202*(IS!AQ$103+IS!AQ$114)</f>
        <v>3.3611552743776647</v>
      </c>
      <c r="AR321" s="306">
        <f>+AR202*(IS!AR$103+IS!AR$114)</f>
        <v>23.580000000000002</v>
      </c>
      <c r="AS321" s="306">
        <f>+AS202*(IS!AS$103+IS!AS$114)</f>
        <v>3.6597194333654244</v>
      </c>
      <c r="AT321" s="306">
        <f>+AT202*(IS!AT$103+IS!AT$114)</f>
        <v>31.080000000000002</v>
      </c>
      <c r="AU321" s="306">
        <f>+AU202*(IS!AU$103+IS!AU$114)</f>
        <v>9.48</v>
      </c>
      <c r="AV321" s="306">
        <f>+AV202*(IS!AV$103+IS!AV$114)</f>
        <v>-14.08</v>
      </c>
      <c r="AW321" s="306">
        <f>+AW202*(IS!AW$103+IS!AW$114)</f>
        <v>6.18</v>
      </c>
      <c r="AX321" s="306">
        <f>+AX202*(IS!AX$103+IS!AX$114)</f>
        <v>10.96</v>
      </c>
      <c r="AY321" s="306">
        <f>+AY202*(IS!AY$103+IS!AY$114)</f>
        <v>5.87</v>
      </c>
      <c r="AZ321" s="306">
        <f>+AZ202*(IS!AZ$103+IS!AZ$114)</f>
        <v>17.760000000000002</v>
      </c>
      <c r="BA321" s="306">
        <f>+BA202*(IS!BA$103+IS!BA$114)</f>
        <v>13.09</v>
      </c>
      <c r="BB321" s="306">
        <f>+BB202*(IS!BB$103+IS!BB$114)</f>
        <v>18.96</v>
      </c>
      <c r="BC321" s="306">
        <f>+BC202*(IS!BC$103+IS!BC$114)</f>
        <v>23.26</v>
      </c>
      <c r="BD321" s="306">
        <f>+BD202*(IS!BD$103+IS!BD$114)</f>
        <v>27.16</v>
      </c>
      <c r="BE321" s="373">
        <f>+BE202*(IS!BE$103+IS!BE$114)</f>
        <v>12.120000000000001</v>
      </c>
      <c r="BF321" s="373">
        <f>+BF202*(IS!BF$103+IS!BF$114)</f>
        <v>29.18</v>
      </c>
      <c r="BG321" s="373">
        <f>+BG202*(IS!BG$103+IS!BG$114)</f>
        <v>12.3</v>
      </c>
      <c r="BH321" s="373">
        <f>+BH202*(IS!BH$103+IS!BH$114)</f>
        <v>27.84</v>
      </c>
      <c r="BI321" s="373">
        <f>+BI202*(IS!BI$103+IS!BI$114)</f>
        <v>14.97</v>
      </c>
      <c r="BJ321" s="373">
        <f>+BJ202*(IS!BJ$103+IS!BJ$114)</f>
        <v>32.660000000000004</v>
      </c>
      <c r="BK321" s="373">
        <f>+BK202*(IS!BK$103+IS!BK$114)</f>
        <v>11.52</v>
      </c>
      <c r="BL321" s="373">
        <f>+BL202*(IS!BL$103+IS!BL$114)</f>
        <v>23.02</v>
      </c>
    </row>
    <row r="322" spans="1:64" s="9" customFormat="1" ht="11.25">
      <c r="A322" s="342" t="s">
        <v>1017</v>
      </c>
      <c r="B322" s="949"/>
      <c r="C322" s="949"/>
      <c r="D322" s="949"/>
      <c r="E322" s="949"/>
      <c r="F322" s="949"/>
      <c r="G322" s="949"/>
      <c r="H322" s="949"/>
      <c r="I322" s="949"/>
      <c r="J322" s="949"/>
      <c r="K322" s="949"/>
      <c r="L322" s="949"/>
      <c r="M322" s="949"/>
      <c r="N322" s="949"/>
      <c r="O322" s="949"/>
      <c r="P322" s="949"/>
      <c r="Q322" s="949"/>
      <c r="R322" s="949"/>
      <c r="S322" s="949"/>
      <c r="T322" s="949"/>
      <c r="U322" s="949"/>
      <c r="V322" s="949"/>
      <c r="W322" s="949"/>
      <c r="X322" s="949"/>
      <c r="Y322" s="949"/>
      <c r="Z322" s="949"/>
      <c r="AA322" s="949"/>
      <c r="AB322" s="949"/>
      <c r="AC322" s="306">
        <f>+AC203*(IS!AC$103+IS!AC$114)</f>
        <v>5.6000000000000005</v>
      </c>
      <c r="AD322" s="306">
        <f>+AD203*(IS!AD$103+IS!AD$114)</f>
        <v>0</v>
      </c>
      <c r="AE322" s="306">
        <f>+AE203*(IS!AE$103+IS!AE$114)</f>
        <v>5.44</v>
      </c>
      <c r="AF322" s="306">
        <f>+AF203*(IS!AF$103+IS!AF$114)</f>
        <v>6.01</v>
      </c>
      <c r="AG322" s="306">
        <f>+AG203*(IS!AG$103+IS!AG$114)</f>
        <v>0</v>
      </c>
      <c r="AH322" s="306">
        <f>+AH203*(IS!AH$103+IS!AH$114)</f>
        <v>8.91</v>
      </c>
      <c r="AI322" s="306">
        <f>+AI203*(IS!AI$103+IS!AI$114)</f>
        <v>0</v>
      </c>
      <c r="AJ322" s="306">
        <f>+AJ203*(IS!AJ$103+IS!AJ$114)</f>
        <v>0</v>
      </c>
      <c r="AK322" s="306">
        <f>+AK203*(IS!AK$103+IS!AK$114)</f>
        <v>0</v>
      </c>
      <c r="AL322" s="306">
        <f>+AL203*(IS!AL$103+IS!AL$114)</f>
        <v>9.66</v>
      </c>
      <c r="AM322" s="306">
        <f>+AM203*(IS!AM$103+IS!AM$114)</f>
        <v>8.31</v>
      </c>
      <c r="AN322" s="373">
        <f>+AN203*(IS!AN$103+IS!AN$114)</f>
        <v>8.1300000000000008</v>
      </c>
      <c r="AO322" s="306">
        <f>+AO203*(IS!AO$103+IS!AO$114)</f>
        <v>0</v>
      </c>
      <c r="AP322" s="306">
        <f>+AP203*(IS!AP$103+IS!AP$114)</f>
        <v>8.85</v>
      </c>
      <c r="AQ322" s="306">
        <f>+AQ203*(IS!AQ$103+IS!AQ$114)</f>
        <v>0</v>
      </c>
      <c r="AR322" s="306">
        <f>+AR203*(IS!AR$103+IS!AR$114)</f>
        <v>0</v>
      </c>
      <c r="AS322" s="306">
        <f>+AS203*(IS!AS$103+IS!AS$114)</f>
        <v>0</v>
      </c>
      <c r="AT322" s="306">
        <f>+AT203*(IS!AT$103+IS!AT$114)</f>
        <v>0</v>
      </c>
      <c r="AU322" s="306">
        <f>+AU203*(IS!AU$103+IS!AU$114)</f>
        <v>0</v>
      </c>
      <c r="AV322" s="306">
        <f>+AV203*(IS!AV$103+IS!AV$114)</f>
        <v>0</v>
      </c>
      <c r="AW322" s="306">
        <f>+AW203*(IS!AW$103+IS!AW$114)</f>
        <v>0</v>
      </c>
      <c r="AX322" s="306">
        <f>+AX203*(IS!AX$103+IS!AX$114)</f>
        <v>0</v>
      </c>
      <c r="AY322" s="306">
        <f>+AY203*(IS!AY$103+IS!AY$114)</f>
        <v>0</v>
      </c>
      <c r="AZ322" s="306">
        <f>+AZ203*(IS!AZ$103+IS!AZ$114)</f>
        <v>0</v>
      </c>
      <c r="BA322" s="306">
        <f>+BA203*(IS!BA$103+IS!BA$114)</f>
        <v>0</v>
      </c>
      <c r="BB322" s="306">
        <f>+BB203*(IS!BB$103+IS!BB$114)</f>
        <v>0</v>
      </c>
      <c r="BC322" s="306">
        <f>+BC203*(IS!BC$103+IS!BC$114)</f>
        <v>0</v>
      </c>
      <c r="BD322" s="306">
        <f>+BD203*(IS!BD$103+IS!BD$114)</f>
        <v>0</v>
      </c>
      <c r="BE322" s="373">
        <f>+BE203*(IS!BE$103+IS!BE$114)</f>
        <v>0</v>
      </c>
      <c r="BF322" s="373">
        <f>+BF203*(IS!BF$103+IS!BF$114)</f>
        <v>0</v>
      </c>
      <c r="BG322" s="373">
        <f>+BG203*(IS!BG$103+IS!BG$114)</f>
        <v>0</v>
      </c>
      <c r="BH322" s="373">
        <f>+BH203*(IS!BH$103+IS!BH$114)</f>
        <v>0</v>
      </c>
      <c r="BI322" s="373">
        <f>+BI203*(IS!BI$103+IS!BI$114)</f>
        <v>0</v>
      </c>
      <c r="BJ322" s="373">
        <f>+BJ203*(IS!BJ$103+IS!BJ$114)</f>
        <v>0</v>
      </c>
      <c r="BK322" s="373">
        <f>+BK203*(IS!BK$103+IS!BK$114)</f>
        <v>0</v>
      </c>
      <c r="BL322" s="373">
        <f>+BL203*(IS!BL$103+IS!BL$114)</f>
        <v>0</v>
      </c>
    </row>
    <row r="323" spans="1:64" s="9" customFormat="1" ht="11.25">
      <c r="A323" s="342" t="s">
        <v>1120</v>
      </c>
      <c r="B323" s="949"/>
      <c r="C323" s="949"/>
      <c r="D323" s="949"/>
      <c r="E323" s="949"/>
      <c r="F323" s="949"/>
      <c r="G323" s="949"/>
      <c r="H323" s="949"/>
      <c r="I323" s="949"/>
      <c r="J323" s="949"/>
      <c r="K323" s="949"/>
      <c r="L323" s="949"/>
      <c r="M323" s="949"/>
      <c r="N323" s="949"/>
      <c r="O323" s="949"/>
      <c r="P323" s="949"/>
      <c r="Q323" s="949"/>
      <c r="R323" s="949"/>
      <c r="S323" s="949"/>
      <c r="T323" s="949"/>
      <c r="U323" s="949"/>
      <c r="V323" s="949"/>
      <c r="W323" s="949"/>
      <c r="X323" s="949"/>
      <c r="Y323" s="949"/>
      <c r="Z323" s="949"/>
      <c r="AA323" s="949"/>
      <c r="AB323" s="949"/>
      <c r="AC323" s="306"/>
      <c r="AD323" s="306"/>
      <c r="AE323" s="306"/>
      <c r="AF323" s="306"/>
      <c r="AG323" s="306"/>
      <c r="AH323" s="306"/>
      <c r="AI323" s="306"/>
      <c r="AJ323" s="306"/>
      <c r="AK323" s="306"/>
      <c r="AL323" s="306"/>
      <c r="AM323" s="306"/>
      <c r="AN323" s="373"/>
      <c r="AO323" s="306"/>
      <c r="AP323" s="306"/>
      <c r="AQ323" s="306">
        <f>+AQ204*(IS!AQ$103+IS!AQ$114)</f>
        <v>90.706136707468005</v>
      </c>
      <c r="AR323" s="306">
        <f>+AR204*(IS!AR$103+IS!AR$114)</f>
        <v>35.369999999999997</v>
      </c>
      <c r="AS323" s="306">
        <f>+AS204*(IS!AS$103+IS!AS$114)</f>
        <v>49.38168339980745</v>
      </c>
      <c r="AT323" s="306">
        <f>+AT204*(IS!AT$103+IS!AT$114)</f>
        <v>46.62</v>
      </c>
      <c r="AU323" s="306">
        <f>+AU204*(IS!AU$103+IS!AU$114)</f>
        <v>9.48</v>
      </c>
      <c r="AV323" s="306">
        <f>+AV204*(IS!AV$103+IS!AV$114)</f>
        <v>-49.28</v>
      </c>
      <c r="AW323" s="306">
        <f>+AW204*(IS!AW$103+IS!AW$114)</f>
        <v>24.72</v>
      </c>
      <c r="AX323" s="306">
        <f>+AX204*(IS!AX$103+IS!AX$114)</f>
        <v>21.92</v>
      </c>
      <c r="AY323" s="306">
        <f>+AY204*(IS!AY$103+IS!AY$114)</f>
        <v>5.87</v>
      </c>
      <c r="AZ323" s="306">
        <f>+AZ204*(IS!AZ$103+IS!AZ$114)</f>
        <v>8.8800000000000008</v>
      </c>
      <c r="BA323" s="306">
        <f>+BA204*(IS!BA$103+IS!BA$114)</f>
        <v>26.18</v>
      </c>
      <c r="BB323" s="306">
        <f>+BB204*(IS!BB$103+IS!BB$114)</f>
        <v>37.92</v>
      </c>
      <c r="BC323" s="306">
        <f>+BC204*(IS!BC$103+IS!BC$114)</f>
        <v>23.26</v>
      </c>
      <c r="BD323" s="306">
        <f>+BD204*(IS!BD$103+IS!BD$114)</f>
        <v>27.16</v>
      </c>
      <c r="BE323" s="373">
        <f>+BE204*(IS!BE$103+IS!BE$114)</f>
        <v>12.120000000000001</v>
      </c>
      <c r="BF323" s="373">
        <f>+BF204*(IS!BF$103+IS!BF$114)</f>
        <v>29.18</v>
      </c>
      <c r="BG323" s="373">
        <f>+BG204*(IS!BG$103+IS!BG$114)</f>
        <v>24.6</v>
      </c>
      <c r="BH323" s="373">
        <f>+BH204*(IS!BH$103+IS!BH$114)</f>
        <v>27.84</v>
      </c>
      <c r="BI323" s="373">
        <f>+BI204*(IS!BI$103+IS!BI$114)</f>
        <v>14.97</v>
      </c>
      <c r="BJ323" s="373">
        <f>+BJ204*(IS!BJ$103+IS!BJ$114)</f>
        <v>32.660000000000004</v>
      </c>
      <c r="BK323" s="373">
        <f>+BK204*(IS!BK$103+IS!BK$114)</f>
        <v>23.04</v>
      </c>
      <c r="BL323" s="373">
        <f>+BL204*(IS!BL$103+IS!BL$114)</f>
        <v>23.02</v>
      </c>
    </row>
    <row r="324" spans="1:64" s="9" customFormat="1" ht="11.25">
      <c r="A324" s="342" t="s">
        <v>331</v>
      </c>
      <c r="B324" s="949"/>
      <c r="C324" s="949"/>
      <c r="D324" s="949"/>
      <c r="E324" s="949"/>
      <c r="F324" s="949"/>
      <c r="G324" s="949"/>
      <c r="H324" s="949"/>
      <c r="I324" s="949"/>
      <c r="J324" s="949"/>
      <c r="K324" s="949"/>
      <c r="L324" s="949"/>
      <c r="M324" s="949"/>
      <c r="N324" s="949"/>
      <c r="O324" s="949"/>
      <c r="P324" s="949"/>
      <c r="Q324" s="949"/>
      <c r="R324" s="949"/>
      <c r="S324" s="949"/>
      <c r="T324" s="949"/>
      <c r="U324" s="949"/>
      <c r="V324" s="949"/>
      <c r="W324" s="949"/>
      <c r="X324" s="949"/>
      <c r="Y324" s="949"/>
      <c r="Z324" s="949"/>
      <c r="AA324" s="949"/>
      <c r="AB324" s="949"/>
      <c r="AC324" s="306">
        <f>+AC205*(IS!AC$103+IS!AC$114)+AC73*IS!AC$77</f>
        <v>64.27000000000001</v>
      </c>
      <c r="AD324" s="306">
        <f>+AD205*(IS!AD$103+IS!AD$114)+AD73*IS!AD$77</f>
        <v>0</v>
      </c>
      <c r="AE324" s="306">
        <f>+AE205*(IS!AE$103+IS!AE$114)+AE73*IS!AE$77</f>
        <v>128.36799999999999</v>
      </c>
      <c r="AF324" s="306">
        <f>+AF205*(IS!AF$103+IS!AF$114)+AF73*IS!AF$77</f>
        <v>109.1</v>
      </c>
      <c r="AG324" s="306">
        <f>+AG205*(IS!AG$103+IS!AG$114)+AG73*IS!AG$77</f>
        <v>33.260000000000005</v>
      </c>
      <c r="AH324" s="306">
        <f>+AH205*(IS!AH$103+IS!AH$114)+AH73*IS!AH$77</f>
        <v>71.650000000000006</v>
      </c>
      <c r="AI324" s="306">
        <f>+AI205*(IS!AI$103+IS!AI$114)+AI73*IS!AI$77</f>
        <v>62.35</v>
      </c>
      <c r="AJ324" s="306">
        <f>+AJ205*(IS!AJ$103+IS!AJ$114)+AJ73*IS!AJ$77</f>
        <v>70.600000000000009</v>
      </c>
      <c r="AK324" s="306">
        <f>+AK205*(IS!AK$103+IS!AK$114)+AK73*IS!AK$77</f>
        <v>64.7</v>
      </c>
      <c r="AL324" s="306">
        <f>+AL205*(IS!AL$103+IS!AL$114)+AL73*IS!AL$77</f>
        <v>66.2</v>
      </c>
      <c r="AM324" s="306">
        <f>+AM205*(IS!AM$103+IS!AM$114)+AM73*IS!AM$77</f>
        <v>59.94</v>
      </c>
      <c r="AN324" s="373">
        <f>+AN205*(IS!AN$103+IS!AN$114)+AN73*IS!AN$77</f>
        <v>75.850000000000009</v>
      </c>
      <c r="AO324" s="306">
        <f>+AO205*(IS!AO$103+IS!AO$114)+AO73*IS!AO$77</f>
        <v>79.2</v>
      </c>
      <c r="AP324" s="306">
        <f>+AP205*(IS!AP$103+IS!AP$114)+AP73*IS!AP$77</f>
        <v>115.1</v>
      </c>
      <c r="AQ324" s="306">
        <f>+AQ205*(IS!AQ$103+IS!AQ$114)+AQ73*IS!AQ$77</f>
        <v>134.81537890248936</v>
      </c>
      <c r="AR324" s="306">
        <f>+AR205*(IS!AR$103+IS!AR$114)+AR73*IS!AR$77</f>
        <v>295.87</v>
      </c>
      <c r="AS324" s="306">
        <f>+AS205*(IS!AS$103+IS!AS$114)+AS73*IS!AS$77</f>
        <v>101.28056113326915</v>
      </c>
      <c r="AT324" s="306">
        <f>+AT205*(IS!AT$103+IS!AT$114)+AT73*IS!AT$77</f>
        <v>377.31999999999994</v>
      </c>
      <c r="AU324" s="306">
        <f>+AU205*(IS!AU$103+IS!AU$114)+AU73*IS!AU$77</f>
        <v>117.28</v>
      </c>
      <c r="AV324" s="306">
        <f>+AV205*(IS!AV$103+IS!AV$114)+AV73*IS!AV$77</f>
        <v>-181.6</v>
      </c>
      <c r="AW324" s="306">
        <f>+AW205*(IS!AW$103+IS!AW$114)+AW73*IS!AW$77</f>
        <v>40.26</v>
      </c>
      <c r="AX324" s="306">
        <f>+AX205*(IS!AX$103+IS!AX$114)+AX73*IS!AX$77</f>
        <v>239.58000000000004</v>
      </c>
      <c r="AY324" s="306">
        <f>+AY205*(IS!AY$103+IS!AY$114)+AY73*IS!AY$77</f>
        <v>94.33</v>
      </c>
      <c r="AZ324" s="306">
        <f>+AZ205*(IS!AZ$103+IS!AZ$114)+AZ73*IS!AZ$77</f>
        <v>168.92000000000002</v>
      </c>
      <c r="BA324" s="306">
        <f>+BA205*(IS!BA$103+IS!BA$114)+BA73*IS!BA$77</f>
        <v>277.2</v>
      </c>
      <c r="BB324" s="306">
        <f>+BB205*(IS!BB$103+IS!BB$114)+BB73*IS!BB$77</f>
        <v>387.56000000000006</v>
      </c>
      <c r="BC324" s="306">
        <f>+BC205*(IS!BC$103+IS!BC$114)+BC73*IS!BC$77</f>
        <v>226.69</v>
      </c>
      <c r="BD324" s="306">
        <f>+BD205*(IS!BD$103+IS!BD$114)+BD73*IS!BD$77</f>
        <v>258.21000000000004</v>
      </c>
      <c r="BE324" s="373">
        <f>+BE205*(IS!BE$103+IS!BE$114)+BE73*IS!BE$77</f>
        <v>226.76999999999998</v>
      </c>
      <c r="BF324" s="373">
        <f>+BF205*(IS!BF$103+IS!BF$114)+BF73*IS!BF$77</f>
        <v>275.55</v>
      </c>
      <c r="BG324" s="373">
        <f>+BG205*(IS!BG$103+IS!BG$114)+BG73*IS!BG$77</f>
        <v>233.90000000000003</v>
      </c>
      <c r="BH324" s="373">
        <f>+BH205*(IS!BH$103+IS!BH$114)+BH73*IS!BH$77</f>
        <v>284.89000000000004</v>
      </c>
      <c r="BI324" s="373">
        <f>+BI205*(IS!BI$103+IS!BI$114)+BI73*IS!BI$77</f>
        <v>277.47000000000003</v>
      </c>
      <c r="BJ324" s="373">
        <f>+BJ205*(IS!BJ$103+IS!BJ$114)+BJ73*IS!BJ$77</f>
        <v>333.29</v>
      </c>
      <c r="BK324" s="373">
        <f>+BK205*(IS!BK$103+IS!BK$114)+BK73*IS!BK$77</f>
        <v>248.22000000000003</v>
      </c>
      <c r="BL324" s="373">
        <f>+BL205*(IS!BL$103+IS!BL$114)+BL73*IS!BL$77</f>
        <v>270.27</v>
      </c>
    </row>
    <row r="325" spans="1:64" s="9" customFormat="1" ht="11.25">
      <c r="A325" s="342" t="s">
        <v>1043</v>
      </c>
      <c r="B325" s="949"/>
      <c r="C325" s="949"/>
      <c r="D325" s="949"/>
      <c r="E325" s="949"/>
      <c r="F325" s="949"/>
      <c r="G325" s="949"/>
      <c r="H325" s="949"/>
      <c r="I325" s="949"/>
      <c r="J325" s="949"/>
      <c r="K325" s="949"/>
      <c r="L325" s="949"/>
      <c r="M325" s="949"/>
      <c r="N325" s="949"/>
      <c r="O325" s="949"/>
      <c r="P325" s="949"/>
      <c r="Q325" s="949"/>
      <c r="R325" s="949"/>
      <c r="S325" s="949"/>
      <c r="T325" s="949"/>
      <c r="U325" s="949"/>
      <c r="V325" s="949"/>
      <c r="W325" s="949"/>
      <c r="X325" s="949"/>
      <c r="Y325" s="949"/>
      <c r="Z325" s="949"/>
      <c r="AA325" s="949"/>
      <c r="AB325" s="949"/>
      <c r="AC325" s="306">
        <f>+AC71*IS!AC$77</f>
        <v>207.17999999999998</v>
      </c>
      <c r="AD325" s="306">
        <f>+AD71*IS!AD$77</f>
        <v>0</v>
      </c>
      <c r="AE325" s="306">
        <f>+AE71*IS!AE$77</f>
        <v>128.04</v>
      </c>
      <c r="AF325" s="306">
        <f>+AF71*IS!AF$77</f>
        <v>166.27</v>
      </c>
      <c r="AG325" s="306">
        <f>+AG71*IS!AG$77</f>
        <v>160.68</v>
      </c>
      <c r="AH325" s="306">
        <f>+AH71*IS!AH$77</f>
        <v>143.30000000000001</v>
      </c>
      <c r="AI325" s="306">
        <f>+AI71*IS!AI$77</f>
        <v>162.11000000000001</v>
      </c>
      <c r="AJ325" s="306">
        <f>+AJ71*IS!AJ$77</f>
        <v>197.68</v>
      </c>
      <c r="AK325" s="306">
        <f>+AK71*IS!AK$77</f>
        <v>194.1</v>
      </c>
      <c r="AL325" s="306">
        <f>+AL71*IS!AL$77</f>
        <v>198.6</v>
      </c>
      <c r="AM325" s="306">
        <f>+AM71*IS!AM$77</f>
        <v>163.79999999999998</v>
      </c>
      <c r="AN325" s="306">
        <f>+AN71*IS!AN$77</f>
        <v>151.70000000000002</v>
      </c>
      <c r="AO325" s="306">
        <f>+AO71*IS!AO$77</f>
        <v>199.50000000000003</v>
      </c>
      <c r="AP325" s="306">
        <f>+AP71*IS!AP$77</f>
        <v>175.34</v>
      </c>
      <c r="AQ325" s="306">
        <f>+AQ71*IS!AQ$77</f>
        <v>160.56</v>
      </c>
      <c r="AR325" s="306">
        <f>+AR71*IS!AR$77</f>
        <v>217.49</v>
      </c>
      <c r="AS325" s="306">
        <f>+AS71*IS!AS$77</f>
        <v>259.42</v>
      </c>
      <c r="AT325" s="306">
        <f>+AT71*IS!AT$77</f>
        <v>216.19</v>
      </c>
      <c r="AU325" s="306">
        <f>+AU71*IS!AU$77</f>
        <v>63.650000000000006</v>
      </c>
      <c r="AV325" s="306">
        <f>+AV71*IS!AV$77</f>
        <v>56.78</v>
      </c>
      <c r="AW325" s="306">
        <f>+AW71*IS!AW$77</f>
        <v>41.44</v>
      </c>
      <c r="AX325" s="306">
        <f>+AX71*IS!AX$77</f>
        <v>225.6</v>
      </c>
      <c r="AY325" s="306">
        <f>+AY71*IS!AY$77</f>
        <v>108.11999999999999</v>
      </c>
      <c r="AZ325" s="306">
        <f>+AZ71*IS!AZ$77</f>
        <v>155.9</v>
      </c>
      <c r="BA325" s="306">
        <f>+BA71*IS!BA$77</f>
        <v>124.74</v>
      </c>
      <c r="BB325" s="306">
        <f>+BB71*IS!BB$77</f>
        <v>168.4</v>
      </c>
      <c r="BC325" s="306">
        <f>+BC71*IS!BC$77</f>
        <v>49.379999999999995</v>
      </c>
      <c r="BD325" s="306">
        <f>+BD71*IS!BD$77</f>
        <v>57.15</v>
      </c>
      <c r="BE325" s="373">
        <f>+BE71*IS!BE$77</f>
        <v>56.07</v>
      </c>
      <c r="BF325" s="373">
        <f>+BF71*IS!BF$77</f>
        <v>42.94</v>
      </c>
      <c r="BG325" s="373">
        <f>+BG71*IS!BG$77</f>
        <v>59.16</v>
      </c>
      <c r="BH325" s="373">
        <f>+BH71*IS!BH$77</f>
        <v>70.709999999999994</v>
      </c>
      <c r="BI325" s="373">
        <f>+BI71*IS!BI$77</f>
        <v>67.679999999999993</v>
      </c>
      <c r="BJ325" s="373">
        <f>+BJ71*IS!BJ$77</f>
        <v>72.599999999999994</v>
      </c>
      <c r="BK325" s="373">
        <f>+BK71*IS!BK$77</f>
        <v>72.899999999999991</v>
      </c>
      <c r="BL325" s="373">
        <f>+BL71*IS!BL$77</f>
        <v>79.289999999999992</v>
      </c>
    </row>
    <row r="326" spans="1:64" s="9" customFormat="1" ht="11.25">
      <c r="A326" s="1046" t="s">
        <v>325</v>
      </c>
      <c r="B326" s="949"/>
      <c r="C326" s="949"/>
      <c r="D326" s="949"/>
      <c r="E326" s="949"/>
      <c r="F326" s="949"/>
      <c r="G326" s="949"/>
      <c r="H326" s="949"/>
      <c r="I326" s="949"/>
      <c r="J326" s="949"/>
      <c r="K326" s="949"/>
      <c r="L326" s="949"/>
      <c r="M326" s="949"/>
      <c r="N326" s="949"/>
      <c r="O326" s="949"/>
      <c r="P326" s="949"/>
      <c r="Q326" s="949"/>
      <c r="R326" s="949"/>
      <c r="S326" s="949"/>
      <c r="T326" s="949"/>
      <c r="U326" s="949"/>
      <c r="V326" s="949"/>
      <c r="W326" s="949"/>
      <c r="X326" s="949"/>
      <c r="Y326" s="949"/>
      <c r="Z326" s="949"/>
      <c r="AA326" s="949"/>
      <c r="AB326" s="949"/>
      <c r="AC326" s="1022">
        <f t="shared" ref="AC326:AM326" si="524">+SUM(AC312:AC325)</f>
        <v>1712.12</v>
      </c>
      <c r="AD326" s="1022">
        <f t="shared" si="524"/>
        <v>0</v>
      </c>
      <c r="AE326" s="1022">
        <f t="shared" si="524"/>
        <v>1709.0880000000002</v>
      </c>
      <c r="AF326" s="1022">
        <f t="shared" si="524"/>
        <v>1879.9999999999998</v>
      </c>
      <c r="AG326" s="1022">
        <f t="shared" si="524"/>
        <v>2036.91</v>
      </c>
      <c r="AH326" s="1022">
        <f t="shared" si="524"/>
        <v>2324.0000000000005</v>
      </c>
      <c r="AI326" s="1022">
        <f t="shared" si="524"/>
        <v>2014</v>
      </c>
      <c r="AJ326" s="1022">
        <f t="shared" si="524"/>
        <v>2171.9999999999995</v>
      </c>
      <c r="AK326" s="1022">
        <f t="shared" si="524"/>
        <v>2089</v>
      </c>
      <c r="AL326" s="1022">
        <f t="shared" si="524"/>
        <v>2620.9999999999995</v>
      </c>
      <c r="AM326" s="1022">
        <f t="shared" si="524"/>
        <v>2196</v>
      </c>
      <c r="AN326" s="1022">
        <f t="shared" ref="AN326:BD326" si="525">+SUM(AN312:AN325)</f>
        <v>2329.9999999999995</v>
      </c>
      <c r="AO326" s="1022">
        <f t="shared" si="525"/>
        <v>2220</v>
      </c>
      <c r="AP326" s="1022">
        <f t="shared" si="525"/>
        <v>2479</v>
      </c>
      <c r="AQ326" s="1022">
        <f t="shared" si="525"/>
        <v>2430</v>
      </c>
      <c r="AR326" s="1022">
        <f t="shared" si="525"/>
        <v>2852</v>
      </c>
      <c r="AS326" s="1022">
        <f t="shared" si="525"/>
        <v>2715</v>
      </c>
      <c r="AT326" s="1022">
        <f t="shared" si="525"/>
        <v>3217.0000000000005</v>
      </c>
      <c r="AU326" s="1022">
        <f t="shared" si="525"/>
        <v>1747.0000000000002</v>
      </c>
      <c r="AV326" s="1022">
        <f t="shared" si="525"/>
        <v>-1038</v>
      </c>
      <c r="AW326" s="1022">
        <f t="shared" si="525"/>
        <v>1136.0000000000002</v>
      </c>
      <c r="AX326" s="1022">
        <f t="shared" si="525"/>
        <v>2506</v>
      </c>
      <c r="AY326" s="1022">
        <f t="shared" si="525"/>
        <v>1487.9999999999995</v>
      </c>
      <c r="AZ326" s="1022">
        <f t="shared" si="525"/>
        <v>2447.0000000000005</v>
      </c>
      <c r="BA326" s="1022">
        <f t="shared" si="525"/>
        <v>2694.9999999999995</v>
      </c>
      <c r="BB326" s="1022">
        <f t="shared" si="525"/>
        <v>4001</v>
      </c>
      <c r="BC326" s="1022">
        <f t="shared" si="525"/>
        <v>2809.0000000000009</v>
      </c>
      <c r="BD326" s="1022">
        <f t="shared" si="525"/>
        <v>3262.9999999999995</v>
      </c>
      <c r="BE326" s="1847">
        <f>+SUM(BE312:BE325)</f>
        <v>3081</v>
      </c>
      <c r="BF326" s="1847">
        <f>+SUM(BF312:BF325)</f>
        <v>3606</v>
      </c>
      <c r="BG326" s="1847">
        <f>+SUM(BG312:BG325)</f>
        <v>3201.9999999999995</v>
      </c>
      <c r="BH326" s="1847">
        <f t="shared" ref="BH326:BJ326" si="526">+SUM(BH312:BH325)</f>
        <v>3749.0000000000005</v>
      </c>
      <c r="BI326" s="1847">
        <f t="shared" si="526"/>
        <v>3752.9999999999995</v>
      </c>
      <c r="BJ326" s="1847">
        <f t="shared" si="526"/>
        <v>4052.9999999999995</v>
      </c>
      <c r="BK326" s="1847">
        <f t="shared" ref="BK326:BL326" si="527">+SUM(BK312:BK325)</f>
        <v>3582.0000000000005</v>
      </c>
      <c r="BL326" s="1847">
        <f t="shared" si="527"/>
        <v>3794</v>
      </c>
    </row>
    <row r="327" spans="1:64" s="9" customFormat="1" ht="11.25">
      <c r="A327" s="604"/>
      <c r="B327" s="949"/>
      <c r="C327" s="949"/>
      <c r="D327" s="949"/>
      <c r="E327" s="949"/>
      <c r="F327" s="949"/>
      <c r="G327" s="949"/>
      <c r="H327" s="949"/>
      <c r="I327" s="949"/>
      <c r="J327" s="949"/>
      <c r="K327" s="949"/>
      <c r="L327" s="949"/>
      <c r="M327" s="949"/>
      <c r="N327" s="949"/>
      <c r="O327" s="949"/>
      <c r="P327" s="949"/>
      <c r="Q327" s="949"/>
      <c r="R327" s="949"/>
      <c r="S327" s="949"/>
      <c r="T327" s="949"/>
      <c r="U327" s="949"/>
      <c r="V327" s="949"/>
      <c r="W327" s="949"/>
      <c r="X327" s="949"/>
      <c r="Y327" s="949"/>
      <c r="Z327" s="949"/>
      <c r="AA327" s="949"/>
      <c r="AB327" s="949"/>
      <c r="AC327" s="1045"/>
      <c r="AD327" s="1045"/>
      <c r="AE327" s="1045"/>
      <c r="AF327" s="1045"/>
      <c r="AG327" s="1045"/>
      <c r="AH327" s="1045"/>
      <c r="AI327" s="1045"/>
      <c r="AJ327" s="1045"/>
      <c r="AK327" s="1045"/>
      <c r="AL327" s="1045"/>
      <c r="AM327" s="1045"/>
      <c r="AN327" s="1045"/>
      <c r="AO327" s="1045"/>
      <c r="AP327" s="1045"/>
      <c r="AQ327" s="1045"/>
      <c r="AR327" s="1045"/>
      <c r="AS327" s="1045"/>
      <c r="AT327" s="1045"/>
      <c r="AU327" s="1045"/>
      <c r="AV327" s="1045"/>
      <c r="AW327" s="1045"/>
      <c r="AX327" s="1045"/>
      <c r="AY327" s="1045"/>
      <c r="AZ327" s="1045"/>
      <c r="BA327" s="1045"/>
      <c r="BB327" s="1045"/>
      <c r="BC327" s="1045"/>
      <c r="BD327" s="1045"/>
      <c r="BE327" s="915"/>
      <c r="BF327" s="915"/>
      <c r="BG327" s="915"/>
      <c r="BH327" s="915"/>
      <c r="BI327" s="915"/>
      <c r="BJ327" s="915"/>
      <c r="BK327" s="915"/>
      <c r="BL327" s="915"/>
    </row>
    <row r="328" spans="1:64" s="9" customFormat="1" ht="11.25">
      <c r="A328" s="13"/>
      <c r="B328" s="13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BH328" s="92"/>
      <c r="BI328" s="92"/>
      <c r="BJ328" s="92"/>
      <c r="BK328" s="92"/>
      <c r="BL328" s="92"/>
    </row>
    <row r="329" spans="1:64" s="9" customFormat="1" ht="11.25">
      <c r="A329" s="513" t="s">
        <v>1050</v>
      </c>
      <c r="C329" s="92"/>
      <c r="V329" s="92"/>
      <c r="Y329" s="92"/>
      <c r="AC329" s="92"/>
      <c r="AD329" s="92"/>
      <c r="AE329" s="92"/>
      <c r="AF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</row>
    <row r="330" spans="1:64" s="9" customFormat="1" ht="11.25">
      <c r="A330" s="342" t="s">
        <v>1007</v>
      </c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918">
        <f t="shared" ref="AC330:AO330" si="528">IFERROR(AC312/AC$326,"NA")</f>
        <v>0.13300469593252812</v>
      </c>
      <c r="AD330" s="918" t="str">
        <f t="shared" si="528"/>
        <v>NA</v>
      </c>
      <c r="AE330" s="918">
        <f t="shared" si="528"/>
        <v>0.16493006796607312</v>
      </c>
      <c r="AF330" s="918">
        <f t="shared" si="528"/>
        <v>0.15836170212765957</v>
      </c>
      <c r="AG330" s="918">
        <f t="shared" si="528"/>
        <v>0.14652095576142293</v>
      </c>
      <c r="AH330" s="918">
        <f t="shared" si="528"/>
        <v>0.15600688468158344</v>
      </c>
      <c r="AI330" s="918">
        <f t="shared" si="528"/>
        <v>0.17808341608738826</v>
      </c>
      <c r="AJ330" s="918">
        <f t="shared" si="528"/>
        <v>0.17198895027624314</v>
      </c>
      <c r="AK330" s="918">
        <f t="shared" si="528"/>
        <v>0.15283389181426518</v>
      </c>
      <c r="AL330" s="918">
        <f t="shared" si="528"/>
        <v>0.18159862647844338</v>
      </c>
      <c r="AM330" s="918">
        <f t="shared" si="528"/>
        <v>0.20297814207650275</v>
      </c>
      <c r="AN330" s="918">
        <f t="shared" si="528"/>
        <v>0.19233905579399144</v>
      </c>
      <c r="AO330" s="918">
        <f t="shared" si="528"/>
        <v>0.19371621621621621</v>
      </c>
      <c r="AP330" s="918">
        <f t="shared" ref="AP330:AS343" si="529">IFERROR(AP312/AP$326,"NA")</f>
        <v>0.20711980637353775</v>
      </c>
      <c r="AQ330" s="918">
        <f t="shared" si="529"/>
        <v>0.15493209112472853</v>
      </c>
      <c r="AR330" s="918">
        <f t="shared" si="529"/>
        <v>0.14653576437587659</v>
      </c>
      <c r="AS330" s="918">
        <f t="shared" si="529"/>
        <v>0.14885943528530934</v>
      </c>
      <c r="AT330" s="918">
        <f t="shared" ref="AT330:BD330" si="530">IFERROR(AT312/AT$326,"NA")</f>
        <v>0.13449176251165679</v>
      </c>
      <c r="AU330" s="918">
        <f t="shared" si="530"/>
        <v>0.17899255867200917</v>
      </c>
      <c r="AV330" s="918">
        <f t="shared" si="530"/>
        <v>-0.4833140655105973</v>
      </c>
      <c r="AW330" s="918">
        <f t="shared" si="530"/>
        <v>0.42103873239436607</v>
      </c>
      <c r="AX330" s="918">
        <f t="shared" si="530"/>
        <v>0.22936153232242618</v>
      </c>
      <c r="AY330" s="918">
        <f t="shared" si="530"/>
        <v>0.27550403225806458</v>
      </c>
      <c r="AZ330" s="918">
        <f t="shared" si="530"/>
        <v>0.22806293420514914</v>
      </c>
      <c r="BA330" s="918">
        <f t="shared" si="530"/>
        <v>0.17000000000000004</v>
      </c>
      <c r="BB330" s="918">
        <f t="shared" si="530"/>
        <v>0.17473881529617596</v>
      </c>
      <c r="BC330" s="918">
        <f t="shared" si="530"/>
        <v>0.18828052687789243</v>
      </c>
      <c r="BD330" s="918">
        <f t="shared" si="530"/>
        <v>0.17000000000000004</v>
      </c>
      <c r="BE330" s="1109">
        <f t="shared" ref="BE330:BF343" si="531">IFERROR(BE312/BE$326,"NA")</f>
        <v>0.13819863680623173</v>
      </c>
      <c r="BF330" s="1109">
        <f t="shared" si="531"/>
        <v>0.18</v>
      </c>
      <c r="BG330" s="1109">
        <f t="shared" ref="BG330:BJ330" si="532">IFERROR(BG312/BG$326,"NA")</f>
        <v>0.14384134915677704</v>
      </c>
      <c r="BH330" s="1109">
        <f t="shared" si="532"/>
        <v>0.15113897039210455</v>
      </c>
      <c r="BI330" s="1109">
        <f t="shared" si="532"/>
        <v>0.13202238209432457</v>
      </c>
      <c r="BJ330" s="1109">
        <f t="shared" si="532"/>
        <v>0.15611645694547252</v>
      </c>
      <c r="BK330" s="1109">
        <f t="shared" ref="BK330:BL330" si="533">IFERROR(BK312/BK$326,"NA")</f>
        <v>0.14321608040201003</v>
      </c>
      <c r="BL330" s="1109">
        <f t="shared" si="533"/>
        <v>0.14910121244069585</v>
      </c>
    </row>
    <row r="331" spans="1:64" s="9" customFormat="1" ht="11.25">
      <c r="A331" s="342" t="s">
        <v>1008</v>
      </c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918">
        <f t="shared" ref="AC331:AO331" si="534">IFERROR(AC313/AC$326,"NA")</f>
        <v>0.11811088007849919</v>
      </c>
      <c r="AD331" s="918" t="str">
        <f t="shared" si="534"/>
        <v>NA</v>
      </c>
      <c r="AE331" s="918">
        <f t="shared" si="534"/>
        <v>8.6829935029676633E-2</v>
      </c>
      <c r="AF331" s="918">
        <f t="shared" si="534"/>
        <v>0.10311702127659578</v>
      </c>
      <c r="AG331" s="918">
        <f t="shared" si="534"/>
        <v>0.13167002960366436</v>
      </c>
      <c r="AH331" s="918">
        <f t="shared" si="534"/>
        <v>0.12201376936316694</v>
      </c>
      <c r="AI331" s="918">
        <f t="shared" si="534"/>
        <v>0.12282522343594834</v>
      </c>
      <c r="AJ331" s="918">
        <f t="shared" si="534"/>
        <v>0.12097605893186006</v>
      </c>
      <c r="AK331" s="918">
        <f t="shared" si="534"/>
        <v>0.14558640497845859</v>
      </c>
      <c r="AL331" s="918">
        <f t="shared" si="534"/>
        <v>0.11739793971766503</v>
      </c>
      <c r="AM331" s="918">
        <f t="shared" si="534"/>
        <v>0.10946721311475409</v>
      </c>
      <c r="AN331" s="918">
        <f t="shared" si="534"/>
        <v>0.11629613733905583</v>
      </c>
      <c r="AO331" s="918">
        <f t="shared" si="534"/>
        <v>0.11162162162162162</v>
      </c>
      <c r="AP331" s="918">
        <f t="shared" si="529"/>
        <v>0.10711980637353773</v>
      </c>
      <c r="AQ331" s="918">
        <f t="shared" si="529"/>
        <v>9.4262127069993956E-2</v>
      </c>
      <c r="AR331" s="918">
        <f t="shared" si="529"/>
        <v>6.2401823281907444E-2</v>
      </c>
      <c r="AS331" s="918">
        <f t="shared" si="529"/>
        <v>9.1893562382207583E-2</v>
      </c>
      <c r="AT331" s="918">
        <f t="shared" ref="AT331:BD331" si="535">IFERROR(AT313/AT$326,"NA")</f>
        <v>6.9661175007771206E-2</v>
      </c>
      <c r="AU331" s="918">
        <f t="shared" si="535"/>
        <v>2.7286777332570119E-2</v>
      </c>
      <c r="AV331" s="918">
        <f t="shared" si="535"/>
        <v>0.11460500963391136</v>
      </c>
      <c r="AW331" s="918">
        <f t="shared" si="535"/>
        <v>2.2640845070422532E-2</v>
      </c>
      <c r="AX331" s="918">
        <f t="shared" si="535"/>
        <v>5.6241021548284115E-2</v>
      </c>
      <c r="AY331" s="918">
        <f t="shared" si="535"/>
        <v>4.9724462365591408E-2</v>
      </c>
      <c r="AZ331" s="918">
        <f t="shared" si="535"/>
        <v>5.4515733551287283E-2</v>
      </c>
      <c r="BA331" s="918">
        <f t="shared" si="535"/>
        <v>6.9142857142857159E-2</v>
      </c>
      <c r="BB331" s="918">
        <f t="shared" si="535"/>
        <v>6.8432891777055735E-2</v>
      </c>
      <c r="BC331" s="918">
        <f t="shared" si="535"/>
        <v>6.0701317194731201E-2</v>
      </c>
      <c r="BD331" s="918">
        <f t="shared" si="535"/>
        <v>6.4970885688017177E-2</v>
      </c>
      <c r="BE331" s="1109">
        <f t="shared" si="531"/>
        <v>8.1470301850048679E-2</v>
      </c>
      <c r="BF331" s="1109">
        <f t="shared" si="531"/>
        <v>7.2138103161397668E-2</v>
      </c>
      <c r="BG331" s="1109">
        <f t="shared" ref="BG331:BJ331" si="536">IFERROR(BG313/BG$326,"NA")</f>
        <v>6.9206745783885082E-2</v>
      </c>
      <c r="BH331" s="1109">
        <f t="shared" si="536"/>
        <v>6.8564950653507595E-2</v>
      </c>
      <c r="BI331" s="1109">
        <f t="shared" si="536"/>
        <v>8.1910471622701861E-2</v>
      </c>
      <c r="BJ331" s="1109">
        <f t="shared" si="536"/>
        <v>6.611645694547251E-2</v>
      </c>
      <c r="BK331" s="1109">
        <f t="shared" ref="BK331:BL331" si="537">IFERROR(BK313/BK$326,"NA")</f>
        <v>6.6080402010050235E-2</v>
      </c>
      <c r="BL331" s="1109">
        <f t="shared" si="537"/>
        <v>6.5168687401159719E-2</v>
      </c>
    </row>
    <row r="332" spans="1:64" s="9" customFormat="1" ht="11.25">
      <c r="A332" s="342" t="s">
        <v>1018</v>
      </c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918">
        <f t="shared" ref="AC332:AO332" si="538">IFERROR(AC314/AC$326,"NA")</f>
        <v>0.24656566128542393</v>
      </c>
      <c r="AD332" s="918" t="str">
        <f t="shared" si="538"/>
        <v>NA</v>
      </c>
      <c r="AE332" s="918">
        <f t="shared" si="538"/>
        <v>0.25117489561684359</v>
      </c>
      <c r="AF332" s="918">
        <f t="shared" si="538"/>
        <v>0.26401595744680856</v>
      </c>
      <c r="AG332" s="918">
        <f t="shared" si="538"/>
        <v>0.27205423901890607</v>
      </c>
      <c r="AH332" s="918">
        <f t="shared" si="538"/>
        <v>0.22849827882960408</v>
      </c>
      <c r="AI332" s="918">
        <f t="shared" si="538"/>
        <v>0.24095829195630586</v>
      </c>
      <c r="AJ332" s="918">
        <f t="shared" si="538"/>
        <v>0.25600368324125233</v>
      </c>
      <c r="AK332" s="918">
        <f t="shared" si="538"/>
        <v>0.25477740545715655</v>
      </c>
      <c r="AL332" s="918">
        <f t="shared" si="538"/>
        <v>0.23157191911484173</v>
      </c>
      <c r="AM332" s="918">
        <f t="shared" si="538"/>
        <v>0.24351092896174864</v>
      </c>
      <c r="AN332" s="918">
        <f t="shared" si="538"/>
        <v>0.2625536480686696</v>
      </c>
      <c r="AO332" s="918">
        <f t="shared" si="538"/>
        <v>0.25777027027027027</v>
      </c>
      <c r="AP332" s="918">
        <f t="shared" si="529"/>
        <v>0.23787010891488505</v>
      </c>
      <c r="AQ332" s="918">
        <f t="shared" si="529"/>
        <v>0.26752281259391697</v>
      </c>
      <c r="AR332" s="918">
        <f t="shared" si="529"/>
        <v>0.29586605890603085</v>
      </c>
      <c r="AS332" s="918">
        <f t="shared" si="529"/>
        <v>0.30910627880935715</v>
      </c>
      <c r="AT332" s="918">
        <f t="shared" ref="AT332:BD332" si="539">IFERROR(AT314/AT$326,"NA")</f>
        <v>0.27999999999999997</v>
      </c>
      <c r="AU332" s="918">
        <f t="shared" si="539"/>
        <v>0.37914710933028045</v>
      </c>
      <c r="AV332" s="918">
        <f t="shared" si="539"/>
        <v>0.24346820809248557</v>
      </c>
      <c r="AW332" s="918">
        <f t="shared" si="539"/>
        <v>0.46399647887323936</v>
      </c>
      <c r="AX332" s="918">
        <f t="shared" si="539"/>
        <v>0.34751795690343179</v>
      </c>
      <c r="AY332" s="918">
        <f t="shared" si="539"/>
        <v>0.4626612903225808</v>
      </c>
      <c r="AZ332" s="918">
        <f t="shared" si="539"/>
        <v>0.40911319983653444</v>
      </c>
      <c r="BA332" s="918">
        <f t="shared" si="539"/>
        <v>0.43114285714285716</v>
      </c>
      <c r="BB332" s="918">
        <f t="shared" si="539"/>
        <v>0.41313421644588849</v>
      </c>
      <c r="BC332" s="918">
        <f t="shared" si="539"/>
        <v>0.43859736561053742</v>
      </c>
      <c r="BD332" s="918">
        <f t="shared" si="539"/>
        <v>0.44919092859331911</v>
      </c>
      <c r="BE332" s="1109">
        <f t="shared" si="531"/>
        <v>0.47786757546251213</v>
      </c>
      <c r="BF332" s="1109">
        <f t="shared" si="531"/>
        <v>0.41000000000000003</v>
      </c>
      <c r="BG332" s="1109">
        <f t="shared" ref="BG332:BJ332" si="540">IFERROR(BG314/BG$326,"NA")</f>
        <v>0.49079325421611497</v>
      </c>
      <c r="BH332" s="1109">
        <f t="shared" si="540"/>
        <v>0.47658308882368627</v>
      </c>
      <c r="BI332" s="1109">
        <f t="shared" si="540"/>
        <v>0.50202238209432459</v>
      </c>
      <c r="BJ332" s="1109">
        <f t="shared" si="540"/>
        <v>0.46970885763631881</v>
      </c>
      <c r="BK332" s="1109">
        <f t="shared" ref="BK332:BL332" si="541">IFERROR(BK314/BK$326,"NA")</f>
        <v>0.49391959798994972</v>
      </c>
      <c r="BL332" s="1109">
        <f t="shared" si="541"/>
        <v>0.48269636267791249</v>
      </c>
    </row>
    <row r="333" spans="1:64" s="9" customFormat="1" ht="11.25">
      <c r="A333" s="342" t="s">
        <v>1009</v>
      </c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918">
        <f t="shared" ref="AC333:AO333" si="542">IFERROR(AC315/AC$326,"NA")</f>
        <v>5.3781277013293466E-2</v>
      </c>
      <c r="AD333" s="918" t="str">
        <f t="shared" si="542"/>
        <v>NA</v>
      </c>
      <c r="AE333" s="918">
        <f t="shared" si="542"/>
        <v>4.7674549233275285E-2</v>
      </c>
      <c r="AF333" s="918">
        <f t="shared" si="542"/>
        <v>5.4425531914893625E-2</v>
      </c>
      <c r="AG333" s="918">
        <f t="shared" si="542"/>
        <v>4.6015778802205302E-2</v>
      </c>
      <c r="AH333" s="918">
        <f t="shared" si="542"/>
        <v>4.9328743545611009E-2</v>
      </c>
      <c r="AI333" s="918">
        <f t="shared" si="542"/>
        <v>4.3341608738828204E-2</v>
      </c>
      <c r="AJ333" s="918">
        <f t="shared" si="542"/>
        <v>5.2007366482504619E-2</v>
      </c>
      <c r="AK333" s="918">
        <f t="shared" si="542"/>
        <v>4.336045955002394E-2</v>
      </c>
      <c r="AL333" s="918">
        <f t="shared" si="542"/>
        <v>5.0515070583746671E-2</v>
      </c>
      <c r="AM333" s="918">
        <f t="shared" si="542"/>
        <v>4.9726775956284157E-2</v>
      </c>
      <c r="AN333" s="918">
        <f t="shared" si="542"/>
        <v>5.8596566523605162E-2</v>
      </c>
      <c r="AO333" s="918">
        <f t="shared" si="542"/>
        <v>5.1351351351351354E-2</v>
      </c>
      <c r="AP333" s="918">
        <f t="shared" si="529"/>
        <v>4.5010084711577254E-2</v>
      </c>
      <c r="AQ333" s="918">
        <f t="shared" si="529"/>
        <v>4.4049382716049384E-2</v>
      </c>
      <c r="AR333" s="918">
        <f t="shared" si="529"/>
        <v>4.6928471248246846E-2</v>
      </c>
      <c r="AS333" s="918">
        <f t="shared" si="529"/>
        <v>4.4965009208103132E-2</v>
      </c>
      <c r="AT333" s="918">
        <f t="shared" ref="AT333:BD333" si="543">IFERROR(AT315/AT$326,"NA")</f>
        <v>4.1355299968915127E-2</v>
      </c>
      <c r="AU333" s="918">
        <f t="shared" si="543"/>
        <v>6.5580995993131067E-2</v>
      </c>
      <c r="AV333" s="918">
        <f t="shared" si="543"/>
        <v>7.7225433526011564E-2</v>
      </c>
      <c r="AW333" s="918">
        <f t="shared" si="543"/>
        <v>2.2799295774647885E-2</v>
      </c>
      <c r="AX333" s="918">
        <f t="shared" si="543"/>
        <v>3.3758978451715882E-2</v>
      </c>
      <c r="AY333" s="918">
        <f t="shared" si="543"/>
        <v>2.4220430107526888E-2</v>
      </c>
      <c r="AZ333" s="918">
        <f t="shared" si="543"/>
        <v>4.4597466285247238E-2</v>
      </c>
      <c r="BA333" s="918">
        <f t="shared" si="543"/>
        <v>3.6000000000000011E-2</v>
      </c>
      <c r="BB333" s="918">
        <f t="shared" si="543"/>
        <v>3.6828292926768313E-2</v>
      </c>
      <c r="BC333" s="918">
        <f t="shared" si="543"/>
        <v>4.6877892488430037E-2</v>
      </c>
      <c r="BD333" s="918">
        <f t="shared" si="543"/>
        <v>4.6705485749310459E-2</v>
      </c>
      <c r="BE333" s="1109">
        <f t="shared" si="531"/>
        <v>4.8529698149951318E-2</v>
      </c>
      <c r="BF333" s="1109">
        <f t="shared" si="531"/>
        <v>5.3585690515806986E-2</v>
      </c>
      <c r="BG333" s="1109">
        <f t="shared" ref="BG333:BJ333" si="544">IFERROR(BG315/BG$326,"NA")</f>
        <v>4.311055590256091E-2</v>
      </c>
      <c r="BH333" s="1109">
        <f t="shared" si="544"/>
        <v>4.4009069085089357E-2</v>
      </c>
      <c r="BI333" s="1109">
        <f t="shared" si="544"/>
        <v>4.2078337330135898E-2</v>
      </c>
      <c r="BJ333" s="1109">
        <f t="shared" si="544"/>
        <v>4.1796200345423147E-2</v>
      </c>
      <c r="BK333" s="1109">
        <f t="shared" ref="BK333:BL333" si="545">IFERROR(BK315/BK$326,"NA")</f>
        <v>4.7487437185929647E-2</v>
      </c>
      <c r="BL333" s="1109">
        <f t="shared" si="545"/>
        <v>4.8763837638376391E-2</v>
      </c>
    </row>
    <row r="334" spans="1:64" s="9" customFormat="1" ht="11.25">
      <c r="A334" s="342" t="s">
        <v>1010</v>
      </c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918">
        <f t="shared" ref="AC334:AO334" si="546">IFERROR(AC316/AC$326,"NA")</f>
        <v>4.7058617386631786E-2</v>
      </c>
      <c r="AD334" s="918" t="str">
        <f t="shared" si="546"/>
        <v>NA</v>
      </c>
      <c r="AE334" s="918">
        <f t="shared" si="546"/>
        <v>4.0863899342807389E-2</v>
      </c>
      <c r="AF334" s="918">
        <f t="shared" si="546"/>
        <v>4.7622340425531928E-2</v>
      </c>
      <c r="AG334" s="918">
        <f t="shared" si="546"/>
        <v>4.6015778802205302E-2</v>
      </c>
      <c r="AH334" s="918">
        <f t="shared" si="546"/>
        <v>4.9328743545611009E-2</v>
      </c>
      <c r="AI334" s="918">
        <f t="shared" si="546"/>
        <v>4.3341608738828204E-2</v>
      </c>
      <c r="AJ334" s="918">
        <f t="shared" si="546"/>
        <v>4.5506445672191538E-2</v>
      </c>
      <c r="AK334" s="918">
        <f t="shared" si="546"/>
        <v>3.7166108185734799E-2</v>
      </c>
      <c r="AL334" s="918">
        <f t="shared" si="546"/>
        <v>4.4200686760778339E-2</v>
      </c>
      <c r="AM334" s="918">
        <f t="shared" si="546"/>
        <v>3.1079234972677595E-2</v>
      </c>
      <c r="AN334" s="918">
        <f t="shared" si="546"/>
        <v>3.9064377682403437E-2</v>
      </c>
      <c r="AO334" s="918">
        <f t="shared" si="546"/>
        <v>3.8513513513513516E-2</v>
      </c>
      <c r="AP334" s="918">
        <f t="shared" si="529"/>
        <v>3.2150060508269462E-2</v>
      </c>
      <c r="AQ334" s="918">
        <f t="shared" si="529"/>
        <v>2.7530864197530865E-2</v>
      </c>
      <c r="AR334" s="918">
        <f t="shared" si="529"/>
        <v>2.9330294530154281E-2</v>
      </c>
      <c r="AS334" s="918">
        <f t="shared" si="529"/>
        <v>2.2482504604051566E-2</v>
      </c>
      <c r="AT334" s="918">
        <f t="shared" ref="AT334:BD334" si="547">IFERROR(AT316/AT$326,"NA")</f>
        <v>2.0677649984457563E-2</v>
      </c>
      <c r="AU334" s="918">
        <f t="shared" si="547"/>
        <v>1.4573554665140239E-2</v>
      </c>
      <c r="AV334" s="918">
        <f t="shared" si="547"/>
        <v>6.1136801541425818E-2</v>
      </c>
      <c r="AW334" s="918">
        <f t="shared" si="547"/>
        <v>4.5598591549295764E-3</v>
      </c>
      <c r="AX334" s="918">
        <f t="shared" si="547"/>
        <v>2.8132482043096568E-2</v>
      </c>
      <c r="AY334" s="918">
        <f t="shared" si="547"/>
        <v>6.055107526881722E-3</v>
      </c>
      <c r="AZ334" s="918">
        <f t="shared" si="547"/>
        <v>3.1855333060890882E-2</v>
      </c>
      <c r="BA334" s="918">
        <f t="shared" si="547"/>
        <v>2.0571428571428574E-2</v>
      </c>
      <c r="BB334" s="918">
        <f t="shared" si="547"/>
        <v>2.1044738815296178E-2</v>
      </c>
      <c r="BC334" s="918">
        <f t="shared" si="547"/>
        <v>2.3438946244215018E-2</v>
      </c>
      <c r="BD334" s="918">
        <f t="shared" si="547"/>
        <v>2.3352742874655229E-2</v>
      </c>
      <c r="BE334" s="1109">
        <f t="shared" si="531"/>
        <v>2.4264849074975659E-2</v>
      </c>
      <c r="BF334" s="1109">
        <f t="shared" si="531"/>
        <v>4.1677759290072107E-2</v>
      </c>
      <c r="BG334" s="1109">
        <f t="shared" ref="BG334:BJ334" si="548">IFERROR(BG316/BG$326,"NA")</f>
        <v>1.8475952529668958E-2</v>
      </c>
      <c r="BH334" s="1109">
        <f t="shared" si="548"/>
        <v>1.8861029607895433E-2</v>
      </c>
      <c r="BI334" s="1109">
        <f t="shared" si="548"/>
        <v>1.8033573141486809E-2</v>
      </c>
      <c r="BJ334" s="1109">
        <f t="shared" si="548"/>
        <v>1.7912657290895632E-2</v>
      </c>
      <c r="BK334" s="1109">
        <f t="shared" ref="BK334:BL334" si="549">IFERROR(BK316/BK$326,"NA")</f>
        <v>2.0351758793969846E-2</v>
      </c>
      <c r="BL334" s="1109">
        <f t="shared" si="549"/>
        <v>2.0898787559304164E-2</v>
      </c>
    </row>
    <row r="335" spans="1:64" s="9" customFormat="1" ht="11.25">
      <c r="A335" s="342" t="s">
        <v>1011</v>
      </c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918">
        <f t="shared" ref="AC335:AO335" si="550">IFERROR(AC317/AC$326,"NA")</f>
        <v>0.14117585215989534</v>
      </c>
      <c r="AD335" s="918" t="str">
        <f t="shared" si="550"/>
        <v>NA</v>
      </c>
      <c r="AE335" s="918">
        <f t="shared" si="550"/>
        <v>0.14983429759029374</v>
      </c>
      <c r="AF335" s="918">
        <f t="shared" si="550"/>
        <v>0.12926063829787235</v>
      </c>
      <c r="AG335" s="918">
        <f t="shared" si="550"/>
        <v>0.15119470177867456</v>
      </c>
      <c r="AH335" s="918">
        <f t="shared" si="550"/>
        <v>0.16648450946643714</v>
      </c>
      <c r="AI335" s="918">
        <f t="shared" si="550"/>
        <v>0.14240814299900695</v>
      </c>
      <c r="AJ335" s="918">
        <f t="shared" si="550"/>
        <v>0.13001841620626156</v>
      </c>
      <c r="AK335" s="918">
        <f t="shared" si="550"/>
        <v>0.13627573001436094</v>
      </c>
      <c r="AL335" s="918">
        <f t="shared" si="550"/>
        <v>0.15154521175124</v>
      </c>
      <c r="AM335" s="918">
        <f t="shared" si="550"/>
        <v>0.13674863387978142</v>
      </c>
      <c r="AN335" s="918">
        <f t="shared" si="550"/>
        <v>0.13672532188841205</v>
      </c>
      <c r="AO335" s="918">
        <f t="shared" si="550"/>
        <v>0.11554054054054054</v>
      </c>
      <c r="AP335" s="918">
        <f t="shared" si="529"/>
        <v>0.14789027833803953</v>
      </c>
      <c r="AQ335" s="918">
        <f t="shared" si="529"/>
        <v>0.16300426351258424</v>
      </c>
      <c r="AR335" s="918">
        <f t="shared" si="529"/>
        <v>0.17759817671809255</v>
      </c>
      <c r="AS335" s="918">
        <f t="shared" si="529"/>
        <v>0.14361102317969948</v>
      </c>
      <c r="AT335" s="918">
        <f t="shared" ref="AT335:BD335" si="551">IFERROR(AT317/AT$326,"NA")</f>
        <v>0.20101647497668634</v>
      </c>
      <c r="AU335" s="918">
        <f t="shared" si="551"/>
        <v>0.19643388666285055</v>
      </c>
      <c r="AV335" s="918">
        <f t="shared" si="551"/>
        <v>0.68628131021194605</v>
      </c>
      <c r="AW335" s="918">
        <f t="shared" si="551"/>
        <v>-8.2077464788732374E-2</v>
      </c>
      <c r="AX335" s="918">
        <f t="shared" si="551"/>
        <v>0.09</v>
      </c>
      <c r="AY335" s="918">
        <f t="shared" si="551"/>
        <v>2.0000000000000004E-2</v>
      </c>
      <c r="AZ335" s="918">
        <f t="shared" si="551"/>
        <v>7.0968532897425399E-2</v>
      </c>
      <c r="BA335" s="918">
        <f t="shared" si="551"/>
        <v>7.514285714285715E-2</v>
      </c>
      <c r="BB335" s="918">
        <f t="shared" si="551"/>
        <v>9.4216445888527872E-2</v>
      </c>
      <c r="BC335" s="918">
        <f t="shared" si="551"/>
        <v>9.6561053755784942E-2</v>
      </c>
      <c r="BD335" s="918">
        <f t="shared" si="551"/>
        <v>0.1141618142813362</v>
      </c>
      <c r="BE335" s="1109">
        <f t="shared" si="531"/>
        <v>0.10819863680623175</v>
      </c>
      <c r="BF335" s="1109">
        <f t="shared" si="531"/>
        <v>0.11595396561286744</v>
      </c>
      <c r="BG335" s="1109">
        <f t="shared" ref="BG335:BJ335" si="552">IFERROR(BG317/BG$326,"NA")</f>
        <v>0.11000000000000003</v>
      </c>
      <c r="BH335" s="1109">
        <f t="shared" si="552"/>
        <v>0.11371299013070149</v>
      </c>
      <c r="BI335" s="1109">
        <f t="shared" si="552"/>
        <v>0.10202238209432454</v>
      </c>
      <c r="BJ335" s="1109">
        <f t="shared" si="552"/>
        <v>0.11000000000000001</v>
      </c>
      <c r="BK335" s="1109">
        <f t="shared" ref="BK335:BL335" si="553">IFERROR(BK317/BK$326,"NA")</f>
        <v>0.10999999999999999</v>
      </c>
      <c r="BL335" s="1109">
        <f t="shared" si="553"/>
        <v>0.11303373748023195</v>
      </c>
    </row>
    <row r="336" spans="1:64" s="9" customFormat="1" ht="11.25">
      <c r="A336" s="342" t="s">
        <v>1012</v>
      </c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918">
        <f t="shared" ref="AC336:AO336" si="554">IFERROR(AC318/AC$326,"NA")</f>
        <v>1.3445319253323366E-2</v>
      </c>
      <c r="AD336" s="918" t="str">
        <f t="shared" si="554"/>
        <v>NA</v>
      </c>
      <c r="AE336" s="918">
        <f t="shared" si="554"/>
        <v>6.8106498904678984E-3</v>
      </c>
      <c r="AF336" s="918">
        <f t="shared" si="554"/>
        <v>1.3606382978723406E-2</v>
      </c>
      <c r="AG336" s="918">
        <f t="shared" si="554"/>
        <v>1.9721048058087987E-2</v>
      </c>
      <c r="AH336" s="918">
        <f t="shared" si="554"/>
        <v>2.4664371772805505E-2</v>
      </c>
      <c r="AI336" s="918">
        <f t="shared" si="554"/>
        <v>1.8574975173783512E-2</v>
      </c>
      <c r="AJ336" s="918">
        <f t="shared" si="554"/>
        <v>1.9502762430939229E-2</v>
      </c>
      <c r="AK336" s="918">
        <f t="shared" si="554"/>
        <v>1.8583054092867399E-2</v>
      </c>
      <c r="AL336" s="918">
        <f t="shared" si="554"/>
        <v>1.8943151468905E-2</v>
      </c>
      <c r="AM336" s="918">
        <f t="shared" si="554"/>
        <v>1.8647540983606554E-2</v>
      </c>
      <c r="AN336" s="918">
        <f t="shared" si="554"/>
        <v>1.3021459227467813E-2</v>
      </c>
      <c r="AO336" s="918">
        <f t="shared" si="554"/>
        <v>1.2837837837837839E-2</v>
      </c>
      <c r="AP336" s="918">
        <f t="shared" si="529"/>
        <v>1.2860024203307785E-2</v>
      </c>
      <c r="AQ336" s="918">
        <f t="shared" si="529"/>
        <v>1.1012345679012346E-2</v>
      </c>
      <c r="AR336" s="918">
        <f t="shared" si="529"/>
        <v>1.1732117812061712E-2</v>
      </c>
      <c r="AS336" s="918">
        <f t="shared" si="529"/>
        <v>1.1241252302025783E-2</v>
      </c>
      <c r="AT336" s="918">
        <f t="shared" ref="AT336:BD336" si="555">IFERROR(AT318/AT$326,"NA")</f>
        <v>1.0338824992228782E-2</v>
      </c>
      <c r="AU336" s="918">
        <f t="shared" si="555"/>
        <v>7.2867773325701194E-3</v>
      </c>
      <c r="AV336" s="918">
        <f t="shared" si="555"/>
        <v>5.1483622350674371E-2</v>
      </c>
      <c r="AW336" s="918">
        <f t="shared" si="555"/>
        <v>-2.2799295774647885E-2</v>
      </c>
      <c r="AX336" s="918">
        <f t="shared" si="555"/>
        <v>-5.6264964086193137E-3</v>
      </c>
      <c r="AY336" s="918">
        <f t="shared" si="555"/>
        <v>6.055107526881722E-3</v>
      </c>
      <c r="AZ336" s="918">
        <f t="shared" si="555"/>
        <v>6.3710666121781761E-3</v>
      </c>
      <c r="BA336" s="918">
        <f t="shared" si="555"/>
        <v>5.1428571428571435E-3</v>
      </c>
      <c r="BB336" s="918">
        <f t="shared" si="555"/>
        <v>5.2611847038240445E-3</v>
      </c>
      <c r="BC336" s="918">
        <f t="shared" si="555"/>
        <v>5.8597365610537546E-3</v>
      </c>
      <c r="BD336" s="918">
        <f t="shared" si="555"/>
        <v>5.8381857186638074E-3</v>
      </c>
      <c r="BE336" s="1109">
        <f t="shared" si="531"/>
        <v>6.0662122687439148E-3</v>
      </c>
      <c r="BF336" s="1109">
        <f t="shared" si="531"/>
        <v>5.9539656128674429E-3</v>
      </c>
      <c r="BG336" s="1109">
        <f t="shared" ref="BG336:BJ336" si="556">IFERROR(BG318/BG$326,"NA")</f>
        <v>6.1586508432229861E-3</v>
      </c>
      <c r="BH336" s="1109">
        <f t="shared" si="556"/>
        <v>6.2870098692984792E-3</v>
      </c>
      <c r="BI336" s="1109">
        <f t="shared" si="556"/>
        <v>6.0111910471622705E-3</v>
      </c>
      <c r="BJ336" s="1109">
        <f t="shared" si="556"/>
        <v>5.9708857636318778E-3</v>
      </c>
      <c r="BK336" s="1109">
        <f t="shared" ref="BK336:BL336" si="557">IFERROR(BK318/BK$326,"NA")</f>
        <v>6.7839195979899495E-3</v>
      </c>
      <c r="BL336" s="1109">
        <f t="shared" si="557"/>
        <v>6.966262519768055E-3</v>
      </c>
    </row>
    <row r="337" spans="1:64" s="9" customFormat="1" ht="11.25">
      <c r="A337" s="342" t="s">
        <v>1019</v>
      </c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918">
        <f t="shared" ref="AC337:AO337" si="558">IFERROR(AC319/AC$326,"NA")</f>
        <v>8.1769969394668601E-2</v>
      </c>
      <c r="AD337" s="918" t="str">
        <f t="shared" si="558"/>
        <v>NA</v>
      </c>
      <c r="AE337" s="918">
        <f t="shared" si="558"/>
        <v>9.5489524237488049E-2</v>
      </c>
      <c r="AF337" s="918">
        <f t="shared" si="558"/>
        <v>7.672340425531915E-2</v>
      </c>
      <c r="AG337" s="918">
        <f t="shared" si="558"/>
        <v>8.1417441124055551E-2</v>
      </c>
      <c r="AH337" s="918">
        <f t="shared" si="558"/>
        <v>9.5847676419965555E-2</v>
      </c>
      <c r="AI337" s="918">
        <f t="shared" si="558"/>
        <v>9.1400198609731864E-2</v>
      </c>
      <c r="AJ337" s="918">
        <f t="shared" si="558"/>
        <v>7.3480662983425427E-2</v>
      </c>
      <c r="AK337" s="918">
        <f t="shared" si="558"/>
        <v>8.7529918621349928E-2</v>
      </c>
      <c r="AL337" s="918">
        <f t="shared" si="558"/>
        <v>9.2140404425791703E-2</v>
      </c>
      <c r="AM337" s="918">
        <f t="shared" si="558"/>
        <v>9.8387978142076504E-2</v>
      </c>
      <c r="AN337" s="918">
        <f t="shared" si="558"/>
        <v>8.0253218884120195E-2</v>
      </c>
      <c r="AO337" s="918">
        <f t="shared" si="558"/>
        <v>9.3108108108108115E-2</v>
      </c>
      <c r="AP337" s="918">
        <f t="shared" si="529"/>
        <v>8.9249697458652688E-2</v>
      </c>
      <c r="AQ337" s="918">
        <f t="shared" si="529"/>
        <v>7.4655256549356383E-2</v>
      </c>
      <c r="AR337" s="918">
        <f t="shared" si="529"/>
        <v>2.8937587657784012E-2</v>
      </c>
      <c r="AS337" s="918">
        <f t="shared" si="529"/>
        <v>7.2753861362515576E-2</v>
      </c>
      <c r="AT337" s="918">
        <f t="shared" ref="AT337:BD337" si="559">IFERROR(AT319/AT$326,"NA")</f>
        <v>3.3814112527199257E-2</v>
      </c>
      <c r="AU337" s="918">
        <f t="shared" si="559"/>
        <v>1.6279336004579276E-2</v>
      </c>
      <c r="AV337" s="918">
        <f t="shared" si="559"/>
        <v>6.7822736030828529E-2</v>
      </c>
      <c r="AW337" s="918">
        <f t="shared" si="559"/>
        <v>7.0721830985915488E-2</v>
      </c>
      <c r="AX337" s="918">
        <f t="shared" si="559"/>
        <v>2.1867517956903434E-2</v>
      </c>
      <c r="AY337" s="918">
        <f t="shared" si="559"/>
        <v>1.1834677419354843E-2</v>
      </c>
      <c r="AZ337" s="918">
        <f t="shared" si="559"/>
        <v>1.0886800163465465E-2</v>
      </c>
      <c r="BA337" s="918">
        <f t="shared" si="559"/>
        <v>2.9142857142857144E-2</v>
      </c>
      <c r="BB337" s="918">
        <f t="shared" si="559"/>
        <v>3.3171707073231693E-2</v>
      </c>
      <c r="BC337" s="918">
        <f t="shared" si="559"/>
        <v>2.4841580633677456E-2</v>
      </c>
      <c r="BD337" s="918">
        <f t="shared" si="559"/>
        <v>1.2485442844008583E-2</v>
      </c>
      <c r="BE337" s="1109">
        <f t="shared" si="531"/>
        <v>1.5735150925024345E-2</v>
      </c>
      <c r="BF337" s="1109">
        <f t="shared" si="531"/>
        <v>1.6184137548530226E-2</v>
      </c>
      <c r="BG337" s="1109">
        <f t="shared" ref="BG337:BJ337" si="560">IFERROR(BG319/BG$326,"NA")</f>
        <v>1.536539662710806E-2</v>
      </c>
      <c r="BH337" s="1109">
        <f t="shared" si="560"/>
        <v>1.1138970392104559E-2</v>
      </c>
      <c r="BI337" s="1109">
        <f t="shared" si="560"/>
        <v>1.5955235811350922E-2</v>
      </c>
      <c r="BJ337" s="1109">
        <f t="shared" si="560"/>
        <v>1.6116456945472493E-2</v>
      </c>
      <c r="BK337" s="1109">
        <f t="shared" ref="BK337:BL337" si="561">IFERROR(BK319/BK$326,"NA")</f>
        <v>1.28643216080402E-2</v>
      </c>
      <c r="BL337" s="1109">
        <f t="shared" si="561"/>
        <v>9.1012124406958366E-3</v>
      </c>
    </row>
    <row r="338" spans="1:64" s="9" customFormat="1" ht="11.25">
      <c r="A338" s="342" t="s">
        <v>1016</v>
      </c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918">
        <f t="shared" ref="AC338:AO338" si="562">IFERROR(AC320/AC$326,"NA")</f>
        <v>0</v>
      </c>
      <c r="AD338" s="918" t="str">
        <f t="shared" si="562"/>
        <v>NA</v>
      </c>
      <c r="AE338" s="918">
        <f t="shared" si="562"/>
        <v>0</v>
      </c>
      <c r="AF338" s="918">
        <f t="shared" si="562"/>
        <v>3.1968085106382983E-3</v>
      </c>
      <c r="AG338" s="918">
        <f t="shared" si="562"/>
        <v>6.7847867603379628E-3</v>
      </c>
      <c r="AH338" s="918">
        <f t="shared" si="562"/>
        <v>7.6678141135972447E-3</v>
      </c>
      <c r="AI338" s="918">
        <f t="shared" si="562"/>
        <v>3.8083416087388283E-3</v>
      </c>
      <c r="AJ338" s="918">
        <f t="shared" si="562"/>
        <v>3.4990791896869254E-3</v>
      </c>
      <c r="AK338" s="918">
        <f t="shared" si="562"/>
        <v>0</v>
      </c>
      <c r="AL338" s="918">
        <f t="shared" si="562"/>
        <v>3.685616177031668E-3</v>
      </c>
      <c r="AM338" s="918">
        <f t="shared" si="562"/>
        <v>3.784153005464481E-3</v>
      </c>
      <c r="AN338" s="918">
        <f t="shared" si="562"/>
        <v>0</v>
      </c>
      <c r="AO338" s="918">
        <f t="shared" si="562"/>
        <v>0</v>
      </c>
      <c r="AP338" s="918">
        <f t="shared" si="529"/>
        <v>0</v>
      </c>
      <c r="AQ338" s="918">
        <f t="shared" si="529"/>
        <v>2.7663829418746212E-3</v>
      </c>
      <c r="AR338" s="918">
        <f t="shared" si="529"/>
        <v>0</v>
      </c>
      <c r="AS338" s="918">
        <f t="shared" si="529"/>
        <v>2.6959259177645853E-3</v>
      </c>
      <c r="AT338" s="918">
        <f t="shared" ref="AT338:BD338" si="563">IFERROR(AT320/AT$326,"NA")</f>
        <v>0</v>
      </c>
      <c r="AU338" s="918">
        <f t="shared" si="563"/>
        <v>0</v>
      </c>
      <c r="AV338" s="918">
        <f t="shared" si="563"/>
        <v>0</v>
      </c>
      <c r="AW338" s="918">
        <f t="shared" si="563"/>
        <v>0</v>
      </c>
      <c r="AX338" s="918">
        <f t="shared" si="563"/>
        <v>0</v>
      </c>
      <c r="AY338" s="918">
        <f t="shared" si="563"/>
        <v>0</v>
      </c>
      <c r="AZ338" s="918">
        <f t="shared" si="563"/>
        <v>0</v>
      </c>
      <c r="BA338" s="918">
        <f t="shared" si="563"/>
        <v>0</v>
      </c>
      <c r="BB338" s="918">
        <f t="shared" si="563"/>
        <v>0</v>
      </c>
      <c r="BC338" s="918">
        <f t="shared" si="563"/>
        <v>0</v>
      </c>
      <c r="BD338" s="918">
        <f t="shared" si="563"/>
        <v>0</v>
      </c>
      <c r="BE338" s="1109">
        <f t="shared" si="531"/>
        <v>0</v>
      </c>
      <c r="BF338" s="1109">
        <f t="shared" si="531"/>
        <v>0</v>
      </c>
      <c r="BG338" s="1109">
        <f t="shared" ref="BG338:BJ338" si="564">IFERROR(BG320/BG$326,"NA")</f>
        <v>0</v>
      </c>
      <c r="BH338" s="1109">
        <f t="shared" si="564"/>
        <v>0</v>
      </c>
      <c r="BI338" s="1109">
        <f t="shared" si="564"/>
        <v>0</v>
      </c>
      <c r="BJ338" s="1109">
        <f t="shared" si="564"/>
        <v>0</v>
      </c>
      <c r="BK338" s="1109">
        <f t="shared" ref="BK338:BL338" si="565">IFERROR(BK320/BK$326,"NA")</f>
        <v>0</v>
      </c>
      <c r="BL338" s="1109">
        <f t="shared" si="565"/>
        <v>0</v>
      </c>
    </row>
    <row r="339" spans="1:64" s="9" customFormat="1" ht="11.25">
      <c r="A339" s="342" t="s">
        <v>1015</v>
      </c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918">
        <f t="shared" ref="AC339:AO339" si="566">IFERROR(AC321/AC$326,"NA")</f>
        <v>3.2707987757867444E-3</v>
      </c>
      <c r="AD339" s="918" t="str">
        <f t="shared" si="566"/>
        <v>NA</v>
      </c>
      <c r="AE339" s="918">
        <f t="shared" si="566"/>
        <v>3.1829841412496021E-3</v>
      </c>
      <c r="AF339" s="918">
        <f t="shared" si="566"/>
        <v>0</v>
      </c>
      <c r="AG339" s="918">
        <f t="shared" si="566"/>
        <v>3.3923933801689814E-3</v>
      </c>
      <c r="AH339" s="918">
        <f t="shared" si="566"/>
        <v>3.8339070567986223E-3</v>
      </c>
      <c r="AI339" s="918">
        <f t="shared" si="566"/>
        <v>3.8083416087388283E-3</v>
      </c>
      <c r="AJ339" s="918">
        <f t="shared" si="566"/>
        <v>3.4990791896869254E-3</v>
      </c>
      <c r="AK339" s="918">
        <f t="shared" si="566"/>
        <v>0</v>
      </c>
      <c r="AL339" s="918">
        <f t="shared" si="566"/>
        <v>3.685616177031668E-3</v>
      </c>
      <c r="AM339" s="918">
        <f t="shared" si="566"/>
        <v>0</v>
      </c>
      <c r="AN339" s="918">
        <f t="shared" si="566"/>
        <v>0</v>
      </c>
      <c r="AO339" s="918">
        <f t="shared" si="566"/>
        <v>0</v>
      </c>
      <c r="AP339" s="918">
        <f t="shared" si="529"/>
        <v>0</v>
      </c>
      <c r="AQ339" s="918">
        <f t="shared" si="529"/>
        <v>1.3831914709373106E-3</v>
      </c>
      <c r="AR339" s="918">
        <f t="shared" si="529"/>
        <v>8.2678821879382889E-3</v>
      </c>
      <c r="AS339" s="918">
        <f t="shared" si="529"/>
        <v>1.3479629588822927E-3</v>
      </c>
      <c r="AT339" s="918">
        <f t="shared" ref="AT339:BD339" si="567">IFERROR(AT321/AT$326,"NA")</f>
        <v>9.6611750077712152E-3</v>
      </c>
      <c r="AU339" s="918">
        <f t="shared" si="567"/>
        <v>5.4264453348597591E-3</v>
      </c>
      <c r="AV339" s="918">
        <f t="shared" si="567"/>
        <v>1.3564547206165704E-2</v>
      </c>
      <c r="AW339" s="918">
        <f t="shared" si="567"/>
        <v>5.4401408450704212E-3</v>
      </c>
      <c r="AX339" s="918">
        <f t="shared" si="567"/>
        <v>4.3735035913806865E-3</v>
      </c>
      <c r="AY339" s="918">
        <f t="shared" si="567"/>
        <v>3.9448924731182809E-3</v>
      </c>
      <c r="AZ339" s="918">
        <f t="shared" si="567"/>
        <v>7.2578667756436448E-3</v>
      </c>
      <c r="BA339" s="918">
        <f t="shared" si="567"/>
        <v>4.8571428571428576E-3</v>
      </c>
      <c r="BB339" s="918">
        <f t="shared" si="567"/>
        <v>4.7388152961759565E-3</v>
      </c>
      <c r="BC339" s="918">
        <f t="shared" si="567"/>
        <v>8.280526877892486E-3</v>
      </c>
      <c r="BD339" s="918">
        <f t="shared" si="567"/>
        <v>8.3236285626723892E-3</v>
      </c>
      <c r="BE339" s="1109">
        <f t="shared" si="531"/>
        <v>3.9337877312560863E-3</v>
      </c>
      <c r="BF339" s="1109">
        <f t="shared" si="531"/>
        <v>8.092068774265113E-3</v>
      </c>
      <c r="BG339" s="1109">
        <f t="shared" ref="BG339:BJ339" si="568">IFERROR(BG321/BG$326,"NA")</f>
        <v>3.841349156777015E-3</v>
      </c>
      <c r="BH339" s="1109">
        <f t="shared" si="568"/>
        <v>7.4259802614030403E-3</v>
      </c>
      <c r="BI339" s="1109">
        <f t="shared" si="568"/>
        <v>3.9888089528377305E-3</v>
      </c>
      <c r="BJ339" s="1109">
        <f t="shared" si="568"/>
        <v>8.0582284727362466E-3</v>
      </c>
      <c r="BK339" s="1109">
        <f t="shared" ref="BK339:BL339" si="569">IFERROR(BK321/BK$326,"NA")</f>
        <v>3.2160804020100499E-3</v>
      </c>
      <c r="BL339" s="1109">
        <f t="shared" si="569"/>
        <v>6.0674749604638905E-3</v>
      </c>
    </row>
    <row r="340" spans="1:64" s="9" customFormat="1" ht="11.25">
      <c r="A340" s="342" t="s">
        <v>1017</v>
      </c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918">
        <f t="shared" ref="AC340:AO340" si="570">IFERROR(AC322/AC$326,"NA")</f>
        <v>3.2707987757867444E-3</v>
      </c>
      <c r="AD340" s="918" t="str">
        <f t="shared" si="570"/>
        <v>NA</v>
      </c>
      <c r="AE340" s="918">
        <f t="shared" si="570"/>
        <v>3.1829841412496021E-3</v>
      </c>
      <c r="AF340" s="918">
        <f t="shared" si="570"/>
        <v>3.1968085106382983E-3</v>
      </c>
      <c r="AG340" s="918">
        <f t="shared" si="570"/>
        <v>0</v>
      </c>
      <c r="AH340" s="918">
        <f t="shared" si="570"/>
        <v>3.8339070567986223E-3</v>
      </c>
      <c r="AI340" s="918">
        <f t="shared" si="570"/>
        <v>0</v>
      </c>
      <c r="AJ340" s="918">
        <f t="shared" si="570"/>
        <v>0</v>
      </c>
      <c r="AK340" s="918">
        <f t="shared" si="570"/>
        <v>0</v>
      </c>
      <c r="AL340" s="918">
        <f t="shared" si="570"/>
        <v>3.685616177031668E-3</v>
      </c>
      <c r="AM340" s="918">
        <f t="shared" si="570"/>
        <v>3.784153005464481E-3</v>
      </c>
      <c r="AN340" s="918">
        <f t="shared" si="570"/>
        <v>3.4892703862660955E-3</v>
      </c>
      <c r="AO340" s="918">
        <f t="shared" si="570"/>
        <v>0</v>
      </c>
      <c r="AP340" s="918">
        <f t="shared" si="529"/>
        <v>3.5699878983461073E-3</v>
      </c>
      <c r="AQ340" s="918">
        <f t="shared" si="529"/>
        <v>0</v>
      </c>
      <c r="AR340" s="918">
        <f t="shared" si="529"/>
        <v>0</v>
      </c>
      <c r="AS340" s="918">
        <f t="shared" si="529"/>
        <v>0</v>
      </c>
      <c r="AT340" s="918">
        <f t="shared" ref="AT340:BD340" si="571">IFERROR(AT322/AT$326,"NA")</f>
        <v>0</v>
      </c>
      <c r="AU340" s="918">
        <f t="shared" si="571"/>
        <v>0</v>
      </c>
      <c r="AV340" s="918">
        <f t="shared" si="571"/>
        <v>0</v>
      </c>
      <c r="AW340" s="918">
        <f t="shared" si="571"/>
        <v>0</v>
      </c>
      <c r="AX340" s="918">
        <f t="shared" si="571"/>
        <v>0</v>
      </c>
      <c r="AY340" s="918">
        <f t="shared" si="571"/>
        <v>0</v>
      </c>
      <c r="AZ340" s="918">
        <f t="shared" si="571"/>
        <v>0</v>
      </c>
      <c r="BA340" s="918">
        <f t="shared" si="571"/>
        <v>0</v>
      </c>
      <c r="BB340" s="918">
        <f t="shared" si="571"/>
        <v>0</v>
      </c>
      <c r="BC340" s="918">
        <f t="shared" si="571"/>
        <v>0</v>
      </c>
      <c r="BD340" s="918">
        <f t="shared" si="571"/>
        <v>0</v>
      </c>
      <c r="BE340" s="1109">
        <f t="shared" si="531"/>
        <v>0</v>
      </c>
      <c r="BF340" s="1109">
        <f t="shared" si="531"/>
        <v>0</v>
      </c>
      <c r="BG340" s="1109">
        <f t="shared" ref="BG340:BJ340" si="572">IFERROR(BG322/BG$326,"NA")</f>
        <v>0</v>
      </c>
      <c r="BH340" s="1109">
        <f t="shared" si="572"/>
        <v>0</v>
      </c>
      <c r="BI340" s="1109">
        <f t="shared" si="572"/>
        <v>0</v>
      </c>
      <c r="BJ340" s="1109">
        <f t="shared" si="572"/>
        <v>0</v>
      </c>
      <c r="BK340" s="1109">
        <f t="shared" ref="BK340:BL340" si="573">IFERROR(BK322/BK$326,"NA")</f>
        <v>0</v>
      </c>
      <c r="BL340" s="1109">
        <f t="shared" si="573"/>
        <v>0</v>
      </c>
    </row>
    <row r="341" spans="1:64" s="9" customFormat="1" ht="11.25">
      <c r="A341" s="342" t="s">
        <v>1120</v>
      </c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918"/>
      <c r="AD341" s="918"/>
      <c r="AE341" s="918"/>
      <c r="AF341" s="918"/>
      <c r="AG341" s="918"/>
      <c r="AH341" s="918"/>
      <c r="AI341" s="918"/>
      <c r="AJ341" s="918"/>
      <c r="AK341" s="918"/>
      <c r="AL341" s="918"/>
      <c r="AM341" s="918"/>
      <c r="AN341" s="918"/>
      <c r="AO341" s="918"/>
      <c r="AP341" s="918"/>
      <c r="AQ341" s="918">
        <f t="shared" ref="AQ341:AR343" si="574">IFERROR(AQ323/AQ$326,"NA")</f>
        <v>3.7327628274678192E-2</v>
      </c>
      <c r="AR341" s="918">
        <f t="shared" si="574"/>
        <v>1.2401823281907432E-2</v>
      </c>
      <c r="AS341" s="918">
        <f t="shared" si="529"/>
        <v>1.8188465340628894E-2</v>
      </c>
      <c r="AT341" s="918">
        <f t="shared" ref="AT341:BD341" si="575">IFERROR(AT323/AT$326,"NA")</f>
        <v>1.4491762511656821E-2</v>
      </c>
      <c r="AU341" s="918">
        <f t="shared" si="575"/>
        <v>5.4264453348597591E-3</v>
      </c>
      <c r="AV341" s="918">
        <f t="shared" si="575"/>
        <v>4.7475915221579963E-2</v>
      </c>
      <c r="AW341" s="918">
        <f t="shared" si="575"/>
        <v>2.1760563380281685E-2</v>
      </c>
      <c r="AX341" s="918">
        <f t="shared" si="575"/>
        <v>8.7470071827613731E-3</v>
      </c>
      <c r="AY341" s="918">
        <f t="shared" si="575"/>
        <v>3.9448924731182809E-3</v>
      </c>
      <c r="AZ341" s="918">
        <f t="shared" si="575"/>
        <v>3.6289333878218224E-3</v>
      </c>
      <c r="BA341" s="918">
        <f t="shared" si="575"/>
        <v>9.7142857142857152E-3</v>
      </c>
      <c r="BB341" s="918">
        <f t="shared" si="575"/>
        <v>9.4776305923519131E-3</v>
      </c>
      <c r="BC341" s="918">
        <f t="shared" si="575"/>
        <v>8.280526877892486E-3</v>
      </c>
      <c r="BD341" s="918">
        <f t="shared" si="575"/>
        <v>8.3236285626723892E-3</v>
      </c>
      <c r="BE341" s="1109">
        <f t="shared" si="531"/>
        <v>3.9337877312560863E-3</v>
      </c>
      <c r="BF341" s="1109">
        <f t="shared" si="531"/>
        <v>8.092068774265113E-3</v>
      </c>
      <c r="BG341" s="1109">
        <f t="shared" ref="BG341:BJ341" si="576">IFERROR(BG323/BG$326,"NA")</f>
        <v>7.6826983135540299E-3</v>
      </c>
      <c r="BH341" s="1109">
        <f t="shared" si="576"/>
        <v>7.4259802614030403E-3</v>
      </c>
      <c r="BI341" s="1109">
        <f t="shared" si="576"/>
        <v>3.9888089528377305E-3</v>
      </c>
      <c r="BJ341" s="1109">
        <f t="shared" si="576"/>
        <v>8.0582284727362466E-3</v>
      </c>
      <c r="BK341" s="1109">
        <f t="shared" ref="BK341:BL341" si="577">IFERROR(BK323/BK$326,"NA")</f>
        <v>6.4321608040200998E-3</v>
      </c>
      <c r="BL341" s="1109">
        <f t="shared" si="577"/>
        <v>6.0674749604638905E-3</v>
      </c>
    </row>
    <row r="342" spans="1:64" s="9" customFormat="1" ht="11.25">
      <c r="A342" s="342" t="s">
        <v>331</v>
      </c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918">
        <f t="shared" ref="AC342:AO342" si="578">IFERROR(AC324/AC$326,"NA")</f>
        <v>3.7538256664252513E-2</v>
      </c>
      <c r="AD342" s="918" t="str">
        <f t="shared" si="578"/>
        <v>NA</v>
      </c>
      <c r="AE342" s="918">
        <f t="shared" si="578"/>
        <v>7.5109064015428106E-2</v>
      </c>
      <c r="AF342" s="918">
        <f t="shared" si="578"/>
        <v>5.8031914893617025E-2</v>
      </c>
      <c r="AG342" s="918">
        <f t="shared" si="578"/>
        <v>1.6328654677919007E-2</v>
      </c>
      <c r="AH342" s="918">
        <f t="shared" si="578"/>
        <v>3.0830464716006881E-2</v>
      </c>
      <c r="AI342" s="918">
        <f t="shared" si="578"/>
        <v>3.095829195630586E-2</v>
      </c>
      <c r="AJ342" s="918">
        <f t="shared" si="578"/>
        <v>3.250460405156539E-2</v>
      </c>
      <c r="AK342" s="918">
        <f t="shared" si="578"/>
        <v>3.0971756821445668E-2</v>
      </c>
      <c r="AL342" s="918">
        <f t="shared" si="578"/>
        <v>2.5257535291873336E-2</v>
      </c>
      <c r="AM342" s="918">
        <f t="shared" si="578"/>
        <v>2.7295081967213114E-2</v>
      </c>
      <c r="AN342" s="918">
        <f t="shared" si="578"/>
        <v>3.255364806866954E-2</v>
      </c>
      <c r="AO342" s="918">
        <f t="shared" si="578"/>
        <v>3.5675675675675679E-2</v>
      </c>
      <c r="AP342" s="918">
        <f>IFERROR(AP324/AP$326,"NA")</f>
        <v>4.6430012101653893E-2</v>
      </c>
      <c r="AQ342" s="918">
        <f t="shared" si="574"/>
        <v>5.5479579795263106E-2</v>
      </c>
      <c r="AR342" s="918">
        <f t="shared" si="574"/>
        <v>0.10374123422159888</v>
      </c>
      <c r="AS342" s="918">
        <f t="shared" si="529"/>
        <v>3.7304074082235412E-2</v>
      </c>
      <c r="AT342" s="918">
        <f t="shared" ref="AT342:BD342" si="579">IFERROR(AT324/AT$326,"NA")</f>
        <v>0.11728940006216969</v>
      </c>
      <c r="AU342" s="918">
        <f t="shared" si="579"/>
        <v>6.7132226674298787E-2</v>
      </c>
      <c r="AV342" s="918">
        <f t="shared" si="579"/>
        <v>0.17495183044315993</v>
      </c>
      <c r="AW342" s="918">
        <f t="shared" si="579"/>
        <v>3.5440140845070411E-2</v>
      </c>
      <c r="AX342" s="918">
        <f t="shared" si="579"/>
        <v>9.5602553870710316E-2</v>
      </c>
      <c r="AY342" s="918">
        <f t="shared" si="579"/>
        <v>6.3393817204301095E-2</v>
      </c>
      <c r="AZ342" s="918">
        <f t="shared" si="579"/>
        <v>6.9031467102574573E-2</v>
      </c>
      <c r="BA342" s="918">
        <f t="shared" si="579"/>
        <v>0.10285714285714287</v>
      </c>
      <c r="BB342" s="918">
        <f t="shared" si="579"/>
        <v>9.686578355411149E-2</v>
      </c>
      <c r="BC342" s="918">
        <f t="shared" si="579"/>
        <v>8.0701317194731198E-2</v>
      </c>
      <c r="BD342" s="918">
        <f t="shared" si="579"/>
        <v>7.9132699969353376E-2</v>
      </c>
      <c r="BE342" s="1109">
        <f t="shared" si="531"/>
        <v>7.360272638753651E-2</v>
      </c>
      <c r="BF342" s="1109">
        <f t="shared" si="531"/>
        <v>7.6414309484193019E-2</v>
      </c>
      <c r="BG342" s="1109">
        <f t="shared" ref="BG342:BJ342" si="580">IFERROR(BG324/BG$326,"NA")</f>
        <v>7.3048094940662112E-2</v>
      </c>
      <c r="BH342" s="1109">
        <f t="shared" si="580"/>
        <v>7.5990930914910645E-2</v>
      </c>
      <c r="BI342" s="1109">
        <f t="shared" si="580"/>
        <v>7.3932853717026389E-2</v>
      </c>
      <c r="BJ342" s="1109">
        <f t="shared" si="580"/>
        <v>8.2232913890944989E-2</v>
      </c>
      <c r="BK342" s="1109">
        <f t="shared" ref="BK342:BL342" si="581">IFERROR(BK324/BK$326,"NA")</f>
        <v>6.9296482412060295E-2</v>
      </c>
      <c r="BL342" s="1109">
        <f t="shared" si="581"/>
        <v>7.1236162361623612E-2</v>
      </c>
    </row>
    <row r="343" spans="1:64" s="9" customFormat="1" ht="11.25">
      <c r="A343" s="342" t="s">
        <v>1043</v>
      </c>
      <c r="B343" s="949"/>
      <c r="C343" s="949"/>
      <c r="D343" s="949"/>
      <c r="E343" s="949"/>
      <c r="F343" s="949"/>
      <c r="G343" s="949"/>
      <c r="H343" s="949"/>
      <c r="I343" s="949"/>
      <c r="J343" s="949"/>
      <c r="K343" s="949"/>
      <c r="L343" s="949"/>
      <c r="M343" s="949"/>
      <c r="N343" s="949"/>
      <c r="O343" s="949"/>
      <c r="P343" s="949"/>
      <c r="Q343" s="949"/>
      <c r="R343" s="949"/>
      <c r="S343" s="949"/>
      <c r="T343" s="949"/>
      <c r="U343" s="949"/>
      <c r="V343" s="949"/>
      <c r="W343" s="949"/>
      <c r="X343" s="949"/>
      <c r="Y343" s="949"/>
      <c r="Z343" s="949"/>
      <c r="AA343" s="949"/>
      <c r="AB343" s="949"/>
      <c r="AC343" s="918">
        <f t="shared" ref="AC343:AO343" si="582">IFERROR(AC325/AC$326,"NA")</f>
        <v>0.12100787327991028</v>
      </c>
      <c r="AD343" s="918" t="str">
        <f t="shared" si="582"/>
        <v>NA</v>
      </c>
      <c r="AE343" s="918">
        <f t="shared" si="582"/>
        <v>7.4917148795146868E-2</v>
      </c>
      <c r="AF343" s="918">
        <f t="shared" si="582"/>
        <v>8.8441489361702139E-2</v>
      </c>
      <c r="AG343" s="918">
        <f t="shared" si="582"/>
        <v>7.8884192232351949E-2</v>
      </c>
      <c r="AH343" s="918">
        <f t="shared" si="582"/>
        <v>6.1660929432013761E-2</v>
      </c>
      <c r="AI343" s="918">
        <f t="shared" si="582"/>
        <v>8.0491559086395242E-2</v>
      </c>
      <c r="AJ343" s="918">
        <f t="shared" si="582"/>
        <v>9.1012891344383076E-2</v>
      </c>
      <c r="AK343" s="918">
        <f t="shared" si="582"/>
        <v>9.2915270464337008E-2</v>
      </c>
      <c r="AL343" s="918">
        <f t="shared" si="582"/>
        <v>7.577260587562E-2</v>
      </c>
      <c r="AM343" s="918">
        <f t="shared" si="582"/>
        <v>7.4590163934426218E-2</v>
      </c>
      <c r="AN343" s="918">
        <f t="shared" si="582"/>
        <v>6.510729613733908E-2</v>
      </c>
      <c r="AO343" s="918">
        <f t="shared" si="582"/>
        <v>8.9864864864864877E-2</v>
      </c>
      <c r="AP343" s="918">
        <f>IFERROR(AP325/AP$326,"NA")</f>
        <v>7.0730133118192817E-2</v>
      </c>
      <c r="AQ343" s="918">
        <f t="shared" si="574"/>
        <v>6.6074074074074077E-2</v>
      </c>
      <c r="AR343" s="918">
        <f t="shared" si="574"/>
        <v>7.6258765778401127E-2</v>
      </c>
      <c r="AS343" s="918">
        <f t="shared" si="529"/>
        <v>9.5550644567219165E-2</v>
      </c>
      <c r="AT343" s="918">
        <f t="shared" ref="AT343:BD343" si="583">IFERROR(AT325/AT$326,"NA")</f>
        <v>6.7202362449487088E-2</v>
      </c>
      <c r="AU343" s="918">
        <f t="shared" si="583"/>
        <v>3.6433886662850599E-2</v>
      </c>
      <c r="AV343" s="918">
        <f t="shared" si="583"/>
        <v>-5.470134874759152E-2</v>
      </c>
      <c r="AW343" s="918">
        <f t="shared" si="583"/>
        <v>3.6478873239436611E-2</v>
      </c>
      <c r="AX343" s="918">
        <f t="shared" si="583"/>
        <v>9.0023942537909019E-2</v>
      </c>
      <c r="AY343" s="918">
        <f t="shared" si="583"/>
        <v>7.266129032258066E-2</v>
      </c>
      <c r="AZ343" s="918">
        <f t="shared" si="583"/>
        <v>6.3710666121781764E-2</v>
      </c>
      <c r="BA343" s="918">
        <f t="shared" si="583"/>
        <v>4.6285714285714291E-2</v>
      </c>
      <c r="BB343" s="918">
        <f t="shared" si="583"/>
        <v>4.2089477630592356E-2</v>
      </c>
      <c r="BC343" s="918">
        <f t="shared" si="583"/>
        <v>1.7579209683161259E-2</v>
      </c>
      <c r="BD343" s="918">
        <f t="shared" si="583"/>
        <v>1.7514557155991421E-2</v>
      </c>
      <c r="BE343" s="1109">
        <f t="shared" si="531"/>
        <v>1.8198636806231742E-2</v>
      </c>
      <c r="BF343" s="1109">
        <f t="shared" si="531"/>
        <v>1.1907931225734886E-2</v>
      </c>
      <c r="BG343" s="1109">
        <f t="shared" ref="BG343:BJ343" si="584">IFERROR(BG325/BG$326,"NA")</f>
        <v>1.8475952529668958E-2</v>
      </c>
      <c r="BH343" s="1109">
        <f t="shared" si="584"/>
        <v>1.8861029607895433E-2</v>
      </c>
      <c r="BI343" s="1109">
        <f t="shared" si="584"/>
        <v>1.8033573141486809E-2</v>
      </c>
      <c r="BJ343" s="1109">
        <f t="shared" si="584"/>
        <v>1.7912657290895632E-2</v>
      </c>
      <c r="BK343" s="1109">
        <f t="shared" ref="BK343:BL343" si="585">IFERROR(BK325/BK$326,"NA")</f>
        <v>2.0351758793969846E-2</v>
      </c>
      <c r="BL343" s="1109">
        <f t="shared" si="585"/>
        <v>2.0898787559304164E-2</v>
      </c>
    </row>
    <row r="344" spans="1:64" s="9" customFormat="1" ht="11.25">
      <c r="A344" s="950" t="s">
        <v>325</v>
      </c>
      <c r="B344" s="949"/>
      <c r="C344" s="949"/>
      <c r="D344" s="949"/>
      <c r="E344" s="949"/>
      <c r="F344" s="949"/>
      <c r="G344" s="949"/>
      <c r="H344" s="949"/>
      <c r="I344" s="949"/>
      <c r="J344" s="949"/>
      <c r="K344" s="949"/>
      <c r="L344" s="949"/>
      <c r="M344" s="949"/>
      <c r="N344" s="949"/>
      <c r="O344" s="949"/>
      <c r="P344" s="949"/>
      <c r="Q344" s="949"/>
      <c r="R344" s="949"/>
      <c r="S344" s="949"/>
      <c r="T344" s="949"/>
      <c r="U344" s="949"/>
      <c r="V344" s="949"/>
      <c r="W344" s="949"/>
      <c r="X344" s="949"/>
      <c r="Y344" s="949"/>
      <c r="Z344" s="949"/>
      <c r="AA344" s="949"/>
      <c r="AB344" s="949"/>
      <c r="AC344" s="949">
        <f>+SUM(AC330:AC343)</f>
        <v>1</v>
      </c>
      <c r="AD344" s="949">
        <f t="shared" ref="AD344:AO344" si="586">+SUM(AD330:AD343)</f>
        <v>0</v>
      </c>
      <c r="AE344" s="949">
        <f t="shared" si="586"/>
        <v>0.99999999999999989</v>
      </c>
      <c r="AF344" s="949">
        <f t="shared" si="586"/>
        <v>1</v>
      </c>
      <c r="AG344" s="949">
        <f t="shared" si="586"/>
        <v>1</v>
      </c>
      <c r="AH344" s="949">
        <f t="shared" si="586"/>
        <v>0.99999999999999989</v>
      </c>
      <c r="AI344" s="949">
        <f t="shared" si="586"/>
        <v>0.99999999999999978</v>
      </c>
      <c r="AJ344" s="949">
        <f t="shared" si="586"/>
        <v>1.0000000000000002</v>
      </c>
      <c r="AK344" s="949">
        <f t="shared" si="586"/>
        <v>1</v>
      </c>
      <c r="AL344" s="949">
        <f t="shared" si="586"/>
        <v>1.0000000000000004</v>
      </c>
      <c r="AM344" s="949">
        <f t="shared" si="586"/>
        <v>1</v>
      </c>
      <c r="AN344" s="949">
        <f t="shared" si="586"/>
        <v>1.0000000000000002</v>
      </c>
      <c r="AO344" s="949">
        <f t="shared" si="586"/>
        <v>1</v>
      </c>
      <c r="AP344" s="949">
        <f t="shared" ref="AP344:AU344" si="587">+SUM(AP330:AP343)</f>
        <v>1</v>
      </c>
      <c r="AQ344" s="949">
        <f t="shared" si="587"/>
        <v>0.99999999999999989</v>
      </c>
      <c r="AR344" s="949">
        <f t="shared" si="587"/>
        <v>0.99999999999999978</v>
      </c>
      <c r="AS344" s="949">
        <f t="shared" si="587"/>
        <v>1</v>
      </c>
      <c r="AT344" s="949">
        <f t="shared" si="587"/>
        <v>0.99999999999999989</v>
      </c>
      <c r="AU344" s="949">
        <f t="shared" si="587"/>
        <v>1</v>
      </c>
      <c r="AV344" s="949">
        <f t="shared" ref="AV344:BD344" si="588">+SUM(AV330:AV343)</f>
        <v>1</v>
      </c>
      <c r="AW344" s="949">
        <f t="shared" si="588"/>
        <v>0.99999999999999978</v>
      </c>
      <c r="AX344" s="949">
        <f t="shared" si="588"/>
        <v>1</v>
      </c>
      <c r="AY344" s="949">
        <f t="shared" si="588"/>
        <v>1.0000000000000002</v>
      </c>
      <c r="AZ344" s="949">
        <f t="shared" si="588"/>
        <v>0.99999999999999967</v>
      </c>
      <c r="BA344" s="949">
        <f t="shared" si="588"/>
        <v>1.0000000000000002</v>
      </c>
      <c r="BB344" s="949">
        <f t="shared" si="588"/>
        <v>1</v>
      </c>
      <c r="BC344" s="949">
        <f t="shared" si="588"/>
        <v>0.99999999999999967</v>
      </c>
      <c r="BD344" s="949">
        <f t="shared" si="588"/>
        <v>1.0000000000000002</v>
      </c>
      <c r="BE344" s="1804">
        <f>+SUM(BE330:BE343)</f>
        <v>1</v>
      </c>
      <c r="BF344" s="1804">
        <f>+SUM(BF330:BF343)</f>
        <v>1.0000000000000002</v>
      </c>
      <c r="BG344" s="1804">
        <f>+SUM(BG330:BG343)</f>
        <v>1.0000000000000002</v>
      </c>
      <c r="BH344" s="1804">
        <f t="shared" ref="BH344:BJ344" si="589">+SUM(BH330:BH343)</f>
        <v>1</v>
      </c>
      <c r="BI344" s="1804">
        <f t="shared" si="589"/>
        <v>1.0000000000000002</v>
      </c>
      <c r="BJ344" s="1804">
        <f t="shared" si="589"/>
        <v>1.0000000000000002</v>
      </c>
      <c r="BK344" s="1804">
        <f t="shared" ref="BK344:BL344" si="590">+SUM(BK330:BK343)</f>
        <v>1</v>
      </c>
      <c r="BL344" s="1804">
        <f t="shared" si="590"/>
        <v>1</v>
      </c>
    </row>
    <row r="345" spans="1:64" s="9" customFormat="1" ht="11.25">
      <c r="A345" s="950"/>
      <c r="B345" s="949"/>
      <c r="C345" s="949"/>
      <c r="D345" s="949"/>
      <c r="E345" s="949"/>
      <c r="F345" s="949"/>
      <c r="G345" s="949"/>
      <c r="H345" s="949"/>
      <c r="I345" s="949"/>
      <c r="J345" s="949"/>
      <c r="K345" s="949"/>
      <c r="L345" s="949"/>
      <c r="M345" s="949"/>
      <c r="N345" s="949"/>
      <c r="O345" s="949"/>
      <c r="P345" s="949"/>
      <c r="Q345" s="949"/>
      <c r="R345" s="949"/>
      <c r="S345" s="949"/>
      <c r="T345" s="949"/>
      <c r="U345" s="949"/>
      <c r="V345" s="949"/>
      <c r="W345" s="949"/>
      <c r="X345" s="949"/>
      <c r="Y345" s="949"/>
      <c r="Z345" s="949"/>
      <c r="AA345" s="949"/>
      <c r="AB345" s="949"/>
      <c r="AC345" s="1045"/>
      <c r="AD345" s="1045"/>
      <c r="AE345" s="1045"/>
      <c r="AF345" s="1045"/>
      <c r="AG345" s="1045"/>
      <c r="AH345" s="1045"/>
      <c r="AI345" s="1045"/>
      <c r="AJ345" s="1045"/>
      <c r="AK345" s="1045"/>
      <c r="AL345" s="1045"/>
      <c r="AM345" s="1045"/>
      <c r="AN345" s="1045"/>
      <c r="AO345" s="1045"/>
      <c r="AP345" s="1045"/>
      <c r="AQ345" s="1045"/>
    </row>
    <row r="346" spans="1:64" s="9" customFormat="1" ht="11.25">
      <c r="A346" s="513" t="s">
        <v>979</v>
      </c>
      <c r="C346" s="92"/>
      <c r="V346" s="92"/>
      <c r="Y346" s="92"/>
      <c r="AC346" s="92"/>
      <c r="AD346" s="92"/>
      <c r="AE346" s="92"/>
      <c r="AF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</row>
    <row r="347" spans="1:64" s="9" customFormat="1" ht="11.25">
      <c r="A347" s="342" t="s">
        <v>1007</v>
      </c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825">
        <f t="shared" ref="AC347:AO347" si="591">IFERROR(AC312/AC277,"NA")</f>
        <v>0.1777867994940899</v>
      </c>
      <c r="AD347" s="825" t="str">
        <f t="shared" si="591"/>
        <v>NA</v>
      </c>
      <c r="AE347" s="825">
        <f t="shared" si="591"/>
        <v>0.19237016310653107</v>
      </c>
      <c r="AF347" s="825">
        <f t="shared" si="591"/>
        <v>0.1946518470088264</v>
      </c>
      <c r="AG347" s="825">
        <f t="shared" si="591"/>
        <v>0.18611830002182658</v>
      </c>
      <c r="AH347" s="825">
        <f t="shared" si="591"/>
        <v>0.19161879191793202</v>
      </c>
      <c r="AI347" s="825">
        <f t="shared" si="591"/>
        <v>0.19481380089514622</v>
      </c>
      <c r="AJ347" s="825">
        <f t="shared" si="591"/>
        <v>0.20557692625183671</v>
      </c>
      <c r="AK347" s="825">
        <f t="shared" si="591"/>
        <v>0.17135205341233548</v>
      </c>
      <c r="AL347" s="825">
        <f t="shared" si="591"/>
        <v>0.21505769873758598</v>
      </c>
      <c r="AM347" s="825">
        <f t="shared" si="591"/>
        <v>0.19610293050123404</v>
      </c>
      <c r="AN347" s="825">
        <f t="shared" si="591"/>
        <v>0.1949062979763494</v>
      </c>
      <c r="AO347" s="825">
        <f t="shared" si="591"/>
        <v>0.18907036556681539</v>
      </c>
      <c r="AP347" s="825">
        <f t="shared" ref="AP347:AS361" si="592">IFERROR(AP312/AP277,"NA")</f>
        <v>0.19707751830869144</v>
      </c>
      <c r="AQ347" s="825">
        <f t="shared" si="592"/>
        <v>0.15225355633731286</v>
      </c>
      <c r="AR347" s="825">
        <f t="shared" si="592"/>
        <v>0.15974374949831627</v>
      </c>
      <c r="AS347" s="825">
        <f t="shared" si="592"/>
        <v>0.16101214574818926</v>
      </c>
      <c r="AT347" s="825">
        <f t="shared" ref="AT347:BD347" si="593">IFERROR(AT312/AT277,"NA")</f>
        <v>0.16303045375415431</v>
      </c>
      <c r="AU347" s="825">
        <f t="shared" si="593"/>
        <v>0.14290610789936706</v>
      </c>
      <c r="AV347" s="825">
        <f t="shared" si="593"/>
        <v>0.2317945969422408</v>
      </c>
      <c r="AW347" s="825">
        <f t="shared" si="593"/>
        <v>0.19131234750609974</v>
      </c>
      <c r="AX347" s="825">
        <f t="shared" si="593"/>
        <v>0.20535191139692746</v>
      </c>
      <c r="AY347" s="825">
        <f t="shared" si="593"/>
        <v>0.14919262389047197</v>
      </c>
      <c r="AZ347" s="825">
        <f t="shared" si="593"/>
        <v>0.19031169008320833</v>
      </c>
      <c r="BA347" s="825">
        <f t="shared" si="593"/>
        <v>0.16073464662234463</v>
      </c>
      <c r="BB347" s="825">
        <f t="shared" si="593"/>
        <v>0.21132158736779744</v>
      </c>
      <c r="BC347" s="825">
        <f t="shared" si="593"/>
        <v>0.17146099106838922</v>
      </c>
      <c r="BD347" s="825">
        <f t="shared" si="593"/>
        <v>0.17716986857024228</v>
      </c>
      <c r="BE347" s="634">
        <f t="shared" ref="BE347:BF361" si="594">IFERROR(BE312/BE277,"NA")</f>
        <v>0.1461804399248825</v>
      </c>
      <c r="BF347" s="634">
        <f t="shared" si="594"/>
        <v>0.20608920117732596</v>
      </c>
      <c r="BG347" s="634">
        <f t="shared" ref="BG347" si="595">IFERROR(BG312/BG277,"NA")</f>
        <v>0.1471482792552172</v>
      </c>
      <c r="BH347" s="634">
        <f>IFERROR(BH312/BH277,"NA")</f>
        <v>0.17808382781856583</v>
      </c>
      <c r="BI347" s="634">
        <f t="shared" ref="BI347:BJ347" si="596">IFERROR(BI312/BI277,"NA")</f>
        <v>0.15800752599017792</v>
      </c>
      <c r="BJ347" s="634">
        <f t="shared" si="596"/>
        <v>0.18758022868696211</v>
      </c>
      <c r="BK347" s="634">
        <f t="shared" ref="BK347:BL347" si="597">IFERROR(BK312/BK277,"NA")</f>
        <v>0.16589754452230884</v>
      </c>
      <c r="BL347" s="634">
        <f t="shared" si="597"/>
        <v>0.17522193518811061</v>
      </c>
    </row>
    <row r="348" spans="1:64" s="9" customFormat="1" ht="11.25">
      <c r="A348" s="342" t="s">
        <v>1008</v>
      </c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825">
        <f t="shared" ref="AC348:AO348" si="598">IFERROR(AC313/AC278,"NA")</f>
        <v>0.11378637061878585</v>
      </c>
      <c r="AD348" s="825" t="str">
        <f t="shared" si="598"/>
        <v>NA</v>
      </c>
      <c r="AE348" s="825">
        <f t="shared" si="598"/>
        <v>9.1087650380554872E-2</v>
      </c>
      <c r="AF348" s="825">
        <f t="shared" si="598"/>
        <v>0.1043953085116695</v>
      </c>
      <c r="AG348" s="825">
        <f t="shared" si="598"/>
        <v>0.12835053766528359</v>
      </c>
      <c r="AH348" s="825">
        <f t="shared" si="598"/>
        <v>0.13163123201188379</v>
      </c>
      <c r="AI348" s="825">
        <f t="shared" si="598"/>
        <v>0.11433682147611299</v>
      </c>
      <c r="AJ348" s="825">
        <f t="shared" si="598"/>
        <v>0.12195869111162683</v>
      </c>
      <c r="AK348" s="825">
        <f t="shared" si="598"/>
        <v>0.12710692060467002</v>
      </c>
      <c r="AL348" s="825">
        <f t="shared" si="598"/>
        <v>0.12516983557475614</v>
      </c>
      <c r="AM348" s="825">
        <f t="shared" si="598"/>
        <v>0.11053989304222669</v>
      </c>
      <c r="AN348" s="825">
        <f t="shared" si="598"/>
        <v>0.12412052475356372</v>
      </c>
      <c r="AO348" s="825">
        <f t="shared" si="598"/>
        <v>0.11646652409935844</v>
      </c>
      <c r="AP348" s="825">
        <f t="shared" si="592"/>
        <v>0.13184941709201406</v>
      </c>
      <c r="AQ348" s="825">
        <f t="shared" si="592"/>
        <v>0.11788344730020653</v>
      </c>
      <c r="AR348" s="825">
        <f t="shared" si="592"/>
        <v>8.7384122869039196E-2</v>
      </c>
      <c r="AS348" s="825">
        <f t="shared" si="592"/>
        <v>0.1194462768609124</v>
      </c>
      <c r="AT348" s="825">
        <f t="shared" ref="AT348:BD348" si="599">IFERROR(AT313/AT278,"NA")</f>
        <v>0.11559411558379928</v>
      </c>
      <c r="AU348" s="825">
        <f t="shared" si="599"/>
        <v>2.985719654265314E-2</v>
      </c>
      <c r="AV348" s="825">
        <f t="shared" si="599"/>
        <v>-0.17023712417178266</v>
      </c>
      <c r="AW348" s="825">
        <f t="shared" si="599"/>
        <v>2.1431725953886795E-2</v>
      </c>
      <c r="AX348" s="825">
        <f t="shared" si="599"/>
        <v>9.5658902101319429E-2</v>
      </c>
      <c r="AY348" s="825">
        <f t="shared" si="599"/>
        <v>4.8364218714253032E-2</v>
      </c>
      <c r="AZ348" s="825">
        <f t="shared" si="599"/>
        <v>7.950698517141086E-2</v>
      </c>
      <c r="BA348" s="825">
        <f t="shared" si="599"/>
        <v>9.1924424054067394E-2</v>
      </c>
      <c r="BB348" s="825">
        <f t="shared" si="599"/>
        <v>0.11615180336492367</v>
      </c>
      <c r="BC348" s="825">
        <f t="shared" si="599"/>
        <v>7.7792732166890977E-2</v>
      </c>
      <c r="BD348" s="825">
        <f t="shared" si="599"/>
        <v>8.3139863211394868E-2</v>
      </c>
      <c r="BE348" s="634">
        <f t="shared" si="594"/>
        <v>9.3986947193421919E-2</v>
      </c>
      <c r="BF348" s="634">
        <f t="shared" si="594"/>
        <v>9.866901330986691E-2</v>
      </c>
      <c r="BG348" s="634">
        <f t="shared" ref="BG348" si="600">IFERROR(BG313/BG278,"NA")</f>
        <v>8.8235177007887813E-2</v>
      </c>
      <c r="BH348" s="634">
        <f t="shared" ref="BH348:BJ348" si="601">IFERROR(BH313/BH278,"NA")</f>
        <v>8.6056819931837503E-2</v>
      </c>
      <c r="BI348" s="634">
        <f t="shared" si="601"/>
        <v>0.12075040360118312</v>
      </c>
      <c r="BJ348" s="634">
        <f t="shared" si="601"/>
        <v>0.1004385307346327</v>
      </c>
      <c r="BK348" s="634">
        <f t="shared" ref="BK348:BL348" si="602">IFERROR(BK313/BK278,"NA")</f>
        <v>0.1035410424093961</v>
      </c>
      <c r="BL348" s="634">
        <f t="shared" si="602"/>
        <v>9.8753449880377514E-2</v>
      </c>
    </row>
    <row r="349" spans="1:64" s="9" customFormat="1" ht="11.25">
      <c r="A349" s="342" t="s">
        <v>1018</v>
      </c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825">
        <f t="shared" ref="AC349:AO349" si="603">IFERROR(AC314/AC279,"NA")</f>
        <v>0.2330427774128194</v>
      </c>
      <c r="AD349" s="825" t="str">
        <f t="shared" si="603"/>
        <v>NA</v>
      </c>
      <c r="AE349" s="825">
        <f t="shared" si="603"/>
        <v>0.22820690021795761</v>
      </c>
      <c r="AF349" s="825">
        <f t="shared" si="603"/>
        <v>0.24540923788899111</v>
      </c>
      <c r="AG349" s="825">
        <f t="shared" si="603"/>
        <v>0.25543222737455401</v>
      </c>
      <c r="AH349" s="825">
        <f t="shared" si="603"/>
        <v>0.22870887994969546</v>
      </c>
      <c r="AI349" s="825">
        <f t="shared" si="603"/>
        <v>0.21446058934789911</v>
      </c>
      <c r="AJ349" s="825">
        <f t="shared" si="603"/>
        <v>0.22794970708929985</v>
      </c>
      <c r="AK349" s="825">
        <f t="shared" si="603"/>
        <v>0.22106338703849077</v>
      </c>
      <c r="AL349" s="825">
        <f t="shared" si="603"/>
        <v>0.23332923275643341</v>
      </c>
      <c r="AM349" s="825">
        <f t="shared" si="603"/>
        <v>0.21636045104933299</v>
      </c>
      <c r="AN349" s="825">
        <f t="shared" si="603"/>
        <v>0.23739119974233303</v>
      </c>
      <c r="AO349" s="825">
        <f t="shared" si="603"/>
        <v>0.2272754351892671</v>
      </c>
      <c r="AP349" s="825">
        <f t="shared" si="592"/>
        <v>0.21945664309639004</v>
      </c>
      <c r="AQ349" s="825">
        <f t="shared" si="592"/>
        <v>0.18998756016109486</v>
      </c>
      <c r="AR349" s="825">
        <f t="shared" si="592"/>
        <v>0.21406283296295167</v>
      </c>
      <c r="AS349" s="825">
        <f t="shared" si="592"/>
        <v>0.2142532485485987</v>
      </c>
      <c r="AT349" s="825">
        <f t="shared" ref="AT349:BD349" si="604">IFERROR(AT314/AT279,"NA")</f>
        <v>0.23051725373378784</v>
      </c>
      <c r="AU349" s="825">
        <f t="shared" si="604"/>
        <v>0.20068169423741142</v>
      </c>
      <c r="AV349" s="825">
        <f t="shared" si="604"/>
        <v>-0.23456033858662362</v>
      </c>
      <c r="AW349" s="825">
        <f t="shared" si="604"/>
        <v>0.19195822150034053</v>
      </c>
      <c r="AX349" s="825">
        <f t="shared" si="604"/>
        <v>0.2886595204475999</v>
      </c>
      <c r="AY349" s="825">
        <f t="shared" si="604"/>
        <v>0.2222559410623372</v>
      </c>
      <c r="AZ349" s="825">
        <f t="shared" si="604"/>
        <v>0.27718249024005315</v>
      </c>
      <c r="BA349" s="825">
        <f t="shared" si="604"/>
        <v>0.26683430933517049</v>
      </c>
      <c r="BB349" s="825">
        <f t="shared" si="604"/>
        <v>0.33099447524875397</v>
      </c>
      <c r="BC349" s="825">
        <f t="shared" si="604"/>
        <v>0.26315935620988329</v>
      </c>
      <c r="BD349" s="825">
        <f t="shared" si="604"/>
        <v>0.26605494595256896</v>
      </c>
      <c r="BE349" s="634">
        <f t="shared" si="594"/>
        <v>0.23808337955469022</v>
      </c>
      <c r="BF349" s="634">
        <f t="shared" si="594"/>
        <v>0.22865282185475944</v>
      </c>
      <c r="BG349" s="634">
        <f t="shared" ref="BG349" si="605">IFERROR(BG314/BG279,"NA")</f>
        <v>0.24744917239815586</v>
      </c>
      <c r="BH349" s="634">
        <f t="shared" ref="BH349:BJ349" si="606">IFERROR(BH314/BH279,"NA")</f>
        <v>0.26585572716721723</v>
      </c>
      <c r="BI349" s="634">
        <f t="shared" si="606"/>
        <v>0.26838200729895811</v>
      </c>
      <c r="BJ349" s="634">
        <f t="shared" si="606"/>
        <v>0.25348558828581358</v>
      </c>
      <c r="BK349" s="634">
        <f t="shared" ref="BK349:BL349" si="607">IFERROR(BK314/BK279,"NA")</f>
        <v>0.25834780183434797</v>
      </c>
      <c r="BL349" s="634">
        <f t="shared" si="607"/>
        <v>0.25251919385796545</v>
      </c>
    </row>
    <row r="350" spans="1:64" s="9" customFormat="1" ht="11.25">
      <c r="A350" s="342" t="s">
        <v>1009</v>
      </c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825">
        <f t="shared" ref="AC350:AO350" si="608">IFERROR(AC315/AC280,"NA")</f>
        <v>0.26403624476687504</v>
      </c>
      <c r="AD350" s="825" t="str">
        <f t="shared" si="608"/>
        <v>NA</v>
      </c>
      <c r="AE350" s="825">
        <f t="shared" si="608"/>
        <v>0.26343355965082443</v>
      </c>
      <c r="AF350" s="825">
        <f t="shared" si="608"/>
        <v>0.27331979912383803</v>
      </c>
      <c r="AG350" s="825">
        <f t="shared" si="608"/>
        <v>0.28320642978003385</v>
      </c>
      <c r="AH350" s="825">
        <f t="shared" si="608"/>
        <v>0.32020557510753589</v>
      </c>
      <c r="AI350" s="825">
        <f t="shared" si="608"/>
        <v>0.26100346848463102</v>
      </c>
      <c r="AJ350" s="825">
        <f t="shared" si="608"/>
        <v>0.27249481352824817</v>
      </c>
      <c r="AK350" s="825">
        <f t="shared" si="608"/>
        <v>0.26033224119101001</v>
      </c>
      <c r="AL350" s="825">
        <f t="shared" si="608"/>
        <v>0.29636925280924026</v>
      </c>
      <c r="AM350" s="825">
        <f t="shared" si="608"/>
        <v>0.26013006503251623</v>
      </c>
      <c r="AN350" s="825">
        <f t="shared" si="608"/>
        <v>0.31241848012631285</v>
      </c>
      <c r="AO350" s="825">
        <f t="shared" si="608"/>
        <v>0.25891437656143534</v>
      </c>
      <c r="AP350" s="825">
        <f t="shared" si="592"/>
        <v>0.22994806693594921</v>
      </c>
      <c r="AQ350" s="825">
        <f t="shared" si="592"/>
        <v>0.23941488290948132</v>
      </c>
      <c r="AR350" s="825">
        <f t="shared" si="592"/>
        <v>0.27714161472677196</v>
      </c>
      <c r="AS350" s="825">
        <f t="shared" si="592"/>
        <v>0.26107784431137721</v>
      </c>
      <c r="AT350" s="825">
        <f t="shared" ref="AT350:BD350" si="609">IFERROR(AT315/AT280,"NA")</f>
        <v>0.26211162992296627</v>
      </c>
      <c r="AU350" s="825">
        <f t="shared" si="609"/>
        <v>0.2306159420289855</v>
      </c>
      <c r="AV350" s="825">
        <f t="shared" si="609"/>
        <v>-1.4479768786127167</v>
      </c>
      <c r="AW350" s="825">
        <f t="shared" si="609"/>
        <v>0.11337272926242066</v>
      </c>
      <c r="AX350" s="825">
        <f t="shared" si="609"/>
        <v>0.30652173913043479</v>
      </c>
      <c r="AY350" s="825">
        <f t="shared" si="609"/>
        <v>0.14488442211055277</v>
      </c>
      <c r="AZ350" s="825">
        <f t="shared" si="609"/>
        <v>0.28133539572054655</v>
      </c>
      <c r="BA350" s="825">
        <f t="shared" si="609"/>
        <v>0.24116331096196869</v>
      </c>
      <c r="BB350" s="825">
        <f t="shared" si="609"/>
        <v>0.26747141041931383</v>
      </c>
      <c r="BC350" s="825">
        <f t="shared" si="609"/>
        <v>0.29920472619859129</v>
      </c>
      <c r="BD350" s="825">
        <f t="shared" si="609"/>
        <v>0.30393681943281087</v>
      </c>
      <c r="BE350" s="634">
        <f t="shared" si="594"/>
        <v>0.29656075211234084</v>
      </c>
      <c r="BF350" s="634">
        <f t="shared" si="594"/>
        <v>0.29450854277483957</v>
      </c>
      <c r="BG350" s="634">
        <f t="shared" ref="BG350" si="610">IFERROR(BG315/BG280,"NA")</f>
        <v>0.25697159238988798</v>
      </c>
      <c r="BH350" s="634">
        <f t="shared" ref="BH350:BJ350" si="611">IFERROR(BH315/BH280,"NA")</f>
        <v>0.27971043976536808</v>
      </c>
      <c r="BI350" s="634">
        <f t="shared" si="611"/>
        <v>0.26585858585858591</v>
      </c>
      <c r="BJ350" s="634">
        <f t="shared" si="611"/>
        <v>0.26450565236399981</v>
      </c>
      <c r="BK350" s="634">
        <f t="shared" ref="BK350:BL350" si="612">IFERROR(BK315/BK280,"NA")</f>
        <v>0.28008298755186728</v>
      </c>
      <c r="BL350" s="634">
        <f t="shared" si="612"/>
        <v>0.288339255657378</v>
      </c>
    </row>
    <row r="351" spans="1:64" s="9" customFormat="1" ht="11.25">
      <c r="A351" s="342" t="s">
        <v>1010</v>
      </c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825">
        <f t="shared" ref="AC351:AO351" si="613">IFERROR(AC316/AC281,"NA")</f>
        <v>0.26953699986618496</v>
      </c>
      <c r="AD351" s="825" t="str">
        <f t="shared" si="613"/>
        <v>NA</v>
      </c>
      <c r="AE351" s="825">
        <f t="shared" si="613"/>
        <v>0.22580019398642096</v>
      </c>
      <c r="AF351" s="825">
        <f t="shared" si="613"/>
        <v>0.27901396160558467</v>
      </c>
      <c r="AG351" s="825">
        <f t="shared" si="613"/>
        <v>0.28320642978003385</v>
      </c>
      <c r="AH351" s="825">
        <f t="shared" si="613"/>
        <v>0.32020557510753589</v>
      </c>
      <c r="AI351" s="825">
        <f t="shared" si="613"/>
        <v>0.26100346848463102</v>
      </c>
      <c r="AJ351" s="825">
        <f t="shared" si="613"/>
        <v>0.2781717888100867</v>
      </c>
      <c r="AK351" s="825">
        <f t="shared" si="613"/>
        <v>0.22314192102086566</v>
      </c>
      <c r="AL351" s="825">
        <f t="shared" si="613"/>
        <v>0.25932309620808525</v>
      </c>
      <c r="AM351" s="825">
        <f t="shared" si="613"/>
        <v>0.1896781724195431</v>
      </c>
      <c r="AN351" s="825">
        <f t="shared" si="613"/>
        <v>0.24299215120935447</v>
      </c>
      <c r="AO351" s="825">
        <f t="shared" si="613"/>
        <v>0.22655007949125597</v>
      </c>
      <c r="AP351" s="825">
        <f t="shared" si="592"/>
        <v>0.19162338911329105</v>
      </c>
      <c r="AQ351" s="825">
        <f t="shared" si="592"/>
        <v>0.20948802254579615</v>
      </c>
      <c r="AR351" s="825">
        <f t="shared" si="592"/>
        <v>0.24249891288592548</v>
      </c>
      <c r="AS351" s="825">
        <f t="shared" si="592"/>
        <v>0.18275449101796407</v>
      </c>
      <c r="AT351" s="825">
        <f t="shared" ref="AT351:BD351" si="614">IFERROR(AT316/AT281,"NA")</f>
        <v>0.15289845078839701</v>
      </c>
      <c r="AU351" s="825">
        <f t="shared" si="614"/>
        <v>8.1996779388083738E-2</v>
      </c>
      <c r="AV351" s="825">
        <f t="shared" si="614"/>
        <v>-2.2926300578034682</v>
      </c>
      <c r="AW351" s="825">
        <f t="shared" si="614"/>
        <v>2.8343182315605165E-2</v>
      </c>
      <c r="AX351" s="825">
        <f t="shared" si="614"/>
        <v>0.31929347826086957</v>
      </c>
      <c r="AY351" s="825">
        <f t="shared" si="614"/>
        <v>6.036850921273032E-2</v>
      </c>
      <c r="AZ351" s="825">
        <f t="shared" si="614"/>
        <v>0.24114462490332561</v>
      </c>
      <c r="BA351" s="825">
        <f t="shared" si="614"/>
        <v>0.20671140939597316</v>
      </c>
      <c r="BB351" s="825">
        <f t="shared" si="614"/>
        <v>0.2139771283354511</v>
      </c>
      <c r="BC351" s="825">
        <f t="shared" si="614"/>
        <v>0.22440354464894341</v>
      </c>
      <c r="BD351" s="825">
        <f t="shared" si="614"/>
        <v>0.18236209165968648</v>
      </c>
      <c r="BE351" s="634">
        <f t="shared" si="594"/>
        <v>0.22242056408425565</v>
      </c>
      <c r="BF351" s="634">
        <f t="shared" si="594"/>
        <v>0.40085884988797615</v>
      </c>
      <c r="BG351" s="634">
        <f t="shared" ref="BG351" si="615">IFERROR(BG316/BG281,"NA")</f>
        <v>0.22026136490561823</v>
      </c>
      <c r="BH351" s="634">
        <f t="shared" ref="BH351:BJ351" si="616">IFERROR(BH316/BH281,"NA")</f>
        <v>0.17981385413487944</v>
      </c>
      <c r="BI351" s="634">
        <f t="shared" si="616"/>
        <v>0.1709090909090909</v>
      </c>
      <c r="BJ351" s="634">
        <f t="shared" si="616"/>
        <v>0.17003934794828551</v>
      </c>
      <c r="BK351" s="634">
        <f t="shared" ref="BK351:BL351" si="617">IFERROR(BK316/BK281,"NA")</f>
        <v>0.18005334914048604</v>
      </c>
      <c r="BL351" s="634">
        <f t="shared" si="617"/>
        <v>0.18536095006545725</v>
      </c>
    </row>
    <row r="352" spans="1:64" s="9" customFormat="1" ht="11.25">
      <c r="A352" s="342" t="s">
        <v>1011</v>
      </c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825">
        <f t="shared" ref="AC352:AO352" si="618">IFERROR(AC317/AC282,"NA")</f>
        <v>0.20215274989963866</v>
      </c>
      <c r="AD352" s="825" t="str">
        <f t="shared" si="618"/>
        <v>NA</v>
      </c>
      <c r="AE352" s="825">
        <f t="shared" si="618"/>
        <v>0.21598279424788089</v>
      </c>
      <c r="AF352" s="825">
        <f t="shared" si="618"/>
        <v>0.20654280274699124</v>
      </c>
      <c r="AG352" s="825">
        <f t="shared" si="618"/>
        <v>0.24274836838288616</v>
      </c>
      <c r="AH352" s="825">
        <f t="shared" si="618"/>
        <v>0.2947346770876183</v>
      </c>
      <c r="AI352" s="825">
        <f t="shared" si="618"/>
        <v>0.23388622500570833</v>
      </c>
      <c r="AJ352" s="825">
        <f t="shared" si="618"/>
        <v>0.21675723803383382</v>
      </c>
      <c r="AK352" s="825">
        <f t="shared" si="618"/>
        <v>0.22314192102086566</v>
      </c>
      <c r="AL352" s="825">
        <f t="shared" si="618"/>
        <v>0.28289792313609297</v>
      </c>
      <c r="AM352" s="825">
        <f t="shared" si="618"/>
        <v>0.22761380690345176</v>
      </c>
      <c r="AN352" s="825">
        <f t="shared" si="618"/>
        <v>0.24299215120935447</v>
      </c>
      <c r="AO352" s="825">
        <f t="shared" si="618"/>
        <v>0.18535915594739125</v>
      </c>
      <c r="AP352" s="825">
        <f t="shared" si="592"/>
        <v>0.24040025179667421</v>
      </c>
      <c r="AQ352" s="825">
        <f t="shared" si="592"/>
        <v>0.17520750208363584</v>
      </c>
      <c r="AR352" s="825">
        <f t="shared" si="592"/>
        <v>0.21026435082941733</v>
      </c>
      <c r="AS352" s="825">
        <f t="shared" si="592"/>
        <v>0.16892413347986451</v>
      </c>
      <c r="AT352" s="825">
        <f t="shared" ref="AT352:BD352" si="619">IFERROR(AT317/AT282,"NA")</f>
        <v>0.25807133906408386</v>
      </c>
      <c r="AU352" s="825">
        <f t="shared" si="619"/>
        <v>0.16731022378236068</v>
      </c>
      <c r="AV352" s="825">
        <f t="shared" si="619"/>
        <v>-2.2283533533533535</v>
      </c>
      <c r="AW352" s="825">
        <f t="shared" si="619"/>
        <v>-7.2320555977847742E-2</v>
      </c>
      <c r="AX352" s="825">
        <f t="shared" si="619"/>
        <v>0.14803875236294894</v>
      </c>
      <c r="AY352" s="825">
        <f t="shared" si="619"/>
        <v>2.575018170491122E-2</v>
      </c>
      <c r="AZ352" s="825">
        <f t="shared" si="619"/>
        <v>9.9795994598166821E-2</v>
      </c>
      <c r="BA352" s="825">
        <f t="shared" si="619"/>
        <v>0.11085201302788954</v>
      </c>
      <c r="BB352" s="825">
        <f t="shared" si="619"/>
        <v>0.16351459208106331</v>
      </c>
      <c r="BC352" s="825">
        <f t="shared" si="619"/>
        <v>0.13006617435503981</v>
      </c>
      <c r="BD352" s="825">
        <f t="shared" si="619"/>
        <v>0.16312830079613233</v>
      </c>
      <c r="BE352" s="634">
        <f t="shared" si="594"/>
        <v>0.15260941219556859</v>
      </c>
      <c r="BF352" s="634">
        <f t="shared" si="594"/>
        <v>0.16899262402748308</v>
      </c>
      <c r="BG352" s="634">
        <f t="shared" ref="BG352" si="620">IFERROR(BG317/BG282,"NA")</f>
        <v>0.15227513456259051</v>
      </c>
      <c r="BH352" s="634">
        <f t="shared" ref="BH352:BJ352" si="621">IFERROR(BH317/BH282,"NA")</f>
        <v>0.18117337073160364</v>
      </c>
      <c r="BI352" s="634">
        <f t="shared" si="621"/>
        <v>0.15583448309544448</v>
      </c>
      <c r="BJ352" s="634">
        <f t="shared" si="621"/>
        <v>0.16809691503721408</v>
      </c>
      <c r="BK352" s="634">
        <f t="shared" ref="BK352:BL352" si="622">IFERROR(BK317/BK282,"NA")</f>
        <v>0.1607674009637394</v>
      </c>
      <c r="BL352" s="634">
        <f t="shared" si="622"/>
        <v>0.16865730926995789</v>
      </c>
    </row>
    <row r="353" spans="1:70" s="9" customFormat="1" ht="11.25">
      <c r="A353" s="342" t="s">
        <v>1012</v>
      </c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825">
        <f t="shared" ref="AC353:AO353" si="623">IFERROR(AC318/AC283,"NA")</f>
        <v>9.2412685668406255E-2</v>
      </c>
      <c r="AD353" s="825" t="str">
        <f t="shared" si="623"/>
        <v>NA</v>
      </c>
      <c r="AE353" s="825">
        <f t="shared" si="623"/>
        <v>4.516003879728419E-2</v>
      </c>
      <c r="AF353" s="825">
        <f t="shared" si="623"/>
        <v>0.11957741211667913</v>
      </c>
      <c r="AG353" s="825">
        <f t="shared" si="623"/>
        <v>0.18206127628716462</v>
      </c>
      <c r="AH353" s="825">
        <f t="shared" si="623"/>
        <v>0.24015418133065192</v>
      </c>
      <c r="AI353" s="825">
        <f t="shared" si="623"/>
        <v>0.16778794402583422</v>
      </c>
      <c r="AJ353" s="825">
        <f t="shared" si="623"/>
        <v>0.17882472137791286</v>
      </c>
      <c r="AK353" s="825">
        <f t="shared" si="623"/>
        <v>0.16735644076564923</v>
      </c>
      <c r="AL353" s="825">
        <f t="shared" si="623"/>
        <v>0.19449232215606393</v>
      </c>
      <c r="AM353" s="825">
        <f t="shared" si="623"/>
        <v>0.17071035517758879</v>
      </c>
      <c r="AN353" s="825">
        <f t="shared" si="623"/>
        <v>0.12149607560467723</v>
      </c>
      <c r="AO353" s="825">
        <f t="shared" si="623"/>
        <v>0.11327503974562798</v>
      </c>
      <c r="AP353" s="825">
        <f t="shared" si="592"/>
        <v>0.11497403346797459</v>
      </c>
      <c r="AQ353" s="825">
        <f t="shared" si="592"/>
        <v>0.10474401127289808</v>
      </c>
      <c r="AR353" s="825">
        <f t="shared" si="592"/>
        <v>9.6999565154370193E-2</v>
      </c>
      <c r="AS353" s="825">
        <f t="shared" si="592"/>
        <v>0.15229540918163673</v>
      </c>
      <c r="AT353" s="825">
        <f t="shared" ref="AT353:BD353" si="624">IFERROR(AT318/AT283,"NA")</f>
        <v>0.15289845078839701</v>
      </c>
      <c r="AU353" s="825">
        <f t="shared" si="624"/>
        <v>6.8330649490069784E-2</v>
      </c>
      <c r="AV353" s="825">
        <f t="shared" si="624"/>
        <v>-1.9306358381502891</v>
      </c>
      <c r="AW353" s="825">
        <f t="shared" si="624"/>
        <v>-0.5668636463121034</v>
      </c>
      <c r="AX353" s="825">
        <f t="shared" si="624"/>
        <v>-0.25543478260869562</v>
      </c>
      <c r="AY353" s="825">
        <f t="shared" si="624"/>
        <v>0.18110552763819096</v>
      </c>
      <c r="AZ353" s="825">
        <f t="shared" si="624"/>
        <v>0.24114462490332558</v>
      </c>
      <c r="BA353" s="825">
        <f t="shared" si="624"/>
        <v>0.20671140939597316</v>
      </c>
      <c r="BB353" s="825">
        <f t="shared" si="624"/>
        <v>0.26747141041931383</v>
      </c>
      <c r="BC353" s="825">
        <f t="shared" si="624"/>
        <v>0.22440354464894341</v>
      </c>
      <c r="BD353" s="825">
        <f t="shared" si="624"/>
        <v>0.22795261457460811</v>
      </c>
      <c r="BE353" s="634">
        <f t="shared" si="594"/>
        <v>0.22242056408425565</v>
      </c>
      <c r="BF353" s="634">
        <f t="shared" si="594"/>
        <v>0.22906219993598631</v>
      </c>
      <c r="BG353" s="634">
        <f t="shared" ref="BG353" si="625">IFERROR(BG318/BG283,"NA")</f>
        <v>0.22026136490561821</v>
      </c>
      <c r="BH353" s="634" t="str">
        <f t="shared" ref="BH353:BJ353" si="626">IFERROR(BH318/BH283,"NA")</f>
        <v>NA</v>
      </c>
      <c r="BI353" s="634" t="str">
        <f t="shared" si="626"/>
        <v>NA</v>
      </c>
      <c r="BJ353" s="634" t="str">
        <f t="shared" si="626"/>
        <v>NA</v>
      </c>
      <c r="BK353" s="634" t="str">
        <f t="shared" ref="BK353:BL353" si="627">IFERROR(BK318/BK283,"NA")</f>
        <v>NA</v>
      </c>
      <c r="BL353" s="634" t="str">
        <f t="shared" si="627"/>
        <v>NA</v>
      </c>
    </row>
    <row r="354" spans="1:70" s="9" customFormat="1" ht="11.25">
      <c r="A354" s="342" t="s">
        <v>1019</v>
      </c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825">
        <f t="shared" ref="AC354:AO354" si="628">IFERROR(AC319/AC284,"NA")</f>
        <v>0.23998080153587714</v>
      </c>
      <c r="AD354" s="825" t="str">
        <f t="shared" si="628"/>
        <v>NA</v>
      </c>
      <c r="AE354" s="825">
        <f t="shared" si="628"/>
        <v>0.24142011834319524</v>
      </c>
      <c r="AF354" s="825">
        <f t="shared" si="628"/>
        <v>0.2155280616819078</v>
      </c>
      <c r="AG354" s="825">
        <f t="shared" si="628"/>
        <v>0.22554059567523463</v>
      </c>
      <c r="AH354" s="825">
        <f t="shared" si="628"/>
        <v>0.27305825242718446</v>
      </c>
      <c r="AI354" s="825">
        <f t="shared" si="628"/>
        <v>0.2395627277459656</v>
      </c>
      <c r="AJ354" s="825">
        <f t="shared" si="628"/>
        <v>0.22552566131584895</v>
      </c>
      <c r="AK354" s="825">
        <f t="shared" si="628"/>
        <v>0.22997396521148547</v>
      </c>
      <c r="AL354" s="825">
        <f t="shared" si="628"/>
        <v>0.27146727217544764</v>
      </c>
      <c r="AM354" s="825">
        <f t="shared" si="628"/>
        <v>0.23939635686743785</v>
      </c>
      <c r="AN354" s="825">
        <f t="shared" si="628"/>
        <v>0.22212059298679085</v>
      </c>
      <c r="AO354" s="825">
        <f t="shared" si="628"/>
        <v>0.23819401230726683</v>
      </c>
      <c r="AP354" s="825">
        <f t="shared" si="592"/>
        <v>0.22850739486077831</v>
      </c>
      <c r="AQ354" s="825">
        <f t="shared" si="592"/>
        <v>0.21202682695963815</v>
      </c>
      <c r="AR354" s="825">
        <f t="shared" si="592"/>
        <v>9.8399942769935134E-2</v>
      </c>
      <c r="AS354" s="825">
        <f t="shared" si="592"/>
        <v>0.22169852363068318</v>
      </c>
      <c r="AT354" s="825">
        <f t="shared" ref="AT354:BD354" si="629">IFERROR(AT319/AT284,"NA")</f>
        <v>0.11243759496418494</v>
      </c>
      <c r="AU354" s="825">
        <f t="shared" si="629"/>
        <v>4.5686746987951804E-2</v>
      </c>
      <c r="AV354" s="825">
        <f t="shared" si="629"/>
        <v>-0.35598705501618128</v>
      </c>
      <c r="AW354" s="825">
        <f t="shared" si="629"/>
        <v>0.11640104317589105</v>
      </c>
      <c r="AX354" s="825">
        <f t="shared" si="629"/>
        <v>9.7808238737773959E-2</v>
      </c>
      <c r="AY354" s="825">
        <f t="shared" si="629"/>
        <v>5.0429553264604805E-2</v>
      </c>
      <c r="AZ354" s="825">
        <f t="shared" si="629"/>
        <v>4.445927903871829E-2</v>
      </c>
      <c r="BA354" s="825">
        <f t="shared" si="629"/>
        <v>0.10840579710144926</v>
      </c>
      <c r="BB354" s="825">
        <f t="shared" si="629"/>
        <v>0.15223675154852032</v>
      </c>
      <c r="BC354" s="825">
        <f t="shared" si="629"/>
        <v>9.6128943380630924E-2</v>
      </c>
      <c r="BD354" s="825">
        <f t="shared" si="629"/>
        <v>5.7809373802732961E-2</v>
      </c>
      <c r="BE354" s="634">
        <f t="shared" si="594"/>
        <v>6.861510154978416E-2</v>
      </c>
      <c r="BF354" s="634">
        <f t="shared" si="594"/>
        <v>8.1943274361134522E-2</v>
      </c>
      <c r="BG354" s="634">
        <f t="shared" ref="BG354" si="630">IFERROR(BG319/BG284,"NA")</f>
        <v>6.3013909167755316E-2</v>
      </c>
      <c r="BH354" s="634">
        <f t="shared" ref="BH354:BJ354" si="631">IFERROR(BH319/BH284,"NA")</f>
        <v>5.6774614568888153E-2</v>
      </c>
      <c r="BI354" s="634">
        <f t="shared" si="631"/>
        <v>7.5876225956055643E-2</v>
      </c>
      <c r="BJ354" s="634">
        <f t="shared" si="631"/>
        <v>7.6562426742932163E-2</v>
      </c>
      <c r="BK354" s="634">
        <f t="shared" ref="BK354:BL354" si="632">IFERROR(BK319/BK284,"NA")</f>
        <v>6.049308162890224E-2</v>
      </c>
      <c r="BL354" s="634">
        <f t="shared" si="632"/>
        <v>4.481970873030295E-2</v>
      </c>
    </row>
    <row r="355" spans="1:70" s="9" customFormat="1" ht="11.25">
      <c r="A355" s="342" t="s">
        <v>1016</v>
      </c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825" t="str">
        <f t="shared" ref="AC355:AO355" si="633">IFERROR(AC320/AC285,"NA")</f>
        <v>NA</v>
      </c>
      <c r="AD355" s="825" t="str">
        <f t="shared" si="633"/>
        <v>NA</v>
      </c>
      <c r="AE355" s="825" t="str">
        <f t="shared" si="633"/>
        <v>NA</v>
      </c>
      <c r="AF355" s="825">
        <f t="shared" si="633"/>
        <v>5.3882015420476964E-2</v>
      </c>
      <c r="AG355" s="825">
        <f t="shared" si="633"/>
        <v>0.1127702978376173</v>
      </c>
      <c r="AH355" s="825">
        <f t="shared" si="633"/>
        <v>0.13106796116504854</v>
      </c>
      <c r="AI355" s="825">
        <f t="shared" si="633"/>
        <v>8.4845132743362819E-2</v>
      </c>
      <c r="AJ355" s="825">
        <f t="shared" si="633"/>
        <v>8.5914537644132941E-2</v>
      </c>
      <c r="AK355" s="825">
        <f t="shared" si="633"/>
        <v>0</v>
      </c>
      <c r="AL355" s="825">
        <f t="shared" si="633"/>
        <v>9.2298872539652216E-2</v>
      </c>
      <c r="AM355" s="825">
        <f t="shared" si="633"/>
        <v>8.2867969684882331E-2</v>
      </c>
      <c r="AN355" s="825">
        <f t="shared" si="633"/>
        <v>0</v>
      </c>
      <c r="AO355" s="825">
        <f t="shared" si="633"/>
        <v>0</v>
      </c>
      <c r="AP355" s="825">
        <f t="shared" si="592"/>
        <v>0</v>
      </c>
      <c r="AQ355" s="825">
        <f t="shared" si="592"/>
        <v>7.5092834548205201E-2</v>
      </c>
      <c r="AR355" s="825">
        <f t="shared" si="592"/>
        <v>0</v>
      </c>
      <c r="AS355" s="825">
        <f t="shared" si="592"/>
        <v>7.5770588682513962E-2</v>
      </c>
      <c r="AT355" s="825">
        <f t="shared" ref="AT355:BD355" si="634">IFERROR(AT320/AT285,"NA")</f>
        <v>0</v>
      </c>
      <c r="AU355" s="825">
        <f t="shared" si="634"/>
        <v>0</v>
      </c>
      <c r="AV355" s="825">
        <f t="shared" si="634"/>
        <v>0</v>
      </c>
      <c r="AW355" s="825">
        <f t="shared" si="634"/>
        <v>0</v>
      </c>
      <c r="AX355" s="825">
        <f t="shared" si="634"/>
        <v>0</v>
      </c>
      <c r="AY355" s="825">
        <f t="shared" si="634"/>
        <v>0</v>
      </c>
      <c r="AZ355" s="825">
        <f t="shared" si="634"/>
        <v>0</v>
      </c>
      <c r="BA355" s="825">
        <f t="shared" si="634"/>
        <v>0</v>
      </c>
      <c r="BB355" s="825">
        <f t="shared" si="634"/>
        <v>0</v>
      </c>
      <c r="BC355" s="825">
        <f t="shared" si="634"/>
        <v>0</v>
      </c>
      <c r="BD355" s="825">
        <f t="shared" si="634"/>
        <v>0</v>
      </c>
      <c r="BE355" s="634">
        <f t="shared" si="594"/>
        <v>0</v>
      </c>
      <c r="BF355" s="634">
        <f t="shared" si="594"/>
        <v>0</v>
      </c>
      <c r="BG355" s="634">
        <f t="shared" ref="BG355" si="635">IFERROR(BG320/BG285,"NA")</f>
        <v>0</v>
      </c>
      <c r="BH355" s="634">
        <f t="shared" ref="BH355:BJ355" si="636">IFERROR(BH320/BH285,"NA")</f>
        <v>0</v>
      </c>
      <c r="BI355" s="634">
        <f t="shared" si="636"/>
        <v>0</v>
      </c>
      <c r="BJ355" s="634">
        <f t="shared" si="636"/>
        <v>0</v>
      </c>
      <c r="BK355" s="634">
        <f t="shared" ref="BK355:BL355" si="637">IFERROR(BK320/BK285,"NA")</f>
        <v>0</v>
      </c>
      <c r="BL355" s="634">
        <f t="shared" si="637"/>
        <v>0</v>
      </c>
    </row>
    <row r="356" spans="1:70" s="9" customFormat="1" ht="11.25">
      <c r="A356" s="342" t="s">
        <v>1015</v>
      </c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825">
        <f t="shared" ref="AC356:AO356" si="638">IFERROR(AC321/AC286,"NA")</f>
        <v>8.6393088552915762E-2</v>
      </c>
      <c r="AD356" s="825" t="str">
        <f t="shared" si="638"/>
        <v>NA</v>
      </c>
      <c r="AE356" s="825">
        <f t="shared" si="638"/>
        <v>8.0473372781065103E-2</v>
      </c>
      <c r="AF356" s="825">
        <f t="shared" si="638"/>
        <v>0</v>
      </c>
      <c r="AG356" s="825">
        <f t="shared" si="638"/>
        <v>8.4577723378212968E-2</v>
      </c>
      <c r="AH356" s="825">
        <f t="shared" si="638"/>
        <v>0.19660194174757281</v>
      </c>
      <c r="AI356" s="825">
        <f t="shared" si="638"/>
        <v>8.4845132743362819E-2</v>
      </c>
      <c r="AJ356" s="825">
        <f t="shared" si="638"/>
        <v>8.5914537644132941E-2</v>
      </c>
      <c r="AK356" s="825">
        <f t="shared" si="638"/>
        <v>0</v>
      </c>
      <c r="AL356" s="825">
        <f t="shared" si="638"/>
        <v>9.2298872539652216E-2</v>
      </c>
      <c r="AM356" s="825">
        <f t="shared" si="638"/>
        <v>0</v>
      </c>
      <c r="AN356" s="825">
        <f t="shared" si="638"/>
        <v>0</v>
      </c>
      <c r="AO356" s="825">
        <f t="shared" si="638"/>
        <v>0</v>
      </c>
      <c r="AP356" s="825">
        <f t="shared" si="592"/>
        <v>0</v>
      </c>
      <c r="AQ356" s="825">
        <f t="shared" si="592"/>
        <v>5.0061889698803465E-2</v>
      </c>
      <c r="AR356" s="825">
        <f t="shared" si="592"/>
        <v>0.3393782383419689</v>
      </c>
      <c r="AS356" s="825">
        <f t="shared" si="592"/>
        <v>7.5770588682513962E-2</v>
      </c>
      <c r="AT356" s="825">
        <f t="shared" ref="AT356:BD356" si="639">IFERROR(AT321/AT286,"NA")</f>
        <v>0.75694106186069166</v>
      </c>
      <c r="AU356" s="825">
        <f t="shared" si="639"/>
        <v>0.2716332378223496</v>
      </c>
      <c r="AV356" s="825">
        <f t="shared" si="639"/>
        <v>-0.6385487528344671</v>
      </c>
      <c r="AW356" s="825">
        <f t="shared" si="639"/>
        <v>0.17123857024106401</v>
      </c>
      <c r="AX356" s="825">
        <f t="shared" si="639"/>
        <v>0.33455433455433459</v>
      </c>
      <c r="AY356" s="825">
        <f t="shared" si="639"/>
        <v>0.16819484240687679</v>
      </c>
      <c r="AZ356" s="825">
        <f t="shared" si="639"/>
        <v>0.5372050816696915</v>
      </c>
      <c r="BA356" s="825">
        <f t="shared" si="639"/>
        <v>0.28394793926247286</v>
      </c>
      <c r="BB356" s="825">
        <f t="shared" si="639"/>
        <v>0.34535519125683062</v>
      </c>
      <c r="BC356" s="825">
        <f t="shared" si="639"/>
        <v>0.43969754253308135</v>
      </c>
      <c r="BD356" s="825">
        <f t="shared" si="639"/>
        <v>0.90053050397877987</v>
      </c>
      <c r="BE356" s="634">
        <f t="shared" si="594"/>
        <v>0.37453646477132263</v>
      </c>
      <c r="BF356" s="634">
        <f t="shared" si="594"/>
        <v>0.93226837060702872</v>
      </c>
      <c r="BG356" s="634">
        <f t="shared" ref="BG356" si="640">IFERROR(BG321/BG286,"NA")</f>
        <v>0.40275049115913558</v>
      </c>
      <c r="BH356" s="634">
        <f t="shared" ref="BH356:BJ356" si="641">IFERROR(BH321/BH286,"NA")</f>
        <v>0.88775510204081631</v>
      </c>
      <c r="BI356" s="634">
        <f t="shared" si="641"/>
        <v>0.4927583936800527</v>
      </c>
      <c r="BJ356" s="634">
        <f t="shared" si="641"/>
        <v>1.0491487311275298</v>
      </c>
      <c r="BK356" s="634">
        <f t="shared" ref="BK356:BL356" si="642">IFERROR(BK321/BK286,"NA")</f>
        <v>0.46209386281588444</v>
      </c>
      <c r="BL356" s="634">
        <f t="shared" si="642"/>
        <v>0.80658724597056763</v>
      </c>
    </row>
    <row r="357" spans="1:70" s="9" customFormat="1" ht="11.25">
      <c r="A357" s="342" t="s">
        <v>1017</v>
      </c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825">
        <f t="shared" ref="AC357:AO357" si="643">IFERROR(AC322/AC287,"NA")</f>
        <v>0.17278617710583152</v>
      </c>
      <c r="AD357" s="825" t="str">
        <f t="shared" si="643"/>
        <v>NA</v>
      </c>
      <c r="AE357" s="825">
        <f t="shared" si="643"/>
        <v>0.16094674556213021</v>
      </c>
      <c r="AF357" s="825">
        <f t="shared" si="643"/>
        <v>0.16164604626143086</v>
      </c>
      <c r="AG357" s="825">
        <f t="shared" si="643"/>
        <v>0</v>
      </c>
      <c r="AH357" s="825">
        <f t="shared" si="643"/>
        <v>0.19660194174757281</v>
      </c>
      <c r="AI357" s="825">
        <f t="shared" si="643"/>
        <v>0</v>
      </c>
      <c r="AJ357" s="825">
        <f t="shared" si="643"/>
        <v>0</v>
      </c>
      <c r="AK357" s="825">
        <f t="shared" si="643"/>
        <v>0</v>
      </c>
      <c r="AL357" s="825">
        <f t="shared" si="643"/>
        <v>0.18459774507930443</v>
      </c>
      <c r="AM357" s="825">
        <f t="shared" si="643"/>
        <v>0.16573593936976466</v>
      </c>
      <c r="AN357" s="825">
        <f t="shared" si="643"/>
        <v>0.16417609046849757</v>
      </c>
      <c r="AO357" s="825">
        <f t="shared" si="643"/>
        <v>0</v>
      </c>
      <c r="AP357" s="825">
        <f t="shared" si="592"/>
        <v>0.17366562009419151</v>
      </c>
      <c r="AQ357" s="825" t="str">
        <f t="shared" si="592"/>
        <v>NA</v>
      </c>
      <c r="AR357" s="825">
        <f t="shared" si="592"/>
        <v>0</v>
      </c>
      <c r="AS357" s="825">
        <f t="shared" si="592"/>
        <v>0</v>
      </c>
      <c r="AT357" s="825">
        <f t="shared" ref="AT357:BD357" si="644">IFERROR(AT322/AT287,"NA")</f>
        <v>0</v>
      </c>
      <c r="AU357" s="825" t="str">
        <f t="shared" si="644"/>
        <v>NA</v>
      </c>
      <c r="AV357" s="825" t="str">
        <f t="shared" si="644"/>
        <v>NA</v>
      </c>
      <c r="AW357" s="825" t="str">
        <f t="shared" si="644"/>
        <v>NA</v>
      </c>
      <c r="AX357" s="825" t="str">
        <f t="shared" si="644"/>
        <v>NA</v>
      </c>
      <c r="AY357" s="825" t="str">
        <f t="shared" si="644"/>
        <v>NA</v>
      </c>
      <c r="AZ357" s="825" t="str">
        <f t="shared" si="644"/>
        <v>NA</v>
      </c>
      <c r="BA357" s="825" t="str">
        <f t="shared" si="644"/>
        <v>NA</v>
      </c>
      <c r="BB357" s="825" t="str">
        <f t="shared" si="644"/>
        <v>NA</v>
      </c>
      <c r="BC357" s="825" t="str">
        <f t="shared" si="644"/>
        <v>NA</v>
      </c>
      <c r="BD357" s="825" t="str">
        <f t="shared" si="644"/>
        <v>NA</v>
      </c>
      <c r="BE357" s="634" t="str">
        <f t="shared" si="594"/>
        <v>NA</v>
      </c>
      <c r="BF357" s="634" t="str">
        <f t="shared" si="594"/>
        <v>NA</v>
      </c>
      <c r="BG357" s="634" t="str">
        <f t="shared" ref="BG357" si="645">IFERROR(BG322/BG287,"NA")</f>
        <v>NA</v>
      </c>
      <c r="BH357" s="634" t="str">
        <f t="shared" ref="BH357:BJ357" si="646">IFERROR(BH322/BH287,"NA")</f>
        <v>NA</v>
      </c>
      <c r="BI357" s="634" t="str">
        <f t="shared" si="646"/>
        <v>NA</v>
      </c>
      <c r="BJ357" s="634" t="str">
        <f t="shared" si="646"/>
        <v>NA</v>
      </c>
      <c r="BK357" s="634" t="str">
        <f t="shared" ref="BK357:BL357" si="647">IFERROR(BK322/BK287,"NA")</f>
        <v>NA</v>
      </c>
      <c r="BL357" s="634" t="str">
        <f t="shared" si="647"/>
        <v>NA</v>
      </c>
    </row>
    <row r="358" spans="1:70" s="9" customFormat="1" ht="11.25">
      <c r="A358" s="342" t="s">
        <v>1120</v>
      </c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825"/>
      <c r="AD358" s="825"/>
      <c r="AE358" s="825"/>
      <c r="AF358" s="825"/>
      <c r="AG358" s="825"/>
      <c r="AH358" s="825"/>
      <c r="AI358" s="825"/>
      <c r="AJ358" s="825"/>
      <c r="AK358" s="825"/>
      <c r="AL358" s="825"/>
      <c r="AM358" s="825"/>
      <c r="AN358" s="825"/>
      <c r="AO358" s="825"/>
      <c r="AP358" s="825"/>
      <c r="AQ358" s="825">
        <f t="shared" ref="AQ358:AR361" si="648">IFERROR(AQ323/AQ288,"NA")</f>
        <v>0.20024755879521383</v>
      </c>
      <c r="AR358" s="825">
        <f t="shared" si="648"/>
        <v>8.4342808088515825E-2</v>
      </c>
      <c r="AS358" s="825">
        <f t="shared" si="592"/>
        <v>0.11777734067880044</v>
      </c>
      <c r="AT358" s="825">
        <f t="shared" ref="AT358:BD358" si="649">IFERROR(AT323/AT288,"NA")</f>
        <v>0.10239852398523984</v>
      </c>
      <c r="AU358" s="825">
        <f t="shared" si="649"/>
        <v>2.538152610441767E-2</v>
      </c>
      <c r="AV358" s="825">
        <f t="shared" si="649"/>
        <v>-0.99676375404530748</v>
      </c>
      <c r="AW358" s="825">
        <f t="shared" si="649"/>
        <v>8.698099929627022E-2</v>
      </c>
      <c r="AX358" s="825">
        <f t="shared" si="649"/>
        <v>7.8246590990219175E-2</v>
      </c>
      <c r="AY358" s="825">
        <f t="shared" si="649"/>
        <v>3.3619702176403206E-2</v>
      </c>
      <c r="AZ358" s="825">
        <f t="shared" si="649"/>
        <v>3.4579439252336447E-2</v>
      </c>
      <c r="BA358" s="825">
        <f t="shared" si="649"/>
        <v>7.7432712215320901E-2</v>
      </c>
      <c r="BB358" s="825">
        <f t="shared" si="649"/>
        <v>9.3206174417461402E-2</v>
      </c>
      <c r="BC358" s="825">
        <f t="shared" si="649"/>
        <v>6.4085962253753959E-2</v>
      </c>
      <c r="BD358" s="825">
        <f t="shared" si="649"/>
        <v>7.1573510422431277E-2</v>
      </c>
      <c r="BE358" s="634">
        <f t="shared" si="594"/>
        <v>3.7166513339466425E-2</v>
      </c>
      <c r="BF358" s="634">
        <f t="shared" si="594"/>
        <v>7.0237092309543864E-2</v>
      </c>
      <c r="BG358" s="634">
        <f t="shared" ref="BG358" si="650">IFERROR(BG323/BG288,"NA")</f>
        <v>6.3013909167755316E-2</v>
      </c>
      <c r="BH358" s="634">
        <f t="shared" ref="BH358:BJ358" si="651">IFERROR(BH323/BH288,"NA")</f>
        <v>7.0292379942432953E-2</v>
      </c>
      <c r="BI358" s="634">
        <f t="shared" si="651"/>
        <v>3.7938112978027821E-2</v>
      </c>
      <c r="BJ358" s="634">
        <f t="shared" si="651"/>
        <v>7.6562426742932163E-2</v>
      </c>
      <c r="BK358" s="634">
        <f t="shared" ref="BK358:BL358" si="652">IFERROR(BK323/BK288,"NA")</f>
        <v>6.049308162890224E-2</v>
      </c>
      <c r="BL358" s="634">
        <f t="shared" si="652"/>
        <v>5.9759611640403928E-2</v>
      </c>
    </row>
    <row r="359" spans="1:70" s="9" customFormat="1" ht="11.25">
      <c r="A359" s="342" t="s">
        <v>331</v>
      </c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825">
        <f t="shared" ref="AC359:AO359" si="653">IFERROR(AC324/AC289,"NA")</f>
        <v>0.21825356398187956</v>
      </c>
      <c r="AD359" s="825" t="str">
        <f t="shared" si="653"/>
        <v>NA</v>
      </c>
      <c r="AE359" s="825">
        <f t="shared" si="653"/>
        <v>0.30259770873603314</v>
      </c>
      <c r="AF359" s="825">
        <f t="shared" si="653"/>
        <v>0.30156615382914381</v>
      </c>
      <c r="AG359" s="825">
        <f t="shared" si="653"/>
        <v>0.10503710721616928</v>
      </c>
      <c r="AH359" s="825">
        <f t="shared" si="653"/>
        <v>0.17764169187286163</v>
      </c>
      <c r="AI359" s="825">
        <f t="shared" si="653"/>
        <v>0.1924976844705156</v>
      </c>
      <c r="AJ359" s="825">
        <f t="shared" si="653"/>
        <v>0.20744571445361853</v>
      </c>
      <c r="AK359" s="825">
        <f t="shared" si="653"/>
        <v>0.22314192102086569</v>
      </c>
      <c r="AL359" s="825">
        <f t="shared" si="653"/>
        <v>0.20745847696646819</v>
      </c>
      <c r="AM359" s="825">
        <f t="shared" si="653"/>
        <v>0.19989994997498747</v>
      </c>
      <c r="AN359" s="825">
        <f t="shared" si="653"/>
        <v>0.20972156938645728</v>
      </c>
      <c r="AO359" s="825">
        <f t="shared" si="653"/>
        <v>0.25182829888712244</v>
      </c>
      <c r="AP359" s="825">
        <f>IFERROR(AP324/AP289,"NA")</f>
        <v>0.25662177829305266</v>
      </c>
      <c r="AQ359" s="825">
        <f t="shared" si="648"/>
        <v>0.16499654734235247</v>
      </c>
      <c r="AR359" s="825">
        <f t="shared" si="648"/>
        <v>0.63906948614381054</v>
      </c>
      <c r="AS359" s="825">
        <f t="shared" si="592"/>
        <v>0.15150420513578033</v>
      </c>
      <c r="AT359" s="825">
        <f t="shared" ref="AT359:BD359" si="654">IFERROR(AT324/AT289,"NA")</f>
        <v>0.48968891542185233</v>
      </c>
      <c r="AU359" s="825">
        <f t="shared" si="654"/>
        <v>0.21468057843675639</v>
      </c>
      <c r="AV359" s="825">
        <f t="shared" si="654"/>
        <v>-1.2797744890768146</v>
      </c>
      <c r="AW359" s="825">
        <f t="shared" si="654"/>
        <v>0.13649308380797395</v>
      </c>
      <c r="AX359" s="825">
        <f t="shared" si="654"/>
        <v>0.4127558403969403</v>
      </c>
      <c r="AY359" s="825">
        <f t="shared" si="654"/>
        <v>0.3078856322214244</v>
      </c>
      <c r="AZ359" s="825">
        <f t="shared" si="654"/>
        <v>0.37846436493177693</v>
      </c>
      <c r="BA359" s="825">
        <f t="shared" si="654"/>
        <v>0.48246453746410234</v>
      </c>
      <c r="BB359" s="825">
        <f t="shared" si="654"/>
        <v>0.56920455880625087</v>
      </c>
      <c r="BC359" s="825">
        <f t="shared" si="654"/>
        <v>0.32365790976584807</v>
      </c>
      <c r="BD359" s="825">
        <f t="shared" si="654"/>
        <v>0.38837331728961422</v>
      </c>
      <c r="BE359" s="634">
        <f t="shared" si="594"/>
        <v>0.36839625706673601</v>
      </c>
      <c r="BF359" s="634">
        <f t="shared" si="594"/>
        <v>0.31832307105807334</v>
      </c>
      <c r="BG359" s="634">
        <f t="shared" ref="BG359" si="655">IFERROR(BG324/BG289,"NA")</f>
        <v>0.36417138942517291</v>
      </c>
      <c r="BH359" s="634">
        <f t="shared" ref="BH359:BJ359" si="656">IFERROR(BH324/BH289,"NA")</f>
        <v>0.43767283229890003</v>
      </c>
      <c r="BI359" s="634">
        <f t="shared" si="656"/>
        <v>0.44333487785003278</v>
      </c>
      <c r="BJ359" s="634">
        <f t="shared" si="656"/>
        <v>0.49593774180108335</v>
      </c>
      <c r="BK359" s="634">
        <f t="shared" ref="BK359:BL359" si="657">IFERROR(BK324/BK289,"NA")</f>
        <v>0.40166998397980486</v>
      </c>
      <c r="BL359" s="634">
        <f t="shared" si="657"/>
        <v>0.41584478328435365</v>
      </c>
    </row>
    <row r="360" spans="1:70" s="9" customFormat="1" ht="11.25">
      <c r="A360" s="342" t="s">
        <v>1043</v>
      </c>
      <c r="B360" s="949"/>
      <c r="C360" s="949"/>
      <c r="D360" s="949"/>
      <c r="E360" s="949"/>
      <c r="F360" s="949"/>
      <c r="G360" s="949"/>
      <c r="H360" s="949"/>
      <c r="I360" s="949"/>
      <c r="J360" s="949"/>
      <c r="K360" s="949"/>
      <c r="L360" s="949"/>
      <c r="M360" s="949"/>
      <c r="N360" s="949"/>
      <c r="O360" s="949"/>
      <c r="P360" s="949"/>
      <c r="Q360" s="949"/>
      <c r="R360" s="949"/>
      <c r="S360" s="949"/>
      <c r="T360" s="949"/>
      <c r="U360" s="949"/>
      <c r="V360" s="949"/>
      <c r="W360" s="949"/>
      <c r="X360" s="949"/>
      <c r="Y360" s="949"/>
      <c r="Z360" s="949"/>
      <c r="AA360" s="949"/>
      <c r="AB360" s="949"/>
      <c r="AC360" s="825">
        <f t="shared" ref="AC360:AO360" si="658">IFERROR(AC325/AC290,"NA")</f>
        <v>0.69309514251304682</v>
      </c>
      <c r="AD360" s="825" t="str">
        <f t="shared" si="658"/>
        <v>NA</v>
      </c>
      <c r="AE360" s="825">
        <f t="shared" si="658"/>
        <v>0.41396702230843835</v>
      </c>
      <c r="AF360" s="825">
        <f t="shared" si="658"/>
        <v>0.51816878583894299</v>
      </c>
      <c r="AG360" s="825">
        <f t="shared" si="658"/>
        <v>0.48549673676577237</v>
      </c>
      <c r="AH360" s="825">
        <f t="shared" si="658"/>
        <v>0.34307740190093128</v>
      </c>
      <c r="AI360" s="825">
        <f t="shared" si="658"/>
        <v>0.41547490901635137</v>
      </c>
      <c r="AJ360" s="825">
        <f t="shared" si="658"/>
        <v>0.55634357762017339</v>
      </c>
      <c r="AK360" s="825">
        <f t="shared" si="658"/>
        <v>0.66942576306259705</v>
      </c>
      <c r="AL360" s="825">
        <f t="shared" si="658"/>
        <v>0.6223754308994045</v>
      </c>
      <c r="AM360" s="825">
        <f t="shared" si="658"/>
        <v>0.54627313656828402</v>
      </c>
      <c r="AN360" s="825">
        <f t="shared" si="658"/>
        <v>0.48598430241870894</v>
      </c>
      <c r="AO360" s="825">
        <f t="shared" si="658"/>
        <v>0.63434022257551681</v>
      </c>
      <c r="AP360" s="825">
        <f>IFERROR(AP325/AP290,"NA")</f>
        <v>0.5058857472590883</v>
      </c>
      <c r="AQ360" s="825">
        <f t="shared" si="648"/>
        <v>0.62846406763738838</v>
      </c>
      <c r="AR360" s="825">
        <f t="shared" si="648"/>
        <v>0.63049717350340628</v>
      </c>
      <c r="AS360" s="825">
        <f t="shared" si="592"/>
        <v>0.7767065868263473</v>
      </c>
      <c r="AT360" s="825">
        <f t="shared" ref="AT360:BD360" si="659">IFERROR(AT325/AT290,"NA")</f>
        <v>0.49691996506229025</v>
      </c>
      <c r="AU360" s="825">
        <f t="shared" si="659"/>
        <v>0.20499194847020935</v>
      </c>
      <c r="AV360" s="825">
        <f t="shared" si="659"/>
        <v>0.17094171483622353</v>
      </c>
      <c r="AW360" s="825">
        <f t="shared" si="659"/>
        <v>0.15116363901656088</v>
      </c>
      <c r="AX360" s="825">
        <f t="shared" si="659"/>
        <v>0.81739130434782603</v>
      </c>
      <c r="AY360" s="825">
        <f t="shared" si="659"/>
        <v>0.36221105527638187</v>
      </c>
      <c r="AZ360" s="825">
        <f t="shared" si="659"/>
        <v>0.602861562258314</v>
      </c>
      <c r="BA360" s="825">
        <f t="shared" si="659"/>
        <v>0.46510067114093961</v>
      </c>
      <c r="BB360" s="825">
        <f t="shared" si="659"/>
        <v>0.53494282083862765</v>
      </c>
      <c r="BC360" s="825">
        <f t="shared" si="659"/>
        <v>0.13464212678936605</v>
      </c>
      <c r="BD360" s="825">
        <f t="shared" si="659"/>
        <v>0.13677156874476484</v>
      </c>
      <c r="BE360" s="634">
        <f t="shared" si="594"/>
        <v>0.13345233845055338</v>
      </c>
      <c r="BF360" s="634">
        <f t="shared" si="594"/>
        <v>9.162487997439453E-2</v>
      </c>
      <c r="BG360" s="634">
        <f t="shared" ref="BG360" si="660">IFERROR(BG325/BG290,"NA")</f>
        <v>0.13215681894337092</v>
      </c>
      <c r="BH360" s="634">
        <f t="shared" ref="BH360:BJ360" si="661">IFERROR(BH325/BH290,"NA")</f>
        <v>0.14385108330790355</v>
      </c>
      <c r="BI360" s="634">
        <f t="shared" si="661"/>
        <v>0.13672727272727273</v>
      </c>
      <c r="BJ360" s="634">
        <f t="shared" si="661"/>
        <v>0.13603147835862842</v>
      </c>
      <c r="BK360" s="634">
        <f t="shared" ref="BK360:BL360" si="662">IFERROR(BK325/BK290,"NA")</f>
        <v>0.14404267931238884</v>
      </c>
      <c r="BL360" s="634">
        <f t="shared" si="662"/>
        <v>0.1482887600523658</v>
      </c>
    </row>
    <row r="361" spans="1:70" s="9" customFormat="1" ht="11.25">
      <c r="A361" s="950" t="s">
        <v>325</v>
      </c>
      <c r="B361" s="949"/>
      <c r="C361" s="949"/>
      <c r="D361" s="949"/>
      <c r="E361" s="949"/>
      <c r="F361" s="949"/>
      <c r="G361" s="949"/>
      <c r="H361" s="949"/>
      <c r="I361" s="949"/>
      <c r="J361" s="949"/>
      <c r="K361" s="949"/>
      <c r="L361" s="949"/>
      <c r="M361" s="949"/>
      <c r="N361" s="949"/>
      <c r="O361" s="949"/>
      <c r="P361" s="949"/>
      <c r="Q361" s="949"/>
      <c r="R361" s="949"/>
      <c r="S361" s="949"/>
      <c r="T361" s="949"/>
      <c r="U361" s="949"/>
      <c r="V361" s="949"/>
      <c r="W361" s="949"/>
      <c r="X361" s="949"/>
      <c r="Y361" s="949"/>
      <c r="Z361" s="949"/>
      <c r="AA361" s="949"/>
      <c r="AB361" s="949"/>
      <c r="AC361" s="934">
        <f t="shared" ref="AC361:AO361" si="663">IFERROR(AC326/AC291,"NA")</f>
        <v>0.2078833758865386</v>
      </c>
      <c r="AD361" s="934" t="str">
        <f t="shared" si="663"/>
        <v>NA</v>
      </c>
      <c r="AE361" s="934">
        <f t="shared" si="663"/>
        <v>0.19992794074295903</v>
      </c>
      <c r="AF361" s="934">
        <f t="shared" si="663"/>
        <v>0.20728318124113668</v>
      </c>
      <c r="AG361" s="934">
        <f t="shared" si="663"/>
        <v>0.21125717574946717</v>
      </c>
      <c r="AH361" s="934">
        <f t="shared" si="663"/>
        <v>0.22135441470616254</v>
      </c>
      <c r="AI361" s="934">
        <f t="shared" si="663"/>
        <v>0.19952446998216766</v>
      </c>
      <c r="AJ361" s="934">
        <f t="shared" si="663"/>
        <v>0.20995650072498795</v>
      </c>
      <c r="AK361" s="934">
        <f t="shared" si="663"/>
        <v>0.19940817105765551</v>
      </c>
      <c r="AL361" s="934">
        <f t="shared" si="663"/>
        <v>0.22565647869134736</v>
      </c>
      <c r="AM361" s="934">
        <f t="shared" si="663"/>
        <v>0.19943692670965399</v>
      </c>
      <c r="AN361" s="934">
        <f t="shared" si="663"/>
        <v>0.20812862885216607</v>
      </c>
      <c r="AO361" s="934">
        <f t="shared" si="663"/>
        <v>0.19980199801998016</v>
      </c>
      <c r="AP361" s="934">
        <f>IFERROR(AP326/AP291,"NA")</f>
        <v>0.20610242766877282</v>
      </c>
      <c r="AQ361" s="934">
        <f t="shared" si="648"/>
        <v>0.17791770390979647</v>
      </c>
      <c r="AR361" s="934">
        <f t="shared" si="648"/>
        <v>0.19727467662723941</v>
      </c>
      <c r="AS361" s="934">
        <f t="shared" si="592"/>
        <v>0.1893833705357143</v>
      </c>
      <c r="AT361" s="934">
        <f t="shared" ref="AT361:BD361" si="664">IFERROR(AT326/AT291,"NA")</f>
        <v>0.21453817939313105</v>
      </c>
      <c r="AU361" s="934">
        <f t="shared" si="664"/>
        <v>0.14432052870714585</v>
      </c>
      <c r="AV361" s="934">
        <f t="shared" si="664"/>
        <v>-0.20151426907396622</v>
      </c>
      <c r="AW361" s="934">
        <f t="shared" si="664"/>
        <v>0.11554109031733119</v>
      </c>
      <c r="AX361" s="934">
        <f t="shared" si="664"/>
        <v>0.22455197132616481</v>
      </c>
      <c r="AY361" s="934">
        <f t="shared" si="664"/>
        <v>0.14571092831962396</v>
      </c>
      <c r="AZ361" s="934">
        <f t="shared" si="664"/>
        <v>0.1973705436360704</v>
      </c>
      <c r="BA361" s="934">
        <f t="shared" si="664"/>
        <v>0.19472543352601152</v>
      </c>
      <c r="BB361" s="934">
        <f t="shared" si="664"/>
        <v>0.2435624277104767</v>
      </c>
      <c r="BC361" s="934">
        <f t="shared" si="664"/>
        <v>0.18522914606000668</v>
      </c>
      <c r="BD361" s="934">
        <f t="shared" si="664"/>
        <v>0.19429558175538886</v>
      </c>
      <c r="BE361" s="899">
        <f t="shared" si="594"/>
        <v>0.18044980672367339</v>
      </c>
      <c r="BF361" s="899">
        <f t="shared" si="594"/>
        <v>0.19557435730556455</v>
      </c>
      <c r="BG361" s="899">
        <f t="shared" ref="BG361" si="665">IFERROR(BG326/BG291,"NA")</f>
        <v>0.18209736123748857</v>
      </c>
      <c r="BH361" s="899">
        <f t="shared" ref="BH361:BJ361" si="666">IFERROR(BH326/BH291,"NA")</f>
        <v>0.20128859060402682</v>
      </c>
      <c r="BI361" s="899">
        <f t="shared" si="666"/>
        <v>0.20204576043068639</v>
      </c>
      <c r="BJ361" s="899">
        <f t="shared" si="666"/>
        <v>0.20386298475931786</v>
      </c>
      <c r="BK361" s="899">
        <f t="shared" ref="BK361:BL361" si="667">IFERROR(BK326/BK291,"NA")</f>
        <v>0.19838280903854677</v>
      </c>
      <c r="BL361" s="899">
        <f t="shared" si="667"/>
        <v>0.19914965093695869</v>
      </c>
    </row>
    <row r="362" spans="1:70" s="9" customFormat="1" ht="11.25">
      <c r="A362" s="950"/>
      <c r="B362" s="949"/>
      <c r="C362" s="949"/>
      <c r="D362" s="949"/>
      <c r="E362" s="949"/>
      <c r="F362" s="949"/>
      <c r="G362" s="949"/>
      <c r="H362" s="949"/>
      <c r="I362" s="949"/>
      <c r="J362" s="949"/>
      <c r="K362" s="949"/>
      <c r="L362" s="949"/>
      <c r="M362" s="949"/>
      <c r="N362" s="949"/>
      <c r="O362" s="949"/>
      <c r="P362" s="949"/>
      <c r="Q362" s="949"/>
      <c r="R362" s="949"/>
      <c r="S362" s="949"/>
      <c r="T362" s="949"/>
      <c r="U362" s="949"/>
      <c r="V362" s="949"/>
      <c r="W362" s="949"/>
      <c r="X362" s="949"/>
      <c r="Y362" s="949"/>
      <c r="Z362" s="949"/>
      <c r="AA362" s="949"/>
      <c r="AB362" s="949"/>
      <c r="AC362" s="1045"/>
      <c r="AD362" s="1045"/>
      <c r="AE362" s="1045"/>
      <c r="AF362" s="1045"/>
      <c r="AG362" s="1045"/>
      <c r="AH362" s="1045"/>
      <c r="AI362" s="1045"/>
      <c r="AJ362" s="1045"/>
      <c r="AK362" s="1045"/>
      <c r="AL362" s="1045"/>
      <c r="AM362" s="1045"/>
      <c r="AN362" s="1045"/>
      <c r="AO362" s="1045"/>
      <c r="AP362" s="1045"/>
      <c r="AZ362" s="173"/>
      <c r="BA362" s="173"/>
      <c r="BB362" s="173"/>
      <c r="BC362" s="173"/>
      <c r="BD362" s="173"/>
      <c r="BE362" s="173"/>
      <c r="BF362" s="173"/>
      <c r="BG362" s="173"/>
      <c r="BH362" s="173"/>
      <c r="BI362" s="173"/>
      <c r="BJ362" s="173"/>
      <c r="BK362" s="173"/>
      <c r="BL362" s="173"/>
    </row>
    <row r="363" spans="1:70" s="9" customFormat="1" ht="11.25">
      <c r="A363" s="1042" t="s">
        <v>1064</v>
      </c>
      <c r="B363" s="1043"/>
      <c r="C363" s="1044"/>
      <c r="D363" s="1043"/>
      <c r="E363" s="1043"/>
      <c r="F363" s="1043"/>
      <c r="G363" s="1043"/>
      <c r="H363" s="1043"/>
      <c r="I363" s="1043"/>
      <c r="J363" s="1043"/>
      <c r="K363" s="1043"/>
      <c r="L363" s="1043"/>
      <c r="M363" s="1043"/>
      <c r="N363" s="1043"/>
      <c r="O363" s="1043"/>
      <c r="P363" s="1043"/>
      <c r="Q363" s="1043"/>
      <c r="R363" s="1043"/>
      <c r="S363" s="1043"/>
      <c r="T363" s="1043"/>
      <c r="U363" s="1043"/>
      <c r="V363" s="1044"/>
      <c r="W363" s="1043"/>
      <c r="X363" s="1043"/>
      <c r="Y363" s="1044"/>
      <c r="Z363" s="1043"/>
      <c r="AA363" s="1043"/>
      <c r="AB363" s="1043"/>
      <c r="AC363" s="1044"/>
      <c r="AD363" s="1044"/>
      <c r="AE363" s="1044"/>
      <c r="AF363" s="1044"/>
      <c r="AG363" s="1043"/>
      <c r="AH363" s="1044"/>
      <c r="AI363" s="1044"/>
      <c r="AJ363" s="1044"/>
      <c r="AK363" s="1044"/>
      <c r="AL363" s="1044"/>
      <c r="AM363" s="1044"/>
      <c r="AN363" s="1043"/>
      <c r="AO363" s="1044"/>
      <c r="AP363" s="1044"/>
      <c r="AQ363" s="1043"/>
      <c r="AR363" s="1043"/>
      <c r="AS363" s="1043"/>
      <c r="AT363" s="1043"/>
      <c r="AU363" s="1043"/>
      <c r="AV363" s="1043"/>
      <c r="AW363" s="1043"/>
      <c r="AX363" s="1043"/>
      <c r="AY363" s="1043"/>
      <c r="AZ363" s="1043"/>
      <c r="BA363" s="1043"/>
      <c r="BB363" s="1043"/>
      <c r="BC363" s="1043"/>
      <c r="BD363" s="1043"/>
      <c r="BE363" s="1043"/>
      <c r="BF363" s="1043"/>
      <c r="BG363" s="1043"/>
      <c r="BH363" s="1043"/>
      <c r="BI363" s="1043"/>
      <c r="BJ363" s="1043"/>
      <c r="BK363" s="1043"/>
      <c r="BL363" s="1043"/>
      <c r="BM363" s="1043"/>
      <c r="BN363" s="1043"/>
      <c r="BO363" s="1043"/>
      <c r="BP363" s="1043"/>
      <c r="BQ363" s="1043"/>
      <c r="BR363" s="1043"/>
    </row>
    <row r="364" spans="1:70" s="9" customFormat="1" ht="11.25">
      <c r="A364" s="342"/>
      <c r="B364" s="949"/>
      <c r="C364" s="949"/>
      <c r="D364" s="949"/>
      <c r="E364" s="949"/>
      <c r="F364" s="949"/>
      <c r="G364" s="949"/>
      <c r="H364" s="949"/>
      <c r="I364" s="949"/>
      <c r="J364" s="949"/>
      <c r="K364" s="949"/>
      <c r="L364" s="949"/>
      <c r="M364" s="949"/>
      <c r="N364" s="949"/>
      <c r="O364" s="949"/>
      <c r="P364" s="949"/>
      <c r="Q364" s="949"/>
      <c r="R364" s="949"/>
      <c r="S364" s="949"/>
      <c r="T364" s="949"/>
      <c r="U364" s="949"/>
      <c r="V364" s="949"/>
      <c r="W364" s="949"/>
      <c r="X364" s="949"/>
      <c r="Y364" s="949"/>
      <c r="Z364" s="949"/>
      <c r="AA364" s="949"/>
      <c r="AB364" s="949"/>
      <c r="AC364" s="1054"/>
      <c r="AD364" s="1054"/>
      <c r="AE364" s="1054"/>
      <c r="AF364" s="1054"/>
      <c r="AG364" s="1054"/>
      <c r="AH364" s="1054"/>
      <c r="AI364" s="1054"/>
      <c r="AJ364" s="1054"/>
      <c r="AK364" s="1054"/>
      <c r="AL364" s="1054"/>
      <c r="AM364" s="1054"/>
      <c r="AN364" s="1054"/>
      <c r="AO364" s="1054"/>
      <c r="AP364" s="1054"/>
    </row>
    <row r="365" spans="1:70" s="9" customFormat="1" ht="11.25">
      <c r="A365" s="513" t="s">
        <v>1062</v>
      </c>
      <c r="B365" s="949"/>
      <c r="C365" s="949"/>
      <c r="D365" s="949"/>
      <c r="E365" s="949"/>
      <c r="F365" s="949"/>
      <c r="G365" s="949"/>
      <c r="H365" s="949"/>
      <c r="I365" s="949"/>
      <c r="J365" s="949"/>
      <c r="K365" s="949"/>
      <c r="L365" s="949"/>
      <c r="M365" s="949"/>
      <c r="N365" s="949"/>
      <c r="O365" s="949"/>
      <c r="P365" s="949"/>
      <c r="Q365" s="949"/>
      <c r="R365" s="949"/>
      <c r="S365" s="949"/>
      <c r="T365" s="949"/>
      <c r="U365" s="949"/>
      <c r="V365" s="949"/>
      <c r="W365" s="949"/>
      <c r="X365" s="949"/>
      <c r="Y365" s="949"/>
      <c r="Z365" s="949"/>
      <c r="AA365" s="949"/>
      <c r="AB365" s="949"/>
    </row>
    <row r="366" spans="1:70" s="9" customFormat="1" ht="11.25">
      <c r="A366" s="342" t="s">
        <v>1007</v>
      </c>
      <c r="B366" s="949"/>
      <c r="C366" s="949"/>
      <c r="D366" s="949"/>
      <c r="E366" s="949"/>
      <c r="F366" s="949"/>
      <c r="G366" s="949"/>
      <c r="H366" s="949"/>
      <c r="I366" s="949"/>
      <c r="J366" s="949"/>
      <c r="K366" s="949"/>
      <c r="L366" s="949"/>
      <c r="M366" s="949"/>
      <c r="N366" s="949"/>
      <c r="O366" s="949"/>
      <c r="P366" s="949"/>
      <c r="Q366" s="949"/>
      <c r="R366" s="949"/>
      <c r="S366" s="949"/>
      <c r="T366" s="949"/>
      <c r="U366" s="949"/>
      <c r="V366" s="949"/>
      <c r="W366" s="949"/>
      <c r="X366" s="949"/>
      <c r="Y366" s="949"/>
      <c r="Z366" s="949"/>
      <c r="AA366" s="949"/>
      <c r="AB366" s="949"/>
      <c r="AC366" s="1054">
        <f t="shared" ref="AC366:BC366" si="668">IFERROR(AC277/(AC210+AC227*AC$380),"NA")</f>
        <v>2.2400489681706897</v>
      </c>
      <c r="AD366" s="1054">
        <f t="shared" si="668"/>
        <v>0</v>
      </c>
      <c r="AE366" s="1054">
        <f t="shared" si="668"/>
        <v>2.4790633935066912</v>
      </c>
      <c r="AF366" s="1054">
        <f t="shared" si="668"/>
        <v>2.5391370752195495</v>
      </c>
      <c r="AG366" s="1054">
        <f t="shared" si="668"/>
        <v>2.5611723366874299</v>
      </c>
      <c r="AH366" s="1054">
        <f t="shared" si="668"/>
        <v>2.9219210871747356</v>
      </c>
      <c r="AI366" s="1054">
        <f t="shared" si="668"/>
        <v>2.7542749427763566</v>
      </c>
      <c r="AJ366" s="1054">
        <f t="shared" si="668"/>
        <v>2.6854005645292389</v>
      </c>
      <c r="AK366" s="1054">
        <f t="shared" si="668"/>
        <v>2.700465237619027</v>
      </c>
      <c r="AL366" s="1054">
        <f t="shared" si="668"/>
        <v>3.0984460310793782</v>
      </c>
      <c r="AM366" s="1054">
        <f t="shared" si="668"/>
        <v>3.1281257311148729</v>
      </c>
      <c r="AN366" s="1054">
        <f t="shared" si="668"/>
        <v>3.1042811432583135</v>
      </c>
      <c r="AO366" s="1054">
        <f t="shared" si="668"/>
        <v>2.9976409499459664</v>
      </c>
      <c r="AP366" s="1054">
        <f t="shared" si="668"/>
        <v>3.2196243203163619</v>
      </c>
      <c r="AQ366" s="1054">
        <f t="shared" si="668"/>
        <v>3.0215181211662063</v>
      </c>
      <c r="AR366" s="1054">
        <f t="shared" si="668"/>
        <v>3.1727161377169257</v>
      </c>
      <c r="AS366" s="1054">
        <f t="shared" si="668"/>
        <v>3.0282425894871454</v>
      </c>
      <c r="AT366" s="1054">
        <f t="shared" si="668"/>
        <v>3.2084386145197366</v>
      </c>
      <c r="AU366" s="1054">
        <f t="shared" si="668"/>
        <v>2.6607205826919103</v>
      </c>
      <c r="AV366" s="1054">
        <f t="shared" si="668"/>
        <v>2.6412950623611824</v>
      </c>
      <c r="AW366" s="1054">
        <f t="shared" si="668"/>
        <v>3.0508371162200416</v>
      </c>
      <c r="AX366" s="1054">
        <f t="shared" si="668"/>
        <v>3.3981230802850586</v>
      </c>
      <c r="AY366" s="1054">
        <f t="shared" si="668"/>
        <v>3.3192283533049864</v>
      </c>
      <c r="AZ366" s="1054">
        <f t="shared" si="668"/>
        <v>3.5282934870233778</v>
      </c>
      <c r="BA366" s="1054">
        <f t="shared" si="668"/>
        <v>3.419612971338764</v>
      </c>
      <c r="BB366" s="1054">
        <f t="shared" si="668"/>
        <v>3.883701547202592</v>
      </c>
      <c r="BC366" s="1054">
        <f t="shared" si="668"/>
        <v>3.6324720900654768</v>
      </c>
      <c r="BD366" s="1054">
        <f t="shared" ref="BD366:BI366" si="669">IFERROR(BD277/(BD210+BD227*BD$380),"NA")</f>
        <v>3.6558154198241537</v>
      </c>
      <c r="BE366" s="1848">
        <f t="shared" si="669"/>
        <v>3.3613409497432349</v>
      </c>
      <c r="BF366" s="1848">
        <f t="shared" si="669"/>
        <v>3.5471049993805681</v>
      </c>
      <c r="BG366" s="1848">
        <f t="shared" si="669"/>
        <v>3.5015158125538366</v>
      </c>
      <c r="BH366" s="1848">
        <f t="shared" si="669"/>
        <v>3.5391032557311775</v>
      </c>
      <c r="BI366" s="1848">
        <f t="shared" si="669"/>
        <v>3.4711475663888249</v>
      </c>
      <c r="BJ366" s="1848">
        <f>IFERROR(BJ277/(BJ210+BJ227*BJ$380),"NA")</f>
        <v>3.6353907336157008</v>
      </c>
      <c r="BK366" s="2000">
        <f>IFERROR(BK277/(BK210+BK227*BK$380),"NA")</f>
        <v>3.3073821339950378</v>
      </c>
      <c r="BL366" s="2000">
        <f t="shared" ref="BL366" si="670">IFERROR(BL277/(BL210+BL227*BL$380),"NA")</f>
        <v>3.4231637878932468</v>
      </c>
    </row>
    <row r="367" spans="1:70" s="9" customFormat="1" ht="11.25">
      <c r="A367" s="342" t="s">
        <v>1008</v>
      </c>
      <c r="B367" s="949"/>
      <c r="C367" s="949"/>
      <c r="D367" s="949"/>
      <c r="E367" s="949"/>
      <c r="F367" s="949"/>
      <c r="G367" s="949"/>
      <c r="H367" s="949"/>
      <c r="I367" s="949"/>
      <c r="J367" s="949"/>
      <c r="K367" s="949"/>
      <c r="L367" s="949"/>
      <c r="M367" s="949"/>
      <c r="N367" s="949"/>
      <c r="O367" s="949"/>
      <c r="P367" s="949"/>
      <c r="Q367" s="949"/>
      <c r="R367" s="949"/>
      <c r="S367" s="949"/>
      <c r="T367" s="949"/>
      <c r="U367" s="949"/>
      <c r="V367" s="949"/>
      <c r="W367" s="949"/>
      <c r="X367" s="949"/>
      <c r="Y367" s="949"/>
      <c r="Z367" s="949"/>
      <c r="AA367" s="949"/>
      <c r="AB367" s="949"/>
      <c r="AC367" s="1054">
        <f t="shared" ref="AC367:AR367" si="671">IFERROR(AC278/(AC211+AC228*AC$380),"NA")</f>
        <v>4.2922110856176792</v>
      </c>
      <c r="AD367" s="1054">
        <f t="shared" si="671"/>
        <v>0</v>
      </c>
      <c r="AE367" s="1054">
        <f t="shared" si="671"/>
        <v>3.9411679326527653</v>
      </c>
      <c r="AF367" s="1054">
        <f t="shared" si="671"/>
        <v>4.5047182398175778</v>
      </c>
      <c r="AG367" s="1054">
        <f t="shared" si="671"/>
        <v>5.0437857539404769</v>
      </c>
      <c r="AH367" s="1054">
        <f t="shared" si="671"/>
        <v>5.0866587957497043</v>
      </c>
      <c r="AI367" s="1054">
        <f t="shared" si="671"/>
        <v>5.1229399507482478</v>
      </c>
      <c r="AJ367" s="1054">
        <f t="shared" si="671"/>
        <v>5.0187518926599735</v>
      </c>
      <c r="AK367" s="1054">
        <f t="shared" si="671"/>
        <v>5.5614671222369427</v>
      </c>
      <c r="AL367" s="1054">
        <f t="shared" si="671"/>
        <v>5.6200361217164669</v>
      </c>
      <c r="AM367" s="1054">
        <f t="shared" si="671"/>
        <v>5.2095870065159069</v>
      </c>
      <c r="AN367" s="1054">
        <f t="shared" si="671"/>
        <v>5.2172832425198354</v>
      </c>
      <c r="AO367" s="1054">
        <f t="shared" si="671"/>
        <v>5.0128404485910849</v>
      </c>
      <c r="AP367" s="1054">
        <f t="shared" si="671"/>
        <v>4.6806572311696764</v>
      </c>
      <c r="AQ367" s="1054">
        <f t="shared" si="671"/>
        <v>4.5377860812704345</v>
      </c>
      <c r="AR367" s="1054">
        <f t="shared" si="671"/>
        <v>4.6918540361223746</v>
      </c>
      <c r="AS367" s="1054">
        <f t="shared" ref="AS367:BD367" si="672">IFERROR(AS278/(AS211+AS228*AS$380),"NA")</f>
        <v>4.9493625894507369</v>
      </c>
      <c r="AT367" s="1054">
        <f t="shared" si="672"/>
        <v>4.6269212410501197</v>
      </c>
      <c r="AU367" s="1054">
        <f t="shared" si="672"/>
        <v>3.8014285714285712</v>
      </c>
      <c r="AV367" s="1054">
        <f t="shared" si="672"/>
        <v>1.7002189781021897</v>
      </c>
      <c r="AW367" s="1054">
        <f t="shared" si="672"/>
        <v>2.9413970588235294</v>
      </c>
      <c r="AX367" s="1054">
        <f t="shared" si="672"/>
        <v>3.665074626865672</v>
      </c>
      <c r="AY367" s="1054">
        <f t="shared" si="672"/>
        <v>3.796153846153846</v>
      </c>
      <c r="AZ367" s="1054">
        <f t="shared" si="672"/>
        <v>4.1737313432835821</v>
      </c>
      <c r="BA367" s="1054">
        <f t="shared" si="672"/>
        <v>5.0551122194513711</v>
      </c>
      <c r="BB367" s="1054">
        <f t="shared" si="672"/>
        <v>5.8931500000000003</v>
      </c>
      <c r="BC367" s="1054">
        <f t="shared" si="672"/>
        <v>5.438833746898263</v>
      </c>
      <c r="BD367" s="1054">
        <f t="shared" si="672"/>
        <v>6.2960987654320988</v>
      </c>
      <c r="BE367" s="1848">
        <f t="shared" ref="BE367:BF378" si="673">IFERROR(BE278/(BE211+BE228*BE$380),"NA")</f>
        <v>6.5942962962962968</v>
      </c>
      <c r="BF367" s="1848">
        <f t="shared" si="673"/>
        <v>6.430219512195122</v>
      </c>
      <c r="BG367" s="1848">
        <f t="shared" ref="BG367:BH367" si="674">IFERROR(BG278/(BG211+BG228*BG$380),"NA")</f>
        <v>6.1106326034063265</v>
      </c>
      <c r="BH367" s="1848">
        <f t="shared" si="674"/>
        <v>7.1975421686747003</v>
      </c>
      <c r="BI367" s="1848">
        <f t="shared" ref="BI367:BK378" si="675">IFERROR(BI278/(BI211+BI228*BI$380),"NA")</f>
        <v>6.1345301204819274</v>
      </c>
      <c r="BJ367" s="1848">
        <f t="shared" si="675"/>
        <v>6.2776470588235291</v>
      </c>
      <c r="BK367" s="2000">
        <f t="shared" si="675"/>
        <v>5.3789411764705886</v>
      </c>
      <c r="BL367" s="2000">
        <f t="shared" ref="BL367" si="676">IFERROR(BL278/(BL211+BL228*BL$380),"NA")</f>
        <v>5.8772535211267609</v>
      </c>
    </row>
    <row r="368" spans="1:70" s="9" customFormat="1" ht="11.25">
      <c r="A368" s="342" t="s">
        <v>1018</v>
      </c>
      <c r="B368" s="949"/>
      <c r="C368" s="949"/>
      <c r="D368" s="949"/>
      <c r="E368" s="949"/>
      <c r="F368" s="949"/>
      <c r="G368" s="949"/>
      <c r="H368" s="949"/>
      <c r="I368" s="949"/>
      <c r="J368" s="949"/>
      <c r="K368" s="949"/>
      <c r="L368" s="949"/>
      <c r="M368" s="949"/>
      <c r="N368" s="949"/>
      <c r="O368" s="949"/>
      <c r="P368" s="949"/>
      <c r="Q368" s="949"/>
      <c r="R368" s="949"/>
      <c r="S368" s="949"/>
      <c r="T368" s="949"/>
      <c r="U368" s="949"/>
      <c r="V368" s="949"/>
      <c r="W368" s="949"/>
      <c r="X368" s="949"/>
      <c r="Y368" s="949"/>
      <c r="Z368" s="949"/>
      <c r="AA368" s="949"/>
      <c r="AB368" s="949"/>
      <c r="AC368" s="1054">
        <f t="shared" ref="AC368:AR368" si="677">IFERROR(AC279/(AC212+AC229*AC$380),"NA")</f>
        <v>2.6406268221574343</v>
      </c>
      <c r="AD368" s="1054">
        <f t="shared" si="677"/>
        <v>0</v>
      </c>
      <c r="AE368" s="1054">
        <f t="shared" si="677"/>
        <v>2.627234636871508</v>
      </c>
      <c r="AF368" s="1054">
        <f t="shared" si="677"/>
        <v>2.7480163043478258</v>
      </c>
      <c r="AG368" s="1054">
        <f t="shared" si="677"/>
        <v>2.8029198966408271</v>
      </c>
      <c r="AH368" s="1054">
        <f t="shared" si="677"/>
        <v>2.8914819427148197</v>
      </c>
      <c r="AI368" s="1054">
        <f t="shared" si="677"/>
        <v>2.7428363636363637</v>
      </c>
      <c r="AJ368" s="1054">
        <f t="shared" si="677"/>
        <v>2.8799409681227863</v>
      </c>
      <c r="AK368" s="1054">
        <f t="shared" si="677"/>
        <v>2.7358977272727274</v>
      </c>
      <c r="AL368" s="1054">
        <f t="shared" si="677"/>
        <v>2.8870810210876807</v>
      </c>
      <c r="AM368" s="1054">
        <f t="shared" si="677"/>
        <v>2.6576021505376346</v>
      </c>
      <c r="AN368" s="1054">
        <f t="shared" si="677"/>
        <v>2.678762993762994</v>
      </c>
      <c r="AO368" s="1054">
        <f t="shared" si="677"/>
        <v>2.5103389830508478</v>
      </c>
      <c r="AP368" s="1054">
        <f t="shared" si="677"/>
        <v>2.6240234375</v>
      </c>
      <c r="AQ368" s="1054">
        <f t="shared" si="677"/>
        <v>2.7024017312051303</v>
      </c>
      <c r="AR368" s="1054">
        <f t="shared" si="677"/>
        <v>3.0741659257872818</v>
      </c>
      <c r="AS368" s="1054">
        <f t="shared" ref="AS368:BD368" si="678">IFERROR(AS279/(AS212+AS229*AS$380),"NA")</f>
        <v>3.0192782042980917</v>
      </c>
      <c r="AT368" s="1054">
        <f t="shared" si="678"/>
        <v>3.0094266966513663</v>
      </c>
      <c r="AU368" s="1054">
        <f t="shared" si="678"/>
        <v>2.5339915395422752</v>
      </c>
      <c r="AV368" s="1054">
        <f t="shared" si="678"/>
        <v>0.83353576926945139</v>
      </c>
      <c r="AW368" s="1054">
        <f t="shared" si="678"/>
        <v>2.1259919943635364</v>
      </c>
      <c r="AX368" s="1054">
        <f t="shared" si="678"/>
        <v>2.3614063649598478</v>
      </c>
      <c r="AY368" s="1054">
        <f t="shared" si="678"/>
        <v>2.424551488775478</v>
      </c>
      <c r="AZ368" s="1054">
        <f t="shared" si="678"/>
        <v>2.8156793039736181</v>
      </c>
      <c r="BA368" s="1054">
        <f t="shared" si="678"/>
        <v>3.3915664527384881</v>
      </c>
      <c r="BB368" s="1054">
        <f t="shared" si="678"/>
        <v>3.859325491893228</v>
      </c>
      <c r="BC368" s="1054">
        <f t="shared" si="678"/>
        <v>3.5680588369788886</v>
      </c>
      <c r="BD368" s="1054">
        <f t="shared" si="678"/>
        <v>4.1419248610975368</v>
      </c>
      <c r="BE368" s="1848">
        <f t="shared" si="673"/>
        <v>4.5804088586030671</v>
      </c>
      <c r="BF368" s="1848">
        <f t="shared" si="673"/>
        <v>4.634365906452028</v>
      </c>
      <c r="BG368" s="1848">
        <f t="shared" ref="BG368:BH368" si="679">IFERROR(BG279/(BG212+BG229*BG$380),"NA")</f>
        <v>4.5286764548585605</v>
      </c>
      <c r="BH368" s="1848">
        <f t="shared" si="679"/>
        <v>4.7215118729801882</v>
      </c>
      <c r="BI368" s="1848">
        <f t="shared" ref="BI368:BJ368" si="680">IFERROR(BI279/(BI212+BI229*BI$380),"NA")</f>
        <v>4.8526478049589743</v>
      </c>
      <c r="BJ368" s="1848">
        <f t="shared" si="680"/>
        <v>5.0049715104461701</v>
      </c>
      <c r="BK368" s="2000">
        <f t="shared" si="675"/>
        <v>4.5186302002573324</v>
      </c>
      <c r="BL368" s="2000">
        <f t="shared" ref="BL368" si="681">IFERROR(BL279/(BL212+BL229*BL$380),"NA")</f>
        <v>4.6921145933076263</v>
      </c>
    </row>
    <row r="369" spans="1:64" s="9" customFormat="1" ht="11.25">
      <c r="A369" s="342" t="s">
        <v>1009</v>
      </c>
      <c r="B369" s="949"/>
      <c r="C369" s="949"/>
      <c r="D369" s="949"/>
      <c r="E369" s="949"/>
      <c r="F369" s="949"/>
      <c r="G369" s="949"/>
      <c r="H369" s="949"/>
      <c r="I369" s="949"/>
      <c r="J369" s="949"/>
      <c r="K369" s="949"/>
      <c r="L369" s="949"/>
      <c r="M369" s="949"/>
      <c r="N369" s="949"/>
      <c r="O369" s="949"/>
      <c r="P369" s="949"/>
      <c r="Q369" s="949"/>
      <c r="R369" s="949"/>
      <c r="S369" s="949"/>
      <c r="T369" s="949"/>
      <c r="U369" s="949"/>
      <c r="V369" s="949"/>
      <c r="W369" s="949"/>
      <c r="X369" s="949"/>
      <c r="Y369" s="949"/>
      <c r="Z369" s="949"/>
      <c r="AA369" s="949"/>
      <c r="AB369" s="949"/>
      <c r="AC369" s="1054">
        <f t="shared" ref="AC369:AR369" si="682">IFERROR(AC280/(AC213+AC230*AC$380),"NA")</f>
        <v>6.8380392156862744</v>
      </c>
      <c r="AD369" s="1054" t="str">
        <f t="shared" si="682"/>
        <v>NA</v>
      </c>
      <c r="AE369" s="1054">
        <f t="shared" si="682"/>
        <v>5.8358490566037737</v>
      </c>
      <c r="AF369" s="1054">
        <f t="shared" si="682"/>
        <v>6.8065454545454545</v>
      </c>
      <c r="AG369" s="1054">
        <f t="shared" si="682"/>
        <v>6.1288888888888886</v>
      </c>
      <c r="AH369" s="1054">
        <f t="shared" si="682"/>
        <v>6.2810526315789472</v>
      </c>
      <c r="AI369" s="1054">
        <f t="shared" si="682"/>
        <v>5.7662068965517239</v>
      </c>
      <c r="AJ369" s="1054">
        <f t="shared" si="682"/>
        <v>7.1472413793103451</v>
      </c>
      <c r="AK369" s="1054">
        <f t="shared" si="682"/>
        <v>5.6119354838709681</v>
      </c>
      <c r="AL369" s="1054">
        <f t="shared" si="682"/>
        <v>6.980312500000001</v>
      </c>
      <c r="AM369" s="1054">
        <f t="shared" si="682"/>
        <v>6.2655223880597015</v>
      </c>
      <c r="AN369" s="1054">
        <f t="shared" si="682"/>
        <v>6.1550704225352115</v>
      </c>
      <c r="AO369" s="1054">
        <f t="shared" si="682"/>
        <v>6.2014084507042266</v>
      </c>
      <c r="AP369" s="1054">
        <f t="shared" si="682"/>
        <v>6.7394444444444455</v>
      </c>
      <c r="AQ369" s="1054">
        <f t="shared" si="682"/>
        <v>6.1245205479452061</v>
      </c>
      <c r="AR369" s="1054">
        <f t="shared" si="682"/>
        <v>6.615479452054795</v>
      </c>
      <c r="AS369" s="1054">
        <f t="shared" ref="AS369:BD369" si="683">IFERROR(AS280/(AS213+AS230*AS$380),"NA")</f>
        <v>5.9948717948717949</v>
      </c>
      <c r="AT369" s="1054">
        <f t="shared" si="683"/>
        <v>6.7676000000000007</v>
      </c>
      <c r="AU369" s="1054">
        <f t="shared" si="683"/>
        <v>6.6240000000000006</v>
      </c>
      <c r="AV369" s="1054">
        <f t="shared" si="683"/>
        <v>0.75835616438356168</v>
      </c>
      <c r="AW369" s="1054">
        <f t="shared" si="683"/>
        <v>3.2176056338028172</v>
      </c>
      <c r="AX369" s="1054">
        <f t="shared" si="683"/>
        <v>3.887323943661972</v>
      </c>
      <c r="AY369" s="1054">
        <f t="shared" si="683"/>
        <v>3.5035211267605635</v>
      </c>
      <c r="AZ369" s="1054">
        <f t="shared" si="683"/>
        <v>5.4633802816901404</v>
      </c>
      <c r="BA369" s="1054">
        <f t="shared" si="683"/>
        <v>5.6661971830985918</v>
      </c>
      <c r="BB369" s="1054">
        <f t="shared" si="683"/>
        <v>7.7591549295774662</v>
      </c>
      <c r="BC369" s="1054">
        <f t="shared" si="683"/>
        <v>6.1985915492957746</v>
      </c>
      <c r="BD369" s="1054">
        <f t="shared" si="683"/>
        <v>6.9641666666666664</v>
      </c>
      <c r="BE369" s="1848">
        <f t="shared" si="673"/>
        <v>7.0025000000000004</v>
      </c>
      <c r="BF369" s="1848">
        <f t="shared" si="673"/>
        <v>8.987808219178083</v>
      </c>
      <c r="BG369" s="1848">
        <f t="shared" ref="BG369:BH369" si="684">IFERROR(BG280/(BG213+BG230*BG$380),"NA")</f>
        <v>7.6739999999999995</v>
      </c>
      <c r="BH369" s="1848">
        <f t="shared" si="684"/>
        <v>8.4265714285714282</v>
      </c>
      <c r="BI369" s="1848">
        <f t="shared" ref="BI369:BJ369" si="685">IFERROR(BI280/(BI213+BI230*BI$380),"NA")</f>
        <v>8.4857142857142858</v>
      </c>
      <c r="BJ369" s="1848">
        <f t="shared" si="685"/>
        <v>8.8949999999999996</v>
      </c>
      <c r="BK369" s="2000">
        <f t="shared" si="675"/>
        <v>8.4349999999999987</v>
      </c>
      <c r="BL369" s="2000">
        <f t="shared" ref="BL369" si="686">IFERROR(BL280/(BL213+BL230*BL$380),"NA")</f>
        <v>8.9116666666666671</v>
      </c>
    </row>
    <row r="370" spans="1:64" s="9" customFormat="1" ht="11.25">
      <c r="A370" s="342" t="s">
        <v>1010</v>
      </c>
      <c r="B370" s="949"/>
      <c r="C370" s="949"/>
      <c r="D370" s="949"/>
      <c r="E370" s="949"/>
      <c r="F370" s="949"/>
      <c r="G370" s="949"/>
      <c r="H370" s="949"/>
      <c r="I370" s="949"/>
      <c r="J370" s="949"/>
      <c r="K370" s="949"/>
      <c r="L370" s="949"/>
      <c r="M370" s="949"/>
      <c r="N370" s="949"/>
      <c r="O370" s="949"/>
      <c r="P370" s="949"/>
      <c r="Q370" s="949"/>
      <c r="R370" s="949"/>
      <c r="S370" s="949"/>
      <c r="T370" s="949"/>
      <c r="U370" s="949"/>
      <c r="V370" s="949"/>
      <c r="W370" s="949"/>
      <c r="X370" s="949"/>
      <c r="Y370" s="949"/>
      <c r="Z370" s="949"/>
      <c r="AA370" s="949"/>
      <c r="AB370" s="949"/>
      <c r="AC370" s="1054">
        <f t="shared" ref="AC370:AR370" si="687">IFERROR(AC281/(AC214+AC231*AC$380),"NA")</f>
        <v>4.8739605413337683</v>
      </c>
      <c r="AD370" s="1054">
        <f t="shared" si="687"/>
        <v>0</v>
      </c>
      <c r="AE370" s="1054">
        <f t="shared" si="687"/>
        <v>4.9622974490614471</v>
      </c>
      <c r="AF370" s="1054">
        <f t="shared" si="687"/>
        <v>5.1456061577934573</v>
      </c>
      <c r="AG370" s="1054">
        <f t="shared" si="687"/>
        <v>5.2234848484848486</v>
      </c>
      <c r="AH370" s="1054">
        <f t="shared" si="687"/>
        <v>5.2349758736657401</v>
      </c>
      <c r="AI370" s="1054">
        <f t="shared" si="687"/>
        <v>4.4957655598870812</v>
      </c>
      <c r="AJ370" s="1054">
        <f t="shared" si="687"/>
        <v>4.5912908644527715</v>
      </c>
      <c r="AK370" s="1054">
        <f t="shared" si="687"/>
        <v>4.4385763490241104</v>
      </c>
      <c r="AL370" s="1054">
        <f t="shared" si="687"/>
        <v>5.4888806978744329</v>
      </c>
      <c r="AM370" s="1054">
        <f t="shared" si="687"/>
        <v>4.4209362329524513</v>
      </c>
      <c r="AN370" s="1054">
        <f t="shared" si="687"/>
        <v>4.5464255370797426</v>
      </c>
      <c r="AO370" s="1054">
        <f t="shared" si="687"/>
        <v>4.6352247605011048</v>
      </c>
      <c r="AP370" s="1054">
        <f t="shared" si="687"/>
        <v>5.1083271923360352</v>
      </c>
      <c r="AQ370" s="1054">
        <f t="shared" si="687"/>
        <v>3.9222549742078114</v>
      </c>
      <c r="AR370" s="1054">
        <f t="shared" si="687"/>
        <v>4.2366740358634249</v>
      </c>
      <c r="AS370" s="1054">
        <f t="shared" ref="AS370:BD370" si="688">IFERROR(AS281/(AS214+AS231*AS$380),"NA")</f>
        <v>4.2054898010576682</v>
      </c>
      <c r="AT370" s="1054">
        <f t="shared" si="688"/>
        <v>5.5456978967495214</v>
      </c>
      <c r="AU370" s="1054">
        <f t="shared" si="688"/>
        <v>4.1705842847548693</v>
      </c>
      <c r="AV370" s="1054">
        <f t="shared" si="688"/>
        <v>0.38740377886634009</v>
      </c>
      <c r="AW370" s="1054">
        <f t="shared" si="688"/>
        <v>2.8356865787432115</v>
      </c>
      <c r="AX370" s="1054">
        <f t="shared" si="688"/>
        <v>3.5322348424252121</v>
      </c>
      <c r="AY370" s="1054">
        <f t="shared" si="688"/>
        <v>2.4665344571145265</v>
      </c>
      <c r="AZ370" s="1054">
        <f t="shared" si="688"/>
        <v>5.3420922161626176</v>
      </c>
      <c r="BA370" s="1054">
        <f t="shared" si="688"/>
        <v>4.4345238095238093</v>
      </c>
      <c r="BB370" s="1054">
        <f t="shared" si="688"/>
        <v>6.5062830687830688</v>
      </c>
      <c r="BC370" s="1054">
        <f t="shared" si="688"/>
        <v>5.0170998632010955</v>
      </c>
      <c r="BD370" s="1054">
        <f t="shared" si="688"/>
        <v>7.1451778385772924</v>
      </c>
      <c r="BE370" s="1848">
        <f t="shared" si="673"/>
        <v>5.7476060191518474</v>
      </c>
      <c r="BF370" s="1848">
        <f t="shared" si="673"/>
        <v>6.4110807113543098</v>
      </c>
      <c r="BG370" s="1848">
        <f t="shared" ref="BG370:BH370" si="689">IFERROR(BG281/(BG214+BG231*BG$380),"NA")</f>
        <v>4.5928522571819421</v>
      </c>
      <c r="BH370" s="1848">
        <f t="shared" si="689"/>
        <v>6.6112979152656361</v>
      </c>
      <c r="BI370" s="1848">
        <f t="shared" ref="BI370:BJ370" si="690">IFERROR(BI281/(BI214+BI231*BI$380),"NA")</f>
        <v>6.6577000672494959</v>
      </c>
      <c r="BJ370" s="1848">
        <f t="shared" si="690"/>
        <v>7.0595238095238102</v>
      </c>
      <c r="BK370" s="2000">
        <f t="shared" si="675"/>
        <v>6.6944444444444446</v>
      </c>
      <c r="BL370" s="2000">
        <f t="shared" ref="BL370" si="691">IFERROR(BL281/(BL214+BL231*BL$380),"NA")</f>
        <v>7.0692447529333995</v>
      </c>
    </row>
    <row r="371" spans="1:64" s="9" customFormat="1" ht="11.25">
      <c r="A371" s="342" t="s">
        <v>1011</v>
      </c>
      <c r="B371" s="949"/>
      <c r="C371" s="949"/>
      <c r="D371" s="949"/>
      <c r="E371" s="949"/>
      <c r="F371" s="949"/>
      <c r="G371" s="949"/>
      <c r="H371" s="949"/>
      <c r="I371" s="949"/>
      <c r="J371" s="949"/>
      <c r="K371" s="949"/>
      <c r="L371" s="949"/>
      <c r="M371" s="949"/>
      <c r="N371" s="949"/>
      <c r="O371" s="949"/>
      <c r="P371" s="949"/>
      <c r="Q371" s="949"/>
      <c r="R371" s="949"/>
      <c r="S371" s="949"/>
      <c r="T371" s="949"/>
      <c r="U371" s="949"/>
      <c r="V371" s="949"/>
      <c r="W371" s="949"/>
      <c r="X371" s="949"/>
      <c r="Y371" s="949"/>
      <c r="Z371" s="949"/>
      <c r="AA371" s="949"/>
      <c r="AB371" s="949"/>
      <c r="AC371" s="1054">
        <f t="shared" ref="AC371:AR371" si="692">IFERROR(AC282/(AC215+AC232*AC$380),"NA")</f>
        <v>4.7798520887467522</v>
      </c>
      <c r="AD371" s="1054">
        <f t="shared" si="692"/>
        <v>0</v>
      </c>
      <c r="AE371" s="1054">
        <f t="shared" si="692"/>
        <v>4.8364266775443605</v>
      </c>
      <c r="AF371" s="1054">
        <f t="shared" si="692"/>
        <v>4.7798496851513299</v>
      </c>
      <c r="AG371" s="1054">
        <f t="shared" si="692"/>
        <v>5.1125528913963327</v>
      </c>
      <c r="AH371" s="1054">
        <f t="shared" si="692"/>
        <v>5.1248877610774946</v>
      </c>
      <c r="AI371" s="1054">
        <f t="shared" si="692"/>
        <v>4.7687342018277272</v>
      </c>
      <c r="AJ371" s="1054">
        <f t="shared" si="692"/>
        <v>5.0468332364904125</v>
      </c>
      <c r="AK371" s="1054">
        <f t="shared" si="692"/>
        <v>4.8666030898340651</v>
      </c>
      <c r="AL371" s="1054">
        <f t="shared" si="692"/>
        <v>5.1972607810475662</v>
      </c>
      <c r="AM371" s="1054">
        <f t="shared" si="692"/>
        <v>4.9201566287525642</v>
      </c>
      <c r="AN371" s="1054">
        <f t="shared" si="692"/>
        <v>4.8350728379125947</v>
      </c>
      <c r="AO371" s="1054">
        <f t="shared" si="692"/>
        <v>5.0846959397391149</v>
      </c>
      <c r="AP371" s="1054">
        <f t="shared" si="692"/>
        <v>5.4242930819847057</v>
      </c>
      <c r="AQ371" s="1054">
        <f t="shared" si="692"/>
        <v>6.0997490758977957</v>
      </c>
      <c r="AR371" s="1054">
        <f t="shared" si="692"/>
        <v>6.4646432117650221</v>
      </c>
      <c r="AS371" s="1054">
        <f t="shared" ref="AS371:BD371" si="693">IFERROR(AS282/(AS215+AS232*AS$380),"NA")</f>
        <v>6.1937422851929362</v>
      </c>
      <c r="AT371" s="1054">
        <f t="shared" si="693"/>
        <v>6.6344886017633513</v>
      </c>
      <c r="AU371" s="1054">
        <f t="shared" si="693"/>
        <v>5.4883335117200041</v>
      </c>
      <c r="AV371" s="1054">
        <f t="shared" si="693"/>
        <v>0.88622754491017963</v>
      </c>
      <c r="AW371" s="1054">
        <f t="shared" si="693"/>
        <v>3.515652268760908</v>
      </c>
      <c r="AX371" s="1054">
        <f t="shared" si="693"/>
        <v>4.2108288880904343</v>
      </c>
      <c r="AY371" s="1054">
        <f t="shared" si="693"/>
        <v>3.2944328838972665</v>
      </c>
      <c r="AZ371" s="1054">
        <f t="shared" si="693"/>
        <v>5.0466923813114475</v>
      </c>
      <c r="BA371" s="1054">
        <f t="shared" si="693"/>
        <v>5.5042181379933712</v>
      </c>
      <c r="BB371" s="1054">
        <f t="shared" si="693"/>
        <v>6.9238346948582405</v>
      </c>
      <c r="BC371" s="1054">
        <f t="shared" si="693"/>
        <v>6.206732343224501</v>
      </c>
      <c r="BD371" s="1054">
        <f t="shared" si="693"/>
        <v>6.7756809684885173</v>
      </c>
      <c r="BE371" s="1848">
        <f t="shared" si="673"/>
        <v>6.5983990333786435</v>
      </c>
      <c r="BF371" s="1848">
        <f t="shared" si="673"/>
        <v>7.5180030992677214</v>
      </c>
      <c r="BG371" s="1848">
        <f t="shared" ref="BG371:BH371" si="694">IFERROR(BG282/(BG215+BG232*BG$380),"NA")</f>
        <v>6.8197364153669255</v>
      </c>
      <c r="BH371" s="1848">
        <f t="shared" si="694"/>
        <v>6.9160567851159511</v>
      </c>
      <c r="BI371" s="1848">
        <f t="shared" ref="BI371:BJ371" si="695">IFERROR(BI282/(BI215+BI232*BI$380),"NA")</f>
        <v>7.2852695249955532</v>
      </c>
      <c r="BJ371" s="1848">
        <f t="shared" si="695"/>
        <v>8.2474656384103504</v>
      </c>
      <c r="BK371" s="2000">
        <f t="shared" si="675"/>
        <v>7.6458274840118543</v>
      </c>
      <c r="BL371" s="2000">
        <f t="shared" ref="BL371" si="696">IFERROR(BL282/(BL215+BL232*BL$380),"NA")</f>
        <v>7.9077281915720725</v>
      </c>
    </row>
    <row r="372" spans="1:64" s="9" customFormat="1" ht="11.25">
      <c r="A372" s="342" t="s">
        <v>1012</v>
      </c>
      <c r="B372" s="949"/>
      <c r="C372" s="949"/>
      <c r="D372" s="949"/>
      <c r="E372" s="949"/>
      <c r="F372" s="949"/>
      <c r="G372" s="949"/>
      <c r="H372" s="949"/>
      <c r="I372" s="949"/>
      <c r="J372" s="949"/>
      <c r="K372" s="949"/>
      <c r="L372" s="949"/>
      <c r="M372" s="949"/>
      <c r="N372" s="949"/>
      <c r="O372" s="949"/>
      <c r="P372" s="949"/>
      <c r="Q372" s="949"/>
      <c r="R372" s="949"/>
      <c r="S372" s="949"/>
      <c r="T372" s="949"/>
      <c r="U372" s="949"/>
      <c r="V372" s="949"/>
      <c r="W372" s="949"/>
      <c r="X372" s="949"/>
      <c r="Y372" s="949"/>
      <c r="Z372" s="949"/>
      <c r="AA372" s="949"/>
      <c r="AB372" s="949"/>
      <c r="AC372" s="1054">
        <f t="shared" ref="AC372:AR372" si="697">IFERROR(AC283/(AC216+AC233*AC$380),"NA")</f>
        <v>3.0753086419753091</v>
      </c>
      <c r="AD372" s="1054">
        <f t="shared" si="697"/>
        <v>0</v>
      </c>
      <c r="AE372" s="1054">
        <f t="shared" si="697"/>
        <v>3.630281690140845</v>
      </c>
      <c r="AF372" s="1054">
        <f t="shared" si="697"/>
        <v>3.0129577464788735</v>
      </c>
      <c r="AG372" s="1054">
        <f t="shared" si="697"/>
        <v>3.2931343283582093</v>
      </c>
      <c r="AH372" s="1054">
        <f t="shared" si="697"/>
        <v>3.5623880597014925</v>
      </c>
      <c r="AI372" s="1054">
        <f t="shared" si="697"/>
        <v>3.327761194029851</v>
      </c>
      <c r="AJ372" s="1054">
        <f t="shared" si="697"/>
        <v>3.5355223880597015</v>
      </c>
      <c r="AK372" s="1054">
        <f t="shared" si="697"/>
        <v>3.5145454545454546</v>
      </c>
      <c r="AL372" s="1054">
        <f t="shared" si="697"/>
        <v>3.8101492537313435</v>
      </c>
      <c r="AM372" s="1054">
        <f t="shared" si="697"/>
        <v>3.5802985074626865</v>
      </c>
      <c r="AN372" s="1054">
        <f t="shared" si="697"/>
        <v>3.901875</v>
      </c>
      <c r="AO372" s="1054">
        <f t="shared" si="697"/>
        <v>3.9312499999999999</v>
      </c>
      <c r="AP372" s="1054">
        <f t="shared" si="697"/>
        <v>4.3325000000000005</v>
      </c>
      <c r="AQ372" s="1054">
        <f t="shared" si="697"/>
        <v>3.9918750000000003</v>
      </c>
      <c r="AR372" s="1054">
        <f t="shared" si="697"/>
        <v>6.0517543859649132</v>
      </c>
      <c r="AS372" s="1054">
        <f t="shared" ref="AS372:BD372" si="698">IFERROR(AS283/(AS216+AS233*AS$380),"NA")</f>
        <v>4.008</v>
      </c>
      <c r="AT372" s="1054">
        <f t="shared" si="698"/>
        <v>4.7289130434782605</v>
      </c>
      <c r="AU372" s="1054">
        <f t="shared" si="698"/>
        <v>4.05</v>
      </c>
      <c r="AV372" s="1054">
        <f t="shared" si="698"/>
        <v>0.64372093023255816</v>
      </c>
      <c r="AW372" s="1054">
        <f t="shared" si="698"/>
        <v>1.4278124999999999</v>
      </c>
      <c r="AX372" s="1054">
        <f t="shared" si="698"/>
        <v>3.45</v>
      </c>
      <c r="AY372" s="1054">
        <f t="shared" si="698"/>
        <v>3.109375</v>
      </c>
      <c r="AZ372" s="1054">
        <f t="shared" si="698"/>
        <v>4.0406250000000004</v>
      </c>
      <c r="BA372" s="1054">
        <f t="shared" si="698"/>
        <v>4.1906249999999998</v>
      </c>
      <c r="BB372" s="1054">
        <f t="shared" si="698"/>
        <v>5.246666666666667</v>
      </c>
      <c r="BC372" s="1054">
        <f t="shared" si="698"/>
        <v>4.8900000000000006</v>
      </c>
      <c r="BD372" s="1054">
        <f t="shared" si="698"/>
        <v>5.5713333333333335</v>
      </c>
      <c r="BE372" s="1848">
        <f t="shared" si="673"/>
        <v>5.6020000000000003</v>
      </c>
      <c r="BF372" s="1848">
        <f t="shared" si="673"/>
        <v>6.2486666666666668</v>
      </c>
      <c r="BG372" s="1848">
        <f t="shared" ref="BG372:BH372" si="699">IFERROR(BG283/(BG216+BG233*BG$380),"NA")</f>
        <v>5.9686666666666666</v>
      </c>
      <c r="BH372" s="1848" t="str">
        <f t="shared" si="699"/>
        <v>NA</v>
      </c>
      <c r="BI372" s="1848" t="str">
        <f t="shared" ref="BI372:BJ372" si="700">IFERROR(BI283/(BI216+BI233*BI$380),"NA")</f>
        <v>NA</v>
      </c>
      <c r="BJ372" s="1848" t="str">
        <f t="shared" si="700"/>
        <v>NA</v>
      </c>
      <c r="BK372" s="2000" t="str">
        <f t="shared" si="675"/>
        <v>NA</v>
      </c>
      <c r="BL372" s="2000" t="str">
        <f t="shared" ref="BL372" si="701">IFERROR(BL283/(BL216+BL233*BL$380),"NA")</f>
        <v>NA</v>
      </c>
    </row>
    <row r="373" spans="1:64" s="9" customFormat="1" ht="11.25">
      <c r="A373" s="342" t="s">
        <v>1019</v>
      </c>
      <c r="B373" s="949"/>
      <c r="C373" s="949"/>
      <c r="D373" s="949"/>
      <c r="E373" s="949"/>
      <c r="F373" s="949"/>
      <c r="G373" s="949"/>
      <c r="H373" s="949"/>
      <c r="I373" s="949"/>
      <c r="J373" s="949"/>
      <c r="K373" s="949"/>
      <c r="L373" s="949"/>
      <c r="M373" s="949"/>
      <c r="N373" s="949"/>
      <c r="O373" s="949"/>
      <c r="P373" s="949"/>
      <c r="Q373" s="949"/>
      <c r="R373" s="949"/>
      <c r="S373" s="949"/>
      <c r="T373" s="949"/>
      <c r="U373" s="949"/>
      <c r="V373" s="949"/>
      <c r="W373" s="949"/>
      <c r="X373" s="949"/>
      <c r="Y373" s="949"/>
      <c r="Z373" s="949"/>
      <c r="AA373" s="949"/>
      <c r="AB373" s="949"/>
      <c r="AC373" s="1054">
        <f t="shared" ref="AC373:AR373" si="702">IFERROR(AC284/(AC217+AC234*AC$380),"NA")</f>
        <v>7.0524661508704058</v>
      </c>
      <c r="AD373" s="1054">
        <f t="shared" si="702"/>
        <v>0</v>
      </c>
      <c r="AE373" s="1054">
        <f t="shared" si="702"/>
        <v>7.6169014084507038</v>
      </c>
      <c r="AF373" s="1054">
        <f t="shared" si="702"/>
        <v>7.6266666666666669</v>
      </c>
      <c r="AG373" s="1054">
        <f t="shared" si="702"/>
        <v>8.2822707817075916</v>
      </c>
      <c r="AH373" s="1054">
        <f t="shared" si="702"/>
        <v>8.977220204688015</v>
      </c>
      <c r="AI373" s="1054">
        <f t="shared" si="702"/>
        <v>8.185788856929797</v>
      </c>
      <c r="AJ373" s="1054">
        <f t="shared" si="702"/>
        <v>7.3701312226619464</v>
      </c>
      <c r="AK373" s="1054">
        <f t="shared" si="702"/>
        <v>8.2830503177414325</v>
      </c>
      <c r="AL373" s="1054">
        <f t="shared" si="702"/>
        <v>9.0702487765089721</v>
      </c>
      <c r="AM373" s="1054">
        <f t="shared" si="702"/>
        <v>9.0261026102610256</v>
      </c>
      <c r="AN373" s="1054">
        <f t="shared" si="702"/>
        <v>8.3457916129671847</v>
      </c>
      <c r="AO373" s="1054">
        <f t="shared" si="702"/>
        <v>8.5185039756552463</v>
      </c>
      <c r="AP373" s="1054">
        <f t="shared" si="702"/>
        <v>9.3216520650813521</v>
      </c>
      <c r="AQ373" s="1054">
        <f t="shared" si="702"/>
        <v>8.3125425046147861</v>
      </c>
      <c r="AR373" s="1054">
        <f t="shared" si="702"/>
        <v>8.1413317802368486</v>
      </c>
      <c r="AS373" s="1054">
        <f t="shared" ref="AS373:BD373" si="703">IFERROR(AS284/(AS217+AS234*AS$380),"NA")</f>
        <v>8.4813898143741078</v>
      </c>
      <c r="AT373" s="1054">
        <f t="shared" si="703"/>
        <v>9.1331067686207863</v>
      </c>
      <c r="AU373" s="1054">
        <f t="shared" si="703"/>
        <v>5.7178286029209149</v>
      </c>
      <c r="AV373" s="1054">
        <f t="shared" si="703"/>
        <v>1.8520322157707434</v>
      </c>
      <c r="AW373" s="1054">
        <f t="shared" si="703"/>
        <v>6.5267139479905438</v>
      </c>
      <c r="AX373" s="1054">
        <f t="shared" si="703"/>
        <v>5.3441434566959183</v>
      </c>
      <c r="AY373" s="1054">
        <f t="shared" si="703"/>
        <v>3.331743154279172</v>
      </c>
      <c r="AZ373" s="1054">
        <f t="shared" si="703"/>
        <v>5.7720836142953473</v>
      </c>
      <c r="BA373" s="1054">
        <f t="shared" si="703"/>
        <v>7.0449241540256704</v>
      </c>
      <c r="BB373" s="1054">
        <f t="shared" si="703"/>
        <v>8.3956086286594758</v>
      </c>
      <c r="BC373" s="1054">
        <f t="shared" si="703"/>
        <v>6.9925826028320976</v>
      </c>
      <c r="BD373" s="1054">
        <f t="shared" si="703"/>
        <v>6.7886523456314425</v>
      </c>
      <c r="BE373" s="1848">
        <f t="shared" si="673"/>
        <v>6.747039724980902</v>
      </c>
      <c r="BF373" s="1848">
        <f t="shared" si="673"/>
        <v>6.6791709650192246</v>
      </c>
      <c r="BG373" s="1848">
        <f t="shared" ref="BG373:BH373" si="704">IFERROR(BG284/(BG217+BG234*BG$380),"NA")</f>
        <v>7.2623941958887546</v>
      </c>
      <c r="BH373" s="1848">
        <f t="shared" si="704"/>
        <v>6.7822959889349939</v>
      </c>
      <c r="BI373" s="1848">
        <f t="shared" ref="BI373:BJ373" si="705">IFERROR(BI284/(BI217+BI234*BI$380),"NA")</f>
        <v>7.2748893805309738</v>
      </c>
      <c r="BJ373" s="1848">
        <f t="shared" si="705"/>
        <v>8.0078843626806844</v>
      </c>
      <c r="BK373" s="2000">
        <f t="shared" si="675"/>
        <v>7.2928674006701781</v>
      </c>
      <c r="BL373" s="2000">
        <f t="shared" ref="BL373" si="706">IFERROR(BL284/(BL217+BL234*BL$380),"NA")</f>
        <v>7.3780884887952505</v>
      </c>
    </row>
    <row r="374" spans="1:64" s="9" customFormat="1" ht="11.25">
      <c r="A374" s="342" t="s">
        <v>1016</v>
      </c>
      <c r="B374" s="949"/>
      <c r="C374" s="949"/>
      <c r="D374" s="949"/>
      <c r="E374" s="949"/>
      <c r="F374" s="949"/>
      <c r="G374" s="949"/>
      <c r="H374" s="949"/>
      <c r="I374" s="949"/>
      <c r="J374" s="949"/>
      <c r="K374" s="949"/>
      <c r="L374" s="949"/>
      <c r="M374" s="949"/>
      <c r="N374" s="949"/>
      <c r="O374" s="949"/>
      <c r="P374" s="949"/>
      <c r="Q374" s="949"/>
      <c r="R374" s="949"/>
      <c r="S374" s="949"/>
      <c r="T374" s="949"/>
      <c r="U374" s="949"/>
      <c r="V374" s="949"/>
      <c r="W374" s="949"/>
      <c r="X374" s="949"/>
      <c r="Y374" s="949"/>
      <c r="Z374" s="949"/>
      <c r="AA374" s="949"/>
      <c r="AB374" s="949"/>
      <c r="AC374" s="1054" t="str">
        <f t="shared" ref="AC374:AR374" si="707">IFERROR(AC285/(AC218+AC235*AC$380),"NA")</f>
        <v>NA</v>
      </c>
      <c r="AD374" s="1054" t="str">
        <f t="shared" si="707"/>
        <v>NA</v>
      </c>
      <c r="AE374" s="1054" t="str">
        <f t="shared" si="707"/>
        <v>NA</v>
      </c>
      <c r="AF374" s="1054">
        <f t="shared" si="707"/>
        <v>2.7204878048780485</v>
      </c>
      <c r="AG374" s="1054">
        <f t="shared" si="707"/>
        <v>2.9890243902439022</v>
      </c>
      <c r="AH374" s="1054">
        <f t="shared" si="707"/>
        <v>3.4861538461538464</v>
      </c>
      <c r="AI374" s="1054">
        <f t="shared" si="707"/>
        <v>2.3789473684210529</v>
      </c>
      <c r="AJ374" s="1054">
        <f t="shared" si="707"/>
        <v>2.3278947368421057</v>
      </c>
      <c r="AK374" s="1054">
        <f t="shared" si="707"/>
        <v>2.6725714285714286</v>
      </c>
      <c r="AL374" s="1054">
        <f t="shared" si="707"/>
        <v>3.1715151515151514</v>
      </c>
      <c r="AM374" s="1054">
        <f t="shared" si="707"/>
        <v>3.038787878787879</v>
      </c>
      <c r="AN374" s="1054">
        <f t="shared" si="707"/>
        <v>3.0012121212121214</v>
      </c>
      <c r="AO374" s="1054">
        <f t="shared" si="707"/>
        <v>3.0131250000000001</v>
      </c>
      <c r="AP374" s="1054">
        <f t="shared" si="707"/>
        <v>3.1850000000000001</v>
      </c>
      <c r="AQ374" s="1054">
        <f t="shared" si="707"/>
        <v>2.7974999999999999</v>
      </c>
      <c r="AR374" s="1054">
        <f t="shared" si="707"/>
        <v>2.9883870967741935</v>
      </c>
      <c r="AS374" s="1054">
        <f t="shared" ref="AS374:BD374" si="708">IFERROR(AS285/(AS218+AS235*AS$380),"NA")</f>
        <v>3.1161290322580646</v>
      </c>
      <c r="AT374" s="1054">
        <f t="shared" si="708"/>
        <v>3.3112903225806454</v>
      </c>
      <c r="AU374" s="1054">
        <f t="shared" si="708"/>
        <v>2.814516129032258</v>
      </c>
      <c r="AV374" s="1054">
        <f t="shared" si="708"/>
        <v>1.2250000000000001</v>
      </c>
      <c r="AW374" s="1054">
        <f t="shared" si="708"/>
        <v>2.0741379310344827</v>
      </c>
      <c r="AX374" s="1054">
        <f t="shared" si="708"/>
        <v>2.34</v>
      </c>
      <c r="AY374" s="1054">
        <f t="shared" si="708"/>
        <v>2.585185185185185</v>
      </c>
      <c r="AZ374" s="1054">
        <f t="shared" si="708"/>
        <v>2.4488888888888889</v>
      </c>
      <c r="BA374" s="1054">
        <f t="shared" si="708"/>
        <v>3.2928571428571431</v>
      </c>
      <c r="BB374" s="1054">
        <f t="shared" si="708"/>
        <v>3.7862068965517239</v>
      </c>
      <c r="BC374" s="1054">
        <f t="shared" si="708"/>
        <v>3.7785714285714285</v>
      </c>
      <c r="BD374" s="1054">
        <f t="shared" si="708"/>
        <v>4.3085714285714287</v>
      </c>
      <c r="BE374" s="1848">
        <f t="shared" si="673"/>
        <v>3.3475862068965516</v>
      </c>
      <c r="BF374" s="1848">
        <f t="shared" si="673"/>
        <v>3.2379310344827585</v>
      </c>
      <c r="BG374" s="1848">
        <f t="shared" ref="BG374:BH374" si="709">IFERROR(BG285/(BG218+BG235*BG$380),"NA")</f>
        <v>3.1593103448275865</v>
      </c>
      <c r="BH374" s="1848">
        <f t="shared" si="709"/>
        <v>3.2441379310344827</v>
      </c>
      <c r="BI374" s="1848">
        <f t="shared" ref="BI374:BJ374" si="710">IFERROR(BI285/(BI218+BI235*BI$380),"NA")</f>
        <v>3.1427586206896554</v>
      </c>
      <c r="BJ374" s="1848">
        <f t="shared" si="710"/>
        <v>3.220344827586207</v>
      </c>
      <c r="BK374" s="2000">
        <f t="shared" si="675"/>
        <v>2.5789655172413792</v>
      </c>
      <c r="BL374" s="2000">
        <f t="shared" ref="BL374" si="711">IFERROR(BL285/(BL218+BL235*BL$380),"NA")</f>
        <v>3.0578571428571424</v>
      </c>
    </row>
    <row r="375" spans="1:64" s="9" customFormat="1" ht="11.25">
      <c r="A375" s="342" t="s">
        <v>1015</v>
      </c>
      <c r="B375" s="949"/>
      <c r="C375" s="949"/>
      <c r="D375" s="949"/>
      <c r="E375" s="949"/>
      <c r="F375" s="949"/>
      <c r="G375" s="949"/>
      <c r="H375" s="949"/>
      <c r="I375" s="949"/>
      <c r="J375" s="949"/>
      <c r="K375" s="949"/>
      <c r="L375" s="949"/>
      <c r="M375" s="949"/>
      <c r="N375" s="949"/>
      <c r="O375" s="949"/>
      <c r="P375" s="949"/>
      <c r="Q375" s="949"/>
      <c r="R375" s="949"/>
      <c r="S375" s="949"/>
      <c r="T375" s="949"/>
      <c r="U375" s="949"/>
      <c r="V375" s="949"/>
      <c r="W375" s="949"/>
      <c r="X375" s="949"/>
      <c r="Y375" s="949"/>
      <c r="Z375" s="949"/>
      <c r="AA375" s="949"/>
      <c r="AB375" s="949"/>
      <c r="AC375" s="1054">
        <f t="shared" ref="AC375:AR375" si="712">IFERROR(AC286/(AC219+AC236*AC$380),"NA")</f>
        <v>8.1025000000000009</v>
      </c>
      <c r="AD375" s="1054">
        <f t="shared" si="712"/>
        <v>0</v>
      </c>
      <c r="AE375" s="1054">
        <f t="shared" si="712"/>
        <v>8.4499999999999993</v>
      </c>
      <c r="AF375" s="1054">
        <f t="shared" si="712"/>
        <v>8.2622222222222224</v>
      </c>
      <c r="AG375" s="1054">
        <f t="shared" si="712"/>
        <v>9.0777777777777775</v>
      </c>
      <c r="AH375" s="1054">
        <f t="shared" si="712"/>
        <v>5.665</v>
      </c>
      <c r="AI375" s="1054">
        <f t="shared" si="712"/>
        <v>10.044444444444444</v>
      </c>
      <c r="AJ375" s="1054">
        <f t="shared" si="712"/>
        <v>9.8288888888888906</v>
      </c>
      <c r="AK375" s="1054">
        <f t="shared" si="712"/>
        <v>9.354000000000001</v>
      </c>
      <c r="AL375" s="1054">
        <f t="shared" si="712"/>
        <v>10.465999999999999</v>
      </c>
      <c r="AM375" s="1054">
        <f t="shared" si="712"/>
        <v>10.028</v>
      </c>
      <c r="AN375" s="1054">
        <f t="shared" si="712"/>
        <v>9.9039999999999999</v>
      </c>
      <c r="AO375" s="1054">
        <f t="shared" si="712"/>
        <v>9.6419999999999995</v>
      </c>
      <c r="AP375" s="1054">
        <f t="shared" si="712"/>
        <v>10.192</v>
      </c>
      <c r="AQ375" s="1054">
        <f t="shared" si="712"/>
        <v>6.7140000000000004</v>
      </c>
      <c r="AR375" s="1054">
        <f t="shared" si="712"/>
        <v>11.58</v>
      </c>
      <c r="AS375" s="1054">
        <f t="shared" ref="AS375:BD375" si="713">IFERROR(AS286/(AS219+AS236*AS$380),"NA")</f>
        <v>9.66</v>
      </c>
      <c r="AT375" s="1054">
        <f t="shared" si="713"/>
        <v>8.2119999999999997</v>
      </c>
      <c r="AU375" s="1054">
        <f t="shared" si="713"/>
        <v>6.9799999999999995</v>
      </c>
      <c r="AV375" s="1054">
        <f t="shared" si="713"/>
        <v>4.41</v>
      </c>
      <c r="AW375" s="1054">
        <f t="shared" si="713"/>
        <v>6.0149999999999997</v>
      </c>
      <c r="AX375" s="1054">
        <f t="shared" si="713"/>
        <v>4.68</v>
      </c>
      <c r="AY375" s="1054">
        <f t="shared" si="713"/>
        <v>4.9857142857142858</v>
      </c>
      <c r="AZ375" s="1054">
        <f t="shared" si="713"/>
        <v>4.7228571428571433</v>
      </c>
      <c r="BA375" s="1054">
        <f t="shared" si="713"/>
        <v>6.5857142857142863</v>
      </c>
      <c r="BB375" s="1054">
        <f t="shared" si="713"/>
        <v>18.3</v>
      </c>
      <c r="BC375" s="1054">
        <f t="shared" si="713"/>
        <v>17.633333333333333</v>
      </c>
      <c r="BD375" s="1054">
        <f t="shared" si="713"/>
        <v>10.053333333333333</v>
      </c>
      <c r="BE375" s="1848">
        <f t="shared" si="673"/>
        <v>10.786666666666667</v>
      </c>
      <c r="BF375" s="1848">
        <f t="shared" si="673"/>
        <v>10.433333333333334</v>
      </c>
      <c r="BG375" s="1848">
        <f t="shared" ref="BG375:BH375" si="714">IFERROR(BG286/(BG219+BG236*BG$380),"NA")</f>
        <v>10.18</v>
      </c>
      <c r="BH375" s="1848">
        <f t="shared" si="714"/>
        <v>10.453333333333333</v>
      </c>
      <c r="BI375" s="1848">
        <f t="shared" ref="BI375:BJ375" si="715">IFERROR(BI286/(BI219+BI236*BI$380),"NA")</f>
        <v>10.126666666666667</v>
      </c>
      <c r="BJ375" s="1848">
        <f t="shared" si="715"/>
        <v>10.376666666666667</v>
      </c>
      <c r="BK375" s="2000">
        <f t="shared" si="675"/>
        <v>8.31</v>
      </c>
      <c r="BL375" s="2000">
        <f t="shared" ref="BL375" si="716">IFERROR(BL286/(BL219+BL236*BL$380),"NA")</f>
        <v>9.5133333333333336</v>
      </c>
    </row>
    <row r="376" spans="1:64" s="9" customFormat="1" ht="11.25">
      <c r="A376" s="342" t="s">
        <v>1017</v>
      </c>
      <c r="B376" s="949"/>
      <c r="C376" s="949"/>
      <c r="D376" s="949"/>
      <c r="E376" s="949"/>
      <c r="F376" s="949"/>
      <c r="G376" s="949"/>
      <c r="H376" s="949"/>
      <c r="I376" s="949"/>
      <c r="J376" s="949"/>
      <c r="K376" s="949"/>
      <c r="L376" s="949"/>
      <c r="M376" s="949"/>
      <c r="N376" s="949"/>
      <c r="O376" s="949"/>
      <c r="P376" s="949"/>
      <c r="Q376" s="949"/>
      <c r="R376" s="949"/>
      <c r="S376" s="949"/>
      <c r="T376" s="949"/>
      <c r="U376" s="949"/>
      <c r="V376" s="949"/>
      <c r="W376" s="949"/>
      <c r="X376" s="949"/>
      <c r="Y376" s="949"/>
      <c r="Z376" s="949"/>
      <c r="AA376" s="949"/>
      <c r="AB376" s="949"/>
      <c r="AC376" s="1054">
        <f t="shared" ref="AC376:AR376" si="717">IFERROR(AC287/(AC220+AC237*AC$380),"NA")</f>
        <v>4.4215552523874493</v>
      </c>
      <c r="AD376" s="1054">
        <f t="shared" si="717"/>
        <v>0</v>
      </c>
      <c r="AE376" s="1054">
        <f t="shared" si="717"/>
        <v>5.3396524486571879</v>
      </c>
      <c r="AF376" s="1054">
        <f t="shared" si="717"/>
        <v>7.0150943396226415</v>
      </c>
      <c r="AG376" s="1054">
        <f t="shared" si="717"/>
        <v>7.7075471698113214</v>
      </c>
      <c r="AH376" s="1054">
        <f t="shared" si="717"/>
        <v>7.2280701754385968</v>
      </c>
      <c r="AI376" s="1054">
        <f t="shared" si="717"/>
        <v>6.2430939226519335</v>
      </c>
      <c r="AJ376" s="1054">
        <f t="shared" si="717"/>
        <v>6.1091160220994478</v>
      </c>
      <c r="AK376" s="1054">
        <f t="shared" si="717"/>
        <v>6.4332874828060529</v>
      </c>
      <c r="AL376" s="1054">
        <f t="shared" si="717"/>
        <v>6.3276904474002418</v>
      </c>
      <c r="AM376" s="1054">
        <f t="shared" si="717"/>
        <v>6.0628778718258767</v>
      </c>
      <c r="AN376" s="1054">
        <f t="shared" si="717"/>
        <v>5.3593073593073592</v>
      </c>
      <c r="AO376" s="1054">
        <f t="shared" si="717"/>
        <v>4.7080078125</v>
      </c>
      <c r="AP376" s="1054">
        <f t="shared" si="717"/>
        <v>4.5338078291814945</v>
      </c>
      <c r="AQ376" s="1054">
        <f t="shared" si="717"/>
        <v>0</v>
      </c>
      <c r="AR376" s="1054">
        <f t="shared" si="717"/>
        <v>5.119140625</v>
      </c>
      <c r="AS376" s="1054">
        <f t="shared" ref="AS376:BD376" si="718">IFERROR(AS287/(AS220+AS237*AS$380),"NA")</f>
        <v>5.1332027424094022</v>
      </c>
      <c r="AT376" s="1054">
        <f t="shared" si="718"/>
        <v>6.1590909090909092</v>
      </c>
      <c r="AU376" s="1054" t="str">
        <f t="shared" si="718"/>
        <v>NA</v>
      </c>
      <c r="AV376" s="1054" t="str">
        <f t="shared" si="718"/>
        <v>NA</v>
      </c>
      <c r="AW376" s="1054" t="str">
        <f t="shared" si="718"/>
        <v>NA</v>
      </c>
      <c r="AX376" s="1054" t="str">
        <f t="shared" si="718"/>
        <v>NA</v>
      </c>
      <c r="AY376" s="1054" t="str">
        <f t="shared" si="718"/>
        <v>NA</v>
      </c>
      <c r="AZ376" s="1054" t="str">
        <f t="shared" si="718"/>
        <v>NA</v>
      </c>
      <c r="BA376" s="1054" t="str">
        <f t="shared" si="718"/>
        <v>NA</v>
      </c>
      <c r="BB376" s="1054" t="str">
        <f t="shared" si="718"/>
        <v>NA</v>
      </c>
      <c r="BC376" s="1054" t="str">
        <f t="shared" si="718"/>
        <v>NA</v>
      </c>
      <c r="BD376" s="1054" t="str">
        <f t="shared" si="718"/>
        <v>NA</v>
      </c>
      <c r="BE376" s="1848" t="str">
        <f t="shared" si="673"/>
        <v>NA</v>
      </c>
      <c r="BF376" s="1848" t="str">
        <f t="shared" si="673"/>
        <v>NA</v>
      </c>
      <c r="BG376" s="1848" t="str">
        <f t="shared" ref="BG376:BH376" si="719">IFERROR(BG287/(BG220+BG237*BG$380),"NA")</f>
        <v>NA</v>
      </c>
      <c r="BH376" s="1848" t="str">
        <f t="shared" si="719"/>
        <v>NA</v>
      </c>
      <c r="BI376" s="1848" t="str">
        <f t="shared" ref="BI376:BJ376" si="720">IFERROR(BI287/(BI220+BI237*BI$380),"NA")</f>
        <v>NA</v>
      </c>
      <c r="BJ376" s="1848" t="str">
        <f t="shared" si="720"/>
        <v>NA</v>
      </c>
      <c r="BK376" s="2000" t="str">
        <f t="shared" si="675"/>
        <v>NA</v>
      </c>
      <c r="BL376" s="2000" t="str">
        <f t="shared" ref="BL376" si="721">IFERROR(BL287/(BL220+BL237*BL$380),"NA")</f>
        <v>NA</v>
      </c>
    </row>
    <row r="377" spans="1:64" s="9" customFormat="1" ht="11.25">
      <c r="A377" s="342" t="s">
        <v>1120</v>
      </c>
      <c r="B377" s="949"/>
      <c r="C377" s="949"/>
      <c r="D377" s="949"/>
      <c r="E377" s="949"/>
      <c r="F377" s="949"/>
      <c r="G377" s="949"/>
      <c r="H377" s="949"/>
      <c r="I377" s="949"/>
      <c r="J377" s="949"/>
      <c r="K377" s="949"/>
      <c r="L377" s="949"/>
      <c r="M377" s="949"/>
      <c r="N377" s="949"/>
      <c r="O377" s="949"/>
      <c r="P377" s="949"/>
      <c r="Q377" s="949"/>
      <c r="R377" s="949"/>
      <c r="S377" s="949"/>
      <c r="T377" s="949"/>
      <c r="U377" s="949"/>
      <c r="V377" s="949"/>
      <c r="W377" s="949"/>
      <c r="X377" s="949"/>
      <c r="Y377" s="949"/>
      <c r="Z377" s="949"/>
      <c r="AA377" s="949"/>
      <c r="AB377" s="949"/>
      <c r="AC377" s="1054"/>
      <c r="AD377" s="1054"/>
      <c r="AE377" s="1054"/>
      <c r="AF377" s="1054"/>
      <c r="AG377" s="1054"/>
      <c r="AH377" s="1054"/>
      <c r="AI377" s="1054"/>
      <c r="AJ377" s="1054"/>
      <c r="AK377" s="1054"/>
      <c r="AL377" s="1054"/>
      <c r="AM377" s="1054"/>
      <c r="AN377" s="1054"/>
      <c r="AO377" s="1054"/>
      <c r="AP377" s="1054"/>
      <c r="AQ377" s="1054">
        <f>IFERROR(AQ288/(AQ221+AQ238*AQ$380),"NA")</f>
        <v>4.822420951772596</v>
      </c>
      <c r="AR377" s="1054">
        <f>IFERROR(AR288/(AR221+AR238*AR$380),"NA")</f>
        <v>4.4646012988395611</v>
      </c>
      <c r="AS377" s="1054">
        <f t="shared" ref="AS377:BD377" si="722">IFERROR(AS288/(AS221+AS238*AS$380),"NA")</f>
        <v>4.2774943889002248</v>
      </c>
      <c r="AT377" s="1054">
        <f t="shared" si="722"/>
        <v>4.7868783513826099</v>
      </c>
      <c r="AU377" s="1054">
        <f t="shared" si="722"/>
        <v>3.9712918660287082</v>
      </c>
      <c r="AV377" s="1054">
        <f t="shared" si="722"/>
        <v>0.55519371139809093</v>
      </c>
      <c r="AW377" s="1054">
        <f t="shared" si="722"/>
        <v>3.1903906600808267</v>
      </c>
      <c r="AX377" s="1054">
        <f t="shared" si="722"/>
        <v>3.2544144981412644</v>
      </c>
      <c r="AY377" s="1054">
        <f t="shared" si="722"/>
        <v>2.0290528762347475</v>
      </c>
      <c r="AZ377" s="1054">
        <f t="shared" si="722"/>
        <v>3.0183356840620594</v>
      </c>
      <c r="BA377" s="1054">
        <f t="shared" si="722"/>
        <v>4.0183028286189684</v>
      </c>
      <c r="BB377" s="1054">
        <f t="shared" si="722"/>
        <v>4.889903846153846</v>
      </c>
      <c r="BC377" s="1054">
        <f t="shared" si="722"/>
        <v>4.3090347857058058</v>
      </c>
      <c r="BD377" s="1054">
        <f t="shared" si="722"/>
        <v>4.452305526223161</v>
      </c>
      <c r="BE377" s="1848">
        <f t="shared" si="673"/>
        <v>3.827464788732394</v>
      </c>
      <c r="BF377" s="1848">
        <f t="shared" si="673"/>
        <v>4.9376039933444265</v>
      </c>
      <c r="BG377" s="1848">
        <f t="shared" ref="BG377:BH377" si="723">IFERROR(BG288/(BG221+BG238*BG$380),"NA")</f>
        <v>4.6414219474497687</v>
      </c>
      <c r="BH377" s="1848">
        <f t="shared" si="723"/>
        <v>4.6551480959097331</v>
      </c>
      <c r="BI377" s="1848">
        <f t="shared" ref="BI377:BJ377" si="724">IFERROR(BI288/(BI221+BI238*BI$380),"NA")</f>
        <v>4.6378702397743305</v>
      </c>
      <c r="BJ377" s="1848">
        <f t="shared" si="724"/>
        <v>5.01386929948284</v>
      </c>
      <c r="BK377" s="2000">
        <f t="shared" si="675"/>
        <v>4.5282368327190587</v>
      </c>
      <c r="BL377" s="2000">
        <f t="shared" ref="BL377" si="725">IFERROR(BL288/(BL221+BL238*BL$380),"NA")</f>
        <v>4.6366153105440544</v>
      </c>
    </row>
    <row r="378" spans="1:64" s="9" customFormat="1" ht="11.25">
      <c r="A378" s="342" t="s">
        <v>331</v>
      </c>
      <c r="B378" s="949"/>
      <c r="C378" s="949"/>
      <c r="D378" s="949"/>
      <c r="E378" s="949"/>
      <c r="F378" s="949"/>
      <c r="G378" s="949"/>
      <c r="H378" s="949"/>
      <c r="I378" s="949"/>
      <c r="J378" s="949"/>
      <c r="K378" s="949"/>
      <c r="L378" s="949"/>
      <c r="M378" s="949"/>
      <c r="N378" s="949"/>
      <c r="O378" s="949"/>
      <c r="P378" s="949"/>
      <c r="Q378" s="949"/>
      <c r="R378" s="949"/>
      <c r="S378" s="949"/>
      <c r="T378" s="949"/>
      <c r="U378" s="949"/>
      <c r="V378" s="949"/>
      <c r="W378" s="949"/>
      <c r="X378" s="949"/>
      <c r="Y378" s="949"/>
      <c r="Z378" s="949"/>
      <c r="AA378" s="949"/>
      <c r="AB378" s="949"/>
      <c r="AC378" s="1054">
        <f t="shared" ref="AC378:AP378" si="726">IFERROR(AC289/(AC222+AC239*AC$380),"NA")</f>
        <v>5.0588215083319028</v>
      </c>
      <c r="AD378" s="1054">
        <f t="shared" si="726"/>
        <v>0</v>
      </c>
      <c r="AE378" s="1054">
        <f t="shared" si="726"/>
        <v>7.4346302138100251</v>
      </c>
      <c r="AF378" s="1054">
        <f t="shared" si="726"/>
        <v>6.570613875771885</v>
      </c>
      <c r="AG378" s="1054">
        <f t="shared" si="726"/>
        <v>5.8573806881243069</v>
      </c>
      <c r="AH378" s="1054">
        <f t="shared" si="726"/>
        <v>7.1947912950410267</v>
      </c>
      <c r="AI378" s="1054">
        <f t="shared" si="726"/>
        <v>6.1044101017715784</v>
      </c>
      <c r="AJ378" s="1054">
        <f t="shared" si="726"/>
        <v>6.2954125046244922</v>
      </c>
      <c r="AK378" s="1054">
        <f t="shared" si="726"/>
        <v>5.2660733745005448</v>
      </c>
      <c r="AL378" s="1054">
        <f t="shared" si="726"/>
        <v>6.0139464756879004</v>
      </c>
      <c r="AM378" s="1054">
        <f t="shared" si="726"/>
        <v>5.9898122253296044</v>
      </c>
      <c r="AN378" s="1054">
        <f t="shared" si="726"/>
        <v>6.9471763349980789</v>
      </c>
      <c r="AO378" s="1054">
        <f t="shared" si="726"/>
        <v>6.4105177333876879</v>
      </c>
      <c r="AP378" s="1054">
        <f t="shared" si="726"/>
        <v>8.9596484218937285</v>
      </c>
      <c r="AQ378" s="1054">
        <f>IFERROR(AQ289/(AQ222+AQ239*AQ$380),"NA")</f>
        <v>9.1130939103279047</v>
      </c>
      <c r="AR378" s="1054">
        <f>IFERROR(AR289/(AR222+AR239*AR$380),"NA")</f>
        <v>5.9661082474226816</v>
      </c>
      <c r="AS378" s="1054">
        <f t="shared" ref="AS378:BD378" si="727">IFERROR(AS289/(AS222+AS239*AS$380),"NA")</f>
        <v>8.7271540469973896</v>
      </c>
      <c r="AT378" s="1054">
        <f t="shared" si="727"/>
        <v>9.9141791044776131</v>
      </c>
      <c r="AU378" s="1054">
        <f t="shared" si="727"/>
        <v>7.1234841569956968</v>
      </c>
      <c r="AV378" s="1054">
        <f t="shared" si="727"/>
        <v>1.9006161264398609</v>
      </c>
      <c r="AW378" s="1054">
        <f t="shared" si="727"/>
        <v>4.1161038236114988</v>
      </c>
      <c r="AX378" s="1054">
        <f t="shared" si="727"/>
        <v>8.3253012048192776</v>
      </c>
      <c r="AY378" s="1054">
        <f t="shared" si="727"/>
        <v>4.3925448028673832</v>
      </c>
      <c r="AZ378" s="1054">
        <f t="shared" si="727"/>
        <v>6.1300645515725867</v>
      </c>
      <c r="BA378" s="1054">
        <f t="shared" si="727"/>
        <v>7.8878363536518386</v>
      </c>
      <c r="BB378" s="1054">
        <f t="shared" si="727"/>
        <v>9.217273588736969</v>
      </c>
      <c r="BC378" s="1054">
        <f t="shared" si="727"/>
        <v>9.3473908981716249</v>
      </c>
      <c r="BD378" s="1054">
        <f t="shared" si="727"/>
        <v>8.996617050067659</v>
      </c>
      <c r="BE378" s="1848">
        <f t="shared" si="673"/>
        <v>8.5649088632252663</v>
      </c>
      <c r="BF378" s="1848">
        <f t="shared" si="673"/>
        <v>11.566408337787278</v>
      </c>
      <c r="BG378" s="1848">
        <f t="shared" ref="BG378:BH378" si="728">IFERROR(BG289/(BG222+BG239*BG$380),"NA")</f>
        <v>11.133298665279945</v>
      </c>
      <c r="BH378" s="1848">
        <f t="shared" si="728"/>
        <v>11.451794510907812</v>
      </c>
      <c r="BI378" s="1848">
        <f t="shared" ref="BI378:BJ378" si="729">IFERROR(BI289/(BI222+BI239*BI$380),"NA")</f>
        <v>11.650595681310499</v>
      </c>
      <c r="BJ378" s="1848">
        <f t="shared" si="729"/>
        <v>12.68</v>
      </c>
      <c r="BK378" s="2000">
        <f t="shared" si="675"/>
        <v>11.443888888888889</v>
      </c>
      <c r="BL378" s="2000">
        <f t="shared" ref="BL378" si="730">IFERROR(BL289/(BL222+BL239*BL$380),"NA")</f>
        <v>24.997307692307693</v>
      </c>
    </row>
    <row r="379" spans="1:64" s="9" customFormat="1" ht="11.25">
      <c r="A379" s="1046" t="s">
        <v>325</v>
      </c>
      <c r="B379" s="949"/>
      <c r="C379" s="949"/>
      <c r="D379" s="949"/>
      <c r="E379" s="949"/>
      <c r="F379" s="949"/>
      <c r="G379" s="949"/>
      <c r="H379" s="949"/>
      <c r="I379" s="949"/>
      <c r="J379" s="949"/>
      <c r="K379" s="949"/>
      <c r="L379" s="949"/>
      <c r="M379" s="949"/>
      <c r="N379" s="949"/>
      <c r="O379" s="949"/>
      <c r="P379" s="949"/>
      <c r="Q379" s="949"/>
      <c r="R379" s="949"/>
      <c r="S379" s="949"/>
      <c r="T379" s="949"/>
      <c r="U379" s="949"/>
      <c r="V379" s="949"/>
      <c r="W379" s="949"/>
      <c r="X379" s="949"/>
      <c r="Y379" s="949"/>
      <c r="Z379" s="949"/>
      <c r="AA379" s="949"/>
      <c r="AB379" s="949"/>
      <c r="AC379" s="1053">
        <f t="shared" ref="AC379:AS379" si="731">IFERROR((AC291-AC290)/(AC223+AC240*AC$380),"NA")</f>
        <v>3.4940477815098672</v>
      </c>
      <c r="AD379" s="1053" t="str">
        <f t="shared" si="731"/>
        <v>NA</v>
      </c>
      <c r="AE379" s="1053">
        <f t="shared" si="731"/>
        <v>3.5014767941455207</v>
      </c>
      <c r="AF379" s="1053">
        <f t="shared" si="731"/>
        <v>3.6710156846619291</v>
      </c>
      <c r="AG379" s="1053">
        <f t="shared" si="731"/>
        <v>3.8080726695677787</v>
      </c>
      <c r="AH379" s="1053">
        <f t="shared" si="731"/>
        <v>3.9960955925780581</v>
      </c>
      <c r="AI379" s="1053">
        <f t="shared" si="731"/>
        <v>3.7707289019452404</v>
      </c>
      <c r="AJ379" s="1053">
        <f t="shared" si="731"/>
        <v>3.8160301319418433</v>
      </c>
      <c r="AK379" s="1053">
        <f t="shared" si="731"/>
        <v>3.8120588609537225</v>
      </c>
      <c r="AL379" s="1053">
        <f t="shared" si="731"/>
        <v>4.1261150033240064</v>
      </c>
      <c r="AM379" s="1053">
        <f t="shared" si="731"/>
        <v>3.8823565657700629</v>
      </c>
      <c r="AN379" s="1053">
        <f t="shared" si="731"/>
        <v>3.8662410652115224</v>
      </c>
      <c r="AO379" s="1053">
        <f t="shared" si="731"/>
        <v>3.7514419936343804</v>
      </c>
      <c r="AP379" s="1053">
        <f t="shared" si="731"/>
        <v>3.9341512782775339</v>
      </c>
      <c r="AQ379" s="1053">
        <f t="shared" si="731"/>
        <v>3.8954472527728039</v>
      </c>
      <c r="AR379" s="1053">
        <f t="shared" si="731"/>
        <v>4.094282473156027</v>
      </c>
      <c r="AS379" s="1053">
        <f t="shared" si="731"/>
        <v>4.0536276232633401</v>
      </c>
      <c r="AT379" s="1055">
        <f t="shared" ref="AT379:BD379" si="732">IFERROR((AT291-AT290)/(AT223+AT240*AT$380),"NA")</f>
        <v>4.2255022883394817</v>
      </c>
      <c r="AU379" s="1055">
        <f t="shared" si="732"/>
        <v>3.4296606251290354</v>
      </c>
      <c r="AV379" s="1055">
        <f t="shared" si="732"/>
        <v>1.4236116445195484</v>
      </c>
      <c r="AW379" s="1055">
        <f t="shared" si="732"/>
        <v>2.8428836149588195</v>
      </c>
      <c r="AX379" s="1055">
        <f t="shared" si="732"/>
        <v>3.2869563641744719</v>
      </c>
      <c r="AY379" s="1055">
        <f t="shared" si="732"/>
        <v>3.0028806571896776</v>
      </c>
      <c r="AZ379" s="1055">
        <f t="shared" si="732"/>
        <v>3.6743304760521083</v>
      </c>
      <c r="BA379" s="1055">
        <f t="shared" si="732"/>
        <v>4.1218471443973703</v>
      </c>
      <c r="BB379" s="1055">
        <f t="shared" si="732"/>
        <v>4.8557195338422448</v>
      </c>
      <c r="BC379" s="1055">
        <f t="shared" si="732"/>
        <v>4.4323389343157515</v>
      </c>
      <c r="BD379" s="1055">
        <f t="shared" si="732"/>
        <v>4.8623639375998371</v>
      </c>
      <c r="BE379" s="1849">
        <f t="shared" ref="BE379:BK379" si="733">IFERROR((BE291-BE290)/(BE223+BE240*BE$380),"NA")</f>
        <v>4.9097869379740988</v>
      </c>
      <c r="BF379" s="1849">
        <f t="shared" si="733"/>
        <v>5.1839697893737764</v>
      </c>
      <c r="BG379" s="1849">
        <f t="shared" si="733"/>
        <v>4.9366652838755041</v>
      </c>
      <c r="BH379" s="1849">
        <f t="shared" si="733"/>
        <v>5.1965605486157092</v>
      </c>
      <c r="BI379" s="1849">
        <f t="shared" si="733"/>
        <v>5.1494127163152079</v>
      </c>
      <c r="BJ379" s="1849">
        <f t="shared" si="733"/>
        <v>5.3980915711057191</v>
      </c>
      <c r="BK379" s="1849">
        <f t="shared" si="733"/>
        <v>4.8707779412172858</v>
      </c>
      <c r="BL379" s="1849">
        <f t="shared" ref="BL379" si="734">IFERROR((BL291-BL290)/(BL223+BL240*BL$380),"NA")</f>
        <v>5.0850655395997597</v>
      </c>
    </row>
    <row r="380" spans="1:64" s="9" customFormat="1" ht="11.25">
      <c r="A380" s="1083" t="s">
        <v>1067</v>
      </c>
      <c r="B380" s="949"/>
      <c r="C380" s="949"/>
      <c r="D380" s="949"/>
      <c r="E380" s="949"/>
      <c r="F380" s="949"/>
      <c r="G380" s="949"/>
      <c r="H380" s="949"/>
      <c r="I380" s="949"/>
      <c r="J380" s="949"/>
      <c r="K380" s="949"/>
      <c r="L380" s="949"/>
      <c r="M380" s="949"/>
      <c r="N380" s="949"/>
      <c r="O380" s="949"/>
      <c r="P380" s="949"/>
      <c r="Q380" s="949"/>
      <c r="R380" s="949"/>
      <c r="S380" s="949"/>
      <c r="T380" s="949"/>
      <c r="U380" s="949"/>
      <c r="V380" s="949"/>
      <c r="W380" s="949"/>
      <c r="X380" s="949"/>
      <c r="Y380" s="949"/>
      <c r="Z380" s="949"/>
      <c r="AA380" s="949"/>
      <c r="AB380" s="949"/>
      <c r="AC380" s="1084">
        <v>0.03</v>
      </c>
      <c r="AD380" s="1084">
        <v>0.03</v>
      </c>
      <c r="AE380" s="1084">
        <v>0.03</v>
      </c>
      <c r="AF380" s="1084">
        <v>0.03</v>
      </c>
      <c r="AG380" s="1084">
        <v>0.03</v>
      </c>
      <c r="AH380" s="1084">
        <v>0.03</v>
      </c>
      <c r="AI380" s="1084">
        <v>0.03</v>
      </c>
      <c r="AJ380" s="1084">
        <v>0.03</v>
      </c>
      <c r="AK380" s="1084">
        <v>0.03</v>
      </c>
      <c r="AL380" s="1084">
        <v>0.03</v>
      </c>
      <c r="AM380" s="1084">
        <v>0.03</v>
      </c>
      <c r="AN380" s="1084">
        <v>0.03</v>
      </c>
      <c r="AO380" s="1084">
        <v>0.03</v>
      </c>
      <c r="AP380" s="1084">
        <v>0.03</v>
      </c>
      <c r="AQ380" s="1084">
        <v>0.03</v>
      </c>
      <c r="AR380" s="1084">
        <v>0.03</v>
      </c>
      <c r="AS380" s="1084">
        <v>0.03</v>
      </c>
      <c r="AT380" s="1084">
        <v>0.03</v>
      </c>
      <c r="AU380" s="1084">
        <v>0.03</v>
      </c>
      <c r="AV380" s="1084">
        <v>0.03</v>
      </c>
      <c r="AW380" s="1084">
        <v>0.03</v>
      </c>
      <c r="AX380" s="1084">
        <v>0.03</v>
      </c>
      <c r="AY380" s="1084">
        <v>0.03</v>
      </c>
      <c r="AZ380" s="1084">
        <v>0.03</v>
      </c>
      <c r="BA380" s="1084">
        <v>0.03</v>
      </c>
      <c r="BB380" s="1084">
        <v>0.03</v>
      </c>
      <c r="BC380" s="1084">
        <v>0.03</v>
      </c>
      <c r="BD380" s="1084">
        <v>0.03</v>
      </c>
      <c r="BE380" s="1084">
        <v>0.03</v>
      </c>
      <c r="BF380" s="1084">
        <v>0.03</v>
      </c>
      <c r="BG380" s="1084">
        <v>0.03</v>
      </c>
      <c r="BH380" s="1084">
        <f>BG380</f>
        <v>0.03</v>
      </c>
      <c r="BI380" s="1084">
        <f t="shared" ref="BI380:BK380" si="735">BH380</f>
        <v>0.03</v>
      </c>
      <c r="BJ380" s="1084">
        <f t="shared" si="735"/>
        <v>0.03</v>
      </c>
      <c r="BK380" s="1084">
        <f t="shared" si="735"/>
        <v>0.03</v>
      </c>
      <c r="BL380" s="1084">
        <f t="shared" ref="BL380" si="736">BK380</f>
        <v>0.03</v>
      </c>
    </row>
    <row r="381" spans="1:64" s="9" customFormat="1" ht="11.25">
      <c r="A381" s="950"/>
      <c r="B381" s="949"/>
      <c r="C381" s="949"/>
      <c r="D381" s="949"/>
      <c r="E381" s="949"/>
      <c r="F381" s="949"/>
      <c r="G381" s="949"/>
      <c r="H381" s="949"/>
      <c r="I381" s="949"/>
      <c r="J381" s="949"/>
      <c r="K381" s="949"/>
      <c r="L381" s="949"/>
      <c r="M381" s="949"/>
      <c r="N381" s="949"/>
      <c r="O381" s="949"/>
      <c r="P381" s="949"/>
      <c r="Q381" s="949"/>
      <c r="R381" s="949"/>
      <c r="S381" s="949"/>
      <c r="T381" s="949"/>
      <c r="U381" s="949"/>
      <c r="V381" s="949"/>
      <c r="W381" s="949"/>
      <c r="X381" s="949"/>
      <c r="Y381" s="949"/>
      <c r="Z381" s="949"/>
      <c r="AA381" s="949"/>
      <c r="AB381" s="949"/>
      <c r="AC381" s="1052"/>
      <c r="AD381" s="1052"/>
      <c r="AE381" s="1052"/>
      <c r="AF381" s="1052"/>
      <c r="AG381" s="1052"/>
      <c r="AH381" s="1052"/>
      <c r="AI381" s="1052"/>
      <c r="AJ381" s="1052"/>
      <c r="AK381" s="1052"/>
      <c r="AL381" s="1052"/>
      <c r="AM381" s="1052"/>
      <c r="AN381" s="1052"/>
      <c r="AO381" s="1052"/>
      <c r="AP381" s="1052"/>
      <c r="BG381" s="150"/>
    </row>
    <row r="382" spans="1:64" s="9" customFormat="1" ht="11.25">
      <c r="A382" s="513" t="s">
        <v>1063</v>
      </c>
      <c r="B382" s="949"/>
      <c r="C382" s="949"/>
      <c r="D382" s="949"/>
      <c r="E382" s="949"/>
      <c r="F382" s="949"/>
      <c r="G382" s="949"/>
      <c r="H382" s="949"/>
      <c r="I382" s="949"/>
      <c r="J382" s="949"/>
      <c r="K382" s="949"/>
      <c r="L382" s="949"/>
      <c r="M382" s="949"/>
      <c r="N382" s="949"/>
      <c r="O382" s="949"/>
      <c r="P382" s="949"/>
      <c r="Q382" s="949"/>
      <c r="R382" s="949"/>
      <c r="S382" s="949"/>
      <c r="T382" s="949"/>
      <c r="U382" s="949"/>
      <c r="V382" s="949"/>
      <c r="W382" s="949"/>
      <c r="X382" s="949"/>
      <c r="Y382" s="949"/>
      <c r="Z382" s="949"/>
      <c r="AA382" s="949"/>
      <c r="AB382" s="949"/>
      <c r="AC382" s="1045"/>
      <c r="AD382" s="1045"/>
      <c r="AE382" s="1045"/>
      <c r="AF382" s="1045"/>
      <c r="AG382" s="1045"/>
      <c r="AH382" s="1045"/>
      <c r="AI382" s="1045"/>
      <c r="AJ382" s="1045"/>
      <c r="AK382" s="1045"/>
      <c r="AL382" s="1045"/>
      <c r="AM382" s="1045"/>
      <c r="AN382" s="1045"/>
      <c r="AO382" s="1045"/>
      <c r="AP382" s="1045"/>
      <c r="BG382" s="150"/>
    </row>
    <row r="383" spans="1:64" s="9" customFormat="1" ht="11.25">
      <c r="A383" s="342" t="s">
        <v>1007</v>
      </c>
      <c r="B383" s="949"/>
      <c r="C383" s="949"/>
      <c r="D383" s="949"/>
      <c r="E383" s="949"/>
      <c r="F383" s="949"/>
      <c r="G383" s="949"/>
      <c r="H383" s="949"/>
      <c r="I383" s="949"/>
      <c r="J383" s="949"/>
      <c r="K383" s="949"/>
      <c r="L383" s="949"/>
      <c r="M383" s="949"/>
      <c r="N383" s="949"/>
      <c r="O383" s="949"/>
      <c r="P383" s="949"/>
      <c r="Q383" s="949"/>
      <c r="R383" s="949"/>
      <c r="S383" s="949"/>
      <c r="T383" s="949"/>
      <c r="U383" s="949"/>
      <c r="V383" s="949"/>
      <c r="W383" s="949"/>
      <c r="X383" s="949"/>
      <c r="Y383" s="949"/>
      <c r="Z383" s="949"/>
      <c r="AA383" s="949"/>
      <c r="AB383" s="949"/>
      <c r="AC383" s="1054">
        <f t="shared" ref="AC383:AN383" si="737">IFERROR((AC312-(AC277*AC227*AC$380/(AC210+AC227*AC$380))*AC$397)/AC210,"NA")</f>
        <v>0.38207328481168096</v>
      </c>
      <c r="AD383" s="1054">
        <f t="shared" si="737"/>
        <v>0</v>
      </c>
      <c r="AE383" s="1054">
        <f t="shared" si="737"/>
        <v>0.45947816619224813</v>
      </c>
      <c r="AF383" s="1054">
        <f t="shared" si="737"/>
        <v>0.47616699642472832</v>
      </c>
      <c r="AG383" s="1054">
        <f t="shared" si="737"/>
        <v>0.45943066804366062</v>
      </c>
      <c r="AH383" s="1054">
        <f t="shared" si="737"/>
        <v>0.54001925241511617</v>
      </c>
      <c r="AI383" s="1054">
        <f t="shared" si="737"/>
        <v>0.51879852054951014</v>
      </c>
      <c r="AJ383" s="1054">
        <f t="shared" si="737"/>
        <v>0.53482380834411991</v>
      </c>
      <c r="AK383" s="1054">
        <f t="shared" si="737"/>
        <v>0.44392625370483135</v>
      </c>
      <c r="AL383" s="1054">
        <f t="shared" si="737"/>
        <v>0.64652356927329546</v>
      </c>
      <c r="AM383" s="1054">
        <f t="shared" si="737"/>
        <v>0.59226402293801206</v>
      </c>
      <c r="AN383" s="1054">
        <f t="shared" si="737"/>
        <v>0.58425945417958802</v>
      </c>
      <c r="AO383" s="1054">
        <f t="shared" ref="AO383:AP393" si="738">IFERROR(AO366*AO347,"NA")</f>
        <v>0.56676507024433964</v>
      </c>
      <c r="AP383" s="1054">
        <f t="shared" si="738"/>
        <v>0.63451557093425603</v>
      </c>
      <c r="AQ383" s="1054">
        <f t="shared" ref="AQ383:AS395" si="739">IFERROR(AQ366*AQ347,"NA")</f>
        <v>0.46003687948519068</v>
      </c>
      <c r="AR383" s="1054">
        <f t="shared" si="739"/>
        <v>0.50682157193271804</v>
      </c>
      <c r="AS383" s="1054">
        <f t="shared" si="739"/>
        <v>0.48758383717937831</v>
      </c>
      <c r="AT383" s="1054">
        <f t="shared" ref="AT383:BD383" si="740">IFERROR(AT366*AT347,"NA")</f>
        <v>0.52307320316750283</v>
      </c>
      <c r="AU383" s="1054">
        <f t="shared" si="740"/>
        <v>0.3802332226802369</v>
      </c>
      <c r="AV383" s="1054">
        <f t="shared" si="740"/>
        <v>0.61223792438554103</v>
      </c>
      <c r="AW383" s="1054">
        <f t="shared" si="740"/>
        <v>0.58366281056279579</v>
      </c>
      <c r="AX383" s="1054">
        <f t="shared" si="740"/>
        <v>0.69781106969855156</v>
      </c>
      <c r="AY383" s="1054">
        <f t="shared" si="740"/>
        <v>0.49520438732122146</v>
      </c>
      <c r="AZ383" s="1054">
        <f t="shared" si="740"/>
        <v>0.6714754966249955</v>
      </c>
      <c r="BA383" s="1054">
        <f t="shared" si="740"/>
        <v>0.54965028253332215</v>
      </c>
      <c r="BB383" s="1054">
        <f t="shared" si="740"/>
        <v>0.82070997581762262</v>
      </c>
      <c r="BC383" s="1054">
        <f t="shared" si="740"/>
        <v>0.62282726459088988</v>
      </c>
      <c r="BD383" s="1054">
        <f t="shared" si="740"/>
        <v>0.64770033744731037</v>
      </c>
      <c r="BE383" s="1848">
        <f t="shared" ref="BE383:BF395" si="741">IFERROR(BE366*BE347,"NA")</f>
        <v>0.49136229877098841</v>
      </c>
      <c r="BF383" s="1848">
        <f t="shared" si="741"/>
        <v>0.73102003581444053</v>
      </c>
      <c r="BG383" s="1848">
        <f>IFERROR(BG366*BG347,"NA")</f>
        <v>0.51524202660223073</v>
      </c>
      <c r="BH383" s="1848">
        <f t="shared" ref="BH383:BK395" si="742">IFERROR(BH366*BH347,"NA")</f>
        <v>0.63025705482575678</v>
      </c>
      <c r="BI383" s="1848">
        <f>IFERROR(BI366*BI347,"NA")</f>
        <v>0.5484674393119251</v>
      </c>
      <c r="BJ383" s="1848">
        <f t="shared" si="742"/>
        <v>0.68192742517809612</v>
      </c>
      <c r="BK383" s="2000">
        <f t="shared" si="742"/>
        <v>0.54868657482673067</v>
      </c>
      <c r="BL383" s="2000">
        <f t="shared" ref="BL383" si="743">IFERROR(BL366*BL347,"NA")</f>
        <v>0.59981338338051771</v>
      </c>
    </row>
    <row r="384" spans="1:64" s="9" customFormat="1" ht="11.25">
      <c r="A384" s="342" t="s">
        <v>1008</v>
      </c>
      <c r="B384" s="949"/>
      <c r="C384" s="949"/>
      <c r="D384" s="949"/>
      <c r="E384" s="949"/>
      <c r="F384" s="949"/>
      <c r="G384" s="949"/>
      <c r="H384" s="949"/>
      <c r="I384" s="949"/>
      <c r="J384" s="949"/>
      <c r="K384" s="949"/>
      <c r="L384" s="949"/>
      <c r="M384" s="949"/>
      <c r="N384" s="949"/>
      <c r="O384" s="949"/>
      <c r="P384" s="949"/>
      <c r="Q384" s="949"/>
      <c r="R384" s="949"/>
      <c r="S384" s="949"/>
      <c r="T384" s="949"/>
      <c r="U384" s="949"/>
      <c r="V384" s="949"/>
      <c r="W384" s="949"/>
      <c r="X384" s="949"/>
      <c r="Y384" s="949"/>
      <c r="Z384" s="949"/>
      <c r="AA384" s="949"/>
      <c r="AB384" s="949"/>
      <c r="AC384" s="1054">
        <f t="shared" ref="AC384:AN384" si="744">IFERROR((AC313-(AC278*AC228*AC$380/(AC211+AC228*AC$380))*AC$397)/AC211,"NA")</f>
        <v>0.44481065919527463</v>
      </c>
      <c r="AD384" s="1054">
        <f t="shared" si="744"/>
        <v>0</v>
      </c>
      <c r="AE384" s="1054">
        <f t="shared" si="744"/>
        <v>0.31536927699486655</v>
      </c>
      <c r="AF384" s="1054">
        <f t="shared" si="744"/>
        <v>0.42237437281057605</v>
      </c>
      <c r="AG384" s="1054">
        <f t="shared" si="744"/>
        <v>0.59572865183695756</v>
      </c>
      <c r="AH384" s="1054">
        <f t="shared" si="744"/>
        <v>0.61744000317863956</v>
      </c>
      <c r="AI384" s="1054">
        <f t="shared" si="744"/>
        <v>0.53281941130690591</v>
      </c>
      <c r="AJ384" s="1054">
        <f t="shared" si="744"/>
        <v>0.56196518742122314</v>
      </c>
      <c r="AK384" s="1054">
        <f t="shared" si="744"/>
        <v>0.65244306121597828</v>
      </c>
      <c r="AL384" s="1054">
        <f t="shared" si="744"/>
        <v>0.64778807589920151</v>
      </c>
      <c r="AM384" s="1054">
        <f t="shared" si="744"/>
        <v>0.52014261187820765</v>
      </c>
      <c r="AN384" s="1054">
        <f t="shared" si="744"/>
        <v>0.59318342791473655</v>
      </c>
      <c r="AO384" s="1054">
        <f t="shared" si="738"/>
        <v>0.58382810291207232</v>
      </c>
      <c r="AP384" s="1054">
        <f t="shared" si="738"/>
        <v>0.61714192753724229</v>
      </c>
      <c r="AQ384" s="1054">
        <f t="shared" si="739"/>
        <v>0.534929866371054</v>
      </c>
      <c r="AR384" s="1054">
        <f t="shared" si="739"/>
        <v>0.40999354957611506</v>
      </c>
      <c r="AS384" s="1054">
        <f t="shared" si="739"/>
        <v>0.59118293414457501</v>
      </c>
      <c r="AT384" s="1054">
        <f t="shared" ref="AT384:BD384" si="745">IFERROR(AT367*AT348,"NA")</f>
        <v>0.53484486873508352</v>
      </c>
      <c r="AU384" s="1054">
        <f t="shared" si="745"/>
        <v>0.1135</v>
      </c>
      <c r="AV384" s="1054">
        <f t="shared" si="745"/>
        <v>-0.28944038929440391</v>
      </c>
      <c r="AW384" s="1054">
        <f t="shared" si="745"/>
        <v>6.3039215686274519E-2</v>
      </c>
      <c r="AX384" s="1054">
        <f t="shared" si="745"/>
        <v>0.35059701492537315</v>
      </c>
      <c r="AY384" s="1054">
        <f t="shared" si="745"/>
        <v>0.18359801488833746</v>
      </c>
      <c r="AZ384" s="1054">
        <f t="shared" si="745"/>
        <v>0.33184079601990046</v>
      </c>
      <c r="BA384" s="1054">
        <f t="shared" si="745"/>
        <v>0.46468827930174561</v>
      </c>
      <c r="BB384" s="1054">
        <f t="shared" si="745"/>
        <v>0.6845</v>
      </c>
      <c r="BC384" s="1054">
        <f t="shared" si="745"/>
        <v>0.4231017369727047</v>
      </c>
      <c r="BD384" s="1054">
        <f t="shared" si="745"/>
        <v>0.52345679012345681</v>
      </c>
      <c r="BE384" s="1848">
        <f t="shared" si="741"/>
        <v>0.61977777777777776</v>
      </c>
      <c r="BF384" s="1848">
        <f t="shared" si="741"/>
        <v>0.63446341463414635</v>
      </c>
      <c r="BG384" s="1848">
        <f t="shared" ref="BG384:BJ384" si="746">IFERROR(BG367*BG348,"NA")</f>
        <v>0.53917274939172755</v>
      </c>
      <c r="BH384" s="1848">
        <f t="shared" si="746"/>
        <v>0.61939759036144593</v>
      </c>
      <c r="BI384" s="1848">
        <f t="shared" si="746"/>
        <v>0.74074698795180727</v>
      </c>
      <c r="BJ384" s="1848">
        <f t="shared" si="746"/>
        <v>0.63051764705882363</v>
      </c>
      <c r="BK384" s="2000">
        <f t="shared" si="742"/>
        <v>0.55694117647058816</v>
      </c>
      <c r="BL384" s="2000">
        <f t="shared" ref="BL384" si="747">IFERROR(BL367*BL348,"NA")</f>
        <v>0.58039906103286387</v>
      </c>
    </row>
    <row r="385" spans="1:70" s="9" customFormat="1" ht="11.25">
      <c r="A385" s="342" t="s">
        <v>1018</v>
      </c>
      <c r="B385" s="949"/>
      <c r="C385" s="949"/>
      <c r="D385" s="949"/>
      <c r="E385" s="949"/>
      <c r="F385" s="949"/>
      <c r="G385" s="949"/>
      <c r="H385" s="949"/>
      <c r="I385" s="949"/>
      <c r="J385" s="949"/>
      <c r="K385" s="949"/>
      <c r="L385" s="949"/>
      <c r="M385" s="949"/>
      <c r="N385" s="949"/>
      <c r="O385" s="949"/>
      <c r="P385" s="949"/>
      <c r="Q385" s="949"/>
      <c r="R385" s="949"/>
      <c r="S385" s="949"/>
      <c r="T385" s="949"/>
      <c r="U385" s="949"/>
      <c r="V385" s="949"/>
      <c r="W385" s="949"/>
      <c r="X385" s="949"/>
      <c r="Y385" s="949"/>
      <c r="Z385" s="949"/>
      <c r="AA385" s="949"/>
      <c r="AB385" s="949"/>
      <c r="AC385" s="1054">
        <f t="shared" ref="AC385:AN385" si="748">IFERROR((AC314-(AC279*AC229*AC$380/(AC212+AC229*AC$380))*AC$397)/AC212,"NA")</f>
        <v>0.61537900874635565</v>
      </c>
      <c r="AD385" s="1054">
        <f t="shared" si="748"/>
        <v>0</v>
      </c>
      <c r="AE385" s="1054">
        <f t="shared" si="748"/>
        <v>0.59955307262569835</v>
      </c>
      <c r="AF385" s="1054">
        <f t="shared" si="748"/>
        <v>0.67438858695652182</v>
      </c>
      <c r="AG385" s="1054">
        <f t="shared" si="748"/>
        <v>0.71595607235142111</v>
      </c>
      <c r="AH385" s="1054">
        <f t="shared" si="748"/>
        <v>0.66130759651307591</v>
      </c>
      <c r="AI385" s="1054">
        <f t="shared" si="748"/>
        <v>0.5882303030303031</v>
      </c>
      <c r="AJ385" s="1054">
        <f t="shared" si="748"/>
        <v>0.65648170011806373</v>
      </c>
      <c r="AK385" s="1054">
        <f t="shared" si="748"/>
        <v>0.60480681818181825</v>
      </c>
      <c r="AL385" s="1054">
        <f t="shared" si="748"/>
        <v>0.67364039955604893</v>
      </c>
      <c r="AM385" s="1054">
        <f t="shared" si="748"/>
        <v>0.57499999999999996</v>
      </c>
      <c r="AN385" s="1054">
        <f t="shared" si="748"/>
        <v>0.63591476091476096</v>
      </c>
      <c r="AO385" s="1054">
        <f t="shared" si="738"/>
        <v>0.5705383848454636</v>
      </c>
      <c r="AP385" s="1054">
        <f t="shared" si="738"/>
        <v>0.57585937500000006</v>
      </c>
      <c r="AQ385" s="1054">
        <f t="shared" si="739"/>
        <v>0.51342271148678154</v>
      </c>
      <c r="AR385" s="1054">
        <f t="shared" si="739"/>
        <v>0.65806466707220057</v>
      </c>
      <c r="AS385" s="1054">
        <f t="shared" si="739"/>
        <v>0.64689016354284579</v>
      </c>
      <c r="AT385" s="1054">
        <f t="shared" ref="AT385:BD385" si="749">IFERROR(AT368*AT349,"NA")</f>
        <v>0.69372477742521799</v>
      </c>
      <c r="AU385" s="1054">
        <f t="shared" si="749"/>
        <v>0.50852571533861024</v>
      </c>
      <c r="AV385" s="1054">
        <f t="shared" si="749"/>
        <v>-0.1955144322639043</v>
      </c>
      <c r="AW385" s="1054">
        <f t="shared" si="749"/>
        <v>0.40810164216198641</v>
      </c>
      <c r="AX385" s="1054">
        <f t="shared" si="749"/>
        <v>0.68164242889121973</v>
      </c>
      <c r="AY385" s="1054">
        <f t="shared" si="749"/>
        <v>0.53887097279188456</v>
      </c>
      <c r="AZ385" s="1054">
        <f t="shared" si="749"/>
        <v>0.78045700119278705</v>
      </c>
      <c r="BA385" s="1054">
        <f t="shared" si="749"/>
        <v>0.9049862919808086</v>
      </c>
      <c r="BB385" s="1054">
        <f t="shared" si="749"/>
        <v>1.2774154160033384</v>
      </c>
      <c r="BC385" s="1054">
        <f t="shared" si="749"/>
        <v>0.93896806645834918</v>
      </c>
      <c r="BD385" s="1054">
        <f t="shared" si="749"/>
        <v>1.1019795950589069</v>
      </c>
      <c r="BE385" s="1848">
        <f t="shared" si="741"/>
        <v>1.0905192207984595</v>
      </c>
      <c r="BF385" s="1848">
        <f t="shared" si="741"/>
        <v>1.0596608420177462</v>
      </c>
      <c r="BG385" s="1848">
        <f t="shared" ref="BG385:BJ385" si="750">IFERROR(BG368*BG349,"NA")</f>
        <v>1.1206172408137653</v>
      </c>
      <c r="BH385" s="1848">
        <f t="shared" si="750"/>
        <v>1.2552409723197977</v>
      </c>
      <c r="BI385" s="1848">
        <f t="shared" si="750"/>
        <v>1.3023633586097725</v>
      </c>
      <c r="BJ385" s="1848">
        <f t="shared" si="750"/>
        <v>1.2686881476791845</v>
      </c>
      <c r="BK385" s="2000">
        <f t="shared" si="742"/>
        <v>1.1673781795387814</v>
      </c>
      <c r="BL385" s="2000">
        <f t="shared" ref="BL385" si="751">IFERROR(BL368*BL349,"NA")</f>
        <v>1.1848489945912373</v>
      </c>
    </row>
    <row r="386" spans="1:70" s="9" customFormat="1" ht="11.25">
      <c r="A386" s="342" t="s">
        <v>1009</v>
      </c>
      <c r="B386" s="949"/>
      <c r="C386" s="949"/>
      <c r="D386" s="949"/>
      <c r="E386" s="949"/>
      <c r="F386" s="949"/>
      <c r="G386" s="949"/>
      <c r="H386" s="949"/>
      <c r="I386" s="949"/>
      <c r="J386" s="949"/>
      <c r="K386" s="949"/>
      <c r="L386" s="949"/>
      <c r="M386" s="949"/>
      <c r="N386" s="949"/>
      <c r="O386" s="949"/>
      <c r="P386" s="949"/>
      <c r="Q386" s="949"/>
      <c r="R386" s="949"/>
      <c r="S386" s="949"/>
      <c r="T386" s="949"/>
      <c r="U386" s="949"/>
      <c r="V386" s="949"/>
      <c r="W386" s="949"/>
      <c r="X386" s="949"/>
      <c r="Y386" s="949"/>
      <c r="Z386" s="949"/>
      <c r="AA386" s="949"/>
      <c r="AB386" s="949"/>
      <c r="AC386" s="1054">
        <f t="shared" ref="AC386:AN386" si="752">IFERROR((AC315-(AC280*AC230*AC$380/(AC213+AC230*AC$380))*AC$397)/AC213,"NA")</f>
        <v>1.8054901960784313</v>
      </c>
      <c r="AD386" s="1054" t="str">
        <f t="shared" si="752"/>
        <v>NA</v>
      </c>
      <c r="AE386" s="1054">
        <f t="shared" si="752"/>
        <v>1.5373584905660378</v>
      </c>
      <c r="AF386" s="1054">
        <f t="shared" si="752"/>
        <v>1.8603636363636364</v>
      </c>
      <c r="AG386" s="1054">
        <f t="shared" si="752"/>
        <v>1.7357407407407408</v>
      </c>
      <c r="AH386" s="1054">
        <f t="shared" si="752"/>
        <v>2.0112280701754388</v>
      </c>
      <c r="AI386" s="1054">
        <f t="shared" si="752"/>
        <v>1.5050000000000001</v>
      </c>
      <c r="AJ386" s="1054">
        <f t="shared" si="752"/>
        <v>1.9475862068965519</v>
      </c>
      <c r="AK386" s="1054">
        <f t="shared" si="752"/>
        <v>1.4609677419354841</v>
      </c>
      <c r="AL386" s="1054">
        <f t="shared" si="752"/>
        <v>2.0687500000000001</v>
      </c>
      <c r="AM386" s="1054">
        <f t="shared" si="752"/>
        <v>1.6298507462686567</v>
      </c>
      <c r="AN386" s="1054">
        <f t="shared" si="752"/>
        <v>1.9229577464788732</v>
      </c>
      <c r="AO386" s="1054">
        <f t="shared" si="738"/>
        <v>1.6056338028169015</v>
      </c>
      <c r="AP386" s="1054">
        <f t="shared" si="738"/>
        <v>1.5497222222222224</v>
      </c>
      <c r="AQ386" s="1054">
        <f t="shared" si="739"/>
        <v>1.4663013698630138</v>
      </c>
      <c r="AR386" s="1054">
        <f t="shared" si="739"/>
        <v>1.8334246575342465</v>
      </c>
      <c r="AS386" s="1054">
        <f t="shared" si="739"/>
        <v>1.5651282051282049</v>
      </c>
      <c r="AT386" s="1054">
        <f t="shared" ref="AT386:BD386" si="753">IFERROR(AT369*AT350,"NA")</f>
        <v>1.7738666666666667</v>
      </c>
      <c r="AU386" s="1054">
        <f t="shared" si="753"/>
        <v>1.5276000000000001</v>
      </c>
      <c r="AV386" s="1054">
        <f t="shared" si="753"/>
        <v>-1.0980821917808219</v>
      </c>
      <c r="AW386" s="1054">
        <f t="shared" si="753"/>
        <v>0.36478873239436621</v>
      </c>
      <c r="AX386" s="1054">
        <f t="shared" si="753"/>
        <v>1.1915492957746479</v>
      </c>
      <c r="AY386" s="1054">
        <f t="shared" si="753"/>
        <v>0.50760563380281698</v>
      </c>
      <c r="AZ386" s="1054">
        <f t="shared" si="753"/>
        <v>1.5370422535211268</v>
      </c>
      <c r="BA386" s="1054">
        <f t="shared" si="753"/>
        <v>1.3664788732394368</v>
      </c>
      <c r="BB386" s="1054">
        <f t="shared" si="753"/>
        <v>2.0753521126760566</v>
      </c>
      <c r="BC386" s="1054">
        <f t="shared" si="753"/>
        <v>1.854647887323944</v>
      </c>
      <c r="BD386" s="1054">
        <f t="shared" si="753"/>
        <v>2.1166666666666671</v>
      </c>
      <c r="BE386" s="1848">
        <f t="shared" si="741"/>
        <v>2.0766666666666667</v>
      </c>
      <c r="BF386" s="1848">
        <f t="shared" si="741"/>
        <v>2.6469863013698629</v>
      </c>
      <c r="BG386" s="1848">
        <f t="shared" ref="BG386:BJ386" si="754">IFERROR(BG369*BG350,"NA")</f>
        <v>1.9720000000000002</v>
      </c>
      <c r="BH386" s="1848">
        <f t="shared" si="754"/>
        <v>2.3570000000000002</v>
      </c>
      <c r="BI386" s="1848">
        <f t="shared" si="754"/>
        <v>2.2560000000000002</v>
      </c>
      <c r="BJ386" s="1848">
        <f t="shared" si="754"/>
        <v>2.3527777777777783</v>
      </c>
      <c r="BK386" s="2000">
        <f t="shared" si="742"/>
        <v>2.3625000000000003</v>
      </c>
      <c r="BL386" s="2000">
        <f t="shared" ref="BL386" si="755">IFERROR(BL369*BL350,"NA")</f>
        <v>2.5695833333333336</v>
      </c>
    </row>
    <row r="387" spans="1:70" s="9" customFormat="1" ht="11.25">
      <c r="A387" s="342" t="s">
        <v>1010</v>
      </c>
      <c r="B387" s="949"/>
      <c r="C387" s="949"/>
      <c r="D387" s="949"/>
      <c r="E387" s="949"/>
      <c r="F387" s="949"/>
      <c r="G387" s="949"/>
      <c r="H387" s="949"/>
      <c r="I387" s="949"/>
      <c r="J387" s="949"/>
      <c r="K387" s="949"/>
      <c r="L387" s="949"/>
      <c r="M387" s="949"/>
      <c r="N387" s="949"/>
      <c r="O387" s="949"/>
      <c r="P387" s="949"/>
      <c r="Q387" s="949"/>
      <c r="R387" s="949"/>
      <c r="S387" s="949"/>
      <c r="T387" s="949"/>
      <c r="U387" s="949"/>
      <c r="V387" s="949"/>
      <c r="W387" s="949"/>
      <c r="X387" s="949"/>
      <c r="Y387" s="949"/>
      <c r="Z387" s="949"/>
      <c r="AA387" s="949"/>
      <c r="AB387" s="949"/>
      <c r="AC387" s="1054">
        <f t="shared" ref="AC387:AN387" si="756">IFERROR((AC316-(AC281*AC231*AC$380/(AC214+AC231*AC$380))*AC$397)/AC214,"NA")</f>
        <v>1.3023625428680641</v>
      </c>
      <c r="AD387" s="1054">
        <f t="shared" si="756"/>
        <v>0</v>
      </c>
      <c r="AE387" s="1054">
        <f t="shared" si="756"/>
        <v>1.1079630530526905</v>
      </c>
      <c r="AF387" s="1054">
        <f t="shared" si="756"/>
        <v>1.4231178588425171</v>
      </c>
      <c r="AG387" s="1054">
        <f t="shared" si="756"/>
        <v>1.4668838383838385</v>
      </c>
      <c r="AH387" s="1054">
        <f t="shared" si="756"/>
        <v>1.664865464507195</v>
      </c>
      <c r="AI387" s="1054">
        <f t="shared" si="756"/>
        <v>1.1630088648939301</v>
      </c>
      <c r="AJ387" s="1054">
        <f t="shared" si="756"/>
        <v>1.2673581505714857</v>
      </c>
      <c r="AK387" s="1054">
        <f t="shared" si="756"/>
        <v>0.97984959816303097</v>
      </c>
      <c r="AL387" s="1054">
        <f t="shared" si="756"/>
        <v>1.4117473527096331</v>
      </c>
      <c r="AM387" s="1054">
        <f t="shared" si="756"/>
        <v>0.82769240010375289</v>
      </c>
      <c r="AN387" s="1054">
        <f t="shared" si="756"/>
        <v>1.0948637296143564</v>
      </c>
      <c r="AO387" s="1054">
        <f t="shared" si="738"/>
        <v>1.0501105379513631</v>
      </c>
      <c r="AP387" s="1054">
        <f t="shared" si="738"/>
        <v>0.97887496929501361</v>
      </c>
      <c r="AQ387" s="1054">
        <f t="shared" si="739"/>
        <v>0.82166543846720708</v>
      </c>
      <c r="AR387" s="1054">
        <f t="shared" si="739"/>
        <v>1.0273888479489071</v>
      </c>
      <c r="AS387" s="1054">
        <f t="shared" si="739"/>
        <v>0.76857214807353313</v>
      </c>
      <c r="AT387" s="1054">
        <f t="shared" ref="AT387:BD387" si="757">IFERROR(AT370*AT351,"NA")</f>
        <v>0.84792861695347344</v>
      </c>
      <c r="AU387" s="1054">
        <f t="shared" si="757"/>
        <v>0.34197447951645404</v>
      </c>
      <c r="AV387" s="1054">
        <f t="shared" si="757"/>
        <v>-0.88817354793561931</v>
      </c>
      <c r="AW387" s="1054">
        <f t="shared" si="757"/>
        <v>8.0372381691233508E-2</v>
      </c>
      <c r="AX387" s="1054">
        <f t="shared" si="757"/>
        <v>1.1278195488721805</v>
      </c>
      <c r="AY387" s="1054">
        <f t="shared" si="757"/>
        <v>0.14890100809783507</v>
      </c>
      <c r="AZ387" s="1054">
        <f t="shared" si="757"/>
        <v>1.2882168236655098</v>
      </c>
      <c r="BA387" s="1054">
        <f t="shared" si="757"/>
        <v>0.91666666666666663</v>
      </c>
      <c r="BB387" s="1054">
        <f t="shared" si="757"/>
        <v>1.3921957671957674</v>
      </c>
      <c r="BC387" s="1054">
        <f t="shared" si="757"/>
        <v>1.125854993160055</v>
      </c>
      <c r="BD387" s="1054">
        <f t="shared" si="757"/>
        <v>1.3030095759233926</v>
      </c>
      <c r="BE387" s="1848">
        <f t="shared" si="741"/>
        <v>1.2783857729138171</v>
      </c>
      <c r="BF387" s="1848">
        <f t="shared" si="741"/>
        <v>2.5699384404924768</v>
      </c>
      <c r="BG387" s="1848">
        <f t="shared" ref="BG387:BJ387" si="758">IFERROR(BG370*BG351,"NA")</f>
        <v>1.0116279069767442</v>
      </c>
      <c r="BH387" s="1848">
        <f t="shared" si="758"/>
        <v>1.1888029589778075</v>
      </c>
      <c r="BI387" s="1848">
        <f t="shared" si="758"/>
        <v>1.1378614660390047</v>
      </c>
      <c r="BJ387" s="1848">
        <f t="shared" si="758"/>
        <v>1.2003968253968251</v>
      </c>
      <c r="BK387" s="2000">
        <f t="shared" si="742"/>
        <v>1.2053571428571428</v>
      </c>
      <c r="BL387" s="2000">
        <f t="shared" ref="BL387" si="759">IFERROR(BL370*BL351,"NA")</f>
        <v>1.3103619236489836</v>
      </c>
    </row>
    <row r="388" spans="1:70" s="9" customFormat="1" ht="11.25">
      <c r="A388" s="342" t="s">
        <v>1011</v>
      </c>
      <c r="B388" s="949"/>
      <c r="C388" s="949"/>
      <c r="D388" s="949"/>
      <c r="E388" s="949"/>
      <c r="F388" s="949"/>
      <c r="G388" s="949"/>
      <c r="H388" s="949"/>
      <c r="I388" s="949"/>
      <c r="J388" s="949"/>
      <c r="K388" s="949"/>
      <c r="L388" s="949"/>
      <c r="M388" s="949"/>
      <c r="N388" s="949"/>
      <c r="O388" s="949"/>
      <c r="P388" s="949"/>
      <c r="Q388" s="949"/>
      <c r="R388" s="949"/>
      <c r="S388" s="949"/>
      <c r="T388" s="949"/>
      <c r="U388" s="949"/>
      <c r="V388" s="949"/>
      <c r="W388" s="949"/>
      <c r="X388" s="949"/>
      <c r="Y388" s="949"/>
      <c r="Z388" s="949"/>
      <c r="AA388" s="949"/>
      <c r="AB388" s="949"/>
      <c r="AC388" s="1054">
        <f t="shared" ref="AC388:AN388" si="760">IFERROR((AC317-(AC282*AC232*AC$380/(AC215+AC232*AC$380))*AC$397)/AC215,"NA")</f>
        <v>0.96483246212272622</v>
      </c>
      <c r="AD388" s="1054">
        <f t="shared" si="760"/>
        <v>0</v>
      </c>
      <c r="AE388" s="1054">
        <f t="shared" si="760"/>
        <v>1.0431517355055422</v>
      </c>
      <c r="AF388" s="1054">
        <f t="shared" si="760"/>
        <v>0.9858053487116224</v>
      </c>
      <c r="AG388" s="1054">
        <f t="shared" si="760"/>
        <v>1.2396499272032395</v>
      </c>
      <c r="AH388" s="1054">
        <f t="shared" si="760"/>
        <v>1.5092651827542456</v>
      </c>
      <c r="AI388" s="1054">
        <f t="shared" si="760"/>
        <v>1.114043902368903</v>
      </c>
      <c r="AJ388" s="1054">
        <f t="shared" si="760"/>
        <v>1.0925196996518161</v>
      </c>
      <c r="AK388" s="1054">
        <f t="shared" si="760"/>
        <v>1.0846145292960587</v>
      </c>
      <c r="AL388" s="1054">
        <f t="shared" si="760"/>
        <v>1.4690899541407036</v>
      </c>
      <c r="AM388" s="1054">
        <f t="shared" si="760"/>
        <v>1.1185947147536603</v>
      </c>
      <c r="AN388" s="1054">
        <f t="shared" si="760"/>
        <v>1.1736616876458272</v>
      </c>
      <c r="AO388" s="1054">
        <f t="shared" si="738"/>
        <v>0.94249494763916963</v>
      </c>
      <c r="AP388" s="1054">
        <f t="shared" si="738"/>
        <v>1.3040014227280812</v>
      </c>
      <c r="AQ388" s="1054">
        <f t="shared" si="739"/>
        <v>1.0687217989250188</v>
      </c>
      <c r="AR388" s="1054">
        <f t="shared" si="739"/>
        <v>1.3592840082655719</v>
      </c>
      <c r="AS388" s="1054">
        <f t="shared" si="739"/>
        <v>1.0462725485238127</v>
      </c>
      <c r="AT388" s="1054">
        <f t="shared" ref="AT388:BD388" si="761">IFERROR(AT371*AT352,"NA")</f>
        <v>1.7121713574624695</v>
      </c>
      <c r="AU388" s="1054">
        <f t="shared" si="761"/>
        <v>0.91825430803810337</v>
      </c>
      <c r="AV388" s="1054">
        <f t="shared" si="761"/>
        <v>-1.9748281215347085</v>
      </c>
      <c r="AW388" s="1054">
        <f t="shared" si="761"/>
        <v>-0.25425392670157065</v>
      </c>
      <c r="AX388" s="1054">
        <f t="shared" si="761"/>
        <v>0.62336585500677144</v>
      </c>
      <c r="AY388" s="1054">
        <f t="shared" si="761"/>
        <v>8.4832245374989304E-2</v>
      </c>
      <c r="AZ388" s="1054">
        <f t="shared" si="761"/>
        <v>0.50363968562396688</v>
      </c>
      <c r="BA388" s="1054">
        <f t="shared" si="761"/>
        <v>0.61015366074118704</v>
      </c>
      <c r="BB388" s="1054">
        <f t="shared" si="761"/>
        <v>1.1321480057664586</v>
      </c>
      <c r="BC388" s="1054">
        <f t="shared" si="761"/>
        <v>0.80728593112890268</v>
      </c>
      <c r="BD388" s="1054">
        <f t="shared" si="761"/>
        <v>1.105305323126224</v>
      </c>
      <c r="BE388" s="1848">
        <f t="shared" si="741"/>
        <v>1.0069777979157228</v>
      </c>
      <c r="BF388" s="1848">
        <f t="shared" si="741"/>
        <v>1.2704870711920027</v>
      </c>
      <c r="BG388" s="1848">
        <f t="shared" ref="BG388:BJ388" si="762">IFERROR(BG371*BG352,"NA")</f>
        <v>1.0384762803313972</v>
      </c>
      <c r="BH388" s="1848">
        <f t="shared" si="762"/>
        <v>1.253005319930635</v>
      </c>
      <c r="BI388" s="1848">
        <f t="shared" si="762"/>
        <v>1.1352962106386764</v>
      </c>
      <c r="BJ388" s="1848">
        <f t="shared" si="762"/>
        <v>1.3863735306922071</v>
      </c>
      <c r="BK388" s="2000">
        <f t="shared" si="742"/>
        <v>1.2291998128217125</v>
      </c>
      <c r="BL388" s="2000">
        <f t="shared" ref="BL388" si="763">IFERROR(BL371*BL352,"NA")</f>
        <v>1.333696159228736</v>
      </c>
    </row>
    <row r="389" spans="1:70" s="9" customFormat="1" ht="11.25">
      <c r="A389" s="342" t="s">
        <v>1012</v>
      </c>
      <c r="B389" s="949"/>
      <c r="C389" s="949"/>
      <c r="D389" s="949"/>
      <c r="E389" s="949"/>
      <c r="F389" s="949"/>
      <c r="G389" s="949"/>
      <c r="H389" s="949"/>
      <c r="I389" s="949"/>
      <c r="J389" s="949"/>
      <c r="K389" s="949"/>
      <c r="L389" s="949"/>
      <c r="M389" s="949"/>
      <c r="N389" s="949"/>
      <c r="O389" s="949"/>
      <c r="P389" s="949"/>
      <c r="Q389" s="949"/>
      <c r="R389" s="949"/>
      <c r="S389" s="949"/>
      <c r="T389" s="949"/>
      <c r="U389" s="949"/>
      <c r="V389" s="949"/>
      <c r="W389" s="949"/>
      <c r="X389" s="949"/>
      <c r="Y389" s="949"/>
      <c r="Z389" s="949"/>
      <c r="AA389" s="949"/>
      <c r="AB389" s="949"/>
      <c r="AC389" s="1054">
        <f t="shared" ref="AC389:AN389" si="764">IFERROR((AC318-(AC283*AC233*AC$380/(AC216+AC233*AC$380))*AC$397)/AC216,"NA")</f>
        <v>0.28419753086419752</v>
      </c>
      <c r="AD389" s="1054">
        <f t="shared" si="764"/>
        <v>0</v>
      </c>
      <c r="AE389" s="1054">
        <f t="shared" si="764"/>
        <v>0.163943661971831</v>
      </c>
      <c r="AF389" s="1054">
        <f t="shared" si="764"/>
        <v>0.3602816901408451</v>
      </c>
      <c r="AG389" s="1054">
        <f t="shared" si="764"/>
        <v>0.59955223880597019</v>
      </c>
      <c r="AH389" s="1054">
        <f t="shared" si="764"/>
        <v>0.85552238805970149</v>
      </c>
      <c r="AI389" s="1054">
        <f t="shared" si="764"/>
        <v>0.55835820895522381</v>
      </c>
      <c r="AJ389" s="1054">
        <f t="shared" si="764"/>
        <v>0.63223880597014925</v>
      </c>
      <c r="AK389" s="1054">
        <f t="shared" si="764"/>
        <v>0.58818181818181814</v>
      </c>
      <c r="AL389" s="1054">
        <f t="shared" si="764"/>
        <v>0.741044776119403</v>
      </c>
      <c r="AM389" s="1054">
        <f t="shared" si="764"/>
        <v>0.61119402985074622</v>
      </c>
      <c r="AN389" s="1054">
        <f t="shared" si="764"/>
        <v>0.4740625</v>
      </c>
      <c r="AO389" s="1054">
        <f t="shared" si="738"/>
        <v>0.4453125</v>
      </c>
      <c r="AP389" s="1054">
        <f t="shared" si="738"/>
        <v>0.49812499999999998</v>
      </c>
      <c r="AQ389" s="1054">
        <f t="shared" si="739"/>
        <v>0.41812500000000002</v>
      </c>
      <c r="AR389" s="1054">
        <f t="shared" si="739"/>
        <v>0.58701754385964922</v>
      </c>
      <c r="AS389" s="1054">
        <f t="shared" si="739"/>
        <v>0.61040000000000005</v>
      </c>
      <c r="AT389" s="1054">
        <f t="shared" ref="AT389:BD389" si="765">IFERROR(AT372*AT353,"NA")</f>
        <v>0.72304347826086957</v>
      </c>
      <c r="AU389" s="1054">
        <f t="shared" si="765"/>
        <v>0.2767391304347826</v>
      </c>
      <c r="AV389" s="1054">
        <f t="shared" si="765"/>
        <v>-1.2427906976744187</v>
      </c>
      <c r="AW389" s="1054">
        <f t="shared" si="765"/>
        <v>-0.80937500000000007</v>
      </c>
      <c r="AX389" s="1054">
        <f t="shared" si="765"/>
        <v>-0.88124999999999998</v>
      </c>
      <c r="AY389" s="1054">
        <f t="shared" si="765"/>
        <v>0.56312499999999999</v>
      </c>
      <c r="AZ389" s="1054">
        <f t="shared" si="765"/>
        <v>0.97437499999999999</v>
      </c>
      <c r="BA389" s="1054">
        <f t="shared" si="765"/>
        <v>0.86624999999999996</v>
      </c>
      <c r="BB389" s="1054">
        <f t="shared" si="765"/>
        <v>1.4033333333333333</v>
      </c>
      <c r="BC389" s="1054">
        <f t="shared" si="765"/>
        <v>1.0973333333333335</v>
      </c>
      <c r="BD389" s="1054">
        <f t="shared" si="765"/>
        <v>1.27</v>
      </c>
      <c r="BE389" s="1848">
        <f t="shared" si="741"/>
        <v>1.2460000000000002</v>
      </c>
      <c r="BF389" s="1848">
        <f t="shared" si="741"/>
        <v>1.4313333333333331</v>
      </c>
      <c r="BG389" s="1848">
        <f t="shared" ref="BG389:BJ389" si="766">IFERROR(BG372*BG353,"NA")</f>
        <v>1.3146666666666664</v>
      </c>
      <c r="BH389" s="1848" t="str">
        <f t="shared" si="766"/>
        <v>NA</v>
      </c>
      <c r="BI389" s="1848" t="str">
        <f t="shared" si="766"/>
        <v>NA</v>
      </c>
      <c r="BJ389" s="1848" t="str">
        <f t="shared" si="766"/>
        <v>NA</v>
      </c>
      <c r="BK389" s="2000" t="str">
        <f t="shared" si="742"/>
        <v>NA</v>
      </c>
      <c r="BL389" s="2000" t="str">
        <f t="shared" ref="BL389" si="767">IFERROR(BL372*BL353,"NA")</f>
        <v>NA</v>
      </c>
    </row>
    <row r="390" spans="1:70" s="9" customFormat="1" ht="11.25">
      <c r="A390" s="342" t="s">
        <v>1019</v>
      </c>
      <c r="B390" s="949"/>
      <c r="C390" s="949"/>
      <c r="D390" s="949"/>
      <c r="E390" s="949"/>
      <c r="F390" s="949"/>
      <c r="G390" s="949"/>
      <c r="H390" s="949"/>
      <c r="I390" s="949"/>
      <c r="J390" s="949"/>
      <c r="K390" s="949"/>
      <c r="L390" s="949"/>
      <c r="M390" s="949"/>
      <c r="N390" s="949"/>
      <c r="O390" s="949"/>
      <c r="P390" s="949"/>
      <c r="Q390" s="949"/>
      <c r="R390" s="949"/>
      <c r="S390" s="949"/>
      <c r="T390" s="949"/>
      <c r="U390" s="949"/>
      <c r="V390" s="949"/>
      <c r="W390" s="949"/>
      <c r="X390" s="949"/>
      <c r="Y390" s="949"/>
      <c r="Z390" s="949"/>
      <c r="AA390" s="949"/>
      <c r="AB390" s="949"/>
      <c r="AC390" s="1054">
        <f t="shared" ref="AC390:AN390" si="768">IFERROR((AC319-(AC284*AC234*AC$380/(AC217+AC234*AC$380))*AC$397)/AC217,"NA")</f>
        <v>1.5396883309257401</v>
      </c>
      <c r="AD390" s="1054">
        <f t="shared" si="768"/>
        <v>0</v>
      </c>
      <c r="AE390" s="1054">
        <f t="shared" si="768"/>
        <v>1.684772162386081</v>
      </c>
      <c r="AF390" s="1054">
        <f t="shared" si="768"/>
        <v>1.4788095238095236</v>
      </c>
      <c r="AG390" s="1054">
        <f t="shared" si="768"/>
        <v>1.693236606018844</v>
      </c>
      <c r="AH390" s="1054">
        <f t="shared" si="768"/>
        <v>2.2808127639712663</v>
      </c>
      <c r="AI390" s="1054">
        <f t="shared" si="768"/>
        <v>1.7989410887397463</v>
      </c>
      <c r="AJ390" s="1054">
        <f t="shared" si="768"/>
        <v>1.509352725428579</v>
      </c>
      <c r="AK390" s="1054">
        <f t="shared" si="768"/>
        <v>1.7360373963320455</v>
      </c>
      <c r="AL390" s="1054">
        <f t="shared" si="768"/>
        <v>2.2935677605775573</v>
      </c>
      <c r="AM390" s="1054">
        <f t="shared" si="768"/>
        <v>1.9880218271827184</v>
      </c>
      <c r="AN390" s="1054">
        <f t="shared" si="768"/>
        <v>1.6946520672213596</v>
      </c>
      <c r="AO390" s="1054">
        <f t="shared" si="738"/>
        <v>2.029056640816727</v>
      </c>
      <c r="AP390" s="1054">
        <f t="shared" si="738"/>
        <v>2.1300664291903342</v>
      </c>
      <c r="AQ390" s="1054">
        <f t="shared" si="739"/>
        <v>1.7624820112205963</v>
      </c>
      <c r="AR390" s="1054">
        <f t="shared" si="739"/>
        <v>0.80110658124636003</v>
      </c>
      <c r="AS390" s="1054">
        <f t="shared" si="739"/>
        <v>1.8803116001830538</v>
      </c>
      <c r="AT390" s="1054">
        <f t="shared" ref="AT390:BD390" si="769">IFERROR(AT373*AT354,"NA")</f>
        <v>1.0269045596148398</v>
      </c>
      <c r="AU390" s="1054">
        <f t="shared" si="769"/>
        <v>0.2612289887021218</v>
      </c>
      <c r="AV390" s="1054">
        <f t="shared" si="769"/>
        <v>-0.65929949428731971</v>
      </c>
      <c r="AW390" s="1054">
        <f t="shared" si="769"/>
        <v>0.75971631205673762</v>
      </c>
      <c r="AX390" s="1054">
        <f t="shared" si="769"/>
        <v>0.52270125906142695</v>
      </c>
      <c r="AY390" s="1054">
        <f t="shared" si="769"/>
        <v>0.16801831886270394</v>
      </c>
      <c r="AZ390" s="1054">
        <f t="shared" si="769"/>
        <v>0.25662267604277045</v>
      </c>
      <c r="BA390" s="1054">
        <f t="shared" si="769"/>
        <v>0.76371061843640597</v>
      </c>
      <c r="BB390" s="1054">
        <f t="shared" si="769"/>
        <v>1.278120184899846</v>
      </c>
      <c r="BC390" s="1054">
        <f t="shared" si="769"/>
        <v>0.67218957711203153</v>
      </c>
      <c r="BD390" s="1054">
        <f t="shared" si="769"/>
        <v>0.39244774106540797</v>
      </c>
      <c r="BE390" s="1848">
        <f t="shared" si="741"/>
        <v>0.46294881588999237</v>
      </c>
      <c r="BF390" s="1848">
        <f t="shared" si="741"/>
        <v>0.54731313889149391</v>
      </c>
      <c r="BG390" s="1848">
        <f t="shared" ref="BG390:BJ390" si="770">IFERROR(BG373*BG354,"NA")</f>
        <v>0.45763184820016739</v>
      </c>
      <c r="BH390" s="1848">
        <f t="shared" si="770"/>
        <v>0.38506224066390038</v>
      </c>
      <c r="BI390" s="1848">
        <f t="shared" si="770"/>
        <v>0.55199115044247782</v>
      </c>
      <c r="BJ390" s="1848">
        <f t="shared" si="770"/>
        <v>0.61310305988361191</v>
      </c>
      <c r="BK390" s="2000">
        <f t="shared" si="742"/>
        <v>0.44116802297750118</v>
      </c>
      <c r="BL390" s="2000">
        <f t="shared" ref="BL390" si="771">IFERROR(BL373*BL354,"NA")</f>
        <v>0.33068377705420421</v>
      </c>
    </row>
    <row r="391" spans="1:70" s="9" customFormat="1" ht="11.25">
      <c r="A391" s="342" t="s">
        <v>1016</v>
      </c>
      <c r="B391" s="949"/>
      <c r="C391" s="949"/>
      <c r="D391" s="949"/>
      <c r="E391" s="949"/>
      <c r="F391" s="949"/>
      <c r="G391" s="949"/>
      <c r="H391" s="949"/>
      <c r="I391" s="949"/>
      <c r="J391" s="949"/>
      <c r="K391" s="949"/>
      <c r="L391" s="949"/>
      <c r="M391" s="949"/>
      <c r="N391" s="949"/>
      <c r="O391" s="949"/>
      <c r="P391" s="949"/>
      <c r="Q391" s="949"/>
      <c r="R391" s="949"/>
      <c r="S391" s="949"/>
      <c r="T391" s="949"/>
      <c r="U391" s="949"/>
      <c r="V391" s="949"/>
      <c r="W391" s="949"/>
      <c r="X391" s="949"/>
      <c r="Y391" s="949"/>
      <c r="Z391" s="949"/>
      <c r="AA391" s="949"/>
      <c r="AB391" s="949"/>
      <c r="AC391" s="1054" t="str">
        <f t="shared" ref="AC391:AN391" si="772">IFERROR((AC320-(AC285*AC235*AC$380/(AC218+AC235*AC$380))*AC$397)/AC218,"NA")</f>
        <v>NA</v>
      </c>
      <c r="AD391" s="1054" t="str">
        <f t="shared" si="772"/>
        <v>NA</v>
      </c>
      <c r="AE391" s="1054" t="str">
        <f t="shared" si="772"/>
        <v>NA</v>
      </c>
      <c r="AF391" s="1054">
        <f t="shared" si="772"/>
        <v>0.14658536585365853</v>
      </c>
      <c r="AG391" s="1054">
        <f t="shared" si="772"/>
        <v>0.33707317073170734</v>
      </c>
      <c r="AH391" s="1054">
        <f t="shared" si="772"/>
        <v>0.45692307692307693</v>
      </c>
      <c r="AI391" s="1054">
        <f t="shared" si="772"/>
        <v>0.20184210526315791</v>
      </c>
      <c r="AJ391" s="1054">
        <f t="shared" si="772"/>
        <v>0.2</v>
      </c>
      <c r="AK391" s="1054">
        <f t="shared" si="772"/>
        <v>0</v>
      </c>
      <c r="AL391" s="1054">
        <f t="shared" si="772"/>
        <v>0.29272727272727272</v>
      </c>
      <c r="AM391" s="1054">
        <f t="shared" si="772"/>
        <v>0.25181818181818183</v>
      </c>
      <c r="AN391" s="1054">
        <f t="shared" si="772"/>
        <v>0</v>
      </c>
      <c r="AO391" s="1054">
        <f t="shared" si="738"/>
        <v>0</v>
      </c>
      <c r="AP391" s="1054">
        <f t="shared" si="738"/>
        <v>0</v>
      </c>
      <c r="AQ391" s="1054">
        <f t="shared" si="739"/>
        <v>0.21007220464860404</v>
      </c>
      <c r="AR391" s="1054">
        <f t="shared" si="739"/>
        <v>0</v>
      </c>
      <c r="AS391" s="1054">
        <f t="shared" si="739"/>
        <v>0.23611093118486609</v>
      </c>
      <c r="AT391" s="1054">
        <f t="shared" ref="AT391:BD391" si="773">IFERROR(AT374*AT355,"NA")</f>
        <v>0</v>
      </c>
      <c r="AU391" s="1054">
        <f t="shared" si="773"/>
        <v>0</v>
      </c>
      <c r="AV391" s="1054">
        <f t="shared" si="773"/>
        <v>0</v>
      </c>
      <c r="AW391" s="1054">
        <f t="shared" si="773"/>
        <v>0</v>
      </c>
      <c r="AX391" s="1054">
        <f t="shared" si="773"/>
        <v>0</v>
      </c>
      <c r="AY391" s="1054">
        <f t="shared" si="773"/>
        <v>0</v>
      </c>
      <c r="AZ391" s="1054">
        <f t="shared" si="773"/>
        <v>0</v>
      </c>
      <c r="BA391" s="1054">
        <f t="shared" si="773"/>
        <v>0</v>
      </c>
      <c r="BB391" s="1054">
        <f t="shared" si="773"/>
        <v>0</v>
      </c>
      <c r="BC391" s="1054">
        <f t="shared" si="773"/>
        <v>0</v>
      </c>
      <c r="BD391" s="1054">
        <f t="shared" si="773"/>
        <v>0</v>
      </c>
      <c r="BE391" s="1848">
        <f t="shared" si="741"/>
        <v>0</v>
      </c>
      <c r="BF391" s="1848">
        <f t="shared" si="741"/>
        <v>0</v>
      </c>
      <c r="BG391" s="1848">
        <f t="shared" ref="BG391:BJ391" si="774">IFERROR(BG374*BG355,"NA")</f>
        <v>0</v>
      </c>
      <c r="BH391" s="1848">
        <f t="shared" si="774"/>
        <v>0</v>
      </c>
      <c r="BI391" s="1848">
        <f t="shared" si="774"/>
        <v>0</v>
      </c>
      <c r="BJ391" s="1848">
        <f t="shared" si="774"/>
        <v>0</v>
      </c>
      <c r="BK391" s="2000">
        <f t="shared" si="742"/>
        <v>0</v>
      </c>
      <c r="BL391" s="2000">
        <f t="shared" ref="BL391" si="775">IFERROR(BL374*BL355,"NA")</f>
        <v>0</v>
      </c>
    </row>
    <row r="392" spans="1:70" s="9" customFormat="1" ht="11.25">
      <c r="A392" s="342" t="s">
        <v>1015</v>
      </c>
      <c r="B392" s="949"/>
      <c r="C392" s="949"/>
      <c r="D392" s="949"/>
      <c r="E392" s="949"/>
      <c r="F392" s="949"/>
      <c r="G392" s="949"/>
      <c r="H392" s="949"/>
      <c r="I392" s="949"/>
      <c r="J392" s="949"/>
      <c r="K392" s="949"/>
      <c r="L392" s="949"/>
      <c r="M392" s="949"/>
      <c r="N392" s="949"/>
      <c r="O392" s="949"/>
      <c r="P392" s="949"/>
      <c r="Q392" s="949"/>
      <c r="R392" s="949"/>
      <c r="S392" s="949"/>
      <c r="T392" s="949"/>
      <c r="U392" s="949"/>
      <c r="V392" s="949"/>
      <c r="W392" s="949"/>
      <c r="X392" s="949"/>
      <c r="Y392" s="949"/>
      <c r="Z392" s="949"/>
      <c r="AA392" s="949"/>
      <c r="AB392" s="949"/>
      <c r="AC392" s="1054">
        <f t="shared" ref="AC392:AN392" si="776">IFERROR((AC321-(AC286*AC236*AC$380/(AC219+AC236*AC$380))*AC$397)/AC219,"NA")</f>
        <v>0.70000000000000007</v>
      </c>
      <c r="AD392" s="1054">
        <f t="shared" si="776"/>
        <v>0</v>
      </c>
      <c r="AE392" s="1054">
        <f t="shared" si="776"/>
        <v>0.68</v>
      </c>
      <c r="AF392" s="1054">
        <f t="shared" si="776"/>
        <v>0</v>
      </c>
      <c r="AG392" s="1054">
        <f t="shared" si="776"/>
        <v>0.76777777777777778</v>
      </c>
      <c r="AH392" s="1054">
        <f t="shared" si="776"/>
        <v>1.11375</v>
      </c>
      <c r="AI392" s="1054">
        <f t="shared" si="776"/>
        <v>0.85222222222222221</v>
      </c>
      <c r="AJ392" s="1054">
        <f t="shared" si="776"/>
        <v>0.84444444444444455</v>
      </c>
      <c r="AK392" s="1054">
        <f t="shared" si="776"/>
        <v>0</v>
      </c>
      <c r="AL392" s="1054">
        <f t="shared" si="776"/>
        <v>0.96599999999999997</v>
      </c>
      <c r="AM392" s="1054">
        <f t="shared" si="776"/>
        <v>0</v>
      </c>
      <c r="AN392" s="1054">
        <f t="shared" si="776"/>
        <v>0</v>
      </c>
      <c r="AO392" s="1054">
        <f t="shared" si="738"/>
        <v>0</v>
      </c>
      <c r="AP392" s="1054">
        <f t="shared" si="738"/>
        <v>0</v>
      </c>
      <c r="AQ392" s="1054">
        <f t="shared" si="739"/>
        <v>0.33611552743776646</v>
      </c>
      <c r="AR392" s="1054">
        <f t="shared" si="739"/>
        <v>3.9299999999999997</v>
      </c>
      <c r="AS392" s="1054">
        <f t="shared" si="739"/>
        <v>0.73194388667308485</v>
      </c>
      <c r="AT392" s="1054">
        <f t="shared" ref="AT392:BD392" si="777">IFERROR(AT375*AT356,"NA")</f>
        <v>6.2159999999999993</v>
      </c>
      <c r="AU392" s="1054">
        <f t="shared" si="777"/>
        <v>1.8960000000000001</v>
      </c>
      <c r="AV392" s="1054">
        <f t="shared" si="777"/>
        <v>-2.8159999999999998</v>
      </c>
      <c r="AW392" s="1054">
        <f t="shared" si="777"/>
        <v>1.03</v>
      </c>
      <c r="AX392" s="1054">
        <f t="shared" si="777"/>
        <v>1.5657142857142858</v>
      </c>
      <c r="AY392" s="1054">
        <f t="shared" si="777"/>
        <v>0.83857142857142863</v>
      </c>
      <c r="AZ392" s="1054">
        <f t="shared" si="777"/>
        <v>2.5371428571428574</v>
      </c>
      <c r="BA392" s="1054">
        <f t="shared" si="777"/>
        <v>1.87</v>
      </c>
      <c r="BB392" s="1054">
        <f t="shared" si="777"/>
        <v>6.32</v>
      </c>
      <c r="BC392" s="1054">
        <f t="shared" si="777"/>
        <v>7.7533333333333347</v>
      </c>
      <c r="BD392" s="1054">
        <f t="shared" si="777"/>
        <v>9.0533333333333328</v>
      </c>
      <c r="BE392" s="1848">
        <f t="shared" si="741"/>
        <v>4.04</v>
      </c>
      <c r="BF392" s="1848">
        <f t="shared" si="741"/>
        <v>9.7266666666666666</v>
      </c>
      <c r="BG392" s="1848">
        <f t="shared" ref="BG392:BJ392" si="778">IFERROR(BG375*BG356,"NA")</f>
        <v>4.1000000000000005</v>
      </c>
      <c r="BH392" s="1848">
        <f t="shared" si="778"/>
        <v>9.2799999999999994</v>
      </c>
      <c r="BI392" s="1848">
        <f t="shared" si="778"/>
        <v>4.99</v>
      </c>
      <c r="BJ392" s="1848">
        <f t="shared" si="778"/>
        <v>10.886666666666668</v>
      </c>
      <c r="BK392" s="2000">
        <f t="shared" si="742"/>
        <v>3.84</v>
      </c>
      <c r="BL392" s="2000">
        <f t="shared" ref="BL392" si="779">IFERROR(BL375*BL356,"NA")</f>
        <v>7.6733333333333338</v>
      </c>
    </row>
    <row r="393" spans="1:70" s="9" customFormat="1" ht="11.25">
      <c r="A393" s="342" t="s">
        <v>1017</v>
      </c>
      <c r="B393" s="949"/>
      <c r="C393" s="949"/>
      <c r="D393" s="949"/>
      <c r="E393" s="949"/>
      <c r="F393" s="949"/>
      <c r="G393" s="949"/>
      <c r="H393" s="949"/>
      <c r="I393" s="949"/>
      <c r="J393" s="949"/>
      <c r="K393" s="949"/>
      <c r="L393" s="949"/>
      <c r="M393" s="949"/>
      <c r="N393" s="949"/>
      <c r="O393" s="949"/>
      <c r="P393" s="949"/>
      <c r="Q393" s="949"/>
      <c r="R393" s="949"/>
      <c r="S393" s="949"/>
      <c r="T393" s="949"/>
      <c r="U393" s="949"/>
      <c r="V393" s="949"/>
      <c r="W393" s="949"/>
      <c r="X393" s="949"/>
      <c r="Y393" s="949"/>
      <c r="Z393" s="949"/>
      <c r="AA393" s="949"/>
      <c r="AB393" s="949"/>
      <c r="AC393" s="1054">
        <f t="shared" ref="AC393:AN393" si="780">IFERROR((AC322-(AC287*AC237*AC$380/(AC220+AC237*AC$380))*AC$397)/AC220,"NA")</f>
        <v>0.65408867667121429</v>
      </c>
      <c r="AD393" s="1054">
        <f t="shared" si="780"/>
        <v>0</v>
      </c>
      <c r="AE393" s="1054">
        <f t="shared" si="780"/>
        <v>0.701090047393365</v>
      </c>
      <c r="AF393" s="1054">
        <f t="shared" si="780"/>
        <v>0.90736603773584901</v>
      </c>
      <c r="AG393" s="1054">
        <f t="shared" si="780"/>
        <v>-0.32371698113207548</v>
      </c>
      <c r="AH393" s="1054">
        <f t="shared" si="780"/>
        <v>1.2573157894736842</v>
      </c>
      <c r="AI393" s="1054">
        <f t="shared" si="780"/>
        <v>-0.1498342541436464</v>
      </c>
      <c r="AJ393" s="1054">
        <f t="shared" si="780"/>
        <v>-0.14661878453038674</v>
      </c>
      <c r="AK393" s="1054">
        <f t="shared" si="780"/>
        <v>-0.17369876203576343</v>
      </c>
      <c r="AL393" s="1054">
        <f t="shared" si="780"/>
        <v>1.0580083131801694</v>
      </c>
      <c r="AM393" s="1054">
        <f t="shared" si="780"/>
        <v>0.89551451027811368</v>
      </c>
      <c r="AN393" s="1054">
        <f t="shared" si="780"/>
        <v>0.80329292929292939</v>
      </c>
      <c r="AO393" s="1054">
        <f t="shared" si="738"/>
        <v>0</v>
      </c>
      <c r="AP393" s="1054">
        <f t="shared" si="738"/>
        <v>0.78736654804270456</v>
      </c>
      <c r="AQ393" s="1054" t="str">
        <f t="shared" si="739"/>
        <v>NA</v>
      </c>
      <c r="AR393" s="1054">
        <f t="shared" si="739"/>
        <v>0</v>
      </c>
      <c r="AS393" s="1054">
        <f t="shared" si="739"/>
        <v>0</v>
      </c>
      <c r="AT393" s="1054">
        <f t="shared" ref="AT393:BD393" si="781">IFERROR(AT376*AT357,"NA")</f>
        <v>0</v>
      </c>
      <c r="AU393" s="1054" t="str">
        <f t="shared" si="781"/>
        <v>NA</v>
      </c>
      <c r="AV393" s="1054" t="str">
        <f t="shared" si="781"/>
        <v>NA</v>
      </c>
      <c r="AW393" s="1054" t="str">
        <f t="shared" si="781"/>
        <v>NA</v>
      </c>
      <c r="AX393" s="1054" t="str">
        <f t="shared" si="781"/>
        <v>NA</v>
      </c>
      <c r="AY393" s="1054" t="str">
        <f t="shared" si="781"/>
        <v>NA</v>
      </c>
      <c r="AZ393" s="1054" t="str">
        <f t="shared" si="781"/>
        <v>NA</v>
      </c>
      <c r="BA393" s="1054" t="str">
        <f t="shared" si="781"/>
        <v>NA</v>
      </c>
      <c r="BB393" s="1054" t="str">
        <f t="shared" si="781"/>
        <v>NA</v>
      </c>
      <c r="BC393" s="1054" t="str">
        <f t="shared" si="781"/>
        <v>NA</v>
      </c>
      <c r="BD393" s="1054" t="str">
        <f t="shared" si="781"/>
        <v>NA</v>
      </c>
      <c r="BE393" s="1848" t="str">
        <f t="shared" si="741"/>
        <v>NA</v>
      </c>
      <c r="BF393" s="1848" t="str">
        <f t="shared" si="741"/>
        <v>NA</v>
      </c>
      <c r="BG393" s="1848" t="str">
        <f t="shared" ref="BG393:BJ393" si="782">IFERROR(BG376*BG357,"NA")</f>
        <v>NA</v>
      </c>
      <c r="BH393" s="1848" t="str">
        <f t="shared" si="782"/>
        <v>NA</v>
      </c>
      <c r="BI393" s="1848" t="str">
        <f t="shared" si="782"/>
        <v>NA</v>
      </c>
      <c r="BJ393" s="1848" t="str">
        <f t="shared" si="782"/>
        <v>NA</v>
      </c>
      <c r="BK393" s="2000" t="str">
        <f t="shared" si="742"/>
        <v>NA</v>
      </c>
      <c r="BL393" s="2000" t="str">
        <f t="shared" ref="BL393" si="783">IFERROR(BL376*BL357,"NA")</f>
        <v>NA</v>
      </c>
    </row>
    <row r="394" spans="1:70" s="9" customFormat="1" ht="11.25">
      <c r="A394" s="342" t="s">
        <v>1120</v>
      </c>
      <c r="B394" s="949"/>
      <c r="C394" s="949"/>
      <c r="D394" s="949"/>
      <c r="E394" s="949"/>
      <c r="F394" s="949"/>
      <c r="G394" s="949"/>
      <c r="H394" s="949"/>
      <c r="I394" s="949"/>
      <c r="J394" s="949"/>
      <c r="K394" s="949"/>
      <c r="L394" s="949"/>
      <c r="M394" s="949"/>
      <c r="N394" s="949"/>
      <c r="O394" s="949"/>
      <c r="P394" s="949"/>
      <c r="Q394" s="949"/>
      <c r="R394" s="949"/>
      <c r="S394" s="949"/>
      <c r="T394" s="949"/>
      <c r="U394" s="949"/>
      <c r="V394" s="949"/>
      <c r="W394" s="949"/>
      <c r="X394" s="949"/>
      <c r="Y394" s="949"/>
      <c r="Z394" s="949"/>
      <c r="AA394" s="949"/>
      <c r="AB394" s="949"/>
      <c r="AC394" s="1054"/>
      <c r="AD394" s="1054"/>
      <c r="AE394" s="1054"/>
      <c r="AF394" s="1054"/>
      <c r="AG394" s="1054"/>
      <c r="AH394" s="1054"/>
      <c r="AI394" s="1054"/>
      <c r="AJ394" s="1054"/>
      <c r="AK394" s="1054"/>
      <c r="AL394" s="1054"/>
      <c r="AM394" s="1054"/>
      <c r="AN394" s="1054"/>
      <c r="AO394" s="1054"/>
      <c r="AP394" s="1054"/>
      <c r="AQ394" s="1054">
        <f t="shared" si="739"/>
        <v>0.965678023075354</v>
      </c>
      <c r="AR394" s="1054">
        <f t="shared" si="739"/>
        <v>0.37655701053976359</v>
      </c>
      <c r="AS394" s="1054">
        <f t="shared" si="739"/>
        <v>0.50379191389315903</v>
      </c>
      <c r="AT394" s="1054">
        <f t="shared" ref="AT394:BD394" si="784">IFERROR(AT377*AT358,"NA")</f>
        <v>0.49016927767847751</v>
      </c>
      <c r="AU394" s="1054">
        <f t="shared" si="784"/>
        <v>0.10079744816586922</v>
      </c>
      <c r="AV394" s="1054">
        <f t="shared" si="784"/>
        <v>-0.55339696799550808</v>
      </c>
      <c r="AW394" s="1054">
        <f t="shared" si="784"/>
        <v>0.2775033677593175</v>
      </c>
      <c r="AX394" s="1054">
        <f t="shared" si="784"/>
        <v>0.25464684014869893</v>
      </c>
      <c r="AY394" s="1054">
        <f t="shared" si="784"/>
        <v>6.8216153399186519E-2</v>
      </c>
      <c r="AZ394" s="1054">
        <f t="shared" si="784"/>
        <v>0.10437235543018336</v>
      </c>
      <c r="BA394" s="1054">
        <f t="shared" si="784"/>
        <v>0.31114808652246251</v>
      </c>
      <c r="BB394" s="1054">
        <f t="shared" si="784"/>
        <v>0.4557692307692307</v>
      </c>
      <c r="BC394" s="1054">
        <f t="shared" si="784"/>
        <v>0.27614864062685507</v>
      </c>
      <c r="BD394" s="1054">
        <f t="shared" si="784"/>
        <v>0.31866713598498181</v>
      </c>
      <c r="BE394" s="1848">
        <f t="shared" si="741"/>
        <v>0.14225352112676057</v>
      </c>
      <c r="BF394" s="1848">
        <f t="shared" si="741"/>
        <v>0.34680294746850487</v>
      </c>
      <c r="BG394" s="1848">
        <f t="shared" ref="BG394:BJ394" si="785">IFERROR(BG377*BG358,"NA")</f>
        <v>0.29247414100582569</v>
      </c>
      <c r="BH394" s="1848">
        <f t="shared" si="785"/>
        <v>0.3272214386459803</v>
      </c>
      <c r="BI394" s="1848">
        <f t="shared" si="785"/>
        <v>0.17595204513399154</v>
      </c>
      <c r="BJ394" s="1848">
        <f t="shared" si="785"/>
        <v>0.38387400094029156</v>
      </c>
      <c r="BK394" s="2000">
        <f t="shared" si="742"/>
        <v>0.27392700035667578</v>
      </c>
      <c r="BL394" s="2000">
        <f t="shared" ref="BL394" si="786">IFERROR(BL377*BL358,"NA")</f>
        <v>0.27708233028406354</v>
      </c>
    </row>
    <row r="395" spans="1:70" s="9" customFormat="1" ht="11.25">
      <c r="A395" s="342" t="s">
        <v>331</v>
      </c>
      <c r="B395" s="949"/>
      <c r="C395" s="949"/>
      <c r="D395" s="949"/>
      <c r="E395" s="949"/>
      <c r="F395" s="949"/>
      <c r="G395" s="949"/>
      <c r="H395" s="949"/>
      <c r="I395" s="949"/>
      <c r="J395" s="949"/>
      <c r="K395" s="949"/>
      <c r="L395" s="949"/>
      <c r="M395" s="949"/>
      <c r="N395" s="949"/>
      <c r="O395" s="949"/>
      <c r="P395" s="949"/>
      <c r="Q395" s="949"/>
      <c r="R395" s="949"/>
      <c r="S395" s="949"/>
      <c r="T395" s="949"/>
      <c r="U395" s="949"/>
      <c r="V395" s="949"/>
      <c r="W395" s="949"/>
      <c r="X395" s="949"/>
      <c r="Y395" s="949"/>
      <c r="Z395" s="949"/>
      <c r="AA395" s="949"/>
      <c r="AB395" s="949"/>
      <c r="AC395" s="1054">
        <f t="shared" ref="AC395:AN395" si="787">IFERROR((AC324-(AC289*AC239*AC$380/(AC222+AC239*AC$380))*AC$397)/AC222,"NA")</f>
        <v>1.0952819523840556</v>
      </c>
      <c r="AD395" s="1054">
        <f t="shared" si="787"/>
        <v>0</v>
      </c>
      <c r="AE395" s="1054">
        <f t="shared" si="787"/>
        <v>2.2465920268599993</v>
      </c>
      <c r="AF395" s="1054">
        <f t="shared" si="787"/>
        <v>1.9786188039494104</v>
      </c>
      <c r="AG395" s="1054">
        <f t="shared" si="787"/>
        <v>0.61137018539071819</v>
      </c>
      <c r="AH395" s="1054">
        <f t="shared" si="787"/>
        <v>1.274068192243005</v>
      </c>
      <c r="AI395" s="1054">
        <f t="shared" si="787"/>
        <v>1.1715776372778415</v>
      </c>
      <c r="AJ395" s="1054">
        <f t="shared" si="787"/>
        <v>1.3025109754593662</v>
      </c>
      <c r="AK395" s="1054">
        <f t="shared" si="787"/>
        <v>1.1723422712412905</v>
      </c>
      <c r="AL395" s="1054">
        <f t="shared" si="787"/>
        <v>1.2442908348683228</v>
      </c>
      <c r="AM395" s="1054">
        <f t="shared" si="787"/>
        <v>1.1937685577307231</v>
      </c>
      <c r="AN395" s="1054">
        <f t="shared" si="787"/>
        <v>1.4530426652678865</v>
      </c>
      <c r="AO395" s="1054">
        <f>IFERROR(AO378*AO359,"NA")</f>
        <v>1.6143497757847534</v>
      </c>
      <c r="AP395" s="1054">
        <f>IFERROR(AP378*AP359,"NA")</f>
        <v>2.2992409109069114</v>
      </c>
      <c r="AQ395" s="1054">
        <f t="shared" si="739"/>
        <v>1.5036290308107221</v>
      </c>
      <c r="AR395" s="1054">
        <f t="shared" si="739"/>
        <v>3.8127577319587633</v>
      </c>
      <c r="AS395" s="1054">
        <f t="shared" si="739"/>
        <v>1.322200536987848</v>
      </c>
      <c r="AT395" s="1054">
        <f t="shared" ref="AT395:BD395" si="788">IFERROR(AT378*AT359,"NA")</f>
        <v>4.8548636129696332</v>
      </c>
      <c r="AU395" s="1054">
        <f t="shared" si="788"/>
        <v>1.5292736993089062</v>
      </c>
      <c r="AV395" s="1054">
        <f t="shared" si="788"/>
        <v>-2.4323600321457275</v>
      </c>
      <c r="AW395" s="1054">
        <f t="shared" si="788"/>
        <v>0.56181970415852633</v>
      </c>
      <c r="AX395" s="1054">
        <f t="shared" si="788"/>
        <v>3.4363166953528403</v>
      </c>
      <c r="AY395" s="1054">
        <f t="shared" si="788"/>
        <v>1.3524014336917562</v>
      </c>
      <c r="AZ395" s="1054">
        <f t="shared" si="788"/>
        <v>2.3200109875017167</v>
      </c>
      <c r="BA395" s="1054">
        <f t="shared" si="788"/>
        <v>3.8056013179571657</v>
      </c>
      <c r="BB395" s="1054">
        <f t="shared" si="788"/>
        <v>5.246514146473535</v>
      </c>
      <c r="BC395" s="1054">
        <f t="shared" si="788"/>
        <v>3.0253569998665415</v>
      </c>
      <c r="BD395" s="1054">
        <f t="shared" si="788"/>
        <v>3.4940460081190801</v>
      </c>
      <c r="BE395" s="1848">
        <f t="shared" si="741"/>
        <v>3.155280367329901</v>
      </c>
      <c r="BF395" s="1848">
        <f t="shared" si="741"/>
        <v>3.6818546231961515</v>
      </c>
      <c r="BG395" s="1848">
        <f t="shared" ref="BG395:BJ395" si="789">IFERROR(BG378*BG359,"NA")</f>
        <v>4.0544288438204203</v>
      </c>
      <c r="BH395" s="1848">
        <f t="shared" si="789"/>
        <v>5.0121393384940189</v>
      </c>
      <c r="BI395" s="1848">
        <f t="shared" si="789"/>
        <v>5.1651154132539094</v>
      </c>
      <c r="BJ395" s="1848">
        <f t="shared" si="789"/>
        <v>6.288490566037737</v>
      </c>
      <c r="BK395" s="2000">
        <f t="shared" si="742"/>
        <v>4.5966666666666667</v>
      </c>
      <c r="BL395" s="2000">
        <f t="shared" ref="BL395" si="790">IFERROR(BL378*BL359,"NA")</f>
        <v>10.395</v>
      </c>
    </row>
    <row r="396" spans="1:70" s="9" customFormat="1" ht="11.25">
      <c r="A396" s="1046" t="s">
        <v>325</v>
      </c>
      <c r="B396" s="949"/>
      <c r="C396" s="949"/>
      <c r="D396" s="949"/>
      <c r="E396" s="949"/>
      <c r="F396" s="949"/>
      <c r="G396" s="949"/>
      <c r="H396" s="949"/>
      <c r="I396" s="949"/>
      <c r="J396" s="949"/>
      <c r="K396" s="949"/>
      <c r="L396" s="949"/>
      <c r="M396" s="949"/>
      <c r="N396" s="949"/>
      <c r="O396" s="949"/>
      <c r="P396" s="949"/>
      <c r="Q396" s="949"/>
      <c r="R396" s="949"/>
      <c r="S396" s="949"/>
      <c r="T396" s="949"/>
      <c r="U396" s="949"/>
      <c r="V396" s="949"/>
      <c r="W396" s="949"/>
      <c r="X396" s="949"/>
      <c r="Y396" s="949"/>
      <c r="Z396" s="949"/>
      <c r="AA396" s="949"/>
      <c r="AB396" s="949"/>
      <c r="AC396" s="1055">
        <f t="shared" ref="AC396:AM396" si="791">IFERROR(AC379*SUM(AC312:AC324)/SUM(AC277:AC289),"NA")</f>
        <v>0.66250511756082719</v>
      </c>
      <c r="AD396" s="1055" t="str">
        <f t="shared" si="791"/>
        <v>NA</v>
      </c>
      <c r="AE396" s="1055">
        <f t="shared" si="791"/>
        <v>0.67190861300343807</v>
      </c>
      <c r="AF396" s="1055">
        <f t="shared" si="791"/>
        <v>0.71908174654459089</v>
      </c>
      <c r="AG396" s="1055">
        <f t="shared" si="791"/>
        <v>0.76736167915453335</v>
      </c>
      <c r="AH396" s="1055">
        <f t="shared" si="791"/>
        <v>0.86440012842923919</v>
      </c>
      <c r="AI396" s="1055">
        <f t="shared" si="791"/>
        <v>0.71961095179252832</v>
      </c>
      <c r="AJ396" s="1055">
        <f t="shared" si="791"/>
        <v>0.75418477970219477</v>
      </c>
      <c r="AK396" s="1055">
        <f t="shared" si="791"/>
        <v>0.70915323757700066</v>
      </c>
      <c r="AL396" s="1055">
        <f t="shared" si="791"/>
        <v>0.88484326030259397</v>
      </c>
      <c r="AM396" s="1055">
        <f t="shared" si="791"/>
        <v>0.73658990985635742</v>
      </c>
      <c r="AN396" s="1055">
        <f t="shared" ref="AN396:BD396" si="792">IFERROR(AN379*SUM(AN312:AN324)/SUM(AN277:AN289),"NA")</f>
        <v>0.77386281280641167</v>
      </c>
      <c r="AO396" s="1055">
        <f t="shared" si="792"/>
        <v>0.7020597923529166</v>
      </c>
      <c r="AP396" s="1055">
        <f t="shared" si="792"/>
        <v>0.77584424244669492</v>
      </c>
      <c r="AQ396" s="1055">
        <f t="shared" si="792"/>
        <v>0.65961355128234933</v>
      </c>
      <c r="AR396" s="1055">
        <f t="shared" si="792"/>
        <v>0.76434168801515623</v>
      </c>
      <c r="AS396" s="1055">
        <f t="shared" si="792"/>
        <v>0.7108989372327521</v>
      </c>
      <c r="AT396" s="1055">
        <f t="shared" si="792"/>
        <v>0.87087786913077936</v>
      </c>
      <c r="AU396" s="1055">
        <f t="shared" si="792"/>
        <v>0.48949249339191686</v>
      </c>
      <c r="AV396" s="1055">
        <f t="shared" si="792"/>
        <v>-0.32342670771121496</v>
      </c>
      <c r="AW396" s="1055">
        <f t="shared" si="792"/>
        <v>0.3255652091147313</v>
      </c>
      <c r="AX396" s="1055">
        <f t="shared" si="792"/>
        <v>0.68867836207859823</v>
      </c>
      <c r="AY396" s="1055">
        <f t="shared" si="792"/>
        <v>0.41797699714963349</v>
      </c>
      <c r="AZ396" s="1055">
        <f t="shared" si="792"/>
        <v>0.6934657852680518</v>
      </c>
      <c r="BA396" s="1055">
        <f t="shared" si="792"/>
        <v>0.78060528753435676</v>
      </c>
      <c r="BB396" s="1055">
        <f t="shared" si="792"/>
        <v>1.1550272889738082</v>
      </c>
      <c r="BC396" s="1055">
        <f t="shared" si="792"/>
        <v>0.82655524605385366</v>
      </c>
      <c r="BD396" s="1055">
        <f t="shared" si="792"/>
        <v>0.95187265806397947</v>
      </c>
      <c r="BE396" s="1849">
        <f>IFERROR(BE379*SUM(BE312:BE324)/SUM(BE277:BE289),"NA")</f>
        <v>0.89179149579742745</v>
      </c>
      <c r="BF396" s="1849">
        <f>IFERROR(BF379*SUM(BF312:BF324)/SUM(BF277:BF289),"NA")</f>
        <v>1.0279055946779447</v>
      </c>
      <c r="BG396" s="1849">
        <f>IFERROR(BG379*SUM(BG312:BG324)/SUM(BG277:BG289),"NA")</f>
        <v>0.90539403786543138</v>
      </c>
      <c r="BH396" s="1849">
        <f t="shared" ref="BH396:BJ396" si="793">IFERROR(BH379*SUM(BH312:BH324)/SUM(BH277:BH289),"NA")</f>
        <v>1.0540992861461924</v>
      </c>
      <c r="BI396" s="1849">
        <f t="shared" si="793"/>
        <v>1.0496257561775864</v>
      </c>
      <c r="BJ396" s="1849">
        <f t="shared" si="793"/>
        <v>1.1105716916380681</v>
      </c>
      <c r="BK396" s="1849">
        <f t="shared" ref="BK396:BL396" si="794">IFERROR(BK379*SUM(BK312:BK324)/SUM(BK277:BK289),"NA")</f>
        <v>0.97391135411173724</v>
      </c>
      <c r="BL396" s="1849">
        <f t="shared" si="794"/>
        <v>1.0201575806509198</v>
      </c>
    </row>
    <row r="397" spans="1:70" s="9" customFormat="1" ht="11.25">
      <c r="A397" s="1083" t="s">
        <v>1066</v>
      </c>
      <c r="B397" s="949"/>
      <c r="C397" s="949"/>
      <c r="D397" s="949"/>
      <c r="E397" s="949"/>
      <c r="F397" s="949"/>
      <c r="G397" s="949"/>
      <c r="H397" s="949"/>
      <c r="I397" s="949"/>
      <c r="J397" s="949"/>
      <c r="K397" s="949"/>
      <c r="L397" s="949"/>
      <c r="M397" s="949"/>
      <c r="N397" s="949"/>
      <c r="O397" s="949"/>
      <c r="P397" s="949"/>
      <c r="Q397" s="949"/>
      <c r="R397" s="949"/>
      <c r="S397" s="949"/>
      <c r="T397" s="949"/>
      <c r="U397" s="949"/>
      <c r="V397" s="949"/>
      <c r="W397" s="949"/>
      <c r="X397" s="949"/>
      <c r="Y397" s="949"/>
      <c r="Z397" s="949"/>
      <c r="AA397" s="949"/>
      <c r="AB397" s="949"/>
      <c r="AC397" s="1084">
        <v>0.7</v>
      </c>
      <c r="AD397" s="1084">
        <v>0.7</v>
      </c>
      <c r="AE397" s="1084">
        <v>0.7</v>
      </c>
      <c r="AF397" s="1084">
        <v>0.7</v>
      </c>
      <c r="AG397" s="1084">
        <v>0.7</v>
      </c>
      <c r="AH397" s="1084">
        <v>0.7</v>
      </c>
      <c r="AI397" s="1084">
        <v>0.7</v>
      </c>
      <c r="AJ397" s="1084">
        <v>0.7</v>
      </c>
      <c r="AK397" s="1084">
        <v>0.7</v>
      </c>
      <c r="AL397" s="1084">
        <v>0.7</v>
      </c>
      <c r="AM397" s="1084">
        <v>0.7</v>
      </c>
      <c r="AN397" s="1084">
        <v>0.7</v>
      </c>
      <c r="AO397" s="1084">
        <v>0.7</v>
      </c>
      <c r="AP397" s="1084">
        <v>0.7</v>
      </c>
      <c r="AQ397" s="1084">
        <v>0.7</v>
      </c>
      <c r="AR397" s="1084">
        <v>0.7</v>
      </c>
      <c r="AS397" s="1084">
        <v>0.7</v>
      </c>
      <c r="AT397" s="1084">
        <v>0.7</v>
      </c>
      <c r="AU397" s="1084">
        <v>0.7</v>
      </c>
      <c r="AV397" s="1084">
        <v>0.7</v>
      </c>
      <c r="AW397" s="1084">
        <v>0.7</v>
      </c>
      <c r="AX397" s="1084">
        <v>0.7</v>
      </c>
      <c r="AY397" s="1084">
        <v>0.7</v>
      </c>
      <c r="AZ397" s="1084">
        <v>0.7</v>
      </c>
      <c r="BA397" s="1084">
        <v>0.7</v>
      </c>
      <c r="BB397" s="1084">
        <v>0.7</v>
      </c>
      <c r="BC397" s="1084">
        <v>0.7</v>
      </c>
      <c r="BD397" s="1084">
        <v>0.7</v>
      </c>
      <c r="BE397" s="1084">
        <v>0.7</v>
      </c>
      <c r="BF397" s="1084">
        <v>0.7</v>
      </c>
      <c r="BG397" s="1084">
        <v>0.7</v>
      </c>
      <c r="BH397" s="1084">
        <f>BG397</f>
        <v>0.7</v>
      </c>
      <c r="BI397" s="1084">
        <f t="shared" ref="BI397:BK397" si="795">BH397</f>
        <v>0.7</v>
      </c>
      <c r="BJ397" s="1084">
        <f t="shared" si="795"/>
        <v>0.7</v>
      </c>
      <c r="BK397" s="1084">
        <f t="shared" si="795"/>
        <v>0.7</v>
      </c>
      <c r="BL397" s="1084">
        <f t="shared" ref="BL397" si="796">BK397</f>
        <v>0.7</v>
      </c>
    </row>
    <row r="398" spans="1:70" s="9" customFormat="1" ht="11.25">
      <c r="A398" s="342"/>
      <c r="B398" s="949"/>
      <c r="C398" s="949"/>
      <c r="D398" s="949"/>
      <c r="E398" s="949"/>
      <c r="F398" s="949"/>
      <c r="G398" s="949"/>
      <c r="H398" s="949"/>
      <c r="I398" s="949"/>
      <c r="J398" s="949"/>
      <c r="K398" s="949"/>
      <c r="L398" s="949"/>
      <c r="M398" s="949"/>
      <c r="N398" s="949"/>
      <c r="O398" s="949"/>
      <c r="P398" s="949"/>
      <c r="Q398" s="949"/>
      <c r="R398" s="949"/>
      <c r="S398" s="949"/>
      <c r="T398" s="949"/>
      <c r="U398" s="949"/>
      <c r="V398" s="949"/>
      <c r="W398" s="949"/>
      <c r="X398" s="949"/>
      <c r="Y398" s="949"/>
      <c r="Z398" s="949"/>
      <c r="AA398" s="949"/>
      <c r="AB398" s="949"/>
      <c r="AC398" s="1054"/>
      <c r="AD398" s="1054"/>
      <c r="AE398" s="1054"/>
      <c r="AF398" s="1054"/>
      <c r="AG398" s="1054"/>
      <c r="AH398" s="1054"/>
      <c r="AI398" s="1054"/>
      <c r="AJ398" s="1054"/>
      <c r="AK398" s="1054"/>
      <c r="AL398" s="1054"/>
      <c r="AM398" s="1054"/>
      <c r="AN398" s="1054"/>
      <c r="AO398" s="1054"/>
      <c r="AP398" s="1054"/>
    </row>
    <row r="399" spans="1:70" s="9" customFormat="1" ht="11.25">
      <c r="A399" s="577" t="s">
        <v>1045</v>
      </c>
      <c r="B399" s="577"/>
      <c r="C399" s="578" t="s">
        <v>690</v>
      </c>
      <c r="D399" s="578" t="s">
        <v>691</v>
      </c>
      <c r="E399" s="578" t="s">
        <v>692</v>
      </c>
      <c r="F399" s="578" t="s">
        <v>693</v>
      </c>
      <c r="G399" s="578" t="s">
        <v>114</v>
      </c>
      <c r="H399" s="578" t="s">
        <v>115</v>
      </c>
      <c r="I399" s="578" t="s">
        <v>116</v>
      </c>
      <c r="J399" s="578" t="s">
        <v>117</v>
      </c>
      <c r="K399" s="578" t="s">
        <v>267</v>
      </c>
      <c r="L399" s="578" t="s">
        <v>268</v>
      </c>
      <c r="M399" s="578" t="s">
        <v>272</v>
      </c>
      <c r="N399" s="578" t="s">
        <v>273</v>
      </c>
      <c r="O399" s="578" t="s">
        <v>276</v>
      </c>
      <c r="P399" s="578" t="s">
        <v>13</v>
      </c>
      <c r="Q399" s="578" t="s">
        <v>14</v>
      </c>
      <c r="R399" s="578" t="s">
        <v>15</v>
      </c>
      <c r="S399" s="578" t="s">
        <v>292</v>
      </c>
      <c r="T399" s="578" t="s">
        <v>274</v>
      </c>
      <c r="U399" s="578" t="s">
        <v>196</v>
      </c>
      <c r="V399" s="578" t="s">
        <v>154</v>
      </c>
      <c r="W399" s="578" t="s">
        <v>155</v>
      </c>
      <c r="X399" s="578" t="s">
        <v>156</v>
      </c>
      <c r="Y399" s="578" t="s">
        <v>157</v>
      </c>
      <c r="Z399" s="578" t="s">
        <v>158</v>
      </c>
      <c r="AA399" s="578" t="s">
        <v>159</v>
      </c>
      <c r="AB399" s="578" t="s">
        <v>160</v>
      </c>
      <c r="AC399" s="578" t="s">
        <v>161</v>
      </c>
      <c r="AD399" s="578" t="s">
        <v>162</v>
      </c>
      <c r="AE399" s="578" t="s">
        <v>163</v>
      </c>
      <c r="AF399" s="578" t="s">
        <v>164</v>
      </c>
      <c r="AG399" s="578" t="s">
        <v>165</v>
      </c>
      <c r="AH399" s="578" t="s">
        <v>166</v>
      </c>
      <c r="AI399" s="578" t="s">
        <v>167</v>
      </c>
      <c r="AJ399" s="578" t="s">
        <v>168</v>
      </c>
      <c r="AK399" s="578" t="s">
        <v>169</v>
      </c>
      <c r="AL399" s="578" t="s">
        <v>170</v>
      </c>
      <c r="AM399" s="578" t="s">
        <v>171</v>
      </c>
      <c r="AN399" s="578" t="s">
        <v>172</v>
      </c>
      <c r="AO399" s="578" t="s">
        <v>173</v>
      </c>
      <c r="AP399" s="578" t="s">
        <v>174</v>
      </c>
      <c r="AQ399" s="578" t="s">
        <v>175</v>
      </c>
      <c r="AR399" s="578" t="s">
        <v>176</v>
      </c>
      <c r="AS399" s="578" t="s">
        <v>177</v>
      </c>
      <c r="AT399" s="578" t="s">
        <v>178</v>
      </c>
      <c r="AU399" s="578" t="s">
        <v>179</v>
      </c>
      <c r="AV399" s="578" t="s">
        <v>180</v>
      </c>
      <c r="AW399" s="578" t="s">
        <v>181</v>
      </c>
      <c r="AX399" s="578" t="s">
        <v>182</v>
      </c>
      <c r="AY399" s="578" t="s">
        <v>183</v>
      </c>
      <c r="AZ399" s="578" t="s">
        <v>184</v>
      </c>
      <c r="BA399" s="578" t="s">
        <v>185</v>
      </c>
      <c r="BB399" s="578" t="s">
        <v>186</v>
      </c>
      <c r="BC399" s="578" t="s">
        <v>452</v>
      </c>
      <c r="BD399" s="578" t="s">
        <v>453</v>
      </c>
      <c r="BE399" s="578" t="s">
        <v>454</v>
      </c>
      <c r="BF399" s="578" t="s">
        <v>455</v>
      </c>
      <c r="BG399" s="578" t="s">
        <v>456</v>
      </c>
      <c r="BH399" s="578" t="s">
        <v>457</v>
      </c>
      <c r="BI399" s="578" t="s">
        <v>458</v>
      </c>
      <c r="BJ399" s="578" t="s">
        <v>459</v>
      </c>
      <c r="BK399" s="578" t="s">
        <v>460</v>
      </c>
      <c r="BL399" s="578" t="s">
        <v>461</v>
      </c>
      <c r="BM399" s="578" t="s">
        <v>462</v>
      </c>
      <c r="BN399" s="578" t="s">
        <v>463</v>
      </c>
      <c r="BO399" s="578" t="s">
        <v>464</v>
      </c>
      <c r="BP399" s="578" t="s">
        <v>465</v>
      </c>
      <c r="BQ399" s="578" t="s">
        <v>466</v>
      </c>
      <c r="BR399" s="578" t="s">
        <v>467</v>
      </c>
    </row>
    <row r="400" spans="1:70" s="9" customFormat="1" ht="11.25">
      <c r="A400" s="950"/>
      <c r="B400" s="949"/>
      <c r="C400" s="949"/>
      <c r="D400" s="949"/>
      <c r="E400" s="949"/>
      <c r="F400" s="949"/>
      <c r="G400" s="949"/>
      <c r="H400" s="949"/>
      <c r="I400" s="949"/>
      <c r="J400" s="949"/>
      <c r="K400" s="949"/>
      <c r="L400" s="949"/>
      <c r="M400" s="949"/>
      <c r="N400" s="949"/>
      <c r="O400" s="949"/>
      <c r="P400" s="949"/>
      <c r="Q400" s="949"/>
      <c r="R400" s="949"/>
      <c r="S400" s="949"/>
      <c r="T400" s="949"/>
      <c r="U400" s="949"/>
      <c r="V400" s="949"/>
      <c r="W400" s="949"/>
      <c r="X400" s="949"/>
      <c r="Y400" s="949"/>
      <c r="Z400" s="949"/>
      <c r="AA400" s="949"/>
      <c r="AB400" s="949"/>
      <c r="AC400" s="1045"/>
      <c r="AD400" s="1045"/>
      <c r="AE400" s="1045"/>
      <c r="AF400" s="1045"/>
      <c r="AG400" s="1045"/>
      <c r="AH400" s="1045"/>
      <c r="AI400" s="1045"/>
      <c r="AJ400" s="1045"/>
      <c r="AK400" s="1045"/>
      <c r="AL400" s="1045"/>
      <c r="AM400" s="1045"/>
      <c r="AN400" s="1045"/>
      <c r="AO400" s="1045"/>
      <c r="AP400" s="1045"/>
    </row>
    <row r="401" spans="1:64" s="9" customFormat="1" ht="11.25">
      <c r="A401" s="13" t="s">
        <v>830</v>
      </c>
      <c r="B401" s="13"/>
    </row>
    <row r="402" spans="1:64" s="9" customFormat="1" ht="11.25">
      <c r="A402" s="36" t="s">
        <v>735</v>
      </c>
      <c r="B402" s="36"/>
      <c r="C402" s="335">
        <f>425+108+43+32+2+21+159</f>
        <v>790</v>
      </c>
      <c r="D402" s="335">
        <f>427+108+44+32+2+21+160</f>
        <v>794</v>
      </c>
      <c r="E402" s="335">
        <f>425+108+45+32+2+21+162</f>
        <v>795</v>
      </c>
      <c r="F402" s="335">
        <f>425+22+108+45+32+3+165</f>
        <v>800</v>
      </c>
      <c r="G402" s="335">
        <f>424+22+108+45+32+3+163</f>
        <v>797</v>
      </c>
      <c r="H402" s="335">
        <f>420+22+108+47+31+4+166</f>
        <v>798</v>
      </c>
      <c r="I402" s="335">
        <f>417+108+47+30+5+21+169</f>
        <v>797</v>
      </c>
      <c r="J402" s="335">
        <f>420+21+109+51+30+6+164</f>
        <v>801</v>
      </c>
      <c r="K402" s="335">
        <f>415+21+109+52+30+164+6</f>
        <v>797</v>
      </c>
      <c r="L402" s="335">
        <f>415+21+108+54+31+6+164</f>
        <v>799</v>
      </c>
      <c r="M402" s="335">
        <f>633+165</f>
        <v>798</v>
      </c>
      <c r="N402" s="335">
        <f>637+168</f>
        <v>805</v>
      </c>
      <c r="O402" s="335">
        <f>636+169</f>
        <v>805</v>
      </c>
      <c r="P402" s="335">
        <f>624+189</f>
        <v>813</v>
      </c>
      <c r="Q402" s="335">
        <f>632+191</f>
        <v>823</v>
      </c>
      <c r="R402" s="335">
        <f>629+219</f>
        <v>848</v>
      </c>
      <c r="S402" s="335">
        <v>831</v>
      </c>
      <c r="T402" s="335">
        <v>1155</v>
      </c>
      <c r="U402" s="335">
        <v>1163</v>
      </c>
      <c r="V402" s="335">
        <v>1186</v>
      </c>
      <c r="W402" s="335">
        <v>1190</v>
      </c>
      <c r="X402" s="335">
        <v>1197</v>
      </c>
      <c r="Y402" s="335">
        <v>1201</v>
      </c>
      <c r="Z402" s="335">
        <v>1428</v>
      </c>
      <c r="AA402" s="335">
        <v>1428</v>
      </c>
      <c r="AB402" s="335">
        <v>1437</v>
      </c>
      <c r="AC402" s="335">
        <v>1466</v>
      </c>
      <c r="AD402" s="335">
        <v>1499</v>
      </c>
      <c r="AE402" s="335">
        <v>1504</v>
      </c>
      <c r="AF402" s="335">
        <v>1519</v>
      </c>
      <c r="AG402" s="335">
        <v>1538</v>
      </c>
      <c r="AH402" s="335">
        <v>1590</v>
      </c>
      <c r="AI402" s="335">
        <v>1600</v>
      </c>
      <c r="AJ402" s="335">
        <v>1622</v>
      </c>
      <c r="AK402" s="335">
        <v>1644</v>
      </c>
      <c r="AL402" s="335">
        <v>1692</v>
      </c>
      <c r="AM402" s="335">
        <v>1696</v>
      </c>
      <c r="AN402" s="335">
        <v>1713</v>
      </c>
      <c r="AO402" s="335">
        <v>1740</v>
      </c>
      <c r="AP402" s="335">
        <v>1805</v>
      </c>
      <c r="AQ402" s="335">
        <v>1815</v>
      </c>
      <c r="AR402" s="335">
        <v>1830</v>
      </c>
      <c r="AS402" s="335">
        <v>1830</v>
      </c>
      <c r="AT402" s="335">
        <v>1639</v>
      </c>
      <c r="AU402" s="335">
        <v>1643</v>
      </c>
      <c r="AV402" s="1724">
        <v>1632</v>
      </c>
      <c r="AW402" s="1724">
        <v>1631</v>
      </c>
      <c r="AX402" s="1724">
        <v>1636</v>
      </c>
      <c r="AY402" s="1724">
        <v>1646</v>
      </c>
      <c r="AZ402" s="1724">
        <v>1657</v>
      </c>
      <c r="BA402" s="1724">
        <v>1672</v>
      </c>
      <c r="BB402" s="1724">
        <v>1700</v>
      </c>
      <c r="BC402" s="1724">
        <v>1710</v>
      </c>
      <c r="BD402" s="1724">
        <v>1728</v>
      </c>
      <c r="BE402" s="1724">
        <v>1742</v>
      </c>
      <c r="BF402" s="1724">
        <v>1780</v>
      </c>
      <c r="BG402" s="1724">
        <f>1376+411</f>
        <v>1787</v>
      </c>
      <c r="BH402" s="1724">
        <f>1385+415</f>
        <v>1800</v>
      </c>
      <c r="BI402" s="1724">
        <v>1816</v>
      </c>
      <c r="BJ402" s="1724">
        <v>1866</v>
      </c>
      <c r="BK402" s="1724">
        <v>1876</v>
      </c>
      <c r="BL402" s="1724">
        <v>1890</v>
      </c>
    </row>
    <row r="403" spans="1:64" s="9" customFormat="1" ht="11.25">
      <c r="A403" s="36" t="s">
        <v>737</v>
      </c>
      <c r="B403" s="36"/>
      <c r="C403" s="335">
        <f>260+7+30+20</f>
        <v>317</v>
      </c>
      <c r="D403" s="335">
        <f>258+11+30+22</f>
        <v>321</v>
      </c>
      <c r="E403" s="335">
        <f>261+12+30+23</f>
        <v>326</v>
      </c>
      <c r="F403" s="335">
        <f>266+14+30+24</f>
        <v>334</v>
      </c>
      <c r="G403" s="335">
        <f>269+15+30+24</f>
        <v>338</v>
      </c>
      <c r="H403" s="335">
        <f>277+21+30+23</f>
        <v>351</v>
      </c>
      <c r="I403" s="335">
        <f>283+24+30</f>
        <v>337</v>
      </c>
      <c r="J403" s="335">
        <f>300+30+31</f>
        <v>361</v>
      </c>
      <c r="K403" s="335">
        <f>304+32+31</f>
        <v>367</v>
      </c>
      <c r="L403" s="335">
        <f>314+33+31</f>
        <v>378</v>
      </c>
      <c r="M403" s="335">
        <f>357+35</f>
        <v>392</v>
      </c>
      <c r="N403" s="335">
        <f>387+36</f>
        <v>423</v>
      </c>
      <c r="O403" s="335">
        <f>392+37</f>
        <v>429</v>
      </c>
      <c r="P403" s="335">
        <f>402+40</f>
        <v>442</v>
      </c>
      <c r="Q403" s="335">
        <f>412+41</f>
        <v>453</v>
      </c>
      <c r="R403" s="335">
        <f>431+41</f>
        <v>472</v>
      </c>
      <c r="S403" s="335">
        <v>482</v>
      </c>
      <c r="T403" s="335">
        <v>492</v>
      </c>
      <c r="U403" s="335">
        <v>519</v>
      </c>
      <c r="V403" s="335">
        <v>537</v>
      </c>
      <c r="W403" s="335">
        <v>548</v>
      </c>
      <c r="X403" s="335">
        <v>553</v>
      </c>
      <c r="Y403" s="335">
        <v>583</v>
      </c>
      <c r="Z403" s="335">
        <v>609</v>
      </c>
      <c r="AA403" s="335">
        <v>617</v>
      </c>
      <c r="AB403" s="335">
        <v>647</v>
      </c>
      <c r="AC403" s="335">
        <v>686</v>
      </c>
      <c r="AD403" s="335">
        <v>705</v>
      </c>
      <c r="AE403" s="335">
        <v>716</v>
      </c>
      <c r="AF403" s="335">
        <v>736</v>
      </c>
      <c r="AG403" s="335">
        <v>774</v>
      </c>
      <c r="AH403" s="335">
        <v>803</v>
      </c>
      <c r="AI403" s="335">
        <v>825</v>
      </c>
      <c r="AJ403" s="335">
        <v>847</v>
      </c>
      <c r="AK403" s="335">
        <v>880</v>
      </c>
      <c r="AL403" s="335">
        <v>901</v>
      </c>
      <c r="AM403" s="335">
        <v>930</v>
      </c>
      <c r="AN403" s="335">
        <v>962</v>
      </c>
      <c r="AO403" s="335">
        <v>1003</v>
      </c>
      <c r="AP403" s="335">
        <v>1024</v>
      </c>
      <c r="AQ403" s="335">
        <v>1498</v>
      </c>
      <c r="AR403" s="335">
        <v>1517</v>
      </c>
      <c r="AS403" s="335">
        <v>1534</v>
      </c>
      <c r="AT403" s="335">
        <v>1539</v>
      </c>
      <c r="AU403" s="335">
        <v>1546</v>
      </c>
      <c r="AV403" s="1724">
        <v>1538</v>
      </c>
      <c r="AW403" s="1724">
        <v>1537</v>
      </c>
      <c r="AX403" s="1724">
        <v>1524</v>
      </c>
      <c r="AY403" s="1724">
        <v>1522</v>
      </c>
      <c r="AZ403" s="1724">
        <v>1532</v>
      </c>
      <c r="BA403" s="1724">
        <v>1540</v>
      </c>
      <c r="BB403" s="1724">
        <v>1552</v>
      </c>
      <c r="BC403" s="1724">
        <v>1574</v>
      </c>
      <c r="BD403" s="1724">
        <v>1591</v>
      </c>
      <c r="BE403" s="1724">
        <v>1612</v>
      </c>
      <c r="BF403" s="1724">
        <v>1661</v>
      </c>
      <c r="BG403" s="1724">
        <v>1673</v>
      </c>
      <c r="BH403" s="1724">
        <v>1695</v>
      </c>
      <c r="BI403" s="1724">
        <v>1727</v>
      </c>
      <c r="BJ403" s="1724">
        <v>1777</v>
      </c>
      <c r="BK403" s="1724">
        <v>1792</v>
      </c>
      <c r="BL403" s="1724">
        <v>1825</v>
      </c>
    </row>
    <row r="404" spans="1:64" s="9" customFormat="1" ht="11.25">
      <c r="A404" s="36" t="s">
        <v>736</v>
      </c>
      <c r="B404" s="36"/>
      <c r="C404" s="335">
        <f>9+28+5</f>
        <v>42</v>
      </c>
      <c r="D404" s="335">
        <f>6+28+6</f>
        <v>40</v>
      </c>
      <c r="E404" s="335">
        <f>28+6</f>
        <v>34</v>
      </c>
      <c r="F404" s="335">
        <f>29+7+1</f>
        <v>37</v>
      </c>
      <c r="G404" s="335">
        <f>28+7+1</f>
        <v>36</v>
      </c>
      <c r="H404" s="335">
        <f>29+8+2</f>
        <v>39</v>
      </c>
      <c r="I404" s="335">
        <f>29+8+3</f>
        <v>40</v>
      </c>
      <c r="J404" s="335">
        <f>31+9+4</f>
        <v>44</v>
      </c>
      <c r="K404" s="335">
        <f>31+10+6</f>
        <v>47</v>
      </c>
      <c r="L404" s="335">
        <f>32+11+6+1</f>
        <v>50</v>
      </c>
      <c r="M404" s="335">
        <f>50+2</f>
        <v>52</v>
      </c>
      <c r="N404" s="335">
        <f>53+2</f>
        <v>55</v>
      </c>
      <c r="O404" s="335">
        <f>94+11+2</f>
        <v>107</v>
      </c>
      <c r="P404" s="335">
        <f>95+11+2</f>
        <v>108</v>
      </c>
      <c r="Q404" s="335">
        <f>98+12+2</f>
        <v>112</v>
      </c>
      <c r="R404" s="335">
        <f>101+12+2</f>
        <v>115</v>
      </c>
      <c r="S404" s="335">
        <v>118</v>
      </c>
      <c r="T404" s="335">
        <v>121</v>
      </c>
      <c r="U404" s="335">
        <v>129</v>
      </c>
      <c r="V404" s="335">
        <v>139</v>
      </c>
      <c r="W404" s="335">
        <v>143</v>
      </c>
      <c r="X404" s="335">
        <f>146+84</f>
        <v>230</v>
      </c>
      <c r="Y404" s="335">
        <v>233</v>
      </c>
      <c r="Z404" s="335">
        <f>403+85</f>
        <v>488</v>
      </c>
      <c r="AA404" s="335">
        <f>400+85</f>
        <v>485</v>
      </c>
      <c r="AB404" s="335">
        <v>490</v>
      </c>
      <c r="AC404" s="335">
        <v>498</v>
      </c>
      <c r="AD404" s="335">
        <v>498</v>
      </c>
      <c r="AE404" s="335">
        <v>532</v>
      </c>
      <c r="AF404" s="335">
        <v>531</v>
      </c>
      <c r="AG404" s="335">
        <v>528</v>
      </c>
      <c r="AH404" s="335">
        <v>541</v>
      </c>
      <c r="AI404" s="335">
        <v>548</v>
      </c>
      <c r="AJ404" s="335">
        <v>559</v>
      </c>
      <c r="AK404" s="335">
        <v>562</v>
      </c>
      <c r="AL404" s="335">
        <v>570</v>
      </c>
      <c r="AM404" s="335">
        <v>569</v>
      </c>
      <c r="AN404" s="335">
        <v>570</v>
      </c>
      <c r="AO404" s="335">
        <v>568</v>
      </c>
      <c r="AP404" s="335">
        <v>573</v>
      </c>
      <c r="AQ404" s="1170">
        <f>723+34</f>
        <v>757</v>
      </c>
      <c r="AR404" s="1170">
        <f>699+35</f>
        <v>734</v>
      </c>
      <c r="AS404" s="1170">
        <f>700+1+36</f>
        <v>737</v>
      </c>
      <c r="AT404" s="1170">
        <f>693+39</f>
        <v>732</v>
      </c>
      <c r="AU404" s="1170">
        <f>685+40</f>
        <v>725</v>
      </c>
      <c r="AV404" s="78">
        <f>663+39</f>
        <v>702</v>
      </c>
      <c r="AW404" s="78">
        <f>639+39</f>
        <v>678</v>
      </c>
      <c r="AX404" s="78">
        <f>605+40</f>
        <v>645</v>
      </c>
      <c r="AY404" s="78">
        <v>599</v>
      </c>
      <c r="AZ404" s="78">
        <f>602+42</f>
        <v>644</v>
      </c>
      <c r="BA404" s="78">
        <v>646</v>
      </c>
      <c r="BB404" s="78">
        <v>646</v>
      </c>
      <c r="BC404" s="78">
        <f>603+44</f>
        <v>647</v>
      </c>
      <c r="BD404" s="78">
        <f>604+43</f>
        <v>647</v>
      </c>
      <c r="BE404" s="78">
        <f>602+40</f>
        <v>642</v>
      </c>
      <c r="BF404" s="78">
        <f>602+39</f>
        <v>641</v>
      </c>
      <c r="BG404" s="78">
        <f>221+120+74+15+75+29+31+13+7+2+7+24-6</f>
        <v>612</v>
      </c>
      <c r="BH404" s="78">
        <f>220+120+75+74+29+31+13+8+7+24</f>
        <v>601</v>
      </c>
      <c r="BI404" s="78">
        <v>595</v>
      </c>
      <c r="BJ404" s="78">
        <v>574</v>
      </c>
      <c r="BK404" s="78">
        <f>973-403</f>
        <v>570</v>
      </c>
      <c r="BL404" s="78">
        <f>971-BL405</f>
        <v>567</v>
      </c>
    </row>
    <row r="405" spans="1:64" s="9" customFormat="1" ht="11.25">
      <c r="A405" s="36" t="s">
        <v>738</v>
      </c>
      <c r="B405" s="36"/>
      <c r="C405" s="335">
        <v>0</v>
      </c>
      <c r="D405" s="335">
        <v>0</v>
      </c>
      <c r="E405" s="335">
        <v>0</v>
      </c>
      <c r="F405" s="335">
        <v>0</v>
      </c>
      <c r="G405" s="335">
        <v>0</v>
      </c>
      <c r="H405" s="335">
        <v>0</v>
      </c>
      <c r="I405" s="335">
        <v>0</v>
      </c>
      <c r="J405" s="335">
        <v>0</v>
      </c>
      <c r="K405" s="335">
        <v>0</v>
      </c>
      <c r="L405" s="335">
        <v>0</v>
      </c>
      <c r="M405" s="335">
        <v>0</v>
      </c>
      <c r="N405" s="335">
        <v>0</v>
      </c>
      <c r="O405" s="335">
        <v>0</v>
      </c>
      <c r="P405" s="335">
        <v>0</v>
      </c>
      <c r="Q405" s="335">
        <v>0</v>
      </c>
      <c r="R405" s="335">
        <v>0</v>
      </c>
      <c r="S405" s="335">
        <v>0</v>
      </c>
      <c r="T405" s="335">
        <v>0</v>
      </c>
      <c r="U405" s="335">
        <v>0</v>
      </c>
      <c r="V405" s="335">
        <v>0</v>
      </c>
      <c r="W405" s="335">
        <v>0</v>
      </c>
      <c r="X405" s="335">
        <f>345-84</f>
        <v>261</v>
      </c>
      <c r="Y405" s="335">
        <v>260</v>
      </c>
      <c r="Z405" s="335">
        <f>344-85</f>
        <v>259</v>
      </c>
      <c r="AA405" s="335">
        <f>343-85</f>
        <v>258</v>
      </c>
      <c r="AB405" s="335">
        <v>256</v>
      </c>
      <c r="AC405" s="335">
        <v>255</v>
      </c>
      <c r="AD405" s="335">
        <v>252</v>
      </c>
      <c r="AE405" s="335">
        <v>250</v>
      </c>
      <c r="AF405" s="335">
        <v>251</v>
      </c>
      <c r="AG405" s="335">
        <v>253</v>
      </c>
      <c r="AH405" s="335">
        <v>261</v>
      </c>
      <c r="AI405" s="335">
        <v>262</v>
      </c>
      <c r="AJ405" s="335">
        <v>263</v>
      </c>
      <c r="AK405" s="335">
        <v>267</v>
      </c>
      <c r="AL405" s="335">
        <v>275</v>
      </c>
      <c r="AM405" s="335">
        <v>273</v>
      </c>
      <c r="AN405" s="335">
        <v>276</v>
      </c>
      <c r="AO405" s="335">
        <v>277</v>
      </c>
      <c r="AP405" s="335">
        <v>286</v>
      </c>
      <c r="AQ405" s="335">
        <v>391</v>
      </c>
      <c r="AR405" s="335">
        <v>393</v>
      </c>
      <c r="AS405" s="335">
        <v>394</v>
      </c>
      <c r="AT405" s="335">
        <v>400</v>
      </c>
      <c r="AU405" s="335">
        <v>397</v>
      </c>
      <c r="AV405" s="78">
        <v>384</v>
      </c>
      <c r="AW405" s="78">
        <v>390</v>
      </c>
      <c r="AX405" s="78">
        <v>388</v>
      </c>
      <c r="AY405" s="78">
        <f>377+41</f>
        <v>418</v>
      </c>
      <c r="AZ405" s="78">
        <v>371</v>
      </c>
      <c r="BA405" s="78">
        <v>361</v>
      </c>
      <c r="BB405" s="78">
        <v>364</v>
      </c>
      <c r="BC405" s="78">
        <v>368</v>
      </c>
      <c r="BD405" s="78">
        <v>370</v>
      </c>
      <c r="BE405" s="78">
        <v>365</v>
      </c>
      <c r="BF405" s="78">
        <v>365</v>
      </c>
      <c r="BG405" s="78">
        <v>377</v>
      </c>
      <c r="BH405" s="78">
        <f>243+137</f>
        <v>380</v>
      </c>
      <c r="BI405" s="78">
        <v>378</v>
      </c>
      <c r="BJ405" s="78">
        <v>405</v>
      </c>
      <c r="BK405" s="78">
        <v>403</v>
      </c>
      <c r="BL405" s="78">
        <v>404</v>
      </c>
    </row>
    <row r="406" spans="1:64" s="9" customFormat="1" ht="11.25">
      <c r="A406" s="13" t="s">
        <v>325</v>
      </c>
      <c r="B406" s="13"/>
      <c r="C406" s="170">
        <f t="shared" ref="C406:AO406" si="797">SUM(C402:C405)</f>
        <v>1149</v>
      </c>
      <c r="D406" s="170">
        <f t="shared" si="797"/>
        <v>1155</v>
      </c>
      <c r="E406" s="170">
        <f t="shared" si="797"/>
        <v>1155</v>
      </c>
      <c r="F406" s="170">
        <f t="shared" si="797"/>
        <v>1171</v>
      </c>
      <c r="G406" s="170">
        <f t="shared" si="797"/>
        <v>1171</v>
      </c>
      <c r="H406" s="170">
        <f t="shared" si="797"/>
        <v>1188</v>
      </c>
      <c r="I406" s="170">
        <f t="shared" si="797"/>
        <v>1174</v>
      </c>
      <c r="J406" s="170">
        <f t="shared" si="797"/>
        <v>1206</v>
      </c>
      <c r="K406" s="170">
        <f t="shared" si="797"/>
        <v>1211</v>
      </c>
      <c r="L406" s="170">
        <f t="shared" si="797"/>
        <v>1227</v>
      </c>
      <c r="M406" s="170">
        <f t="shared" si="797"/>
        <v>1242</v>
      </c>
      <c r="N406" s="170">
        <f t="shared" si="797"/>
        <v>1283</v>
      </c>
      <c r="O406" s="170">
        <f t="shared" si="797"/>
        <v>1341</v>
      </c>
      <c r="P406" s="170">
        <f t="shared" si="797"/>
        <v>1363</v>
      </c>
      <c r="Q406" s="170">
        <f t="shared" si="797"/>
        <v>1388</v>
      </c>
      <c r="R406" s="170">
        <f t="shared" si="797"/>
        <v>1435</v>
      </c>
      <c r="S406" s="170">
        <f t="shared" si="797"/>
        <v>1431</v>
      </c>
      <c r="T406" s="170">
        <f t="shared" si="797"/>
        <v>1768</v>
      </c>
      <c r="U406" s="170">
        <f t="shared" si="797"/>
        <v>1811</v>
      </c>
      <c r="V406" s="170">
        <f t="shared" si="797"/>
        <v>1862</v>
      </c>
      <c r="W406" s="170">
        <f t="shared" si="797"/>
        <v>1881</v>
      </c>
      <c r="X406" s="170">
        <f t="shared" si="797"/>
        <v>2241</v>
      </c>
      <c r="Y406" s="170">
        <f t="shared" si="797"/>
        <v>2277</v>
      </c>
      <c r="Z406" s="170">
        <f t="shared" si="797"/>
        <v>2784</v>
      </c>
      <c r="AA406" s="170">
        <f t="shared" si="797"/>
        <v>2788</v>
      </c>
      <c r="AB406" s="170">
        <f t="shared" si="797"/>
        <v>2830</v>
      </c>
      <c r="AC406" s="170">
        <f t="shared" si="797"/>
        <v>2905</v>
      </c>
      <c r="AD406" s="170">
        <f t="shared" si="797"/>
        <v>2954</v>
      </c>
      <c r="AE406" s="170">
        <f t="shared" si="797"/>
        <v>3002</v>
      </c>
      <c r="AF406" s="170">
        <f t="shared" si="797"/>
        <v>3037</v>
      </c>
      <c r="AG406" s="170">
        <f t="shared" si="797"/>
        <v>3093</v>
      </c>
      <c r="AH406" s="170">
        <f t="shared" si="797"/>
        <v>3195</v>
      </c>
      <c r="AI406" s="170">
        <f t="shared" si="797"/>
        <v>3235</v>
      </c>
      <c r="AJ406" s="170">
        <f t="shared" si="797"/>
        <v>3291</v>
      </c>
      <c r="AK406" s="170">
        <f t="shared" si="797"/>
        <v>3353</v>
      </c>
      <c r="AL406" s="170">
        <f t="shared" si="797"/>
        <v>3438</v>
      </c>
      <c r="AM406" s="170">
        <f t="shared" si="797"/>
        <v>3468</v>
      </c>
      <c r="AN406" s="170">
        <f t="shared" si="797"/>
        <v>3521</v>
      </c>
      <c r="AO406" s="170">
        <f t="shared" si="797"/>
        <v>3588</v>
      </c>
      <c r="AP406" s="170">
        <f t="shared" ref="AP406:AU406" si="798">SUM(AP402:AP405)</f>
        <v>3688</v>
      </c>
      <c r="AQ406" s="170">
        <f t="shared" si="798"/>
        <v>4461</v>
      </c>
      <c r="AR406" s="170">
        <f t="shared" si="798"/>
        <v>4474</v>
      </c>
      <c r="AS406" s="170">
        <f t="shared" si="798"/>
        <v>4495</v>
      </c>
      <c r="AT406" s="170">
        <f t="shared" si="798"/>
        <v>4310</v>
      </c>
      <c r="AU406" s="170">
        <f t="shared" si="798"/>
        <v>4311</v>
      </c>
      <c r="AV406" s="169">
        <f t="shared" ref="AV406:BA406" si="799">SUM(AV402:AV405)</f>
        <v>4256</v>
      </c>
      <c r="AW406" s="169">
        <f t="shared" si="799"/>
        <v>4236</v>
      </c>
      <c r="AX406" s="169">
        <f t="shared" si="799"/>
        <v>4193</v>
      </c>
      <c r="AY406" s="169">
        <f t="shared" si="799"/>
        <v>4185</v>
      </c>
      <c r="AZ406" s="169">
        <f t="shared" si="799"/>
        <v>4204</v>
      </c>
      <c r="BA406" s="169">
        <f t="shared" si="799"/>
        <v>4219</v>
      </c>
      <c r="BB406" s="169">
        <f t="shared" ref="BB406:BH406" si="800">SUM(BB402:BB405)</f>
        <v>4262</v>
      </c>
      <c r="BC406" s="169">
        <f t="shared" si="800"/>
        <v>4299</v>
      </c>
      <c r="BD406" s="169">
        <f t="shared" si="800"/>
        <v>4336</v>
      </c>
      <c r="BE406" s="169">
        <f t="shared" si="800"/>
        <v>4361</v>
      </c>
      <c r="BF406" s="169">
        <f t="shared" si="800"/>
        <v>4447</v>
      </c>
      <c r="BG406" s="169">
        <f t="shared" si="800"/>
        <v>4449</v>
      </c>
      <c r="BH406" s="169">
        <f t="shared" si="800"/>
        <v>4476</v>
      </c>
      <c r="BI406" s="169">
        <f t="shared" ref="BI406:BK406" si="801">SUM(BI402:BI405)</f>
        <v>4516</v>
      </c>
      <c r="BJ406" s="169">
        <f t="shared" si="801"/>
        <v>4622</v>
      </c>
      <c r="BK406" s="169">
        <f t="shared" si="801"/>
        <v>4641</v>
      </c>
      <c r="BL406" s="169">
        <f t="shared" ref="BL406" si="802">SUM(BL402:BL405)</f>
        <v>4686</v>
      </c>
    </row>
    <row r="407" spans="1:64" s="9" customFormat="1" ht="11.25">
      <c r="A407" s="604"/>
      <c r="B407" s="13"/>
      <c r="C407" s="797"/>
      <c r="D407" s="797"/>
      <c r="E407" s="797"/>
      <c r="F407" s="797"/>
      <c r="G407" s="797"/>
      <c r="H407" s="797"/>
      <c r="I407" s="797"/>
      <c r="J407" s="797"/>
      <c r="K407" s="797"/>
      <c r="L407" s="797"/>
      <c r="M407" s="797"/>
      <c r="N407" s="797"/>
      <c r="O407" s="797"/>
      <c r="P407" s="797"/>
      <c r="Q407" s="797"/>
      <c r="R407" s="797"/>
      <c r="S407" s="797"/>
      <c r="T407" s="797"/>
      <c r="U407" s="797"/>
      <c r="V407" s="797"/>
      <c r="W407" s="797"/>
      <c r="X407" s="797"/>
      <c r="Y407" s="797"/>
      <c r="Z407" s="797"/>
      <c r="AA407" s="797"/>
      <c r="AB407" s="797"/>
      <c r="AC407" s="797"/>
      <c r="AD407" s="797"/>
      <c r="AE407" s="797"/>
      <c r="AF407" s="797"/>
      <c r="AG407" s="797"/>
      <c r="AH407" s="797"/>
      <c r="AI407" s="797"/>
      <c r="AJ407" s="797"/>
      <c r="AK407" s="797"/>
      <c r="AL407" s="797"/>
      <c r="AM407" s="797"/>
      <c r="AN407" s="797"/>
      <c r="AO407" s="797"/>
      <c r="AP407" s="797"/>
      <c r="AQ407" s="797"/>
      <c r="AR407" s="797"/>
      <c r="AS407" s="797"/>
      <c r="AT407" s="797"/>
      <c r="AU407" s="797"/>
      <c r="AV407" s="797"/>
      <c r="AW407" s="797"/>
      <c r="AX407" s="797"/>
      <c r="AY407" s="797"/>
      <c r="AZ407" s="797"/>
      <c r="BA407" s="797"/>
      <c r="BB407" s="797"/>
      <c r="BC407" s="797"/>
      <c r="BD407" s="797"/>
      <c r="BE407" s="797"/>
      <c r="BF407" s="797"/>
      <c r="BG407" s="797"/>
      <c r="BH407" s="797"/>
      <c r="BI407" s="797"/>
      <c r="BJ407" s="797"/>
      <c r="BK407" s="797"/>
      <c r="BL407" s="797"/>
    </row>
    <row r="408" spans="1:64" s="9" customFormat="1" ht="11.25"/>
    <row r="409" spans="1:64" s="9" customFormat="1" ht="11.25">
      <c r="A409" s="13" t="s">
        <v>1055</v>
      </c>
    </row>
    <row r="410" spans="1:64" s="9" customFormat="1" ht="11.25">
      <c r="A410" s="36" t="s">
        <v>735</v>
      </c>
      <c r="C410" s="37">
        <f t="shared" ref="C410:AN410" si="803">C402/C$406</f>
        <v>0.68755439512619665</v>
      </c>
      <c r="D410" s="37">
        <f t="shared" si="803"/>
        <v>0.68744588744588742</v>
      </c>
      <c r="E410" s="37">
        <f t="shared" si="803"/>
        <v>0.68831168831168832</v>
      </c>
      <c r="F410" s="37">
        <f t="shared" si="803"/>
        <v>0.68317677198975235</v>
      </c>
      <c r="G410" s="37">
        <f t="shared" si="803"/>
        <v>0.6806148590947908</v>
      </c>
      <c r="H410" s="37">
        <f t="shared" si="803"/>
        <v>0.67171717171717171</v>
      </c>
      <c r="I410" s="37">
        <f t="shared" si="803"/>
        <v>0.67887563884156732</v>
      </c>
      <c r="J410" s="37">
        <f t="shared" si="803"/>
        <v>0.66417910447761197</v>
      </c>
      <c r="K410" s="37">
        <f t="shared" si="803"/>
        <v>0.65813377374071014</v>
      </c>
      <c r="L410" s="37">
        <f t="shared" si="803"/>
        <v>0.65118174409127949</v>
      </c>
      <c r="M410" s="37">
        <f t="shared" si="803"/>
        <v>0.64251207729468596</v>
      </c>
      <c r="N410" s="37">
        <f t="shared" si="803"/>
        <v>0.62743569758378803</v>
      </c>
      <c r="O410" s="37">
        <f t="shared" si="803"/>
        <v>0.60029828486204329</v>
      </c>
      <c r="P410" s="37">
        <f t="shared" si="803"/>
        <v>0.59647835656639769</v>
      </c>
      <c r="Q410" s="37">
        <f t="shared" si="803"/>
        <v>0.59293948126801155</v>
      </c>
      <c r="R410" s="37">
        <f t="shared" si="803"/>
        <v>0.59094076655052263</v>
      </c>
      <c r="S410" s="37">
        <f t="shared" si="803"/>
        <v>0.58071278825995809</v>
      </c>
      <c r="T410" s="37">
        <f t="shared" si="803"/>
        <v>0.65328054298642535</v>
      </c>
      <c r="U410" s="37">
        <f t="shared" si="803"/>
        <v>0.64218663721700719</v>
      </c>
      <c r="V410" s="37">
        <f t="shared" si="803"/>
        <v>0.63694951664876476</v>
      </c>
      <c r="W410" s="37">
        <f t="shared" si="803"/>
        <v>0.63264221158958001</v>
      </c>
      <c r="X410" s="37">
        <f t="shared" si="803"/>
        <v>0.53413654618473894</v>
      </c>
      <c r="Y410" s="37">
        <f t="shared" si="803"/>
        <v>0.52744839701361446</v>
      </c>
      <c r="Z410" s="37">
        <f t="shared" si="803"/>
        <v>0.51293103448275867</v>
      </c>
      <c r="AA410" s="37">
        <f t="shared" si="803"/>
        <v>0.51219512195121952</v>
      </c>
      <c r="AB410" s="37">
        <f t="shared" si="803"/>
        <v>0.50777385159010602</v>
      </c>
      <c r="AC410" s="37">
        <f t="shared" si="803"/>
        <v>0.5046471600688468</v>
      </c>
      <c r="AD410" s="37">
        <f t="shared" si="803"/>
        <v>0.50744752877454302</v>
      </c>
      <c r="AE410" s="37">
        <f t="shared" si="803"/>
        <v>0.50099933377748163</v>
      </c>
      <c r="AF410" s="37">
        <f t="shared" si="803"/>
        <v>0.50016463615409945</v>
      </c>
      <c r="AG410" s="37">
        <f t="shared" si="803"/>
        <v>0.49725185903653413</v>
      </c>
      <c r="AH410" s="37">
        <f t="shared" si="803"/>
        <v>0.49765258215962443</v>
      </c>
      <c r="AI410" s="37">
        <f t="shared" si="803"/>
        <v>0.49459041731066461</v>
      </c>
      <c r="AJ410" s="37">
        <f t="shared" si="803"/>
        <v>0.49285931327863869</v>
      </c>
      <c r="AK410" s="37">
        <f t="shared" si="803"/>
        <v>0.49030718759320013</v>
      </c>
      <c r="AL410" s="37">
        <f t="shared" si="803"/>
        <v>0.49214659685863876</v>
      </c>
      <c r="AM410" s="37">
        <f t="shared" si="803"/>
        <v>0.48904267589388695</v>
      </c>
      <c r="AN410" s="37">
        <f t="shared" si="803"/>
        <v>0.48650951434251632</v>
      </c>
      <c r="AO410" s="37">
        <f t="shared" ref="AO410:AP413" si="804">AO402/AO$406</f>
        <v>0.48494983277591974</v>
      </c>
      <c r="AP410" s="37">
        <f t="shared" si="804"/>
        <v>0.48942516268980479</v>
      </c>
      <c r="AQ410" s="37">
        <f t="shared" ref="AQ410:AS413" si="805">AQ402/AQ$406</f>
        <v>0.40685944855413586</v>
      </c>
      <c r="AR410" s="37">
        <f t="shared" si="805"/>
        <v>0.40902995082700044</v>
      </c>
      <c r="AS410" s="37">
        <f t="shared" si="805"/>
        <v>0.40711902113459397</v>
      </c>
      <c r="AT410" s="37">
        <f t="shared" ref="AT410:AU413" si="806">AT402/AT$406</f>
        <v>0.38027842227378189</v>
      </c>
      <c r="AU410" s="37">
        <f t="shared" si="806"/>
        <v>0.38111807005335191</v>
      </c>
      <c r="AV410" s="37">
        <f>AV402/AV$406</f>
        <v>0.38345864661654133</v>
      </c>
      <c r="AW410" s="37">
        <f t="shared" ref="AW410:BE410" si="807">AW402/AW$406</f>
        <v>0.38503305004721433</v>
      </c>
      <c r="AX410" s="37">
        <f t="shared" si="807"/>
        <v>0.39017409968995947</v>
      </c>
      <c r="AY410" s="37">
        <f t="shared" si="807"/>
        <v>0.3933094384707288</v>
      </c>
      <c r="AZ410" s="37">
        <f t="shared" si="807"/>
        <v>0.39414843006660322</v>
      </c>
      <c r="BA410" s="37">
        <f t="shared" si="807"/>
        <v>0.3963024413368097</v>
      </c>
      <c r="BB410" s="37">
        <f t="shared" si="807"/>
        <v>0.39887376818395121</v>
      </c>
      <c r="BC410" s="37">
        <f t="shared" si="807"/>
        <v>0.39776692254012563</v>
      </c>
      <c r="BD410" s="37">
        <f t="shared" si="807"/>
        <v>0.39852398523985239</v>
      </c>
      <c r="BE410" s="37">
        <f t="shared" si="807"/>
        <v>0.39944966750745242</v>
      </c>
      <c r="BF410" s="37">
        <f t="shared" ref="BF410:BG414" si="808">BF402/BF$406</f>
        <v>0.40026984483921746</v>
      </c>
      <c r="BG410" s="37">
        <f t="shared" si="808"/>
        <v>0.40166329512249943</v>
      </c>
      <c r="BH410" s="37">
        <f t="shared" ref="BH410:BI410" si="809">BH402/BH$406</f>
        <v>0.40214477211796246</v>
      </c>
      <c r="BI410" s="37">
        <f t="shared" si="809"/>
        <v>0.40212577502214347</v>
      </c>
      <c r="BJ410" s="37">
        <f t="shared" ref="BJ410" si="810">BJ402/BJ$406</f>
        <v>0.4037213327563825</v>
      </c>
      <c r="BK410" s="37">
        <f t="shared" ref="BK410:BL410" si="811">BK402/BK$406</f>
        <v>0.40422322775263952</v>
      </c>
      <c r="BL410" s="37">
        <f t="shared" si="811"/>
        <v>0.40332906530089629</v>
      </c>
    </row>
    <row r="411" spans="1:64" s="9" customFormat="1" ht="11.25">
      <c r="A411" s="36" t="s">
        <v>737</v>
      </c>
      <c r="C411" s="37">
        <f t="shared" ref="C411:AN411" si="812">C403/C$406</f>
        <v>0.27589208006962579</v>
      </c>
      <c r="D411" s="37">
        <f t="shared" si="812"/>
        <v>0.2779220779220779</v>
      </c>
      <c r="E411" s="37">
        <f t="shared" si="812"/>
        <v>0.28225108225108225</v>
      </c>
      <c r="F411" s="37">
        <f t="shared" si="812"/>
        <v>0.2852263023057216</v>
      </c>
      <c r="G411" s="37">
        <f t="shared" si="812"/>
        <v>0.28864218616567039</v>
      </c>
      <c r="H411" s="37">
        <f t="shared" si="812"/>
        <v>0.29545454545454547</v>
      </c>
      <c r="I411" s="37">
        <f t="shared" si="812"/>
        <v>0.28705281090289608</v>
      </c>
      <c r="J411" s="37">
        <f t="shared" si="812"/>
        <v>0.29933665008291876</v>
      </c>
      <c r="K411" s="37">
        <f t="shared" si="812"/>
        <v>0.30305532617671344</v>
      </c>
      <c r="L411" s="37">
        <f t="shared" si="812"/>
        <v>0.30806845965770169</v>
      </c>
      <c r="M411" s="37">
        <f t="shared" si="812"/>
        <v>0.31561996779388085</v>
      </c>
      <c r="N411" s="37">
        <f t="shared" si="812"/>
        <v>0.32969602494154326</v>
      </c>
      <c r="O411" s="37">
        <f t="shared" si="812"/>
        <v>0.31991051454138703</v>
      </c>
      <c r="P411" s="37">
        <f t="shared" si="812"/>
        <v>0.32428466617754953</v>
      </c>
      <c r="Q411" s="37">
        <f t="shared" si="812"/>
        <v>0.32636887608069165</v>
      </c>
      <c r="R411" s="37">
        <f t="shared" si="812"/>
        <v>0.32891986062717771</v>
      </c>
      <c r="S411" s="37">
        <f t="shared" si="812"/>
        <v>0.33682739343116702</v>
      </c>
      <c r="T411" s="37">
        <f t="shared" si="812"/>
        <v>0.27828054298642535</v>
      </c>
      <c r="U411" s="37">
        <f t="shared" si="812"/>
        <v>0.28658199889563779</v>
      </c>
      <c r="V411" s="37">
        <f t="shared" si="812"/>
        <v>0.28839957035445757</v>
      </c>
      <c r="W411" s="37">
        <f t="shared" si="812"/>
        <v>0.2913343965975545</v>
      </c>
      <c r="X411" s="37">
        <f t="shared" si="812"/>
        <v>0.24676483712628292</v>
      </c>
      <c r="Y411" s="37">
        <f t="shared" si="812"/>
        <v>0.2560386473429952</v>
      </c>
      <c r="Z411" s="37">
        <f t="shared" si="812"/>
        <v>0.21875</v>
      </c>
      <c r="AA411" s="37">
        <f t="shared" si="812"/>
        <v>0.22130559540889527</v>
      </c>
      <c r="AB411" s="37">
        <f t="shared" si="812"/>
        <v>0.22862190812720848</v>
      </c>
      <c r="AC411" s="37">
        <f t="shared" si="812"/>
        <v>0.236144578313253</v>
      </c>
      <c r="AD411" s="37">
        <f t="shared" si="812"/>
        <v>0.23865944482058227</v>
      </c>
      <c r="AE411" s="37">
        <f t="shared" si="812"/>
        <v>0.23850766155896069</v>
      </c>
      <c r="AF411" s="37">
        <f t="shared" si="812"/>
        <v>0.24234441883437602</v>
      </c>
      <c r="AG411" s="37">
        <f t="shared" si="812"/>
        <v>0.25024248302618818</v>
      </c>
      <c r="AH411" s="37">
        <f t="shared" si="812"/>
        <v>0.25133020344287949</v>
      </c>
      <c r="AI411" s="37">
        <f t="shared" si="812"/>
        <v>0.25502318392581141</v>
      </c>
      <c r="AJ411" s="37">
        <f t="shared" si="812"/>
        <v>0.25736858097842602</v>
      </c>
      <c r="AK411" s="37">
        <f t="shared" si="812"/>
        <v>0.262451535937966</v>
      </c>
      <c r="AL411" s="37">
        <f t="shared" si="812"/>
        <v>0.26207097149505526</v>
      </c>
      <c r="AM411" s="37">
        <f t="shared" si="812"/>
        <v>0.26816608996539792</v>
      </c>
      <c r="AN411" s="37">
        <f t="shared" si="812"/>
        <v>0.27321783584209031</v>
      </c>
      <c r="AO411" s="37">
        <f t="shared" si="804"/>
        <v>0.27954292084726867</v>
      </c>
      <c r="AP411" s="37">
        <f t="shared" si="804"/>
        <v>0.27765726681127983</v>
      </c>
      <c r="AQ411" s="37">
        <f t="shared" si="805"/>
        <v>0.3357991481730554</v>
      </c>
      <c r="AR411" s="37">
        <f t="shared" si="805"/>
        <v>0.33907018328118016</v>
      </c>
      <c r="AS411" s="37">
        <f t="shared" si="805"/>
        <v>0.34126807563959954</v>
      </c>
      <c r="AT411" s="37">
        <f t="shared" si="806"/>
        <v>0.35707656612529004</v>
      </c>
      <c r="AU411" s="37">
        <f t="shared" si="806"/>
        <v>0.35861749014149852</v>
      </c>
      <c r="AV411" s="37">
        <f>AV403/AV$406</f>
        <v>0.36137218045112784</v>
      </c>
      <c r="AW411" s="37">
        <f t="shared" ref="AW411:BE411" si="813">AW403/AW$406</f>
        <v>0.36284230406043438</v>
      </c>
      <c r="AX411" s="37">
        <f t="shared" si="813"/>
        <v>0.36346291438111139</v>
      </c>
      <c r="AY411" s="37">
        <f t="shared" si="813"/>
        <v>0.36367980884109918</v>
      </c>
      <c r="AZ411" s="37">
        <f t="shared" si="813"/>
        <v>0.36441484300666033</v>
      </c>
      <c r="BA411" s="37">
        <f t="shared" si="813"/>
        <v>0.36501540649442998</v>
      </c>
      <c r="BB411" s="37">
        <f t="shared" si="813"/>
        <v>0.36414828718911307</v>
      </c>
      <c r="BC411" s="37">
        <f t="shared" si="813"/>
        <v>0.36613165852523843</v>
      </c>
      <c r="BD411" s="37">
        <f t="shared" si="813"/>
        <v>0.36692804428044279</v>
      </c>
      <c r="BE411" s="37">
        <f t="shared" si="813"/>
        <v>0.36963999082779181</v>
      </c>
      <c r="BF411" s="37">
        <f t="shared" si="808"/>
        <v>0.37351023161682034</v>
      </c>
      <c r="BG411" s="37">
        <f t="shared" si="808"/>
        <v>0.37603955945156214</v>
      </c>
      <c r="BH411" s="37">
        <f t="shared" ref="BH411:BI411" si="814">BH403/BH$406</f>
        <v>0.37868632707774796</v>
      </c>
      <c r="BI411" s="37">
        <f t="shared" si="814"/>
        <v>0.38241806908768822</v>
      </c>
      <c r="BJ411" s="37">
        <f t="shared" ref="BJ411" si="815">BJ403/BJ$406</f>
        <v>0.384465599307659</v>
      </c>
      <c r="BK411" s="37">
        <f t="shared" ref="BK411:BL411" si="816">BK403/BK$406</f>
        <v>0.38612368024132732</v>
      </c>
      <c r="BL411" s="37">
        <f t="shared" si="816"/>
        <v>0.38945795988049509</v>
      </c>
    </row>
    <row r="412" spans="1:64" s="9" customFormat="1" ht="11.25">
      <c r="A412" s="36" t="s">
        <v>736</v>
      </c>
      <c r="C412" s="37">
        <f t="shared" ref="C412:AN412" si="817">C404/C$406</f>
        <v>3.6553524804177548E-2</v>
      </c>
      <c r="D412" s="37">
        <f t="shared" si="817"/>
        <v>3.4632034632034632E-2</v>
      </c>
      <c r="E412" s="37">
        <f t="shared" si="817"/>
        <v>2.9437229437229439E-2</v>
      </c>
      <c r="F412" s="37">
        <f t="shared" si="817"/>
        <v>3.1596925704526047E-2</v>
      </c>
      <c r="G412" s="37">
        <f t="shared" si="817"/>
        <v>3.0742954739538857E-2</v>
      </c>
      <c r="H412" s="37">
        <f t="shared" si="817"/>
        <v>3.2828282828282832E-2</v>
      </c>
      <c r="I412" s="37">
        <f t="shared" si="817"/>
        <v>3.4071550255536626E-2</v>
      </c>
      <c r="J412" s="37">
        <f t="shared" si="817"/>
        <v>3.6484245439469321E-2</v>
      </c>
      <c r="K412" s="37">
        <f t="shared" si="817"/>
        <v>3.8810900082576386E-2</v>
      </c>
      <c r="L412" s="37">
        <f t="shared" si="817"/>
        <v>4.0749796251018745E-2</v>
      </c>
      <c r="M412" s="37">
        <f t="shared" si="817"/>
        <v>4.1867954911433171E-2</v>
      </c>
      <c r="N412" s="37">
        <f t="shared" si="817"/>
        <v>4.2868277474668745E-2</v>
      </c>
      <c r="O412" s="37">
        <f t="shared" si="817"/>
        <v>7.9791200596569731E-2</v>
      </c>
      <c r="P412" s="37">
        <f t="shared" si="817"/>
        <v>7.9236977256052818E-2</v>
      </c>
      <c r="Q412" s="37">
        <f t="shared" si="817"/>
        <v>8.069164265129683E-2</v>
      </c>
      <c r="R412" s="37">
        <f t="shared" si="817"/>
        <v>8.0139372822299645E-2</v>
      </c>
      <c r="S412" s="37">
        <f t="shared" si="817"/>
        <v>8.2459818308874916E-2</v>
      </c>
      <c r="T412" s="37">
        <f t="shared" si="817"/>
        <v>6.8438914027149328E-2</v>
      </c>
      <c r="U412" s="37">
        <f t="shared" si="817"/>
        <v>7.1231363887355056E-2</v>
      </c>
      <c r="V412" s="37">
        <f t="shared" si="817"/>
        <v>7.465091299677766E-2</v>
      </c>
      <c r="W412" s="37">
        <f t="shared" si="817"/>
        <v>7.6023391812865493E-2</v>
      </c>
      <c r="X412" s="37">
        <f t="shared" si="817"/>
        <v>0.10263275323516287</v>
      </c>
      <c r="Y412" s="37">
        <f t="shared" si="817"/>
        <v>0.1023276240667545</v>
      </c>
      <c r="Z412" s="37">
        <f t="shared" si="817"/>
        <v>0.17528735632183909</v>
      </c>
      <c r="AA412" s="37">
        <f t="shared" si="817"/>
        <v>0.17395982783357244</v>
      </c>
      <c r="AB412" s="37">
        <f t="shared" si="817"/>
        <v>0.17314487632508835</v>
      </c>
      <c r="AC412" s="37">
        <f t="shared" si="817"/>
        <v>0.17142857142857143</v>
      </c>
      <c r="AD412" s="37">
        <f t="shared" si="817"/>
        <v>0.16858496953283683</v>
      </c>
      <c r="AE412" s="37">
        <f t="shared" si="817"/>
        <v>0.17721518987341772</v>
      </c>
      <c r="AF412" s="37">
        <f t="shared" si="817"/>
        <v>0.17484359565360552</v>
      </c>
      <c r="AG412" s="37">
        <f t="shared" si="817"/>
        <v>0.17070805043646944</v>
      </c>
      <c r="AH412" s="37">
        <f t="shared" si="817"/>
        <v>0.16932707355242566</v>
      </c>
      <c r="AI412" s="37">
        <f t="shared" si="817"/>
        <v>0.16939721792890264</v>
      </c>
      <c r="AJ412" s="37">
        <f t="shared" si="817"/>
        <v>0.16985718626557278</v>
      </c>
      <c r="AK412" s="37">
        <f t="shared" si="817"/>
        <v>0.16761109454220102</v>
      </c>
      <c r="AL412" s="37">
        <f t="shared" si="817"/>
        <v>0.16579406631762653</v>
      </c>
      <c r="AM412" s="37">
        <f t="shared" si="817"/>
        <v>0.16407151095732411</v>
      </c>
      <c r="AN412" s="37">
        <f t="shared" si="817"/>
        <v>0.16188582788980405</v>
      </c>
      <c r="AO412" s="37">
        <f t="shared" si="804"/>
        <v>0.15830546265328874</v>
      </c>
      <c r="AP412" s="37">
        <f t="shared" si="804"/>
        <v>0.15536876355748372</v>
      </c>
      <c r="AQ412" s="37">
        <f t="shared" si="805"/>
        <v>0.1696928939699619</v>
      </c>
      <c r="AR412" s="37">
        <f t="shared" si="805"/>
        <v>0.16405900759946357</v>
      </c>
      <c r="AS412" s="37">
        <f t="shared" si="805"/>
        <v>0.16395995550611792</v>
      </c>
      <c r="AT412" s="37">
        <f t="shared" si="806"/>
        <v>0.16983758700696056</v>
      </c>
      <c r="AU412" s="37">
        <f t="shared" si="806"/>
        <v>0.1681744374855022</v>
      </c>
      <c r="AV412" s="37">
        <f>AV404/AV$406</f>
        <v>0.16494360902255639</v>
      </c>
      <c r="AW412" s="37">
        <f t="shared" ref="AW412:BE412" si="818">AW404/AW$406</f>
        <v>0.16005665722379603</v>
      </c>
      <c r="AX412" s="37">
        <f t="shared" si="818"/>
        <v>0.15382780825184833</v>
      </c>
      <c r="AY412" s="37">
        <f t="shared" si="818"/>
        <v>0.14313022700119474</v>
      </c>
      <c r="AZ412" s="37">
        <f t="shared" si="818"/>
        <v>0.15318744053282587</v>
      </c>
      <c r="BA412" s="37">
        <f t="shared" si="818"/>
        <v>0.15311685233467645</v>
      </c>
      <c r="BB412" s="37">
        <f t="shared" si="818"/>
        <v>0.15157203190990146</v>
      </c>
      <c r="BC412" s="37">
        <f t="shared" si="818"/>
        <v>0.1505001163061177</v>
      </c>
      <c r="BD412" s="37">
        <f t="shared" si="818"/>
        <v>0.14921586715867158</v>
      </c>
      <c r="BE412" s="37">
        <f t="shared" si="818"/>
        <v>0.14721394175647787</v>
      </c>
      <c r="BF412" s="37">
        <f t="shared" si="808"/>
        <v>0.14414211828198786</v>
      </c>
      <c r="BG412" s="37">
        <f t="shared" si="808"/>
        <v>0.13755900202292651</v>
      </c>
      <c r="BH412" s="37">
        <f t="shared" ref="BH412:BI412" si="819">BH404/BH$406</f>
        <v>0.1342716711349419</v>
      </c>
      <c r="BI412" s="37">
        <f t="shared" si="819"/>
        <v>0.13175376439326839</v>
      </c>
      <c r="BJ412" s="37">
        <f t="shared" ref="BJ412" si="820">BJ404/BJ$406</f>
        <v>0.12418866291648636</v>
      </c>
      <c r="BK412" s="37">
        <f t="shared" ref="BK412:BL412" si="821">BK404/BK$406</f>
        <v>0.12281835811247575</v>
      </c>
      <c r="BL412" s="37">
        <f t="shared" si="821"/>
        <v>0.12099871959026888</v>
      </c>
    </row>
    <row r="413" spans="1:64" s="9" customFormat="1" ht="11.25">
      <c r="A413" s="36" t="s">
        <v>738</v>
      </c>
      <c r="C413" s="37">
        <f t="shared" ref="C413:AN413" si="822">C405/C$406</f>
        <v>0</v>
      </c>
      <c r="D413" s="37">
        <f t="shared" si="822"/>
        <v>0</v>
      </c>
      <c r="E413" s="37">
        <f t="shared" si="822"/>
        <v>0</v>
      </c>
      <c r="F413" s="37">
        <f t="shared" si="822"/>
        <v>0</v>
      </c>
      <c r="G413" s="37">
        <f t="shared" si="822"/>
        <v>0</v>
      </c>
      <c r="H413" s="37">
        <f t="shared" si="822"/>
        <v>0</v>
      </c>
      <c r="I413" s="37">
        <f t="shared" si="822"/>
        <v>0</v>
      </c>
      <c r="J413" s="37">
        <f t="shared" si="822"/>
        <v>0</v>
      </c>
      <c r="K413" s="37">
        <f t="shared" si="822"/>
        <v>0</v>
      </c>
      <c r="L413" s="37">
        <f t="shared" si="822"/>
        <v>0</v>
      </c>
      <c r="M413" s="37">
        <f t="shared" si="822"/>
        <v>0</v>
      </c>
      <c r="N413" s="37">
        <f t="shared" si="822"/>
        <v>0</v>
      </c>
      <c r="O413" s="37">
        <f t="shared" si="822"/>
        <v>0</v>
      </c>
      <c r="P413" s="37">
        <f t="shared" si="822"/>
        <v>0</v>
      </c>
      <c r="Q413" s="37">
        <f t="shared" si="822"/>
        <v>0</v>
      </c>
      <c r="R413" s="37">
        <f t="shared" si="822"/>
        <v>0</v>
      </c>
      <c r="S413" s="37">
        <f t="shared" si="822"/>
        <v>0</v>
      </c>
      <c r="T413" s="37">
        <f t="shared" si="822"/>
        <v>0</v>
      </c>
      <c r="U413" s="37">
        <f t="shared" si="822"/>
        <v>0</v>
      </c>
      <c r="V413" s="37">
        <f t="shared" si="822"/>
        <v>0</v>
      </c>
      <c r="W413" s="37">
        <f t="shared" si="822"/>
        <v>0</v>
      </c>
      <c r="X413" s="37">
        <f t="shared" si="822"/>
        <v>0.11646586345381527</v>
      </c>
      <c r="Y413" s="37">
        <f t="shared" si="822"/>
        <v>0.11418533157663592</v>
      </c>
      <c r="Z413" s="37">
        <f t="shared" si="822"/>
        <v>9.3031609195402293E-2</v>
      </c>
      <c r="AA413" s="37">
        <f t="shared" si="822"/>
        <v>9.2539454806312774E-2</v>
      </c>
      <c r="AB413" s="37">
        <f t="shared" si="822"/>
        <v>9.0459363957597169E-2</v>
      </c>
      <c r="AC413" s="37">
        <f t="shared" si="822"/>
        <v>8.7779690189328741E-2</v>
      </c>
      <c r="AD413" s="37">
        <f t="shared" si="822"/>
        <v>8.5308056872037921E-2</v>
      </c>
      <c r="AE413" s="37">
        <f t="shared" si="822"/>
        <v>8.3277814790139904E-2</v>
      </c>
      <c r="AF413" s="37">
        <f t="shared" si="822"/>
        <v>8.2647349357918995E-2</v>
      </c>
      <c r="AG413" s="37">
        <f t="shared" si="822"/>
        <v>8.1797607500808278E-2</v>
      </c>
      <c r="AH413" s="37">
        <f t="shared" si="822"/>
        <v>8.1690140845070425E-2</v>
      </c>
      <c r="AI413" s="37">
        <f t="shared" si="822"/>
        <v>8.0989180834621324E-2</v>
      </c>
      <c r="AJ413" s="37">
        <f t="shared" si="822"/>
        <v>7.9914919477362498E-2</v>
      </c>
      <c r="AK413" s="37">
        <f t="shared" si="822"/>
        <v>7.9630181926632862E-2</v>
      </c>
      <c r="AL413" s="37">
        <f t="shared" si="822"/>
        <v>7.9988365328679464E-2</v>
      </c>
      <c r="AM413" s="37">
        <f t="shared" si="822"/>
        <v>7.8719723183391002E-2</v>
      </c>
      <c r="AN413" s="37">
        <f t="shared" si="822"/>
        <v>7.8386821925589323E-2</v>
      </c>
      <c r="AO413" s="37">
        <f t="shared" si="804"/>
        <v>7.7201783723522849E-2</v>
      </c>
      <c r="AP413" s="37">
        <f t="shared" si="804"/>
        <v>7.7548806941431667E-2</v>
      </c>
      <c r="AQ413" s="37">
        <f t="shared" si="805"/>
        <v>8.76485093028469E-2</v>
      </c>
      <c r="AR413" s="37">
        <f t="shared" si="805"/>
        <v>8.7840858292355828E-2</v>
      </c>
      <c r="AS413" s="37">
        <f t="shared" si="805"/>
        <v>8.765294771968854E-2</v>
      </c>
      <c r="AT413" s="37">
        <f t="shared" si="806"/>
        <v>9.2807424593967514E-2</v>
      </c>
      <c r="AU413" s="37">
        <f t="shared" si="806"/>
        <v>9.209000231964741E-2</v>
      </c>
      <c r="AV413" s="37">
        <f>AV405/AV$406</f>
        <v>9.0225563909774431E-2</v>
      </c>
      <c r="AW413" s="37">
        <f t="shared" ref="AW413:BE413" si="823">AW405/AW$406</f>
        <v>9.2067988668555242E-2</v>
      </c>
      <c r="AX413" s="37">
        <f t="shared" si="823"/>
        <v>9.2535177677080846E-2</v>
      </c>
      <c r="AY413" s="37">
        <f t="shared" si="823"/>
        <v>9.9880525686977306E-2</v>
      </c>
      <c r="AZ413" s="37">
        <f t="shared" si="823"/>
        <v>8.8249286393910567E-2</v>
      </c>
      <c r="BA413" s="37">
        <f t="shared" si="823"/>
        <v>8.556529983408391E-2</v>
      </c>
      <c r="BB413" s="37">
        <f t="shared" si="823"/>
        <v>8.5405912717034252E-2</v>
      </c>
      <c r="BC413" s="37">
        <f t="shared" si="823"/>
        <v>8.5601302628518255E-2</v>
      </c>
      <c r="BD413" s="37">
        <f t="shared" si="823"/>
        <v>8.5332103321033206E-2</v>
      </c>
      <c r="BE413" s="37">
        <f t="shared" si="823"/>
        <v>8.3696399908277916E-2</v>
      </c>
      <c r="BF413" s="37">
        <f t="shared" si="808"/>
        <v>8.2077805261974363E-2</v>
      </c>
      <c r="BG413" s="37">
        <f t="shared" si="808"/>
        <v>8.4738143403011917E-2</v>
      </c>
      <c r="BH413" s="37">
        <f t="shared" ref="BH413:BI413" si="824">BH405/BH$406</f>
        <v>8.4897229669347637E-2</v>
      </c>
      <c r="BI413" s="37">
        <f t="shared" si="824"/>
        <v>8.3702391496899911E-2</v>
      </c>
      <c r="BJ413" s="37">
        <f t="shared" ref="BJ413" si="825">BJ405/BJ$406</f>
        <v>8.7624405019472093E-2</v>
      </c>
      <c r="BK413" s="37">
        <f t="shared" ref="BK413:BL413" si="826">BK405/BK$406</f>
        <v>8.683473389355742E-2</v>
      </c>
      <c r="BL413" s="37">
        <f t="shared" si="826"/>
        <v>8.621425522833974E-2</v>
      </c>
    </row>
    <row r="414" spans="1:64" s="9" customFormat="1" ht="11.25">
      <c r="A414" s="13" t="s">
        <v>325</v>
      </c>
      <c r="C414" s="653">
        <f t="shared" ref="C414:AN414" si="827">SUM(C410:C413)</f>
        <v>1</v>
      </c>
      <c r="D414" s="653">
        <f t="shared" si="827"/>
        <v>1</v>
      </c>
      <c r="E414" s="653">
        <f t="shared" si="827"/>
        <v>1</v>
      </c>
      <c r="F414" s="653">
        <f t="shared" si="827"/>
        <v>1</v>
      </c>
      <c r="G414" s="653">
        <f t="shared" si="827"/>
        <v>1</v>
      </c>
      <c r="H414" s="653">
        <f t="shared" si="827"/>
        <v>1</v>
      </c>
      <c r="I414" s="653">
        <f t="shared" si="827"/>
        <v>1</v>
      </c>
      <c r="J414" s="653">
        <f t="shared" si="827"/>
        <v>1</v>
      </c>
      <c r="K414" s="653">
        <f t="shared" si="827"/>
        <v>0.99999999999999989</v>
      </c>
      <c r="L414" s="653">
        <f t="shared" si="827"/>
        <v>0.99999999999999989</v>
      </c>
      <c r="M414" s="653">
        <f t="shared" si="827"/>
        <v>1</v>
      </c>
      <c r="N414" s="653">
        <f t="shared" si="827"/>
        <v>1</v>
      </c>
      <c r="O414" s="653">
        <f t="shared" si="827"/>
        <v>1</v>
      </c>
      <c r="P414" s="653">
        <f t="shared" si="827"/>
        <v>1</v>
      </c>
      <c r="Q414" s="653">
        <f t="shared" si="827"/>
        <v>1</v>
      </c>
      <c r="R414" s="653">
        <f t="shared" si="827"/>
        <v>1</v>
      </c>
      <c r="S414" s="653">
        <f t="shared" si="827"/>
        <v>1</v>
      </c>
      <c r="T414" s="653">
        <f t="shared" si="827"/>
        <v>1</v>
      </c>
      <c r="U414" s="653">
        <f t="shared" si="827"/>
        <v>1</v>
      </c>
      <c r="V414" s="653">
        <f t="shared" si="827"/>
        <v>1</v>
      </c>
      <c r="W414" s="653">
        <f t="shared" si="827"/>
        <v>1</v>
      </c>
      <c r="X414" s="653">
        <f t="shared" si="827"/>
        <v>1</v>
      </c>
      <c r="Y414" s="653">
        <f t="shared" si="827"/>
        <v>1</v>
      </c>
      <c r="Z414" s="653">
        <f t="shared" si="827"/>
        <v>1</v>
      </c>
      <c r="AA414" s="653">
        <f t="shared" si="827"/>
        <v>1</v>
      </c>
      <c r="AB414" s="653">
        <f t="shared" si="827"/>
        <v>1</v>
      </c>
      <c r="AC414" s="653">
        <f t="shared" si="827"/>
        <v>0.99999999999999989</v>
      </c>
      <c r="AD414" s="653">
        <f t="shared" si="827"/>
        <v>1.0000000000000002</v>
      </c>
      <c r="AE414" s="653">
        <f t="shared" si="827"/>
        <v>1</v>
      </c>
      <c r="AF414" s="653">
        <f t="shared" si="827"/>
        <v>0.99999999999999989</v>
      </c>
      <c r="AG414" s="653">
        <f t="shared" si="827"/>
        <v>1</v>
      </c>
      <c r="AH414" s="653">
        <f t="shared" si="827"/>
        <v>1</v>
      </c>
      <c r="AI414" s="653">
        <f t="shared" si="827"/>
        <v>1</v>
      </c>
      <c r="AJ414" s="653">
        <f t="shared" si="827"/>
        <v>1</v>
      </c>
      <c r="AK414" s="653">
        <f t="shared" si="827"/>
        <v>1</v>
      </c>
      <c r="AL414" s="653">
        <f t="shared" si="827"/>
        <v>1</v>
      </c>
      <c r="AM414" s="653">
        <f t="shared" si="827"/>
        <v>1</v>
      </c>
      <c r="AN414" s="653">
        <f t="shared" si="827"/>
        <v>1</v>
      </c>
      <c r="AO414" s="653">
        <f t="shared" ref="AO414:AT414" si="828">SUM(AO410:AO413)</f>
        <v>1</v>
      </c>
      <c r="AP414" s="653">
        <f t="shared" si="828"/>
        <v>1</v>
      </c>
      <c r="AQ414" s="653">
        <f t="shared" si="828"/>
        <v>1</v>
      </c>
      <c r="AR414" s="653">
        <f t="shared" si="828"/>
        <v>1</v>
      </c>
      <c r="AS414" s="653">
        <f t="shared" si="828"/>
        <v>1</v>
      </c>
      <c r="AT414" s="653">
        <f t="shared" si="828"/>
        <v>1</v>
      </c>
      <c r="AU414" s="653">
        <f>SUM(AU410:AU413)</f>
        <v>1</v>
      </c>
      <c r="AV414" s="949">
        <f>AV406/AV$406</f>
        <v>1</v>
      </c>
      <c r="AW414" s="949">
        <f t="shared" ref="AW414:BE414" si="829">AW406/AW$406</f>
        <v>1</v>
      </c>
      <c r="AX414" s="949">
        <f t="shared" si="829"/>
        <v>1</v>
      </c>
      <c r="AY414" s="949">
        <f t="shared" si="829"/>
        <v>1</v>
      </c>
      <c r="AZ414" s="949">
        <f t="shared" si="829"/>
        <v>1</v>
      </c>
      <c r="BA414" s="949">
        <f t="shared" si="829"/>
        <v>1</v>
      </c>
      <c r="BB414" s="949">
        <f t="shared" si="829"/>
        <v>1</v>
      </c>
      <c r="BC414" s="949">
        <f t="shared" si="829"/>
        <v>1</v>
      </c>
      <c r="BD414" s="949">
        <f t="shared" si="829"/>
        <v>1</v>
      </c>
      <c r="BE414" s="949">
        <f t="shared" si="829"/>
        <v>1</v>
      </c>
      <c r="BF414" s="949">
        <f t="shared" si="808"/>
        <v>1</v>
      </c>
      <c r="BG414" s="949">
        <f t="shared" si="808"/>
        <v>1</v>
      </c>
      <c r="BH414" s="949">
        <f t="shared" ref="BH414:BI414" si="830">BH406/BH$406</f>
        <v>1</v>
      </c>
      <c r="BI414" s="949">
        <f t="shared" si="830"/>
        <v>1</v>
      </c>
      <c r="BJ414" s="949">
        <f t="shared" ref="BJ414" si="831">BJ406/BJ$406</f>
        <v>1</v>
      </c>
      <c r="BK414" s="949">
        <f t="shared" ref="BK414:BL414" si="832">BK406/BK$406</f>
        <v>1</v>
      </c>
      <c r="BL414" s="949">
        <f t="shared" si="832"/>
        <v>1</v>
      </c>
    </row>
    <row r="415" spans="1:64" s="9" customFormat="1" ht="11.25">
      <c r="A415" s="604"/>
    </row>
    <row r="416" spans="1:64" s="9" customFormat="1" ht="11.25">
      <c r="A416" s="604"/>
    </row>
    <row r="417" spans="1:64" s="13" customFormat="1" ht="11.25">
      <c r="A417" s="13" t="s">
        <v>734</v>
      </c>
      <c r="C417" s="796"/>
      <c r="D417" s="796"/>
      <c r="E417" s="796"/>
      <c r="F417" s="796"/>
      <c r="G417" s="796"/>
      <c r="H417" s="796"/>
      <c r="I417" s="796"/>
      <c r="J417" s="796"/>
      <c r="K417" s="796"/>
      <c r="L417" s="796"/>
      <c r="M417" s="796"/>
      <c r="N417" s="796"/>
      <c r="O417" s="796"/>
      <c r="P417" s="796"/>
      <c r="Q417" s="796"/>
      <c r="R417" s="796"/>
      <c r="S417" s="796"/>
      <c r="T417" s="796"/>
      <c r="U417" s="796"/>
      <c r="V417" s="796"/>
      <c r="W417" s="796"/>
      <c r="X417" s="796"/>
      <c r="Y417" s="796"/>
      <c r="Z417" s="796"/>
      <c r="AA417" s="796"/>
      <c r="AB417" s="796"/>
      <c r="AC417" s="796"/>
      <c r="AD417" s="796"/>
      <c r="AE417" s="796"/>
      <c r="AF417" s="796"/>
      <c r="AG417" s="796"/>
      <c r="AH417" s="796"/>
      <c r="AI417" s="796"/>
      <c r="AJ417" s="796"/>
      <c r="AK417" s="796"/>
      <c r="AL417" s="796"/>
      <c r="AM417" s="796"/>
      <c r="AN417" s="796"/>
      <c r="AO417" s="796"/>
      <c r="AP417" s="796"/>
    </row>
    <row r="418" spans="1:64" s="13" customFormat="1" ht="11.25">
      <c r="A418" s="36" t="s">
        <v>735</v>
      </c>
      <c r="B418" s="36"/>
      <c r="C418" s="823" t="s">
        <v>750</v>
      </c>
      <c r="D418" s="823" t="s">
        <v>750</v>
      </c>
      <c r="E418" s="823" t="s">
        <v>750</v>
      </c>
      <c r="F418" s="823" t="s">
        <v>750</v>
      </c>
      <c r="G418" s="823" t="s">
        <v>750</v>
      </c>
      <c r="H418" s="823" t="s">
        <v>750</v>
      </c>
      <c r="I418" s="823" t="s">
        <v>750</v>
      </c>
      <c r="J418" s="823" t="s">
        <v>750</v>
      </c>
      <c r="K418" s="823" t="s">
        <v>750</v>
      </c>
      <c r="L418" s="823" t="s">
        <v>750</v>
      </c>
      <c r="M418" s="823" t="s">
        <v>750</v>
      </c>
      <c r="N418" s="823" t="s">
        <v>750</v>
      </c>
      <c r="O418" s="823" t="s">
        <v>750</v>
      </c>
      <c r="P418" s="823" t="s">
        <v>750</v>
      </c>
      <c r="Q418" s="823" t="s">
        <v>750</v>
      </c>
      <c r="R418" s="823" t="s">
        <v>750</v>
      </c>
      <c r="S418" s="823" t="s">
        <v>750</v>
      </c>
      <c r="T418" s="823" t="s">
        <v>750</v>
      </c>
      <c r="U418" s="823" t="s">
        <v>750</v>
      </c>
      <c r="V418" s="823" t="s">
        <v>750</v>
      </c>
      <c r="W418" s="823" t="s">
        <v>750</v>
      </c>
      <c r="X418" s="823" t="s">
        <v>750</v>
      </c>
      <c r="Y418" s="823" t="s">
        <v>750</v>
      </c>
      <c r="Z418" s="670">
        <f>Z427*IS!Z4</f>
        <v>2687.20496</v>
      </c>
      <c r="AA418" s="670">
        <f>AA427*IS!AA4</f>
        <v>2570.4818999999998</v>
      </c>
      <c r="AB418" s="670">
        <f>AB427*IS!AB4</f>
        <v>2794.2991199999997</v>
      </c>
      <c r="AC418" s="670">
        <f>AC427*IS!AC4</f>
        <v>3043.01838</v>
      </c>
      <c r="AD418" s="670">
        <f>AD427*IS!AD4</f>
        <v>3314.3956199999998</v>
      </c>
      <c r="AE418" s="670">
        <f>AE427*IS!AE4</f>
        <v>3157.8611999999998</v>
      </c>
      <c r="AF418" s="670">
        <f>AF427*IS!AF4</f>
        <v>3444.9158399999997</v>
      </c>
      <c r="AG418" s="670">
        <f>AG427*IS!AG4</f>
        <v>3648.7539200000001</v>
      </c>
      <c r="AH418" s="670">
        <f>AH427*IS!AH4</f>
        <v>3989.8309000000004</v>
      </c>
      <c r="AI418" s="670">
        <f>AI427*IS!AI4</f>
        <v>4037.2960000000003</v>
      </c>
      <c r="AJ418" s="670">
        <f>AJ427*IS!AJ4</f>
        <v>4034.3171700000003</v>
      </c>
      <c r="AK418" s="670">
        <f>AK427*IS!AK4</f>
        <v>4190.1415999999999</v>
      </c>
      <c r="AL418" s="670">
        <f>AL427*IS!AL4</f>
        <v>4646.4495999999999</v>
      </c>
      <c r="AM418" s="670">
        <f>AM427*IS!AM4</f>
        <v>4542.7446499999996</v>
      </c>
      <c r="AN418" s="670">
        <f>AN427*IS!AN4</f>
        <v>4530.2031999999999</v>
      </c>
      <c r="AO418" s="670">
        <f>AO427*IS!AO4</f>
        <v>4550.1584000000003</v>
      </c>
      <c r="AP418" s="670">
        <f>AP427*IS!AP4</f>
        <v>4950.3288000000002</v>
      </c>
      <c r="AQ418" s="670">
        <f>AQ427*IS!AQ4</f>
        <v>4380.9881599999999</v>
      </c>
      <c r="AR418" s="670">
        <f>AR427*IS!AR4</f>
        <v>4665.7718400000003</v>
      </c>
      <c r="AS418" s="670">
        <f>AS427*IS!AS4</f>
        <v>4636.9590399999997</v>
      </c>
      <c r="AT418" s="670">
        <f>AT427*IS!AT4</f>
        <v>4771.8290699999998</v>
      </c>
      <c r="AU418" s="670">
        <f>AU427*IS!AU4</f>
        <v>3873.6288</v>
      </c>
      <c r="AV418" s="670">
        <f>AV427*IS!AV4</f>
        <v>2910.7551200000003</v>
      </c>
      <c r="AW418" s="670">
        <f>AW427*IS!AW4</f>
        <v>5541.4900800000005</v>
      </c>
      <c r="AX418" s="670">
        <f>AX427*IS!AX4</f>
        <v>4066.9322399999996</v>
      </c>
      <c r="AY418" s="670">
        <f>AY427*IS!AY4</f>
        <v>4084.6856000000002</v>
      </c>
      <c r="AZ418" s="670">
        <f>AZ427*IS!AZ4</f>
        <v>4367.0788000000002</v>
      </c>
      <c r="BA418" s="670">
        <f>BA427*IS!BA4</f>
        <v>4606.2307499999997</v>
      </c>
      <c r="BB418" s="670">
        <f>BB427*IS!BB4</f>
        <v>5354.2758400000002</v>
      </c>
      <c r="BC418" s="670">
        <f>BC427*IS!BC4</f>
        <v>5329.8605500000003</v>
      </c>
      <c r="BD418" s="670">
        <f>BD427*IS!BD4</f>
        <v>5759.3035200000004</v>
      </c>
      <c r="BE418" s="670">
        <f>BE427*IS!BE4</f>
        <v>5780.9980800000003</v>
      </c>
      <c r="BF418" s="670">
        <f>BF427*IS!BF4</f>
        <v>5935.2066800000002</v>
      </c>
      <c r="BG418" s="670">
        <f>BG427*IS!BG4</f>
        <v>5653.0070400000004</v>
      </c>
      <c r="BH418" s="670">
        <f>BH427*IS!BH4</f>
        <v>5874.1075400000009</v>
      </c>
      <c r="BI418" s="670">
        <f>BI427*IS!BI4</f>
        <v>6035.6919399999997</v>
      </c>
      <c r="BJ418" s="670">
        <f>BJ427*IS!BJ4</f>
        <v>6044.0078999999996</v>
      </c>
      <c r="BK418" s="670">
        <f>BK427*IS!BK4</f>
        <v>5460.8483999999999</v>
      </c>
      <c r="BL418" s="670">
        <f>BL427*IS!BL4</f>
        <v>5776.2123000000001</v>
      </c>
    </row>
    <row r="419" spans="1:64" s="13" customFormat="1" ht="11.25">
      <c r="A419" s="36" t="s">
        <v>737</v>
      </c>
      <c r="B419" s="36"/>
      <c r="C419" s="823" t="s">
        <v>750</v>
      </c>
      <c r="D419" s="823" t="s">
        <v>750</v>
      </c>
      <c r="E419" s="823" t="s">
        <v>750</v>
      </c>
      <c r="F419" s="823" t="s">
        <v>750</v>
      </c>
      <c r="G419" s="823" t="s">
        <v>750</v>
      </c>
      <c r="H419" s="823" t="s">
        <v>750</v>
      </c>
      <c r="I419" s="823" t="s">
        <v>750</v>
      </c>
      <c r="J419" s="823" t="s">
        <v>750</v>
      </c>
      <c r="K419" s="823" t="s">
        <v>750</v>
      </c>
      <c r="L419" s="823" t="s">
        <v>750</v>
      </c>
      <c r="M419" s="823" t="s">
        <v>750</v>
      </c>
      <c r="N419" s="823" t="s">
        <v>750</v>
      </c>
      <c r="O419" s="823" t="s">
        <v>750</v>
      </c>
      <c r="P419" s="823" t="s">
        <v>750</v>
      </c>
      <c r="Q419" s="823" t="s">
        <v>750</v>
      </c>
      <c r="R419" s="823" t="s">
        <v>750</v>
      </c>
      <c r="S419" s="823" t="s">
        <v>750</v>
      </c>
      <c r="T419" s="823" t="s">
        <v>750</v>
      </c>
      <c r="U419" s="823" t="s">
        <v>750</v>
      </c>
      <c r="V419" s="823" t="s">
        <v>750</v>
      </c>
      <c r="W419" s="823" t="s">
        <v>750</v>
      </c>
      <c r="X419" s="823" t="s">
        <v>750</v>
      </c>
      <c r="Y419" s="823" t="s">
        <v>750</v>
      </c>
      <c r="Z419" s="670">
        <f>Z428*IS!Z4</f>
        <v>1659.74424</v>
      </c>
      <c r="AA419" s="670">
        <f>AA428*IS!AA4</f>
        <v>1615.7314800000001</v>
      </c>
      <c r="AB419" s="670">
        <f>AB428*IS!AB4</f>
        <v>1707.62724</v>
      </c>
      <c r="AC419" s="670">
        <f>AC428*IS!AC4</f>
        <v>1809.3622800000001</v>
      </c>
      <c r="AD419" s="670">
        <f>AD428*IS!AD4</f>
        <v>1970.7217199999998</v>
      </c>
      <c r="AE419" s="670">
        <f>AE428*IS!AE4</f>
        <v>1877.6472000000001</v>
      </c>
      <c r="AF419" s="670">
        <f>AF428*IS!AF4</f>
        <v>1994.4249599999998</v>
      </c>
      <c r="AG419" s="670">
        <f>AG428*IS!AG4</f>
        <v>2208.4563200000002</v>
      </c>
      <c r="AH419" s="670">
        <f>AH428*IS!AH4</f>
        <v>2309.9021000000002</v>
      </c>
      <c r="AI419" s="670">
        <f>AI428*IS!AI4</f>
        <v>2220.5128</v>
      </c>
      <c r="AJ419" s="670">
        <f>AJ428*IS!AJ4</f>
        <v>2379.2126900000003</v>
      </c>
      <c r="AK419" s="670">
        <f>AK428*IS!AK4</f>
        <v>2409.33142</v>
      </c>
      <c r="AL419" s="670">
        <f>AL428*IS!AL4</f>
        <v>2671.7085200000001</v>
      </c>
      <c r="AM419" s="670">
        <f>AM428*IS!AM4</f>
        <v>2548.36895</v>
      </c>
      <c r="AN419" s="670">
        <f>AN428*IS!AN4</f>
        <v>2604.8668400000001</v>
      </c>
      <c r="AO419" s="670">
        <f>AO428*IS!AO4</f>
        <v>2616.3410800000001</v>
      </c>
      <c r="AP419" s="670">
        <f>AP428*IS!AP4</f>
        <v>2846.4390600000002</v>
      </c>
      <c r="AQ419" s="670">
        <f>AQ428*IS!AQ4</f>
        <v>3422.6469999999999</v>
      </c>
      <c r="AR419" s="670">
        <f>AR428*IS!AR4</f>
        <v>3936.7449900000001</v>
      </c>
      <c r="AS419" s="670">
        <f>AS428*IS!AS4</f>
        <v>3912.4341899999999</v>
      </c>
      <c r="AT419" s="670">
        <f>AT428*IS!AT4</f>
        <v>4156.1091900000001</v>
      </c>
      <c r="AU419" s="670">
        <f>AU428*IS!AU4</f>
        <v>3389.4252000000006</v>
      </c>
      <c r="AV419" s="670">
        <f>AV428*IS!AV4</f>
        <v>1143.5109400000001</v>
      </c>
      <c r="AW419" s="670">
        <f>AW428*IS!AW4</f>
        <v>2177.0139600000002</v>
      </c>
      <c r="AX419" s="670">
        <f>AX428*IS!AX4</f>
        <v>3163.1695200000004</v>
      </c>
      <c r="AY419" s="670">
        <f>AY428*IS!AY4</f>
        <v>3063.5142000000001</v>
      </c>
      <c r="AZ419" s="670">
        <f>AZ428*IS!AZ4</f>
        <v>3618.4367199999997</v>
      </c>
      <c r="BA419" s="670">
        <f>BA428*IS!BA4</f>
        <v>4466.6480000000001</v>
      </c>
      <c r="BB419" s="670">
        <f>BB428*IS!BB4</f>
        <v>5186.9547200000006</v>
      </c>
      <c r="BC419" s="670">
        <f>BC428*IS!BC4</f>
        <v>4720.7336300000006</v>
      </c>
      <c r="BD419" s="670">
        <f>BD428*IS!BD4</f>
        <v>5589.9122400000006</v>
      </c>
      <c r="BE419" s="670">
        <f>BE428*IS!BE4</f>
        <v>6306.5433599999997</v>
      </c>
      <c r="BF419" s="670">
        <f>BF428*IS!BF4</f>
        <v>6892.4980800000003</v>
      </c>
      <c r="BG419" s="670">
        <f>BG428*IS!BG4</f>
        <v>6536.2893899999999</v>
      </c>
      <c r="BH419" s="670">
        <f>BH428*IS!BH4</f>
        <v>6821.5442400000002</v>
      </c>
      <c r="BI419" s="670">
        <f>BI428*IS!BI4</f>
        <v>7398.5901199999998</v>
      </c>
      <c r="BJ419" s="670">
        <f>BJ428*IS!BJ4</f>
        <v>7655.74334</v>
      </c>
      <c r="BK419" s="670">
        <f>BK428*IS!BK4</f>
        <v>6917.0746400000007</v>
      </c>
      <c r="BL419" s="670">
        <f>BL428*IS!BL4</f>
        <v>7316.5355800000007</v>
      </c>
    </row>
    <row r="420" spans="1:64" s="13" customFormat="1" ht="11.25">
      <c r="A420" s="36" t="s">
        <v>736</v>
      </c>
      <c r="B420" s="36"/>
      <c r="C420" s="823" t="s">
        <v>750</v>
      </c>
      <c r="D420" s="823" t="s">
        <v>750</v>
      </c>
      <c r="E420" s="823" t="s">
        <v>750</v>
      </c>
      <c r="F420" s="823" t="s">
        <v>750</v>
      </c>
      <c r="G420" s="823" t="s">
        <v>750</v>
      </c>
      <c r="H420" s="823" t="s">
        <v>750</v>
      </c>
      <c r="I420" s="823" t="s">
        <v>750</v>
      </c>
      <c r="J420" s="823" t="s">
        <v>750</v>
      </c>
      <c r="K420" s="823" t="s">
        <v>750</v>
      </c>
      <c r="L420" s="823" t="s">
        <v>750</v>
      </c>
      <c r="M420" s="823" t="s">
        <v>750</v>
      </c>
      <c r="N420" s="823" t="s">
        <v>750</v>
      </c>
      <c r="O420" s="823" t="s">
        <v>750</v>
      </c>
      <c r="P420" s="823" t="s">
        <v>750</v>
      </c>
      <c r="Q420" s="823" t="s">
        <v>750</v>
      </c>
      <c r="R420" s="823" t="s">
        <v>750</v>
      </c>
      <c r="S420" s="823" t="s">
        <v>750</v>
      </c>
      <c r="T420" s="823" t="s">
        <v>750</v>
      </c>
      <c r="U420" s="823" t="s">
        <v>750</v>
      </c>
      <c r="V420" s="823" t="s">
        <v>750</v>
      </c>
      <c r="W420" s="823" t="s">
        <v>750</v>
      </c>
      <c r="X420" s="823" t="s">
        <v>750</v>
      </c>
      <c r="Y420" s="823" t="s">
        <v>750</v>
      </c>
      <c r="Z420" s="670">
        <f>Z429*IS!Z4</f>
        <v>1659.74424</v>
      </c>
      <c r="AA420" s="670">
        <f>AA429*IS!AA4</f>
        <v>1468.8468000000003</v>
      </c>
      <c r="AB420" s="670">
        <f>AB429*IS!AB4</f>
        <v>1552.3884</v>
      </c>
      <c r="AC420" s="670">
        <f>AC429*IS!AC4</f>
        <v>1891.6060199999999</v>
      </c>
      <c r="AD420" s="670">
        <f>AD429*IS!AD4</f>
        <v>2060.2999799999998</v>
      </c>
      <c r="AE420" s="670">
        <f>AE429*IS!AE4</f>
        <v>1962.9948000000002</v>
      </c>
      <c r="AF420" s="670">
        <f>AF429*IS!AF4</f>
        <v>2085.0806400000001</v>
      </c>
      <c r="AG420" s="670">
        <f>AG429*IS!AG4</f>
        <v>2112.4364800000003</v>
      </c>
      <c r="AH420" s="670">
        <f>AH429*IS!AH4</f>
        <v>2414.8976500000003</v>
      </c>
      <c r="AI420" s="670">
        <f>AI429*IS!AI4</f>
        <v>2220.5128</v>
      </c>
      <c r="AJ420" s="670">
        <f>AJ429*IS!AJ4</f>
        <v>2275.7686600000002</v>
      </c>
      <c r="AK420" s="670">
        <f>AK429*IS!AK4</f>
        <v>2304.5778799999998</v>
      </c>
      <c r="AL420" s="670">
        <f>AL429*IS!AL4</f>
        <v>2555.5472799999998</v>
      </c>
      <c r="AM420" s="670">
        <f>AM429*IS!AM4</f>
        <v>2437.5702999999999</v>
      </c>
      <c r="AN420" s="670">
        <f>AN429*IS!AN4</f>
        <v>2491.6117599999998</v>
      </c>
      <c r="AO420" s="670">
        <f>AO429*IS!AO4</f>
        <v>2616.3410800000001</v>
      </c>
      <c r="AP420" s="670">
        <f>AP429*IS!AP4</f>
        <v>2722.68084</v>
      </c>
      <c r="AQ420" s="670">
        <f>AQ429*IS!AQ4</f>
        <v>3285.7411200000001</v>
      </c>
      <c r="AR420" s="670">
        <f>AR429*IS!AR4</f>
        <v>3207.7181399999999</v>
      </c>
      <c r="AS420" s="670">
        <f>AS429*IS!AS4</f>
        <v>3187.9093399999997</v>
      </c>
      <c r="AT420" s="670">
        <f>AT429*IS!AT4</f>
        <v>3540.38931</v>
      </c>
      <c r="AU420" s="670">
        <f>AU429*IS!AU4</f>
        <v>2421.018</v>
      </c>
      <c r="AV420" s="670">
        <f>AV429*IS!AV4</f>
        <v>571.75547000000006</v>
      </c>
      <c r="AW420" s="670">
        <f>AW429*IS!AW4</f>
        <v>1088.5069800000001</v>
      </c>
      <c r="AX420" s="670">
        <f>AX429*IS!AX4</f>
        <v>2033.4661199999998</v>
      </c>
      <c r="AY420" s="670">
        <f>AY429*IS!AY4</f>
        <v>1531.7571</v>
      </c>
      <c r="AZ420" s="670">
        <f>AZ429*IS!AZ4</f>
        <v>2245.9262399999998</v>
      </c>
      <c r="BA420" s="670">
        <f>BA429*IS!BA4</f>
        <v>2512.4894999999997</v>
      </c>
      <c r="BB420" s="670">
        <f>BB429*IS!BB4</f>
        <v>3179.1012800000003</v>
      </c>
      <c r="BC420" s="670">
        <f>BC429*IS!BC4</f>
        <v>2588.7894100000003</v>
      </c>
      <c r="BD420" s="670">
        <f>BD429*IS!BD4</f>
        <v>2710.2604800000004</v>
      </c>
      <c r="BE420" s="670">
        <f>BE429*IS!BE4</f>
        <v>2627.7264</v>
      </c>
      <c r="BF420" s="670">
        <f>BF429*IS!BF4</f>
        <v>3063.3324800000005</v>
      </c>
      <c r="BG420" s="670">
        <f>BG429*IS!BG4</f>
        <v>2649.8470499999999</v>
      </c>
      <c r="BH420" s="670">
        <f>BH429*IS!BH4</f>
        <v>3221.2847800000004</v>
      </c>
      <c r="BI420" s="670">
        <f>BI429*IS!BI4</f>
        <v>2920.4960999999998</v>
      </c>
      <c r="BJ420" s="670">
        <f>BJ429*IS!BJ4</f>
        <v>3022.0039499999993</v>
      </c>
      <c r="BK420" s="670">
        <f>BK429*IS!BK4</f>
        <v>2730.4241999999995</v>
      </c>
      <c r="BL420" s="670">
        <f>BL429*IS!BL4</f>
        <v>2888.1061499999996</v>
      </c>
    </row>
    <row r="421" spans="1:64" s="13" customFormat="1" ht="11.25">
      <c r="A421" s="36" t="s">
        <v>738</v>
      </c>
      <c r="B421" s="36"/>
      <c r="C421" s="823" t="s">
        <v>750</v>
      </c>
      <c r="D421" s="823" t="s">
        <v>750</v>
      </c>
      <c r="E421" s="823" t="s">
        <v>750</v>
      </c>
      <c r="F421" s="823" t="s">
        <v>750</v>
      </c>
      <c r="G421" s="823" t="s">
        <v>750</v>
      </c>
      <c r="H421" s="823" t="s">
        <v>750</v>
      </c>
      <c r="I421" s="823" t="s">
        <v>750</v>
      </c>
      <c r="J421" s="823" t="s">
        <v>750</v>
      </c>
      <c r="K421" s="823" t="s">
        <v>750</v>
      </c>
      <c r="L421" s="823" t="s">
        <v>750</v>
      </c>
      <c r="M421" s="823" t="s">
        <v>750</v>
      </c>
      <c r="N421" s="823" t="s">
        <v>750</v>
      </c>
      <c r="O421" s="823" t="s">
        <v>750</v>
      </c>
      <c r="P421" s="823" t="s">
        <v>750</v>
      </c>
      <c r="Q421" s="823" t="s">
        <v>750</v>
      </c>
      <c r="R421" s="823" t="s">
        <v>750</v>
      </c>
      <c r="S421" s="823" t="s">
        <v>750</v>
      </c>
      <c r="T421" s="823" t="s">
        <v>750</v>
      </c>
      <c r="U421" s="823" t="s">
        <v>750</v>
      </c>
      <c r="V421" s="823" t="s">
        <v>750</v>
      </c>
      <c r="W421" s="823" t="s">
        <v>750</v>
      </c>
      <c r="X421" s="823" t="s">
        <v>750</v>
      </c>
      <c r="Y421" s="823" t="s">
        <v>750</v>
      </c>
      <c r="Z421" s="670">
        <f>Z430*IS!Z4</f>
        <v>1580.7088000000001</v>
      </c>
      <c r="AA421" s="670">
        <f>AA430*IS!AA4</f>
        <v>1395.4044600000002</v>
      </c>
      <c r="AB421" s="670">
        <f>AB430*IS!AB4</f>
        <v>1397.1495599999998</v>
      </c>
      <c r="AC421" s="670">
        <f>AC430*IS!AC4</f>
        <v>1151.41236</v>
      </c>
      <c r="AD421" s="670">
        <f>AD430*IS!AD4</f>
        <v>1254.09564</v>
      </c>
      <c r="AE421" s="670">
        <f>AE430*IS!AE4</f>
        <v>1194.8664000000001</v>
      </c>
      <c r="AF421" s="670">
        <f>AF430*IS!AF4</f>
        <v>1178.5238399999998</v>
      </c>
      <c r="AG421" s="670">
        <f>AG430*IS!AG4</f>
        <v>1248.25792</v>
      </c>
      <c r="AH421" s="670">
        <f>AH430*IS!AH4</f>
        <v>1364.9421500000001</v>
      </c>
      <c r="AI421" s="670">
        <f>AI430*IS!AI4</f>
        <v>1211.1887999999999</v>
      </c>
      <c r="AJ421" s="670">
        <f>AJ430*IS!AJ4</f>
        <v>1344.7723900000001</v>
      </c>
      <c r="AK421" s="670">
        <f>AK430*IS!AK4</f>
        <v>1257.0424799999998</v>
      </c>
      <c r="AL421" s="670">
        <f>AL430*IS!AL4</f>
        <v>1393.93488</v>
      </c>
      <c r="AM421" s="670">
        <f>AM430*IS!AM4</f>
        <v>1329.5837999999999</v>
      </c>
      <c r="AN421" s="670">
        <f>AN430*IS!AN4</f>
        <v>1359.06096</v>
      </c>
      <c r="AO421" s="670">
        <f>AO430*IS!AO4</f>
        <v>1365.0475200000001</v>
      </c>
      <c r="AP421" s="670">
        <f>AP430*IS!AP4</f>
        <v>1485.0986399999999</v>
      </c>
      <c r="AQ421" s="670">
        <f>AQ430*IS!AQ4</f>
        <v>2190.4940799999999</v>
      </c>
      <c r="AR421" s="670">
        <f>AR430*IS!AR4</f>
        <v>2332.8859200000002</v>
      </c>
      <c r="AS421" s="670">
        <f>AS430*IS!AS4</f>
        <v>2318.4795199999999</v>
      </c>
      <c r="AT421" s="670">
        <f>AT430*IS!AT4</f>
        <v>2616.8094900000001</v>
      </c>
      <c r="AU421" s="670">
        <f>AU430*IS!AU4</f>
        <v>2057.8653000000004</v>
      </c>
      <c r="AV421" s="670">
        <f>AV430*IS!AV4</f>
        <v>259.88884999999999</v>
      </c>
      <c r="AW421" s="670">
        <f>AW430*IS!AW4</f>
        <v>494.77590000000004</v>
      </c>
      <c r="AX421" s="670">
        <f>AX430*IS!AX4</f>
        <v>1581.5847600000002</v>
      </c>
      <c r="AY421" s="670">
        <f>AY430*IS!AY4</f>
        <v>1225.4056799999998</v>
      </c>
      <c r="AZ421" s="670">
        <f>AZ430*IS!AZ4</f>
        <v>1871.6052</v>
      </c>
      <c r="BA421" s="670">
        <f>BA430*IS!BA4</f>
        <v>1954.1585000000002</v>
      </c>
      <c r="BB421" s="670">
        <f>BB430*IS!BB4</f>
        <v>2509.8168000000001</v>
      </c>
      <c r="BC421" s="670">
        <f>BC430*IS!BC4</f>
        <v>2131.9442200000003</v>
      </c>
      <c r="BD421" s="670">
        <f>BD430*IS!BD4</f>
        <v>2371.4779200000003</v>
      </c>
      <c r="BE421" s="670">
        <f>BE430*IS!BE4</f>
        <v>2277.3628800000001</v>
      </c>
      <c r="BF421" s="670">
        <f>BF430*IS!BF4</f>
        <v>2680.4159200000004</v>
      </c>
      <c r="BG421" s="670">
        <f>BG430*IS!BG4</f>
        <v>2296.5341100000001</v>
      </c>
      <c r="BH421" s="670">
        <f>BH430*IS!BH4</f>
        <v>2463.3354200000003</v>
      </c>
      <c r="BI421" s="670">
        <f>BI430*IS!BI4</f>
        <v>2531.0966199999998</v>
      </c>
      <c r="BJ421" s="670">
        <f>BJ430*IS!BJ4</f>
        <v>2820.5370200000002</v>
      </c>
      <c r="BK421" s="670">
        <f>BK430*IS!BK4</f>
        <v>2548.3959200000004</v>
      </c>
      <c r="BL421" s="670">
        <f>BL430*IS!BL4</f>
        <v>2695.5657400000005</v>
      </c>
    </row>
    <row r="422" spans="1:64" s="13" customFormat="1" ht="11.25">
      <c r="A422" s="36" t="s">
        <v>1043</v>
      </c>
      <c r="B422" s="36"/>
      <c r="C422" s="823" t="s">
        <v>750</v>
      </c>
      <c r="D422" s="823" t="s">
        <v>750</v>
      </c>
      <c r="E422" s="823" t="s">
        <v>750</v>
      </c>
      <c r="F422" s="823" t="s">
        <v>750</v>
      </c>
      <c r="G422" s="823" t="s">
        <v>750</v>
      </c>
      <c r="H422" s="823" t="s">
        <v>750</v>
      </c>
      <c r="I422" s="823" t="s">
        <v>750</v>
      </c>
      <c r="J422" s="823" t="s">
        <v>750</v>
      </c>
      <c r="K422" s="823" t="s">
        <v>750</v>
      </c>
      <c r="L422" s="823" t="s">
        <v>750</v>
      </c>
      <c r="M422" s="823" t="s">
        <v>750</v>
      </c>
      <c r="N422" s="823" t="s">
        <v>750</v>
      </c>
      <c r="O422" s="823" t="s">
        <v>750</v>
      </c>
      <c r="P422" s="823" t="s">
        <v>750</v>
      </c>
      <c r="Q422" s="823" t="s">
        <v>750</v>
      </c>
      <c r="R422" s="823" t="s">
        <v>750</v>
      </c>
      <c r="S422" s="823" t="s">
        <v>750</v>
      </c>
      <c r="T422" s="823" t="s">
        <v>750</v>
      </c>
      <c r="U422" s="823" t="s">
        <v>750</v>
      </c>
      <c r="V422" s="823" t="s">
        <v>750</v>
      </c>
      <c r="W422" s="823" t="s">
        <v>750</v>
      </c>
      <c r="X422" s="823" t="s">
        <v>750</v>
      </c>
      <c r="Y422" s="823" t="s">
        <v>750</v>
      </c>
      <c r="Z422" s="670">
        <f>Z431*IS!Z4</f>
        <v>316.14175999999998</v>
      </c>
      <c r="AA422" s="670">
        <f>AA431*IS!AA4</f>
        <v>293.76936000000001</v>
      </c>
      <c r="AB422" s="670">
        <f>AB431*IS!AB4</f>
        <v>310.47768000000002</v>
      </c>
      <c r="AC422" s="670">
        <f>AC431*IS!AC4</f>
        <v>328.97496000000001</v>
      </c>
      <c r="AD422" s="670">
        <f>AD431*IS!AD4</f>
        <v>358.31303999999994</v>
      </c>
      <c r="AE422" s="670">
        <f>AE431*IS!AE4</f>
        <v>341.3904</v>
      </c>
      <c r="AF422" s="670">
        <f>AF431*IS!AF4</f>
        <v>362.62271999999996</v>
      </c>
      <c r="AG422" s="670">
        <f>AG431*IS!AG4</f>
        <v>384.07936000000001</v>
      </c>
      <c r="AH422" s="670">
        <f>AH431*IS!AH4</f>
        <v>419.98220000000003</v>
      </c>
      <c r="AI422" s="670">
        <f>AI431*IS!AI4</f>
        <v>403.7296</v>
      </c>
      <c r="AJ422" s="670">
        <f>AJ431*IS!AJ4</f>
        <v>310.33208999999999</v>
      </c>
      <c r="AK422" s="670">
        <f>AK431*IS!AK4</f>
        <v>314.26061999999996</v>
      </c>
      <c r="AL422" s="670">
        <f>AL431*IS!AL4</f>
        <v>348.48372000000001</v>
      </c>
      <c r="AM422" s="670">
        <f>AM431*IS!AM4</f>
        <v>221.59729999999999</v>
      </c>
      <c r="AN422" s="670">
        <f>AN431*IS!AN4</f>
        <v>339.76524000000001</v>
      </c>
      <c r="AO422" s="670">
        <f>AO431*IS!AO4</f>
        <v>227.50792000000001</v>
      </c>
      <c r="AP422" s="670">
        <f>AP431*IS!AP4</f>
        <v>371.27465999999998</v>
      </c>
      <c r="AQ422" s="670">
        <f>AQ431*IS!AQ4</f>
        <v>410.71763999999996</v>
      </c>
      <c r="AR422" s="670">
        <f>AR431*IS!AR4</f>
        <v>437.41611</v>
      </c>
      <c r="AS422" s="670">
        <f>AS431*IS!AS4</f>
        <v>434.71490999999997</v>
      </c>
      <c r="AT422" s="670">
        <f>AT431*IS!AT4</f>
        <v>307.85993999999999</v>
      </c>
      <c r="AU422" s="670">
        <f>AU431*IS!AU4</f>
        <v>363.15269999999998</v>
      </c>
      <c r="AV422" s="670">
        <f>AV431*IS!AV4</f>
        <v>311.86662000000001</v>
      </c>
      <c r="AW422" s="670">
        <f>AW431*IS!AW4</f>
        <v>593.73108000000002</v>
      </c>
      <c r="AX422" s="670">
        <f>AX431*IS!AX4</f>
        <v>451.88135999999997</v>
      </c>
      <c r="AY422" s="670">
        <f>AY431*IS!AY4</f>
        <v>306.35141999999996</v>
      </c>
      <c r="AZ422" s="670">
        <f>AZ431*IS!AZ4</f>
        <v>374.32103999999998</v>
      </c>
      <c r="BA422" s="670">
        <f>BA431*IS!BA4</f>
        <v>418.74824999999998</v>
      </c>
      <c r="BB422" s="670">
        <f>BB431*IS!BB4</f>
        <v>501.96336000000002</v>
      </c>
      <c r="BC422" s="670">
        <f>BC431*IS!BC4</f>
        <v>456.84519</v>
      </c>
      <c r="BD422" s="670">
        <f>BD431*IS!BD4</f>
        <v>508.17383999999998</v>
      </c>
      <c r="BE422" s="670">
        <f>BE431*IS!BE4</f>
        <v>525.54527999999993</v>
      </c>
      <c r="BF422" s="670">
        <f>BF431*IS!BF4</f>
        <v>574.37484000000006</v>
      </c>
      <c r="BG422" s="670">
        <f>BG431*IS!BG4</f>
        <v>529.96941000000004</v>
      </c>
      <c r="BH422" s="670">
        <f>BH431*IS!BH4</f>
        <v>568.46201999999994</v>
      </c>
      <c r="BI422" s="670">
        <f>BI431*IS!BI4</f>
        <v>584.09921999999995</v>
      </c>
      <c r="BJ422" s="670">
        <f>BJ431*IS!BJ4</f>
        <v>604.40078999999992</v>
      </c>
      <c r="BK422" s="670">
        <f>BK431*IS!BK4</f>
        <v>546.08483999999999</v>
      </c>
      <c r="BL422" s="670">
        <f>BL431*IS!BL4</f>
        <v>577.62122999999997</v>
      </c>
    </row>
    <row r="423" spans="1:64" s="13" customFormat="1" ht="11.25">
      <c r="A423" s="13" t="s">
        <v>325</v>
      </c>
      <c r="C423" s="824">
        <f t="shared" ref="C423:AQ423" si="833">SUM(C418:C422)</f>
        <v>0</v>
      </c>
      <c r="D423" s="824">
        <f t="shared" si="833"/>
        <v>0</v>
      </c>
      <c r="E423" s="824">
        <f t="shared" si="833"/>
        <v>0</v>
      </c>
      <c r="F423" s="824">
        <f t="shared" si="833"/>
        <v>0</v>
      </c>
      <c r="G423" s="824">
        <f t="shared" si="833"/>
        <v>0</v>
      </c>
      <c r="H423" s="824">
        <f t="shared" si="833"/>
        <v>0</v>
      </c>
      <c r="I423" s="824">
        <f t="shared" si="833"/>
        <v>0</v>
      </c>
      <c r="J423" s="824">
        <f t="shared" si="833"/>
        <v>0</v>
      </c>
      <c r="K423" s="824">
        <f t="shared" si="833"/>
        <v>0</v>
      </c>
      <c r="L423" s="824">
        <f t="shared" si="833"/>
        <v>0</v>
      </c>
      <c r="M423" s="824">
        <f t="shared" si="833"/>
        <v>0</v>
      </c>
      <c r="N423" s="824">
        <f t="shared" si="833"/>
        <v>0</v>
      </c>
      <c r="O423" s="824">
        <f t="shared" si="833"/>
        <v>0</v>
      </c>
      <c r="P423" s="824">
        <f t="shared" si="833"/>
        <v>0</v>
      </c>
      <c r="Q423" s="824">
        <f t="shared" si="833"/>
        <v>0</v>
      </c>
      <c r="R423" s="824">
        <f t="shared" si="833"/>
        <v>0</v>
      </c>
      <c r="S423" s="824">
        <f t="shared" si="833"/>
        <v>0</v>
      </c>
      <c r="T423" s="824">
        <f t="shared" si="833"/>
        <v>0</v>
      </c>
      <c r="U423" s="824">
        <f t="shared" si="833"/>
        <v>0</v>
      </c>
      <c r="V423" s="824">
        <f t="shared" si="833"/>
        <v>0</v>
      </c>
      <c r="W423" s="824">
        <f t="shared" si="833"/>
        <v>0</v>
      </c>
      <c r="X423" s="824">
        <f t="shared" si="833"/>
        <v>0</v>
      </c>
      <c r="Y423" s="824">
        <f t="shared" si="833"/>
        <v>0</v>
      </c>
      <c r="Z423" s="824">
        <f t="shared" si="833"/>
        <v>7903.5439999999999</v>
      </c>
      <c r="AA423" s="824">
        <f t="shared" si="833"/>
        <v>7344.2340000000004</v>
      </c>
      <c r="AB423" s="824">
        <f t="shared" si="833"/>
        <v>7761.9419999999991</v>
      </c>
      <c r="AC423" s="824">
        <f t="shared" si="833"/>
        <v>8224.3739999999998</v>
      </c>
      <c r="AD423" s="824">
        <f t="shared" si="833"/>
        <v>8957.8259999999991</v>
      </c>
      <c r="AE423" s="824">
        <f t="shared" si="833"/>
        <v>8534.76</v>
      </c>
      <c r="AF423" s="824">
        <f t="shared" si="833"/>
        <v>9065.5679999999993</v>
      </c>
      <c r="AG423" s="824">
        <f t="shared" si="833"/>
        <v>9601.9840000000004</v>
      </c>
      <c r="AH423" s="824">
        <f t="shared" si="833"/>
        <v>10499.555000000002</v>
      </c>
      <c r="AI423" s="824">
        <f t="shared" si="833"/>
        <v>10093.240000000002</v>
      </c>
      <c r="AJ423" s="824">
        <f t="shared" si="833"/>
        <v>10344.403</v>
      </c>
      <c r="AK423" s="824">
        <f t="shared" si="833"/>
        <v>10475.353999999998</v>
      </c>
      <c r="AL423" s="824">
        <f t="shared" si="833"/>
        <v>11616.124</v>
      </c>
      <c r="AM423" s="824">
        <f t="shared" si="833"/>
        <v>11079.865</v>
      </c>
      <c r="AN423" s="824">
        <f t="shared" si="833"/>
        <v>11325.508000000002</v>
      </c>
      <c r="AO423" s="824">
        <f t="shared" si="833"/>
        <v>11375.396000000001</v>
      </c>
      <c r="AP423" s="824">
        <f t="shared" si="833"/>
        <v>12375.822</v>
      </c>
      <c r="AQ423" s="824">
        <f t="shared" si="833"/>
        <v>13690.588000000002</v>
      </c>
      <c r="AR423" s="824">
        <f t="shared" ref="AR423:AW423" si="834">SUM(AR418:AR422)</f>
        <v>14580.537000000002</v>
      </c>
      <c r="AS423" s="824">
        <f t="shared" si="834"/>
        <v>14490.497000000001</v>
      </c>
      <c r="AT423" s="824">
        <f t="shared" si="834"/>
        <v>15392.996999999999</v>
      </c>
      <c r="AU423" s="824">
        <f t="shared" si="834"/>
        <v>12105.090000000002</v>
      </c>
      <c r="AV423" s="824">
        <f t="shared" si="834"/>
        <v>5197.777</v>
      </c>
      <c r="AW423" s="824">
        <f t="shared" si="834"/>
        <v>9895.5180000000018</v>
      </c>
      <c r="AX423" s="824">
        <f t="shared" ref="AX423:BD423" si="835">SUM(AX418:AX422)</f>
        <v>11297.033999999998</v>
      </c>
      <c r="AY423" s="824">
        <f t="shared" si="835"/>
        <v>10211.714</v>
      </c>
      <c r="AZ423" s="824">
        <f t="shared" si="835"/>
        <v>12477.368</v>
      </c>
      <c r="BA423" s="824">
        <f t="shared" si="835"/>
        <v>13958.275</v>
      </c>
      <c r="BB423" s="824">
        <f t="shared" si="835"/>
        <v>16732.112000000001</v>
      </c>
      <c r="BC423" s="824">
        <f t="shared" si="835"/>
        <v>15228.173000000003</v>
      </c>
      <c r="BD423" s="824">
        <f t="shared" si="835"/>
        <v>16939.128000000001</v>
      </c>
      <c r="BE423" s="464">
        <f t="shared" ref="BE423:BJ423" si="836">SUM(BE418:BE422)</f>
        <v>17518.175999999999</v>
      </c>
      <c r="BF423" s="464">
        <f t="shared" si="836"/>
        <v>19145.828000000001</v>
      </c>
      <c r="BG423" s="464">
        <f t="shared" si="836"/>
        <v>17665.647000000001</v>
      </c>
      <c r="BH423" s="464">
        <f t="shared" si="836"/>
        <v>18948.734</v>
      </c>
      <c r="BI423" s="464">
        <f t="shared" si="836"/>
        <v>19469.973999999998</v>
      </c>
      <c r="BJ423" s="464">
        <f t="shared" si="836"/>
        <v>20146.692999999999</v>
      </c>
      <c r="BK423" s="464">
        <f t="shared" ref="BK423:BL423" si="837">SUM(BK418:BK422)</f>
        <v>18202.828000000001</v>
      </c>
      <c r="BL423" s="464">
        <f t="shared" si="837"/>
        <v>19254.041000000001</v>
      </c>
    </row>
    <row r="424" spans="1:64" s="13" customFormat="1" ht="11.25">
      <c r="A424" s="128"/>
      <c r="B424" s="128"/>
      <c r="C424" s="822"/>
      <c r="D424" s="822"/>
      <c r="E424" s="822"/>
      <c r="F424" s="822"/>
      <c r="G424" s="822"/>
      <c r="H424" s="822"/>
      <c r="I424" s="822"/>
      <c r="J424" s="822"/>
      <c r="K424" s="822"/>
      <c r="L424" s="822"/>
      <c r="M424" s="822"/>
      <c r="N424" s="822"/>
      <c r="O424" s="822"/>
      <c r="P424" s="822"/>
      <c r="Q424" s="822"/>
      <c r="R424" s="822"/>
      <c r="S424" s="822"/>
      <c r="T424" s="822"/>
      <c r="U424" s="822"/>
      <c r="V424" s="822"/>
      <c r="W424" s="822"/>
      <c r="X424" s="822"/>
      <c r="Y424" s="822"/>
      <c r="Z424" s="822"/>
      <c r="AA424" s="822"/>
      <c r="AB424" s="822"/>
      <c r="AC424" s="822"/>
      <c r="AD424" s="822"/>
      <c r="AE424" s="822"/>
      <c r="AF424" s="822"/>
      <c r="AG424" s="822"/>
      <c r="AH424" s="822"/>
      <c r="AI424" s="822"/>
      <c r="AJ424" s="822"/>
      <c r="AK424" s="822"/>
      <c r="AL424" s="822"/>
      <c r="AM424" s="822"/>
      <c r="AN424" s="822"/>
      <c r="AO424" s="822"/>
      <c r="AP424" s="822"/>
      <c r="AQ424" s="822"/>
      <c r="AR424" s="822"/>
      <c r="AS424" s="822"/>
      <c r="AT424" s="822"/>
      <c r="AU424" s="822"/>
      <c r="AV424" s="822"/>
      <c r="AW424" s="822"/>
      <c r="AX424" s="822"/>
      <c r="AY424" s="822"/>
      <c r="AZ424" s="822"/>
      <c r="BA424" s="822"/>
      <c r="BB424" s="822"/>
      <c r="BC424" s="822"/>
      <c r="BD424" s="822"/>
      <c r="BE424" s="822"/>
      <c r="BF424" s="822"/>
      <c r="BG424" s="822"/>
      <c r="BH424" s="822"/>
      <c r="BI424" s="822"/>
      <c r="BJ424" s="822"/>
      <c r="BK424" s="822"/>
      <c r="BL424" s="822"/>
    </row>
    <row r="425" spans="1:64" s="9" customFormat="1" ht="11.25"/>
    <row r="426" spans="1:64" s="9" customFormat="1" ht="11.25">
      <c r="A426" s="13" t="s">
        <v>883</v>
      </c>
      <c r="B426" s="13"/>
    </row>
    <row r="427" spans="1:64" s="9" customFormat="1" ht="11.25">
      <c r="A427" s="36" t="s">
        <v>735</v>
      </c>
      <c r="B427" s="36"/>
      <c r="C427" s="650" t="s">
        <v>750</v>
      </c>
      <c r="D427" s="650" t="s">
        <v>750</v>
      </c>
      <c r="E427" s="650" t="s">
        <v>750</v>
      </c>
      <c r="F427" s="650" t="s">
        <v>750</v>
      </c>
      <c r="G427" s="650" t="s">
        <v>750</v>
      </c>
      <c r="H427" s="650" t="s">
        <v>750</v>
      </c>
      <c r="I427" s="650" t="s">
        <v>750</v>
      </c>
      <c r="J427" s="650" t="s">
        <v>750</v>
      </c>
      <c r="K427" s="650" t="s">
        <v>750</v>
      </c>
      <c r="L427" s="650" t="s">
        <v>750</v>
      </c>
      <c r="M427" s="650" t="s">
        <v>750</v>
      </c>
      <c r="N427" s="650" t="s">
        <v>750</v>
      </c>
      <c r="O427" s="650" t="s">
        <v>750</v>
      </c>
      <c r="P427" s="650" t="s">
        <v>750</v>
      </c>
      <c r="Q427" s="650" t="s">
        <v>750</v>
      </c>
      <c r="R427" s="650" t="s">
        <v>750</v>
      </c>
      <c r="S427" s="650" t="s">
        <v>750</v>
      </c>
      <c r="T427" s="650" t="s">
        <v>750</v>
      </c>
      <c r="U427" s="650" t="s">
        <v>750</v>
      </c>
      <c r="V427" s="650" t="s">
        <v>750</v>
      </c>
      <c r="W427" s="650" t="s">
        <v>750</v>
      </c>
      <c r="X427" s="650" t="s">
        <v>750</v>
      </c>
      <c r="Y427" s="650" t="s">
        <v>750</v>
      </c>
      <c r="Z427" s="646">
        <v>0.34</v>
      </c>
      <c r="AA427" s="646">
        <v>0.35</v>
      </c>
      <c r="AB427" s="646">
        <v>0.36</v>
      </c>
      <c r="AC427" s="646">
        <v>0.37</v>
      </c>
      <c r="AD427" s="646">
        <v>0.37</v>
      </c>
      <c r="AE427" s="646">
        <v>0.37</v>
      </c>
      <c r="AF427" s="646">
        <v>0.38</v>
      </c>
      <c r="AG427" s="646">
        <v>0.38</v>
      </c>
      <c r="AH427" s="646">
        <v>0.38</v>
      </c>
      <c r="AI427" s="646">
        <v>0.4</v>
      </c>
      <c r="AJ427" s="646">
        <v>0.39</v>
      </c>
      <c r="AK427" s="646">
        <v>0.4</v>
      </c>
      <c r="AL427" s="646">
        <v>0.4</v>
      </c>
      <c r="AM427" s="646">
        <v>0.41</v>
      </c>
      <c r="AN427" s="646">
        <v>0.4</v>
      </c>
      <c r="AO427" s="646">
        <v>0.4</v>
      </c>
      <c r="AP427" s="646">
        <v>0.4</v>
      </c>
      <c r="AQ427" s="646">
        <v>0.32</v>
      </c>
      <c r="AR427" s="646">
        <v>0.32</v>
      </c>
      <c r="AS427" s="646">
        <v>0.32</v>
      </c>
      <c r="AT427" s="646">
        <v>0.31</v>
      </c>
      <c r="AU427" s="646">
        <v>0.32</v>
      </c>
      <c r="AV427" s="225">
        <v>0.56000000000000005</v>
      </c>
      <c r="AW427" s="225">
        <v>0.56000000000000005</v>
      </c>
      <c r="AX427" s="225">
        <v>0.36</v>
      </c>
      <c r="AY427" s="225">
        <v>0.4</v>
      </c>
      <c r="AZ427" s="225">
        <v>0.35</v>
      </c>
      <c r="BA427" s="225">
        <v>0.33</v>
      </c>
      <c r="BB427" s="225">
        <v>0.32</v>
      </c>
      <c r="BC427" s="225">
        <v>0.35</v>
      </c>
      <c r="BD427" s="225">
        <v>0.34</v>
      </c>
      <c r="BE427" s="225">
        <v>0.33</v>
      </c>
      <c r="BF427" s="225">
        <v>0.31</v>
      </c>
      <c r="BG427" s="225">
        <v>0.32</v>
      </c>
      <c r="BH427" s="225">
        <f>14%+17%</f>
        <v>0.31000000000000005</v>
      </c>
      <c r="BI427" s="225">
        <v>0.31</v>
      </c>
      <c r="BJ427" s="2052">
        <v>0.3</v>
      </c>
      <c r="BK427" s="2052">
        <f>BJ427</f>
        <v>0.3</v>
      </c>
      <c r="BL427" s="2052">
        <f t="shared" ref="BL427:BL431" si="838">BK427</f>
        <v>0.3</v>
      </c>
    </row>
    <row r="428" spans="1:64" s="9" customFormat="1" ht="11.25">
      <c r="A428" s="36" t="s">
        <v>737</v>
      </c>
      <c r="B428" s="36"/>
      <c r="C428" s="650" t="s">
        <v>750</v>
      </c>
      <c r="D428" s="650" t="s">
        <v>750</v>
      </c>
      <c r="E428" s="650" t="s">
        <v>750</v>
      </c>
      <c r="F428" s="650" t="s">
        <v>750</v>
      </c>
      <c r="G428" s="650" t="s">
        <v>750</v>
      </c>
      <c r="H428" s="650" t="s">
        <v>750</v>
      </c>
      <c r="I428" s="650" t="s">
        <v>750</v>
      </c>
      <c r="J428" s="650" t="s">
        <v>750</v>
      </c>
      <c r="K428" s="650" t="s">
        <v>750</v>
      </c>
      <c r="L428" s="650" t="s">
        <v>750</v>
      </c>
      <c r="M428" s="650" t="s">
        <v>750</v>
      </c>
      <c r="N428" s="650" t="s">
        <v>750</v>
      </c>
      <c r="O428" s="650" t="s">
        <v>750</v>
      </c>
      <c r="P428" s="650" t="s">
        <v>750</v>
      </c>
      <c r="Q428" s="650" t="s">
        <v>750</v>
      </c>
      <c r="R428" s="650" t="s">
        <v>750</v>
      </c>
      <c r="S428" s="650" t="s">
        <v>750</v>
      </c>
      <c r="T428" s="650" t="s">
        <v>750</v>
      </c>
      <c r="U428" s="650" t="s">
        <v>750</v>
      </c>
      <c r="V428" s="650" t="s">
        <v>750</v>
      </c>
      <c r="W428" s="650" t="s">
        <v>750</v>
      </c>
      <c r="X428" s="650" t="s">
        <v>750</v>
      </c>
      <c r="Y428" s="650" t="s">
        <v>750</v>
      </c>
      <c r="Z428" s="646">
        <v>0.21</v>
      </c>
      <c r="AA428" s="646">
        <v>0.22</v>
      </c>
      <c r="AB428" s="646">
        <v>0.22</v>
      </c>
      <c r="AC428" s="646">
        <v>0.22</v>
      </c>
      <c r="AD428" s="646">
        <v>0.22</v>
      </c>
      <c r="AE428" s="646">
        <v>0.22</v>
      </c>
      <c r="AF428" s="646">
        <v>0.22</v>
      </c>
      <c r="AG428" s="646">
        <v>0.23</v>
      </c>
      <c r="AH428" s="646">
        <v>0.22</v>
      </c>
      <c r="AI428" s="646">
        <v>0.22</v>
      </c>
      <c r="AJ428" s="646">
        <v>0.23</v>
      </c>
      <c r="AK428" s="646">
        <v>0.23</v>
      </c>
      <c r="AL428" s="646">
        <v>0.23</v>
      </c>
      <c r="AM428" s="646">
        <v>0.23</v>
      </c>
      <c r="AN428" s="646">
        <v>0.23</v>
      </c>
      <c r="AO428" s="646">
        <v>0.23</v>
      </c>
      <c r="AP428" s="646">
        <v>0.23</v>
      </c>
      <c r="AQ428" s="646">
        <v>0.25</v>
      </c>
      <c r="AR428" s="646">
        <v>0.27</v>
      </c>
      <c r="AS428" s="646">
        <v>0.27</v>
      </c>
      <c r="AT428" s="646">
        <v>0.27</v>
      </c>
      <c r="AU428" s="646">
        <v>0.28000000000000003</v>
      </c>
      <c r="AV428" s="225">
        <v>0.22</v>
      </c>
      <c r="AW428" s="225">
        <v>0.22</v>
      </c>
      <c r="AX428" s="225">
        <v>0.28000000000000003</v>
      </c>
      <c r="AY428" s="225">
        <v>0.3</v>
      </c>
      <c r="AZ428" s="225">
        <v>0.28999999999999998</v>
      </c>
      <c r="BA428" s="225">
        <v>0.32</v>
      </c>
      <c r="BB428" s="225">
        <v>0.31</v>
      </c>
      <c r="BC428" s="225">
        <v>0.31</v>
      </c>
      <c r="BD428" s="225">
        <v>0.33</v>
      </c>
      <c r="BE428" s="225">
        <v>0.36</v>
      </c>
      <c r="BF428" s="225">
        <v>0.36</v>
      </c>
      <c r="BG428" s="225">
        <v>0.37</v>
      </c>
      <c r="BH428" s="225">
        <v>0.36</v>
      </c>
      <c r="BI428" s="225">
        <v>0.38</v>
      </c>
      <c r="BJ428" s="2052">
        <v>0.38</v>
      </c>
      <c r="BK428" s="2052">
        <f t="shared" ref="BK428:BK431" si="839">BJ428</f>
        <v>0.38</v>
      </c>
      <c r="BL428" s="2052">
        <f t="shared" si="838"/>
        <v>0.38</v>
      </c>
    </row>
    <row r="429" spans="1:64" s="9" customFormat="1" ht="11.25">
      <c r="A429" s="36" t="s">
        <v>736</v>
      </c>
      <c r="B429" s="36"/>
      <c r="C429" s="650" t="s">
        <v>750</v>
      </c>
      <c r="D429" s="650" t="s">
        <v>750</v>
      </c>
      <c r="E429" s="650" t="s">
        <v>750</v>
      </c>
      <c r="F429" s="650" t="s">
        <v>750</v>
      </c>
      <c r="G429" s="650" t="s">
        <v>750</v>
      </c>
      <c r="H429" s="650" t="s">
        <v>750</v>
      </c>
      <c r="I429" s="650" t="s">
        <v>750</v>
      </c>
      <c r="J429" s="650" t="s">
        <v>750</v>
      </c>
      <c r="K429" s="650" t="s">
        <v>750</v>
      </c>
      <c r="L429" s="650" t="s">
        <v>750</v>
      </c>
      <c r="M429" s="650" t="s">
        <v>750</v>
      </c>
      <c r="N429" s="650" t="s">
        <v>750</v>
      </c>
      <c r="O429" s="650" t="s">
        <v>750</v>
      </c>
      <c r="P429" s="650" t="s">
        <v>750</v>
      </c>
      <c r="Q429" s="650" t="s">
        <v>750</v>
      </c>
      <c r="R429" s="650" t="s">
        <v>750</v>
      </c>
      <c r="S429" s="650" t="s">
        <v>750</v>
      </c>
      <c r="T429" s="650" t="s">
        <v>750</v>
      </c>
      <c r="U429" s="650" t="s">
        <v>750</v>
      </c>
      <c r="V429" s="650" t="s">
        <v>750</v>
      </c>
      <c r="W429" s="650" t="s">
        <v>750</v>
      </c>
      <c r="X429" s="650" t="s">
        <v>750</v>
      </c>
      <c r="Y429" s="650" t="s">
        <v>750</v>
      </c>
      <c r="Z429" s="646">
        <v>0.21</v>
      </c>
      <c r="AA429" s="646">
        <v>0.2</v>
      </c>
      <c r="AB429" s="646">
        <v>0.2</v>
      </c>
      <c r="AC429" s="646">
        <v>0.23</v>
      </c>
      <c r="AD429" s="646">
        <v>0.23</v>
      </c>
      <c r="AE429" s="646">
        <v>0.23</v>
      </c>
      <c r="AF429" s="646">
        <v>0.23</v>
      </c>
      <c r="AG429" s="646">
        <v>0.22</v>
      </c>
      <c r="AH429" s="646">
        <v>0.23</v>
      </c>
      <c r="AI429" s="646">
        <v>0.22</v>
      </c>
      <c r="AJ429" s="646">
        <v>0.22</v>
      </c>
      <c r="AK429" s="646">
        <v>0.22</v>
      </c>
      <c r="AL429" s="646">
        <v>0.22</v>
      </c>
      <c r="AM429" s="646">
        <v>0.22</v>
      </c>
      <c r="AN429" s="646">
        <v>0.22</v>
      </c>
      <c r="AO429" s="646">
        <v>0.23</v>
      </c>
      <c r="AP429" s="646">
        <v>0.22</v>
      </c>
      <c r="AQ429" s="646">
        <f>23%+1%</f>
        <v>0.24000000000000002</v>
      </c>
      <c r="AR429" s="646">
        <f>21%+1%</f>
        <v>0.22</v>
      </c>
      <c r="AS429" s="646">
        <f>21%+1%</f>
        <v>0.22</v>
      </c>
      <c r="AT429" s="646">
        <f>22%+1%</f>
        <v>0.23</v>
      </c>
      <c r="AU429" s="646">
        <v>0.2</v>
      </c>
      <c r="AV429" s="225">
        <v>0.11</v>
      </c>
      <c r="AW429" s="225">
        <v>0.11</v>
      </c>
      <c r="AX429" s="225">
        <v>0.18</v>
      </c>
      <c r="AY429" s="225">
        <v>0.15</v>
      </c>
      <c r="AZ429" s="225">
        <v>0.18</v>
      </c>
      <c r="BA429" s="225">
        <v>0.18</v>
      </c>
      <c r="BB429" s="225">
        <v>0.19</v>
      </c>
      <c r="BC429" s="225">
        <v>0.17</v>
      </c>
      <c r="BD429" s="225">
        <v>0.16</v>
      </c>
      <c r="BE429" s="225">
        <v>0.15</v>
      </c>
      <c r="BF429" s="225">
        <v>0.16</v>
      </c>
      <c r="BG429" s="225">
        <v>0.15</v>
      </c>
      <c r="BH429" s="225">
        <v>0.17</v>
      </c>
      <c r="BI429" s="225">
        <v>0.15</v>
      </c>
      <c r="BJ429" s="2052">
        <f>29%-BJ430</f>
        <v>0.14999999999999997</v>
      </c>
      <c r="BK429" s="2052">
        <f t="shared" si="839"/>
        <v>0.14999999999999997</v>
      </c>
      <c r="BL429" s="2052">
        <f t="shared" si="838"/>
        <v>0.14999999999999997</v>
      </c>
    </row>
    <row r="430" spans="1:64" s="9" customFormat="1" ht="11.25">
      <c r="A430" s="36" t="s">
        <v>738</v>
      </c>
      <c r="B430" s="36"/>
      <c r="C430" s="650" t="s">
        <v>750</v>
      </c>
      <c r="D430" s="650" t="s">
        <v>750</v>
      </c>
      <c r="E430" s="650" t="s">
        <v>750</v>
      </c>
      <c r="F430" s="650" t="s">
        <v>750</v>
      </c>
      <c r="G430" s="650" t="s">
        <v>750</v>
      </c>
      <c r="H430" s="650" t="s">
        <v>750</v>
      </c>
      <c r="I430" s="650" t="s">
        <v>750</v>
      </c>
      <c r="J430" s="650" t="s">
        <v>750</v>
      </c>
      <c r="K430" s="650" t="s">
        <v>750</v>
      </c>
      <c r="L430" s="650" t="s">
        <v>750</v>
      </c>
      <c r="M430" s="650" t="s">
        <v>750</v>
      </c>
      <c r="N430" s="650" t="s">
        <v>750</v>
      </c>
      <c r="O430" s="650" t="s">
        <v>750</v>
      </c>
      <c r="P430" s="650" t="s">
        <v>750</v>
      </c>
      <c r="Q430" s="650" t="s">
        <v>750</v>
      </c>
      <c r="R430" s="650" t="s">
        <v>750</v>
      </c>
      <c r="S430" s="650" t="s">
        <v>750</v>
      </c>
      <c r="T430" s="650" t="s">
        <v>750</v>
      </c>
      <c r="U430" s="650" t="s">
        <v>750</v>
      </c>
      <c r="V430" s="650" t="s">
        <v>750</v>
      </c>
      <c r="W430" s="650" t="s">
        <v>750</v>
      </c>
      <c r="X430" s="650" t="s">
        <v>750</v>
      </c>
      <c r="Y430" s="650" t="s">
        <v>750</v>
      </c>
      <c r="Z430" s="646">
        <v>0.2</v>
      </c>
      <c r="AA430" s="646">
        <v>0.19</v>
      </c>
      <c r="AB430" s="646">
        <v>0.18</v>
      </c>
      <c r="AC430" s="646">
        <v>0.14000000000000001</v>
      </c>
      <c r="AD430" s="646">
        <v>0.14000000000000001</v>
      </c>
      <c r="AE430" s="646">
        <v>0.14000000000000001</v>
      </c>
      <c r="AF430" s="646">
        <v>0.13</v>
      </c>
      <c r="AG430" s="646">
        <v>0.13</v>
      </c>
      <c r="AH430" s="646">
        <v>0.13</v>
      </c>
      <c r="AI430" s="646">
        <v>0.12</v>
      </c>
      <c r="AJ430" s="646">
        <v>0.13</v>
      </c>
      <c r="AK430" s="646">
        <v>0.12</v>
      </c>
      <c r="AL430" s="646">
        <v>0.12</v>
      </c>
      <c r="AM430" s="646">
        <v>0.12</v>
      </c>
      <c r="AN430" s="646">
        <v>0.12</v>
      </c>
      <c r="AO430" s="646">
        <v>0.12</v>
      </c>
      <c r="AP430" s="646">
        <v>0.12</v>
      </c>
      <c r="AQ430" s="646">
        <v>0.16</v>
      </c>
      <c r="AR430" s="646">
        <v>0.16</v>
      </c>
      <c r="AS430" s="646">
        <v>0.16</v>
      </c>
      <c r="AT430" s="646">
        <v>0.17</v>
      </c>
      <c r="AU430" s="646">
        <v>0.17</v>
      </c>
      <c r="AV430" s="225">
        <v>0.05</v>
      </c>
      <c r="AW430" s="225">
        <v>0.05</v>
      </c>
      <c r="AX430" s="225">
        <v>0.14000000000000001</v>
      </c>
      <c r="AY430" s="225">
        <v>0.12</v>
      </c>
      <c r="AZ430" s="225">
        <v>0.15</v>
      </c>
      <c r="BA430" s="225">
        <v>0.14000000000000001</v>
      </c>
      <c r="BB430" s="225">
        <v>0.15</v>
      </c>
      <c r="BC430" s="225">
        <v>0.14000000000000001</v>
      </c>
      <c r="BD430" s="225">
        <v>0.14000000000000001</v>
      </c>
      <c r="BE430" s="225">
        <v>0.13</v>
      </c>
      <c r="BF430" s="225">
        <v>0.14000000000000001</v>
      </c>
      <c r="BG430" s="225">
        <v>0.13</v>
      </c>
      <c r="BH430" s="225">
        <v>0.13</v>
      </c>
      <c r="BI430" s="225">
        <v>0.13</v>
      </c>
      <c r="BJ430" s="2052">
        <f>BF430</f>
        <v>0.14000000000000001</v>
      </c>
      <c r="BK430" s="2052">
        <f t="shared" si="839"/>
        <v>0.14000000000000001</v>
      </c>
      <c r="BL430" s="2052">
        <f t="shared" si="838"/>
        <v>0.14000000000000001</v>
      </c>
    </row>
    <row r="431" spans="1:64" s="9" customFormat="1" ht="11.25">
      <c r="A431" s="36" t="s">
        <v>1043</v>
      </c>
      <c r="B431" s="36"/>
      <c r="C431" s="650" t="s">
        <v>750</v>
      </c>
      <c r="D431" s="650" t="s">
        <v>750</v>
      </c>
      <c r="E431" s="650" t="s">
        <v>750</v>
      </c>
      <c r="F431" s="650" t="s">
        <v>750</v>
      </c>
      <c r="G431" s="650" t="s">
        <v>750</v>
      </c>
      <c r="H431" s="650" t="s">
        <v>750</v>
      </c>
      <c r="I431" s="650" t="s">
        <v>750</v>
      </c>
      <c r="J431" s="650" t="s">
        <v>750</v>
      </c>
      <c r="K431" s="650" t="s">
        <v>750</v>
      </c>
      <c r="L431" s="650" t="s">
        <v>750</v>
      </c>
      <c r="M431" s="650" t="s">
        <v>750</v>
      </c>
      <c r="N431" s="650" t="s">
        <v>750</v>
      </c>
      <c r="O431" s="650" t="s">
        <v>750</v>
      </c>
      <c r="P431" s="650" t="s">
        <v>750</v>
      </c>
      <c r="Q431" s="650" t="s">
        <v>750</v>
      </c>
      <c r="R431" s="650" t="s">
        <v>750</v>
      </c>
      <c r="S431" s="650" t="s">
        <v>750</v>
      </c>
      <c r="T431" s="650" t="s">
        <v>750</v>
      </c>
      <c r="U431" s="650" t="s">
        <v>750</v>
      </c>
      <c r="V431" s="650" t="s">
        <v>750</v>
      </c>
      <c r="W431" s="650" t="s">
        <v>750</v>
      </c>
      <c r="X431" s="650" t="s">
        <v>750</v>
      </c>
      <c r="Y431" s="650" t="s">
        <v>750</v>
      </c>
      <c r="Z431" s="646">
        <v>0.04</v>
      </c>
      <c r="AA431" s="646">
        <v>0.04</v>
      </c>
      <c r="AB431" s="646">
        <v>0.04</v>
      </c>
      <c r="AC431" s="646">
        <v>0.04</v>
      </c>
      <c r="AD431" s="646">
        <v>0.04</v>
      </c>
      <c r="AE431" s="646">
        <v>0.04</v>
      </c>
      <c r="AF431" s="646">
        <v>0.04</v>
      </c>
      <c r="AG431" s="646">
        <v>0.04</v>
      </c>
      <c r="AH431" s="646">
        <v>0.04</v>
      </c>
      <c r="AI431" s="646">
        <v>0.04</v>
      </c>
      <c r="AJ431" s="646">
        <v>0.03</v>
      </c>
      <c r="AK431" s="646">
        <v>0.03</v>
      </c>
      <c r="AL431" s="646">
        <v>0.03</v>
      </c>
      <c r="AM431" s="646">
        <v>0.02</v>
      </c>
      <c r="AN431" s="646">
        <v>0.03</v>
      </c>
      <c r="AO431" s="646">
        <v>0.02</v>
      </c>
      <c r="AP431" s="646">
        <v>0.03</v>
      </c>
      <c r="AQ431" s="646">
        <v>0.03</v>
      </c>
      <c r="AR431" s="646">
        <v>0.03</v>
      </c>
      <c r="AS431" s="646">
        <v>0.03</v>
      </c>
      <c r="AT431" s="646">
        <v>0.02</v>
      </c>
      <c r="AU431" s="646">
        <v>0.03</v>
      </c>
      <c r="AV431" s="225">
        <v>0.06</v>
      </c>
      <c r="AW431" s="225">
        <v>0.06</v>
      </c>
      <c r="AX431" s="225">
        <v>0.04</v>
      </c>
      <c r="AY431" s="225">
        <v>0.03</v>
      </c>
      <c r="AZ431" s="225">
        <v>0.03</v>
      </c>
      <c r="BA431" s="225">
        <v>0.03</v>
      </c>
      <c r="BB431" s="225">
        <v>0.03</v>
      </c>
      <c r="BC431" s="225">
        <v>0.03</v>
      </c>
      <c r="BD431" s="225">
        <v>0.03</v>
      </c>
      <c r="BE431" s="225">
        <v>0.03</v>
      </c>
      <c r="BF431" s="225">
        <v>0.03</v>
      </c>
      <c r="BG431" s="225">
        <v>0.03</v>
      </c>
      <c r="BH431" s="225">
        <v>0.03</v>
      </c>
      <c r="BI431" s="225">
        <v>0.03</v>
      </c>
      <c r="BJ431" s="2052">
        <v>0.03</v>
      </c>
      <c r="BK431" s="2052">
        <f t="shared" si="839"/>
        <v>0.03</v>
      </c>
      <c r="BL431" s="2052">
        <f t="shared" si="838"/>
        <v>0.03</v>
      </c>
    </row>
    <row r="432" spans="1:64" s="13" customFormat="1" ht="11.25">
      <c r="A432" s="13" t="s">
        <v>325</v>
      </c>
      <c r="C432" s="654" t="s">
        <v>750</v>
      </c>
      <c r="D432" s="654" t="s">
        <v>750</v>
      </c>
      <c r="E432" s="654" t="s">
        <v>750</v>
      </c>
      <c r="F432" s="654" t="s">
        <v>750</v>
      </c>
      <c r="G432" s="654" t="s">
        <v>750</v>
      </c>
      <c r="H432" s="654" t="s">
        <v>750</v>
      </c>
      <c r="I432" s="654" t="s">
        <v>750</v>
      </c>
      <c r="J432" s="654" t="s">
        <v>750</v>
      </c>
      <c r="K432" s="654" t="s">
        <v>750</v>
      </c>
      <c r="L432" s="654" t="s">
        <v>750</v>
      </c>
      <c r="M432" s="654" t="s">
        <v>750</v>
      </c>
      <c r="N432" s="654" t="s">
        <v>750</v>
      </c>
      <c r="O432" s="654" t="s">
        <v>750</v>
      </c>
      <c r="P432" s="654" t="s">
        <v>750</v>
      </c>
      <c r="Q432" s="654" t="s">
        <v>750</v>
      </c>
      <c r="R432" s="654" t="s">
        <v>750</v>
      </c>
      <c r="S432" s="654" t="s">
        <v>750</v>
      </c>
      <c r="T432" s="654" t="s">
        <v>750</v>
      </c>
      <c r="U432" s="654" t="s">
        <v>750</v>
      </c>
      <c r="V432" s="654" t="s">
        <v>750</v>
      </c>
      <c r="W432" s="654" t="s">
        <v>750</v>
      </c>
      <c r="X432" s="654" t="s">
        <v>750</v>
      </c>
      <c r="Y432" s="654" t="s">
        <v>750</v>
      </c>
      <c r="Z432" s="653">
        <f t="shared" ref="Z432:AS432" si="840">SUM(Z427:Z431)</f>
        <v>1</v>
      </c>
      <c r="AA432" s="653">
        <f t="shared" si="840"/>
        <v>1</v>
      </c>
      <c r="AB432" s="653">
        <f t="shared" si="840"/>
        <v>1</v>
      </c>
      <c r="AC432" s="653">
        <f t="shared" si="840"/>
        <v>1</v>
      </c>
      <c r="AD432" s="653">
        <f t="shared" si="840"/>
        <v>1</v>
      </c>
      <c r="AE432" s="653">
        <f t="shared" si="840"/>
        <v>1</v>
      </c>
      <c r="AF432" s="653">
        <f t="shared" si="840"/>
        <v>1</v>
      </c>
      <c r="AG432" s="653">
        <f t="shared" si="840"/>
        <v>1</v>
      </c>
      <c r="AH432" s="653">
        <f t="shared" si="840"/>
        <v>1</v>
      </c>
      <c r="AI432" s="653">
        <f t="shared" si="840"/>
        <v>1</v>
      </c>
      <c r="AJ432" s="653">
        <f t="shared" si="840"/>
        <v>1</v>
      </c>
      <c r="AK432" s="653">
        <f t="shared" si="840"/>
        <v>1</v>
      </c>
      <c r="AL432" s="653">
        <f t="shared" si="840"/>
        <v>1</v>
      </c>
      <c r="AM432" s="653">
        <f t="shared" si="840"/>
        <v>1</v>
      </c>
      <c r="AN432" s="653">
        <f t="shared" si="840"/>
        <v>1</v>
      </c>
      <c r="AO432" s="653">
        <f t="shared" si="840"/>
        <v>1</v>
      </c>
      <c r="AP432" s="653">
        <f t="shared" si="840"/>
        <v>1</v>
      </c>
      <c r="AQ432" s="653">
        <f t="shared" si="840"/>
        <v>1</v>
      </c>
      <c r="AR432" s="653">
        <f t="shared" si="840"/>
        <v>1</v>
      </c>
      <c r="AS432" s="653">
        <f t="shared" si="840"/>
        <v>1</v>
      </c>
      <c r="AT432" s="653">
        <f t="shared" ref="AT432:BE432" si="841">SUM(AT427:AT431)</f>
        <v>1</v>
      </c>
      <c r="AU432" s="653">
        <f t="shared" si="841"/>
        <v>1</v>
      </c>
      <c r="AV432" s="653">
        <f t="shared" si="841"/>
        <v>1</v>
      </c>
      <c r="AW432" s="653">
        <f t="shared" si="841"/>
        <v>1</v>
      </c>
      <c r="AX432" s="653">
        <f t="shared" si="841"/>
        <v>1</v>
      </c>
      <c r="AY432" s="653">
        <f t="shared" si="841"/>
        <v>1</v>
      </c>
      <c r="AZ432" s="653">
        <f t="shared" si="841"/>
        <v>0.99999999999999989</v>
      </c>
      <c r="BA432" s="653">
        <f t="shared" si="841"/>
        <v>1</v>
      </c>
      <c r="BB432" s="653">
        <f t="shared" si="841"/>
        <v>1</v>
      </c>
      <c r="BC432" s="653">
        <f t="shared" si="841"/>
        <v>1</v>
      </c>
      <c r="BD432" s="653">
        <f t="shared" si="841"/>
        <v>1</v>
      </c>
      <c r="BE432" s="653">
        <f t="shared" si="841"/>
        <v>1</v>
      </c>
      <c r="BF432" s="653">
        <f t="shared" ref="BF432:BK432" si="842">SUM(BF427:BF431)</f>
        <v>1</v>
      </c>
      <c r="BG432" s="653">
        <f t="shared" si="842"/>
        <v>1</v>
      </c>
      <c r="BH432" s="653">
        <f t="shared" si="842"/>
        <v>1</v>
      </c>
      <c r="BI432" s="653">
        <f t="shared" si="842"/>
        <v>1</v>
      </c>
      <c r="BJ432" s="653">
        <f t="shared" si="842"/>
        <v>0.99999999999999989</v>
      </c>
      <c r="BK432" s="653">
        <f t="shared" si="842"/>
        <v>0.99999999999999989</v>
      </c>
      <c r="BL432" s="653">
        <f t="shared" ref="BL432" si="843">SUM(BL427:BL431)</f>
        <v>0.99999999999999989</v>
      </c>
    </row>
    <row r="433" spans="1:64" s="13" customFormat="1" ht="11.25">
      <c r="A433" s="128"/>
      <c r="B433" s="128"/>
      <c r="C433" s="796"/>
      <c r="D433" s="796"/>
      <c r="E433" s="796"/>
      <c r="F433" s="796"/>
      <c r="G433" s="796"/>
      <c r="H433" s="796"/>
      <c r="I433" s="796"/>
      <c r="J433" s="796"/>
      <c r="K433" s="796"/>
      <c r="L433" s="796"/>
      <c r="M433" s="796"/>
      <c r="N433" s="796"/>
      <c r="O433" s="796"/>
      <c r="P433" s="796"/>
      <c r="Q433" s="796"/>
      <c r="R433" s="796"/>
      <c r="S433" s="796"/>
      <c r="T433" s="796"/>
      <c r="U433" s="796"/>
      <c r="V433" s="796"/>
      <c r="W433" s="796"/>
      <c r="X433" s="796"/>
      <c r="Y433" s="796"/>
      <c r="Z433" s="796"/>
      <c r="AA433" s="796"/>
      <c r="AB433" s="796"/>
      <c r="AC433" s="796"/>
      <c r="AD433" s="796"/>
      <c r="AE433" s="796"/>
      <c r="AF433" s="796"/>
      <c r="AG433" s="796"/>
      <c r="AH433" s="796"/>
      <c r="AI433" s="1553"/>
      <c r="AJ433" s="1553"/>
      <c r="AK433" s="1553"/>
      <c r="AL433" s="1553"/>
      <c r="AM433" s="1553"/>
      <c r="AN433" s="1553"/>
      <c r="AO433" s="1553"/>
      <c r="AP433" s="1553"/>
      <c r="AQ433" s="1553"/>
      <c r="AR433" s="1553"/>
      <c r="AS433" s="1553"/>
      <c r="AT433" s="1553"/>
      <c r="AU433" s="1553"/>
      <c r="AV433" s="1553"/>
      <c r="AW433" s="1553"/>
      <c r="AX433" s="1553"/>
      <c r="AY433" s="1553"/>
      <c r="AZ433" s="1553"/>
      <c r="BA433" s="1553"/>
      <c r="BB433" s="1553"/>
      <c r="BC433" s="1553"/>
      <c r="BD433" s="1553"/>
      <c r="BE433" s="1553"/>
      <c r="BF433" s="1553"/>
      <c r="BG433" s="1553"/>
      <c r="BH433" s="1553"/>
      <c r="BI433" s="1553"/>
      <c r="BJ433" s="1553"/>
      <c r="BK433" s="1553"/>
      <c r="BL433" s="1553"/>
    </row>
    <row r="434" spans="1:64" s="13" customFormat="1" ht="11.25">
      <c r="A434" s="128"/>
      <c r="B434" s="128"/>
      <c r="C434" s="796"/>
      <c r="D434" s="796"/>
      <c r="E434" s="796"/>
      <c r="F434" s="796"/>
      <c r="G434" s="796"/>
      <c r="H434" s="796"/>
      <c r="I434" s="796"/>
      <c r="J434" s="796"/>
      <c r="K434" s="796"/>
      <c r="L434" s="796"/>
      <c r="M434" s="796"/>
      <c r="N434" s="796"/>
      <c r="O434" s="796"/>
      <c r="P434" s="796"/>
      <c r="Q434" s="796"/>
      <c r="R434" s="796"/>
      <c r="S434" s="796"/>
      <c r="T434" s="796"/>
      <c r="U434" s="796"/>
      <c r="V434" s="796"/>
      <c r="W434" s="796"/>
      <c r="X434" s="796"/>
      <c r="Y434" s="796"/>
      <c r="Z434" s="796"/>
      <c r="AA434" s="796"/>
      <c r="AB434" s="796"/>
      <c r="AC434" s="796"/>
      <c r="AD434" s="796"/>
      <c r="AE434" s="796"/>
      <c r="AF434" s="796"/>
      <c r="AG434" s="796"/>
      <c r="AH434" s="796"/>
      <c r="AI434" s="796"/>
      <c r="AJ434" s="796"/>
      <c r="AK434" s="796"/>
      <c r="AL434" s="796"/>
      <c r="AM434" s="796"/>
      <c r="AN434" s="796"/>
      <c r="AO434" s="796"/>
      <c r="AP434" s="796"/>
    </row>
    <row r="435" spans="1:64" s="9" customFormat="1" ht="11.25">
      <c r="A435" s="13" t="s">
        <v>879</v>
      </c>
      <c r="B435" s="13"/>
      <c r="BE435" s="13"/>
      <c r="BF435" s="13"/>
      <c r="BG435" s="13"/>
      <c r="BH435" s="13"/>
      <c r="BI435" s="13"/>
      <c r="BJ435" s="13"/>
      <c r="BK435" s="13"/>
      <c r="BL435" s="13"/>
    </row>
    <row r="436" spans="1:64" s="9" customFormat="1" ht="11.25">
      <c r="A436" s="36" t="s">
        <v>735</v>
      </c>
      <c r="B436" s="36"/>
      <c r="C436" s="335"/>
      <c r="D436" s="335"/>
      <c r="E436" s="335"/>
      <c r="F436" s="335"/>
      <c r="G436" s="335"/>
      <c r="H436" s="335"/>
      <c r="I436" s="335"/>
      <c r="J436" s="335"/>
      <c r="K436" s="335"/>
      <c r="L436" s="335"/>
      <c r="M436" s="335"/>
      <c r="N436" s="335"/>
      <c r="O436" s="335"/>
      <c r="P436" s="335"/>
      <c r="Q436" s="335"/>
      <c r="R436" s="335"/>
      <c r="S436" s="335"/>
      <c r="T436" s="335"/>
      <c r="U436" s="335"/>
      <c r="V436" s="335"/>
      <c r="W436" s="335"/>
      <c r="X436" s="335"/>
      <c r="Y436" s="335"/>
      <c r="Z436" s="335"/>
      <c r="AA436" s="335"/>
      <c r="AB436" s="335"/>
      <c r="AC436" s="1047">
        <f t="shared" ref="AC436:AQ436" si="844">+AC312+AC313</f>
        <v>429.94000000000005</v>
      </c>
      <c r="AD436" s="1047">
        <f t="shared" si="844"/>
        <v>0</v>
      </c>
      <c r="AE436" s="1047">
        <f t="shared" si="844"/>
        <v>430.28</v>
      </c>
      <c r="AF436" s="1047">
        <f t="shared" si="844"/>
        <v>491.58000000000004</v>
      </c>
      <c r="AG436" s="1047">
        <f t="shared" si="844"/>
        <v>566.65</v>
      </c>
      <c r="AH436" s="1047">
        <f t="shared" si="844"/>
        <v>646.12</v>
      </c>
      <c r="AI436" s="1047">
        <f t="shared" si="844"/>
        <v>606.03</v>
      </c>
      <c r="AJ436" s="1047">
        <f t="shared" si="844"/>
        <v>636.31999999999994</v>
      </c>
      <c r="AK436" s="1047">
        <f t="shared" si="844"/>
        <v>623.4</v>
      </c>
      <c r="AL436" s="1047">
        <f t="shared" si="844"/>
        <v>783.67000000000007</v>
      </c>
      <c r="AM436" s="1047">
        <f t="shared" si="844"/>
        <v>686.13</v>
      </c>
      <c r="AN436" s="1047">
        <f t="shared" si="844"/>
        <v>719.12</v>
      </c>
      <c r="AO436" s="1047">
        <f t="shared" si="844"/>
        <v>677.85</v>
      </c>
      <c r="AP436" s="1047">
        <f t="shared" si="844"/>
        <v>779</v>
      </c>
      <c r="AQ436" s="1047">
        <f t="shared" si="844"/>
        <v>605.5419502131756</v>
      </c>
      <c r="AR436" s="1047">
        <f>+AR312+AR313</f>
        <v>595.8900000000001</v>
      </c>
      <c r="AS436" s="1047">
        <f>+AS312+AS313</f>
        <v>653.64438866730848</v>
      </c>
      <c r="AT436" s="1556">
        <f t="shared" ref="AT436:AY436" si="845">IF(AT312+AT313=0,"NA",AT312+AT313)</f>
        <v>656.76</v>
      </c>
      <c r="AU436" s="1556">
        <f t="shared" si="845"/>
        <v>360.37000000000006</v>
      </c>
      <c r="AV436" s="1556">
        <f t="shared" si="845"/>
        <v>382.72</v>
      </c>
      <c r="AW436" s="1556">
        <f t="shared" si="845"/>
        <v>504.02</v>
      </c>
      <c r="AX436" s="1556">
        <f t="shared" si="845"/>
        <v>715.72</v>
      </c>
      <c r="AY436" s="1556">
        <f t="shared" si="845"/>
        <v>483.94</v>
      </c>
      <c r="AZ436" s="1556">
        <f t="shared" ref="AZ436:BE436" si="846">IF(AZ312+AZ313=0,"NA",AZ312+AZ313)</f>
        <v>691.47</v>
      </c>
      <c r="BA436" s="1556">
        <f t="shared" si="846"/>
        <v>644.49</v>
      </c>
      <c r="BB436" s="1556">
        <f t="shared" si="846"/>
        <v>972.93000000000006</v>
      </c>
      <c r="BC436" s="1556">
        <f t="shared" si="846"/>
        <v>699.39</v>
      </c>
      <c r="BD436" s="1556">
        <f t="shared" si="846"/>
        <v>766.71</v>
      </c>
      <c r="BE436" s="1556">
        <f t="shared" si="846"/>
        <v>676.8</v>
      </c>
      <c r="BF436" s="1556">
        <f>IF(BF312+BF313=0,"NA",BF312+BF313)</f>
        <v>909.20999999999992</v>
      </c>
      <c r="BG436" s="1556">
        <f>IF(BG312+BG313=0,"NA",BG312+BG313)</f>
        <v>682.18000000000006</v>
      </c>
      <c r="BH436" s="1556">
        <f t="shared" ref="BH436:BI436" si="847">IF(BH312+BH313=0,"NA",BH312+BH313)</f>
        <v>823.67000000000007</v>
      </c>
      <c r="BI436" s="1556">
        <f t="shared" si="847"/>
        <v>802.8900000000001</v>
      </c>
      <c r="BJ436" s="1556">
        <f>IF(BJ312+BJ313=0,"NA",BJ312+BJ313)</f>
        <v>900.71</v>
      </c>
      <c r="BK436" s="1556">
        <f t="shared" ref="BK436:BL436" si="848">IF(BK312+BK313=0,"NA",BK312+BK313)</f>
        <v>749.7</v>
      </c>
      <c r="BL436" s="1556">
        <f t="shared" si="848"/>
        <v>812.94</v>
      </c>
    </row>
    <row r="437" spans="1:64" s="9" customFormat="1" ht="11.25">
      <c r="A437" s="36" t="s">
        <v>737</v>
      </c>
      <c r="B437" s="36"/>
      <c r="C437" s="335"/>
      <c r="D437" s="335"/>
      <c r="E437" s="335"/>
      <c r="F437" s="335"/>
      <c r="G437" s="335"/>
      <c r="H437" s="335"/>
      <c r="I437" s="335"/>
      <c r="J437" s="335"/>
      <c r="K437" s="335"/>
      <c r="L437" s="335"/>
      <c r="M437" s="335"/>
      <c r="N437" s="335"/>
      <c r="O437" s="335"/>
      <c r="P437" s="335"/>
      <c r="Q437" s="335"/>
      <c r="R437" s="335"/>
      <c r="S437" s="335"/>
      <c r="T437" s="335"/>
      <c r="U437" s="335"/>
      <c r="V437" s="335"/>
      <c r="W437" s="335"/>
      <c r="X437" s="335"/>
      <c r="Y437" s="335"/>
      <c r="Z437" s="335"/>
      <c r="AA437" s="335"/>
      <c r="AB437" s="335"/>
      <c r="AC437" s="1047">
        <f t="shared" ref="AC437:AQ437" si="849">+AC314</f>
        <v>422.15</v>
      </c>
      <c r="AD437" s="1047">
        <f t="shared" si="849"/>
        <v>0</v>
      </c>
      <c r="AE437" s="1047">
        <f t="shared" si="849"/>
        <v>429.28000000000003</v>
      </c>
      <c r="AF437" s="1047">
        <f t="shared" si="849"/>
        <v>496.35000000000008</v>
      </c>
      <c r="AG437" s="1047">
        <f t="shared" si="849"/>
        <v>554.15</v>
      </c>
      <c r="AH437" s="1047">
        <f t="shared" si="849"/>
        <v>531.03</v>
      </c>
      <c r="AI437" s="1047">
        <f t="shared" si="849"/>
        <v>485.29</v>
      </c>
      <c r="AJ437" s="1047">
        <f t="shared" si="849"/>
        <v>556.04</v>
      </c>
      <c r="AK437" s="1047">
        <f t="shared" si="849"/>
        <v>532.23</v>
      </c>
      <c r="AL437" s="1047">
        <f t="shared" si="849"/>
        <v>606.95000000000005</v>
      </c>
      <c r="AM437" s="1047">
        <f t="shared" si="849"/>
        <v>534.75</v>
      </c>
      <c r="AN437" s="1047">
        <f t="shared" si="849"/>
        <v>611.75</v>
      </c>
      <c r="AO437" s="1047">
        <f t="shared" si="849"/>
        <v>572.25</v>
      </c>
      <c r="AP437" s="1047">
        <f t="shared" si="849"/>
        <v>589.68000000000006</v>
      </c>
      <c r="AQ437" s="1047">
        <f t="shared" si="849"/>
        <v>650.08043460321824</v>
      </c>
      <c r="AR437" s="1047">
        <f>+AR314</f>
        <v>843.81</v>
      </c>
      <c r="AS437" s="1047">
        <f>+AS314</f>
        <v>839.22354696740467</v>
      </c>
      <c r="AT437" s="1556">
        <f t="shared" ref="AT437:AY437" si="850">IF(AT314=0,"NA",AT314)</f>
        <v>900.7600000000001</v>
      </c>
      <c r="AU437" s="1556">
        <f t="shared" si="850"/>
        <v>662.37</v>
      </c>
      <c r="AV437" s="1556">
        <f t="shared" si="850"/>
        <v>-252.72000000000003</v>
      </c>
      <c r="AW437" s="1556">
        <f t="shared" si="850"/>
        <v>527.1</v>
      </c>
      <c r="AX437" s="1556">
        <f t="shared" si="850"/>
        <v>870.88000000000011</v>
      </c>
      <c r="AY437" s="1556">
        <f t="shared" si="850"/>
        <v>688.44</v>
      </c>
      <c r="AZ437" s="1556">
        <f t="shared" ref="AZ437:BE437" si="851">IF(AZ314=0,"NA",AZ314)</f>
        <v>1001.0999999999999</v>
      </c>
      <c r="BA437" s="1556">
        <f t="shared" si="851"/>
        <v>1161.9299999999998</v>
      </c>
      <c r="BB437" s="1556">
        <f t="shared" si="851"/>
        <v>1652.9499999999998</v>
      </c>
      <c r="BC437" s="1556">
        <f t="shared" si="851"/>
        <v>1232.02</v>
      </c>
      <c r="BD437" s="1556">
        <f t="shared" si="851"/>
        <v>1465.71</v>
      </c>
      <c r="BE437" s="1556">
        <f t="shared" si="851"/>
        <v>1472.31</v>
      </c>
      <c r="BF437" s="1556">
        <f>IF(BF314=0,"NA",BF314)</f>
        <v>1478.46</v>
      </c>
      <c r="BG437" s="1556">
        <f>IF(BG314=0,"NA",BG314)</f>
        <v>1571.52</v>
      </c>
      <c r="BH437" s="1556">
        <f t="shared" ref="BH437:BJ437" si="852">IF(BH314=0,"NA",BH314)</f>
        <v>1786.71</v>
      </c>
      <c r="BI437" s="1556">
        <f t="shared" si="852"/>
        <v>1884.09</v>
      </c>
      <c r="BJ437" s="1556">
        <f t="shared" si="852"/>
        <v>1903.73</v>
      </c>
      <c r="BK437" s="1556">
        <f t="shared" ref="BK437:BL437" si="853">IF(BK314=0,"NA",BK314)</f>
        <v>1769.22</v>
      </c>
      <c r="BL437" s="1556">
        <f t="shared" si="853"/>
        <v>1831.35</v>
      </c>
    </row>
    <row r="438" spans="1:64" s="9" customFormat="1" ht="11.25">
      <c r="A438" s="36" t="s">
        <v>736</v>
      </c>
      <c r="B438" s="36"/>
      <c r="C438" s="335"/>
      <c r="D438" s="335"/>
      <c r="E438" s="335"/>
      <c r="F438" s="335"/>
      <c r="G438" s="335"/>
      <c r="H438" s="335"/>
      <c r="I438" s="335"/>
      <c r="J438" s="335"/>
      <c r="K438" s="335"/>
      <c r="L438" s="335"/>
      <c r="M438" s="335"/>
      <c r="N438" s="335"/>
      <c r="O438" s="335"/>
      <c r="P438" s="335"/>
      <c r="Q438" s="335"/>
      <c r="R438" s="335"/>
      <c r="S438" s="335"/>
      <c r="T438" s="335"/>
      <c r="U438" s="335"/>
      <c r="V438" s="335"/>
      <c r="W438" s="335"/>
      <c r="X438" s="335"/>
      <c r="Y438" s="335"/>
      <c r="Z438" s="335"/>
      <c r="AA438" s="335"/>
      <c r="AB438" s="335"/>
      <c r="AC438" s="1047">
        <f t="shared" ref="AC438:AQ438" si="854">+SUM(AC315:AC316,AC318:AC324)</f>
        <v>411.1400000000001</v>
      </c>
      <c r="AD438" s="1047">
        <f t="shared" si="854"/>
        <v>0</v>
      </c>
      <c r="AE438" s="1047">
        <f t="shared" si="854"/>
        <v>465.40799999999996</v>
      </c>
      <c r="AF438" s="1047">
        <f t="shared" si="854"/>
        <v>482.78999999999996</v>
      </c>
      <c r="AG438" s="1047">
        <f t="shared" si="854"/>
        <v>447.46000000000004</v>
      </c>
      <c r="AH438" s="1047">
        <f t="shared" si="854"/>
        <v>616.64</v>
      </c>
      <c r="AI438" s="1047">
        <f t="shared" si="854"/>
        <v>473.76000000000005</v>
      </c>
      <c r="AJ438" s="1047">
        <f t="shared" si="854"/>
        <v>499.56000000000006</v>
      </c>
      <c r="AK438" s="1047">
        <f t="shared" si="854"/>
        <v>454.59</v>
      </c>
      <c r="AL438" s="1047">
        <f t="shared" si="854"/>
        <v>634.57999999999993</v>
      </c>
      <c r="AM438" s="1047">
        <f t="shared" si="854"/>
        <v>511.02</v>
      </c>
      <c r="AN438" s="1047">
        <f t="shared" si="854"/>
        <v>528.86</v>
      </c>
      <c r="AO438" s="1047">
        <f t="shared" si="854"/>
        <v>513.90000000000009</v>
      </c>
      <c r="AP438" s="1047">
        <f t="shared" si="854"/>
        <v>568.36</v>
      </c>
      <c r="AQ438" s="1047">
        <f t="shared" si="854"/>
        <v>617.7172548480263</v>
      </c>
      <c r="AR438" s="1047">
        <f>+SUM(AR315:AR316,AR318:AR324)</f>
        <v>688.3</v>
      </c>
      <c r="AS438" s="1047">
        <f>+SUM(AS315:AS316,AS318:AS324)</f>
        <v>572.80813643240265</v>
      </c>
      <c r="AT438" s="1556">
        <f t="shared" ref="AT438:AY438" si="855">IF(SUM(AT315:AT316,AT318:AT324)=0,"NA",SUM(AT315:AT316,AT318:AT324))</f>
        <v>796.61999999999989</v>
      </c>
      <c r="AU438" s="1556">
        <f t="shared" si="855"/>
        <v>317.43999999999994</v>
      </c>
      <c r="AV438" s="1556">
        <f t="shared" si="855"/>
        <v>-512.42000000000007</v>
      </c>
      <c r="AW438" s="1556">
        <f t="shared" si="855"/>
        <v>156.68</v>
      </c>
      <c r="AX438" s="1556">
        <f t="shared" si="855"/>
        <v>468.26000000000005</v>
      </c>
      <c r="AY438" s="1556">
        <f t="shared" si="855"/>
        <v>177.74</v>
      </c>
      <c r="AZ438" s="1556">
        <f t="shared" ref="AZ438:BE438" si="856">IF(SUM(AZ315:AZ316,AZ318:AZ324)=0,"NA",SUM(AZ315:AZ316,AZ318:AZ324))</f>
        <v>424.87</v>
      </c>
      <c r="BA438" s="1556">
        <f t="shared" si="856"/>
        <v>561.32999999999993</v>
      </c>
      <c r="BB438" s="1556">
        <f t="shared" si="856"/>
        <v>829.7600000000001</v>
      </c>
      <c r="BC438" s="1556">
        <f t="shared" si="856"/>
        <v>556.97</v>
      </c>
      <c r="BD438" s="1556">
        <f t="shared" si="856"/>
        <v>600.92000000000007</v>
      </c>
      <c r="BE438" s="1556">
        <f t="shared" si="856"/>
        <v>542.46</v>
      </c>
      <c r="BF438" s="1556">
        <f>IF(SUM(BF315:BF316,BF318:BF324)=0,"NA",SUM(BF315:BF316,BF318:BF324))</f>
        <v>757.26</v>
      </c>
      <c r="BG438" s="1556">
        <f>IF(SUM(BG315:BG316,BG318:BG324)=0,"NA",SUM(BG315:BG316,BG318:BG324))</f>
        <v>536.92000000000007</v>
      </c>
      <c r="BH438" s="1556">
        <f t="shared" ref="BH438:BJ438" si="857">IF(SUM(BH315:BH316,BH318:BH324)=0,"NA",SUM(BH315:BH316,BH318:BH324))</f>
        <v>641.59999999999991</v>
      </c>
      <c r="BI438" s="1556">
        <f t="shared" si="857"/>
        <v>615.45000000000005</v>
      </c>
      <c r="BJ438" s="1556">
        <f t="shared" si="857"/>
        <v>730.13000000000011</v>
      </c>
      <c r="BK438" s="1556">
        <f t="shared" ref="BK438:BL438" si="858">IF(SUM(BK315:BK316,BK318:BK324)=0,"NA",SUM(BK315:BK316,BK318:BK324))</f>
        <v>596.16000000000008</v>
      </c>
      <c r="BL438" s="1556">
        <f t="shared" si="858"/>
        <v>641.56999999999994</v>
      </c>
    </row>
    <row r="439" spans="1:64" s="9" customFormat="1" ht="11.25">
      <c r="A439" s="36" t="s">
        <v>738</v>
      </c>
      <c r="B439" s="36"/>
      <c r="C439" s="335"/>
      <c r="D439" s="335"/>
      <c r="E439" s="335"/>
      <c r="F439" s="335"/>
      <c r="G439" s="335"/>
      <c r="H439" s="335"/>
      <c r="I439" s="335"/>
      <c r="J439" s="335"/>
      <c r="K439" s="335"/>
      <c r="L439" s="335"/>
      <c r="M439" s="335"/>
      <c r="N439" s="335"/>
      <c r="O439" s="335"/>
      <c r="P439" s="335"/>
      <c r="Q439" s="335"/>
      <c r="R439" s="335"/>
      <c r="S439" s="335"/>
      <c r="T439" s="335"/>
      <c r="U439" s="335"/>
      <c r="V439" s="335"/>
      <c r="W439" s="335"/>
      <c r="X439" s="335"/>
      <c r="Y439" s="335"/>
      <c r="Z439" s="335"/>
      <c r="AA439" s="335"/>
      <c r="AB439" s="335"/>
      <c r="AC439" s="1047">
        <f t="shared" ref="AC439:AQ439" si="859">+AC317</f>
        <v>241.70999999999998</v>
      </c>
      <c r="AD439" s="1047">
        <f t="shared" si="859"/>
        <v>0</v>
      </c>
      <c r="AE439" s="1047">
        <f t="shared" si="859"/>
        <v>256.08</v>
      </c>
      <c r="AF439" s="1047">
        <f t="shared" si="859"/>
        <v>243.01</v>
      </c>
      <c r="AG439" s="1047">
        <f t="shared" si="859"/>
        <v>307.97000000000003</v>
      </c>
      <c r="AH439" s="1047">
        <f t="shared" si="859"/>
        <v>386.91</v>
      </c>
      <c r="AI439" s="1047">
        <f t="shared" si="859"/>
        <v>286.81</v>
      </c>
      <c r="AJ439" s="1047">
        <f t="shared" si="859"/>
        <v>282.40000000000003</v>
      </c>
      <c r="AK439" s="1047">
        <f t="shared" si="859"/>
        <v>284.68</v>
      </c>
      <c r="AL439" s="1047">
        <f t="shared" si="859"/>
        <v>397.2</v>
      </c>
      <c r="AM439" s="1047">
        <f t="shared" si="859"/>
        <v>300.3</v>
      </c>
      <c r="AN439" s="1047">
        <f t="shared" si="859"/>
        <v>318.57</v>
      </c>
      <c r="AO439" s="1047">
        <f t="shared" si="859"/>
        <v>256.5</v>
      </c>
      <c r="AP439" s="1047">
        <f t="shared" si="859"/>
        <v>366.62</v>
      </c>
      <c r="AQ439" s="1047">
        <f t="shared" si="859"/>
        <v>396.10036033557969</v>
      </c>
      <c r="AR439" s="1047">
        <f>+AR317</f>
        <v>506.51</v>
      </c>
      <c r="AS439" s="1047">
        <f>+AS317</f>
        <v>389.90392793288407</v>
      </c>
      <c r="AT439" s="1556">
        <f t="shared" ref="AT439:AY439" si="860">IF(AT317=0,"NA",AT317)</f>
        <v>646.67000000000007</v>
      </c>
      <c r="AU439" s="1556">
        <f t="shared" si="860"/>
        <v>343.16999999999996</v>
      </c>
      <c r="AV439" s="1556">
        <f t="shared" si="860"/>
        <v>-712.36</v>
      </c>
      <c r="AW439" s="1556">
        <f t="shared" si="860"/>
        <v>-93.24</v>
      </c>
      <c r="AX439" s="1556">
        <f t="shared" si="860"/>
        <v>225.54</v>
      </c>
      <c r="AY439" s="1556">
        <f t="shared" si="860"/>
        <v>29.759999999999998</v>
      </c>
      <c r="AZ439" s="1556">
        <f t="shared" ref="AZ439:BE439" si="861">IF(AZ317=0,"NA",AZ317)</f>
        <v>173.66</v>
      </c>
      <c r="BA439" s="1556">
        <f t="shared" si="861"/>
        <v>202.51</v>
      </c>
      <c r="BB439" s="1556">
        <f t="shared" si="861"/>
        <v>376.96000000000004</v>
      </c>
      <c r="BC439" s="1556">
        <f t="shared" si="861"/>
        <v>271.24</v>
      </c>
      <c r="BD439" s="1556">
        <f t="shared" si="861"/>
        <v>372.51</v>
      </c>
      <c r="BE439" s="1556">
        <f t="shared" si="861"/>
        <v>333.36</v>
      </c>
      <c r="BF439" s="1556">
        <f>IF(BF317=0,"NA",BF317)</f>
        <v>418.13</v>
      </c>
      <c r="BG439" s="1556">
        <f>IF(BG317=0,"NA",BG317)</f>
        <v>352.22</v>
      </c>
      <c r="BH439" s="1556">
        <f t="shared" ref="BH439:BJ439" si="862">IF(BH317=0,"NA",BH317)</f>
        <v>426.30999999999995</v>
      </c>
      <c r="BI439" s="1556">
        <f t="shared" si="862"/>
        <v>382.89</v>
      </c>
      <c r="BJ439" s="1556">
        <f t="shared" si="862"/>
        <v>445.83</v>
      </c>
      <c r="BK439" s="1556">
        <f t="shared" ref="BK439:BL439" si="863">IF(BK317=0,"NA",BK317)</f>
        <v>394.02</v>
      </c>
      <c r="BL439" s="1556">
        <f t="shared" si="863"/>
        <v>428.85</v>
      </c>
    </row>
    <row r="440" spans="1:64" s="9" customFormat="1" ht="11.25">
      <c r="A440" s="36" t="s">
        <v>1043</v>
      </c>
      <c r="B440" s="36"/>
      <c r="C440" s="335"/>
      <c r="D440" s="335"/>
      <c r="E440" s="335"/>
      <c r="F440" s="335"/>
      <c r="G440" s="335"/>
      <c r="H440" s="335"/>
      <c r="I440" s="335"/>
      <c r="J440" s="335"/>
      <c r="K440" s="335"/>
      <c r="L440" s="335"/>
      <c r="M440" s="335"/>
      <c r="N440" s="335"/>
      <c r="O440" s="335"/>
      <c r="P440" s="335"/>
      <c r="Q440" s="335"/>
      <c r="R440" s="335"/>
      <c r="S440" s="335"/>
      <c r="T440" s="335"/>
      <c r="U440" s="335"/>
      <c r="V440" s="335"/>
      <c r="W440" s="335"/>
      <c r="X440" s="335"/>
      <c r="Y440" s="335"/>
      <c r="Z440" s="335"/>
      <c r="AA440" s="335"/>
      <c r="AB440" s="335"/>
      <c r="AC440" s="1047">
        <f t="shared" ref="AC440:AQ440" si="864">+AC325</f>
        <v>207.17999999999998</v>
      </c>
      <c r="AD440" s="1047">
        <f t="shared" si="864"/>
        <v>0</v>
      </c>
      <c r="AE440" s="1047">
        <f t="shared" si="864"/>
        <v>128.04</v>
      </c>
      <c r="AF440" s="1047">
        <f t="shared" si="864"/>
        <v>166.27</v>
      </c>
      <c r="AG440" s="1047">
        <f t="shared" si="864"/>
        <v>160.68</v>
      </c>
      <c r="AH440" s="1047">
        <f t="shared" si="864"/>
        <v>143.30000000000001</v>
      </c>
      <c r="AI440" s="1047">
        <f t="shared" si="864"/>
        <v>162.11000000000001</v>
      </c>
      <c r="AJ440" s="1047">
        <f t="shared" si="864"/>
        <v>197.68</v>
      </c>
      <c r="AK440" s="1047">
        <f t="shared" si="864"/>
        <v>194.1</v>
      </c>
      <c r="AL440" s="1047">
        <f t="shared" si="864"/>
        <v>198.6</v>
      </c>
      <c r="AM440" s="1047">
        <f t="shared" si="864"/>
        <v>163.79999999999998</v>
      </c>
      <c r="AN440" s="1047">
        <f t="shared" si="864"/>
        <v>151.70000000000002</v>
      </c>
      <c r="AO440" s="1047">
        <f t="shared" si="864"/>
        <v>199.50000000000003</v>
      </c>
      <c r="AP440" s="1047">
        <f t="shared" si="864"/>
        <v>175.34</v>
      </c>
      <c r="AQ440" s="1047">
        <f t="shared" si="864"/>
        <v>160.56</v>
      </c>
      <c r="AR440" s="1047">
        <f>+AR325</f>
        <v>217.49</v>
      </c>
      <c r="AS440" s="1047">
        <f>+AS325</f>
        <v>259.42</v>
      </c>
      <c r="AT440" s="1556">
        <f t="shared" ref="AT440:AY440" si="865">IF(AT325=0,"NA",AT325)</f>
        <v>216.19</v>
      </c>
      <c r="AU440" s="1556">
        <f t="shared" si="865"/>
        <v>63.650000000000006</v>
      </c>
      <c r="AV440" s="1556">
        <f t="shared" si="865"/>
        <v>56.78</v>
      </c>
      <c r="AW440" s="1556">
        <f t="shared" si="865"/>
        <v>41.44</v>
      </c>
      <c r="AX440" s="1556">
        <f t="shared" si="865"/>
        <v>225.6</v>
      </c>
      <c r="AY440" s="1556">
        <f t="shared" si="865"/>
        <v>108.11999999999999</v>
      </c>
      <c r="AZ440" s="1556">
        <f t="shared" ref="AZ440:BE440" si="866">IF(AZ325=0,"NA",AZ325)</f>
        <v>155.9</v>
      </c>
      <c r="BA440" s="1556">
        <f t="shared" si="866"/>
        <v>124.74</v>
      </c>
      <c r="BB440" s="1556">
        <f t="shared" si="866"/>
        <v>168.4</v>
      </c>
      <c r="BC440" s="1556">
        <f t="shared" si="866"/>
        <v>49.379999999999995</v>
      </c>
      <c r="BD440" s="1556">
        <f t="shared" si="866"/>
        <v>57.15</v>
      </c>
      <c r="BE440" s="1556">
        <f t="shared" si="866"/>
        <v>56.07</v>
      </c>
      <c r="BF440" s="1556">
        <f>IF(BF325=0,"NA",BF325)</f>
        <v>42.94</v>
      </c>
      <c r="BG440" s="1556">
        <f>IF(BG325=0,"NA",BG325)</f>
        <v>59.16</v>
      </c>
      <c r="BH440" s="1556">
        <f t="shared" ref="BH440:BJ440" si="867">IF(BH325=0,"NA",BH325)</f>
        <v>70.709999999999994</v>
      </c>
      <c r="BI440" s="1556">
        <f t="shared" si="867"/>
        <v>67.679999999999993</v>
      </c>
      <c r="BJ440" s="1556">
        <f t="shared" si="867"/>
        <v>72.599999999999994</v>
      </c>
      <c r="BK440" s="1556">
        <f t="shared" ref="BK440:BL440" si="868">IF(BK325=0,"NA",BK325)</f>
        <v>72.899999999999991</v>
      </c>
      <c r="BL440" s="1556">
        <f t="shared" si="868"/>
        <v>79.289999999999992</v>
      </c>
    </row>
    <row r="441" spans="1:64" s="9" customFormat="1" ht="11.25">
      <c r="A441" s="13" t="s">
        <v>325</v>
      </c>
      <c r="B441" s="13"/>
      <c r="C441" s="170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70"/>
      <c r="T441" s="170"/>
      <c r="U441" s="170"/>
      <c r="V441" s="170"/>
      <c r="W441" s="170"/>
      <c r="X441" s="170"/>
      <c r="Y441" s="170"/>
      <c r="Z441" s="170"/>
      <c r="AA441" s="170"/>
      <c r="AB441" s="170"/>
      <c r="AC441" s="1048">
        <f t="shared" ref="AC441:AM441" si="869">SUM(AC436:AC440)</f>
        <v>1712.1200000000001</v>
      </c>
      <c r="AD441" s="1048">
        <f t="shared" si="869"/>
        <v>0</v>
      </c>
      <c r="AE441" s="1048">
        <f t="shared" si="869"/>
        <v>1709.0879999999997</v>
      </c>
      <c r="AF441" s="1048">
        <f t="shared" si="869"/>
        <v>1880</v>
      </c>
      <c r="AG441" s="1048">
        <f t="shared" si="869"/>
        <v>2036.91</v>
      </c>
      <c r="AH441" s="1048">
        <f t="shared" si="869"/>
        <v>2324</v>
      </c>
      <c r="AI441" s="1048">
        <f t="shared" si="869"/>
        <v>2014</v>
      </c>
      <c r="AJ441" s="1048">
        <f t="shared" si="869"/>
        <v>2172</v>
      </c>
      <c r="AK441" s="1048">
        <f t="shared" si="869"/>
        <v>2089</v>
      </c>
      <c r="AL441" s="1048">
        <f t="shared" si="869"/>
        <v>2621</v>
      </c>
      <c r="AM441" s="1048">
        <f t="shared" si="869"/>
        <v>2196</v>
      </c>
      <c r="AN441" s="1048">
        <f t="shared" ref="AN441:AS441" si="870">SUM(AN436:AN440)</f>
        <v>2330</v>
      </c>
      <c r="AO441" s="1048">
        <f t="shared" si="870"/>
        <v>2220</v>
      </c>
      <c r="AP441" s="1048">
        <f t="shared" si="870"/>
        <v>2479</v>
      </c>
      <c r="AQ441" s="1048">
        <f t="shared" si="870"/>
        <v>2430</v>
      </c>
      <c r="AR441" s="1048">
        <f t="shared" si="870"/>
        <v>2852</v>
      </c>
      <c r="AS441" s="1048">
        <f t="shared" si="870"/>
        <v>2715</v>
      </c>
      <c r="AT441" s="1557">
        <f t="shared" ref="AT441:AY441" si="871">IF(SUM(AT436:AT440)=0,"NA",SUM(AT436:AT440))</f>
        <v>3217</v>
      </c>
      <c r="AU441" s="1557">
        <f t="shared" si="871"/>
        <v>1747</v>
      </c>
      <c r="AV441" s="1557">
        <f t="shared" si="871"/>
        <v>-1038.0000000000002</v>
      </c>
      <c r="AW441" s="1557">
        <f t="shared" si="871"/>
        <v>1136</v>
      </c>
      <c r="AX441" s="1557">
        <f t="shared" si="871"/>
        <v>2506</v>
      </c>
      <c r="AY441" s="1557">
        <f t="shared" si="871"/>
        <v>1488</v>
      </c>
      <c r="AZ441" s="1557">
        <f t="shared" ref="AZ441:BE441" si="872">IF(SUM(AZ436:AZ440)=0,"NA",SUM(AZ436:AZ440))</f>
        <v>2447</v>
      </c>
      <c r="BA441" s="1557">
        <f t="shared" si="872"/>
        <v>2695</v>
      </c>
      <c r="BB441" s="1557">
        <f t="shared" si="872"/>
        <v>4001.0000000000005</v>
      </c>
      <c r="BC441" s="1557">
        <f t="shared" si="872"/>
        <v>2809</v>
      </c>
      <c r="BD441" s="1557">
        <f t="shared" si="872"/>
        <v>3263.0000000000005</v>
      </c>
      <c r="BE441" s="1557">
        <f t="shared" si="872"/>
        <v>3081</v>
      </c>
      <c r="BF441" s="1557">
        <f>IF(SUM(BF436:BF440)=0,"NA",SUM(BF436:BF440))</f>
        <v>3606.0000000000005</v>
      </c>
      <c r="BG441" s="1557">
        <f>IF(SUM(BG436:BG440)=0,"NA",SUM(BG436:BG440))</f>
        <v>3202</v>
      </c>
      <c r="BH441" s="1557">
        <f t="shared" ref="BH441:BJ441" si="873">IF(SUM(BH436:BH440)=0,"NA",SUM(BH436:BH440))</f>
        <v>3749</v>
      </c>
      <c r="BI441" s="1557">
        <f t="shared" si="873"/>
        <v>3753</v>
      </c>
      <c r="BJ441" s="1557">
        <f t="shared" si="873"/>
        <v>4053</v>
      </c>
      <c r="BK441" s="1557">
        <f t="shared" ref="BK441:BL441" si="874">IF(SUM(BK436:BK440)=0,"NA",SUM(BK436:BK440))</f>
        <v>3582</v>
      </c>
      <c r="BL441" s="1557">
        <f t="shared" si="874"/>
        <v>3793.9999999999995</v>
      </c>
    </row>
    <row r="442" spans="1:64" s="9" customFormat="1" ht="11.25">
      <c r="A442" s="604"/>
      <c r="B442" s="13"/>
      <c r="C442" s="170"/>
      <c r="D442" s="170"/>
      <c r="E442" s="170"/>
      <c r="F442" s="170"/>
      <c r="G442" s="170"/>
      <c r="H442" s="797"/>
      <c r="I442" s="797"/>
      <c r="J442" s="797"/>
      <c r="K442" s="797"/>
      <c r="L442" s="797"/>
      <c r="M442" s="797"/>
      <c r="N442" s="797"/>
      <c r="O442" s="797"/>
      <c r="P442" s="797"/>
      <c r="Q442" s="797"/>
      <c r="R442" s="797"/>
      <c r="S442" s="797"/>
      <c r="T442" s="797"/>
      <c r="U442" s="797"/>
      <c r="V442" s="797"/>
      <c r="W442" s="797"/>
      <c r="X442" s="797"/>
      <c r="Y442" s="797"/>
      <c r="Z442" s="797"/>
      <c r="AA442" s="797"/>
      <c r="AB442" s="797"/>
      <c r="AC442" s="797"/>
      <c r="AD442" s="797"/>
      <c r="AE442" s="797"/>
      <c r="AF442" s="797"/>
      <c r="AG442" s="797"/>
      <c r="AH442" s="797"/>
      <c r="AI442" s="797"/>
      <c r="AJ442" s="797"/>
      <c r="AK442" s="797"/>
      <c r="AL442" s="797"/>
      <c r="AM442" s="797"/>
      <c r="AN442" s="797"/>
      <c r="AO442" s="797"/>
      <c r="AP442" s="797"/>
      <c r="AQ442" s="797"/>
      <c r="AR442" s="797"/>
      <c r="AS442" s="797"/>
      <c r="AT442" s="844"/>
      <c r="AU442" s="844"/>
      <c r="AV442" s="844"/>
      <c r="AW442" s="844"/>
      <c r="AX442" s="844"/>
      <c r="AY442" s="844"/>
      <c r="AZ442" s="844"/>
      <c r="BA442" s="844"/>
      <c r="BB442" s="844"/>
      <c r="BC442" s="844"/>
      <c r="BD442" s="844"/>
      <c r="BE442" s="844"/>
      <c r="BF442" s="844"/>
      <c r="BG442" s="844"/>
      <c r="BH442" s="844"/>
      <c r="BI442" s="844"/>
      <c r="BJ442" s="844"/>
      <c r="BK442" s="844"/>
      <c r="BL442" s="844"/>
    </row>
    <row r="443" spans="1:64" s="9" customFormat="1" ht="11.25">
      <c r="A443" s="604"/>
      <c r="B443" s="13"/>
      <c r="C443" s="170"/>
      <c r="D443" s="170"/>
      <c r="E443" s="170"/>
      <c r="F443" s="170"/>
      <c r="G443" s="170"/>
      <c r="H443" s="797"/>
      <c r="I443" s="797"/>
      <c r="J443" s="797"/>
      <c r="K443" s="797"/>
      <c r="L443" s="797"/>
      <c r="M443" s="797"/>
      <c r="N443" s="797"/>
      <c r="O443" s="797"/>
      <c r="P443" s="797"/>
      <c r="Q443" s="797"/>
      <c r="R443" s="797"/>
      <c r="S443" s="797"/>
      <c r="T443" s="797"/>
      <c r="U443" s="797"/>
      <c r="V443" s="797"/>
      <c r="W443" s="797"/>
      <c r="X443" s="797"/>
      <c r="Y443" s="797"/>
      <c r="Z443" s="797"/>
      <c r="AA443" s="797"/>
      <c r="AB443" s="797"/>
      <c r="AC443" s="797"/>
      <c r="AD443" s="797"/>
      <c r="AE443" s="797"/>
      <c r="AF443" s="797"/>
      <c r="AG443" s="797"/>
      <c r="AH443" s="797"/>
      <c r="AI443" s="797"/>
      <c r="AJ443" s="797"/>
      <c r="AK443" s="797"/>
      <c r="AL443" s="797"/>
      <c r="AM443" s="797"/>
      <c r="AN443" s="797"/>
      <c r="AO443" s="797"/>
      <c r="AP443" s="797"/>
    </row>
    <row r="444" spans="1:64" s="9" customFormat="1" ht="11.25">
      <c r="A444" s="13" t="s">
        <v>1048</v>
      </c>
      <c r="B444" s="13"/>
    </row>
    <row r="445" spans="1:64" s="9" customFormat="1" ht="11.25">
      <c r="A445" s="36" t="s">
        <v>735</v>
      </c>
      <c r="B445" s="36"/>
      <c r="C445" s="335"/>
      <c r="D445" s="335"/>
      <c r="E445" s="335"/>
      <c r="F445" s="335"/>
      <c r="G445" s="335"/>
      <c r="H445" s="335"/>
      <c r="I445" s="335"/>
      <c r="J445" s="335"/>
      <c r="K445" s="335"/>
      <c r="L445" s="335"/>
      <c r="M445" s="335"/>
      <c r="N445" s="335"/>
      <c r="O445" s="335"/>
      <c r="P445" s="335"/>
      <c r="Q445" s="335"/>
      <c r="R445" s="335"/>
      <c r="S445" s="335"/>
      <c r="T445" s="335"/>
      <c r="U445" s="335"/>
      <c r="V445" s="335"/>
      <c r="W445" s="335"/>
      <c r="X445" s="335"/>
      <c r="Y445" s="335"/>
      <c r="Z445" s="335"/>
      <c r="AA445" s="335"/>
      <c r="AB445" s="335"/>
      <c r="AC445" s="823">
        <f>IFERROR(AC436/AC$441,"NA")</f>
        <v>0.2511155760110273</v>
      </c>
      <c r="AD445" s="823" t="str">
        <f t="shared" ref="AD445:AO445" si="875">IFERROR(AD436/AD$441,"NA")</f>
        <v>NA</v>
      </c>
      <c r="AE445" s="823">
        <f t="shared" si="875"/>
        <v>0.2517600029957498</v>
      </c>
      <c r="AF445" s="823">
        <f t="shared" si="875"/>
        <v>0.26147872340425532</v>
      </c>
      <c r="AG445" s="823">
        <f t="shared" si="875"/>
        <v>0.2781909853650873</v>
      </c>
      <c r="AH445" s="823">
        <f t="shared" si="875"/>
        <v>0.27802065404475046</v>
      </c>
      <c r="AI445" s="823">
        <f t="shared" si="875"/>
        <v>0.30090863952333663</v>
      </c>
      <c r="AJ445" s="823">
        <f t="shared" si="875"/>
        <v>0.29296500920810309</v>
      </c>
      <c r="AK445" s="823">
        <f t="shared" si="875"/>
        <v>0.2984202967927238</v>
      </c>
      <c r="AL445" s="823">
        <f t="shared" si="875"/>
        <v>0.29899656619610837</v>
      </c>
      <c r="AM445" s="823">
        <f t="shared" si="875"/>
        <v>0.31244535519125682</v>
      </c>
      <c r="AN445" s="823">
        <f t="shared" si="875"/>
        <v>0.30863519313304721</v>
      </c>
      <c r="AO445" s="823">
        <f t="shared" si="875"/>
        <v>0.30533783783783786</v>
      </c>
      <c r="AP445" s="823">
        <f t="shared" ref="AP445:AS449" si="876">IFERROR(AP436/AP$441,"NA")</f>
        <v>0.31423961274707546</v>
      </c>
      <c r="AQ445" s="823">
        <f t="shared" si="876"/>
        <v>0.24919421819472246</v>
      </c>
      <c r="AR445" s="823">
        <f t="shared" si="876"/>
        <v>0.20893758765778406</v>
      </c>
      <c r="AS445" s="823">
        <f t="shared" si="876"/>
        <v>0.24075299766751693</v>
      </c>
      <c r="AT445" s="823">
        <f t="shared" ref="AT445:BD445" si="877">IFERROR(AT436/AT$441,"NA")</f>
        <v>0.20415293751942803</v>
      </c>
      <c r="AU445" s="823">
        <f t="shared" si="877"/>
        <v>0.20627933600457932</v>
      </c>
      <c r="AV445" s="823">
        <f t="shared" si="877"/>
        <v>-0.3687090558766859</v>
      </c>
      <c r="AW445" s="823">
        <f t="shared" si="877"/>
        <v>0.4436795774647887</v>
      </c>
      <c r="AX445" s="823">
        <f t="shared" si="877"/>
        <v>0.28560255387071032</v>
      </c>
      <c r="AY445" s="823">
        <f t="shared" si="877"/>
        <v>0.32522849462365594</v>
      </c>
      <c r="AZ445" s="823">
        <f t="shared" si="877"/>
        <v>0.28257866775643647</v>
      </c>
      <c r="BA445" s="823">
        <f t="shared" si="877"/>
        <v>0.23914285714285716</v>
      </c>
      <c r="BB445" s="823">
        <f t="shared" si="877"/>
        <v>0.24317170707323169</v>
      </c>
      <c r="BC445" s="823">
        <f t="shared" si="877"/>
        <v>0.24898184407262369</v>
      </c>
      <c r="BD445" s="823">
        <f t="shared" si="877"/>
        <v>0.23497088568801713</v>
      </c>
      <c r="BE445" s="823">
        <f t="shared" ref="BE445:BF449" si="878">IFERROR(BE436/BE$441,"NA")</f>
        <v>0.21966893865628043</v>
      </c>
      <c r="BF445" s="823">
        <f t="shared" si="878"/>
        <v>0.25213810316139762</v>
      </c>
      <c r="BG445" s="823">
        <f t="shared" ref="BG445:BJ445" si="879">IFERROR(BG436/BG$441,"NA")</f>
        <v>0.2130480949406621</v>
      </c>
      <c r="BH445" s="823">
        <f t="shared" si="879"/>
        <v>0.21970392104561218</v>
      </c>
      <c r="BI445" s="823">
        <f t="shared" si="879"/>
        <v>0.21393285371702642</v>
      </c>
      <c r="BJ445" s="823">
        <f t="shared" si="879"/>
        <v>0.22223291389094499</v>
      </c>
      <c r="BK445" s="823">
        <f t="shared" ref="BK445:BL445" si="880">IFERROR(BK436/BK$441,"NA")</f>
        <v>0.20929648241206031</v>
      </c>
      <c r="BL445" s="823">
        <f t="shared" si="880"/>
        <v>0.2142698998418556</v>
      </c>
    </row>
    <row r="446" spans="1:64" s="9" customFormat="1" ht="11.25">
      <c r="A446" s="36" t="s">
        <v>737</v>
      </c>
      <c r="B446" s="36"/>
      <c r="C446" s="335"/>
      <c r="D446" s="335"/>
      <c r="E446" s="335"/>
      <c r="F446" s="335"/>
      <c r="G446" s="335"/>
      <c r="H446" s="335"/>
      <c r="I446" s="335"/>
      <c r="J446" s="335"/>
      <c r="K446" s="335"/>
      <c r="L446" s="335"/>
      <c r="M446" s="335"/>
      <c r="N446" s="335"/>
      <c r="O446" s="335"/>
      <c r="P446" s="335"/>
      <c r="Q446" s="335"/>
      <c r="R446" s="335"/>
      <c r="S446" s="335"/>
      <c r="T446" s="335"/>
      <c r="U446" s="335"/>
      <c r="V446" s="335"/>
      <c r="W446" s="335"/>
      <c r="X446" s="335"/>
      <c r="Y446" s="335"/>
      <c r="Z446" s="335"/>
      <c r="AA446" s="335"/>
      <c r="AB446" s="335"/>
      <c r="AC446" s="823">
        <f t="shared" ref="AC446:AO446" si="881">IFERROR(AC437/AC$441,"NA")</f>
        <v>0.2465656612854239</v>
      </c>
      <c r="AD446" s="823" t="str">
        <f t="shared" si="881"/>
        <v>NA</v>
      </c>
      <c r="AE446" s="823">
        <f t="shared" si="881"/>
        <v>0.25117489561684364</v>
      </c>
      <c r="AF446" s="823">
        <f t="shared" si="881"/>
        <v>0.26401595744680856</v>
      </c>
      <c r="AG446" s="823">
        <f t="shared" si="881"/>
        <v>0.27205423901890607</v>
      </c>
      <c r="AH446" s="823">
        <f t="shared" si="881"/>
        <v>0.22849827882960411</v>
      </c>
      <c r="AI446" s="823">
        <f t="shared" si="881"/>
        <v>0.24095829195630586</v>
      </c>
      <c r="AJ446" s="823">
        <f t="shared" si="881"/>
        <v>0.25600368324125228</v>
      </c>
      <c r="AK446" s="823">
        <f t="shared" si="881"/>
        <v>0.25477740545715655</v>
      </c>
      <c r="AL446" s="823">
        <f t="shared" si="881"/>
        <v>0.23157191911484168</v>
      </c>
      <c r="AM446" s="823">
        <f t="shared" si="881"/>
        <v>0.24351092896174864</v>
      </c>
      <c r="AN446" s="823">
        <f t="shared" si="881"/>
        <v>0.26255364806866954</v>
      </c>
      <c r="AO446" s="823">
        <f t="shared" si="881"/>
        <v>0.25777027027027027</v>
      </c>
      <c r="AP446" s="823">
        <f t="shared" si="876"/>
        <v>0.23787010891488505</v>
      </c>
      <c r="AQ446" s="823">
        <f t="shared" si="876"/>
        <v>0.26752281259391697</v>
      </c>
      <c r="AR446" s="823">
        <f t="shared" si="876"/>
        <v>0.29586605890603085</v>
      </c>
      <c r="AS446" s="823">
        <f t="shared" si="876"/>
        <v>0.30910627880935715</v>
      </c>
      <c r="AT446" s="823">
        <f t="shared" ref="AT446:BD446" si="882">IFERROR(AT437/AT$441,"NA")</f>
        <v>0.28000000000000003</v>
      </c>
      <c r="AU446" s="823">
        <f t="shared" si="882"/>
        <v>0.37914710933028051</v>
      </c>
      <c r="AV446" s="823">
        <f t="shared" si="882"/>
        <v>0.24346820809248551</v>
      </c>
      <c r="AW446" s="823">
        <f t="shared" si="882"/>
        <v>0.46399647887323947</v>
      </c>
      <c r="AX446" s="823">
        <f t="shared" si="882"/>
        <v>0.34751795690343179</v>
      </c>
      <c r="AY446" s="823">
        <f t="shared" si="882"/>
        <v>0.46266129032258069</v>
      </c>
      <c r="AZ446" s="823">
        <f t="shared" si="882"/>
        <v>0.40911319983653449</v>
      </c>
      <c r="BA446" s="823">
        <f t="shared" si="882"/>
        <v>0.43114285714285711</v>
      </c>
      <c r="BB446" s="823">
        <f t="shared" si="882"/>
        <v>0.41313421644588844</v>
      </c>
      <c r="BC446" s="823">
        <f t="shared" si="882"/>
        <v>0.43859736561053753</v>
      </c>
      <c r="BD446" s="823">
        <f t="shared" si="882"/>
        <v>0.44919092859331899</v>
      </c>
      <c r="BE446" s="823">
        <f t="shared" si="878"/>
        <v>0.47786757546251213</v>
      </c>
      <c r="BF446" s="823">
        <f t="shared" si="878"/>
        <v>0.41</v>
      </c>
      <c r="BG446" s="823">
        <f t="shared" ref="BG446:BJ446" si="883">IFERROR(BG437/BG$441,"NA")</f>
        <v>0.49079325421611492</v>
      </c>
      <c r="BH446" s="823">
        <f t="shared" si="883"/>
        <v>0.47658308882368633</v>
      </c>
      <c r="BI446" s="823">
        <f t="shared" si="883"/>
        <v>0.50202238209432448</v>
      </c>
      <c r="BJ446" s="823">
        <f t="shared" si="883"/>
        <v>0.46970885763631876</v>
      </c>
      <c r="BK446" s="823">
        <f t="shared" ref="BK446:BL446" si="884">IFERROR(BK437/BK$441,"NA")</f>
        <v>0.49391959798994978</v>
      </c>
      <c r="BL446" s="823">
        <f t="shared" si="884"/>
        <v>0.48269636267791255</v>
      </c>
    </row>
    <row r="447" spans="1:64" s="9" customFormat="1" ht="11.25">
      <c r="A447" s="36" t="s">
        <v>736</v>
      </c>
      <c r="B447" s="36"/>
      <c r="C447" s="335"/>
      <c r="D447" s="335"/>
      <c r="E447" s="335"/>
      <c r="F447" s="335"/>
      <c r="G447" s="335"/>
      <c r="H447" s="335"/>
      <c r="I447" s="335"/>
      <c r="J447" s="335"/>
      <c r="K447" s="335"/>
      <c r="L447" s="335"/>
      <c r="M447" s="335"/>
      <c r="N447" s="335"/>
      <c r="O447" s="335"/>
      <c r="P447" s="335"/>
      <c r="Q447" s="335"/>
      <c r="R447" s="335"/>
      <c r="S447" s="335"/>
      <c r="T447" s="335"/>
      <c r="U447" s="335"/>
      <c r="V447" s="335"/>
      <c r="W447" s="335"/>
      <c r="X447" s="335"/>
      <c r="Y447" s="335"/>
      <c r="Z447" s="335"/>
      <c r="AA447" s="335"/>
      <c r="AB447" s="335"/>
      <c r="AC447" s="823">
        <f t="shared" ref="AC447:AO447" si="885">IFERROR(AC438/AC$441,"NA")</f>
        <v>0.24013503726374325</v>
      </c>
      <c r="AD447" s="823" t="str">
        <f t="shared" si="885"/>
        <v>NA</v>
      </c>
      <c r="AE447" s="823">
        <f t="shared" si="885"/>
        <v>0.27231365500196597</v>
      </c>
      <c r="AF447" s="823">
        <f t="shared" si="885"/>
        <v>0.2568031914893617</v>
      </c>
      <c r="AG447" s="823">
        <f t="shared" si="885"/>
        <v>0.21967588160498011</v>
      </c>
      <c r="AH447" s="823">
        <f t="shared" si="885"/>
        <v>0.26533562822719448</v>
      </c>
      <c r="AI447" s="823">
        <f t="shared" si="885"/>
        <v>0.23523336643495535</v>
      </c>
      <c r="AJ447" s="823">
        <f t="shared" si="885"/>
        <v>0.23000000000000004</v>
      </c>
      <c r="AK447" s="823">
        <f t="shared" si="885"/>
        <v>0.21761129727142173</v>
      </c>
      <c r="AL447" s="823">
        <f t="shared" si="885"/>
        <v>0.24211369706218996</v>
      </c>
      <c r="AM447" s="823">
        <f t="shared" si="885"/>
        <v>0.23270491803278687</v>
      </c>
      <c r="AN447" s="823">
        <f t="shared" si="885"/>
        <v>0.22697854077253218</v>
      </c>
      <c r="AO447" s="823">
        <f t="shared" si="885"/>
        <v>0.23148648648648654</v>
      </c>
      <c r="AP447" s="823">
        <f t="shared" si="876"/>
        <v>0.2292698668818072</v>
      </c>
      <c r="AQ447" s="823">
        <f t="shared" si="876"/>
        <v>0.25420463162470219</v>
      </c>
      <c r="AR447" s="823">
        <f t="shared" si="876"/>
        <v>0.24133941093969144</v>
      </c>
      <c r="AS447" s="823">
        <f t="shared" si="876"/>
        <v>0.21097905577620724</v>
      </c>
      <c r="AT447" s="823">
        <f t="shared" ref="AT447:BD447" si="886">IFERROR(AT438/AT$441,"NA")</f>
        <v>0.24762822505439847</v>
      </c>
      <c r="AU447" s="823">
        <f t="shared" si="886"/>
        <v>0.18170578133943902</v>
      </c>
      <c r="AV447" s="823">
        <f t="shared" si="886"/>
        <v>0.49366088631984584</v>
      </c>
      <c r="AW447" s="823">
        <f t="shared" si="886"/>
        <v>0.1379225352112676</v>
      </c>
      <c r="AX447" s="823">
        <f t="shared" si="886"/>
        <v>0.18685554668794893</v>
      </c>
      <c r="AY447" s="823">
        <f t="shared" si="886"/>
        <v>0.11944892473118281</v>
      </c>
      <c r="AZ447" s="823">
        <f t="shared" si="886"/>
        <v>0.17362893338782182</v>
      </c>
      <c r="BA447" s="823">
        <f t="shared" si="886"/>
        <v>0.20828571428571427</v>
      </c>
      <c r="BB447" s="823">
        <f t="shared" si="886"/>
        <v>0.20738815296175955</v>
      </c>
      <c r="BC447" s="823">
        <f t="shared" si="886"/>
        <v>0.19828052687789249</v>
      </c>
      <c r="BD447" s="823">
        <f t="shared" si="886"/>
        <v>0.18416181428133618</v>
      </c>
      <c r="BE447" s="823">
        <f t="shared" si="878"/>
        <v>0.17606621226874392</v>
      </c>
      <c r="BF447" s="823">
        <f t="shared" si="878"/>
        <v>0.20999999999999996</v>
      </c>
      <c r="BG447" s="823">
        <f t="shared" ref="BG447:BJ447" si="887">IFERROR(BG438/BG$441,"NA")</f>
        <v>0.16768269831355406</v>
      </c>
      <c r="BH447" s="823">
        <f t="shared" si="887"/>
        <v>0.17113897039210454</v>
      </c>
      <c r="BI447" s="823">
        <f t="shared" si="887"/>
        <v>0.16398880895283774</v>
      </c>
      <c r="BJ447" s="823">
        <f t="shared" si="887"/>
        <v>0.18014557118184063</v>
      </c>
      <c r="BK447" s="823">
        <f t="shared" ref="BK447:BL447" si="888">IFERROR(BK438/BK$441,"NA")</f>
        <v>0.16643216080402012</v>
      </c>
      <c r="BL447" s="823">
        <f t="shared" si="888"/>
        <v>0.16910121244069584</v>
      </c>
    </row>
    <row r="448" spans="1:64" s="9" customFormat="1" ht="11.25">
      <c r="A448" s="36" t="s">
        <v>738</v>
      </c>
      <c r="B448" s="36"/>
      <c r="C448" s="335"/>
      <c r="D448" s="335"/>
      <c r="E448" s="335"/>
      <c r="F448" s="335"/>
      <c r="G448" s="335"/>
      <c r="H448" s="335"/>
      <c r="I448" s="335"/>
      <c r="J448" s="335"/>
      <c r="K448" s="335"/>
      <c r="L448" s="335"/>
      <c r="M448" s="335"/>
      <c r="N448" s="335"/>
      <c r="O448" s="335"/>
      <c r="P448" s="335"/>
      <c r="Q448" s="335"/>
      <c r="R448" s="335"/>
      <c r="S448" s="335"/>
      <c r="T448" s="335"/>
      <c r="U448" s="335"/>
      <c r="V448" s="335"/>
      <c r="W448" s="335"/>
      <c r="X448" s="335"/>
      <c r="Y448" s="335"/>
      <c r="Z448" s="335"/>
      <c r="AA448" s="335"/>
      <c r="AB448" s="335"/>
      <c r="AC448" s="823">
        <f t="shared" ref="AC448:AO449" si="889">IFERROR(AC439/AC$441,"NA")</f>
        <v>0.14117585215989531</v>
      </c>
      <c r="AD448" s="823" t="str">
        <f t="shared" si="889"/>
        <v>NA</v>
      </c>
      <c r="AE448" s="823">
        <f t="shared" si="889"/>
        <v>0.14983429759029379</v>
      </c>
      <c r="AF448" s="823">
        <f t="shared" si="889"/>
        <v>0.12926063829787235</v>
      </c>
      <c r="AG448" s="823">
        <f t="shared" si="889"/>
        <v>0.15119470177867456</v>
      </c>
      <c r="AH448" s="823">
        <f t="shared" si="889"/>
        <v>0.1664845094664372</v>
      </c>
      <c r="AI448" s="823">
        <f t="shared" si="889"/>
        <v>0.14240814299900695</v>
      </c>
      <c r="AJ448" s="823">
        <f t="shared" si="889"/>
        <v>0.13001841620626153</v>
      </c>
      <c r="AK448" s="823">
        <f t="shared" si="889"/>
        <v>0.13627573001436094</v>
      </c>
      <c r="AL448" s="823">
        <f t="shared" si="889"/>
        <v>0.15154521175123997</v>
      </c>
      <c r="AM448" s="823">
        <f t="shared" si="889"/>
        <v>0.13674863387978142</v>
      </c>
      <c r="AN448" s="823">
        <f t="shared" si="889"/>
        <v>0.13672532188841202</v>
      </c>
      <c r="AO448" s="823">
        <f t="shared" si="889"/>
        <v>0.11554054054054054</v>
      </c>
      <c r="AP448" s="823">
        <f t="shared" si="876"/>
        <v>0.14789027833803953</v>
      </c>
      <c r="AQ448" s="823">
        <f t="shared" si="876"/>
        <v>0.16300426351258424</v>
      </c>
      <c r="AR448" s="823">
        <f t="shared" si="876"/>
        <v>0.17759817671809255</v>
      </c>
      <c r="AS448" s="823">
        <f t="shared" si="876"/>
        <v>0.14361102317969948</v>
      </c>
      <c r="AT448" s="823">
        <f t="shared" ref="AT448:BD448" si="890">IFERROR(AT439/AT$441,"NA")</f>
        <v>0.20101647497668637</v>
      </c>
      <c r="AU448" s="823">
        <f t="shared" si="890"/>
        <v>0.19643388666285058</v>
      </c>
      <c r="AV448" s="823">
        <f t="shared" si="890"/>
        <v>0.68628131021194594</v>
      </c>
      <c r="AW448" s="823">
        <f t="shared" si="890"/>
        <v>-8.2077464788732388E-2</v>
      </c>
      <c r="AX448" s="823">
        <f t="shared" si="890"/>
        <v>0.09</v>
      </c>
      <c r="AY448" s="823">
        <f t="shared" si="890"/>
        <v>1.9999999999999997E-2</v>
      </c>
      <c r="AZ448" s="823">
        <f t="shared" si="890"/>
        <v>7.0968532897425413E-2</v>
      </c>
      <c r="BA448" s="823">
        <f t="shared" si="890"/>
        <v>7.5142857142857136E-2</v>
      </c>
      <c r="BB448" s="823">
        <f t="shared" si="890"/>
        <v>9.4216445888527872E-2</v>
      </c>
      <c r="BC448" s="823">
        <f t="shared" si="890"/>
        <v>9.6561053755784984E-2</v>
      </c>
      <c r="BD448" s="823">
        <f t="shared" si="890"/>
        <v>0.11416181428133618</v>
      </c>
      <c r="BE448" s="823">
        <f t="shared" si="878"/>
        <v>0.10819863680623175</v>
      </c>
      <c r="BF448" s="823">
        <f t="shared" si="878"/>
        <v>0.11595396561286743</v>
      </c>
      <c r="BG448" s="823">
        <f t="shared" ref="BG448:BJ448" si="891">IFERROR(BG439/BG$441,"NA")</f>
        <v>0.11000000000000001</v>
      </c>
      <c r="BH448" s="823">
        <f t="shared" si="891"/>
        <v>0.11371299013070151</v>
      </c>
      <c r="BI448" s="823">
        <f t="shared" si="891"/>
        <v>0.10202238209432454</v>
      </c>
      <c r="BJ448" s="823">
        <f t="shared" si="891"/>
        <v>0.11</v>
      </c>
      <c r="BK448" s="823">
        <f t="shared" ref="BK448:BL448" si="892">IFERROR(BK439/BK$441,"NA")</f>
        <v>0.11</v>
      </c>
      <c r="BL448" s="823">
        <f t="shared" si="892"/>
        <v>0.11303373748023196</v>
      </c>
    </row>
    <row r="449" spans="1:70" s="9" customFormat="1" ht="11.25">
      <c r="A449" s="36" t="s">
        <v>1043</v>
      </c>
      <c r="B449" s="36"/>
      <c r="C449" s="335"/>
      <c r="D449" s="335"/>
      <c r="E449" s="335"/>
      <c r="F449" s="335"/>
      <c r="G449" s="335"/>
      <c r="H449" s="335"/>
      <c r="I449" s="335"/>
      <c r="J449" s="335"/>
      <c r="K449" s="335"/>
      <c r="L449" s="335"/>
      <c r="M449" s="335"/>
      <c r="N449" s="335"/>
      <c r="O449" s="335"/>
      <c r="P449" s="335"/>
      <c r="Q449" s="335"/>
      <c r="R449" s="335"/>
      <c r="S449" s="335"/>
      <c r="T449" s="335"/>
      <c r="U449" s="335"/>
      <c r="V449" s="335"/>
      <c r="W449" s="335"/>
      <c r="X449" s="335"/>
      <c r="Y449" s="335"/>
      <c r="Z449" s="335"/>
      <c r="AA449" s="335"/>
      <c r="AB449" s="335"/>
      <c r="AC449" s="823">
        <f t="shared" si="889"/>
        <v>0.12100787327991026</v>
      </c>
      <c r="AD449" s="823" t="str">
        <f t="shared" si="889"/>
        <v>NA</v>
      </c>
      <c r="AE449" s="823">
        <f t="shared" si="889"/>
        <v>7.4917148795146896E-2</v>
      </c>
      <c r="AF449" s="823">
        <f t="shared" si="889"/>
        <v>8.8441489361702139E-2</v>
      </c>
      <c r="AG449" s="823">
        <f t="shared" si="889"/>
        <v>7.8884192232351949E-2</v>
      </c>
      <c r="AH449" s="823">
        <f t="shared" si="889"/>
        <v>6.1660929432013775E-2</v>
      </c>
      <c r="AI449" s="823">
        <f t="shared" si="889"/>
        <v>8.0491559086395242E-2</v>
      </c>
      <c r="AJ449" s="823">
        <f t="shared" si="889"/>
        <v>9.1012891344383062E-2</v>
      </c>
      <c r="AK449" s="823">
        <f t="shared" si="889"/>
        <v>9.2915270464337008E-2</v>
      </c>
      <c r="AL449" s="823">
        <f t="shared" si="889"/>
        <v>7.5772605875619986E-2</v>
      </c>
      <c r="AM449" s="823">
        <f t="shared" si="889"/>
        <v>7.4590163934426218E-2</v>
      </c>
      <c r="AN449" s="823">
        <f t="shared" si="889"/>
        <v>6.5107296137339066E-2</v>
      </c>
      <c r="AO449" s="823">
        <f t="shared" si="889"/>
        <v>8.9864864864864877E-2</v>
      </c>
      <c r="AP449" s="823">
        <f t="shared" si="876"/>
        <v>7.0730133118192817E-2</v>
      </c>
      <c r="AQ449" s="823">
        <f t="shared" si="876"/>
        <v>6.6074074074074077E-2</v>
      </c>
      <c r="AR449" s="823">
        <f t="shared" si="876"/>
        <v>7.6258765778401127E-2</v>
      </c>
      <c r="AS449" s="823">
        <f t="shared" si="876"/>
        <v>9.5550644567219165E-2</v>
      </c>
      <c r="AT449" s="823">
        <f t="shared" ref="AT449:BD449" si="893">IFERROR(AT440/AT$441,"NA")</f>
        <v>6.7202362449487102E-2</v>
      </c>
      <c r="AU449" s="823">
        <f t="shared" si="893"/>
        <v>3.6433886662850606E-2</v>
      </c>
      <c r="AV449" s="823">
        <f t="shared" si="893"/>
        <v>-5.4701348747591513E-2</v>
      </c>
      <c r="AW449" s="823">
        <f t="shared" si="893"/>
        <v>3.6478873239436618E-2</v>
      </c>
      <c r="AX449" s="823">
        <f t="shared" si="893"/>
        <v>9.0023942537909019E-2</v>
      </c>
      <c r="AY449" s="823">
        <f t="shared" si="893"/>
        <v>7.2661290322580632E-2</v>
      </c>
      <c r="AZ449" s="823">
        <f t="shared" si="893"/>
        <v>6.3710666121781778E-2</v>
      </c>
      <c r="BA449" s="823">
        <f t="shared" si="893"/>
        <v>4.6285714285714284E-2</v>
      </c>
      <c r="BB449" s="823">
        <f t="shared" si="893"/>
        <v>4.2089477630592349E-2</v>
      </c>
      <c r="BC449" s="823">
        <f t="shared" si="893"/>
        <v>1.7579209683161266E-2</v>
      </c>
      <c r="BD449" s="823">
        <f t="shared" si="893"/>
        <v>1.7514557155991418E-2</v>
      </c>
      <c r="BE449" s="823">
        <f t="shared" si="878"/>
        <v>1.8198636806231742E-2</v>
      </c>
      <c r="BF449" s="823">
        <f t="shared" si="878"/>
        <v>1.1907931225734884E-2</v>
      </c>
      <c r="BG449" s="823">
        <f t="shared" ref="BG449:BJ449" si="894">IFERROR(BG440/BG$441,"NA")</f>
        <v>1.8475952529668955E-2</v>
      </c>
      <c r="BH449" s="823">
        <f t="shared" si="894"/>
        <v>1.8861029607895437E-2</v>
      </c>
      <c r="BI449" s="823">
        <f t="shared" si="894"/>
        <v>1.8033573141486809E-2</v>
      </c>
      <c r="BJ449" s="823">
        <f t="shared" si="894"/>
        <v>1.7912657290895632E-2</v>
      </c>
      <c r="BK449" s="823">
        <f t="shared" ref="BK449:BL449" si="895">IFERROR(BK440/BK$441,"NA")</f>
        <v>2.0351758793969846E-2</v>
      </c>
      <c r="BL449" s="823">
        <f t="shared" si="895"/>
        <v>2.0898787559304164E-2</v>
      </c>
    </row>
    <row r="450" spans="1:70" s="9" customFormat="1" ht="11.25">
      <c r="A450" s="13" t="s">
        <v>325</v>
      </c>
      <c r="B450" s="13"/>
      <c r="C450" s="170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  <c r="R450" s="170"/>
      <c r="S450" s="170"/>
      <c r="T450" s="170"/>
      <c r="U450" s="170"/>
      <c r="V450" s="170"/>
      <c r="W450" s="170"/>
      <c r="X450" s="170"/>
      <c r="Y450" s="170"/>
      <c r="Z450" s="170"/>
      <c r="AA450" s="170"/>
      <c r="AB450" s="170"/>
      <c r="AC450" s="1049">
        <f t="shared" ref="AC450:AO450" si="896">SUM(AC445:AC448)</f>
        <v>0.87899212672008975</v>
      </c>
      <c r="AD450" s="1049">
        <f t="shared" si="896"/>
        <v>0</v>
      </c>
      <c r="AE450" s="1049">
        <f t="shared" si="896"/>
        <v>0.92508285120485323</v>
      </c>
      <c r="AF450" s="1049">
        <f t="shared" si="896"/>
        <v>0.91155851063829796</v>
      </c>
      <c r="AG450" s="1049">
        <f t="shared" si="896"/>
        <v>0.92111580776764801</v>
      </c>
      <c r="AH450" s="1049">
        <f t="shared" si="896"/>
        <v>0.93833907056798627</v>
      </c>
      <c r="AI450" s="1049">
        <f t="shared" si="896"/>
        <v>0.91950844091360473</v>
      </c>
      <c r="AJ450" s="1049">
        <f t="shared" si="896"/>
        <v>0.90898710865561683</v>
      </c>
      <c r="AK450" s="1049">
        <f t="shared" si="896"/>
        <v>0.90708472953566299</v>
      </c>
      <c r="AL450" s="1049">
        <f t="shared" si="896"/>
        <v>0.92422739412437993</v>
      </c>
      <c r="AM450" s="1049">
        <f t="shared" si="896"/>
        <v>0.92540983606557381</v>
      </c>
      <c r="AN450" s="1049">
        <f t="shared" si="896"/>
        <v>0.93489270386266099</v>
      </c>
      <c r="AO450" s="1049">
        <f t="shared" si="896"/>
        <v>0.91013513513513522</v>
      </c>
      <c r="AP450" s="1049">
        <f t="shared" ref="AP450:AU450" si="897">SUM(AP445:AP448)</f>
        <v>0.92926986688180713</v>
      </c>
      <c r="AQ450" s="1049">
        <f t="shared" si="897"/>
        <v>0.93392592592592583</v>
      </c>
      <c r="AR450" s="1049">
        <f t="shared" si="897"/>
        <v>0.92374123422159893</v>
      </c>
      <c r="AS450" s="1049">
        <f t="shared" si="897"/>
        <v>0.90444935543278082</v>
      </c>
      <c r="AT450" s="1049">
        <f t="shared" si="897"/>
        <v>0.93279763755051293</v>
      </c>
      <c r="AU450" s="1049">
        <f t="shared" si="897"/>
        <v>0.96356611333714948</v>
      </c>
      <c r="AV450" s="1049">
        <f t="shared" ref="AV450:BD450" si="898">SUM(AV445:AV448)</f>
        <v>1.0547013487475914</v>
      </c>
      <c r="AW450" s="1049">
        <f t="shared" si="898"/>
        <v>0.96352112676056345</v>
      </c>
      <c r="AX450" s="1049">
        <f t="shared" si="898"/>
        <v>0.90997605746209098</v>
      </c>
      <c r="AY450" s="1049">
        <f t="shared" si="898"/>
        <v>0.92733870967741949</v>
      </c>
      <c r="AZ450" s="1049">
        <f t="shared" si="898"/>
        <v>0.93628933387821822</v>
      </c>
      <c r="BA450" s="1049">
        <f t="shared" si="898"/>
        <v>0.95371428571428574</v>
      </c>
      <c r="BB450" s="1049">
        <f t="shared" si="898"/>
        <v>0.95791052236940744</v>
      </c>
      <c r="BC450" s="1049">
        <f t="shared" si="898"/>
        <v>0.9824207903168386</v>
      </c>
      <c r="BD450" s="1049">
        <f t="shared" si="898"/>
        <v>0.98248544284400852</v>
      </c>
      <c r="BE450" s="1049">
        <f>SUM(BE445:BE449)</f>
        <v>1</v>
      </c>
      <c r="BF450" s="1049">
        <f>SUM(BF445:BF449)</f>
        <v>0.99999999999999978</v>
      </c>
      <c r="BG450" s="1049">
        <f>SUM(BG445:BG449)</f>
        <v>1</v>
      </c>
      <c r="BH450" s="1049">
        <f t="shared" ref="BH450:BJ450" si="899">SUM(BH445:BH449)</f>
        <v>1</v>
      </c>
      <c r="BI450" s="1049">
        <f t="shared" si="899"/>
        <v>1</v>
      </c>
      <c r="BJ450" s="1049">
        <f t="shared" si="899"/>
        <v>1</v>
      </c>
      <c r="BK450" s="1049">
        <f t="shared" ref="BK450:BL450" si="900">SUM(BK445:BK449)</f>
        <v>1</v>
      </c>
      <c r="BL450" s="1049">
        <f t="shared" si="900"/>
        <v>1</v>
      </c>
    </row>
    <row r="451" spans="1:70" s="9" customFormat="1" ht="11.25">
      <c r="A451" s="604"/>
      <c r="B451" s="13"/>
      <c r="C451" s="170"/>
      <c r="D451" s="170"/>
      <c r="E451" s="170"/>
      <c r="F451" s="170"/>
      <c r="G451" s="170"/>
      <c r="H451" s="797"/>
      <c r="I451" s="797"/>
      <c r="J451" s="797"/>
      <c r="K451" s="797"/>
      <c r="L451" s="797"/>
      <c r="M451" s="797"/>
      <c r="N451" s="797"/>
      <c r="O451" s="797"/>
      <c r="P451" s="797"/>
      <c r="Q451" s="797"/>
      <c r="R451" s="797"/>
      <c r="S451" s="797"/>
      <c r="T451" s="797"/>
      <c r="U451" s="797"/>
      <c r="V451" s="797"/>
      <c r="W451" s="797"/>
      <c r="X451" s="797"/>
      <c r="Y451" s="797"/>
      <c r="Z451" s="797"/>
      <c r="AA451" s="797"/>
      <c r="AB451" s="797"/>
      <c r="AC451" s="797"/>
      <c r="AD451" s="797"/>
      <c r="AE451" s="797"/>
      <c r="AF451" s="797"/>
      <c r="AG451" s="797"/>
      <c r="AH451" s="797"/>
      <c r="AI451" s="797"/>
      <c r="AJ451" s="797"/>
      <c r="AK451" s="797"/>
      <c r="AL451" s="797"/>
      <c r="AM451" s="797"/>
      <c r="AN451" s="797"/>
      <c r="AO451" s="797"/>
      <c r="AP451" s="797"/>
    </row>
    <row r="452" spans="1:70" s="9" customFormat="1" ht="11.25">
      <c r="A452" s="13" t="s">
        <v>1049</v>
      </c>
      <c r="B452" s="13"/>
    </row>
    <row r="453" spans="1:70" s="9" customFormat="1" ht="11.25">
      <c r="A453" s="36" t="s">
        <v>735</v>
      </c>
      <c r="B453" s="36"/>
      <c r="C453" s="335"/>
      <c r="D453" s="335"/>
      <c r="E453" s="335"/>
      <c r="F453" s="335"/>
      <c r="G453" s="335"/>
      <c r="H453" s="335"/>
      <c r="I453" s="335"/>
      <c r="J453" s="335"/>
      <c r="K453" s="335"/>
      <c r="L453" s="335"/>
      <c r="M453" s="335"/>
      <c r="N453" s="335"/>
      <c r="O453" s="335"/>
      <c r="P453" s="335"/>
      <c r="Q453" s="335"/>
      <c r="R453" s="335"/>
      <c r="S453" s="335"/>
      <c r="T453" s="335"/>
      <c r="U453" s="335"/>
      <c r="V453" s="335"/>
      <c r="W453" s="335"/>
      <c r="X453" s="335"/>
      <c r="Y453" s="335"/>
      <c r="Z453" s="335"/>
      <c r="AA453" s="335"/>
      <c r="AB453" s="335"/>
      <c r="AC453" s="1050">
        <f t="shared" ref="AC453:AQ453" si="901">+AC436/AC418</f>
        <v>0.14128734904322204</v>
      </c>
      <c r="AD453" s="1050">
        <f t="shared" si="901"/>
        <v>0</v>
      </c>
      <c r="AE453" s="1050">
        <f t="shared" si="901"/>
        <v>0.13625678038034097</v>
      </c>
      <c r="AF453" s="1050">
        <f t="shared" si="901"/>
        <v>0.1426972451088965</v>
      </c>
      <c r="AG453" s="1050">
        <f t="shared" si="901"/>
        <v>0.15529959334719945</v>
      </c>
      <c r="AH453" s="1050">
        <f t="shared" si="901"/>
        <v>0.16194170033622227</v>
      </c>
      <c r="AI453" s="1050">
        <f t="shared" si="901"/>
        <v>0.15010789399637775</v>
      </c>
      <c r="AJ453" s="1050">
        <f t="shared" si="901"/>
        <v>0.15772681551460663</v>
      </c>
      <c r="AK453" s="1050">
        <f t="shared" si="901"/>
        <v>0.14877778832104385</v>
      </c>
      <c r="AL453" s="1050">
        <f t="shared" si="901"/>
        <v>0.16865995920842444</v>
      </c>
      <c r="AM453" s="1050">
        <f t="shared" si="901"/>
        <v>0.15103864576671727</v>
      </c>
      <c r="AN453" s="1050">
        <f t="shared" si="901"/>
        <v>0.15873901638672633</v>
      </c>
      <c r="AO453" s="1050">
        <f t="shared" si="901"/>
        <v>0.14897283575886061</v>
      </c>
      <c r="AP453" s="1050">
        <f t="shared" si="901"/>
        <v>0.15736328463676999</v>
      </c>
      <c r="AQ453" s="1050">
        <f t="shared" si="901"/>
        <v>0.1382204032738531</v>
      </c>
      <c r="AR453" s="1050">
        <f t="shared" ref="AR453:AS458" si="902">+AR436/AR418</f>
        <v>0.12771520349353388</v>
      </c>
      <c r="AS453" s="1050">
        <f t="shared" si="902"/>
        <v>0.14096402039111144</v>
      </c>
      <c r="AT453" s="1050">
        <f t="shared" ref="AT453:AU458" si="903">IFERROR(AT436/AT418,"NA")</f>
        <v>0.13763275892026033</v>
      </c>
      <c r="AU453" s="1050">
        <f t="shared" si="903"/>
        <v>9.3031629669833124E-2</v>
      </c>
      <c r="AV453" s="1050">
        <f t="shared" ref="AV453:BD453" si="904">IFERROR(AV436/AV418,"NA")</f>
        <v>0.13148478117252269</v>
      </c>
      <c r="AW453" s="1050">
        <f t="shared" si="904"/>
        <v>9.0953875712793827E-2</v>
      </c>
      <c r="AX453" s="1050">
        <f t="shared" si="904"/>
        <v>0.17598522861054605</v>
      </c>
      <c r="AY453" s="1050">
        <f t="shared" si="904"/>
        <v>0.11847668275864365</v>
      </c>
      <c r="AZ453" s="1050">
        <f t="shared" si="904"/>
        <v>0.15833696428834762</v>
      </c>
      <c r="BA453" s="1050">
        <f t="shared" si="904"/>
        <v>0.13991700263821999</v>
      </c>
      <c r="BB453" s="1050">
        <f t="shared" si="904"/>
        <v>0.18171084738137064</v>
      </c>
      <c r="BC453" s="1050">
        <f t="shared" si="904"/>
        <v>0.13122106918913665</v>
      </c>
      <c r="BD453" s="1050">
        <f t="shared" si="904"/>
        <v>0.13312547208833334</v>
      </c>
      <c r="BE453" s="1050">
        <f t="shared" ref="BE453:BF458" si="905">IFERROR(BE436/BE418,"NA")</f>
        <v>0.11707320961435087</v>
      </c>
      <c r="BF453" s="1050">
        <f t="shared" si="905"/>
        <v>0.15318927360420073</v>
      </c>
      <c r="BG453" s="1050">
        <f t="shared" ref="BG453:BJ453" si="906">IFERROR(BG436/BG418,"NA")</f>
        <v>0.120675597106633</v>
      </c>
      <c r="BH453" s="1050">
        <f t="shared" si="906"/>
        <v>0.14022044955615504</v>
      </c>
      <c r="BI453" s="1050">
        <f t="shared" si="906"/>
        <v>0.13302368775302342</v>
      </c>
      <c r="BJ453" s="1050">
        <f t="shared" si="906"/>
        <v>0.14902528502651363</v>
      </c>
      <c r="BK453" s="1050">
        <f t="shared" ref="BK453:BL453" si="907">IFERROR(BK436/BK418,"NA")</f>
        <v>0.1372863601194276</v>
      </c>
      <c r="BL453" s="1050">
        <f t="shared" si="907"/>
        <v>0.14073928688528295</v>
      </c>
    </row>
    <row r="454" spans="1:70" s="9" customFormat="1" ht="11.25">
      <c r="A454" s="36" t="s">
        <v>737</v>
      </c>
      <c r="B454" s="36"/>
      <c r="C454" s="335"/>
      <c r="D454" s="335"/>
      <c r="E454" s="335"/>
      <c r="F454" s="335"/>
      <c r="G454" s="335"/>
      <c r="H454" s="335"/>
      <c r="I454" s="335"/>
      <c r="J454" s="335"/>
      <c r="K454" s="335"/>
      <c r="L454" s="335"/>
      <c r="M454" s="335"/>
      <c r="N454" s="335"/>
      <c r="O454" s="335"/>
      <c r="P454" s="335"/>
      <c r="Q454" s="335"/>
      <c r="R454" s="335"/>
      <c r="S454" s="335"/>
      <c r="T454" s="335"/>
      <c r="U454" s="335"/>
      <c r="V454" s="335"/>
      <c r="W454" s="335"/>
      <c r="X454" s="335"/>
      <c r="Y454" s="335"/>
      <c r="Z454" s="335"/>
      <c r="AA454" s="335"/>
      <c r="AB454" s="335"/>
      <c r="AC454" s="1050">
        <f t="shared" ref="AC454:AQ454" si="908">+AC437/AC419</f>
        <v>0.23331424815598564</v>
      </c>
      <c r="AD454" s="1050">
        <f t="shared" si="908"/>
        <v>0</v>
      </c>
      <c r="AE454" s="1050">
        <f t="shared" si="908"/>
        <v>0.22862654922607401</v>
      </c>
      <c r="AF454" s="1050">
        <f t="shared" si="908"/>
        <v>0.24886872655264008</v>
      </c>
      <c r="AG454" s="1050">
        <f t="shared" si="908"/>
        <v>0.25092187469662064</v>
      </c>
      <c r="AH454" s="1050">
        <f t="shared" si="908"/>
        <v>0.2298928599614676</v>
      </c>
      <c r="AI454" s="1050">
        <f t="shared" si="908"/>
        <v>0.21854861633763156</v>
      </c>
      <c r="AJ454" s="1050">
        <f t="shared" si="908"/>
        <v>0.23370756315190969</v>
      </c>
      <c r="AK454" s="1050">
        <f t="shared" si="908"/>
        <v>0.22090360652832064</v>
      </c>
      <c r="AL454" s="1050">
        <f t="shared" si="908"/>
        <v>0.22717672809607239</v>
      </c>
      <c r="AM454" s="1050">
        <f t="shared" si="908"/>
        <v>0.2098401018423961</v>
      </c>
      <c r="AN454" s="1050">
        <f t="shared" si="908"/>
        <v>0.23484885699569963</v>
      </c>
      <c r="AO454" s="1050">
        <f t="shared" si="908"/>
        <v>0.21872148259813279</v>
      </c>
      <c r="AP454" s="1050">
        <f t="shared" si="908"/>
        <v>0.20716410489392315</v>
      </c>
      <c r="AQ454" s="1050">
        <f t="shared" si="908"/>
        <v>0.18993499318019599</v>
      </c>
      <c r="AR454" s="1050">
        <f t="shared" si="902"/>
        <v>0.21434205216325172</v>
      </c>
      <c r="AS454" s="1050">
        <f t="shared" si="902"/>
        <v>0.2145016391872919</v>
      </c>
      <c r="AT454" s="1050">
        <f t="shared" si="903"/>
        <v>0.21673155319579082</v>
      </c>
      <c r="AU454" s="1050">
        <f t="shared" si="903"/>
        <v>0.19542251588853471</v>
      </c>
      <c r="AV454" s="1050">
        <f t="shared" ref="AV454:BD454" si="909">IFERROR(AV437/AV419,"NA")</f>
        <v>-0.22100356993523823</v>
      </c>
      <c r="AW454" s="1050">
        <f t="shared" si="909"/>
        <v>0.24212063389800217</v>
      </c>
      <c r="AX454" s="1050">
        <f t="shared" si="909"/>
        <v>0.2753187884789684</v>
      </c>
      <c r="AY454" s="1050">
        <f t="shared" si="909"/>
        <v>0.22472231400135179</v>
      </c>
      <c r="AZ454" s="1050">
        <f t="shared" si="909"/>
        <v>0.27666643842813976</v>
      </c>
      <c r="BA454" s="1050">
        <f t="shared" si="909"/>
        <v>0.26013466921951311</v>
      </c>
      <c r="BB454" s="1050">
        <f t="shared" si="909"/>
        <v>0.31867446107183284</v>
      </c>
      <c r="BC454" s="1050">
        <f t="shared" si="909"/>
        <v>0.26098062220045232</v>
      </c>
      <c r="BD454" s="1050">
        <f t="shared" si="909"/>
        <v>0.26220626318813189</v>
      </c>
      <c r="BE454" s="1050">
        <f t="shared" si="905"/>
        <v>0.23345752434500031</v>
      </c>
      <c r="BF454" s="1050">
        <f t="shared" si="905"/>
        <v>0.21450278010088325</v>
      </c>
      <c r="BG454" s="1050">
        <f t="shared" ref="BG454:BJ454" si="910">IFERROR(BG437/BG419,"NA")</f>
        <v>0.24042999112069607</v>
      </c>
      <c r="BH454" s="1050">
        <f t="shared" si="910"/>
        <v>0.26192163198519403</v>
      </c>
      <c r="BI454" s="1050">
        <f t="shared" si="910"/>
        <v>0.25465527478092004</v>
      </c>
      <c r="BJ454" s="1050">
        <f t="shared" si="910"/>
        <v>0.24866690476068129</v>
      </c>
      <c r="BK454" s="1050">
        <f t="shared" ref="BK454:BL454" si="911">IFERROR(BK437/BK419,"NA")</f>
        <v>0.25577575667160934</v>
      </c>
      <c r="BL454" s="1050">
        <f t="shared" si="911"/>
        <v>0.2503028899368791</v>
      </c>
    </row>
    <row r="455" spans="1:70" s="9" customFormat="1" ht="11.25">
      <c r="A455" s="36" t="s">
        <v>736</v>
      </c>
      <c r="B455" s="36"/>
      <c r="C455" s="335"/>
      <c r="D455" s="335"/>
      <c r="E455" s="335"/>
      <c r="F455" s="335"/>
      <c r="G455" s="335"/>
      <c r="H455" s="335"/>
      <c r="I455" s="335"/>
      <c r="J455" s="335"/>
      <c r="K455" s="335"/>
      <c r="L455" s="335"/>
      <c r="M455" s="335"/>
      <c r="N455" s="335"/>
      <c r="O455" s="335"/>
      <c r="P455" s="335"/>
      <c r="Q455" s="335"/>
      <c r="R455" s="335"/>
      <c r="S455" s="335"/>
      <c r="T455" s="335"/>
      <c r="U455" s="335"/>
      <c r="V455" s="335"/>
      <c r="W455" s="335"/>
      <c r="X455" s="335"/>
      <c r="Y455" s="335"/>
      <c r="Z455" s="335"/>
      <c r="AA455" s="335"/>
      <c r="AB455" s="335"/>
      <c r="AC455" s="1050">
        <f t="shared" ref="AC455:AQ455" si="912">+AC438/AC420</f>
        <v>0.217349699489749</v>
      </c>
      <c r="AD455" s="1050">
        <f t="shared" si="912"/>
        <v>0</v>
      </c>
      <c r="AE455" s="1050">
        <f t="shared" si="912"/>
        <v>0.2370907961651248</v>
      </c>
      <c r="AF455" s="1050">
        <f t="shared" si="912"/>
        <v>0.23154500154008428</v>
      </c>
      <c r="AG455" s="1050">
        <f t="shared" si="912"/>
        <v>0.21182175380724347</v>
      </c>
      <c r="AH455" s="1050">
        <f t="shared" si="912"/>
        <v>0.25534829602405712</v>
      </c>
      <c r="AI455" s="1050">
        <f t="shared" si="912"/>
        <v>0.21335612206333601</v>
      </c>
      <c r="AJ455" s="1050">
        <f t="shared" si="912"/>
        <v>0.2195126458943327</v>
      </c>
      <c r="AK455" s="1050">
        <f t="shared" si="912"/>
        <v>0.19725521274204022</v>
      </c>
      <c r="AL455" s="1050">
        <f t="shared" si="912"/>
        <v>0.24831471715131015</v>
      </c>
      <c r="AM455" s="1050">
        <f t="shared" si="912"/>
        <v>0.20964318444477273</v>
      </c>
      <c r="AN455" s="1050">
        <f t="shared" si="912"/>
        <v>0.21225618231951196</v>
      </c>
      <c r="AO455" s="1050">
        <f t="shared" si="912"/>
        <v>0.19641934452980422</v>
      </c>
      <c r="AP455" s="1050">
        <f t="shared" si="912"/>
        <v>0.20875013760334832</v>
      </c>
      <c r="AQ455" s="1050">
        <f t="shared" si="912"/>
        <v>0.18799936826673255</v>
      </c>
      <c r="AR455" s="1050">
        <f t="shared" si="902"/>
        <v>0.2145762096167215</v>
      </c>
      <c r="AS455" s="1050">
        <f t="shared" si="902"/>
        <v>0.17968143862974556</v>
      </c>
      <c r="AT455" s="1050">
        <f t="shared" si="903"/>
        <v>0.22500915301882432</v>
      </c>
      <c r="AU455" s="1050">
        <f t="shared" si="903"/>
        <v>0.13111839730229183</v>
      </c>
      <c r="AV455" s="1050">
        <f t="shared" ref="AV455:BD455" si="913">IFERROR(AV438/AV420,"NA")</f>
        <v>-0.89622229587064561</v>
      </c>
      <c r="AW455" s="1050">
        <f t="shared" si="913"/>
        <v>0.14394028047482066</v>
      </c>
      <c r="AX455" s="1050">
        <f t="shared" si="913"/>
        <v>0.2302767650734206</v>
      </c>
      <c r="AY455" s="1050">
        <f t="shared" si="913"/>
        <v>0.11603667448318014</v>
      </c>
      <c r="AZ455" s="1050">
        <f t="shared" si="913"/>
        <v>0.1891736213028973</v>
      </c>
      <c r="BA455" s="1050">
        <f t="shared" si="913"/>
        <v>0.22341585905135125</v>
      </c>
      <c r="BB455" s="1050">
        <f t="shared" si="913"/>
        <v>0.26100458177287139</v>
      </c>
      <c r="BC455" s="1050">
        <f t="shared" si="913"/>
        <v>0.21514689369808568</v>
      </c>
      <c r="BD455" s="1050">
        <f t="shared" si="913"/>
        <v>0.2217203860789056</v>
      </c>
      <c r="BE455" s="1050">
        <f t="shared" si="905"/>
        <v>0.2064370171871775</v>
      </c>
      <c r="BF455" s="1050">
        <f t="shared" si="905"/>
        <v>0.24720137462845687</v>
      </c>
      <c r="BG455" s="1050">
        <f t="shared" ref="BG455:BJ455" si="914">IFERROR(BG438/BG420,"NA")</f>
        <v>0.20262301554348205</v>
      </c>
      <c r="BH455" s="1050">
        <f t="shared" si="914"/>
        <v>0.19917518748528648</v>
      </c>
      <c r="BI455" s="1050">
        <f t="shared" si="914"/>
        <v>0.21073474468943823</v>
      </c>
      <c r="BJ455" s="1050">
        <f t="shared" si="914"/>
        <v>0.24160458162207243</v>
      </c>
      <c r="BK455" s="1050">
        <f t="shared" ref="BK455:BL455" si="915">IFERROR(BK438/BK420,"NA")</f>
        <v>0.21833969974335862</v>
      </c>
      <c r="BL455" s="1050">
        <f t="shared" si="915"/>
        <v>0.22214211205498802</v>
      </c>
    </row>
    <row r="456" spans="1:70" s="9" customFormat="1" ht="11.25">
      <c r="A456" s="36" t="s">
        <v>738</v>
      </c>
      <c r="B456" s="36"/>
      <c r="C456" s="335"/>
      <c r="D456" s="335"/>
      <c r="E456" s="335"/>
      <c r="F456" s="335"/>
      <c r="G456" s="335"/>
      <c r="H456" s="335"/>
      <c r="I456" s="335"/>
      <c r="J456" s="335"/>
      <c r="K456" s="335"/>
      <c r="L456" s="335"/>
      <c r="M456" s="335"/>
      <c r="N456" s="335"/>
      <c r="O456" s="335"/>
      <c r="P456" s="335"/>
      <c r="Q456" s="335"/>
      <c r="R456" s="335"/>
      <c r="S456" s="335"/>
      <c r="T456" s="335"/>
      <c r="U456" s="335"/>
      <c r="V456" s="335"/>
      <c r="W456" s="335"/>
      <c r="X456" s="335"/>
      <c r="Y456" s="335"/>
      <c r="Z456" s="335"/>
      <c r="AA456" s="335"/>
      <c r="AB456" s="335"/>
      <c r="AC456" s="1050">
        <f t="shared" ref="AC456:AQ456" si="916">+AC439/AC421</f>
        <v>0.20992479184433974</v>
      </c>
      <c r="AD456" s="1050">
        <f t="shared" si="916"/>
        <v>0</v>
      </c>
      <c r="AE456" s="1050">
        <f t="shared" si="916"/>
        <v>0.21431684747349156</v>
      </c>
      <c r="AF456" s="1050">
        <f t="shared" si="916"/>
        <v>0.20619862895603369</v>
      </c>
      <c r="AG456" s="1050">
        <f t="shared" si="916"/>
        <v>0.24671984456545648</v>
      </c>
      <c r="AH456" s="1050">
        <f t="shared" si="916"/>
        <v>0.28346256286392796</v>
      </c>
      <c r="AI456" s="1050">
        <f t="shared" si="916"/>
        <v>0.23680040634457653</v>
      </c>
      <c r="AJ456" s="1050">
        <f t="shared" si="916"/>
        <v>0.20999836262254018</v>
      </c>
      <c r="AK456" s="1050">
        <f t="shared" si="916"/>
        <v>0.22646808244698305</v>
      </c>
      <c r="AL456" s="1050">
        <f t="shared" si="916"/>
        <v>0.28494874882533966</v>
      </c>
      <c r="AM456" s="1050">
        <f t="shared" si="916"/>
        <v>0.22586015262821346</v>
      </c>
      <c r="AN456" s="1050">
        <f t="shared" si="916"/>
        <v>0.23440449646938574</v>
      </c>
      <c r="AO456" s="1050">
        <f t="shared" si="916"/>
        <v>0.1879055463212006</v>
      </c>
      <c r="AP456" s="1050">
        <f t="shared" si="916"/>
        <v>0.24686575701126492</v>
      </c>
      <c r="AQ456" s="1050">
        <f t="shared" si="916"/>
        <v>0.18082694856476383</v>
      </c>
      <c r="AR456" s="1050">
        <f t="shared" si="902"/>
        <v>0.2171173462266856</v>
      </c>
      <c r="AS456" s="1050">
        <f t="shared" si="902"/>
        <v>0.16817225451829054</v>
      </c>
      <c r="AT456" s="1050">
        <f t="shared" si="903"/>
        <v>0.24712154341812634</v>
      </c>
      <c r="AU456" s="1050">
        <f t="shared" si="903"/>
        <v>0.16676018590721167</v>
      </c>
      <c r="AV456" s="1050">
        <f t="shared" ref="AV456:BD456" si="917">IFERROR(AV439/AV421,"NA")</f>
        <v>-2.7410179390150828</v>
      </c>
      <c r="AW456" s="1050">
        <f t="shared" si="917"/>
        <v>-0.18844895234387929</v>
      </c>
      <c r="AX456" s="1050">
        <f t="shared" si="917"/>
        <v>0.14260380202449596</v>
      </c>
      <c r="AY456" s="1050">
        <f t="shared" si="917"/>
        <v>2.4285834875516492E-2</v>
      </c>
      <c r="AZ456" s="1050">
        <f t="shared" si="917"/>
        <v>9.2786662486297855E-2</v>
      </c>
      <c r="BA456" s="1050">
        <f t="shared" si="917"/>
        <v>0.1036302838280518</v>
      </c>
      <c r="BB456" s="1050">
        <f t="shared" si="917"/>
        <v>0.15019422931586082</v>
      </c>
      <c r="BC456" s="1050">
        <f t="shared" si="917"/>
        <v>0.12722659319857813</v>
      </c>
      <c r="BD456" s="1050">
        <f t="shared" si="917"/>
        <v>0.15707926135782868</v>
      </c>
      <c r="BE456" s="1050">
        <f t="shared" si="905"/>
        <v>0.14637983385414624</v>
      </c>
      <c r="BF456" s="1050">
        <f t="shared" si="905"/>
        <v>0.1559944473095056</v>
      </c>
      <c r="BG456" s="1050">
        <f t="shared" ref="BG456:BJ456" si="918">IFERROR(BG439/BG421,"NA")</f>
        <v>0.15337024539121694</v>
      </c>
      <c r="BH456" s="1050">
        <f t="shared" si="918"/>
        <v>0.17306209967946626</v>
      </c>
      <c r="BI456" s="1050">
        <f t="shared" si="918"/>
        <v>0.15127435158915428</v>
      </c>
      <c r="BJ456" s="1050">
        <f t="shared" si="918"/>
        <v>0.15806564382551516</v>
      </c>
      <c r="BK456" s="1050">
        <f t="shared" ref="BK456:BL456" si="919">IFERROR(BK439/BK421,"NA")</f>
        <v>0.15461490771810682</v>
      </c>
      <c r="BL456" s="1050">
        <f t="shared" si="919"/>
        <v>0.15909461736963609</v>
      </c>
    </row>
    <row r="457" spans="1:70" s="9" customFormat="1" ht="11.25">
      <c r="A457" s="36" t="s">
        <v>1043</v>
      </c>
      <c r="B457" s="13"/>
      <c r="C457" s="170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  <c r="R457" s="170"/>
      <c r="S457" s="170"/>
      <c r="T457" s="170"/>
      <c r="U457" s="170"/>
      <c r="V457" s="170"/>
      <c r="W457" s="170"/>
      <c r="X457" s="170"/>
      <c r="Y457" s="170"/>
      <c r="Z457" s="170"/>
      <c r="AA457" s="170"/>
      <c r="AB457" s="170"/>
      <c r="AC457" s="1050">
        <f t="shared" ref="AC457:AQ457" si="920">+AC440/AC422</f>
        <v>0.62977437553301918</v>
      </c>
      <c r="AD457" s="1050">
        <f t="shared" si="920"/>
        <v>0</v>
      </c>
      <c r="AE457" s="1050">
        <f t="shared" si="920"/>
        <v>0.37505448307861028</v>
      </c>
      <c r="AF457" s="1050">
        <f t="shared" si="920"/>
        <v>0.45852063544170657</v>
      </c>
      <c r="AG457" s="1050">
        <f t="shared" si="920"/>
        <v>0.41835104078490448</v>
      </c>
      <c r="AH457" s="1050">
        <f t="shared" si="920"/>
        <v>0.34120493678065406</v>
      </c>
      <c r="AI457" s="1050">
        <f t="shared" si="920"/>
        <v>0.40153112380167322</v>
      </c>
      <c r="AJ457" s="1050">
        <f t="shared" si="920"/>
        <v>0.63699503328837181</v>
      </c>
      <c r="AK457" s="1050">
        <f t="shared" si="920"/>
        <v>0.61764022485540826</v>
      </c>
      <c r="AL457" s="1050">
        <f t="shared" si="920"/>
        <v>0.56989749765067932</v>
      </c>
      <c r="AM457" s="1050">
        <f t="shared" si="920"/>
        <v>0.73917868132869846</v>
      </c>
      <c r="AN457" s="1050">
        <f t="shared" si="920"/>
        <v>0.44648475517978242</v>
      </c>
      <c r="AO457" s="1050">
        <f t="shared" si="920"/>
        <v>0.87689254949893625</v>
      </c>
      <c r="AP457" s="1050">
        <f t="shared" si="920"/>
        <v>0.47226492645633295</v>
      </c>
      <c r="AQ457" s="1050">
        <f t="shared" si="920"/>
        <v>0.39092550298058787</v>
      </c>
      <c r="AR457" s="1050">
        <f t="shared" si="902"/>
        <v>0.49721534033120091</v>
      </c>
      <c r="AS457" s="1050">
        <f t="shared" si="902"/>
        <v>0.59675891954108506</v>
      </c>
      <c r="AT457" s="1050">
        <f t="shared" si="903"/>
        <v>0.702234918905006</v>
      </c>
      <c r="AU457" s="1050">
        <f t="shared" si="903"/>
        <v>0.17527062307398517</v>
      </c>
      <c r="AV457" s="1050">
        <f t="shared" ref="AV457:BD457" si="921">IFERROR(AV440/AV422,"NA")</f>
        <v>0.18206501227992916</v>
      </c>
      <c r="AW457" s="1050">
        <f t="shared" si="921"/>
        <v>6.9795908275510854E-2</v>
      </c>
      <c r="AX457" s="1050">
        <f t="shared" si="921"/>
        <v>0.49924608529991149</v>
      </c>
      <c r="AY457" s="1050">
        <f t="shared" si="921"/>
        <v>0.35292801972323157</v>
      </c>
      <c r="AZ457" s="1050">
        <f t="shared" si="921"/>
        <v>0.41648740877616713</v>
      </c>
      <c r="BA457" s="1050">
        <f t="shared" si="921"/>
        <v>0.29788781206846837</v>
      </c>
      <c r="BB457" s="1050">
        <f t="shared" si="921"/>
        <v>0.33548265355463397</v>
      </c>
      <c r="BC457" s="1050">
        <f t="shared" si="921"/>
        <v>0.10808913190045843</v>
      </c>
      <c r="BD457" s="1050">
        <f t="shared" si="921"/>
        <v>0.11246151513820546</v>
      </c>
      <c r="BE457" s="1050">
        <f t="shared" si="905"/>
        <v>0.106689189559461</v>
      </c>
      <c r="BF457" s="1050">
        <f t="shared" si="905"/>
        <v>7.4759542044007352E-2</v>
      </c>
      <c r="BG457" s="1050">
        <f t="shared" ref="BG457:BJ457" si="922">IFERROR(BG440/BG422,"NA")</f>
        <v>0.11162908440319223</v>
      </c>
      <c r="BH457" s="1050">
        <f t="shared" si="922"/>
        <v>0.12438825728410141</v>
      </c>
      <c r="BI457" s="1050">
        <f t="shared" si="922"/>
        <v>0.1158707248402078</v>
      </c>
      <c r="BJ457" s="1050">
        <f t="shared" si="922"/>
        <v>0.12011896940108235</v>
      </c>
      <c r="BK457" s="1050">
        <f t="shared" ref="BK457:BL457" si="923">IFERROR(BK440/BK422,"NA")</f>
        <v>0.13349574033221651</v>
      </c>
      <c r="BL457" s="1050">
        <f t="shared" si="923"/>
        <v>0.13726988531913897</v>
      </c>
    </row>
    <row r="458" spans="1:70" s="9" customFormat="1" ht="11.25">
      <c r="A458" s="13" t="s">
        <v>325</v>
      </c>
      <c r="B458" s="13"/>
      <c r="C458" s="170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  <c r="R458" s="170"/>
      <c r="S458" s="170"/>
      <c r="T458" s="170"/>
      <c r="U458" s="170"/>
      <c r="V458" s="170"/>
      <c r="W458" s="170"/>
      <c r="X458" s="170"/>
      <c r="Y458" s="170"/>
      <c r="Z458" s="170"/>
      <c r="AA458" s="170"/>
      <c r="AB458" s="170"/>
      <c r="AC458" s="1051">
        <f t="shared" ref="AC458:AQ458" si="924">+AC441/AC423</f>
        <v>0.20817633050247961</v>
      </c>
      <c r="AD458" s="1051">
        <f t="shared" si="924"/>
        <v>0</v>
      </c>
      <c r="AE458" s="1051">
        <f t="shared" si="924"/>
        <v>0.20025027065787435</v>
      </c>
      <c r="AF458" s="1051">
        <f t="shared" si="924"/>
        <v>0.20737807051913351</v>
      </c>
      <c r="AG458" s="1051">
        <f t="shared" si="924"/>
        <v>0.21213428391465763</v>
      </c>
      <c r="AH458" s="1051">
        <f t="shared" si="924"/>
        <v>0.22134271404835723</v>
      </c>
      <c r="AI458" s="1051">
        <f t="shared" si="924"/>
        <v>0.19953949376018004</v>
      </c>
      <c r="AJ458" s="1051">
        <f t="shared" si="924"/>
        <v>0.2099686178119704</v>
      </c>
      <c r="AK458" s="1051">
        <f t="shared" si="924"/>
        <v>0.19942046827248039</v>
      </c>
      <c r="AL458" s="1051">
        <f t="shared" si="924"/>
        <v>0.22563464370731581</v>
      </c>
      <c r="AM458" s="1051">
        <f t="shared" si="924"/>
        <v>0.19819736070791477</v>
      </c>
      <c r="AN458" s="1051">
        <f t="shared" si="924"/>
        <v>0.2057302860057138</v>
      </c>
      <c r="AO458" s="1051">
        <f t="shared" si="924"/>
        <v>0.19515804109149254</v>
      </c>
      <c r="AP458" s="1051">
        <f t="shared" si="924"/>
        <v>0.20030992688808871</v>
      </c>
      <c r="AQ458" s="1051">
        <f t="shared" si="924"/>
        <v>0.17749420258647763</v>
      </c>
      <c r="AR458" s="1051">
        <f t="shared" si="902"/>
        <v>0.19560322092389323</v>
      </c>
      <c r="AS458" s="1051">
        <f t="shared" si="902"/>
        <v>0.18736417391342752</v>
      </c>
      <c r="AT458" s="1051">
        <f t="shared" si="903"/>
        <v>0.20899114058165541</v>
      </c>
      <c r="AU458" s="1051">
        <f t="shared" si="903"/>
        <v>0.14431945570004021</v>
      </c>
      <c r="AV458" s="1051">
        <f t="shared" ref="AV458:BD458" si="925">IFERROR(AV441/AV423,"NA")</f>
        <v>-0.19970075668886914</v>
      </c>
      <c r="AW458" s="1051">
        <f t="shared" si="925"/>
        <v>0.11479944758829197</v>
      </c>
      <c r="AX458" s="1051">
        <f t="shared" si="925"/>
        <v>0.22182813648254934</v>
      </c>
      <c r="AY458" s="1051">
        <f t="shared" si="925"/>
        <v>0.14571500925309894</v>
      </c>
      <c r="AZ458" s="1051">
        <f t="shared" si="925"/>
        <v>0.1961150781158334</v>
      </c>
      <c r="BA458" s="1051">
        <f t="shared" si="925"/>
        <v>0.19307543374808134</v>
      </c>
      <c r="BB458" s="1051">
        <f t="shared" si="925"/>
        <v>0.23912103863517051</v>
      </c>
      <c r="BC458" s="1051">
        <f t="shared" si="925"/>
        <v>0.1844607360318273</v>
      </c>
      <c r="BD458" s="1051">
        <f t="shared" si="925"/>
        <v>0.19263093117898397</v>
      </c>
      <c r="BE458" s="1051">
        <f t="shared" si="905"/>
        <v>0.17587447460283537</v>
      </c>
      <c r="BF458" s="1051">
        <f t="shared" si="905"/>
        <v>0.18834390447882432</v>
      </c>
      <c r="BG458" s="1051">
        <f t="shared" ref="BG458:BJ458" si="926">IFERROR(BG441/BG423,"NA")</f>
        <v>0.18125574455325638</v>
      </c>
      <c r="BH458" s="1051">
        <f t="shared" si="926"/>
        <v>0.19784962942643028</v>
      </c>
      <c r="BI458" s="1051">
        <f t="shared" si="926"/>
        <v>0.19275834677539888</v>
      </c>
      <c r="BJ458" s="1051">
        <f t="shared" si="926"/>
        <v>0.20117445577792842</v>
      </c>
      <c r="BK458" s="1051">
        <f t="shared" ref="BK458:BL458" si="927">IFERROR(BK441/BK423,"NA")</f>
        <v>0.19678260982304507</v>
      </c>
      <c r="BL458" s="1051">
        <f t="shared" si="927"/>
        <v>0.19704954404117034</v>
      </c>
    </row>
    <row r="459" spans="1:70" s="9" customFormat="1" ht="11.25">
      <c r="A459" s="604"/>
      <c r="B459" s="13"/>
      <c r="C459" s="170"/>
      <c r="D459" s="170"/>
      <c r="E459" s="170"/>
      <c r="F459" s="170"/>
      <c r="G459" s="170"/>
      <c r="H459" s="797"/>
      <c r="I459" s="797"/>
      <c r="J459" s="797"/>
      <c r="K459" s="797"/>
      <c r="L459" s="797"/>
      <c r="M459" s="797"/>
      <c r="N459" s="797"/>
      <c r="O459" s="797"/>
      <c r="P459" s="797"/>
      <c r="Q459" s="797"/>
      <c r="R459" s="797"/>
      <c r="S459" s="797"/>
      <c r="T459" s="797"/>
      <c r="U459" s="797"/>
      <c r="V459" s="797"/>
      <c r="W459" s="797"/>
      <c r="X459" s="797"/>
      <c r="Y459" s="797"/>
      <c r="Z459" s="797"/>
      <c r="AA459" s="797"/>
      <c r="AB459" s="797"/>
      <c r="AC459" s="797"/>
      <c r="AD459" s="797"/>
      <c r="AE459" s="797"/>
      <c r="AF459" s="797"/>
      <c r="AG459" s="797"/>
      <c r="AH459" s="797"/>
      <c r="AI459" s="797"/>
      <c r="AJ459" s="797"/>
      <c r="AK459" s="797"/>
      <c r="AL459" s="797"/>
      <c r="AM459" s="797"/>
      <c r="AN459" s="797"/>
      <c r="AO459" s="797"/>
      <c r="AP459" s="797"/>
    </row>
    <row r="460" spans="1:70" s="9" customFormat="1" ht="11.25">
      <c r="A460" s="577" t="s">
        <v>1046</v>
      </c>
      <c r="B460" s="577"/>
      <c r="C460" s="578" t="s">
        <v>690</v>
      </c>
      <c r="D460" s="578" t="s">
        <v>691</v>
      </c>
      <c r="E460" s="578" t="s">
        <v>692</v>
      </c>
      <c r="F460" s="578" t="s">
        <v>693</v>
      </c>
      <c r="G460" s="578" t="s">
        <v>114</v>
      </c>
      <c r="H460" s="578" t="s">
        <v>115</v>
      </c>
      <c r="I460" s="578" t="s">
        <v>116</v>
      </c>
      <c r="J460" s="578" t="s">
        <v>117</v>
      </c>
      <c r="K460" s="578" t="s">
        <v>267</v>
      </c>
      <c r="L460" s="578" t="s">
        <v>268</v>
      </c>
      <c r="M460" s="578" t="s">
        <v>272</v>
      </c>
      <c r="N460" s="578" t="s">
        <v>273</v>
      </c>
      <c r="O460" s="578" t="s">
        <v>276</v>
      </c>
      <c r="P460" s="578" t="s">
        <v>13</v>
      </c>
      <c r="Q460" s="578" t="s">
        <v>14</v>
      </c>
      <c r="R460" s="578" t="s">
        <v>15</v>
      </c>
      <c r="S460" s="578" t="s">
        <v>292</v>
      </c>
      <c r="T460" s="578" t="s">
        <v>274</v>
      </c>
      <c r="U460" s="578" t="s">
        <v>196</v>
      </c>
      <c r="V460" s="578" t="s">
        <v>154</v>
      </c>
      <c r="W460" s="578" t="s">
        <v>155</v>
      </c>
      <c r="X460" s="578" t="s">
        <v>156</v>
      </c>
      <c r="Y460" s="578" t="s">
        <v>157</v>
      </c>
      <c r="Z460" s="578" t="s">
        <v>158</v>
      </c>
      <c r="AA460" s="578" t="s">
        <v>159</v>
      </c>
      <c r="AB460" s="578" t="s">
        <v>160</v>
      </c>
      <c r="AC460" s="578" t="s">
        <v>161</v>
      </c>
      <c r="AD460" s="578" t="s">
        <v>162</v>
      </c>
      <c r="AE460" s="578" t="s">
        <v>163</v>
      </c>
      <c r="AF460" s="578" t="s">
        <v>164</v>
      </c>
      <c r="AG460" s="578" t="s">
        <v>165</v>
      </c>
      <c r="AH460" s="578" t="s">
        <v>166</v>
      </c>
      <c r="AI460" s="578" t="s">
        <v>167</v>
      </c>
      <c r="AJ460" s="578" t="s">
        <v>168</v>
      </c>
      <c r="AK460" s="578" t="s">
        <v>169</v>
      </c>
      <c r="AL460" s="578" t="s">
        <v>170</v>
      </c>
      <c r="AM460" s="578" t="s">
        <v>171</v>
      </c>
      <c r="AN460" s="578" t="s">
        <v>172</v>
      </c>
      <c r="AO460" s="578" t="s">
        <v>173</v>
      </c>
      <c r="AP460" s="578" t="s">
        <v>173</v>
      </c>
      <c r="AQ460" s="578" t="s">
        <v>175</v>
      </c>
      <c r="AR460" s="578" t="s">
        <v>176</v>
      </c>
      <c r="AS460" s="578" t="s">
        <v>177</v>
      </c>
      <c r="AT460" s="578" t="s">
        <v>178</v>
      </c>
      <c r="AU460" s="578" t="s">
        <v>179</v>
      </c>
      <c r="AV460" s="578" t="s">
        <v>180</v>
      </c>
      <c r="AW460" s="578" t="s">
        <v>181</v>
      </c>
      <c r="AX460" s="578" t="s">
        <v>182</v>
      </c>
      <c r="AY460" s="578" t="s">
        <v>183</v>
      </c>
      <c r="AZ460" s="578" t="s">
        <v>184</v>
      </c>
      <c r="BA460" s="578" t="s">
        <v>185</v>
      </c>
      <c r="BB460" s="578" t="s">
        <v>186</v>
      </c>
      <c r="BC460" s="578" t="s">
        <v>452</v>
      </c>
      <c r="BD460" s="578" t="s">
        <v>453</v>
      </c>
      <c r="BE460" s="578" t="s">
        <v>454</v>
      </c>
      <c r="BF460" s="578" t="s">
        <v>455</v>
      </c>
      <c r="BG460" s="578" t="s">
        <v>456</v>
      </c>
      <c r="BH460" s="578" t="s">
        <v>457</v>
      </c>
      <c r="BI460" s="578" t="s">
        <v>458</v>
      </c>
      <c r="BJ460" s="578" t="s">
        <v>459</v>
      </c>
      <c r="BK460" s="578" t="s">
        <v>460</v>
      </c>
      <c r="BL460" s="578" t="s">
        <v>460</v>
      </c>
      <c r="BM460" s="578" t="s">
        <v>462</v>
      </c>
      <c r="BN460" s="578" t="s">
        <v>463</v>
      </c>
      <c r="BO460" s="578" t="s">
        <v>464</v>
      </c>
      <c r="BP460" s="578" t="s">
        <v>465</v>
      </c>
      <c r="BQ460" s="578" t="s">
        <v>466</v>
      </c>
      <c r="BR460" s="578" t="s">
        <v>467</v>
      </c>
    </row>
    <row r="461" spans="1:70" s="9" customFormat="1" ht="11.25">
      <c r="A461" s="13" t="s">
        <v>831</v>
      </c>
      <c r="B461" s="13"/>
      <c r="C461" s="170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  <c r="R461" s="170"/>
      <c r="S461" s="170"/>
      <c r="T461" s="170"/>
      <c r="U461" s="170"/>
      <c r="V461" s="170"/>
      <c r="W461" s="170"/>
      <c r="X461" s="170"/>
      <c r="Y461" s="170"/>
      <c r="Z461" s="170"/>
      <c r="AA461" s="170"/>
      <c r="AB461" s="170"/>
      <c r="AC461" s="170"/>
      <c r="AD461" s="170"/>
      <c r="AE461" s="170"/>
      <c r="AF461" s="170"/>
      <c r="AG461" s="170"/>
      <c r="AH461" s="170"/>
      <c r="AI461" s="170"/>
      <c r="AJ461" s="170"/>
      <c r="AK461" s="170"/>
      <c r="AL461" s="170"/>
      <c r="AM461" s="170"/>
      <c r="AN461" s="170"/>
      <c r="AO461" s="170"/>
      <c r="AP461" s="170"/>
    </row>
    <row r="462" spans="1:70" s="9" customFormat="1" ht="11.25">
      <c r="A462" s="36" t="s">
        <v>731</v>
      </c>
      <c r="B462" s="36"/>
      <c r="C462" s="92">
        <f>IS!C73</f>
        <v>994</v>
      </c>
      <c r="D462" s="92">
        <f>IS!D73</f>
        <v>993</v>
      </c>
      <c r="E462" s="92">
        <f>IS!E73</f>
        <v>990</v>
      </c>
      <c r="F462" s="92">
        <f>IS!F73</f>
        <v>1001</v>
      </c>
      <c r="G462" s="92">
        <f>IS!G73</f>
        <v>1000</v>
      </c>
      <c r="H462" s="92">
        <f>IS!H73</f>
        <v>1010</v>
      </c>
      <c r="I462" s="92">
        <f>IS!I73</f>
        <v>1017</v>
      </c>
      <c r="J462" s="92">
        <f>IS!J73</f>
        <v>1037</v>
      </c>
      <c r="K462" s="92">
        <f>IS!K73</f>
        <v>1039</v>
      </c>
      <c r="L462" s="92">
        <f>IS!L73</f>
        <v>1051</v>
      </c>
      <c r="M462" s="92">
        <f>IS!M73</f>
        <v>1053</v>
      </c>
      <c r="N462" s="92">
        <f>IS!N73</f>
        <v>1075</v>
      </c>
      <c r="O462" s="92">
        <f>IS!O73</f>
        <v>1129</v>
      </c>
      <c r="P462" s="92">
        <f>IS!P73</f>
        <v>1139</v>
      </c>
      <c r="Q462" s="92">
        <f>IS!Q73</f>
        <v>1152</v>
      </c>
      <c r="R462" s="92">
        <f>IS!R73</f>
        <v>1186</v>
      </c>
      <c r="S462" s="92">
        <f>IS!S73</f>
        <v>1178</v>
      </c>
      <c r="T462" s="92">
        <f>IS!T73</f>
        <v>1505</v>
      </c>
      <c r="U462" s="92">
        <f>IS!U73</f>
        <v>1536</v>
      </c>
      <c r="V462" s="92">
        <f>IS!V73</f>
        <v>1575</v>
      </c>
      <c r="W462" s="92">
        <f>IS!W73</f>
        <v>1587</v>
      </c>
      <c r="X462" s="92">
        <f>IS!X73</f>
        <v>1943</v>
      </c>
      <c r="Y462" s="92">
        <f>IS!Y73</f>
        <v>1960</v>
      </c>
      <c r="Z462" s="92">
        <f>IS!Z73</f>
        <v>1999</v>
      </c>
      <c r="AA462" s="92">
        <f>IS!AA73</f>
        <v>1996</v>
      </c>
      <c r="AB462" s="92">
        <f>IS!AB73</f>
        <v>2020</v>
      </c>
      <c r="AC462" s="92">
        <f>IS!AC73</f>
        <v>2068</v>
      </c>
      <c r="AD462" s="92">
        <f>IS!AD73</f>
        <v>2092</v>
      </c>
      <c r="AE462" s="92">
        <f>IS!AE73</f>
        <v>2090</v>
      </c>
      <c r="AF462" s="92">
        <f>IS!AF73</f>
        <v>2106</v>
      </c>
      <c r="AG462" s="92">
        <f>IS!AG73</f>
        <v>2140</v>
      </c>
      <c r="AH462" s="92">
        <f>IS!AH73</f>
        <v>2215</v>
      </c>
      <c r="AI462" s="92">
        <f>IS!AI73</f>
        <v>2236</v>
      </c>
      <c r="AJ462" s="92">
        <f>IS!AJ73</f>
        <v>2257</v>
      </c>
      <c r="AK462" s="92">
        <f>IS!AK73</f>
        <v>2295</v>
      </c>
      <c r="AL462" s="92">
        <f>IS!AL73</f>
        <v>2346</v>
      </c>
      <c r="AM462" s="92">
        <f>IS!AM73</f>
        <v>2358</v>
      </c>
      <c r="AN462" s="92">
        <f>IS!AN73</f>
        <v>2387</v>
      </c>
      <c r="AO462" s="92">
        <f>IS!AO73</f>
        <v>2410</v>
      </c>
      <c r="AP462" s="92">
        <f>IS!AP73</f>
        <v>2467</v>
      </c>
      <c r="AQ462" s="92">
        <f>IS!AQ73</f>
        <v>2477</v>
      </c>
      <c r="AR462" s="92">
        <f>IS!AR73</f>
        <v>2463</v>
      </c>
      <c r="AS462" s="92">
        <f>IS!AS73</f>
        <v>2469</v>
      </c>
      <c r="AT462" s="92">
        <f>IS!AT73</f>
        <v>2272</v>
      </c>
      <c r="AU462" s="92">
        <f>IS!AU73</f>
        <v>2263</v>
      </c>
      <c r="AV462" s="92">
        <f>IS!AV73</f>
        <v>2236</v>
      </c>
      <c r="AW462" s="92">
        <f>IS!AW73</f>
        <v>2219</v>
      </c>
      <c r="AX462" s="92">
        <f>IS!AX73</f>
        <v>2184</v>
      </c>
      <c r="AY462" s="92">
        <f>IS!AY73</f>
        <v>2171</v>
      </c>
      <c r="AZ462" s="92">
        <f>IS!AZ73</f>
        <v>2169</v>
      </c>
      <c r="BA462" s="92">
        <f>IS!BA73</f>
        <v>2159</v>
      </c>
      <c r="BB462" s="92">
        <f>IS!BB73</f>
        <v>2174</v>
      </c>
      <c r="BC462" s="92">
        <f>IS!BC73</f>
        <v>2181</v>
      </c>
      <c r="BD462" s="92">
        <f>IS!BD73</f>
        <v>2192</v>
      </c>
      <c r="BE462" s="92">
        <f>IS!BE73</f>
        <v>2204</v>
      </c>
      <c r="BF462" s="92">
        <f>IS!BF73</f>
        <v>2248</v>
      </c>
      <c r="BG462" s="92">
        <f>IS!BG73</f>
        <v>2244</v>
      </c>
      <c r="BH462" s="92">
        <f>IS!BH73</f>
        <v>2237</v>
      </c>
      <c r="BI462" s="92">
        <f>IS!BI73</f>
        <v>2248</v>
      </c>
      <c r="BJ462" s="92">
        <f>IS!BJ73</f>
        <v>2313</v>
      </c>
      <c r="BK462" s="92">
        <f>IS!BK73</f>
        <v>2331</v>
      </c>
      <c r="BL462" s="92">
        <f>IS!BL73</f>
        <v>2358</v>
      </c>
    </row>
    <row r="463" spans="1:70" s="9" customFormat="1" ht="11.25">
      <c r="A463" s="36" t="s">
        <v>949</v>
      </c>
      <c r="B463" s="36"/>
      <c r="C463" s="92">
        <f>IS!C99</f>
        <v>0</v>
      </c>
      <c r="D463" s="92">
        <f>IS!D99</f>
        <v>0</v>
      </c>
      <c r="E463" s="92">
        <f>IS!E99</f>
        <v>0</v>
      </c>
      <c r="F463" s="92">
        <f>IS!F99</f>
        <v>0</v>
      </c>
      <c r="G463" s="92">
        <f>IS!G99</f>
        <v>0</v>
      </c>
      <c r="H463" s="92">
        <f>IS!H99</f>
        <v>0</v>
      </c>
      <c r="I463" s="92">
        <f>IS!I99</f>
        <v>0</v>
      </c>
      <c r="J463" s="92">
        <f>IS!J99</f>
        <v>0</v>
      </c>
      <c r="K463" s="92">
        <f>IS!K99</f>
        <v>0</v>
      </c>
      <c r="L463" s="92">
        <f>IS!L99</f>
        <v>0</v>
      </c>
      <c r="M463" s="92">
        <f>IS!M99</f>
        <v>0</v>
      </c>
      <c r="N463" s="92">
        <f>IS!N99</f>
        <v>0</v>
      </c>
      <c r="O463" s="92">
        <f>IS!O99</f>
        <v>0</v>
      </c>
      <c r="P463" s="92">
        <f>IS!P99</f>
        <v>0</v>
      </c>
      <c r="Q463" s="92">
        <f>IS!Q99</f>
        <v>0</v>
      </c>
      <c r="R463" s="92">
        <f>IS!R99</f>
        <v>0</v>
      </c>
      <c r="S463" s="92">
        <f>IS!S99</f>
        <v>0</v>
      </c>
      <c r="T463" s="92">
        <f>IS!T99</f>
        <v>0</v>
      </c>
      <c r="U463" s="92">
        <f>IS!U99</f>
        <v>0</v>
      </c>
      <c r="V463" s="92">
        <f>IS!V99</f>
        <v>0</v>
      </c>
      <c r="W463" s="92">
        <f>IS!W99</f>
        <v>0</v>
      </c>
      <c r="X463" s="92">
        <f>IS!X99</f>
        <v>0</v>
      </c>
      <c r="Y463" s="92">
        <f>IS!Y99</f>
        <v>0</v>
      </c>
      <c r="Z463" s="92">
        <f>IS!Z99</f>
        <v>442</v>
      </c>
      <c r="AA463" s="92">
        <f>IS!AA99</f>
        <v>442</v>
      </c>
      <c r="AB463" s="92">
        <f>IS!AB99</f>
        <v>445</v>
      </c>
      <c r="AC463" s="92">
        <f>IS!AC99</f>
        <v>455</v>
      </c>
      <c r="AD463" s="92">
        <f>IS!AD99</f>
        <v>467</v>
      </c>
      <c r="AE463" s="92">
        <f>IS!AE99</f>
        <v>468</v>
      </c>
      <c r="AF463" s="92">
        <f>IS!AF99</f>
        <v>475</v>
      </c>
      <c r="AG463" s="92">
        <f>IS!AG99</f>
        <v>483</v>
      </c>
      <c r="AH463" s="92">
        <f>IS!AH99</f>
        <v>499</v>
      </c>
      <c r="AI463" s="92">
        <f>IS!AI99</f>
        <v>506</v>
      </c>
      <c r="AJ463" s="92">
        <f>IS!AJ99</f>
        <v>519</v>
      </c>
      <c r="AK463" s="92">
        <f>IS!AK99</f>
        <v>530</v>
      </c>
      <c r="AL463" s="92">
        <f>IS!AL99</f>
        <v>549</v>
      </c>
      <c r="AM463" s="92">
        <f>IS!AM99</f>
        <v>555</v>
      </c>
      <c r="AN463" s="92">
        <f>IS!AN99</f>
        <v>561</v>
      </c>
      <c r="AO463" s="92">
        <f>IS!AO99</f>
        <v>571</v>
      </c>
      <c r="AP463" s="92">
        <f>IS!AP99</f>
        <v>593</v>
      </c>
      <c r="AQ463" s="92">
        <f>IS!AQ99</f>
        <v>1353</v>
      </c>
      <c r="AR463" s="92">
        <f>IS!AR99</f>
        <v>1372</v>
      </c>
      <c r="AS463" s="92">
        <f>IS!AS99</f>
        <v>1394</v>
      </c>
      <c r="AT463" s="92">
        <f>IS!AT99</f>
        <v>1398</v>
      </c>
      <c r="AU463" s="92">
        <f>IS!AU99</f>
        <v>1405</v>
      </c>
      <c r="AV463" s="92">
        <f>IS!AV99</f>
        <v>1390</v>
      </c>
      <c r="AW463" s="92">
        <f>IS!AW99</f>
        <v>1392</v>
      </c>
      <c r="AX463" s="92">
        <f>IS!AX99</f>
        <v>1376</v>
      </c>
      <c r="AY463" s="92">
        <f>IS!AY99</f>
        <v>1375</v>
      </c>
      <c r="AZ463" s="92">
        <f>IS!AZ99</f>
        <v>1388</v>
      </c>
      <c r="BA463" s="92">
        <f>IS!BA99</f>
        <v>1404</v>
      </c>
      <c r="BB463" s="92">
        <f>IS!BB99</f>
        <v>1424</v>
      </c>
      <c r="BC463" s="92">
        <f>IS!BC99</f>
        <v>1441</v>
      </c>
      <c r="BD463" s="92">
        <f>IS!BD99</f>
        <v>1452</v>
      </c>
      <c r="BE463" s="92">
        <f>IS!BE99</f>
        <v>1460</v>
      </c>
      <c r="BF463" s="92">
        <f>IS!BF99</f>
        <v>1476</v>
      </c>
      <c r="BG463" s="92">
        <f>IS!BG99</f>
        <v>1477</v>
      </c>
      <c r="BH463" s="92">
        <f>IS!BH99</f>
        <v>1494</v>
      </c>
      <c r="BI463" s="92">
        <f>IS!BI99</f>
        <v>1514</v>
      </c>
      <c r="BJ463" s="92">
        <f>IS!BJ99</f>
        <v>1534</v>
      </c>
      <c r="BK463" s="92">
        <f>IS!BK99</f>
        <v>1534</v>
      </c>
      <c r="BL463" s="92">
        <f>IS!BL99</f>
        <v>1548</v>
      </c>
    </row>
    <row r="464" spans="1:70" s="9" customFormat="1" ht="11.25">
      <c r="A464" s="36" t="s">
        <v>746</v>
      </c>
      <c r="B464" s="36"/>
      <c r="C464" s="335">
        <f>43+7</f>
        <v>50</v>
      </c>
      <c r="D464" s="335">
        <f>11+44</f>
        <v>55</v>
      </c>
      <c r="E464" s="335">
        <f>45+12</f>
        <v>57</v>
      </c>
      <c r="F464" s="335">
        <f>14+45</f>
        <v>59</v>
      </c>
      <c r="G464" s="335">
        <f>15+45</f>
        <v>60</v>
      </c>
      <c r="H464" s="335">
        <f>21+47</f>
        <v>68</v>
      </c>
      <c r="I464" s="335">
        <f>24+47</f>
        <v>71</v>
      </c>
      <c r="J464" s="335">
        <f>30+51</f>
        <v>81</v>
      </c>
      <c r="K464" s="335">
        <f>32+52</f>
        <v>84</v>
      </c>
      <c r="L464" s="335">
        <f>33+54</f>
        <v>87</v>
      </c>
      <c r="M464" s="335">
        <f>55+39</f>
        <v>94</v>
      </c>
      <c r="N464" s="335">
        <f>58+50</f>
        <v>108</v>
      </c>
      <c r="O464" s="335">
        <f>59+51</f>
        <v>110</v>
      </c>
      <c r="P464" s="335">
        <f>62+54</f>
        <v>116</v>
      </c>
      <c r="Q464" s="335">
        <f>62+57</f>
        <v>119</v>
      </c>
      <c r="R464" s="335">
        <f>65+64</f>
        <v>129</v>
      </c>
      <c r="S464" s="335">
        <v>130</v>
      </c>
      <c r="T464" s="335">
        <v>135</v>
      </c>
      <c r="U464" s="335">
        <v>138</v>
      </c>
      <c r="V464" s="335">
        <v>144</v>
      </c>
      <c r="W464" s="335">
        <v>146</v>
      </c>
      <c r="X464" s="335">
        <v>146</v>
      </c>
      <c r="Y464" s="335">
        <v>154</v>
      </c>
      <c r="Z464" s="335">
        <v>162</v>
      </c>
      <c r="AA464" s="335">
        <v>166</v>
      </c>
      <c r="AB464" s="335">
        <v>171</v>
      </c>
      <c r="AC464" s="335">
        <v>177</v>
      </c>
      <c r="AD464" s="335">
        <v>183</v>
      </c>
      <c r="AE464" s="335">
        <v>186</v>
      </c>
      <c r="AF464" s="335">
        <v>189</v>
      </c>
      <c r="AG464" s="335">
        <v>197</v>
      </c>
      <c r="AH464" s="335">
        <v>204</v>
      </c>
      <c r="AI464" s="335">
        <v>208</v>
      </c>
      <c r="AJ464" s="335">
        <v>222</v>
      </c>
      <c r="AK464" s="335">
        <v>231</v>
      </c>
      <c r="AL464" s="335">
        <v>235</v>
      </c>
      <c r="AM464" s="335">
        <v>241</v>
      </c>
      <c r="AN464" s="335">
        <v>249</v>
      </c>
      <c r="AO464" s="335">
        <v>261</v>
      </c>
      <c r="AP464" s="335">
        <v>265</v>
      </c>
      <c r="AQ464" s="335">
        <v>264</v>
      </c>
      <c r="AR464" s="335">
        <v>268</v>
      </c>
      <c r="AS464" s="335">
        <v>268</v>
      </c>
      <c r="AT464" s="335">
        <v>266</v>
      </c>
      <c r="AU464" s="78">
        <v>266</v>
      </c>
      <c r="AV464" s="78">
        <v>253</v>
      </c>
      <c r="AW464" s="78">
        <f>115+134</f>
        <v>249</v>
      </c>
      <c r="AX464" s="78">
        <f>115+132</f>
        <v>247</v>
      </c>
      <c r="AY464" s="78">
        <f>115+132</f>
        <v>247</v>
      </c>
      <c r="AZ464" s="78">
        <v>247</v>
      </c>
      <c r="BA464" s="78">
        <f>115+132</f>
        <v>247</v>
      </c>
      <c r="BB464" s="78">
        <v>246</v>
      </c>
      <c r="BC464" s="78">
        <v>245</v>
      </c>
      <c r="BD464" s="78">
        <v>245</v>
      </c>
      <c r="BE464" s="78">
        <v>244</v>
      </c>
      <c r="BF464" s="78">
        <v>245</v>
      </c>
      <c r="BG464" s="78">
        <f>114+131</f>
        <v>245</v>
      </c>
      <c r="BH464" s="78">
        <v>247</v>
      </c>
      <c r="BI464" s="78">
        <v>247</v>
      </c>
      <c r="BJ464" s="78">
        <v>250</v>
      </c>
      <c r="BK464" s="78">
        <v>250</v>
      </c>
      <c r="BL464" s="78">
        <v>250</v>
      </c>
    </row>
    <row r="465" spans="1:70" s="9" customFormat="1" ht="11.25">
      <c r="A465" s="36" t="s">
        <v>747</v>
      </c>
      <c r="B465" s="36"/>
      <c r="C465" s="335">
        <f>32+30</f>
        <v>62</v>
      </c>
      <c r="D465" s="335">
        <f>32+30</f>
        <v>62</v>
      </c>
      <c r="E465" s="335">
        <f>32+30</f>
        <v>62</v>
      </c>
      <c r="F465" s="335">
        <f>32+30</f>
        <v>62</v>
      </c>
      <c r="G465" s="335">
        <f>32+30</f>
        <v>62</v>
      </c>
      <c r="H465" s="335">
        <f>31+30</f>
        <v>61</v>
      </c>
      <c r="I465" s="335">
        <f>30+30</f>
        <v>60</v>
      </c>
      <c r="J465" s="335">
        <f>30+31</f>
        <v>61</v>
      </c>
      <c r="K465" s="335">
        <f>30+31</f>
        <v>61</v>
      </c>
      <c r="L465" s="335">
        <f>31+31</f>
        <v>62</v>
      </c>
      <c r="M465" s="335">
        <f>32+35</f>
        <v>67</v>
      </c>
      <c r="N465" s="335">
        <f>32+36</f>
        <v>68</v>
      </c>
      <c r="O465" s="335">
        <f>32+37</f>
        <v>69</v>
      </c>
      <c r="P465" s="335">
        <f>33+40</f>
        <v>73</v>
      </c>
      <c r="Q465" s="335">
        <f>34+1+41</f>
        <v>76</v>
      </c>
      <c r="R465" s="335">
        <f>34+1+41</f>
        <v>76</v>
      </c>
      <c r="S465" s="335">
        <v>78</v>
      </c>
      <c r="T465" s="335">
        <v>79</v>
      </c>
      <c r="U465" s="335">
        <v>85</v>
      </c>
      <c r="V465" s="335">
        <v>88</v>
      </c>
      <c r="W465" s="335">
        <v>92</v>
      </c>
      <c r="X465" s="335">
        <v>94</v>
      </c>
      <c r="Y465" s="335">
        <v>98</v>
      </c>
      <c r="Z465" s="335">
        <v>101</v>
      </c>
      <c r="AA465" s="335">
        <v>103</v>
      </c>
      <c r="AB465" s="335">
        <v>110</v>
      </c>
      <c r="AC465" s="335">
        <v>113</v>
      </c>
      <c r="AD465" s="335">
        <v>115</v>
      </c>
      <c r="AE465" s="335">
        <v>118</v>
      </c>
      <c r="AF465" s="335">
        <v>125</v>
      </c>
      <c r="AG465" s="335">
        <v>129</v>
      </c>
      <c r="AH465" s="335">
        <v>131</v>
      </c>
      <c r="AI465" s="335">
        <v>135</v>
      </c>
      <c r="AJ465" s="335">
        <v>139</v>
      </c>
      <c r="AK465" s="335">
        <v>145</v>
      </c>
      <c r="AL465" s="335">
        <v>150</v>
      </c>
      <c r="AM465" s="335">
        <v>155</v>
      </c>
      <c r="AN465" s="335">
        <v>161</v>
      </c>
      <c r="AO465" s="335">
        <v>169</v>
      </c>
      <c r="AP465" s="335">
        <v>173</v>
      </c>
      <c r="AQ465" s="335">
        <v>175</v>
      </c>
      <c r="AR465" s="335">
        <v>181</v>
      </c>
      <c r="AS465" s="335">
        <v>189</v>
      </c>
      <c r="AT465" s="335">
        <v>196</v>
      </c>
      <c r="AU465" s="78">
        <v>198</v>
      </c>
      <c r="AV465" s="78">
        <v>199</v>
      </c>
      <c r="AW465" s="78">
        <f>57+133+5+3</f>
        <v>198</v>
      </c>
      <c r="AX465" s="78">
        <f>57+134+5+3</f>
        <v>199</v>
      </c>
      <c r="AY465" s="78">
        <f>58+136+5+3</f>
        <v>202</v>
      </c>
      <c r="AZ465" s="78">
        <v>202</v>
      </c>
      <c r="BA465" s="78">
        <f>58+138+5+3</f>
        <v>204</v>
      </c>
      <c r="BB465" s="78">
        <v>201</v>
      </c>
      <c r="BC465" s="78">
        <v>211</v>
      </c>
      <c r="BD465" s="78">
        <v>216</v>
      </c>
      <c r="BE465" s="78">
        <v>217</v>
      </c>
      <c r="BF465" s="78">
        <v>226</v>
      </c>
      <c r="BG465" s="78">
        <f>68+154+5+3</f>
        <v>230</v>
      </c>
      <c r="BH465" s="78">
        <v>236</v>
      </c>
      <c r="BI465" s="78">
        <v>239</v>
      </c>
      <c r="BJ465" s="78">
        <v>248</v>
      </c>
      <c r="BK465" s="78">
        <v>247</v>
      </c>
      <c r="BL465" s="78">
        <v>253</v>
      </c>
    </row>
    <row r="466" spans="1:70" s="9" customFormat="1" ht="11.25">
      <c r="A466" s="36" t="s">
        <v>748</v>
      </c>
      <c r="B466" s="36"/>
      <c r="C466" s="335">
        <f>21+2</f>
        <v>23</v>
      </c>
      <c r="D466" s="335">
        <f>2+21</f>
        <v>23</v>
      </c>
      <c r="E466" s="335">
        <f>21+2</f>
        <v>23</v>
      </c>
      <c r="F466" s="335">
        <f>3+22</f>
        <v>25</v>
      </c>
      <c r="G466" s="335">
        <f>22+3</f>
        <v>25</v>
      </c>
      <c r="H466" s="335">
        <f>22+4</f>
        <v>26</v>
      </c>
      <c r="I466" s="335">
        <f>5+21</f>
        <v>26</v>
      </c>
      <c r="J466" s="335">
        <f>21+6</f>
        <v>27</v>
      </c>
      <c r="K466" s="335">
        <f>21+6</f>
        <v>27</v>
      </c>
      <c r="L466" s="335">
        <f>21+6</f>
        <v>27</v>
      </c>
      <c r="M466" s="335">
        <f>7+21</f>
        <v>28</v>
      </c>
      <c r="N466" s="335">
        <f>22+10</f>
        <v>32</v>
      </c>
      <c r="O466" s="335">
        <f>23+10</f>
        <v>33</v>
      </c>
      <c r="P466" s="335">
        <f>25+10</f>
        <v>35</v>
      </c>
      <c r="Q466" s="335">
        <f>28+13</f>
        <v>41</v>
      </c>
      <c r="R466" s="335">
        <f>29+15</f>
        <v>44</v>
      </c>
      <c r="S466" s="335">
        <v>45</v>
      </c>
      <c r="T466" s="335">
        <v>49</v>
      </c>
      <c r="U466" s="335">
        <v>52</v>
      </c>
      <c r="V466" s="335">
        <v>55</v>
      </c>
      <c r="W466" s="335">
        <v>56</v>
      </c>
      <c r="X466" s="335">
        <v>58</v>
      </c>
      <c r="Y466" s="335">
        <v>63</v>
      </c>
      <c r="Z466" s="335">
        <v>78</v>
      </c>
      <c r="AA466" s="335">
        <v>79</v>
      </c>
      <c r="AB466" s="335">
        <v>82</v>
      </c>
      <c r="AC466" s="335">
        <v>88</v>
      </c>
      <c r="AD466" s="335">
        <v>93</v>
      </c>
      <c r="AE466" s="335">
        <v>136</v>
      </c>
      <c r="AF466" s="335">
        <v>138</v>
      </c>
      <c r="AG466" s="335">
        <v>140</v>
      </c>
      <c r="AH466" s="335">
        <v>143</v>
      </c>
      <c r="AI466" s="335">
        <v>146</v>
      </c>
      <c r="AJ466" s="335">
        <v>150</v>
      </c>
      <c r="AK466" s="335">
        <v>148</v>
      </c>
      <c r="AL466" s="335">
        <v>154</v>
      </c>
      <c r="AM466" s="335">
        <v>155</v>
      </c>
      <c r="AN466" s="335">
        <v>158</v>
      </c>
      <c r="AO466" s="335">
        <v>170</v>
      </c>
      <c r="AP466" s="335">
        <v>181</v>
      </c>
      <c r="AQ466" s="335">
        <v>183</v>
      </c>
      <c r="AR466" s="335">
        <v>184</v>
      </c>
      <c r="AS466" s="335">
        <v>168</v>
      </c>
      <c r="AT466" s="335">
        <v>170</v>
      </c>
      <c r="AU466" s="78">
        <v>170</v>
      </c>
      <c r="AV466" s="78">
        <v>169</v>
      </c>
      <c r="AW466" s="78">
        <f>107+30+3+29</f>
        <v>169</v>
      </c>
      <c r="AX466" s="78">
        <f>84+30+4+32+28</f>
        <v>178</v>
      </c>
      <c r="AY466" s="78">
        <f>120+30+4+27</f>
        <v>181</v>
      </c>
      <c r="AZ466" s="78">
        <v>189</v>
      </c>
      <c r="BA466" s="78">
        <v>196</v>
      </c>
      <c r="BB466" s="78">
        <v>207</v>
      </c>
      <c r="BC466" s="78">
        <v>210</v>
      </c>
      <c r="BD466" s="78">
        <v>220</v>
      </c>
      <c r="BE466" s="78">
        <v>225</v>
      </c>
      <c r="BF466" s="78">
        <v>239</v>
      </c>
      <c r="BG466" s="78">
        <f>154+57+29</f>
        <v>240</v>
      </c>
      <c r="BH466" s="78">
        <v>246</v>
      </c>
      <c r="BI466" s="78">
        <v>249</v>
      </c>
      <c r="BJ466" s="78">
        <v>255</v>
      </c>
      <c r="BK466" s="78">
        <v>257</v>
      </c>
      <c r="BL466" s="78">
        <v>255</v>
      </c>
    </row>
    <row r="467" spans="1:70" s="9" customFormat="1" ht="11.25">
      <c r="A467" s="36" t="s">
        <v>749</v>
      </c>
      <c r="B467" s="36"/>
      <c r="C467" s="335">
        <v>20</v>
      </c>
      <c r="D467" s="335">
        <v>22</v>
      </c>
      <c r="E467" s="335">
        <v>23</v>
      </c>
      <c r="F467" s="335">
        <v>24</v>
      </c>
      <c r="G467" s="335">
        <v>24</v>
      </c>
      <c r="H467" s="335">
        <v>23</v>
      </c>
      <c r="I467" s="335">
        <v>0</v>
      </c>
      <c r="J467" s="335">
        <v>0</v>
      </c>
      <c r="K467" s="335">
        <v>0</v>
      </c>
      <c r="L467" s="335">
        <v>0</v>
      </c>
      <c r="M467" s="335">
        <v>0</v>
      </c>
      <c r="N467" s="335">
        <v>0</v>
      </c>
      <c r="O467" s="335">
        <v>0</v>
      </c>
      <c r="P467" s="335">
        <v>0</v>
      </c>
      <c r="Q467" s="335">
        <v>0</v>
      </c>
      <c r="R467" s="335">
        <v>0</v>
      </c>
      <c r="S467" s="335">
        <v>0</v>
      </c>
      <c r="T467" s="335">
        <v>0</v>
      </c>
      <c r="U467" s="335">
        <v>0</v>
      </c>
      <c r="V467" s="335">
        <v>0</v>
      </c>
      <c r="W467" s="335">
        <v>0</v>
      </c>
      <c r="X467" s="335">
        <v>0</v>
      </c>
      <c r="Y467" s="335">
        <v>2</v>
      </c>
      <c r="Z467" s="335">
        <v>2</v>
      </c>
      <c r="AA467" s="335">
        <v>2</v>
      </c>
      <c r="AB467" s="335">
        <v>2</v>
      </c>
      <c r="AC467" s="335">
        <v>4</v>
      </c>
      <c r="AD467" s="335">
        <v>4</v>
      </c>
      <c r="AE467" s="335">
        <v>4</v>
      </c>
      <c r="AF467" s="335">
        <v>4</v>
      </c>
      <c r="AG467" s="335">
        <v>4</v>
      </c>
      <c r="AH467" s="335">
        <v>3</v>
      </c>
      <c r="AI467" s="335">
        <v>4</v>
      </c>
      <c r="AJ467" s="335">
        <v>4</v>
      </c>
      <c r="AK467" s="335">
        <v>4</v>
      </c>
      <c r="AL467" s="335">
        <v>4</v>
      </c>
      <c r="AM467" s="335">
        <v>4</v>
      </c>
      <c r="AN467" s="335">
        <v>4</v>
      </c>
      <c r="AO467" s="335">
        <v>4</v>
      </c>
      <c r="AP467" s="335">
        <v>4</v>
      </c>
      <c r="AQ467" s="335">
        <v>4</v>
      </c>
      <c r="AR467" s="335">
        <v>0</v>
      </c>
      <c r="AS467" s="335">
        <v>0</v>
      </c>
      <c r="AT467" s="335">
        <v>0</v>
      </c>
      <c r="AU467" s="78">
        <v>0</v>
      </c>
      <c r="AV467" s="78">
        <v>0</v>
      </c>
      <c r="AW467" s="78">
        <v>0</v>
      </c>
      <c r="AX467" s="78">
        <v>0</v>
      </c>
      <c r="AY467" s="78">
        <v>0</v>
      </c>
      <c r="AZ467" s="78">
        <v>0</v>
      </c>
      <c r="BA467" s="78">
        <v>0</v>
      </c>
      <c r="BB467" s="78">
        <v>0</v>
      </c>
      <c r="BC467" s="78">
        <v>0</v>
      </c>
      <c r="BD467" s="78">
        <v>0</v>
      </c>
      <c r="BE467" s="78">
        <v>0</v>
      </c>
      <c r="BF467" s="78">
        <v>0</v>
      </c>
      <c r="BG467" s="78">
        <v>0</v>
      </c>
      <c r="BH467" s="78">
        <v>0</v>
      </c>
      <c r="BI467" s="78">
        <v>0</v>
      </c>
      <c r="BJ467" s="78">
        <v>0</v>
      </c>
      <c r="BK467" s="78">
        <v>0</v>
      </c>
      <c r="BL467" s="78">
        <v>0</v>
      </c>
    </row>
    <row r="468" spans="1:70" s="9" customFormat="1" ht="11.25">
      <c r="A468" s="36" t="s">
        <v>985</v>
      </c>
      <c r="B468" s="36"/>
      <c r="C468" s="335">
        <v>0</v>
      </c>
      <c r="D468" s="335">
        <v>0</v>
      </c>
      <c r="E468" s="335">
        <v>0</v>
      </c>
      <c r="F468" s="335">
        <v>0</v>
      </c>
      <c r="G468" s="335">
        <v>0</v>
      </c>
      <c r="H468" s="335">
        <v>0</v>
      </c>
      <c r="I468" s="335">
        <v>0</v>
      </c>
      <c r="J468" s="335">
        <v>0</v>
      </c>
      <c r="K468" s="335">
        <v>0</v>
      </c>
      <c r="L468" s="335">
        <v>0</v>
      </c>
      <c r="M468" s="335">
        <v>0</v>
      </c>
      <c r="N468" s="335">
        <v>0</v>
      </c>
      <c r="O468" s="335">
        <v>0</v>
      </c>
      <c r="P468" s="335">
        <v>0</v>
      </c>
      <c r="Q468" s="335">
        <v>0</v>
      </c>
      <c r="R468" s="335">
        <v>0</v>
      </c>
      <c r="S468" s="335">
        <v>0</v>
      </c>
      <c r="T468" s="335">
        <v>0</v>
      </c>
      <c r="U468" s="335">
        <v>0</v>
      </c>
      <c r="V468" s="335">
        <v>0</v>
      </c>
      <c r="W468" s="335">
        <v>0</v>
      </c>
      <c r="X468" s="335">
        <v>0</v>
      </c>
      <c r="Y468" s="335">
        <v>0</v>
      </c>
      <c r="Z468" s="335">
        <v>0</v>
      </c>
      <c r="AA468" s="335">
        <v>0</v>
      </c>
      <c r="AB468" s="335">
        <v>0</v>
      </c>
      <c r="AC468" s="335">
        <v>0</v>
      </c>
      <c r="AD468" s="335">
        <v>0</v>
      </c>
      <c r="AE468" s="335">
        <v>0</v>
      </c>
      <c r="AF468" s="335">
        <v>0</v>
      </c>
      <c r="AG468" s="335">
        <v>0</v>
      </c>
      <c r="AH468" s="335">
        <v>0</v>
      </c>
      <c r="AI468" s="335">
        <v>0</v>
      </c>
      <c r="AJ468" s="335">
        <v>0</v>
      </c>
      <c r="AK468" s="335">
        <v>0</v>
      </c>
      <c r="AL468" s="335">
        <v>0</v>
      </c>
      <c r="AM468" s="335">
        <v>0</v>
      </c>
      <c r="AN468" s="335">
        <v>1</v>
      </c>
      <c r="AO468" s="335">
        <v>3</v>
      </c>
      <c r="AP468" s="335">
        <v>5</v>
      </c>
      <c r="AQ468" s="335">
        <v>5</v>
      </c>
      <c r="AR468" s="335">
        <v>6</v>
      </c>
      <c r="AS468" s="335">
        <v>7</v>
      </c>
      <c r="AT468" s="335">
        <v>8</v>
      </c>
      <c r="AU468" s="78">
        <v>9</v>
      </c>
      <c r="AV468" s="78">
        <v>9</v>
      </c>
      <c r="AW468" s="78">
        <v>9</v>
      </c>
      <c r="AX468" s="78">
        <v>9</v>
      </c>
      <c r="AY468" s="78">
        <v>9</v>
      </c>
      <c r="AZ468" s="78">
        <v>9</v>
      </c>
      <c r="BA468" s="78">
        <v>9</v>
      </c>
      <c r="BB468" s="78">
        <v>10</v>
      </c>
      <c r="BC468" s="78">
        <v>11</v>
      </c>
      <c r="BD468" s="78">
        <v>11</v>
      </c>
      <c r="BE468" s="78">
        <v>11</v>
      </c>
      <c r="BF468" s="78">
        <v>13</v>
      </c>
      <c r="BG468" s="78">
        <f>1+12</f>
        <v>13</v>
      </c>
      <c r="BH468" s="78">
        <f>16+1-1</f>
        <v>16</v>
      </c>
      <c r="BI468" s="78">
        <f>2+17</f>
        <v>19</v>
      </c>
      <c r="BJ468" s="78">
        <f>3+19</f>
        <v>22</v>
      </c>
      <c r="BK468" s="78">
        <v>22</v>
      </c>
      <c r="BL468" s="78">
        <f>19+3</f>
        <v>22</v>
      </c>
    </row>
    <row r="469" spans="1:70" s="9" customFormat="1" ht="11.25">
      <c r="A469" s="13" t="s">
        <v>325</v>
      </c>
      <c r="B469" s="13"/>
      <c r="C469" s="170">
        <f t="shared" ref="C469:AO469" si="928">SUM(C462:C468)</f>
        <v>1149</v>
      </c>
      <c r="D469" s="170">
        <f t="shared" si="928"/>
        <v>1155</v>
      </c>
      <c r="E469" s="170">
        <f t="shared" si="928"/>
        <v>1155</v>
      </c>
      <c r="F469" s="170">
        <f t="shared" si="928"/>
        <v>1171</v>
      </c>
      <c r="G469" s="170">
        <f t="shared" si="928"/>
        <v>1171</v>
      </c>
      <c r="H469" s="170">
        <f t="shared" si="928"/>
        <v>1188</v>
      </c>
      <c r="I469" s="170">
        <f t="shared" si="928"/>
        <v>1174</v>
      </c>
      <c r="J469" s="170">
        <f t="shared" si="928"/>
        <v>1206</v>
      </c>
      <c r="K469" s="170">
        <f t="shared" si="928"/>
        <v>1211</v>
      </c>
      <c r="L469" s="170">
        <f t="shared" si="928"/>
        <v>1227</v>
      </c>
      <c r="M469" s="170">
        <f t="shared" si="928"/>
        <v>1242</v>
      </c>
      <c r="N469" s="170">
        <f t="shared" si="928"/>
        <v>1283</v>
      </c>
      <c r="O469" s="170">
        <f t="shared" si="928"/>
        <v>1341</v>
      </c>
      <c r="P469" s="170">
        <f t="shared" si="928"/>
        <v>1363</v>
      </c>
      <c r="Q469" s="170">
        <f t="shared" si="928"/>
        <v>1388</v>
      </c>
      <c r="R469" s="170">
        <f t="shared" si="928"/>
        <v>1435</v>
      </c>
      <c r="S469" s="170">
        <f t="shared" si="928"/>
        <v>1431</v>
      </c>
      <c r="T469" s="170">
        <f t="shared" si="928"/>
        <v>1768</v>
      </c>
      <c r="U469" s="170">
        <f t="shared" si="928"/>
        <v>1811</v>
      </c>
      <c r="V469" s="170">
        <f t="shared" si="928"/>
        <v>1862</v>
      </c>
      <c r="W469" s="170">
        <f t="shared" si="928"/>
        <v>1881</v>
      </c>
      <c r="X469" s="170">
        <f t="shared" si="928"/>
        <v>2241</v>
      </c>
      <c r="Y469" s="170">
        <f t="shared" si="928"/>
        <v>2277</v>
      </c>
      <c r="Z469" s="170">
        <f t="shared" si="928"/>
        <v>2784</v>
      </c>
      <c r="AA469" s="170">
        <f t="shared" si="928"/>
        <v>2788</v>
      </c>
      <c r="AB469" s="170">
        <f t="shared" si="928"/>
        <v>2830</v>
      </c>
      <c r="AC469" s="170">
        <f t="shared" si="928"/>
        <v>2905</v>
      </c>
      <c r="AD469" s="170">
        <f t="shared" si="928"/>
        <v>2954</v>
      </c>
      <c r="AE469" s="170">
        <f t="shared" si="928"/>
        <v>3002</v>
      </c>
      <c r="AF469" s="170">
        <f t="shared" si="928"/>
        <v>3037</v>
      </c>
      <c r="AG469" s="170">
        <f t="shared" si="928"/>
        <v>3093</v>
      </c>
      <c r="AH469" s="170">
        <f t="shared" si="928"/>
        <v>3195</v>
      </c>
      <c r="AI469" s="170">
        <f t="shared" si="928"/>
        <v>3235</v>
      </c>
      <c r="AJ469" s="170">
        <f t="shared" si="928"/>
        <v>3291</v>
      </c>
      <c r="AK469" s="170">
        <f t="shared" si="928"/>
        <v>3353</v>
      </c>
      <c r="AL469" s="170">
        <f t="shared" si="928"/>
        <v>3438</v>
      </c>
      <c r="AM469" s="170">
        <f t="shared" si="928"/>
        <v>3468</v>
      </c>
      <c r="AN469" s="170">
        <f t="shared" si="928"/>
        <v>3521</v>
      </c>
      <c r="AO469" s="170">
        <f t="shared" si="928"/>
        <v>3588</v>
      </c>
      <c r="AP469" s="170">
        <f t="shared" ref="AP469:AV469" si="929">SUM(AP462:AP468)</f>
        <v>3688</v>
      </c>
      <c r="AQ469" s="170">
        <f t="shared" si="929"/>
        <v>4461</v>
      </c>
      <c r="AR469" s="170">
        <f t="shared" si="929"/>
        <v>4474</v>
      </c>
      <c r="AS469" s="170">
        <f t="shared" si="929"/>
        <v>4495</v>
      </c>
      <c r="AT469" s="170">
        <f t="shared" si="929"/>
        <v>4310</v>
      </c>
      <c r="AU469" s="170">
        <f t="shared" si="929"/>
        <v>4311</v>
      </c>
      <c r="AV469" s="170">
        <f t="shared" si="929"/>
        <v>4256</v>
      </c>
      <c r="AW469" s="170">
        <f t="shared" ref="AW469:BE469" si="930">SUM(AW462:AW468)</f>
        <v>4236</v>
      </c>
      <c r="AX469" s="170">
        <f t="shared" si="930"/>
        <v>4193</v>
      </c>
      <c r="AY469" s="170">
        <f t="shared" si="930"/>
        <v>4185</v>
      </c>
      <c r="AZ469" s="170">
        <f t="shared" si="930"/>
        <v>4204</v>
      </c>
      <c r="BA469" s="170">
        <f t="shared" si="930"/>
        <v>4219</v>
      </c>
      <c r="BB469" s="170">
        <f t="shared" si="930"/>
        <v>4262</v>
      </c>
      <c r="BC469" s="170">
        <f t="shared" si="930"/>
        <v>4299</v>
      </c>
      <c r="BD469" s="170">
        <f t="shared" si="930"/>
        <v>4336</v>
      </c>
      <c r="BE469" s="170">
        <f t="shared" si="930"/>
        <v>4361</v>
      </c>
      <c r="BF469" s="170">
        <f t="shared" ref="BF469:BK469" si="931">SUM(BF462:BF468)</f>
        <v>4447</v>
      </c>
      <c r="BG469" s="170">
        <f t="shared" si="931"/>
        <v>4449</v>
      </c>
      <c r="BH469" s="170">
        <f t="shared" si="931"/>
        <v>4476</v>
      </c>
      <c r="BI469" s="170">
        <f t="shared" si="931"/>
        <v>4516</v>
      </c>
      <c r="BJ469" s="170">
        <f t="shared" si="931"/>
        <v>4622</v>
      </c>
      <c r="BK469" s="170">
        <f t="shared" si="931"/>
        <v>4641</v>
      </c>
      <c r="BL469" s="170">
        <f>SUM(BL462:BL468)</f>
        <v>4686</v>
      </c>
    </row>
    <row r="470" spans="1:70" s="9" customFormat="1" ht="11.25">
      <c r="A470" s="604"/>
      <c r="B470" s="13"/>
      <c r="C470" s="170"/>
      <c r="D470" s="170"/>
      <c r="E470" s="170"/>
      <c r="F470" s="170"/>
      <c r="G470" s="170"/>
      <c r="H470" s="797"/>
      <c r="I470" s="797"/>
      <c r="J470" s="797"/>
      <c r="K470" s="797"/>
      <c r="L470" s="797"/>
      <c r="M470" s="797"/>
      <c r="N470" s="797"/>
      <c r="O470" s="797"/>
      <c r="P470" s="797"/>
      <c r="Q470" s="797"/>
      <c r="R470" s="797"/>
      <c r="S470" s="797"/>
      <c r="T470" s="797"/>
      <c r="U470" s="797"/>
      <c r="V470" s="797"/>
      <c r="W470" s="797"/>
      <c r="X470" s="797"/>
      <c r="Y470" s="797"/>
      <c r="Z470" s="797"/>
      <c r="AA470" s="797"/>
      <c r="AB470" s="797"/>
      <c r="AC470" s="797"/>
      <c r="AD470" s="797"/>
      <c r="AE470" s="797"/>
      <c r="AF470" s="797"/>
      <c r="AG470" s="797"/>
      <c r="AH470" s="797"/>
      <c r="AI470" s="797"/>
      <c r="AJ470" s="797"/>
      <c r="AK470" s="797"/>
      <c r="AL470" s="797"/>
      <c r="AM470" s="797"/>
      <c r="AN470" s="797"/>
      <c r="AO470" s="797"/>
      <c r="AP470" s="797"/>
      <c r="AQ470" s="797"/>
      <c r="AR470" s="797"/>
      <c r="AS470" s="797"/>
      <c r="AT470" s="797"/>
      <c r="AU470" s="797"/>
      <c r="AV470" s="797"/>
      <c r="AW470" s="797"/>
      <c r="AX470" s="797"/>
      <c r="AY470" s="797"/>
      <c r="AZ470" s="797"/>
      <c r="BA470" s="797"/>
      <c r="BB470" s="797"/>
      <c r="BC470" s="797"/>
      <c r="BD470" s="797"/>
      <c r="BE470" s="797"/>
      <c r="BF470" s="797"/>
      <c r="BG470" s="797"/>
      <c r="BH470" s="797"/>
      <c r="BI470" s="797"/>
      <c r="BJ470" s="797"/>
      <c r="BK470" s="797"/>
      <c r="BL470" s="797"/>
    </row>
    <row r="471" spans="1:70" s="9" customFormat="1" ht="11.25">
      <c r="A471" s="604"/>
      <c r="B471" s="13"/>
      <c r="C471" s="170"/>
      <c r="D471" s="170"/>
      <c r="E471" s="170"/>
      <c r="F471" s="170"/>
      <c r="G471" s="170"/>
      <c r="H471" s="797"/>
      <c r="I471" s="797"/>
      <c r="J471" s="797"/>
      <c r="K471" s="797"/>
      <c r="L471" s="797"/>
      <c r="M471" s="797"/>
      <c r="N471" s="797"/>
      <c r="O471" s="797"/>
      <c r="P471" s="797"/>
      <c r="Q471" s="797"/>
      <c r="R471" s="797"/>
      <c r="S471" s="797"/>
      <c r="T471" s="797"/>
      <c r="U471" s="797"/>
      <c r="V471" s="797"/>
      <c r="W471" s="797"/>
      <c r="X471" s="797"/>
      <c r="Y471" s="797"/>
      <c r="Z471" s="797"/>
      <c r="AA471" s="797"/>
      <c r="AB471" s="797"/>
      <c r="AC471" s="797"/>
      <c r="AD471" s="797"/>
      <c r="AE471" s="797"/>
      <c r="AF471" s="797"/>
      <c r="AG471" s="797"/>
      <c r="AH471" s="797"/>
      <c r="AI471" s="797"/>
      <c r="AJ471" s="797"/>
      <c r="AK471" s="797"/>
      <c r="AL471" s="797"/>
      <c r="AM471" s="797"/>
      <c r="AN471" s="797"/>
      <c r="AO471" s="797"/>
      <c r="AP471" s="797"/>
      <c r="AQ471" s="797"/>
      <c r="AR471" s="797"/>
      <c r="AS471" s="797"/>
      <c r="AT471" s="797"/>
    </row>
    <row r="472" spans="1:70" s="9" customFormat="1" ht="11.25">
      <c r="A472" s="577" t="s">
        <v>1047</v>
      </c>
      <c r="B472" s="577"/>
      <c r="C472" s="578" t="s">
        <v>690</v>
      </c>
      <c r="D472" s="578" t="s">
        <v>691</v>
      </c>
      <c r="E472" s="578" t="s">
        <v>692</v>
      </c>
      <c r="F472" s="578" t="s">
        <v>693</v>
      </c>
      <c r="G472" s="578" t="s">
        <v>114</v>
      </c>
      <c r="H472" s="578" t="s">
        <v>115</v>
      </c>
      <c r="I472" s="578" t="s">
        <v>116</v>
      </c>
      <c r="J472" s="578" t="s">
        <v>117</v>
      </c>
      <c r="K472" s="578" t="s">
        <v>267</v>
      </c>
      <c r="L472" s="578" t="s">
        <v>268</v>
      </c>
      <c r="M472" s="578" t="s">
        <v>272</v>
      </c>
      <c r="N472" s="578" t="s">
        <v>273</v>
      </c>
      <c r="O472" s="578" t="s">
        <v>276</v>
      </c>
      <c r="P472" s="578" t="s">
        <v>13</v>
      </c>
      <c r="Q472" s="578" t="s">
        <v>14</v>
      </c>
      <c r="R472" s="578" t="s">
        <v>15</v>
      </c>
      <c r="S472" s="578" t="s">
        <v>292</v>
      </c>
      <c r="T472" s="578" t="s">
        <v>274</v>
      </c>
      <c r="U472" s="578" t="s">
        <v>196</v>
      </c>
      <c r="V472" s="578" t="s">
        <v>154</v>
      </c>
      <c r="W472" s="578" t="s">
        <v>155</v>
      </c>
      <c r="X472" s="578" t="s">
        <v>156</v>
      </c>
      <c r="Y472" s="578" t="s">
        <v>157</v>
      </c>
      <c r="Z472" s="578" t="s">
        <v>158</v>
      </c>
      <c r="AA472" s="578" t="s">
        <v>159</v>
      </c>
      <c r="AB472" s="578" t="s">
        <v>160</v>
      </c>
      <c r="AC472" s="578" t="s">
        <v>161</v>
      </c>
      <c r="AD472" s="578" t="s">
        <v>162</v>
      </c>
      <c r="AE472" s="578" t="s">
        <v>163</v>
      </c>
      <c r="AF472" s="578" t="s">
        <v>164</v>
      </c>
      <c r="AG472" s="578" t="s">
        <v>165</v>
      </c>
      <c r="AH472" s="578" t="s">
        <v>166</v>
      </c>
      <c r="AI472" s="578" t="s">
        <v>167</v>
      </c>
      <c r="AJ472" s="578" t="s">
        <v>168</v>
      </c>
      <c r="AK472" s="578" t="s">
        <v>169</v>
      </c>
      <c r="AL472" s="578" t="s">
        <v>170</v>
      </c>
      <c r="AM472" s="578" t="s">
        <v>171</v>
      </c>
      <c r="AN472" s="578" t="s">
        <v>172</v>
      </c>
      <c r="AO472" s="578" t="s">
        <v>173</v>
      </c>
      <c r="AP472" s="578" t="s">
        <v>173</v>
      </c>
      <c r="AQ472" s="578" t="s">
        <v>175</v>
      </c>
      <c r="AR472" s="578" t="s">
        <v>176</v>
      </c>
      <c r="AS472" s="578" t="s">
        <v>177</v>
      </c>
      <c r="AT472" s="578" t="s">
        <v>178</v>
      </c>
      <c r="AU472" s="578" t="s">
        <v>179</v>
      </c>
      <c r="AV472" s="578" t="s">
        <v>180</v>
      </c>
      <c r="AW472" s="578" t="s">
        <v>181</v>
      </c>
      <c r="AX472" s="578" t="s">
        <v>182</v>
      </c>
      <c r="AY472" s="578" t="s">
        <v>183</v>
      </c>
      <c r="AZ472" s="578" t="s">
        <v>184</v>
      </c>
      <c r="BA472" s="578" t="s">
        <v>185</v>
      </c>
      <c r="BB472" s="578" t="s">
        <v>186</v>
      </c>
      <c r="BC472" s="578" t="s">
        <v>452</v>
      </c>
      <c r="BD472" s="578" t="s">
        <v>453</v>
      </c>
      <c r="BE472" s="578" t="s">
        <v>454</v>
      </c>
      <c r="BF472" s="578" t="s">
        <v>455</v>
      </c>
      <c r="BG472" s="578" t="s">
        <v>456</v>
      </c>
      <c r="BH472" s="578" t="s">
        <v>457</v>
      </c>
      <c r="BI472" s="578" t="s">
        <v>458</v>
      </c>
      <c r="BJ472" s="578" t="s">
        <v>459</v>
      </c>
      <c r="BK472" s="578" t="s">
        <v>460</v>
      </c>
      <c r="BL472" s="578" t="s">
        <v>461</v>
      </c>
      <c r="BM472" s="578" t="s">
        <v>462</v>
      </c>
      <c r="BN472" s="578" t="s">
        <v>463</v>
      </c>
      <c r="BO472" s="578" t="s">
        <v>464</v>
      </c>
      <c r="BP472" s="578" t="s">
        <v>465</v>
      </c>
      <c r="BQ472" s="578" t="s">
        <v>466</v>
      </c>
      <c r="BR472" s="578" t="s">
        <v>467</v>
      </c>
    </row>
    <row r="473" spans="1:70" s="9" customFormat="1" ht="11.25">
      <c r="A473" s="13" t="s">
        <v>751</v>
      </c>
      <c r="B473" s="13"/>
      <c r="C473" s="170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  <c r="R473" s="170"/>
      <c r="S473" s="170"/>
      <c r="T473" s="170"/>
      <c r="U473" s="170"/>
      <c r="V473" s="170"/>
      <c r="W473" s="170"/>
      <c r="X473" s="170"/>
      <c r="Y473" s="170"/>
      <c r="Z473" s="170"/>
      <c r="AA473" s="170"/>
      <c r="AB473" s="170"/>
      <c r="AC473" s="170"/>
      <c r="AD473" s="170"/>
      <c r="AE473" s="170"/>
      <c r="AF473" s="170"/>
      <c r="AG473" s="170"/>
      <c r="AH473" s="170"/>
      <c r="AI473" s="170"/>
      <c r="AJ473" s="170"/>
      <c r="AK473" s="170"/>
      <c r="AL473" s="170"/>
      <c r="AM473" s="170"/>
      <c r="AN473" s="170"/>
      <c r="AO473" s="170"/>
      <c r="AP473" s="170"/>
    </row>
    <row r="474" spans="1:70" s="9" customFormat="1" ht="11.25">
      <c r="A474" s="36" t="s">
        <v>246</v>
      </c>
      <c r="B474" s="36"/>
      <c r="C474" s="335">
        <v>940</v>
      </c>
      <c r="D474" s="335">
        <v>943</v>
      </c>
      <c r="E474" s="335">
        <v>940</v>
      </c>
      <c r="F474" s="335">
        <v>952</v>
      </c>
      <c r="G474" s="335">
        <v>954</v>
      </c>
      <c r="H474" s="335">
        <v>969</v>
      </c>
      <c r="I474" s="335">
        <v>975</v>
      </c>
      <c r="J474" s="335">
        <v>1011</v>
      </c>
      <c r="K474" s="335">
        <v>1016</v>
      </c>
      <c r="L474" s="335">
        <v>1031</v>
      </c>
      <c r="M474" s="335">
        <f>1040</f>
        <v>1040</v>
      </c>
      <c r="N474" s="335">
        <v>1077</v>
      </c>
      <c r="O474" s="335">
        <v>1122</v>
      </c>
      <c r="P474" s="335">
        <v>1121</v>
      </c>
      <c r="Q474" s="335">
        <v>1142</v>
      </c>
      <c r="R474" s="335">
        <v>1161</v>
      </c>
      <c r="S474" s="335">
        <v>1169</v>
      </c>
      <c r="T474" s="335">
        <v>1285</v>
      </c>
      <c r="U474" s="335">
        <v>1371</v>
      </c>
      <c r="V474" s="335">
        <v>1411</v>
      </c>
      <c r="W474" s="335">
        <v>1427</v>
      </c>
      <c r="X474" s="335">
        <v>1779</v>
      </c>
      <c r="Y474" s="335">
        <v>1816</v>
      </c>
      <c r="Z474" s="335">
        <v>2161</v>
      </c>
      <c r="AA474" s="335">
        <v>2160</v>
      </c>
      <c r="AB474" s="335">
        <v>2198</v>
      </c>
      <c r="AC474" s="335">
        <v>2252</v>
      </c>
      <c r="AD474" s="335">
        <v>2283</v>
      </c>
      <c r="AE474" s="335">
        <v>2333</v>
      </c>
      <c r="AF474" s="335">
        <v>2363</v>
      </c>
      <c r="AG474" s="335">
        <v>2425</v>
      </c>
      <c r="AH474" s="335">
        <v>2502</v>
      </c>
      <c r="AI474" s="335">
        <v>2553</v>
      </c>
      <c r="AJ474" s="335">
        <v>2597</v>
      </c>
      <c r="AK474" s="335">
        <v>2651</v>
      </c>
      <c r="AL474" s="335">
        <v>2716</v>
      </c>
      <c r="AM474" s="335">
        <v>2737</v>
      </c>
      <c r="AN474" s="335">
        <v>2793</v>
      </c>
      <c r="AO474" s="335">
        <v>2856</v>
      </c>
      <c r="AP474" s="335">
        <v>2947</v>
      </c>
      <c r="AQ474" s="335">
        <v>3409</v>
      </c>
      <c r="AR474" s="335">
        <v>3415</v>
      </c>
      <c r="AS474" s="335">
        <v>3422</v>
      </c>
      <c r="AT474" s="335">
        <v>3419</v>
      </c>
      <c r="AU474" s="335">
        <v>3412</v>
      </c>
      <c r="AV474" s="335">
        <v>3358</v>
      </c>
      <c r="AW474" s="78">
        <v>3335</v>
      </c>
      <c r="AX474" s="78">
        <v>3284</v>
      </c>
      <c r="AY474" s="78">
        <v>3274</v>
      </c>
      <c r="AZ474" s="78">
        <v>3276</v>
      </c>
      <c r="BA474" s="78">
        <v>3264</v>
      </c>
      <c r="BB474" s="78">
        <v>3289</v>
      </c>
      <c r="BC474" s="78">
        <v>3309</v>
      </c>
      <c r="BD474" s="78">
        <v>3338</v>
      </c>
      <c r="BE474" s="78">
        <v>3362</v>
      </c>
      <c r="BF474" s="78">
        <v>3436</v>
      </c>
      <c r="BG474" s="78">
        <v>3441</v>
      </c>
      <c r="BH474" s="78">
        <v>3460</v>
      </c>
      <c r="BI474" s="78">
        <v>3480</v>
      </c>
      <c r="BJ474" s="78">
        <v>3552</v>
      </c>
      <c r="BK474" s="78">
        <v>3571</v>
      </c>
      <c r="BL474" s="78">
        <v>3609</v>
      </c>
    </row>
    <row r="475" spans="1:70" s="9" customFormat="1" ht="11.25">
      <c r="A475" s="36" t="s">
        <v>745</v>
      </c>
      <c r="B475" s="36"/>
      <c r="C475" s="335">
        <f>159+50</f>
        <v>209</v>
      </c>
      <c r="D475" s="335">
        <f>52+160</f>
        <v>212</v>
      </c>
      <c r="E475" s="335">
        <f>53+162</f>
        <v>215</v>
      </c>
      <c r="F475" s="335">
        <f>54+165</f>
        <v>219</v>
      </c>
      <c r="G475" s="335">
        <f>54+163</f>
        <v>217</v>
      </c>
      <c r="H475" s="335">
        <f>53+166</f>
        <v>219</v>
      </c>
      <c r="I475" s="335">
        <f>169+30</f>
        <v>199</v>
      </c>
      <c r="J475" s="335">
        <f>164+31</f>
        <v>195</v>
      </c>
      <c r="K475" s="335">
        <f>31+164</f>
        <v>195</v>
      </c>
      <c r="L475" s="335">
        <f>31+165</f>
        <v>196</v>
      </c>
      <c r="M475" s="335">
        <f>167+35</f>
        <v>202</v>
      </c>
      <c r="N475" s="335">
        <f>170+36</f>
        <v>206</v>
      </c>
      <c r="O475" s="335">
        <f>182+37</f>
        <v>219</v>
      </c>
      <c r="P475" s="335">
        <f>202+40</f>
        <v>242</v>
      </c>
      <c r="Q475" s="335">
        <f>205+41</f>
        <v>246</v>
      </c>
      <c r="R475" s="335">
        <f>233+41</f>
        <v>274</v>
      </c>
      <c r="S475" s="335">
        <v>262</v>
      </c>
      <c r="T475" s="335">
        <v>483</v>
      </c>
      <c r="U475" s="335">
        <v>440</v>
      </c>
      <c r="V475" s="335">
        <v>451</v>
      </c>
      <c r="W475" s="335">
        <v>454</v>
      </c>
      <c r="X475" s="335">
        <v>462</v>
      </c>
      <c r="Y475" s="335">
        <v>461</v>
      </c>
      <c r="Z475" s="335">
        <v>623</v>
      </c>
      <c r="AA475" s="335">
        <v>628</v>
      </c>
      <c r="AB475" s="335">
        <v>632</v>
      </c>
      <c r="AC475" s="335">
        <v>653</v>
      </c>
      <c r="AD475" s="335">
        <v>671</v>
      </c>
      <c r="AE475" s="335">
        <v>669</v>
      </c>
      <c r="AF475" s="335">
        <v>674</v>
      </c>
      <c r="AG475" s="335">
        <v>668</v>
      </c>
      <c r="AH475" s="335">
        <v>693</v>
      </c>
      <c r="AI475" s="335">
        <v>682</v>
      </c>
      <c r="AJ475" s="335">
        <v>694</v>
      </c>
      <c r="AK475" s="335">
        <v>702</v>
      </c>
      <c r="AL475" s="335">
        <v>722</v>
      </c>
      <c r="AM475" s="335">
        <v>731</v>
      </c>
      <c r="AN475" s="335">
        <v>728</v>
      </c>
      <c r="AO475" s="335">
        <v>732</v>
      </c>
      <c r="AP475" s="335">
        <v>741</v>
      </c>
      <c r="AQ475" s="335">
        <v>1052</v>
      </c>
      <c r="AR475" s="335">
        <v>1059</v>
      </c>
      <c r="AS475" s="335">
        <v>1073</v>
      </c>
      <c r="AT475" s="335">
        <v>891</v>
      </c>
      <c r="AU475" s="335">
        <v>899</v>
      </c>
      <c r="AV475" s="335">
        <v>898</v>
      </c>
      <c r="AW475" s="78">
        <v>901</v>
      </c>
      <c r="AX475" s="78">
        <v>909</v>
      </c>
      <c r="AY475" s="78">
        <v>911</v>
      </c>
      <c r="AZ475" s="78">
        <v>928</v>
      </c>
      <c r="BA475" s="78">
        <v>955</v>
      </c>
      <c r="BB475" s="78">
        <v>973</v>
      </c>
      <c r="BC475" s="78">
        <v>990</v>
      </c>
      <c r="BD475" s="78">
        <v>998</v>
      </c>
      <c r="BE475" s="78">
        <v>999</v>
      </c>
      <c r="BF475" s="78">
        <v>1011</v>
      </c>
      <c r="BG475" s="78">
        <v>1008</v>
      </c>
      <c r="BH475" s="78">
        <v>1017</v>
      </c>
      <c r="BI475" s="78">
        <v>1036</v>
      </c>
      <c r="BJ475" s="78">
        <v>1070</v>
      </c>
      <c r="BK475" s="78">
        <v>1070</v>
      </c>
      <c r="BL475" s="78">
        <v>1077</v>
      </c>
    </row>
    <row r="476" spans="1:70" s="9" customFormat="1" ht="11.25">
      <c r="A476" s="13" t="s">
        <v>325</v>
      </c>
      <c r="B476" s="13"/>
      <c r="C476" s="170">
        <f t="shared" ref="C476:AO476" si="932">C474+C475</f>
        <v>1149</v>
      </c>
      <c r="D476" s="170">
        <f t="shared" si="932"/>
        <v>1155</v>
      </c>
      <c r="E476" s="170">
        <f t="shared" si="932"/>
        <v>1155</v>
      </c>
      <c r="F476" s="170">
        <f t="shared" si="932"/>
        <v>1171</v>
      </c>
      <c r="G476" s="170">
        <f t="shared" si="932"/>
        <v>1171</v>
      </c>
      <c r="H476" s="170">
        <f t="shared" si="932"/>
        <v>1188</v>
      </c>
      <c r="I476" s="170">
        <f t="shared" si="932"/>
        <v>1174</v>
      </c>
      <c r="J476" s="170">
        <f t="shared" si="932"/>
        <v>1206</v>
      </c>
      <c r="K476" s="170">
        <f t="shared" si="932"/>
        <v>1211</v>
      </c>
      <c r="L476" s="170">
        <f t="shared" si="932"/>
        <v>1227</v>
      </c>
      <c r="M476" s="170">
        <f t="shared" si="932"/>
        <v>1242</v>
      </c>
      <c r="N476" s="170">
        <f t="shared" si="932"/>
        <v>1283</v>
      </c>
      <c r="O476" s="170">
        <f t="shared" si="932"/>
        <v>1341</v>
      </c>
      <c r="P476" s="170">
        <f t="shared" si="932"/>
        <v>1363</v>
      </c>
      <c r="Q476" s="170">
        <f t="shared" si="932"/>
        <v>1388</v>
      </c>
      <c r="R476" s="170">
        <f t="shared" si="932"/>
        <v>1435</v>
      </c>
      <c r="S476" s="170">
        <f t="shared" si="932"/>
        <v>1431</v>
      </c>
      <c r="T476" s="170">
        <f t="shared" si="932"/>
        <v>1768</v>
      </c>
      <c r="U476" s="170">
        <f t="shared" si="932"/>
        <v>1811</v>
      </c>
      <c r="V476" s="170">
        <f t="shared" si="932"/>
        <v>1862</v>
      </c>
      <c r="W476" s="170">
        <f t="shared" si="932"/>
        <v>1881</v>
      </c>
      <c r="X476" s="170">
        <f t="shared" si="932"/>
        <v>2241</v>
      </c>
      <c r="Y476" s="170">
        <f t="shared" si="932"/>
        <v>2277</v>
      </c>
      <c r="Z476" s="170">
        <f t="shared" si="932"/>
        <v>2784</v>
      </c>
      <c r="AA476" s="170">
        <f t="shared" si="932"/>
        <v>2788</v>
      </c>
      <c r="AB476" s="170">
        <f t="shared" si="932"/>
        <v>2830</v>
      </c>
      <c r="AC476" s="170">
        <f t="shared" si="932"/>
        <v>2905</v>
      </c>
      <c r="AD476" s="170">
        <f t="shared" si="932"/>
        <v>2954</v>
      </c>
      <c r="AE476" s="170">
        <f t="shared" si="932"/>
        <v>3002</v>
      </c>
      <c r="AF476" s="170">
        <f t="shared" si="932"/>
        <v>3037</v>
      </c>
      <c r="AG476" s="170">
        <f t="shared" si="932"/>
        <v>3093</v>
      </c>
      <c r="AH476" s="170">
        <f t="shared" si="932"/>
        <v>3195</v>
      </c>
      <c r="AI476" s="170">
        <f t="shared" si="932"/>
        <v>3235</v>
      </c>
      <c r="AJ476" s="170">
        <f t="shared" si="932"/>
        <v>3291</v>
      </c>
      <c r="AK476" s="170">
        <f t="shared" si="932"/>
        <v>3353</v>
      </c>
      <c r="AL476" s="170">
        <f t="shared" si="932"/>
        <v>3438</v>
      </c>
      <c r="AM476" s="170">
        <f t="shared" si="932"/>
        <v>3468</v>
      </c>
      <c r="AN476" s="170">
        <f t="shared" si="932"/>
        <v>3521</v>
      </c>
      <c r="AO476" s="170">
        <f t="shared" si="932"/>
        <v>3588</v>
      </c>
      <c r="AP476" s="170">
        <f t="shared" ref="AP476:AX476" si="933">AP474+AP475</f>
        <v>3688</v>
      </c>
      <c r="AQ476" s="170">
        <f t="shared" si="933"/>
        <v>4461</v>
      </c>
      <c r="AR476" s="170">
        <f t="shared" si="933"/>
        <v>4474</v>
      </c>
      <c r="AS476" s="170">
        <f t="shared" si="933"/>
        <v>4495</v>
      </c>
      <c r="AT476" s="170">
        <f t="shared" si="933"/>
        <v>4310</v>
      </c>
      <c r="AU476" s="170">
        <f t="shared" si="933"/>
        <v>4311</v>
      </c>
      <c r="AV476" s="170">
        <f t="shared" si="933"/>
        <v>4256</v>
      </c>
      <c r="AW476" s="170">
        <f t="shared" si="933"/>
        <v>4236</v>
      </c>
      <c r="AX476" s="170">
        <f t="shared" si="933"/>
        <v>4193</v>
      </c>
      <c r="AY476" s="170">
        <f t="shared" ref="AY476:BE476" si="934">AY474+AY475</f>
        <v>4185</v>
      </c>
      <c r="AZ476" s="170">
        <f t="shared" si="934"/>
        <v>4204</v>
      </c>
      <c r="BA476" s="170">
        <f t="shared" si="934"/>
        <v>4219</v>
      </c>
      <c r="BB476" s="170">
        <f t="shared" si="934"/>
        <v>4262</v>
      </c>
      <c r="BC476" s="170">
        <f t="shared" si="934"/>
        <v>4299</v>
      </c>
      <c r="BD476" s="170">
        <f t="shared" si="934"/>
        <v>4336</v>
      </c>
      <c r="BE476" s="170">
        <f t="shared" si="934"/>
        <v>4361</v>
      </c>
      <c r="BF476" s="170">
        <f t="shared" ref="BF476:BK476" si="935">BF474+BF475</f>
        <v>4447</v>
      </c>
      <c r="BG476" s="170">
        <f t="shared" si="935"/>
        <v>4449</v>
      </c>
      <c r="BH476" s="170">
        <f t="shared" si="935"/>
        <v>4477</v>
      </c>
      <c r="BI476" s="170">
        <f t="shared" si="935"/>
        <v>4516</v>
      </c>
      <c r="BJ476" s="170">
        <f t="shared" si="935"/>
        <v>4622</v>
      </c>
      <c r="BK476" s="170">
        <f t="shared" si="935"/>
        <v>4641</v>
      </c>
      <c r="BL476" s="170">
        <f t="shared" ref="BL476" si="936">BL474+BL475</f>
        <v>4686</v>
      </c>
    </row>
    <row r="477" spans="1:70" s="9" customFormat="1" ht="11.25">
      <c r="A477" s="604"/>
      <c r="B477" s="13"/>
      <c r="C477" s="170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70"/>
      <c r="T477" s="170"/>
      <c r="U477" s="170"/>
      <c r="V477" s="170"/>
      <c r="W477" s="170"/>
      <c r="X477" s="170"/>
      <c r="Y477" s="170"/>
      <c r="Z477" s="170"/>
      <c r="AA477" s="170"/>
      <c r="AB477" s="170"/>
      <c r="AC477" s="170"/>
      <c r="AD477" s="170"/>
      <c r="AE477" s="170"/>
      <c r="AF477" s="170"/>
      <c r="AG477" s="170"/>
      <c r="AH477" s="170"/>
      <c r="AI477" s="797"/>
      <c r="AJ477" s="797"/>
      <c r="AK477" s="797"/>
      <c r="AL477" s="797"/>
      <c r="AM477" s="797"/>
      <c r="AN477" s="797"/>
      <c r="AO477" s="797"/>
      <c r="AP477" s="797"/>
      <c r="AQ477" s="797"/>
      <c r="AR477" s="797"/>
      <c r="AS477" s="797"/>
      <c r="AT477" s="797"/>
      <c r="AU477" s="797"/>
      <c r="AV477" s="797"/>
      <c r="AW477" s="797"/>
      <c r="AX477" s="797"/>
      <c r="AY477" s="797"/>
      <c r="AZ477" s="797"/>
      <c r="BA477" s="797"/>
      <c r="BB477" s="797"/>
      <c r="BC477" s="797"/>
      <c r="BD477" s="797"/>
      <c r="BE477" s="797"/>
      <c r="BF477" s="797"/>
      <c r="BG477" s="797"/>
      <c r="BH477" s="797"/>
      <c r="BI477" s="797"/>
      <c r="BJ477" s="797"/>
      <c r="BK477" s="797"/>
      <c r="BL477" s="797"/>
    </row>
    <row r="478" spans="1:70" s="9" customFormat="1" ht="11.25">
      <c r="A478" s="13"/>
      <c r="B478" s="13"/>
      <c r="C478" s="170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  <c r="R478" s="170"/>
      <c r="S478" s="170"/>
      <c r="T478" s="170"/>
      <c r="U478" s="170"/>
      <c r="V478" s="170"/>
      <c r="W478" s="170"/>
      <c r="X478" s="170"/>
      <c r="Y478" s="170"/>
      <c r="Z478" s="170"/>
      <c r="AA478" s="170"/>
      <c r="AB478" s="170"/>
      <c r="AC478" s="170"/>
      <c r="AD478" s="170"/>
      <c r="AE478" s="170"/>
      <c r="AF478" s="170"/>
      <c r="AG478" s="170"/>
      <c r="AH478" s="170"/>
      <c r="AI478" s="170"/>
      <c r="AJ478" s="170"/>
      <c r="AK478" s="170"/>
      <c r="AL478" s="170"/>
      <c r="AM478" s="170"/>
      <c r="AN478" s="170"/>
      <c r="AO478" s="170"/>
      <c r="AP478" s="170"/>
    </row>
    <row r="479" spans="1:70" s="9" customFormat="1" ht="11.25">
      <c r="A479" s="13" t="s">
        <v>1052</v>
      </c>
      <c r="B479" s="13"/>
      <c r="C479" s="591">
        <f>Inputs!B20</f>
        <v>13.9</v>
      </c>
      <c r="D479" s="591">
        <f>Inputs!C20</f>
        <v>13.2</v>
      </c>
      <c r="E479" s="591">
        <f>Inputs!D20</f>
        <v>13.45</v>
      </c>
      <c r="F479" s="591">
        <f>Inputs!E20</f>
        <v>13.14</v>
      </c>
      <c r="G479" s="591">
        <f>Inputs!F20</f>
        <v>12.7</v>
      </c>
      <c r="H479" s="591">
        <f>Inputs!G20</f>
        <v>12.2</v>
      </c>
      <c r="I479" s="591">
        <f>Inputs!H20</f>
        <v>12.87</v>
      </c>
      <c r="J479" s="591">
        <f>Inputs!I20</f>
        <v>12.41</v>
      </c>
      <c r="K479" s="591">
        <f>Inputs!J20</f>
        <v>11.9678</v>
      </c>
      <c r="L479" s="591">
        <f>Inputs!K20</f>
        <v>11.838900000000001</v>
      </c>
      <c r="M479" s="591">
        <f>Inputs!L20</f>
        <v>13.4217</v>
      </c>
      <c r="N479" s="591">
        <f>Inputs!M20</f>
        <v>13.990399999999999</v>
      </c>
      <c r="O479" s="591">
        <f>Inputs!N20</f>
        <v>12.803900000000001</v>
      </c>
      <c r="P479" s="591">
        <f>Inputs!O20</f>
        <v>13.6652</v>
      </c>
      <c r="Q479" s="591">
        <f>Inputs!P20</f>
        <v>12.917</v>
      </c>
      <c r="R479" s="591">
        <f>Inputs!Q20</f>
        <v>13.0101</v>
      </c>
      <c r="S479" s="591">
        <f>Inputs!R20</f>
        <v>12.357900000000001</v>
      </c>
      <c r="T479" s="591">
        <f>Inputs!S20</f>
        <v>13.1884</v>
      </c>
      <c r="U479" s="591">
        <f>Inputs!T20</f>
        <v>13.011900000000001</v>
      </c>
      <c r="V479" s="591">
        <f>Inputs!U20</f>
        <v>13.076499999999999</v>
      </c>
      <c r="W479" s="591">
        <f>Inputs!V20</f>
        <v>13.0837</v>
      </c>
      <c r="X479" s="591">
        <f>Inputs!W20</f>
        <v>13.032299999999999</v>
      </c>
      <c r="Y479" s="591">
        <f>Inputs!X20</f>
        <v>13.4541</v>
      </c>
      <c r="Z479" s="591">
        <f>Inputs!Y20</f>
        <v>14.718</v>
      </c>
      <c r="AA479" s="591">
        <f>Inputs!Z20</f>
        <v>15.154199999999999</v>
      </c>
      <c r="AB479" s="591">
        <f>Inputs!AA20</f>
        <v>15.567600000000001</v>
      </c>
      <c r="AC479" s="591">
        <f>Inputs!AB20</f>
        <v>17.007300000000001</v>
      </c>
      <c r="AD479" s="591">
        <f>Inputs!AC20</f>
        <v>17.206499999999998</v>
      </c>
      <c r="AE479" s="591">
        <f>Inputs!AD20</f>
        <v>17.401499999999999</v>
      </c>
      <c r="AF479" s="591">
        <f>Inputs!AE20</f>
        <v>18.911300000000001</v>
      </c>
      <c r="AG479" s="591">
        <f>Inputs!AF20</f>
        <v>19.5002</v>
      </c>
      <c r="AH479" s="591">
        <f>Inputs!AG20</f>
        <v>20.731400000000001</v>
      </c>
      <c r="AI479" s="591">
        <f>Inputs!AH20</f>
        <v>18.809200000000001</v>
      </c>
      <c r="AJ479" s="591">
        <f>Inputs!AI20</f>
        <v>17.897300000000001</v>
      </c>
      <c r="AK479" s="591">
        <f>Inputs!AJ20</f>
        <v>18.13</v>
      </c>
      <c r="AL479" s="591">
        <f>Inputs!AK20</f>
        <v>19.7867</v>
      </c>
      <c r="AM479" s="591">
        <f>Inputs!AL20</f>
        <v>18.326799999999999</v>
      </c>
      <c r="AN479" s="591">
        <f>Inputs!AM20</f>
        <v>20.055299999999999</v>
      </c>
      <c r="AO479" s="591">
        <f>Inputs!AN20</f>
        <v>18.898599999999998</v>
      </c>
      <c r="AP479" s="591">
        <f>Inputs!AO20</f>
        <v>19.6829</v>
      </c>
      <c r="AQ479" s="591">
        <f>Inputs!AP20</f>
        <v>19.3201</v>
      </c>
      <c r="AR479" s="591">
        <f>Inputs!AQ20</f>
        <v>19.144200000000001</v>
      </c>
      <c r="AS479" s="591">
        <f>Inputs!AR20</f>
        <v>19.636299999999999</v>
      </c>
      <c r="AT479" s="591">
        <f>Inputs!AS20</f>
        <v>18.845199999999998</v>
      </c>
      <c r="AU479" s="1731">
        <f>Inputs!AT20</f>
        <v>23.5122</v>
      </c>
      <c r="AV479" s="1731">
        <f>Inputs!AU20</f>
        <v>22.971499999999999</v>
      </c>
      <c r="AW479" s="1067">
        <f>Inputs!AV20</f>
        <v>22.4573</v>
      </c>
      <c r="AX479" s="1067">
        <f>Inputs!AW20</f>
        <v>20.25</v>
      </c>
      <c r="AY479" s="1067">
        <f>Inputs!AX20</f>
        <v>20</v>
      </c>
      <c r="AZ479" s="1067">
        <f>Inputs!AY20</f>
        <v>19.75</v>
      </c>
      <c r="BA479" s="1067">
        <f>Inputs!AZ20</f>
        <v>20</v>
      </c>
      <c r="BB479" s="1067">
        <f>Inputs!BA20</f>
        <v>20.322500000000002</v>
      </c>
      <c r="BC479" s="1067">
        <f>Inputs!BB20</f>
        <v>20.487442187500001</v>
      </c>
      <c r="BD479" s="1067">
        <f>Inputs!BC20</f>
        <v>20.018890769230801</v>
      </c>
      <c r="BE479" s="1067">
        <f>Inputs!BD20</f>
        <v>20.221340909090902</v>
      </c>
      <c r="BF479" s="1067">
        <f>Inputs!BE20</f>
        <v>19.655358461538501</v>
      </c>
      <c r="BG479" s="1067">
        <f>Inputs!BF20</f>
        <v>18.6359030769231</v>
      </c>
      <c r="BH479" s="1067">
        <f>Inputs!BG20</f>
        <v>17.660956923076899</v>
      </c>
      <c r="BI479" s="1067">
        <f>Inputs!BH20</f>
        <v>17.058746153846101</v>
      </c>
      <c r="BJ479" s="1067">
        <f>Inputs!BI20</f>
        <v>17.543401538461499</v>
      </c>
      <c r="BK479" s="1067">
        <f>Inputs!BJ20</f>
        <v>16.968044615384599</v>
      </c>
      <c r="BL479" s="1067">
        <f>Inputs!BK20</f>
        <v>17.233104615384601</v>
      </c>
      <c r="BM479" s="1067">
        <f>Inputs!BL20</f>
        <v>18.22</v>
      </c>
      <c r="BN479" s="1067">
        <f>Inputs!BM20</f>
        <v>18.48</v>
      </c>
      <c r="BO479" s="1067">
        <f>Inputs!BN20</f>
        <v>18.739999999999998</v>
      </c>
      <c r="BP479" s="1067">
        <f>Inputs!BO20</f>
        <v>19.010000000000002</v>
      </c>
      <c r="BQ479" s="1067">
        <f>Inputs!BP20</f>
        <v>19.010000000000002</v>
      </c>
      <c r="BR479" s="1067">
        <f>Inputs!BQ20</f>
        <v>19.55</v>
      </c>
    </row>
    <row r="480" spans="1:70" s="9" customFormat="1" ht="11.25">
      <c r="A480" s="13"/>
      <c r="B480" s="13"/>
      <c r="C480" s="170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  <c r="R480" s="170"/>
      <c r="S480" s="170"/>
      <c r="T480" s="170"/>
      <c r="U480" s="170"/>
      <c r="V480" s="170"/>
      <c r="W480" s="170"/>
      <c r="X480" s="170"/>
      <c r="Y480" s="170"/>
      <c r="Z480" s="170"/>
      <c r="AA480" s="170"/>
      <c r="AB480" s="170"/>
      <c r="AC480" s="170"/>
      <c r="AD480" s="170"/>
      <c r="AE480" s="170"/>
      <c r="AF480" s="170"/>
      <c r="AG480" s="170"/>
      <c r="AH480" s="170"/>
      <c r="AI480" s="170"/>
      <c r="AJ480" s="170"/>
      <c r="AK480" s="170"/>
      <c r="AL480" s="170"/>
      <c r="AM480" s="170"/>
      <c r="AN480" s="170"/>
      <c r="AO480" s="170"/>
      <c r="AP480" s="170"/>
    </row>
    <row r="481" spans="1:42" s="9" customFormat="1" ht="11.25">
      <c r="A481" s="13"/>
      <c r="B481" s="13"/>
      <c r="C481" s="170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  <c r="R481" s="170"/>
      <c r="S481" s="170"/>
      <c r="T481" s="170"/>
      <c r="U481" s="170"/>
      <c r="V481" s="170"/>
      <c r="W481" s="170"/>
      <c r="X481" s="170"/>
      <c r="Y481" s="170"/>
      <c r="Z481" s="170"/>
      <c r="AA481" s="170"/>
      <c r="AB481" s="170"/>
      <c r="AC481" s="170"/>
      <c r="AD481" s="170"/>
      <c r="AE481" s="170"/>
      <c r="AF481" s="170"/>
      <c r="AG481" s="170"/>
      <c r="AH481" s="170"/>
      <c r="AI481" s="170"/>
      <c r="AJ481" s="170"/>
      <c r="AK481" s="170"/>
      <c r="AL481" s="170"/>
      <c r="AM481" s="170"/>
      <c r="AN481" s="170"/>
      <c r="AO481" s="170"/>
      <c r="AP481" s="170"/>
    </row>
    <row r="482" spans="1:42" s="9" customFormat="1" ht="11.25">
      <c r="A482" s="13"/>
      <c r="B482" s="13"/>
      <c r="C482" s="170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  <c r="R482" s="170"/>
      <c r="S482" s="170"/>
      <c r="T482" s="170"/>
      <c r="U482" s="170"/>
      <c r="V482" s="170"/>
      <c r="W482" s="170"/>
      <c r="X482" s="170"/>
      <c r="Y482" s="170"/>
      <c r="Z482" s="170"/>
      <c r="AA482" s="170"/>
      <c r="AB482" s="170"/>
      <c r="AC482" s="170"/>
      <c r="AD482" s="170"/>
      <c r="AE482" s="170"/>
      <c r="AF482" s="170"/>
      <c r="AG482" s="170"/>
      <c r="AH482" s="170"/>
      <c r="AI482" s="170"/>
      <c r="AJ482" s="170"/>
      <c r="AK482" s="170"/>
      <c r="AL482" s="170"/>
      <c r="AM482" s="170"/>
      <c r="AN482" s="170"/>
      <c r="AO482" s="170"/>
      <c r="AP482" s="170"/>
    </row>
    <row r="483" spans="1:42" s="9" customFormat="1" ht="11.25">
      <c r="A483" s="13"/>
      <c r="B483" s="13"/>
      <c r="C483" s="170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  <c r="R483" s="170"/>
      <c r="S483" s="170"/>
      <c r="T483" s="170"/>
      <c r="U483" s="170"/>
      <c r="V483" s="170"/>
      <c r="W483" s="170"/>
      <c r="X483" s="170"/>
      <c r="Y483" s="170"/>
      <c r="Z483" s="170"/>
      <c r="AA483" s="170"/>
      <c r="AB483" s="170"/>
      <c r="AC483" s="170"/>
      <c r="AD483" s="170"/>
      <c r="AE483" s="170"/>
      <c r="AF483" s="170"/>
      <c r="AG483" s="170"/>
      <c r="AH483" s="170"/>
      <c r="AI483" s="170"/>
      <c r="AJ483" s="170"/>
      <c r="AK483" s="170"/>
      <c r="AL483" s="170"/>
      <c r="AM483" s="170"/>
      <c r="AN483" s="170"/>
      <c r="AO483" s="170"/>
      <c r="AP483" s="170"/>
    </row>
    <row r="484" spans="1:42" s="9" customFormat="1" ht="11.25">
      <c r="A484" s="13"/>
      <c r="B484" s="13"/>
      <c r="C484" s="170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  <c r="R484" s="170"/>
      <c r="S484" s="170"/>
      <c r="T484" s="170"/>
      <c r="U484" s="170"/>
      <c r="V484" s="170"/>
      <c r="W484" s="170"/>
      <c r="X484" s="170"/>
      <c r="Y484" s="170"/>
      <c r="Z484" s="170"/>
      <c r="AA484" s="170"/>
      <c r="AB484" s="170"/>
      <c r="AC484" s="170"/>
      <c r="AD484" s="170"/>
      <c r="AE484" s="170"/>
      <c r="AF484" s="170"/>
      <c r="AG484" s="170"/>
      <c r="AH484" s="170"/>
      <c r="AI484" s="170"/>
      <c r="AJ484" s="170"/>
      <c r="AK484" s="170"/>
      <c r="AL484" s="170"/>
      <c r="AM484" s="170"/>
      <c r="AN484" s="170"/>
      <c r="AO484" s="170"/>
      <c r="AP484" s="170"/>
    </row>
    <row r="485" spans="1:42" s="9" customFormat="1" ht="11.25">
      <c r="A485" s="13"/>
      <c r="B485" s="13"/>
      <c r="C485" s="170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  <c r="R485" s="170"/>
      <c r="S485" s="170"/>
      <c r="T485" s="170"/>
      <c r="U485" s="170"/>
      <c r="V485" s="170"/>
      <c r="W485" s="170"/>
      <c r="X485" s="170"/>
      <c r="Y485" s="170"/>
      <c r="Z485" s="170"/>
      <c r="AA485" s="170"/>
      <c r="AB485" s="170"/>
      <c r="AC485" s="170"/>
      <c r="AD485" s="170"/>
      <c r="AE485" s="170"/>
      <c r="AF485" s="170"/>
      <c r="AG485" s="170"/>
      <c r="AH485" s="170"/>
      <c r="AI485" s="170"/>
      <c r="AJ485" s="170"/>
      <c r="AK485" s="170"/>
      <c r="AL485" s="170"/>
      <c r="AM485" s="170"/>
      <c r="AN485" s="170"/>
      <c r="AO485" s="170"/>
      <c r="AP485" s="170"/>
    </row>
    <row r="486" spans="1:42" s="9" customFormat="1" ht="11.25">
      <c r="A486" s="13"/>
      <c r="B486" s="13"/>
      <c r="C486" s="170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  <c r="R486" s="170"/>
      <c r="S486" s="170"/>
      <c r="T486" s="170"/>
      <c r="U486" s="170"/>
      <c r="V486" s="170"/>
      <c r="W486" s="170"/>
      <c r="X486" s="170"/>
      <c r="Y486" s="170"/>
      <c r="Z486" s="170"/>
      <c r="AA486" s="170"/>
      <c r="AB486" s="170"/>
      <c r="AC486" s="170"/>
      <c r="AD486" s="170"/>
      <c r="AE486" s="170"/>
      <c r="AF486" s="170"/>
      <c r="AG486" s="170"/>
      <c r="AH486" s="170"/>
      <c r="AI486" s="170"/>
      <c r="AJ486" s="170"/>
      <c r="AK486" s="170"/>
      <c r="AL486" s="170"/>
      <c r="AM486" s="170"/>
      <c r="AN486" s="170"/>
      <c r="AO486" s="170"/>
      <c r="AP486" s="170"/>
    </row>
    <row r="487" spans="1:42" s="9" customFormat="1" ht="11.25">
      <c r="A487" s="13"/>
      <c r="B487" s="13"/>
      <c r="C487" s="170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  <c r="R487" s="170"/>
      <c r="S487" s="170"/>
      <c r="T487" s="170"/>
      <c r="U487" s="170"/>
      <c r="V487" s="170"/>
      <c r="W487" s="170"/>
      <c r="X487" s="170"/>
      <c r="Y487" s="170"/>
      <c r="Z487" s="170"/>
      <c r="AA487" s="170"/>
      <c r="AB487" s="170"/>
      <c r="AC487" s="170"/>
      <c r="AD487" s="170"/>
      <c r="AE487" s="170"/>
      <c r="AF487" s="170"/>
      <c r="AG487" s="170"/>
      <c r="AH487" s="170"/>
      <c r="AI487" s="170"/>
      <c r="AJ487" s="170"/>
      <c r="AK487" s="170"/>
      <c r="AL487" s="170"/>
      <c r="AM487" s="170"/>
      <c r="AN487" s="170"/>
      <c r="AO487" s="170"/>
      <c r="AP487" s="170"/>
    </row>
    <row r="488" spans="1:42" s="9" customFormat="1" ht="11.25">
      <c r="A488" s="13"/>
      <c r="B488" s="13"/>
      <c r="C488" s="170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  <c r="R488" s="170"/>
      <c r="S488" s="170"/>
      <c r="T488" s="170"/>
      <c r="U488" s="170"/>
      <c r="V488" s="170"/>
      <c r="W488" s="170"/>
      <c r="X488" s="170"/>
      <c r="Y488" s="170"/>
      <c r="Z488" s="170"/>
      <c r="AA488" s="170"/>
      <c r="AB488" s="170"/>
      <c r="AC488" s="170"/>
      <c r="AD488" s="170"/>
      <c r="AE488" s="170"/>
      <c r="AF488" s="170"/>
      <c r="AG488" s="170"/>
      <c r="AH488" s="170"/>
      <c r="AI488" s="170"/>
      <c r="AJ488" s="170"/>
      <c r="AK488" s="170"/>
      <c r="AL488" s="170"/>
      <c r="AM488" s="170"/>
      <c r="AN488" s="170"/>
      <c r="AO488" s="170"/>
      <c r="AP488" s="170"/>
    </row>
    <row r="489" spans="1:42" s="9" customFormat="1" ht="11.25">
      <c r="A489" s="13"/>
      <c r="B489" s="13"/>
      <c r="C489" s="170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  <c r="R489" s="170"/>
      <c r="S489" s="170"/>
      <c r="T489" s="170"/>
      <c r="U489" s="170"/>
      <c r="V489" s="170"/>
      <c r="W489" s="170"/>
      <c r="X489" s="170"/>
      <c r="Y489" s="170"/>
      <c r="Z489" s="170"/>
      <c r="AA489" s="170"/>
      <c r="AB489" s="170"/>
      <c r="AC489" s="170"/>
      <c r="AD489" s="170"/>
      <c r="AE489" s="170"/>
      <c r="AF489" s="170"/>
      <c r="AG489" s="170"/>
      <c r="AH489" s="170"/>
      <c r="AI489" s="170"/>
      <c r="AJ489" s="170"/>
      <c r="AK489" s="170"/>
      <c r="AL489" s="170"/>
      <c r="AM489" s="170"/>
      <c r="AN489" s="170"/>
      <c r="AO489" s="170"/>
      <c r="AP489" s="170"/>
    </row>
    <row r="490" spans="1:42" s="9" customFormat="1" ht="11.25">
      <c r="A490" s="13"/>
      <c r="B490" s="13"/>
      <c r="C490" s="170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  <c r="R490" s="170"/>
      <c r="S490" s="170"/>
      <c r="T490" s="170"/>
      <c r="U490" s="170"/>
      <c r="V490" s="170"/>
      <c r="W490" s="170"/>
      <c r="X490" s="170"/>
      <c r="Y490" s="170"/>
      <c r="Z490" s="170"/>
      <c r="AA490" s="170"/>
      <c r="AB490" s="170"/>
      <c r="AC490" s="170"/>
      <c r="AD490" s="170"/>
      <c r="AE490" s="170"/>
      <c r="AF490" s="170"/>
      <c r="AG490" s="170"/>
      <c r="AH490" s="170"/>
      <c r="AI490" s="170"/>
      <c r="AJ490" s="170"/>
      <c r="AK490" s="170"/>
      <c r="AL490" s="170"/>
      <c r="AM490" s="170"/>
      <c r="AN490" s="170"/>
      <c r="AO490" s="170"/>
      <c r="AP490" s="170"/>
    </row>
    <row r="491" spans="1:42" s="9" customFormat="1" ht="11.25">
      <c r="A491" s="13"/>
      <c r="B491" s="13"/>
      <c r="C491" s="170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  <c r="R491" s="170"/>
      <c r="S491" s="170"/>
      <c r="T491" s="170"/>
      <c r="U491" s="170"/>
      <c r="V491" s="170"/>
      <c r="W491" s="170"/>
      <c r="X491" s="170"/>
      <c r="Y491" s="170"/>
      <c r="Z491" s="170"/>
      <c r="AA491" s="170"/>
      <c r="AB491" s="170"/>
      <c r="AC491" s="170"/>
      <c r="AD491" s="170"/>
      <c r="AE491" s="170"/>
      <c r="AF491" s="170"/>
      <c r="AG491" s="170"/>
      <c r="AH491" s="170"/>
      <c r="AI491" s="170"/>
      <c r="AJ491" s="170"/>
      <c r="AK491" s="170"/>
      <c r="AL491" s="170"/>
      <c r="AM491" s="170"/>
      <c r="AN491" s="170"/>
      <c r="AO491" s="170"/>
      <c r="AP491" s="170"/>
    </row>
    <row r="492" spans="1:42" s="9" customFormat="1" ht="11.25">
      <c r="A492" s="13"/>
      <c r="B492" s="13"/>
      <c r="C492" s="170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  <c r="R492" s="170"/>
      <c r="S492" s="170"/>
      <c r="T492" s="170"/>
      <c r="U492" s="170"/>
      <c r="V492" s="170"/>
      <c r="W492" s="170"/>
      <c r="X492" s="170"/>
      <c r="Y492" s="170"/>
      <c r="Z492" s="170"/>
      <c r="AA492" s="170"/>
      <c r="AB492" s="170"/>
      <c r="AC492" s="170"/>
      <c r="AD492" s="170"/>
      <c r="AE492" s="170"/>
      <c r="AF492" s="170"/>
      <c r="AG492" s="170"/>
      <c r="AH492" s="170"/>
      <c r="AI492" s="170"/>
      <c r="AJ492" s="170"/>
      <c r="AK492" s="170"/>
      <c r="AL492" s="170"/>
      <c r="AM492" s="170"/>
      <c r="AN492" s="170"/>
      <c r="AO492" s="170"/>
      <c r="AP492" s="170"/>
    </row>
    <row r="493" spans="1:42" s="9" customFormat="1" ht="11.25">
      <c r="A493" s="13"/>
      <c r="B493" s="13"/>
      <c r="C493" s="170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  <c r="R493" s="170"/>
      <c r="S493" s="170"/>
      <c r="T493" s="170"/>
      <c r="U493" s="170"/>
      <c r="V493" s="170"/>
      <c r="W493" s="170"/>
      <c r="X493" s="170"/>
      <c r="Y493" s="170"/>
      <c r="Z493" s="170"/>
      <c r="AA493" s="170"/>
      <c r="AB493" s="170"/>
      <c r="AC493" s="170"/>
      <c r="AD493" s="170"/>
      <c r="AE493" s="170"/>
      <c r="AF493" s="170"/>
      <c r="AG493" s="170"/>
      <c r="AH493" s="170"/>
      <c r="AI493" s="170"/>
      <c r="AJ493" s="170"/>
      <c r="AK493" s="170"/>
      <c r="AL493" s="170"/>
      <c r="AM493" s="170"/>
      <c r="AN493" s="170"/>
      <c r="AO493" s="170"/>
      <c r="AP493" s="170"/>
    </row>
    <row r="494" spans="1:42" s="9" customFormat="1" ht="11.25">
      <c r="A494" s="13"/>
      <c r="B494" s="13"/>
      <c r="C494" s="170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70"/>
      <c r="T494" s="170"/>
      <c r="U494" s="170"/>
      <c r="V494" s="170"/>
      <c r="W494" s="170"/>
      <c r="X494" s="170"/>
      <c r="Y494" s="170"/>
      <c r="Z494" s="170"/>
      <c r="AA494" s="170"/>
      <c r="AB494" s="170"/>
      <c r="AC494" s="170"/>
      <c r="AD494" s="170"/>
      <c r="AE494" s="170"/>
      <c r="AF494" s="170"/>
      <c r="AG494" s="170"/>
      <c r="AH494" s="170"/>
      <c r="AI494" s="170"/>
      <c r="AJ494" s="170"/>
      <c r="AK494" s="170"/>
      <c r="AL494" s="170"/>
      <c r="AM494" s="170"/>
      <c r="AN494" s="170"/>
      <c r="AO494" s="170"/>
      <c r="AP494" s="170"/>
    </row>
    <row r="495" spans="1:42" s="9" customFormat="1" ht="11.25">
      <c r="A495" s="13"/>
      <c r="B495" s="13"/>
      <c r="C495" s="170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  <c r="R495" s="170"/>
      <c r="S495" s="170"/>
      <c r="T495" s="170"/>
      <c r="U495" s="170"/>
      <c r="V495" s="170"/>
      <c r="W495" s="170"/>
      <c r="X495" s="170"/>
      <c r="Y495" s="170"/>
      <c r="Z495" s="170"/>
      <c r="AA495" s="170"/>
      <c r="AB495" s="170"/>
      <c r="AC495" s="170"/>
      <c r="AD495" s="170"/>
      <c r="AE495" s="170"/>
      <c r="AF495" s="170"/>
      <c r="AG495" s="170"/>
      <c r="AH495" s="170"/>
      <c r="AI495" s="170"/>
      <c r="AJ495" s="170"/>
      <c r="AK495" s="170"/>
      <c r="AL495" s="170"/>
      <c r="AM495" s="170"/>
      <c r="AN495" s="170"/>
      <c r="AO495" s="170"/>
      <c r="AP495" s="170"/>
    </row>
    <row r="496" spans="1:42" s="9" customFormat="1" ht="11.25">
      <c r="A496" s="13"/>
      <c r="B496" s="13"/>
      <c r="C496" s="170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  <c r="R496" s="170"/>
      <c r="S496" s="170"/>
      <c r="T496" s="170"/>
      <c r="U496" s="170"/>
      <c r="V496" s="170"/>
      <c r="W496" s="170"/>
      <c r="X496" s="170"/>
      <c r="Y496" s="170"/>
      <c r="Z496" s="170"/>
      <c r="AA496" s="170"/>
      <c r="AB496" s="170"/>
      <c r="AC496" s="170"/>
      <c r="AD496" s="170"/>
      <c r="AE496" s="170"/>
      <c r="AF496" s="170"/>
      <c r="AG496" s="170"/>
      <c r="AH496" s="170"/>
      <c r="AI496" s="170"/>
      <c r="AJ496" s="170"/>
      <c r="AK496" s="170"/>
      <c r="AL496" s="170"/>
      <c r="AM496" s="170"/>
      <c r="AN496" s="170"/>
      <c r="AO496" s="170"/>
      <c r="AP496" s="170"/>
    </row>
    <row r="497" spans="1:63" s="9" customFormat="1" ht="11.25">
      <c r="A497" s="13"/>
      <c r="B497" s="13"/>
      <c r="C497" s="170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  <c r="R497" s="170"/>
      <c r="S497" s="170"/>
      <c r="T497" s="170"/>
      <c r="U497" s="170"/>
      <c r="V497" s="170"/>
      <c r="W497" s="170"/>
      <c r="X497" s="170"/>
      <c r="Y497" s="170"/>
      <c r="Z497" s="170"/>
      <c r="AA497" s="170"/>
      <c r="AB497" s="170"/>
      <c r="AC497" s="170"/>
      <c r="AD497" s="170"/>
      <c r="AE497" s="170"/>
      <c r="AF497" s="170"/>
      <c r="AG497" s="170"/>
      <c r="AH497" s="170"/>
      <c r="AI497" s="170"/>
      <c r="AJ497" s="170"/>
      <c r="AK497" s="170"/>
      <c r="AL497" s="170"/>
      <c r="AM497" s="170"/>
      <c r="AN497" s="170"/>
      <c r="AO497" s="170"/>
      <c r="AP497" s="170"/>
    </row>
    <row r="498" spans="1:63" s="9" customFormat="1" ht="11.25">
      <c r="A498" s="13"/>
      <c r="B498" s="13"/>
      <c r="C498" s="170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  <c r="R498" s="170"/>
      <c r="S498" s="170"/>
      <c r="T498" s="170"/>
      <c r="U498" s="170"/>
      <c r="V498" s="170"/>
      <c r="W498" s="170"/>
      <c r="X498" s="170"/>
      <c r="Y498" s="170"/>
      <c r="Z498" s="170"/>
      <c r="AA498" s="170"/>
      <c r="AB498" s="170"/>
      <c r="AC498" s="170"/>
      <c r="AD498" s="170"/>
      <c r="AE498" s="170"/>
      <c r="AF498" s="170"/>
      <c r="AG498" s="170"/>
      <c r="AH498" s="170"/>
      <c r="AI498" s="170"/>
      <c r="AJ498" s="170"/>
      <c r="AK498" s="170"/>
      <c r="AL498" s="170"/>
      <c r="AM498" s="170"/>
      <c r="AN498" s="170"/>
      <c r="AO498" s="170"/>
      <c r="AP498" s="170"/>
    </row>
    <row r="499" spans="1:63" hidden="1" outlineLevel="1"/>
    <row r="500" spans="1:63" collapsed="1">
      <c r="A500" s="1042" t="s">
        <v>949</v>
      </c>
      <c r="B500" s="1043"/>
      <c r="C500" s="1044"/>
      <c r="D500" s="1043"/>
      <c r="E500" s="1043"/>
      <c r="F500" s="1043"/>
      <c r="G500" s="1043"/>
      <c r="H500" s="1043"/>
      <c r="I500" s="1043"/>
      <c r="J500" s="1043"/>
      <c r="K500" s="1043"/>
      <c r="L500" s="1043"/>
      <c r="M500" s="1043"/>
      <c r="N500" s="1043"/>
      <c r="O500" s="1043"/>
      <c r="P500" s="1043"/>
      <c r="Q500" s="1043"/>
      <c r="R500" s="1043"/>
      <c r="S500" s="1043"/>
      <c r="T500" s="1043"/>
      <c r="U500" s="1043"/>
      <c r="V500" s="1044"/>
      <c r="W500" s="1043"/>
      <c r="X500" s="1043"/>
      <c r="Y500" s="1044"/>
      <c r="Z500" s="1043"/>
      <c r="AA500" s="1043"/>
      <c r="AB500" s="1043"/>
      <c r="AC500" s="1044"/>
      <c r="AD500" s="1044"/>
      <c r="AE500" s="1044"/>
      <c r="AF500" s="1044"/>
      <c r="AG500" s="1043"/>
      <c r="AH500" s="1044"/>
      <c r="AI500" s="1044"/>
      <c r="AJ500" s="1044"/>
      <c r="AK500" s="1044"/>
      <c r="AL500" s="1044"/>
      <c r="AM500" s="1044"/>
      <c r="AN500" s="1043"/>
      <c r="AO500" s="1044"/>
      <c r="AP500" s="1044"/>
      <c r="AQ500" s="1043"/>
      <c r="AR500" s="1043"/>
      <c r="AS500" s="1043"/>
      <c r="AT500" s="1043"/>
      <c r="AU500" s="1043"/>
      <c r="AV500" s="1043"/>
      <c r="AW500" s="1043"/>
      <c r="AX500" s="1043"/>
      <c r="AY500" s="1043"/>
      <c r="AZ500" s="1043"/>
      <c r="BA500" s="1043"/>
      <c r="BB500" s="1043"/>
      <c r="BC500" s="1043"/>
      <c r="BD500" s="1043"/>
      <c r="BE500" s="1043"/>
      <c r="BF500" s="1043"/>
      <c r="BG500" s="1043"/>
      <c r="BH500" s="1043"/>
      <c r="BI500" s="1043"/>
    </row>
    <row r="502" spans="1:63">
      <c r="A502" s="513" t="s">
        <v>1013</v>
      </c>
      <c r="BJ502" s="1943"/>
      <c r="BK502" s="1943"/>
    </row>
    <row r="503" spans="1:63">
      <c r="A503" s="342" t="s">
        <v>1007</v>
      </c>
      <c r="AQ503" s="647">
        <v>0.21</v>
      </c>
      <c r="AR503" s="1929"/>
      <c r="BI503" s="647">
        <v>0.25</v>
      </c>
      <c r="BJ503" s="1943"/>
      <c r="BK503" s="1943"/>
    </row>
    <row r="504" spans="1:63">
      <c r="A504" s="342" t="s">
        <v>1008</v>
      </c>
      <c r="AQ504" s="647">
        <v>0.04</v>
      </c>
      <c r="AR504" s="1929"/>
      <c r="BI504" s="647">
        <v>0.04</v>
      </c>
      <c r="BJ504" s="1943"/>
      <c r="BK504" s="1943"/>
    </row>
    <row r="505" spans="1:63">
      <c r="A505" s="342" t="s">
        <v>1018</v>
      </c>
      <c r="AQ505" s="647">
        <v>0.35</v>
      </c>
      <c r="AR505" s="1929"/>
      <c r="BI505" s="647">
        <v>0.37</v>
      </c>
      <c r="BJ505" s="1943"/>
      <c r="BK505" s="1943"/>
    </row>
    <row r="506" spans="1:63">
      <c r="A506" s="342" t="s">
        <v>1009</v>
      </c>
      <c r="AQ506" s="647">
        <v>0</v>
      </c>
      <c r="AR506" s="1929"/>
      <c r="BI506" s="647">
        <v>0</v>
      </c>
      <c r="BJ506" s="1943"/>
      <c r="BK506" s="1943"/>
    </row>
    <row r="507" spans="1:63">
      <c r="A507" s="342" t="s">
        <v>1010</v>
      </c>
      <c r="AQ507" s="647">
        <v>0</v>
      </c>
      <c r="AR507" s="1929"/>
      <c r="BI507" s="647">
        <v>0</v>
      </c>
      <c r="BJ507" s="1943"/>
      <c r="BK507" s="1943"/>
    </row>
    <row r="508" spans="1:63">
      <c r="A508" s="342" t="s">
        <v>1011</v>
      </c>
      <c r="AQ508" s="647">
        <v>0.08</v>
      </c>
      <c r="AR508" s="1929"/>
      <c r="BI508" s="647">
        <f>9%+1%</f>
        <v>9.9999999999999992E-2</v>
      </c>
      <c r="BJ508" s="1943"/>
      <c r="BK508" s="1943"/>
    </row>
    <row r="509" spans="1:63">
      <c r="A509" s="342" t="s">
        <v>1012</v>
      </c>
      <c r="AQ509" s="647">
        <v>0</v>
      </c>
      <c r="AR509" s="1929"/>
      <c r="BI509" s="647">
        <v>0</v>
      </c>
      <c r="BJ509" s="1943"/>
      <c r="BK509" s="1943"/>
    </row>
    <row r="510" spans="1:63">
      <c r="A510" s="342" t="s">
        <v>1019</v>
      </c>
      <c r="AQ510" s="647">
        <v>0.17</v>
      </c>
      <c r="AR510" s="1929"/>
      <c r="BI510" s="647">
        <v>0.15</v>
      </c>
      <c r="BJ510" s="1943"/>
      <c r="BK510" s="1943"/>
    </row>
    <row r="511" spans="1:63">
      <c r="A511" s="342" t="s">
        <v>1016</v>
      </c>
      <c r="AQ511" s="647">
        <v>0</v>
      </c>
      <c r="AR511" s="1929"/>
      <c r="BI511" s="647">
        <v>0</v>
      </c>
      <c r="BJ511" s="1943"/>
      <c r="BK511" s="1943"/>
    </row>
    <row r="512" spans="1:63">
      <c r="A512" s="342" t="s">
        <v>1015</v>
      </c>
      <c r="AQ512" s="647">
        <v>0</v>
      </c>
      <c r="AR512" s="1929"/>
      <c r="BI512" s="647">
        <v>0</v>
      </c>
      <c r="BJ512" s="1943"/>
      <c r="BK512" s="1943"/>
    </row>
    <row r="513" spans="1:63">
      <c r="A513" s="342" t="s">
        <v>1017</v>
      </c>
      <c r="AQ513" s="647">
        <v>0</v>
      </c>
      <c r="AR513" s="1929"/>
      <c r="BI513" s="647">
        <v>0</v>
      </c>
      <c r="BJ513" s="1943"/>
      <c r="BK513" s="1943"/>
    </row>
    <row r="514" spans="1:63">
      <c r="A514" s="342" t="s">
        <v>1120</v>
      </c>
      <c r="AQ514" s="647">
        <v>0.09</v>
      </c>
      <c r="AR514" s="1929"/>
      <c r="BI514" s="647">
        <v>0.08</v>
      </c>
      <c r="BJ514" s="1943"/>
      <c r="BK514" s="1943"/>
    </row>
    <row r="515" spans="1:63">
      <c r="A515" s="342" t="s">
        <v>331</v>
      </c>
      <c r="AQ515" s="647">
        <f>1-SUM(AQ503:AQ514)</f>
        <v>6.0000000000000053E-2</v>
      </c>
      <c r="AR515" s="1929"/>
      <c r="BI515" s="647">
        <v>0.01</v>
      </c>
      <c r="BJ515" s="1943"/>
      <c r="BK515" s="1943"/>
    </row>
    <row r="516" spans="1:63">
      <c r="A516" s="950" t="s">
        <v>325</v>
      </c>
      <c r="AQ516" s="1086">
        <f>+SUM(AQ503:AQ515)</f>
        <v>1</v>
      </c>
      <c r="BI516" s="1086">
        <f>+SUM(BI503:BI515)</f>
        <v>0.99999999999999989</v>
      </c>
      <c r="BJ516" s="1943"/>
      <c r="BK516" s="1943"/>
    </row>
    <row r="518" spans="1:63">
      <c r="A518" s="1042" t="s">
        <v>733</v>
      </c>
      <c r="B518" s="1043"/>
      <c r="C518" s="1044"/>
      <c r="D518" s="1043"/>
      <c r="E518" s="1043"/>
      <c r="F518" s="1043"/>
      <c r="G518" s="1043"/>
      <c r="H518" s="1043"/>
      <c r="I518" s="1043"/>
      <c r="J518" s="1043"/>
      <c r="K518" s="1043"/>
      <c r="L518" s="1043"/>
      <c r="M518" s="1043"/>
      <c r="N518" s="1043"/>
      <c r="O518" s="1043"/>
      <c r="P518" s="1043"/>
      <c r="Q518" s="1043"/>
      <c r="R518" s="1043"/>
      <c r="S518" s="1043"/>
      <c r="T518" s="1043"/>
      <c r="U518" s="1043"/>
      <c r="V518" s="1044"/>
      <c r="W518" s="1043"/>
      <c r="X518" s="1043"/>
      <c r="Y518" s="1044"/>
      <c r="Z518" s="1043"/>
      <c r="AA518" s="1043"/>
      <c r="AB518" s="1043"/>
      <c r="AC518" s="1044"/>
      <c r="AD518" s="1044"/>
      <c r="AE518" s="1044"/>
      <c r="AF518" s="1044"/>
      <c r="AG518" s="1043"/>
      <c r="AH518" s="1044"/>
      <c r="AI518" s="1044"/>
      <c r="AJ518" s="1044"/>
      <c r="AK518" s="1044"/>
      <c r="AL518" s="1044"/>
      <c r="AM518" s="1044"/>
      <c r="AN518" s="1043"/>
      <c r="AO518" s="1044"/>
      <c r="AP518" s="1044"/>
      <c r="AQ518" s="1043"/>
      <c r="AR518" s="1043"/>
      <c r="AS518" s="1043"/>
      <c r="AT518" s="1043"/>
      <c r="AU518" s="1043"/>
      <c r="AV518" s="1043"/>
      <c r="AW518" s="1043"/>
      <c r="AX518" s="1043"/>
      <c r="AY518" s="1043"/>
      <c r="AZ518" s="1043"/>
      <c r="BA518" s="1043"/>
      <c r="BB518" s="1043"/>
      <c r="BC518" s="1043"/>
      <c r="BD518" s="1043"/>
      <c r="BE518" s="1043"/>
      <c r="BF518" s="1043"/>
      <c r="BG518" s="1043"/>
      <c r="BH518" s="1043"/>
      <c r="BI518" s="1043"/>
    </row>
    <row r="520" spans="1:63">
      <c r="A520" s="342" t="s">
        <v>1007</v>
      </c>
      <c r="AQ520" s="647">
        <v>0.16</v>
      </c>
      <c r="BI520" s="647">
        <v>0.21</v>
      </c>
      <c r="BJ520" s="1943"/>
      <c r="BK520" s="1943"/>
    </row>
    <row r="521" spans="1:63">
      <c r="A521" s="342" t="s">
        <v>1008</v>
      </c>
      <c r="AQ521" s="647">
        <v>0.28999999999999998</v>
      </c>
      <c r="BI521" s="647">
        <v>0.25</v>
      </c>
      <c r="BJ521" s="1943"/>
      <c r="BK521" s="1943"/>
    </row>
    <row r="522" spans="1:63">
      <c r="A522" s="342" t="s">
        <v>1018</v>
      </c>
      <c r="AQ522" s="647">
        <v>0.48</v>
      </c>
      <c r="BI522" s="647">
        <v>0.49</v>
      </c>
      <c r="BJ522" s="1943"/>
      <c r="BK522" s="1943"/>
    </row>
    <row r="523" spans="1:63">
      <c r="A523" s="342" t="s">
        <v>1009</v>
      </c>
      <c r="AQ523" s="647">
        <v>0</v>
      </c>
      <c r="BI523" s="647">
        <v>0.01</v>
      </c>
      <c r="BJ523" s="1943"/>
      <c r="BK523" s="1943"/>
    </row>
    <row r="524" spans="1:63">
      <c r="A524" s="342" t="s">
        <v>1010</v>
      </c>
      <c r="AQ524" s="647">
        <v>0</v>
      </c>
      <c r="BI524" s="647">
        <v>0</v>
      </c>
      <c r="BJ524" s="1943"/>
      <c r="BK524" s="1943"/>
    </row>
    <row r="525" spans="1:63">
      <c r="A525" s="342" t="s">
        <v>1011</v>
      </c>
      <c r="AQ525" s="647">
        <v>0</v>
      </c>
      <c r="BI525" s="647">
        <v>0</v>
      </c>
      <c r="BJ525" s="1943"/>
      <c r="BK525" s="1943"/>
    </row>
    <row r="526" spans="1:63">
      <c r="A526" s="342" t="s">
        <v>1012</v>
      </c>
      <c r="AQ526" s="647">
        <v>0</v>
      </c>
      <c r="BI526" s="647">
        <v>0</v>
      </c>
      <c r="BJ526" s="1943"/>
      <c r="BK526" s="1943"/>
    </row>
    <row r="527" spans="1:63">
      <c r="A527" s="342" t="s">
        <v>1019</v>
      </c>
      <c r="AQ527" s="647">
        <v>0</v>
      </c>
      <c r="BI527" s="647">
        <v>0</v>
      </c>
      <c r="BJ527" s="1943"/>
      <c r="BK527" s="1943"/>
    </row>
    <row r="528" spans="1:63">
      <c r="A528" s="342" t="s">
        <v>1016</v>
      </c>
      <c r="AQ528" s="647">
        <v>0.05</v>
      </c>
      <c r="BI528" s="647">
        <v>0.03</v>
      </c>
      <c r="BJ528" s="1943"/>
      <c r="BK528" s="1943"/>
    </row>
    <row r="529" spans="1:64">
      <c r="A529" s="342" t="s">
        <v>1015</v>
      </c>
      <c r="AQ529" s="647">
        <v>0.01</v>
      </c>
      <c r="BI529" s="647">
        <v>0.01</v>
      </c>
      <c r="BJ529" s="1943"/>
      <c r="BK529" s="1943"/>
    </row>
    <row r="530" spans="1:64">
      <c r="A530" s="342" t="s">
        <v>1017</v>
      </c>
      <c r="AQ530" s="647">
        <v>0</v>
      </c>
      <c r="BI530" s="647">
        <v>0</v>
      </c>
      <c r="BJ530" s="1943"/>
      <c r="BK530" s="1943"/>
    </row>
    <row r="531" spans="1:64">
      <c r="A531" s="342" t="s">
        <v>1120</v>
      </c>
      <c r="AQ531" s="647">
        <v>0</v>
      </c>
      <c r="BI531" s="647">
        <v>0</v>
      </c>
      <c r="BJ531" s="1943"/>
      <c r="BK531" s="1943"/>
    </row>
    <row r="532" spans="1:64">
      <c r="A532" s="342" t="s">
        <v>331</v>
      </c>
      <c r="AQ532" s="647">
        <f>1-SUM(AQ520:AQ531)</f>
        <v>1.0000000000000009E-2</v>
      </c>
      <c r="BI532" s="647">
        <v>0</v>
      </c>
      <c r="BJ532" s="1943"/>
      <c r="BK532" s="1943"/>
    </row>
    <row r="533" spans="1:64">
      <c r="A533" s="950" t="s">
        <v>325</v>
      </c>
      <c r="AQ533" s="1086">
        <f>+SUM(AQ520:AQ532)</f>
        <v>1</v>
      </c>
      <c r="BI533" s="1086">
        <f>+SUM(BI520:BI532)</f>
        <v>1</v>
      </c>
      <c r="BJ533" s="1943"/>
      <c r="BK533" s="1943"/>
    </row>
    <row r="537" spans="1:64">
      <c r="A537" s="36" t="s">
        <v>883</v>
      </c>
    </row>
    <row r="538" spans="1:64">
      <c r="A538" s="36" t="s">
        <v>735</v>
      </c>
    </row>
    <row r="539" spans="1:64">
      <c r="A539" s="36" t="s">
        <v>737</v>
      </c>
    </row>
    <row r="540" spans="1:64">
      <c r="A540" s="36" t="s">
        <v>736</v>
      </c>
    </row>
    <row r="541" spans="1:64">
      <c r="A541" s="36" t="s">
        <v>1043</v>
      </c>
    </row>
    <row r="544" spans="1:64" s="9" customFormat="1">
      <c r="A544" s="2061" t="s">
        <v>1559</v>
      </c>
      <c r="B544" s="2055"/>
      <c r="C544" s="2055"/>
      <c r="D544" s="2055"/>
      <c r="E544" s="2055"/>
      <c r="F544" s="2055"/>
      <c r="G544" s="2055"/>
      <c r="H544" s="2055"/>
      <c r="I544" s="2055"/>
      <c r="J544" s="2055"/>
      <c r="K544" s="2055"/>
      <c r="L544" s="2055"/>
      <c r="M544" s="2055"/>
      <c r="N544" s="2055"/>
      <c r="O544" s="2055"/>
      <c r="P544" s="2055"/>
      <c r="Q544" s="2055"/>
      <c r="R544" s="2055"/>
      <c r="S544" s="2055"/>
      <c r="T544" s="2055"/>
      <c r="U544" s="2055"/>
      <c r="V544" s="2055"/>
      <c r="W544" s="2055"/>
      <c r="X544" s="2055"/>
      <c r="Y544" s="2055"/>
      <c r="Z544" s="2055"/>
      <c r="AA544" s="2055"/>
      <c r="AB544" s="2055"/>
      <c r="AC544" s="2055"/>
      <c r="AD544" s="2055"/>
      <c r="AE544" s="2055"/>
      <c r="AF544" s="2055"/>
      <c r="AG544" s="2055"/>
      <c r="AH544" s="2055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 s="2055" t="s">
        <v>1571</v>
      </c>
      <c r="AW544" s="2055" t="s">
        <v>1572</v>
      </c>
      <c r="AX544" s="2055" t="s">
        <v>1573</v>
      </c>
      <c r="AY544" s="2055" t="s">
        <v>1574</v>
      </c>
      <c r="AZ544" s="2055" t="s">
        <v>1575</v>
      </c>
      <c r="BA544" s="2055" t="s">
        <v>1576</v>
      </c>
      <c r="BB544" s="2055" t="s">
        <v>1577</v>
      </c>
      <c r="BC544" s="2055" t="s">
        <v>1578</v>
      </c>
      <c r="BD544" s="2055" t="s">
        <v>1579</v>
      </c>
      <c r="BE544" s="2055" t="s">
        <v>1580</v>
      </c>
      <c r="BF544" s="2055" t="s">
        <v>1581</v>
      </c>
      <c r="BG544" s="2055" t="s">
        <v>1582</v>
      </c>
      <c r="BH544" s="2055" t="s">
        <v>1583</v>
      </c>
      <c r="BI544" s="2055" t="s">
        <v>1584</v>
      </c>
      <c r="BJ544" s="2055" t="s">
        <v>1585</v>
      </c>
      <c r="BK544" s="2055" t="s">
        <v>1586</v>
      </c>
      <c r="BL544" s="2055" t="s">
        <v>461</v>
      </c>
    </row>
    <row r="545" spans="1:64" s="9" customFormat="1">
      <c r="A545" s="2008" t="s">
        <v>1560</v>
      </c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 s="2056">
        <v>2236</v>
      </c>
      <c r="AW545" s="2056">
        <v>2219</v>
      </c>
      <c r="AX545" s="2056">
        <v>2184</v>
      </c>
      <c r="AY545" s="2056">
        <v>2171</v>
      </c>
      <c r="AZ545" s="2056">
        <v>2169</v>
      </c>
      <c r="BA545" s="2056">
        <v>2159</v>
      </c>
      <c r="BB545" s="2056">
        <v>2174</v>
      </c>
      <c r="BC545" s="2056">
        <v>2181</v>
      </c>
      <c r="BD545" s="2056">
        <v>2192</v>
      </c>
      <c r="BE545" s="2056">
        <v>2204</v>
      </c>
      <c r="BF545" s="2056">
        <v>2248</v>
      </c>
      <c r="BG545" s="2056">
        <v>2244</v>
      </c>
      <c r="BH545" s="2056">
        <v>2237</v>
      </c>
      <c r="BI545" s="2056">
        <v>2248</v>
      </c>
      <c r="BJ545" s="2056">
        <v>2313</v>
      </c>
      <c r="BK545" s="2056">
        <v>2331</v>
      </c>
      <c r="BL545" s="2056">
        <v>2358</v>
      </c>
    </row>
    <row r="546" spans="1:64" s="9" customFormat="1">
      <c r="A546" s="2008" t="s">
        <v>1561</v>
      </c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 s="2057">
        <v>-0.443</v>
      </c>
      <c r="AW546" s="2057">
        <v>-0.29599999999999999</v>
      </c>
      <c r="AX546" s="2057">
        <v>-0.218</v>
      </c>
      <c r="AY546" s="2057">
        <v>-8.4000000000000005E-2</v>
      </c>
      <c r="AZ546" s="2057">
        <v>0.86</v>
      </c>
      <c r="BA546" s="2057">
        <v>0.435</v>
      </c>
      <c r="BB546" s="2057">
        <v>0.44500000000000001</v>
      </c>
      <c r="BC546" s="2057">
        <v>0.44400000000000001</v>
      </c>
      <c r="BD546" s="2057">
        <v>0.28100000000000003</v>
      </c>
      <c r="BE546" s="2057">
        <v>0.23499999999999999</v>
      </c>
      <c r="BF546" s="2057">
        <v>0.16</v>
      </c>
      <c r="BG546" s="2057">
        <v>0.184</v>
      </c>
      <c r="BH546" s="2057">
        <v>0.14099999999999999</v>
      </c>
      <c r="BI546" s="2057">
        <v>0.16200000000000001</v>
      </c>
      <c r="BJ546" s="2057">
        <v>0.13500000000000001</v>
      </c>
      <c r="BK546" s="2057">
        <v>0.10100000000000001</v>
      </c>
      <c r="BL546" s="2057">
        <v>7.2999999999999995E-2</v>
      </c>
    </row>
    <row r="547" spans="1:64" s="9" customFormat="1">
      <c r="A547" s="2008" t="s">
        <v>1562</v>
      </c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 s="2056">
        <v>2768</v>
      </c>
      <c r="AW547" s="2056">
        <v>4569</v>
      </c>
      <c r="AX547" s="2056">
        <v>5520</v>
      </c>
      <c r="AY547" s="2056">
        <v>4975</v>
      </c>
      <c r="AZ547" s="2056">
        <v>6465</v>
      </c>
      <c r="BA547" s="2056">
        <v>6705</v>
      </c>
      <c r="BB547" s="2056">
        <v>7870</v>
      </c>
      <c r="BC547" s="2056">
        <v>7335</v>
      </c>
      <c r="BD547" s="2056">
        <v>8357</v>
      </c>
      <c r="BE547" s="2056">
        <v>8403</v>
      </c>
      <c r="BF547" s="2056">
        <v>9373</v>
      </c>
      <c r="BG547" s="2056">
        <v>8953</v>
      </c>
      <c r="BH547" s="2056">
        <v>9831</v>
      </c>
      <c r="BI547" s="2056">
        <v>9900</v>
      </c>
      <c r="BJ547" s="2056">
        <v>10674</v>
      </c>
      <c r="BK547" s="2056">
        <v>10122</v>
      </c>
      <c r="BL547" s="2056">
        <v>10694</v>
      </c>
    </row>
    <row r="548" spans="1:64" s="9" customFormat="1">
      <c r="A548" s="2008" t="s">
        <v>1563</v>
      </c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 s="2056">
        <v>1143</v>
      </c>
      <c r="AW548" s="2056">
        <v>1701</v>
      </c>
      <c r="AX548" s="2056">
        <v>1968</v>
      </c>
      <c r="AY548" s="2056">
        <v>1810</v>
      </c>
      <c r="AZ548" s="2056">
        <v>2285</v>
      </c>
      <c r="BA548" s="2056">
        <v>2366</v>
      </c>
      <c r="BB548" s="2056">
        <v>2699</v>
      </c>
      <c r="BC548" s="2056">
        <v>2590</v>
      </c>
      <c r="BD548" s="2056">
        <v>3026</v>
      </c>
      <c r="BE548" s="2056">
        <v>3008</v>
      </c>
      <c r="BF548" s="2056">
        <v>3393</v>
      </c>
      <c r="BG548" s="2056">
        <v>3190</v>
      </c>
      <c r="BH548" s="2056">
        <v>3458</v>
      </c>
      <c r="BI548" s="2056">
        <v>3509</v>
      </c>
      <c r="BJ548" s="2056">
        <v>3692</v>
      </c>
      <c r="BK548" s="2056">
        <v>3413</v>
      </c>
      <c r="BL548" s="2056">
        <v>3525</v>
      </c>
    </row>
    <row r="549" spans="1:64" s="9" customFormat="1">
      <c r="A549" s="2008" t="s">
        <v>1564</v>
      </c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 s="2056">
        <v>1958</v>
      </c>
      <c r="AW549" s="2056">
        <v>2350</v>
      </c>
      <c r="AX549" s="2056">
        <v>2142</v>
      </c>
      <c r="AY549" s="2056">
        <v>2264</v>
      </c>
      <c r="AZ549" s="2056">
        <v>2621</v>
      </c>
      <c r="BA549" s="2056">
        <v>2953</v>
      </c>
      <c r="BB549" s="2056">
        <v>3066</v>
      </c>
      <c r="BC549" s="2056">
        <v>3099</v>
      </c>
      <c r="BD549" s="2056">
        <v>3426</v>
      </c>
      <c r="BE549" s="2056">
        <v>3526</v>
      </c>
      <c r="BF549" s="2056">
        <v>3833</v>
      </c>
      <c r="BG549" s="2056">
        <v>3791</v>
      </c>
      <c r="BH549" s="2056">
        <v>4016</v>
      </c>
      <c r="BI549" s="2056">
        <v>4136</v>
      </c>
      <c r="BJ549" s="2056">
        <v>4563</v>
      </c>
      <c r="BK549" s="2056">
        <v>4279</v>
      </c>
      <c r="BL549" s="2056">
        <v>4526</v>
      </c>
    </row>
    <row r="550" spans="1:64" s="9" customFormat="1">
      <c r="A550" s="2008" t="s">
        <v>1565</v>
      </c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 s="2058">
        <v>-334</v>
      </c>
      <c r="AW550" s="2058">
        <v>518</v>
      </c>
      <c r="AX550" s="2056">
        <v>1410</v>
      </c>
      <c r="AY550" s="2056">
        <v>901</v>
      </c>
      <c r="AZ550" s="2056">
        <v>1559</v>
      </c>
      <c r="BA550" s="2056">
        <v>1386</v>
      </c>
      <c r="BB550" s="2056">
        <v>2105</v>
      </c>
      <c r="BC550" s="2056">
        <v>1646</v>
      </c>
      <c r="BD550" s="2056">
        <v>1905</v>
      </c>
      <c r="BE550" s="2056">
        <v>1869</v>
      </c>
      <c r="BF550" s="2056">
        <v>2147</v>
      </c>
      <c r="BG550" s="2056">
        <v>1972</v>
      </c>
      <c r="BH550" s="2056">
        <v>2357</v>
      </c>
      <c r="BI550" s="2056">
        <v>2256</v>
      </c>
      <c r="BJ550" s="2056">
        <v>2420</v>
      </c>
      <c r="BK550" s="2056">
        <v>2430</v>
      </c>
      <c r="BL550" s="2056">
        <v>2643</v>
      </c>
    </row>
    <row r="551" spans="1:64" s="9" customFormat="1">
      <c r="A551" s="2008" t="s">
        <v>1566</v>
      </c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 s="2057">
        <v>-0.121</v>
      </c>
      <c r="AW551" s="2057">
        <v>0.113</v>
      </c>
      <c r="AX551" s="2057">
        <v>0.25600000000000001</v>
      </c>
      <c r="AY551" s="2057">
        <v>0.18099999999999999</v>
      </c>
      <c r="AZ551" s="2057">
        <v>0.24099999999999999</v>
      </c>
      <c r="BA551" s="2057">
        <v>0.20699999999999999</v>
      </c>
      <c r="BB551" s="2057">
        <v>0.26800000000000002</v>
      </c>
      <c r="BC551" s="2057">
        <v>0.224</v>
      </c>
      <c r="BD551" s="2057">
        <v>0.22800000000000001</v>
      </c>
      <c r="BE551" s="2057">
        <v>0.222</v>
      </c>
      <c r="BF551" s="2057">
        <v>0.22900000000000001</v>
      </c>
      <c r="BG551" s="2057">
        <v>0.22</v>
      </c>
      <c r="BH551" s="2057">
        <v>0.24</v>
      </c>
      <c r="BI551" s="2057">
        <v>0.22900000000000001</v>
      </c>
      <c r="BJ551" s="2057">
        <v>0.22700000000000001</v>
      </c>
      <c r="BK551" s="2057">
        <v>0.24</v>
      </c>
      <c r="BL551" s="2057">
        <v>0.247</v>
      </c>
    </row>
    <row r="552" spans="1:64" s="9" customFormat="1">
      <c r="A552" s="2008" t="s">
        <v>1567</v>
      </c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 s="2058">
        <v>575</v>
      </c>
      <c r="AW552" s="2058">
        <v>514</v>
      </c>
      <c r="AX552" s="2058">
        <v>450</v>
      </c>
      <c r="AY552" s="2058">
        <v>481</v>
      </c>
      <c r="AZ552" s="2058">
        <v>469</v>
      </c>
      <c r="BA552" s="2058">
        <v>481</v>
      </c>
      <c r="BB552" s="2058">
        <v>511</v>
      </c>
      <c r="BC552" s="2058">
        <v>414</v>
      </c>
      <c r="BD552" s="2058">
        <v>413</v>
      </c>
      <c r="BE552" s="2058">
        <v>436</v>
      </c>
      <c r="BF552" s="2058">
        <v>506</v>
      </c>
      <c r="BG552" s="2058">
        <v>571</v>
      </c>
      <c r="BH552" s="2058">
        <v>635</v>
      </c>
      <c r="BI552" s="2058">
        <v>570</v>
      </c>
      <c r="BJ552" s="2058">
        <v>539</v>
      </c>
      <c r="BK552" s="2058">
        <v>570</v>
      </c>
      <c r="BL552" s="2058">
        <v>597</v>
      </c>
    </row>
    <row r="553" spans="1:64" s="9" customFormat="1">
      <c r="A553" s="2008" t="s">
        <v>1568</v>
      </c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 s="2058">
        <v>319</v>
      </c>
      <c r="AW553" s="2058">
        <v>269</v>
      </c>
      <c r="AX553" s="2058">
        <v>501</v>
      </c>
      <c r="AY553" s="2058">
        <v>287</v>
      </c>
      <c r="AZ553" s="2058">
        <v>338</v>
      </c>
      <c r="BA553" s="2058">
        <v>394</v>
      </c>
      <c r="BB553" s="2058">
        <v>972</v>
      </c>
      <c r="BC553" s="2058">
        <v>457</v>
      </c>
      <c r="BD553" s="2058">
        <v>553</v>
      </c>
      <c r="BE553" s="2058">
        <v>494</v>
      </c>
      <c r="BF553" s="2058">
        <v>513</v>
      </c>
      <c r="BG553" s="2058">
        <v>395</v>
      </c>
      <c r="BH553" s="2058">
        <v>672</v>
      </c>
      <c r="BI553" s="2058">
        <v>513</v>
      </c>
      <c r="BJ553" s="2058"/>
      <c r="BK553" s="2058"/>
      <c r="BL553" s="2058"/>
    </row>
    <row r="554" spans="1:64" s="9" customFormat="1">
      <c r="A554" s="2008" t="s">
        <v>1569</v>
      </c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 s="2056">
        <v>-1228</v>
      </c>
      <c r="AW554" s="2058">
        <v>-265</v>
      </c>
      <c r="AX554" s="2058">
        <v>460</v>
      </c>
      <c r="AY554" s="2058">
        <v>132</v>
      </c>
      <c r="AZ554" s="2058">
        <v>751</v>
      </c>
      <c r="BA554" s="2058">
        <v>512</v>
      </c>
      <c r="BB554" s="2058">
        <v>622</v>
      </c>
      <c r="BC554" s="2058">
        <v>776</v>
      </c>
      <c r="BD554" s="2058">
        <v>939</v>
      </c>
      <c r="BE554" s="2058">
        <v>938</v>
      </c>
      <c r="BF554" s="2056">
        <v>1128</v>
      </c>
      <c r="BG554" s="2056">
        <v>1005</v>
      </c>
      <c r="BH554" s="2056">
        <v>1049</v>
      </c>
      <c r="BI554" s="2056">
        <v>1173</v>
      </c>
      <c r="BJ554" s="2056">
        <v>1657</v>
      </c>
      <c r="BK554" s="2056">
        <v>1386</v>
      </c>
      <c r="BL554" s="2056">
        <v>1524</v>
      </c>
    </row>
    <row r="555" spans="1:64" s="9" customFormat="1">
      <c r="A555" s="2008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 s="2008"/>
      <c r="AW555" s="2008"/>
      <c r="AX555" s="2008"/>
      <c r="AY555" s="2008"/>
      <c r="AZ555" s="2008"/>
      <c r="BA555" s="2008"/>
      <c r="BB555" s="2008"/>
      <c r="BC555" s="2008"/>
      <c r="BD555" s="2008"/>
      <c r="BE555" s="2008"/>
      <c r="BF555" s="2008"/>
      <c r="BG555" s="2008"/>
      <c r="BH555" s="2008"/>
      <c r="BI555" s="2008"/>
      <c r="BJ555" s="2008"/>
      <c r="BK555" s="2008"/>
      <c r="BL555" s="2008"/>
    </row>
    <row r="556" spans="1:64" s="9" customFormat="1">
      <c r="A556" s="2008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 s="2008"/>
      <c r="AW556" s="2008"/>
      <c r="AX556" s="2008"/>
      <c r="AY556" s="2008"/>
      <c r="AZ556" s="2008"/>
      <c r="BA556" s="2008"/>
      <c r="BB556" s="2008"/>
      <c r="BC556" s="2008"/>
      <c r="BD556" s="2008"/>
      <c r="BE556" s="2008"/>
      <c r="BF556" s="2008"/>
      <c r="BG556" s="2008"/>
      <c r="BH556" s="2008"/>
      <c r="BI556" s="2008"/>
      <c r="BJ556" s="2008"/>
      <c r="BK556" s="2059"/>
      <c r="BL556" s="2059"/>
    </row>
    <row r="557" spans="1:64" s="9" customFormat="1">
      <c r="A557" s="2054" t="s">
        <v>1570</v>
      </c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 s="2055" t="s">
        <v>1571</v>
      </c>
      <c r="AW557" s="2055" t="s">
        <v>1572</v>
      </c>
      <c r="AX557" s="2055" t="s">
        <v>1573</v>
      </c>
      <c r="AY557" s="2055" t="s">
        <v>1574</v>
      </c>
      <c r="AZ557" s="2055" t="s">
        <v>1575</v>
      </c>
      <c r="BA557" s="2055" t="s">
        <v>1576</v>
      </c>
      <c r="BB557" s="2055" t="s">
        <v>1577</v>
      </c>
      <c r="BC557" s="2055" t="s">
        <v>1578</v>
      </c>
      <c r="BD557" s="2055" t="s">
        <v>1579</v>
      </c>
      <c r="BE557" s="2055" t="s">
        <v>1580</v>
      </c>
      <c r="BF557" s="2055" t="s">
        <v>1581</v>
      </c>
      <c r="BG557" s="2055" t="s">
        <v>1582</v>
      </c>
      <c r="BH557" s="2055" t="s">
        <v>1583</v>
      </c>
      <c r="BI557" s="2055" t="s">
        <v>1584</v>
      </c>
      <c r="BJ557" s="2055" t="s">
        <v>1585</v>
      </c>
      <c r="BK557" s="2055" t="s">
        <v>1586</v>
      </c>
      <c r="BL557" s="2055" t="s">
        <v>461</v>
      </c>
    </row>
    <row r="558" spans="1:64" s="9" customFormat="1">
      <c r="A558" s="2008" t="s">
        <v>1560</v>
      </c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 s="2056">
        <v>2236</v>
      </c>
      <c r="AW558" s="2056">
        <v>2219</v>
      </c>
      <c r="AX558" s="2056">
        <v>2184</v>
      </c>
      <c r="AY558" s="2056">
        <v>2171</v>
      </c>
      <c r="AZ558" s="2056">
        <v>2169</v>
      </c>
      <c r="BA558" s="2056">
        <v>2159</v>
      </c>
      <c r="BB558" s="2056">
        <v>2174</v>
      </c>
      <c r="BC558" s="2056">
        <v>2181</v>
      </c>
      <c r="BD558" s="2056">
        <v>2192</v>
      </c>
      <c r="BE558" s="2056">
        <v>2204</v>
      </c>
      <c r="BF558" s="2056">
        <v>2248</v>
      </c>
      <c r="BG558" s="2056">
        <v>2244</v>
      </c>
      <c r="BH558" s="2056">
        <v>2237</v>
      </c>
      <c r="BI558" s="2056">
        <v>2248</v>
      </c>
      <c r="BJ558" s="2056">
        <v>2313</v>
      </c>
      <c r="BK558" s="2056">
        <v>2331</v>
      </c>
      <c r="BL558" s="2056">
        <v>2358</v>
      </c>
    </row>
    <row r="559" spans="1:64" s="9" customFormat="1">
      <c r="A559" s="2008" t="s">
        <v>1561</v>
      </c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 s="2057">
        <v>-0.443</v>
      </c>
      <c r="AW559" s="2057">
        <v>-0.29599999999999999</v>
      </c>
      <c r="AX559" s="2057">
        <v>-0.218</v>
      </c>
      <c r="AY559" s="2057">
        <v>-8.4000000000000005E-2</v>
      </c>
      <c r="AZ559" s="2057">
        <v>0.86</v>
      </c>
      <c r="BA559" s="2057">
        <v>0.435</v>
      </c>
      <c r="BB559" s="2057">
        <v>0.44500000000000001</v>
      </c>
      <c r="BC559" s="2057">
        <v>0.44400000000000001</v>
      </c>
      <c r="BD559" s="2058">
        <v>28.1</v>
      </c>
      <c r="BE559" s="2057">
        <v>0.23499999999999999</v>
      </c>
      <c r="BF559" s="2057">
        <v>0.16</v>
      </c>
      <c r="BG559" s="2057">
        <v>0.184</v>
      </c>
      <c r="BH559" s="2057">
        <v>0.14099999999999999</v>
      </c>
      <c r="BI559" s="2057">
        <v>0.16200000000000001</v>
      </c>
      <c r="BJ559" s="2057">
        <v>0.13500000000000001</v>
      </c>
      <c r="BK559" s="2057">
        <v>0.10100000000000001</v>
      </c>
      <c r="BL559" s="2057">
        <v>7.2999999999999995E-2</v>
      </c>
    </row>
    <row r="560" spans="1:64" s="9" customFormat="1">
      <c r="A560" s="2008" t="s">
        <v>1562</v>
      </c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 s="2056">
        <v>2768</v>
      </c>
      <c r="AW560" s="2056">
        <v>4569</v>
      </c>
      <c r="AX560" s="2056">
        <v>5520</v>
      </c>
      <c r="AY560" s="2056">
        <v>4975</v>
      </c>
      <c r="AZ560" s="2056">
        <v>6465</v>
      </c>
      <c r="BA560" s="2056">
        <v>6705</v>
      </c>
      <c r="BB560" s="2056">
        <v>7870</v>
      </c>
      <c r="BC560" s="2056">
        <v>7335</v>
      </c>
      <c r="BD560" s="2056">
        <v>8357</v>
      </c>
      <c r="BE560" s="2056">
        <v>8403</v>
      </c>
      <c r="BF560" s="2056">
        <v>9373</v>
      </c>
      <c r="BG560" s="2056">
        <v>8953</v>
      </c>
      <c r="BH560" s="2056">
        <v>9831</v>
      </c>
      <c r="BI560" s="2056">
        <v>9900</v>
      </c>
      <c r="BJ560" s="2056">
        <v>10674</v>
      </c>
      <c r="BK560" s="2056">
        <v>10122</v>
      </c>
      <c r="BL560" s="2056">
        <v>10694</v>
      </c>
    </row>
    <row r="561" spans="1:64" s="9" customFormat="1">
      <c r="A561" s="2008" t="s">
        <v>1563</v>
      </c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 s="2056">
        <v>1143</v>
      </c>
      <c r="AW561" s="2056">
        <v>1701</v>
      </c>
      <c r="AX561" s="2056">
        <v>1968</v>
      </c>
      <c r="AY561" s="2056">
        <v>1810</v>
      </c>
      <c r="AZ561" s="2056">
        <v>2285</v>
      </c>
      <c r="BA561" s="2056">
        <v>2366</v>
      </c>
      <c r="BB561" s="2056">
        <v>2699</v>
      </c>
      <c r="BC561" s="2056">
        <v>2590</v>
      </c>
      <c r="BD561" s="2056">
        <v>3026</v>
      </c>
      <c r="BE561" s="2056">
        <v>3008</v>
      </c>
      <c r="BF561" s="2056">
        <v>3393</v>
      </c>
      <c r="BG561" s="2056">
        <v>3190</v>
      </c>
      <c r="BH561" s="2056">
        <v>3458</v>
      </c>
      <c r="BI561" s="2056">
        <v>3509</v>
      </c>
      <c r="BJ561" s="2056">
        <v>3692</v>
      </c>
      <c r="BK561" s="2056">
        <v>3413</v>
      </c>
      <c r="BL561" s="2056">
        <v>3525</v>
      </c>
    </row>
    <row r="562" spans="1:64" s="9" customFormat="1">
      <c r="A562" s="2008" t="s">
        <v>1564</v>
      </c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 s="2056">
        <v>1539</v>
      </c>
      <c r="AW562" s="2056">
        <v>1617</v>
      </c>
      <c r="AX562" s="2056">
        <v>1787</v>
      </c>
      <c r="AY562" s="2056">
        <v>1733</v>
      </c>
      <c r="AZ562" s="2056">
        <v>2108</v>
      </c>
      <c r="BA562" s="2056">
        <v>2410</v>
      </c>
      <c r="BB562" s="2056">
        <v>2472</v>
      </c>
      <c r="BC562" s="2056">
        <v>2458</v>
      </c>
      <c r="BD562" s="2056">
        <v>2809</v>
      </c>
      <c r="BE562" s="2056">
        <v>2909</v>
      </c>
      <c r="BF562" s="2056">
        <v>3435</v>
      </c>
      <c r="BG562" s="2056">
        <v>3206</v>
      </c>
      <c r="BH562" s="2056">
        <v>3431</v>
      </c>
      <c r="BI562" s="2056">
        <v>3552</v>
      </c>
      <c r="BJ562" s="2056">
        <v>3898</v>
      </c>
      <c r="BK562" s="2056">
        <v>3722</v>
      </c>
      <c r="BL562" s="2056">
        <v>3894</v>
      </c>
    </row>
    <row r="563" spans="1:64" s="9" customFormat="1">
      <c r="A563" s="2008" t="s">
        <v>1565</v>
      </c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 s="2058">
        <v>85</v>
      </c>
      <c r="AW563" s="2056">
        <v>1251</v>
      </c>
      <c r="AX563" s="2056">
        <v>1765</v>
      </c>
      <c r="AY563" s="2056">
        <v>1432</v>
      </c>
      <c r="AZ563" s="2056">
        <v>2072</v>
      </c>
      <c r="BA563" s="2056">
        <v>1929</v>
      </c>
      <c r="BB563" s="2056">
        <v>2699</v>
      </c>
      <c r="BC563" s="2056">
        <v>2287</v>
      </c>
      <c r="BD563" s="2056">
        <v>2522</v>
      </c>
      <c r="BE563" s="2056">
        <v>2487</v>
      </c>
      <c r="BF563" s="2056">
        <v>2546</v>
      </c>
      <c r="BG563" s="2056">
        <v>2557</v>
      </c>
      <c r="BH563" s="2056">
        <v>2942</v>
      </c>
      <c r="BI563" s="2056">
        <v>2840</v>
      </c>
      <c r="BJ563" s="2056">
        <v>3085</v>
      </c>
      <c r="BK563" s="2056">
        <v>2987</v>
      </c>
      <c r="BL563" s="2056">
        <v>3275</v>
      </c>
    </row>
    <row r="564" spans="1:64" s="9" customFormat="1">
      <c r="A564" s="2008" t="s">
        <v>1566</v>
      </c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 s="2057">
        <v>3.1E-2</v>
      </c>
      <c r="AW564" s="2057">
        <v>0.27400000000000002</v>
      </c>
      <c r="AX564" s="2057">
        <v>0.32</v>
      </c>
      <c r="AY564" s="2057">
        <v>0.28799999999999998</v>
      </c>
      <c r="AZ564" s="2057">
        <v>0.32100000000000001</v>
      </c>
      <c r="BA564" s="2057">
        <v>0.28799999999999998</v>
      </c>
      <c r="BB564" s="2057">
        <v>0.34300000000000003</v>
      </c>
      <c r="BC564" s="2057">
        <v>0.312</v>
      </c>
      <c r="BD564" s="2057">
        <v>0.30199999999999999</v>
      </c>
      <c r="BE564" s="2057">
        <v>0.29599999999999999</v>
      </c>
      <c r="BF564" s="2057">
        <v>0.27200000000000002</v>
      </c>
      <c r="BG564" s="2057">
        <v>0.28599999999999998</v>
      </c>
      <c r="BH564" s="2057">
        <v>0.29899999999999999</v>
      </c>
      <c r="BI564" s="2057">
        <v>0.28799999999999998</v>
      </c>
      <c r="BJ564" s="2057">
        <v>0.28899999999999998</v>
      </c>
      <c r="BK564" s="2057">
        <v>0.29499999999999998</v>
      </c>
      <c r="BL564" s="2057">
        <v>0.30599999999999999</v>
      </c>
    </row>
    <row r="565" spans="1:64" s="9" customFormat="1">
      <c r="A565" s="2008" t="s">
        <v>1567</v>
      </c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 s="2058">
        <v>953</v>
      </c>
      <c r="AW565" s="2058">
        <v>911</v>
      </c>
      <c r="AX565" s="2058">
        <v>752</v>
      </c>
      <c r="AY565" s="2058">
        <v>866</v>
      </c>
      <c r="AZ565" s="2058">
        <v>832</v>
      </c>
      <c r="BA565" s="2058">
        <v>836</v>
      </c>
      <c r="BB565" s="2058">
        <v>861</v>
      </c>
      <c r="BC565" s="2058">
        <v>905</v>
      </c>
      <c r="BD565" s="2058">
        <v>885</v>
      </c>
      <c r="BE565" s="2058">
        <v>916</v>
      </c>
      <c r="BF565" s="2058">
        <v>873</v>
      </c>
      <c r="BG565" s="2056">
        <v>1038</v>
      </c>
      <c r="BH565" s="2056">
        <v>1099</v>
      </c>
      <c r="BI565" s="2056">
        <v>1030</v>
      </c>
      <c r="BJ565" s="2056">
        <v>1061</v>
      </c>
      <c r="BK565" s="2056">
        <v>1006</v>
      </c>
      <c r="BL565" s="2056">
        <v>1081</v>
      </c>
    </row>
    <row r="566" spans="1:64" s="9" customFormat="1">
      <c r="A566" s="2008" t="s">
        <v>1568</v>
      </c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 s="2058">
        <v>319</v>
      </c>
      <c r="AW566" s="2058">
        <v>269</v>
      </c>
      <c r="AX566" s="2058">
        <v>333</v>
      </c>
      <c r="AY566" s="2058">
        <v>262</v>
      </c>
      <c r="AZ566" s="2058">
        <v>325</v>
      </c>
      <c r="BA566" s="2058">
        <v>389</v>
      </c>
      <c r="BB566" s="2058">
        <v>936</v>
      </c>
      <c r="BC566" s="2058">
        <v>325</v>
      </c>
      <c r="BD566" s="2058">
        <v>520</v>
      </c>
      <c r="BE566" s="2058">
        <v>494</v>
      </c>
      <c r="BF566" s="2058">
        <v>490</v>
      </c>
      <c r="BG566" s="2058">
        <v>317</v>
      </c>
      <c r="BH566" s="2058">
        <v>672</v>
      </c>
      <c r="BI566" s="2058">
        <v>513</v>
      </c>
      <c r="BJ566" s="2058"/>
      <c r="BK566" s="2058"/>
    </row>
    <row r="567" spans="1:64" s="9" customFormat="1">
      <c r="A567" s="2008" t="s">
        <v>1569</v>
      </c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 s="2056">
        <v>1187</v>
      </c>
      <c r="AW567" s="2058">
        <v>71</v>
      </c>
      <c r="AX567" s="2058">
        <v>680</v>
      </c>
      <c r="AY567" s="2058">
        <v>304</v>
      </c>
      <c r="AZ567" s="2058">
        <v>915</v>
      </c>
      <c r="BA567" s="2058">
        <v>704</v>
      </c>
      <c r="BB567" s="2058">
        <v>902</v>
      </c>
      <c r="BC567" s="2056">
        <v>1058</v>
      </c>
      <c r="BD567" s="2056">
        <v>1116</v>
      </c>
      <c r="BE567" s="2056">
        <v>1076</v>
      </c>
      <c r="BF567" s="2056">
        <v>1183</v>
      </c>
      <c r="BG567" s="2056">
        <v>1203</v>
      </c>
      <c r="BH567" s="2056">
        <v>1170</v>
      </c>
      <c r="BI567" s="2056">
        <v>1297</v>
      </c>
      <c r="BJ567" s="2056">
        <v>1724</v>
      </c>
      <c r="BK567" s="2056">
        <v>1507</v>
      </c>
      <c r="BL567" s="2056">
        <v>1673</v>
      </c>
    </row>
    <row r="568" spans="1:64" s="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</row>
    <row r="569" spans="1:64" s="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</row>
    <row r="570" spans="1:64" s="9" customFormat="1">
      <c r="A570" s="2054" t="s">
        <v>1587</v>
      </c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 s="2055" t="s">
        <v>1571</v>
      </c>
      <c r="AW570" s="2055" t="s">
        <v>1572</v>
      </c>
      <c r="AX570" s="2055" t="s">
        <v>1573</v>
      </c>
      <c r="AY570" s="2055" t="s">
        <v>1574</v>
      </c>
      <c r="AZ570" s="2055" t="s">
        <v>1575</v>
      </c>
      <c r="BA570" s="2055" t="s">
        <v>1576</v>
      </c>
      <c r="BB570" s="2055" t="s">
        <v>1577</v>
      </c>
      <c r="BC570" s="2055" t="s">
        <v>1578</v>
      </c>
      <c r="BD570" s="2055" t="s">
        <v>1579</v>
      </c>
      <c r="BE570" s="2055" t="s">
        <v>1580</v>
      </c>
      <c r="BF570" s="2055" t="s">
        <v>1581</v>
      </c>
      <c r="BG570" s="2055" t="s">
        <v>1582</v>
      </c>
      <c r="BH570" s="2055" t="s">
        <v>1583</v>
      </c>
      <c r="BI570" s="2055" t="s">
        <v>1584</v>
      </c>
      <c r="BJ570" s="2055" t="s">
        <v>1585</v>
      </c>
      <c r="BK570" s="2055" t="s">
        <v>1586</v>
      </c>
      <c r="BL570" s="2055" t="s">
        <v>461</v>
      </c>
    </row>
    <row r="571" spans="1:64" s="9" customFormat="1">
      <c r="A571" s="2008" t="s">
        <v>1560</v>
      </c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 s="2056">
        <v>1390</v>
      </c>
      <c r="AW571" s="2056">
        <v>1392</v>
      </c>
      <c r="AX571" s="2056">
        <v>1376</v>
      </c>
      <c r="AY571" s="2056">
        <v>1375</v>
      </c>
      <c r="AZ571" s="2056">
        <v>1388</v>
      </c>
      <c r="BA571" s="2056">
        <v>1404</v>
      </c>
      <c r="BB571" s="2056">
        <v>1424</v>
      </c>
      <c r="BC571" s="2056">
        <v>1441</v>
      </c>
      <c r="BD571" s="2056">
        <v>1452</v>
      </c>
      <c r="BE571" s="2056">
        <v>1460</v>
      </c>
      <c r="BF571" s="2056">
        <v>1476</v>
      </c>
      <c r="BG571" s="2056">
        <v>1477</v>
      </c>
      <c r="BH571" s="2056">
        <v>1494</v>
      </c>
      <c r="BI571" s="2056">
        <v>1514</v>
      </c>
      <c r="BJ571" s="2056">
        <v>1534</v>
      </c>
      <c r="BK571" s="2056">
        <v>1534</v>
      </c>
      <c r="BL571" s="2056">
        <v>1548</v>
      </c>
    </row>
    <row r="572" spans="1:64" s="9" customFormat="1">
      <c r="A572" s="2008" t="s">
        <v>1561</v>
      </c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 s="2057">
        <v>-0.35699999999999998</v>
      </c>
      <c r="AW572" s="2057">
        <v>-0.29799999999999999</v>
      </c>
      <c r="AX572" s="2057">
        <v>-0.34599999999999997</v>
      </c>
      <c r="AY572" s="2057">
        <v>-0.29199999999999998</v>
      </c>
      <c r="AZ572" s="2057">
        <v>0.24399999999999999</v>
      </c>
      <c r="BA572" s="2057">
        <v>0.21099999999999999</v>
      </c>
      <c r="BB572" s="2057">
        <v>0.38400000000000001</v>
      </c>
      <c r="BC572" s="2057">
        <v>0.41599999999999998</v>
      </c>
      <c r="BD572" s="2057">
        <v>0.31</v>
      </c>
      <c r="BE572" s="2057">
        <v>0.23599999999999999</v>
      </c>
      <c r="BF572" s="2057">
        <v>0.16200000000000001</v>
      </c>
      <c r="BG572" s="2057">
        <v>0.16200000000000001</v>
      </c>
      <c r="BH572" s="2057">
        <v>0.115</v>
      </c>
      <c r="BI572" s="2057">
        <v>8.3000000000000004E-2</v>
      </c>
      <c r="BJ572" s="2057">
        <v>3.7999999999999999E-2</v>
      </c>
      <c r="BK572" s="2057">
        <v>1.6E-2</v>
      </c>
      <c r="BL572" s="2057">
        <v>-2.5999999999999999E-2</v>
      </c>
    </row>
    <row r="573" spans="1:64" s="9" customFormat="1">
      <c r="A573" s="2008" t="s">
        <v>1562</v>
      </c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 s="2056">
        <v>1648</v>
      </c>
      <c r="AW573" s="2056">
        <v>4060</v>
      </c>
      <c r="AX573" s="2056">
        <v>4002</v>
      </c>
      <c r="AY573" s="2056">
        <v>3492</v>
      </c>
      <c r="AZ573" s="2056">
        <v>4280</v>
      </c>
      <c r="BA573" s="2056">
        <v>4830</v>
      </c>
      <c r="BB573" s="2056">
        <v>5812</v>
      </c>
      <c r="BC573" s="2056">
        <v>5185</v>
      </c>
      <c r="BD573" s="2056">
        <v>5421</v>
      </c>
      <c r="BE573" s="2056">
        <v>5435</v>
      </c>
      <c r="BF573" s="2056">
        <v>5935</v>
      </c>
      <c r="BG573" s="2056">
        <v>5577</v>
      </c>
      <c r="BH573" s="2056">
        <v>5658</v>
      </c>
      <c r="BI573" s="2056">
        <v>5637</v>
      </c>
      <c r="BJ573" s="2056">
        <v>6094</v>
      </c>
      <c r="BK573" s="2056">
        <v>5441</v>
      </c>
      <c r="BL573" s="2056">
        <v>5503</v>
      </c>
    </row>
    <row r="574" spans="1:64" s="9" customFormat="1">
      <c r="A574" s="2008" t="s">
        <v>1563</v>
      </c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 s="2058">
        <v>463</v>
      </c>
      <c r="AW574" s="2058">
        <v>940</v>
      </c>
      <c r="AX574" s="2056">
        <v>1004</v>
      </c>
      <c r="AY574" s="2056">
        <v>935</v>
      </c>
      <c r="AZ574" s="2056">
        <v>1075</v>
      </c>
      <c r="BA574" s="2056">
        <v>1156</v>
      </c>
      <c r="BB574" s="2056">
        <v>1393</v>
      </c>
      <c r="BC574" s="2056">
        <v>1335</v>
      </c>
      <c r="BD574" s="2056">
        <v>1461</v>
      </c>
      <c r="BE574" s="2056">
        <v>1532</v>
      </c>
      <c r="BF574" s="2056">
        <v>1664</v>
      </c>
      <c r="BG574" s="2056">
        <v>1630</v>
      </c>
      <c r="BH574" s="2056">
        <v>1664</v>
      </c>
      <c r="BI574" s="2056">
        <v>1592</v>
      </c>
      <c r="BJ574" s="2056">
        <v>1729</v>
      </c>
      <c r="BK574" s="2056">
        <v>1558</v>
      </c>
      <c r="BL574" s="2056">
        <v>1554</v>
      </c>
    </row>
    <row r="575" spans="1:64" s="9" customFormat="1">
      <c r="A575" s="2008" t="s">
        <v>1564</v>
      </c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 s="2056">
        <v>1751</v>
      </c>
      <c r="AW575" s="2056">
        <v>2611</v>
      </c>
      <c r="AX575" s="2056">
        <v>2145</v>
      </c>
      <c r="AY575" s="2056">
        <v>2178</v>
      </c>
      <c r="AZ575" s="2056">
        <v>2506</v>
      </c>
      <c r="BA575" s="2056">
        <v>2758</v>
      </c>
      <c r="BB575" s="2056">
        <v>2990</v>
      </c>
      <c r="BC575" s="2056">
        <v>3059</v>
      </c>
      <c r="BD575" s="2056">
        <v>3058</v>
      </c>
      <c r="BE575" s="2056">
        <v>3301</v>
      </c>
      <c r="BF575" s="2056">
        <v>3341</v>
      </c>
      <c r="BG575" s="2056">
        <v>3221</v>
      </c>
      <c r="BH575" s="2056">
        <v>3127</v>
      </c>
      <c r="BI575" s="2056">
        <v>3161</v>
      </c>
      <c r="BJ575" s="2056">
        <v>3300</v>
      </c>
      <c r="BK575" s="2056">
        <v>3144</v>
      </c>
      <c r="BL575" s="2056">
        <v>3212</v>
      </c>
    </row>
    <row r="576" spans="1:64" s="9" customFormat="1">
      <c r="A576" s="2008" t="s">
        <v>1565</v>
      </c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 s="2058">
        <v>-566</v>
      </c>
      <c r="AW576" s="2058">
        <v>509</v>
      </c>
      <c r="AX576" s="2058">
        <v>854</v>
      </c>
      <c r="AY576" s="2056">
        <v>378</v>
      </c>
      <c r="AZ576" s="2058">
        <v>699</v>
      </c>
      <c r="BA576" s="2058">
        <v>916</v>
      </c>
      <c r="BB576" s="2056">
        <v>1429</v>
      </c>
      <c r="BC576" s="2058">
        <v>791</v>
      </c>
      <c r="BD576" s="2058">
        <v>901</v>
      </c>
      <c r="BE576" s="2058">
        <v>602</v>
      </c>
      <c r="BF576" s="2058">
        <v>930</v>
      </c>
      <c r="BG576" s="2058">
        <v>726</v>
      </c>
      <c r="BH576" s="2058">
        <v>866</v>
      </c>
      <c r="BI576" s="2058">
        <v>884</v>
      </c>
      <c r="BJ576" s="2056">
        <v>1065</v>
      </c>
      <c r="BK576" s="2058">
        <v>739</v>
      </c>
      <c r="BL576" s="2058">
        <v>737</v>
      </c>
    </row>
    <row r="577" spans="1:64" s="9" customFormat="1">
      <c r="A577" s="2008" t="s">
        <v>1566</v>
      </c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 s="2057">
        <v>-0.34300000000000003</v>
      </c>
      <c r="AW577" s="2057">
        <v>0.125</v>
      </c>
      <c r="AX577" s="2057">
        <v>0.21299999999999999</v>
      </c>
      <c r="AY577" s="2057">
        <v>0.108</v>
      </c>
      <c r="AZ577" s="2057">
        <v>0.16300000000000001</v>
      </c>
      <c r="BA577" s="2057">
        <v>0.19</v>
      </c>
      <c r="BB577" s="2057">
        <v>0.246</v>
      </c>
      <c r="BC577" s="2057">
        <v>0.152</v>
      </c>
      <c r="BD577" s="2057">
        <v>0.16600000000000001</v>
      </c>
      <c r="BE577" s="2057">
        <v>0.111</v>
      </c>
      <c r="BF577" s="2057">
        <v>0.157</v>
      </c>
      <c r="BG577" s="2057">
        <v>0.13</v>
      </c>
      <c r="BH577" s="2057">
        <v>0.153</v>
      </c>
      <c r="BI577" s="2057">
        <v>0.157</v>
      </c>
      <c r="BJ577" s="2057">
        <v>0.17499999999999999</v>
      </c>
      <c r="BK577" s="2057">
        <v>0.13600000000000001</v>
      </c>
      <c r="BL577" s="2057">
        <v>0.13400000000000001</v>
      </c>
    </row>
    <row r="578" spans="1:64" s="9" customFormat="1">
      <c r="A578" s="2008" t="s">
        <v>1567</v>
      </c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 s="2058">
        <v>383</v>
      </c>
      <c r="AW578" s="2058">
        <v>372</v>
      </c>
      <c r="AX578" s="2058">
        <v>566</v>
      </c>
      <c r="AY578" s="2058">
        <v>338</v>
      </c>
      <c r="AZ578" s="2058">
        <v>373</v>
      </c>
      <c r="BA578" s="2058">
        <v>316</v>
      </c>
      <c r="BB578" s="2058">
        <v>331</v>
      </c>
      <c r="BC578" s="2058">
        <v>287</v>
      </c>
      <c r="BD578" s="2058">
        <v>285</v>
      </c>
      <c r="BE578" s="2058">
        <v>280</v>
      </c>
      <c r="BF578" s="2058">
        <v>291</v>
      </c>
      <c r="BG578" s="2058">
        <v>284</v>
      </c>
      <c r="BH578" s="2058">
        <v>287</v>
      </c>
      <c r="BI578" s="2058">
        <v>276</v>
      </c>
      <c r="BJ578" s="2058">
        <v>286</v>
      </c>
      <c r="BK578" s="2058">
        <v>283</v>
      </c>
      <c r="BL578" s="2058">
        <v>289</v>
      </c>
    </row>
    <row r="579" spans="1:64" s="9" customFormat="1">
      <c r="A579" s="2008" t="s">
        <v>1568</v>
      </c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 s="2058">
        <v>264</v>
      </c>
      <c r="AW579" s="2058">
        <v>314</v>
      </c>
      <c r="AX579" s="2058">
        <v>394</v>
      </c>
      <c r="AY579" s="2058">
        <v>410</v>
      </c>
      <c r="AZ579" s="2058">
        <v>461</v>
      </c>
      <c r="BA579" s="2058">
        <v>309</v>
      </c>
      <c r="BB579" s="2058">
        <v>373</v>
      </c>
      <c r="BC579" s="2058">
        <v>345</v>
      </c>
      <c r="BD579" s="2058">
        <v>330</v>
      </c>
      <c r="BE579" s="2058">
        <v>308</v>
      </c>
      <c r="BF579" s="2058">
        <v>385</v>
      </c>
      <c r="BG579" s="2058">
        <v>319</v>
      </c>
      <c r="BH579" s="2058">
        <v>340</v>
      </c>
      <c r="BI579" s="2058">
        <v>318</v>
      </c>
      <c r="BJ579" s="2058"/>
      <c r="BK579" s="2058"/>
    </row>
    <row r="580" spans="1:64" s="9" customFormat="1">
      <c r="A580" s="2008" t="s">
        <v>1569</v>
      </c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 s="2056">
        <v>-1213</v>
      </c>
      <c r="AW580" s="2058">
        <v>-178</v>
      </c>
      <c r="AX580" s="2058">
        <v>-107</v>
      </c>
      <c r="AY580" s="2058">
        <v>-369</v>
      </c>
      <c r="AZ580" s="2058">
        <v>-134</v>
      </c>
      <c r="BA580" s="2058">
        <v>290</v>
      </c>
      <c r="BB580" s="2058">
        <v>724</v>
      </c>
      <c r="BC580" s="2058">
        <v>159</v>
      </c>
      <c r="BD580" s="2058">
        <v>286</v>
      </c>
      <c r="BE580" s="2058">
        <v>14</v>
      </c>
      <c r="BF580" s="2058">
        <v>254</v>
      </c>
      <c r="BG580" s="2058">
        <v>123</v>
      </c>
      <c r="BH580" s="2058">
        <v>239</v>
      </c>
      <c r="BI580" s="2058">
        <v>291</v>
      </c>
      <c r="BJ580" s="2058">
        <v>440</v>
      </c>
      <c r="BK580" s="2058">
        <v>118</v>
      </c>
      <c r="BL580" s="2058">
        <v>104</v>
      </c>
    </row>
    <row r="581" spans="1:64" s="9" customFormat="1">
      <c r="A581" s="2008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 s="2008"/>
      <c r="AW581" s="2008"/>
      <c r="AX581" s="2008"/>
      <c r="AY581" s="2008"/>
      <c r="AZ581" s="2008"/>
      <c r="BA581" s="2008"/>
      <c r="BB581" s="2008"/>
      <c r="BC581" s="2008"/>
      <c r="BD581" s="2008"/>
      <c r="BE581" s="2008"/>
      <c r="BF581" s="2008"/>
      <c r="BG581" s="2008"/>
      <c r="BH581" s="2008"/>
      <c r="BI581" s="2008"/>
      <c r="BJ581" s="2008"/>
      <c r="BK581" s="2008"/>
      <c r="BL581" s="2008"/>
    </row>
    <row r="582" spans="1:64" s="9" customFormat="1">
      <c r="A582" s="2008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 s="2008"/>
      <c r="AW582" s="2008"/>
      <c r="AX582" s="2008"/>
      <c r="AY582" s="2008"/>
      <c r="AZ582" s="2008"/>
      <c r="BA582" s="2008"/>
      <c r="BB582" s="2008"/>
      <c r="BC582" s="2008"/>
      <c r="BD582" s="2008"/>
      <c r="BE582" s="2008"/>
      <c r="BF582" s="2008"/>
      <c r="BG582" s="2008"/>
      <c r="BH582" s="2008"/>
      <c r="BI582" s="2008"/>
      <c r="BJ582" s="2008"/>
      <c r="BK582" s="2008"/>
      <c r="BL582" s="2008"/>
    </row>
    <row r="583" spans="1:64" s="9" customFormat="1">
      <c r="A583" s="2054" t="s">
        <v>1588</v>
      </c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 s="2055" t="s">
        <v>1571</v>
      </c>
      <c r="AW583" s="2055" t="s">
        <v>1572</v>
      </c>
      <c r="AX583" s="2055" t="s">
        <v>1573</v>
      </c>
      <c r="AY583" s="2055" t="s">
        <v>1574</v>
      </c>
      <c r="AZ583" s="2055" t="s">
        <v>1575</v>
      </c>
      <c r="BA583" s="2055" t="s">
        <v>1576</v>
      </c>
      <c r="BB583" s="2055" t="s">
        <v>1577</v>
      </c>
      <c r="BC583" s="2055" t="s">
        <v>1578</v>
      </c>
      <c r="BD583" s="2055" t="s">
        <v>1579</v>
      </c>
      <c r="BE583" s="2055" t="s">
        <v>1580</v>
      </c>
      <c r="BF583" s="2055" t="s">
        <v>1581</v>
      </c>
      <c r="BG583" s="2055" t="s">
        <v>1582</v>
      </c>
      <c r="BH583" s="2055" t="s">
        <v>1583</v>
      </c>
      <c r="BI583" s="2055" t="s">
        <v>1584</v>
      </c>
      <c r="BJ583" s="2055" t="s">
        <v>1585</v>
      </c>
      <c r="BK583" s="2055" t="s">
        <v>1586</v>
      </c>
      <c r="BL583" s="2055" t="s">
        <v>461</v>
      </c>
    </row>
    <row r="584" spans="1:64" s="9" customFormat="1">
      <c r="A584" s="2008" t="s">
        <v>1560</v>
      </c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 s="2056">
        <v>1390</v>
      </c>
      <c r="AW584" s="2056">
        <v>1392</v>
      </c>
      <c r="AX584" s="2056">
        <v>1376</v>
      </c>
      <c r="AY584" s="2056">
        <v>1375</v>
      </c>
      <c r="AZ584" s="2056">
        <v>1388</v>
      </c>
      <c r="BA584" s="2056">
        <v>1404</v>
      </c>
      <c r="BB584" s="2056">
        <v>1424</v>
      </c>
      <c r="BC584" s="2056">
        <v>1441</v>
      </c>
      <c r="BD584" s="2056">
        <v>1452</v>
      </c>
      <c r="BE584" s="2056">
        <v>1460</v>
      </c>
      <c r="BF584" s="2056">
        <v>1476</v>
      </c>
      <c r="BG584" s="2056">
        <v>1477</v>
      </c>
      <c r="BH584" s="2056">
        <v>1494</v>
      </c>
      <c r="BI584" s="2056">
        <v>1514</v>
      </c>
      <c r="BJ584" s="2056">
        <v>1534</v>
      </c>
      <c r="BK584" s="2056">
        <v>1534</v>
      </c>
      <c r="BL584" s="2056">
        <v>1548</v>
      </c>
    </row>
    <row r="585" spans="1:64" s="9" customFormat="1">
      <c r="A585" s="2008" t="s">
        <v>1561</v>
      </c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 s="2057">
        <v>-0.35699999999999998</v>
      </c>
      <c r="AW585" s="2057">
        <v>-0.29799999999999999</v>
      </c>
      <c r="AX585" s="2057">
        <v>-0.34599999999999997</v>
      </c>
      <c r="AY585" s="2057">
        <v>-0.29199999999999998</v>
      </c>
      <c r="AZ585" s="2057">
        <v>0.24399999999999999</v>
      </c>
      <c r="BA585" s="2057">
        <v>0.21099999999999999</v>
      </c>
      <c r="BB585" s="2057">
        <v>0.38400000000000001</v>
      </c>
      <c r="BC585" s="2057">
        <v>0.41599999999999998</v>
      </c>
      <c r="BD585" s="2057">
        <v>0.31</v>
      </c>
      <c r="BE585" s="2057">
        <v>0.23599999999999999</v>
      </c>
      <c r="BF585" s="2057">
        <v>0.16200000000000001</v>
      </c>
      <c r="BG585" s="2057">
        <v>0.16200000000000001</v>
      </c>
      <c r="BH585" s="2057">
        <v>0.115</v>
      </c>
      <c r="BI585" s="2057">
        <v>8.3000000000000004E-2</v>
      </c>
      <c r="BJ585" s="2057">
        <v>3.7999999999999999E-2</v>
      </c>
      <c r="BK585" s="2057">
        <v>1.6E-2</v>
      </c>
      <c r="BL585" s="2057">
        <v>-2.5999999999999999E-2</v>
      </c>
    </row>
    <row r="586" spans="1:64" s="9" customFormat="1">
      <c r="A586" s="2008" t="s">
        <v>1562</v>
      </c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 s="2056">
        <v>1648</v>
      </c>
      <c r="AW586" s="2056">
        <v>4060</v>
      </c>
      <c r="AX586" s="2056">
        <v>4002</v>
      </c>
      <c r="AY586" s="2056">
        <v>3492</v>
      </c>
      <c r="AZ586" s="2056">
        <v>4280</v>
      </c>
      <c r="BA586" s="2056">
        <v>4830</v>
      </c>
      <c r="BB586" s="2056">
        <v>5812</v>
      </c>
      <c r="BC586" s="2056">
        <v>5185</v>
      </c>
      <c r="BD586" s="2056">
        <v>5421</v>
      </c>
      <c r="BE586" s="2056">
        <v>5435</v>
      </c>
      <c r="BF586" s="2056">
        <v>5935</v>
      </c>
      <c r="BG586" s="2056">
        <v>5577</v>
      </c>
      <c r="BH586" s="2056">
        <v>5658</v>
      </c>
      <c r="BI586" s="2056">
        <v>5637</v>
      </c>
      <c r="BJ586" s="2056">
        <v>6094</v>
      </c>
      <c r="BK586" s="2056">
        <v>5441</v>
      </c>
      <c r="BL586" s="2056">
        <v>5503</v>
      </c>
    </row>
    <row r="587" spans="1:64" s="9" customFormat="1">
      <c r="A587" s="2008" t="s">
        <v>1563</v>
      </c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 s="2058">
        <v>463</v>
      </c>
      <c r="AW587" s="2058">
        <v>940</v>
      </c>
      <c r="AX587" s="2056">
        <v>1004</v>
      </c>
      <c r="AY587" s="2058">
        <v>935</v>
      </c>
      <c r="AZ587" s="2056">
        <v>1075</v>
      </c>
      <c r="BA587" s="2056">
        <v>1156</v>
      </c>
      <c r="BB587" s="2056">
        <v>1393</v>
      </c>
      <c r="BC587" s="2056">
        <v>1335</v>
      </c>
      <c r="BD587" s="2056">
        <v>1461</v>
      </c>
      <c r="BE587" s="2056">
        <v>1532</v>
      </c>
      <c r="BF587" s="2056">
        <v>1664</v>
      </c>
      <c r="BG587" s="2056">
        <v>1630</v>
      </c>
      <c r="BH587" s="2056">
        <v>1664</v>
      </c>
      <c r="BI587" s="2056">
        <v>1592</v>
      </c>
      <c r="BJ587" s="2056">
        <v>1729</v>
      </c>
      <c r="BK587" s="2056">
        <v>1558</v>
      </c>
      <c r="BL587" s="2056">
        <v>1554</v>
      </c>
    </row>
    <row r="588" spans="1:64" s="9" customFormat="1">
      <c r="A588" s="2008" t="s">
        <v>1564</v>
      </c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 s="2056">
        <v>1376</v>
      </c>
      <c r="AW588" s="2056">
        <v>1876</v>
      </c>
      <c r="AX588" s="2056">
        <v>1491</v>
      </c>
      <c r="AY588" s="2056">
        <v>1542</v>
      </c>
      <c r="AZ588" s="2056">
        <v>1886</v>
      </c>
      <c r="BA588" s="2056">
        <v>2157</v>
      </c>
      <c r="BB588" s="2056">
        <v>2381</v>
      </c>
      <c r="BC588" s="2056">
        <v>2472</v>
      </c>
      <c r="BD588" s="2056">
        <v>2508</v>
      </c>
      <c r="BE588" s="2056">
        <v>2772</v>
      </c>
      <c r="BF588" s="2056">
        <v>2829</v>
      </c>
      <c r="BG588" s="2056">
        <v>2701</v>
      </c>
      <c r="BH588" s="2056">
        <v>2626</v>
      </c>
      <c r="BI588" s="2056">
        <v>2678</v>
      </c>
      <c r="BJ588" s="2056">
        <v>2840</v>
      </c>
      <c r="BK588" s="2056">
        <v>2697</v>
      </c>
      <c r="BL588" s="2056">
        <v>2752</v>
      </c>
    </row>
    <row r="589" spans="1:64" s="9" customFormat="1">
      <c r="A589" s="2008" t="s">
        <v>1565</v>
      </c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 s="2058">
        <v>-191</v>
      </c>
      <c r="AW589" s="2056">
        <v>1244</v>
      </c>
      <c r="AX589" s="2056">
        <v>1507</v>
      </c>
      <c r="AY589" s="2056">
        <v>1014</v>
      </c>
      <c r="AZ589" s="2056">
        <v>1320</v>
      </c>
      <c r="BA589" s="2056">
        <v>1517</v>
      </c>
      <c r="BB589" s="2056">
        <v>2038</v>
      </c>
      <c r="BC589" s="2056">
        <v>1378</v>
      </c>
      <c r="BD589" s="2056">
        <v>1451</v>
      </c>
      <c r="BE589" s="2056">
        <v>1131</v>
      </c>
      <c r="BF589" s="2056">
        <v>1442</v>
      </c>
      <c r="BG589" s="2056">
        <v>1246</v>
      </c>
      <c r="BH589" s="2056">
        <v>1368</v>
      </c>
      <c r="BI589" s="2056">
        <v>1367</v>
      </c>
      <c r="BJ589" s="2056">
        <v>1525</v>
      </c>
      <c r="BK589" s="2056">
        <v>1186</v>
      </c>
      <c r="BL589" s="2056">
        <v>1198</v>
      </c>
    </row>
    <row r="590" spans="1:64" s="9" customFormat="1">
      <c r="A590" s="2008" t="s">
        <v>1566</v>
      </c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 s="2057">
        <v>-0.11600000000000001</v>
      </c>
      <c r="AW590" s="2057">
        <v>0.30599999999999999</v>
      </c>
      <c r="AX590" s="2057">
        <v>0.376</v>
      </c>
      <c r="AY590" s="2057">
        <v>0.28999999999999998</v>
      </c>
      <c r="AZ590" s="2057">
        <v>0.308</v>
      </c>
      <c r="BA590" s="2057">
        <v>0.314</v>
      </c>
      <c r="BB590" s="2057">
        <v>0.35099999999999998</v>
      </c>
      <c r="BC590" s="2057">
        <v>0.26600000000000001</v>
      </c>
      <c r="BD590" s="2057">
        <v>0.26800000000000002</v>
      </c>
      <c r="BE590" s="2057">
        <v>0.20799999999999999</v>
      </c>
      <c r="BF590" s="2057">
        <v>0.24299999999999999</v>
      </c>
      <c r="BG590" s="2057">
        <v>0.223</v>
      </c>
      <c r="BH590" s="2057">
        <v>0.24199999999999999</v>
      </c>
      <c r="BI590" s="2057">
        <v>0.24199999999999999</v>
      </c>
      <c r="BJ590" s="2057">
        <v>0.25</v>
      </c>
      <c r="BK590" s="2057">
        <v>0.218</v>
      </c>
      <c r="BL590" s="2057">
        <v>0.218</v>
      </c>
    </row>
    <row r="591" spans="1:64" s="9" customFormat="1">
      <c r="A591" s="2008" t="s">
        <v>1567</v>
      </c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 s="2058">
        <v>784</v>
      </c>
      <c r="AW591" s="2058">
        <v>884</v>
      </c>
      <c r="AX591" s="2056">
        <v>1283</v>
      </c>
      <c r="AY591" s="2058">
        <v>925</v>
      </c>
      <c r="AZ591" s="2058">
        <v>942</v>
      </c>
      <c r="BA591" s="2058">
        <v>869</v>
      </c>
      <c r="BB591" s="2058">
        <v>891</v>
      </c>
      <c r="BC591" s="2058">
        <v>827</v>
      </c>
      <c r="BD591" s="2058">
        <v>794</v>
      </c>
      <c r="BE591" s="2058">
        <v>761</v>
      </c>
      <c r="BF591" s="2058">
        <v>755</v>
      </c>
      <c r="BG591" s="2058">
        <v>753</v>
      </c>
      <c r="BH591" s="2058">
        <v>738</v>
      </c>
      <c r="BI591" s="2058">
        <v>709</v>
      </c>
      <c r="BJ591" s="2058">
        <v>701</v>
      </c>
      <c r="BK591" s="2058">
        <v>683</v>
      </c>
      <c r="BL591" s="2058">
        <v>700</v>
      </c>
    </row>
    <row r="592" spans="1:64" s="9" customFormat="1">
      <c r="A592" s="2008" t="s">
        <v>1568</v>
      </c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 s="2058">
        <v>264</v>
      </c>
      <c r="AW592" s="2058">
        <v>314</v>
      </c>
      <c r="AX592" s="2058">
        <v>283</v>
      </c>
      <c r="AY592" s="2058">
        <v>405</v>
      </c>
      <c r="AZ592" s="2058">
        <v>445</v>
      </c>
      <c r="BA592" s="2058">
        <v>319</v>
      </c>
      <c r="BB592" s="2058">
        <v>373</v>
      </c>
      <c r="BC592" s="2058">
        <v>340</v>
      </c>
      <c r="BD592" s="2058">
        <v>330</v>
      </c>
      <c r="BE592" s="2058">
        <v>305</v>
      </c>
      <c r="BF592" s="2058">
        <v>377</v>
      </c>
      <c r="BG592" s="2058">
        <v>319</v>
      </c>
      <c r="BH592" s="2058">
        <v>340</v>
      </c>
      <c r="BI592" s="2058">
        <v>318</v>
      </c>
      <c r="BJ592" s="2058"/>
      <c r="BK592" s="2058"/>
    </row>
    <row r="593" spans="1:64" s="9" customFormat="1">
      <c r="A593" s="2008" t="s">
        <v>1569</v>
      </c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 s="2056">
        <v>-1239</v>
      </c>
      <c r="AW593" s="2058">
        <v>46</v>
      </c>
      <c r="AX593" s="2058">
        <v>-60</v>
      </c>
      <c r="AY593" s="2058">
        <v>-316</v>
      </c>
      <c r="AZ593" s="2058">
        <v>-67</v>
      </c>
      <c r="BA593" s="2058">
        <v>328</v>
      </c>
      <c r="BB593" s="2058">
        <v>774</v>
      </c>
      <c r="BC593" s="2058">
        <v>210</v>
      </c>
      <c r="BD593" s="2058">
        <v>327</v>
      </c>
      <c r="BE593" s="2058">
        <v>65</v>
      </c>
      <c r="BF593" s="2058">
        <v>310</v>
      </c>
      <c r="BG593" s="2058">
        <v>174</v>
      </c>
      <c r="BH593" s="2058">
        <v>289</v>
      </c>
      <c r="BI593" s="2058">
        <v>340</v>
      </c>
      <c r="BJ593" s="2058">
        <v>494</v>
      </c>
      <c r="BK593" s="2058">
        <v>164</v>
      </c>
      <c r="BL593" s="2058">
        <v>153</v>
      </c>
    </row>
    <row r="594" spans="1:64" s="9" customForma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</row>
    <row r="595" spans="1:64" s="9" customForma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</row>
    <row r="596" spans="1:64" s="9" customFormat="1">
      <c r="A596" s="2054" t="s">
        <v>1589</v>
      </c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 s="2055" t="s">
        <v>1571</v>
      </c>
      <c r="AW596" s="2055" t="s">
        <v>1572</v>
      </c>
      <c r="AX596" s="2055" t="s">
        <v>1573</v>
      </c>
      <c r="AY596" s="2055" t="s">
        <v>1574</v>
      </c>
      <c r="AZ596" s="2055" t="s">
        <v>1575</v>
      </c>
      <c r="BA596" s="2055" t="s">
        <v>1576</v>
      </c>
      <c r="BB596" s="2055" t="s">
        <v>1577</v>
      </c>
      <c r="BC596" s="2055" t="s">
        <v>1578</v>
      </c>
      <c r="BD596" s="2055" t="s">
        <v>1579</v>
      </c>
      <c r="BE596" s="2055" t="s">
        <v>1580</v>
      </c>
      <c r="BF596" s="2055" t="s">
        <v>1581</v>
      </c>
      <c r="BG596" s="2055" t="s">
        <v>1582</v>
      </c>
      <c r="BH596" s="2055" t="s">
        <v>1583</v>
      </c>
      <c r="BI596" s="2055" t="s">
        <v>1584</v>
      </c>
      <c r="BJ596" s="2055" t="s">
        <v>1585</v>
      </c>
      <c r="BK596" s="2055" t="s">
        <v>1586</v>
      </c>
      <c r="BL596" s="2055" t="s">
        <v>461</v>
      </c>
    </row>
    <row r="597" spans="1:64" s="9" customFormat="1">
      <c r="A597" s="2008" t="s">
        <v>1560</v>
      </c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 s="2058">
        <v>630</v>
      </c>
      <c r="AW597" s="2058">
        <v>625</v>
      </c>
      <c r="AX597" s="2058">
        <v>633</v>
      </c>
      <c r="AY597" s="2058">
        <v>639</v>
      </c>
      <c r="AZ597" s="2058">
        <v>647</v>
      </c>
      <c r="BA597" s="2058">
        <v>656</v>
      </c>
      <c r="BB597" s="2058">
        <v>664</v>
      </c>
      <c r="BC597" s="2058">
        <v>677</v>
      </c>
      <c r="BD597" s="2058">
        <v>692</v>
      </c>
      <c r="BE597" s="2058">
        <v>697</v>
      </c>
      <c r="BF597" s="2058">
        <v>722</v>
      </c>
      <c r="BG597" s="2058">
        <v>728</v>
      </c>
      <c r="BH597" s="2058">
        <v>745</v>
      </c>
      <c r="BI597" s="2058">
        <v>754</v>
      </c>
      <c r="BJ597" s="2058">
        <v>775</v>
      </c>
      <c r="BK597" s="2058">
        <v>776</v>
      </c>
      <c r="BL597" s="2058">
        <v>780</v>
      </c>
    </row>
    <row r="598" spans="1:64" s="9" customFormat="1">
      <c r="A598" s="2008" t="s">
        <v>1561</v>
      </c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 s="2057">
        <v>-0.442</v>
      </c>
      <c r="AW598" s="2057">
        <v>-0.36499999999999999</v>
      </c>
      <c r="AX598" s="2057">
        <v>-0.14199999999999999</v>
      </c>
      <c r="AY598" s="2057">
        <v>4.9000000000000002E-2</v>
      </c>
      <c r="AZ598" s="2057">
        <v>0.98299999999999998</v>
      </c>
      <c r="BA598" s="2057">
        <v>1.01</v>
      </c>
      <c r="BB598" s="2057">
        <v>0.78400000000000003</v>
      </c>
      <c r="BC598" s="2057">
        <v>0.66400000000000003</v>
      </c>
      <c r="BD598" s="2057">
        <v>1.002</v>
      </c>
      <c r="BE598" s="2057">
        <v>0.68200000000000005</v>
      </c>
      <c r="BF598" s="2057">
        <v>0.53500000000000003</v>
      </c>
      <c r="BG598" s="2057">
        <v>0.58299999999999996</v>
      </c>
      <c r="BH598" s="2057">
        <v>0.49</v>
      </c>
      <c r="BI598" s="2057">
        <v>0.41399999999999998</v>
      </c>
      <c r="BJ598" s="2057">
        <v>0.28100000000000003</v>
      </c>
      <c r="BK598" s="2057">
        <v>0.33400000000000002</v>
      </c>
      <c r="BL598" s="2057">
        <v>0.48099999999999998</v>
      </c>
    </row>
    <row r="599" spans="1:64" s="9" customFormat="1">
      <c r="A599" s="2008" t="s">
        <v>1562</v>
      </c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 s="2058">
        <v>735</v>
      </c>
      <c r="AW599" s="2056">
        <v>1203</v>
      </c>
      <c r="AX599" s="2056">
        <v>1638</v>
      </c>
      <c r="AY599" s="2056">
        <v>1733</v>
      </c>
      <c r="AZ599" s="2056">
        <v>1653</v>
      </c>
      <c r="BA599" s="2056">
        <v>2305</v>
      </c>
      <c r="BB599" s="2056">
        <v>2745</v>
      </c>
      <c r="BC599" s="2056">
        <v>2645</v>
      </c>
      <c r="BD599" s="2056">
        <v>3016</v>
      </c>
      <c r="BE599" s="2056">
        <v>3236</v>
      </c>
      <c r="BF599" s="2056">
        <v>3130</v>
      </c>
      <c r="BG599" s="2056">
        <v>3054</v>
      </c>
      <c r="BH599" s="2056">
        <v>3136</v>
      </c>
      <c r="BI599" s="2056">
        <v>3038</v>
      </c>
      <c r="BJ599" s="2056">
        <v>3113</v>
      </c>
      <c r="BK599" s="2056">
        <v>2493</v>
      </c>
      <c r="BL599" s="2056">
        <v>2854</v>
      </c>
    </row>
    <row r="600" spans="1:64" s="9" customFormat="1">
      <c r="A600" s="2008" t="s">
        <v>1563</v>
      </c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 s="2058">
        <v>307</v>
      </c>
      <c r="AW600" s="2058">
        <v>425</v>
      </c>
      <c r="AX600" s="2058">
        <v>551</v>
      </c>
      <c r="AY600" s="2058">
        <v>581</v>
      </c>
      <c r="AZ600" s="2058">
        <v>572</v>
      </c>
      <c r="BA600" s="2058">
        <v>756</v>
      </c>
      <c r="BB600" s="2058">
        <v>945</v>
      </c>
      <c r="BC600" s="2058">
        <v>898</v>
      </c>
      <c r="BD600" s="2056">
        <v>1010</v>
      </c>
      <c r="BE600" s="2056">
        <v>1072</v>
      </c>
      <c r="BF600" s="2056">
        <v>1079</v>
      </c>
      <c r="BG600" s="2056">
        <v>1008</v>
      </c>
      <c r="BH600" s="2056">
        <v>1059</v>
      </c>
      <c r="BI600" s="2058">
        <v>981</v>
      </c>
      <c r="BJ600" s="2058">
        <v>997</v>
      </c>
      <c r="BK600" s="2058">
        <v>804</v>
      </c>
      <c r="BL600" s="2058">
        <v>977</v>
      </c>
    </row>
    <row r="601" spans="1:64" s="9" customFormat="1">
      <c r="A601" s="2008" t="s">
        <v>1564</v>
      </c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 s="2058">
        <v>566</v>
      </c>
      <c r="AW601" s="2058">
        <v>669</v>
      </c>
      <c r="AX601" s="2058">
        <v>845</v>
      </c>
      <c r="AY601" s="2058">
        <v>942</v>
      </c>
      <c r="AZ601" s="2058">
        <v>892</v>
      </c>
      <c r="BA601" s="2056">
        <v>1156</v>
      </c>
      <c r="BB601" s="2056">
        <v>1333</v>
      </c>
      <c r="BC601" s="2056">
        <v>1375</v>
      </c>
      <c r="BD601" s="2056">
        <v>1550</v>
      </c>
      <c r="BE601" s="2056">
        <v>1554</v>
      </c>
      <c r="BF601" s="2056">
        <v>1522</v>
      </c>
      <c r="BG601" s="2056">
        <v>1542</v>
      </c>
      <c r="BH601" s="2056">
        <v>1551</v>
      </c>
      <c r="BI601" s="2056">
        <v>1444</v>
      </c>
      <c r="BJ601" s="2056">
        <v>1549</v>
      </c>
      <c r="BK601" s="2056">
        <v>1276</v>
      </c>
      <c r="BL601" s="2056">
        <v>1463</v>
      </c>
    </row>
    <row r="602" spans="1:64" s="9" customFormat="1">
      <c r="A602" s="2008" t="s">
        <v>1565</v>
      </c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 s="2058">
        <v>-138</v>
      </c>
      <c r="AW602" s="2058">
        <v>109</v>
      </c>
      <c r="AX602" s="2058">
        <v>242</v>
      </c>
      <c r="AY602" s="2058">
        <v>209</v>
      </c>
      <c r="AZ602" s="2058">
        <v>189</v>
      </c>
      <c r="BA602" s="2058">
        <v>393</v>
      </c>
      <c r="BB602" s="2058">
        <v>467</v>
      </c>
      <c r="BC602" s="2058">
        <v>372</v>
      </c>
      <c r="BD602" s="2058">
        <v>457</v>
      </c>
      <c r="BE602" s="2058">
        <v>610</v>
      </c>
      <c r="BF602" s="2058">
        <v>529</v>
      </c>
      <c r="BG602" s="2058">
        <v>504</v>
      </c>
      <c r="BH602" s="2058">
        <v>526</v>
      </c>
      <c r="BI602" s="2058">
        <v>613</v>
      </c>
      <c r="BJ602" s="2058">
        <v>568</v>
      </c>
      <c r="BK602" s="2058">
        <v>413</v>
      </c>
      <c r="BL602" s="2058">
        <v>414</v>
      </c>
    </row>
    <row r="603" spans="1:64" s="9" customFormat="1">
      <c r="A603" s="2008" t="s">
        <v>1566</v>
      </c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 s="2057">
        <v>-0.187</v>
      </c>
      <c r="AW603" s="2057">
        <v>9.0999999999999998E-2</v>
      </c>
      <c r="AX603" s="2057">
        <v>0.14799999999999999</v>
      </c>
      <c r="AY603" s="2057">
        <v>0.121</v>
      </c>
      <c r="AZ603" s="2057">
        <v>0.114</v>
      </c>
      <c r="BA603" s="2057">
        <v>0.17</v>
      </c>
      <c r="BB603" s="2057">
        <v>0.17</v>
      </c>
      <c r="BC603" s="2057">
        <v>0.14099999999999999</v>
      </c>
      <c r="BD603" s="2057">
        <v>0.151</v>
      </c>
      <c r="BE603" s="2057">
        <v>0.189</v>
      </c>
      <c r="BF603" s="2057">
        <v>0.16900000000000001</v>
      </c>
      <c r="BG603" s="2057">
        <v>0.16500000000000001</v>
      </c>
      <c r="BH603" s="2057">
        <v>0.16800000000000001</v>
      </c>
      <c r="BI603" s="2057">
        <v>0.20200000000000001</v>
      </c>
      <c r="BJ603" s="2057">
        <v>0.182</v>
      </c>
      <c r="BK603" s="2057">
        <v>0.16600000000000001</v>
      </c>
      <c r="BL603" s="2057">
        <v>0.14499999999999999</v>
      </c>
    </row>
    <row r="604" spans="1:64" s="9" customFormat="1">
      <c r="A604" s="2008" t="s">
        <v>1567</v>
      </c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 s="2058">
        <v>159</v>
      </c>
      <c r="AW604" s="2058">
        <v>64</v>
      </c>
      <c r="AX604" s="2058">
        <v>90</v>
      </c>
      <c r="AY604" s="2058">
        <v>78</v>
      </c>
      <c r="AZ604" s="2058">
        <v>76</v>
      </c>
      <c r="BA604" s="2058">
        <v>75</v>
      </c>
      <c r="BB604" s="2058">
        <v>87</v>
      </c>
      <c r="BC604" s="2058">
        <v>70</v>
      </c>
      <c r="BD604" s="2058">
        <v>67</v>
      </c>
      <c r="BE604" s="2058">
        <v>68</v>
      </c>
      <c r="BF604" s="2058">
        <v>63</v>
      </c>
      <c r="BG604" s="2058">
        <v>76</v>
      </c>
      <c r="BH604" s="2058">
        <v>89</v>
      </c>
      <c r="BI604" s="2058">
        <v>104</v>
      </c>
      <c r="BJ604" s="2058">
        <v>138</v>
      </c>
      <c r="BK604" s="2058">
        <v>105</v>
      </c>
      <c r="BL604" s="2058">
        <v>103</v>
      </c>
    </row>
    <row r="605" spans="1:64" s="9" customFormat="1">
      <c r="A605" s="2008" t="s">
        <v>1568</v>
      </c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 s="2058">
        <v>124</v>
      </c>
      <c r="AW605" s="2058">
        <v>118</v>
      </c>
      <c r="AX605" s="2058">
        <v>108</v>
      </c>
      <c r="AY605" s="2058">
        <v>101</v>
      </c>
      <c r="AZ605" s="2058">
        <v>119</v>
      </c>
      <c r="BA605" s="2058">
        <v>138</v>
      </c>
      <c r="BB605" s="2058">
        <v>210</v>
      </c>
      <c r="BC605" s="2058">
        <v>148</v>
      </c>
      <c r="BD605" s="2058">
        <v>167</v>
      </c>
      <c r="BE605" s="2058">
        <v>185</v>
      </c>
      <c r="BF605" s="2058">
        <v>180</v>
      </c>
      <c r="BG605" s="2058">
        <v>189</v>
      </c>
      <c r="BH605" s="2058">
        <v>192</v>
      </c>
      <c r="BI605" s="2058">
        <v>314</v>
      </c>
      <c r="BJ605" s="2058"/>
      <c r="BK605" s="2058"/>
    </row>
    <row r="606" spans="1:64" s="9" customFormat="1">
      <c r="A606" s="2008" t="s">
        <v>1569</v>
      </c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 s="2058">
        <v>-422</v>
      </c>
      <c r="AW606" s="2058">
        <v>-74</v>
      </c>
      <c r="AX606" s="2058">
        <v>43</v>
      </c>
      <c r="AY606" s="2058">
        <v>30</v>
      </c>
      <c r="AZ606" s="2058">
        <v>-6</v>
      </c>
      <c r="BA606" s="2058">
        <v>180</v>
      </c>
      <c r="BB606" s="2058">
        <v>170</v>
      </c>
      <c r="BC606" s="2058">
        <v>154</v>
      </c>
      <c r="BD606" s="2058">
        <v>223</v>
      </c>
      <c r="BE606" s="2058">
        <v>357</v>
      </c>
      <c r="BF606" s="2058">
        <v>286</v>
      </c>
      <c r="BG606" s="2058">
        <v>239</v>
      </c>
      <c r="BH606" s="2058">
        <v>245</v>
      </c>
      <c r="BI606" s="2058">
        <v>196</v>
      </c>
      <c r="BJ606" s="2058">
        <v>122</v>
      </c>
      <c r="BK606" s="2058">
        <v>120</v>
      </c>
      <c r="BL606" s="2058">
        <v>121</v>
      </c>
    </row>
    <row r="607" spans="1:64" s="9" customFormat="1">
      <c r="A607" s="2008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 s="2008"/>
      <c r="AW607" s="2008"/>
      <c r="AX607" s="2008"/>
      <c r="AY607" s="2008"/>
      <c r="AZ607" s="2008"/>
      <c r="BA607" s="2008"/>
      <c r="BB607" s="2008"/>
      <c r="BC607" s="2008"/>
      <c r="BD607" s="2008"/>
      <c r="BE607" s="2008"/>
      <c r="BF607" s="2008"/>
      <c r="BG607" s="2008"/>
      <c r="BH607" s="2008"/>
      <c r="BI607" s="2008"/>
      <c r="BJ607" s="2008"/>
      <c r="BK607" s="2008"/>
      <c r="BL607" s="2008"/>
    </row>
    <row r="608" spans="1:64" s="9" customFormat="1">
      <c r="A608" s="20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 s="2008"/>
      <c r="AW608" s="2008"/>
      <c r="AX608" s="2008"/>
      <c r="AY608" s="2008"/>
      <c r="AZ608" s="2008"/>
      <c r="BA608" s="2008"/>
      <c r="BB608" s="2008"/>
      <c r="BC608" s="2008"/>
      <c r="BD608" s="2008"/>
      <c r="BE608" s="2008"/>
      <c r="BF608" s="2008"/>
      <c r="BG608" s="2008"/>
      <c r="BH608" s="2008"/>
      <c r="BI608" s="2008"/>
      <c r="BJ608" s="2008"/>
      <c r="BK608" s="2008"/>
      <c r="BL608" s="2008"/>
    </row>
    <row r="609" spans="1:64" s="9" customFormat="1">
      <c r="A609" s="2008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 s="2008"/>
      <c r="AW609" s="2008"/>
      <c r="AX609" s="2008"/>
      <c r="AY609" s="2008"/>
      <c r="AZ609" s="2008"/>
      <c r="BA609" s="2008"/>
      <c r="BB609" s="2008"/>
      <c r="BC609" s="2008"/>
      <c r="BD609" s="2008"/>
      <c r="BE609" s="2008"/>
      <c r="BF609" s="2008"/>
      <c r="BG609" s="2008"/>
      <c r="BH609" s="2008"/>
      <c r="BI609" s="2008"/>
      <c r="BJ609" s="2008"/>
      <c r="BK609" s="2008"/>
      <c r="BL609" s="2008"/>
    </row>
    <row r="610" spans="1:64" s="9" customFormat="1" ht="18.75">
      <c r="A610" s="2060" t="s">
        <v>1590</v>
      </c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 s="2055" t="s">
        <v>1571</v>
      </c>
      <c r="AW610" s="2055" t="s">
        <v>1572</v>
      </c>
      <c r="AX610" s="2055" t="s">
        <v>1573</v>
      </c>
      <c r="AY610" s="2055" t="s">
        <v>1574</v>
      </c>
      <c r="AZ610" s="2055" t="s">
        <v>1575</v>
      </c>
      <c r="BA610" s="2055" t="s">
        <v>1576</v>
      </c>
      <c r="BB610" s="2055" t="s">
        <v>1577</v>
      </c>
      <c r="BC610" s="2055" t="s">
        <v>1578</v>
      </c>
      <c r="BD610" s="2055" t="s">
        <v>1579</v>
      </c>
      <c r="BE610" s="2055" t="s">
        <v>1580</v>
      </c>
      <c r="BF610" s="2055" t="s">
        <v>1581</v>
      </c>
      <c r="BG610" s="2055" t="s">
        <v>1582</v>
      </c>
      <c r="BH610" s="2055" t="s">
        <v>1583</v>
      </c>
      <c r="BI610" s="2055" t="s">
        <v>1584</v>
      </c>
      <c r="BJ610" s="2055" t="s">
        <v>1585</v>
      </c>
      <c r="BK610" s="2055" t="s">
        <v>1586</v>
      </c>
      <c r="BL610" s="2055" t="s">
        <v>461</v>
      </c>
    </row>
    <row r="611" spans="1:64" s="9" customFormat="1">
      <c r="A611" s="2008" t="s">
        <v>1560</v>
      </c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 s="2058">
        <v>630</v>
      </c>
      <c r="AW611" s="2058">
        <v>625</v>
      </c>
      <c r="AX611" s="2058">
        <v>633</v>
      </c>
      <c r="AY611" s="2058">
        <v>639</v>
      </c>
      <c r="AZ611" s="2058">
        <v>647</v>
      </c>
      <c r="BA611" s="2058">
        <v>656</v>
      </c>
      <c r="BB611" s="2058">
        <v>664</v>
      </c>
      <c r="BC611" s="2058">
        <v>677</v>
      </c>
      <c r="BD611" s="2058">
        <v>692</v>
      </c>
      <c r="BE611" s="2058">
        <v>697</v>
      </c>
      <c r="BF611" s="2058">
        <v>722</v>
      </c>
      <c r="BG611" s="2058">
        <v>728</v>
      </c>
      <c r="BH611" s="2058">
        <v>745</v>
      </c>
      <c r="BI611" s="2058">
        <v>754</v>
      </c>
      <c r="BJ611" s="2058">
        <v>775</v>
      </c>
      <c r="BK611" s="2058">
        <v>776</v>
      </c>
      <c r="BL611" s="2058">
        <v>780</v>
      </c>
    </row>
    <row r="612" spans="1:64" s="9" customFormat="1">
      <c r="A612" s="2008" t="s">
        <v>1562</v>
      </c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 s="2058">
        <v>782</v>
      </c>
      <c r="AW612" s="2056">
        <v>1266</v>
      </c>
      <c r="AX612" s="2056">
        <v>1775</v>
      </c>
      <c r="AY612" s="2056">
        <v>1745</v>
      </c>
      <c r="AZ612" s="2056">
        <v>1732</v>
      </c>
      <c r="BA612" s="2056">
        <v>2423</v>
      </c>
      <c r="BB612" s="2056">
        <v>3051</v>
      </c>
      <c r="BC612" s="2056">
        <v>2708</v>
      </c>
      <c r="BD612" s="2056">
        <v>3162</v>
      </c>
      <c r="BE612" s="2056">
        <v>3680</v>
      </c>
      <c r="BF612" s="2056">
        <v>3838</v>
      </c>
      <c r="BG612" s="2056">
        <v>3135</v>
      </c>
      <c r="BH612" s="2056">
        <v>3460</v>
      </c>
      <c r="BI612" s="2056">
        <v>3932</v>
      </c>
      <c r="BJ612" s="2056">
        <v>3378</v>
      </c>
      <c r="BK612" s="2056">
        <v>2639</v>
      </c>
      <c r="BL612" s="2056">
        <v>3057</v>
      </c>
    </row>
    <row r="613" spans="1:64" s="9" customFormat="1">
      <c r="A613" s="2008" t="s">
        <v>1563</v>
      </c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 s="2058">
        <v>324</v>
      </c>
      <c r="AW613" s="2058">
        <v>452</v>
      </c>
      <c r="AX613" s="2058">
        <v>605</v>
      </c>
      <c r="AY613" s="2058">
        <v>586</v>
      </c>
      <c r="AZ613" s="2058">
        <v>599</v>
      </c>
      <c r="BA613" s="2058">
        <v>797</v>
      </c>
      <c r="BB613" s="2056">
        <v>1051</v>
      </c>
      <c r="BC613" s="2058">
        <v>918</v>
      </c>
      <c r="BD613" s="2056">
        <v>1058</v>
      </c>
      <c r="BE613" s="2056">
        <v>1217</v>
      </c>
      <c r="BF613" s="2056">
        <v>1309</v>
      </c>
      <c r="BG613" s="2056">
        <v>1035</v>
      </c>
      <c r="BH613" s="2056">
        <v>1163</v>
      </c>
      <c r="BI613" s="2056">
        <v>1266</v>
      </c>
      <c r="BJ613" s="2056">
        <v>1076</v>
      </c>
      <c r="BK613" s="2058">
        <v>847</v>
      </c>
      <c r="BL613" s="2056">
        <v>1040</v>
      </c>
    </row>
    <row r="614" spans="1:64" s="9" customFormat="1">
      <c r="A614" s="2008" t="s">
        <v>1564</v>
      </c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 s="2058">
        <v>548</v>
      </c>
      <c r="AW614" s="2058">
        <v>494</v>
      </c>
      <c r="AX614" s="2058">
        <v>748</v>
      </c>
      <c r="AY614" s="2058">
        <v>793</v>
      </c>
      <c r="AZ614" s="2058">
        <v>788</v>
      </c>
      <c r="BA614" s="2056">
        <v>1070</v>
      </c>
      <c r="BB614" s="2056">
        <v>1171</v>
      </c>
      <c r="BC614" s="2056">
        <v>1201</v>
      </c>
      <c r="BD614" s="2056">
        <v>1425</v>
      </c>
      <c r="BE614" s="2056">
        <v>1598</v>
      </c>
      <c r="BF614" s="2056">
        <v>1630</v>
      </c>
      <c r="BG614" s="2056">
        <v>1391</v>
      </c>
      <c r="BH614" s="2056">
        <v>1547</v>
      </c>
      <c r="BI614" s="2056">
        <v>1753</v>
      </c>
      <c r="BJ614" s="2056">
        <v>1715</v>
      </c>
      <c r="BK614" s="2056">
        <v>1225</v>
      </c>
      <c r="BL614" s="2056">
        <v>1040</v>
      </c>
    </row>
    <row r="615" spans="1:64" s="9" customFormat="1">
      <c r="A615" s="2008" t="s">
        <v>1565</v>
      </c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 s="2058">
        <v>-90</v>
      </c>
      <c r="AW615" s="2058">
        <v>320</v>
      </c>
      <c r="AX615" s="2058">
        <v>422</v>
      </c>
      <c r="AY615" s="2058">
        <v>366</v>
      </c>
      <c r="AZ615" s="2058">
        <v>344</v>
      </c>
      <c r="BA615" s="2058">
        <v>556</v>
      </c>
      <c r="BB615" s="2058">
        <v>829</v>
      </c>
      <c r="BC615" s="2058">
        <v>589</v>
      </c>
      <c r="BD615" s="2058">
        <v>679</v>
      </c>
      <c r="BE615" s="2058">
        <v>865</v>
      </c>
      <c r="BF615" s="2058">
        <v>899</v>
      </c>
      <c r="BG615" s="2058">
        <v>710</v>
      </c>
      <c r="BH615" s="2058">
        <v>750</v>
      </c>
      <c r="BI615" s="2058">
        <v>913</v>
      </c>
      <c r="BJ615" s="2058">
        <v>588</v>
      </c>
      <c r="BK615" s="2058">
        <v>566</v>
      </c>
      <c r="BL615" s="2056">
        <v>580</v>
      </c>
    </row>
    <row r="616" spans="1:64" s="9" customFormat="1">
      <c r="A616" s="2008" t="s">
        <v>1566</v>
      </c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 s="2057">
        <v>-0.115</v>
      </c>
      <c r="AW616" s="2057">
        <v>0.253</v>
      </c>
      <c r="AX616" s="2057">
        <v>0.23799999999999999</v>
      </c>
      <c r="AY616" s="2057">
        <v>0.21</v>
      </c>
      <c r="AZ616" s="2057">
        <v>0.19900000000000001</v>
      </c>
      <c r="BA616" s="2057">
        <v>0.22900000000000001</v>
      </c>
      <c r="BB616" s="2057">
        <v>0.27200000000000002</v>
      </c>
      <c r="BC616" s="2057">
        <v>0.217</v>
      </c>
      <c r="BD616" s="2057">
        <v>0.215</v>
      </c>
      <c r="BE616" s="2057">
        <v>0.23499999999999999</v>
      </c>
      <c r="BF616" s="2057">
        <v>0.23400000000000001</v>
      </c>
      <c r="BG616" s="2057">
        <v>0.22600000000000001</v>
      </c>
      <c r="BH616" s="2057">
        <v>0.217</v>
      </c>
      <c r="BI616" s="2057">
        <v>0.23200000000000001</v>
      </c>
      <c r="BJ616" s="2057">
        <v>0.17399999999999999</v>
      </c>
      <c r="BK616" s="2057">
        <v>0.215</v>
      </c>
      <c r="BL616" s="2057">
        <f>BL615/BL612</f>
        <v>0.18972849198560682</v>
      </c>
    </row>
    <row r="617" spans="1:64" s="9" customFormat="1">
      <c r="A617" s="2008" t="s">
        <v>1567</v>
      </c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 s="2058">
        <v>344</v>
      </c>
      <c r="AW617" s="2058">
        <v>234</v>
      </c>
      <c r="AX617" s="2058">
        <v>206</v>
      </c>
      <c r="AY617" s="2058">
        <v>215</v>
      </c>
      <c r="AZ617" s="2058">
        <v>215</v>
      </c>
      <c r="BA617" s="2058">
        <v>213</v>
      </c>
      <c r="BB617" s="2058">
        <v>514</v>
      </c>
      <c r="BC617" s="2058">
        <v>291</v>
      </c>
      <c r="BD617" s="2058">
        <v>269</v>
      </c>
      <c r="BE617" s="2058">
        <v>256</v>
      </c>
      <c r="BF617" s="2058">
        <v>177</v>
      </c>
      <c r="BG617" s="2058">
        <v>258</v>
      </c>
      <c r="BH617" s="2058">
        <v>257</v>
      </c>
      <c r="BI617" s="2058">
        <v>261</v>
      </c>
      <c r="BJ617" s="2058">
        <v>155</v>
      </c>
      <c r="BK617" s="2058">
        <v>263</v>
      </c>
      <c r="BL617" s="2057">
        <v>0.19</v>
      </c>
    </row>
    <row r="618" spans="1:64" s="9" customFormat="1">
      <c r="A618" s="2008" t="s">
        <v>1568</v>
      </c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 s="2058">
        <v>124</v>
      </c>
      <c r="AW618" s="2058">
        <v>125</v>
      </c>
      <c r="AX618" s="2058">
        <v>-178</v>
      </c>
      <c r="AY618" s="2058">
        <v>101</v>
      </c>
      <c r="AZ618" s="2058">
        <v>118</v>
      </c>
      <c r="BA618" s="2058">
        <v>149</v>
      </c>
      <c r="BB618" s="2058">
        <v>-17</v>
      </c>
      <c r="BC618" s="2058">
        <v>131</v>
      </c>
      <c r="BD618" s="2058">
        <v>173</v>
      </c>
      <c r="BE618" s="2058">
        <v>205</v>
      </c>
      <c r="BF618" s="2058">
        <v>533</v>
      </c>
      <c r="BG618" s="2058">
        <v>193</v>
      </c>
      <c r="BH618" s="2058">
        <v>207</v>
      </c>
      <c r="BI618" s="2058">
        <v>358</v>
      </c>
      <c r="BJ618" s="2058"/>
      <c r="BK618" s="2058"/>
      <c r="BL618" s="2058">
        <v>269</v>
      </c>
    </row>
    <row r="619" spans="1:64" s="9" customFormat="1">
      <c r="A619" s="2008" t="s">
        <v>1569</v>
      </c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 s="2058">
        <v>-559</v>
      </c>
      <c r="AW619" s="2058">
        <v>-38</v>
      </c>
      <c r="AX619" s="2058">
        <v>294</v>
      </c>
      <c r="AY619" s="2058">
        <v>50</v>
      </c>
      <c r="AZ619" s="2058">
        <v>11</v>
      </c>
      <c r="BA619" s="2058">
        <v>194</v>
      </c>
      <c r="BB619" s="2058">
        <v>333</v>
      </c>
      <c r="BC619" s="2058">
        <v>167</v>
      </c>
      <c r="BD619" s="2058">
        <v>237</v>
      </c>
      <c r="BE619" s="2058">
        <v>404</v>
      </c>
      <c r="BF619" s="2058">
        <v>189</v>
      </c>
      <c r="BG619" s="2058">
        <v>260</v>
      </c>
      <c r="BH619" s="2058">
        <v>286</v>
      </c>
      <c r="BI619" s="2058">
        <v>294</v>
      </c>
      <c r="BJ619" s="2058">
        <v>371</v>
      </c>
      <c r="BK619" s="2058">
        <v>111</v>
      </c>
      <c r="BL619" s="2058">
        <v>116</v>
      </c>
    </row>
    <row r="620" spans="1:64" s="9" customForma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</row>
    <row r="621" spans="1:64" s="9" customForma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</row>
    <row r="622" spans="1:64" s="9" customForma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</row>
    <row r="623" spans="1:64" s="9" customForma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</row>
    <row r="624" spans="1:64" s="9" customForma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</row>
    <row r="625" spans="1:63" s="9" customForma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</row>
    <row r="626" spans="1:63" s="9" customForma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</row>
    <row r="627" spans="1:63" s="9" customForma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</row>
    <row r="628" spans="1:63" s="9" customForma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</row>
    <row r="629" spans="1:63" s="9" customForma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</row>
    <row r="630" spans="1:63" s="9" customForma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</row>
    <row r="631" spans="1:63" s="9" customForma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</row>
    <row r="632" spans="1:63" s="9" customForma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</row>
    <row r="633" spans="1:63" s="9" customForma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</row>
    <row r="634" spans="1:63" s="9" customForma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</row>
    <row r="635" spans="1:63" s="9" customForma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</row>
    <row r="636" spans="1:63" s="9" customForma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</row>
    <row r="637" spans="1:63" s="9" customForma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</row>
    <row r="638" spans="1:63" s="9" customForma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</row>
    <row r="639" spans="1:63" s="9" customForma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</row>
    <row r="640" spans="1:63" s="9" customForma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</row>
    <row r="641" spans="1:63" s="9" customForma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</row>
    <row r="642" spans="1:63" s="9" customForma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</row>
    <row r="643" spans="1:63" s="9" customForma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</row>
    <row r="644" spans="1:63" s="9" customForma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</row>
    <row r="645" spans="1:63" s="9" customForma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</row>
    <row r="646" spans="1:63" s="9" customForma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</row>
    <row r="647" spans="1:63" s="9" customForma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</row>
    <row r="648" spans="1:63" s="9" customForma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</row>
    <row r="649" spans="1:63" s="9" customForma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</row>
    <row r="650" spans="1:63" s="9" customForma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</row>
    <row r="651" spans="1:63" s="9" customForma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</row>
    <row r="652" spans="1:63" s="9" customForma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</row>
    <row r="653" spans="1:63" s="9" customForma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</row>
    <row r="654" spans="1:63" s="9" customForma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</row>
    <row r="655" spans="1:63" s="9" customForma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</row>
    <row r="656" spans="1:63" s="9" customForma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</row>
    <row r="657" spans="1:63" s="9" customForma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</row>
    <row r="658" spans="1:63" s="9" customForma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</row>
    <row r="659" spans="1:63" s="9" customForma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</row>
    <row r="660" spans="1:63" s="9" customForma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</row>
    <row r="661" spans="1:63" s="9" customForma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</row>
    <row r="662" spans="1:63" s="9" customForma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</row>
    <row r="663" spans="1:63" s="9" customForma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</row>
    <row r="664" spans="1:63" s="9" customForma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</row>
  </sheetData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4" tint="0.79998168889431442"/>
    <pageSetUpPr fitToPage="1"/>
  </sheetPr>
  <dimension ref="A1:BQ99"/>
  <sheetViews>
    <sheetView showGridLines="0" zoomScaleNormal="100" workbookViewId="0">
      <pane xSplit="1" ySplit="3" topLeftCell="B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9.42578125" defaultRowHeight="11.25" outlineLevelCol="1"/>
  <cols>
    <col min="1" max="1" width="48.5703125" style="9" customWidth="1"/>
    <col min="2" max="33" width="9.42578125" style="9" customWidth="1" outlineLevel="1"/>
    <col min="34" max="46" width="9.42578125" style="9"/>
    <col min="47" max="47" width="9.42578125" style="9" customWidth="1"/>
    <col min="48" max="50" width="9.42578125" style="9"/>
    <col min="51" max="52" width="9.42578125" style="9" customWidth="1"/>
    <col min="53" max="53" width="10.28515625" style="9" customWidth="1"/>
    <col min="54" max="16384" width="9.42578125" style="9"/>
  </cols>
  <sheetData>
    <row r="1" spans="1:69" ht="18">
      <c r="A1" s="24" t="str">
        <f>Index!$G$12</f>
        <v>Alsea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409"/>
      <c r="Z1" s="409"/>
      <c r="AA1" s="409"/>
      <c r="AB1" s="409"/>
      <c r="AC1" s="409"/>
      <c r="AD1" s="409"/>
      <c r="AE1" s="409"/>
      <c r="AF1" s="409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4"/>
      <c r="BC1" s="554"/>
      <c r="BD1" s="554"/>
      <c r="BE1" s="554"/>
      <c r="BF1" s="554"/>
      <c r="BG1" s="554"/>
      <c r="BH1" s="554"/>
      <c r="BI1" s="554"/>
      <c r="BJ1" s="554"/>
      <c r="BK1" s="554"/>
      <c r="BL1" s="554"/>
      <c r="BM1" s="554"/>
      <c r="BN1" s="554"/>
      <c r="BO1" s="554"/>
      <c r="BP1" s="554"/>
      <c r="BQ1" s="554"/>
    </row>
    <row r="2" spans="1:69" ht="12.75">
      <c r="A2" s="551" t="s">
        <v>581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409"/>
      <c r="Z2" s="409"/>
      <c r="AA2" s="409"/>
      <c r="AB2" s="409"/>
      <c r="AC2" s="409"/>
      <c r="AD2" s="409"/>
      <c r="AE2" s="409"/>
      <c r="AF2" s="409"/>
      <c r="AG2" s="129"/>
      <c r="AH2" s="129"/>
      <c r="AI2" s="129"/>
      <c r="AJ2" s="129"/>
      <c r="AK2" s="129"/>
      <c r="AL2" s="129"/>
      <c r="AM2" s="129"/>
      <c r="AN2" s="129"/>
      <c r="AO2" s="129"/>
      <c r="AP2" s="264" t="s">
        <v>1362</v>
      </c>
      <c r="AQ2" s="264" t="s">
        <v>1362</v>
      </c>
      <c r="AR2" s="264" t="s">
        <v>1362</v>
      </c>
      <c r="AS2" s="264" t="s">
        <v>1362</v>
      </c>
      <c r="AT2" s="264" t="s">
        <v>1362</v>
      </c>
      <c r="AU2" s="264" t="s">
        <v>1362</v>
      </c>
      <c r="AV2" s="264" t="s">
        <v>1362</v>
      </c>
      <c r="AW2" s="264" t="s">
        <v>1362</v>
      </c>
      <c r="AX2" s="264" t="s">
        <v>1362</v>
      </c>
      <c r="AY2" s="264" t="s">
        <v>1362</v>
      </c>
      <c r="AZ2" s="264" t="s">
        <v>1362</v>
      </c>
      <c r="BA2" s="264" t="s">
        <v>1362</v>
      </c>
      <c r="BB2" s="264" t="s">
        <v>1362</v>
      </c>
      <c r="BC2" s="264" t="s">
        <v>1362</v>
      </c>
      <c r="BD2" s="264" t="s">
        <v>1362</v>
      </c>
      <c r="BE2" s="264" t="s">
        <v>1362</v>
      </c>
      <c r="BF2" s="264" t="s">
        <v>1362</v>
      </c>
      <c r="BG2" s="264" t="s">
        <v>1362</v>
      </c>
      <c r="BH2" s="264" t="s">
        <v>1362</v>
      </c>
      <c r="BI2" s="264" t="s">
        <v>1362</v>
      </c>
      <c r="BJ2" s="264" t="s">
        <v>1362</v>
      </c>
      <c r="BK2" s="264" t="s">
        <v>1362</v>
      </c>
      <c r="BL2" s="129"/>
      <c r="BM2" s="129"/>
      <c r="BN2" s="129"/>
      <c r="BO2" s="129"/>
      <c r="BP2" s="129"/>
      <c r="BQ2" s="129"/>
    </row>
    <row r="3" spans="1:69">
      <c r="A3" s="577" t="s">
        <v>667</v>
      </c>
      <c r="B3" s="264" t="str">
        <f>IS!C3</f>
        <v>1Q09</v>
      </c>
      <c r="C3" s="264" t="str">
        <f>IS!D3</f>
        <v>2Q09</v>
      </c>
      <c r="D3" s="264" t="str">
        <f>IS!E3</f>
        <v>3Q09</v>
      </c>
      <c r="E3" s="264" t="str">
        <f>IS!F3</f>
        <v>4Q09</v>
      </c>
      <c r="F3" s="264" t="str">
        <f>IS!G3</f>
        <v>1Q10</v>
      </c>
      <c r="G3" s="264" t="str">
        <f>IS!H3</f>
        <v>2Q10</v>
      </c>
      <c r="H3" s="264" t="str">
        <f>IS!I3</f>
        <v>3Q10</v>
      </c>
      <c r="I3" s="264" t="str">
        <f>IS!J3</f>
        <v>4Q10</v>
      </c>
      <c r="J3" s="264" t="str">
        <f>IS!K3</f>
        <v>1Q11</v>
      </c>
      <c r="K3" s="264" t="str">
        <f>IS!L3</f>
        <v>2Q11</v>
      </c>
      <c r="L3" s="264" t="str">
        <f>IS!M3</f>
        <v>3Q11</v>
      </c>
      <c r="M3" s="264" t="str">
        <f>IS!N3</f>
        <v>4Q11</v>
      </c>
      <c r="N3" s="264" t="str">
        <f>IS!O3</f>
        <v>1Q12</v>
      </c>
      <c r="O3" s="264" t="str">
        <f>IS!P3</f>
        <v>2Q12</v>
      </c>
      <c r="P3" s="264" t="str">
        <f>IS!Q3</f>
        <v>3Q12</v>
      </c>
      <c r="Q3" s="264" t="str">
        <f>IS!R3</f>
        <v>4Q12</v>
      </c>
      <c r="R3" s="264" t="str">
        <f>IS!S3</f>
        <v>1Q13</v>
      </c>
      <c r="S3" s="264" t="str">
        <f>IS!T3</f>
        <v>2Q13</v>
      </c>
      <c r="T3" s="264" t="str">
        <f>IS!U3</f>
        <v>3Q13</v>
      </c>
      <c r="U3" s="264" t="str">
        <f>IS!V3</f>
        <v>4Q13</v>
      </c>
      <c r="V3" s="264" t="str">
        <f>IS!W3</f>
        <v>1Q14</v>
      </c>
      <c r="W3" s="264" t="str">
        <f>IS!X3</f>
        <v>2Q14</v>
      </c>
      <c r="X3" s="264" t="str">
        <f>IS!Y3</f>
        <v>3Q14</v>
      </c>
      <c r="Y3" s="264" t="str">
        <f>IS!Z3</f>
        <v>4Q14</v>
      </c>
      <c r="Z3" s="264" t="str">
        <f>IS!AA3</f>
        <v>1Q15</v>
      </c>
      <c r="AA3" s="264" t="str">
        <f>IS!AB3</f>
        <v>2Q15</v>
      </c>
      <c r="AB3" s="264" t="str">
        <f>IS!AC3</f>
        <v>3Q15</v>
      </c>
      <c r="AC3" s="264" t="str">
        <f>IS!AD3</f>
        <v>4Q15</v>
      </c>
      <c r="AD3" s="264" t="str">
        <f>IS!AE3</f>
        <v>1Q16</v>
      </c>
      <c r="AE3" s="264" t="str">
        <f>IS!AF3</f>
        <v>2Q16</v>
      </c>
      <c r="AF3" s="264" t="str">
        <f>IS!AG3</f>
        <v>3Q16</v>
      </c>
      <c r="AG3" s="264" t="str">
        <f>IS!AH3</f>
        <v>4Q16</v>
      </c>
      <c r="AH3" s="264" t="str">
        <f>IS!AI3</f>
        <v>1Q17</v>
      </c>
      <c r="AI3" s="264" t="str">
        <f>IS!AJ3</f>
        <v>2Q17</v>
      </c>
      <c r="AJ3" s="264" t="str">
        <f>IS!AK3</f>
        <v>3Q17</v>
      </c>
      <c r="AK3" s="264" t="str">
        <f>IS!AL3</f>
        <v>4Q17</v>
      </c>
      <c r="AL3" s="264" t="str">
        <f>IS!AM3</f>
        <v>1Q18</v>
      </c>
      <c r="AM3" s="264" t="str">
        <f>IS!AN3</f>
        <v>2Q18</v>
      </c>
      <c r="AN3" s="264" t="str">
        <f>IS!AO3</f>
        <v>3Q18</v>
      </c>
      <c r="AO3" s="264" t="str">
        <f>IS!AP3</f>
        <v>4Q18</v>
      </c>
      <c r="AP3" s="264" t="str">
        <f>IS!AQ3</f>
        <v>1Q19</v>
      </c>
      <c r="AQ3" s="264" t="str">
        <f>IS!AR3</f>
        <v>2Q19</v>
      </c>
      <c r="AR3" s="264" t="str">
        <f>IS!AS3</f>
        <v>3Q19</v>
      </c>
      <c r="AS3" s="264" t="str">
        <f>IS!AT3</f>
        <v>4Q19</v>
      </c>
      <c r="AT3" s="264" t="str">
        <f>IS!AU3</f>
        <v>1Q20</v>
      </c>
      <c r="AU3" s="264" t="str">
        <f>IS!AV3</f>
        <v>2Q20</v>
      </c>
      <c r="AV3" s="264" t="str">
        <f>IS!AW3</f>
        <v>3Q20</v>
      </c>
      <c r="AW3" s="264" t="str">
        <f>IS!AX3</f>
        <v>4Q20</v>
      </c>
      <c r="AX3" s="264" t="str">
        <f>IS!AY3</f>
        <v>1Q21</v>
      </c>
      <c r="AY3" s="264" t="str">
        <f>IS!AZ3</f>
        <v>2Q21</v>
      </c>
      <c r="AZ3" s="264" t="str">
        <f>IS!BA3</f>
        <v>3Q21</v>
      </c>
      <c r="BA3" s="264" t="str">
        <f>IS!BB3</f>
        <v>4Q21</v>
      </c>
      <c r="BB3" s="264" t="str">
        <f>IS!BC3</f>
        <v>1Q22</v>
      </c>
      <c r="BC3" s="264" t="str">
        <f>IS!BD3</f>
        <v>2Q22</v>
      </c>
      <c r="BD3" s="264" t="str">
        <f>IS!BE3</f>
        <v>3Q22</v>
      </c>
      <c r="BE3" s="264" t="str">
        <f>IS!BF3</f>
        <v>4Q22</v>
      </c>
      <c r="BF3" s="264" t="str">
        <f>IS!BG3</f>
        <v>1Q23</v>
      </c>
      <c r="BG3" s="264" t="str">
        <f>IS!BH3</f>
        <v>2Q23</v>
      </c>
      <c r="BH3" s="264" t="str">
        <f>IS!BI3</f>
        <v>3Q23</v>
      </c>
      <c r="BI3" s="264" t="str">
        <f>IS!BJ3</f>
        <v>4Q23</v>
      </c>
      <c r="BJ3" s="264" t="str">
        <f>IS!BK3</f>
        <v>1Q24</v>
      </c>
      <c r="BK3" s="264" t="str">
        <f>IS!BL3</f>
        <v>2Q24</v>
      </c>
      <c r="BL3" s="264" t="str">
        <f>IS!BM3</f>
        <v>3Q24</v>
      </c>
      <c r="BM3" s="264" t="str">
        <f>IS!BN3</f>
        <v>4Q24</v>
      </c>
      <c r="BN3" s="264" t="str">
        <f>IS!BO3</f>
        <v>1Q25</v>
      </c>
      <c r="BO3" s="264" t="str">
        <f>IS!BP3</f>
        <v>2Q25</v>
      </c>
      <c r="BP3" s="264" t="str">
        <f>IS!BQ3</f>
        <v>3Q25</v>
      </c>
      <c r="BQ3" s="264" t="str">
        <f>IS!BR3</f>
        <v>4Q25</v>
      </c>
    </row>
    <row r="4" spans="1:69">
      <c r="A4" s="36" t="s">
        <v>670</v>
      </c>
      <c r="B4" s="335">
        <v>395.62900000000002</v>
      </c>
      <c r="C4" s="335">
        <v>305.07299999999998</v>
      </c>
      <c r="D4" s="335">
        <v>476.21</v>
      </c>
      <c r="E4" s="335">
        <v>463.214</v>
      </c>
      <c r="F4" s="335">
        <v>669.14</v>
      </c>
      <c r="G4" s="335">
        <v>480.30399999999997</v>
      </c>
      <c r="H4" s="335">
        <v>482.51799999999997</v>
      </c>
      <c r="I4" s="335">
        <v>640.20299999999997</v>
      </c>
      <c r="J4" s="335">
        <v>370.92599999999999</v>
      </c>
      <c r="K4" s="335">
        <v>575.827</v>
      </c>
      <c r="L4" s="335">
        <v>684.85199999999998</v>
      </c>
      <c r="M4" s="335">
        <v>739.37900000000002</v>
      </c>
      <c r="N4" s="335">
        <v>983.89700000000005</v>
      </c>
      <c r="O4" s="335">
        <v>738.50099999999998</v>
      </c>
      <c r="P4" s="335">
        <v>718.36099999999999</v>
      </c>
      <c r="Q4" s="335">
        <v>932.59400000000005</v>
      </c>
      <c r="R4" s="335">
        <v>849.21799999999996</v>
      </c>
      <c r="S4" s="335">
        <v>641.95100000000002</v>
      </c>
      <c r="T4" s="335">
        <v>581.05600000000004</v>
      </c>
      <c r="U4" s="335">
        <v>663.27</v>
      </c>
      <c r="V4" s="335">
        <v>530.78399999999999</v>
      </c>
      <c r="W4" s="335">
        <v>1130.0150000000001</v>
      </c>
      <c r="X4" s="335">
        <v>499.95400000000001</v>
      </c>
      <c r="Y4" s="335">
        <v>1112.8499999999999</v>
      </c>
      <c r="Z4" s="335">
        <v>890.928</v>
      </c>
      <c r="AA4" s="335">
        <v>752.43499999999995</v>
      </c>
      <c r="AB4" s="335">
        <v>624.96699999999998</v>
      </c>
      <c r="AC4" s="335">
        <v>1195.8139999999999</v>
      </c>
      <c r="AD4" s="335">
        <v>1082.8710000000001</v>
      </c>
      <c r="AE4" s="335">
        <v>1157.0650000000001</v>
      </c>
      <c r="AF4" s="335">
        <v>1319.8440000000001</v>
      </c>
      <c r="AG4" s="335">
        <v>2547.8420000000001</v>
      </c>
      <c r="AH4" s="335">
        <v>1710.086</v>
      </c>
      <c r="AI4" s="335">
        <v>1255.6289999999999</v>
      </c>
      <c r="AJ4" s="335">
        <v>1020.539</v>
      </c>
      <c r="AK4" s="335">
        <v>1540.403</v>
      </c>
      <c r="AL4" s="335">
        <v>2064.4929999999999</v>
      </c>
      <c r="AM4" s="335">
        <v>2307.886</v>
      </c>
      <c r="AN4" s="335">
        <v>2474.4690000000001</v>
      </c>
      <c r="AO4" s="335">
        <v>1987.857</v>
      </c>
      <c r="AP4" s="335">
        <v>1722.913</v>
      </c>
      <c r="AQ4" s="335">
        <v>1852.7180000000001</v>
      </c>
      <c r="AR4" s="335">
        <v>1623.644</v>
      </c>
      <c r="AS4" s="335">
        <v>2625.3890000000001</v>
      </c>
      <c r="AT4" s="335">
        <v>3844.203</v>
      </c>
      <c r="AU4" s="1724">
        <v>4329.4210000000003</v>
      </c>
      <c r="AV4" s="335">
        <v>4599.5140000000001</v>
      </c>
      <c r="AW4" s="335">
        <v>3932</v>
      </c>
      <c r="AX4" s="335">
        <v>3367.77</v>
      </c>
      <c r="AY4" s="335">
        <v>3830.3429999999998</v>
      </c>
      <c r="AZ4" s="335">
        <v>3585.1289999999999</v>
      </c>
      <c r="BA4" s="335">
        <v>6893.433</v>
      </c>
      <c r="BB4" s="335">
        <v>5070.4719999999998</v>
      </c>
      <c r="BC4" s="335">
        <v>5042.7520000000004</v>
      </c>
      <c r="BD4" s="335">
        <v>5128.1019999999999</v>
      </c>
      <c r="BE4" s="335">
        <v>6099.7089999999998</v>
      </c>
      <c r="BF4" s="335">
        <v>4468.9740000000002</v>
      </c>
      <c r="BG4" s="335">
        <v>4349.6880000000001</v>
      </c>
      <c r="BH4" s="335">
        <v>5151.4669999999996</v>
      </c>
      <c r="BI4" s="335">
        <v>6409.7979999999998</v>
      </c>
      <c r="BJ4" s="335">
        <v>5443.558</v>
      </c>
      <c r="BK4" s="335">
        <v>4030.7370000000001</v>
      </c>
    </row>
    <row r="5" spans="1:69">
      <c r="A5" s="36" t="s">
        <v>671</v>
      </c>
      <c r="B5" s="335">
        <v>124.011</v>
      </c>
      <c r="C5" s="335">
        <v>125.71299999999999</v>
      </c>
      <c r="D5" s="335">
        <v>118.051</v>
      </c>
      <c r="E5" s="335">
        <v>163.44200000000001</v>
      </c>
      <c r="F5" s="335">
        <v>157.53800000000001</v>
      </c>
      <c r="G5" s="335">
        <v>140.078</v>
      </c>
      <c r="H5" s="335">
        <v>149.786</v>
      </c>
      <c r="I5" s="335">
        <v>207.22399999999999</v>
      </c>
      <c r="J5" s="335">
        <v>203.19200000000001</v>
      </c>
      <c r="K5" s="335">
        <v>216.44800000000001</v>
      </c>
      <c r="L5" s="335">
        <v>214.43899999999999</v>
      </c>
      <c r="M5" s="335">
        <v>219.35</v>
      </c>
      <c r="N5" s="335">
        <v>256.46800000000002</v>
      </c>
      <c r="O5" s="335">
        <v>229.65799999999999</v>
      </c>
      <c r="P5" s="335">
        <v>253.392</v>
      </c>
      <c r="Q5" s="335">
        <v>339.48099999999999</v>
      </c>
      <c r="R5" s="335">
        <v>325.01400000000001</v>
      </c>
      <c r="S5" s="335">
        <v>359.29199999999997</v>
      </c>
      <c r="T5" s="335">
        <v>378.58800000000002</v>
      </c>
      <c r="U5" s="335">
        <v>360.10399999999998</v>
      </c>
      <c r="V5" s="335">
        <v>350.67899999999997</v>
      </c>
      <c r="W5" s="335">
        <v>400.358</v>
      </c>
      <c r="X5" s="335">
        <v>508.15800000000002</v>
      </c>
      <c r="Y5" s="335">
        <v>673.74900000000002</v>
      </c>
      <c r="Z5" s="335">
        <v>617.40300000000002</v>
      </c>
      <c r="AA5" s="335">
        <v>485.209</v>
      </c>
      <c r="AB5" s="335">
        <v>513.41899999999998</v>
      </c>
      <c r="AC5" s="335">
        <v>639.94299999999998</v>
      </c>
      <c r="AD5" s="335">
        <v>633.76700000000005</v>
      </c>
      <c r="AE5" s="335">
        <v>585.88900000000001</v>
      </c>
      <c r="AF5" s="335">
        <v>630.80200000000002</v>
      </c>
      <c r="AG5" s="335">
        <v>708.38</v>
      </c>
      <c r="AH5" s="335">
        <v>602.91700000000003</v>
      </c>
      <c r="AI5" s="335">
        <v>617.16499999999996</v>
      </c>
      <c r="AJ5" s="335">
        <v>671.05899999999997</v>
      </c>
      <c r="AK5" s="335">
        <v>920.26400000000001</v>
      </c>
      <c r="AL5" s="335">
        <v>638.27800000000002</v>
      </c>
      <c r="AM5" s="335">
        <v>566.42100000000005</v>
      </c>
      <c r="AN5" s="335">
        <v>572.76099999999997</v>
      </c>
      <c r="AO5" s="335">
        <v>814.03200000000004</v>
      </c>
      <c r="AP5" s="335">
        <v>894.36099999999999</v>
      </c>
      <c r="AQ5" s="335">
        <v>958.40700000000004</v>
      </c>
      <c r="AR5" s="335">
        <v>1205.0509999999999</v>
      </c>
      <c r="AS5" s="335">
        <v>974.18700000000001</v>
      </c>
      <c r="AT5" s="335">
        <v>969.48500000000001</v>
      </c>
      <c r="AU5" s="1724">
        <v>946.94</v>
      </c>
      <c r="AV5" s="335">
        <f>1026.997</f>
        <v>1026.9970000000001</v>
      </c>
      <c r="AW5" s="335">
        <f>890+488</f>
        <v>1378</v>
      </c>
      <c r="AX5" s="335">
        <v>1176.3409999999999</v>
      </c>
      <c r="AY5" s="335">
        <v>1142.3530000000001</v>
      </c>
      <c r="AZ5" s="335">
        <v>1311.511</v>
      </c>
      <c r="BA5" s="335">
        <v>1227.4079999999999</v>
      </c>
      <c r="BB5" s="335">
        <v>1091.5930000000001</v>
      </c>
      <c r="BC5" s="335">
        <v>1234.5519999999999</v>
      </c>
      <c r="BD5" s="335">
        <v>1185.316</v>
      </c>
      <c r="BE5" s="335">
        <v>1398.172</v>
      </c>
      <c r="BF5" s="335">
        <v>1223.828</v>
      </c>
      <c r="BG5" s="335">
        <v>1167.046</v>
      </c>
      <c r="BH5" s="335">
        <v>1212.011</v>
      </c>
      <c r="BI5" s="335">
        <v>1425.923</v>
      </c>
      <c r="BJ5" s="335">
        <v>1324.903</v>
      </c>
      <c r="BK5" s="335">
        <v>1296.704</v>
      </c>
    </row>
    <row r="6" spans="1:69">
      <c r="A6" s="36" t="s">
        <v>672</v>
      </c>
      <c r="B6" s="335">
        <v>43.972000000000001</v>
      </c>
      <c r="C6" s="335">
        <v>40.951000000000001</v>
      </c>
      <c r="D6" s="335">
        <v>53.975999999999999</v>
      </c>
      <c r="E6" s="335">
        <v>32.704999999999998</v>
      </c>
      <c r="F6" s="335">
        <v>50.968000000000004</v>
      </c>
      <c r="G6" s="335">
        <v>67.058000000000007</v>
      </c>
      <c r="H6" s="335">
        <v>57.996000000000002</v>
      </c>
      <c r="I6" s="335">
        <v>39.481999999999999</v>
      </c>
      <c r="J6" s="335">
        <v>60.744</v>
      </c>
      <c r="K6" s="335">
        <v>59.115000000000002</v>
      </c>
      <c r="L6" s="335">
        <v>72.498999999999995</v>
      </c>
      <c r="M6" s="335">
        <v>166.22800000000001</v>
      </c>
      <c r="N6" s="335">
        <v>192.11199999999999</v>
      </c>
      <c r="O6" s="335">
        <v>169.977</v>
      </c>
      <c r="P6" s="335">
        <v>223.119</v>
      </c>
      <c r="Q6" s="335">
        <v>196.45</v>
      </c>
      <c r="R6" s="335">
        <v>162.404</v>
      </c>
      <c r="S6" s="335">
        <v>167.77500000000001</v>
      </c>
      <c r="T6" s="335">
        <v>151.64599999999999</v>
      </c>
      <c r="U6" s="335">
        <v>268.714</v>
      </c>
      <c r="V6" s="335">
        <v>233.66800000000001</v>
      </c>
      <c r="W6" s="335">
        <v>223.667</v>
      </c>
      <c r="X6" s="335">
        <v>283.01</v>
      </c>
      <c r="Y6" s="335">
        <v>221.79400000000001</v>
      </c>
      <c r="Z6" s="335">
        <v>253.964</v>
      </c>
      <c r="AA6" s="335">
        <v>289.00400000000002</v>
      </c>
      <c r="AB6" s="335">
        <v>257.96499999999997</v>
      </c>
      <c r="AC6" s="335">
        <v>264.90999999999997</v>
      </c>
      <c r="AD6" s="335">
        <v>237.536</v>
      </c>
      <c r="AE6" s="335">
        <v>271.18299999999999</v>
      </c>
      <c r="AF6" s="335">
        <v>259.73</v>
      </c>
      <c r="AG6" s="335">
        <v>245.25800000000001</v>
      </c>
      <c r="AH6" s="335">
        <v>254.39400000000001</v>
      </c>
      <c r="AI6" s="335">
        <v>298.55700000000002</v>
      </c>
      <c r="AJ6" s="335">
        <v>297.47199999999998</v>
      </c>
      <c r="AK6" s="335">
        <v>330.32400000000001</v>
      </c>
      <c r="AL6" s="335">
        <v>263.00700000000001</v>
      </c>
      <c r="AM6" s="335">
        <v>325.60300000000001</v>
      </c>
      <c r="AN6" s="335">
        <v>220.398</v>
      </c>
      <c r="AO6" s="335">
        <v>211.08600000000001</v>
      </c>
      <c r="AP6" s="335">
        <v>250.09</v>
      </c>
      <c r="AQ6" s="335">
        <v>426.226</v>
      </c>
      <c r="AR6" s="335">
        <v>463.33699999999999</v>
      </c>
      <c r="AS6" s="335">
        <v>473.03399999999999</v>
      </c>
      <c r="AT6" s="335">
        <v>778.97299999999996</v>
      </c>
      <c r="AU6" s="1724">
        <v>521.43499999999995</v>
      </c>
      <c r="AV6" s="335">
        <f>530.77</f>
        <v>530.77</v>
      </c>
      <c r="AW6" s="335">
        <v>328</v>
      </c>
      <c r="AX6" s="335">
        <v>499.31900000000002</v>
      </c>
      <c r="AY6" s="335">
        <v>502.84100000000001</v>
      </c>
      <c r="AZ6" s="335">
        <v>480.01400000000001</v>
      </c>
      <c r="BA6" s="335">
        <v>524.11900000000003</v>
      </c>
      <c r="BB6" s="335">
        <v>599.32600000000002</v>
      </c>
      <c r="BC6" s="335">
        <v>559.85400000000004</v>
      </c>
      <c r="BD6" s="335">
        <v>641.82000000000005</v>
      </c>
      <c r="BE6" s="335">
        <v>631.24800000000005</v>
      </c>
      <c r="BF6" s="335">
        <v>1060.8520000000001</v>
      </c>
      <c r="BG6" s="335">
        <v>1037.8720000000001</v>
      </c>
      <c r="BH6" s="335">
        <v>1177.8710000000001</v>
      </c>
      <c r="BI6" s="335">
        <v>946.31799999999998</v>
      </c>
      <c r="BJ6" s="335">
        <v>828.12300000000005</v>
      </c>
      <c r="BK6" s="335">
        <v>691.27800000000002</v>
      </c>
    </row>
    <row r="7" spans="1:69">
      <c r="A7" s="36" t="s">
        <v>673</v>
      </c>
      <c r="B7" s="335">
        <v>271.16699999999997</v>
      </c>
      <c r="C7" s="335">
        <v>300.27300000000002</v>
      </c>
      <c r="D7" s="335">
        <v>305.875</v>
      </c>
      <c r="E7" s="335">
        <v>336.87</v>
      </c>
      <c r="F7" s="335">
        <v>287.654</v>
      </c>
      <c r="G7" s="335">
        <v>293.36799999999999</v>
      </c>
      <c r="H7" s="335">
        <v>298.52800000000002</v>
      </c>
      <c r="I7" s="335">
        <v>352.32499999999999</v>
      </c>
      <c r="J7" s="335">
        <v>356.12799999999999</v>
      </c>
      <c r="K7" s="335">
        <v>391.274</v>
      </c>
      <c r="L7" s="335">
        <v>360.94600000000003</v>
      </c>
      <c r="M7" s="335">
        <v>403.13</v>
      </c>
      <c r="N7" s="335">
        <v>429.62900000000002</v>
      </c>
      <c r="O7" s="335">
        <v>511.29199999999997</v>
      </c>
      <c r="P7" s="335">
        <v>515.822</v>
      </c>
      <c r="Q7" s="335">
        <v>550.39400000000001</v>
      </c>
      <c r="R7" s="335">
        <v>430.70800000000003</v>
      </c>
      <c r="S7" s="335">
        <v>472.08800000000002</v>
      </c>
      <c r="T7" s="335">
        <v>570.65499999999997</v>
      </c>
      <c r="U7" s="335">
        <v>641.88</v>
      </c>
      <c r="V7" s="335">
        <v>577.10599999999999</v>
      </c>
      <c r="W7" s="335">
        <v>740.17499999999995</v>
      </c>
      <c r="X7" s="335">
        <v>871.73199999999997</v>
      </c>
      <c r="Y7" s="335">
        <v>1055.174</v>
      </c>
      <c r="Z7" s="335">
        <v>1144.989</v>
      </c>
      <c r="AA7" s="335">
        <v>1356.4670000000001</v>
      </c>
      <c r="AB7" s="335">
        <v>1365.3109999999999</v>
      </c>
      <c r="AC7" s="335">
        <v>1377.981</v>
      </c>
      <c r="AD7" s="335">
        <v>1398.3330000000001</v>
      </c>
      <c r="AE7" s="335">
        <v>1451.13</v>
      </c>
      <c r="AF7" s="335">
        <v>1520.452</v>
      </c>
      <c r="AG7" s="335">
        <v>1575.3630000000001</v>
      </c>
      <c r="AH7" s="335">
        <v>1562.0930000000001</v>
      </c>
      <c r="AI7" s="335">
        <v>1723.0440000000001</v>
      </c>
      <c r="AJ7" s="335">
        <v>1874.7619999999999</v>
      </c>
      <c r="AK7" s="335">
        <v>2009.779</v>
      </c>
      <c r="AL7" s="335">
        <v>1868.28</v>
      </c>
      <c r="AM7" s="335">
        <v>2103.2249999999999</v>
      </c>
      <c r="AN7" s="335">
        <v>1747.806</v>
      </c>
      <c r="AO7" s="335">
        <v>2120.2080000000001</v>
      </c>
      <c r="AP7" s="335">
        <v>1959.8320000000001</v>
      </c>
      <c r="AQ7" s="335">
        <v>2081.0300000000002</v>
      </c>
      <c r="AR7" s="335">
        <v>1988.1869999999999</v>
      </c>
      <c r="AS7" s="335">
        <v>1779.646</v>
      </c>
      <c r="AT7" s="335">
        <v>2049.672</v>
      </c>
      <c r="AU7" s="1724">
        <v>1926.6110000000001</v>
      </c>
      <c r="AV7" s="335">
        <f>1659.686</f>
        <v>1659.6859999999999</v>
      </c>
      <c r="AW7" s="335">
        <v>1618</v>
      </c>
      <c r="AX7" s="335">
        <v>1539.345</v>
      </c>
      <c r="AY7" s="335">
        <v>1740.337</v>
      </c>
      <c r="AZ7" s="335">
        <v>1853.0840000000001</v>
      </c>
      <c r="BA7" s="335">
        <v>2009.258</v>
      </c>
      <c r="BB7" s="335">
        <v>2080.9679999999998</v>
      </c>
      <c r="BC7" s="335">
        <v>2717.7370000000001</v>
      </c>
      <c r="BD7" s="335">
        <v>2805.7539999999999</v>
      </c>
      <c r="BE7" s="335">
        <v>2895.326</v>
      </c>
      <c r="BF7" s="335">
        <v>2812.51</v>
      </c>
      <c r="BG7" s="335">
        <v>2873.944</v>
      </c>
      <c r="BH7" s="335">
        <v>2928.02</v>
      </c>
      <c r="BI7" s="335">
        <v>2750.665</v>
      </c>
      <c r="BJ7" s="335">
        <v>2515.373</v>
      </c>
      <c r="BK7" s="335">
        <v>2937.4140000000002</v>
      </c>
    </row>
    <row r="8" spans="1:69">
      <c r="A8" s="36" t="s">
        <v>674</v>
      </c>
      <c r="B8" s="335">
        <v>671.60199999999998</v>
      </c>
      <c r="C8" s="335">
        <v>617.48299999999995</v>
      </c>
      <c r="D8" s="335">
        <v>337.12</v>
      </c>
      <c r="E8" s="335">
        <v>321.34100000000001</v>
      </c>
      <c r="F8" s="335">
        <v>390.255</v>
      </c>
      <c r="G8" s="335">
        <v>222.76499999999999</v>
      </c>
      <c r="H8" s="335">
        <v>225.08699999999999</v>
      </c>
      <c r="I8" s="335">
        <v>218.03700000000001</v>
      </c>
      <c r="J8" s="335">
        <v>229.96700000000001</v>
      </c>
      <c r="K8" s="335">
        <v>201.93799999999999</v>
      </c>
      <c r="L8" s="335">
        <v>207.869</v>
      </c>
      <c r="M8" s="335">
        <v>243.73599999999999</v>
      </c>
      <c r="N8" s="335">
        <v>418.30399999999997</v>
      </c>
      <c r="O8" s="335">
        <v>395.851</v>
      </c>
      <c r="P8" s="335">
        <v>254.542</v>
      </c>
      <c r="Q8" s="335">
        <v>272.25400000000002</v>
      </c>
      <c r="R8" s="335">
        <v>277.36799999999999</v>
      </c>
      <c r="S8" s="335">
        <v>277.29700000000003</v>
      </c>
      <c r="T8" s="335">
        <v>370.666</v>
      </c>
      <c r="U8" s="335">
        <v>369.35</v>
      </c>
      <c r="V8" s="335">
        <v>414.56900000000002</v>
      </c>
      <c r="W8" s="335">
        <v>747.452</v>
      </c>
      <c r="X8" s="335">
        <v>346.98099999999999</v>
      </c>
      <c r="Y8" s="335">
        <v>218.30099999999999</v>
      </c>
      <c r="Z8" s="335">
        <v>324.7</v>
      </c>
      <c r="AA8" s="335">
        <v>501.03199999999998</v>
      </c>
      <c r="AB8" s="335">
        <v>364.17399999999998</v>
      </c>
      <c r="AC8" s="335">
        <v>205.45300000000003</v>
      </c>
      <c r="AD8" s="335">
        <v>312.94299999999998</v>
      </c>
      <c r="AE8" s="335">
        <v>227.92099999999999</v>
      </c>
      <c r="AF8" s="335">
        <v>412.32</v>
      </c>
      <c r="AG8" s="335">
        <v>363.12</v>
      </c>
      <c r="AH8" s="335">
        <v>314.31299999999999</v>
      </c>
      <c r="AI8" s="335">
        <v>421.53100000000001</v>
      </c>
      <c r="AJ8" s="335">
        <v>457.875</v>
      </c>
      <c r="AK8" s="335">
        <v>358.22199999999998</v>
      </c>
      <c r="AL8" s="335">
        <v>414.49400000000003</v>
      </c>
      <c r="AM8" s="335">
        <v>363.66</v>
      </c>
      <c r="AN8" s="335">
        <v>451.73399999999998</v>
      </c>
      <c r="AO8" s="335">
        <v>286.36</v>
      </c>
      <c r="AP8" s="335">
        <v>336.64400000000001</v>
      </c>
      <c r="AQ8" s="335">
        <v>397.90699999999998</v>
      </c>
      <c r="AR8" s="335">
        <v>477.89600000000002</v>
      </c>
      <c r="AS8" s="335">
        <v>338.59699999999998</v>
      </c>
      <c r="AT8" s="335">
        <v>560.97900000000004</v>
      </c>
      <c r="AU8" s="1724">
        <v>669.23500000000001</v>
      </c>
      <c r="AV8" s="335">
        <f>588.206</f>
        <v>588.20600000000002</v>
      </c>
      <c r="AW8" s="335">
        <v>1274</v>
      </c>
      <c r="AX8" s="335">
        <v>1045.8599999999999</v>
      </c>
      <c r="AY8" s="335">
        <v>751.69</v>
      </c>
      <c r="AZ8" s="335">
        <v>689.76700000000005</v>
      </c>
      <c r="BA8" s="335">
        <v>355.29300000000001</v>
      </c>
      <c r="BB8" s="335">
        <v>387.83800000000002</v>
      </c>
      <c r="BC8" s="335">
        <v>496.97699999999998</v>
      </c>
      <c r="BD8" s="335">
        <v>586.40800000000002</v>
      </c>
      <c r="BE8" s="335">
        <v>473.03500000000003</v>
      </c>
      <c r="BF8" s="335">
        <v>363.99900000000002</v>
      </c>
      <c r="BG8" s="335">
        <v>1262.51</v>
      </c>
      <c r="BH8" s="335">
        <v>1545.0170000000001</v>
      </c>
      <c r="BI8" s="335">
        <v>708.88099999999997</v>
      </c>
      <c r="BJ8" s="335">
        <f>1186.066</f>
        <v>1186.066</v>
      </c>
      <c r="BK8" s="335">
        <v>1562.8889999999999</v>
      </c>
    </row>
    <row r="9" spans="1:69">
      <c r="A9" s="36" t="s">
        <v>6</v>
      </c>
      <c r="B9" s="335">
        <v>137.56</v>
      </c>
      <c r="C9" s="335">
        <v>115.63</v>
      </c>
      <c r="D9" s="335">
        <v>117.39100000000001</v>
      </c>
      <c r="E9" s="335">
        <v>117.786</v>
      </c>
      <c r="F9" s="335">
        <v>160.881</v>
      </c>
      <c r="G9" s="335">
        <v>163.41399999999999</v>
      </c>
      <c r="H9" s="335">
        <v>199.80600000000001</v>
      </c>
      <c r="I9" s="335">
        <v>178.56700000000001</v>
      </c>
      <c r="J9" s="335">
        <v>210.20500000000001</v>
      </c>
      <c r="K9" s="335">
        <v>219.06700000000001</v>
      </c>
      <c r="L9" s="335">
        <v>235.54</v>
      </c>
      <c r="M9" s="335">
        <v>2478.422</v>
      </c>
      <c r="N9" s="335">
        <v>306.447</v>
      </c>
      <c r="O9" s="335">
        <v>397.74299999999999</v>
      </c>
      <c r="P9" s="335">
        <v>435.65899999999999</v>
      </c>
      <c r="Q9" s="335">
        <v>294.221</v>
      </c>
      <c r="R9" s="335">
        <v>407.60199999999998</v>
      </c>
      <c r="S9" s="335">
        <v>421.74200000000002</v>
      </c>
      <c r="T9" s="335">
        <v>546.13499999999999</v>
      </c>
      <c r="U9" s="335">
        <v>432.43099999999998</v>
      </c>
      <c r="V9" s="335">
        <v>463.58100000000002</v>
      </c>
      <c r="W9" s="335">
        <v>639.827</v>
      </c>
      <c r="X9" s="335">
        <v>603.48199999999997</v>
      </c>
      <c r="Y9" s="335">
        <v>794.35799999999995</v>
      </c>
      <c r="Z9" s="335">
        <v>779.42100000000005</v>
      </c>
      <c r="AA9" s="335">
        <v>787.50099999999998</v>
      </c>
      <c r="AB9" s="335">
        <v>785.66399999999999</v>
      </c>
      <c r="AC9" s="335">
        <v>706.71400000000006</v>
      </c>
      <c r="AD9" s="335">
        <v>733.03800000000001</v>
      </c>
      <c r="AE9" s="335">
        <v>842.75300000000004</v>
      </c>
      <c r="AF9" s="335">
        <v>820.95500000000004</v>
      </c>
      <c r="AG9" s="335">
        <v>764.80799999999999</v>
      </c>
      <c r="AH9" s="335">
        <v>865.14800000000002</v>
      </c>
      <c r="AI9" s="335">
        <f>978.936+1059.153</f>
        <v>2038.0889999999999</v>
      </c>
      <c r="AJ9" s="335">
        <f>924.959+1094.426</f>
        <v>2019.3849999999998</v>
      </c>
      <c r="AK9" s="335">
        <f>826.472+87.236</f>
        <v>913.70799999999997</v>
      </c>
      <c r="AL9" s="335">
        <f>1018.283+86.068</f>
        <v>1104.3510000000001</v>
      </c>
      <c r="AM9" s="335">
        <f>1250.953+80.96</f>
        <v>1331.913</v>
      </c>
      <c r="AN9" s="335">
        <f>(991612+81809)/1000</f>
        <v>1073.421</v>
      </c>
      <c r="AO9" s="335">
        <f>1083.229+70.34</f>
        <v>1153.569</v>
      </c>
      <c r="AP9" s="609">
        <f>1345.485+132.062</f>
        <v>1477.547</v>
      </c>
      <c r="AQ9" s="335">
        <f>1432.376+129.18</f>
        <v>1561.556</v>
      </c>
      <c r="AR9" s="335">
        <f>1334.3+128.073</f>
        <v>1462.373</v>
      </c>
      <c r="AS9" s="335">
        <f>987.117+52.546</f>
        <v>1039.663</v>
      </c>
      <c r="AT9" s="335">
        <f>1227.197+51.336</f>
        <v>1278.5329999999999</v>
      </c>
      <c r="AU9" s="1724">
        <v>1639.538</v>
      </c>
      <c r="AV9" s="335">
        <f>906.107</f>
        <v>906.10699999999997</v>
      </c>
      <c r="AW9" s="335">
        <v>0</v>
      </c>
      <c r="AX9" s="335">
        <v>640.49099999999999</v>
      </c>
      <c r="AY9" s="335">
        <v>637.00699999999995</v>
      </c>
      <c r="AZ9" s="335">
        <v>731.59199999999998</v>
      </c>
      <c r="BA9" s="335">
        <v>735.60599999999999</v>
      </c>
      <c r="BB9" s="335">
        <v>1015.346</v>
      </c>
      <c r="BC9" s="335">
        <v>921.79300000000001</v>
      </c>
      <c r="BD9" s="335">
        <f>915.342+9.131</f>
        <v>924.47299999999996</v>
      </c>
      <c r="BE9" s="335">
        <f>870.514+5.828</f>
        <v>876.34199999999998</v>
      </c>
      <c r="BF9" s="335">
        <f>1142.467+33.438</f>
        <v>1175.9050000000002</v>
      </c>
      <c r="BG9" s="335">
        <f>753.873+9.844</f>
        <v>763.7170000000001</v>
      </c>
      <c r="BH9" s="335">
        <v>495.21699999999998</v>
      </c>
      <c r="BI9" s="335">
        <v>430.71100000000001</v>
      </c>
      <c r="BJ9" s="335">
        <v>514.14200000000005</v>
      </c>
      <c r="BK9" s="335">
        <v>936.197</v>
      </c>
    </row>
    <row r="10" spans="1:69">
      <c r="A10" s="13" t="s">
        <v>120</v>
      </c>
      <c r="B10" s="170">
        <f t="shared" ref="B10:BE10" si="0">SUM(B4:B9)</f>
        <v>1643.9409999999998</v>
      </c>
      <c r="C10" s="170">
        <f t="shared" si="0"/>
        <v>1505.123</v>
      </c>
      <c r="D10" s="170">
        <f t="shared" si="0"/>
        <v>1408.623</v>
      </c>
      <c r="E10" s="170">
        <f t="shared" si="0"/>
        <v>1435.3580000000002</v>
      </c>
      <c r="F10" s="170">
        <f t="shared" si="0"/>
        <v>1716.4359999999999</v>
      </c>
      <c r="G10" s="170">
        <f t="shared" si="0"/>
        <v>1366.9869999999999</v>
      </c>
      <c r="H10" s="170">
        <f t="shared" si="0"/>
        <v>1413.721</v>
      </c>
      <c r="I10" s="170">
        <f t="shared" si="0"/>
        <v>1635.838</v>
      </c>
      <c r="J10" s="170">
        <f t="shared" si="0"/>
        <v>1431.162</v>
      </c>
      <c r="K10" s="170">
        <f t="shared" si="0"/>
        <v>1663.6689999999999</v>
      </c>
      <c r="L10" s="170">
        <f t="shared" si="0"/>
        <v>1776.1449999999998</v>
      </c>
      <c r="M10" s="170">
        <f t="shared" si="0"/>
        <v>4250.2449999999999</v>
      </c>
      <c r="N10" s="170">
        <f t="shared" si="0"/>
        <v>2586.8570000000004</v>
      </c>
      <c r="O10" s="170">
        <f t="shared" si="0"/>
        <v>2443.0219999999999</v>
      </c>
      <c r="P10" s="170">
        <f t="shared" si="0"/>
        <v>2400.895</v>
      </c>
      <c r="Q10" s="170">
        <f t="shared" si="0"/>
        <v>2585.3940000000002</v>
      </c>
      <c r="R10" s="170">
        <f t="shared" si="0"/>
        <v>2452.3139999999999</v>
      </c>
      <c r="S10" s="170">
        <f t="shared" si="0"/>
        <v>2340.145</v>
      </c>
      <c r="T10" s="170">
        <f t="shared" si="0"/>
        <v>2598.7460000000001</v>
      </c>
      <c r="U10" s="170">
        <f t="shared" si="0"/>
        <v>2735.7489999999998</v>
      </c>
      <c r="V10" s="170">
        <f t="shared" si="0"/>
        <v>2570.3870000000002</v>
      </c>
      <c r="W10" s="170">
        <f t="shared" si="0"/>
        <v>3881.4940000000006</v>
      </c>
      <c r="X10" s="170">
        <f t="shared" si="0"/>
        <v>3113.317</v>
      </c>
      <c r="Y10" s="170">
        <f t="shared" si="0"/>
        <v>4076.2259999999997</v>
      </c>
      <c r="Z10" s="170">
        <f t="shared" si="0"/>
        <v>4011.4049999999997</v>
      </c>
      <c r="AA10" s="170">
        <f t="shared" si="0"/>
        <v>4171.6480000000001</v>
      </c>
      <c r="AB10" s="170">
        <f t="shared" si="0"/>
        <v>3911.5</v>
      </c>
      <c r="AC10" s="170">
        <f t="shared" si="0"/>
        <v>4390.8150000000005</v>
      </c>
      <c r="AD10" s="170">
        <f t="shared" si="0"/>
        <v>4398.4880000000012</v>
      </c>
      <c r="AE10" s="170">
        <f t="shared" si="0"/>
        <v>4535.9409999999998</v>
      </c>
      <c r="AF10" s="170">
        <f t="shared" si="0"/>
        <v>4964.1030000000001</v>
      </c>
      <c r="AG10" s="170">
        <f t="shared" si="0"/>
        <v>6204.7709999999997</v>
      </c>
      <c r="AH10" s="170">
        <f t="shared" si="0"/>
        <v>5308.951</v>
      </c>
      <c r="AI10" s="170">
        <f t="shared" si="0"/>
        <v>6354.0149999999994</v>
      </c>
      <c r="AJ10" s="170">
        <f t="shared" si="0"/>
        <v>6341.0920000000006</v>
      </c>
      <c r="AK10" s="170">
        <f t="shared" si="0"/>
        <v>6072.7</v>
      </c>
      <c r="AL10" s="170">
        <f t="shared" si="0"/>
        <v>6352.9030000000002</v>
      </c>
      <c r="AM10" s="170">
        <f t="shared" si="0"/>
        <v>6998.7080000000005</v>
      </c>
      <c r="AN10" s="170">
        <f t="shared" si="0"/>
        <v>6540.5890000000009</v>
      </c>
      <c r="AO10" s="170">
        <f t="shared" si="0"/>
        <v>6573.112000000001</v>
      </c>
      <c r="AP10" s="170">
        <f t="shared" si="0"/>
        <v>6641.3870000000006</v>
      </c>
      <c r="AQ10" s="170">
        <f t="shared" si="0"/>
        <v>7277.844000000001</v>
      </c>
      <c r="AR10" s="170">
        <f t="shared" si="0"/>
        <v>7220.4879999999994</v>
      </c>
      <c r="AS10" s="170">
        <f t="shared" si="0"/>
        <v>7230.5159999999996</v>
      </c>
      <c r="AT10" s="170">
        <f t="shared" si="0"/>
        <v>9481.8449999999993</v>
      </c>
      <c r="AU10" s="170">
        <f t="shared" si="0"/>
        <v>10033.18</v>
      </c>
      <c r="AV10" s="170">
        <f t="shared" si="0"/>
        <v>9311.2800000000007</v>
      </c>
      <c r="AW10" s="170">
        <f t="shared" si="0"/>
        <v>8530</v>
      </c>
      <c r="AX10" s="170">
        <f t="shared" si="0"/>
        <v>8269.1260000000002</v>
      </c>
      <c r="AY10" s="170">
        <f t="shared" si="0"/>
        <v>8604.5709999999999</v>
      </c>
      <c r="AZ10" s="170">
        <f t="shared" si="0"/>
        <v>8651.0969999999998</v>
      </c>
      <c r="BA10" s="170">
        <f t="shared" si="0"/>
        <v>11745.117</v>
      </c>
      <c r="BB10" s="170">
        <f t="shared" si="0"/>
        <v>10245.543</v>
      </c>
      <c r="BC10" s="170">
        <f t="shared" si="0"/>
        <v>10973.665000000001</v>
      </c>
      <c r="BD10" s="170">
        <f t="shared" si="0"/>
        <v>11271.872999999998</v>
      </c>
      <c r="BE10" s="170">
        <f t="shared" si="0"/>
        <v>12373.831999999999</v>
      </c>
      <c r="BF10" s="170">
        <f>SUM(BF4:BF9)</f>
        <v>11106.068000000001</v>
      </c>
      <c r="BG10" s="170">
        <f>SUM(BG4:BG9)</f>
        <v>11454.777000000002</v>
      </c>
      <c r="BH10" s="170">
        <f>SUM(BH4:BH9)</f>
        <v>12509.602999999999</v>
      </c>
      <c r="BI10" s="170">
        <f>SUM(BI4:BI9)</f>
        <v>12672.295999999997</v>
      </c>
      <c r="BJ10" s="170">
        <f>SUM(BJ4:BJ9)</f>
        <v>11812.165000000001</v>
      </c>
      <c r="BK10" s="170">
        <f t="shared" ref="BK10" si="1">SUM(BK4:BK9)</f>
        <v>11455.218999999999</v>
      </c>
    </row>
    <row r="11" spans="1:69">
      <c r="A11" s="36" t="s">
        <v>676</v>
      </c>
      <c r="B11" s="335">
        <v>320.80799999999999</v>
      </c>
      <c r="C11" s="335">
        <v>339.42700000000002</v>
      </c>
      <c r="D11" s="335">
        <v>369.95</v>
      </c>
      <c r="E11" s="335">
        <v>457.83199999999999</v>
      </c>
      <c r="F11" s="335">
        <v>519.99</v>
      </c>
      <c r="G11" s="335">
        <v>524.98900000000003</v>
      </c>
      <c r="H11" s="335">
        <v>531.71199999999999</v>
      </c>
      <c r="I11" s="335">
        <v>535.08699999999999</v>
      </c>
      <c r="J11" s="335">
        <v>591.09</v>
      </c>
      <c r="K11" s="335">
        <v>602.17100000000005</v>
      </c>
      <c r="L11" s="335">
        <v>658.149</v>
      </c>
      <c r="M11" s="335">
        <v>692.42</v>
      </c>
      <c r="N11" s="335">
        <v>754.85199999999998</v>
      </c>
      <c r="O11" s="335">
        <v>743.57500000000005</v>
      </c>
      <c r="P11" s="335">
        <v>809.25800000000004</v>
      </c>
      <c r="Q11" s="335">
        <v>828.96500000000003</v>
      </c>
      <c r="R11" s="335">
        <v>894.423</v>
      </c>
      <c r="S11" s="335">
        <v>951.37300000000005</v>
      </c>
      <c r="T11" s="335">
        <v>942.68399999999997</v>
      </c>
      <c r="U11" s="335">
        <v>741.28200000000004</v>
      </c>
      <c r="V11" s="335">
        <v>994.25300000000004</v>
      </c>
      <c r="W11" s="335">
        <v>1020.1369999999999</v>
      </c>
      <c r="X11" s="335">
        <v>863.51700000000005</v>
      </c>
      <c r="Y11" s="335">
        <v>1320.8810000000001</v>
      </c>
      <c r="Z11" s="335">
        <v>1375.825</v>
      </c>
      <c r="AA11" s="335">
        <v>1560.6510000000001</v>
      </c>
      <c r="AB11" s="335">
        <v>1700.4169999999999</v>
      </c>
      <c r="AC11" s="335">
        <v>1710.943</v>
      </c>
      <c r="AD11" s="335">
        <v>1749.4549999999999</v>
      </c>
      <c r="AE11" s="335">
        <v>1722.1310000000001</v>
      </c>
      <c r="AF11" s="335">
        <v>1780.1959999999999</v>
      </c>
      <c r="AG11" s="335">
        <v>1900.191</v>
      </c>
      <c r="AH11" s="335">
        <v>2142.6640000000002</v>
      </c>
      <c r="AI11" s="335">
        <v>2343.4450000000002</v>
      </c>
      <c r="AJ11" s="335">
        <v>2473.884</v>
      </c>
      <c r="AK11" s="335">
        <v>2456.0720000000001</v>
      </c>
      <c r="AL11" s="335">
        <v>2412.0230000000001</v>
      </c>
      <c r="AM11" s="335">
        <v>2319.8910000000001</v>
      </c>
      <c r="AN11" s="335">
        <v>2235.8330000000001</v>
      </c>
      <c r="AO11" s="335">
        <v>2730.5549999999998</v>
      </c>
      <c r="AP11" s="335">
        <v>2661.3</v>
      </c>
      <c r="AQ11" s="335">
        <v>2855.8789999999999</v>
      </c>
      <c r="AR11" s="335">
        <v>2905.674</v>
      </c>
      <c r="AS11" s="335">
        <v>3835.5929999999998</v>
      </c>
      <c r="AT11" s="335">
        <v>3466.056</v>
      </c>
      <c r="AU11" s="1724">
        <v>3618.5059999999999</v>
      </c>
      <c r="AV11" s="335">
        <v>3986.9259999999999</v>
      </c>
      <c r="AW11" s="335">
        <v>4665</v>
      </c>
      <c r="AX11" s="335">
        <v>4763.4049999999997</v>
      </c>
      <c r="AY11" s="335">
        <v>4944.3720000000003</v>
      </c>
      <c r="AZ11" s="335">
        <v>4915.6819999999998</v>
      </c>
      <c r="BA11" s="335">
        <v>4968.9960000000001</v>
      </c>
      <c r="BB11" s="335">
        <v>4801.0820000000003</v>
      </c>
      <c r="BC11" s="335">
        <v>4725.0619999999999</v>
      </c>
      <c r="BD11" s="335">
        <v>4826.8239999999996</v>
      </c>
      <c r="BE11" s="335">
        <v>4563.6670000000004</v>
      </c>
      <c r="BF11" s="335">
        <v>5235.2370000000001</v>
      </c>
      <c r="BG11" s="335">
        <v>5191.3959999999997</v>
      </c>
      <c r="BH11" s="335">
        <v>5168.6440000000002</v>
      </c>
      <c r="BI11" s="335">
        <v>5330.8879999999999</v>
      </c>
      <c r="BJ11" s="335">
        <v>5749.5720000000001</v>
      </c>
      <c r="BK11" s="335">
        <v>5603.6469999999999</v>
      </c>
    </row>
    <row r="12" spans="1:69">
      <c r="A12" s="36" t="s">
        <v>121</v>
      </c>
      <c r="B12" s="335">
        <v>25.814</v>
      </c>
      <c r="C12" s="335">
        <v>15.567</v>
      </c>
      <c r="D12" s="335">
        <v>6.3369999999999997</v>
      </c>
      <c r="E12" s="335">
        <v>0.308</v>
      </c>
      <c r="F12" s="335">
        <v>0.191</v>
      </c>
      <c r="G12" s="335">
        <v>0.23200000000000001</v>
      </c>
      <c r="H12" s="335">
        <v>8.7999999999999995E-2</v>
      </c>
      <c r="I12" s="335">
        <v>8.7999999999999995E-2</v>
      </c>
      <c r="J12" s="335">
        <v>0.122</v>
      </c>
      <c r="K12" s="335">
        <v>1.3919999999999999</v>
      </c>
      <c r="L12" s="335">
        <v>0.30599999999999999</v>
      </c>
      <c r="M12" s="335">
        <v>0</v>
      </c>
      <c r="N12" s="335">
        <v>0</v>
      </c>
      <c r="O12" s="335">
        <v>0</v>
      </c>
      <c r="P12" s="335">
        <v>0</v>
      </c>
      <c r="Q12" s="335">
        <v>0</v>
      </c>
      <c r="R12" s="335">
        <v>0</v>
      </c>
      <c r="S12" s="335">
        <v>0</v>
      </c>
      <c r="T12" s="335">
        <v>0</v>
      </c>
      <c r="U12" s="335">
        <v>0</v>
      </c>
      <c r="V12" s="335">
        <v>0</v>
      </c>
      <c r="W12" s="335">
        <v>0</v>
      </c>
      <c r="X12" s="335">
        <v>0</v>
      </c>
      <c r="Y12" s="335">
        <v>0</v>
      </c>
      <c r="Z12" s="335">
        <v>0</v>
      </c>
      <c r="AA12" s="335">
        <v>0</v>
      </c>
      <c r="AB12" s="335">
        <v>0</v>
      </c>
      <c r="AC12" s="335">
        <v>0</v>
      </c>
      <c r="AD12" s="335">
        <v>0</v>
      </c>
      <c r="AE12" s="335">
        <v>0</v>
      </c>
      <c r="AF12" s="335">
        <v>0</v>
      </c>
      <c r="AG12" s="335">
        <v>0</v>
      </c>
      <c r="AH12" s="335">
        <v>0</v>
      </c>
      <c r="AI12" s="335">
        <v>0</v>
      </c>
      <c r="AJ12" s="335">
        <v>0</v>
      </c>
      <c r="AK12" s="335">
        <v>0</v>
      </c>
      <c r="AL12" s="335">
        <v>0</v>
      </c>
      <c r="AM12" s="335">
        <v>0</v>
      </c>
      <c r="AN12" s="335">
        <v>0</v>
      </c>
      <c r="AO12" s="335">
        <v>0</v>
      </c>
      <c r="AP12" s="335">
        <v>0</v>
      </c>
      <c r="AQ12" s="335">
        <v>0</v>
      </c>
      <c r="AR12" s="335">
        <v>0</v>
      </c>
      <c r="AS12" s="335">
        <v>0</v>
      </c>
      <c r="AT12" s="335">
        <v>0</v>
      </c>
      <c r="AU12" s="78">
        <v>0</v>
      </c>
      <c r="AV12" s="335">
        <v>1545.4749999999999</v>
      </c>
      <c r="AW12" s="335">
        <f>1790+243</f>
        <v>2033</v>
      </c>
      <c r="AX12" s="335">
        <v>1439.76</v>
      </c>
      <c r="AY12" s="335">
        <v>1395.5409999999999</v>
      </c>
      <c r="AZ12" s="335">
        <v>1381.627</v>
      </c>
      <c r="BA12" s="335">
        <v>782.83100000000002</v>
      </c>
      <c r="BB12" s="335">
        <v>699.28899999999999</v>
      </c>
      <c r="BC12" s="335">
        <v>692.68600000000004</v>
      </c>
      <c r="BD12" s="335">
        <v>710.04700000000003</v>
      </c>
      <c r="BE12" s="335">
        <v>670.19</v>
      </c>
      <c r="BF12" s="335">
        <v>842.52499999999998</v>
      </c>
      <c r="BG12" s="335">
        <v>820.01800000000003</v>
      </c>
      <c r="BH12" s="335">
        <v>913.41099999999994</v>
      </c>
      <c r="BI12" s="335">
        <v>1041.912</v>
      </c>
      <c r="BJ12" s="335">
        <v>1000.722</v>
      </c>
      <c r="BK12" s="335">
        <v>843.3</v>
      </c>
    </row>
    <row r="13" spans="1:69">
      <c r="A13" s="13" t="s">
        <v>371</v>
      </c>
      <c r="B13" s="170">
        <f t="shared" ref="B13:BB13" si="2">SUM(B11:B12)</f>
        <v>346.62200000000001</v>
      </c>
      <c r="C13" s="170">
        <f t="shared" si="2"/>
        <v>354.99400000000003</v>
      </c>
      <c r="D13" s="170">
        <f t="shared" si="2"/>
        <v>376.28699999999998</v>
      </c>
      <c r="E13" s="170">
        <f t="shared" si="2"/>
        <v>458.14</v>
      </c>
      <c r="F13" s="170">
        <f t="shared" si="2"/>
        <v>520.18100000000004</v>
      </c>
      <c r="G13" s="170">
        <f t="shared" si="2"/>
        <v>525.221</v>
      </c>
      <c r="H13" s="170">
        <f t="shared" si="2"/>
        <v>531.79999999999995</v>
      </c>
      <c r="I13" s="170">
        <f t="shared" si="2"/>
        <v>535.17499999999995</v>
      </c>
      <c r="J13" s="170">
        <f t="shared" si="2"/>
        <v>591.21199999999999</v>
      </c>
      <c r="K13" s="170">
        <f t="shared" si="2"/>
        <v>603.5630000000001</v>
      </c>
      <c r="L13" s="170">
        <f t="shared" si="2"/>
        <v>658.45500000000004</v>
      </c>
      <c r="M13" s="170">
        <f t="shared" si="2"/>
        <v>692.42</v>
      </c>
      <c r="N13" s="170">
        <f t="shared" si="2"/>
        <v>754.85199999999998</v>
      </c>
      <c r="O13" s="170">
        <f t="shared" si="2"/>
        <v>743.57500000000005</v>
      </c>
      <c r="P13" s="170">
        <f t="shared" si="2"/>
        <v>809.25800000000004</v>
      </c>
      <c r="Q13" s="170">
        <f t="shared" si="2"/>
        <v>828.96500000000003</v>
      </c>
      <c r="R13" s="170">
        <f t="shared" si="2"/>
        <v>894.423</v>
      </c>
      <c r="S13" s="170">
        <f t="shared" si="2"/>
        <v>951.37300000000005</v>
      </c>
      <c r="T13" s="170">
        <f t="shared" si="2"/>
        <v>942.68399999999997</v>
      </c>
      <c r="U13" s="170">
        <f t="shared" si="2"/>
        <v>741.28200000000004</v>
      </c>
      <c r="V13" s="170">
        <f t="shared" si="2"/>
        <v>994.25300000000004</v>
      </c>
      <c r="W13" s="170">
        <f t="shared" si="2"/>
        <v>1020.1369999999999</v>
      </c>
      <c r="X13" s="170">
        <f t="shared" si="2"/>
        <v>863.51700000000005</v>
      </c>
      <c r="Y13" s="170">
        <f t="shared" si="2"/>
        <v>1320.8810000000001</v>
      </c>
      <c r="Z13" s="170">
        <f t="shared" si="2"/>
        <v>1375.825</v>
      </c>
      <c r="AA13" s="170">
        <f t="shared" si="2"/>
        <v>1560.6510000000001</v>
      </c>
      <c r="AB13" s="170">
        <f t="shared" si="2"/>
        <v>1700.4169999999999</v>
      </c>
      <c r="AC13" s="170">
        <f t="shared" si="2"/>
        <v>1710.943</v>
      </c>
      <c r="AD13" s="170">
        <f t="shared" si="2"/>
        <v>1749.4549999999999</v>
      </c>
      <c r="AE13" s="170">
        <f t="shared" si="2"/>
        <v>1722.1310000000001</v>
      </c>
      <c r="AF13" s="170">
        <f t="shared" si="2"/>
        <v>1780.1959999999999</v>
      </c>
      <c r="AG13" s="170">
        <f t="shared" si="2"/>
        <v>1900.191</v>
      </c>
      <c r="AH13" s="170">
        <f t="shared" si="2"/>
        <v>2142.6640000000002</v>
      </c>
      <c r="AI13" s="170">
        <f t="shared" si="2"/>
        <v>2343.4450000000002</v>
      </c>
      <c r="AJ13" s="170">
        <f t="shared" si="2"/>
        <v>2473.884</v>
      </c>
      <c r="AK13" s="170">
        <f t="shared" si="2"/>
        <v>2456.0720000000001</v>
      </c>
      <c r="AL13" s="170">
        <f t="shared" si="2"/>
        <v>2412.0230000000001</v>
      </c>
      <c r="AM13" s="170">
        <f t="shared" si="2"/>
        <v>2319.8910000000001</v>
      </c>
      <c r="AN13" s="170">
        <f t="shared" si="2"/>
        <v>2235.8330000000001</v>
      </c>
      <c r="AO13" s="170">
        <f t="shared" si="2"/>
        <v>2730.5549999999998</v>
      </c>
      <c r="AP13" s="170">
        <f t="shared" si="2"/>
        <v>2661.3</v>
      </c>
      <c r="AQ13" s="170">
        <f t="shared" si="2"/>
        <v>2855.8789999999999</v>
      </c>
      <c r="AR13" s="170">
        <f t="shared" si="2"/>
        <v>2905.674</v>
      </c>
      <c r="AS13" s="170">
        <f t="shared" si="2"/>
        <v>3835.5929999999998</v>
      </c>
      <c r="AT13" s="170">
        <f t="shared" si="2"/>
        <v>3466.056</v>
      </c>
      <c r="AU13" s="170">
        <f t="shared" si="2"/>
        <v>3618.5059999999999</v>
      </c>
      <c r="AV13" s="170">
        <f t="shared" si="2"/>
        <v>5532.4009999999998</v>
      </c>
      <c r="AW13" s="170">
        <f t="shared" si="2"/>
        <v>6698</v>
      </c>
      <c r="AX13" s="170">
        <f t="shared" si="2"/>
        <v>6203.165</v>
      </c>
      <c r="AY13" s="170">
        <f t="shared" si="2"/>
        <v>6339.9130000000005</v>
      </c>
      <c r="AZ13" s="170">
        <f t="shared" si="2"/>
        <v>6297.3089999999993</v>
      </c>
      <c r="BA13" s="170">
        <f t="shared" si="2"/>
        <v>5751.8270000000002</v>
      </c>
      <c r="BB13" s="170">
        <f t="shared" si="2"/>
        <v>5500.3710000000001</v>
      </c>
      <c r="BC13" s="170">
        <f t="shared" ref="BC13:BJ13" si="3">SUM(BC11:BC12)</f>
        <v>5417.7479999999996</v>
      </c>
      <c r="BD13" s="170">
        <f t="shared" si="3"/>
        <v>5536.8709999999992</v>
      </c>
      <c r="BE13" s="170">
        <f t="shared" si="3"/>
        <v>5233.857</v>
      </c>
      <c r="BF13" s="170">
        <f t="shared" si="3"/>
        <v>6077.7619999999997</v>
      </c>
      <c r="BG13" s="170">
        <f t="shared" si="3"/>
        <v>6011.4139999999998</v>
      </c>
      <c r="BH13" s="170">
        <f t="shared" si="3"/>
        <v>6082.0550000000003</v>
      </c>
      <c r="BI13" s="170">
        <f t="shared" si="3"/>
        <v>6372.8</v>
      </c>
      <c r="BJ13" s="170">
        <f t="shared" si="3"/>
        <v>6750.2939999999999</v>
      </c>
      <c r="BK13" s="170">
        <f t="shared" ref="BK13" si="4">SUM(BK11:BK12)</f>
        <v>6446.9470000000001</v>
      </c>
    </row>
    <row r="14" spans="1:69">
      <c r="A14" s="36" t="s">
        <v>675</v>
      </c>
      <c r="B14" s="335">
        <v>33.883000000000003</v>
      </c>
      <c r="C14" s="335">
        <v>32.781999999999996</v>
      </c>
      <c r="D14" s="335">
        <v>30.231000000000002</v>
      </c>
      <c r="E14" s="335">
        <v>25.033000000000001</v>
      </c>
      <c r="F14" s="335">
        <v>30.957000000000001</v>
      </c>
      <c r="G14" s="335">
        <v>31.346</v>
      </c>
      <c r="H14" s="335">
        <v>17.067</v>
      </c>
      <c r="I14" s="335">
        <v>20.783000000000001</v>
      </c>
      <c r="J14" s="335">
        <v>20.262</v>
      </c>
      <c r="K14" s="335">
        <v>22.827999999999999</v>
      </c>
      <c r="L14" s="335">
        <v>25.245000000000001</v>
      </c>
      <c r="M14" s="335">
        <v>30.393999999999998</v>
      </c>
      <c r="N14" s="335">
        <v>32.715000000000003</v>
      </c>
      <c r="O14" s="335">
        <v>37.093000000000004</v>
      </c>
      <c r="P14" s="335">
        <v>40.174999999999997</v>
      </c>
      <c r="Q14" s="335">
        <v>40.295999999999999</v>
      </c>
      <c r="R14" s="335">
        <v>44.898000000000003</v>
      </c>
      <c r="S14" s="335">
        <v>45.152999999999999</v>
      </c>
      <c r="T14" s="335">
        <v>188.387</v>
      </c>
      <c r="U14" s="335">
        <v>788.66499999999996</v>
      </c>
      <c r="V14" s="335">
        <v>794.38699999999994</v>
      </c>
      <c r="W14" s="335">
        <v>797.32</v>
      </c>
      <c r="X14" s="335">
        <v>800.21100000000001</v>
      </c>
      <c r="Y14" s="335">
        <v>829.82399999999996</v>
      </c>
      <c r="Z14" s="335">
        <v>827.46900000000005</v>
      </c>
      <c r="AA14" s="335">
        <v>869.39599999999996</v>
      </c>
      <c r="AB14" s="335">
        <v>882.96600000000001</v>
      </c>
      <c r="AC14" s="335">
        <v>922.96199999999999</v>
      </c>
      <c r="AD14" s="335">
        <v>918.60599999999999</v>
      </c>
      <c r="AE14" s="335">
        <v>939.51199999999994</v>
      </c>
      <c r="AF14" s="335">
        <v>958.95600000000002</v>
      </c>
      <c r="AG14" s="335">
        <v>1001.398</v>
      </c>
      <c r="AH14" s="335">
        <v>995.46900000000005</v>
      </c>
      <c r="AI14" s="335">
        <v>0</v>
      </c>
      <c r="AJ14" s="335">
        <v>0</v>
      </c>
      <c r="AK14" s="335">
        <v>0</v>
      </c>
      <c r="AL14" s="335">
        <v>0</v>
      </c>
      <c r="AM14" s="335">
        <v>0</v>
      </c>
      <c r="AN14" s="335">
        <v>0</v>
      </c>
      <c r="AO14" s="335">
        <v>14.295999999999999</v>
      </c>
      <c r="AP14" s="335">
        <v>14.295999999999999</v>
      </c>
      <c r="AQ14" s="335">
        <f>36.683</f>
        <v>36.683</v>
      </c>
      <c r="AR14" s="335">
        <v>85.191000000000003</v>
      </c>
      <c r="AS14" s="335">
        <v>85.471000000000004</v>
      </c>
      <c r="AT14" s="335">
        <v>87.41</v>
      </c>
      <c r="AU14" s="1724">
        <v>83.613</v>
      </c>
      <c r="AV14" s="335">
        <v>83.527000000000001</v>
      </c>
      <c r="AW14" s="335">
        <v>90</v>
      </c>
      <c r="AX14" s="335">
        <v>92.599000000000004</v>
      </c>
      <c r="AY14" s="335">
        <v>110.679</v>
      </c>
      <c r="AZ14" s="335">
        <v>111.16200000000001</v>
      </c>
      <c r="BA14" s="335">
        <v>131.86699999999999</v>
      </c>
      <c r="BB14" s="335">
        <v>133.70400000000001</v>
      </c>
      <c r="BC14" s="335">
        <v>155.18700000000001</v>
      </c>
      <c r="BD14" s="335">
        <v>158.786</v>
      </c>
      <c r="BE14" s="335">
        <v>156.90299999999999</v>
      </c>
      <c r="BF14" s="335">
        <v>165.18799999999999</v>
      </c>
      <c r="BG14" s="335">
        <v>173.94399999999999</v>
      </c>
      <c r="BH14" s="335">
        <v>160.96100000000001</v>
      </c>
      <c r="BI14" s="335">
        <v>164.00299999999999</v>
      </c>
      <c r="BJ14" s="335">
        <v>164.00299999999999</v>
      </c>
      <c r="BK14" s="335">
        <v>164.00299999999999</v>
      </c>
    </row>
    <row r="15" spans="1:69">
      <c r="A15" s="36" t="s">
        <v>677</v>
      </c>
      <c r="B15" s="335">
        <v>3025.2759999999998</v>
      </c>
      <c r="C15" s="335">
        <v>2942.279</v>
      </c>
      <c r="D15" s="335">
        <v>2912.8110000000001</v>
      </c>
      <c r="E15" s="335">
        <v>2897.6779999999999</v>
      </c>
      <c r="F15" s="335">
        <v>2829.375</v>
      </c>
      <c r="G15" s="335">
        <v>2858.7060000000001</v>
      </c>
      <c r="H15" s="335">
        <v>2886.7379999999998</v>
      </c>
      <c r="I15" s="335">
        <v>2994.123</v>
      </c>
      <c r="J15" s="335">
        <v>3035.6779999999999</v>
      </c>
      <c r="K15" s="335">
        <v>3150.2159999999999</v>
      </c>
      <c r="L15" s="335">
        <v>3254.1590000000001</v>
      </c>
      <c r="M15" s="335">
        <v>3472.42</v>
      </c>
      <c r="N15" s="335">
        <v>3588.1010000000001</v>
      </c>
      <c r="O15" s="335">
        <v>3667.4859999999999</v>
      </c>
      <c r="P15" s="335">
        <v>3706.7950000000001</v>
      </c>
      <c r="Q15" s="335">
        <v>3924.1080000000002</v>
      </c>
      <c r="R15" s="335">
        <v>3873.7</v>
      </c>
      <c r="S15" s="335">
        <v>4259.6130000000003</v>
      </c>
      <c r="T15" s="335">
        <v>4454.17</v>
      </c>
      <c r="U15" s="335">
        <v>4764.3959999999997</v>
      </c>
      <c r="V15" s="335">
        <v>4666.1360000000004</v>
      </c>
      <c r="W15" s="335">
        <v>8624.7109999999993</v>
      </c>
      <c r="X15" s="335">
        <v>8742.6929999999993</v>
      </c>
      <c r="Y15" s="335">
        <v>9947.0660000000007</v>
      </c>
      <c r="Z15" s="335">
        <v>9988.143</v>
      </c>
      <c r="AA15" s="335">
        <v>10401.437</v>
      </c>
      <c r="AB15" s="335">
        <v>10684.641</v>
      </c>
      <c r="AC15" s="335">
        <v>11063.805</v>
      </c>
      <c r="AD15" s="335">
        <v>11346.28</v>
      </c>
      <c r="AE15" s="335">
        <v>11956.361999999999</v>
      </c>
      <c r="AF15" s="335">
        <v>12822.540999999999</v>
      </c>
      <c r="AG15" s="335">
        <v>13673.445</v>
      </c>
      <c r="AH15" s="335">
        <v>13720.78</v>
      </c>
      <c r="AI15" s="335">
        <v>14062.337</v>
      </c>
      <c r="AJ15" s="335">
        <v>14695.46</v>
      </c>
      <c r="AK15" s="335">
        <v>15772.478999999999</v>
      </c>
      <c r="AL15" s="335">
        <v>15689.567999999999</v>
      </c>
      <c r="AM15" s="335">
        <v>15702.707</v>
      </c>
      <c r="AN15" s="335">
        <v>15604.516</v>
      </c>
      <c r="AO15" s="335">
        <v>17993.148000000001</v>
      </c>
      <c r="AP15" s="335">
        <v>18567.893</v>
      </c>
      <c r="AQ15" s="335">
        <v>19578.465</v>
      </c>
      <c r="AR15" s="335">
        <v>19021.768</v>
      </c>
      <c r="AS15" s="335">
        <v>17538.350999999999</v>
      </c>
      <c r="AT15" s="335">
        <v>18309.967000000001</v>
      </c>
      <c r="AU15" s="1724">
        <v>17949.008999999998</v>
      </c>
      <c r="AV15" s="335">
        <v>17123.440999999999</v>
      </c>
      <c r="AW15" s="335">
        <v>15880</v>
      </c>
      <c r="AX15" s="335">
        <v>15514.76</v>
      </c>
      <c r="AY15" s="335">
        <v>14807.117</v>
      </c>
      <c r="AZ15" s="335">
        <v>14737.663</v>
      </c>
      <c r="BA15" s="335">
        <v>15277.931</v>
      </c>
      <c r="BB15" s="335">
        <v>15589.303</v>
      </c>
      <c r="BC15" s="335">
        <v>15371.686</v>
      </c>
      <c r="BD15" s="335">
        <v>14273.255999999999</v>
      </c>
      <c r="BE15" s="335">
        <v>15428.754999999999</v>
      </c>
      <c r="BF15" s="335">
        <v>14933.611999999999</v>
      </c>
      <c r="BG15" s="335">
        <v>14732.118</v>
      </c>
      <c r="BH15" s="335">
        <v>14950.329</v>
      </c>
      <c r="BI15" s="335">
        <v>15644.915000000001</v>
      </c>
      <c r="BJ15" s="335">
        <v>15533.481</v>
      </c>
      <c r="BK15" s="335">
        <v>17235.226999999999</v>
      </c>
    </row>
    <row r="16" spans="1:69">
      <c r="A16" s="36" t="s">
        <v>1183</v>
      </c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5"/>
      <c r="V16" s="335"/>
      <c r="W16" s="335"/>
      <c r="X16" s="335"/>
      <c r="Y16" s="335"/>
      <c r="Z16" s="335"/>
      <c r="AA16" s="335"/>
      <c r="AB16" s="335"/>
      <c r="AC16" s="335"/>
      <c r="AD16" s="335"/>
      <c r="AE16" s="335"/>
      <c r="AF16" s="335"/>
      <c r="AG16" s="335"/>
      <c r="AH16" s="335"/>
      <c r="AI16" s="335"/>
      <c r="AJ16" s="335"/>
      <c r="AK16" s="335"/>
      <c r="AL16" s="335"/>
      <c r="AM16" s="335"/>
      <c r="AN16" s="335"/>
      <c r="AO16" s="335"/>
      <c r="AP16" s="335">
        <v>23733.628000000001</v>
      </c>
      <c r="AQ16" s="335">
        <v>20767.55</v>
      </c>
      <c r="AR16" s="335">
        <v>21106.86</v>
      </c>
      <c r="AS16" s="335">
        <v>20347.108</v>
      </c>
      <c r="AT16" s="335">
        <v>24554.098000000002</v>
      </c>
      <c r="AU16" s="1728">
        <v>22971.758999999998</v>
      </c>
      <c r="AV16" s="335">
        <v>22666.013999999999</v>
      </c>
      <c r="AW16" s="335">
        <v>23423</v>
      </c>
      <c r="AX16" s="335">
        <v>24029.966</v>
      </c>
      <c r="AY16" s="335">
        <v>22574.755000000001</v>
      </c>
      <c r="AZ16" s="335">
        <v>21995.575000000001</v>
      </c>
      <c r="BA16" s="335">
        <v>22274.256000000001</v>
      </c>
      <c r="BB16" s="335">
        <v>22737.466</v>
      </c>
      <c r="BC16" s="335">
        <v>21487.24</v>
      </c>
      <c r="BD16" s="335">
        <v>19969.462</v>
      </c>
      <c r="BE16" s="335">
        <v>20604.243999999999</v>
      </c>
      <c r="BF16" s="335">
        <v>19063.554</v>
      </c>
      <c r="BG16" s="335">
        <v>18258.692999999999</v>
      </c>
      <c r="BH16" s="335">
        <v>17955.677</v>
      </c>
      <c r="BI16" s="335">
        <v>17151.940999999999</v>
      </c>
      <c r="BJ16" s="335">
        <v>15740.11</v>
      </c>
      <c r="BK16" s="335">
        <v>18248.849999999999</v>
      </c>
    </row>
    <row r="17" spans="1:66">
      <c r="A17" s="36" t="s">
        <v>678</v>
      </c>
      <c r="B17" s="335">
        <v>1034.0509999999999</v>
      </c>
      <c r="C17" s="335">
        <v>1009.004</v>
      </c>
      <c r="D17" s="335">
        <v>985.66800000000001</v>
      </c>
      <c r="E17" s="335">
        <v>992.6</v>
      </c>
      <c r="F17" s="335">
        <v>977.39300000000003</v>
      </c>
      <c r="G17" s="335">
        <v>968.45799999999997</v>
      </c>
      <c r="H17" s="335">
        <v>955.24199999999996</v>
      </c>
      <c r="I17" s="335">
        <v>955.31</v>
      </c>
      <c r="J17" s="335">
        <v>923.16300000000001</v>
      </c>
      <c r="K17" s="335">
        <v>891.28</v>
      </c>
      <c r="L17" s="335">
        <v>910.87800000000004</v>
      </c>
      <c r="M17" s="335">
        <v>928.69399999999996</v>
      </c>
      <c r="N17" s="335">
        <v>2544.7289999999998</v>
      </c>
      <c r="O17" s="335">
        <v>2523.5410000000002</v>
      </c>
      <c r="P17" s="335">
        <v>2478.018</v>
      </c>
      <c r="Q17" s="335">
        <v>2418.83</v>
      </c>
      <c r="R17" s="335">
        <v>2407.8150000000001</v>
      </c>
      <c r="S17" s="335">
        <v>2551.2040000000002</v>
      </c>
      <c r="T17" s="335">
        <v>3761.34</v>
      </c>
      <c r="U17" s="335">
        <v>3386.0430000000001</v>
      </c>
      <c r="V17" s="335">
        <v>3319.866</v>
      </c>
      <c r="W17" s="335">
        <v>7768.9129999999996</v>
      </c>
      <c r="X17" s="335">
        <v>8689.1929999999993</v>
      </c>
      <c r="Y17" s="335">
        <v>13597.599</v>
      </c>
      <c r="Z17" s="335">
        <v>13210.082</v>
      </c>
      <c r="AA17" s="335">
        <v>13397.785</v>
      </c>
      <c r="AB17" s="335">
        <v>13637.831</v>
      </c>
      <c r="AC17" s="335">
        <v>13753.902</v>
      </c>
      <c r="AD17" s="335">
        <v>15135.695</v>
      </c>
      <c r="AE17" s="335">
        <v>15036.611999999999</v>
      </c>
      <c r="AF17" s="335">
        <v>15059.2</v>
      </c>
      <c r="AG17" s="335">
        <v>15215.335999999999</v>
      </c>
      <c r="AH17" s="335">
        <v>15139.791999999999</v>
      </c>
      <c r="AI17" s="335">
        <v>15164.124</v>
      </c>
      <c r="AJ17" s="335">
        <v>15254.995999999999</v>
      </c>
      <c r="AK17" s="335">
        <v>15358.005999999999</v>
      </c>
      <c r="AL17" s="335">
        <v>15238.194</v>
      </c>
      <c r="AM17" s="335">
        <v>15124.357</v>
      </c>
      <c r="AN17" s="335">
        <v>15048.837</v>
      </c>
      <c r="AO17" s="335">
        <v>25749.010999999999</v>
      </c>
      <c r="AP17" s="335">
        <v>25934.328000000001</v>
      </c>
      <c r="AQ17" s="335">
        <v>25909.170999999998</v>
      </c>
      <c r="AR17" s="335">
        <v>25816.252</v>
      </c>
      <c r="AS17" s="335">
        <v>27375.208999999999</v>
      </c>
      <c r="AT17" s="335">
        <v>28972.52</v>
      </c>
      <c r="AU17" s="1724">
        <v>29421.368999999999</v>
      </c>
      <c r="AV17" s="335">
        <v>29871.771000000001</v>
      </c>
      <c r="AW17" s="335">
        <v>28817</v>
      </c>
      <c r="AX17" s="335">
        <v>28553.613000000001</v>
      </c>
      <c r="AY17" s="335">
        <v>28182.726999999999</v>
      </c>
      <c r="AZ17" s="335">
        <v>28277.452000000001</v>
      </c>
      <c r="BA17" s="335">
        <v>27796.563999999998</v>
      </c>
      <c r="BB17" s="335">
        <v>27115.330999999998</v>
      </c>
      <c r="BC17" s="335">
        <v>26325.57</v>
      </c>
      <c r="BD17" s="335">
        <v>26176.780999999999</v>
      </c>
      <c r="BE17" s="335">
        <v>26671.732</v>
      </c>
      <c r="BF17" s="335">
        <v>25683.412</v>
      </c>
      <c r="BG17" s="335">
        <v>24777.38</v>
      </c>
      <c r="BH17" s="335">
        <v>24542.161</v>
      </c>
      <c r="BI17" s="335">
        <v>24991.065999999999</v>
      </c>
      <c r="BJ17" s="335">
        <v>24091.131000000001</v>
      </c>
      <c r="BK17" s="335">
        <v>24830.120999999999</v>
      </c>
    </row>
    <row r="18" spans="1:66">
      <c r="A18" s="13" t="s">
        <v>122</v>
      </c>
      <c r="B18" s="170">
        <f t="shared" ref="B18:AO18" si="5">SUM(B17:B17,B14:B15,B13)</f>
        <v>4439.8320000000003</v>
      </c>
      <c r="C18" s="170">
        <f t="shared" si="5"/>
        <v>4339.0590000000002</v>
      </c>
      <c r="D18" s="170">
        <f t="shared" si="5"/>
        <v>4304.9970000000003</v>
      </c>
      <c r="E18" s="170">
        <f t="shared" si="5"/>
        <v>4373.451</v>
      </c>
      <c r="F18" s="170">
        <f t="shared" si="5"/>
        <v>4357.9059999999999</v>
      </c>
      <c r="G18" s="170">
        <f t="shared" si="5"/>
        <v>4383.7309999999998</v>
      </c>
      <c r="H18" s="170">
        <f t="shared" si="5"/>
        <v>4390.8469999999998</v>
      </c>
      <c r="I18" s="170">
        <f t="shared" si="5"/>
        <v>4505.3909999999996</v>
      </c>
      <c r="J18" s="170">
        <f t="shared" si="5"/>
        <v>4570.3150000000005</v>
      </c>
      <c r="K18" s="170">
        <f t="shared" si="5"/>
        <v>4667.8869999999997</v>
      </c>
      <c r="L18" s="170">
        <f t="shared" si="5"/>
        <v>4848.7370000000001</v>
      </c>
      <c r="M18" s="170">
        <f t="shared" si="5"/>
        <v>5123.9279999999999</v>
      </c>
      <c r="N18" s="170">
        <f t="shared" si="5"/>
        <v>6920.3969999999999</v>
      </c>
      <c r="O18" s="170">
        <f t="shared" si="5"/>
        <v>6971.6949999999997</v>
      </c>
      <c r="P18" s="170">
        <f t="shared" si="5"/>
        <v>7034.2460000000001</v>
      </c>
      <c r="Q18" s="170">
        <f t="shared" si="5"/>
        <v>7212.1990000000005</v>
      </c>
      <c r="R18" s="170">
        <f t="shared" si="5"/>
        <v>7220.8360000000002</v>
      </c>
      <c r="S18" s="170">
        <f t="shared" si="5"/>
        <v>7807.3430000000008</v>
      </c>
      <c r="T18" s="170">
        <f t="shared" si="5"/>
        <v>9346.5810000000001</v>
      </c>
      <c r="U18" s="170">
        <f t="shared" si="5"/>
        <v>9680.3859999999986</v>
      </c>
      <c r="V18" s="170">
        <f t="shared" si="5"/>
        <v>9774.6419999999998</v>
      </c>
      <c r="W18" s="170">
        <f t="shared" si="5"/>
        <v>18211.080999999998</v>
      </c>
      <c r="X18" s="170">
        <f t="shared" si="5"/>
        <v>19095.613999999998</v>
      </c>
      <c r="Y18" s="170">
        <f t="shared" si="5"/>
        <v>25695.370000000003</v>
      </c>
      <c r="Z18" s="170">
        <f t="shared" si="5"/>
        <v>25401.519</v>
      </c>
      <c r="AA18" s="170">
        <f t="shared" si="5"/>
        <v>26229.269000000004</v>
      </c>
      <c r="AB18" s="170">
        <f t="shared" si="5"/>
        <v>26905.855000000003</v>
      </c>
      <c r="AC18" s="170">
        <f t="shared" si="5"/>
        <v>27451.612000000001</v>
      </c>
      <c r="AD18" s="170">
        <f t="shared" si="5"/>
        <v>29150.036</v>
      </c>
      <c r="AE18" s="170">
        <f t="shared" si="5"/>
        <v>29654.616999999998</v>
      </c>
      <c r="AF18" s="170">
        <f t="shared" si="5"/>
        <v>30620.893</v>
      </c>
      <c r="AG18" s="170">
        <f t="shared" si="5"/>
        <v>31790.369999999995</v>
      </c>
      <c r="AH18" s="170">
        <f t="shared" si="5"/>
        <v>31998.704999999998</v>
      </c>
      <c r="AI18" s="170">
        <f t="shared" si="5"/>
        <v>31569.905999999999</v>
      </c>
      <c r="AJ18" s="170">
        <f t="shared" si="5"/>
        <v>32424.339999999997</v>
      </c>
      <c r="AK18" s="170">
        <f t="shared" si="5"/>
        <v>33586.557000000001</v>
      </c>
      <c r="AL18" s="170">
        <f t="shared" si="5"/>
        <v>33339.784999999996</v>
      </c>
      <c r="AM18" s="170">
        <f t="shared" si="5"/>
        <v>33146.955000000002</v>
      </c>
      <c r="AN18" s="170">
        <f t="shared" si="5"/>
        <v>32889.186000000002</v>
      </c>
      <c r="AO18" s="170">
        <f t="shared" si="5"/>
        <v>46487.01</v>
      </c>
      <c r="AP18" s="170">
        <f t="shared" ref="AP18:BB18" si="6">SUM(AP17:AP17,AP14:AP16,AP13)</f>
        <v>70911.445000000007</v>
      </c>
      <c r="AQ18" s="170">
        <f t="shared" si="6"/>
        <v>69147.748000000007</v>
      </c>
      <c r="AR18" s="170">
        <f t="shared" si="6"/>
        <v>68935.744999999995</v>
      </c>
      <c r="AS18" s="170">
        <f t="shared" si="6"/>
        <v>69181.732000000004</v>
      </c>
      <c r="AT18" s="170">
        <f t="shared" si="6"/>
        <v>75390.050999999992</v>
      </c>
      <c r="AU18" s="170">
        <f t="shared" si="6"/>
        <v>74044.255999999994</v>
      </c>
      <c r="AV18" s="170">
        <f t="shared" si="6"/>
        <v>75277.153999999995</v>
      </c>
      <c r="AW18" s="170">
        <f t="shared" si="6"/>
        <v>74908</v>
      </c>
      <c r="AX18" s="170">
        <f t="shared" si="6"/>
        <v>74394.102999999988</v>
      </c>
      <c r="AY18" s="170">
        <f t="shared" si="6"/>
        <v>72015.191000000006</v>
      </c>
      <c r="AZ18" s="170">
        <f t="shared" si="6"/>
        <v>71419.160999999993</v>
      </c>
      <c r="BA18" s="170">
        <f t="shared" si="6"/>
        <v>71232.444999999992</v>
      </c>
      <c r="BB18" s="170">
        <f t="shared" si="6"/>
        <v>71076.175000000003</v>
      </c>
      <c r="BC18" s="170">
        <f t="shared" ref="BC18:BH18" si="7">SUM(BC17:BC17,BC14:BC16,BC13)</f>
        <v>68757.431000000011</v>
      </c>
      <c r="BD18" s="170">
        <f t="shared" si="7"/>
        <v>66115.155999999988</v>
      </c>
      <c r="BE18" s="170">
        <f t="shared" si="7"/>
        <v>68095.490999999995</v>
      </c>
      <c r="BF18" s="170">
        <f t="shared" si="7"/>
        <v>65923.528000000006</v>
      </c>
      <c r="BG18" s="170">
        <f t="shared" si="7"/>
        <v>63953.548999999999</v>
      </c>
      <c r="BH18" s="170">
        <f t="shared" si="7"/>
        <v>63691.182999999997</v>
      </c>
      <c r="BI18" s="170">
        <f t="shared" ref="BI18:BJ18" si="8">SUM(BI17:BI17,BI14:BI16,BI13)</f>
        <v>64324.724999999999</v>
      </c>
      <c r="BJ18" s="170">
        <f t="shared" si="8"/>
        <v>62279.019000000008</v>
      </c>
      <c r="BK18" s="170">
        <f t="shared" ref="BK18" si="9">SUM(BK17:BK17,BK14:BK16,BK13)</f>
        <v>66925.147999999986</v>
      </c>
    </row>
    <row r="19" spans="1:66">
      <c r="A19" s="13" t="s">
        <v>373</v>
      </c>
      <c r="B19" s="170">
        <f t="shared" ref="B19:AP19" si="10">B18+B10</f>
        <v>6083.7730000000001</v>
      </c>
      <c r="C19" s="170">
        <f t="shared" si="10"/>
        <v>5844.1820000000007</v>
      </c>
      <c r="D19" s="170">
        <f t="shared" si="10"/>
        <v>5713.6200000000008</v>
      </c>
      <c r="E19" s="170">
        <f t="shared" si="10"/>
        <v>5808.8090000000002</v>
      </c>
      <c r="F19" s="170">
        <f t="shared" si="10"/>
        <v>6074.3419999999996</v>
      </c>
      <c r="G19" s="170">
        <f t="shared" si="10"/>
        <v>5750.7179999999998</v>
      </c>
      <c r="H19" s="170">
        <f t="shared" si="10"/>
        <v>5804.5679999999993</v>
      </c>
      <c r="I19" s="170">
        <f t="shared" si="10"/>
        <v>6141.2289999999994</v>
      </c>
      <c r="J19" s="170">
        <f t="shared" si="10"/>
        <v>6001.4770000000008</v>
      </c>
      <c r="K19" s="170">
        <f t="shared" si="10"/>
        <v>6331.5559999999996</v>
      </c>
      <c r="L19" s="170">
        <f t="shared" si="10"/>
        <v>6624.8819999999996</v>
      </c>
      <c r="M19" s="170">
        <f t="shared" si="10"/>
        <v>9374.1729999999989</v>
      </c>
      <c r="N19" s="170">
        <f t="shared" si="10"/>
        <v>9507.2540000000008</v>
      </c>
      <c r="O19" s="170">
        <f t="shared" si="10"/>
        <v>9414.7170000000006</v>
      </c>
      <c r="P19" s="170">
        <f t="shared" si="10"/>
        <v>9435.1409999999996</v>
      </c>
      <c r="Q19" s="170">
        <f t="shared" si="10"/>
        <v>9797.5930000000008</v>
      </c>
      <c r="R19" s="170">
        <f t="shared" si="10"/>
        <v>9673.15</v>
      </c>
      <c r="S19" s="170">
        <f t="shared" si="10"/>
        <v>10147.488000000001</v>
      </c>
      <c r="T19" s="170">
        <f t="shared" si="10"/>
        <v>11945.327000000001</v>
      </c>
      <c r="U19" s="170">
        <f t="shared" si="10"/>
        <v>12416.134999999998</v>
      </c>
      <c r="V19" s="170">
        <f t="shared" si="10"/>
        <v>12345.029</v>
      </c>
      <c r="W19" s="170">
        <f t="shared" si="10"/>
        <v>22092.574999999997</v>
      </c>
      <c r="X19" s="170">
        <f t="shared" si="10"/>
        <v>22208.930999999997</v>
      </c>
      <c r="Y19" s="170">
        <f t="shared" si="10"/>
        <v>29771.596000000001</v>
      </c>
      <c r="Z19" s="170">
        <f t="shared" si="10"/>
        <v>29412.923999999999</v>
      </c>
      <c r="AA19" s="170">
        <f t="shared" si="10"/>
        <v>30400.917000000005</v>
      </c>
      <c r="AB19" s="170">
        <f t="shared" si="10"/>
        <v>30817.355000000003</v>
      </c>
      <c r="AC19" s="170">
        <f t="shared" si="10"/>
        <v>31842.427000000003</v>
      </c>
      <c r="AD19" s="170">
        <f t="shared" si="10"/>
        <v>33548.524000000005</v>
      </c>
      <c r="AE19" s="170">
        <f t="shared" si="10"/>
        <v>34190.557999999997</v>
      </c>
      <c r="AF19" s="170">
        <f t="shared" si="10"/>
        <v>35584.995999999999</v>
      </c>
      <c r="AG19" s="170">
        <f t="shared" si="10"/>
        <v>37995.140999999996</v>
      </c>
      <c r="AH19" s="170">
        <f t="shared" si="10"/>
        <v>37307.655999999995</v>
      </c>
      <c r="AI19" s="170">
        <f t="shared" si="10"/>
        <v>37923.921000000002</v>
      </c>
      <c r="AJ19" s="170">
        <f t="shared" si="10"/>
        <v>38765.432000000001</v>
      </c>
      <c r="AK19" s="170">
        <f t="shared" si="10"/>
        <v>39659.256999999998</v>
      </c>
      <c r="AL19" s="170">
        <f t="shared" si="10"/>
        <v>39692.687999999995</v>
      </c>
      <c r="AM19" s="170">
        <f t="shared" si="10"/>
        <v>40145.663</v>
      </c>
      <c r="AN19" s="170">
        <f t="shared" si="10"/>
        <v>39429.775000000001</v>
      </c>
      <c r="AO19" s="170">
        <f t="shared" si="10"/>
        <v>53060.122000000003</v>
      </c>
      <c r="AP19" s="170">
        <f t="shared" si="10"/>
        <v>77552.832000000009</v>
      </c>
      <c r="AQ19" s="170">
        <f t="shared" ref="AQ19:BB19" si="11">AQ18+AQ10</f>
        <v>76425.592000000004</v>
      </c>
      <c r="AR19" s="170">
        <f t="shared" si="11"/>
        <v>76156.232999999993</v>
      </c>
      <c r="AS19" s="170">
        <f t="shared" si="11"/>
        <v>76412.248000000007</v>
      </c>
      <c r="AT19" s="170">
        <f t="shared" si="11"/>
        <v>84871.895999999993</v>
      </c>
      <c r="AU19" s="170">
        <f t="shared" si="11"/>
        <v>84077.435999999987</v>
      </c>
      <c r="AV19" s="170">
        <f t="shared" si="11"/>
        <v>84588.433999999994</v>
      </c>
      <c r="AW19" s="170">
        <f t="shared" si="11"/>
        <v>83438</v>
      </c>
      <c r="AX19" s="170">
        <f t="shared" si="11"/>
        <v>82663.228999999992</v>
      </c>
      <c r="AY19" s="170">
        <f t="shared" si="11"/>
        <v>80619.762000000002</v>
      </c>
      <c r="AZ19" s="170">
        <f t="shared" si="11"/>
        <v>80070.257999999987</v>
      </c>
      <c r="BA19" s="170">
        <f t="shared" si="11"/>
        <v>82977.561999999991</v>
      </c>
      <c r="BB19" s="170">
        <f t="shared" si="11"/>
        <v>81321.718000000008</v>
      </c>
      <c r="BC19" s="170">
        <f t="shared" ref="BC19:BH19" si="12">BC18+BC10</f>
        <v>79731.09600000002</v>
      </c>
      <c r="BD19" s="170">
        <f t="shared" si="12"/>
        <v>77387.02899999998</v>
      </c>
      <c r="BE19" s="170">
        <f t="shared" si="12"/>
        <v>80469.322999999989</v>
      </c>
      <c r="BF19" s="170">
        <f t="shared" si="12"/>
        <v>77029.596000000005</v>
      </c>
      <c r="BG19" s="170">
        <f t="shared" si="12"/>
        <v>75408.326000000001</v>
      </c>
      <c r="BH19" s="170">
        <f t="shared" si="12"/>
        <v>76200.785999999993</v>
      </c>
      <c r="BI19" s="170">
        <f t="shared" ref="BI19:BJ19" si="13">BI18+BI10</f>
        <v>76997.020999999993</v>
      </c>
      <c r="BJ19" s="170">
        <f t="shared" si="13"/>
        <v>74091.184000000008</v>
      </c>
      <c r="BK19" s="170">
        <f t="shared" ref="BK19" si="14">BK18+BK10</f>
        <v>78380.366999999984</v>
      </c>
    </row>
    <row r="20" spans="1:66">
      <c r="A20" s="548" t="s">
        <v>573</v>
      </c>
      <c r="B20" s="549">
        <v>6083.7730000000001</v>
      </c>
      <c r="C20" s="549">
        <v>5844.1819999999998</v>
      </c>
      <c r="D20" s="549">
        <v>5713.62</v>
      </c>
      <c r="E20" s="549">
        <v>5808.8090000000002</v>
      </c>
      <c r="F20" s="549">
        <v>6074.3419999999996</v>
      </c>
      <c r="G20" s="549">
        <v>5750.7179999999998</v>
      </c>
      <c r="H20" s="549">
        <v>5804.5680000000002</v>
      </c>
      <c r="I20" s="549">
        <v>6141.2290000000003</v>
      </c>
      <c r="J20" s="549">
        <v>6001.4769999999999</v>
      </c>
      <c r="K20" s="549">
        <v>6331.5559999999996</v>
      </c>
      <c r="L20" s="549">
        <v>6624.8819999999996</v>
      </c>
      <c r="M20" s="549">
        <v>9374.1740000000009</v>
      </c>
      <c r="N20" s="549">
        <v>9507.2540000000008</v>
      </c>
      <c r="O20" s="549">
        <v>9414.7170000000006</v>
      </c>
      <c r="P20" s="549">
        <v>9435.1409999999996</v>
      </c>
      <c r="Q20" s="549">
        <v>9797.5930000000008</v>
      </c>
      <c r="R20" s="549">
        <v>9673.1489999999994</v>
      </c>
      <c r="S20" s="549">
        <v>10147.486999999999</v>
      </c>
      <c r="T20" s="549">
        <v>11945.326999999999</v>
      </c>
      <c r="U20" s="549">
        <v>12416.134</v>
      </c>
      <c r="V20" s="549">
        <v>12345.03</v>
      </c>
      <c r="W20" s="549">
        <v>22092.575000000001</v>
      </c>
      <c r="X20" s="549">
        <v>22208.920999999998</v>
      </c>
      <c r="Y20" s="549">
        <v>29771.596000000001</v>
      </c>
      <c r="Z20" s="549">
        <v>29412.923999999999</v>
      </c>
      <c r="AA20" s="549">
        <v>30400.917000000001</v>
      </c>
      <c r="AB20" s="549">
        <v>30817.355</v>
      </c>
      <c r="AC20" s="549">
        <v>31842.427</v>
      </c>
      <c r="AD20" s="549">
        <v>33548.523999999998</v>
      </c>
      <c r="AE20" s="549">
        <v>34190.557999999997</v>
      </c>
      <c r="AF20" s="549">
        <v>35584.995999999999</v>
      </c>
      <c r="AG20" s="549">
        <v>37995.141000000003</v>
      </c>
      <c r="AH20" s="549">
        <v>37307.656000000003</v>
      </c>
      <c r="AI20" s="549">
        <v>37923.921000000002</v>
      </c>
      <c r="AJ20" s="549">
        <v>38765.432000000001</v>
      </c>
      <c r="AK20" s="549">
        <v>39659.256999999998</v>
      </c>
      <c r="AL20" s="549">
        <v>39692.688000000002</v>
      </c>
      <c r="AM20" s="549">
        <v>40145.663</v>
      </c>
      <c r="AN20" s="549">
        <v>39429.775000000001</v>
      </c>
      <c r="AO20" s="549">
        <v>53060.122000000003</v>
      </c>
      <c r="AP20" s="549">
        <v>77552.831999999995</v>
      </c>
      <c r="AQ20" s="549">
        <v>76425.592000000004</v>
      </c>
      <c r="AR20" s="549">
        <v>76156.232999999993</v>
      </c>
      <c r="AS20" s="549">
        <v>76412.248000000007</v>
      </c>
      <c r="AT20" s="549">
        <v>84871.895999999993</v>
      </c>
      <c r="AU20" s="1729">
        <v>84077.436000000002</v>
      </c>
      <c r="AV20" s="549">
        <v>84588.433999999994</v>
      </c>
      <c r="AW20" s="549">
        <v>83438</v>
      </c>
      <c r="AX20" s="549">
        <v>82663.23</v>
      </c>
      <c r="AY20" s="549">
        <v>80619.762000000002</v>
      </c>
      <c r="AZ20" s="549">
        <v>80070.258000000002</v>
      </c>
      <c r="BA20" s="549">
        <v>82977.561999999991</v>
      </c>
      <c r="BB20" s="549">
        <v>81321.717999999993</v>
      </c>
      <c r="BC20" s="549">
        <v>79731.095000000001</v>
      </c>
      <c r="BD20" s="549">
        <v>77387.028999999995</v>
      </c>
      <c r="BE20" s="549">
        <v>80469.323999999993</v>
      </c>
      <c r="BF20" s="549">
        <v>77029.596000000005</v>
      </c>
      <c r="BG20" s="549">
        <v>75408.327000000005</v>
      </c>
      <c r="BH20" s="549">
        <v>76200.804999999993</v>
      </c>
      <c r="BI20" s="549">
        <v>76997.020999999993</v>
      </c>
      <c r="BJ20" s="549">
        <v>74091.184999999998</v>
      </c>
      <c r="BK20" s="549">
        <v>78380.366999999998</v>
      </c>
    </row>
    <row r="21" spans="1:66" s="275" customFormat="1">
      <c r="A21" s="128"/>
      <c r="B21" s="543"/>
      <c r="C21" s="543"/>
      <c r="D21" s="543"/>
      <c r="E21" s="543"/>
      <c r="F21" s="543"/>
      <c r="G21" s="543"/>
      <c r="H21" s="543"/>
      <c r="I21" s="543"/>
      <c r="J21" s="543"/>
      <c r="K21" s="543"/>
      <c r="L21" s="543"/>
      <c r="M21" s="543"/>
      <c r="N21" s="543"/>
      <c r="O21" s="543"/>
      <c r="P21" s="543"/>
      <c r="Q21" s="543"/>
      <c r="R21" s="543"/>
      <c r="S21" s="543"/>
      <c r="T21" s="543"/>
      <c r="U21" s="543"/>
      <c r="V21" s="543"/>
      <c r="W21" s="543"/>
      <c r="X21" s="543"/>
      <c r="Y21" s="543"/>
      <c r="Z21" s="543"/>
      <c r="AA21" s="543"/>
      <c r="AB21" s="543"/>
      <c r="AC21" s="543"/>
      <c r="AD21" s="543"/>
      <c r="AE21" s="543"/>
      <c r="AF21" s="543"/>
      <c r="AG21" s="543"/>
      <c r="AH21" s="543"/>
      <c r="AI21" s="543"/>
      <c r="AJ21" s="543"/>
      <c r="AK21" s="543"/>
      <c r="AL21" s="543"/>
      <c r="AM21" s="543"/>
      <c r="AN21" s="543"/>
      <c r="AO21" s="543"/>
      <c r="AP21" s="543"/>
      <c r="AQ21" s="543"/>
      <c r="AR21" s="543"/>
      <c r="AS21" s="543"/>
      <c r="AT21" s="543"/>
      <c r="AU21" s="543"/>
      <c r="AV21" s="543"/>
      <c r="AW21" s="543"/>
      <c r="AX21" s="543"/>
      <c r="AY21" s="543"/>
      <c r="AZ21" s="543"/>
      <c r="BA21" s="543"/>
      <c r="BB21" s="543"/>
      <c r="BC21" s="543"/>
      <c r="BD21" s="543"/>
      <c r="BE21" s="543"/>
      <c r="BF21" s="543"/>
      <c r="BG21" s="845"/>
      <c r="BH21" s="845"/>
      <c r="BI21" s="845"/>
      <c r="BJ21" s="845"/>
      <c r="BK21" s="845"/>
    </row>
    <row r="22" spans="1:66">
      <c r="U22" s="651"/>
    </row>
    <row r="23" spans="1:66">
      <c r="A23" s="13" t="s">
        <v>123</v>
      </c>
    </row>
    <row r="24" spans="1:66">
      <c r="A24" s="36" t="s">
        <v>679</v>
      </c>
      <c r="B24" s="335">
        <v>430.06700000000001</v>
      </c>
      <c r="C24" s="335">
        <v>411.69799999999998</v>
      </c>
      <c r="D24" s="335">
        <v>437.00099999999998</v>
      </c>
      <c r="E24" s="335">
        <v>559.149</v>
      </c>
      <c r="F24" s="335">
        <v>426.32799999999997</v>
      </c>
      <c r="G24" s="335">
        <v>462.06799999999998</v>
      </c>
      <c r="H24" s="335">
        <v>537.52599999999995</v>
      </c>
      <c r="I24" s="335">
        <v>710.548</v>
      </c>
      <c r="J24" s="335">
        <v>591.25300000000004</v>
      </c>
      <c r="K24" s="335">
        <v>687.82799999999997</v>
      </c>
      <c r="L24" s="335">
        <v>676.72699999999998</v>
      </c>
      <c r="M24" s="335">
        <v>1021.424</v>
      </c>
      <c r="N24" s="335">
        <v>840.87699999999995</v>
      </c>
      <c r="O24" s="335">
        <v>1012.2910000000001</v>
      </c>
      <c r="P24" s="335">
        <v>930.31799999999998</v>
      </c>
      <c r="Q24" s="335">
        <v>1129.6120000000001</v>
      </c>
      <c r="R24" s="335">
        <v>1024.924</v>
      </c>
      <c r="S24" s="335">
        <v>1006.899</v>
      </c>
      <c r="T24" s="335">
        <v>1108.04</v>
      </c>
      <c r="U24" s="335">
        <v>1408.5650000000001</v>
      </c>
      <c r="V24" s="335">
        <v>1214.6210000000001</v>
      </c>
      <c r="W24" s="335">
        <v>1385.3520000000001</v>
      </c>
      <c r="X24" s="335">
        <v>1390.9760000000001</v>
      </c>
      <c r="Y24" s="335">
        <v>2694.0149999999999</v>
      </c>
      <c r="Z24" s="335">
        <v>2509.165</v>
      </c>
      <c r="AA24" s="335">
        <v>2498.08</v>
      </c>
      <c r="AB24" s="335">
        <v>2468.52</v>
      </c>
      <c r="AC24" s="335">
        <v>3013.0909999999999</v>
      </c>
      <c r="AD24" s="335">
        <v>2953.6080000000002</v>
      </c>
      <c r="AE24" s="335">
        <v>3134.134</v>
      </c>
      <c r="AF24" s="335">
        <v>3482.9850000000001</v>
      </c>
      <c r="AG24" s="335">
        <v>3901.9720000000002</v>
      </c>
      <c r="AH24" s="335">
        <v>3030.5630000000001</v>
      </c>
      <c r="AI24" s="335">
        <v>3440.826</v>
      </c>
      <c r="AJ24" s="335">
        <v>3120.4560000000001</v>
      </c>
      <c r="AK24" s="335">
        <v>3960.806</v>
      </c>
      <c r="AL24" s="335">
        <v>3371.9110000000001</v>
      </c>
      <c r="AM24" s="335">
        <v>4024.087</v>
      </c>
      <c r="AN24" s="335">
        <v>3347.2669999999998</v>
      </c>
      <c r="AO24" s="335">
        <v>5215.8770000000004</v>
      </c>
      <c r="AP24" s="335">
        <v>4803</v>
      </c>
      <c r="AQ24" s="335">
        <v>4952.8999999999996</v>
      </c>
      <c r="AR24" s="335">
        <v>4800.8909999999996</v>
      </c>
      <c r="AS24" s="335">
        <v>5450.5550000000003</v>
      </c>
      <c r="AT24" s="335">
        <v>5743.25</v>
      </c>
      <c r="AU24" s="1724">
        <v>5735.4880000000003</v>
      </c>
      <c r="AV24" s="1724">
        <v>6237.9560000000001</v>
      </c>
      <c r="AW24" s="1724">
        <v>3604</v>
      </c>
      <c r="AX24" s="1724">
        <v>3384.3539999999998</v>
      </c>
      <c r="AY24" s="1724">
        <v>3385.5160000000001</v>
      </c>
      <c r="AZ24" s="1724">
        <v>3175.5279999999998</v>
      </c>
      <c r="BA24" s="1851">
        <v>3979.2370000000001</v>
      </c>
      <c r="BB24" s="1724">
        <v>3925.8809999999999</v>
      </c>
      <c r="BC24" s="1724">
        <v>4351.8729999999996</v>
      </c>
      <c r="BD24" s="1724">
        <v>4163.7060000000001</v>
      </c>
      <c r="BE24" s="1724">
        <v>5628.5950000000003</v>
      </c>
      <c r="BF24" s="1724">
        <v>4755.6419999999998</v>
      </c>
      <c r="BG24" s="1724">
        <v>5057.9849999999997</v>
      </c>
      <c r="BH24" s="1724">
        <v>5437.0159999999996</v>
      </c>
      <c r="BI24" s="1724">
        <v>5767.8990000000003</v>
      </c>
      <c r="BJ24" s="1724">
        <v>5237.9539999999997</v>
      </c>
      <c r="BK24" s="1724">
        <v>5129.6390000000001</v>
      </c>
    </row>
    <row r="25" spans="1:66">
      <c r="A25" s="36" t="s">
        <v>375</v>
      </c>
      <c r="B25" s="335">
        <v>59.936</v>
      </c>
      <c r="C25" s="335">
        <v>62.405999999999999</v>
      </c>
      <c r="D25" s="335">
        <v>105.825</v>
      </c>
      <c r="E25" s="335">
        <v>213.63800000000001</v>
      </c>
      <c r="F25" s="335">
        <v>189.57400000000001</v>
      </c>
      <c r="G25" s="335">
        <v>177.852</v>
      </c>
      <c r="H25" s="335">
        <v>171.38200000000001</v>
      </c>
      <c r="I25" s="335">
        <v>176.59299999999999</v>
      </c>
      <c r="J25" s="335">
        <v>136.739</v>
      </c>
      <c r="K25" s="335">
        <v>149.93799999999999</v>
      </c>
      <c r="L25" s="335">
        <v>235.38499999999999</v>
      </c>
      <c r="M25" s="335">
        <v>265.23500000000001</v>
      </c>
      <c r="N25" s="335">
        <v>334.68</v>
      </c>
      <c r="O25" s="335">
        <v>226.797</v>
      </c>
      <c r="P25" s="335">
        <v>335.21600000000001</v>
      </c>
      <c r="Q25" s="335">
        <v>383.20299999999997</v>
      </c>
      <c r="R25" s="335">
        <v>381.55399999999997</v>
      </c>
      <c r="S25" s="335">
        <v>362.13299999999998</v>
      </c>
      <c r="T25" s="335">
        <v>330.90499999999997</v>
      </c>
      <c r="U25" s="335">
        <v>386.98099999999999</v>
      </c>
      <c r="V25" s="335">
        <v>379.17</v>
      </c>
      <c r="W25" s="335">
        <v>263.98500000000001</v>
      </c>
      <c r="X25" s="335">
        <v>153.11600000000001</v>
      </c>
      <c r="Y25" s="335">
        <v>341.85599999999999</v>
      </c>
      <c r="Z25" s="335">
        <v>131.958</v>
      </c>
      <c r="AA25" s="335">
        <v>150.602</v>
      </c>
      <c r="AB25" s="335">
        <v>130.23500000000001</v>
      </c>
      <c r="AC25" s="335">
        <v>210.76599999999999</v>
      </c>
      <c r="AD25" s="335">
        <v>149.66999999999999</v>
      </c>
      <c r="AE25" s="335">
        <v>165.59899999999999</v>
      </c>
      <c r="AF25" s="335">
        <v>269.64600000000002</v>
      </c>
      <c r="AG25" s="335">
        <v>331.27600000000001</v>
      </c>
      <c r="AH25" s="335">
        <v>255.36099999999999</v>
      </c>
      <c r="AI25" s="335">
        <v>201.34299999999999</v>
      </c>
      <c r="AJ25" s="335">
        <v>137.85499999999999</v>
      </c>
      <c r="AK25" s="335">
        <v>253.04300000000001</v>
      </c>
      <c r="AL25" s="335">
        <v>260.89699999999999</v>
      </c>
      <c r="AM25" s="335">
        <v>184.24799999999999</v>
      </c>
      <c r="AN25" s="335">
        <v>150.92599999999999</v>
      </c>
      <c r="AO25" s="335">
        <v>472.17200000000003</v>
      </c>
      <c r="AP25" s="335">
        <v>272.23899999999998</v>
      </c>
      <c r="AQ25" s="335">
        <v>304.75400000000002</v>
      </c>
      <c r="AR25" s="335">
        <v>366.63200000000001</v>
      </c>
      <c r="AS25" s="335">
        <v>571.51</v>
      </c>
      <c r="AT25" s="335">
        <v>434.84399999999999</v>
      </c>
      <c r="AU25" s="1724">
        <v>216.53</v>
      </c>
      <c r="AV25" s="1724">
        <f>300.939</f>
        <v>300.93900000000002</v>
      </c>
      <c r="AW25" s="1724"/>
      <c r="AX25" s="1724">
        <v>541.79300000000001</v>
      </c>
      <c r="AY25" s="1724">
        <v>195.52500000000001</v>
      </c>
      <c r="AZ25" s="1724">
        <v>173.03100000000001</v>
      </c>
      <c r="BA25" s="1724">
        <v>635.35500000000002</v>
      </c>
      <c r="BB25" s="1724">
        <v>458.40499999999997</v>
      </c>
      <c r="BC25" s="1724">
        <v>476.964</v>
      </c>
      <c r="BD25" s="1724">
        <v>409.024</v>
      </c>
      <c r="BE25" s="1724">
        <v>463.709</v>
      </c>
      <c r="BF25" s="1724">
        <v>466.85899999999998</v>
      </c>
      <c r="BG25" s="1724">
        <v>365.44200000000001</v>
      </c>
      <c r="BH25" s="1724">
        <v>269.92399999999998</v>
      </c>
      <c r="BI25" s="1724">
        <v>283.76799999999997</v>
      </c>
      <c r="BJ25" s="1724">
        <v>443.13299999999998</v>
      </c>
      <c r="BK25" s="1724">
        <v>501.89800000000002</v>
      </c>
    </row>
    <row r="26" spans="1:66">
      <c r="A26" s="36" t="s">
        <v>680</v>
      </c>
      <c r="B26" s="335">
        <v>0</v>
      </c>
      <c r="C26" s="335">
        <v>0</v>
      </c>
      <c r="D26" s="335">
        <v>0</v>
      </c>
      <c r="E26" s="335">
        <v>0</v>
      </c>
      <c r="F26" s="335">
        <v>0</v>
      </c>
      <c r="G26" s="335">
        <v>0</v>
      </c>
      <c r="H26" s="335">
        <v>0</v>
      </c>
      <c r="I26" s="335">
        <v>0</v>
      </c>
      <c r="J26" s="335">
        <v>0</v>
      </c>
      <c r="K26" s="335">
        <v>0</v>
      </c>
      <c r="L26" s="335">
        <v>0</v>
      </c>
      <c r="M26" s="335">
        <v>0</v>
      </c>
      <c r="N26" s="335">
        <v>0</v>
      </c>
      <c r="O26" s="335">
        <v>0</v>
      </c>
      <c r="P26" s="335">
        <v>0</v>
      </c>
      <c r="Q26" s="335">
        <v>0</v>
      </c>
      <c r="R26" s="335">
        <v>0</v>
      </c>
      <c r="S26" s="335">
        <v>0</v>
      </c>
      <c r="T26" s="335">
        <v>0</v>
      </c>
      <c r="U26" s="335">
        <v>0</v>
      </c>
      <c r="V26" s="335">
        <v>0</v>
      </c>
      <c r="W26" s="335">
        <v>0</v>
      </c>
      <c r="X26" s="335">
        <v>0</v>
      </c>
      <c r="Y26" s="335">
        <v>345.61500000000001</v>
      </c>
      <c r="Z26" s="335">
        <v>257.75299999999999</v>
      </c>
      <c r="AA26" s="335">
        <v>389.15800000000002</v>
      </c>
      <c r="AB26" s="335">
        <v>400.00599999999997</v>
      </c>
      <c r="AC26" s="335">
        <v>326.899</v>
      </c>
      <c r="AD26" s="335">
        <v>1994.116</v>
      </c>
      <c r="AE26" s="335">
        <v>1918.442</v>
      </c>
      <c r="AF26" s="335">
        <v>2017.2460000000001</v>
      </c>
      <c r="AG26" s="335">
        <v>1887.473</v>
      </c>
      <c r="AH26" s="335">
        <v>1851.3</v>
      </c>
      <c r="AI26" s="335">
        <v>1915.3630000000001</v>
      </c>
      <c r="AJ26" s="335">
        <v>1928.462</v>
      </c>
      <c r="AK26" s="335">
        <v>1966.0989999999999</v>
      </c>
      <c r="AL26" s="335">
        <v>1976.701</v>
      </c>
      <c r="AM26" s="335">
        <v>1879.62</v>
      </c>
      <c r="AN26" s="335">
        <v>1826.4280000000001</v>
      </c>
      <c r="AO26" s="335">
        <v>1876.883</v>
      </c>
      <c r="AP26" s="335">
        <v>1658.8030000000001</v>
      </c>
      <c r="AQ26" s="335">
        <v>1932.2059999999999</v>
      </c>
      <c r="AR26" s="335">
        <v>1945.61</v>
      </c>
      <c r="AS26" s="335">
        <v>4365.0950000000003</v>
      </c>
      <c r="AT26" s="335">
        <v>4349.2619999999997</v>
      </c>
      <c r="AU26" s="1724">
        <v>4350.634</v>
      </c>
      <c r="AV26" s="1724">
        <f>4307.094</f>
        <v>4307.0940000000001</v>
      </c>
      <c r="AW26" s="1724">
        <v>4364</v>
      </c>
      <c r="AX26" s="1724">
        <v>3913.7840000000001</v>
      </c>
      <c r="AY26" s="1724">
        <v>4012.1860000000001</v>
      </c>
      <c r="AZ26" s="1724">
        <v>4052.6129999999998</v>
      </c>
      <c r="BA26" s="1724">
        <v>3710.2719999999999</v>
      </c>
      <c r="BB26" s="1724">
        <v>3448.8130000000001</v>
      </c>
      <c r="BC26" s="1724">
        <v>3215.837</v>
      </c>
      <c r="BD26" s="1724">
        <v>3212.2910000000002</v>
      </c>
      <c r="BE26" s="1724">
        <v>3203.2139999999999</v>
      </c>
      <c r="BF26" s="1724">
        <v>3681.848</v>
      </c>
      <c r="BG26" s="1724">
        <v>3844.4140000000002</v>
      </c>
      <c r="BH26" s="1724">
        <v>3825.5729999999999</v>
      </c>
      <c r="BI26" s="1724">
        <v>3290.8240000000001</v>
      </c>
      <c r="BJ26" s="1724">
        <v>3380.1120000000001</v>
      </c>
      <c r="BK26" s="1724">
        <v>3650.951</v>
      </c>
    </row>
    <row r="27" spans="1:66">
      <c r="A27" s="36" t="s">
        <v>681</v>
      </c>
      <c r="B27" s="335">
        <v>557.13599999999997</v>
      </c>
      <c r="C27" s="335">
        <v>558.61400000000003</v>
      </c>
      <c r="D27" s="335">
        <v>612.32500000000005</v>
      </c>
      <c r="E27" s="335">
        <v>502.53</v>
      </c>
      <c r="F27" s="335">
        <v>578.11500000000001</v>
      </c>
      <c r="G27" s="335">
        <v>435.00900000000001</v>
      </c>
      <c r="H27" s="335">
        <v>516.88099999999997</v>
      </c>
      <c r="I27" s="335">
        <v>416.92599999999999</v>
      </c>
      <c r="J27" s="335">
        <v>514.58399999999995</v>
      </c>
      <c r="K27" s="335">
        <v>572.91800000000001</v>
      </c>
      <c r="L27" s="335">
        <v>660.91200000000003</v>
      </c>
      <c r="M27" s="335">
        <v>681.58</v>
      </c>
      <c r="N27" s="335">
        <v>752.96299999999997</v>
      </c>
      <c r="O27" s="335">
        <v>808.69899999999996</v>
      </c>
      <c r="P27" s="335">
        <v>952.54700000000003</v>
      </c>
      <c r="Q27" s="335">
        <v>871.404</v>
      </c>
      <c r="R27" s="335">
        <v>945.28099999999995</v>
      </c>
      <c r="S27" s="335">
        <v>1005.133</v>
      </c>
      <c r="T27" s="335">
        <v>992.54100000000005</v>
      </c>
      <c r="U27" s="335">
        <v>928.43600000000004</v>
      </c>
      <c r="V27" s="335">
        <v>982.72500000000002</v>
      </c>
      <c r="W27" s="335">
        <v>1402.5889999999999</v>
      </c>
      <c r="X27" s="335">
        <v>1555.5609999999999</v>
      </c>
      <c r="Y27" s="335">
        <v>1902.335</v>
      </c>
      <c r="Z27" s="335">
        <v>1950.664</v>
      </c>
      <c r="AA27" s="335">
        <v>2089.5329999999999</v>
      </c>
      <c r="AB27" s="335">
        <v>2457.0030000000002</v>
      </c>
      <c r="AC27" s="335">
        <v>2366.5309999999999</v>
      </c>
      <c r="AD27" s="335">
        <v>2915.61</v>
      </c>
      <c r="AE27" s="335">
        <v>2866.7939999999999</v>
      </c>
      <c r="AF27" s="335">
        <v>3298.9290000000001</v>
      </c>
      <c r="AG27" s="335">
        <v>3447.8380000000002</v>
      </c>
      <c r="AH27" s="335">
        <v>3593.96</v>
      </c>
      <c r="AI27" s="335">
        <v>3671.5630000000001</v>
      </c>
      <c r="AJ27" s="335">
        <v>4064.8649999999998</v>
      </c>
      <c r="AK27" s="335">
        <v>4220.7070000000003</v>
      </c>
      <c r="AL27" s="335">
        <v>3774.364</v>
      </c>
      <c r="AM27" s="335">
        <v>3390.3980000000001</v>
      </c>
      <c r="AN27" s="335">
        <v>3111.951</v>
      </c>
      <c r="AO27" s="335">
        <v>3655.7190000000001</v>
      </c>
      <c r="AP27" s="335">
        <v>3469.5010000000002</v>
      </c>
      <c r="AQ27" s="335">
        <v>4518.3019999999997</v>
      </c>
      <c r="AR27" s="335">
        <v>4507.6400000000003</v>
      </c>
      <c r="AS27" s="335">
        <v>3603.4609999999998</v>
      </c>
      <c r="AT27" s="335">
        <v>3706.0160000000001</v>
      </c>
      <c r="AU27" s="1724">
        <v>4260.2529999999997</v>
      </c>
      <c r="AV27" s="1724">
        <f>4647.244</f>
        <v>4647.2439999999997</v>
      </c>
      <c r="AW27" s="1724">
        <f>9194-AW28</f>
        <v>3659</v>
      </c>
      <c r="AX27" s="1724">
        <f>5789.427+2661.495-AX28</f>
        <v>2915.9219999999987</v>
      </c>
      <c r="AY27" s="1724">
        <f>5865.566+2612.044-AY28</f>
        <v>2942.6100000000006</v>
      </c>
      <c r="AZ27" s="1724">
        <f>6657.345+1420.723-AZ28</f>
        <v>2543.0680000000002</v>
      </c>
      <c r="BA27" s="1724">
        <f>7971.397-BA28</f>
        <v>3524.3969999999999</v>
      </c>
      <c r="BB27" s="1724">
        <f>7961.878-BB28</f>
        <v>3514.8779999999997</v>
      </c>
      <c r="BC27" s="1724">
        <f>8529.116-BC28</f>
        <v>4082.116</v>
      </c>
      <c r="BD27" s="1724">
        <f>9435.723-BD28</f>
        <v>4988.723</v>
      </c>
      <c r="BE27" s="1724">
        <f>10296.595-BE28</f>
        <v>5435.5949999999993</v>
      </c>
      <c r="BF27" s="1724">
        <f>10589.586-BF28</f>
        <v>5728.5859999999993</v>
      </c>
      <c r="BG27" s="1724">
        <f>10349.155-BG28</f>
        <v>5488.1550000000007</v>
      </c>
      <c r="BH27" s="1724">
        <f>10355.287-BH28</f>
        <v>5494.2870000000003</v>
      </c>
      <c r="BI27" s="1724">
        <f>12114.038-BI28</f>
        <v>6818.0380000000005</v>
      </c>
      <c r="BJ27" s="1724">
        <f>12837.02-BJ28</f>
        <v>7541.02</v>
      </c>
      <c r="BK27" s="1724">
        <f>12194.984-BK28</f>
        <v>6898.9840000000004</v>
      </c>
    </row>
    <row r="28" spans="1:66">
      <c r="A28" s="1211" t="s">
        <v>1541</v>
      </c>
      <c r="B28" s="335"/>
      <c r="C28" s="335"/>
      <c r="D28" s="335"/>
      <c r="E28" s="335"/>
      <c r="F28" s="335"/>
      <c r="G28" s="335"/>
      <c r="H28" s="335"/>
      <c r="I28" s="335"/>
      <c r="J28" s="335"/>
      <c r="K28" s="335"/>
      <c r="L28" s="335"/>
      <c r="M28" s="335"/>
      <c r="N28" s="335"/>
      <c r="O28" s="335"/>
      <c r="P28" s="335"/>
      <c r="Q28" s="335"/>
      <c r="R28" s="335"/>
      <c r="S28" s="335"/>
      <c r="T28" s="335"/>
      <c r="U28" s="335"/>
      <c r="V28" s="335"/>
      <c r="W28" s="335"/>
      <c r="X28" s="335"/>
      <c r="Y28" s="335"/>
      <c r="Z28" s="335"/>
      <c r="AA28" s="335"/>
      <c r="AB28" s="335"/>
      <c r="AC28" s="335"/>
      <c r="AD28" s="335"/>
      <c r="AE28" s="335"/>
      <c r="AF28" s="335"/>
      <c r="AG28" s="335"/>
      <c r="AH28" s="335"/>
      <c r="AI28" s="335"/>
      <c r="AJ28" s="335"/>
      <c r="AK28" s="335"/>
      <c r="AL28" s="335"/>
      <c r="AM28" s="335"/>
      <c r="AN28" s="335"/>
      <c r="AO28" s="335"/>
      <c r="AP28" s="335"/>
      <c r="AQ28" s="335"/>
      <c r="AR28" s="335"/>
      <c r="AS28" s="335"/>
      <c r="AT28" s="335"/>
      <c r="AU28" s="1724"/>
      <c r="AV28" s="1724"/>
      <c r="AW28" s="1851">
        <f>2834+2701</f>
        <v>5535</v>
      </c>
      <c r="AX28" s="147">
        <f>AW28</f>
        <v>5535</v>
      </c>
      <c r="AY28" s="147">
        <f t="shared" ref="AY28:AZ28" si="15">AX28</f>
        <v>5535</v>
      </c>
      <c r="AZ28" s="147">
        <f t="shared" si="15"/>
        <v>5535</v>
      </c>
      <c r="BA28" s="1851">
        <v>4447</v>
      </c>
      <c r="BB28" s="147">
        <f t="shared" ref="BB28:BD28" si="16">BA28</f>
        <v>4447</v>
      </c>
      <c r="BC28" s="147">
        <f t="shared" si="16"/>
        <v>4447</v>
      </c>
      <c r="BD28" s="147">
        <f t="shared" si="16"/>
        <v>4447</v>
      </c>
      <c r="BE28" s="1851">
        <v>4861</v>
      </c>
      <c r="BF28" s="147">
        <f>BE28</f>
        <v>4861</v>
      </c>
      <c r="BG28" s="147">
        <f t="shared" ref="BG28:BH28" si="17">BF28</f>
        <v>4861</v>
      </c>
      <c r="BH28" s="147">
        <f t="shared" si="17"/>
        <v>4861</v>
      </c>
      <c r="BI28" s="1851">
        <f>4173+1123</f>
        <v>5296</v>
      </c>
      <c r="BJ28" s="147">
        <f>BI28</f>
        <v>5296</v>
      </c>
      <c r="BK28" s="147">
        <f t="shared" ref="BK28" si="18">BJ28</f>
        <v>5296</v>
      </c>
      <c r="BL28" s="12"/>
      <c r="BN28" s="12" t="s">
        <v>1542</v>
      </c>
    </row>
    <row r="29" spans="1:66">
      <c r="A29" s="36" t="s">
        <v>682</v>
      </c>
      <c r="B29" s="335">
        <v>697.11500000000001</v>
      </c>
      <c r="C29" s="335">
        <v>789.29499999999996</v>
      </c>
      <c r="D29" s="335">
        <v>670.61900000000003</v>
      </c>
      <c r="E29" s="335">
        <v>593.31600000000003</v>
      </c>
      <c r="F29" s="335">
        <v>535.53099999999995</v>
      </c>
      <c r="G29" s="335">
        <v>378.40300000000002</v>
      </c>
      <c r="H29" s="335">
        <v>356.68700000000001</v>
      </c>
      <c r="I29" s="335">
        <v>229.524</v>
      </c>
      <c r="J29" s="335">
        <v>197.81800000000001</v>
      </c>
      <c r="K29" s="335">
        <v>166.17599999999999</v>
      </c>
      <c r="L29" s="335">
        <v>229.251</v>
      </c>
      <c r="M29" s="335">
        <v>185.333</v>
      </c>
      <c r="N29" s="335">
        <v>277.95800000000003</v>
      </c>
      <c r="O29" s="335">
        <v>342.44</v>
      </c>
      <c r="P29" s="335">
        <v>355.78500000000003</v>
      </c>
      <c r="Q29" s="335">
        <v>396.64699999999999</v>
      </c>
      <c r="R29" s="335">
        <v>470.16199999999998</v>
      </c>
      <c r="S29" s="335">
        <v>81.775999999999996</v>
      </c>
      <c r="T29" s="335">
        <v>252.816</v>
      </c>
      <c r="U29" s="335">
        <v>388.48599999999999</v>
      </c>
      <c r="V29" s="335">
        <v>556.13300000000004</v>
      </c>
      <c r="W29" s="335">
        <v>1593.835</v>
      </c>
      <c r="X29" s="335">
        <v>901.71799999999996</v>
      </c>
      <c r="Y29" s="335">
        <v>1377.1569999999999</v>
      </c>
      <c r="Z29" s="335">
        <v>890.76199999999994</v>
      </c>
      <c r="AA29" s="335">
        <v>1546.692</v>
      </c>
      <c r="AB29" s="335">
        <v>738.66200000000003</v>
      </c>
      <c r="AC29" s="335">
        <v>734.82399999999996</v>
      </c>
      <c r="AD29" s="335">
        <v>912.33699999999999</v>
      </c>
      <c r="AE29" s="335">
        <v>433.52</v>
      </c>
      <c r="AF29" s="335">
        <v>562.63</v>
      </c>
      <c r="AG29" s="335">
        <v>1107.2380000000001</v>
      </c>
      <c r="AH29" s="335">
        <v>1427.3889999999999</v>
      </c>
      <c r="AI29" s="335">
        <v>1388.2660000000001</v>
      </c>
      <c r="AJ29" s="335">
        <v>1638.116</v>
      </c>
      <c r="AK29" s="335">
        <v>1087.4659999999999</v>
      </c>
      <c r="AL29" s="335">
        <v>1905.9939999999999</v>
      </c>
      <c r="AM29" s="335">
        <v>1538.876</v>
      </c>
      <c r="AN29" s="335">
        <v>4062.19</v>
      </c>
      <c r="AO29" s="335">
        <v>2588.2660000000001</v>
      </c>
      <c r="AP29" s="335">
        <v>5087.6949999999997</v>
      </c>
      <c r="AQ29" s="335">
        <v>847.77099999999996</v>
      </c>
      <c r="AR29" s="335">
        <v>612.78499999999997</v>
      </c>
      <c r="AS29" s="335">
        <v>305.66800000000001</v>
      </c>
      <c r="AT29" s="335">
        <v>2043.538</v>
      </c>
      <c r="AU29" s="1724">
        <v>4074.605</v>
      </c>
      <c r="AV29" s="1724">
        <f>4627.26</f>
        <v>4627.26</v>
      </c>
      <c r="AW29" s="1724"/>
      <c r="AX29" s="1724">
        <v>4199.9709999999995</v>
      </c>
      <c r="AY29" s="1805">
        <f>23580.601</f>
        <v>23580.600999999999</v>
      </c>
      <c r="AZ29" s="1805">
        <f>23968.537</f>
        <v>23968.537</v>
      </c>
      <c r="BA29" s="1851">
        <v>4465.9930000000004</v>
      </c>
      <c r="BB29" s="1724">
        <v>989.06299999999999</v>
      </c>
      <c r="BC29" s="1724">
        <v>907.23</v>
      </c>
      <c r="BD29" s="1724">
        <v>762.41499999999996</v>
      </c>
      <c r="BE29" s="1724">
        <v>1277.6379999999999</v>
      </c>
      <c r="BF29" s="1724">
        <v>1255.385</v>
      </c>
      <c r="BG29" s="1724">
        <v>1960.5340000000001</v>
      </c>
      <c r="BH29" s="1724">
        <v>614.27499999999998</v>
      </c>
      <c r="BI29" s="1724">
        <v>388.21699999999998</v>
      </c>
      <c r="BJ29" s="1724">
        <v>705.00800000000004</v>
      </c>
      <c r="BK29" s="1724">
        <v>2420.377</v>
      </c>
    </row>
    <row r="30" spans="1:66">
      <c r="A30" s="36" t="s">
        <v>1182</v>
      </c>
      <c r="B30" s="335"/>
      <c r="C30" s="335"/>
      <c r="D30" s="335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5"/>
      <c r="AC30" s="335"/>
      <c r="AD30" s="335"/>
      <c r="AE30" s="335"/>
      <c r="AF30" s="335"/>
      <c r="AG30" s="335"/>
      <c r="AH30" s="335"/>
      <c r="AI30" s="335"/>
      <c r="AJ30" s="335"/>
      <c r="AK30" s="335"/>
      <c r="AL30" s="335"/>
      <c r="AM30" s="335"/>
      <c r="AN30" s="335"/>
      <c r="AO30" s="335"/>
      <c r="AP30" s="335">
        <v>2347.8069999999998</v>
      </c>
      <c r="AQ30" s="335">
        <v>2723.0039999999999</v>
      </c>
      <c r="AR30" s="335">
        <v>3701.72</v>
      </c>
      <c r="AS30" s="335">
        <v>8756.8240000000005</v>
      </c>
      <c r="AT30" s="335">
        <v>8519.5709999999999</v>
      </c>
      <c r="AU30" s="1724">
        <v>4483.6009999999997</v>
      </c>
      <c r="AV30" s="1724">
        <f>4012.227</f>
        <v>4012.2269999999999</v>
      </c>
      <c r="AW30" s="1724">
        <v>4208</v>
      </c>
      <c r="AX30" s="1724">
        <v>4382.0050000000001</v>
      </c>
      <c r="AY30" s="1724">
        <v>4222.5469999999996</v>
      </c>
      <c r="AZ30" s="1724">
        <v>4215.0309999999999</v>
      </c>
      <c r="BA30" s="1724">
        <v>4415.95</v>
      </c>
      <c r="BB30" s="1724">
        <v>4811.6559999999999</v>
      </c>
      <c r="BC30" s="1724">
        <v>4551.8530000000001</v>
      </c>
      <c r="BD30" s="1724">
        <v>4244.1670000000004</v>
      </c>
      <c r="BE30" s="1724">
        <v>4396.3620000000001</v>
      </c>
      <c r="BF30" s="1724">
        <v>0</v>
      </c>
      <c r="BG30" s="1724">
        <v>3905.94</v>
      </c>
      <c r="BH30" s="1724">
        <v>3632.7840000000001</v>
      </c>
      <c r="BI30" s="1724">
        <v>3299.4119999999998</v>
      </c>
      <c r="BJ30" s="1724">
        <v>3384.2579999999998</v>
      </c>
      <c r="BK30" s="1724">
        <v>3512.0439999999999</v>
      </c>
    </row>
    <row r="31" spans="1:66">
      <c r="A31" s="36" t="s">
        <v>683</v>
      </c>
      <c r="B31" s="335">
        <v>38.719000000000001</v>
      </c>
      <c r="C31" s="335">
        <v>21.146000000000001</v>
      </c>
      <c r="D31" s="335">
        <v>17.129000000000001</v>
      </c>
      <c r="E31" s="335">
        <v>26.030999999999999</v>
      </c>
      <c r="F31" s="335">
        <v>22.277000000000001</v>
      </c>
      <c r="G31" s="335">
        <v>12.077</v>
      </c>
      <c r="H31" s="335">
        <v>12.901999999999999</v>
      </c>
      <c r="I31" s="335">
        <v>58.523000000000003</v>
      </c>
      <c r="J31" s="335">
        <v>0</v>
      </c>
      <c r="K31" s="335">
        <v>0</v>
      </c>
      <c r="L31" s="335">
        <v>0</v>
      </c>
      <c r="M31" s="335">
        <v>0</v>
      </c>
      <c r="N31" s="335">
        <v>0</v>
      </c>
      <c r="O31" s="335">
        <v>0</v>
      </c>
      <c r="P31" s="335">
        <v>0</v>
      </c>
      <c r="Q31" s="335">
        <v>0</v>
      </c>
      <c r="R31" s="335">
        <v>0</v>
      </c>
      <c r="S31" s="335">
        <v>0</v>
      </c>
      <c r="T31" s="335">
        <v>0</v>
      </c>
      <c r="U31" s="335">
        <v>0</v>
      </c>
      <c r="V31" s="335">
        <v>0</v>
      </c>
      <c r="W31" s="335">
        <v>0</v>
      </c>
      <c r="X31" s="335">
        <v>0</v>
      </c>
      <c r="Y31" s="335">
        <v>0</v>
      </c>
      <c r="Z31" s="335">
        <v>0</v>
      </c>
      <c r="AA31" s="335">
        <v>0</v>
      </c>
      <c r="AB31" s="335">
        <v>0</v>
      </c>
      <c r="AC31" s="335">
        <v>0</v>
      </c>
      <c r="AD31" s="335">
        <v>0</v>
      </c>
      <c r="AE31" s="335">
        <v>0</v>
      </c>
      <c r="AF31" s="335">
        <v>0</v>
      </c>
      <c r="AG31" s="335">
        <v>0</v>
      </c>
      <c r="AH31" s="335">
        <v>0</v>
      </c>
      <c r="AI31" s="335">
        <v>0</v>
      </c>
      <c r="AJ31" s="335">
        <v>0</v>
      </c>
      <c r="AK31" s="335">
        <v>3280.0639999999999</v>
      </c>
      <c r="AL31" s="335">
        <v>3159.78</v>
      </c>
      <c r="AM31" s="335">
        <v>3242.5129999999999</v>
      </c>
      <c r="AN31" s="335">
        <v>3060.0079999999998</v>
      </c>
      <c r="AO31" s="335">
        <v>2506.0059999999999</v>
      </c>
      <c r="AP31" s="335">
        <f>2419.393 +3000</f>
        <v>5419.393</v>
      </c>
      <c r="AQ31" s="335">
        <v>2415.5459999999998</v>
      </c>
      <c r="AR31" s="335">
        <v>2376.7420000000002</v>
      </c>
      <c r="AS31" s="335">
        <v>2304.864</v>
      </c>
      <c r="AT31" s="335">
        <v>2870.47</v>
      </c>
      <c r="AU31" s="1724">
        <v>2879.9549999999999</v>
      </c>
      <c r="AV31" s="1724">
        <f>2877.728</f>
        <v>2877.7280000000001</v>
      </c>
      <c r="AW31" s="1724">
        <v>0</v>
      </c>
      <c r="AX31" s="1724"/>
      <c r="AY31" s="1724"/>
      <c r="AZ31" s="1724">
        <v>0</v>
      </c>
      <c r="BA31" s="1724">
        <v>1272.4739999999999</v>
      </c>
      <c r="BB31" s="1724">
        <v>1272.4739999999999</v>
      </c>
      <c r="BC31" s="1724">
        <v>1272.4739999999999</v>
      </c>
      <c r="BD31" s="1724">
        <v>1272.4739999999999</v>
      </c>
      <c r="BE31" s="1724">
        <v>0</v>
      </c>
      <c r="BF31" s="1724">
        <v>0</v>
      </c>
      <c r="BG31" s="1724">
        <v>1350</v>
      </c>
      <c r="BH31" s="1724">
        <v>1350</v>
      </c>
      <c r="BI31" s="1724">
        <v>1350</v>
      </c>
      <c r="BJ31" s="1724">
        <v>2350</v>
      </c>
      <c r="BK31" s="1724">
        <v>1000</v>
      </c>
    </row>
    <row r="32" spans="1:66">
      <c r="A32" s="13" t="s">
        <v>376</v>
      </c>
      <c r="B32" s="170">
        <f t="shared" ref="B32:AT32" si="19">SUM(B24:B31)</f>
        <v>1782.973</v>
      </c>
      <c r="C32" s="170">
        <f t="shared" si="19"/>
        <v>1843.1589999999999</v>
      </c>
      <c r="D32" s="170">
        <f t="shared" si="19"/>
        <v>1842.8989999999999</v>
      </c>
      <c r="E32" s="843">
        <f t="shared" si="19"/>
        <v>1894.664</v>
      </c>
      <c r="F32" s="170">
        <f t="shared" si="19"/>
        <v>1751.825</v>
      </c>
      <c r="G32" s="170">
        <f t="shared" si="19"/>
        <v>1465.4090000000001</v>
      </c>
      <c r="H32" s="170">
        <f t="shared" si="19"/>
        <v>1595.3779999999997</v>
      </c>
      <c r="I32" s="170">
        <f t="shared" si="19"/>
        <v>1592.1139999999998</v>
      </c>
      <c r="J32" s="170">
        <f t="shared" si="19"/>
        <v>1440.394</v>
      </c>
      <c r="K32" s="170">
        <f t="shared" si="19"/>
        <v>1576.86</v>
      </c>
      <c r="L32" s="170">
        <f t="shared" si="19"/>
        <v>1802.2749999999999</v>
      </c>
      <c r="M32" s="170">
        <f t="shared" si="19"/>
        <v>2153.5720000000001</v>
      </c>
      <c r="N32" s="170">
        <f t="shared" si="19"/>
        <v>2206.4780000000001</v>
      </c>
      <c r="O32" s="170">
        <f t="shared" si="19"/>
        <v>2390.2269999999999</v>
      </c>
      <c r="P32" s="170">
        <f t="shared" si="19"/>
        <v>2573.866</v>
      </c>
      <c r="Q32" s="170">
        <f t="shared" si="19"/>
        <v>2780.866</v>
      </c>
      <c r="R32" s="170">
        <f t="shared" si="19"/>
        <v>2821.9209999999998</v>
      </c>
      <c r="S32" s="170">
        <f t="shared" si="19"/>
        <v>2455.9409999999998</v>
      </c>
      <c r="T32" s="170">
        <f t="shared" si="19"/>
        <v>2684.3019999999997</v>
      </c>
      <c r="U32" s="170">
        <f t="shared" si="19"/>
        <v>3112.4679999999998</v>
      </c>
      <c r="V32" s="170">
        <f t="shared" si="19"/>
        <v>3132.6490000000003</v>
      </c>
      <c r="W32" s="170">
        <f t="shared" si="19"/>
        <v>4645.7610000000004</v>
      </c>
      <c r="X32" s="170">
        <f t="shared" si="19"/>
        <v>4001.3710000000001</v>
      </c>
      <c r="Y32" s="170">
        <f t="shared" si="19"/>
        <v>6660.9780000000001</v>
      </c>
      <c r="Z32" s="170">
        <f t="shared" si="19"/>
        <v>5740.3019999999997</v>
      </c>
      <c r="AA32" s="170">
        <f t="shared" si="19"/>
        <v>6674.0649999999996</v>
      </c>
      <c r="AB32" s="170">
        <f t="shared" si="19"/>
        <v>6194.4260000000004</v>
      </c>
      <c r="AC32" s="170">
        <f t="shared" si="19"/>
        <v>6652.1109999999999</v>
      </c>
      <c r="AD32" s="170">
        <f t="shared" si="19"/>
        <v>8925.3410000000003</v>
      </c>
      <c r="AE32" s="170">
        <f t="shared" si="19"/>
        <v>8518.4889999999996</v>
      </c>
      <c r="AF32" s="170">
        <f t="shared" si="19"/>
        <v>9631.4359999999997</v>
      </c>
      <c r="AG32" s="170">
        <f t="shared" si="19"/>
        <v>10675.797</v>
      </c>
      <c r="AH32" s="170">
        <f t="shared" si="19"/>
        <v>10158.573</v>
      </c>
      <c r="AI32" s="170">
        <f t="shared" si="19"/>
        <v>10617.361000000001</v>
      </c>
      <c r="AJ32" s="170">
        <f t="shared" si="19"/>
        <v>10889.753999999999</v>
      </c>
      <c r="AK32" s="170">
        <f t="shared" si="19"/>
        <v>14768.185000000001</v>
      </c>
      <c r="AL32" s="170">
        <f t="shared" si="19"/>
        <v>14449.647000000001</v>
      </c>
      <c r="AM32" s="170">
        <f t="shared" si="19"/>
        <v>14259.741999999998</v>
      </c>
      <c r="AN32" s="170">
        <f t="shared" si="19"/>
        <v>15558.77</v>
      </c>
      <c r="AO32" s="170">
        <f t="shared" si="19"/>
        <v>16314.923000000001</v>
      </c>
      <c r="AP32" s="170">
        <f t="shared" si="19"/>
        <v>23058.437999999998</v>
      </c>
      <c r="AQ32" s="170">
        <f t="shared" si="19"/>
        <v>17694.483</v>
      </c>
      <c r="AR32" s="170">
        <f t="shared" si="19"/>
        <v>18312.019999999997</v>
      </c>
      <c r="AS32" s="170">
        <f t="shared" si="19"/>
        <v>25357.976999999999</v>
      </c>
      <c r="AT32" s="170">
        <f t="shared" si="19"/>
        <v>27666.951000000001</v>
      </c>
      <c r="AU32" s="170">
        <f t="shared" ref="AU32:BC32" si="20">SUM(AU24:AU31)</f>
        <v>26001.065999999999</v>
      </c>
      <c r="AV32" s="170">
        <f t="shared" si="20"/>
        <v>27010.448</v>
      </c>
      <c r="AW32" s="170">
        <f t="shared" si="20"/>
        <v>21370</v>
      </c>
      <c r="AX32" s="170">
        <f t="shared" si="20"/>
        <v>24872.829000000002</v>
      </c>
      <c r="AY32" s="170">
        <f t="shared" si="20"/>
        <v>43873.985000000001</v>
      </c>
      <c r="AZ32" s="170">
        <f t="shared" si="20"/>
        <v>43662.808000000005</v>
      </c>
      <c r="BA32" s="170">
        <f t="shared" si="20"/>
        <v>26450.678</v>
      </c>
      <c r="BB32" s="170">
        <f t="shared" si="20"/>
        <v>22868.169999999995</v>
      </c>
      <c r="BC32" s="170">
        <f t="shared" si="20"/>
        <v>23305.346999999998</v>
      </c>
      <c r="BD32" s="170">
        <f t="shared" ref="BD32:BJ32" si="21">SUM(BD24:BD31)</f>
        <v>23499.8</v>
      </c>
      <c r="BE32" s="170">
        <f t="shared" si="21"/>
        <v>25266.112999999998</v>
      </c>
      <c r="BF32" s="170">
        <f t="shared" si="21"/>
        <v>20749.319999999996</v>
      </c>
      <c r="BG32" s="170">
        <f t="shared" si="21"/>
        <v>26833.469999999998</v>
      </c>
      <c r="BH32" s="170">
        <f t="shared" si="21"/>
        <v>25484.859</v>
      </c>
      <c r="BI32" s="170">
        <f t="shared" si="21"/>
        <v>26494.158000000003</v>
      </c>
      <c r="BJ32" s="170">
        <f t="shared" si="21"/>
        <v>28337.485000000001</v>
      </c>
      <c r="BK32" s="170">
        <f t="shared" ref="BK32" si="22">SUM(BK24:BK31)</f>
        <v>28409.893000000004</v>
      </c>
    </row>
    <row r="33" spans="1:63">
      <c r="A33" s="36" t="s">
        <v>682</v>
      </c>
      <c r="B33" s="335">
        <v>1040.8389999999999</v>
      </c>
      <c r="C33" s="335">
        <v>845.41399999999999</v>
      </c>
      <c r="D33" s="335">
        <v>670.45699999999999</v>
      </c>
      <c r="E33" s="335">
        <v>408.78699999999998</v>
      </c>
      <c r="F33" s="335">
        <v>317.35599999999999</v>
      </c>
      <c r="G33" s="335">
        <v>370.64600000000002</v>
      </c>
      <c r="H33" s="335">
        <v>290.14999999999998</v>
      </c>
      <c r="I33" s="335">
        <v>668</v>
      </c>
      <c r="J33" s="335">
        <v>626.5</v>
      </c>
      <c r="K33" s="335">
        <v>604</v>
      </c>
      <c r="L33" s="335">
        <v>562.5</v>
      </c>
      <c r="M33" s="335">
        <v>2877.6669999999999</v>
      </c>
      <c r="N33" s="335">
        <v>2767.0819999999999</v>
      </c>
      <c r="O33" s="335">
        <v>2387.4169999999999</v>
      </c>
      <c r="P33" s="335">
        <v>2177.0610000000001</v>
      </c>
      <c r="Q33" s="335">
        <v>2077.8330000000001</v>
      </c>
      <c r="R33" s="335">
        <v>1945.9390000000001</v>
      </c>
      <c r="S33" s="335">
        <v>895.55600000000004</v>
      </c>
      <c r="T33" s="335">
        <v>2309.7060000000001</v>
      </c>
      <c r="U33" s="335">
        <v>2166.2809999999999</v>
      </c>
      <c r="V33" s="335">
        <v>2064.9270000000001</v>
      </c>
      <c r="W33" s="335">
        <v>3187.0790000000002</v>
      </c>
      <c r="X33" s="335">
        <v>3829.864</v>
      </c>
      <c r="Y33" s="335">
        <v>7370.6660000000002</v>
      </c>
      <c r="Z33" s="335">
        <v>4210.8710000000001</v>
      </c>
      <c r="AA33" s="335">
        <v>4306.2550000000001</v>
      </c>
      <c r="AB33" s="335">
        <v>5162.3320000000003</v>
      </c>
      <c r="AC33" s="335">
        <v>5018.7219999999998</v>
      </c>
      <c r="AD33" s="335">
        <v>5047.8209999999999</v>
      </c>
      <c r="AE33" s="335">
        <v>6336.0839999999998</v>
      </c>
      <c r="AF33" s="335">
        <v>8986.2000000000007</v>
      </c>
      <c r="AG33" s="335">
        <v>9743.8060000000005</v>
      </c>
      <c r="AH33" s="335">
        <v>9588.8439999999991</v>
      </c>
      <c r="AI33" s="335">
        <v>10148.556</v>
      </c>
      <c r="AJ33" s="335">
        <v>10468.618</v>
      </c>
      <c r="AK33" s="335">
        <v>6693.4539999999997</v>
      </c>
      <c r="AL33" s="335">
        <v>6458.473</v>
      </c>
      <c r="AM33" s="335">
        <v>7736.6629999999996</v>
      </c>
      <c r="AN33" s="335">
        <v>5739.0469999999996</v>
      </c>
      <c r="AO33" s="335">
        <v>16038.415999999999</v>
      </c>
      <c r="AP33" s="335">
        <v>17616.066999999999</v>
      </c>
      <c r="AQ33" s="335">
        <v>18452.894</v>
      </c>
      <c r="AR33" s="335">
        <v>18216.196</v>
      </c>
      <c r="AS33" s="335">
        <v>17102.448</v>
      </c>
      <c r="AT33" s="335">
        <v>19895.825000000001</v>
      </c>
      <c r="AU33" s="1724">
        <v>20853.526000000002</v>
      </c>
      <c r="AV33" s="1724">
        <v>20751.552</v>
      </c>
      <c r="AW33" s="1724">
        <f>24233+621</f>
        <v>24854</v>
      </c>
      <c r="AX33" s="1724">
        <v>19894.120999999999</v>
      </c>
      <c r="AY33" s="1724">
        <v>0</v>
      </c>
      <c r="AZ33" s="1724">
        <v>0</v>
      </c>
      <c r="BA33" s="1851">
        <v>9184.7459999999992</v>
      </c>
      <c r="BB33" s="1724">
        <v>5295.5590000000002</v>
      </c>
      <c r="BC33" s="1724">
        <v>4667.2579999999998</v>
      </c>
      <c r="BD33" s="1724">
        <v>4280.7839999999997</v>
      </c>
      <c r="BE33" s="1724">
        <v>3762.76</v>
      </c>
      <c r="BF33" s="1724">
        <v>3340.5889999999999</v>
      </c>
      <c r="BG33" s="1724">
        <v>2561.8620000000001</v>
      </c>
      <c r="BH33" s="1724">
        <v>4780.2830000000004</v>
      </c>
      <c r="BI33" s="1724">
        <v>4828.1120000000001</v>
      </c>
      <c r="BJ33" s="1724">
        <v>6825.1329999999998</v>
      </c>
      <c r="BK33" s="1724">
        <v>6787.1769999999997</v>
      </c>
    </row>
    <row r="34" spans="1:63">
      <c r="A34" s="36" t="s">
        <v>1182</v>
      </c>
      <c r="B34" s="335"/>
      <c r="C34" s="335"/>
      <c r="D34" s="335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5"/>
      <c r="AC34" s="335"/>
      <c r="AD34" s="335"/>
      <c r="AE34" s="335"/>
      <c r="AF34" s="335"/>
      <c r="AG34" s="335"/>
      <c r="AH34" s="335"/>
      <c r="AI34" s="335"/>
      <c r="AJ34" s="335"/>
      <c r="AK34" s="335"/>
      <c r="AL34" s="335"/>
      <c r="AM34" s="335"/>
      <c r="AN34" s="335"/>
      <c r="AO34" s="335"/>
      <c r="AP34" s="335">
        <v>20846.098000000002</v>
      </c>
      <c r="AQ34" s="335">
        <v>20551.843000000001</v>
      </c>
      <c r="AR34" s="335">
        <v>20023.296999999999</v>
      </c>
      <c r="AS34" s="335">
        <v>13805.036</v>
      </c>
      <c r="AT34" s="335">
        <v>17987.005000000001</v>
      </c>
      <c r="AU34" s="1724">
        <v>20554.542000000001</v>
      </c>
      <c r="AV34" s="1724">
        <f>20709.852</f>
        <v>20709.851999999999</v>
      </c>
      <c r="AW34" s="1724">
        <v>21092</v>
      </c>
      <c r="AX34" s="1724">
        <v>21479.15</v>
      </c>
      <c r="AY34" s="1724">
        <v>20113.294999999998</v>
      </c>
      <c r="AZ34" s="1724">
        <v>19525.400000000001</v>
      </c>
      <c r="BA34" s="1851">
        <v>19347.324000000001</v>
      </c>
      <c r="BB34" s="1724">
        <v>19246.623</v>
      </c>
      <c r="BC34" s="1724">
        <v>18207.411</v>
      </c>
      <c r="BD34" s="1724">
        <v>16976.669000000002</v>
      </c>
      <c r="BE34" s="1724">
        <v>17585.449000000001</v>
      </c>
      <c r="BF34" s="1724">
        <v>20384.777999999998</v>
      </c>
      <c r="BG34" s="1724">
        <v>15623.759</v>
      </c>
      <c r="BH34" s="1724">
        <v>15487.134</v>
      </c>
      <c r="BI34" s="1724">
        <v>15030.655000000001</v>
      </c>
      <c r="BJ34" s="1724">
        <v>13537.031000000001</v>
      </c>
      <c r="BK34" s="1724">
        <v>15999.31</v>
      </c>
    </row>
    <row r="35" spans="1:63">
      <c r="A35" s="36" t="s">
        <v>684</v>
      </c>
      <c r="B35" s="335">
        <v>0</v>
      </c>
      <c r="C35" s="335">
        <v>0</v>
      </c>
      <c r="D35" s="335">
        <v>0</v>
      </c>
      <c r="E35" s="335">
        <v>300</v>
      </c>
      <c r="F35" s="335">
        <v>700</v>
      </c>
      <c r="G35" s="335">
        <v>700</v>
      </c>
      <c r="H35" s="335">
        <v>700</v>
      </c>
      <c r="I35" s="335">
        <v>700</v>
      </c>
      <c r="J35" s="335">
        <v>695.43600000000004</v>
      </c>
      <c r="K35" s="335">
        <v>992.61400000000003</v>
      </c>
      <c r="L35" s="335">
        <v>993.07100000000003</v>
      </c>
      <c r="M35" s="335">
        <v>993.53099999999995</v>
      </c>
      <c r="N35" s="335">
        <v>993.76199999999994</v>
      </c>
      <c r="O35" s="335">
        <v>994.48599999999999</v>
      </c>
      <c r="P35" s="335">
        <v>995.33500000000004</v>
      </c>
      <c r="Q35" s="335">
        <v>0</v>
      </c>
      <c r="R35" s="335">
        <v>0</v>
      </c>
      <c r="S35" s="335">
        <v>2485.8910000000001</v>
      </c>
      <c r="T35" s="335">
        <v>2489.7579999999998</v>
      </c>
      <c r="U35" s="335">
        <v>2488.85</v>
      </c>
      <c r="V35" s="335">
        <v>2489.6089999999999</v>
      </c>
      <c r="W35" s="335">
        <v>2490.2359999999999</v>
      </c>
      <c r="X35" s="335">
        <v>2490.701</v>
      </c>
      <c r="Y35" s="335">
        <v>2491.3560000000002</v>
      </c>
      <c r="Z35" s="335">
        <v>6477.393</v>
      </c>
      <c r="AA35" s="335">
        <v>6477.1980000000003</v>
      </c>
      <c r="AB35" s="335">
        <v>6478.4250000000002</v>
      </c>
      <c r="AC35" s="335">
        <v>6479.7950000000001</v>
      </c>
      <c r="AD35" s="335">
        <v>6481.165</v>
      </c>
      <c r="AE35" s="335">
        <v>6481.0510000000004</v>
      </c>
      <c r="AF35" s="335">
        <v>3987.6320000000001</v>
      </c>
      <c r="AG35" s="335">
        <v>3988.8449999999998</v>
      </c>
      <c r="AH35" s="335">
        <v>3990.058</v>
      </c>
      <c r="AI35" s="335">
        <v>3991.2710000000002</v>
      </c>
      <c r="AJ35" s="335">
        <v>3992.4830000000002</v>
      </c>
      <c r="AK35" s="335">
        <v>6980.4520000000002</v>
      </c>
      <c r="AL35" s="335">
        <v>6978.5379999999996</v>
      </c>
      <c r="AM35" s="335">
        <v>6980.2020000000002</v>
      </c>
      <c r="AN35" s="335">
        <v>6981.58</v>
      </c>
      <c r="AO35" s="335">
        <v>6983.2439999999997</v>
      </c>
      <c r="AP35" s="335">
        <v>3982.9580000000001</v>
      </c>
      <c r="AQ35" s="335">
        <v>7972.884</v>
      </c>
      <c r="AR35" s="335">
        <v>7973.3379999999997</v>
      </c>
      <c r="AS35" s="335">
        <v>7973.7650000000003</v>
      </c>
      <c r="AT35" s="335">
        <v>7975.8789999999999</v>
      </c>
      <c r="AU35" s="1724">
        <v>7977.1530000000002</v>
      </c>
      <c r="AV35" s="1724">
        <f>7977.904</f>
        <v>7977.9040000000005</v>
      </c>
      <c r="AW35" s="1724">
        <v>7979.1490000000003</v>
      </c>
      <c r="AX35" s="1724">
        <v>7979.9979999999996</v>
      </c>
      <c r="AY35" s="1724">
        <v>7979.74</v>
      </c>
      <c r="AZ35" s="1724">
        <v>7981.4539999999997</v>
      </c>
      <c r="BA35" s="1851">
        <v>18078.34</v>
      </c>
      <c r="BB35" s="1724">
        <v>23297.613000000001</v>
      </c>
      <c r="BC35" s="1724">
        <v>23102.933000000001</v>
      </c>
      <c r="BD35" s="1724">
        <v>22786.716</v>
      </c>
      <c r="BE35" s="1724">
        <v>22748.44</v>
      </c>
      <c r="BF35" s="1724">
        <v>21725.901999999998</v>
      </c>
      <c r="BG35" s="1724">
        <v>19658.098999999998</v>
      </c>
      <c r="BH35" s="1724">
        <v>19777.746999999999</v>
      </c>
      <c r="BI35" s="1724">
        <v>19553.791000000001</v>
      </c>
      <c r="BJ35" s="1724">
        <v>18134.63</v>
      </c>
      <c r="BK35" s="1724">
        <v>19497.777999999998</v>
      </c>
    </row>
    <row r="36" spans="1:63">
      <c r="A36" s="36" t="s">
        <v>685</v>
      </c>
      <c r="B36" s="335">
        <f>4.314+88.825</f>
        <v>93.13900000000001</v>
      </c>
      <c r="C36" s="335">
        <f>79.119+3.555</f>
        <v>82.674000000000007</v>
      </c>
      <c r="D36" s="335">
        <f>78.29+0.867</f>
        <v>79.157000000000011</v>
      </c>
      <c r="E36" s="335">
        <f>72.226+0.769</f>
        <v>72.995000000000005</v>
      </c>
      <c r="F36" s="335">
        <f>63.859+0.705</f>
        <v>64.564000000000007</v>
      </c>
      <c r="G36" s="335">
        <f>66.797+0.705</f>
        <v>67.501999999999995</v>
      </c>
      <c r="H36" s="335">
        <f>63.706+0.445</f>
        <v>64.150999999999996</v>
      </c>
      <c r="I36" s="335">
        <v>69.682000000000002</v>
      </c>
      <c r="J36" s="335">
        <f>65.231+0.52</f>
        <v>65.750999999999991</v>
      </c>
      <c r="K36" s="335">
        <v>63.390999999999998</v>
      </c>
      <c r="L36" s="335">
        <v>60.566000000000003</v>
      </c>
      <c r="M36" s="335">
        <v>56.674999999999997</v>
      </c>
      <c r="N36" s="335">
        <v>126.83</v>
      </c>
      <c r="O36" s="335">
        <v>126.276</v>
      </c>
      <c r="P36" s="335">
        <v>117.46599999999999</v>
      </c>
      <c r="Q36" s="335">
        <v>109.995</v>
      </c>
      <c r="R36" s="335">
        <v>99.888000000000005</v>
      </c>
      <c r="S36" s="335">
        <v>135.47399999999999</v>
      </c>
      <c r="T36" s="335">
        <v>125.303</v>
      </c>
      <c r="U36" s="335">
        <v>137.60400000000001</v>
      </c>
      <c r="V36" s="335">
        <v>169.55099999999999</v>
      </c>
      <c r="W36" s="335">
        <v>526.73900000000003</v>
      </c>
      <c r="X36" s="335">
        <v>487.94799999999998</v>
      </c>
      <c r="Y36" s="335">
        <v>3158.9780000000001</v>
      </c>
      <c r="Z36" s="335">
        <v>2965.328</v>
      </c>
      <c r="AA36" s="335">
        <v>3125.3330000000001</v>
      </c>
      <c r="AB36" s="335">
        <v>3245.76</v>
      </c>
      <c r="AC36" s="335">
        <v>3266.3249999999998</v>
      </c>
      <c r="AD36" s="335">
        <v>3404.5439999999999</v>
      </c>
      <c r="AE36" s="335">
        <v>3571.02</v>
      </c>
      <c r="AF36" s="335">
        <v>3654.6170000000002</v>
      </c>
      <c r="AG36" s="335">
        <v>3662.6219999999998</v>
      </c>
      <c r="AH36" s="335">
        <v>3485.607</v>
      </c>
      <c r="AI36" s="335">
        <v>3559.201</v>
      </c>
      <c r="AJ36" s="335">
        <v>3652.0720000000001</v>
      </c>
      <c r="AK36" s="335">
        <v>614.04</v>
      </c>
      <c r="AL36" s="335">
        <v>672.423</v>
      </c>
      <c r="AM36" s="335">
        <v>682.24900000000002</v>
      </c>
      <c r="AN36" s="335">
        <v>676.91899999999998</v>
      </c>
      <c r="AO36" s="335">
        <v>764.71699999999998</v>
      </c>
      <c r="AP36" s="335">
        <v>802.05200000000002</v>
      </c>
      <c r="AQ36" s="335">
        <v>783.26099999999997</v>
      </c>
      <c r="AR36" s="335">
        <v>754.23099999999999</v>
      </c>
      <c r="AS36" s="335">
        <v>630.46100000000001</v>
      </c>
      <c r="AT36" s="335">
        <v>618.70399999999995</v>
      </c>
      <c r="AU36" s="1724">
        <v>618.36300000000006</v>
      </c>
      <c r="AV36" s="1724">
        <f>437.715</f>
        <v>437.71499999999997</v>
      </c>
      <c r="AW36" s="1724">
        <f>265+244</f>
        <v>509</v>
      </c>
      <c r="AX36" s="1724">
        <v>1177.328</v>
      </c>
      <c r="AY36" s="1724">
        <v>1199.7829999999999</v>
      </c>
      <c r="AZ36" s="1724">
        <v>1158.922</v>
      </c>
      <c r="BA36" s="1724">
        <v>1242.385</v>
      </c>
      <c r="BB36" s="1724">
        <v>1327.173</v>
      </c>
      <c r="BC36" s="1724">
        <v>1411.749</v>
      </c>
      <c r="BD36" s="1724">
        <f>1293.289+2.665</f>
        <v>1295.954</v>
      </c>
      <c r="BE36" s="1724">
        <f>2524.188+2.375</f>
        <v>2526.5630000000001</v>
      </c>
      <c r="BF36" s="1724">
        <v>2301.0140000000001</v>
      </c>
      <c r="BG36" s="1724">
        <v>2367.558</v>
      </c>
      <c r="BH36" s="1724">
        <v>1857.471</v>
      </c>
      <c r="BI36" s="1724">
        <v>1774.5820000000001</v>
      </c>
      <c r="BJ36" s="1724">
        <v>663.37900000000002</v>
      </c>
      <c r="BK36" s="1724">
        <v>592.93600000000004</v>
      </c>
    </row>
    <row r="37" spans="1:63">
      <c r="A37" s="13" t="s">
        <v>377</v>
      </c>
      <c r="B37" s="170">
        <f t="shared" ref="B37:AT37" si="23">SUM(B33:B36)</f>
        <v>1133.9780000000001</v>
      </c>
      <c r="C37" s="170">
        <f t="shared" si="23"/>
        <v>928.08799999999997</v>
      </c>
      <c r="D37" s="170">
        <f t="shared" si="23"/>
        <v>749.61400000000003</v>
      </c>
      <c r="E37" s="170">
        <f t="shared" si="23"/>
        <v>781.78200000000004</v>
      </c>
      <c r="F37" s="170">
        <f t="shared" si="23"/>
        <v>1081.92</v>
      </c>
      <c r="G37" s="170">
        <f t="shared" si="23"/>
        <v>1138.1479999999999</v>
      </c>
      <c r="H37" s="170">
        <f t="shared" si="23"/>
        <v>1054.3009999999999</v>
      </c>
      <c r="I37" s="170">
        <f t="shared" si="23"/>
        <v>1437.682</v>
      </c>
      <c r="J37" s="170">
        <f t="shared" si="23"/>
        <v>1387.6870000000001</v>
      </c>
      <c r="K37" s="170">
        <f t="shared" si="23"/>
        <v>1660.0050000000001</v>
      </c>
      <c r="L37" s="170">
        <f t="shared" si="23"/>
        <v>1616.1369999999999</v>
      </c>
      <c r="M37" s="170">
        <f t="shared" si="23"/>
        <v>3927.873</v>
      </c>
      <c r="N37" s="170">
        <f t="shared" si="23"/>
        <v>3887.674</v>
      </c>
      <c r="O37" s="170">
        <f t="shared" si="23"/>
        <v>3508.1789999999996</v>
      </c>
      <c r="P37" s="170">
        <f t="shared" si="23"/>
        <v>3289.8620000000001</v>
      </c>
      <c r="Q37" s="170">
        <f t="shared" si="23"/>
        <v>2187.828</v>
      </c>
      <c r="R37" s="170">
        <f t="shared" si="23"/>
        <v>2045.827</v>
      </c>
      <c r="S37" s="170">
        <f t="shared" si="23"/>
        <v>3516.9210000000003</v>
      </c>
      <c r="T37" s="170">
        <f t="shared" si="23"/>
        <v>4924.7669999999998</v>
      </c>
      <c r="U37" s="170">
        <f t="shared" si="23"/>
        <v>4792.7349999999997</v>
      </c>
      <c r="V37" s="170">
        <f t="shared" si="23"/>
        <v>4724.0870000000004</v>
      </c>
      <c r="W37" s="170">
        <f t="shared" si="23"/>
        <v>6204.0540000000001</v>
      </c>
      <c r="X37" s="170">
        <f t="shared" si="23"/>
        <v>6808.5130000000008</v>
      </c>
      <c r="Y37" s="170">
        <f t="shared" si="23"/>
        <v>13021</v>
      </c>
      <c r="Z37" s="170">
        <f t="shared" si="23"/>
        <v>13653.591999999999</v>
      </c>
      <c r="AA37" s="170">
        <f t="shared" si="23"/>
        <v>13908.786000000002</v>
      </c>
      <c r="AB37" s="170">
        <f t="shared" si="23"/>
        <v>14886.517000000002</v>
      </c>
      <c r="AC37" s="170">
        <f t="shared" si="23"/>
        <v>14764.842000000001</v>
      </c>
      <c r="AD37" s="170">
        <f t="shared" si="23"/>
        <v>14933.53</v>
      </c>
      <c r="AE37" s="170">
        <f t="shared" si="23"/>
        <v>16388.154999999999</v>
      </c>
      <c r="AF37" s="170">
        <f t="shared" si="23"/>
        <v>16628.449000000001</v>
      </c>
      <c r="AG37" s="170">
        <f t="shared" si="23"/>
        <v>17395.273000000001</v>
      </c>
      <c r="AH37" s="170">
        <f t="shared" si="23"/>
        <v>17064.508999999998</v>
      </c>
      <c r="AI37" s="170">
        <f t="shared" si="23"/>
        <v>17699.028000000002</v>
      </c>
      <c r="AJ37" s="170">
        <f t="shared" si="23"/>
        <v>18113.173000000003</v>
      </c>
      <c r="AK37" s="170">
        <f t="shared" si="23"/>
        <v>14287.946</v>
      </c>
      <c r="AL37" s="170">
        <f t="shared" si="23"/>
        <v>14109.433999999999</v>
      </c>
      <c r="AM37" s="170">
        <f t="shared" si="23"/>
        <v>15399.114</v>
      </c>
      <c r="AN37" s="170">
        <f t="shared" si="23"/>
        <v>13397.546</v>
      </c>
      <c r="AO37" s="170">
        <f t="shared" si="23"/>
        <v>23786.377</v>
      </c>
      <c r="AP37" s="170">
        <f t="shared" si="23"/>
        <v>43247.175000000003</v>
      </c>
      <c r="AQ37" s="170">
        <f t="shared" si="23"/>
        <v>47760.881999999998</v>
      </c>
      <c r="AR37" s="170">
        <f t="shared" si="23"/>
        <v>46967.062000000005</v>
      </c>
      <c r="AS37" s="170">
        <f t="shared" si="23"/>
        <v>39511.710000000006</v>
      </c>
      <c r="AT37" s="170">
        <f t="shared" si="23"/>
        <v>46477.413</v>
      </c>
      <c r="AU37" s="170">
        <f t="shared" ref="AU37:BJ37" si="24">SUM(AU33:AU36)</f>
        <v>50003.583999999995</v>
      </c>
      <c r="AV37" s="170">
        <f t="shared" si="24"/>
        <v>49877.022999999994</v>
      </c>
      <c r="AW37" s="170">
        <f t="shared" si="24"/>
        <v>54434.148999999998</v>
      </c>
      <c r="AX37" s="170">
        <f t="shared" si="24"/>
        <v>50530.597000000002</v>
      </c>
      <c r="AY37" s="170">
        <f t="shared" si="24"/>
        <v>29292.817999999996</v>
      </c>
      <c r="AZ37" s="170">
        <f t="shared" si="24"/>
        <v>28665.775999999998</v>
      </c>
      <c r="BA37" s="170">
        <f t="shared" si="24"/>
        <v>47852.795000000006</v>
      </c>
      <c r="BB37" s="170">
        <f t="shared" si="24"/>
        <v>49166.968000000001</v>
      </c>
      <c r="BC37" s="170">
        <f t="shared" si="24"/>
        <v>47389.351000000002</v>
      </c>
      <c r="BD37" s="170">
        <f t="shared" si="24"/>
        <v>45340.123</v>
      </c>
      <c r="BE37" s="170">
        <f t="shared" si="24"/>
        <v>46623.212000000007</v>
      </c>
      <c r="BF37" s="1971">
        <f t="shared" si="24"/>
        <v>47752.283000000003</v>
      </c>
      <c r="BG37" s="170">
        <f t="shared" si="24"/>
        <v>40211.277999999998</v>
      </c>
      <c r="BH37" s="170">
        <f t="shared" si="24"/>
        <v>41902.635000000002</v>
      </c>
      <c r="BI37" s="170">
        <f t="shared" si="24"/>
        <v>41187.140000000007</v>
      </c>
      <c r="BJ37" s="170">
        <f t="shared" si="24"/>
        <v>39160.173000000003</v>
      </c>
      <c r="BK37" s="170">
        <f t="shared" ref="BK37" si="25">SUM(BK33:BK36)</f>
        <v>42877.201000000001</v>
      </c>
    </row>
    <row r="38" spans="1:63">
      <c r="A38" s="36" t="s">
        <v>124</v>
      </c>
      <c r="B38" s="335">
        <v>533.79399999999998</v>
      </c>
      <c r="C38" s="335">
        <v>531.31700000000001</v>
      </c>
      <c r="D38" s="335">
        <v>528.28700000000003</v>
      </c>
      <c r="E38" s="335">
        <v>525.72199999999998</v>
      </c>
      <c r="F38" s="335">
        <v>529.45600000000002</v>
      </c>
      <c r="G38" s="335">
        <v>530.81500000000005</v>
      </c>
      <c r="H38" s="335">
        <v>530.39400000000001</v>
      </c>
      <c r="I38" s="335">
        <v>527.65700000000004</v>
      </c>
      <c r="J38" s="335">
        <v>365.32600000000002</v>
      </c>
      <c r="K38" s="335">
        <v>365.11700000000002</v>
      </c>
      <c r="L38" s="335">
        <v>363.16</v>
      </c>
      <c r="M38" s="335">
        <v>362.46100000000001</v>
      </c>
      <c r="N38" s="335">
        <v>368.36200000000002</v>
      </c>
      <c r="O38" s="335">
        <v>376.59500000000003</v>
      </c>
      <c r="P38" s="335">
        <v>376.59500000000003</v>
      </c>
      <c r="Q38" s="335">
        <v>403.339</v>
      </c>
      <c r="R38" s="335">
        <v>403.339</v>
      </c>
      <c r="S38" s="335">
        <v>402.709</v>
      </c>
      <c r="T38" s="335">
        <v>403.339</v>
      </c>
      <c r="U38" s="335">
        <v>403.339</v>
      </c>
      <c r="V38" s="335">
        <v>403.339</v>
      </c>
      <c r="W38" s="335">
        <v>478.74900000000002</v>
      </c>
      <c r="X38" s="335">
        <v>478.74900000000002</v>
      </c>
      <c r="Y38" s="335">
        <v>478.27100000000002</v>
      </c>
      <c r="Z38" s="335">
        <v>478.50799999999998</v>
      </c>
      <c r="AA38" s="335">
        <v>478.72800000000001</v>
      </c>
      <c r="AB38" s="335">
        <v>478.34500000000003</v>
      </c>
      <c r="AC38" s="335">
        <v>478.20299999999997</v>
      </c>
      <c r="AD38" s="335">
        <v>478.142</v>
      </c>
      <c r="AE38" s="335">
        <v>478.142</v>
      </c>
      <c r="AF38" s="335">
        <v>477.42</v>
      </c>
      <c r="AG38" s="335">
        <v>476.59899999999999</v>
      </c>
      <c r="AH38" s="335">
        <v>476.18299999999999</v>
      </c>
      <c r="AI38" s="335">
        <v>476.93200000000002</v>
      </c>
      <c r="AJ38" s="335">
        <v>476.53300000000002</v>
      </c>
      <c r="AK38" s="335">
        <v>475.86900000000003</v>
      </c>
      <c r="AL38" s="335">
        <v>478.35300000000001</v>
      </c>
      <c r="AM38" s="335">
        <v>478.72399999999999</v>
      </c>
      <c r="AN38" s="335">
        <v>478.72399999999999</v>
      </c>
      <c r="AO38" s="335">
        <v>477.28</v>
      </c>
      <c r="AP38" s="335">
        <v>477.27199999999999</v>
      </c>
      <c r="AQ38" s="335">
        <v>475.10899999999998</v>
      </c>
      <c r="AR38" s="335">
        <v>475.52800000000002</v>
      </c>
      <c r="AS38" s="335">
        <v>480.21800000000002</v>
      </c>
      <c r="AT38" s="335">
        <v>477.23899999999998</v>
      </c>
      <c r="AU38" s="1724">
        <v>475.91899999999998</v>
      </c>
      <c r="AV38" s="1724">
        <v>475.07400000000001</v>
      </c>
      <c r="AW38" s="1724">
        <v>478.74900000000002</v>
      </c>
      <c r="AX38" s="1724">
        <v>478.74900000000002</v>
      </c>
      <c r="AY38" s="1724">
        <v>478.74900000000002</v>
      </c>
      <c r="AZ38" s="1724">
        <v>478.74900000000002</v>
      </c>
      <c r="BA38" s="1724">
        <v>478.74900000000002</v>
      </c>
      <c r="BB38" s="1724">
        <v>478.55399999999997</v>
      </c>
      <c r="BC38" s="1724">
        <v>478.74900000000002</v>
      </c>
      <c r="BD38" s="1724">
        <v>478.74900000000002</v>
      </c>
      <c r="BE38" s="1724">
        <v>478.74900000000002</v>
      </c>
      <c r="BF38" s="1724">
        <v>478.74900000000002</v>
      </c>
      <c r="BG38" s="1724">
        <v>478.74900000000002</v>
      </c>
      <c r="BH38" s="1724">
        <v>478.74900000000002</v>
      </c>
      <c r="BI38" s="1724">
        <v>466.99599999999998</v>
      </c>
      <c r="BJ38" s="1724">
        <v>466.99599999999998</v>
      </c>
      <c r="BK38" s="1724">
        <v>466.99599999999998</v>
      </c>
    </row>
    <row r="39" spans="1:63">
      <c r="A39" s="36" t="s">
        <v>686</v>
      </c>
      <c r="B39" s="335">
        <v>1228.8800000000001</v>
      </c>
      <c r="C39" s="335">
        <v>1228.8800000000001</v>
      </c>
      <c r="D39" s="335">
        <v>1236.069</v>
      </c>
      <c r="E39" s="335">
        <v>1236.6030000000001</v>
      </c>
      <c r="F39" s="335">
        <v>1238.366</v>
      </c>
      <c r="G39" s="335">
        <v>1238.366</v>
      </c>
      <c r="H39" s="335">
        <v>1241.2080000000001</v>
      </c>
      <c r="I39" s="335">
        <v>1241.2080000000001</v>
      </c>
      <c r="J39" s="335">
        <v>1086.9670000000001</v>
      </c>
      <c r="K39" s="335">
        <v>1092.047</v>
      </c>
      <c r="L39" s="335">
        <v>1092.047</v>
      </c>
      <c r="M39" s="335">
        <v>1092.047</v>
      </c>
      <c r="N39" s="335">
        <v>1093.136</v>
      </c>
      <c r="O39" s="335">
        <v>1377.454</v>
      </c>
      <c r="P39" s="335">
        <v>1378.5429999999999</v>
      </c>
      <c r="Q39" s="335">
        <v>2466.8220000000001</v>
      </c>
      <c r="R39" s="335">
        <v>2466.652</v>
      </c>
      <c r="S39" s="335">
        <v>2057.4169999999999</v>
      </c>
      <c r="T39" s="335">
        <v>2057.4169999999999</v>
      </c>
      <c r="U39" s="335">
        <v>2037.39</v>
      </c>
      <c r="V39" s="335">
        <v>2037.39</v>
      </c>
      <c r="W39" s="335">
        <v>8619.4419999999991</v>
      </c>
      <c r="X39" s="335">
        <v>8614.8770000000004</v>
      </c>
      <c r="Y39" s="335">
        <v>8613.5869999999995</v>
      </c>
      <c r="Z39" s="335">
        <v>8613.5869999999995</v>
      </c>
      <c r="AA39" s="335">
        <v>8613.5869999999995</v>
      </c>
      <c r="AB39" s="335">
        <v>8613.5869999999995</v>
      </c>
      <c r="AC39" s="335">
        <v>8613.5869999999995</v>
      </c>
      <c r="AD39" s="335">
        <v>8613.5869999999995</v>
      </c>
      <c r="AE39" s="335">
        <v>8625.7199999999993</v>
      </c>
      <c r="AF39" s="335">
        <v>8625.7199999999993</v>
      </c>
      <c r="AG39" s="335">
        <v>8625.7199999999993</v>
      </c>
      <c r="AH39" s="335">
        <v>8625.7199999999993</v>
      </c>
      <c r="AI39" s="335">
        <v>8625.7199999999993</v>
      </c>
      <c r="AJ39" s="335">
        <v>8625.7199999999993</v>
      </c>
      <c r="AK39" s="335">
        <v>8625.7199999999993</v>
      </c>
      <c r="AL39" s="335">
        <v>8625.7199999999993</v>
      </c>
      <c r="AM39" s="335">
        <v>8625.7199999999993</v>
      </c>
      <c r="AN39" s="335">
        <v>8625.7199999999993</v>
      </c>
      <c r="AO39" s="335">
        <v>8625.7199999999993</v>
      </c>
      <c r="AP39" s="335">
        <v>8625.7199999999993</v>
      </c>
      <c r="AQ39" s="335">
        <v>8625.7199999999993</v>
      </c>
      <c r="AR39" s="335">
        <v>8625.7199999999993</v>
      </c>
      <c r="AS39" s="335">
        <v>8625.7199999999993</v>
      </c>
      <c r="AT39" s="335">
        <v>8625.7199999999993</v>
      </c>
      <c r="AU39" s="1724">
        <v>8625.7199999999993</v>
      </c>
      <c r="AV39" s="1724">
        <f>8625.72</f>
        <v>8625.7199999999993</v>
      </c>
      <c r="AW39" s="1724">
        <v>8677</v>
      </c>
      <c r="AX39" s="1724">
        <v>8676.8269999999993</v>
      </c>
      <c r="AY39" s="1724">
        <v>8676.8269999999993</v>
      </c>
      <c r="AZ39" s="1724">
        <v>8676.8269999999993</v>
      </c>
      <c r="BA39" s="1724">
        <v>8676.8269999999993</v>
      </c>
      <c r="BB39" s="1724">
        <v>8676.8269999999993</v>
      </c>
      <c r="BC39" s="1724">
        <v>8676.8269999999993</v>
      </c>
      <c r="BD39" s="1724">
        <v>8675.41</v>
      </c>
      <c r="BE39" s="1724">
        <v>8675.41</v>
      </c>
      <c r="BF39" s="1724">
        <v>8675.41</v>
      </c>
      <c r="BG39" s="1724">
        <v>8675.41</v>
      </c>
      <c r="BH39" s="1724">
        <v>8675.41</v>
      </c>
      <c r="BI39" s="1724">
        <v>7725.7280000000001</v>
      </c>
      <c r="BJ39" s="1724">
        <v>7725.7280000000001</v>
      </c>
      <c r="BK39" s="1724">
        <v>7725.7280000000001</v>
      </c>
    </row>
    <row r="40" spans="1:63">
      <c r="A40" s="36" t="s">
        <v>687</v>
      </c>
      <c r="B40" s="335">
        <v>1223.57</v>
      </c>
      <c r="C40" s="335">
        <v>1194.7460000000001</v>
      </c>
      <c r="D40" s="335">
        <v>1156.7760000000001</v>
      </c>
      <c r="E40" s="335">
        <v>1064.703</v>
      </c>
      <c r="F40" s="335">
        <v>1253.1790000000001</v>
      </c>
      <c r="G40" s="335">
        <v>1048.29</v>
      </c>
      <c r="H40" s="335">
        <v>1034.145</v>
      </c>
      <c r="I40" s="335">
        <v>968.6</v>
      </c>
      <c r="J40" s="335">
        <v>969.25900000000001</v>
      </c>
      <c r="K40" s="335">
        <v>867.13099999999997</v>
      </c>
      <c r="L40" s="335">
        <v>833.21500000000003</v>
      </c>
      <c r="M40" s="335">
        <v>1302.1320000000001</v>
      </c>
      <c r="N40" s="335">
        <v>1686.788</v>
      </c>
      <c r="O40" s="335">
        <v>1371.5309999999999</v>
      </c>
      <c r="P40" s="335">
        <v>1373.5540000000001</v>
      </c>
      <c r="Q40" s="335">
        <v>1372.18</v>
      </c>
      <c r="R40" s="335">
        <v>1742.6679999999999</v>
      </c>
      <c r="S40" s="335">
        <v>1354.1030000000001</v>
      </c>
      <c r="T40" s="335">
        <v>1400.6559999999999</v>
      </c>
      <c r="U40" s="335">
        <v>1400.721</v>
      </c>
      <c r="V40" s="335">
        <v>2083.1480000000001</v>
      </c>
      <c r="W40" s="335">
        <v>2085.1930000000002</v>
      </c>
      <c r="X40" s="335">
        <v>2085.1880000000001</v>
      </c>
      <c r="Y40" s="335">
        <v>-628.22799999999995</v>
      </c>
      <c r="Z40" s="335">
        <v>58.442999999999998</v>
      </c>
      <c r="AA40" s="335">
        <v>-340.83</v>
      </c>
      <c r="AB40" s="335">
        <v>-456.16199999999998</v>
      </c>
      <c r="AC40" s="335">
        <v>-485.91399999999999</v>
      </c>
      <c r="AD40" s="335">
        <v>369.16899999999998</v>
      </c>
      <c r="AE40" s="335">
        <v>-397.77</v>
      </c>
      <c r="AF40" s="335">
        <v>-578.87099999999998</v>
      </c>
      <c r="AG40" s="335">
        <v>-587.83100000000002</v>
      </c>
      <c r="AH40" s="335">
        <v>500.45400000000001</v>
      </c>
      <c r="AI40" s="335">
        <v>21.093</v>
      </c>
      <c r="AJ40" s="335">
        <v>-48.62</v>
      </c>
      <c r="AK40" s="335">
        <v>-163.19200000000001</v>
      </c>
      <c r="AL40" s="335">
        <v>1298.423</v>
      </c>
      <c r="AM40" s="335">
        <v>649.73800000000006</v>
      </c>
      <c r="AN40" s="335">
        <v>726.21199999999999</v>
      </c>
      <c r="AO40" s="335">
        <v>1319.579</v>
      </c>
      <c r="AP40" s="335">
        <v>583.35599999999999</v>
      </c>
      <c r="AQ40" s="335">
        <v>118.69</v>
      </c>
      <c r="AR40" s="335">
        <v>274.601</v>
      </c>
      <c r="AS40" s="335">
        <v>1000.034</v>
      </c>
      <c r="AT40" s="335">
        <v>1132.0730000000001</v>
      </c>
      <c r="AU40" s="1724">
        <v>1221.8910000000001</v>
      </c>
      <c r="AV40" s="1724">
        <f>1701.122</f>
        <v>1701.1220000000001</v>
      </c>
      <c r="AW40" s="1724">
        <v>-684</v>
      </c>
      <c r="AX40" s="335">
        <v>-1083.481</v>
      </c>
      <c r="AY40" s="335">
        <v>-675.53099999999995</v>
      </c>
      <c r="AZ40" s="335">
        <v>-542.05799999999999</v>
      </c>
      <c r="BA40" s="335">
        <v>36.423999999999999</v>
      </c>
      <c r="BB40" s="335">
        <v>-1419.742</v>
      </c>
      <c r="BC40" s="335">
        <v>-1874.655</v>
      </c>
      <c r="BD40" s="335">
        <v>-2648.1</v>
      </c>
      <c r="BE40" s="335">
        <v>-3159.8530000000001</v>
      </c>
      <c r="BF40" s="335">
        <v>-2171.8389999999999</v>
      </c>
      <c r="BG40" s="335">
        <v>-2728.4989999999998</v>
      </c>
      <c r="BH40" s="335">
        <v>-2783.0329999999999</v>
      </c>
      <c r="BI40" s="335">
        <v>-2697.395</v>
      </c>
      <c r="BJ40" s="335">
        <v>-2122.4690000000001</v>
      </c>
      <c r="BK40" s="335">
        <v>-1768.0450000000001</v>
      </c>
    </row>
    <row r="41" spans="1:63">
      <c r="A41" s="36" t="s">
        <v>688</v>
      </c>
      <c r="B41" s="335">
        <v>-43.301000000000002</v>
      </c>
      <c r="C41" s="335">
        <v>-85.207999999999998</v>
      </c>
      <c r="D41" s="335">
        <v>-20.780999999999999</v>
      </c>
      <c r="E41" s="335">
        <v>103.748</v>
      </c>
      <c r="F41" s="335">
        <v>-0.65800000000000003</v>
      </c>
      <c r="G41" s="335">
        <v>98.043000000000006</v>
      </c>
      <c r="H41" s="335">
        <v>114.46</v>
      </c>
      <c r="I41" s="335">
        <v>151.203</v>
      </c>
      <c r="J41" s="335">
        <v>13.281000000000001</v>
      </c>
      <c r="K41" s="335">
        <v>63.344000000000001</v>
      </c>
      <c r="L41" s="335">
        <v>145.52099999999999</v>
      </c>
      <c r="M41" s="335">
        <v>209.64099999999999</v>
      </c>
      <c r="N41" s="335">
        <v>17.044</v>
      </c>
      <c r="O41" s="335">
        <v>148.25399999999999</v>
      </c>
      <c r="P41" s="335">
        <v>232.50700000000001</v>
      </c>
      <c r="Q41" s="335">
        <v>364.91899999999998</v>
      </c>
      <c r="R41" s="335">
        <v>65.149000000000001</v>
      </c>
      <c r="S41" s="335">
        <v>222.59200000000001</v>
      </c>
      <c r="T41" s="335">
        <v>406.416</v>
      </c>
      <c r="U41" s="335">
        <v>681.01400000000001</v>
      </c>
      <c r="V41" s="335">
        <v>86.778000000000006</v>
      </c>
      <c r="W41" s="335">
        <v>174.898</v>
      </c>
      <c r="X41" s="335">
        <v>369.44400000000002</v>
      </c>
      <c r="Y41" s="335">
        <v>666.66600000000005</v>
      </c>
      <c r="Z41" s="335">
        <v>298.81299999999999</v>
      </c>
      <c r="AA41" s="335">
        <v>391.41500000000002</v>
      </c>
      <c r="AB41" s="335">
        <v>511.678</v>
      </c>
      <c r="AC41" s="335">
        <v>981.21500000000003</v>
      </c>
      <c r="AD41" s="335">
        <v>34.093000000000004</v>
      </c>
      <c r="AE41" s="335">
        <v>244.41300000000001</v>
      </c>
      <c r="AF41" s="335">
        <v>409.21899999999999</v>
      </c>
      <c r="AG41" s="335">
        <v>996.471</v>
      </c>
      <c r="AH41" s="335">
        <v>172.08099999999999</v>
      </c>
      <c r="AI41" s="335">
        <v>231.517</v>
      </c>
      <c r="AJ41" s="335">
        <v>437.82</v>
      </c>
      <c r="AK41" s="335">
        <v>1089.498</v>
      </c>
      <c r="AL41" s="335">
        <v>211.64</v>
      </c>
      <c r="AM41" s="335">
        <v>484.08800000000002</v>
      </c>
      <c r="AN41" s="335">
        <v>771.14300000000003</v>
      </c>
      <c r="AO41" s="335">
        <v>1005.947</v>
      </c>
      <c r="AP41" s="335">
        <v>106.471</v>
      </c>
      <c r="AQ41" s="335">
        <v>279.75900000000001</v>
      </c>
      <c r="AR41" s="335">
        <v>470.36799999999999</v>
      </c>
      <c r="AS41" s="335">
        <v>926.66899999999998</v>
      </c>
      <c r="AT41" s="335">
        <v>-279.97899999999998</v>
      </c>
      <c r="AU41" s="335">
        <v>-2875.9250000000002</v>
      </c>
      <c r="AV41" s="335">
        <f>-3352.037</f>
        <v>-3352.0369999999998</v>
      </c>
      <c r="AW41" s="335"/>
      <c r="AX41" s="335">
        <v>-312.108</v>
      </c>
      <c r="AY41" s="335">
        <v>-173.108</v>
      </c>
      <c r="AZ41" s="335">
        <v>-7.9000000000000001E-2</v>
      </c>
      <c r="BA41" s="335">
        <v>835.13</v>
      </c>
      <c r="BB41" s="335">
        <v>525.44100000000003</v>
      </c>
      <c r="BC41" s="335">
        <v>736.86400000000003</v>
      </c>
      <c r="BD41" s="335">
        <v>1053.626</v>
      </c>
      <c r="BE41" s="335">
        <v>1623.5609999999999</v>
      </c>
      <c r="BF41" s="335">
        <v>588.22699999999998</v>
      </c>
      <c r="BG41" s="335">
        <v>981.08100000000002</v>
      </c>
      <c r="BH41" s="335">
        <v>1475.7049999999999</v>
      </c>
      <c r="BI41" s="335">
        <v>2879.7730000000001</v>
      </c>
      <c r="BJ41" s="335">
        <v>404.12599999999998</v>
      </c>
      <c r="BK41" s="335">
        <v>544.20299999999997</v>
      </c>
    </row>
    <row r="42" spans="1:63">
      <c r="A42" s="36" t="s">
        <v>694</v>
      </c>
      <c r="B42" s="335">
        <v>-4.9980000000000002</v>
      </c>
      <c r="C42" s="335">
        <v>-20.367000000000001</v>
      </c>
      <c r="D42" s="335">
        <v>-7.3170000000000002</v>
      </c>
      <c r="E42" s="335">
        <v>-22.187000000000001</v>
      </c>
      <c r="F42" s="335">
        <v>-15.4</v>
      </c>
      <c r="G42" s="335">
        <v>-13.932</v>
      </c>
      <c r="H42" s="335">
        <v>-13.766999999999999</v>
      </c>
      <c r="I42" s="335">
        <v>-23.34</v>
      </c>
      <c r="J42" s="335">
        <f>487.768+1.164</f>
        <v>488.93199999999996</v>
      </c>
      <c r="K42" s="335">
        <f>487.753-36.333</f>
        <v>451.41999999999996</v>
      </c>
      <c r="L42" s="335">
        <f>487.737+20.123</f>
        <v>507.86</v>
      </c>
      <c r="M42" s="335">
        <v>27.584</v>
      </c>
      <c r="N42" s="335">
        <v>-28.574000000000002</v>
      </c>
      <c r="O42" s="335">
        <v>-29.812999999999999</v>
      </c>
      <c r="P42" s="335">
        <v>-67.921000000000006</v>
      </c>
      <c r="Q42" s="335">
        <v>-86.55</v>
      </c>
      <c r="R42" s="335">
        <v>-153.785</v>
      </c>
      <c r="S42" s="335">
        <v>-151.93100000000001</v>
      </c>
      <c r="T42" s="335">
        <v>-182.44399999999999</v>
      </c>
      <c r="U42" s="335">
        <v>-251.03700000000001</v>
      </c>
      <c r="V42" s="335">
        <v>-351.64699999999999</v>
      </c>
      <c r="W42" s="335">
        <v>-345.084</v>
      </c>
      <c r="X42" s="335">
        <v>-389.63499999999999</v>
      </c>
      <c r="Y42" s="335">
        <v>-330.16800000000001</v>
      </c>
      <c r="Z42" s="335">
        <v>-392.20800000000003</v>
      </c>
      <c r="AA42" s="335">
        <v>-303.60399999999998</v>
      </c>
      <c r="AB42" s="335">
        <v>-383.86399999999998</v>
      </c>
      <c r="AC42" s="335">
        <v>-517.81399999999996</v>
      </c>
      <c r="AD42" s="335">
        <v>-692.45399999999995</v>
      </c>
      <c r="AE42" s="335">
        <v>-588.01199999999994</v>
      </c>
      <c r="AF42" s="335">
        <v>-569.68799999999999</v>
      </c>
      <c r="AG42" s="335">
        <v>-600.33600000000001</v>
      </c>
      <c r="AH42" s="335">
        <v>-632.35500000000002</v>
      </c>
      <c r="AI42" s="335">
        <v>-775.69299999999998</v>
      </c>
      <c r="AJ42" s="335">
        <v>-739.60500000000002</v>
      </c>
      <c r="AK42" s="335">
        <v>-567.50599999999997</v>
      </c>
      <c r="AL42" s="335">
        <v>-635.37</v>
      </c>
      <c r="AM42" s="335">
        <v>-898.80700000000002</v>
      </c>
      <c r="AN42" s="335">
        <v>-1287.424</v>
      </c>
      <c r="AO42" s="335">
        <v>-348.44600000000003</v>
      </c>
      <c r="AP42" s="335">
        <v>-431.48200000000003</v>
      </c>
      <c r="AQ42" s="335">
        <v>-448.61599999999999</v>
      </c>
      <c r="AR42" s="335">
        <v>-903.64499999999998</v>
      </c>
      <c r="AS42" s="335">
        <v>-1451.643</v>
      </c>
      <c r="AT42" s="335">
        <v>-1169.048</v>
      </c>
      <c r="AU42" s="335">
        <v>-903.81100000000004</v>
      </c>
      <c r="AV42" s="335">
        <f>-1168.313</f>
        <v>-1168.3130000000001</v>
      </c>
      <c r="AW42" s="335">
        <f>-815-2014+660</f>
        <v>-2169</v>
      </c>
      <c r="AX42" s="335">
        <v>-1656.239</v>
      </c>
      <c r="AY42" s="335">
        <v>-1954.384</v>
      </c>
      <c r="AZ42" s="335">
        <v>-1665.8969999999999</v>
      </c>
      <c r="BA42" s="335">
        <v>-2387.9639999999999</v>
      </c>
      <c r="BB42" s="335">
        <v>0</v>
      </c>
      <c r="BC42" s="335">
        <v>0</v>
      </c>
      <c r="BD42" s="335">
        <v>0</v>
      </c>
      <c r="BE42" s="335">
        <v>0</v>
      </c>
      <c r="BF42" s="335">
        <v>0</v>
      </c>
      <c r="BG42" s="335">
        <v>0</v>
      </c>
      <c r="BH42" s="335">
        <v>0</v>
      </c>
      <c r="BI42" s="335">
        <v>0</v>
      </c>
      <c r="BJ42" s="335">
        <v>0</v>
      </c>
      <c r="BK42" s="335">
        <v>0</v>
      </c>
    </row>
    <row r="43" spans="1:63">
      <c r="A43" s="36" t="s">
        <v>127</v>
      </c>
      <c r="B43" s="170">
        <f t="shared" ref="B43:BI43" si="26">SUM(B38:B42)</f>
        <v>2937.9449999999997</v>
      </c>
      <c r="C43" s="170">
        <f t="shared" si="26"/>
        <v>2849.3679999999999</v>
      </c>
      <c r="D43" s="170">
        <f t="shared" si="26"/>
        <v>2893.0340000000001</v>
      </c>
      <c r="E43" s="170">
        <f t="shared" si="26"/>
        <v>2908.5890000000004</v>
      </c>
      <c r="F43" s="170">
        <f t="shared" si="26"/>
        <v>3004.9430000000002</v>
      </c>
      <c r="G43" s="170">
        <f t="shared" si="26"/>
        <v>2901.5820000000003</v>
      </c>
      <c r="H43" s="170">
        <f t="shared" si="26"/>
        <v>2906.4400000000005</v>
      </c>
      <c r="I43" s="170">
        <f t="shared" si="26"/>
        <v>2865.328</v>
      </c>
      <c r="J43" s="170">
        <f t="shared" si="26"/>
        <v>2923.7649999999999</v>
      </c>
      <c r="K43" s="170">
        <f t="shared" si="26"/>
        <v>2839.0590000000002</v>
      </c>
      <c r="L43" s="170">
        <f t="shared" si="26"/>
        <v>2941.8030000000003</v>
      </c>
      <c r="M43" s="170">
        <f t="shared" si="26"/>
        <v>2993.8650000000002</v>
      </c>
      <c r="N43" s="170">
        <f t="shared" si="26"/>
        <v>3136.7559999999999</v>
      </c>
      <c r="O43" s="170">
        <f t="shared" si="26"/>
        <v>3244.0209999999997</v>
      </c>
      <c r="P43" s="170">
        <f t="shared" si="26"/>
        <v>3293.2780000000002</v>
      </c>
      <c r="Q43" s="170">
        <f t="shared" si="26"/>
        <v>4520.71</v>
      </c>
      <c r="R43" s="170">
        <f t="shared" si="26"/>
        <v>4524.0230000000001</v>
      </c>
      <c r="S43" s="170">
        <f t="shared" si="26"/>
        <v>3884.89</v>
      </c>
      <c r="T43" s="170">
        <f t="shared" si="26"/>
        <v>4085.3839999999996</v>
      </c>
      <c r="U43" s="170">
        <f t="shared" si="26"/>
        <v>4271.4269999999997</v>
      </c>
      <c r="V43" s="170">
        <f t="shared" si="26"/>
        <v>4259.0080000000007</v>
      </c>
      <c r="W43" s="170">
        <f t="shared" si="26"/>
        <v>11013.197999999997</v>
      </c>
      <c r="X43" s="170">
        <f t="shared" si="26"/>
        <v>11158.623</v>
      </c>
      <c r="Y43" s="170">
        <f t="shared" si="26"/>
        <v>8800.1280000000006</v>
      </c>
      <c r="Z43" s="170">
        <f t="shared" si="26"/>
        <v>9057.1429999999982</v>
      </c>
      <c r="AA43" s="170">
        <f t="shared" si="26"/>
        <v>8839.2960000000003</v>
      </c>
      <c r="AB43" s="170">
        <f t="shared" si="26"/>
        <v>8763.5839999999989</v>
      </c>
      <c r="AC43" s="170">
        <f t="shared" si="26"/>
        <v>9069.2769999999982</v>
      </c>
      <c r="AD43" s="170">
        <f t="shared" si="26"/>
        <v>8802.5370000000003</v>
      </c>
      <c r="AE43" s="170">
        <f t="shared" si="26"/>
        <v>8362.4929999999986</v>
      </c>
      <c r="AF43" s="170">
        <f t="shared" si="26"/>
        <v>8363.7999999999993</v>
      </c>
      <c r="AG43" s="170">
        <f t="shared" si="26"/>
        <v>8910.6229999999996</v>
      </c>
      <c r="AH43" s="170">
        <f t="shared" si="26"/>
        <v>9142.0829999999987</v>
      </c>
      <c r="AI43" s="170">
        <f t="shared" si="26"/>
        <v>8579.5690000000013</v>
      </c>
      <c r="AJ43" s="170">
        <f t="shared" si="26"/>
        <v>8751.8479999999981</v>
      </c>
      <c r="AK43" s="170">
        <f t="shared" si="26"/>
        <v>9460.389000000001</v>
      </c>
      <c r="AL43" s="170">
        <f t="shared" si="26"/>
        <v>9978.7659999999978</v>
      </c>
      <c r="AM43" s="170">
        <f t="shared" si="26"/>
        <v>9339.4629999999979</v>
      </c>
      <c r="AN43" s="170">
        <f t="shared" si="26"/>
        <v>9314.375</v>
      </c>
      <c r="AO43" s="170">
        <f t="shared" si="26"/>
        <v>11080.08</v>
      </c>
      <c r="AP43" s="170">
        <f t="shared" si="26"/>
        <v>9361.3369999999995</v>
      </c>
      <c r="AQ43" s="170">
        <f t="shared" si="26"/>
        <v>9050.6620000000003</v>
      </c>
      <c r="AR43" s="170">
        <f t="shared" si="26"/>
        <v>8942.5720000000001</v>
      </c>
      <c r="AS43" s="170">
        <f t="shared" si="26"/>
        <v>9580.9979999999996</v>
      </c>
      <c r="AT43" s="170">
        <f t="shared" si="26"/>
        <v>8786.0049999999992</v>
      </c>
      <c r="AU43" s="170">
        <f t="shared" si="26"/>
        <v>6543.793999999999</v>
      </c>
      <c r="AV43" s="170">
        <f t="shared" si="26"/>
        <v>6281.5659999999989</v>
      </c>
      <c r="AW43" s="170">
        <f t="shared" si="26"/>
        <v>6302.7489999999998</v>
      </c>
      <c r="AX43" s="170">
        <f t="shared" si="26"/>
        <v>6103.7479999999996</v>
      </c>
      <c r="AY43" s="170">
        <f t="shared" si="26"/>
        <v>6352.5529999999981</v>
      </c>
      <c r="AZ43" s="170">
        <f t="shared" si="26"/>
        <v>6947.5420000000004</v>
      </c>
      <c r="BA43" s="170">
        <f t="shared" si="26"/>
        <v>7639.1659999999993</v>
      </c>
      <c r="BB43" s="170">
        <f t="shared" si="26"/>
        <v>8261.08</v>
      </c>
      <c r="BC43" s="170">
        <f t="shared" si="26"/>
        <v>8017.7849999999999</v>
      </c>
      <c r="BD43" s="170">
        <f t="shared" si="26"/>
        <v>7559.6849999999995</v>
      </c>
      <c r="BE43" s="170">
        <f t="shared" si="26"/>
        <v>7617.8669999999993</v>
      </c>
      <c r="BF43" s="170">
        <f t="shared" si="26"/>
        <v>7570.5469999999996</v>
      </c>
      <c r="BG43" s="170">
        <f t="shared" si="26"/>
        <v>7406.741</v>
      </c>
      <c r="BH43" s="170">
        <f t="shared" si="26"/>
        <v>7846.8310000000001</v>
      </c>
      <c r="BI43" s="170">
        <f t="shared" si="26"/>
        <v>8375.101999999999</v>
      </c>
      <c r="BJ43" s="170">
        <f t="shared" ref="BJ43:BK43" si="27">SUM(BJ38:BJ42)</f>
        <v>6474.3810000000003</v>
      </c>
      <c r="BK43" s="170">
        <f t="shared" si="27"/>
        <v>6968.8819999999996</v>
      </c>
    </row>
    <row r="44" spans="1:63">
      <c r="A44" s="36" t="s">
        <v>689</v>
      </c>
      <c r="B44" s="335">
        <v>228.87700000000001</v>
      </c>
      <c r="C44" s="335">
        <v>223.56700000000001</v>
      </c>
      <c r="D44" s="335">
        <v>228.07300000000001</v>
      </c>
      <c r="E44" s="335">
        <v>223.774</v>
      </c>
      <c r="F44" s="335">
        <v>235.654</v>
      </c>
      <c r="G44" s="335">
        <v>245.57900000000001</v>
      </c>
      <c r="H44" s="335">
        <v>248.44900000000001</v>
      </c>
      <c r="I44" s="335">
        <v>245.64099999999999</v>
      </c>
      <c r="J44" s="335">
        <v>249.631</v>
      </c>
      <c r="K44" s="335">
        <v>255.58199999999999</v>
      </c>
      <c r="L44" s="335">
        <v>264.66699999999997</v>
      </c>
      <c r="M44" s="335">
        <v>298.86399999999998</v>
      </c>
      <c r="N44" s="335">
        <v>276.34500000000003</v>
      </c>
      <c r="O44" s="335">
        <v>272.29000000000002</v>
      </c>
      <c r="P44" s="335">
        <v>278.13499999999999</v>
      </c>
      <c r="Q44" s="335">
        <v>308.18900000000002</v>
      </c>
      <c r="R44" s="335">
        <v>281.37900000000002</v>
      </c>
      <c r="S44" s="335">
        <v>289.73599999999999</v>
      </c>
      <c r="T44" s="335">
        <v>250.874</v>
      </c>
      <c r="U44" s="335">
        <v>239.50399999999999</v>
      </c>
      <c r="V44" s="335">
        <v>229.28700000000001</v>
      </c>
      <c r="W44" s="335">
        <v>229.56100000000001</v>
      </c>
      <c r="X44" s="335">
        <v>240.41399999999999</v>
      </c>
      <c r="Y44" s="335">
        <v>1289.49</v>
      </c>
      <c r="Z44" s="335">
        <v>961.88699999999994</v>
      </c>
      <c r="AA44" s="335">
        <v>978.77</v>
      </c>
      <c r="AB44" s="335">
        <v>972.82799999999997</v>
      </c>
      <c r="AC44" s="335">
        <v>1356.1969999999999</v>
      </c>
      <c r="AD44" s="335">
        <v>887.11599999999999</v>
      </c>
      <c r="AE44" s="335">
        <v>921.42100000000005</v>
      </c>
      <c r="AF44" s="335">
        <v>961.31100000000004</v>
      </c>
      <c r="AG44" s="335">
        <v>1013.448</v>
      </c>
      <c r="AH44" s="335">
        <v>942.49099999999999</v>
      </c>
      <c r="AI44" s="335">
        <v>1027.963</v>
      </c>
      <c r="AJ44" s="335">
        <v>1010.657</v>
      </c>
      <c r="AK44" s="335">
        <v>1142.7370000000001</v>
      </c>
      <c r="AL44" s="335">
        <v>1154.8409999999999</v>
      </c>
      <c r="AM44" s="335">
        <v>1147.3440000000001</v>
      </c>
      <c r="AN44" s="335">
        <v>1159.0840000000001</v>
      </c>
      <c r="AO44" s="335">
        <v>1878.742</v>
      </c>
      <c r="AP44" s="335">
        <v>1885.0719999999999</v>
      </c>
      <c r="AQ44" s="335">
        <v>1919.5650000000001</v>
      </c>
      <c r="AR44" s="335">
        <v>1934.579</v>
      </c>
      <c r="AS44" s="335">
        <v>1961.5630000000001</v>
      </c>
      <c r="AT44" s="335">
        <v>1941.527</v>
      </c>
      <c r="AU44" s="1724">
        <v>1529.287</v>
      </c>
      <c r="AV44" s="1724">
        <v>1419.3969999999999</v>
      </c>
      <c r="AW44" s="1724">
        <v>1330.4459999999999</v>
      </c>
      <c r="AX44" s="1724">
        <v>1156.106</v>
      </c>
      <c r="AY44" s="1724">
        <v>1100.404</v>
      </c>
      <c r="AZ44" s="1724">
        <f>7741.674-6947.542</f>
        <v>794.13199999999961</v>
      </c>
      <c r="BA44" s="1851">
        <v>1034.923</v>
      </c>
      <c r="BB44" s="1724">
        <v>1025.5</v>
      </c>
      <c r="BC44" s="1724">
        <v>1018.6130000000001</v>
      </c>
      <c r="BD44" s="1724">
        <v>987.42</v>
      </c>
      <c r="BE44" s="1724">
        <v>962.13099999999997</v>
      </c>
      <c r="BF44" s="1724">
        <v>957.44600000000003</v>
      </c>
      <c r="BG44" s="1724">
        <v>956.83799999999997</v>
      </c>
      <c r="BH44" s="1724">
        <v>966.48099999999999</v>
      </c>
      <c r="BI44" s="1724">
        <v>940.62099999999998</v>
      </c>
      <c r="BJ44" s="1724">
        <f>6593.528-BJ43</f>
        <v>119.14699999999993</v>
      </c>
      <c r="BK44" s="1724">
        <v>124.39</v>
      </c>
    </row>
    <row r="45" spans="1:63">
      <c r="A45" s="13" t="s">
        <v>221</v>
      </c>
      <c r="B45" s="170">
        <f t="shared" ref="B45:AS45" si="28">B43+B44</f>
        <v>3166.8219999999997</v>
      </c>
      <c r="C45" s="170">
        <f t="shared" si="28"/>
        <v>3072.9349999999999</v>
      </c>
      <c r="D45" s="170">
        <f t="shared" si="28"/>
        <v>3121.107</v>
      </c>
      <c r="E45" s="170">
        <f t="shared" si="28"/>
        <v>3132.3630000000003</v>
      </c>
      <c r="F45" s="170">
        <f t="shared" si="28"/>
        <v>3240.5970000000002</v>
      </c>
      <c r="G45" s="170">
        <f t="shared" si="28"/>
        <v>3147.1610000000005</v>
      </c>
      <c r="H45" s="170">
        <f t="shared" si="28"/>
        <v>3154.8890000000006</v>
      </c>
      <c r="I45" s="170">
        <f t="shared" si="28"/>
        <v>3110.9690000000001</v>
      </c>
      <c r="J45" s="170">
        <f t="shared" si="28"/>
        <v>3173.3959999999997</v>
      </c>
      <c r="K45" s="170">
        <f t="shared" si="28"/>
        <v>3094.6410000000001</v>
      </c>
      <c r="L45" s="170">
        <f t="shared" si="28"/>
        <v>3206.4700000000003</v>
      </c>
      <c r="M45" s="170">
        <f t="shared" si="28"/>
        <v>3292.7290000000003</v>
      </c>
      <c r="N45" s="170">
        <f t="shared" si="28"/>
        <v>3413.1009999999997</v>
      </c>
      <c r="O45" s="170">
        <f t="shared" si="28"/>
        <v>3516.3109999999997</v>
      </c>
      <c r="P45" s="170">
        <f t="shared" si="28"/>
        <v>3571.4130000000005</v>
      </c>
      <c r="Q45" s="170">
        <f t="shared" si="28"/>
        <v>4828.8990000000003</v>
      </c>
      <c r="R45" s="170">
        <f t="shared" si="28"/>
        <v>4805.402</v>
      </c>
      <c r="S45" s="170">
        <f t="shared" si="28"/>
        <v>4174.6260000000002</v>
      </c>
      <c r="T45" s="170">
        <f t="shared" si="28"/>
        <v>4336.2579999999998</v>
      </c>
      <c r="U45" s="170">
        <f t="shared" si="28"/>
        <v>4510.9309999999996</v>
      </c>
      <c r="V45" s="170">
        <f t="shared" si="28"/>
        <v>4488.295000000001</v>
      </c>
      <c r="W45" s="170">
        <f t="shared" si="28"/>
        <v>11242.758999999996</v>
      </c>
      <c r="X45" s="170">
        <f t="shared" si="28"/>
        <v>11399.037</v>
      </c>
      <c r="Y45" s="170">
        <f t="shared" si="28"/>
        <v>10089.618</v>
      </c>
      <c r="Z45" s="170">
        <f t="shared" si="28"/>
        <v>10019.029999999999</v>
      </c>
      <c r="AA45" s="170">
        <f t="shared" si="28"/>
        <v>9818.0660000000007</v>
      </c>
      <c r="AB45" s="170">
        <f t="shared" si="28"/>
        <v>9736.4119999999984</v>
      </c>
      <c r="AC45" s="170">
        <f t="shared" si="28"/>
        <v>10425.473999999998</v>
      </c>
      <c r="AD45" s="170">
        <f t="shared" si="28"/>
        <v>9689.6530000000002</v>
      </c>
      <c r="AE45" s="170">
        <f t="shared" si="28"/>
        <v>9283.9139999999989</v>
      </c>
      <c r="AF45" s="170">
        <f t="shared" si="28"/>
        <v>9325.110999999999</v>
      </c>
      <c r="AG45" s="170">
        <f t="shared" si="28"/>
        <v>9924.0709999999999</v>
      </c>
      <c r="AH45" s="170">
        <f t="shared" si="28"/>
        <v>10084.573999999999</v>
      </c>
      <c r="AI45" s="170">
        <f t="shared" si="28"/>
        <v>9607.5320000000011</v>
      </c>
      <c r="AJ45" s="170">
        <f t="shared" si="28"/>
        <v>9762.5049999999974</v>
      </c>
      <c r="AK45" s="170">
        <f t="shared" si="28"/>
        <v>10603.126</v>
      </c>
      <c r="AL45" s="170">
        <f t="shared" si="28"/>
        <v>11133.606999999998</v>
      </c>
      <c r="AM45" s="170">
        <f t="shared" si="28"/>
        <v>10486.806999999997</v>
      </c>
      <c r="AN45" s="170">
        <f t="shared" si="28"/>
        <v>10473.459000000001</v>
      </c>
      <c r="AO45" s="170">
        <f t="shared" si="28"/>
        <v>12958.822</v>
      </c>
      <c r="AP45" s="170">
        <f t="shared" si="28"/>
        <v>11246.409</v>
      </c>
      <c r="AQ45" s="170">
        <f t="shared" si="28"/>
        <v>10970.227000000001</v>
      </c>
      <c r="AR45" s="170">
        <f t="shared" si="28"/>
        <v>10877.151</v>
      </c>
      <c r="AS45" s="170">
        <f t="shared" si="28"/>
        <v>11542.561</v>
      </c>
      <c r="AT45" s="170">
        <f>AT43+AT44</f>
        <v>10727.531999999999</v>
      </c>
      <c r="AU45" s="169">
        <f t="shared" ref="AU45:BB45" si="29">AU43+AU44</f>
        <v>8073.0809999999992</v>
      </c>
      <c r="AV45" s="169">
        <f t="shared" si="29"/>
        <v>7700.9629999999988</v>
      </c>
      <c r="AW45" s="169">
        <f t="shared" si="29"/>
        <v>7633.1949999999997</v>
      </c>
      <c r="AX45" s="169">
        <f t="shared" si="29"/>
        <v>7259.8539999999994</v>
      </c>
      <c r="AY45" s="169">
        <f t="shared" si="29"/>
        <v>7452.9569999999985</v>
      </c>
      <c r="AZ45" s="169">
        <f t="shared" si="29"/>
        <v>7741.674</v>
      </c>
      <c r="BA45" s="169">
        <f t="shared" si="29"/>
        <v>8674.0889999999999</v>
      </c>
      <c r="BB45" s="169">
        <f t="shared" si="29"/>
        <v>9286.58</v>
      </c>
      <c r="BC45" s="169">
        <f t="shared" ref="BC45:BH45" si="30">BC43+BC44</f>
        <v>9036.3979999999992</v>
      </c>
      <c r="BD45" s="169">
        <f t="shared" si="30"/>
        <v>8547.1049999999996</v>
      </c>
      <c r="BE45" s="169">
        <f t="shared" si="30"/>
        <v>8579.9979999999996</v>
      </c>
      <c r="BF45" s="169">
        <f t="shared" si="30"/>
        <v>8527.9930000000004</v>
      </c>
      <c r="BG45" s="169">
        <f t="shared" si="30"/>
        <v>8363.5789999999997</v>
      </c>
      <c r="BH45" s="169">
        <f t="shared" si="30"/>
        <v>8813.3119999999999</v>
      </c>
      <c r="BI45" s="169">
        <f t="shared" ref="BI45:BJ45" si="31">BI43+BI44</f>
        <v>9315.7229999999981</v>
      </c>
      <c r="BJ45" s="169">
        <f t="shared" si="31"/>
        <v>6593.5280000000002</v>
      </c>
      <c r="BK45" s="169">
        <f t="shared" ref="BK45" si="32">BK43+BK44</f>
        <v>7093.2719999999999</v>
      </c>
    </row>
    <row r="46" spans="1:63">
      <c r="A46" s="13" t="s">
        <v>128</v>
      </c>
      <c r="B46" s="170">
        <f t="shared" ref="B46:AS46" si="33">B45+B37+B32</f>
        <v>6083.7729999999992</v>
      </c>
      <c r="C46" s="170">
        <f t="shared" si="33"/>
        <v>5844.1819999999998</v>
      </c>
      <c r="D46" s="170">
        <f t="shared" si="33"/>
        <v>5713.62</v>
      </c>
      <c r="E46" s="170">
        <f t="shared" si="33"/>
        <v>5808.8090000000002</v>
      </c>
      <c r="F46" s="170">
        <f t="shared" si="33"/>
        <v>6074.3419999999996</v>
      </c>
      <c r="G46" s="170">
        <f t="shared" si="33"/>
        <v>5750.7180000000008</v>
      </c>
      <c r="H46" s="170">
        <f t="shared" si="33"/>
        <v>5804.5680000000002</v>
      </c>
      <c r="I46" s="170">
        <f t="shared" si="33"/>
        <v>6140.7649999999994</v>
      </c>
      <c r="J46" s="170">
        <f t="shared" si="33"/>
        <v>6001.4769999999999</v>
      </c>
      <c r="K46" s="170">
        <f t="shared" si="33"/>
        <v>6331.5060000000003</v>
      </c>
      <c r="L46" s="170">
        <f t="shared" si="33"/>
        <v>6624.8819999999996</v>
      </c>
      <c r="M46" s="170">
        <f t="shared" si="33"/>
        <v>9374.1740000000009</v>
      </c>
      <c r="N46" s="170">
        <f t="shared" si="33"/>
        <v>9507.2530000000006</v>
      </c>
      <c r="O46" s="170">
        <f t="shared" si="33"/>
        <v>9414.7170000000006</v>
      </c>
      <c r="P46" s="170">
        <f t="shared" si="33"/>
        <v>9435.1409999999996</v>
      </c>
      <c r="Q46" s="170">
        <f t="shared" si="33"/>
        <v>9797.5930000000008</v>
      </c>
      <c r="R46" s="170">
        <f t="shared" si="33"/>
        <v>9673.15</v>
      </c>
      <c r="S46" s="170">
        <f t="shared" si="33"/>
        <v>10147.488000000001</v>
      </c>
      <c r="T46" s="170">
        <f t="shared" si="33"/>
        <v>11945.326999999999</v>
      </c>
      <c r="U46" s="170">
        <f t="shared" si="33"/>
        <v>12416.133999999998</v>
      </c>
      <c r="V46" s="170">
        <f t="shared" si="33"/>
        <v>12345.031000000003</v>
      </c>
      <c r="W46" s="170">
        <f t="shared" si="33"/>
        <v>22092.573999999993</v>
      </c>
      <c r="X46" s="170">
        <f t="shared" si="33"/>
        <v>22208.921000000002</v>
      </c>
      <c r="Y46" s="170">
        <f t="shared" si="33"/>
        <v>29771.596000000001</v>
      </c>
      <c r="Z46" s="170">
        <f t="shared" si="33"/>
        <v>29412.923999999995</v>
      </c>
      <c r="AA46" s="170">
        <f t="shared" si="33"/>
        <v>30400.917000000001</v>
      </c>
      <c r="AB46" s="170">
        <f t="shared" si="33"/>
        <v>30817.355</v>
      </c>
      <c r="AC46" s="170">
        <f t="shared" si="33"/>
        <v>31842.427</v>
      </c>
      <c r="AD46" s="170">
        <f t="shared" si="33"/>
        <v>33548.524000000005</v>
      </c>
      <c r="AE46" s="170">
        <f t="shared" si="33"/>
        <v>34190.557999999997</v>
      </c>
      <c r="AF46" s="170">
        <f t="shared" si="33"/>
        <v>35584.995999999999</v>
      </c>
      <c r="AG46" s="170">
        <f t="shared" si="33"/>
        <v>37995.141000000003</v>
      </c>
      <c r="AH46" s="170">
        <f t="shared" si="33"/>
        <v>37307.656000000003</v>
      </c>
      <c r="AI46" s="170">
        <f t="shared" si="33"/>
        <v>37923.921000000002</v>
      </c>
      <c r="AJ46" s="170">
        <f t="shared" si="33"/>
        <v>38765.432000000001</v>
      </c>
      <c r="AK46" s="170">
        <f t="shared" si="33"/>
        <v>39659.256999999998</v>
      </c>
      <c r="AL46" s="170">
        <f t="shared" si="33"/>
        <v>39692.687999999995</v>
      </c>
      <c r="AM46" s="170">
        <f t="shared" si="33"/>
        <v>40145.662999999993</v>
      </c>
      <c r="AN46" s="170">
        <f t="shared" si="33"/>
        <v>39429.775000000001</v>
      </c>
      <c r="AO46" s="170">
        <f t="shared" si="33"/>
        <v>53060.122000000003</v>
      </c>
      <c r="AP46" s="170">
        <f t="shared" si="33"/>
        <v>77552.021999999997</v>
      </c>
      <c r="AQ46" s="170">
        <f t="shared" si="33"/>
        <v>76425.592000000004</v>
      </c>
      <c r="AR46" s="170">
        <f t="shared" si="33"/>
        <v>76156.233000000007</v>
      </c>
      <c r="AS46" s="170">
        <f t="shared" si="33"/>
        <v>76412.248000000007</v>
      </c>
      <c r="AT46" s="170">
        <f>AT45+AT37+AT32</f>
        <v>84871.896000000008</v>
      </c>
      <c r="AU46" s="169">
        <f t="shared" ref="AU46:BB46" si="34">AU45 +AU32+AU37</f>
        <v>84077.731</v>
      </c>
      <c r="AV46" s="169">
        <f t="shared" si="34"/>
        <v>84588.433999999994</v>
      </c>
      <c r="AW46" s="169">
        <f t="shared" si="34"/>
        <v>83437.343999999997</v>
      </c>
      <c r="AX46" s="169">
        <f t="shared" si="34"/>
        <v>82663.28</v>
      </c>
      <c r="AY46" s="169">
        <f t="shared" si="34"/>
        <v>80619.759999999995</v>
      </c>
      <c r="AZ46" s="169">
        <f t="shared" si="34"/>
        <v>80070.258000000002</v>
      </c>
      <c r="BA46" s="169">
        <f t="shared" si="34"/>
        <v>82977.562000000005</v>
      </c>
      <c r="BB46" s="169">
        <f t="shared" si="34"/>
        <v>81321.717999999993</v>
      </c>
      <c r="BC46" s="169">
        <f t="shared" ref="BC46:BH46" si="35">BC45 +BC32+BC37</f>
        <v>79731.09599999999</v>
      </c>
      <c r="BD46" s="169">
        <f t="shared" si="35"/>
        <v>77387.027999999991</v>
      </c>
      <c r="BE46" s="169">
        <f t="shared" si="35"/>
        <v>80469.323000000004</v>
      </c>
      <c r="BF46" s="169">
        <f t="shared" si="35"/>
        <v>77029.59599999999</v>
      </c>
      <c r="BG46" s="169">
        <f t="shared" si="35"/>
        <v>75408.32699999999</v>
      </c>
      <c r="BH46" s="169">
        <f t="shared" si="35"/>
        <v>76200.806000000011</v>
      </c>
      <c r="BI46" s="169">
        <f t="shared" ref="BI46:BJ46" si="36">BI45 +BI32+BI37</f>
        <v>76997.021000000008</v>
      </c>
      <c r="BJ46" s="169">
        <f t="shared" si="36"/>
        <v>74091.186000000002</v>
      </c>
      <c r="BK46" s="169">
        <f t="shared" ref="BK46" si="37">BK45 +BK32+BK37</f>
        <v>78380.366000000009</v>
      </c>
    </row>
    <row r="47" spans="1:63" s="275" customFormat="1">
      <c r="A47" s="128"/>
      <c r="B47" s="543"/>
      <c r="C47" s="543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O47" s="543"/>
      <c r="P47" s="543"/>
      <c r="Q47" s="543"/>
      <c r="R47" s="543"/>
      <c r="S47" s="543"/>
      <c r="T47" s="543"/>
      <c r="U47" s="543"/>
      <c r="V47" s="543"/>
      <c r="W47" s="543"/>
      <c r="X47" s="543"/>
      <c r="Y47" s="543"/>
      <c r="Z47" s="543"/>
      <c r="AA47" s="543"/>
      <c r="AB47" s="543"/>
      <c r="AC47" s="543"/>
      <c r="AD47" s="543"/>
      <c r="AE47" s="543"/>
      <c r="AF47" s="543"/>
      <c r="AG47" s="543"/>
      <c r="AH47" s="543"/>
      <c r="AI47" s="543"/>
      <c r="AJ47" s="543"/>
      <c r="AK47" s="543"/>
      <c r="AL47" s="543"/>
      <c r="AM47" s="543"/>
      <c r="AN47" s="543"/>
      <c r="AO47" s="543"/>
      <c r="AP47" s="543"/>
      <c r="AQ47" s="543"/>
      <c r="AR47" s="543"/>
      <c r="AS47" s="543"/>
      <c r="AT47" s="543"/>
      <c r="AU47" s="543"/>
      <c r="AV47" s="543"/>
      <c r="AW47" s="543"/>
      <c r="AX47" s="543"/>
      <c r="AY47" s="543"/>
      <c r="AZ47" s="543"/>
      <c r="BA47" s="543"/>
      <c r="BB47" s="543"/>
      <c r="BC47" s="543"/>
      <c r="BD47" s="543"/>
      <c r="BE47" s="543"/>
      <c r="BF47" s="543"/>
      <c r="BG47" s="543"/>
      <c r="BH47" s="543"/>
      <c r="BI47" s="543"/>
      <c r="BJ47" s="543"/>
      <c r="BK47" s="543"/>
    </row>
    <row r="48" spans="1:63" s="275" customFormat="1">
      <c r="A48" s="128"/>
      <c r="B48" s="543"/>
      <c r="C48" s="543"/>
      <c r="D48" s="543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543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</row>
    <row r="49" spans="1:63" s="275" customFormat="1">
      <c r="A49" s="13" t="s">
        <v>1104</v>
      </c>
      <c r="B49" s="543"/>
      <c r="C49" s="543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</row>
    <row r="50" spans="1:63" s="275" customFormat="1">
      <c r="A50" s="36" t="s">
        <v>137</v>
      </c>
      <c r="B50" s="1109">
        <f t="shared" ref="B50:AP50" si="38">+SUM(B51:B53)</f>
        <v>0</v>
      </c>
      <c r="C50" s="1109">
        <f t="shared" si="38"/>
        <v>0</v>
      </c>
      <c r="D50" s="1109">
        <f t="shared" si="38"/>
        <v>0</v>
      </c>
      <c r="E50" s="1109">
        <f t="shared" si="38"/>
        <v>1</v>
      </c>
      <c r="F50" s="1109">
        <f t="shared" si="38"/>
        <v>1</v>
      </c>
      <c r="G50" s="1109">
        <f t="shared" si="38"/>
        <v>1</v>
      </c>
      <c r="H50" s="1109">
        <f t="shared" si="38"/>
        <v>1</v>
      </c>
      <c r="I50" s="1109">
        <f t="shared" si="38"/>
        <v>1</v>
      </c>
      <c r="J50" s="1109">
        <f t="shared" si="38"/>
        <v>1</v>
      </c>
      <c r="K50" s="1109">
        <f t="shared" si="38"/>
        <v>1</v>
      </c>
      <c r="L50" s="1109">
        <f t="shared" si="38"/>
        <v>1</v>
      </c>
      <c r="M50" s="1109">
        <f t="shared" si="38"/>
        <v>1</v>
      </c>
      <c r="N50" s="1109">
        <f t="shared" si="38"/>
        <v>1</v>
      </c>
      <c r="O50" s="1109">
        <f t="shared" si="38"/>
        <v>1</v>
      </c>
      <c r="P50" s="1109">
        <f t="shared" si="38"/>
        <v>1</v>
      </c>
      <c r="Q50" s="1109">
        <f t="shared" si="38"/>
        <v>1</v>
      </c>
      <c r="R50" s="1109">
        <f t="shared" si="38"/>
        <v>1</v>
      </c>
      <c r="S50" s="1109">
        <f t="shared" si="38"/>
        <v>1</v>
      </c>
      <c r="T50" s="1109">
        <f t="shared" si="38"/>
        <v>1</v>
      </c>
      <c r="U50" s="1109">
        <f t="shared" si="38"/>
        <v>1</v>
      </c>
      <c r="V50" s="1109">
        <f t="shared" si="38"/>
        <v>1</v>
      </c>
      <c r="W50" s="1109">
        <f t="shared" si="38"/>
        <v>1</v>
      </c>
      <c r="X50" s="1109">
        <f t="shared" si="38"/>
        <v>1</v>
      </c>
      <c r="Y50" s="1109">
        <f t="shared" si="38"/>
        <v>1.0009999999999999</v>
      </c>
      <c r="Z50" s="1109">
        <f t="shared" si="38"/>
        <v>1.0009999999999999</v>
      </c>
      <c r="AA50" s="1109">
        <f t="shared" si="38"/>
        <v>1</v>
      </c>
      <c r="AB50" s="1109">
        <f t="shared" si="38"/>
        <v>1</v>
      </c>
      <c r="AC50" s="1109">
        <f t="shared" si="38"/>
        <v>1</v>
      </c>
      <c r="AD50" s="1109">
        <f t="shared" si="38"/>
        <v>1</v>
      </c>
      <c r="AE50" s="1109">
        <f t="shared" si="38"/>
        <v>1</v>
      </c>
      <c r="AF50" s="1109">
        <f t="shared" si="38"/>
        <v>1</v>
      </c>
      <c r="AG50" s="1109">
        <f t="shared" si="38"/>
        <v>1</v>
      </c>
      <c r="AH50" s="1109">
        <f t="shared" si="38"/>
        <v>1</v>
      </c>
      <c r="AI50" s="1109">
        <f t="shared" si="38"/>
        <v>1</v>
      </c>
      <c r="AJ50" s="1109">
        <f t="shared" si="38"/>
        <v>1</v>
      </c>
      <c r="AK50" s="1109">
        <f t="shared" si="38"/>
        <v>1</v>
      </c>
      <c r="AL50" s="1109">
        <f t="shared" si="38"/>
        <v>1</v>
      </c>
      <c r="AM50" s="1109">
        <f t="shared" si="38"/>
        <v>1</v>
      </c>
      <c r="AN50" s="1109">
        <f t="shared" si="38"/>
        <v>1</v>
      </c>
      <c r="AO50" s="1109">
        <f t="shared" si="38"/>
        <v>1</v>
      </c>
      <c r="AP50" s="1109">
        <f t="shared" si="38"/>
        <v>1</v>
      </c>
      <c r="AQ50" s="1109">
        <v>1</v>
      </c>
      <c r="AR50" s="1109">
        <f>+SUM(AR51:AR53)</f>
        <v>1</v>
      </c>
      <c r="AS50" s="1109">
        <f>+SUM(AS51:AS53)</f>
        <v>1</v>
      </c>
      <c r="AT50" s="1109">
        <f t="shared" ref="AT50:BJ50" si="39">+SUM(AT51:AT53)</f>
        <v>1.0049999999999999</v>
      </c>
      <c r="AU50" s="1109">
        <f t="shared" si="39"/>
        <v>1.0049999999999999</v>
      </c>
      <c r="AV50" s="1109">
        <f t="shared" si="39"/>
        <v>0.995</v>
      </c>
      <c r="AW50" s="1109">
        <f t="shared" si="39"/>
        <v>0.99999999999999989</v>
      </c>
      <c r="AX50" s="1109">
        <f t="shared" si="39"/>
        <v>0.99999999999999989</v>
      </c>
      <c r="AY50" s="1109">
        <f t="shared" si="39"/>
        <v>0.995</v>
      </c>
      <c r="AZ50" s="1109">
        <f t="shared" si="39"/>
        <v>0.995</v>
      </c>
      <c r="BA50" s="1109">
        <f t="shared" si="39"/>
        <v>1.0029999999999999</v>
      </c>
      <c r="BB50" s="1109">
        <f t="shared" si="39"/>
        <v>1.0029999999999999</v>
      </c>
      <c r="BC50" s="1109">
        <f t="shared" si="39"/>
        <v>1</v>
      </c>
      <c r="BD50" s="1109">
        <f t="shared" si="39"/>
        <v>1.0009999999999999</v>
      </c>
      <c r="BE50" s="1109">
        <f t="shared" si="39"/>
        <v>1</v>
      </c>
      <c r="BF50" s="1109">
        <f t="shared" si="39"/>
        <v>1.0009999999999999</v>
      </c>
      <c r="BG50" s="1109">
        <f t="shared" si="39"/>
        <v>1.0009999999999999</v>
      </c>
      <c r="BH50" s="1109">
        <f t="shared" si="39"/>
        <v>1.0009999999999999</v>
      </c>
      <c r="BI50" s="1109">
        <f t="shared" si="39"/>
        <v>1.0009999999999999</v>
      </c>
      <c r="BJ50" s="1109">
        <f t="shared" si="39"/>
        <v>1.0009999999999999</v>
      </c>
      <c r="BK50" s="1109">
        <f t="shared" ref="BK50" si="40">+SUM(BK51:BK53)</f>
        <v>1.0009999999999999</v>
      </c>
    </row>
    <row r="51" spans="1:63" s="275" customFormat="1">
      <c r="A51" s="342" t="s">
        <v>1105</v>
      </c>
      <c r="B51" s="650" t="s">
        <v>750</v>
      </c>
      <c r="C51" s="650" t="s">
        <v>750</v>
      </c>
      <c r="D51" s="650" t="s">
        <v>750</v>
      </c>
      <c r="E51" s="646">
        <v>0.97499999999999998</v>
      </c>
      <c r="F51" s="646">
        <v>0.98299999999999998</v>
      </c>
      <c r="G51" s="646">
        <v>0.98399999999999999</v>
      </c>
      <c r="H51" s="646">
        <v>0.98499999999999999</v>
      </c>
      <c r="I51" s="646">
        <v>0.97199999999999998</v>
      </c>
      <c r="J51" s="646">
        <v>0.97299999999999998</v>
      </c>
      <c r="K51" s="646">
        <v>0.97799999999999998</v>
      </c>
      <c r="L51" s="646">
        <v>0.98</v>
      </c>
      <c r="M51" s="646">
        <v>1</v>
      </c>
      <c r="N51" s="646">
        <v>0.99399999999999999</v>
      </c>
      <c r="O51" s="646">
        <v>0.99</v>
      </c>
      <c r="P51" s="646">
        <v>0.99</v>
      </c>
      <c r="Q51" s="646">
        <v>0.98</v>
      </c>
      <c r="R51" s="646">
        <v>0.98699999999999999</v>
      </c>
      <c r="S51" s="646">
        <v>0.98499999999999999</v>
      </c>
      <c r="T51" s="646">
        <v>0.98899999999999999</v>
      </c>
      <c r="U51" s="646">
        <v>0.98899999999999999</v>
      </c>
      <c r="V51" s="646">
        <v>0.99</v>
      </c>
      <c r="W51" s="646">
        <v>0.99</v>
      </c>
      <c r="X51" s="646">
        <v>0.98799999999999999</v>
      </c>
      <c r="Y51" s="646">
        <v>0.81</v>
      </c>
      <c r="Z51" s="646">
        <v>0.83099999999999996</v>
      </c>
      <c r="AA51" s="646">
        <v>0.83599999999999997</v>
      </c>
      <c r="AB51" s="646">
        <v>0.82</v>
      </c>
      <c r="AC51" s="646">
        <v>0.82</v>
      </c>
      <c r="AD51" s="646">
        <v>0.82</v>
      </c>
      <c r="AE51" s="646">
        <v>0.83</v>
      </c>
      <c r="AF51" s="646">
        <v>0.82</v>
      </c>
      <c r="AG51" s="646">
        <v>0.81</v>
      </c>
      <c r="AH51" s="646">
        <v>0.82</v>
      </c>
      <c r="AI51" s="646">
        <v>0.83</v>
      </c>
      <c r="AJ51" s="646">
        <v>0.85</v>
      </c>
      <c r="AK51" s="646">
        <v>0.81</v>
      </c>
      <c r="AL51" s="646">
        <v>0.81</v>
      </c>
      <c r="AM51" s="646">
        <v>0.84</v>
      </c>
      <c r="AN51" s="646">
        <v>0.83</v>
      </c>
      <c r="AO51" s="646">
        <v>0.6</v>
      </c>
      <c r="AP51" s="646">
        <v>0.59</v>
      </c>
      <c r="AQ51" s="646">
        <v>0.6</v>
      </c>
      <c r="AR51" s="646">
        <v>0.59</v>
      </c>
      <c r="AS51" s="646">
        <v>0.61</v>
      </c>
      <c r="AT51" s="646">
        <v>0.56999999999999995</v>
      </c>
      <c r="AU51" s="646">
        <v>0.56999999999999995</v>
      </c>
      <c r="AV51" s="646">
        <v>0.55000000000000004</v>
      </c>
      <c r="AW51" s="646">
        <v>0.57499999999999996</v>
      </c>
      <c r="AX51" s="646">
        <v>0.57999999999999996</v>
      </c>
      <c r="AY51" s="646">
        <v>0.57999999999999996</v>
      </c>
      <c r="AZ51" s="646">
        <v>0.57999999999999996</v>
      </c>
      <c r="BA51" s="646">
        <v>0.64</v>
      </c>
      <c r="BB51" s="646">
        <v>0.62</v>
      </c>
      <c r="BC51" s="646">
        <v>0.64</v>
      </c>
      <c r="BD51" s="646">
        <v>0.66</v>
      </c>
      <c r="BE51" s="646">
        <v>0.64</v>
      </c>
      <c r="BF51" s="646">
        <v>0.65</v>
      </c>
      <c r="BG51" s="646">
        <v>0.65</v>
      </c>
      <c r="BH51" s="646">
        <v>0.64</v>
      </c>
      <c r="BI51" s="646">
        <v>0.62</v>
      </c>
      <c r="BJ51" s="646">
        <v>0.67</v>
      </c>
      <c r="BK51" s="646">
        <v>0.65</v>
      </c>
    </row>
    <row r="52" spans="1:63" s="275" customFormat="1">
      <c r="A52" s="342" t="s">
        <v>143</v>
      </c>
      <c r="B52" s="650" t="s">
        <v>750</v>
      </c>
      <c r="C52" s="650" t="s">
        <v>750</v>
      </c>
      <c r="D52" s="650" t="s">
        <v>750</v>
      </c>
      <c r="E52" s="646">
        <v>0</v>
      </c>
      <c r="F52" s="646">
        <v>0</v>
      </c>
      <c r="G52" s="646">
        <v>0</v>
      </c>
      <c r="H52" s="646">
        <v>0</v>
      </c>
      <c r="I52" s="646">
        <v>0</v>
      </c>
      <c r="J52" s="646">
        <v>0</v>
      </c>
      <c r="K52" s="646">
        <v>0</v>
      </c>
      <c r="L52" s="646">
        <v>0</v>
      </c>
      <c r="M52" s="646">
        <v>0</v>
      </c>
      <c r="N52" s="646">
        <v>0</v>
      </c>
      <c r="O52" s="646">
        <v>0</v>
      </c>
      <c r="P52" s="646">
        <v>0</v>
      </c>
      <c r="Q52" s="646">
        <v>0</v>
      </c>
      <c r="R52" s="646">
        <v>0</v>
      </c>
      <c r="S52" s="646">
        <v>0</v>
      </c>
      <c r="T52" s="646">
        <v>0</v>
      </c>
      <c r="U52" s="646">
        <v>0</v>
      </c>
      <c r="V52" s="646">
        <v>0</v>
      </c>
      <c r="W52" s="646">
        <v>0</v>
      </c>
      <c r="X52" s="646">
        <v>0</v>
      </c>
      <c r="Y52" s="646">
        <v>0.186</v>
      </c>
      <c r="Z52" s="646">
        <v>0.16500000000000001</v>
      </c>
      <c r="AA52" s="646">
        <v>0.16</v>
      </c>
      <c r="AB52" s="646">
        <v>0.17</v>
      </c>
      <c r="AC52" s="646">
        <v>0.17</v>
      </c>
      <c r="AD52" s="646">
        <v>0.17</v>
      </c>
      <c r="AE52" s="646">
        <v>0.16</v>
      </c>
      <c r="AF52" s="646">
        <v>0.17</v>
      </c>
      <c r="AG52" s="646">
        <v>0.15</v>
      </c>
      <c r="AH52" s="646">
        <v>0.14000000000000001</v>
      </c>
      <c r="AI52" s="646">
        <v>0.13</v>
      </c>
      <c r="AJ52" s="646">
        <v>0.13</v>
      </c>
      <c r="AK52" s="646">
        <v>0.16</v>
      </c>
      <c r="AL52" s="646">
        <v>0.15</v>
      </c>
      <c r="AM52" s="646">
        <v>0.14000000000000001</v>
      </c>
      <c r="AN52" s="646">
        <v>0.13</v>
      </c>
      <c r="AO52" s="646">
        <v>0.38</v>
      </c>
      <c r="AP52" s="646">
        <v>0.4</v>
      </c>
      <c r="AQ52" s="646">
        <v>0.39</v>
      </c>
      <c r="AR52" s="646">
        <v>0.4</v>
      </c>
      <c r="AS52" s="646">
        <v>0.38</v>
      </c>
      <c r="AT52" s="646">
        <v>0.43</v>
      </c>
      <c r="AU52" s="646">
        <v>0.43</v>
      </c>
      <c r="AV52" s="646">
        <v>0.44</v>
      </c>
      <c r="AW52" s="646">
        <v>0.42</v>
      </c>
      <c r="AX52" s="646">
        <v>0.41499999999999998</v>
      </c>
      <c r="AY52" s="646">
        <v>0.41</v>
      </c>
      <c r="AZ52" s="646">
        <v>0.41</v>
      </c>
      <c r="BA52" s="646">
        <v>0.36</v>
      </c>
      <c r="BB52" s="646">
        <v>0.38</v>
      </c>
      <c r="BC52" s="646">
        <v>0.36</v>
      </c>
      <c r="BD52" s="646">
        <v>0.34</v>
      </c>
      <c r="BE52" s="646">
        <v>0.36</v>
      </c>
      <c r="BF52" s="646">
        <v>0.35</v>
      </c>
      <c r="BG52" s="646">
        <v>0.35</v>
      </c>
      <c r="BH52" s="646">
        <v>0.36</v>
      </c>
      <c r="BI52" s="646">
        <v>0.38</v>
      </c>
      <c r="BJ52" s="646">
        <v>0.33</v>
      </c>
      <c r="BK52" s="646">
        <v>0.35</v>
      </c>
    </row>
    <row r="53" spans="1:63" s="275" customFormat="1">
      <c r="A53" s="342" t="s">
        <v>80</v>
      </c>
      <c r="B53" s="650" t="s">
        <v>750</v>
      </c>
      <c r="C53" s="650" t="s">
        <v>750</v>
      </c>
      <c r="D53" s="650" t="s">
        <v>750</v>
      </c>
      <c r="E53" s="646">
        <v>2.5000000000000001E-2</v>
      </c>
      <c r="F53" s="646">
        <v>1.7000000000000001E-2</v>
      </c>
      <c r="G53" s="646">
        <v>1.6E-2</v>
      </c>
      <c r="H53" s="646">
        <v>1.4999999999999999E-2</v>
      </c>
      <c r="I53" s="646">
        <v>2.8000000000000001E-2</v>
      </c>
      <c r="J53" s="646">
        <v>2.7E-2</v>
      </c>
      <c r="K53" s="646">
        <v>2.1999999999999999E-2</v>
      </c>
      <c r="L53" s="646">
        <v>0.02</v>
      </c>
      <c r="M53" s="646">
        <v>0</v>
      </c>
      <c r="N53" s="646">
        <v>6.0000000000000001E-3</v>
      </c>
      <c r="O53" s="646">
        <v>0.01</v>
      </c>
      <c r="P53" s="646">
        <v>0.01</v>
      </c>
      <c r="Q53" s="646">
        <v>0.02</v>
      </c>
      <c r="R53" s="646">
        <v>1.2999999999999999E-2</v>
      </c>
      <c r="S53" s="646">
        <v>1.4999999999999999E-2</v>
      </c>
      <c r="T53" s="646">
        <v>1.0999999999999999E-2</v>
      </c>
      <c r="U53" s="646">
        <f>0.009+0.002</f>
        <v>1.0999999999999999E-2</v>
      </c>
      <c r="V53" s="646">
        <v>0.01</v>
      </c>
      <c r="W53" s="646">
        <v>0.01</v>
      </c>
      <c r="X53" s="646">
        <v>1.2E-2</v>
      </c>
      <c r="Y53" s="646">
        <v>5.0000000000000001E-3</v>
      </c>
      <c r="Z53" s="646">
        <v>5.0000000000000001E-3</v>
      </c>
      <c r="AA53" s="646">
        <v>4.0000000000000001E-3</v>
      </c>
      <c r="AB53" s="646">
        <v>0.01</v>
      </c>
      <c r="AC53" s="646">
        <v>0.01</v>
      </c>
      <c r="AD53" s="646">
        <v>0.01</v>
      </c>
      <c r="AE53" s="646">
        <v>0.01</v>
      </c>
      <c r="AF53" s="646">
        <v>0.01</v>
      </c>
      <c r="AG53" s="646">
        <v>0.04</v>
      </c>
      <c r="AH53" s="646">
        <v>0.04</v>
      </c>
      <c r="AI53" s="646">
        <v>0.04</v>
      </c>
      <c r="AJ53" s="646">
        <v>0.02</v>
      </c>
      <c r="AK53" s="646">
        <v>0.03</v>
      </c>
      <c r="AL53" s="646">
        <v>0.04</v>
      </c>
      <c r="AM53" s="646">
        <v>0.02</v>
      </c>
      <c r="AN53" s="646">
        <v>0.04</v>
      </c>
      <c r="AO53" s="646">
        <v>0.02</v>
      </c>
      <c r="AP53" s="646">
        <v>0.01</v>
      </c>
      <c r="AQ53" s="646">
        <v>0.01</v>
      </c>
      <c r="AR53" s="646">
        <f>+AQ53</f>
        <v>0.01</v>
      </c>
      <c r="AS53" s="646">
        <v>0.01</v>
      </c>
      <c r="AT53" s="646">
        <v>5.0000000000000001E-3</v>
      </c>
      <c r="AU53" s="646">
        <v>5.0000000000000001E-3</v>
      </c>
      <c r="AV53" s="646">
        <v>5.0000000000000001E-3</v>
      </c>
      <c r="AW53" s="646">
        <v>5.0000000000000001E-3</v>
      </c>
      <c r="AX53" s="646">
        <v>5.0000000000000001E-3</v>
      </c>
      <c r="AY53" s="646">
        <v>5.0000000000000001E-3</v>
      </c>
      <c r="AZ53" s="646">
        <v>5.0000000000000001E-3</v>
      </c>
      <c r="BA53" s="646">
        <v>3.0000000000000001E-3</v>
      </c>
      <c r="BB53" s="646">
        <v>3.0000000000000001E-3</v>
      </c>
      <c r="BC53" s="646">
        <v>0</v>
      </c>
      <c r="BD53" s="646">
        <v>1E-3</v>
      </c>
      <c r="BE53" s="646">
        <f>1-BE52-BE51</f>
        <v>0</v>
      </c>
      <c r="BF53" s="646">
        <v>1E-3</v>
      </c>
      <c r="BG53" s="646">
        <v>1E-3</v>
      </c>
      <c r="BH53" s="646">
        <v>1E-3</v>
      </c>
      <c r="BI53" s="646">
        <v>1E-3</v>
      </c>
      <c r="BJ53" s="646">
        <v>1E-3</v>
      </c>
      <c r="BK53" s="646">
        <v>1E-3</v>
      </c>
    </row>
    <row r="54" spans="1:63" s="275" customFormat="1">
      <c r="A54" s="36"/>
      <c r="B54" s="543"/>
      <c r="C54" s="543"/>
      <c r="D54" s="543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543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</row>
    <row r="55" spans="1:63" s="275" customFormat="1">
      <c r="A55" s="36" t="s">
        <v>137</v>
      </c>
      <c r="B55" s="1109">
        <f t="shared" ref="B55:AP55" si="41">+SUM(B56:B57)</f>
        <v>0</v>
      </c>
      <c r="C55" s="1109">
        <f t="shared" si="41"/>
        <v>0</v>
      </c>
      <c r="D55" s="1109">
        <f t="shared" si="41"/>
        <v>0</v>
      </c>
      <c r="E55" s="1109">
        <f t="shared" si="41"/>
        <v>0</v>
      </c>
      <c r="F55" s="1109">
        <f t="shared" si="41"/>
        <v>0</v>
      </c>
      <c r="G55" s="1109">
        <f t="shared" si="41"/>
        <v>0</v>
      </c>
      <c r="H55" s="1109">
        <f t="shared" si="41"/>
        <v>0</v>
      </c>
      <c r="I55" s="1109">
        <f t="shared" si="41"/>
        <v>0</v>
      </c>
      <c r="J55" s="1109">
        <f t="shared" si="41"/>
        <v>0</v>
      </c>
      <c r="K55" s="1109">
        <f t="shared" si="41"/>
        <v>0</v>
      </c>
      <c r="L55" s="1109">
        <f t="shared" si="41"/>
        <v>0</v>
      </c>
      <c r="M55" s="1109">
        <f t="shared" si="41"/>
        <v>0</v>
      </c>
      <c r="N55" s="1109">
        <f t="shared" si="41"/>
        <v>0</v>
      </c>
      <c r="O55" s="1109">
        <f t="shared" si="41"/>
        <v>0</v>
      </c>
      <c r="P55" s="1109">
        <f t="shared" si="41"/>
        <v>0</v>
      </c>
      <c r="Q55" s="1109">
        <f t="shared" si="41"/>
        <v>0</v>
      </c>
      <c r="R55" s="1109">
        <f t="shared" si="41"/>
        <v>0</v>
      </c>
      <c r="S55" s="1109">
        <f t="shared" si="41"/>
        <v>0</v>
      </c>
      <c r="T55" s="1109">
        <f t="shared" si="41"/>
        <v>0</v>
      </c>
      <c r="U55" s="1109">
        <f t="shared" si="41"/>
        <v>0</v>
      </c>
      <c r="V55" s="1109">
        <f t="shared" si="41"/>
        <v>0</v>
      </c>
      <c r="W55" s="1109">
        <f t="shared" si="41"/>
        <v>0</v>
      </c>
      <c r="X55" s="1109">
        <f t="shared" si="41"/>
        <v>0</v>
      </c>
      <c r="Y55" s="1109">
        <f t="shared" si="41"/>
        <v>0</v>
      </c>
      <c r="Z55" s="1109">
        <f t="shared" si="41"/>
        <v>0</v>
      </c>
      <c r="AA55" s="1109">
        <f t="shared" si="41"/>
        <v>0</v>
      </c>
      <c r="AB55" s="1109">
        <f t="shared" si="41"/>
        <v>0</v>
      </c>
      <c r="AC55" s="1109">
        <f t="shared" si="41"/>
        <v>0</v>
      </c>
      <c r="AD55" s="1109">
        <f t="shared" si="41"/>
        <v>0</v>
      </c>
      <c r="AE55" s="1109">
        <f t="shared" si="41"/>
        <v>0</v>
      </c>
      <c r="AF55" s="1109">
        <f t="shared" si="41"/>
        <v>0</v>
      </c>
      <c r="AG55" s="1109">
        <f t="shared" si="41"/>
        <v>0</v>
      </c>
      <c r="AH55" s="1109">
        <f t="shared" si="41"/>
        <v>0</v>
      </c>
      <c r="AI55" s="1109">
        <f t="shared" si="41"/>
        <v>0</v>
      </c>
      <c r="AJ55" s="1109">
        <f t="shared" si="41"/>
        <v>0</v>
      </c>
      <c r="AK55" s="1109">
        <f t="shared" si="41"/>
        <v>0</v>
      </c>
      <c r="AL55" s="1109">
        <f t="shared" si="41"/>
        <v>0</v>
      </c>
      <c r="AM55" s="1109">
        <f t="shared" si="41"/>
        <v>1</v>
      </c>
      <c r="AN55" s="1109">
        <f t="shared" si="41"/>
        <v>1</v>
      </c>
      <c r="AO55" s="1109">
        <f t="shared" si="41"/>
        <v>1</v>
      </c>
      <c r="AP55" s="1109">
        <f t="shared" si="41"/>
        <v>1</v>
      </c>
      <c r="AQ55" s="1109">
        <v>1</v>
      </c>
      <c r="AR55" s="1109">
        <f>+SUM(AR56:AR57)</f>
        <v>1</v>
      </c>
      <c r="AS55" s="1109">
        <f t="shared" ref="AS55:AX55" si="42">AR55</f>
        <v>1</v>
      </c>
      <c r="AT55" s="1109">
        <f t="shared" si="42"/>
        <v>1</v>
      </c>
      <c r="AU55" s="1109">
        <f t="shared" si="42"/>
        <v>1</v>
      </c>
      <c r="AV55" s="1109">
        <f t="shared" si="42"/>
        <v>1</v>
      </c>
      <c r="AW55" s="1109">
        <f t="shared" si="42"/>
        <v>1</v>
      </c>
      <c r="AX55" s="1109">
        <f t="shared" si="42"/>
        <v>1</v>
      </c>
      <c r="AY55" s="1109">
        <f>AX55</f>
        <v>1</v>
      </c>
      <c r="AZ55" s="1109">
        <f>AY55</f>
        <v>1</v>
      </c>
      <c r="BA55" s="1109">
        <f>AZ55</f>
        <v>1</v>
      </c>
      <c r="BB55" s="1109">
        <f>BA55</f>
        <v>1</v>
      </c>
      <c r="BC55" s="1109">
        <f>SUM(BC56:BC57)</f>
        <v>1</v>
      </c>
      <c r="BD55" s="1109">
        <f>BC55</f>
        <v>1</v>
      </c>
      <c r="BE55" s="1109">
        <f>+SUM(BE56:BE57)</f>
        <v>1</v>
      </c>
      <c r="BF55" s="1109">
        <f>+SUM(BF56:BF57)</f>
        <v>1</v>
      </c>
      <c r="BG55" s="1109">
        <f>+SUM(BG56:BG57)</f>
        <v>0</v>
      </c>
      <c r="BH55" s="1109">
        <f>+SUM(BH56:BH57)</f>
        <v>1</v>
      </c>
      <c r="BI55" s="1109"/>
      <c r="BJ55" s="1109">
        <f>+SUM(BJ56:BJ57)</f>
        <v>0</v>
      </c>
      <c r="BK55" s="1109">
        <f t="shared" ref="BK55" si="43">+SUM(BK56:BK57)</f>
        <v>0</v>
      </c>
    </row>
    <row r="56" spans="1:63" s="275" customFormat="1">
      <c r="A56" s="342" t="s">
        <v>1106</v>
      </c>
      <c r="B56" s="543"/>
      <c r="C56" s="543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3"/>
      <c r="X56" s="543"/>
      <c r="Y56" s="543"/>
      <c r="Z56" s="1156" t="s">
        <v>750</v>
      </c>
      <c r="AA56" s="1156" t="s">
        <v>750</v>
      </c>
      <c r="AB56" s="1156" t="s">
        <v>750</v>
      </c>
      <c r="AC56" s="1156" t="s">
        <v>750</v>
      </c>
      <c r="AD56" s="1156" t="s">
        <v>750</v>
      </c>
      <c r="AE56" s="1156" t="s">
        <v>750</v>
      </c>
      <c r="AF56" s="1156" t="s">
        <v>750</v>
      </c>
      <c r="AG56" s="1156" t="s">
        <v>750</v>
      </c>
      <c r="AH56" s="1156" t="s">
        <v>750</v>
      </c>
      <c r="AI56" s="1156" t="s">
        <v>750</v>
      </c>
      <c r="AJ56" s="1156" t="s">
        <v>750</v>
      </c>
      <c r="AK56" s="1156" t="s">
        <v>750</v>
      </c>
      <c r="AL56" s="1156" t="s">
        <v>750</v>
      </c>
      <c r="AM56" s="646">
        <v>0.7</v>
      </c>
      <c r="AN56" s="646">
        <v>0.32</v>
      </c>
      <c r="AO56" s="646">
        <v>0.35</v>
      </c>
      <c r="AP56" s="646">
        <v>0.35</v>
      </c>
      <c r="AQ56" s="646">
        <v>0.57999999999999996</v>
      </c>
      <c r="AR56" s="646">
        <v>0.48</v>
      </c>
      <c r="AS56" s="646">
        <v>0.49</v>
      </c>
      <c r="AT56" s="646">
        <v>0.39</v>
      </c>
      <c r="AU56" s="646">
        <v>0.4</v>
      </c>
      <c r="AV56" s="646">
        <v>0.39</v>
      </c>
      <c r="AW56" s="646">
        <v>0.38</v>
      </c>
      <c r="AX56" s="646">
        <v>0.37</v>
      </c>
      <c r="AY56" s="646">
        <v>0.37</v>
      </c>
      <c r="AZ56" s="646">
        <v>0.37</v>
      </c>
      <c r="BA56" s="646">
        <v>0.38</v>
      </c>
      <c r="BB56" s="646">
        <v>0.65</v>
      </c>
      <c r="BC56" s="646">
        <v>0.66</v>
      </c>
      <c r="BD56" s="646">
        <v>0.66</v>
      </c>
      <c r="BE56" s="646">
        <v>0.66</v>
      </c>
      <c r="BF56" s="646">
        <v>0.66</v>
      </c>
      <c r="BG56" s="1902"/>
      <c r="BH56" s="1902">
        <v>0.6</v>
      </c>
      <c r="BI56" s="1902"/>
      <c r="BJ56" s="1902"/>
      <c r="BK56" s="1902"/>
    </row>
    <row r="57" spans="1:63" s="275" customFormat="1">
      <c r="A57" s="342" t="s">
        <v>1107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1156" t="s">
        <v>750</v>
      </c>
      <c r="AA57" s="1156" t="s">
        <v>750</v>
      </c>
      <c r="AB57" s="1156" t="s">
        <v>750</v>
      </c>
      <c r="AC57" s="1156" t="s">
        <v>750</v>
      </c>
      <c r="AD57" s="1156" t="s">
        <v>750</v>
      </c>
      <c r="AE57" s="1156" t="s">
        <v>750</v>
      </c>
      <c r="AF57" s="1156" t="s">
        <v>750</v>
      </c>
      <c r="AG57" s="1156" t="s">
        <v>750</v>
      </c>
      <c r="AH57" s="1156" t="s">
        <v>750</v>
      </c>
      <c r="AI57" s="1156" t="s">
        <v>750</v>
      </c>
      <c r="AJ57" s="1156" t="s">
        <v>750</v>
      </c>
      <c r="AK57" s="1156" t="s">
        <v>750</v>
      </c>
      <c r="AL57" s="1156" t="s">
        <v>750</v>
      </c>
      <c r="AM57" s="646">
        <v>0.3</v>
      </c>
      <c r="AN57" s="646">
        <v>0.68</v>
      </c>
      <c r="AO57" s="646">
        <v>0.65</v>
      </c>
      <c r="AP57" s="646">
        <v>0.65</v>
      </c>
      <c r="AQ57" s="646">
        <v>0.42</v>
      </c>
      <c r="AR57" s="646">
        <v>0.52</v>
      </c>
      <c r="AS57" s="646">
        <v>0.51</v>
      </c>
      <c r="AT57" s="646">
        <v>0.61</v>
      </c>
      <c r="AU57" s="646">
        <v>0.6</v>
      </c>
      <c r="AV57" s="646">
        <v>0.61</v>
      </c>
      <c r="AW57" s="646">
        <v>0.62</v>
      </c>
      <c r="AX57" s="646">
        <v>0.63</v>
      </c>
      <c r="AY57" s="646">
        <v>0.63</v>
      </c>
      <c r="AZ57" s="646">
        <v>0.63</v>
      </c>
      <c r="BA57" s="646">
        <v>0.62</v>
      </c>
      <c r="BB57" s="646">
        <v>0.35</v>
      </c>
      <c r="BC57" s="646">
        <v>0.34</v>
      </c>
      <c r="BD57" s="646">
        <v>0.34</v>
      </c>
      <c r="BE57" s="646">
        <v>0.34</v>
      </c>
      <c r="BF57" s="646">
        <v>0.34</v>
      </c>
      <c r="BG57" s="1902"/>
      <c r="BH57" s="1902">
        <f>1-BH56</f>
        <v>0.4</v>
      </c>
      <c r="BI57" s="1902"/>
      <c r="BJ57" s="1902"/>
      <c r="BK57" s="1902"/>
    </row>
    <row r="58" spans="1:63" s="275" customFormat="1">
      <c r="A58" s="342"/>
      <c r="B58" s="543"/>
      <c r="C58" s="543"/>
      <c r="D58" s="543"/>
      <c r="E58" s="543"/>
      <c r="F58" s="543"/>
      <c r="G58" s="543"/>
      <c r="H58" s="543"/>
      <c r="I58" s="543"/>
      <c r="J58" s="543"/>
      <c r="K58" s="543"/>
      <c r="L58" s="543"/>
      <c r="M58" s="543"/>
      <c r="N58" s="543"/>
      <c r="O58" s="543"/>
      <c r="P58" s="543"/>
      <c r="Q58" s="543"/>
      <c r="R58" s="543"/>
      <c r="S58" s="543"/>
      <c r="T58" s="543"/>
      <c r="U58" s="543"/>
      <c r="V58" s="543"/>
      <c r="W58" s="543"/>
      <c r="X58" s="543"/>
      <c r="Y58" s="543"/>
      <c r="Z58" s="543"/>
      <c r="AA58" s="543"/>
      <c r="AB58" s="543"/>
      <c r="AC58" s="543"/>
      <c r="AD58" s="543"/>
      <c r="AE58" s="543"/>
      <c r="AF58" s="543"/>
      <c r="AG58" s="543"/>
      <c r="AH58" s="543"/>
      <c r="AI58" s="543"/>
      <c r="AJ58" s="543"/>
      <c r="AK58" s="543"/>
      <c r="AL58" s="543"/>
      <c r="AM58" s="543"/>
    </row>
    <row r="59" spans="1:63" s="275" customFormat="1">
      <c r="A59" s="36" t="s">
        <v>1108</v>
      </c>
      <c r="B59" s="1110"/>
      <c r="C59" s="1110"/>
      <c r="D59" s="1110"/>
      <c r="E59" s="1110"/>
      <c r="F59" s="1110"/>
      <c r="G59" s="1110"/>
      <c r="H59" s="1110"/>
      <c r="I59" s="1110"/>
      <c r="J59" s="1110"/>
      <c r="K59" s="1110"/>
      <c r="L59" s="1110"/>
      <c r="M59" s="1110"/>
      <c r="N59" s="1110"/>
      <c r="O59" s="1110"/>
      <c r="P59" s="1110"/>
      <c r="Q59" s="1110"/>
      <c r="R59" s="1110"/>
      <c r="S59" s="1110"/>
      <c r="T59" s="1110"/>
      <c r="U59" s="1110"/>
      <c r="V59" s="1110"/>
      <c r="W59" s="1110"/>
      <c r="X59" s="1110"/>
      <c r="Y59" s="1110"/>
      <c r="Z59" s="1157" t="s">
        <v>750</v>
      </c>
      <c r="AA59" s="1157" t="s">
        <v>750</v>
      </c>
      <c r="AB59" s="1157" t="s">
        <v>750</v>
      </c>
      <c r="AC59" s="1157" t="s">
        <v>750</v>
      </c>
      <c r="AD59" s="1157" t="s">
        <v>750</v>
      </c>
      <c r="AE59" s="1157" t="s">
        <v>750</v>
      </c>
      <c r="AF59" s="1157" t="s">
        <v>750</v>
      </c>
      <c r="AG59" s="1157" t="s">
        <v>750</v>
      </c>
      <c r="AH59" s="1157" t="s">
        <v>750</v>
      </c>
      <c r="AI59" s="1157" t="s">
        <v>750</v>
      </c>
      <c r="AJ59" s="1157" t="s">
        <v>750</v>
      </c>
      <c r="AK59" s="649">
        <v>8.4400000000000003E-2</v>
      </c>
      <c r="AL59" s="649">
        <v>8.6300000000000002E-2</v>
      </c>
      <c r="AM59" s="649">
        <v>8.8999999999999996E-2</v>
      </c>
      <c r="AN59" s="649">
        <v>9.1499999999999998E-2</v>
      </c>
      <c r="AO59" s="649">
        <v>9.4299999999999995E-2</v>
      </c>
      <c r="AP59" s="649">
        <v>9.5000000000000001E-2</v>
      </c>
      <c r="AQ59" s="649">
        <v>9.5799999999999996E-2</v>
      </c>
      <c r="AR59" s="649">
        <v>9.3700000000000006E-2</v>
      </c>
      <c r="AS59" s="649">
        <v>8.8400000000000006E-2</v>
      </c>
      <c r="AT59" s="649">
        <v>8.0600000000000005E-2</v>
      </c>
      <c r="AU59" s="649">
        <v>7.51E-2</v>
      </c>
      <c r="AV59" s="649">
        <v>7.1099999999999997E-2</v>
      </c>
      <c r="AW59" s="649">
        <v>6.9000000000000006E-2</v>
      </c>
      <c r="AX59" s="649">
        <v>6.6000000000000003E-2</v>
      </c>
      <c r="AY59" s="649">
        <v>6.6000000000000003E-2</v>
      </c>
      <c r="AZ59" s="649">
        <v>6.9000000000000006E-2</v>
      </c>
      <c r="BA59" s="1050">
        <f t="shared" ref="BA59:BD59" si="44">SUMPRODUCT(BA51:BA53,BA60:BA62)</f>
        <v>6.8303000000000003E-2</v>
      </c>
      <c r="BB59" s="1050">
        <f t="shared" si="44"/>
        <v>8.1760899999999997E-2</v>
      </c>
      <c r="BC59" s="1050">
        <f t="shared" si="44"/>
        <v>8.5755999999999999E-2</v>
      </c>
      <c r="BD59" s="1050">
        <f t="shared" si="44"/>
        <v>8.6328800000000011E-2</v>
      </c>
      <c r="BE59" s="1050">
        <f>SUMPRODUCT(BE51:BE53,BE60:BE62)</f>
        <v>9.603600000000001E-2</v>
      </c>
      <c r="BF59" s="1050">
        <f>SUMPRODUCT(BF51:BF53,BF60:BF62)</f>
        <v>9.8604800000000006E-2</v>
      </c>
      <c r="BG59" s="1050">
        <f>SUMPRODUCT(BG51:BG53,BG60:BG62)</f>
        <v>0</v>
      </c>
      <c r="BH59" s="1050">
        <f>SUMPRODUCT(BH51:BH53,BH60:BH62)</f>
        <v>0.10561479999999999</v>
      </c>
      <c r="BI59" s="1050"/>
      <c r="BJ59" s="2049">
        <v>0.1048</v>
      </c>
      <c r="BK59" s="2049">
        <v>0.1048</v>
      </c>
    </row>
    <row r="60" spans="1:63" s="275" customFormat="1">
      <c r="A60" s="342" t="s">
        <v>1105</v>
      </c>
      <c r="B60" s="1110"/>
      <c r="C60" s="1110"/>
      <c r="D60" s="1110"/>
      <c r="E60" s="1110"/>
      <c r="F60" s="1110"/>
      <c r="G60" s="1110"/>
      <c r="H60" s="1110"/>
      <c r="I60" s="1110"/>
      <c r="J60" s="1110"/>
      <c r="K60" s="1110"/>
      <c r="L60" s="1110"/>
      <c r="M60" s="1110"/>
      <c r="N60" s="1110"/>
      <c r="O60" s="1110"/>
      <c r="P60" s="1110"/>
      <c r="Q60" s="1110"/>
      <c r="R60" s="1110"/>
      <c r="S60" s="1110"/>
      <c r="T60" s="1110"/>
      <c r="U60" s="1110"/>
      <c r="V60" s="1110"/>
      <c r="W60" s="1110"/>
      <c r="X60" s="1110"/>
      <c r="Y60" s="1110"/>
      <c r="Z60" s="1157" t="s">
        <v>750</v>
      </c>
      <c r="AA60" s="1157" t="s">
        <v>750</v>
      </c>
      <c r="AB60" s="649">
        <v>4.5999999999999999E-2</v>
      </c>
      <c r="AC60" s="1157" t="s">
        <v>750</v>
      </c>
      <c r="AD60" s="649">
        <v>0.05</v>
      </c>
      <c r="AE60" s="649">
        <v>5.7000000000000002E-2</v>
      </c>
      <c r="AF60" s="649">
        <v>6.3E-2</v>
      </c>
      <c r="AG60" s="649">
        <v>6.8000000000000005E-2</v>
      </c>
      <c r="AH60" s="649">
        <v>7.6499999999999999E-2</v>
      </c>
      <c r="AI60" s="649">
        <v>8.2500000000000004E-2</v>
      </c>
      <c r="AJ60" s="649">
        <v>8.2299999999999998E-2</v>
      </c>
      <c r="AK60" s="649">
        <v>8.4199999999999997E-2</v>
      </c>
      <c r="AL60" s="649">
        <v>8.5199999999999998E-2</v>
      </c>
      <c r="AM60" s="649">
        <v>8.7400000000000005E-2</v>
      </c>
      <c r="AN60" s="649">
        <v>8.9499999999999996E-2</v>
      </c>
      <c r="AO60" s="649">
        <v>9.2399999999999996E-2</v>
      </c>
      <c r="AP60" s="649">
        <v>9.35E-2</v>
      </c>
      <c r="AQ60" s="649">
        <v>9.4799999999999995E-2</v>
      </c>
      <c r="AR60" s="649">
        <v>9.2700000000000005E-2</v>
      </c>
      <c r="AS60" s="649">
        <v>8.8999999999999996E-2</v>
      </c>
      <c r="AT60" s="649">
        <v>8.1299999999999997E-2</v>
      </c>
      <c r="AU60" s="649">
        <v>7.5600000000000001E-2</v>
      </c>
      <c r="AV60" s="649">
        <v>7.4099999999999999E-2</v>
      </c>
      <c r="AW60" s="649">
        <v>7.22E-2</v>
      </c>
      <c r="AX60" s="649">
        <v>7.0000000000000007E-2</v>
      </c>
      <c r="AY60" s="649">
        <v>7.2999999999999995E-2</v>
      </c>
      <c r="AZ60" s="649">
        <v>8.7999999999999995E-2</v>
      </c>
      <c r="BA60" s="649">
        <v>9.5000000000000001E-2</v>
      </c>
      <c r="BB60" s="649">
        <v>0.1052</v>
      </c>
      <c r="BC60" s="649">
        <v>0.10929999999999999</v>
      </c>
      <c r="BD60" s="649">
        <v>0.1036</v>
      </c>
      <c r="BE60" s="649">
        <v>0.11849999999999999</v>
      </c>
      <c r="BF60" s="649">
        <v>0.1202</v>
      </c>
      <c r="BG60" s="1903"/>
      <c r="BH60" s="1903">
        <v>0.13059999999999999</v>
      </c>
      <c r="BI60" s="1903"/>
      <c r="BJ60" s="1903"/>
      <c r="BK60" s="1903"/>
    </row>
    <row r="61" spans="1:63" s="275" customFormat="1">
      <c r="A61" s="342" t="s">
        <v>143</v>
      </c>
      <c r="B61" s="1110"/>
      <c r="C61" s="1110"/>
      <c r="D61" s="1110"/>
      <c r="E61" s="1110"/>
      <c r="F61" s="1110"/>
      <c r="G61" s="1110"/>
      <c r="H61" s="1110"/>
      <c r="I61" s="1110"/>
      <c r="J61" s="1110"/>
      <c r="K61" s="1110"/>
      <c r="L61" s="1110"/>
      <c r="M61" s="1110"/>
      <c r="N61" s="1110"/>
      <c r="O61" s="1110"/>
      <c r="P61" s="1110"/>
      <c r="Q61" s="1110"/>
      <c r="R61" s="1110"/>
      <c r="S61" s="1110"/>
      <c r="T61" s="1110"/>
      <c r="U61" s="1110"/>
      <c r="V61" s="1110"/>
      <c r="W61" s="1110"/>
      <c r="X61" s="1110"/>
      <c r="Y61" s="1110"/>
      <c r="Z61" s="1157" t="s">
        <v>750</v>
      </c>
      <c r="AA61" s="1157" t="s">
        <v>750</v>
      </c>
      <c r="AB61" s="649">
        <v>2.9000000000000001E-2</v>
      </c>
      <c r="AC61" s="1157" t="s">
        <v>750</v>
      </c>
      <c r="AD61" s="649">
        <v>0.02</v>
      </c>
      <c r="AE61" s="649">
        <v>0.02</v>
      </c>
      <c r="AF61" s="649">
        <v>0.02</v>
      </c>
      <c r="AG61" s="649">
        <v>0.02</v>
      </c>
      <c r="AH61" s="649">
        <v>0.02</v>
      </c>
      <c r="AI61" s="649">
        <v>0.02</v>
      </c>
      <c r="AJ61" s="649">
        <v>0.02</v>
      </c>
      <c r="AK61" s="649">
        <v>1.89E-2</v>
      </c>
      <c r="AL61" s="649">
        <v>1.89E-2</v>
      </c>
      <c r="AM61" s="649">
        <v>1.7500000000000002E-2</v>
      </c>
      <c r="AN61" s="649">
        <v>1.4999999999999999E-2</v>
      </c>
      <c r="AO61" s="649">
        <v>1.2E-2</v>
      </c>
      <c r="AP61" s="649">
        <v>1.2E-2</v>
      </c>
      <c r="AQ61" s="649">
        <v>1.4999999999999999E-2</v>
      </c>
      <c r="AR61" s="649">
        <v>1.2500000000000001E-2</v>
      </c>
      <c r="AS61" s="649">
        <v>1.2500000000000001E-2</v>
      </c>
      <c r="AT61" s="649">
        <v>1.2500000000000001E-2</v>
      </c>
      <c r="AU61" s="649">
        <v>1.95E-2</v>
      </c>
      <c r="AV61" s="649">
        <v>1.9400000000000001E-2</v>
      </c>
      <c r="AW61" s="649">
        <v>1.9599999999999999E-2</v>
      </c>
      <c r="AX61" s="649">
        <v>1.9E-2</v>
      </c>
      <c r="AY61" s="649">
        <v>1.9E-2</v>
      </c>
      <c r="AZ61" s="649">
        <v>0.02</v>
      </c>
      <c r="BA61" s="649">
        <v>2.0500000000000001E-2</v>
      </c>
      <c r="BB61" s="649">
        <v>4.3200000000000002E-2</v>
      </c>
      <c r="BC61" s="649">
        <v>4.3900000000000002E-2</v>
      </c>
      <c r="BD61" s="649">
        <v>5.2699999999999997E-2</v>
      </c>
      <c r="BE61" s="649">
        <v>5.6099999999999997E-2</v>
      </c>
      <c r="BF61" s="649">
        <v>5.8400000000000001E-2</v>
      </c>
      <c r="BG61" s="1903"/>
      <c r="BH61" s="1903">
        <v>6.1100000000000002E-2</v>
      </c>
      <c r="BI61" s="1903"/>
      <c r="BJ61" s="1903"/>
      <c r="BK61" s="1903"/>
    </row>
    <row r="62" spans="1:63" s="275" customFormat="1">
      <c r="A62" s="342" t="s">
        <v>141</v>
      </c>
      <c r="B62" s="1110"/>
      <c r="C62" s="1110"/>
      <c r="D62" s="1110"/>
      <c r="E62" s="1110"/>
      <c r="F62" s="1110"/>
      <c r="G62" s="1110"/>
      <c r="H62" s="1110"/>
      <c r="I62" s="1110"/>
      <c r="J62" s="1110"/>
      <c r="K62" s="1110"/>
      <c r="L62" s="1110"/>
      <c r="M62" s="1110"/>
      <c r="N62" s="1110"/>
      <c r="O62" s="1110"/>
      <c r="P62" s="1110"/>
      <c r="Q62" s="1110"/>
      <c r="R62" s="1110"/>
      <c r="S62" s="1110"/>
      <c r="T62" s="1110"/>
      <c r="U62" s="1110"/>
      <c r="V62" s="1110"/>
      <c r="W62" s="1110"/>
      <c r="X62" s="1110"/>
      <c r="Y62" s="1110"/>
      <c r="Z62" s="1157"/>
      <c r="AA62" s="1157"/>
      <c r="AB62" s="649"/>
      <c r="AC62" s="1157"/>
      <c r="AD62" s="649"/>
      <c r="AE62" s="649"/>
      <c r="AF62" s="649"/>
      <c r="AG62" s="649"/>
      <c r="AH62" s="649"/>
      <c r="AI62" s="649"/>
      <c r="AJ62" s="649"/>
      <c r="AK62" s="649"/>
      <c r="AL62" s="649"/>
      <c r="AM62" s="649"/>
      <c r="AN62" s="649"/>
      <c r="AO62" s="649"/>
      <c r="AP62" s="649"/>
      <c r="AS62" s="1558"/>
      <c r="AT62" s="649"/>
      <c r="AU62" s="649"/>
      <c r="AV62" s="649"/>
      <c r="AW62" s="649"/>
      <c r="AX62" s="649"/>
      <c r="AY62" s="649"/>
      <c r="AZ62" s="649"/>
      <c r="BA62" s="649">
        <v>4.1000000000000002E-2</v>
      </c>
      <c r="BB62" s="649">
        <v>4.0300000000000002E-2</v>
      </c>
      <c r="BC62" s="649">
        <v>3.4799999999999998E-2</v>
      </c>
      <c r="BD62" s="649">
        <v>3.4799999999999998E-2</v>
      </c>
      <c r="BE62" s="649">
        <v>3.4799999999999998E-2</v>
      </c>
      <c r="BF62" s="649">
        <v>3.4799999999999998E-2</v>
      </c>
      <c r="BG62" s="1903"/>
      <c r="BH62" s="1903">
        <v>3.4799999999999998E-2</v>
      </c>
      <c r="BI62" s="1903"/>
      <c r="BJ62" s="1903"/>
      <c r="BK62" s="1903"/>
    </row>
    <row r="63" spans="1:63" s="275" customFormat="1">
      <c r="A63" s="271" t="s">
        <v>1178</v>
      </c>
      <c r="B63" s="1110"/>
      <c r="C63" s="1110"/>
      <c r="D63" s="1110"/>
      <c r="E63" s="1110"/>
      <c r="F63" s="1110"/>
      <c r="G63" s="1110"/>
      <c r="H63" s="1110"/>
      <c r="I63" s="1110"/>
      <c r="J63" s="1110"/>
      <c r="K63" s="1110"/>
      <c r="L63" s="1110"/>
      <c r="M63" s="1110"/>
      <c r="N63" s="1110"/>
      <c r="O63" s="1110"/>
      <c r="P63" s="1110"/>
      <c r="Q63" s="1110"/>
      <c r="R63" s="1110"/>
      <c r="S63" s="1110"/>
      <c r="T63" s="1110"/>
      <c r="U63" s="1110"/>
      <c r="V63" s="1110"/>
      <c r="W63" s="1110"/>
      <c r="X63" s="1110"/>
      <c r="Y63" s="1110"/>
      <c r="Z63" s="1157"/>
      <c r="AA63" s="1157"/>
      <c r="AB63" s="649"/>
      <c r="AC63" s="1157"/>
      <c r="AD63" s="649"/>
      <c r="AE63" s="649"/>
      <c r="AF63" s="649"/>
      <c r="AG63" s="649"/>
      <c r="AH63" s="649"/>
      <c r="AI63" s="649"/>
      <c r="AJ63" s="649"/>
      <c r="AK63" s="649"/>
      <c r="AL63" s="649"/>
      <c r="AM63" s="649"/>
      <c r="AN63" s="649"/>
      <c r="AO63" s="649"/>
      <c r="AP63" s="649"/>
      <c r="AS63" s="1558"/>
      <c r="AT63" s="1558"/>
    </row>
    <row r="64" spans="1:63" s="275" customFormat="1">
      <c r="A64" s="36" t="s">
        <v>1207</v>
      </c>
      <c r="C64" s="1110"/>
      <c r="D64" s="1110"/>
      <c r="E64" s="1110"/>
      <c r="F64" s="1110"/>
      <c r="G64" s="1110"/>
      <c r="H64" s="1110"/>
      <c r="I64" s="1110"/>
      <c r="J64" s="1110"/>
      <c r="K64" s="1110"/>
      <c r="L64" s="1110"/>
      <c r="M64" s="1110"/>
      <c r="N64" s="1110"/>
      <c r="O64" s="1110"/>
      <c r="P64" s="1110"/>
      <c r="Q64" s="1110"/>
      <c r="R64" s="1110"/>
      <c r="S64" s="1110"/>
      <c r="T64" s="1110"/>
      <c r="U64" s="1110"/>
      <c r="V64" s="1110"/>
      <c r="W64" s="1110"/>
      <c r="X64" s="1110"/>
      <c r="Y64" s="1110"/>
      <c r="Z64" s="1157"/>
      <c r="AA64" s="1157"/>
      <c r="AB64" s="649"/>
      <c r="AC64" s="1157"/>
      <c r="AD64" s="649"/>
      <c r="AE64" s="649"/>
      <c r="AF64" s="649"/>
      <c r="AG64" s="649"/>
      <c r="AH64" s="649"/>
      <c r="AI64" s="649"/>
      <c r="AJ64" s="649"/>
      <c r="AK64" s="649"/>
      <c r="AL64" s="649"/>
      <c r="AM64" s="649"/>
      <c r="AN64" s="649"/>
      <c r="AO64" s="649"/>
      <c r="AP64" s="942">
        <v>932.37699999999995</v>
      </c>
      <c r="AQ64" s="942">
        <v>887.42399999999998</v>
      </c>
      <c r="AR64" s="942">
        <v>1141.644</v>
      </c>
      <c r="AS64" s="942">
        <v>827.93600000000004</v>
      </c>
      <c r="AT64" s="942">
        <v>932.37699999999995</v>
      </c>
      <c r="AU64" s="942">
        <v>895.09</v>
      </c>
      <c r="AV64" s="942">
        <v>1004.271</v>
      </c>
      <c r="AW64" s="942">
        <v>1127.739</v>
      </c>
      <c r="AX64" s="942">
        <v>1081.73</v>
      </c>
      <c r="AY64" s="942">
        <v>1040.7850000000001</v>
      </c>
      <c r="AZ64" s="942">
        <v>1011.796</v>
      </c>
      <c r="BA64" s="942">
        <v>1303.9680000000001</v>
      </c>
      <c r="BB64" s="942">
        <v>1212.691</v>
      </c>
      <c r="BC64" s="942">
        <f>2362.637-BB64</f>
        <v>1149.9460000000001</v>
      </c>
      <c r="BD64" s="942">
        <v>1116.008</v>
      </c>
      <c r="BE64" s="942">
        <v>878.65700000000004</v>
      </c>
      <c r="BF64" s="942">
        <v>1072.2629999999999</v>
      </c>
      <c r="BG64" s="942">
        <f>2114.905-BF64</f>
        <v>1042.6420000000003</v>
      </c>
      <c r="BH64" s="942">
        <f>3124.506-SUM(BF64:BG64)</f>
        <v>1009.6009999999997</v>
      </c>
      <c r="BI64" s="942">
        <v>1021.919</v>
      </c>
      <c r="BJ64" s="942">
        <v>943.62400000000002</v>
      </c>
      <c r="BK64" s="942">
        <v>1009.978</v>
      </c>
    </row>
    <row r="65" spans="1:69">
      <c r="AP65" s="254"/>
      <c r="AQ65" s="254"/>
      <c r="AR65" s="254"/>
      <c r="AS65" s="254"/>
    </row>
    <row r="66" spans="1:69" s="275" customFormat="1">
      <c r="A66" s="36" t="s">
        <v>1210</v>
      </c>
      <c r="B66" s="1110"/>
      <c r="C66" s="1110"/>
      <c r="D66" s="1110"/>
      <c r="E66" s="1110"/>
      <c r="F66" s="1110"/>
      <c r="G66" s="1110"/>
      <c r="H66" s="1110"/>
      <c r="I66" s="1110"/>
      <c r="J66" s="1110"/>
      <c r="K66" s="1110"/>
      <c r="L66" s="1110"/>
      <c r="M66" s="1110"/>
      <c r="N66" s="1110"/>
      <c r="O66" s="1110"/>
      <c r="P66" s="1110"/>
      <c r="Q66" s="1110"/>
      <c r="R66" s="1110"/>
      <c r="S66" s="1110"/>
      <c r="T66" s="1110"/>
      <c r="U66" s="1110"/>
      <c r="V66" s="1110"/>
      <c r="W66" s="1110"/>
      <c r="X66" s="1110"/>
      <c r="Y66" s="1110"/>
      <c r="Z66" s="1157"/>
      <c r="AA66" s="1157"/>
      <c r="AB66" s="649"/>
      <c r="AC66" s="1157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942">
        <v>1185.5899999999999</v>
      </c>
      <c r="AQ66" s="1543">
        <f>2366.254-AP66</f>
        <v>1180.664</v>
      </c>
      <c r="AR66" s="942">
        <f>3884.888-SUM(AP66:AQ66)</f>
        <v>1518.634</v>
      </c>
      <c r="AS66" s="942">
        <f>4787.134-SUM(AP66:AR66)</f>
        <v>902.24600000000009</v>
      </c>
      <c r="AT66" s="942">
        <v>998.07</v>
      </c>
      <c r="AU66" s="942">
        <f>1949.816-AT66</f>
        <v>951.74599999999998</v>
      </c>
      <c r="AV66" s="942">
        <f>2954.087-AU66-AT66</f>
        <v>1004.2709999999998</v>
      </c>
      <c r="AW66" s="942">
        <v>1127.739</v>
      </c>
      <c r="AX66" s="942">
        <v>1148.0239999999999</v>
      </c>
      <c r="AY66" s="942">
        <f>2262.001-AX66</f>
        <v>1113.9770000000003</v>
      </c>
      <c r="AZ66" s="942">
        <f>3347.48-AY66-AX66</f>
        <v>1085.4789999999998</v>
      </c>
      <c r="BA66" s="942">
        <f>5738.455-AZ66-AY66-AX66</f>
        <v>2390.9750000000004</v>
      </c>
      <c r="BB66" s="942">
        <v>1438.731</v>
      </c>
      <c r="BC66" s="942">
        <f>2812.138-BB66</f>
        <v>1373.4069999999999</v>
      </c>
      <c r="BD66" s="942">
        <f>3427.734-BC66-BB66</f>
        <v>615.59600000000023</v>
      </c>
      <c r="BE66" s="942">
        <f>4338.669-SUM(BB66:BD66)</f>
        <v>910.93499999999949</v>
      </c>
      <c r="BF66" s="942">
        <v>1074.682</v>
      </c>
      <c r="BG66" s="942">
        <f>2119.188-BF66</f>
        <v>1044.5060000000001</v>
      </c>
      <c r="BH66" s="942">
        <f>3129.926-SUM(BF66:BG66)</f>
        <v>1010.7379999999998</v>
      </c>
      <c r="BI66" s="2047">
        <f>5130.2-SUM(BF66:BH66)</f>
        <v>2000.2739999999999</v>
      </c>
      <c r="BJ66" s="942">
        <v>935.12</v>
      </c>
      <c r="BK66" s="942">
        <f>1989.603-BJ66</f>
        <v>1054.4830000000002</v>
      </c>
    </row>
    <row r="67" spans="1:69" s="275" customFormat="1">
      <c r="A67" s="342"/>
      <c r="B67" s="1110"/>
      <c r="C67" s="1110"/>
      <c r="D67" s="1110"/>
      <c r="E67" s="1110"/>
      <c r="F67" s="1110"/>
      <c r="G67" s="1110"/>
      <c r="H67" s="1110"/>
      <c r="I67" s="1110"/>
      <c r="J67" s="1110"/>
      <c r="K67" s="1110"/>
      <c r="L67" s="1110"/>
      <c r="M67" s="1110"/>
      <c r="N67" s="1110"/>
      <c r="O67" s="1110"/>
      <c r="P67" s="1110"/>
      <c r="Q67" s="1110"/>
      <c r="R67" s="1110"/>
      <c r="S67" s="1110"/>
      <c r="T67" s="1110"/>
      <c r="U67" s="1110"/>
      <c r="V67" s="1110"/>
      <c r="W67" s="1110"/>
      <c r="X67" s="1110"/>
      <c r="Y67" s="1110"/>
      <c r="Z67" s="1157"/>
      <c r="AA67" s="1157"/>
      <c r="AB67" s="649"/>
      <c r="AC67" s="1157"/>
      <c r="AD67" s="649"/>
      <c r="AE67" s="649"/>
      <c r="AF67" s="649"/>
      <c r="AG67" s="649"/>
      <c r="AH67" s="649"/>
      <c r="AI67" s="649"/>
      <c r="AJ67" s="649"/>
      <c r="AK67" s="649"/>
      <c r="AL67" s="649"/>
      <c r="AM67" s="649"/>
      <c r="AN67" s="649"/>
      <c r="AO67" s="649"/>
      <c r="AP67" s="649"/>
    </row>
    <row r="68" spans="1:69">
      <c r="A68" s="577"/>
      <c r="B68" s="264"/>
      <c r="C68" s="264"/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S68" s="264"/>
      <c r="T68" s="264"/>
      <c r="U68" s="264"/>
      <c r="V68" s="264"/>
      <c r="W68" s="264"/>
      <c r="X68" s="264"/>
      <c r="Y68" s="264"/>
      <c r="Z68" s="264"/>
      <c r="AA68" s="264"/>
      <c r="AB68" s="264"/>
      <c r="AC68" s="264"/>
      <c r="AD68" s="264"/>
      <c r="AE68" s="264"/>
      <c r="AF68" s="264"/>
      <c r="AG68" s="264"/>
      <c r="AH68" s="264"/>
      <c r="AI68" s="264"/>
      <c r="AJ68" s="264"/>
      <c r="AK68" s="264"/>
      <c r="AL68" s="264"/>
      <c r="AM68" s="264"/>
      <c r="AN68" s="264"/>
      <c r="AO68" s="264"/>
      <c r="AP68" s="264"/>
      <c r="AQ68" s="264"/>
      <c r="AR68" s="264"/>
      <c r="AS68" s="264"/>
      <c r="AT68" s="264"/>
      <c r="AU68" s="264">
        <v>2021</v>
      </c>
      <c r="AV68" s="264">
        <f t="shared" ref="AV68:BA68" si="45">+AU68+1</f>
        <v>2022</v>
      </c>
      <c r="AW68" s="264">
        <f t="shared" si="45"/>
        <v>2023</v>
      </c>
      <c r="AX68" s="264">
        <f t="shared" si="45"/>
        <v>2024</v>
      </c>
      <c r="AY68" s="264">
        <f t="shared" si="45"/>
        <v>2025</v>
      </c>
      <c r="AZ68" s="264">
        <f t="shared" si="45"/>
        <v>2026</v>
      </c>
      <c r="BA68" s="264">
        <f t="shared" si="45"/>
        <v>2027</v>
      </c>
      <c r="BB68" s="264"/>
      <c r="BC68" s="264"/>
      <c r="BD68" s="264"/>
      <c r="BE68" s="264"/>
      <c r="BF68" s="264"/>
      <c r="BG68" s="264"/>
      <c r="BH68" s="264"/>
      <c r="BI68" s="264"/>
      <c r="BJ68" s="264"/>
      <c r="BK68" s="264"/>
      <c r="BL68" s="264"/>
      <c r="BM68" s="264"/>
      <c r="BN68" s="264"/>
      <c r="BO68" s="264"/>
      <c r="BP68" s="264"/>
      <c r="BQ68" s="264"/>
    </row>
    <row r="69" spans="1:69" s="275" customFormat="1">
      <c r="A69" s="342" t="s">
        <v>1411</v>
      </c>
      <c r="B69" s="1110"/>
      <c r="C69" s="1110"/>
      <c r="D69" s="1110"/>
      <c r="E69" s="1110"/>
      <c r="F69" s="1110"/>
      <c r="G69" s="1110"/>
      <c r="H69" s="1110"/>
      <c r="I69" s="1110"/>
      <c r="J69" s="1110"/>
      <c r="K69" s="1110"/>
      <c r="L69" s="1110"/>
      <c r="M69" s="1110"/>
      <c r="N69" s="1110"/>
      <c r="O69" s="1110"/>
      <c r="P69" s="1110"/>
      <c r="Q69" s="1110"/>
      <c r="R69" s="1110"/>
      <c r="S69" s="1110"/>
      <c r="T69" s="1110"/>
      <c r="U69" s="1110"/>
      <c r="V69" s="1110"/>
      <c r="W69" s="1110"/>
      <c r="X69" s="1110"/>
      <c r="Y69" s="1110"/>
      <c r="Z69" s="1157"/>
      <c r="AA69" s="1157"/>
      <c r="AB69" s="649"/>
      <c r="AC69" s="1157"/>
      <c r="AD69" s="649"/>
      <c r="AE69" s="649"/>
      <c r="AF69" s="649"/>
      <c r="AG69" s="649"/>
      <c r="AH69" s="649"/>
      <c r="AI69" s="649"/>
      <c r="AJ69" s="649"/>
      <c r="AK69" s="649"/>
      <c r="AL69" s="649"/>
      <c r="AM69" s="649"/>
      <c r="AN69" s="649"/>
      <c r="AO69" s="649"/>
      <c r="AP69" s="649"/>
      <c r="AT69" s="942"/>
      <c r="AU69" s="942"/>
      <c r="AV69" s="942"/>
      <c r="AW69" s="942"/>
      <c r="AX69" s="942"/>
      <c r="AY69" s="942"/>
      <c r="AZ69" s="942"/>
      <c r="BA69" s="942"/>
      <c r="BB69" s="942"/>
    </row>
    <row r="70" spans="1:69" s="275" customFormat="1">
      <c r="A70" s="342"/>
      <c r="B70" s="1110"/>
      <c r="C70" s="1110"/>
      <c r="D70" s="1110"/>
      <c r="E70" s="1110"/>
      <c r="F70" s="1110"/>
      <c r="G70" s="1110"/>
      <c r="H70" s="1110"/>
      <c r="I70" s="1110"/>
      <c r="J70" s="1110"/>
      <c r="K70" s="1110"/>
      <c r="L70" s="1110"/>
      <c r="M70" s="1110"/>
      <c r="N70" s="1110"/>
      <c r="O70" s="1110"/>
      <c r="P70" s="1110"/>
      <c r="Q70" s="1110"/>
      <c r="R70" s="1110"/>
      <c r="S70" s="1110"/>
      <c r="T70" s="1110"/>
      <c r="U70" s="1110"/>
      <c r="V70" s="1110"/>
      <c r="W70" s="1110"/>
      <c r="X70" s="1110"/>
      <c r="Y70" s="1110"/>
      <c r="Z70" s="1157"/>
      <c r="AA70" s="1157"/>
      <c r="AB70" s="649"/>
      <c r="AC70" s="1157"/>
      <c r="AD70" s="649"/>
      <c r="AE70" s="649"/>
      <c r="AF70" s="649"/>
      <c r="AG70" s="649"/>
      <c r="AH70" s="649"/>
      <c r="AI70" s="649"/>
      <c r="AJ70" s="649"/>
      <c r="AK70" s="649"/>
      <c r="AL70" s="649"/>
      <c r="AM70" s="649"/>
      <c r="AN70" s="649"/>
      <c r="AO70" s="649"/>
      <c r="AP70" s="649"/>
      <c r="AT70" s="942"/>
      <c r="AU70" s="2003"/>
      <c r="AV70" s="2003"/>
      <c r="AW70" s="2003"/>
      <c r="AX70" s="2003"/>
      <c r="AY70" s="2003"/>
      <c r="AZ70" s="2003"/>
      <c r="BA70" s="2003"/>
      <c r="BB70" s="2003"/>
      <c r="BC70" s="2003"/>
      <c r="BD70" s="2003"/>
      <c r="BE70" s="2003"/>
      <c r="BF70" s="2003"/>
      <c r="BG70" s="2003"/>
      <c r="BH70" s="2003"/>
      <c r="BI70" s="2003"/>
    </row>
    <row r="71" spans="1:69" s="275" customFormat="1">
      <c r="A71" s="168" t="str">
        <f>A27</f>
        <v>Other accounts payable</v>
      </c>
      <c r="B71" s="168">
        <f t="shared" ref="B71:BJ71" si="46">B27</f>
        <v>557.13599999999997</v>
      </c>
      <c r="C71" s="168">
        <f t="shared" si="46"/>
        <v>558.61400000000003</v>
      </c>
      <c r="D71" s="168">
        <f t="shared" si="46"/>
        <v>612.32500000000005</v>
      </c>
      <c r="E71" s="168">
        <f t="shared" si="46"/>
        <v>502.53</v>
      </c>
      <c r="F71" s="168">
        <f t="shared" si="46"/>
        <v>578.11500000000001</v>
      </c>
      <c r="G71" s="168">
        <f t="shared" si="46"/>
        <v>435.00900000000001</v>
      </c>
      <c r="H71" s="168">
        <f t="shared" si="46"/>
        <v>516.88099999999997</v>
      </c>
      <c r="I71" s="168">
        <f t="shared" si="46"/>
        <v>416.92599999999999</v>
      </c>
      <c r="J71" s="168">
        <f t="shared" si="46"/>
        <v>514.58399999999995</v>
      </c>
      <c r="K71" s="168">
        <f t="shared" si="46"/>
        <v>572.91800000000001</v>
      </c>
      <c r="L71" s="168">
        <f t="shared" si="46"/>
        <v>660.91200000000003</v>
      </c>
      <c r="M71" s="168">
        <f t="shared" si="46"/>
        <v>681.58</v>
      </c>
      <c r="N71" s="168">
        <f t="shared" si="46"/>
        <v>752.96299999999997</v>
      </c>
      <c r="O71" s="168">
        <f t="shared" si="46"/>
        <v>808.69899999999996</v>
      </c>
      <c r="P71" s="168">
        <f t="shared" si="46"/>
        <v>952.54700000000003</v>
      </c>
      <c r="Q71" s="168">
        <f t="shared" si="46"/>
        <v>871.404</v>
      </c>
      <c r="R71" s="168">
        <f t="shared" si="46"/>
        <v>945.28099999999995</v>
      </c>
      <c r="S71" s="168">
        <f t="shared" si="46"/>
        <v>1005.133</v>
      </c>
      <c r="T71" s="168">
        <f t="shared" si="46"/>
        <v>992.54100000000005</v>
      </c>
      <c r="U71" s="168">
        <f t="shared" si="46"/>
        <v>928.43600000000004</v>
      </c>
      <c r="V71" s="168">
        <f t="shared" si="46"/>
        <v>982.72500000000002</v>
      </c>
      <c r="W71" s="168">
        <f t="shared" si="46"/>
        <v>1402.5889999999999</v>
      </c>
      <c r="X71" s="168">
        <f t="shared" si="46"/>
        <v>1555.5609999999999</v>
      </c>
      <c r="Y71" s="168">
        <f t="shared" si="46"/>
        <v>1902.335</v>
      </c>
      <c r="Z71" s="168">
        <f t="shared" si="46"/>
        <v>1950.664</v>
      </c>
      <c r="AA71" s="168">
        <f t="shared" si="46"/>
        <v>2089.5329999999999</v>
      </c>
      <c r="AB71" s="168">
        <f t="shared" si="46"/>
        <v>2457.0030000000002</v>
      </c>
      <c r="AC71" s="168">
        <f t="shared" si="46"/>
        <v>2366.5309999999999</v>
      </c>
      <c r="AD71" s="168">
        <f t="shared" si="46"/>
        <v>2915.61</v>
      </c>
      <c r="AE71" s="168">
        <f t="shared" si="46"/>
        <v>2866.7939999999999</v>
      </c>
      <c r="AF71" s="168">
        <f t="shared" si="46"/>
        <v>3298.9290000000001</v>
      </c>
      <c r="AG71" s="168">
        <f t="shared" si="46"/>
        <v>3447.8380000000002</v>
      </c>
      <c r="AH71" s="435">
        <f t="shared" si="46"/>
        <v>3593.96</v>
      </c>
      <c r="AI71" s="435">
        <f t="shared" si="46"/>
        <v>3671.5630000000001</v>
      </c>
      <c r="AJ71" s="435">
        <f t="shared" si="46"/>
        <v>4064.8649999999998</v>
      </c>
      <c r="AK71" s="435">
        <f t="shared" si="46"/>
        <v>4220.7070000000003</v>
      </c>
      <c r="AL71" s="435">
        <f t="shared" si="46"/>
        <v>3774.364</v>
      </c>
      <c r="AM71" s="435">
        <f t="shared" si="46"/>
        <v>3390.3980000000001</v>
      </c>
      <c r="AN71" s="435">
        <f t="shared" si="46"/>
        <v>3111.951</v>
      </c>
      <c r="AO71" s="435">
        <f t="shared" si="46"/>
        <v>3655.7190000000001</v>
      </c>
      <c r="AP71" s="435">
        <f t="shared" si="46"/>
        <v>3469.5010000000002</v>
      </c>
      <c r="AQ71" s="435">
        <f t="shared" si="46"/>
        <v>4518.3019999999997</v>
      </c>
      <c r="AR71" s="435">
        <f t="shared" si="46"/>
        <v>4507.6400000000003</v>
      </c>
      <c r="AS71" s="435">
        <f t="shared" si="46"/>
        <v>3603.4609999999998</v>
      </c>
      <c r="AT71" s="435">
        <f t="shared" si="46"/>
        <v>3706.0160000000001</v>
      </c>
      <c r="AU71" s="2007">
        <f t="shared" si="46"/>
        <v>4260.2529999999997</v>
      </c>
      <c r="AV71" s="2007">
        <f t="shared" si="46"/>
        <v>4647.2439999999997</v>
      </c>
      <c r="AW71" s="2007">
        <f t="shared" si="46"/>
        <v>3659</v>
      </c>
      <c r="AX71" s="2007">
        <f t="shared" si="46"/>
        <v>2915.9219999999987</v>
      </c>
      <c r="AY71" s="2007">
        <f t="shared" si="46"/>
        <v>2942.6100000000006</v>
      </c>
      <c r="AZ71" s="2007">
        <f t="shared" si="46"/>
        <v>2543.0680000000002</v>
      </c>
      <c r="BA71" s="2007">
        <f t="shared" si="46"/>
        <v>3524.3969999999999</v>
      </c>
      <c r="BB71" s="2007">
        <f t="shared" si="46"/>
        <v>3514.8779999999997</v>
      </c>
      <c r="BC71" s="2007">
        <f t="shared" si="46"/>
        <v>4082.116</v>
      </c>
      <c r="BD71" s="2007">
        <f t="shared" si="46"/>
        <v>4988.723</v>
      </c>
      <c r="BE71" s="2007">
        <f t="shared" si="46"/>
        <v>5435.5949999999993</v>
      </c>
      <c r="BF71" s="2007">
        <f t="shared" si="46"/>
        <v>5728.5859999999993</v>
      </c>
      <c r="BG71" s="2007">
        <f t="shared" si="46"/>
        <v>5488.1550000000007</v>
      </c>
      <c r="BH71" s="2007">
        <f t="shared" si="46"/>
        <v>5494.2870000000003</v>
      </c>
      <c r="BI71" s="2007">
        <f>BI27</f>
        <v>6818.0380000000005</v>
      </c>
      <c r="BJ71" s="2007">
        <f t="shared" si="46"/>
        <v>7541.02</v>
      </c>
      <c r="BK71" s="2007">
        <f t="shared" ref="BK71" si="47">BK27</f>
        <v>6898.9840000000004</v>
      </c>
    </row>
    <row r="72" spans="1:69" s="275" customFormat="1">
      <c r="A72" s="342" t="s">
        <v>1527</v>
      </c>
      <c r="B72" s="1110"/>
      <c r="C72" s="1110"/>
      <c r="D72" s="1110"/>
      <c r="E72" s="1110"/>
      <c r="F72" s="1110"/>
      <c r="G72" s="1110"/>
      <c r="H72" s="1110"/>
      <c r="I72" s="1110"/>
      <c r="J72" s="1110"/>
      <c r="K72" s="1110"/>
      <c r="L72" s="1110"/>
      <c r="M72" s="1110"/>
      <c r="N72" s="1110"/>
      <c r="O72" s="1110"/>
      <c r="P72" s="1110"/>
      <c r="Q72" s="1110"/>
      <c r="R72" s="1110"/>
      <c r="S72" s="1110"/>
      <c r="T72" s="1110"/>
      <c r="U72" s="1110"/>
      <c r="V72" s="1110"/>
      <c r="W72" s="1110"/>
      <c r="X72" s="1110"/>
      <c r="Y72" s="1110"/>
      <c r="Z72" s="1157"/>
      <c r="AA72" s="1157"/>
      <c r="AB72" s="649"/>
      <c r="AC72" s="1157"/>
      <c r="AD72" s="649"/>
      <c r="AE72" s="649"/>
      <c r="AF72" s="649"/>
      <c r="AG72" s="649"/>
      <c r="AH72" s="649"/>
      <c r="AI72" s="649"/>
      <c r="AJ72" s="649"/>
      <c r="AK72" s="2002">
        <v>601.85400000000004</v>
      </c>
      <c r="AL72" s="649"/>
      <c r="AM72" s="649"/>
      <c r="AN72" s="649"/>
      <c r="AO72" s="2002">
        <v>2326.1559999999999</v>
      </c>
      <c r="AP72" s="649"/>
      <c r="AS72" s="2002">
        <v>2234.4609999999998</v>
      </c>
      <c r="AT72" s="942"/>
      <c r="AU72" s="2008"/>
      <c r="AV72" s="2008"/>
      <c r="AW72" s="2006">
        <v>2834.15</v>
      </c>
      <c r="AX72" s="2009"/>
      <c r="AY72" s="2009"/>
      <c r="AZ72" s="2008"/>
      <c r="BA72" s="2006">
        <v>4446.6040000000003</v>
      </c>
      <c r="BB72" s="2008"/>
      <c r="BC72" s="2008"/>
      <c r="BD72" s="2008"/>
      <c r="BE72" s="2006">
        <v>4861.1180000000004</v>
      </c>
      <c r="BF72" s="2008"/>
      <c r="BG72" s="2008"/>
      <c r="BH72" s="2008"/>
      <c r="BI72" s="2006">
        <v>4172.7079999999996</v>
      </c>
      <c r="BJ72" s="2008"/>
    </row>
    <row r="73" spans="1:69" s="275" customFormat="1">
      <c r="A73" s="342" t="s">
        <v>1528</v>
      </c>
      <c r="B73" s="1110"/>
      <c r="C73" s="1110"/>
      <c r="D73" s="1110"/>
      <c r="E73" s="1110"/>
      <c r="F73" s="1110"/>
      <c r="G73" s="1110"/>
      <c r="H73" s="1110"/>
      <c r="I73" s="1110"/>
      <c r="J73" s="1110"/>
      <c r="K73" s="1110"/>
      <c r="L73" s="1110"/>
      <c r="M73" s="1110"/>
      <c r="N73" s="1110"/>
      <c r="O73" s="1110"/>
      <c r="P73" s="1110"/>
      <c r="Q73" s="1110"/>
      <c r="R73" s="1110"/>
      <c r="S73" s="1110"/>
      <c r="T73" s="1110"/>
      <c r="U73" s="1110"/>
      <c r="V73" s="1110"/>
      <c r="W73" s="1110"/>
      <c r="X73" s="1110"/>
      <c r="Y73" s="1110"/>
      <c r="Z73" s="1157"/>
      <c r="AA73" s="1157"/>
      <c r="AB73" s="649"/>
      <c r="AC73" s="1157"/>
      <c r="AD73" s="649"/>
      <c r="AE73" s="649"/>
      <c r="AF73" s="649"/>
      <c r="AG73" s="649"/>
      <c r="AH73" s="649"/>
      <c r="AI73" s="649"/>
      <c r="AJ73" s="649"/>
      <c r="AK73" s="2002">
        <v>1292.606</v>
      </c>
      <c r="AL73" s="649"/>
      <c r="AM73" s="649"/>
      <c r="AN73" s="649"/>
      <c r="AO73" s="2002">
        <v>4239.5590000000002</v>
      </c>
      <c r="AP73" s="649"/>
      <c r="AS73" s="2002">
        <v>3278.7979999999998</v>
      </c>
      <c r="AT73" s="942"/>
      <c r="AU73" s="2008"/>
      <c r="AV73" s="2008"/>
      <c r="AW73" s="2006">
        <v>3658.0630000000001</v>
      </c>
      <c r="AX73" s="2009"/>
      <c r="AY73" s="2009"/>
      <c r="AZ73" s="2008"/>
      <c r="BA73" s="2006">
        <v>3854.1819999999998</v>
      </c>
      <c r="BB73" s="2008"/>
      <c r="BC73" s="2008"/>
      <c r="BD73" s="2008"/>
      <c r="BE73" s="2006">
        <v>5667.4129999999996</v>
      </c>
      <c r="BF73" s="2008"/>
      <c r="BG73" s="2008"/>
      <c r="BH73" s="2008"/>
      <c r="BI73" s="2006">
        <v>7030.5569999999998</v>
      </c>
      <c r="BJ73" s="2008"/>
    </row>
    <row r="74" spans="1:69" s="275" customFormat="1">
      <c r="A74" s="342" t="s">
        <v>1529</v>
      </c>
      <c r="B74" s="1110"/>
      <c r="C74" s="1110"/>
      <c r="D74" s="1110"/>
      <c r="E74" s="1110"/>
      <c r="F74" s="1110"/>
      <c r="G74" s="1110"/>
      <c r="H74" s="1110"/>
      <c r="I74" s="1110"/>
      <c r="J74" s="1110"/>
      <c r="K74" s="1110"/>
      <c r="L74" s="1110"/>
      <c r="M74" s="1110"/>
      <c r="N74" s="1110"/>
      <c r="O74" s="1110"/>
      <c r="P74" s="1110"/>
      <c r="Q74" s="1110"/>
      <c r="R74" s="1110"/>
      <c r="S74" s="1110"/>
      <c r="T74" s="1110"/>
      <c r="U74" s="1110"/>
      <c r="V74" s="1110"/>
      <c r="W74" s="1110"/>
      <c r="X74" s="1110"/>
      <c r="Y74" s="1110"/>
      <c r="Z74" s="1157"/>
      <c r="AA74" s="1157"/>
      <c r="AB74" s="649"/>
      <c r="AC74" s="1157"/>
      <c r="AD74" s="649"/>
      <c r="AE74" s="649"/>
      <c r="AF74" s="649"/>
      <c r="AG74" s="649"/>
      <c r="AH74" s="649"/>
      <c r="AI74" s="649"/>
      <c r="AJ74" s="649"/>
      <c r="AK74" s="2002">
        <v>0</v>
      </c>
      <c r="AL74" s="649"/>
      <c r="AM74" s="649"/>
      <c r="AN74" s="649"/>
      <c r="AO74" s="2002">
        <v>2506.0059999999999</v>
      </c>
      <c r="AP74" s="649"/>
      <c r="AS74" s="2002">
        <v>2304.864</v>
      </c>
      <c r="AT74" s="942"/>
      <c r="AU74" s="2008"/>
      <c r="AV74" s="2008"/>
      <c r="AW74" s="2006">
        <v>2701.4070000000002</v>
      </c>
      <c r="AX74" s="2009"/>
      <c r="AY74" s="2009"/>
      <c r="AZ74" s="2008"/>
      <c r="BA74" s="2006">
        <v>0</v>
      </c>
      <c r="BB74" s="2008"/>
      <c r="BC74" s="2008"/>
      <c r="BD74" s="2008"/>
      <c r="BE74" s="2006">
        <v>0</v>
      </c>
      <c r="BF74" s="2008"/>
      <c r="BG74" s="2008"/>
      <c r="BH74" s="2008"/>
      <c r="BI74" s="2006">
        <v>1123.4390000000001</v>
      </c>
      <c r="BJ74" s="2008"/>
    </row>
    <row r="75" spans="1:69" s="275" customFormat="1">
      <c r="A75" s="342"/>
      <c r="B75" s="1110"/>
      <c r="C75" s="1110"/>
      <c r="D75" s="1110"/>
      <c r="E75" s="1110"/>
      <c r="F75" s="1110"/>
      <c r="G75" s="1110"/>
      <c r="H75" s="1110"/>
      <c r="I75" s="1110"/>
      <c r="J75" s="1110"/>
      <c r="K75" s="1110"/>
      <c r="L75" s="1110"/>
      <c r="M75" s="1110"/>
      <c r="N75" s="1110"/>
      <c r="O75" s="1110"/>
      <c r="P75" s="1110"/>
      <c r="Q75" s="1110"/>
      <c r="R75" s="1110"/>
      <c r="S75" s="1110"/>
      <c r="T75" s="1110"/>
      <c r="U75" s="1110"/>
      <c r="V75" s="1110"/>
      <c r="W75" s="1110"/>
      <c r="X75" s="1110"/>
      <c r="Y75" s="1110"/>
      <c r="Z75" s="1157"/>
      <c r="AA75" s="1157"/>
      <c r="AB75" s="649"/>
      <c r="AC75" s="1157"/>
      <c r="AD75" s="649"/>
      <c r="AE75" s="649"/>
      <c r="AF75" s="649"/>
      <c r="AG75" s="649"/>
      <c r="AH75" s="649"/>
      <c r="AI75" s="649"/>
      <c r="AJ75" s="649"/>
      <c r="AK75" s="649"/>
      <c r="AL75" s="649"/>
      <c r="AM75" s="649"/>
      <c r="AN75" s="649"/>
      <c r="AO75" s="649"/>
      <c r="AP75" s="649"/>
      <c r="AT75" s="942"/>
      <c r="AU75" s="2009"/>
      <c r="AV75" s="2009"/>
      <c r="AW75" s="2009"/>
      <c r="AX75" s="2009"/>
      <c r="AY75" s="2009"/>
      <c r="AZ75" s="2009"/>
      <c r="BA75" s="2009"/>
      <c r="BB75" s="2009"/>
      <c r="BC75" s="2008"/>
      <c r="BD75" s="2008"/>
      <c r="BE75" s="2008"/>
      <c r="BF75" s="2008"/>
      <c r="BG75" s="2008"/>
      <c r="BH75" s="2008"/>
      <c r="BI75" s="2008"/>
      <c r="BJ75" s="2008"/>
    </row>
    <row r="76" spans="1:69" s="275" customFormat="1">
      <c r="A76" s="342"/>
      <c r="B76" s="1110"/>
      <c r="C76" s="1110"/>
      <c r="D76" s="1110"/>
      <c r="E76" s="1110"/>
      <c r="F76" s="1110"/>
      <c r="G76" s="1110"/>
      <c r="H76" s="1110"/>
      <c r="I76" s="1110"/>
      <c r="J76" s="1110"/>
      <c r="K76" s="1110"/>
      <c r="L76" s="1110"/>
      <c r="M76" s="1110"/>
      <c r="N76" s="1110"/>
      <c r="O76" s="1110"/>
      <c r="P76" s="1110"/>
      <c r="Q76" s="1110"/>
      <c r="R76" s="1110"/>
      <c r="S76" s="1110"/>
      <c r="T76" s="1110"/>
      <c r="U76" s="1110"/>
      <c r="V76" s="1110"/>
      <c r="W76" s="1110"/>
      <c r="X76" s="1110"/>
      <c r="Y76" s="1110"/>
      <c r="Z76" s="1157"/>
      <c r="AA76" s="1157"/>
      <c r="AB76" s="649"/>
      <c r="AC76" s="1157"/>
      <c r="AD76" s="649"/>
      <c r="AE76" s="649"/>
      <c r="AF76" s="649"/>
      <c r="AG76" s="649"/>
      <c r="AH76" s="649"/>
      <c r="AI76" s="649"/>
      <c r="AJ76" s="649"/>
      <c r="AK76" s="649"/>
      <c r="AL76" s="649"/>
      <c r="AM76" s="649"/>
      <c r="AN76" s="649"/>
      <c r="AO76" s="649"/>
      <c r="AP76" s="649"/>
      <c r="AT76" s="942"/>
      <c r="AU76" s="942"/>
      <c r="AV76" s="942"/>
      <c r="AW76" s="942"/>
      <c r="AX76" s="942"/>
      <c r="AY76" s="942"/>
      <c r="AZ76" s="942"/>
      <c r="BA76" s="942"/>
      <c r="BB76" s="942"/>
    </row>
    <row r="77" spans="1:69" s="642" customFormat="1">
      <c r="A77" s="643"/>
      <c r="B77" s="644"/>
      <c r="C77" s="644"/>
      <c r="D77" s="644"/>
      <c r="E77" s="644"/>
      <c r="F77" s="644"/>
      <c r="G77" s="644"/>
      <c r="H77" s="644"/>
      <c r="I77" s="644"/>
      <c r="J77" s="644"/>
      <c r="K77" s="644"/>
      <c r="L77" s="644"/>
      <c r="M77" s="644"/>
      <c r="N77" s="644"/>
      <c r="O77" s="644"/>
      <c r="P77" s="644"/>
      <c r="Q77" s="644"/>
      <c r="R77" s="644"/>
      <c r="S77" s="644"/>
      <c r="T77" s="644"/>
      <c r="U77" s="644"/>
      <c r="V77" s="644"/>
      <c r="W77" s="644"/>
      <c r="X77" s="644"/>
      <c r="Y77" s="644"/>
      <c r="Z77" s="644"/>
      <c r="AA77" s="644"/>
      <c r="AB77" s="644"/>
      <c r="AC77" s="644"/>
      <c r="AD77" s="644"/>
      <c r="AE77" s="644"/>
      <c r="AF77" s="644"/>
      <c r="AG77" s="645"/>
      <c r="AH77" s="645"/>
      <c r="AI77" s="645"/>
      <c r="AJ77" s="645"/>
      <c r="AK77" s="645"/>
      <c r="AL77" s="645"/>
      <c r="AM77" s="645"/>
      <c r="AN77" s="645"/>
      <c r="AO77" s="645"/>
      <c r="AP77" s="645"/>
      <c r="AQ77" s="645"/>
      <c r="AR77" s="645"/>
      <c r="AS77" s="645"/>
      <c r="AT77" s="645"/>
      <c r="AU77" s="645"/>
      <c r="AV77" s="645"/>
      <c r="AW77" s="645"/>
      <c r="AX77" s="645"/>
      <c r="AY77" s="645"/>
      <c r="AZ77" s="645"/>
      <c r="BA77" s="645"/>
      <c r="BB77" s="645"/>
      <c r="BC77" s="645"/>
      <c r="BD77" s="645"/>
      <c r="BE77" s="645"/>
      <c r="BF77" s="645"/>
      <c r="BG77" s="645"/>
      <c r="BH77" s="645"/>
      <c r="BI77" s="645"/>
      <c r="BJ77" s="645"/>
      <c r="BK77" s="645"/>
      <c r="BL77" s="645"/>
      <c r="BM77" s="645"/>
      <c r="BN77" s="645"/>
      <c r="BO77" s="645"/>
      <c r="BP77" s="645"/>
      <c r="BQ77" s="645"/>
    </row>
    <row r="78" spans="1:69">
      <c r="A78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78" s="4"/>
      <c r="C78" s="4"/>
      <c r="D78" s="4"/>
      <c r="E78" s="4"/>
      <c r="F78" s="4"/>
      <c r="G78" s="4"/>
      <c r="H78" s="12"/>
      <c r="I78" s="624"/>
      <c r="J78" s="4"/>
      <c r="K78" s="4"/>
      <c r="L78" s="12"/>
      <c r="M78" s="624"/>
      <c r="N78" s="4"/>
      <c r="O78" s="4"/>
      <c r="P78" s="62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631"/>
      <c r="AH78" s="4"/>
      <c r="AI78" s="4"/>
      <c r="AJ78" s="4"/>
      <c r="AK78" s="4"/>
      <c r="AL78" s="4"/>
      <c r="AM78" s="4"/>
      <c r="AN78" s="4"/>
      <c r="AO78" s="4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626" t="s">
        <v>281</v>
      </c>
    </row>
    <row r="79" spans="1:69">
      <c r="AB79" s="92"/>
      <c r="AC79" s="92"/>
      <c r="AD79" s="92"/>
      <c r="AE79" s="92"/>
      <c r="AF79" s="92"/>
    </row>
    <row r="80" spans="1:69">
      <c r="BJ80" s="275"/>
    </row>
    <row r="81" spans="62:62">
      <c r="BJ81" s="275"/>
    </row>
    <row r="82" spans="62:62">
      <c r="BJ82" s="275"/>
    </row>
    <row r="83" spans="62:62">
      <c r="BJ83" s="275"/>
    </row>
    <row r="84" spans="62:62">
      <c r="BJ84" s="275"/>
    </row>
    <row r="85" spans="62:62">
      <c r="BJ85" s="275"/>
    </row>
    <row r="86" spans="62:62">
      <c r="BJ86" s="275"/>
    </row>
    <row r="87" spans="62:62">
      <c r="BJ87" s="275"/>
    </row>
    <row r="88" spans="62:62">
      <c r="BJ88" s="275"/>
    </row>
    <row r="89" spans="62:62">
      <c r="BJ89" s="275"/>
    </row>
    <row r="90" spans="62:62">
      <c r="BJ90" s="275"/>
    </row>
    <row r="91" spans="62:62">
      <c r="BJ91" s="275"/>
    </row>
    <row r="92" spans="62:62">
      <c r="BJ92" s="275"/>
    </row>
    <row r="93" spans="62:62">
      <c r="BJ93" s="275"/>
    </row>
    <row r="94" spans="62:62">
      <c r="BJ94" s="275"/>
    </row>
    <row r="95" spans="62:62">
      <c r="BJ95" s="275"/>
    </row>
    <row r="96" spans="62:62">
      <c r="BJ96" s="275"/>
    </row>
    <row r="97" spans="62:62">
      <c r="BJ97" s="275"/>
    </row>
    <row r="98" spans="62:62">
      <c r="BJ98" s="275"/>
    </row>
    <row r="99" spans="62:62" s="2005" customFormat="1" ht="9"/>
  </sheetData>
  <phoneticPr fontId="18" type="noConversion"/>
  <pageMargins left="0.25" right="0.25" top="0.5" bottom="0.5" header="0.5" footer="0.5"/>
  <pageSetup scale="31" orientation="landscape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>
    <tabColor theme="4" tint="0.79998168889431442"/>
    <pageSetUpPr fitToPage="1"/>
  </sheetPr>
  <dimension ref="A1:BZ50"/>
  <sheetViews>
    <sheetView showGridLines="0" zoomScaleNormal="100" workbookViewId="0">
      <pane xSplit="1" ySplit="3" topLeftCell="AZ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9.42578125" defaultRowHeight="11.25" outlineLevelCol="1"/>
  <cols>
    <col min="1" max="1" width="55.42578125" style="9" customWidth="1"/>
    <col min="2" max="41" width="9.42578125" style="9" hidden="1" customWidth="1" outlineLevel="1"/>
    <col min="42" max="42" width="9" style="9" customWidth="1" collapsed="1"/>
    <col min="43" max="43" width="8.5703125" style="9" customWidth="1"/>
    <col min="44" max="44" width="8" style="9" customWidth="1"/>
    <col min="45" max="46" width="9.42578125" style="9"/>
    <col min="47" max="55" width="9.42578125" style="9" customWidth="1"/>
    <col min="56" max="56" width="9.5703125" style="9" customWidth="1"/>
    <col min="57" max="63" width="9.42578125" style="9" customWidth="1"/>
    <col min="64" max="66" width="9.42578125" style="9" hidden="1" customWidth="1" outlineLevel="1"/>
    <col min="67" max="67" width="9.42578125" style="9" customWidth="1" collapsed="1"/>
    <col min="68" max="77" width="9.42578125" style="9" customWidth="1"/>
    <col min="78" max="16384" width="9.42578125" style="9"/>
  </cols>
  <sheetData>
    <row r="1" spans="1:77" ht="18">
      <c r="A1" s="24" t="str">
        <f>Index!$G$12</f>
        <v>Alsea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409"/>
      <c r="AH1" s="409"/>
      <c r="AI1" s="409"/>
      <c r="AJ1" s="409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4"/>
      <c r="BC1" s="554"/>
      <c r="BD1" s="554"/>
      <c r="BE1" s="554"/>
      <c r="BF1" s="554"/>
      <c r="BG1" s="554"/>
      <c r="BH1" s="554"/>
      <c r="BI1" s="554"/>
      <c r="BJ1" s="554"/>
      <c r="BK1" s="554"/>
      <c r="BL1" s="554"/>
      <c r="BM1" s="554"/>
      <c r="BN1" s="554"/>
      <c r="BO1" s="554"/>
      <c r="BP1" s="554"/>
      <c r="BQ1" s="554"/>
      <c r="BR1" s="554"/>
      <c r="BS1" s="554"/>
      <c r="BT1" s="554"/>
      <c r="BU1" s="554"/>
      <c r="BV1" s="554"/>
      <c r="BW1" s="554"/>
      <c r="BX1" s="554"/>
      <c r="BY1" s="554"/>
    </row>
    <row r="2" spans="1:77" ht="12.75">
      <c r="A2" s="551" t="s">
        <v>582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409"/>
      <c r="AH2" s="409"/>
      <c r="AI2" s="409"/>
      <c r="AJ2" s="40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</row>
    <row r="3" spans="1:77">
      <c r="A3" s="577" t="s">
        <v>708</v>
      </c>
      <c r="B3" s="264">
        <v>2001</v>
      </c>
      <c r="C3" s="264">
        <v>2002</v>
      </c>
      <c r="D3" s="264">
        <v>2003</v>
      </c>
      <c r="E3" s="264">
        <v>2004</v>
      </c>
      <c r="F3" s="264">
        <v>2005</v>
      </c>
      <c r="G3" s="264">
        <v>2006</v>
      </c>
      <c r="H3" s="264">
        <v>2007</v>
      </c>
      <c r="I3" s="264">
        <v>2008</v>
      </c>
      <c r="J3" s="264" t="str">
        <f>IS!C3</f>
        <v>1Q09</v>
      </c>
      <c r="K3" s="264" t="str">
        <f>IS!D3</f>
        <v>2Q09</v>
      </c>
      <c r="L3" s="264" t="str">
        <f>IS!E3</f>
        <v>3Q09</v>
      </c>
      <c r="M3" s="264" t="str">
        <f>IS!F3</f>
        <v>4Q09</v>
      </c>
      <c r="N3" s="264" t="str">
        <f>IS!G3</f>
        <v>1Q10</v>
      </c>
      <c r="O3" s="264" t="str">
        <f>IS!H3</f>
        <v>2Q10</v>
      </c>
      <c r="P3" s="264" t="str">
        <f>IS!I3</f>
        <v>3Q10</v>
      </c>
      <c r="Q3" s="264" t="str">
        <f>IS!J3</f>
        <v>4Q10</v>
      </c>
      <c r="R3" s="264" t="str">
        <f>IS!K3</f>
        <v>1Q11</v>
      </c>
      <c r="S3" s="264" t="str">
        <f>IS!L3</f>
        <v>2Q11</v>
      </c>
      <c r="T3" s="264" t="str">
        <f>IS!M3</f>
        <v>3Q11</v>
      </c>
      <c r="U3" s="264" t="str">
        <f>IS!N3</f>
        <v>4Q11</v>
      </c>
      <c r="V3" s="264" t="str">
        <f>IS!O3</f>
        <v>1Q12</v>
      </c>
      <c r="W3" s="264" t="str">
        <f>IS!P3</f>
        <v>2Q12</v>
      </c>
      <c r="X3" s="264" t="str">
        <f>IS!Q3</f>
        <v>3Q12</v>
      </c>
      <c r="Y3" s="264" t="str">
        <f>IS!R3</f>
        <v>4Q12</v>
      </c>
      <c r="Z3" s="264" t="str">
        <f>IS!S3</f>
        <v>1Q13</v>
      </c>
      <c r="AA3" s="264" t="str">
        <f>IS!T3</f>
        <v>2Q13</v>
      </c>
      <c r="AB3" s="264" t="str">
        <f>IS!U3</f>
        <v>3Q13</v>
      </c>
      <c r="AC3" s="264" t="str">
        <f>IS!V3</f>
        <v>4Q13</v>
      </c>
      <c r="AD3" s="264" t="str">
        <f>IS!W3</f>
        <v>1Q14</v>
      </c>
      <c r="AE3" s="264" t="str">
        <f>IS!X3</f>
        <v>2Q14</v>
      </c>
      <c r="AF3" s="264" t="str">
        <f>IS!Y3</f>
        <v>3Q14</v>
      </c>
      <c r="AG3" s="264" t="str">
        <f>IS!Z3</f>
        <v>4Q14</v>
      </c>
      <c r="AH3" s="264" t="str">
        <f>IS!AA3</f>
        <v>1Q15</v>
      </c>
      <c r="AI3" s="264" t="str">
        <f>IS!AB3</f>
        <v>2Q15</v>
      </c>
      <c r="AJ3" s="264" t="str">
        <f>IS!AC3</f>
        <v>3Q15</v>
      </c>
      <c r="AK3" s="264" t="str">
        <f>IS!AD3</f>
        <v>4Q15</v>
      </c>
      <c r="AL3" s="264" t="str">
        <f>IS!AE3</f>
        <v>1Q16</v>
      </c>
      <c r="AM3" s="264" t="str">
        <f>IS!AF3</f>
        <v>2Q16</v>
      </c>
      <c r="AN3" s="264" t="str">
        <f>IS!AG3</f>
        <v>3Q16</v>
      </c>
      <c r="AO3" s="264" t="str">
        <f>IS!AH3</f>
        <v>4Q16</v>
      </c>
      <c r="AP3" s="264" t="str">
        <f>IS!AI3</f>
        <v>1Q17</v>
      </c>
      <c r="AQ3" s="264" t="str">
        <f>IS!AJ3</f>
        <v>2Q17</v>
      </c>
      <c r="AR3" s="264" t="str">
        <f>IS!AK3</f>
        <v>3Q17</v>
      </c>
      <c r="AS3" s="264" t="str">
        <f>IS!AL3</f>
        <v>4Q17</v>
      </c>
      <c r="AT3" s="264" t="str">
        <f>IS!AM3</f>
        <v>1Q18</v>
      </c>
      <c r="AU3" s="264" t="str">
        <f>IS!AN3</f>
        <v>2Q18</v>
      </c>
      <c r="AV3" s="264" t="str">
        <f>IS!AO3</f>
        <v>3Q18</v>
      </c>
      <c r="AW3" s="264" t="str">
        <f>IS!AP3</f>
        <v>4Q18</v>
      </c>
      <c r="AX3" s="264" t="str">
        <f>IS!AQ3</f>
        <v>1Q19</v>
      </c>
      <c r="AY3" s="264" t="str">
        <f>IS!AR3</f>
        <v>2Q19</v>
      </c>
      <c r="AZ3" s="264" t="str">
        <f>IS!AS3</f>
        <v>3Q19</v>
      </c>
      <c r="BA3" s="264" t="str">
        <f>IS!AT3</f>
        <v>4Q19</v>
      </c>
      <c r="BB3" s="264" t="str">
        <f>IS!AU3</f>
        <v>1Q20</v>
      </c>
      <c r="BC3" s="264" t="str">
        <f>IS!AV3</f>
        <v>2Q20</v>
      </c>
      <c r="BD3" s="264" t="str">
        <f>IS!AW3</f>
        <v>3Q20</v>
      </c>
      <c r="BE3" s="264" t="str">
        <f>IS!AX3</f>
        <v>4Q20</v>
      </c>
      <c r="BF3" s="264" t="str">
        <f>IS!AY3</f>
        <v>1Q21</v>
      </c>
      <c r="BG3" s="264" t="str">
        <f>IS!AZ3</f>
        <v>2Q21</v>
      </c>
      <c r="BH3" s="264" t="str">
        <f>IS!BA3</f>
        <v>3Q21</v>
      </c>
      <c r="BI3" s="264" t="str">
        <f>IS!BB3</f>
        <v>4Q21</v>
      </c>
      <c r="BJ3" s="264" t="str">
        <f>IS!BC3</f>
        <v>1Q22</v>
      </c>
      <c r="BK3" s="264" t="str">
        <f>IS!BD3</f>
        <v>2Q22</v>
      </c>
      <c r="BL3" s="264" t="str">
        <f>IS!BE3</f>
        <v>3Q22</v>
      </c>
      <c r="BM3" s="264" t="str">
        <f>IS!BF3</f>
        <v>4Q22</v>
      </c>
      <c r="BN3" s="264" t="str">
        <f>IS!BG3</f>
        <v>1Q23</v>
      </c>
      <c r="BO3" s="264" t="str">
        <f>IS!BH3</f>
        <v>2Q23</v>
      </c>
      <c r="BP3" s="264" t="str">
        <f>IS!BI3</f>
        <v>3Q23</v>
      </c>
      <c r="BQ3" s="264" t="str">
        <f>IS!BJ3</f>
        <v>4Q23</v>
      </c>
      <c r="BR3" s="264" t="str">
        <f>IS!BK3</f>
        <v>1Q24</v>
      </c>
      <c r="BS3" s="264" t="str">
        <f>IS!BL3</f>
        <v>2Q24</v>
      </c>
      <c r="BT3" s="264" t="str">
        <f>IS!BM3</f>
        <v>3Q24</v>
      </c>
      <c r="BU3" s="264" t="str">
        <f>IS!BN3</f>
        <v>4Q24</v>
      </c>
      <c r="BV3" s="264" t="str">
        <f>IS!BO3</f>
        <v>1Q25</v>
      </c>
      <c r="BW3" s="264" t="str">
        <f>IS!BP3</f>
        <v>2Q25</v>
      </c>
      <c r="BX3" s="264" t="str">
        <f>IS!BQ3</f>
        <v>3Q25</v>
      </c>
      <c r="BY3" s="264" t="str">
        <f>IS!BR3</f>
        <v>4Q25</v>
      </c>
    </row>
    <row r="4" spans="1:77">
      <c r="A4" s="13" t="s">
        <v>709</v>
      </c>
      <c r="J4" s="9" t="s">
        <v>382</v>
      </c>
      <c r="AX4" s="241"/>
    </row>
    <row r="5" spans="1:77" s="13" customFormat="1">
      <c r="A5" s="13" t="s">
        <v>710</v>
      </c>
      <c r="B5" s="435">
        <f>27.749</f>
        <v>27.748999999999999</v>
      </c>
      <c r="C5" s="435">
        <v>138.98599999999999</v>
      </c>
      <c r="D5" s="435">
        <v>123.164</v>
      </c>
      <c r="E5" s="435">
        <v>174.124</v>
      </c>
      <c r="F5" s="435">
        <v>274.88400000000001</v>
      </c>
      <c r="G5" s="435">
        <v>228.62899999999999</v>
      </c>
      <c r="H5" s="435">
        <v>489.14100000000002</v>
      </c>
      <c r="I5" s="435">
        <v>227.68700000000001</v>
      </c>
      <c r="J5" s="435">
        <v>-28.899000000000001</v>
      </c>
      <c r="K5" s="435">
        <f>-58.317</f>
        <v>-58.317</v>
      </c>
      <c r="L5" s="435">
        <f>21.149-K5-J5</f>
        <v>108.36500000000001</v>
      </c>
      <c r="M5" s="435">
        <f>183.942-L5-K5-J5</f>
        <v>162.79300000000001</v>
      </c>
      <c r="N5" s="435">
        <v>4.4829999999999997</v>
      </c>
      <c r="O5" s="435">
        <f>155.172-N5</f>
        <v>150.68899999999999</v>
      </c>
      <c r="P5" s="435">
        <f>201.511-O5-N5</f>
        <v>46.339000000000006</v>
      </c>
      <c r="Q5" s="435">
        <f>286.716-P5-O5-N5</f>
        <v>85.205000000000013</v>
      </c>
      <c r="R5" s="435">
        <v>23.858000000000001</v>
      </c>
      <c r="S5" s="435">
        <f>123.369-R5</f>
        <v>99.510999999999996</v>
      </c>
      <c r="T5" s="435">
        <f>247.218-S5-R5</f>
        <v>123.84899999999999</v>
      </c>
      <c r="U5" s="435">
        <f>334.234-T5-S5-R5</f>
        <v>87.015999999999991</v>
      </c>
      <c r="V5" s="435">
        <v>48.271999999999998</v>
      </c>
      <c r="W5" s="435">
        <f>244.697-V5</f>
        <v>196.42500000000001</v>
      </c>
      <c r="X5" s="435">
        <f>394.788-W5-V5</f>
        <v>150.09100000000001</v>
      </c>
      <c r="Y5" s="435">
        <f>620.945-X5-W5-V5</f>
        <v>226.15700000000004</v>
      </c>
      <c r="Z5" s="435">
        <v>116.54</v>
      </c>
      <c r="AA5" s="435">
        <f>346.546-Z5</f>
        <v>230.00599999999997</v>
      </c>
      <c r="AB5" s="435">
        <f>613.267-AA5-Z5</f>
        <v>266.72100000000006</v>
      </c>
      <c r="AC5" s="435">
        <f>948.187-AB5-AA5-Z5</f>
        <v>334.9199999999999</v>
      </c>
      <c r="AD5" s="435">
        <v>96.14</v>
      </c>
      <c r="AE5" s="435">
        <f>237.061-AD5</f>
        <v>140.92099999999999</v>
      </c>
      <c r="AF5" s="435">
        <f>498.309-AE5-AD5</f>
        <v>261.24800000000005</v>
      </c>
      <c r="AG5" s="435">
        <f>1007.308-AF5-AE5-AD5</f>
        <v>508.99899999999991</v>
      </c>
      <c r="AH5" s="435">
        <v>408.565</v>
      </c>
      <c r="AI5" s="435">
        <f>637.814-AH5</f>
        <v>229.24899999999997</v>
      </c>
      <c r="AJ5" s="435">
        <f>896.667-AI5-AH5</f>
        <v>258.85300000000012</v>
      </c>
      <c r="AK5" s="435">
        <f>1522.67-AJ5-AI5-AH5</f>
        <v>626.00299999999993</v>
      </c>
      <c r="AL5" s="435">
        <v>102.077</v>
      </c>
      <c r="AM5" s="435">
        <f>500.859-AL5</f>
        <v>398.78199999999998</v>
      </c>
      <c r="AN5" s="435">
        <f>997.472-AM5-AL5</f>
        <v>496.61300000000006</v>
      </c>
      <c r="AO5" s="435">
        <f>1655.722-AN5-AM5-AL5</f>
        <v>658.25</v>
      </c>
      <c r="AP5" s="435">
        <f>349.803</f>
        <v>349.803</v>
      </c>
      <c r="AQ5" s="435">
        <f>522.511-AP5</f>
        <v>172.70799999999997</v>
      </c>
      <c r="AR5" s="435">
        <f>902.542-AQ5-AP5</f>
        <v>380.03100000000006</v>
      </c>
      <c r="AS5" s="435">
        <f>2087.578-AR5-AQ5-AP5</f>
        <v>1185.0360000000001</v>
      </c>
      <c r="AT5" s="435">
        <v>409.62799999999999</v>
      </c>
      <c r="AU5" s="435">
        <f>916.383-AT5</f>
        <v>506.75500000000005</v>
      </c>
      <c r="AV5" s="435">
        <f>1418.47-SUM(AT5:AU5)</f>
        <v>502.08699999999999</v>
      </c>
      <c r="AW5" s="435">
        <f>1922.234-SUM(AT5:AV5)</f>
        <v>503.7639999999999</v>
      </c>
      <c r="AX5" s="435">
        <v>206.94399999999999</v>
      </c>
      <c r="AY5" s="435">
        <f>552.792-AX5</f>
        <v>345.84800000000007</v>
      </c>
      <c r="AZ5" s="435">
        <f>1023.646-AX5-AY5</f>
        <v>470.85399999999993</v>
      </c>
      <c r="BA5" s="435">
        <f>1715.318-SUM(AX5:AZ5)</f>
        <v>691.67200000000003</v>
      </c>
      <c r="BB5" s="435">
        <v>-387.82400000000001</v>
      </c>
      <c r="BC5" s="435">
        <f>-3785.925-BB5</f>
        <v>-3398.1010000000001</v>
      </c>
      <c r="BD5" s="435">
        <f>-4670.323-BB5-BC5</f>
        <v>-884.39800000000059</v>
      </c>
      <c r="BE5" s="435">
        <f>-5024.548-BD5-BC5-BB5</f>
        <v>-354.22499999999951</v>
      </c>
      <c r="BF5" s="435">
        <v>-619.98800000000006</v>
      </c>
      <c r="BG5" s="435">
        <f>-549.16-BF5</f>
        <v>70.828000000000088</v>
      </c>
      <c r="BH5" s="435">
        <f>-162.225-BG5-BF5</f>
        <v>386.93499999999995</v>
      </c>
      <c r="BI5" s="435">
        <f>999.415-BH5-BG5-BF5</f>
        <v>1161.6399999999999</v>
      </c>
      <c r="BJ5" s="435">
        <v>720.04899999999998</v>
      </c>
      <c r="BK5" s="435">
        <f>1062.206-BJ5</f>
        <v>342.15699999999993</v>
      </c>
      <c r="BL5" s="435">
        <f>1531.824-BK5-BJ5</f>
        <v>469.61800000000017</v>
      </c>
      <c r="BM5" s="435">
        <f>2527.816-SUM(BJ5:BL5)</f>
        <v>995.99199999999973</v>
      </c>
      <c r="BN5" s="435">
        <v>953.94200000000001</v>
      </c>
      <c r="BO5" s="435">
        <f>1650.152-BN5</f>
        <v>696.21</v>
      </c>
      <c r="BP5" s="435">
        <f>2581.266-SUM(BN5:BO5)</f>
        <v>931.11400000000003</v>
      </c>
      <c r="BQ5" s="608">
        <f>4396.924-SUM(BN5:BP5)</f>
        <v>1815.6579999999999</v>
      </c>
      <c r="BR5" s="435">
        <v>607.89700000000005</v>
      </c>
      <c r="BS5" s="435">
        <f>812.154-BR5</f>
        <v>204.25699999999995</v>
      </c>
    </row>
    <row r="6" spans="1:77">
      <c r="A6" s="271" t="s">
        <v>917</v>
      </c>
      <c r="B6" s="92">
        <f t="shared" ref="B6:H6" si="0">SUM(B8:B11)</f>
        <v>114.321</v>
      </c>
      <c r="C6" s="92">
        <f t="shared" si="0"/>
        <v>124.845</v>
      </c>
      <c r="D6" s="92">
        <f t="shared" si="0"/>
        <v>229.84200000000001</v>
      </c>
      <c r="E6" s="92">
        <f t="shared" si="0"/>
        <v>191.517</v>
      </c>
      <c r="F6" s="92">
        <f t="shared" si="0"/>
        <v>161.83800000000002</v>
      </c>
      <c r="G6" s="92">
        <f t="shared" si="0"/>
        <v>441.26299999999992</v>
      </c>
      <c r="H6" s="92">
        <f t="shared" si="0"/>
        <v>327.84100000000001</v>
      </c>
      <c r="I6" s="92">
        <f t="shared" ref="I6:AV6" si="1">SUM(I8:I11)</f>
        <v>792.30700000000002</v>
      </c>
      <c r="J6" s="92">
        <f t="shared" si="1"/>
        <v>177.76200000000003</v>
      </c>
      <c r="K6" s="92">
        <f t="shared" si="1"/>
        <v>368.19099999999997</v>
      </c>
      <c r="L6" s="92">
        <f t="shared" si="1"/>
        <v>10.334999999999948</v>
      </c>
      <c r="M6" s="92">
        <f t="shared" si="1"/>
        <v>162.08400000000006</v>
      </c>
      <c r="N6" s="92">
        <f t="shared" si="1"/>
        <v>166.14600000000002</v>
      </c>
      <c r="O6" s="92">
        <f t="shared" si="1"/>
        <v>177.93299999999999</v>
      </c>
      <c r="P6" s="92">
        <f t="shared" si="1"/>
        <v>168.56200000000004</v>
      </c>
      <c r="Q6" s="92">
        <f t="shared" si="1"/>
        <v>171.41300000000001</v>
      </c>
      <c r="R6" s="92">
        <f t="shared" si="1"/>
        <v>182.82099999999997</v>
      </c>
      <c r="S6" s="92">
        <f t="shared" si="1"/>
        <v>191.14400000000001</v>
      </c>
      <c r="T6" s="92">
        <f t="shared" si="1"/>
        <v>196.38500000000008</v>
      </c>
      <c r="U6" s="92">
        <f t="shared" si="1"/>
        <v>179.52599999999995</v>
      </c>
      <c r="V6" s="92">
        <f t="shared" si="1"/>
        <v>180.03100000000003</v>
      </c>
      <c r="W6" s="92">
        <f t="shared" si="1"/>
        <v>229.51</v>
      </c>
      <c r="X6" s="92">
        <f t="shared" si="1"/>
        <v>226.51300000000001</v>
      </c>
      <c r="Y6" s="92">
        <f t="shared" si="1"/>
        <v>226.46599999999998</v>
      </c>
      <c r="Z6" s="92">
        <f t="shared" si="1"/>
        <v>204.477</v>
      </c>
      <c r="AA6" s="92">
        <f t="shared" si="1"/>
        <v>232.24000000000004</v>
      </c>
      <c r="AB6" s="92">
        <f t="shared" si="1"/>
        <v>249.57300000000004</v>
      </c>
      <c r="AC6" s="92">
        <f t="shared" si="1"/>
        <v>217.63500000000002</v>
      </c>
      <c r="AD6" s="92">
        <f t="shared" si="1"/>
        <v>247.05999999999997</v>
      </c>
      <c r="AE6" s="92">
        <f t="shared" si="1"/>
        <v>317.267</v>
      </c>
      <c r="AF6" s="92">
        <f t="shared" si="1"/>
        <v>378.11399999999998</v>
      </c>
      <c r="AG6" s="92">
        <f t="shared" si="1"/>
        <v>420.41700000000003</v>
      </c>
      <c r="AH6" s="92">
        <f t="shared" si="1"/>
        <v>301.44900000000001</v>
      </c>
      <c r="AI6" s="92">
        <f t="shared" si="1"/>
        <v>637.27199999999993</v>
      </c>
      <c r="AJ6" s="92">
        <f t="shared" si="1"/>
        <v>617.36500000000012</v>
      </c>
      <c r="AK6" s="92">
        <f t="shared" si="1"/>
        <v>631.11699999999996</v>
      </c>
      <c r="AL6" s="92">
        <f t="shared" si="1"/>
        <v>725.48500000000013</v>
      </c>
      <c r="AM6" s="92">
        <f t="shared" si="1"/>
        <v>739.68099999999993</v>
      </c>
      <c r="AN6" s="92">
        <f t="shared" si="1"/>
        <v>682.24700000000018</v>
      </c>
      <c r="AO6" s="92">
        <f t="shared" si="1"/>
        <v>676.21500000000026</v>
      </c>
      <c r="AP6" s="92">
        <f t="shared" si="1"/>
        <v>497.12900000000002</v>
      </c>
      <c r="AQ6" s="92">
        <f t="shared" si="1"/>
        <v>758.03500000000008</v>
      </c>
      <c r="AR6" s="92">
        <f t="shared" si="1"/>
        <v>702.10599999999999</v>
      </c>
      <c r="AS6" s="92">
        <f t="shared" si="1"/>
        <v>435.10699999999986</v>
      </c>
      <c r="AT6" s="92">
        <f t="shared" si="1"/>
        <v>662.51700000000005</v>
      </c>
      <c r="AU6" s="92">
        <f t="shared" si="1"/>
        <v>1147.2359999999999</v>
      </c>
      <c r="AV6" s="92">
        <f t="shared" si="1"/>
        <v>817.41900000000021</v>
      </c>
      <c r="AW6" s="92">
        <f t="shared" ref="AW6:BK6" si="2">SUM(AW8:AW11)</f>
        <v>1221.8800000000001</v>
      </c>
      <c r="AX6" s="92">
        <f t="shared" si="2"/>
        <v>1893.0139999999999</v>
      </c>
      <c r="AY6" s="92">
        <f t="shared" si="2"/>
        <v>1863.5410000000002</v>
      </c>
      <c r="AZ6" s="92">
        <f t="shared" si="2"/>
        <v>-838.58999999999969</v>
      </c>
      <c r="BA6" s="92">
        <f t="shared" si="2"/>
        <v>2242.6569999999997</v>
      </c>
      <c r="BB6" s="92">
        <f t="shared" si="2"/>
        <v>2810.1880000000001</v>
      </c>
      <c r="BC6" s="92">
        <f t="shared" si="2"/>
        <v>2137.201</v>
      </c>
      <c r="BD6" s="92">
        <f t="shared" si="2"/>
        <v>2196.0580000000004</v>
      </c>
      <c r="BE6" s="92">
        <f t="shared" si="2"/>
        <v>2658.5249999999992</v>
      </c>
      <c r="BF6" s="92">
        <f t="shared" si="2"/>
        <v>2279.2469999999998</v>
      </c>
      <c r="BG6" s="92">
        <f t="shared" si="2"/>
        <v>1976.2820000000002</v>
      </c>
      <c r="BH6" s="92">
        <f t="shared" si="2"/>
        <v>2371.9759999999997</v>
      </c>
      <c r="BI6" s="92">
        <f t="shared" si="2"/>
        <v>2321.1110000000003</v>
      </c>
      <c r="BJ6" s="92">
        <f t="shared" si="2"/>
        <v>1881.0809999999999</v>
      </c>
      <c r="BK6" s="92">
        <f t="shared" si="2"/>
        <v>1935.4379999999999</v>
      </c>
      <c r="BL6" s="92">
        <f t="shared" ref="BL6:BR6" si="3">SUM(BL8:BL11)</f>
        <v>1942.3419999999996</v>
      </c>
      <c r="BM6" s="92">
        <f t="shared" si="3"/>
        <v>2527.8810000000003</v>
      </c>
      <c r="BN6" s="92">
        <f t="shared" si="3"/>
        <v>2077.047</v>
      </c>
      <c r="BO6" s="92">
        <f t="shared" si="3"/>
        <v>2213.02</v>
      </c>
      <c r="BP6" s="92">
        <f t="shared" si="3"/>
        <v>2095.6349999999993</v>
      </c>
      <c r="BQ6" s="150">
        <f t="shared" si="3"/>
        <v>2175.9530000000004</v>
      </c>
      <c r="BR6" s="92">
        <f t="shared" si="3"/>
        <v>1904.5989999999999</v>
      </c>
      <c r="BS6" s="92">
        <f t="shared" ref="BS6" si="4">SUM(BS8:BS11)</f>
        <v>2110.431</v>
      </c>
    </row>
    <row r="7" spans="1:77">
      <c r="A7" s="36" t="s">
        <v>711</v>
      </c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651"/>
      <c r="AY7" s="335"/>
      <c r="AZ7" s="651"/>
      <c r="BA7" s="92"/>
      <c r="BB7" s="651"/>
      <c r="BC7" s="92"/>
      <c r="BD7" s="92"/>
      <c r="BE7" s="92"/>
      <c r="BF7" s="651"/>
      <c r="BJ7" s="651"/>
      <c r="BK7" s="651"/>
      <c r="BL7" s="651"/>
      <c r="BM7" s="651"/>
      <c r="BN7" s="651"/>
      <c r="BO7" s="651"/>
      <c r="BP7" s="651"/>
      <c r="BQ7" s="150"/>
      <c r="BR7" s="651"/>
      <c r="BS7" s="651"/>
    </row>
    <row r="8" spans="1:77">
      <c r="A8" s="36" t="s">
        <v>712</v>
      </c>
      <c r="B8" s="335">
        <v>111.178</v>
      </c>
      <c r="C8" s="335">
        <v>113.99299999999999</v>
      </c>
      <c r="D8" s="335">
        <v>161.46</v>
      </c>
      <c r="E8" s="335">
        <v>183.01</v>
      </c>
      <c r="F8" s="335">
        <v>210.93</v>
      </c>
      <c r="G8" s="335">
        <v>571.35799999999995</v>
      </c>
      <c r="H8" s="335">
        <v>437.25299999999999</v>
      </c>
      <c r="I8" s="335">
        <v>572.89</v>
      </c>
      <c r="J8" s="335">
        <v>169.16900000000001</v>
      </c>
      <c r="K8" s="335">
        <v>341.77100000000002</v>
      </c>
      <c r="L8" s="335">
        <f>504.453-K8-J8</f>
        <v>-6.4870000000000516</v>
      </c>
      <c r="M8" s="335">
        <f>665.167-L8-K8-J8</f>
        <v>160.71400000000008</v>
      </c>
      <c r="N8" s="335">
        <v>168.875</v>
      </c>
      <c r="O8" s="335">
        <f>329.476-N8</f>
        <v>160.601</v>
      </c>
      <c r="P8" s="335">
        <f>493.951-O8-N8</f>
        <v>164.47500000000002</v>
      </c>
      <c r="Q8" s="335">
        <f>675.033-P8-O8-N8</f>
        <v>181.08199999999999</v>
      </c>
      <c r="R8" s="335">
        <v>177.20599999999999</v>
      </c>
      <c r="S8" s="335">
        <f>361.424-R8</f>
        <v>184.21799999999999</v>
      </c>
      <c r="T8" s="335">
        <f>541.715-S8-R8</f>
        <v>180.29100000000008</v>
      </c>
      <c r="U8" s="335">
        <f>723.852-T8-S8-R8</f>
        <v>182.13699999999997</v>
      </c>
      <c r="V8" s="335">
        <v>185.19900000000001</v>
      </c>
      <c r="W8" s="335">
        <f>387.509-V8</f>
        <v>202.31</v>
      </c>
      <c r="X8" s="335">
        <f>597.677-W8-V8</f>
        <v>210.16800000000001</v>
      </c>
      <c r="Y8" s="335">
        <f>811.298-X8-W8-V8</f>
        <v>213.62099999999998</v>
      </c>
      <c r="Z8" s="335">
        <v>204.09899999999999</v>
      </c>
      <c r="AA8" s="335">
        <f>434.295-Z8</f>
        <v>230.19600000000003</v>
      </c>
      <c r="AB8" s="335">
        <f>674.82-AA8-Z8</f>
        <v>240.52500000000003</v>
      </c>
      <c r="AC8" s="335">
        <f>923.121-AB8-AA8-Z8</f>
        <v>248.30099999999999</v>
      </c>
      <c r="AD8" s="335">
        <v>245.75299999999999</v>
      </c>
      <c r="AE8" s="335">
        <f>557.314-AD8</f>
        <v>311.56099999999998</v>
      </c>
      <c r="AF8" s="335">
        <f>913.264-AE8-AD8</f>
        <v>355.95</v>
      </c>
      <c r="AG8" s="335">
        <f>1333.32-AF8-AE8-AD8</f>
        <v>420.05599999999998</v>
      </c>
      <c r="AH8" s="335">
        <v>431.24400000000003</v>
      </c>
      <c r="AI8" s="335">
        <f>881.543-AH8</f>
        <v>450.29899999999998</v>
      </c>
      <c r="AJ8" s="335">
        <f>1373.996-AI8-AH8</f>
        <v>492.45300000000009</v>
      </c>
      <c r="AK8" s="335">
        <f>1947.897-AJ8-AI8-AH8</f>
        <v>573.90099999999995</v>
      </c>
      <c r="AL8" s="335">
        <v>548.78200000000004</v>
      </c>
      <c r="AM8" s="335">
        <f>1128.955-AL8</f>
        <v>580.17299999999989</v>
      </c>
      <c r="AN8" s="335">
        <f>1712.998-AM8-AL8</f>
        <v>584.04300000000023</v>
      </c>
      <c r="AO8" s="335">
        <f>2388.235-AN8-AM8-AL8</f>
        <v>675.23700000000019</v>
      </c>
      <c r="AP8" s="335">
        <v>673.96199999999999</v>
      </c>
      <c r="AQ8" s="335">
        <f>1333.363-AP8</f>
        <v>659.40100000000007</v>
      </c>
      <c r="AR8" s="335">
        <f>1996.488-AQ8-AP8</f>
        <v>663.125</v>
      </c>
      <c r="AS8" s="335">
        <f>2751.676-AR8-AQ8-AP8</f>
        <v>755.18799999999987</v>
      </c>
      <c r="AT8" s="335">
        <v>754.327</v>
      </c>
      <c r="AU8" s="335">
        <f>1495.965-AT8</f>
        <v>741.63799999999992</v>
      </c>
      <c r="AV8" s="335">
        <f>2207.23-SUM(AT8:AU8)</f>
        <v>711.2650000000001</v>
      </c>
      <c r="AW8" s="335">
        <f>3023.188-SUM(AT8:AV8)</f>
        <v>815.95800000000008</v>
      </c>
      <c r="AX8" s="335">
        <v>986.25599999999997</v>
      </c>
      <c r="AY8" s="335">
        <f>1930.03-AX8</f>
        <v>943.774</v>
      </c>
      <c r="AZ8" s="335">
        <f>2866.55-AX8-AY8</f>
        <v>936.52000000000032</v>
      </c>
      <c r="BA8" s="335">
        <f>4081.786-SUM(AX8:AZ8)</f>
        <v>1215.2359999999999</v>
      </c>
      <c r="BB8" s="335">
        <v>1029.412</v>
      </c>
      <c r="BC8" s="335">
        <f>2216.113-BB8</f>
        <v>1186.7009999999998</v>
      </c>
      <c r="BD8" s="335">
        <f>3240.306-BC8-BB8</f>
        <v>1024.1930000000004</v>
      </c>
      <c r="BE8" s="335">
        <f>4353.364-BD8-BC8-BB8</f>
        <v>1113.0579999999993</v>
      </c>
      <c r="BF8" s="335">
        <v>924.75099999999998</v>
      </c>
      <c r="BG8" s="335">
        <f>1873.094-BF8</f>
        <v>948.34300000000007</v>
      </c>
      <c r="BH8" s="335">
        <f>2779.249-BG8-BF8</f>
        <v>906.15499999999975</v>
      </c>
      <c r="BI8" s="335">
        <f>3506.527-BH8-BG8-BF8</f>
        <v>727.27800000000025</v>
      </c>
      <c r="BJ8" s="335">
        <v>809.755</v>
      </c>
      <c r="BK8" s="335">
        <f>1607.72-BJ8</f>
        <v>797.96500000000003</v>
      </c>
      <c r="BL8" s="335">
        <f>2424.65-BK8-BJ8</f>
        <v>816.93</v>
      </c>
      <c r="BM8" s="335">
        <f>3350.995-SUM(BJ8:BL8)</f>
        <v>926.3449999999998</v>
      </c>
      <c r="BN8" s="335">
        <v>975.60400000000004</v>
      </c>
      <c r="BO8" s="335">
        <f>2027.646-BN8</f>
        <v>1052.0419999999999</v>
      </c>
      <c r="BP8" s="335">
        <f>3018.363-SUM(BN8:BO8)</f>
        <v>990.71699999999987</v>
      </c>
      <c r="BQ8" s="609">
        <f>3913.604-SUM(BN8:BP8)</f>
        <v>895.24099999999999</v>
      </c>
      <c r="BR8" s="335">
        <v>1009.179</v>
      </c>
      <c r="BS8" s="335">
        <f>2049.347-BR8</f>
        <v>1040.1680000000001</v>
      </c>
    </row>
    <row r="9" spans="1:77">
      <c r="A9" s="36" t="s">
        <v>1254</v>
      </c>
      <c r="B9" s="335">
        <v>0</v>
      </c>
      <c r="C9" s="335">
        <v>0</v>
      </c>
      <c r="D9" s="335">
        <v>0</v>
      </c>
      <c r="E9" s="335">
        <v>0</v>
      </c>
      <c r="F9" s="335">
        <v>0</v>
      </c>
      <c r="G9" s="335">
        <v>0</v>
      </c>
      <c r="H9" s="335">
        <v>0</v>
      </c>
      <c r="I9" s="335">
        <v>0</v>
      </c>
      <c r="J9" s="335">
        <v>0</v>
      </c>
      <c r="K9" s="335">
        <v>0</v>
      </c>
      <c r="L9" s="335">
        <v>0</v>
      </c>
      <c r="M9" s="335">
        <v>0</v>
      </c>
      <c r="N9" s="335">
        <v>0</v>
      </c>
      <c r="O9" s="335">
        <v>0</v>
      </c>
      <c r="P9" s="335">
        <v>0</v>
      </c>
      <c r="Q9" s="335">
        <v>0</v>
      </c>
      <c r="R9" s="335">
        <v>0</v>
      </c>
      <c r="S9" s="335">
        <v>0</v>
      </c>
      <c r="T9" s="335">
        <v>0</v>
      </c>
      <c r="U9" s="335">
        <v>0</v>
      </c>
      <c r="V9" s="335">
        <v>0</v>
      </c>
      <c r="W9" s="335">
        <v>0</v>
      </c>
      <c r="X9" s="335">
        <v>0</v>
      </c>
      <c r="Y9" s="335">
        <v>0</v>
      </c>
      <c r="Z9" s="335">
        <v>0</v>
      </c>
      <c r="AA9" s="335">
        <v>0</v>
      </c>
      <c r="AB9" s="335">
        <v>0</v>
      </c>
      <c r="AC9" s="335">
        <v>0</v>
      </c>
      <c r="AD9" s="335">
        <v>0</v>
      </c>
      <c r="AE9" s="335">
        <v>0</v>
      </c>
      <c r="AF9" s="335">
        <v>0</v>
      </c>
      <c r="AG9" s="335">
        <v>0</v>
      </c>
      <c r="AH9" s="335">
        <v>0</v>
      </c>
      <c r="AI9" s="335">
        <v>0</v>
      </c>
      <c r="AJ9" s="335">
        <v>0</v>
      </c>
      <c r="AK9" s="335">
        <v>0</v>
      </c>
      <c r="AL9" s="335">
        <v>0</v>
      </c>
      <c r="AM9" s="335">
        <v>0</v>
      </c>
      <c r="AN9" s="335">
        <v>0</v>
      </c>
      <c r="AO9" s="335">
        <v>0</v>
      </c>
      <c r="AP9" s="335">
        <v>0</v>
      </c>
      <c r="AQ9" s="335">
        <v>0</v>
      </c>
      <c r="AR9" s="335">
        <v>0</v>
      </c>
      <c r="AS9" s="335">
        <v>0</v>
      </c>
      <c r="AT9" s="335">
        <v>0</v>
      </c>
      <c r="AU9" s="335">
        <v>0</v>
      </c>
      <c r="AV9" s="335">
        <v>0</v>
      </c>
      <c r="AW9" s="335">
        <v>0</v>
      </c>
      <c r="AX9" s="335">
        <v>60.994</v>
      </c>
      <c r="AY9" s="335">
        <f>1819.801-AX9</f>
        <v>1758.807</v>
      </c>
      <c r="AZ9" s="335">
        <f>0-AY9-AX9</f>
        <v>-1819.8009999999999</v>
      </c>
      <c r="BA9" s="335">
        <v>0</v>
      </c>
      <c r="BB9" s="335">
        <v>219.03899999999999</v>
      </c>
      <c r="BC9" s="335">
        <f>1949.816-BB9</f>
        <v>1730.777</v>
      </c>
      <c r="BD9" s="335">
        <f>2954.087-BC9-BB9</f>
        <v>1004.271</v>
      </c>
      <c r="BE9" s="335">
        <f>4081.826-BD9-BC9-BB9</f>
        <v>1127.7390000000003</v>
      </c>
      <c r="BF9" s="335">
        <v>1081.7349999999999</v>
      </c>
      <c r="BG9" s="335">
        <f>349.539-BF9</f>
        <v>-732.19599999999991</v>
      </c>
      <c r="BH9" s="335">
        <f>3134.316-BG9-BF9</f>
        <v>2784.777</v>
      </c>
      <c r="BI9" s="335">
        <f>4671.802-BH9-BG9-BF9</f>
        <v>1537.4859999999996</v>
      </c>
      <c r="BJ9" s="335">
        <v>1212.691</v>
      </c>
      <c r="BK9" s="335">
        <f>2362.637-BJ9</f>
        <v>1149.9460000000001</v>
      </c>
      <c r="BL9" s="435">
        <f>3478.645-BK9-BJ9</f>
        <v>1116.0079999999996</v>
      </c>
      <c r="BM9" s="435">
        <f>4357.302-SUM(BJ9:BL9)</f>
        <v>878.65700000000015</v>
      </c>
      <c r="BN9" s="435">
        <v>1072.2629999999999</v>
      </c>
      <c r="BO9" s="435">
        <f>2114.905-BN9</f>
        <v>1042.6420000000003</v>
      </c>
      <c r="BP9" s="435">
        <f>3124.506-SUM(BN9:BO9)</f>
        <v>1009.6009999999997</v>
      </c>
      <c r="BQ9" s="608">
        <f>4146.425-SUM(BN9:BP9)</f>
        <v>1021.9190000000003</v>
      </c>
      <c r="BR9" s="435">
        <v>943.62400000000002</v>
      </c>
      <c r="BS9" s="435">
        <f>1953.602-BR9</f>
        <v>1009.9780000000001</v>
      </c>
    </row>
    <row r="10" spans="1:77">
      <c r="A10" s="36" t="s">
        <v>713</v>
      </c>
      <c r="B10" s="335">
        <v>0</v>
      </c>
      <c r="C10" s="335">
        <v>0</v>
      </c>
      <c r="D10" s="335">
        <v>39.055999999999997</v>
      </c>
      <c r="E10" s="335">
        <v>40.694000000000003</v>
      </c>
      <c r="F10" s="335">
        <v>11.542999999999999</v>
      </c>
      <c r="G10" s="335">
        <v>0</v>
      </c>
      <c r="H10" s="335">
        <v>0</v>
      </c>
      <c r="I10" s="335">
        <v>79.143000000000001</v>
      </c>
      <c r="J10" s="335">
        <v>14.128</v>
      </c>
      <c r="K10" s="335">
        <f>29.864</f>
        <v>29.864000000000001</v>
      </c>
      <c r="L10" s="335">
        <f>46.713-K10-J10</f>
        <v>2.7210000000000001</v>
      </c>
      <c r="M10" s="335">
        <f>28.74-L10-K10-J10</f>
        <v>-17.973000000000003</v>
      </c>
      <c r="N10" s="335">
        <v>7.734</v>
      </c>
      <c r="O10" s="335">
        <f>11.59-N10</f>
        <v>3.8559999999999999</v>
      </c>
      <c r="P10" s="335">
        <f>19.83-O10-N10</f>
        <v>8.2399999999999984</v>
      </c>
      <c r="Q10" s="335">
        <f>32.008-P10-O10-N10</f>
        <v>12.178000000000006</v>
      </c>
      <c r="R10" s="335">
        <v>7.9020000000000001</v>
      </c>
      <c r="S10" s="335">
        <f>12.831-R10</f>
        <v>4.9289999999999994</v>
      </c>
      <c r="T10" s="335">
        <f>19.347-S10-R10</f>
        <v>6.5160000000000027</v>
      </c>
      <c r="U10" s="335">
        <f>34.099-T10-S10-R10</f>
        <v>14.751999999999995</v>
      </c>
      <c r="V10" s="335">
        <v>7.2590000000000003</v>
      </c>
      <c r="W10" s="335">
        <f>32.835-V10</f>
        <v>25.576000000000001</v>
      </c>
      <c r="X10" s="335">
        <f>51.954-W10-V10</f>
        <v>19.119</v>
      </c>
      <c r="Y10" s="335">
        <f>64.2-X10-W10-V10</f>
        <v>12.246000000000002</v>
      </c>
      <c r="Z10" s="335">
        <v>3.5259999999999998</v>
      </c>
      <c r="AA10" s="335">
        <f>6.735-Z10</f>
        <v>3.2090000000000005</v>
      </c>
      <c r="AB10" s="335">
        <f>14.661-AA10-Z10</f>
        <v>7.9259999999999984</v>
      </c>
      <c r="AC10" s="335">
        <f>24.386-AB10-AA10-Z10</f>
        <v>9.7250000000000014</v>
      </c>
      <c r="AD10" s="335">
        <v>7.0289999999999999</v>
      </c>
      <c r="AE10" s="335">
        <f>15.668-AD10</f>
        <v>8.6389999999999993</v>
      </c>
      <c r="AF10" s="335">
        <f>40.723-AE10-AD10</f>
        <v>25.055000000000003</v>
      </c>
      <c r="AG10" s="335">
        <f>81.234-AF10-AE10-AD10</f>
        <v>40.510999999999996</v>
      </c>
      <c r="AH10" s="335">
        <v>57.774999999999999</v>
      </c>
      <c r="AI10" s="335">
        <f>87.225-AH10</f>
        <v>29.449999999999996</v>
      </c>
      <c r="AJ10" s="335">
        <f>100.844-AI10-AH10</f>
        <v>13.619000000000007</v>
      </c>
      <c r="AK10" s="335">
        <f>162.734-AJ10-AI10-AH10</f>
        <v>61.890000000000022</v>
      </c>
      <c r="AL10" s="335">
        <v>30.2</v>
      </c>
      <c r="AM10" s="335">
        <f>46.676-AL10</f>
        <v>16.476000000000003</v>
      </c>
      <c r="AN10" s="335">
        <f>71.114-AM10-AL10</f>
        <v>24.438000000000006</v>
      </c>
      <c r="AO10" s="335">
        <f>95.502-AN10-AM10-AL10</f>
        <v>24.387999999999995</v>
      </c>
      <c r="AP10" s="335">
        <v>50.896999999999998</v>
      </c>
      <c r="AQ10" s="335">
        <f>58.719-AP10</f>
        <v>7.8220000000000027</v>
      </c>
      <c r="AR10" s="335">
        <f>91.063-AQ10-AP10</f>
        <v>32.344000000000001</v>
      </c>
      <c r="AS10" s="335">
        <f>154.113-AR10-AQ10-AP10</f>
        <v>63.050000000000004</v>
      </c>
      <c r="AT10" s="335">
        <v>28.474</v>
      </c>
      <c r="AU10" s="335">
        <f>351.339-AT10</f>
        <v>322.86500000000001</v>
      </c>
      <c r="AV10" s="335">
        <f>639.998-SUM(AT10:AU10)</f>
        <v>288.65900000000005</v>
      </c>
      <c r="AW10" s="335">
        <f>1599.922-SUM(AT10:AV10)</f>
        <v>959.92399999999998</v>
      </c>
      <c r="AX10" s="335">
        <v>932.37699999999995</v>
      </c>
      <c r="AY10" s="335">
        <f>95.267-AX10</f>
        <v>-837.1099999999999</v>
      </c>
      <c r="AZ10" s="335">
        <f>179.456-AX10-AY10</f>
        <v>84.188999999999965</v>
      </c>
      <c r="BA10" s="335">
        <f>1279.978-SUM(AX10:AZ10)</f>
        <v>1100.5219999999999</v>
      </c>
      <c r="BB10" s="335">
        <v>998.07</v>
      </c>
      <c r="BC10" s="335">
        <f>203.569-BB10</f>
        <v>-794.50100000000009</v>
      </c>
      <c r="BD10" s="335">
        <f>373.303-BC10-BB10</f>
        <v>169.73400000000004</v>
      </c>
      <c r="BE10" s="335">
        <f>967.592-BD10-BC10-BB10</f>
        <v>594.28899999999987</v>
      </c>
      <c r="BF10" s="335">
        <v>312.51600000000002</v>
      </c>
      <c r="BG10" s="335">
        <f>2122.52-BF10</f>
        <v>1810.0039999999999</v>
      </c>
      <c r="BH10" s="335">
        <f>733.036-BG10-BF10</f>
        <v>-1389.4839999999999</v>
      </c>
      <c r="BI10" s="335">
        <f>1010.389-BH10-BG10-BF10</f>
        <v>277.35300000000012</v>
      </c>
      <c r="BJ10" s="335">
        <v>-141.36500000000001</v>
      </c>
      <c r="BK10" s="335">
        <f>35.134-BJ10</f>
        <v>176.49900000000002</v>
      </c>
      <c r="BL10" s="335">
        <f>-144.434-BK10-BJ10</f>
        <v>-179.56799999999998</v>
      </c>
      <c r="BM10" s="335">
        <f>578.212-SUM(BJ10:BL10)</f>
        <v>722.64599999999996</v>
      </c>
      <c r="BN10" s="335">
        <v>29.18</v>
      </c>
      <c r="BO10" s="335">
        <f>147.516-BN10</f>
        <v>118.33599999999998</v>
      </c>
      <c r="BP10" s="335">
        <f>242.833-SUM(BN10:BO10)</f>
        <v>95.317000000000007</v>
      </c>
      <c r="BQ10" s="609">
        <f>501.626-SUM(BN10:BP10)</f>
        <v>258.79300000000001</v>
      </c>
      <c r="BR10" s="335">
        <v>-48.204000000000001</v>
      </c>
      <c r="BS10" s="335">
        <f>12.081-BR10</f>
        <v>60.284999999999997</v>
      </c>
    </row>
    <row r="11" spans="1:77">
      <c r="A11" s="36" t="s">
        <v>714</v>
      </c>
      <c r="B11" s="335">
        <f>5.113-4.202+0.232+2</f>
        <v>3.1430000000000007</v>
      </c>
      <c r="C11" s="335">
        <f>6.572+0.376+-3.501+7.405</f>
        <v>10.852</v>
      </c>
      <c r="D11" s="335">
        <f>-9.898+39.224</f>
        <v>29.325999999999997</v>
      </c>
      <c r="E11" s="335">
        <f>-1.47-30.717</f>
        <v>-32.186999999999998</v>
      </c>
      <c r="F11" s="335">
        <f>-0.798-59.837</f>
        <v>-60.635000000000005</v>
      </c>
      <c r="G11" s="335">
        <f>-134.928+4.833</f>
        <v>-130.095</v>
      </c>
      <c r="H11" s="335">
        <f>2.653+6.953-119.018</f>
        <v>-109.41200000000001</v>
      </c>
      <c r="I11" s="335">
        <f>5.535+8.634+2.027+124.078</f>
        <v>140.274</v>
      </c>
      <c r="J11" s="335">
        <v>-5.5350000000000001</v>
      </c>
      <c r="K11" s="335">
        <f>-3.444</f>
        <v>-3.444</v>
      </c>
      <c r="L11" s="335">
        <f>5.122-K11-J11</f>
        <v>14.100999999999999</v>
      </c>
      <c r="M11" s="335">
        <f>30-5.535-L11-K11-J11</f>
        <v>19.343</v>
      </c>
      <c r="N11" s="335">
        <v>-10.462999999999999</v>
      </c>
      <c r="O11" s="335">
        <f>3.013-N11</f>
        <v>13.475999999999999</v>
      </c>
      <c r="P11" s="335">
        <f>-1.14-O11-N11</f>
        <v>-4.1530000000000005</v>
      </c>
      <c r="Q11" s="335">
        <f>-22.987-P11-O11-N11</f>
        <v>-21.846999999999994</v>
      </c>
      <c r="R11" s="335">
        <v>-2.2869999999999999</v>
      </c>
      <c r="S11" s="335">
        <f>-0.29-R11</f>
        <v>1.9969999999999999</v>
      </c>
      <c r="T11" s="335">
        <f>9.288-S11-R11</f>
        <v>9.5779999999999994</v>
      </c>
      <c r="U11" s="335">
        <f>-8.075-T11-S11-R11</f>
        <v>-17.363</v>
      </c>
      <c r="V11" s="335">
        <v>-12.427</v>
      </c>
      <c r="W11" s="335">
        <f>-10.803-V11</f>
        <v>1.6239999999999988</v>
      </c>
      <c r="X11" s="335">
        <f>-13.577-W11-V11</f>
        <v>-2.7739999999999991</v>
      </c>
      <c r="Y11" s="335">
        <f>-12.978-X11-W11-V11</f>
        <v>0.5990000000000002</v>
      </c>
      <c r="Z11" s="335">
        <v>-3.1480000000000001</v>
      </c>
      <c r="AA11" s="335">
        <f>-4.313-Z11</f>
        <v>-1.1649999999999996</v>
      </c>
      <c r="AB11" s="335">
        <f>-3.191-AA11-Z11</f>
        <v>1.1219999999999999</v>
      </c>
      <c r="AC11" s="335">
        <f>-43.582-AB11-AA11-Z11</f>
        <v>-40.390999999999998</v>
      </c>
      <c r="AD11" s="335">
        <v>-5.7220000000000004</v>
      </c>
      <c r="AE11" s="335">
        <f>-8.655-AD11</f>
        <v>-2.9329999999999989</v>
      </c>
      <c r="AF11" s="335">
        <f>-11.546-AE11-AD11</f>
        <v>-2.8909999999999991</v>
      </c>
      <c r="AG11" s="335">
        <f>-15.402-36.294-AF11-AE11-AD11</f>
        <v>-40.15</v>
      </c>
      <c r="AH11" s="335">
        <v>-187.57</v>
      </c>
      <c r="AI11" s="335">
        <f>-30.047-AH11</f>
        <v>157.523</v>
      </c>
      <c r="AJ11" s="335">
        <f>81.246-AI11-AH11</f>
        <v>111.29299999999999</v>
      </c>
      <c r="AK11" s="335">
        <f>76.572-AJ11-AI11-AH11</f>
        <v>-4.6739999999999782</v>
      </c>
      <c r="AL11" s="335">
        <v>146.50299999999999</v>
      </c>
      <c r="AM11" s="335">
        <f>289.535-AL11</f>
        <v>143.03200000000004</v>
      </c>
      <c r="AN11" s="335">
        <f>363.301-AM11-AL11</f>
        <v>73.765999999999963</v>
      </c>
      <c r="AO11" s="335">
        <f>339.891-AN11-AM11-AL11</f>
        <v>-23.409999999999968</v>
      </c>
      <c r="AP11" s="335">
        <v>-227.73</v>
      </c>
      <c r="AQ11" s="335">
        <f>-136.918-AP11</f>
        <v>90.811999999999983</v>
      </c>
      <c r="AR11" s="335">
        <f>-130.281-AQ11-AP11</f>
        <v>6.6370000000000005</v>
      </c>
      <c r="AS11" s="335">
        <f>-513.412-AR11-AQ11-AP11</f>
        <v>-383.13099999999997</v>
      </c>
      <c r="AT11" s="335">
        <v>-120.28400000000001</v>
      </c>
      <c r="AU11" s="335">
        <f>-37.551-AT11</f>
        <v>82.733000000000004</v>
      </c>
      <c r="AV11" s="335">
        <f>-220.056-SUM(AT11:AU11)</f>
        <v>-182.505</v>
      </c>
      <c r="AW11" s="335">
        <f>-774.058-SUM(AT11:AV11)</f>
        <v>-554.00199999999995</v>
      </c>
      <c r="AX11" s="335">
        <f>-86.613</f>
        <v>-86.613</v>
      </c>
      <c r="AY11" s="335">
        <f>-88.543-AX11</f>
        <v>-1.9300000000000068</v>
      </c>
      <c r="AZ11" s="335">
        <f>-128.041-AX11-AY11</f>
        <v>-39.49799999999999</v>
      </c>
      <c r="BA11" s="335">
        <f>-201.142-SUM(AX11:AZ11)</f>
        <v>-73.100999999999999</v>
      </c>
      <c r="BB11" s="335">
        <v>563.66700000000003</v>
      </c>
      <c r="BC11" s="335">
        <f>577.891-BB11</f>
        <v>14.223999999999933</v>
      </c>
      <c r="BD11" s="335">
        <f>575.751-BC11-BB11</f>
        <v>-2.1399999999999864</v>
      </c>
      <c r="BE11" s="335">
        <f>399.19-BD11-BC11-BB11</f>
        <v>-176.56099999999998</v>
      </c>
      <c r="BF11" s="335">
        <v>-39.755000000000003</v>
      </c>
      <c r="BG11" s="335">
        <f>-89.624-BF11</f>
        <v>-49.868999999999993</v>
      </c>
      <c r="BH11" s="335">
        <f>-19.096-BG11-BF11</f>
        <v>70.527999999999992</v>
      </c>
      <c r="BI11" s="335">
        <f>-240.102-BH11-BG11-BF11</f>
        <v>-221.00600000000003</v>
      </c>
      <c r="BJ11" s="335">
        <v>0</v>
      </c>
      <c r="BK11" s="335">
        <f>-188.972-BJ11</f>
        <v>-188.97200000000001</v>
      </c>
      <c r="BL11" s="335">
        <f>0-BK11-BJ11</f>
        <v>188.97200000000001</v>
      </c>
      <c r="BM11" s="335">
        <f>0.233-SUM(BJ11:BL11)</f>
        <v>0.23300000000000001</v>
      </c>
      <c r="BN11" s="335">
        <v>0</v>
      </c>
      <c r="BO11" s="335">
        <v>0</v>
      </c>
      <c r="BP11" s="335">
        <v>0</v>
      </c>
      <c r="BQ11" s="609">
        <v>0</v>
      </c>
      <c r="BR11" s="335">
        <v>0</v>
      </c>
      <c r="BS11" s="335">
        <v>0</v>
      </c>
    </row>
    <row r="12" spans="1:77">
      <c r="A12" s="13" t="s">
        <v>129</v>
      </c>
      <c r="B12" s="170">
        <f t="shared" ref="B12:H12" si="5">B5+B6</f>
        <v>142.07</v>
      </c>
      <c r="C12" s="170">
        <f t="shared" si="5"/>
        <v>263.83100000000002</v>
      </c>
      <c r="D12" s="170">
        <f t="shared" si="5"/>
        <v>353.00600000000003</v>
      </c>
      <c r="E12" s="170">
        <f t="shared" si="5"/>
        <v>365.64099999999996</v>
      </c>
      <c r="F12" s="170">
        <f t="shared" si="5"/>
        <v>436.72200000000004</v>
      </c>
      <c r="G12" s="170">
        <f t="shared" si="5"/>
        <v>669.89199999999994</v>
      </c>
      <c r="H12" s="170">
        <f t="shared" si="5"/>
        <v>816.98199999999997</v>
      </c>
      <c r="I12" s="170">
        <f t="shared" ref="I12:AJ12" si="6">I5+I6</f>
        <v>1019.994</v>
      </c>
      <c r="J12" s="170">
        <f t="shared" si="6"/>
        <v>148.86300000000003</v>
      </c>
      <c r="K12" s="170">
        <f t="shared" si="6"/>
        <v>309.87399999999997</v>
      </c>
      <c r="L12" s="170">
        <f t="shared" si="6"/>
        <v>118.69999999999996</v>
      </c>
      <c r="M12" s="170">
        <f t="shared" si="6"/>
        <v>324.87700000000007</v>
      </c>
      <c r="N12" s="170">
        <f t="shared" si="6"/>
        <v>170.62900000000002</v>
      </c>
      <c r="O12" s="170">
        <f t="shared" si="6"/>
        <v>328.62199999999996</v>
      </c>
      <c r="P12" s="170">
        <f t="shared" si="6"/>
        <v>214.90100000000004</v>
      </c>
      <c r="Q12" s="170">
        <f t="shared" si="6"/>
        <v>256.61800000000005</v>
      </c>
      <c r="R12" s="170">
        <f t="shared" si="6"/>
        <v>206.67899999999997</v>
      </c>
      <c r="S12" s="170">
        <f t="shared" si="6"/>
        <v>290.65499999999997</v>
      </c>
      <c r="T12" s="170">
        <f t="shared" si="6"/>
        <v>320.23400000000004</v>
      </c>
      <c r="U12" s="170">
        <f t="shared" si="6"/>
        <v>266.54199999999992</v>
      </c>
      <c r="V12" s="170">
        <f t="shared" si="6"/>
        <v>228.30300000000003</v>
      </c>
      <c r="W12" s="170">
        <f t="shared" si="6"/>
        <v>425.935</v>
      </c>
      <c r="X12" s="170">
        <f t="shared" si="6"/>
        <v>376.60400000000004</v>
      </c>
      <c r="Y12" s="170">
        <f t="shared" si="6"/>
        <v>452.62300000000005</v>
      </c>
      <c r="Z12" s="170">
        <f t="shared" si="6"/>
        <v>321.017</v>
      </c>
      <c r="AA12" s="170">
        <f t="shared" si="6"/>
        <v>462.24599999999998</v>
      </c>
      <c r="AB12" s="170">
        <f t="shared" si="6"/>
        <v>516.2940000000001</v>
      </c>
      <c r="AC12" s="170">
        <f t="shared" si="6"/>
        <v>552.55499999999995</v>
      </c>
      <c r="AD12" s="170">
        <f t="shared" si="6"/>
        <v>343.2</v>
      </c>
      <c r="AE12" s="170">
        <f t="shared" si="6"/>
        <v>458.18799999999999</v>
      </c>
      <c r="AF12" s="170">
        <f t="shared" si="6"/>
        <v>639.36200000000008</v>
      </c>
      <c r="AG12" s="170">
        <f t="shared" si="6"/>
        <v>929.41599999999994</v>
      </c>
      <c r="AH12" s="170">
        <f t="shared" si="6"/>
        <v>710.01400000000001</v>
      </c>
      <c r="AI12" s="170">
        <f t="shared" si="6"/>
        <v>866.52099999999996</v>
      </c>
      <c r="AJ12" s="170">
        <f t="shared" si="6"/>
        <v>876.2180000000003</v>
      </c>
      <c r="AK12" s="170">
        <f>AK5+AK6</f>
        <v>1257.1199999999999</v>
      </c>
      <c r="AL12" s="170">
        <f>AL5+AL6</f>
        <v>827.56200000000013</v>
      </c>
      <c r="AM12" s="170">
        <f t="shared" ref="AM12:AV12" si="7">AM5+AM6</f>
        <v>1138.463</v>
      </c>
      <c r="AN12" s="170">
        <f t="shared" si="7"/>
        <v>1178.8600000000001</v>
      </c>
      <c r="AO12" s="170">
        <f t="shared" si="7"/>
        <v>1334.4650000000001</v>
      </c>
      <c r="AP12" s="170">
        <f t="shared" si="7"/>
        <v>846.93200000000002</v>
      </c>
      <c r="AQ12" s="170">
        <f t="shared" si="7"/>
        <v>930.74300000000005</v>
      </c>
      <c r="AR12" s="170">
        <f t="shared" si="7"/>
        <v>1082.1370000000002</v>
      </c>
      <c r="AS12" s="170">
        <f t="shared" si="7"/>
        <v>1620.143</v>
      </c>
      <c r="AT12" s="170">
        <f t="shared" si="7"/>
        <v>1072.145</v>
      </c>
      <c r="AU12" s="170">
        <f t="shared" si="7"/>
        <v>1653.991</v>
      </c>
      <c r="AV12" s="170">
        <f t="shared" si="7"/>
        <v>1319.5060000000003</v>
      </c>
      <c r="AW12" s="170">
        <f t="shared" ref="AW12:BK12" si="8">AW5+AW6</f>
        <v>1725.644</v>
      </c>
      <c r="AX12" s="1281">
        <f t="shared" si="8"/>
        <v>2099.9580000000001</v>
      </c>
      <c r="AY12" s="1281">
        <f t="shared" si="8"/>
        <v>2209.3890000000001</v>
      </c>
      <c r="AZ12" s="1281">
        <f t="shared" si="8"/>
        <v>-367.73599999999976</v>
      </c>
      <c r="BA12" s="170">
        <f t="shared" si="8"/>
        <v>2934.3289999999997</v>
      </c>
      <c r="BB12" s="1281">
        <f t="shared" si="8"/>
        <v>2422.364</v>
      </c>
      <c r="BC12" s="1281">
        <f t="shared" si="8"/>
        <v>-1260.9000000000001</v>
      </c>
      <c r="BD12" s="1281">
        <f t="shared" si="8"/>
        <v>1311.6599999999999</v>
      </c>
      <c r="BE12" s="1281">
        <f t="shared" si="8"/>
        <v>2304.2999999999997</v>
      </c>
      <c r="BF12" s="1281">
        <f t="shared" si="8"/>
        <v>1659.2589999999998</v>
      </c>
      <c r="BG12" s="1281">
        <f t="shared" si="8"/>
        <v>2047.1100000000001</v>
      </c>
      <c r="BH12" s="1281">
        <f t="shared" si="8"/>
        <v>2758.9109999999996</v>
      </c>
      <c r="BI12" s="1281">
        <f t="shared" si="8"/>
        <v>3482.7510000000002</v>
      </c>
      <c r="BJ12" s="1281">
        <f t="shared" si="8"/>
        <v>2601.13</v>
      </c>
      <c r="BK12" s="1281">
        <f t="shared" si="8"/>
        <v>2277.5949999999998</v>
      </c>
      <c r="BL12" s="1281">
        <f t="shared" ref="BL12:BR12" si="9">BL5+BL6</f>
        <v>2411.96</v>
      </c>
      <c r="BM12" s="1281">
        <f t="shared" si="9"/>
        <v>3523.873</v>
      </c>
      <c r="BN12" s="1281">
        <f t="shared" si="9"/>
        <v>3030.989</v>
      </c>
      <c r="BO12" s="1281">
        <f t="shared" si="9"/>
        <v>2909.23</v>
      </c>
      <c r="BP12" s="1281">
        <f t="shared" si="9"/>
        <v>3026.7489999999993</v>
      </c>
      <c r="BQ12" s="1944">
        <f t="shared" si="9"/>
        <v>3991.6110000000003</v>
      </c>
      <c r="BR12" s="1281">
        <f t="shared" si="9"/>
        <v>2512.4960000000001</v>
      </c>
      <c r="BS12" s="1281">
        <f t="shared" ref="BS12" si="10">BS5+BS6</f>
        <v>2314.6880000000001</v>
      </c>
    </row>
    <row r="13" spans="1:77">
      <c r="A13" s="36" t="s">
        <v>671</v>
      </c>
      <c r="B13" s="335">
        <v>79.549000000000007</v>
      </c>
      <c r="C13" s="335">
        <f>25.906</f>
        <v>25.905999999999999</v>
      </c>
      <c r="D13" s="335">
        <v>-10.849</v>
      </c>
      <c r="E13" s="335">
        <v>4.17</v>
      </c>
      <c r="F13" s="335">
        <v>-65.305999999999997</v>
      </c>
      <c r="G13" s="335">
        <v>93.605000000000004</v>
      </c>
      <c r="H13" s="335">
        <v>-116.39700000000001</v>
      </c>
      <c r="I13" s="335">
        <v>77.563999999999993</v>
      </c>
      <c r="J13" s="335">
        <v>137.88499999999999</v>
      </c>
      <c r="K13" s="335">
        <f>12.8</f>
        <v>12.8</v>
      </c>
      <c r="L13" s="335">
        <f>20.462-K13-J13</f>
        <v>-130.22299999999998</v>
      </c>
      <c r="M13" s="335">
        <f>-24.929-L13-K13-J13</f>
        <v>-45.391000000000005</v>
      </c>
      <c r="N13" s="335">
        <v>5.9039999999999999</v>
      </c>
      <c r="O13" s="335">
        <f>23.364-N13</f>
        <v>17.46</v>
      </c>
      <c r="P13" s="335">
        <f>13.656-O13-N13</f>
        <v>-9.7080000000000002</v>
      </c>
      <c r="Q13" s="335">
        <f>-43.782-P13-O13-N13</f>
        <v>-57.438000000000002</v>
      </c>
      <c r="R13" s="335">
        <v>4.032</v>
      </c>
      <c r="S13" s="335">
        <f>-9.224-R13</f>
        <v>-13.256</v>
      </c>
      <c r="T13" s="335">
        <f>-7.215-S13-R13</f>
        <v>2.0090000000000003</v>
      </c>
      <c r="U13" s="335">
        <f>-12.126-T13-S13-R13</f>
        <v>-4.9109999999999996</v>
      </c>
      <c r="V13" s="335">
        <v>-8.0939999999999994</v>
      </c>
      <c r="W13" s="335">
        <f>18.717-V13</f>
        <v>26.811</v>
      </c>
      <c r="X13" s="335">
        <f>-5.018-W13-V13</f>
        <v>-23.734999999999999</v>
      </c>
      <c r="Y13" s="335">
        <f>-91.106-X13-W13-V13</f>
        <v>-86.087999999999994</v>
      </c>
      <c r="Z13" s="335">
        <v>14.467000000000001</v>
      </c>
      <c r="AA13" s="335">
        <f>-5.892-Z13</f>
        <v>-20.359000000000002</v>
      </c>
      <c r="AB13" s="335">
        <f>-14.271-AA13-Z13</f>
        <v>-8.3789999999999996</v>
      </c>
      <c r="AC13" s="335">
        <f>2.019-AB13-AA13-Z13</f>
        <v>16.29</v>
      </c>
      <c r="AD13" s="335">
        <v>-3.7120000000000002</v>
      </c>
      <c r="AE13" s="335">
        <f>-0.63-AD13</f>
        <v>3.0820000000000003</v>
      </c>
      <c r="AF13" s="335">
        <f>-110.267-AE13-AD13</f>
        <v>-109.63699999999999</v>
      </c>
      <c r="AG13" s="335">
        <f>-188.43-AF13-AE13-AD13</f>
        <v>-78.163000000000011</v>
      </c>
      <c r="AH13" s="335">
        <v>49.707000000000001</v>
      </c>
      <c r="AI13" s="335">
        <f>187.893-AH13</f>
        <v>138.18600000000001</v>
      </c>
      <c r="AJ13" s="335">
        <f>167.31-AI13-AH13</f>
        <v>-20.583000000000006</v>
      </c>
      <c r="AK13" s="335">
        <f>18.847-AJ13-AI13-AH13</f>
        <v>-148.46299999999999</v>
      </c>
      <c r="AL13" s="335">
        <v>2.5830000000000002</v>
      </c>
      <c r="AM13" s="335">
        <f>73.466-AL13</f>
        <v>70.882999999999996</v>
      </c>
      <c r="AN13" s="335">
        <f>36.027-AM13-AL13</f>
        <v>-37.438999999999993</v>
      </c>
      <c r="AO13" s="335">
        <f>-36.57-AN13-AM13-AL13</f>
        <v>-72.597000000000008</v>
      </c>
      <c r="AP13" s="335">
        <v>75.706000000000003</v>
      </c>
      <c r="AQ13" s="335">
        <f>41.762-AP13</f>
        <v>-33.944000000000003</v>
      </c>
      <c r="AR13" s="335">
        <f>-2.447-AQ13-AP13</f>
        <v>-44.209000000000003</v>
      </c>
      <c r="AS13" s="335">
        <f>-195.565-AR13-AQ13-AP13</f>
        <v>-193.11799999999999</v>
      </c>
      <c r="AT13" s="335">
        <v>248.47800000000001</v>
      </c>
      <c r="AU13" s="335">
        <f>294.302-AT13</f>
        <v>45.824000000000012</v>
      </c>
      <c r="AV13" s="335">
        <f>238.473-SUM(AT13:AU13)</f>
        <v>-55.829000000000008</v>
      </c>
      <c r="AW13" s="335">
        <f>217.299-SUM(AT13:AV13)</f>
        <v>-21.174000000000007</v>
      </c>
      <c r="AX13" s="335">
        <v>63.707999999999998</v>
      </c>
      <c r="AY13" s="335">
        <f>-7.468-AX13</f>
        <v>-71.176000000000002</v>
      </c>
      <c r="AZ13" s="335">
        <f>-263.292-AX13-AY13</f>
        <v>-255.82400000000001</v>
      </c>
      <c r="BA13" s="335">
        <f>-147.567-SUM(AX13:AZ13)</f>
        <v>115.72500000000002</v>
      </c>
      <c r="BB13" s="335">
        <v>146.02799999999999</v>
      </c>
      <c r="BC13" s="335">
        <f>173.384-BB13</f>
        <v>27.355999999999995</v>
      </c>
      <c r="BD13" s="335">
        <f>86.654-BC13-BB13</f>
        <v>-86.72999999999999</v>
      </c>
      <c r="BE13" s="335">
        <f>-101.314-BD13-BC13-BB13</f>
        <v>-187.96799999999999</v>
      </c>
      <c r="BF13" s="335">
        <v>-21.495999999999999</v>
      </c>
      <c r="BG13" s="335">
        <f>-20.002-BF13</f>
        <v>1.4939999999999998</v>
      </c>
      <c r="BH13" s="335">
        <f>-183.272-BG13-BF13</f>
        <v>-163.26999999999998</v>
      </c>
      <c r="BI13" s="335">
        <f>-127.977-BH13-BG13-BF13</f>
        <v>55.294999999999973</v>
      </c>
      <c r="BJ13" s="335">
        <v>93.584000000000003</v>
      </c>
      <c r="BK13" s="335">
        <f>-130.899-BJ13</f>
        <v>-224.483</v>
      </c>
      <c r="BL13" s="335">
        <f>-154.036-BK13-BJ13</f>
        <v>-23.137</v>
      </c>
      <c r="BM13" s="335">
        <f>-342.058-SUM(BJ13:BL13)</f>
        <v>-188.02199999999999</v>
      </c>
      <c r="BN13" s="335">
        <v>-310.875</v>
      </c>
      <c r="BO13" s="335">
        <f>-71.696-BN13</f>
        <v>239.179</v>
      </c>
      <c r="BP13" s="335">
        <f>-149.539-SUM(BN13:BO13)</f>
        <v>-77.842999999999989</v>
      </c>
      <c r="BQ13" s="609">
        <f>-395.659-SUM(BN13:BP13)</f>
        <v>-246.12</v>
      </c>
      <c r="BR13" s="335">
        <v>42.518999999999998</v>
      </c>
      <c r="BS13" s="335">
        <f>166.96-BR13</f>
        <v>124.441</v>
      </c>
    </row>
    <row r="14" spans="1:77">
      <c r="A14" s="36" t="s">
        <v>673</v>
      </c>
      <c r="B14" s="335"/>
      <c r="C14" s="335">
        <v>16.463999999999999</v>
      </c>
      <c r="D14" s="335">
        <v>-39.871000000000002</v>
      </c>
      <c r="E14" s="335">
        <v>-56.162999999999997</v>
      </c>
      <c r="F14" s="335">
        <v>56.064</v>
      </c>
      <c r="G14" s="335">
        <v>-61.857999999999997</v>
      </c>
      <c r="H14" s="335">
        <v>-8.9429999999999996</v>
      </c>
      <c r="I14" s="335">
        <v>-123.803</v>
      </c>
      <c r="J14" s="335">
        <v>90.356999999999999</v>
      </c>
      <c r="K14" s="335">
        <f>61.251</f>
        <v>61.250999999999998</v>
      </c>
      <c r="L14" s="335">
        <f>55.649-K14-J14</f>
        <v>-95.959000000000003</v>
      </c>
      <c r="M14" s="335">
        <f>24.654-L14-K14-J14</f>
        <v>-30.994999999999997</v>
      </c>
      <c r="N14" s="335">
        <v>46.655000000000001</v>
      </c>
      <c r="O14" s="335">
        <f>42.954-N14</f>
        <v>-3.7010000000000005</v>
      </c>
      <c r="P14" s="335">
        <f>36.013-O14-N14</f>
        <v>-6.9410000000000025</v>
      </c>
      <c r="Q14" s="335">
        <f>-15.568-P14-O14-N14</f>
        <v>-51.580999999999996</v>
      </c>
      <c r="R14" s="335">
        <v>-3.69</v>
      </c>
      <c r="S14" s="335">
        <f>-38.836-R14</f>
        <v>-35.146000000000001</v>
      </c>
      <c r="T14" s="335">
        <f>-8.508-S14-R14</f>
        <v>30.328000000000003</v>
      </c>
      <c r="U14" s="335">
        <f>-50.805-T14-S14-R14</f>
        <v>-42.297000000000011</v>
      </c>
      <c r="V14" s="335">
        <v>11.371</v>
      </c>
      <c r="W14" s="335">
        <f>-70.292-V14</f>
        <v>-81.662999999999997</v>
      </c>
      <c r="X14" s="335">
        <f>-74.821-W14-V14</f>
        <v>-4.5290000000000017</v>
      </c>
      <c r="Y14" s="335">
        <f>-118.967-X14-W14-V14</f>
        <v>-44.146000000000008</v>
      </c>
      <c r="Z14" s="335">
        <v>119.68600000000001</v>
      </c>
      <c r="AA14" s="335">
        <f>91.617-Z14</f>
        <v>-28.069000000000003</v>
      </c>
      <c r="AB14" s="335">
        <f>25.364-AA14-Z14</f>
        <v>-66.253</v>
      </c>
      <c r="AC14" s="335">
        <f>-52.131-AB14-AA14-Z14</f>
        <v>-77.495000000000005</v>
      </c>
      <c r="AD14" s="335">
        <v>40.47</v>
      </c>
      <c r="AE14" s="335">
        <f>71.554-AD14</f>
        <v>31.084000000000003</v>
      </c>
      <c r="AF14" s="335">
        <f>-63.658-AE14-AD14</f>
        <v>-135.21199999999999</v>
      </c>
      <c r="AG14" s="335">
        <f>-159.47-AF14-AE14-AD14</f>
        <v>-95.812000000000012</v>
      </c>
      <c r="AH14" s="335">
        <v>-95.831000000000003</v>
      </c>
      <c r="AI14" s="335">
        <f>-301.192-AH14</f>
        <v>-205.36099999999999</v>
      </c>
      <c r="AJ14" s="335">
        <f>-301.414-AI14-AH14</f>
        <v>-0.2219999999999942</v>
      </c>
      <c r="AK14" s="335">
        <f>-352.815-AJ14-AI14-AH14</f>
        <v>-51.401000000000025</v>
      </c>
      <c r="AL14" s="335">
        <v>-27.131</v>
      </c>
      <c r="AM14" s="335">
        <f>-41.156-AL14</f>
        <v>-14.024999999999999</v>
      </c>
      <c r="AN14" s="335">
        <f>-106.748-AM14-AL14</f>
        <v>-65.592000000000013</v>
      </c>
      <c r="AO14" s="335">
        <f>-151.658-AN14-AM14-AL14</f>
        <v>-44.909999999999968</v>
      </c>
      <c r="AP14" s="335">
        <v>-13.706</v>
      </c>
      <c r="AQ14" s="335">
        <f>-202.439-AP14</f>
        <v>-188.733</v>
      </c>
      <c r="AR14" s="335">
        <f>-345.324-AQ14-AP14</f>
        <v>-142.88500000000002</v>
      </c>
      <c r="AS14" s="335">
        <f>-417.686-AR14-AQ14-AP14</f>
        <v>-72.361999999999924</v>
      </c>
      <c r="AT14" s="335">
        <v>79.122</v>
      </c>
      <c r="AU14" s="335">
        <f>-222.529-AT14</f>
        <v>-301.65100000000001</v>
      </c>
      <c r="AV14" s="335">
        <f>38.989-SUM(AT14:AU14)</f>
        <v>261.51799999999997</v>
      </c>
      <c r="AW14" s="335">
        <f>57.246-SUM(AT14:AV14)</f>
        <v>18.257000000000026</v>
      </c>
      <c r="AX14" s="335">
        <v>128.79499999999999</v>
      </c>
      <c r="AY14" s="335">
        <f>6.175-AX14</f>
        <v>-122.61999999999999</v>
      </c>
      <c r="AZ14" s="335">
        <f>37.322-AX14-AY14</f>
        <v>31.147000000000006</v>
      </c>
      <c r="BA14" s="335">
        <f>196.111-SUM(AX14:AZ14)</f>
        <v>158.78899999999999</v>
      </c>
      <c r="BB14" s="335">
        <v>-121.55</v>
      </c>
      <c r="BC14" s="335">
        <f>-12.046-BB14</f>
        <v>109.50399999999999</v>
      </c>
      <c r="BD14" s="335">
        <f>222.944-BB14-BC14</f>
        <v>234.98999999999998</v>
      </c>
      <c r="BE14" s="335">
        <f>204.932-BD14-BC14-BB14</f>
        <v>-18.011999999999986</v>
      </c>
      <c r="BF14" s="335">
        <v>66.826999999999998</v>
      </c>
      <c r="BG14" s="335">
        <f>-165.098-BF14</f>
        <v>-231.92500000000001</v>
      </c>
      <c r="BH14" s="335">
        <f>-281.315-BG14-BF14</f>
        <v>-116.21699999999998</v>
      </c>
      <c r="BI14" s="335">
        <f>-461.157-BH14-BG14-BF14</f>
        <v>-179.84199999999998</v>
      </c>
      <c r="BJ14" s="335">
        <v>-99.302000000000007</v>
      </c>
      <c r="BK14" s="335">
        <f>-801.477-BJ14</f>
        <v>-702.17499999999995</v>
      </c>
      <c r="BL14" s="335">
        <f>-949.633-BK14-BJ14</f>
        <v>-148.15600000000006</v>
      </c>
      <c r="BM14" s="335">
        <f>-1043.572-SUM(BJ14:BL14)</f>
        <v>-93.938999999999851</v>
      </c>
      <c r="BN14" s="335">
        <v>-391.834</v>
      </c>
      <c r="BO14" s="335">
        <f>-171.184-BN14</f>
        <v>220.65</v>
      </c>
      <c r="BP14" s="335">
        <f>-304.358-SUM(BN14:BO14)</f>
        <v>-133.17400000000001</v>
      </c>
      <c r="BQ14" s="609">
        <f>-212.114-SUM(BN14:BP14)</f>
        <v>92.244</v>
      </c>
      <c r="BR14" s="335">
        <v>150.435</v>
      </c>
      <c r="BS14" s="335">
        <f>-163.47-BR14</f>
        <v>-313.90499999999997</v>
      </c>
    </row>
    <row r="15" spans="1:77">
      <c r="A15" s="36" t="s">
        <v>679</v>
      </c>
      <c r="B15" s="335"/>
      <c r="C15" s="335">
        <f>79.425</f>
        <v>79.424999999999997</v>
      </c>
      <c r="D15" s="335">
        <v>-40.460999999999999</v>
      </c>
      <c r="E15" s="335">
        <v>31.523</v>
      </c>
      <c r="F15" s="335">
        <v>81.313999999999993</v>
      </c>
      <c r="G15" s="335">
        <v>107.81699999999999</v>
      </c>
      <c r="H15" s="335">
        <v>222.64599999999999</v>
      </c>
      <c r="I15" s="335">
        <v>85.847999999999999</v>
      </c>
      <c r="J15" s="335">
        <v>-106.66200000000001</v>
      </c>
      <c r="K15" s="335">
        <f>-125.031</f>
        <v>-125.03100000000001</v>
      </c>
      <c r="L15" s="335">
        <f>-99.728-K15-J15</f>
        <v>131.96500000000003</v>
      </c>
      <c r="M15" s="335">
        <f>22.42-L15-K15-J15</f>
        <v>122.14799999999998</v>
      </c>
      <c r="N15" s="335">
        <v>-145.809</v>
      </c>
      <c r="O15" s="335">
        <f>-107.217-N15</f>
        <v>38.591999999999999</v>
      </c>
      <c r="P15" s="335">
        <f>-42.551-O15-N15</f>
        <v>64.665999999999997</v>
      </c>
      <c r="Q15" s="335">
        <f>120.625-P15-O15-N15</f>
        <v>163.17599999999999</v>
      </c>
      <c r="R15" s="335">
        <v>-150.51599999999999</v>
      </c>
      <c r="S15" s="335">
        <f>-55.566-R15</f>
        <v>94.949999999999989</v>
      </c>
      <c r="T15" s="335">
        <f>-66.537-S15-R15</f>
        <v>-10.971000000000004</v>
      </c>
      <c r="U15" s="335">
        <f>277.878-T15-S15-R15</f>
        <v>344.41499999999996</v>
      </c>
      <c r="V15" s="335">
        <v>-202.97</v>
      </c>
      <c r="W15" s="335">
        <f>-31.137-V15</f>
        <v>171.833</v>
      </c>
      <c r="X15" s="335">
        <f>-113.112-W15-V15</f>
        <v>-81.974999999999994</v>
      </c>
      <c r="Y15" s="335">
        <f>86.182-X15-W15-V15</f>
        <v>199.29399999999998</v>
      </c>
      <c r="Z15" s="335">
        <v>-79.632000000000005</v>
      </c>
      <c r="AA15" s="335">
        <f>-134.846-Z15</f>
        <v>-55.213999999999999</v>
      </c>
      <c r="AB15" s="335">
        <f>-76.875-AA15-Z15</f>
        <v>57.971000000000004</v>
      </c>
      <c r="AC15" s="335">
        <f>219.133-AB15-AA15-Z15</f>
        <v>296.00800000000004</v>
      </c>
      <c r="AD15" s="335">
        <v>-134.91999999999999</v>
      </c>
      <c r="AE15" s="335">
        <f>-219.17-AD15</f>
        <v>-84.25</v>
      </c>
      <c r="AF15" s="335">
        <f>-206.099-AE15-AD15</f>
        <v>13.070999999999998</v>
      </c>
      <c r="AG15" s="335">
        <f>160.804-AF15-AE15-AD15</f>
        <v>366.90300000000002</v>
      </c>
      <c r="AH15" s="335">
        <v>-124.036</v>
      </c>
      <c r="AI15" s="335">
        <f>-184.51-AH15</f>
        <v>-60.47399999999999</v>
      </c>
      <c r="AJ15" s="335">
        <f>-284.315-AI15-AH15</f>
        <v>-99.805000000000007</v>
      </c>
      <c r="AK15" s="335">
        <f>334.794-AJ15-AI15-AH15</f>
        <v>619.10899999999992</v>
      </c>
      <c r="AL15" s="335">
        <v>-63.82</v>
      </c>
      <c r="AM15" s="335">
        <f>33.93-AL15</f>
        <v>97.75</v>
      </c>
      <c r="AN15" s="335">
        <f>338.846-AM15-AL15</f>
        <v>304.916</v>
      </c>
      <c r="AO15" s="335">
        <f>744.446-AN15-AM15-AL15</f>
        <v>405.6</v>
      </c>
      <c r="AP15" s="335">
        <v>-750.68899999999996</v>
      </c>
      <c r="AQ15" s="335">
        <f>-636.778-AP15</f>
        <v>113.91099999999994</v>
      </c>
      <c r="AR15" s="335">
        <f>-698.542-AQ15-AP15</f>
        <v>-61.76400000000001</v>
      </c>
      <c r="AS15" s="335">
        <f>-29.673-AR15-AQ15-AP15</f>
        <v>668.86900000000003</v>
      </c>
      <c r="AT15" s="335">
        <v>-472.68</v>
      </c>
      <c r="AU15" s="335">
        <f>-349.891-AT15</f>
        <v>122.78899999999999</v>
      </c>
      <c r="AV15" s="335">
        <f>-855.063-SUM(AT15:AU15)</f>
        <v>-505.17199999999997</v>
      </c>
      <c r="AW15" s="335">
        <f>183.057-SUM(AT15:AV15)</f>
        <v>1038.1199999999999</v>
      </c>
      <c r="AX15" s="335">
        <v>-450.15800000000002</v>
      </c>
      <c r="AY15" s="335">
        <f>-288.241-AX15</f>
        <v>161.91700000000003</v>
      </c>
      <c r="AZ15" s="335">
        <f>-367.1-AX15-AY15</f>
        <v>-78.859000000000037</v>
      </c>
      <c r="BA15" s="335">
        <f>397.944-SUM(AX15:AZ15)</f>
        <v>765.0440000000001</v>
      </c>
      <c r="BB15" s="335">
        <v>-369.834</v>
      </c>
      <c r="BC15" s="335">
        <f>-379.431-BB15</f>
        <v>-9.59699999999998</v>
      </c>
      <c r="BD15" s="335">
        <f>153.485-BB15-BC15</f>
        <v>532.91599999999994</v>
      </c>
      <c r="BE15" s="335">
        <f>567.978-BD15-BC15-BB15</f>
        <v>414.49299999999999</v>
      </c>
      <c r="BF15" s="335">
        <v>81.054000000000002</v>
      </c>
      <c r="BG15" s="335">
        <f>272.406-BF15</f>
        <v>191.352</v>
      </c>
      <c r="BH15" s="335">
        <f>30.698-BG15-BF15</f>
        <v>-241.708</v>
      </c>
      <c r="BI15" s="335">
        <f>942.663-BH15-BG15-BF15</f>
        <v>911.96500000000015</v>
      </c>
      <c r="BJ15" s="335">
        <v>138.309</v>
      </c>
      <c r="BK15" s="335">
        <f>878.157-BJ15</f>
        <v>739.84800000000007</v>
      </c>
      <c r="BL15" s="335">
        <f>978.662-BK15-BJ15</f>
        <v>100.50499999999997</v>
      </c>
      <c r="BM15" s="335">
        <f>2301.184-SUM(BJ15:BL15)</f>
        <v>1322.5220000000002</v>
      </c>
      <c r="BN15" s="335">
        <v>185.255</v>
      </c>
      <c r="BO15" s="335">
        <f>109.727-BN15</f>
        <v>-75.527999999999992</v>
      </c>
      <c r="BP15" s="335">
        <f>801.129-SUM(BN15:BO15)</f>
        <v>691.40200000000004</v>
      </c>
      <c r="BQ15" s="609">
        <f>1304.733-SUM(BN15:BP15)</f>
        <v>503.60399999999993</v>
      </c>
      <c r="BR15" s="335">
        <v>-262.15499999999997</v>
      </c>
      <c r="BS15" s="335">
        <f>-1882.086-BR15</f>
        <v>-1619.931</v>
      </c>
    </row>
    <row r="16" spans="1:77">
      <c r="A16" s="36" t="s">
        <v>375</v>
      </c>
      <c r="B16" s="335"/>
      <c r="C16" s="335">
        <v>6.5679999999999996</v>
      </c>
      <c r="D16" s="335">
        <v>-4.5970000000000004</v>
      </c>
      <c r="E16" s="335">
        <v>53.081000000000003</v>
      </c>
      <c r="F16" s="335">
        <v>-156.214</v>
      </c>
      <c r="G16" s="335">
        <v>113.20099999999999</v>
      </c>
      <c r="H16" s="335">
        <v>-335.55200000000002</v>
      </c>
      <c r="I16" s="335">
        <v>-293.35899999999998</v>
      </c>
      <c r="J16" s="335">
        <v>-11.586</v>
      </c>
      <c r="K16" s="335">
        <f>-1.93</f>
        <v>-1.93</v>
      </c>
      <c r="L16" s="335">
        <f>-194.265-K16-J16</f>
        <v>-180.74899999999997</v>
      </c>
      <c r="M16" s="335">
        <f>280.848-L16-K16-J16</f>
        <v>475.113</v>
      </c>
      <c r="N16" s="335">
        <v>-156.21299999999999</v>
      </c>
      <c r="O16" s="335">
        <f>-52.444-N16</f>
        <v>103.76899999999999</v>
      </c>
      <c r="P16" s="335">
        <f>-97.182-O16-N16</f>
        <v>-44.738</v>
      </c>
      <c r="Q16" s="335">
        <f>-138.744-P16-O16-N16</f>
        <v>-41.561999999999983</v>
      </c>
      <c r="R16" s="335">
        <v>-105.601</v>
      </c>
      <c r="S16" s="335">
        <f>-120.229-R16</f>
        <v>-14.628</v>
      </c>
      <c r="T16" s="335">
        <f>-135.305-S16-R16</f>
        <v>-15.076000000000008</v>
      </c>
      <c r="U16" s="335">
        <f>-192.108-T16-S16-R16</f>
        <v>-56.802999999999997</v>
      </c>
      <c r="V16" s="335">
        <v>-16.204999999999998</v>
      </c>
      <c r="W16" s="335">
        <f>-153.951-V16</f>
        <v>-137.74599999999998</v>
      </c>
      <c r="X16" s="335">
        <f>-25.427-W16-V16</f>
        <v>128.524</v>
      </c>
      <c r="Y16" s="335">
        <f>-225.429-X16-W16-V16</f>
        <v>-200.00200000000001</v>
      </c>
      <c r="Z16" s="335">
        <v>-115.809</v>
      </c>
      <c r="AA16" s="335">
        <f>-225.326-Z16</f>
        <v>-109.517</v>
      </c>
      <c r="AB16" s="335">
        <f>-434.78-AA16-Z16</f>
        <v>-209.45399999999998</v>
      </c>
      <c r="AC16" s="335">
        <f>-459.362-AB16-AA16-Z16</f>
        <v>-24.58200000000005</v>
      </c>
      <c r="AD16" s="335">
        <v>-170.845</v>
      </c>
      <c r="AE16" s="335">
        <f>-593.424-AD16</f>
        <v>-422.57899999999995</v>
      </c>
      <c r="AF16" s="335">
        <f>-398.015-AE16-AD16</f>
        <v>195.40899999999996</v>
      </c>
      <c r="AG16" s="335">
        <f>-160.971-AF16-AE16-AD16</f>
        <v>237.04399999999995</v>
      </c>
      <c r="AH16" s="335">
        <v>-518.86099999999999</v>
      </c>
      <c r="AI16" s="335">
        <f>-848.163-AH16</f>
        <v>-329.30200000000002</v>
      </c>
      <c r="AJ16" s="335">
        <f>-995.179-AI16-AH16</f>
        <v>-147.01599999999996</v>
      </c>
      <c r="AK16" s="335">
        <f>-954.438-AJ16-AI16-AH16</f>
        <v>40.740999999999985</v>
      </c>
      <c r="AL16" s="335">
        <v>-264.22300000000001</v>
      </c>
      <c r="AM16" s="335">
        <f>-278.913-AL16</f>
        <v>-14.689999999999998</v>
      </c>
      <c r="AN16" s="335">
        <f>-590.582-AM16-AL16</f>
        <v>-311.66900000000004</v>
      </c>
      <c r="AO16" s="335">
        <f>-722.269-AN16-AM16-AL16</f>
        <v>-131.68699999999995</v>
      </c>
      <c r="AP16" s="335">
        <v>-268.24099999999999</v>
      </c>
      <c r="AQ16" s="335">
        <f>-391.295-AP16</f>
        <v>-123.05400000000003</v>
      </c>
      <c r="AR16" s="335">
        <f>-990.485-AQ16-AP16</f>
        <v>-599.19000000000005</v>
      </c>
      <c r="AS16" s="335">
        <f>-992.381-AR16-AQ16-AP16</f>
        <v>-1.8959999999999013</v>
      </c>
      <c r="AT16" s="335">
        <v>-96.820999999999998</v>
      </c>
      <c r="AU16" s="335">
        <f>-316.838-AT16</f>
        <v>-220.01700000000002</v>
      </c>
      <c r="AV16" s="335">
        <f>-632.576-SUM(AT16:AU16)</f>
        <v>-315.738</v>
      </c>
      <c r="AW16" s="335">
        <f>-738.05-SUM(AT16:AV16)</f>
        <v>-105.47399999999993</v>
      </c>
      <c r="AX16" s="335">
        <f>-323.329</f>
        <v>-323.32900000000001</v>
      </c>
      <c r="AY16" s="335">
        <f>-489.41-AX16</f>
        <v>-166.08100000000002</v>
      </c>
      <c r="AZ16" s="335">
        <f>-661.412-AX16-AY16</f>
        <v>-172.00200000000001</v>
      </c>
      <c r="BA16" s="335">
        <f>-562.697-SUM(AX16:AZ16)</f>
        <v>98.715000000000032</v>
      </c>
      <c r="BB16" s="335">
        <v>-428.995</v>
      </c>
      <c r="BC16" s="335">
        <f>-346.238-BB16</f>
        <v>82.757000000000005</v>
      </c>
      <c r="BD16" s="335">
        <f>105.809-BB16-BC16</f>
        <v>452.04699999999997</v>
      </c>
      <c r="BE16" s="335">
        <f>265.397-BD16-BC16-BB16</f>
        <v>159.58800000000002</v>
      </c>
      <c r="BF16" s="335">
        <v>-307.96499999999997</v>
      </c>
      <c r="BG16" s="335">
        <f>-406.627-BF16</f>
        <v>-98.662000000000035</v>
      </c>
      <c r="BH16" s="335">
        <f>-473.779-BG16-BF16</f>
        <v>-67.151999999999987</v>
      </c>
      <c r="BI16" s="335">
        <f>111.562-BH16-BG16-BF16</f>
        <v>585.34100000000001</v>
      </c>
      <c r="BJ16" s="335">
        <v>0</v>
      </c>
      <c r="BK16" s="335">
        <v>0</v>
      </c>
      <c r="BL16" s="335">
        <v>-859.48299999999995</v>
      </c>
      <c r="BM16" s="335">
        <f>-1171.851-SUM(BJ16:BL16)</f>
        <v>-312.36800000000017</v>
      </c>
      <c r="BN16" s="335">
        <v>-254.79900000000001</v>
      </c>
      <c r="BO16" s="335">
        <f>-809.878-BN16</f>
        <v>-555.07900000000006</v>
      </c>
      <c r="BP16" s="335">
        <f>-1620.863-SUM(BN16:BO16)</f>
        <v>-810.98500000000001</v>
      </c>
      <c r="BQ16" s="609">
        <f>-1854.308-SUM(BN16:BP16)</f>
        <v>-233.44499999999994</v>
      </c>
      <c r="BR16" s="335">
        <v>-660.10199999999998</v>
      </c>
      <c r="BS16" s="335">
        <f>-917.798-BR16</f>
        <v>-257.69600000000003</v>
      </c>
    </row>
    <row r="17" spans="1:78">
      <c r="A17" s="36" t="s">
        <v>715</v>
      </c>
      <c r="B17" s="335"/>
      <c r="C17" s="335">
        <f>8.831-2.788</f>
        <v>6.0429999999999993</v>
      </c>
      <c r="D17" s="335">
        <v>-31.411999999999999</v>
      </c>
      <c r="E17" s="335">
        <v>37.058</v>
      </c>
      <c r="F17" s="335">
        <v>-15.504</v>
      </c>
      <c r="G17" s="335">
        <f>26.903</f>
        <v>26.902999999999999</v>
      </c>
      <c r="H17" s="335">
        <f>26.194</f>
        <v>26.193999999999999</v>
      </c>
      <c r="I17" s="335">
        <v>213.42500000000001</v>
      </c>
      <c r="J17" s="335">
        <v>-141.90299999999999</v>
      </c>
      <c r="K17" s="335">
        <f>-123.289</f>
        <v>-123.289</v>
      </c>
      <c r="L17" s="335">
        <f>386.155-K17-J17</f>
        <v>651.34699999999998</v>
      </c>
      <c r="M17" s="335">
        <f>-162.289-L17-K17-J17</f>
        <v>-548.44399999999996</v>
      </c>
      <c r="N17" s="335">
        <v>17.707999999999998</v>
      </c>
      <c r="O17" s="335">
        <f>-164.499-N17</f>
        <v>-182.20699999999999</v>
      </c>
      <c r="P17" s="335">
        <f>-99.763-O17-N17</f>
        <v>64.73599999999999</v>
      </c>
      <c r="Q17" s="335">
        <f>-100.718-P17-O17-N17</f>
        <v>-0.95500000000001251</v>
      </c>
      <c r="R17" s="335">
        <v>19.190000000000001</v>
      </c>
      <c r="S17" s="335">
        <f>66.676-R17</f>
        <v>47.486000000000004</v>
      </c>
      <c r="T17" s="335">
        <f>124.504-S17-R17</f>
        <v>57.828000000000003</v>
      </c>
      <c r="U17" s="335">
        <f>-2176.864-T17-S17-R17</f>
        <v>-2301.3679999999999</v>
      </c>
      <c r="V17" s="335">
        <v>2266.826</v>
      </c>
      <c r="W17" s="335">
        <f>2245.14-V17</f>
        <v>-21.686000000000149</v>
      </c>
      <c r="X17" s="335">
        <f>2269.078-W17-V17</f>
        <v>23.938000000000102</v>
      </c>
      <c r="Y17" s="335">
        <f>2351.458-X17-W17-V17</f>
        <v>82.380000000000109</v>
      </c>
      <c r="Z17" s="335">
        <v>-35.222000000000001</v>
      </c>
      <c r="AA17" s="335">
        <f>54.031-Z17</f>
        <v>89.253</v>
      </c>
      <c r="AB17" s="335">
        <f>-106.198-AA17-Z17</f>
        <v>-160.22899999999998</v>
      </c>
      <c r="AC17" s="335">
        <f>-206.303-AB17-AA17-Z17</f>
        <v>-100.10499999999999</v>
      </c>
      <c r="AD17" s="335">
        <v>122.26</v>
      </c>
      <c r="AE17" s="335">
        <f>-4.477-AD17</f>
        <v>-126.73700000000001</v>
      </c>
      <c r="AF17" s="335">
        <f>106.191-AE17-AD17</f>
        <v>110.66799999999999</v>
      </c>
      <c r="AG17" s="335">
        <f>55.12-AF17-AE17-AD17</f>
        <v>-51.070999999999984</v>
      </c>
      <c r="AH17" s="335">
        <v>65.55</v>
      </c>
      <c r="AI17" s="335">
        <f>145.12-AH17</f>
        <v>79.570000000000007</v>
      </c>
      <c r="AJ17" s="335">
        <f>324.499-AI17-AH17</f>
        <v>179.37900000000002</v>
      </c>
      <c r="AK17" s="335">
        <f>334.795-AJ17-AI17-AH17</f>
        <v>10.295999999999992</v>
      </c>
      <c r="AL17" s="335">
        <v>370.649</v>
      </c>
      <c r="AM17" s="335">
        <f>34.465-AL17</f>
        <v>-336.18399999999997</v>
      </c>
      <c r="AN17" s="335">
        <f>404.612-AM17-AL17</f>
        <v>370.14700000000005</v>
      </c>
      <c r="AO17" s="335">
        <f>681.014-AN17-AM17-AL17</f>
        <v>276.40199999999993</v>
      </c>
      <c r="AP17" s="335">
        <v>81.772000000000006</v>
      </c>
      <c r="AQ17" s="335">
        <f>95.489-AP17</f>
        <v>13.716999999999999</v>
      </c>
      <c r="AR17" s="335">
        <f>475.825-AQ17-AP17</f>
        <v>380.33600000000001</v>
      </c>
      <c r="AS17" s="335">
        <f>428.866-AR17-AQ17-AP17</f>
        <v>-46.959000000000032</v>
      </c>
      <c r="AT17" s="335">
        <v>-453.70299999999997</v>
      </c>
      <c r="AU17" s="335">
        <f>-553.262-AT17</f>
        <v>-99.558999999999969</v>
      </c>
      <c r="AV17" s="335">
        <f>-275.911-SUM(AT17:AU17)</f>
        <v>277.35099999999994</v>
      </c>
      <c r="AW17" s="335">
        <f>426.027-SUM(AT17:AV17)</f>
        <v>701.93799999999999</v>
      </c>
      <c r="AX17" s="335">
        <v>-661.52599999999995</v>
      </c>
      <c r="AY17" s="335">
        <f>-1007.898-AX17</f>
        <v>-346.37200000000007</v>
      </c>
      <c r="AZ17" s="335">
        <f>-568.319-AX17-AY17</f>
        <v>439.57900000000006</v>
      </c>
      <c r="BA17" s="335">
        <f>-171.841-SUM(AX17:AZ17)</f>
        <v>396.47799999999995</v>
      </c>
      <c r="BB17" s="335">
        <v>-355.38099999999997</v>
      </c>
      <c r="BC17" s="335">
        <f>-513.721-BB17</f>
        <v>-158.34000000000003</v>
      </c>
      <c r="BD17" s="335">
        <f>-1674.447-BB17-BC17</f>
        <v>-1160.7259999999997</v>
      </c>
      <c r="BE17" s="335">
        <f>-3415.849-BD17-BC17-BB17</f>
        <v>-1741.4020000000005</v>
      </c>
      <c r="BF17" s="335">
        <v>-292.923</v>
      </c>
      <c r="BG17" s="335">
        <f>-239.896-BF17</f>
        <v>53.027000000000015</v>
      </c>
      <c r="BH17" s="335">
        <f>533.733-BG17-BF17</f>
        <v>773.62899999999991</v>
      </c>
      <c r="BI17" s="335">
        <f>1298.738-BH17-BG17-BF17</f>
        <v>765.00500000000011</v>
      </c>
      <c r="BJ17" s="335">
        <v>-1605.1780000000001</v>
      </c>
      <c r="BK17" s="335">
        <f>-325.997-BJ17</f>
        <v>1279.181</v>
      </c>
      <c r="BL17" s="335">
        <f>750.927-BK17-BJ17</f>
        <v>1076.924</v>
      </c>
      <c r="BM17" s="335">
        <f>1350.621-SUM(BJ17:BL17)</f>
        <v>599.69400000000019</v>
      </c>
      <c r="BN17" s="335">
        <v>-301.98500000000001</v>
      </c>
      <c r="BO17" s="335">
        <f>-558.359-BN17</f>
        <v>-256.37400000000002</v>
      </c>
      <c r="BP17" s="335">
        <f>-1147.878-SUM(BN17:BO17)</f>
        <v>-589.51899999999989</v>
      </c>
      <c r="BQ17" s="1967">
        <f>1090.588-SUM(BN17:BP17)</f>
        <v>2238.4659999999999</v>
      </c>
      <c r="BR17" s="335">
        <v>-491.959</v>
      </c>
      <c r="BS17" s="335">
        <f>215.809-BR17</f>
        <v>707.76800000000003</v>
      </c>
    </row>
    <row r="18" spans="1:78">
      <c r="A18" s="13" t="s">
        <v>716</v>
      </c>
      <c r="B18" s="170">
        <f t="shared" ref="B18:H18" si="11">SUM(B12:B17)</f>
        <v>221.619</v>
      </c>
      <c r="C18" s="170">
        <f t="shared" si="11"/>
        <v>398.23700000000002</v>
      </c>
      <c r="D18" s="170">
        <f t="shared" si="11"/>
        <v>225.81600000000006</v>
      </c>
      <c r="E18" s="170">
        <f t="shared" si="11"/>
        <v>435.31</v>
      </c>
      <c r="F18" s="170">
        <f t="shared" si="11"/>
        <v>337.07600000000008</v>
      </c>
      <c r="G18" s="170">
        <f t="shared" si="11"/>
        <v>949.56000000000006</v>
      </c>
      <c r="H18" s="170">
        <f t="shared" si="11"/>
        <v>604.92999999999984</v>
      </c>
      <c r="I18" s="170">
        <f t="shared" ref="I18:AV18" si="12">SUM(I12:I17)</f>
        <v>979.6690000000001</v>
      </c>
      <c r="J18" s="170">
        <f t="shared" si="12"/>
        <v>116.95399999999998</v>
      </c>
      <c r="K18" s="170">
        <f t="shared" si="12"/>
        <v>133.67499999999995</v>
      </c>
      <c r="L18" s="170">
        <f t="shared" si="12"/>
        <v>495.08100000000002</v>
      </c>
      <c r="M18" s="170">
        <f t="shared" si="12"/>
        <v>297.30799999999999</v>
      </c>
      <c r="N18" s="843">
        <f t="shared" si="12"/>
        <v>-61.125999999999976</v>
      </c>
      <c r="O18" s="843">
        <f t="shared" si="12"/>
        <v>302.53499999999991</v>
      </c>
      <c r="P18" s="843">
        <f t="shared" si="12"/>
        <v>282.916</v>
      </c>
      <c r="Q18" s="843">
        <f t="shared" si="12"/>
        <v>268.25800000000004</v>
      </c>
      <c r="R18" s="843">
        <f t="shared" si="12"/>
        <v>-29.906000000000002</v>
      </c>
      <c r="S18" s="843">
        <f t="shared" si="12"/>
        <v>370.06099999999998</v>
      </c>
      <c r="T18" s="843">
        <f t="shared" si="12"/>
        <v>384.35199999999998</v>
      </c>
      <c r="U18" s="170">
        <f t="shared" si="12"/>
        <v>-1794.422</v>
      </c>
      <c r="V18" s="170">
        <f t="shared" si="12"/>
        <v>2279.2310000000002</v>
      </c>
      <c r="W18" s="170">
        <f t="shared" si="12"/>
        <v>383.48399999999981</v>
      </c>
      <c r="X18" s="170">
        <f t="shared" si="12"/>
        <v>418.82700000000011</v>
      </c>
      <c r="Y18" s="170">
        <f t="shared" si="12"/>
        <v>404.06100000000009</v>
      </c>
      <c r="Z18" s="170">
        <f t="shared" si="12"/>
        <v>224.50699999999992</v>
      </c>
      <c r="AA18" s="170">
        <f t="shared" si="12"/>
        <v>338.34</v>
      </c>
      <c r="AB18" s="170">
        <f t="shared" si="12"/>
        <v>129.9500000000001</v>
      </c>
      <c r="AC18" s="170">
        <f t="shared" si="12"/>
        <v>662.67099999999982</v>
      </c>
      <c r="AD18" s="170">
        <f t="shared" si="12"/>
        <v>196.45299999999997</v>
      </c>
      <c r="AE18" s="170">
        <f t="shared" si="12"/>
        <v>-141.21199999999999</v>
      </c>
      <c r="AF18" s="170">
        <f t="shared" si="12"/>
        <v>713.66100000000017</v>
      </c>
      <c r="AG18" s="170">
        <f t="shared" si="12"/>
        <v>1308.317</v>
      </c>
      <c r="AH18" s="170">
        <f t="shared" si="12"/>
        <v>86.543000000000049</v>
      </c>
      <c r="AI18" s="170">
        <f t="shared" si="12"/>
        <v>489.14000000000004</v>
      </c>
      <c r="AJ18" s="170">
        <f t="shared" si="12"/>
        <v>787.97100000000046</v>
      </c>
      <c r="AK18" s="170">
        <f t="shared" si="12"/>
        <v>1727.4019999999998</v>
      </c>
      <c r="AL18" s="170">
        <f t="shared" si="12"/>
        <v>845.62000000000012</v>
      </c>
      <c r="AM18" s="170">
        <f t="shared" si="12"/>
        <v>942.19699999999989</v>
      </c>
      <c r="AN18" s="170">
        <f t="shared" si="12"/>
        <v>1439.223</v>
      </c>
      <c r="AO18" s="170">
        <f t="shared" si="12"/>
        <v>1767.2730000000001</v>
      </c>
      <c r="AP18" s="170">
        <f t="shared" si="12"/>
        <v>-28.225999999999928</v>
      </c>
      <c r="AQ18" s="170">
        <f t="shared" si="12"/>
        <v>712.64</v>
      </c>
      <c r="AR18" s="170">
        <f t="shared" si="12"/>
        <v>614.42500000000007</v>
      </c>
      <c r="AS18" s="170">
        <f t="shared" si="12"/>
        <v>1974.6770000000001</v>
      </c>
      <c r="AT18" s="170">
        <f t="shared" si="12"/>
        <v>376.54100000000005</v>
      </c>
      <c r="AU18" s="170">
        <f t="shared" si="12"/>
        <v>1201.377</v>
      </c>
      <c r="AV18" s="170">
        <f t="shared" si="12"/>
        <v>981.63600000000019</v>
      </c>
      <c r="AW18" s="170">
        <f t="shared" ref="AW18:BR18" si="13">SUM(AW12:AW17)</f>
        <v>3357.3109999999997</v>
      </c>
      <c r="AX18" s="170">
        <f t="shared" si="13"/>
        <v>857.44800000000043</v>
      </c>
      <c r="AY18" s="170">
        <f t="shared" si="13"/>
        <v>1665.057</v>
      </c>
      <c r="AZ18" s="170">
        <f t="shared" si="13"/>
        <v>-403.6949999999996</v>
      </c>
      <c r="BA18" s="170">
        <f t="shared" si="13"/>
        <v>4469.08</v>
      </c>
      <c r="BB18" s="170">
        <f t="shared" si="13"/>
        <v>1292.6320000000001</v>
      </c>
      <c r="BC18" s="170">
        <f t="shared" si="13"/>
        <v>-1209.2200000000003</v>
      </c>
      <c r="BD18" s="170">
        <f t="shared" si="13"/>
        <v>1284.1570000000002</v>
      </c>
      <c r="BE18" s="170">
        <f t="shared" si="13"/>
        <v>930.99899999999934</v>
      </c>
      <c r="BF18" s="170">
        <f t="shared" si="13"/>
        <v>1184.7559999999999</v>
      </c>
      <c r="BG18" s="170">
        <f t="shared" si="13"/>
        <v>1962.3960000000004</v>
      </c>
      <c r="BH18" s="170">
        <f t="shared" si="13"/>
        <v>2944.1929999999993</v>
      </c>
      <c r="BI18" s="170">
        <f t="shared" si="13"/>
        <v>5620.5150000000003</v>
      </c>
      <c r="BJ18" s="170">
        <f t="shared" si="13"/>
        <v>1128.5429999999999</v>
      </c>
      <c r="BK18" s="170">
        <f t="shared" si="13"/>
        <v>3369.9659999999999</v>
      </c>
      <c r="BL18" s="170">
        <f t="shared" si="13"/>
        <v>2558.6130000000003</v>
      </c>
      <c r="BM18" s="170">
        <f t="shared" si="13"/>
        <v>4851.76</v>
      </c>
      <c r="BN18" s="170">
        <f t="shared" si="13"/>
        <v>1956.7510000000002</v>
      </c>
      <c r="BO18" s="170">
        <f t="shared" si="13"/>
        <v>2482.0780000000004</v>
      </c>
      <c r="BP18" s="170">
        <f t="shared" si="13"/>
        <v>2106.6299999999997</v>
      </c>
      <c r="BQ18" s="1945">
        <f t="shared" si="13"/>
        <v>6346.3600000000006</v>
      </c>
      <c r="BR18" s="170">
        <f t="shared" si="13"/>
        <v>1291.2340000000002</v>
      </c>
      <c r="BS18" s="170">
        <f t="shared" ref="BS18" si="14">SUM(BS12:BS17)</f>
        <v>955.36500000000012</v>
      </c>
    </row>
    <row r="19" spans="1:78"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BA19" s="92"/>
      <c r="BB19" s="92"/>
      <c r="BC19" s="92"/>
      <c r="BF19" s="92"/>
      <c r="BG19" s="92"/>
      <c r="BH19" s="92"/>
      <c r="BJ19" s="92"/>
      <c r="BK19" s="92"/>
      <c r="BQ19" s="150"/>
    </row>
    <row r="20" spans="1:78">
      <c r="A20" s="13" t="s">
        <v>717</v>
      </c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BA20" s="92"/>
      <c r="BB20" s="92"/>
      <c r="BC20" s="92"/>
      <c r="BF20" s="92"/>
      <c r="BG20" s="92"/>
      <c r="BH20" s="92"/>
      <c r="BJ20" s="92"/>
      <c r="BK20" s="92"/>
      <c r="BQ20" s="150"/>
    </row>
    <row r="21" spans="1:78">
      <c r="A21" s="36" t="s">
        <v>718</v>
      </c>
      <c r="B21" s="335">
        <v>-91.852999999999994</v>
      </c>
      <c r="C21" s="335">
        <v>-117.67400000000001</v>
      </c>
      <c r="D21" s="335">
        <v>-93.915000000000006</v>
      </c>
      <c r="E21" s="335">
        <v>-280.90600000000001</v>
      </c>
      <c r="F21" s="335">
        <v>-444.83300000000003</v>
      </c>
      <c r="G21" s="335">
        <v>-368.363</v>
      </c>
      <c r="H21" s="335">
        <v>-720.47699999999998</v>
      </c>
      <c r="I21" s="335">
        <v>-569.81200000000001</v>
      </c>
      <c r="J21" s="335">
        <v>-62.723999999999997</v>
      </c>
      <c r="K21" s="335">
        <f>-52.924</f>
        <v>-52.923999999999999</v>
      </c>
      <c r="L21" s="335">
        <f>-102.68-K21-J21</f>
        <v>12.967999999999989</v>
      </c>
      <c r="M21" s="335">
        <f>-123.447-L21-K21-J21</f>
        <v>-20.766999999999989</v>
      </c>
      <c r="N21" s="335">
        <v>-19.079999999999998</v>
      </c>
      <c r="O21" s="335">
        <f>-192.088-N21</f>
        <v>-173.00799999999998</v>
      </c>
      <c r="P21" s="335">
        <f>-332.736-O21-N21</f>
        <v>-140.64800000000002</v>
      </c>
      <c r="Q21" s="335">
        <f>-513.405-P21-O21-N21</f>
        <v>-180.66899999999998</v>
      </c>
      <c r="R21" s="335">
        <v>-159.255</v>
      </c>
      <c r="S21" s="335">
        <f>-387.731-R21</f>
        <v>-228.476</v>
      </c>
      <c r="T21" s="335">
        <f>-608.968-S21-R21</f>
        <v>-221.23699999999997</v>
      </c>
      <c r="U21" s="335">
        <f>-958.53-T21-S21-R21</f>
        <v>-349.56200000000001</v>
      </c>
      <c r="V21" s="335">
        <v>-78.176000000000002</v>
      </c>
      <c r="W21" s="335">
        <f>-314.167-V21</f>
        <v>-235.99099999999999</v>
      </c>
      <c r="X21" s="335">
        <f>-497.762-W21-V21</f>
        <v>-183.59500000000003</v>
      </c>
      <c r="Y21" s="335">
        <f>-800.057-X21-W21-V21</f>
        <v>-302.29500000000002</v>
      </c>
      <c r="Z21" s="335">
        <v>-92.738</v>
      </c>
      <c r="AA21" s="335">
        <f>-463.484-Z21</f>
        <v>-370.74599999999998</v>
      </c>
      <c r="AB21" s="335">
        <f>-491.817-AA21-Z21</f>
        <v>-28.333000000000027</v>
      </c>
      <c r="AC21" s="335">
        <f>-939.527-AB21-AA21-Z21</f>
        <v>-447.71</v>
      </c>
      <c r="AD21" s="335">
        <v>-230.23400000000001</v>
      </c>
      <c r="AE21" s="335">
        <f>-755.293-AD21</f>
        <v>-525.05899999999997</v>
      </c>
      <c r="AF21" s="335">
        <f>-1313.834-AE21-AD21</f>
        <v>-558.54100000000005</v>
      </c>
      <c r="AG21" s="335">
        <f>-2049.546-AF21-AE21-AD21</f>
        <v>-735.71199999999965</v>
      </c>
      <c r="AH21" s="335">
        <v>-703.84699999999998</v>
      </c>
      <c r="AI21" s="335">
        <f>-1462.875-AH21</f>
        <v>-759.02800000000002</v>
      </c>
      <c r="AJ21" s="335">
        <f>-2079.933-AI21-AH21</f>
        <v>-617.05799999999999</v>
      </c>
      <c r="AK21" s="335">
        <f>-2984.818-AJ21-AI21-AH21</f>
        <v>-904.88500000000022</v>
      </c>
      <c r="AL21" s="335">
        <v>-577.80200000000002</v>
      </c>
      <c r="AM21" s="335">
        <f>-1450.713-AL21</f>
        <v>-872.91099999999994</v>
      </c>
      <c r="AN21" s="335">
        <f>-2539.872-AM21-AL21</f>
        <v>-1089.1589999999997</v>
      </c>
      <c r="AO21" s="335">
        <f>-4094.914-AN21-AM21-AL21</f>
        <v>-1555.0420000000004</v>
      </c>
      <c r="AP21" s="335">
        <v>-948.97199999999998</v>
      </c>
      <c r="AQ21" s="335">
        <f>-2078.544-AP21</f>
        <v>-1129.5719999999999</v>
      </c>
      <c r="AR21" s="335">
        <f>-3036.466-AQ21-AP21</f>
        <v>-957.92200000000003</v>
      </c>
      <c r="AS21" s="335">
        <f>-4385.377-AR21-AQ21-AP21</f>
        <v>-1348.9110000000007</v>
      </c>
      <c r="AT21" s="335">
        <v>-900.43200000000002</v>
      </c>
      <c r="AU21" s="335">
        <f>-1844.274-AT21</f>
        <v>-943.84199999999987</v>
      </c>
      <c r="AV21" s="335">
        <f>-2941.08-SUM(AT21:AU21)</f>
        <v>-1096.806</v>
      </c>
      <c r="AW21" s="335">
        <f>-4086.255-SUM(AT21:AV21)</f>
        <v>-1145.1750000000002</v>
      </c>
      <c r="AX21" s="335">
        <v>-648.33199999999999</v>
      </c>
      <c r="AY21" s="335">
        <f>-1052.086-AX21</f>
        <v>-403.75400000000002</v>
      </c>
      <c r="AZ21" s="335">
        <f>-1664.812-AX21-AY21</f>
        <v>-612.72599999999989</v>
      </c>
      <c r="BA21" s="335">
        <f>-3340.058-SUM(AX21:AZ21)</f>
        <v>-1675.2460000000001</v>
      </c>
      <c r="BB21" s="335">
        <v>-434.79300000000001</v>
      </c>
      <c r="BC21" s="335">
        <f>-812.876-BB21</f>
        <v>-378.08299999999997</v>
      </c>
      <c r="BD21" s="335">
        <f>-979.401-BB21-BC21</f>
        <v>-166.52499999999998</v>
      </c>
      <c r="BE21" s="335">
        <f>-1329.959-BD21-BC21-BB21</f>
        <v>-350.55800000000022</v>
      </c>
      <c r="BF21" s="335">
        <v>-276.077</v>
      </c>
      <c r="BG21" s="335">
        <f>-746.056-BF21</f>
        <v>-469.97900000000004</v>
      </c>
      <c r="BH21" s="335">
        <f>-1249.814-BG21-BF21</f>
        <v>-503.75800000000004</v>
      </c>
      <c r="BI21" s="335">
        <f>-2313.511-BH21-BG21-BF21</f>
        <v>-1063.6969999999999</v>
      </c>
      <c r="BJ21" s="335">
        <v>-640.19899999999996</v>
      </c>
      <c r="BK21" s="335">
        <f>-1490.664-BJ21</f>
        <v>-850.46500000000003</v>
      </c>
      <c r="BL21" s="335">
        <f>-2273.937-BK21-BJ21</f>
        <v>-783.2729999999998</v>
      </c>
      <c r="BM21" s="335">
        <f>-3835.579-SUM(BJ21:BL21)</f>
        <v>-1561.6420000000003</v>
      </c>
      <c r="BN21" s="335">
        <v>-559.61699999999996</v>
      </c>
      <c r="BO21" s="335">
        <f>-1453.276-BN21</f>
        <v>-893.65900000000011</v>
      </c>
      <c r="BP21" s="335">
        <f>-2714.18-SUM(BN21:BO21)</f>
        <v>-1260.9039999999998</v>
      </c>
      <c r="BQ21" s="609">
        <f>-4242.078-SUM(BN21:BP21)</f>
        <v>-1527.8980000000006</v>
      </c>
      <c r="BR21" s="335">
        <v>-890.702</v>
      </c>
      <c r="BS21" s="335">
        <f>-2284.522-BR21</f>
        <v>-1393.82</v>
      </c>
    </row>
    <row r="22" spans="1:78">
      <c r="A22" s="36" t="s">
        <v>719</v>
      </c>
      <c r="B22" s="335">
        <v>-3.629</v>
      </c>
      <c r="C22" s="335">
        <f>-46.43-28.433</f>
        <v>-74.863</v>
      </c>
      <c r="D22" s="335">
        <f>-56.823-4.957</f>
        <v>-61.78</v>
      </c>
      <c r="E22" s="335">
        <v>-87.870999999999995</v>
      </c>
      <c r="F22" s="335">
        <f>-162.009-140.831</f>
        <v>-302.83999999999997</v>
      </c>
      <c r="G22" s="335">
        <v>-366.01600000000002</v>
      </c>
      <c r="H22" s="335">
        <f>-383.114</f>
        <v>-383.11399999999998</v>
      </c>
      <c r="I22" s="335">
        <v>-399.16800000000001</v>
      </c>
      <c r="J22" s="335">
        <v>-132.685</v>
      </c>
      <c r="K22" s="335">
        <f>-222.78</f>
        <v>-222.78</v>
      </c>
      <c r="L22" s="335">
        <f>-299.75-K22-J22</f>
        <v>55.715000000000003</v>
      </c>
      <c r="M22" s="335">
        <f>-443.524-L22-K22-J22</f>
        <v>-143.77400000000006</v>
      </c>
      <c r="N22" s="335">
        <v>-74.018000000000001</v>
      </c>
      <c r="O22" s="335">
        <f>-85.863-N22</f>
        <v>-11.844999999999999</v>
      </c>
      <c r="P22" s="335">
        <f>-132.747-O22-N22</f>
        <v>-46.884000000000015</v>
      </c>
      <c r="Q22" s="335">
        <f>-232.973-P22-O22-N22</f>
        <v>-100.226</v>
      </c>
      <c r="R22" s="335">
        <v>-74.713999999999999</v>
      </c>
      <c r="S22" s="335">
        <f>-116.812-R22</f>
        <v>-42.097999999999999</v>
      </c>
      <c r="T22" s="335">
        <f>-204.693-S22-R22</f>
        <v>-87.881000000000029</v>
      </c>
      <c r="U22" s="335">
        <f>-286.868-T22-S22-R22</f>
        <v>-82.174999999999955</v>
      </c>
      <c r="V22" s="335">
        <v>-78.031999999999996</v>
      </c>
      <c r="W22" s="335">
        <f>-102.713-V22</f>
        <v>-24.680999999999997</v>
      </c>
      <c r="X22" s="335">
        <f>-153.793-W22-V22</f>
        <v>-51.080000000000027</v>
      </c>
      <c r="Y22" s="335">
        <f>-185.991-X22-W22-V22</f>
        <v>-32.198000000000008</v>
      </c>
      <c r="Z22" s="335">
        <v>-53.463999999999999</v>
      </c>
      <c r="AA22" s="335">
        <f>-501.702-Z22</f>
        <v>-448.238</v>
      </c>
      <c r="AB22" s="335">
        <f>-270.357-AA22-Z22</f>
        <v>231.34499999999997</v>
      </c>
      <c r="AC22" s="335">
        <f>-319.166-AB22-AA22-Z22</f>
        <v>-48.808999999999969</v>
      </c>
      <c r="AD22" s="335">
        <v>-85.765000000000001</v>
      </c>
      <c r="AE22" s="335">
        <f>-138.032-AD22</f>
        <v>-52.26700000000001</v>
      </c>
      <c r="AF22" s="335">
        <f>-244.145-AE22-AD22</f>
        <v>-106.11299999999999</v>
      </c>
      <c r="AG22" s="335">
        <f>-455.903-AF22-AE22-AD22</f>
        <v>-211.75800000000004</v>
      </c>
      <c r="AH22" s="335">
        <v>-104.029</v>
      </c>
      <c r="AI22" s="335">
        <f>-246.796-AH22</f>
        <v>-142.767</v>
      </c>
      <c r="AJ22" s="335">
        <f>-350.319-AI22-AH22</f>
        <v>-103.52300000000002</v>
      </c>
      <c r="AK22" s="335">
        <f>-454.374-AJ22-AI22-AH22</f>
        <v>-104.05500000000001</v>
      </c>
      <c r="AL22" s="335">
        <v>-196.57400000000001</v>
      </c>
      <c r="AM22" s="335">
        <f>-255.195-AL22</f>
        <v>-58.620999999999981</v>
      </c>
      <c r="AN22" s="335">
        <f>-355.25-AM22-AL22</f>
        <v>-100.05500000000001</v>
      </c>
      <c r="AO22" s="335">
        <f>-453.409-AN22-AM22-AL22</f>
        <v>-98.158999999999992</v>
      </c>
      <c r="AP22" s="335">
        <v>-81.988</v>
      </c>
      <c r="AQ22" s="335">
        <f>-258.397-AP22</f>
        <v>-176.40899999999999</v>
      </c>
      <c r="AR22" s="335">
        <f>-418.288-AQ22-AP22</f>
        <v>-159.89100000000002</v>
      </c>
      <c r="AS22" s="335">
        <f>-496.349-AR22-AQ22-AP22</f>
        <v>-78.060999999999979</v>
      </c>
      <c r="AT22" s="335">
        <v>-68.638000000000005</v>
      </c>
      <c r="AU22" s="335">
        <f>-101.901-AT22</f>
        <v>-33.262999999999991</v>
      </c>
      <c r="AV22" s="335">
        <f>-244.429-SUM(AT22:AU22)</f>
        <v>-142.52800000000002</v>
      </c>
      <c r="AW22" s="335">
        <f>-295.765-SUM(AT22:AV22)</f>
        <v>-51.335999999999956</v>
      </c>
      <c r="AX22" s="335">
        <v>-148.66999999999999</v>
      </c>
      <c r="AY22" s="335">
        <f>-223.13-AX22</f>
        <v>-74.460000000000008</v>
      </c>
      <c r="AZ22" s="335">
        <f>-263.038-AX22-AY22</f>
        <v>-39.908000000000015</v>
      </c>
      <c r="BA22" s="335">
        <f>-425.573-SUM(AX22:AZ22)</f>
        <v>-162.53499999999997</v>
      </c>
      <c r="BB22" s="335">
        <v>-174.90199999999999</v>
      </c>
      <c r="BC22" s="335">
        <f>-264.503-BB22</f>
        <v>-89.600999999999999</v>
      </c>
      <c r="BD22" s="335">
        <f>-321.97-BB22-BC22</f>
        <v>-57.467000000000041</v>
      </c>
      <c r="BE22" s="335">
        <f>-443.772-BD22-BC22-BB22</f>
        <v>-121.80199999999996</v>
      </c>
      <c r="BF22" s="335">
        <v>-36.137</v>
      </c>
      <c r="BG22" s="335">
        <f>-69.592-BF22</f>
        <v>-33.454999999999998</v>
      </c>
      <c r="BH22" s="335">
        <f>-94.616-BG22-BF22</f>
        <v>-25.024000000000001</v>
      </c>
      <c r="BI22" s="335">
        <f>-370.268-BH22-BG22-BF22</f>
        <v>-275.65199999999999</v>
      </c>
      <c r="BJ22" s="335">
        <v>-71.626000000000005</v>
      </c>
      <c r="BK22" s="335">
        <f>-84.13-BJ22</f>
        <v>-12.503999999999991</v>
      </c>
      <c r="BL22" s="335">
        <f>-216.467-BK22-BJ22</f>
        <v>-132.33700000000002</v>
      </c>
      <c r="BM22" s="335">
        <f>-378.501-SUM(BJ22:BL22)</f>
        <v>-162.03399999999996</v>
      </c>
      <c r="BN22" s="335">
        <v>-42.784999999999997</v>
      </c>
      <c r="BO22" s="335">
        <f>-254.481-BN22</f>
        <v>-211.696</v>
      </c>
      <c r="BP22" s="335">
        <f>-325.147-SUM(BN22:BO22)</f>
        <v>-70.665999999999997</v>
      </c>
      <c r="BQ22" s="609">
        <f>-497.435-SUM(BN22:BP22)</f>
        <v>-172.28800000000001</v>
      </c>
      <c r="BR22" s="335">
        <v>-48.988999999999997</v>
      </c>
      <c r="BS22" s="335">
        <f>-115.269-BR22</f>
        <v>-66.28</v>
      </c>
    </row>
    <row r="23" spans="1:78">
      <c r="A23" s="36" t="s">
        <v>720</v>
      </c>
      <c r="B23" s="335">
        <v>-29.077999999999999</v>
      </c>
      <c r="C23" s="335">
        <v>-43.575000000000003</v>
      </c>
      <c r="D23" s="335">
        <v>-15.023999999999999</v>
      </c>
      <c r="E23" s="335">
        <f>-139.322-52.896</f>
        <v>-192.21800000000002</v>
      </c>
      <c r="F23" s="335">
        <f>-144.513</f>
        <v>-144.51300000000001</v>
      </c>
      <c r="G23" s="335">
        <v>-378.76400000000001</v>
      </c>
      <c r="H23" s="335">
        <v>8.4760000000000009</v>
      </c>
      <c r="I23" s="335">
        <f>-8.037-93.806</f>
        <v>-101.843</v>
      </c>
      <c r="J23" s="335">
        <v>-4.9980000000000002</v>
      </c>
      <c r="K23" s="335">
        <f>-3.897</f>
        <v>-3.8969999999999998</v>
      </c>
      <c r="L23" s="335">
        <f>-1.347-K23-J23</f>
        <v>7.548</v>
      </c>
      <c r="M23" s="335">
        <f>-0.642-L23-K23-J23</f>
        <v>0.70500000000000096</v>
      </c>
      <c r="N23" s="335">
        <v>-5.9240000000000004</v>
      </c>
      <c r="O23" s="335">
        <f>-6.313-N23</f>
        <v>-0.38899999999999935</v>
      </c>
      <c r="P23" s="335">
        <f>-8.406-O23-N23</f>
        <v>-2.0930000000000009</v>
      </c>
      <c r="Q23" s="335">
        <f>-12.122-3.447-P23-O23-N23</f>
        <v>-7.1629999999999994</v>
      </c>
      <c r="R23" s="335">
        <v>0.52100000000000002</v>
      </c>
      <c r="S23" s="335">
        <f>-2.045-R23</f>
        <v>-2.5659999999999998</v>
      </c>
      <c r="T23" s="335">
        <f>-4.462-S23-R23</f>
        <v>-2.4169999999999998</v>
      </c>
      <c r="U23" s="335">
        <f>-9.611-T23-S23-R23</f>
        <v>-5.1490000000000009</v>
      </c>
      <c r="V23" s="335">
        <v>-1910.0060000000001</v>
      </c>
      <c r="W23" s="335">
        <f>-1910.006-V23</f>
        <v>0</v>
      </c>
      <c r="X23" s="335">
        <f>-1886.083-W23-V23</f>
        <v>23.923000000000002</v>
      </c>
      <c r="Y23" s="335">
        <f>-1765-X23-W23-V23</f>
        <v>121.08300000000008</v>
      </c>
      <c r="Z23" s="335">
        <v>0</v>
      </c>
      <c r="AA23" s="335">
        <f>-610.995-Z23</f>
        <v>-610.995</v>
      </c>
      <c r="AB23" s="335">
        <f>-1961.2-AA23-Z23</f>
        <v>-1350.2049999999999</v>
      </c>
      <c r="AC23" s="335">
        <f>-1944.058-AB23-AA23-Z23</f>
        <v>17.141999999999939</v>
      </c>
      <c r="AD23" s="335">
        <v>-92.7</v>
      </c>
      <c r="AE23" s="335">
        <f>-7594.6-AD23</f>
        <v>-7501.9000000000005</v>
      </c>
      <c r="AF23" s="335">
        <f>-8200-AE23-AD23</f>
        <v>-605.39999999999941</v>
      </c>
      <c r="AG23" s="335">
        <f>-9904.958-AF23-AE23-AD23</f>
        <v>-1704.9580000000003</v>
      </c>
      <c r="AH23" s="335">
        <v>0</v>
      </c>
      <c r="AI23" s="335">
        <f>0-AH23</f>
        <v>0</v>
      </c>
      <c r="AJ23" s="335">
        <f>0-AI23-AH23</f>
        <v>0</v>
      </c>
      <c r="AK23" s="335">
        <f>0-AJ23-AI23-AH23</f>
        <v>0</v>
      </c>
      <c r="AL23" s="335">
        <v>-295.68900000000002</v>
      </c>
      <c r="AM23" s="335">
        <f>-293.027-AL23</f>
        <v>2.6620000000000346</v>
      </c>
      <c r="AN23" s="335">
        <f>-501.827-AM23-AL23</f>
        <v>-208.8</v>
      </c>
      <c r="AO23" s="335">
        <f>-490.266-AN23-AM23-AL23</f>
        <v>11.560999999999979</v>
      </c>
      <c r="AP23" s="335">
        <v>0</v>
      </c>
      <c r="AQ23" s="335">
        <v>0</v>
      </c>
      <c r="AR23" s="335">
        <v>0</v>
      </c>
      <c r="AS23" s="335">
        <v>0</v>
      </c>
      <c r="AT23" s="335">
        <v>0</v>
      </c>
      <c r="AU23" s="335">
        <v>0</v>
      </c>
      <c r="AV23" s="335">
        <v>0</v>
      </c>
      <c r="AW23" s="335">
        <f>-13101.41-SUM(AT23:AV23)</f>
        <v>-13101.41</v>
      </c>
      <c r="AX23" s="335">
        <v>-1124.239</v>
      </c>
      <c r="AY23" s="335">
        <f>-934.624-AX23</f>
        <v>189.61500000000001</v>
      </c>
      <c r="AZ23" s="335">
        <f>-934.624-AX23-AY23</f>
        <v>0</v>
      </c>
      <c r="BA23" s="335">
        <f>-1062.267-SUM(AX23:AZ23)</f>
        <v>-127.64300000000003</v>
      </c>
      <c r="BB23" s="335">
        <v>0</v>
      </c>
      <c r="BC23" s="335">
        <v>0</v>
      </c>
      <c r="BD23" s="335">
        <v>0</v>
      </c>
      <c r="BE23" s="335">
        <f>0-BD23-BC23-BB23</f>
        <v>0</v>
      </c>
      <c r="BF23" s="335">
        <v>0</v>
      </c>
      <c r="BG23" s="335">
        <v>0</v>
      </c>
      <c r="BH23" s="335">
        <v>141.99199999999999</v>
      </c>
      <c r="BI23" s="335">
        <f>141.992-BH23-BG23-BF23</f>
        <v>0</v>
      </c>
      <c r="BJ23" s="335">
        <v>0</v>
      </c>
      <c r="BK23" s="335">
        <v>0</v>
      </c>
      <c r="BL23" s="335">
        <v>0</v>
      </c>
      <c r="BM23" s="335">
        <v>0</v>
      </c>
      <c r="BN23" s="335">
        <v>0</v>
      </c>
      <c r="BO23" s="335">
        <v>0</v>
      </c>
      <c r="BP23" s="335">
        <v>0</v>
      </c>
      <c r="BQ23" s="609">
        <v>0</v>
      </c>
      <c r="BR23" s="435">
        <v>0</v>
      </c>
      <c r="BS23" s="435">
        <v>0</v>
      </c>
    </row>
    <row r="24" spans="1:78" collapsed="1">
      <c r="A24" s="36" t="s">
        <v>80</v>
      </c>
      <c r="B24" s="335">
        <f>-0.151-1.581+3.123</f>
        <v>1.3910000000000002</v>
      </c>
      <c r="C24" s="335">
        <f>48.727-4.63-42.928</f>
        <v>1.1689999999999969</v>
      </c>
      <c r="D24" s="335">
        <f>-4.77+10.643</f>
        <v>5.8730000000000011</v>
      </c>
      <c r="E24" s="335">
        <f>29.946+4.687</f>
        <v>34.633000000000003</v>
      </c>
      <c r="F24" s="335">
        <f>17.236</f>
        <v>17.236000000000001</v>
      </c>
      <c r="G24" s="335">
        <v>-4.7270000000000003</v>
      </c>
      <c r="H24" s="335">
        <f>3.271</f>
        <v>3.2709999999999999</v>
      </c>
      <c r="I24" s="335">
        <f>-15.523-8.634</f>
        <v>-24.157</v>
      </c>
      <c r="J24" s="335">
        <v>2.3359999999999999</v>
      </c>
      <c r="K24" s="335">
        <f>0.411</f>
        <v>0.41099999999999998</v>
      </c>
      <c r="L24" s="335">
        <f>6.951-K24-J24</f>
        <v>4.2040000000000006</v>
      </c>
      <c r="M24" s="335">
        <f>12.852-L24-K24-J24</f>
        <v>5.9009999999999998</v>
      </c>
      <c r="N24" s="335">
        <v>0</v>
      </c>
      <c r="O24" s="335">
        <f>0-N24</f>
        <v>0</v>
      </c>
      <c r="P24" s="335">
        <f>16.372-O24-N24</f>
        <v>16.372</v>
      </c>
      <c r="Q24" s="335">
        <f>0-P24-O24-N24</f>
        <v>-16.372</v>
      </c>
      <c r="R24" s="335">
        <v>0</v>
      </c>
      <c r="S24" s="335">
        <f>0-R24</f>
        <v>0</v>
      </c>
      <c r="T24" s="335">
        <f>0-S24-R24</f>
        <v>0</v>
      </c>
      <c r="U24" s="335">
        <f>0-T24-S24-R24</f>
        <v>0</v>
      </c>
      <c r="V24" s="335">
        <v>-2.3210000000000002</v>
      </c>
      <c r="W24" s="335">
        <f>-6.699-V24</f>
        <v>-4.3780000000000001</v>
      </c>
      <c r="X24" s="335">
        <f>3.796-W24-V24</f>
        <v>10.494999999999999</v>
      </c>
      <c r="Y24" s="335">
        <f>0-X24-W24-V24</f>
        <v>-3.7959999999999989</v>
      </c>
      <c r="Z24" s="335">
        <v>0</v>
      </c>
      <c r="AA24" s="335">
        <f>0-Z24</f>
        <v>0</v>
      </c>
      <c r="AB24" s="335">
        <f>0-AA24-Z24</f>
        <v>0</v>
      </c>
      <c r="AC24" s="335">
        <f>0-AB24-AA24-Z24</f>
        <v>0</v>
      </c>
      <c r="AD24" s="335">
        <v>0</v>
      </c>
      <c r="AE24" s="335">
        <f>0-AD24</f>
        <v>0</v>
      </c>
      <c r="AF24" s="335">
        <f>0-AE24-AD24</f>
        <v>0</v>
      </c>
      <c r="AG24" s="335">
        <f>0-AF24-AE24-AD24</f>
        <v>0</v>
      </c>
      <c r="AH24" s="335">
        <v>0</v>
      </c>
      <c r="AI24" s="335">
        <f>0-AH24</f>
        <v>0</v>
      </c>
      <c r="AJ24" s="335">
        <f>0-AI24-AH24</f>
        <v>0</v>
      </c>
      <c r="AK24" s="335">
        <f>0-AJ24-AI24-AH24</f>
        <v>0</v>
      </c>
      <c r="AL24" s="335">
        <v>0</v>
      </c>
      <c r="AM24" s="335">
        <v>0</v>
      </c>
      <c r="AN24" s="335">
        <v>0</v>
      </c>
      <c r="AO24" s="335">
        <v>0</v>
      </c>
      <c r="AP24" s="335">
        <v>0</v>
      </c>
      <c r="AQ24" s="335">
        <v>0</v>
      </c>
      <c r="AR24" s="335">
        <v>0</v>
      </c>
      <c r="AS24" s="335">
        <f>1607.41-AR24-AQ24-AP24</f>
        <v>1607.41</v>
      </c>
      <c r="AT24" s="335">
        <v>0</v>
      </c>
      <c r="AU24" s="335">
        <v>0</v>
      </c>
      <c r="AV24" s="335">
        <v>0</v>
      </c>
      <c r="AW24" s="335">
        <f>-14.296-SUM(AT24:AV24)</f>
        <v>-14.295999999999999</v>
      </c>
      <c r="AX24" s="335">
        <v>0</v>
      </c>
      <c r="AY24" s="335">
        <v>0</v>
      </c>
      <c r="AZ24" s="335">
        <v>47.009</v>
      </c>
      <c r="BA24" s="335">
        <f>-0.987-SUM(AX24:AZ24)</f>
        <v>-47.996000000000002</v>
      </c>
      <c r="BB24" s="335">
        <v>0</v>
      </c>
      <c r="BC24" s="335">
        <v>0</v>
      </c>
      <c r="BD24" s="335">
        <v>0</v>
      </c>
      <c r="BE24" s="335">
        <f>-6.187-BD24-BC24-BB24</f>
        <v>-6.1870000000000003</v>
      </c>
      <c r="BF24" s="335">
        <v>0</v>
      </c>
      <c r="BG24" s="335">
        <v>0</v>
      </c>
      <c r="BH24" s="335"/>
      <c r="BI24" s="335"/>
      <c r="BJ24" s="335">
        <v>0</v>
      </c>
      <c r="BK24" s="335">
        <v>0</v>
      </c>
      <c r="BL24" s="335">
        <v>-26.919</v>
      </c>
      <c r="BM24" s="335">
        <f>-9.344-SUM(BJ24:BL24)</f>
        <v>17.575000000000003</v>
      </c>
      <c r="BN24" s="335">
        <v>0</v>
      </c>
      <c r="BO24" s="335">
        <v>0</v>
      </c>
      <c r="BP24" s="335">
        <v>0</v>
      </c>
      <c r="BQ24" s="609">
        <v>0</v>
      </c>
      <c r="BR24" s="335">
        <v>0</v>
      </c>
      <c r="BS24" s="335">
        <v>0</v>
      </c>
    </row>
    <row r="25" spans="1:78">
      <c r="A25" s="13" t="s">
        <v>721</v>
      </c>
      <c r="B25" s="170">
        <f t="shared" ref="B25:H25" si="15">SUM(B21:B24)</f>
        <v>-123.169</v>
      </c>
      <c r="C25" s="170">
        <f t="shared" si="15"/>
        <v>-234.94300000000004</v>
      </c>
      <c r="D25" s="170">
        <f t="shared" si="15"/>
        <v>-164.846</v>
      </c>
      <c r="E25" s="170">
        <f t="shared" si="15"/>
        <v>-526.36199999999997</v>
      </c>
      <c r="F25" s="170">
        <f t="shared" si="15"/>
        <v>-874.95</v>
      </c>
      <c r="G25" s="170">
        <f t="shared" si="15"/>
        <v>-1117.8700000000001</v>
      </c>
      <c r="H25" s="170">
        <f t="shared" si="15"/>
        <v>-1091.8439999999998</v>
      </c>
      <c r="I25" s="170">
        <f t="shared" ref="I25:AK25" si="16">SUM(I21:I24)</f>
        <v>-1094.98</v>
      </c>
      <c r="J25" s="170">
        <f t="shared" si="16"/>
        <v>-198.07099999999997</v>
      </c>
      <c r="K25" s="170">
        <f t="shared" si="16"/>
        <v>-279.19</v>
      </c>
      <c r="L25" s="170">
        <f t="shared" si="16"/>
        <v>80.435000000000002</v>
      </c>
      <c r="M25" s="170">
        <f t="shared" si="16"/>
        <v>-157.93500000000003</v>
      </c>
      <c r="N25" s="843">
        <f t="shared" si="16"/>
        <v>-99.022000000000006</v>
      </c>
      <c r="O25" s="843">
        <f t="shared" si="16"/>
        <v>-185.24199999999999</v>
      </c>
      <c r="P25" s="843">
        <f t="shared" si="16"/>
        <v>-173.25300000000004</v>
      </c>
      <c r="Q25" s="843">
        <f t="shared" si="16"/>
        <v>-304.43</v>
      </c>
      <c r="R25" s="170">
        <f t="shared" si="16"/>
        <v>-233.44800000000001</v>
      </c>
      <c r="S25" s="170">
        <f t="shared" si="16"/>
        <v>-273.14</v>
      </c>
      <c r="T25" s="170">
        <f t="shared" si="16"/>
        <v>-311.53499999999997</v>
      </c>
      <c r="U25" s="170">
        <f t="shared" si="16"/>
        <v>-436.88599999999997</v>
      </c>
      <c r="V25" s="170">
        <f t="shared" si="16"/>
        <v>-2068.5349999999999</v>
      </c>
      <c r="W25" s="170">
        <f t="shared" si="16"/>
        <v>-265.04999999999995</v>
      </c>
      <c r="X25" s="170">
        <f t="shared" si="16"/>
        <v>-200.25700000000006</v>
      </c>
      <c r="Y25" s="170">
        <f t="shared" si="16"/>
        <v>-217.20599999999996</v>
      </c>
      <c r="Z25" s="170">
        <f t="shared" si="16"/>
        <v>-146.202</v>
      </c>
      <c r="AA25" s="170">
        <f t="shared" si="16"/>
        <v>-1429.9789999999998</v>
      </c>
      <c r="AB25" s="170">
        <f t="shared" si="16"/>
        <v>-1147.193</v>
      </c>
      <c r="AC25" s="170">
        <f t="shared" si="16"/>
        <v>-479.37700000000001</v>
      </c>
      <c r="AD25" s="170">
        <f t="shared" si="16"/>
        <v>-408.69900000000001</v>
      </c>
      <c r="AE25" s="170">
        <f t="shared" si="16"/>
        <v>-8079.2260000000006</v>
      </c>
      <c r="AF25" s="170">
        <f t="shared" si="16"/>
        <v>-1270.0539999999994</v>
      </c>
      <c r="AG25" s="170">
        <f t="shared" si="16"/>
        <v>-2652.4279999999999</v>
      </c>
      <c r="AH25" s="170">
        <f t="shared" si="16"/>
        <v>-807.87599999999998</v>
      </c>
      <c r="AI25" s="170">
        <f t="shared" si="16"/>
        <v>-901.79500000000007</v>
      </c>
      <c r="AJ25" s="170">
        <f t="shared" si="16"/>
        <v>-720.58100000000002</v>
      </c>
      <c r="AK25" s="170">
        <f t="shared" si="16"/>
        <v>-1008.9400000000003</v>
      </c>
      <c r="AL25" s="170">
        <f t="shared" ref="AL25:AV25" si="17">SUM(AL21:AL24)</f>
        <v>-1070.0650000000001</v>
      </c>
      <c r="AM25" s="170">
        <f t="shared" si="17"/>
        <v>-928.86999999999989</v>
      </c>
      <c r="AN25" s="170">
        <f t="shared" si="17"/>
        <v>-1398.0139999999997</v>
      </c>
      <c r="AO25" s="170">
        <f t="shared" si="17"/>
        <v>-1641.6400000000006</v>
      </c>
      <c r="AP25" s="170">
        <f t="shared" si="17"/>
        <v>-1030.96</v>
      </c>
      <c r="AQ25" s="170">
        <f t="shared" si="17"/>
        <v>-1305.9809999999998</v>
      </c>
      <c r="AR25" s="170">
        <f t="shared" si="17"/>
        <v>-1117.8130000000001</v>
      </c>
      <c r="AS25" s="170">
        <f t="shared" si="17"/>
        <v>180.43799999999942</v>
      </c>
      <c r="AT25" s="170">
        <f t="shared" si="17"/>
        <v>-969.07</v>
      </c>
      <c r="AU25" s="170">
        <f t="shared" si="17"/>
        <v>-977.1049999999999</v>
      </c>
      <c r="AV25" s="170">
        <f t="shared" si="17"/>
        <v>-1239.3340000000001</v>
      </c>
      <c r="AW25" s="170">
        <f t="shared" ref="AW25:BC25" si="18">SUM(AW21:AW24)</f>
        <v>-14312.217000000001</v>
      </c>
      <c r="AX25" s="170">
        <f t="shared" si="18"/>
        <v>-1921.241</v>
      </c>
      <c r="AY25" s="170">
        <f t="shared" si="18"/>
        <v>-288.59900000000005</v>
      </c>
      <c r="AZ25" s="170">
        <f t="shared" si="18"/>
        <v>-605.62499999999989</v>
      </c>
      <c r="BA25" s="170">
        <f t="shared" si="18"/>
        <v>-2013.42</v>
      </c>
      <c r="BB25" s="170">
        <f t="shared" si="18"/>
        <v>-609.69499999999994</v>
      </c>
      <c r="BC25" s="170">
        <f t="shared" si="18"/>
        <v>-467.68399999999997</v>
      </c>
      <c r="BD25" s="170">
        <f t="shared" ref="BD25:BR25" si="19">SUM(BD21:BD24)</f>
        <v>-223.99200000000002</v>
      </c>
      <c r="BE25" s="170">
        <f t="shared" si="19"/>
        <v>-478.5470000000002</v>
      </c>
      <c r="BF25" s="170">
        <f t="shared" si="19"/>
        <v>-312.214</v>
      </c>
      <c r="BG25" s="170">
        <f t="shared" si="19"/>
        <v>-503.43400000000003</v>
      </c>
      <c r="BH25" s="170">
        <f t="shared" si="19"/>
        <v>-386.79000000000008</v>
      </c>
      <c r="BI25" s="170">
        <f t="shared" si="19"/>
        <v>-1339.3489999999999</v>
      </c>
      <c r="BJ25" s="170">
        <f t="shared" si="19"/>
        <v>-711.82499999999993</v>
      </c>
      <c r="BK25" s="170">
        <f t="shared" si="19"/>
        <v>-862.96900000000005</v>
      </c>
      <c r="BL25" s="170">
        <f t="shared" si="19"/>
        <v>-942.52899999999977</v>
      </c>
      <c r="BM25" s="170">
        <f t="shared" si="19"/>
        <v>-1706.1010000000001</v>
      </c>
      <c r="BN25" s="170">
        <f t="shared" si="19"/>
        <v>-602.40199999999993</v>
      </c>
      <c r="BO25" s="170">
        <f t="shared" si="19"/>
        <v>-1105.355</v>
      </c>
      <c r="BP25" s="170">
        <f t="shared" si="19"/>
        <v>-1331.5699999999997</v>
      </c>
      <c r="BQ25" s="1945">
        <f t="shared" si="19"/>
        <v>-1700.1860000000006</v>
      </c>
      <c r="BR25" s="170">
        <f t="shared" si="19"/>
        <v>-939.69100000000003</v>
      </c>
      <c r="BS25" s="170">
        <f t="shared" ref="BS25" si="20">SUM(BS21:BS24)</f>
        <v>-1460.1</v>
      </c>
    </row>
    <row r="26" spans="1:78"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BA26" s="92"/>
      <c r="BB26" s="92"/>
      <c r="BC26" s="92"/>
      <c r="BQ26" s="150"/>
    </row>
    <row r="27" spans="1:78">
      <c r="A27" s="13" t="s">
        <v>722</v>
      </c>
      <c r="B27" s="436"/>
      <c r="C27" s="436"/>
      <c r="D27" s="436"/>
      <c r="E27" s="436"/>
      <c r="F27" s="436"/>
      <c r="G27" s="436"/>
      <c r="H27" s="436"/>
      <c r="I27" s="436"/>
      <c r="J27" s="436"/>
      <c r="K27" s="436"/>
      <c r="L27" s="436"/>
      <c r="M27" s="436"/>
      <c r="N27" s="436"/>
      <c r="O27" s="436"/>
      <c r="P27" s="436"/>
      <c r="Q27" s="436"/>
      <c r="R27" s="436"/>
      <c r="S27" s="436"/>
      <c r="T27" s="436"/>
      <c r="U27" s="436"/>
      <c r="V27" s="436"/>
      <c r="W27" s="436"/>
      <c r="X27" s="436"/>
      <c r="Y27" s="436"/>
      <c r="Z27" s="436"/>
      <c r="AA27" s="436"/>
      <c r="AB27" s="436"/>
      <c r="AC27" s="436"/>
      <c r="AD27" s="436"/>
      <c r="AE27" s="436"/>
      <c r="AF27" s="436"/>
      <c r="AG27" s="436"/>
      <c r="AH27" s="436"/>
      <c r="AI27" s="436"/>
      <c r="AJ27" s="436"/>
      <c r="AK27" s="436"/>
      <c r="AL27" s="436"/>
      <c r="AM27" s="436"/>
      <c r="AN27" s="436"/>
      <c r="AO27" s="436"/>
      <c r="AP27" s="436"/>
      <c r="AQ27" s="436"/>
      <c r="AR27" s="436"/>
      <c r="AS27" s="436"/>
      <c r="AT27" s="436"/>
      <c r="AU27" s="436"/>
      <c r="AV27" s="436"/>
      <c r="AW27" s="436"/>
      <c r="AX27" s="436"/>
      <c r="AY27" s="92"/>
      <c r="AZ27" s="92"/>
      <c r="BA27" s="436"/>
      <c r="BB27" s="436"/>
      <c r="BC27" s="92"/>
      <c r="BQ27" s="150"/>
    </row>
    <row r="28" spans="1:78">
      <c r="A28" s="36" t="s">
        <v>724</v>
      </c>
      <c r="B28" s="335">
        <v>-93.914000000000001</v>
      </c>
      <c r="C28" s="335">
        <f>-60.65</f>
        <v>-60.65</v>
      </c>
      <c r="D28" s="335">
        <v>-28.98</v>
      </c>
      <c r="E28" s="335">
        <v>-87.554000000000002</v>
      </c>
      <c r="F28" s="335">
        <v>627.36</v>
      </c>
      <c r="G28" s="335">
        <v>-332.04700000000003</v>
      </c>
      <c r="H28" s="335">
        <v>536.17399999999998</v>
      </c>
      <c r="I28" s="335">
        <v>739.92899999999997</v>
      </c>
      <c r="J28" s="335">
        <v>-52.223999999999997</v>
      </c>
      <c r="K28" s="335">
        <f>-155.469</f>
        <v>-155.46899999999999</v>
      </c>
      <c r="L28" s="335">
        <f>-449.102-K28-J28</f>
        <v>-241.40899999999999</v>
      </c>
      <c r="M28" s="335">
        <f>-788.076-L28-K28-J28</f>
        <v>-338.97400000000005</v>
      </c>
      <c r="N28" s="335">
        <v>-149.21600000000001</v>
      </c>
      <c r="O28" s="335">
        <f>-253.053-N28</f>
        <v>-103.83699999999999</v>
      </c>
      <c r="P28" s="335">
        <f>-355.266-O28-N28</f>
        <v>-102.21300000000002</v>
      </c>
      <c r="Q28" s="335">
        <f>-104.579-P28-O28-N28</f>
        <v>250.68700000000001</v>
      </c>
      <c r="R28" s="335">
        <v>-73.206000000000003</v>
      </c>
      <c r="S28" s="335">
        <f>-127.348-R28</f>
        <v>-54.141999999999996</v>
      </c>
      <c r="T28" s="335">
        <f>-105.773-S28-R28</f>
        <v>21.575000000000003</v>
      </c>
      <c r="U28" s="335">
        <f>2165.476-T28-S28-R28</f>
        <v>2271.2490000000003</v>
      </c>
      <c r="V28" s="335">
        <v>-95.18</v>
      </c>
      <c r="W28" s="335">
        <f>-410.365-V28</f>
        <v>-315.185</v>
      </c>
      <c r="X28" s="335">
        <f>-607.376-W28-V28</f>
        <v>-197.01099999999997</v>
      </c>
      <c r="Y28" s="335">
        <f>-659.272-X28-W28-V28</f>
        <v>-51.896000000000072</v>
      </c>
      <c r="Z28" s="335">
        <v>-55.226999999999997</v>
      </c>
      <c r="AA28" s="335">
        <f>-1497.149-Z28</f>
        <v>-1441.9219999999998</v>
      </c>
      <c r="AB28" s="335">
        <f>88.042-AA28-Z28</f>
        <v>1585.1909999999998</v>
      </c>
      <c r="AC28" s="335">
        <f>80.286-AB28-AA28-Z28</f>
        <v>-7.7559999999999505</v>
      </c>
      <c r="AD28" s="335">
        <v>75.688000000000002</v>
      </c>
      <c r="AE28" s="335">
        <f>2236.385-AD28</f>
        <v>2160.6970000000001</v>
      </c>
      <c r="AF28" s="335">
        <f>2166.97-AE28-AD28</f>
        <v>-69.415000000000319</v>
      </c>
      <c r="AG28" s="335">
        <f>4185.564-AF28-AE28-AD28</f>
        <v>2018.5940000000001</v>
      </c>
      <c r="AH28" s="335">
        <v>-3497.652</v>
      </c>
      <c r="AI28" s="335">
        <f>-2861.121-AH28</f>
        <v>636.53099999999995</v>
      </c>
      <c r="AJ28" s="335">
        <f>-2987.869-AI28-AH28</f>
        <v>-126.74800000000005</v>
      </c>
      <c r="AK28" s="335">
        <f>-3117.42-AJ28-AI28-AH28</f>
        <v>-129.55099999999993</v>
      </c>
      <c r="AL28" s="335">
        <v>147.62100000000001</v>
      </c>
      <c r="AM28" s="335">
        <f>873.555-AL28</f>
        <v>725.93399999999997</v>
      </c>
      <c r="AN28" s="335">
        <f>3557.035-AM28-AL28</f>
        <v>2683.4799999999996</v>
      </c>
      <c r="AO28" s="335">
        <f>4856.909-AN28-AM28-AL28</f>
        <v>1299.874</v>
      </c>
      <c r="AP28" s="335">
        <v>357.44799999999998</v>
      </c>
      <c r="AQ28" s="335">
        <f>833.439-AP28</f>
        <v>475.99099999999999</v>
      </c>
      <c r="AR28" s="335">
        <f>1288.824-AQ28-AP28</f>
        <v>455.3850000000001</v>
      </c>
      <c r="AS28" s="335">
        <f>-3265.355-AR28-AQ28-AP28</f>
        <v>-4554.1790000000001</v>
      </c>
      <c r="AT28" s="335">
        <v>681.36900000000003</v>
      </c>
      <c r="AU28" s="335">
        <f>1548.967-AT28</f>
        <v>867.59800000000007</v>
      </c>
      <c r="AV28" s="335">
        <f>2217.545-SUM(AT28:AU28)</f>
        <v>668.57799999999997</v>
      </c>
      <c r="AW28" s="335">
        <f>11231.788-SUM(AT28:AV28)</f>
        <v>9014.2430000000004</v>
      </c>
      <c r="AX28" s="335">
        <v>1722.991</v>
      </c>
      <c r="AY28" s="335">
        <f>579.982-AX28</f>
        <v>-1143.009</v>
      </c>
      <c r="AZ28" s="335">
        <f>1030.517-AX28-AY28</f>
        <v>450.53500000000008</v>
      </c>
      <c r="BA28" s="335">
        <f>-595.754-SUM(AX28:AZ28)</f>
        <v>-1626.2710000000002</v>
      </c>
      <c r="BB28" s="335">
        <v>2042.8989999999999</v>
      </c>
      <c r="BC28" s="335">
        <f>4984.115-BB28</f>
        <v>2941.2159999999999</v>
      </c>
      <c r="BD28" s="335">
        <f>5375.84-BB28-BC28</f>
        <v>391.72500000000036</v>
      </c>
      <c r="BE28" s="335">
        <f>5347.344-BD28-BC28-BB28</f>
        <v>-28.496000000000095</v>
      </c>
      <c r="BF28" s="335">
        <v>-7.9550000000000001</v>
      </c>
      <c r="BG28" s="335">
        <f>-195.418-BF28</f>
        <v>-187.46299999999999</v>
      </c>
      <c r="BH28" s="335">
        <f>-66.452-BG28-BF28</f>
        <v>128.96600000000001</v>
      </c>
      <c r="BI28" s="335">
        <f>-9982.587-BH28-BG28-BF28</f>
        <v>-9916.1350000000002</v>
      </c>
      <c r="BJ28" s="335">
        <v>-7013.6040000000003</v>
      </c>
      <c r="BK28" s="335">
        <f>-7529.554-BJ28</f>
        <v>-515.94999999999982</v>
      </c>
      <c r="BL28" s="335">
        <f>-7686.0682-BK28-BJ28</f>
        <v>-156.51419999999962</v>
      </c>
      <c r="BM28" s="335">
        <f>-8007.26-SUM(BJ28:BL28)</f>
        <v>-321.19180000000051</v>
      </c>
      <c r="BN28" s="335">
        <v>-81.102999999999994</v>
      </c>
      <c r="BO28" s="335">
        <f>-44.48-BN28</f>
        <v>36.622999999999998</v>
      </c>
      <c r="BP28" s="335">
        <f>845.827-SUM(BN28:BO28)</f>
        <v>890.30700000000002</v>
      </c>
      <c r="BQ28" s="609">
        <f>566.357-SUM(BN28:BP28)</f>
        <v>-279.47000000000003</v>
      </c>
      <c r="BR28" s="335">
        <v>2498.3409999999999</v>
      </c>
      <c r="BS28" s="335">
        <f>3774.84-BR28</f>
        <v>1276.4990000000003</v>
      </c>
      <c r="BT28" s="92"/>
    </row>
    <row r="29" spans="1:78">
      <c r="A29" s="36" t="s">
        <v>725</v>
      </c>
      <c r="B29" s="335">
        <v>0</v>
      </c>
      <c r="C29" s="335">
        <v>0</v>
      </c>
      <c r="D29" s="335">
        <v>0</v>
      </c>
      <c r="E29" s="335">
        <v>0</v>
      </c>
      <c r="F29" s="335">
        <v>0</v>
      </c>
      <c r="G29" s="335">
        <v>0</v>
      </c>
      <c r="H29" s="335">
        <v>0</v>
      </c>
      <c r="I29" s="335">
        <v>0</v>
      </c>
      <c r="J29" s="335">
        <v>0</v>
      </c>
      <c r="K29" s="335">
        <f>0-J29</f>
        <v>0</v>
      </c>
      <c r="L29" s="335">
        <f>0-K29-J29</f>
        <v>0</v>
      </c>
      <c r="M29" s="335">
        <f>300-L29-K29-J29</f>
        <v>300</v>
      </c>
      <c r="N29" s="335">
        <v>400</v>
      </c>
      <c r="O29" s="335">
        <f>400-N29</f>
        <v>0</v>
      </c>
      <c r="P29" s="335">
        <f>400-O29-N29</f>
        <v>0</v>
      </c>
      <c r="Q29" s="335">
        <f>400-P29-O29-N29</f>
        <v>0</v>
      </c>
      <c r="R29" s="335"/>
      <c r="S29" s="335">
        <f>300-R29</f>
        <v>300</v>
      </c>
      <c r="T29" s="335">
        <f>300-S29-R29</f>
        <v>0</v>
      </c>
      <c r="U29" s="335">
        <f>300-T29-S29-R29</f>
        <v>0</v>
      </c>
      <c r="V29" s="335">
        <v>-6.2380000000000004</v>
      </c>
      <c r="W29" s="335">
        <f>0.955-V29</f>
        <v>7.1930000000000005</v>
      </c>
      <c r="X29" s="335">
        <f>1.804-W29-V29</f>
        <v>0.8490000000000002</v>
      </c>
      <c r="Y29" s="335">
        <f>-1000-X29-W29-V29</f>
        <v>-1001.804</v>
      </c>
      <c r="Z29" s="335">
        <v>0</v>
      </c>
      <c r="AA29" s="335">
        <f>2485.891-Z29</f>
        <v>2485.8910000000001</v>
      </c>
      <c r="AB29" s="335">
        <f>2489.758-AA29-Z29</f>
        <v>3.8669999999997344</v>
      </c>
      <c r="AC29" s="335">
        <f>2488.85-AB29-AA29-Z29</f>
        <v>-0.90799999999990177</v>
      </c>
      <c r="AD29" s="335">
        <v>0</v>
      </c>
      <c r="AE29" s="335">
        <f>0-AD29</f>
        <v>0</v>
      </c>
      <c r="AF29" s="335">
        <f>0-AE29-AD29</f>
        <v>0</v>
      </c>
      <c r="AG29" s="335">
        <f>2.506-AF29-AE29-AD29</f>
        <v>2.5059999999999998</v>
      </c>
      <c r="AH29" s="335">
        <v>4000</v>
      </c>
      <c r="AI29" s="335">
        <f>4000-AH29</f>
        <v>0</v>
      </c>
      <c r="AJ29" s="335">
        <f>4000-AI29-AH29</f>
        <v>0</v>
      </c>
      <c r="AK29" s="335">
        <f>4000-AJ29-AI29-AH29</f>
        <v>0</v>
      </c>
      <c r="AL29" s="335">
        <v>0</v>
      </c>
      <c r="AM29" s="335">
        <v>0</v>
      </c>
      <c r="AN29" s="335">
        <f>-2500-AM29-AL29</f>
        <v>-2500</v>
      </c>
      <c r="AO29" s="335">
        <f>-2500-AN29-AM29</f>
        <v>0</v>
      </c>
      <c r="AP29" s="335">
        <v>0</v>
      </c>
      <c r="AQ29" s="335">
        <v>0</v>
      </c>
      <c r="AR29" s="335">
        <v>0</v>
      </c>
      <c r="AS29" s="335">
        <f>3000-AR29-AQ29-AP29</f>
        <v>3000</v>
      </c>
      <c r="AT29" s="335">
        <v>0</v>
      </c>
      <c r="AU29" s="335">
        <v>0</v>
      </c>
      <c r="AV29" s="335">
        <v>0</v>
      </c>
      <c r="AW29" s="335">
        <v>0</v>
      </c>
      <c r="AX29" s="335">
        <v>0</v>
      </c>
      <c r="AY29" s="335">
        <f>991.655-AX29</f>
        <v>991.65499999999997</v>
      </c>
      <c r="AZ29" s="335">
        <f>1000-AX29-AY29</f>
        <v>8.3450000000000273</v>
      </c>
      <c r="BA29" s="335">
        <f>-SUM(AX29:AZ29)+1000</f>
        <v>0</v>
      </c>
      <c r="BB29" s="335">
        <v>0</v>
      </c>
      <c r="BC29" s="335">
        <v>0</v>
      </c>
      <c r="BD29" s="335">
        <v>0</v>
      </c>
      <c r="BE29" s="335">
        <f>0-BD29-BC29-BB29</f>
        <v>0</v>
      </c>
      <c r="BF29" s="335">
        <v>0</v>
      </c>
      <c r="BG29" s="335">
        <v>0</v>
      </c>
      <c r="BH29" s="335">
        <v>0</v>
      </c>
      <c r="BI29" s="335">
        <f>10257.85-BH29-BG29-BF29</f>
        <v>10257.85</v>
      </c>
      <c r="BJ29" s="335">
        <v>5854.473</v>
      </c>
      <c r="BK29" s="335">
        <f>5854.473-BJ29</f>
        <v>0</v>
      </c>
      <c r="BL29" s="335">
        <f>5854.473-BK29-BJ29</f>
        <v>0</v>
      </c>
      <c r="BM29" s="335">
        <f>5854.473-SUM(BJ29:BL29)</f>
        <v>0</v>
      </c>
      <c r="BN29" s="335">
        <v>0</v>
      </c>
      <c r="BO29" s="335">
        <v>0</v>
      </c>
      <c r="BP29" s="335">
        <v>0</v>
      </c>
      <c r="BQ29" s="609">
        <v>0</v>
      </c>
      <c r="BR29" s="335">
        <v>0</v>
      </c>
      <c r="BS29" s="335">
        <v>-1350</v>
      </c>
      <c r="BT29" s="92"/>
    </row>
    <row r="30" spans="1:78">
      <c r="A30" s="36" t="s">
        <v>730</v>
      </c>
      <c r="B30" s="335">
        <v>-43.343000000000004</v>
      </c>
      <c r="C30" s="335">
        <v>-10.760999999999999</v>
      </c>
      <c r="D30" s="335">
        <v>-46.585000000000001</v>
      </c>
      <c r="E30" s="335">
        <v>-78.266999999999996</v>
      </c>
      <c r="F30" s="335">
        <v>-104.13</v>
      </c>
      <c r="G30" s="335">
        <v>-167.67699999999999</v>
      </c>
      <c r="H30" s="335">
        <v>-67.84</v>
      </c>
      <c r="I30" s="335">
        <v>0</v>
      </c>
      <c r="J30" s="335">
        <v>0</v>
      </c>
      <c r="K30" s="335">
        <f>0-J30</f>
        <v>0</v>
      </c>
      <c r="L30" s="335">
        <f>0-K30-J30</f>
        <v>0</v>
      </c>
      <c r="M30" s="335">
        <f>-41.834-L30-K30-J30</f>
        <v>-41.834000000000003</v>
      </c>
      <c r="N30" s="335">
        <v>0</v>
      </c>
      <c r="O30" s="335">
        <f>-245.958-N30</f>
        <v>-245.958</v>
      </c>
      <c r="P30" s="335">
        <f>-245.958-O30-N30</f>
        <v>0</v>
      </c>
      <c r="Q30" s="335">
        <f>-245.958-P30-O30-N30</f>
        <v>0</v>
      </c>
      <c r="R30" s="335">
        <v>0</v>
      </c>
      <c r="S30" s="335">
        <f>-122.648-R30</f>
        <v>-122.648</v>
      </c>
      <c r="T30" s="335">
        <f>-122.648-S30-R30</f>
        <v>0</v>
      </c>
      <c r="U30" s="335">
        <f>-122.648-T30-S30-R30</f>
        <v>0</v>
      </c>
      <c r="V30" s="335">
        <v>0</v>
      </c>
      <c r="W30" s="335">
        <f>0-V30</f>
        <v>0</v>
      </c>
      <c r="X30" s="335">
        <f>0-W30-V30</f>
        <v>0</v>
      </c>
      <c r="Y30" s="335">
        <f>0-X30-W30-V30</f>
        <v>0</v>
      </c>
      <c r="Z30" s="335">
        <v>-26.81</v>
      </c>
      <c r="AA30" s="335">
        <f>-374.478-Z30</f>
        <v>-347.66800000000001</v>
      </c>
      <c r="AB30" s="335">
        <f>-374.478-AA30-Z30</f>
        <v>0</v>
      </c>
      <c r="AC30" s="335">
        <f>-343.878-AB30-AA30-Z30</f>
        <v>30.600000000000019</v>
      </c>
      <c r="AD30" s="335">
        <v>0</v>
      </c>
      <c r="AE30" s="335">
        <f>0-AD30</f>
        <v>0</v>
      </c>
      <c r="AF30" s="335">
        <f>0-AE30-AD30</f>
        <v>0</v>
      </c>
      <c r="AG30" s="335">
        <f>0-AF30-AE30-AD30</f>
        <v>0</v>
      </c>
      <c r="AH30" s="335">
        <v>0</v>
      </c>
      <c r="AI30" s="335">
        <f>-419.173-AH30</f>
        <v>-419.173</v>
      </c>
      <c r="AJ30" s="335">
        <f>-419.173-AI30-AH30</f>
        <v>0</v>
      </c>
      <c r="AK30" s="335">
        <f>-419.173-AJ30-AI30-AH30</f>
        <v>0</v>
      </c>
      <c r="AL30" s="335">
        <v>0</v>
      </c>
      <c r="AM30" s="335">
        <f>-644.771-AL30</f>
        <v>-644.77099999999996</v>
      </c>
      <c r="AN30" s="335">
        <f>-644.771-AM30-AL30</f>
        <v>0</v>
      </c>
      <c r="AO30" s="335">
        <f>-644.771-AN30-AM30-AL30</f>
        <v>0</v>
      </c>
      <c r="AP30" s="335">
        <v>-92.977000000000004</v>
      </c>
      <c r="AQ30" s="335">
        <f>-660.74-AP30</f>
        <v>-567.76300000000003</v>
      </c>
      <c r="AR30" s="335">
        <f>-719.398-AQ30-AP30</f>
        <v>-58.657999999999987</v>
      </c>
      <c r="AS30" s="335">
        <f>-719.398-AR30-AQ30-AP30</f>
        <v>0</v>
      </c>
      <c r="AT30" s="335">
        <v>0</v>
      </c>
      <c r="AU30" s="335">
        <f>-720.144-AT30</f>
        <v>-720.14400000000001</v>
      </c>
      <c r="AV30" s="335">
        <f>-720.144-SUM(AT30:AU30)</f>
        <v>0</v>
      </c>
      <c r="AW30" s="335">
        <f>-720.144-SUM(AT30:AV30)</f>
        <v>0</v>
      </c>
      <c r="AX30" s="335">
        <v>0</v>
      </c>
      <c r="AY30" s="335">
        <v>0</v>
      </c>
      <c r="AZ30" s="335">
        <v>0</v>
      </c>
      <c r="BA30" s="335">
        <f>-SUM(AX30:AZ30)+0</f>
        <v>0</v>
      </c>
      <c r="BB30" s="335">
        <v>0</v>
      </c>
      <c r="BC30" s="335">
        <v>0</v>
      </c>
      <c r="BD30" s="335">
        <v>0</v>
      </c>
      <c r="BE30" s="335">
        <f>0-BD30-BC30-BB30</f>
        <v>0</v>
      </c>
      <c r="BF30" s="335">
        <v>0</v>
      </c>
      <c r="BG30" s="335">
        <v>0</v>
      </c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5">
        <v>0</v>
      </c>
      <c r="BN30" s="335">
        <v>0</v>
      </c>
      <c r="BO30" s="335">
        <v>0</v>
      </c>
      <c r="BP30" s="335">
        <v>0</v>
      </c>
      <c r="BQ30" s="609">
        <v>0</v>
      </c>
      <c r="BR30" s="335">
        <v>0</v>
      </c>
      <c r="BS30" s="335">
        <v>-978.01700000000005</v>
      </c>
      <c r="BT30" s="92"/>
    </row>
    <row r="31" spans="1:78">
      <c r="A31" s="36" t="s">
        <v>726</v>
      </c>
      <c r="B31" s="335">
        <v>0</v>
      </c>
      <c r="C31" s="335">
        <f>32.43</f>
        <v>32.43</v>
      </c>
      <c r="D31" s="335">
        <v>19</v>
      </c>
      <c r="E31" s="335">
        <v>120.313</v>
      </c>
      <c r="F31" s="335">
        <v>20.963000000000001</v>
      </c>
      <c r="G31" s="335">
        <v>727.68899999999996</v>
      </c>
      <c r="H31" s="335">
        <v>55.204999999999998</v>
      </c>
      <c r="I31" s="335">
        <v>0</v>
      </c>
      <c r="J31" s="335">
        <v>0</v>
      </c>
      <c r="K31" s="335">
        <f>0-J31</f>
        <v>0</v>
      </c>
      <c r="L31" s="335">
        <f>0-K31-J31</f>
        <v>0</v>
      </c>
      <c r="M31" s="335">
        <f>0-L31-K31-J31</f>
        <v>0</v>
      </c>
      <c r="N31" s="335">
        <v>0</v>
      </c>
      <c r="O31" s="335">
        <f>0-N31</f>
        <v>0</v>
      </c>
      <c r="P31" s="335">
        <f>0-O31-N31</f>
        <v>0</v>
      </c>
      <c r="Q31" s="335">
        <f>0-P31-O31-N31</f>
        <v>0</v>
      </c>
      <c r="R31" s="335">
        <v>0</v>
      </c>
      <c r="S31" s="335">
        <f>0-R31</f>
        <v>0</v>
      </c>
      <c r="T31" s="335">
        <f>0-S31-R31</f>
        <v>0</v>
      </c>
      <c r="U31" s="335">
        <f>0-T31-S31-R31</f>
        <v>0</v>
      </c>
      <c r="V31" s="335">
        <v>0</v>
      </c>
      <c r="W31" s="335">
        <f>0-V31</f>
        <v>0</v>
      </c>
      <c r="X31" s="335">
        <f>0-W31-V31</f>
        <v>0</v>
      </c>
      <c r="Y31" s="335">
        <f>0-X31-W31-V31</f>
        <v>0</v>
      </c>
      <c r="Z31" s="335">
        <v>0</v>
      </c>
      <c r="AA31" s="335">
        <f>0-Z31</f>
        <v>0</v>
      </c>
      <c r="AB31" s="335">
        <f>0-AA31-Z31</f>
        <v>0</v>
      </c>
      <c r="AC31" s="335">
        <f>0-AB31-AA31-Z31</f>
        <v>0</v>
      </c>
      <c r="AD31" s="335">
        <v>0</v>
      </c>
      <c r="AE31" s="335">
        <f>6657.461-AD31</f>
        <v>6657.4610000000002</v>
      </c>
      <c r="AF31" s="335">
        <f>6652.897-AE31-AD31</f>
        <v>-4.5640000000003056</v>
      </c>
      <c r="AG31" s="335">
        <f>6651.607-AF31-AE31-AD31</f>
        <v>-1.2899999999999636</v>
      </c>
      <c r="AH31" s="335">
        <v>0</v>
      </c>
      <c r="AI31" s="335">
        <f>0-AH31</f>
        <v>0</v>
      </c>
      <c r="AJ31" s="335">
        <f>0-AI31-AH31</f>
        <v>0</v>
      </c>
      <c r="AK31" s="335">
        <f>0-AJ31-AI31-AH31</f>
        <v>0</v>
      </c>
      <c r="AL31" s="335">
        <v>0</v>
      </c>
      <c r="AM31" s="335">
        <v>0</v>
      </c>
      <c r="AN31" s="335">
        <v>0</v>
      </c>
      <c r="AO31" s="335">
        <v>0</v>
      </c>
      <c r="AP31" s="335">
        <v>0</v>
      </c>
      <c r="AQ31" s="335">
        <v>0</v>
      </c>
      <c r="AR31" s="335">
        <v>0</v>
      </c>
      <c r="AS31" s="335">
        <v>0</v>
      </c>
      <c r="AT31" s="335">
        <v>0</v>
      </c>
      <c r="AU31" s="335">
        <v>0</v>
      </c>
      <c r="AV31" s="335">
        <v>0</v>
      </c>
      <c r="AW31" s="335">
        <v>0</v>
      </c>
      <c r="AX31" s="335">
        <v>0</v>
      </c>
      <c r="AY31" s="335">
        <v>0</v>
      </c>
      <c r="AZ31" s="335">
        <v>0</v>
      </c>
      <c r="BA31" s="335">
        <f>-SUM(AX31:AZ31)</f>
        <v>0</v>
      </c>
      <c r="BB31" s="335">
        <v>0</v>
      </c>
      <c r="BC31" s="335">
        <v>0</v>
      </c>
      <c r="BD31" s="335">
        <v>0</v>
      </c>
      <c r="BE31" s="335">
        <f>0-BD31-BC31-BB31</f>
        <v>0</v>
      </c>
      <c r="BF31" s="335">
        <v>0</v>
      </c>
      <c r="BG31" s="335">
        <v>0</v>
      </c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5">
        <v>0</v>
      </c>
      <c r="BN31" s="335">
        <v>0</v>
      </c>
      <c r="BO31" s="335">
        <v>0</v>
      </c>
      <c r="BP31" s="335">
        <v>0</v>
      </c>
      <c r="BQ31" s="609">
        <v>0</v>
      </c>
      <c r="BR31" s="335">
        <v>0</v>
      </c>
      <c r="BS31" s="335">
        <v>0</v>
      </c>
      <c r="BT31" s="92"/>
      <c r="BZ31" s="92"/>
    </row>
    <row r="32" spans="1:78">
      <c r="A32" s="36" t="s">
        <v>727</v>
      </c>
      <c r="B32" s="335">
        <v>33.78</v>
      </c>
      <c r="C32" s="335">
        <v>0</v>
      </c>
      <c r="D32" s="335">
        <v>0</v>
      </c>
      <c r="E32" s="335">
        <v>0</v>
      </c>
      <c r="F32" s="335">
        <v>0</v>
      </c>
      <c r="G32" s="335">
        <v>0</v>
      </c>
      <c r="H32" s="335">
        <v>0</v>
      </c>
      <c r="I32" s="335">
        <v>87.363</v>
      </c>
      <c r="J32" s="335">
        <v>-0.84299999999999997</v>
      </c>
      <c r="K32" s="335">
        <f>1.623</f>
        <v>1.623</v>
      </c>
      <c r="L32" s="335">
        <f>1.317-K32-J32</f>
        <v>0.53699999999999992</v>
      </c>
      <c r="M32" s="335">
        <f>-18.743-L32-K32-J32</f>
        <v>-20.059999999999999</v>
      </c>
      <c r="N32" s="335">
        <v>7.8140000000000001</v>
      </c>
      <c r="O32" s="335">
        <f>12.752-N32</f>
        <v>4.9380000000000006</v>
      </c>
      <c r="P32" s="335">
        <f>14.924-O32-N32</f>
        <v>2.1719999999999988</v>
      </c>
      <c r="Q32" s="335">
        <f>14.1-P32-O32-N32</f>
        <v>-0.82399999999999984</v>
      </c>
      <c r="R32" s="335">
        <v>-1.4059999999999999</v>
      </c>
      <c r="S32" s="335">
        <f>-2.529-R32</f>
        <v>-1.123</v>
      </c>
      <c r="T32" s="335">
        <f>1.1-S32-R32</f>
        <v>3.6289999999999996</v>
      </c>
      <c r="U32" s="335">
        <f>26.515-T32-S32-R32</f>
        <v>25.415000000000003</v>
      </c>
      <c r="V32" s="335">
        <v>-23.465</v>
      </c>
      <c r="W32" s="335">
        <f>-49.388-V32</f>
        <v>-25.922999999999998</v>
      </c>
      <c r="X32" s="335">
        <f>-53.862-W32-V32</f>
        <v>-4.4740000000000038</v>
      </c>
      <c r="Y32" s="335">
        <f>-69.182-X32-W32-V32</f>
        <v>-15.319999999999997</v>
      </c>
      <c r="Z32" s="335">
        <v>-7.8029999999999999</v>
      </c>
      <c r="AA32" s="335">
        <f>216.811-Z32</f>
        <v>224.614</v>
      </c>
      <c r="AB32" s="335">
        <f>-433.329-AA32-Z32</f>
        <v>-650.14</v>
      </c>
      <c r="AC32" s="335">
        <f>-487.882-AB32-AA32-Z32</f>
        <v>-54.553000000000026</v>
      </c>
      <c r="AD32" s="335">
        <v>0</v>
      </c>
      <c r="AE32" s="335">
        <f>0-AD32</f>
        <v>0</v>
      </c>
      <c r="AF32" s="335">
        <f>0-AE32-AD32</f>
        <v>0</v>
      </c>
      <c r="AG32" s="335">
        <f>0-AF32-AE32-AD32</f>
        <v>0</v>
      </c>
      <c r="AH32" s="335">
        <v>0</v>
      </c>
      <c r="AI32" s="335">
        <f>0-AH32</f>
        <v>0</v>
      </c>
      <c r="AJ32" s="335">
        <f>-27.265-AI32-AH32</f>
        <v>-27.265000000000001</v>
      </c>
      <c r="AK32" s="335">
        <f>-27.265-AJ32-AI32-AH32</f>
        <v>0</v>
      </c>
      <c r="AL32" s="335">
        <v>0</v>
      </c>
      <c r="AM32" s="335">
        <v>0</v>
      </c>
      <c r="AN32" s="335">
        <v>0</v>
      </c>
      <c r="AO32" s="335">
        <v>0</v>
      </c>
      <c r="AP32" s="335">
        <v>0</v>
      </c>
      <c r="AQ32" s="335">
        <v>0</v>
      </c>
      <c r="AR32" s="335">
        <v>0</v>
      </c>
      <c r="AS32" s="335">
        <v>0</v>
      </c>
      <c r="AT32" s="335">
        <v>0</v>
      </c>
      <c r="AU32" s="335">
        <v>0</v>
      </c>
      <c r="AV32" s="335">
        <v>0</v>
      </c>
      <c r="AW32" s="335">
        <f>1690.05-SUM(AT32:AV32)</f>
        <v>1690.05</v>
      </c>
      <c r="AX32" s="335">
        <v>0</v>
      </c>
      <c r="AY32" s="335">
        <v>0</v>
      </c>
      <c r="AZ32" s="335">
        <v>0</v>
      </c>
      <c r="BA32" s="335">
        <f>-SUM(AX32:AZ32)</f>
        <v>0</v>
      </c>
      <c r="BB32" s="335">
        <v>90.453999999999994</v>
      </c>
      <c r="BC32" s="335">
        <f>0-BB32</f>
        <v>-90.453999999999994</v>
      </c>
      <c r="BD32" s="335">
        <v>0</v>
      </c>
      <c r="BE32" s="335">
        <f>0-BD32-BC32-BB32</f>
        <v>0</v>
      </c>
      <c r="BF32" s="335">
        <v>0</v>
      </c>
      <c r="BG32" s="335">
        <f>-30.254-BF32</f>
        <v>-30.254000000000001</v>
      </c>
      <c r="BH32" s="335">
        <f>-1362.564-BG32</f>
        <v>-1332.3100000000002</v>
      </c>
      <c r="BI32" s="335">
        <f>-1315.547-BH32-BG32-BF32</f>
        <v>47.017000000000152</v>
      </c>
      <c r="BJ32" s="335">
        <v>0</v>
      </c>
      <c r="BK32" s="335">
        <v>0</v>
      </c>
      <c r="BL32" s="335">
        <v>0</v>
      </c>
      <c r="BM32" s="335">
        <v>0</v>
      </c>
      <c r="BN32" s="335">
        <v>0</v>
      </c>
      <c r="BO32" s="335">
        <v>0</v>
      </c>
      <c r="BP32" s="335">
        <v>0</v>
      </c>
      <c r="BQ32" s="609">
        <v>0</v>
      </c>
      <c r="BR32" s="435">
        <v>-2548.4609999999998</v>
      </c>
      <c r="BS32" s="435">
        <f>-2548.461-BR32</f>
        <v>0</v>
      </c>
      <c r="BT32" s="92"/>
    </row>
    <row r="33" spans="1:72">
      <c r="A33" s="36" t="s">
        <v>728</v>
      </c>
      <c r="B33" s="335">
        <v>-4.1900000000000004</v>
      </c>
      <c r="C33" s="335">
        <v>-17.751999999999999</v>
      </c>
      <c r="D33" s="335">
        <v>-16.439</v>
      </c>
      <c r="E33" s="335">
        <v>71.102000000000004</v>
      </c>
      <c r="F33" s="335">
        <v>5.5810000000000004</v>
      </c>
      <c r="G33" s="335">
        <v>13.355</v>
      </c>
      <c r="H33" s="335">
        <v>-70.257999999999996</v>
      </c>
      <c r="I33" s="335">
        <v>-125.748</v>
      </c>
      <c r="J33" s="335">
        <v>-1.7230000000000001</v>
      </c>
      <c r="K33" s="335">
        <f>-35.117</f>
        <v>-35.116999999999997</v>
      </c>
      <c r="L33" s="335">
        <f>-77.489-K33-J33</f>
        <v>-40.649000000000008</v>
      </c>
      <c r="M33" s="335">
        <f>-118.035-L33-K33-J33</f>
        <v>-40.545999999999999</v>
      </c>
      <c r="N33" s="335">
        <v>100.68899999999999</v>
      </c>
      <c r="O33" s="335">
        <f>137.949-N33</f>
        <v>37.260000000000019</v>
      </c>
      <c r="P33" s="335">
        <f>130.376-O33-N33</f>
        <v>-7.5730000000000075</v>
      </c>
      <c r="Q33" s="335">
        <f>62.095-P33-O33-N33</f>
        <v>-68.281000000000006</v>
      </c>
      <c r="R33" s="335">
        <v>89.372</v>
      </c>
      <c r="S33" s="335">
        <f>90.915-R33</f>
        <v>1.5430000000000064</v>
      </c>
      <c r="T33" s="335">
        <f>45.463-S33-R33</f>
        <v>-45.452000000000005</v>
      </c>
      <c r="U33" s="335">
        <f>27.173-T33-S33-R33</f>
        <v>-18.290000000000006</v>
      </c>
      <c r="V33" s="335">
        <v>187.27799999999999</v>
      </c>
      <c r="W33" s="335">
        <f>186.188-V33</f>
        <v>-1.0900000000000034</v>
      </c>
      <c r="X33" s="335">
        <f>186.221-W33-V33</f>
        <v>3.3000000000015461E-2</v>
      </c>
      <c r="Y33" s="335">
        <f>186.226-X33-W33-V33</f>
        <v>4.9999999999954525E-3</v>
      </c>
      <c r="Z33" s="335">
        <v>0</v>
      </c>
      <c r="AA33" s="335">
        <f>-42.113-Z33</f>
        <v>-42.113</v>
      </c>
      <c r="AB33" s="335">
        <f>5.07-AA33-Z33</f>
        <v>47.183</v>
      </c>
      <c r="AC33" s="335">
        <f>5.07-AB33-AA33-Z33</f>
        <v>0</v>
      </c>
      <c r="AD33" s="335">
        <v>0</v>
      </c>
      <c r="AE33" s="335">
        <f>0-AD33</f>
        <v>0</v>
      </c>
      <c r="AF33" s="335">
        <f>-0.005-AE33-AD33</f>
        <v>-5.0000000000000001E-3</v>
      </c>
      <c r="AG33" s="335">
        <f>-38.343-AF33-AE33-AD33</f>
        <v>-38.338000000000001</v>
      </c>
      <c r="AH33" s="335">
        <v>20.823</v>
      </c>
      <c r="AI33" s="335">
        <f>41.881-AH33</f>
        <v>21.058</v>
      </c>
      <c r="AJ33" s="335">
        <f>3.456-AI33-AH33</f>
        <v>-38.424999999999997</v>
      </c>
      <c r="AK33" s="335">
        <f>-13.845-AJ33-AI33-AH33</f>
        <v>-17.301000000000002</v>
      </c>
      <c r="AL33" s="335">
        <v>-5.6820000000000004</v>
      </c>
      <c r="AM33" s="335">
        <f>-5.682-AL33</f>
        <v>0</v>
      </c>
      <c r="AN33" s="335">
        <f>-102.125-AM33-AL33</f>
        <v>-96.442999999999998</v>
      </c>
      <c r="AO33" s="335">
        <f>-199.002-AN33-AM33-AL33</f>
        <v>-96.87700000000001</v>
      </c>
      <c r="AP33" s="335">
        <v>-37.128999999999998</v>
      </c>
      <c r="AQ33" s="335">
        <f>64.484-AP33</f>
        <v>101.613</v>
      </c>
      <c r="AR33" s="335">
        <f>14.089-AQ33-AP33</f>
        <v>-50.395000000000003</v>
      </c>
      <c r="AS33" s="335">
        <f>-60.577-AR33-AQ33-AP33</f>
        <v>-74.665999999999997</v>
      </c>
      <c r="AT33" s="335">
        <v>321.64299999999997</v>
      </c>
      <c r="AU33" s="335">
        <f>370.19-AT33</f>
        <v>48.547000000000025</v>
      </c>
      <c r="AV33" s="335">
        <f>370.19-SUM(AT33:AU33)</f>
        <v>0</v>
      </c>
      <c r="AW33" s="335">
        <f>221.195-SUM(AT33:AV33)</f>
        <v>-148.995</v>
      </c>
      <c r="AX33" s="335">
        <v>15.010999999999999</v>
      </c>
      <c r="AY33" s="335">
        <f>-150.931-AX33</f>
        <v>-165.94200000000001</v>
      </c>
      <c r="AZ33" s="335">
        <f>-164.423-AX33-AY33</f>
        <v>-13.49199999999999</v>
      </c>
      <c r="BA33" s="335">
        <f>-SUM(AX33:AZ33)+227.923</f>
        <v>392.346</v>
      </c>
      <c r="BB33" s="335">
        <v>-126.45399999999999</v>
      </c>
      <c r="BC33" s="335">
        <f>-147.512-BB33</f>
        <v>-21.058000000000007</v>
      </c>
      <c r="BD33" s="335">
        <f>-148.356-BB33-BC33</f>
        <v>-0.84399999999999409</v>
      </c>
      <c r="BE33" s="335">
        <f>4.485-BD33-BC33-BB33</f>
        <v>152.84100000000001</v>
      </c>
      <c r="BF33" s="335">
        <v>0</v>
      </c>
      <c r="BG33" s="335">
        <v>0</v>
      </c>
      <c r="BH33" s="335">
        <v>0</v>
      </c>
      <c r="BI33" s="335">
        <v>0</v>
      </c>
      <c r="BJ33" s="335">
        <v>0</v>
      </c>
      <c r="BK33" s="335">
        <f>-332.066-BJ33</f>
        <v>-332.06599999999997</v>
      </c>
      <c r="BL33" s="335">
        <f>-696.23-BK33-BJ33</f>
        <v>-364.16400000000004</v>
      </c>
      <c r="BM33" s="335">
        <f>-729.087-SUM(BJ33:BL33)</f>
        <v>-32.856999999999971</v>
      </c>
      <c r="BN33" s="335">
        <v>-202.35</v>
      </c>
      <c r="BO33" s="335">
        <f>-202.35-BN33</f>
        <v>0</v>
      </c>
      <c r="BP33" s="335">
        <f>-348.237-SUM(BN33:BO33)</f>
        <v>-145.88700000000003</v>
      </c>
      <c r="BQ33" s="609">
        <f>-348.237-SUM(BN33:BP33)</f>
        <v>0</v>
      </c>
      <c r="BR33" s="335">
        <v>360.03500000000003</v>
      </c>
      <c r="BS33" s="335">
        <f>356.356-BR33</f>
        <v>-3.6790000000000305</v>
      </c>
      <c r="BT33" s="92"/>
    </row>
    <row r="34" spans="1:72">
      <c r="A34" s="36" t="s">
        <v>1250</v>
      </c>
      <c r="B34" s="335">
        <v>0</v>
      </c>
      <c r="C34" s="335">
        <v>0</v>
      </c>
      <c r="D34" s="335">
        <v>0</v>
      </c>
      <c r="E34" s="335">
        <v>0</v>
      </c>
      <c r="F34" s="335">
        <v>0</v>
      </c>
      <c r="G34" s="335">
        <v>0</v>
      </c>
      <c r="H34" s="335">
        <v>0</v>
      </c>
      <c r="I34" s="335">
        <v>0</v>
      </c>
      <c r="J34" s="335">
        <v>0</v>
      </c>
      <c r="K34" s="335">
        <v>0</v>
      </c>
      <c r="L34" s="335">
        <v>0</v>
      </c>
      <c r="M34" s="335">
        <v>0</v>
      </c>
      <c r="N34" s="335">
        <v>0</v>
      </c>
      <c r="O34" s="335">
        <v>0</v>
      </c>
      <c r="P34" s="335">
        <v>0</v>
      </c>
      <c r="Q34" s="335">
        <v>0</v>
      </c>
      <c r="R34" s="335">
        <v>0</v>
      </c>
      <c r="S34" s="335">
        <v>0</v>
      </c>
      <c r="T34" s="335">
        <v>0</v>
      </c>
      <c r="U34" s="335">
        <v>0</v>
      </c>
      <c r="V34" s="335">
        <v>0</v>
      </c>
      <c r="W34" s="335">
        <v>0</v>
      </c>
      <c r="X34" s="335">
        <v>0</v>
      </c>
      <c r="Y34" s="335">
        <v>0</v>
      </c>
      <c r="Z34" s="335">
        <v>0</v>
      </c>
      <c r="AA34" s="335">
        <v>0</v>
      </c>
      <c r="AB34" s="335">
        <v>0</v>
      </c>
      <c r="AC34" s="335">
        <v>0</v>
      </c>
      <c r="AD34" s="335">
        <v>0</v>
      </c>
      <c r="AE34" s="335">
        <v>0</v>
      </c>
      <c r="AF34" s="335">
        <v>0</v>
      </c>
      <c r="AG34" s="335">
        <v>0</v>
      </c>
      <c r="AH34" s="335">
        <v>0</v>
      </c>
      <c r="AI34" s="335">
        <v>0</v>
      </c>
      <c r="AJ34" s="335">
        <v>0</v>
      </c>
      <c r="AK34" s="335">
        <v>0</v>
      </c>
      <c r="AL34" s="335">
        <v>0</v>
      </c>
      <c r="AM34" s="335">
        <v>0</v>
      </c>
      <c r="AN34" s="335">
        <v>0</v>
      </c>
      <c r="AO34" s="335">
        <v>0</v>
      </c>
      <c r="AP34" s="335">
        <v>0</v>
      </c>
      <c r="AQ34" s="335">
        <v>0</v>
      </c>
      <c r="AR34" s="335">
        <v>0</v>
      </c>
      <c r="AS34" s="335">
        <v>0</v>
      </c>
      <c r="AT34" s="335">
        <v>0</v>
      </c>
      <c r="AU34" s="335">
        <v>0</v>
      </c>
      <c r="AV34" s="335">
        <v>0</v>
      </c>
      <c r="AW34" s="335">
        <v>0</v>
      </c>
      <c r="AX34" s="335">
        <v>-932.37699999999995</v>
      </c>
      <c r="AY34" s="335">
        <f>-1819.801-AX34</f>
        <v>-887.42399999999998</v>
      </c>
      <c r="AZ34" s="335">
        <f>0-AY34-AX34</f>
        <v>1819.8009999999999</v>
      </c>
      <c r="BA34" s="335">
        <f>-SUM(AX34:AZ34)</f>
        <v>0</v>
      </c>
      <c r="BB34" s="335">
        <v>-998.07</v>
      </c>
      <c r="BC34" s="335">
        <f>-946.913-BB34</f>
        <v>51.157000000000039</v>
      </c>
      <c r="BD34" s="335">
        <f>-3234.69-BC34-BB34</f>
        <v>-2287.777</v>
      </c>
      <c r="BE34" s="335">
        <f>-4310.041-BD34-BC34-BB34</f>
        <v>-1075.3510000000001</v>
      </c>
      <c r="BF34" s="335">
        <v>-1148.0239999999999</v>
      </c>
      <c r="BG34" s="335">
        <f>-2262.001-BF34</f>
        <v>-1113.9770000000003</v>
      </c>
      <c r="BH34" s="335">
        <f>-3347.48-BG34-BF34</f>
        <v>-1085.4789999999998</v>
      </c>
      <c r="BI34" s="335">
        <f>-5738.455-BH34-BG34-BF34</f>
        <v>-2390.9750000000004</v>
      </c>
      <c r="BJ34" s="335">
        <v>-1438.731</v>
      </c>
      <c r="BK34" s="335">
        <f>-2812.138-BJ34</f>
        <v>-1373.4069999999999</v>
      </c>
      <c r="BL34" s="435">
        <f>-3427.734-BK34-BJ34</f>
        <v>-615.59600000000023</v>
      </c>
      <c r="BM34" s="435">
        <f>-4388.669-SUM(BJ34:BL34)</f>
        <v>-960.93499999999949</v>
      </c>
      <c r="BN34" s="435">
        <v>-1074.682</v>
      </c>
      <c r="BO34" s="435">
        <f>-2119.188-BN34</f>
        <v>-1044.5060000000001</v>
      </c>
      <c r="BP34" s="435">
        <f>-3129.926-SUM(BN34:BO34)</f>
        <v>-1010.7379999999998</v>
      </c>
      <c r="BQ34" s="608">
        <f>-5130-SUM(BN34:BP34)</f>
        <v>-2000.0740000000001</v>
      </c>
      <c r="BR34" s="435">
        <v>-935.12</v>
      </c>
      <c r="BS34" s="435">
        <f>-1989.603-BR34</f>
        <v>-1054.4830000000002</v>
      </c>
      <c r="BT34" s="92"/>
    </row>
    <row r="35" spans="1:72">
      <c r="A35" s="36" t="s">
        <v>80</v>
      </c>
      <c r="B35" s="335">
        <v>0</v>
      </c>
      <c r="C35" s="335">
        <f>-0.034</f>
        <v>-3.4000000000000002E-2</v>
      </c>
      <c r="D35" s="335">
        <v>0</v>
      </c>
      <c r="E35" s="335">
        <v>0</v>
      </c>
      <c r="F35" s="335">
        <v>0</v>
      </c>
      <c r="G35" s="335">
        <v>0</v>
      </c>
      <c r="H35" s="335">
        <v>0</v>
      </c>
      <c r="I35" s="335">
        <v>-120.864</v>
      </c>
      <c r="J35" s="335">
        <v>0</v>
      </c>
      <c r="K35" s="335">
        <f>0-J35</f>
        <v>0</v>
      </c>
      <c r="L35" s="335">
        <f>0-K35-J35</f>
        <v>0</v>
      </c>
      <c r="M35" s="335">
        <f>0-L35-K35-J35</f>
        <v>0</v>
      </c>
      <c r="N35" s="335">
        <v>0</v>
      </c>
      <c r="O35" s="335">
        <f>0-N35</f>
        <v>0</v>
      </c>
      <c r="P35" s="335">
        <f>0-O35-N35</f>
        <v>0</v>
      </c>
      <c r="Q35" s="335">
        <f>0-P35-O35-N35</f>
        <v>0</v>
      </c>
      <c r="R35" s="335">
        <v>0</v>
      </c>
      <c r="S35" s="335">
        <f>0-R35</f>
        <v>0</v>
      </c>
      <c r="T35" s="335">
        <f>0-S35-R35</f>
        <v>0</v>
      </c>
      <c r="U35" s="335">
        <f>0-T35-S35-R35</f>
        <v>0</v>
      </c>
      <c r="V35" s="335">
        <v>0</v>
      </c>
      <c r="W35" s="335">
        <f>0-V35</f>
        <v>0</v>
      </c>
      <c r="X35" s="335">
        <f>0-W35-V35</f>
        <v>0</v>
      </c>
      <c r="Y35" s="335">
        <f>1115.022-X35-W35-V35</f>
        <v>1115.0219999999999</v>
      </c>
      <c r="Z35" s="335">
        <v>0</v>
      </c>
      <c r="AA35" s="335">
        <f>0-Z35</f>
        <v>0</v>
      </c>
      <c r="AB35" s="335">
        <f>0-AA35-Z35</f>
        <v>0</v>
      </c>
      <c r="AC35" s="335">
        <f>0-AB35-AA35-Z35</f>
        <v>0</v>
      </c>
      <c r="AD35" s="335">
        <v>0</v>
      </c>
      <c r="AE35" s="335">
        <f>0-AD35</f>
        <v>0</v>
      </c>
      <c r="AF35" s="335">
        <f>0-AE35-AD35</f>
        <v>0</v>
      </c>
      <c r="AG35" s="335">
        <f>-7.242-AF35-AE35-AD35</f>
        <v>-7.242</v>
      </c>
      <c r="AH35" s="335">
        <v>0</v>
      </c>
      <c r="AI35" s="335">
        <f>0-AH35</f>
        <v>0</v>
      </c>
      <c r="AJ35" s="335">
        <f>0-AI35-AH35</f>
        <v>0</v>
      </c>
      <c r="AK35" s="335">
        <f>0-AJ35-AI35-AH35</f>
        <v>0</v>
      </c>
      <c r="AL35" s="335">
        <v>0</v>
      </c>
      <c r="AM35" s="335">
        <v>0</v>
      </c>
      <c r="AN35" s="335">
        <v>0</v>
      </c>
      <c r="AO35" s="335">
        <v>0</v>
      </c>
      <c r="AP35" s="335">
        <v>0</v>
      </c>
      <c r="AQ35" s="335">
        <v>0</v>
      </c>
      <c r="AR35" s="335">
        <v>0</v>
      </c>
      <c r="AS35" s="335">
        <v>0</v>
      </c>
      <c r="AT35" s="335">
        <v>0</v>
      </c>
      <c r="AU35" s="335">
        <v>0</v>
      </c>
      <c r="AV35" s="335">
        <v>0</v>
      </c>
      <c r="AW35" s="335">
        <v>0</v>
      </c>
      <c r="AX35" s="335">
        <v>0</v>
      </c>
      <c r="AY35" s="335">
        <v>0</v>
      </c>
      <c r="AZ35" s="335">
        <v>0</v>
      </c>
      <c r="BA35" s="335">
        <f>-SUM(AX35:AZ35)-75.243</f>
        <v>-75.242999999999995</v>
      </c>
      <c r="BB35" s="335">
        <v>0</v>
      </c>
      <c r="BC35" s="335">
        <f>64.303-BB35</f>
        <v>64.302999999999997</v>
      </c>
      <c r="BD35" s="335">
        <f>68.719-BB35-BC35</f>
        <v>4.4159999999999968</v>
      </c>
      <c r="BE35" s="335">
        <f>28.766-BD35-BC35-BB35</f>
        <v>-39.952999999999996</v>
      </c>
      <c r="BF35" s="335">
        <v>-17.015000000000001</v>
      </c>
      <c r="BG35" s="335">
        <f>9.152-BF35</f>
        <v>26.167000000000002</v>
      </c>
      <c r="BH35" s="335">
        <f>-396.5-BG35-BF35</f>
        <v>-405.65200000000004</v>
      </c>
      <c r="BI35" s="335">
        <f>-244.863-BH35-BG35-BF35</f>
        <v>151.63700000000006</v>
      </c>
      <c r="BJ35" s="335">
        <v>4.5090000000000003</v>
      </c>
      <c r="BK35" s="335">
        <f>-35.002-BJ35</f>
        <v>-39.511000000000003</v>
      </c>
      <c r="BL35" s="335">
        <f>-49.399-BK35-BJ35</f>
        <v>-14.396999999999998</v>
      </c>
      <c r="BM35" s="335">
        <f>-34.026-SUM(BJ35:BL35)</f>
        <v>15.372999999999998</v>
      </c>
      <c r="BN35" s="335">
        <v>-11.577999999999999</v>
      </c>
      <c r="BO35" s="335">
        <f>-58.506-BN35</f>
        <v>-46.927999999999997</v>
      </c>
      <c r="BP35" s="335">
        <f>-84.738-SUM(BN35:BO35)</f>
        <v>-26.231999999999999</v>
      </c>
      <c r="BQ35" s="609">
        <f>-69.657-SUM(BN35:BP35)-(4090.8-5130)</f>
        <v>1054.2809999999997</v>
      </c>
      <c r="BR35" s="335">
        <v>0</v>
      </c>
      <c r="BS35" s="335">
        <v>0</v>
      </c>
      <c r="BT35" s="92"/>
    </row>
    <row r="36" spans="1:72">
      <c r="A36" s="13" t="s">
        <v>723</v>
      </c>
      <c r="B36" s="170">
        <f t="shared" ref="B36:H36" si="21">SUM(B28:B35)</f>
        <v>-107.667</v>
      </c>
      <c r="C36" s="170">
        <f t="shared" si="21"/>
        <v>-56.767000000000003</v>
      </c>
      <c r="D36" s="170">
        <f t="shared" si="21"/>
        <v>-73.003999999999991</v>
      </c>
      <c r="E36" s="170">
        <f t="shared" si="21"/>
        <v>25.594000000000008</v>
      </c>
      <c r="F36" s="170">
        <f t="shared" si="21"/>
        <v>549.774</v>
      </c>
      <c r="G36" s="170">
        <f t="shared" si="21"/>
        <v>241.31999999999991</v>
      </c>
      <c r="H36" s="170">
        <f t="shared" si="21"/>
        <v>453.28100000000001</v>
      </c>
      <c r="I36" s="170">
        <f t="shared" ref="I36:AJ36" si="22">SUM(I28:I35)</f>
        <v>580.67999999999984</v>
      </c>
      <c r="J36" s="170">
        <f t="shared" si="22"/>
        <v>-54.789999999999992</v>
      </c>
      <c r="K36" s="170">
        <f t="shared" si="22"/>
        <v>-188.96299999999999</v>
      </c>
      <c r="L36" s="170">
        <f t="shared" si="22"/>
        <v>-281.52100000000002</v>
      </c>
      <c r="M36" s="170">
        <f t="shared" si="22"/>
        <v>-141.41400000000004</v>
      </c>
      <c r="N36" s="843">
        <f t="shared" si="22"/>
        <v>359.28700000000003</v>
      </c>
      <c r="O36" s="843">
        <f t="shared" si="22"/>
        <v>-307.59699999999998</v>
      </c>
      <c r="P36" s="843">
        <f t="shared" si="22"/>
        <v>-107.61400000000003</v>
      </c>
      <c r="Q36" s="843">
        <f t="shared" si="22"/>
        <v>181.58199999999999</v>
      </c>
      <c r="R36" s="170">
        <f t="shared" si="22"/>
        <v>14.759999999999991</v>
      </c>
      <c r="S36" s="170">
        <f t="shared" si="22"/>
        <v>123.63000000000001</v>
      </c>
      <c r="T36" s="170">
        <f t="shared" si="22"/>
        <v>-20.248000000000005</v>
      </c>
      <c r="U36" s="170">
        <f t="shared" si="22"/>
        <v>2278.3740000000003</v>
      </c>
      <c r="V36" s="170">
        <f t="shared" si="22"/>
        <v>62.394999999999982</v>
      </c>
      <c r="W36" s="170">
        <f t="shared" si="22"/>
        <v>-335.005</v>
      </c>
      <c r="X36" s="170">
        <f t="shared" si="22"/>
        <v>-200.60299999999995</v>
      </c>
      <c r="Y36" s="170">
        <f t="shared" si="22"/>
        <v>46.007000000000062</v>
      </c>
      <c r="Z36" s="170">
        <f t="shared" si="22"/>
        <v>-89.839999999999989</v>
      </c>
      <c r="AA36" s="170">
        <f t="shared" si="22"/>
        <v>878.80200000000036</v>
      </c>
      <c r="AB36" s="170">
        <f t="shared" si="22"/>
        <v>986.10099999999954</v>
      </c>
      <c r="AC36" s="170">
        <f t="shared" si="22"/>
        <v>-32.616999999999862</v>
      </c>
      <c r="AD36" s="170">
        <f t="shared" si="22"/>
        <v>75.688000000000002</v>
      </c>
      <c r="AE36" s="170">
        <f t="shared" si="22"/>
        <v>8818.1579999999994</v>
      </c>
      <c r="AF36" s="170">
        <f t="shared" si="22"/>
        <v>-73.98400000000062</v>
      </c>
      <c r="AG36" s="170">
        <f t="shared" si="22"/>
        <v>1974.2300000000002</v>
      </c>
      <c r="AH36" s="170">
        <f t="shared" si="22"/>
        <v>523.17099999999994</v>
      </c>
      <c r="AI36" s="170">
        <f t="shared" si="22"/>
        <v>238.41599999999994</v>
      </c>
      <c r="AJ36" s="170">
        <f t="shared" si="22"/>
        <v>-192.43800000000005</v>
      </c>
      <c r="AK36" s="170">
        <f t="shared" ref="AK36:AV36" si="23">SUM(AK28:AK35)</f>
        <v>-146.85199999999992</v>
      </c>
      <c r="AL36" s="170">
        <f t="shared" si="23"/>
        <v>141.93900000000002</v>
      </c>
      <c r="AM36" s="170">
        <f t="shared" si="23"/>
        <v>81.163000000000011</v>
      </c>
      <c r="AN36" s="170">
        <f t="shared" si="23"/>
        <v>87.036999999999566</v>
      </c>
      <c r="AO36" s="170">
        <f t="shared" si="23"/>
        <v>1202.9970000000001</v>
      </c>
      <c r="AP36" s="170">
        <f t="shared" si="23"/>
        <v>227.34200000000001</v>
      </c>
      <c r="AQ36" s="170">
        <f t="shared" si="23"/>
        <v>9.8409999999999513</v>
      </c>
      <c r="AR36" s="170">
        <f t="shared" si="23"/>
        <v>346.33200000000011</v>
      </c>
      <c r="AS36" s="170">
        <f t="shared" si="23"/>
        <v>-1628.845</v>
      </c>
      <c r="AT36" s="170">
        <f t="shared" si="23"/>
        <v>1003.0119999999999</v>
      </c>
      <c r="AU36" s="170">
        <f t="shared" si="23"/>
        <v>196.00100000000009</v>
      </c>
      <c r="AV36" s="170">
        <f t="shared" si="23"/>
        <v>668.57799999999997</v>
      </c>
      <c r="AW36" s="170">
        <f t="shared" ref="AW36:BC36" si="24">SUM(AW28:AW35)</f>
        <v>10555.297999999999</v>
      </c>
      <c r="AX36" s="170">
        <f t="shared" si="24"/>
        <v>805.625</v>
      </c>
      <c r="AY36" s="170">
        <f t="shared" si="24"/>
        <v>-1204.72</v>
      </c>
      <c r="AZ36" s="170">
        <f t="shared" si="24"/>
        <v>2265.1890000000003</v>
      </c>
      <c r="BA36" s="170">
        <f t="shared" si="24"/>
        <v>-1309.1680000000001</v>
      </c>
      <c r="BB36" s="170">
        <f t="shared" si="24"/>
        <v>1008.8290000000001</v>
      </c>
      <c r="BC36" s="170">
        <f t="shared" si="24"/>
        <v>2945.1639999999998</v>
      </c>
      <c r="BD36" s="170">
        <f t="shared" ref="BD36:BR36" si="25">SUM(BD28:BD35)</f>
        <v>-1892.4799999999998</v>
      </c>
      <c r="BE36" s="170">
        <f t="shared" si="25"/>
        <v>-990.95900000000017</v>
      </c>
      <c r="BF36" s="170">
        <f t="shared" si="25"/>
        <v>-1172.9939999999999</v>
      </c>
      <c r="BG36" s="170">
        <f t="shared" si="25"/>
        <v>-1305.5270000000005</v>
      </c>
      <c r="BH36" s="170">
        <f t="shared" si="25"/>
        <v>-2694.4749999999999</v>
      </c>
      <c r="BI36" s="170">
        <f t="shared" si="25"/>
        <v>-1850.6059999999998</v>
      </c>
      <c r="BJ36" s="170">
        <f t="shared" si="25"/>
        <v>-2593.3530000000001</v>
      </c>
      <c r="BK36" s="170">
        <f t="shared" si="25"/>
        <v>-2260.9339999999997</v>
      </c>
      <c r="BL36" s="170">
        <f t="shared" si="25"/>
        <v>-1150.6711999999998</v>
      </c>
      <c r="BM36" s="170">
        <f t="shared" si="25"/>
        <v>-1299.6107999999999</v>
      </c>
      <c r="BN36" s="170">
        <f t="shared" si="25"/>
        <v>-1369.713</v>
      </c>
      <c r="BO36" s="170">
        <f t="shared" si="25"/>
        <v>-1054.8110000000001</v>
      </c>
      <c r="BP36" s="170">
        <f t="shared" si="25"/>
        <v>-292.54999999999984</v>
      </c>
      <c r="BQ36" s="1945">
        <f t="shared" si="25"/>
        <v>-1225.2630000000001</v>
      </c>
      <c r="BR36" s="170">
        <f t="shared" si="25"/>
        <v>-625.20499999999993</v>
      </c>
      <c r="BS36" s="170">
        <f>SUM(BS28:BS35)</f>
        <v>-2109.6800000000003</v>
      </c>
    </row>
    <row r="37" spans="1:72"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BA37" s="92"/>
      <c r="BB37" s="92"/>
      <c r="BC37" s="92"/>
      <c r="BF37" s="92"/>
      <c r="BG37" s="92"/>
      <c r="BH37" s="92"/>
      <c r="BJ37" s="92"/>
      <c r="BK37" s="92"/>
      <c r="BQ37" s="150"/>
    </row>
    <row r="38" spans="1:72">
      <c r="A38" s="13" t="s">
        <v>130</v>
      </c>
      <c r="B38" s="170">
        <f t="shared" ref="B38:H38" si="26">B18+B25+B36</f>
        <v>-9.2169999999999987</v>
      </c>
      <c r="C38" s="170">
        <f t="shared" si="26"/>
        <v>106.52699999999999</v>
      </c>
      <c r="D38" s="170">
        <f t="shared" si="26"/>
        <v>-12.033999999999935</v>
      </c>
      <c r="E38" s="170">
        <f t="shared" si="26"/>
        <v>-65.457999999999956</v>
      </c>
      <c r="F38" s="170">
        <f t="shared" si="26"/>
        <v>11.899999999999977</v>
      </c>
      <c r="G38" s="170">
        <f t="shared" si="26"/>
        <v>73.009999999999849</v>
      </c>
      <c r="H38" s="170">
        <f t="shared" si="26"/>
        <v>-33.632999999999981</v>
      </c>
      <c r="I38" s="170">
        <f t="shared" ref="I38:AJ38" si="27">I18+I25+I36</f>
        <v>465.36899999999991</v>
      </c>
      <c r="J38" s="170">
        <f t="shared" si="27"/>
        <v>-135.90699999999998</v>
      </c>
      <c r="K38" s="170">
        <f t="shared" si="27"/>
        <v>-334.47800000000007</v>
      </c>
      <c r="L38" s="170">
        <f t="shared" si="27"/>
        <v>293.99500000000006</v>
      </c>
      <c r="M38" s="170">
        <f t="shared" si="27"/>
        <v>-2.0410000000000821</v>
      </c>
      <c r="N38" s="170">
        <f t="shared" si="27"/>
        <v>199.13900000000007</v>
      </c>
      <c r="O38" s="170">
        <f t="shared" si="27"/>
        <v>-190.30400000000006</v>
      </c>
      <c r="P38" s="170">
        <f t="shared" si="27"/>
        <v>2.0489999999999213</v>
      </c>
      <c r="Q38" s="170">
        <f t="shared" si="27"/>
        <v>145.41000000000003</v>
      </c>
      <c r="R38" s="170">
        <f t="shared" si="27"/>
        <v>-248.59399999999999</v>
      </c>
      <c r="S38" s="170">
        <f t="shared" si="27"/>
        <v>220.55099999999999</v>
      </c>
      <c r="T38" s="170">
        <f t="shared" si="27"/>
        <v>52.569000000000003</v>
      </c>
      <c r="U38" s="170">
        <f t="shared" si="27"/>
        <v>47.066000000000258</v>
      </c>
      <c r="V38" s="170">
        <f t="shared" si="27"/>
        <v>273.09100000000035</v>
      </c>
      <c r="W38" s="170">
        <f t="shared" si="27"/>
        <v>-216.57100000000014</v>
      </c>
      <c r="X38" s="170">
        <f t="shared" si="27"/>
        <v>17.967000000000098</v>
      </c>
      <c r="Y38" s="170">
        <f t="shared" si="27"/>
        <v>232.86200000000019</v>
      </c>
      <c r="Z38" s="170">
        <f t="shared" si="27"/>
        <v>-11.535000000000068</v>
      </c>
      <c r="AA38" s="170">
        <f t="shared" si="27"/>
        <v>-212.83699999999953</v>
      </c>
      <c r="AB38" s="170">
        <f t="shared" si="27"/>
        <v>-31.142000000000394</v>
      </c>
      <c r="AC38" s="170">
        <f t="shared" si="27"/>
        <v>150.67699999999996</v>
      </c>
      <c r="AD38" s="170">
        <f t="shared" si="27"/>
        <v>-136.55800000000005</v>
      </c>
      <c r="AE38" s="170">
        <f t="shared" si="27"/>
        <v>597.71999999999935</v>
      </c>
      <c r="AF38" s="170">
        <f t="shared" si="27"/>
        <v>-630.37699999999984</v>
      </c>
      <c r="AG38" s="170">
        <f t="shared" si="27"/>
        <v>630.11900000000037</v>
      </c>
      <c r="AH38" s="170">
        <f t="shared" si="27"/>
        <v>-198.16200000000003</v>
      </c>
      <c r="AI38" s="170">
        <f t="shared" si="27"/>
        <v>-174.23900000000009</v>
      </c>
      <c r="AJ38" s="170">
        <f t="shared" si="27"/>
        <v>-125.0479999999996</v>
      </c>
      <c r="AK38" s="170">
        <f t="shared" ref="AK38:AV38" si="28">AK18+AK25+AK36</f>
        <v>571.60999999999967</v>
      </c>
      <c r="AL38" s="170">
        <f t="shared" si="28"/>
        <v>-82.505999999999915</v>
      </c>
      <c r="AM38" s="170">
        <f t="shared" si="28"/>
        <v>94.490000000000009</v>
      </c>
      <c r="AN38" s="170">
        <f t="shared" si="28"/>
        <v>128.24599999999987</v>
      </c>
      <c r="AO38" s="170">
        <f t="shared" si="28"/>
        <v>1328.6299999999997</v>
      </c>
      <c r="AP38" s="170">
        <f t="shared" si="28"/>
        <v>-831.84399999999994</v>
      </c>
      <c r="AQ38" s="170">
        <f t="shared" si="28"/>
        <v>-583.49999999999977</v>
      </c>
      <c r="AR38" s="170">
        <f t="shared" si="28"/>
        <v>-157.05599999999993</v>
      </c>
      <c r="AS38" s="170">
        <f>AS18+AS25+AS36</f>
        <v>526.26999999999975</v>
      </c>
      <c r="AT38" s="170">
        <f t="shared" si="28"/>
        <v>410.48299999999995</v>
      </c>
      <c r="AU38" s="170">
        <f t="shared" si="28"/>
        <v>420.27300000000014</v>
      </c>
      <c r="AV38" s="170">
        <f t="shared" si="28"/>
        <v>410.88000000000011</v>
      </c>
      <c r="AW38" s="170">
        <f t="shared" ref="AW38:BC38" si="29">AW18+AW25+AW36</f>
        <v>-399.60800000000199</v>
      </c>
      <c r="AX38" s="170">
        <f t="shared" si="29"/>
        <v>-258.16799999999967</v>
      </c>
      <c r="AY38" s="170">
        <f t="shared" si="29"/>
        <v>171.73800000000006</v>
      </c>
      <c r="AZ38" s="170">
        <f t="shared" si="29"/>
        <v>1255.8690000000008</v>
      </c>
      <c r="BA38" s="170">
        <f t="shared" si="29"/>
        <v>1146.4919999999997</v>
      </c>
      <c r="BB38" s="170">
        <f t="shared" si="29"/>
        <v>1691.7660000000001</v>
      </c>
      <c r="BC38" s="170">
        <f t="shared" si="29"/>
        <v>1268.2599999999995</v>
      </c>
      <c r="BD38" s="170">
        <f t="shared" ref="BD38:BK38" si="30">BD18+BD25+BD36</f>
        <v>-832.3149999999996</v>
      </c>
      <c r="BE38" s="170">
        <f t="shared" si="30"/>
        <v>-538.50700000000097</v>
      </c>
      <c r="BF38" s="170">
        <f t="shared" si="30"/>
        <v>-300.452</v>
      </c>
      <c r="BG38" s="170">
        <f t="shared" si="30"/>
        <v>153.43499999999995</v>
      </c>
      <c r="BH38" s="170">
        <f t="shared" si="30"/>
        <v>-137.07200000000057</v>
      </c>
      <c r="BI38" s="170">
        <f t="shared" si="30"/>
        <v>2430.5600000000004</v>
      </c>
      <c r="BJ38" s="170">
        <f t="shared" si="30"/>
        <v>-2176.6350000000002</v>
      </c>
      <c r="BK38" s="170">
        <f t="shared" si="30"/>
        <v>246.0630000000001</v>
      </c>
      <c r="BL38" s="170">
        <f t="shared" ref="BL38:BR38" si="31">BL18+BL25+BL36</f>
        <v>465.41280000000074</v>
      </c>
      <c r="BM38" s="170">
        <f t="shared" si="31"/>
        <v>1846.0482000000002</v>
      </c>
      <c r="BN38" s="170">
        <f t="shared" si="31"/>
        <v>-15.363999999999805</v>
      </c>
      <c r="BO38" s="170">
        <f t="shared" si="31"/>
        <v>321.91200000000026</v>
      </c>
      <c r="BP38" s="170">
        <f t="shared" si="31"/>
        <v>482.5100000000001</v>
      </c>
      <c r="BQ38" s="1945">
        <f t="shared" si="31"/>
        <v>3420.9110000000001</v>
      </c>
      <c r="BR38" s="170">
        <f t="shared" si="31"/>
        <v>-273.66199999999981</v>
      </c>
      <c r="BS38" s="170">
        <f t="shared" ref="BS38" si="32">BS18+BS25+BS36</f>
        <v>-2614.415</v>
      </c>
    </row>
    <row r="39" spans="1:72">
      <c r="A39" s="603" t="s">
        <v>573</v>
      </c>
      <c r="B39" s="549">
        <v>-9.2170000000000005</v>
      </c>
      <c r="C39" s="549">
        <v>106.527</v>
      </c>
      <c r="D39" s="549">
        <v>-12.034000000000001</v>
      </c>
      <c r="E39" s="549">
        <v>-65.457999999999998</v>
      </c>
      <c r="F39" s="549">
        <v>11.9</v>
      </c>
      <c r="G39" s="549">
        <v>73.010000000000005</v>
      </c>
      <c r="H39" s="549">
        <v>-33.633000000000003</v>
      </c>
      <c r="I39" s="549">
        <v>465.459</v>
      </c>
      <c r="J39" s="549">
        <v>-135.90699999999998</v>
      </c>
      <c r="K39" s="549">
        <v>-334.47800000000007</v>
      </c>
      <c r="L39" s="549">
        <f>-176.39-K39-J39</f>
        <v>293.99500000000006</v>
      </c>
      <c r="M39" s="549">
        <f>-178.431-L39-K39-J39</f>
        <v>-2.0409999999999968</v>
      </c>
      <c r="N39" s="549">
        <v>199.13900000000001</v>
      </c>
      <c r="O39" s="549">
        <f>8.835-N39</f>
        <v>-190.304</v>
      </c>
      <c r="P39" s="549">
        <f>10.884-O39-N39</f>
        <v>2.0489999999999782</v>
      </c>
      <c r="Q39" s="549">
        <f>156.294-P39-O39-N39</f>
        <v>145.41000000000003</v>
      </c>
      <c r="R39" s="549">
        <v>-248.59399999999999</v>
      </c>
      <c r="S39" s="549">
        <f>-28.043-R39</f>
        <v>220.55099999999999</v>
      </c>
      <c r="T39" s="549">
        <f>24.526-S39-R39</f>
        <v>52.569000000000017</v>
      </c>
      <c r="U39" s="549">
        <f>71.592-T39-S39-R39</f>
        <v>47.065999999999974</v>
      </c>
      <c r="V39" s="549">
        <v>273.09199999999998</v>
      </c>
      <c r="W39" s="549">
        <f>56.52-V39</f>
        <v>-216.57199999999997</v>
      </c>
      <c r="X39" s="549">
        <f>74.487-W39-V39</f>
        <v>17.966999999999985</v>
      </c>
      <c r="Y39" s="549">
        <f>307.35-X39-W39-V39</f>
        <v>232.86300000000006</v>
      </c>
      <c r="Z39" s="549">
        <v>-11.535</v>
      </c>
      <c r="AA39" s="549">
        <f>-224.736-Z39</f>
        <v>-213.20099999999999</v>
      </c>
      <c r="AB39" s="549">
        <f>-255.514-AA39-Z39</f>
        <v>-30.778000000000016</v>
      </c>
      <c r="AC39" s="549">
        <f>-104.837-AB39-AA39-Z39</f>
        <v>150.67699999999999</v>
      </c>
      <c r="AD39" s="549">
        <v>-136.55799999999999</v>
      </c>
      <c r="AE39" s="549">
        <f>461.162-AD39</f>
        <v>597.72</v>
      </c>
      <c r="AF39" s="549">
        <f>-169.215-AE39-AD39</f>
        <v>-630.37700000000007</v>
      </c>
      <c r="AG39" s="549">
        <f>460.904-AF39-AE39-AD39</f>
        <v>630.11899999999991</v>
      </c>
      <c r="AH39" s="549">
        <v>-198.16200000000001</v>
      </c>
      <c r="AI39" s="549">
        <f>-372.401-AH39</f>
        <v>-174.239</v>
      </c>
      <c r="AJ39" s="549">
        <f>-497.449-AI39-AH39</f>
        <v>-125.04800000000003</v>
      </c>
      <c r="AK39" s="549">
        <f>74.161-AJ39-AI39-AH39</f>
        <v>571.61</v>
      </c>
      <c r="AL39" s="549">
        <v>-82.506</v>
      </c>
      <c r="AM39" s="549">
        <f>11.984-AL39</f>
        <v>94.49</v>
      </c>
      <c r="AN39" s="549">
        <f>140.23-AM39-AL39</f>
        <v>128.24599999999998</v>
      </c>
      <c r="AO39" s="549">
        <f>1468.86-AN39-AM39-AL39</f>
        <v>1328.63</v>
      </c>
      <c r="AP39" s="549">
        <v>-831.84400000000005</v>
      </c>
      <c r="AQ39" s="549">
        <f>-1415.344-AP39</f>
        <v>-583.5</v>
      </c>
      <c r="AR39" s="549">
        <f>-1572.4-AQ39-AP39</f>
        <v>-157.05600000000004</v>
      </c>
      <c r="AS39" s="549">
        <f>-1046.13-AR39-AQ39-AP39</f>
        <v>526.27</v>
      </c>
      <c r="AT39" s="549">
        <v>410.483</v>
      </c>
      <c r="AU39" s="549">
        <f>830.756-AT39</f>
        <v>420.27299999999997</v>
      </c>
      <c r="AV39" s="549">
        <f>1241.636-SUM(AT39:AU39)</f>
        <v>410.88</v>
      </c>
      <c r="AW39" s="549">
        <f>842.028-SUM(AT39:AV39)</f>
        <v>-399.60799999999995</v>
      </c>
      <c r="AX39" s="549">
        <v>-258.16800000000001</v>
      </c>
      <c r="AY39" s="549">
        <f>-86.43-AX39</f>
        <v>171.738</v>
      </c>
      <c r="AZ39" s="549">
        <f>1169.438-AX39-AY39</f>
        <v>1255.8680000000002</v>
      </c>
      <c r="BA39" s="549">
        <f>-SUM(AX39:AZ39)+2315.93</f>
        <v>1146.4919999999997</v>
      </c>
      <c r="BB39" s="549">
        <v>1691.758</v>
      </c>
      <c r="BC39" s="549">
        <f>2960.026-BB39</f>
        <v>1268.2679999999998</v>
      </c>
      <c r="BD39" s="549">
        <f>2127.711-BB39-BC39</f>
        <v>-832.31500000000005</v>
      </c>
      <c r="BE39" s="549">
        <f>1589.203-BD39-BC39-BB39</f>
        <v>-538.50799999999981</v>
      </c>
      <c r="BF39" s="549">
        <v>-300.452</v>
      </c>
      <c r="BG39" s="549">
        <f>-147.018-BF39</f>
        <v>153.434</v>
      </c>
      <c r="BH39" s="549">
        <f>-284.089-BG39-BF39</f>
        <v>-137.07100000000003</v>
      </c>
      <c r="BI39" s="549">
        <f>2146.472-BH39-BG39-BF39</f>
        <v>2430.5609999999997</v>
      </c>
      <c r="BJ39" s="549">
        <v>-2176.634</v>
      </c>
      <c r="BK39" s="549">
        <f>-1930.572-BJ39</f>
        <v>246.06200000000013</v>
      </c>
      <c r="BL39" s="549">
        <f>-1465.171-BK39-BJ39</f>
        <v>465.40099999999984</v>
      </c>
      <c r="BM39" s="549">
        <f>380.879-SUM(BJ39:BL39)</f>
        <v>1846.0500000000002</v>
      </c>
      <c r="BN39" s="549">
        <v>-15.364000000000001</v>
      </c>
      <c r="BO39" s="549">
        <f>306.55-BN39</f>
        <v>321.91399999999999</v>
      </c>
      <c r="BP39" s="549">
        <f>789.061-SUM(BN39:BO39)</f>
        <v>482.51100000000002</v>
      </c>
      <c r="BQ39" s="1946">
        <f>4209.953-SUM(BN39:BP39)</f>
        <v>3420.8920000000003</v>
      </c>
      <c r="BR39" s="549">
        <v>-273.66300000000001</v>
      </c>
      <c r="BS39" s="549">
        <f>(-2888.076)-BR39</f>
        <v>-2614.413</v>
      </c>
    </row>
    <row r="40" spans="1:72" s="289" customFormat="1">
      <c r="A40" s="604"/>
      <c r="B40" s="844"/>
      <c r="C40" s="844"/>
      <c r="D40" s="844"/>
      <c r="E40" s="844"/>
      <c r="F40" s="844"/>
      <c r="G40" s="844"/>
      <c r="H40" s="844"/>
      <c r="I40" s="844"/>
      <c r="J40" s="844"/>
      <c r="K40" s="844"/>
      <c r="L40" s="844"/>
      <c r="M40" s="844"/>
      <c r="N40" s="543"/>
      <c r="O40" s="543"/>
      <c r="P40" s="543"/>
      <c r="Q40" s="543"/>
      <c r="R40" s="844"/>
      <c r="S40" s="543"/>
      <c r="T40" s="543"/>
      <c r="U40" s="845"/>
      <c r="V40" s="543"/>
      <c r="W40" s="543"/>
      <c r="X40" s="543"/>
      <c r="Y40" s="543"/>
      <c r="Z40" s="543"/>
      <c r="AA40" s="543"/>
      <c r="AB40" s="543"/>
      <c r="AC40" s="543"/>
      <c r="AD40" s="543"/>
      <c r="AE40" s="543"/>
      <c r="AF40" s="543"/>
      <c r="AG40" s="543"/>
      <c r="AH40" s="543"/>
      <c r="AI40" s="543"/>
      <c r="AJ40" s="543"/>
      <c r="AK40" s="543"/>
      <c r="AL40" s="543"/>
      <c r="AM40" s="543"/>
      <c r="AN40" s="543"/>
      <c r="AO40" s="543"/>
      <c r="AP40" s="543"/>
      <c r="AQ40" s="543"/>
      <c r="AR40" s="543"/>
      <c r="AS40" s="799"/>
      <c r="AT40" s="543"/>
      <c r="AU40" s="543"/>
      <c r="AV40" s="543"/>
      <c r="AW40" s="543"/>
      <c r="AX40" s="543"/>
      <c r="AY40" s="543"/>
      <c r="AZ40" s="543"/>
      <c r="BA40" s="543"/>
      <c r="BB40" s="543"/>
      <c r="BC40" s="543"/>
      <c r="BD40" s="543"/>
      <c r="BE40" s="543"/>
      <c r="BF40" s="543"/>
      <c r="BG40" s="543"/>
      <c r="BH40" s="543"/>
      <c r="BI40" s="543"/>
      <c r="BJ40" s="543"/>
      <c r="BK40" s="543"/>
      <c r="BL40" s="543"/>
      <c r="BM40" s="543"/>
      <c r="BN40" s="543"/>
      <c r="BO40" s="543"/>
      <c r="BP40" s="543"/>
      <c r="BQ40" s="543"/>
      <c r="BR40" s="543"/>
      <c r="BS40" s="543"/>
    </row>
    <row r="41" spans="1:72">
      <c r="A41" s="9" t="s">
        <v>729</v>
      </c>
      <c r="B41" s="335">
        <v>0</v>
      </c>
      <c r="C41" s="335">
        <v>0</v>
      </c>
      <c r="D41" s="335">
        <v>0</v>
      </c>
      <c r="E41" s="335">
        <v>0</v>
      </c>
      <c r="F41" s="335">
        <v>0</v>
      </c>
      <c r="G41" s="335">
        <v>0</v>
      </c>
      <c r="H41" s="335">
        <v>0</v>
      </c>
      <c r="I41" s="335">
        <v>-12.923</v>
      </c>
      <c r="J41" s="335">
        <v>-6.944</v>
      </c>
      <c r="K41" s="335">
        <f>-22.312</f>
        <v>-22.312000000000001</v>
      </c>
      <c r="L41" s="335">
        <f>-9.263-K41-J41</f>
        <v>19.993000000000002</v>
      </c>
      <c r="M41" s="335">
        <f>-20.218-L41-K41-J41</f>
        <v>-10.954999999999998</v>
      </c>
      <c r="N41" s="335">
        <v>6.7869999999999999</v>
      </c>
      <c r="O41" s="335">
        <f>8.255-N41</f>
        <v>1.4680000000000009</v>
      </c>
      <c r="P41" s="335">
        <f>8.42-O41-N41</f>
        <v>0.16499999999999915</v>
      </c>
      <c r="Q41" s="335">
        <f>20.695-P41-O41-N41</f>
        <v>12.275000000000002</v>
      </c>
      <c r="R41" s="335">
        <v>-20.683</v>
      </c>
      <c r="S41" s="335">
        <f>-36.333-R41</f>
        <v>-15.649999999999999</v>
      </c>
      <c r="T41" s="335">
        <f>20.123-S41-R41</f>
        <v>56.455999999999996</v>
      </c>
      <c r="U41" s="335">
        <f>27.584-T41-S41-R41</f>
        <v>7.4610000000000021</v>
      </c>
      <c r="V41" s="335">
        <v>-28.574000000000002</v>
      </c>
      <c r="W41" s="335">
        <f>-57.398-V41</f>
        <v>-28.824000000000002</v>
      </c>
      <c r="X41" s="335">
        <f>-95.505-W41-V41</f>
        <v>-38.106999999999999</v>
      </c>
      <c r="Y41" s="335">
        <f>-114.135-X41-W41-V41</f>
        <v>-18.630000000000006</v>
      </c>
      <c r="Z41" s="335">
        <v>-71.840999999999994</v>
      </c>
      <c r="AA41" s="335">
        <f>-65.907-Z41</f>
        <v>5.9339999999999975</v>
      </c>
      <c r="AB41" s="335">
        <f>-96.024-AA41-Z41</f>
        <v>-30.117000000000004</v>
      </c>
      <c r="AC41" s="335">
        <f>-164.487-AB41-AA41-Z41</f>
        <v>-68.463000000000008</v>
      </c>
      <c r="AD41" s="335">
        <v>4.0720000000000001</v>
      </c>
      <c r="AE41" s="335">
        <f>5.583-AD41</f>
        <v>1.5110000000000001</v>
      </c>
      <c r="AF41" s="335">
        <f>5.89-AE41-AD41</f>
        <v>0.3069999999999995</v>
      </c>
      <c r="AG41" s="335">
        <f>-11.324-AF41-AE41-AD41</f>
        <v>-17.213999999999999</v>
      </c>
      <c r="AH41" s="335">
        <v>-23.76</v>
      </c>
      <c r="AI41" s="335">
        <f>11.986-AH41</f>
        <v>35.746000000000002</v>
      </c>
      <c r="AJ41" s="335">
        <f>9.566-AI41-AH41</f>
        <v>-2.4199999999999982</v>
      </c>
      <c r="AK41" s="335">
        <f>8.803-AJ41-AI41-AH41</f>
        <v>-0.76300000000000168</v>
      </c>
      <c r="AL41" s="335">
        <v>-30.437000000000001</v>
      </c>
      <c r="AM41" s="335">
        <f>-50.733-AL41</f>
        <v>-20.295999999999996</v>
      </c>
      <c r="AN41" s="335">
        <f>-16.2-AM41-AL41</f>
        <v>34.533000000000001</v>
      </c>
      <c r="AO41" s="335">
        <f>-116.832-AN41-AM41-AL41</f>
        <v>-100.63200000000002</v>
      </c>
      <c r="AP41" s="335">
        <v>-5.9119999999999999</v>
      </c>
      <c r="AQ41" s="335">
        <f>123.131-AP41</f>
        <v>129.04300000000001</v>
      </c>
      <c r="AR41" s="335">
        <f>45.097-AQ41-AP41</f>
        <v>-78.033999999999992</v>
      </c>
      <c r="AS41" s="335">
        <f>38.691-AR41-AQ41-AP41</f>
        <v>-6.4060000000000121</v>
      </c>
      <c r="AT41" s="335">
        <v>113.607</v>
      </c>
      <c r="AU41" s="335">
        <f>-63.273-AT41</f>
        <v>-176.88</v>
      </c>
      <c r="AV41" s="335">
        <f>-307.57-SUM(AT41:AU41)</f>
        <v>-244.297</v>
      </c>
      <c r="AW41" s="335">
        <f>-394.574-SUM(AT41:AV41)</f>
        <v>-87.004000000000019</v>
      </c>
      <c r="AX41" s="335">
        <v>-6.7759999999999998</v>
      </c>
      <c r="AY41" s="335">
        <f>-48.709-AX41</f>
        <v>-41.933000000000007</v>
      </c>
      <c r="AZ41" s="335">
        <f>-1533.651-AX41-AY41</f>
        <v>-1484.942</v>
      </c>
      <c r="BA41" s="335">
        <f>-SUM(AX41:AZ41)-1678.398</f>
        <v>-144.74699999999984</v>
      </c>
      <c r="BB41" s="335">
        <v>-472.94400000000002</v>
      </c>
      <c r="BC41" s="335">
        <f>-1255.994-BB41</f>
        <v>-783.05</v>
      </c>
      <c r="BD41" s="335">
        <f>-153.586-BB41-BC41</f>
        <v>1102.4079999999999</v>
      </c>
      <c r="BE41" s="335">
        <f>-225.566-BD41-BC41-BB41</f>
        <v>-71.979999999999961</v>
      </c>
      <c r="BF41" s="335">
        <v>-264.18700000000001</v>
      </c>
      <c r="BG41" s="335">
        <f>44.952-BF41</f>
        <v>309.13900000000001</v>
      </c>
      <c r="BH41" s="335">
        <f>-63.191-BG41-BF41</f>
        <v>-108.14300000000003</v>
      </c>
      <c r="BI41" s="335">
        <f>814.551-BH41-BG41-BF41</f>
        <v>877.74200000000008</v>
      </c>
      <c r="BJ41" s="335">
        <v>353.67200000000003</v>
      </c>
      <c r="BK41" s="335">
        <f>79.891-BJ41</f>
        <v>-273.78100000000001</v>
      </c>
      <c r="BL41" s="335">
        <f>-300.16-BK41-BJ41</f>
        <v>-380.05100000000004</v>
      </c>
      <c r="BM41" s="335">
        <f>-1174.603-SUM(BJ41:BL41)</f>
        <v>-874.44299999999998</v>
      </c>
      <c r="BN41" s="335">
        <f>-1602.477-12.902</f>
        <v>-1615.3790000000001</v>
      </c>
      <c r="BO41" s="335">
        <f>-2043.679-12.898-BN41</f>
        <v>-441.19800000000009</v>
      </c>
      <c r="BP41" s="335">
        <f>-1724.411-12.898-SUM(BN41:BO41)</f>
        <v>319.26800000000026</v>
      </c>
      <c r="BQ41" s="609">
        <f>-3886.972-SUM(BN41:BP41)</f>
        <v>-2149.6630000000005</v>
      </c>
      <c r="BR41" s="335">
        <v>128.84299999999999</v>
      </c>
      <c r="BS41" s="335">
        <f>509.015-BR41</f>
        <v>380.17200000000003</v>
      </c>
    </row>
    <row r="42" spans="1:72">
      <c r="A42" s="9" t="s">
        <v>131</v>
      </c>
      <c r="B42" s="335">
        <v>108.34699999999999</v>
      </c>
      <c r="C42" s="335">
        <v>100.559</v>
      </c>
      <c r="D42" s="335">
        <v>217.834</v>
      </c>
      <c r="E42" s="335">
        <v>212.65299999999999</v>
      </c>
      <c r="F42" s="335">
        <v>153.155</v>
      </c>
      <c r="G42" s="335">
        <v>171.25200000000001</v>
      </c>
      <c r="H42" s="335">
        <v>242.96</v>
      </c>
      <c r="I42" s="335">
        <v>209.327</v>
      </c>
      <c r="J42" s="335">
        <v>538.48</v>
      </c>
      <c r="K42" s="92">
        <f t="shared" ref="K42:AH42" si="33">J44</f>
        <v>395.62900000000002</v>
      </c>
      <c r="L42" s="92">
        <f>K44</f>
        <v>305.07299999999998</v>
      </c>
      <c r="M42" s="92">
        <f t="shared" si="33"/>
        <v>476.21000000000004</v>
      </c>
      <c r="N42" s="92">
        <f t="shared" si="33"/>
        <v>463.214</v>
      </c>
      <c r="O42" s="92">
        <f t="shared" si="33"/>
        <v>669.1400000000001</v>
      </c>
      <c r="P42" s="92">
        <f t="shared" si="33"/>
        <v>480.30400000000003</v>
      </c>
      <c r="Q42" s="92">
        <f t="shared" si="33"/>
        <v>482.51799999999997</v>
      </c>
      <c r="R42" s="92">
        <f t="shared" si="33"/>
        <v>640.20299999999997</v>
      </c>
      <c r="S42" s="92">
        <f t="shared" si="33"/>
        <v>370.92599999999999</v>
      </c>
      <c r="T42" s="92">
        <f t="shared" si="33"/>
        <v>575.827</v>
      </c>
      <c r="U42" s="92">
        <f>T44</f>
        <v>684.85199999999998</v>
      </c>
      <c r="V42" s="92">
        <f t="shared" si="33"/>
        <v>739.37900000000025</v>
      </c>
      <c r="W42" s="92">
        <f t="shared" si="33"/>
        <v>983.89600000000064</v>
      </c>
      <c r="X42" s="92">
        <f t="shared" si="33"/>
        <v>738.50100000000054</v>
      </c>
      <c r="Y42" s="92">
        <f t="shared" si="33"/>
        <v>718.36100000000067</v>
      </c>
      <c r="Z42" s="92">
        <f t="shared" si="33"/>
        <v>932.59300000000087</v>
      </c>
      <c r="AA42" s="92">
        <f t="shared" si="33"/>
        <v>849.21700000000078</v>
      </c>
      <c r="AB42" s="92">
        <f t="shared" si="33"/>
        <v>642.31400000000122</v>
      </c>
      <c r="AC42" s="92">
        <f t="shared" si="33"/>
        <v>581.05500000000086</v>
      </c>
      <c r="AD42" s="92">
        <f t="shared" si="33"/>
        <v>663.26900000000091</v>
      </c>
      <c r="AE42" s="92">
        <f t="shared" si="33"/>
        <v>530.78300000000092</v>
      </c>
      <c r="AF42" s="92">
        <f t="shared" si="33"/>
        <v>1130.0140000000001</v>
      </c>
      <c r="AG42" s="92">
        <f t="shared" si="33"/>
        <v>499.9440000000003</v>
      </c>
      <c r="AH42" s="92">
        <f t="shared" si="33"/>
        <v>1112.8490000000006</v>
      </c>
      <c r="AI42" s="92">
        <f>AH44</f>
        <v>890.92700000000059</v>
      </c>
      <c r="AJ42" s="92">
        <f>AI44</f>
        <v>752.43400000000054</v>
      </c>
      <c r="AK42" s="92">
        <f>AJ44</f>
        <v>624.96600000000092</v>
      </c>
      <c r="AL42" s="92">
        <f>AK44</f>
        <v>1195.8130000000006</v>
      </c>
      <c r="AM42" s="92">
        <f t="shared" ref="AM42:AX42" si="34">AL44</f>
        <v>1082.8700000000008</v>
      </c>
      <c r="AN42" s="92">
        <f t="shared" si="34"/>
        <v>1157.0640000000008</v>
      </c>
      <c r="AO42" s="92">
        <f t="shared" si="34"/>
        <v>1319.8430000000005</v>
      </c>
      <c r="AP42" s="92">
        <f t="shared" si="34"/>
        <v>2547.8409999999999</v>
      </c>
      <c r="AQ42" s="92">
        <f t="shared" si="34"/>
        <v>1710.0849999999998</v>
      </c>
      <c r="AR42" s="92">
        <f t="shared" si="34"/>
        <v>1255.6280000000002</v>
      </c>
      <c r="AS42" s="92">
        <f t="shared" si="34"/>
        <v>1020.5380000000001</v>
      </c>
      <c r="AT42" s="92">
        <f t="shared" si="34"/>
        <v>1540.402</v>
      </c>
      <c r="AU42" s="92">
        <f t="shared" si="34"/>
        <v>2064.4920000000002</v>
      </c>
      <c r="AV42" s="92">
        <f t="shared" si="34"/>
        <v>2307.8850000000002</v>
      </c>
      <c r="AW42" s="92">
        <f t="shared" si="34"/>
        <v>2474.4680000000003</v>
      </c>
      <c r="AX42" s="92">
        <f t="shared" si="34"/>
        <v>1987.8559999999984</v>
      </c>
      <c r="AY42" s="92">
        <f t="shared" ref="AY42:BR42" si="35">AX44</f>
        <v>1722.9119999999987</v>
      </c>
      <c r="AZ42" s="92">
        <f t="shared" si="35"/>
        <v>1852.7169999999987</v>
      </c>
      <c r="BA42" s="92">
        <f t="shared" si="35"/>
        <v>1623.6439999999993</v>
      </c>
      <c r="BB42" s="92">
        <f t="shared" si="35"/>
        <v>2625.3889999999992</v>
      </c>
      <c r="BC42" s="92">
        <f t="shared" si="35"/>
        <v>3844.2109999999989</v>
      </c>
      <c r="BD42" s="92">
        <f t="shared" si="35"/>
        <v>4329.4209999999985</v>
      </c>
      <c r="BE42" s="92">
        <f t="shared" si="35"/>
        <v>4599.5139999999992</v>
      </c>
      <c r="BF42" s="92">
        <f t="shared" si="35"/>
        <v>3932.4089999999983</v>
      </c>
      <c r="BG42" s="92">
        <f t="shared" si="35"/>
        <v>3367.7699999999986</v>
      </c>
      <c r="BH42" s="92">
        <f t="shared" si="35"/>
        <v>3830.3439999999987</v>
      </c>
      <c r="BI42" s="92">
        <f t="shared" si="35"/>
        <v>3585.1289999999981</v>
      </c>
      <c r="BJ42" s="92">
        <f t="shared" si="35"/>
        <v>6893.4309999999987</v>
      </c>
      <c r="BK42" s="92">
        <f t="shared" si="35"/>
        <v>5070.4679999999989</v>
      </c>
      <c r="BL42" s="92">
        <f t="shared" si="35"/>
        <v>5042.7499999999991</v>
      </c>
      <c r="BM42" s="92">
        <f t="shared" si="35"/>
        <v>5128.1117999999997</v>
      </c>
      <c r="BN42" s="92">
        <f t="shared" si="35"/>
        <v>6099.7169999999996</v>
      </c>
      <c r="BO42" s="92">
        <f t="shared" si="35"/>
        <v>4468.9740000000002</v>
      </c>
      <c r="BP42" s="92">
        <f t="shared" si="35"/>
        <v>4349.6880000000001</v>
      </c>
      <c r="BQ42" s="150">
        <f t="shared" si="35"/>
        <v>5151.4660000000003</v>
      </c>
      <c r="BR42" s="92">
        <f t="shared" si="35"/>
        <v>6409.8140000000003</v>
      </c>
      <c r="BS42" s="92">
        <f t="shared" ref="BS42" si="36">BR44</f>
        <v>5443.5739999999996</v>
      </c>
    </row>
    <row r="43" spans="1:72">
      <c r="A43" s="9" t="s">
        <v>762</v>
      </c>
      <c r="B43" s="335">
        <v>0</v>
      </c>
      <c r="C43" s="335">
        <v>0</v>
      </c>
      <c r="D43" s="335">
        <v>0</v>
      </c>
      <c r="E43" s="335">
        <v>0</v>
      </c>
      <c r="F43" s="335">
        <v>0</v>
      </c>
      <c r="G43" s="335">
        <v>0</v>
      </c>
      <c r="H43" s="335">
        <v>0</v>
      </c>
      <c r="I43" s="335">
        <v>0</v>
      </c>
      <c r="J43" s="335">
        <v>0</v>
      </c>
      <c r="K43" s="335">
        <f>661.863-J44</f>
        <v>266.23400000000004</v>
      </c>
      <c r="L43" s="335">
        <f>661.863-J42-K43-J43</f>
        <v>-142.851</v>
      </c>
      <c r="M43" s="335">
        <v>0</v>
      </c>
      <c r="N43" s="335">
        <v>0</v>
      </c>
      <c r="O43" s="335">
        <v>0</v>
      </c>
      <c r="P43" s="335">
        <v>0</v>
      </c>
      <c r="Q43" s="335">
        <v>0</v>
      </c>
      <c r="R43" s="335">
        <v>0</v>
      </c>
      <c r="S43" s="335">
        <v>0</v>
      </c>
      <c r="T43" s="335">
        <v>0</v>
      </c>
      <c r="U43" s="335">
        <v>0</v>
      </c>
      <c r="V43" s="335">
        <v>0</v>
      </c>
      <c r="W43" s="335">
        <v>0</v>
      </c>
      <c r="X43" s="335">
        <v>0</v>
      </c>
      <c r="Y43" s="335">
        <v>0</v>
      </c>
      <c r="Z43" s="335">
        <v>0</v>
      </c>
      <c r="AA43" s="335">
        <v>0</v>
      </c>
      <c r="AB43" s="335">
        <v>0</v>
      </c>
      <c r="AC43" s="335">
        <v>0</v>
      </c>
      <c r="AD43" s="335">
        <v>0</v>
      </c>
      <c r="AE43" s="335">
        <v>0</v>
      </c>
      <c r="AF43" s="335">
        <v>0</v>
      </c>
      <c r="AG43" s="335">
        <v>0</v>
      </c>
      <c r="AH43" s="335">
        <v>0</v>
      </c>
      <c r="AI43" s="335">
        <v>0</v>
      </c>
      <c r="AJ43" s="335">
        <v>0</v>
      </c>
      <c r="AK43" s="335">
        <v>0</v>
      </c>
      <c r="AL43" s="335">
        <v>0</v>
      </c>
      <c r="AM43" s="335">
        <v>0</v>
      </c>
      <c r="AN43" s="335">
        <v>0</v>
      </c>
      <c r="AO43" s="335">
        <v>0</v>
      </c>
      <c r="AP43" s="335">
        <v>0</v>
      </c>
      <c r="AQ43" s="335">
        <v>0</v>
      </c>
      <c r="AR43" s="335">
        <v>0</v>
      </c>
      <c r="AS43" s="335">
        <v>0</v>
      </c>
      <c r="AT43" s="335">
        <v>0</v>
      </c>
      <c r="AU43" s="335">
        <v>0</v>
      </c>
      <c r="AV43" s="335">
        <v>0</v>
      </c>
      <c r="AW43" s="335">
        <v>0</v>
      </c>
      <c r="AX43" s="335">
        <v>0</v>
      </c>
      <c r="AY43" s="335">
        <v>0</v>
      </c>
      <c r="AZ43" s="335">
        <v>0</v>
      </c>
      <c r="BA43" s="335">
        <v>0</v>
      </c>
      <c r="BB43" s="335">
        <v>0</v>
      </c>
      <c r="BC43" s="335">
        <v>0</v>
      </c>
      <c r="BD43" s="335">
        <v>0</v>
      </c>
      <c r="BE43" s="335">
        <f>2568.771-2625.389</f>
        <v>-56.617999999999938</v>
      </c>
      <c r="BF43" s="335">
        <v>0</v>
      </c>
      <c r="BG43" s="335">
        <v>0</v>
      </c>
      <c r="BH43" s="335">
        <v>0</v>
      </c>
      <c r="BI43" s="335">
        <v>0</v>
      </c>
      <c r="BJ43" s="335">
        <v>0</v>
      </c>
      <c r="BK43" s="335">
        <v>0</v>
      </c>
      <c r="BL43" s="9">
        <v>0</v>
      </c>
      <c r="BM43" s="9">
        <v>0</v>
      </c>
      <c r="BN43" s="9">
        <v>0</v>
      </c>
      <c r="BO43" s="9">
        <v>0</v>
      </c>
      <c r="BP43" s="9">
        <v>0</v>
      </c>
      <c r="BQ43" s="150">
        <f>6086.817-6099.717</f>
        <v>-12.899999999999636</v>
      </c>
      <c r="BR43" s="335">
        <v>-821.42100000000005</v>
      </c>
      <c r="BS43" s="335">
        <f>0-BR43</f>
        <v>821.42100000000005</v>
      </c>
    </row>
    <row r="44" spans="1:72">
      <c r="A44" s="13" t="s">
        <v>132</v>
      </c>
      <c r="B44" s="170">
        <f t="shared" ref="B44:H44" si="37">B42+B38+B41+B43</f>
        <v>99.13</v>
      </c>
      <c r="C44" s="170">
        <f t="shared" si="37"/>
        <v>207.08599999999998</v>
      </c>
      <c r="D44" s="170">
        <f t="shared" si="37"/>
        <v>205.80000000000007</v>
      </c>
      <c r="E44" s="170">
        <f t="shared" si="37"/>
        <v>147.19500000000005</v>
      </c>
      <c r="F44" s="170">
        <f t="shared" si="37"/>
        <v>165.05499999999998</v>
      </c>
      <c r="G44" s="170">
        <f t="shared" si="37"/>
        <v>244.26199999999986</v>
      </c>
      <c r="H44" s="170">
        <f t="shared" si="37"/>
        <v>209.32700000000003</v>
      </c>
      <c r="I44" s="170">
        <f>I42+I38+I41+I43</f>
        <v>661.77299999999991</v>
      </c>
      <c r="J44" s="170">
        <f>J42+J38+J41+J43</f>
        <v>395.62900000000002</v>
      </c>
      <c r="K44" s="170">
        <f t="shared" ref="K44:AJ44" si="38">K42+K38+K41+K43</f>
        <v>305.07299999999998</v>
      </c>
      <c r="L44" s="170">
        <f t="shared" si="38"/>
        <v>476.21000000000004</v>
      </c>
      <c r="M44" s="170">
        <f t="shared" si="38"/>
        <v>463.214</v>
      </c>
      <c r="N44" s="170">
        <f t="shared" si="38"/>
        <v>669.1400000000001</v>
      </c>
      <c r="O44" s="170">
        <f t="shared" si="38"/>
        <v>480.30400000000003</v>
      </c>
      <c r="P44" s="170">
        <f t="shared" si="38"/>
        <v>482.51799999999997</v>
      </c>
      <c r="Q44" s="170">
        <f t="shared" si="38"/>
        <v>640.20299999999997</v>
      </c>
      <c r="R44" s="170">
        <f t="shared" si="38"/>
        <v>370.92599999999999</v>
      </c>
      <c r="S44" s="170">
        <f t="shared" si="38"/>
        <v>575.827</v>
      </c>
      <c r="T44" s="170">
        <f t="shared" si="38"/>
        <v>684.85199999999998</v>
      </c>
      <c r="U44" s="170">
        <f t="shared" si="38"/>
        <v>739.37900000000025</v>
      </c>
      <c r="V44" s="170">
        <f t="shared" si="38"/>
        <v>983.89600000000064</v>
      </c>
      <c r="W44" s="170">
        <f t="shared" si="38"/>
        <v>738.50100000000054</v>
      </c>
      <c r="X44" s="170">
        <f t="shared" si="38"/>
        <v>718.36100000000067</v>
      </c>
      <c r="Y44" s="170">
        <f t="shared" si="38"/>
        <v>932.59300000000087</v>
      </c>
      <c r="Z44" s="170">
        <f t="shared" si="38"/>
        <v>849.21700000000078</v>
      </c>
      <c r="AA44" s="170">
        <f t="shared" si="38"/>
        <v>642.31400000000122</v>
      </c>
      <c r="AB44" s="170">
        <f t="shared" si="38"/>
        <v>581.05500000000086</v>
      </c>
      <c r="AC44" s="170">
        <f t="shared" si="38"/>
        <v>663.26900000000091</v>
      </c>
      <c r="AD44" s="170">
        <f t="shared" si="38"/>
        <v>530.78300000000092</v>
      </c>
      <c r="AE44" s="170">
        <f t="shared" si="38"/>
        <v>1130.0140000000001</v>
      </c>
      <c r="AF44" s="170">
        <f t="shared" si="38"/>
        <v>499.9440000000003</v>
      </c>
      <c r="AG44" s="170">
        <f t="shared" si="38"/>
        <v>1112.8490000000006</v>
      </c>
      <c r="AH44" s="170">
        <f t="shared" si="38"/>
        <v>890.92700000000059</v>
      </c>
      <c r="AI44" s="170">
        <f t="shared" si="38"/>
        <v>752.43400000000054</v>
      </c>
      <c r="AJ44" s="170">
        <f t="shared" si="38"/>
        <v>624.96600000000092</v>
      </c>
      <c r="AK44" s="170">
        <f t="shared" ref="AK44:AU44" si="39">AK42+AK38+AK41+AK43</f>
        <v>1195.8130000000006</v>
      </c>
      <c r="AL44" s="170">
        <f t="shared" si="39"/>
        <v>1082.8700000000008</v>
      </c>
      <c r="AM44" s="170">
        <f t="shared" si="39"/>
        <v>1157.0640000000008</v>
      </c>
      <c r="AN44" s="170">
        <f t="shared" si="39"/>
        <v>1319.8430000000005</v>
      </c>
      <c r="AO44" s="170">
        <f t="shared" si="39"/>
        <v>2547.8409999999999</v>
      </c>
      <c r="AP44" s="170">
        <f t="shared" si="39"/>
        <v>1710.0849999999998</v>
      </c>
      <c r="AQ44" s="170">
        <f t="shared" si="39"/>
        <v>1255.6280000000002</v>
      </c>
      <c r="AR44" s="170">
        <f t="shared" si="39"/>
        <v>1020.5380000000001</v>
      </c>
      <c r="AS44" s="170">
        <f t="shared" si="39"/>
        <v>1540.402</v>
      </c>
      <c r="AT44" s="170">
        <f t="shared" si="39"/>
        <v>2064.4920000000002</v>
      </c>
      <c r="AU44" s="170">
        <f t="shared" si="39"/>
        <v>2307.8850000000002</v>
      </c>
      <c r="AV44" s="170">
        <f t="shared" ref="AV44:BA44" si="40">AV42+AV38+AV41+AV43</f>
        <v>2474.4680000000003</v>
      </c>
      <c r="AW44" s="170">
        <f t="shared" si="40"/>
        <v>1987.8559999999984</v>
      </c>
      <c r="AX44" s="170">
        <f t="shared" si="40"/>
        <v>1722.9119999999987</v>
      </c>
      <c r="AY44" s="170">
        <f t="shared" si="40"/>
        <v>1852.7169999999987</v>
      </c>
      <c r="AZ44" s="170">
        <f t="shared" si="40"/>
        <v>1623.6439999999993</v>
      </c>
      <c r="BA44" s="170">
        <f t="shared" si="40"/>
        <v>2625.3889999999992</v>
      </c>
      <c r="BB44" s="170">
        <f t="shared" ref="BB44:BL44" si="41">BB42+BB38+BB41+BB43</f>
        <v>3844.2109999999989</v>
      </c>
      <c r="BC44" s="170">
        <f t="shared" si="41"/>
        <v>4329.4209999999985</v>
      </c>
      <c r="BD44" s="170">
        <f t="shared" si="41"/>
        <v>4599.5139999999992</v>
      </c>
      <c r="BE44" s="170">
        <f t="shared" si="41"/>
        <v>3932.4089999999983</v>
      </c>
      <c r="BF44" s="170">
        <f t="shared" si="41"/>
        <v>3367.7699999999986</v>
      </c>
      <c r="BG44" s="170">
        <f t="shared" si="41"/>
        <v>3830.3439999999987</v>
      </c>
      <c r="BH44" s="170">
        <f t="shared" si="41"/>
        <v>3585.1289999999981</v>
      </c>
      <c r="BI44" s="170">
        <f t="shared" si="41"/>
        <v>6893.4309999999987</v>
      </c>
      <c r="BJ44" s="170">
        <f t="shared" si="41"/>
        <v>5070.4679999999989</v>
      </c>
      <c r="BK44" s="170">
        <f t="shared" si="41"/>
        <v>5042.7499999999991</v>
      </c>
      <c r="BL44" s="170">
        <f t="shared" si="41"/>
        <v>5128.1117999999997</v>
      </c>
      <c r="BM44" s="170">
        <f t="shared" ref="BM44:BR44" si="42">BM42+BM38+BM41+BM43</f>
        <v>6099.7169999999996</v>
      </c>
      <c r="BN44" s="170">
        <f t="shared" si="42"/>
        <v>4468.9740000000002</v>
      </c>
      <c r="BO44" s="170">
        <f t="shared" si="42"/>
        <v>4349.6880000000001</v>
      </c>
      <c r="BP44" s="170">
        <f t="shared" si="42"/>
        <v>5151.4660000000003</v>
      </c>
      <c r="BQ44" s="1945">
        <f t="shared" si="42"/>
        <v>6409.8140000000003</v>
      </c>
      <c r="BR44" s="170">
        <f t="shared" si="42"/>
        <v>5443.5739999999996</v>
      </c>
      <c r="BS44" s="170">
        <f>BS42+BS38+BS41+BS43</f>
        <v>4030.7519999999995</v>
      </c>
    </row>
    <row r="45" spans="1:72">
      <c r="A45" s="604"/>
      <c r="B45" s="797"/>
      <c r="C45" s="797"/>
      <c r="D45" s="797"/>
      <c r="E45" s="797"/>
      <c r="F45" s="797"/>
      <c r="G45" s="797"/>
      <c r="H45" s="797"/>
      <c r="I45" s="797"/>
      <c r="J45" s="797"/>
      <c r="K45" s="797"/>
      <c r="L45" s="797"/>
      <c r="M45" s="797"/>
      <c r="N45" s="797"/>
      <c r="O45" s="797"/>
      <c r="P45" s="797"/>
      <c r="Q45" s="797"/>
      <c r="R45" s="797"/>
      <c r="S45" s="797"/>
      <c r="T45" s="797"/>
      <c r="U45" s="797"/>
      <c r="V45" s="797"/>
      <c r="W45" s="797"/>
      <c r="X45" s="797"/>
      <c r="Y45" s="797"/>
      <c r="Z45" s="797"/>
      <c r="AA45" s="797"/>
      <c r="AB45" s="797"/>
      <c r="AC45" s="797"/>
      <c r="AD45" s="797"/>
      <c r="AE45" s="797"/>
      <c r="AF45" s="797"/>
      <c r="AG45" s="797"/>
      <c r="AH45" s="797"/>
      <c r="AI45" s="797"/>
      <c r="AJ45" s="797"/>
      <c r="AK45" s="797"/>
      <c r="AL45" s="797"/>
      <c r="AM45" s="797"/>
      <c r="AN45" s="797"/>
      <c r="AO45" s="797"/>
      <c r="AP45" s="797"/>
      <c r="AQ45" s="797"/>
      <c r="AR45" s="797"/>
      <c r="AS45" s="797"/>
      <c r="AT45" s="797"/>
      <c r="AU45" s="797"/>
      <c r="AV45" s="797"/>
      <c r="AW45" s="797"/>
      <c r="AX45" s="797"/>
      <c r="AY45" s="797"/>
      <c r="AZ45" s="797"/>
      <c r="BA45" s="797"/>
      <c r="BB45" s="797"/>
      <c r="BC45" s="797"/>
      <c r="BD45" s="797"/>
      <c r="BE45" s="797"/>
      <c r="BF45" s="797"/>
      <c r="BG45" s="797"/>
      <c r="BH45" s="797"/>
      <c r="BI45" s="797"/>
      <c r="BJ45" s="1806"/>
      <c r="BK45" s="1806"/>
      <c r="BL45" s="1806"/>
      <c r="BM45" s="1806"/>
      <c r="BN45" s="1806"/>
      <c r="BO45" s="1806"/>
      <c r="BP45" s="797"/>
      <c r="BQ45" s="1806"/>
      <c r="BR45" s="1806"/>
      <c r="BS45" s="1806"/>
      <c r="BT45" s="92"/>
    </row>
    <row r="46" spans="1:72">
      <c r="A46" s="13"/>
      <c r="B46" s="13"/>
      <c r="C46" s="62"/>
      <c r="D46" s="62"/>
      <c r="E46" s="62"/>
      <c r="F46" s="62"/>
      <c r="G46" s="62"/>
      <c r="H46" s="277"/>
      <c r="I46" s="277"/>
      <c r="J46" s="277"/>
      <c r="K46" s="277"/>
      <c r="L46" s="277"/>
      <c r="M46" s="277"/>
      <c r="N46" s="277"/>
      <c r="O46" s="277"/>
      <c r="P46" s="277"/>
      <c r="Q46" s="277"/>
      <c r="R46" s="277"/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BL46" s="254"/>
      <c r="BM46" s="254"/>
      <c r="BN46" s="254"/>
    </row>
    <row r="47" spans="1:72">
      <c r="A47" s="577" t="s">
        <v>1003</v>
      </c>
      <c r="B47" s="578"/>
      <c r="C47" s="578"/>
      <c r="D47" s="578"/>
      <c r="E47" s="578"/>
      <c r="F47" s="578"/>
      <c r="G47" s="578"/>
      <c r="H47" s="578"/>
      <c r="I47" s="578"/>
      <c r="J47" s="578"/>
      <c r="K47" s="578"/>
      <c r="L47" s="578"/>
      <c r="M47" s="578"/>
      <c r="N47" s="578" t="s">
        <v>114</v>
      </c>
      <c r="O47" s="578" t="s">
        <v>115</v>
      </c>
      <c r="P47" s="578" t="s">
        <v>116</v>
      </c>
      <c r="Q47" s="578" t="s">
        <v>117</v>
      </c>
      <c r="R47" s="578" t="s">
        <v>267</v>
      </c>
      <c r="S47" s="578" t="s">
        <v>268</v>
      </c>
      <c r="T47" s="578" t="s">
        <v>272</v>
      </c>
      <c r="U47" s="578" t="s">
        <v>273</v>
      </c>
      <c r="V47" s="578" t="s">
        <v>276</v>
      </c>
      <c r="W47" s="578" t="s">
        <v>13</v>
      </c>
      <c r="X47" s="578" t="s">
        <v>14</v>
      </c>
      <c r="Y47" s="578" t="s">
        <v>15</v>
      </c>
      <c r="Z47" s="578" t="s">
        <v>292</v>
      </c>
      <c r="AA47" s="578" t="s">
        <v>274</v>
      </c>
      <c r="AB47" s="578" t="s">
        <v>196</v>
      </c>
      <c r="AC47" s="578" t="s">
        <v>154</v>
      </c>
      <c r="AD47" s="578" t="s">
        <v>155</v>
      </c>
      <c r="AE47" s="578" t="s">
        <v>156</v>
      </c>
      <c r="AF47" s="578" t="s">
        <v>157</v>
      </c>
      <c r="AG47" s="578" t="s">
        <v>158</v>
      </c>
      <c r="AH47" s="578" t="s">
        <v>159</v>
      </c>
      <c r="AI47" s="578" t="s">
        <v>160</v>
      </c>
      <c r="AJ47" s="578" t="s">
        <v>161</v>
      </c>
      <c r="AK47" s="578" t="s">
        <v>162</v>
      </c>
      <c r="AL47" s="578" t="s">
        <v>163</v>
      </c>
      <c r="AM47" s="578" t="s">
        <v>164</v>
      </c>
      <c r="AN47" s="578" t="s">
        <v>165</v>
      </c>
      <c r="AO47" s="578" t="s">
        <v>166</v>
      </c>
      <c r="AP47" s="578" t="str">
        <f>AP3</f>
        <v>1Q17</v>
      </c>
      <c r="AQ47" s="578" t="str">
        <f t="shared" ref="AQ47:BC47" si="43">AQ3</f>
        <v>2Q17</v>
      </c>
      <c r="AR47" s="578" t="str">
        <f t="shared" si="43"/>
        <v>3Q17</v>
      </c>
      <c r="AS47" s="578" t="str">
        <f t="shared" si="43"/>
        <v>4Q17</v>
      </c>
      <c r="AT47" s="578" t="str">
        <f t="shared" si="43"/>
        <v>1Q18</v>
      </c>
      <c r="AU47" s="578" t="str">
        <f t="shared" si="43"/>
        <v>2Q18</v>
      </c>
      <c r="AV47" s="578" t="str">
        <f t="shared" si="43"/>
        <v>3Q18</v>
      </c>
      <c r="AW47" s="578" t="str">
        <f t="shared" si="43"/>
        <v>4Q18</v>
      </c>
      <c r="AX47" s="578" t="str">
        <f t="shared" si="43"/>
        <v>1Q19</v>
      </c>
      <c r="AY47" s="578" t="str">
        <f t="shared" si="43"/>
        <v>2Q19</v>
      </c>
      <c r="AZ47" s="578" t="str">
        <f t="shared" si="43"/>
        <v>3Q19</v>
      </c>
      <c r="BA47" s="578" t="str">
        <f t="shared" si="43"/>
        <v>4Q19</v>
      </c>
      <c r="BB47" s="578" t="str">
        <f t="shared" si="43"/>
        <v>1Q20</v>
      </c>
      <c r="BC47" s="578" t="str">
        <f t="shared" si="43"/>
        <v>2Q20</v>
      </c>
      <c r="BD47" s="578" t="str">
        <f>BD3</f>
        <v>3Q20</v>
      </c>
      <c r="BE47" s="578" t="str">
        <f>BE3</f>
        <v>4Q20</v>
      </c>
      <c r="BF47" s="578" t="str">
        <f t="shared" ref="BF47:BO47" si="44">BF3</f>
        <v>1Q21</v>
      </c>
      <c r="BG47" s="578" t="str">
        <f t="shared" si="44"/>
        <v>2Q21</v>
      </c>
      <c r="BH47" s="578" t="str">
        <f t="shared" si="44"/>
        <v>3Q21</v>
      </c>
      <c r="BI47" s="578" t="str">
        <f t="shared" si="44"/>
        <v>4Q21</v>
      </c>
      <c r="BJ47" s="578" t="str">
        <f t="shared" si="44"/>
        <v>1Q22</v>
      </c>
      <c r="BK47" s="578" t="str">
        <f t="shared" si="44"/>
        <v>2Q22</v>
      </c>
      <c r="BL47" s="578" t="str">
        <f t="shared" si="44"/>
        <v>3Q22</v>
      </c>
      <c r="BM47" s="578" t="str">
        <f t="shared" si="44"/>
        <v>4Q22</v>
      </c>
      <c r="BN47" s="578" t="str">
        <f t="shared" si="44"/>
        <v>1Q23</v>
      </c>
      <c r="BO47" s="578" t="str">
        <f t="shared" si="44"/>
        <v>2Q23</v>
      </c>
      <c r="BP47" s="578" t="str">
        <f t="shared" ref="BP47:BR47" si="45">BP3</f>
        <v>3Q23</v>
      </c>
      <c r="BQ47" s="578" t="str">
        <f t="shared" si="45"/>
        <v>4Q23</v>
      </c>
      <c r="BR47" s="578" t="str">
        <f t="shared" si="45"/>
        <v>1Q24</v>
      </c>
      <c r="BS47" s="578" t="str">
        <f t="shared" ref="BS47" si="46">BS3</f>
        <v>2Q24</v>
      </c>
    </row>
    <row r="48" spans="1:72" s="948" customFormat="1">
      <c r="A48" s="9" t="s">
        <v>1004</v>
      </c>
      <c r="B48" s="13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948">
        <v>0.872</v>
      </c>
      <c r="O48" s="948">
        <v>0.91200000000000003</v>
      </c>
      <c r="P48" s="948">
        <v>0.90100000000000002</v>
      </c>
      <c r="Q48" s="948">
        <v>0.91300000000000003</v>
      </c>
      <c r="R48" s="948">
        <v>0.66800000000000004</v>
      </c>
      <c r="S48" s="948">
        <v>0.65300000000000002</v>
      </c>
      <c r="T48" s="948">
        <v>0.73899999999999999</v>
      </c>
      <c r="U48" s="948">
        <v>0.82399999999999995</v>
      </c>
      <c r="V48" s="948">
        <v>0.99399999999999999</v>
      </c>
      <c r="W48" s="948">
        <v>0.98</v>
      </c>
      <c r="X48" s="948">
        <v>0.97</v>
      </c>
      <c r="Y48" s="948">
        <v>0.95</v>
      </c>
      <c r="Z48" s="948">
        <v>0.73</v>
      </c>
      <c r="AA48" s="948">
        <v>0.94799999999999995</v>
      </c>
      <c r="AB48" s="948">
        <v>0.97399999999999998</v>
      </c>
      <c r="AC48" s="948">
        <v>0.97399999999999998</v>
      </c>
      <c r="AD48" s="948">
        <v>0.96</v>
      </c>
      <c r="AE48" s="948">
        <v>0.90900000000000003</v>
      </c>
      <c r="AF48" s="948">
        <v>0.91700000000000004</v>
      </c>
      <c r="AG48" s="948">
        <v>0.82499999999999996</v>
      </c>
      <c r="AH48" s="948">
        <v>0.91900000000000004</v>
      </c>
      <c r="AI48" s="948">
        <v>0.73299999999999998</v>
      </c>
      <c r="AJ48" s="948">
        <v>0.70499999999999996</v>
      </c>
      <c r="AK48" s="948">
        <v>0.67</v>
      </c>
      <c r="AL48" s="948">
        <v>0.63</v>
      </c>
      <c r="AM48" s="948">
        <v>0.67</v>
      </c>
      <c r="AN48" s="948">
        <v>0.73499999999999999</v>
      </c>
      <c r="AO48" s="948">
        <v>0.64</v>
      </c>
      <c r="AP48" s="948">
        <v>0.88</v>
      </c>
      <c r="AQ48" s="948">
        <v>0.66</v>
      </c>
      <c r="AR48" s="948">
        <v>0.67</v>
      </c>
      <c r="AS48" s="948">
        <v>0.62</v>
      </c>
      <c r="AT48" s="948">
        <v>0.77</v>
      </c>
      <c r="AU48" s="948">
        <v>0.77</v>
      </c>
      <c r="AV48" s="948">
        <v>0.71</v>
      </c>
      <c r="AW48" s="948">
        <v>0.71</v>
      </c>
      <c r="AX48" s="948">
        <v>0.81</v>
      </c>
      <c r="AY48" s="948">
        <v>0.64</v>
      </c>
      <c r="AZ48" s="948">
        <v>0.59599999999999997</v>
      </c>
      <c r="BA48" s="948">
        <v>0.622</v>
      </c>
      <c r="BB48" s="948">
        <v>0.59</v>
      </c>
      <c r="BC48" s="948">
        <v>0.49</v>
      </c>
      <c r="BD48" s="948">
        <v>0.44</v>
      </c>
      <c r="BE48" s="948">
        <v>0.40799999999999997</v>
      </c>
      <c r="BF48" s="948">
        <v>0.26600000000000001</v>
      </c>
      <c r="BG48" s="948">
        <v>0.28999999999999998</v>
      </c>
      <c r="BH48" s="948">
        <v>0.314</v>
      </c>
      <c r="BI48" s="948">
        <v>0.307</v>
      </c>
      <c r="BJ48" s="948">
        <v>0.49</v>
      </c>
      <c r="BK48" s="948">
        <v>0.45</v>
      </c>
      <c r="BL48" s="948">
        <v>0.48599999999999999</v>
      </c>
      <c r="BM48" s="948">
        <v>0.51</v>
      </c>
      <c r="BN48" s="2034">
        <v>0.77100000000000002</v>
      </c>
      <c r="BO48" s="2034">
        <v>0.84299999999999997</v>
      </c>
      <c r="BP48" s="2034">
        <v>0.84299999999999997</v>
      </c>
      <c r="BQ48" s="1952">
        <f>54%</f>
        <v>0.54</v>
      </c>
      <c r="BR48" s="948">
        <f>62%</f>
        <v>0.62</v>
      </c>
      <c r="BS48" s="948">
        <v>0.56000000000000005</v>
      </c>
      <c r="BT48" s="2033" t="s">
        <v>1540</v>
      </c>
    </row>
    <row r="49" spans="1:77">
      <c r="A49" s="627"/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  <c r="O49" s="628"/>
      <c r="P49" s="628"/>
      <c r="Q49" s="628"/>
      <c r="R49" s="628"/>
      <c r="S49" s="628"/>
      <c r="T49" s="628"/>
      <c r="U49" s="628"/>
      <c r="V49" s="628"/>
      <c r="W49" s="628"/>
      <c r="X49" s="628"/>
      <c r="Y49" s="628"/>
      <c r="Z49" s="628"/>
      <c r="AA49" s="628"/>
      <c r="AB49" s="628"/>
      <c r="AC49" s="628"/>
      <c r="AD49" s="628"/>
      <c r="AE49" s="628"/>
      <c r="AF49" s="628"/>
      <c r="AG49" s="628"/>
      <c r="AH49" s="628"/>
      <c r="AI49" s="628"/>
      <c r="AJ49" s="628"/>
      <c r="AK49" s="628"/>
      <c r="AL49" s="628"/>
      <c r="AM49" s="628"/>
      <c r="AN49" s="629"/>
      <c r="AO49" s="629"/>
      <c r="AP49" s="629"/>
      <c r="AQ49" s="629"/>
      <c r="AR49" s="629"/>
      <c r="AS49" s="629"/>
      <c r="AT49" s="629"/>
      <c r="AU49" s="629"/>
      <c r="AV49" s="629"/>
      <c r="AW49" s="629"/>
      <c r="AX49" s="629"/>
      <c r="AY49" s="629"/>
      <c r="AZ49" s="1502"/>
      <c r="BA49" s="629"/>
      <c r="BB49" s="629"/>
      <c r="BC49" s="629"/>
      <c r="BD49" s="629"/>
      <c r="BE49" s="629"/>
      <c r="BF49" s="629"/>
      <c r="BG49" s="629"/>
      <c r="BH49" s="629"/>
      <c r="BI49" s="629"/>
      <c r="BJ49" s="629"/>
      <c r="BK49" s="629"/>
      <c r="BL49" s="629"/>
      <c r="BM49" s="629"/>
      <c r="BN49" s="629"/>
      <c r="BO49" s="629"/>
      <c r="BP49" s="629"/>
      <c r="BQ49" s="629"/>
      <c r="BR49" s="1502"/>
      <c r="BS49" s="2065"/>
      <c r="BT49" s="629"/>
      <c r="BU49" s="629"/>
      <c r="BV49" s="629"/>
      <c r="BW49" s="629"/>
      <c r="BX49" s="629"/>
      <c r="BY49" s="629"/>
    </row>
    <row r="50" spans="1:77">
      <c r="A50" s="623" t="str">
        <f>"Source: Company data, Morgan Stanley Research, MS Macro Forecast as of "&amp;Index!$J$50&amp;" (https://researchportal.ms.com/research/#/macroforecast/) and FX Forecast from Bloomberg’s implied forward curve as of"&amp;Index!$J$51</f>
        <v>Source: Company data, Morgan Stanley Research, MS Macro Forecast as of June 11 2024 (https://researchportal.ms.com/research/#/macroforecast/) and FX Forecast from Bloomberg’s implied forward curve as of July 08 2024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12"/>
      <c r="Q50" s="624"/>
      <c r="R50" s="4"/>
      <c r="S50" s="4"/>
      <c r="T50" s="12"/>
      <c r="U50" s="624"/>
      <c r="V50" s="4"/>
      <c r="W50" s="4"/>
      <c r="X50" s="625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631"/>
      <c r="AP50" s="4"/>
      <c r="AQ50" s="4"/>
      <c r="AR50" s="4"/>
      <c r="AS50" s="4"/>
      <c r="AT50" s="4"/>
      <c r="AU50" s="4"/>
      <c r="AV50" s="4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626" t="s">
        <v>281</v>
      </c>
    </row>
  </sheetData>
  <phoneticPr fontId="18" type="noConversion"/>
  <pageMargins left="0.25" right="0.25" top="0.5" bottom="0.5" header="0.5" footer="0.5"/>
  <pageSetup scale="94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>
    <tabColor indexed="8"/>
    <pageSetUpPr fitToPage="1"/>
  </sheetPr>
  <dimension ref="A1:A128"/>
  <sheetViews>
    <sheetView showGridLines="0" zoomScaleNormal="100" workbookViewId="0"/>
  </sheetViews>
  <sheetFormatPr baseColWidth="10" defaultColWidth="9.42578125" defaultRowHeight="12.75"/>
  <sheetData>
    <row r="1" s="241" customFormat="1" ht="11.25"/>
    <row r="2" s="241" customFormat="1" ht="11.25"/>
    <row r="3" s="241" customFormat="1" ht="11.25"/>
    <row r="4" s="241" customFormat="1" ht="11.25"/>
    <row r="5" s="241" customFormat="1" ht="11.25"/>
    <row r="6" s="241" customFormat="1" ht="11.25"/>
    <row r="7" s="241" customFormat="1" ht="11.25"/>
    <row r="8" s="241" customFormat="1" ht="11.25"/>
    <row r="9" s="241" customFormat="1" ht="11.25"/>
    <row r="10" s="241" customFormat="1" ht="11.25"/>
    <row r="11" s="241" customFormat="1" ht="11.25"/>
    <row r="12" s="241" customFormat="1" ht="11.25"/>
    <row r="13" s="241" customFormat="1" ht="11.25"/>
    <row r="14" s="241" customFormat="1" ht="11.25"/>
    <row r="15" s="241" customFormat="1" ht="11.25"/>
    <row r="16" s="241" customFormat="1" ht="11.25"/>
    <row r="17" s="241" customFormat="1" ht="11.25"/>
    <row r="18" s="241" customFormat="1" ht="11.25"/>
    <row r="19" s="241" customFormat="1" ht="11.25"/>
    <row r="20" s="241" customFormat="1" ht="11.25"/>
    <row r="21" s="241" customFormat="1" ht="11.25"/>
    <row r="22" s="241" customFormat="1" ht="11.25"/>
    <row r="23" s="241" customFormat="1" ht="11.25"/>
    <row r="24" s="241" customFormat="1" ht="11.25"/>
    <row r="25" s="241" customFormat="1" ht="11.25"/>
    <row r="26" s="241" customFormat="1" ht="11.25"/>
    <row r="27" s="241" customFormat="1" ht="11.25"/>
    <row r="28" s="241" customFormat="1" ht="11.25"/>
    <row r="29" s="241" customFormat="1" ht="11.25"/>
    <row r="30" s="241" customFormat="1" ht="11.25"/>
    <row r="31" s="241" customFormat="1" ht="11.25"/>
    <row r="32" s="241" customFormat="1" ht="11.25"/>
    <row r="33" s="241" customFormat="1" ht="11.25"/>
    <row r="34" s="241" customFormat="1" ht="11.25"/>
    <row r="35" s="241" customFormat="1" ht="11.25"/>
    <row r="36" s="241" customFormat="1" ht="11.25"/>
    <row r="37" s="241" customFormat="1" ht="11.25"/>
    <row r="38" s="241" customFormat="1" ht="11.25"/>
    <row r="39" s="241" customFormat="1" ht="11.25"/>
    <row r="40" s="241" customFormat="1" ht="11.25"/>
    <row r="41" s="241" customFormat="1" ht="11.25"/>
    <row r="42" s="241" customFormat="1" ht="11.25"/>
    <row r="43" s="241" customFormat="1" ht="11.25"/>
    <row r="44" s="241" customFormat="1" ht="11.25"/>
    <row r="45" s="241" customFormat="1" ht="11.25"/>
    <row r="46" s="241" customFormat="1" ht="11.25"/>
    <row r="47" s="241" customFormat="1" ht="11.25"/>
    <row r="48" s="241" customFormat="1" ht="11.25"/>
    <row r="49" s="241" customFormat="1" ht="11.25"/>
    <row r="50" s="241" customFormat="1" ht="11.25"/>
    <row r="51" s="241" customFormat="1" ht="11.25"/>
    <row r="52" s="241" customFormat="1" ht="11.25"/>
    <row r="53" s="241" customFormat="1" ht="11.25"/>
    <row r="54" s="241" customFormat="1" ht="11.25"/>
    <row r="55" s="241" customFormat="1" ht="11.25"/>
    <row r="56" s="241" customFormat="1" ht="11.25"/>
    <row r="57" s="241" customFormat="1" ht="11.25"/>
    <row r="58" s="241" customFormat="1" ht="11.25"/>
    <row r="59" s="241" customFormat="1" ht="11.25"/>
    <row r="60" s="241" customFormat="1" ht="11.25"/>
    <row r="61" s="241" customFormat="1" ht="11.25"/>
    <row r="62" s="241" customFormat="1" ht="11.25"/>
    <row r="63" s="241" customFormat="1" ht="11.25"/>
    <row r="64" s="241" customFormat="1" ht="11.25"/>
    <row r="65" s="241" customFormat="1" ht="11.25"/>
    <row r="66" s="241" customFormat="1" ht="11.25"/>
    <row r="67" s="241" customFormat="1" ht="11.25"/>
    <row r="68" s="241" customFormat="1" ht="11.25"/>
    <row r="69" s="241" customFormat="1" ht="11.25"/>
    <row r="70" s="241" customFormat="1" ht="11.25"/>
    <row r="71" s="241" customFormat="1" ht="11.25"/>
    <row r="72" s="241" customFormat="1" ht="11.25"/>
    <row r="73" s="241" customFormat="1" ht="11.25"/>
    <row r="74" s="241" customFormat="1" ht="11.25"/>
    <row r="75" s="241" customFormat="1" ht="11.25"/>
    <row r="76" s="241" customFormat="1" ht="11.25"/>
    <row r="77" s="241" customFormat="1" ht="11.25"/>
    <row r="78" s="241" customFormat="1" ht="11.25"/>
    <row r="79" s="241" customFormat="1" ht="11.25"/>
    <row r="80" s="241" customFormat="1" ht="11.25"/>
    <row r="81" s="241" customFormat="1" ht="11.25"/>
    <row r="82" s="241" customFormat="1" ht="11.25"/>
    <row r="83" s="241" customFormat="1" ht="11.25"/>
    <row r="84" s="241" customFormat="1" ht="11.25"/>
    <row r="85" s="241" customFormat="1" ht="11.25"/>
    <row r="86" s="241" customFormat="1" ht="11.25"/>
    <row r="87" s="241" customFormat="1" ht="11.25"/>
    <row r="88" s="241" customFormat="1" ht="11.25"/>
    <row r="89" s="241" customFormat="1" ht="11.25"/>
    <row r="90" s="241" customFormat="1" ht="11.25"/>
    <row r="91" s="241" customFormat="1" ht="11.25"/>
    <row r="92" s="241" customFormat="1" ht="11.25"/>
    <row r="93" s="241" customFormat="1" ht="11.25"/>
    <row r="94" s="241" customFormat="1" ht="11.25"/>
    <row r="95" s="241" customFormat="1" ht="11.25"/>
    <row r="96" s="241" customFormat="1" ht="11.25"/>
    <row r="97" s="241" customFormat="1" ht="11.25"/>
    <row r="98" s="241" customFormat="1" ht="11.25"/>
    <row r="99" s="241" customFormat="1" ht="11.25"/>
    <row r="100" s="241" customFormat="1" ht="11.25"/>
    <row r="101" s="241" customFormat="1" ht="11.25"/>
    <row r="102" s="241" customFormat="1" ht="11.25"/>
    <row r="103" s="241" customFormat="1" ht="11.25"/>
    <row r="104" s="241" customFormat="1" ht="11.25"/>
    <row r="105" s="241" customFormat="1" ht="11.25"/>
    <row r="106" s="241" customFormat="1" ht="11.25"/>
    <row r="107" s="241" customFormat="1" ht="11.25"/>
    <row r="108" s="241" customFormat="1" ht="11.25"/>
    <row r="109" s="241" customFormat="1" ht="11.25"/>
    <row r="110" s="241" customFormat="1" ht="11.25"/>
    <row r="111" s="241" customFormat="1" ht="11.25"/>
    <row r="112" s="241" customFormat="1" ht="11.25"/>
    <row r="113" s="241" customFormat="1" ht="11.25"/>
    <row r="114" s="241" customFormat="1" ht="11.25"/>
    <row r="115" s="241" customFormat="1" ht="11.25"/>
    <row r="116" s="241" customFormat="1" ht="11.25"/>
    <row r="117" s="241" customFormat="1" ht="11.25"/>
    <row r="118" s="241" customFormat="1" ht="11.25"/>
    <row r="119" s="241" customFormat="1" ht="11.25"/>
    <row r="120" s="241" customFormat="1" ht="11.25"/>
    <row r="121" s="241" customFormat="1" ht="11.25"/>
    <row r="122" s="241" customFormat="1" ht="11.25"/>
    <row r="123" s="241" customFormat="1" ht="11.25"/>
    <row r="124" s="241" customFormat="1" ht="11.25"/>
    <row r="125" s="241" customFormat="1" ht="11.25"/>
    <row r="126" s="241" customFormat="1" ht="11.25"/>
    <row r="127" s="241" customFormat="1" ht="11.25"/>
    <row r="128" s="241" customFormat="1" ht="11.25"/>
  </sheetData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>
    <tabColor theme="8" tint="0.59999389629810485"/>
    <pageSetUpPr fitToPage="1"/>
  </sheetPr>
  <dimension ref="A1:AN27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11.42578125" defaultRowHeight="11.25" outlineLevelRow="2" outlineLevelCol="1"/>
  <cols>
    <col min="1" max="1" width="33.42578125" style="9" customWidth="1"/>
    <col min="2" max="10" width="8.5703125" style="9" hidden="1" customWidth="1" outlineLevel="1"/>
    <col min="11" max="11" width="8.5703125" style="9" hidden="1" customWidth="1" outlineLevel="1" collapsed="1"/>
    <col min="12" max="14" width="8.5703125" style="9" hidden="1" customWidth="1" outlineLevel="1"/>
    <col min="15" max="15" width="8.5703125" style="9" hidden="1" customWidth="1" outlineLevel="1" collapsed="1"/>
    <col min="16" max="17" width="8.5703125" style="9" hidden="1" customWidth="1" outlineLevel="1"/>
    <col min="18" max="18" width="8.5703125" style="9" customWidth="1" collapsed="1"/>
    <col min="19" max="34" width="8.5703125" style="9" customWidth="1"/>
    <col min="35" max="39" width="8" style="9" customWidth="1"/>
    <col min="40" max="40" width="9.28515625" style="9" customWidth="1"/>
    <col min="41" max="16384" width="11.42578125" style="9"/>
  </cols>
  <sheetData>
    <row r="1" spans="1:40" ht="18">
      <c r="A1" s="24" t="s">
        <v>645</v>
      </c>
      <c r="B1" s="24"/>
      <c r="C1" s="24"/>
      <c r="D1" s="24"/>
      <c r="E1" s="24"/>
      <c r="F1" s="24"/>
      <c r="G1" s="24"/>
      <c r="H1" s="24"/>
      <c r="I1" s="24"/>
      <c r="J1" s="1647"/>
      <c r="K1" s="1647"/>
      <c r="L1" s="1647"/>
      <c r="M1" s="1647"/>
      <c r="N1" s="1647"/>
      <c r="O1" s="1647"/>
      <c r="P1" s="1647"/>
      <c r="Q1" s="1647"/>
      <c r="R1" s="1647"/>
      <c r="S1" s="1647"/>
      <c r="T1" s="1647"/>
      <c r="U1" s="1647"/>
      <c r="V1" s="1647"/>
      <c r="W1" s="1647"/>
      <c r="X1" s="1647"/>
      <c r="Y1" s="1647"/>
      <c r="Z1" s="1647"/>
      <c r="AA1" s="1647"/>
      <c r="AB1" s="1647"/>
      <c r="AC1" s="1647"/>
      <c r="AD1" s="1647"/>
      <c r="AE1" s="1647"/>
      <c r="AF1" s="1647"/>
      <c r="AG1" s="1647"/>
      <c r="AH1" s="1647"/>
    </row>
    <row r="2" spans="1:40" ht="12.75">
      <c r="A2" s="551" t="s">
        <v>537</v>
      </c>
      <c r="B2" s="551"/>
      <c r="C2" s="551"/>
      <c r="D2" s="551"/>
      <c r="E2" s="551"/>
      <c r="F2" s="551"/>
      <c r="G2" s="551"/>
      <c r="H2" s="551"/>
      <c r="I2" s="551"/>
      <c r="J2" s="130"/>
      <c r="K2" s="130"/>
      <c r="L2" s="129"/>
      <c r="M2" s="129"/>
      <c r="N2" s="129"/>
      <c r="O2" s="1138"/>
      <c r="P2" s="1138"/>
      <c r="Q2" s="1138"/>
      <c r="R2" s="409"/>
      <c r="S2" s="409"/>
      <c r="T2" s="409"/>
      <c r="U2" s="409"/>
      <c r="V2" s="409"/>
      <c r="W2" s="1138"/>
      <c r="X2" s="1138"/>
      <c r="Y2" s="409"/>
      <c r="Z2" s="409"/>
      <c r="AA2" s="131"/>
      <c r="AB2" s="131"/>
      <c r="AC2" s="409"/>
      <c r="AD2" s="409"/>
      <c r="AE2" s="131" t="s">
        <v>317</v>
      </c>
      <c r="AF2" s="131"/>
      <c r="AG2" s="131"/>
      <c r="AH2" s="131"/>
    </row>
    <row r="3" spans="1:40">
      <c r="J3" s="504"/>
      <c r="K3" s="504"/>
      <c r="L3" s="504"/>
      <c r="M3" s="504"/>
      <c r="N3" s="504"/>
      <c r="O3" s="1674" t="s">
        <v>916</v>
      </c>
      <c r="P3" s="504"/>
      <c r="Q3" s="504"/>
      <c r="R3" s="1139"/>
      <c r="S3" s="504"/>
      <c r="T3" s="1139"/>
      <c r="U3" s="1139"/>
      <c r="V3" s="1139"/>
      <c r="W3" s="1139"/>
      <c r="X3" s="1139"/>
      <c r="Y3" s="1139"/>
      <c r="Z3" s="1139"/>
      <c r="AA3" s="1139"/>
      <c r="AB3" s="1139"/>
      <c r="AC3" s="1139"/>
      <c r="AD3" s="1139"/>
      <c r="AE3" s="1139"/>
      <c r="AF3" s="1139"/>
      <c r="AG3" s="1139"/>
      <c r="AH3" s="1139"/>
      <c r="AI3" s="507"/>
      <c r="AJ3" s="62"/>
      <c r="AL3" s="62" t="s">
        <v>232</v>
      </c>
      <c r="AM3" s="40"/>
    </row>
    <row r="4" spans="1:40">
      <c r="A4" s="1126" t="s">
        <v>599</v>
      </c>
      <c r="B4" s="1124">
        <v>2001</v>
      </c>
      <c r="C4" s="1124">
        <v>2002</v>
      </c>
      <c r="D4" s="1124">
        <v>2003</v>
      </c>
      <c r="E4" s="1124">
        <v>2004</v>
      </c>
      <c r="F4" s="1124">
        <v>2005</v>
      </c>
      <c r="G4" s="1124">
        <v>2006</v>
      </c>
      <c r="H4" s="1124">
        <v>2007</v>
      </c>
      <c r="I4" s="1124">
        <v>2008</v>
      </c>
      <c r="J4" s="1124">
        <v>2009</v>
      </c>
      <c r="K4" s="1124">
        <v>2010</v>
      </c>
      <c r="L4" s="1124">
        <v>2011</v>
      </c>
      <c r="M4" s="1124">
        <v>2012</v>
      </c>
      <c r="N4" s="1124">
        <v>2013</v>
      </c>
      <c r="O4" s="1124">
        <v>2014</v>
      </c>
      <c r="P4" s="1124">
        <v>2015</v>
      </c>
      <c r="Q4" s="1124">
        <v>2016</v>
      </c>
      <c r="R4" s="1124">
        <v>2017</v>
      </c>
      <c r="S4" s="1124">
        <v>2018</v>
      </c>
      <c r="T4" s="1124">
        <v>2019</v>
      </c>
      <c r="U4" s="1124">
        <v>2020</v>
      </c>
      <c r="V4" s="1124">
        <v>2021</v>
      </c>
      <c r="W4" s="1124">
        <v>2022</v>
      </c>
      <c r="X4" s="1124">
        <v>2023</v>
      </c>
      <c r="Y4" s="1445">
        <v>2024</v>
      </c>
      <c r="Z4" s="1445">
        <v>2025</v>
      </c>
      <c r="AA4" s="1445">
        <v>2026</v>
      </c>
      <c r="AB4" s="1445">
        <v>2027</v>
      </c>
      <c r="AC4" s="1445">
        <v>2028</v>
      </c>
      <c r="AD4" s="1445">
        <v>2029</v>
      </c>
      <c r="AE4" s="1445">
        <v>2030</v>
      </c>
      <c r="AF4" s="1445">
        <v>2031</v>
      </c>
      <c r="AG4" s="1445">
        <v>2032</v>
      </c>
      <c r="AH4" s="1445">
        <v>2033</v>
      </c>
      <c r="AI4" s="125"/>
      <c r="AJ4" s="1949" t="s">
        <v>1481</v>
      </c>
      <c r="AK4" s="1949" t="s">
        <v>1493</v>
      </c>
      <c r="AL4" s="1949" t="s">
        <v>1494</v>
      </c>
      <c r="AM4" s="1949" t="s">
        <v>1491</v>
      </c>
      <c r="AN4" s="1949" t="s">
        <v>1492</v>
      </c>
    </row>
    <row r="5" spans="1:40">
      <c r="A5" s="89" t="s">
        <v>891</v>
      </c>
      <c r="B5" s="1544">
        <v>437</v>
      </c>
      <c r="C5" s="1544">
        <v>518</v>
      </c>
      <c r="D5" s="1544">
        <v>560</v>
      </c>
      <c r="E5" s="1544">
        <v>626</v>
      </c>
      <c r="F5" s="1544">
        <v>728</v>
      </c>
      <c r="G5" s="1544">
        <v>865</v>
      </c>
      <c r="H5" s="1544">
        <v>989</v>
      </c>
      <c r="I5" s="1544">
        <v>1135</v>
      </c>
      <c r="J5" s="985">
        <v>1171</v>
      </c>
      <c r="K5" s="985">
        <v>1206</v>
      </c>
      <c r="L5" s="985">
        <v>1283</v>
      </c>
      <c r="M5" s="985">
        <v>1435</v>
      </c>
      <c r="N5" s="985">
        <v>1862</v>
      </c>
      <c r="O5" s="985">
        <v>2784</v>
      </c>
      <c r="P5" s="985">
        <v>2954</v>
      </c>
      <c r="Q5" s="985">
        <v>3195</v>
      </c>
      <c r="R5" s="985">
        <v>3438</v>
      </c>
      <c r="S5" s="985">
        <v>3688</v>
      </c>
      <c r="T5" s="985">
        <v>4310</v>
      </c>
      <c r="U5" s="985">
        <v>4193</v>
      </c>
      <c r="V5" s="985">
        <v>4262</v>
      </c>
      <c r="W5" s="985">
        <v>4447</v>
      </c>
      <c r="X5" s="985">
        <v>4622</v>
      </c>
      <c r="Y5" s="1566">
        <v>4809</v>
      </c>
      <c r="Z5" s="1566">
        <v>4990</v>
      </c>
      <c r="AA5" s="1566">
        <v>5136</v>
      </c>
      <c r="AB5" s="1566">
        <v>5262</v>
      </c>
      <c r="AC5" s="1566">
        <v>5385</v>
      </c>
      <c r="AD5" s="1566">
        <v>5508</v>
      </c>
      <c r="AE5" s="1566">
        <v>5614</v>
      </c>
      <c r="AF5" s="1566">
        <v>5721</v>
      </c>
      <c r="AG5" s="1566">
        <v>5828</v>
      </c>
      <c r="AH5" s="1566">
        <v>5920</v>
      </c>
      <c r="AI5" s="1127"/>
      <c r="AJ5" s="1127">
        <v>7.2563156017504404E-2</v>
      </c>
      <c r="AK5" s="1127">
        <f t="shared" ref="AK5:AK24" si="0">IFERROR((X5/U5)^(1/3)-1,"NM")</f>
        <v>3.3003261961264796E-2</v>
      </c>
      <c r="AL5" s="1127">
        <f t="shared" ref="AL5:AL24" si="1">IFERROR((AA5/Y5)^(1/2)-1,"NM")</f>
        <v>3.3439647332502487E-2</v>
      </c>
      <c r="AM5" s="1127">
        <f t="shared" ref="AM5:AM24" si="2">IFERROR((AD5/AA5)^(1/3)-1,"NM")</f>
        <v>2.3582782704291816E-2</v>
      </c>
      <c r="AN5" s="1127">
        <f t="shared" ref="AN5:AN24" si="3">IFERROR((AH5/X5)^(1/10)-1,"NM")</f>
        <v>2.5059739882687504E-2</v>
      </c>
    </row>
    <row r="6" spans="1:40" hidden="1" outlineLevel="1">
      <c r="A6" s="42" t="s">
        <v>731</v>
      </c>
      <c r="B6" s="1545">
        <v>425</v>
      </c>
      <c r="C6" s="1545">
        <v>495</v>
      </c>
      <c r="D6" s="1545">
        <v>531</v>
      </c>
      <c r="E6" s="1545">
        <v>597</v>
      </c>
      <c r="F6" s="1545">
        <v>701</v>
      </c>
      <c r="G6" s="1545">
        <v>790</v>
      </c>
      <c r="H6" s="1545">
        <v>899</v>
      </c>
      <c r="I6" s="1545">
        <v>990</v>
      </c>
      <c r="J6" s="438">
        <v>1001</v>
      </c>
      <c r="K6" s="438">
        <v>1037</v>
      </c>
      <c r="L6" s="438">
        <v>1075</v>
      </c>
      <c r="M6" s="438">
        <v>1186</v>
      </c>
      <c r="N6" s="438">
        <v>1575</v>
      </c>
      <c r="O6" s="438">
        <v>1999</v>
      </c>
      <c r="P6" s="438">
        <v>2092</v>
      </c>
      <c r="Q6" s="438">
        <v>2215</v>
      </c>
      <c r="R6" s="438">
        <v>2346</v>
      </c>
      <c r="S6" s="438">
        <v>2467</v>
      </c>
      <c r="T6" s="438">
        <v>2272</v>
      </c>
      <c r="U6" s="438">
        <v>2184</v>
      </c>
      <c r="V6" s="438">
        <v>2174</v>
      </c>
      <c r="W6" s="438">
        <v>2248</v>
      </c>
      <c r="X6" s="438">
        <v>2313</v>
      </c>
      <c r="Y6" s="447">
        <v>2395</v>
      </c>
      <c r="Z6" s="447">
        <v>2502</v>
      </c>
      <c r="AA6" s="447">
        <v>2588</v>
      </c>
      <c r="AB6" s="447">
        <v>2662</v>
      </c>
      <c r="AC6" s="447">
        <v>2736</v>
      </c>
      <c r="AD6" s="447">
        <v>2810</v>
      </c>
      <c r="AE6" s="447">
        <v>2873</v>
      </c>
      <c r="AF6" s="447">
        <v>2936</v>
      </c>
      <c r="AG6" s="447">
        <v>2999</v>
      </c>
      <c r="AH6" s="447">
        <v>3054</v>
      </c>
      <c r="AI6" s="1128"/>
      <c r="AJ6" s="1128">
        <v>8.6446534003510322E-3</v>
      </c>
      <c r="AK6" s="1128">
        <f t="shared" si="0"/>
        <v>1.9313242080715387E-2</v>
      </c>
      <c r="AL6" s="1128">
        <f t="shared" si="1"/>
        <v>3.9511688798267164E-2</v>
      </c>
      <c r="AM6" s="1128">
        <f t="shared" si="2"/>
        <v>2.7812785904341553E-2</v>
      </c>
      <c r="AN6" s="1128">
        <f t="shared" si="3"/>
        <v>2.8180445585768599E-2</v>
      </c>
    </row>
    <row r="7" spans="1:40" hidden="1" outlineLevel="1">
      <c r="A7" s="42" t="s">
        <v>949</v>
      </c>
      <c r="B7" s="1545">
        <v>0</v>
      </c>
      <c r="C7" s="1545">
        <v>0</v>
      </c>
      <c r="D7" s="1545">
        <v>0</v>
      </c>
      <c r="E7" s="1545">
        <v>0</v>
      </c>
      <c r="F7" s="1545">
        <v>0</v>
      </c>
      <c r="G7" s="1545">
        <v>0</v>
      </c>
      <c r="H7" s="1545">
        <v>0</v>
      </c>
      <c r="I7" s="1545">
        <v>0</v>
      </c>
      <c r="J7" s="438">
        <v>0</v>
      </c>
      <c r="K7" s="438">
        <v>0</v>
      </c>
      <c r="L7" s="438">
        <v>0</v>
      </c>
      <c r="M7" s="438">
        <v>0</v>
      </c>
      <c r="N7" s="438">
        <v>0</v>
      </c>
      <c r="O7" s="438">
        <v>442</v>
      </c>
      <c r="P7" s="438">
        <v>467</v>
      </c>
      <c r="Q7" s="438">
        <v>499</v>
      </c>
      <c r="R7" s="438">
        <v>549</v>
      </c>
      <c r="S7" s="438">
        <v>593</v>
      </c>
      <c r="T7" s="438">
        <v>1398</v>
      </c>
      <c r="U7" s="438">
        <v>1376</v>
      </c>
      <c r="V7" s="438">
        <v>1424</v>
      </c>
      <c r="W7" s="438">
        <v>1476</v>
      </c>
      <c r="X7" s="438">
        <v>1534</v>
      </c>
      <c r="Y7" s="447">
        <v>1610</v>
      </c>
      <c r="Z7" s="447">
        <v>1655</v>
      </c>
      <c r="AA7" s="447">
        <v>1692</v>
      </c>
      <c r="AB7" s="447">
        <v>1724</v>
      </c>
      <c r="AC7" s="447">
        <v>1756</v>
      </c>
      <c r="AD7" s="447">
        <v>1788</v>
      </c>
      <c r="AE7" s="447">
        <v>1816</v>
      </c>
      <c r="AF7" s="447">
        <v>1844</v>
      </c>
      <c r="AG7" s="447">
        <v>1872</v>
      </c>
      <c r="AH7" s="447">
        <v>1896</v>
      </c>
      <c r="AI7" s="1128"/>
      <c r="AJ7" s="1128">
        <v>0.24125299860002158</v>
      </c>
      <c r="AK7" s="1128">
        <f t="shared" si="0"/>
        <v>3.6897057174009262E-2</v>
      </c>
      <c r="AL7" s="1128">
        <f t="shared" si="1"/>
        <v>2.5149587630328929E-2</v>
      </c>
      <c r="AM7" s="1128">
        <f t="shared" si="2"/>
        <v>1.8565710821354164E-2</v>
      </c>
      <c r="AN7" s="1128">
        <f t="shared" si="3"/>
        <v>2.1412803183560758E-2</v>
      </c>
    </row>
    <row r="8" spans="1:40" hidden="1" outlineLevel="1">
      <c r="A8" s="42" t="s">
        <v>733</v>
      </c>
      <c r="B8" s="1545">
        <v>12</v>
      </c>
      <c r="C8" s="1545">
        <v>23</v>
      </c>
      <c r="D8" s="1545">
        <v>29</v>
      </c>
      <c r="E8" s="1545">
        <v>29</v>
      </c>
      <c r="F8" s="1545">
        <v>27</v>
      </c>
      <c r="G8" s="1545">
        <v>75</v>
      </c>
      <c r="H8" s="1545">
        <v>90</v>
      </c>
      <c r="I8" s="1545">
        <v>145</v>
      </c>
      <c r="J8" s="438">
        <v>170</v>
      </c>
      <c r="K8" s="438">
        <v>169</v>
      </c>
      <c r="L8" s="438">
        <v>208</v>
      </c>
      <c r="M8" s="438">
        <v>249</v>
      </c>
      <c r="N8" s="438">
        <v>287</v>
      </c>
      <c r="O8" s="438">
        <v>343</v>
      </c>
      <c r="P8" s="438">
        <v>395</v>
      </c>
      <c r="Q8" s="438">
        <v>481</v>
      </c>
      <c r="R8" s="438">
        <v>543</v>
      </c>
      <c r="S8" s="438">
        <v>628</v>
      </c>
      <c r="T8" s="438">
        <v>640</v>
      </c>
      <c r="U8" s="438">
        <v>633</v>
      </c>
      <c r="V8" s="438">
        <v>664</v>
      </c>
      <c r="W8" s="438">
        <v>723</v>
      </c>
      <c r="X8" s="438">
        <v>775</v>
      </c>
      <c r="Y8" s="447">
        <v>804</v>
      </c>
      <c r="Z8" s="447">
        <v>833</v>
      </c>
      <c r="AA8" s="447">
        <v>856</v>
      </c>
      <c r="AB8" s="447">
        <v>876</v>
      </c>
      <c r="AC8" s="447">
        <v>893</v>
      </c>
      <c r="AD8" s="447">
        <v>910</v>
      </c>
      <c r="AE8" s="447">
        <v>925</v>
      </c>
      <c r="AF8" s="447">
        <v>941</v>
      </c>
      <c r="AG8" s="447">
        <v>957</v>
      </c>
      <c r="AH8" s="447">
        <v>970</v>
      </c>
      <c r="AI8" s="1128"/>
      <c r="AJ8" s="1128">
        <v>9.8907969227377102E-2</v>
      </c>
      <c r="AK8" s="1128">
        <f t="shared" si="0"/>
        <v>6.979196293093981E-2</v>
      </c>
      <c r="AL8" s="1128">
        <f t="shared" si="1"/>
        <v>3.1831680515491234E-2</v>
      </c>
      <c r="AM8" s="1128">
        <f t="shared" si="2"/>
        <v>2.0600732935971866E-2</v>
      </c>
      <c r="AN8" s="1128">
        <f t="shared" si="3"/>
        <v>2.2697049908062983E-2</v>
      </c>
    </row>
    <row r="9" spans="1:40" collapsed="1">
      <c r="A9" s="937" t="s">
        <v>996</v>
      </c>
      <c r="B9" s="1544">
        <v>283</v>
      </c>
      <c r="C9" s="1544">
        <v>342</v>
      </c>
      <c r="D9" s="1544">
        <v>363</v>
      </c>
      <c r="E9" s="1544">
        <v>425</v>
      </c>
      <c r="F9" s="1544">
        <v>559</v>
      </c>
      <c r="G9" s="1544">
        <v>689</v>
      </c>
      <c r="H9" s="1544">
        <v>806</v>
      </c>
      <c r="I9" s="1544">
        <v>929</v>
      </c>
      <c r="J9" s="985">
        <v>952</v>
      </c>
      <c r="K9" s="985">
        <v>1011</v>
      </c>
      <c r="L9" s="985">
        <v>1077</v>
      </c>
      <c r="M9" s="985">
        <v>1161</v>
      </c>
      <c r="N9" s="985">
        <v>1411</v>
      </c>
      <c r="O9" s="985">
        <v>2161</v>
      </c>
      <c r="P9" s="985">
        <v>2283</v>
      </c>
      <c r="Q9" s="985">
        <v>2502</v>
      </c>
      <c r="R9" s="985">
        <v>2716</v>
      </c>
      <c r="S9" s="985">
        <v>2947</v>
      </c>
      <c r="T9" s="985">
        <v>3419</v>
      </c>
      <c r="U9" s="985">
        <v>3284</v>
      </c>
      <c r="V9" s="985">
        <v>3289</v>
      </c>
      <c r="W9" s="985">
        <v>3436</v>
      </c>
      <c r="X9" s="985">
        <v>3552</v>
      </c>
      <c r="Y9" s="1566">
        <v>3669</v>
      </c>
      <c r="Z9" s="1566">
        <v>3780</v>
      </c>
      <c r="AA9" s="1566">
        <v>3868</v>
      </c>
      <c r="AB9" s="1566">
        <v>3944</v>
      </c>
      <c r="AC9" s="1566">
        <v>4020</v>
      </c>
      <c r="AD9" s="1566">
        <v>4096</v>
      </c>
      <c r="AE9" s="1566">
        <v>4162</v>
      </c>
      <c r="AF9" s="1566">
        <v>4228</v>
      </c>
      <c r="AG9" s="1566">
        <v>4294</v>
      </c>
      <c r="AH9" s="1566">
        <v>4350</v>
      </c>
      <c r="AI9" s="1127"/>
      <c r="AJ9" s="1127">
        <v>7.5423314295679056E-2</v>
      </c>
      <c r="AK9" s="1127">
        <f t="shared" si="0"/>
        <v>2.6494443607898877E-2</v>
      </c>
      <c r="AL9" s="1127">
        <f t="shared" si="1"/>
        <v>2.6761029668967984E-2</v>
      </c>
      <c r="AM9" s="1127">
        <f t="shared" si="2"/>
        <v>1.9274503742167104E-2</v>
      </c>
      <c r="AN9" s="1127">
        <f t="shared" si="3"/>
        <v>2.0473261953542155E-2</v>
      </c>
    </row>
    <row r="10" spans="1:40" hidden="1" outlineLevel="1">
      <c r="A10" s="86" t="s">
        <v>731</v>
      </c>
      <c r="B10" s="1545">
        <v>283</v>
      </c>
      <c r="C10" s="1545">
        <v>342</v>
      </c>
      <c r="D10" s="1545">
        <v>363</v>
      </c>
      <c r="E10" s="1545">
        <v>425</v>
      </c>
      <c r="F10" s="1545">
        <v>559</v>
      </c>
      <c r="G10" s="1545">
        <v>639</v>
      </c>
      <c r="H10" s="1545">
        <v>745</v>
      </c>
      <c r="I10" s="1545">
        <v>831</v>
      </c>
      <c r="J10" s="438">
        <v>836</v>
      </c>
      <c r="K10" s="438">
        <v>873</v>
      </c>
      <c r="L10" s="438">
        <v>905</v>
      </c>
      <c r="M10" s="438">
        <v>953</v>
      </c>
      <c r="N10" s="438">
        <v>1128</v>
      </c>
      <c r="O10" s="438">
        <v>1532</v>
      </c>
      <c r="P10" s="438">
        <v>1594</v>
      </c>
      <c r="Q10" s="438">
        <v>1698</v>
      </c>
      <c r="R10" s="438">
        <v>1813</v>
      </c>
      <c r="S10" s="438">
        <v>1917</v>
      </c>
      <c r="T10" s="438">
        <v>1916</v>
      </c>
      <c r="U10" s="438">
        <v>1821</v>
      </c>
      <c r="V10" s="438">
        <v>1789</v>
      </c>
      <c r="W10" s="438">
        <v>1833</v>
      </c>
      <c r="X10" s="438">
        <v>1851</v>
      </c>
      <c r="Y10" s="447">
        <v>1903</v>
      </c>
      <c r="Z10" s="447">
        <v>1968</v>
      </c>
      <c r="AA10" s="447">
        <v>2020</v>
      </c>
      <c r="AB10" s="447">
        <v>2065</v>
      </c>
      <c r="AC10" s="447">
        <v>2110</v>
      </c>
      <c r="AD10" s="447">
        <v>2155</v>
      </c>
      <c r="AE10" s="447">
        <v>2193</v>
      </c>
      <c r="AF10" s="447">
        <v>2231</v>
      </c>
      <c r="AG10" s="447">
        <v>2269</v>
      </c>
      <c r="AH10" s="447">
        <v>2302</v>
      </c>
      <c r="AI10" s="1128"/>
      <c r="AJ10" s="1128">
        <v>2.698553288545158E-2</v>
      </c>
      <c r="AK10" s="1128">
        <f t="shared" si="0"/>
        <v>5.4616047617601637E-3</v>
      </c>
      <c r="AL10" s="1127">
        <f t="shared" si="1"/>
        <v>3.0282422799897013E-2</v>
      </c>
      <c r="AM10" s="1128">
        <f t="shared" si="2"/>
        <v>2.1798596183635111E-2</v>
      </c>
      <c r="AN10" s="1128">
        <f t="shared" si="3"/>
        <v>2.2044699056354755E-2</v>
      </c>
    </row>
    <row r="11" spans="1:40" hidden="1" outlineLevel="1">
      <c r="A11" s="86" t="s">
        <v>949</v>
      </c>
      <c r="B11" s="1545">
        <v>0</v>
      </c>
      <c r="C11" s="1545">
        <v>0</v>
      </c>
      <c r="D11" s="1545">
        <v>0</v>
      </c>
      <c r="E11" s="1545">
        <v>0</v>
      </c>
      <c r="F11" s="1545">
        <v>0</v>
      </c>
      <c r="G11" s="1545">
        <v>0</v>
      </c>
      <c r="H11" s="1545">
        <v>0</v>
      </c>
      <c r="I11" s="1545">
        <v>0</v>
      </c>
      <c r="J11" s="438">
        <v>0</v>
      </c>
      <c r="K11" s="438">
        <v>0</v>
      </c>
      <c r="L11" s="438">
        <v>0</v>
      </c>
      <c r="M11" s="438">
        <v>0</v>
      </c>
      <c r="N11" s="438">
        <v>0</v>
      </c>
      <c r="O11" s="438">
        <v>302</v>
      </c>
      <c r="P11" s="438">
        <v>313</v>
      </c>
      <c r="Q11" s="438">
        <v>344</v>
      </c>
      <c r="R11" s="438">
        <v>381</v>
      </c>
      <c r="S11" s="438">
        <v>420</v>
      </c>
      <c r="T11" s="438">
        <v>888</v>
      </c>
      <c r="U11" s="438">
        <v>862</v>
      </c>
      <c r="V11" s="438">
        <v>878</v>
      </c>
      <c r="W11" s="438">
        <v>928</v>
      </c>
      <c r="X11" s="438">
        <v>976</v>
      </c>
      <c r="Y11" s="447">
        <v>1011</v>
      </c>
      <c r="Z11" s="447">
        <v>1038</v>
      </c>
      <c r="AA11" s="447">
        <v>1060</v>
      </c>
      <c r="AB11" s="447">
        <v>1079</v>
      </c>
      <c r="AC11" s="447">
        <v>1098</v>
      </c>
      <c r="AD11" s="447">
        <v>1117</v>
      </c>
      <c r="AE11" s="447">
        <v>1134</v>
      </c>
      <c r="AF11" s="447">
        <v>1151</v>
      </c>
      <c r="AG11" s="447">
        <v>1168</v>
      </c>
      <c r="AH11" s="447">
        <v>1182</v>
      </c>
      <c r="AI11" s="1128"/>
      <c r="AJ11" s="1128">
        <v>0.22459529260132638</v>
      </c>
      <c r="AK11" s="1128">
        <f t="shared" si="0"/>
        <v>4.2271471409511596E-2</v>
      </c>
      <c r="AL11" s="1127">
        <f t="shared" si="1"/>
        <v>2.3946709790408693E-2</v>
      </c>
      <c r="AM11" s="1128">
        <f t="shared" si="2"/>
        <v>1.7612506771589542E-2</v>
      </c>
      <c r="AN11" s="1128">
        <f t="shared" si="3"/>
        <v>1.9334599668773933E-2</v>
      </c>
    </row>
    <row r="12" spans="1:40" hidden="1" outlineLevel="1">
      <c r="A12" s="86" t="s">
        <v>733</v>
      </c>
      <c r="B12" s="1545">
        <v>0</v>
      </c>
      <c r="C12" s="1545">
        <v>0</v>
      </c>
      <c r="D12" s="1545">
        <v>0</v>
      </c>
      <c r="E12" s="1545">
        <v>0</v>
      </c>
      <c r="F12" s="1545">
        <v>0</v>
      </c>
      <c r="G12" s="1545">
        <v>50</v>
      </c>
      <c r="H12" s="1545">
        <v>61</v>
      </c>
      <c r="I12" s="1545">
        <v>98</v>
      </c>
      <c r="J12" s="438">
        <v>116</v>
      </c>
      <c r="K12" s="438">
        <v>138</v>
      </c>
      <c r="L12" s="438">
        <v>172</v>
      </c>
      <c r="M12" s="438">
        <v>208</v>
      </c>
      <c r="N12" s="438">
        <v>283</v>
      </c>
      <c r="O12" s="438">
        <v>327</v>
      </c>
      <c r="P12" s="438">
        <v>376</v>
      </c>
      <c r="Q12" s="438">
        <v>460</v>
      </c>
      <c r="R12" s="438">
        <v>522</v>
      </c>
      <c r="S12" s="438">
        <v>610</v>
      </c>
      <c r="T12" s="438">
        <v>615</v>
      </c>
      <c r="U12" s="438">
        <v>601</v>
      </c>
      <c r="V12" s="438">
        <v>622</v>
      </c>
      <c r="W12" s="438">
        <v>675</v>
      </c>
      <c r="X12" s="438">
        <v>725</v>
      </c>
      <c r="Y12" s="447">
        <v>755</v>
      </c>
      <c r="Z12" s="447">
        <v>774</v>
      </c>
      <c r="AA12" s="447">
        <v>788</v>
      </c>
      <c r="AB12" s="447">
        <v>800</v>
      </c>
      <c r="AC12" s="447">
        <v>812</v>
      </c>
      <c r="AD12" s="447">
        <v>824</v>
      </c>
      <c r="AE12" s="447">
        <v>835</v>
      </c>
      <c r="AF12" s="447">
        <v>846</v>
      </c>
      <c r="AG12" s="447">
        <v>857</v>
      </c>
      <c r="AH12" s="447">
        <v>866</v>
      </c>
      <c r="AI12" s="1128"/>
      <c r="AJ12" s="1128">
        <v>9.8341328067830691E-2</v>
      </c>
      <c r="AK12" s="1128">
        <f t="shared" si="0"/>
        <v>6.4521682050938889E-2</v>
      </c>
      <c r="AL12" s="1127">
        <f t="shared" si="1"/>
        <v>2.1620579898194547E-2</v>
      </c>
      <c r="AM12" s="1128">
        <f t="shared" si="2"/>
        <v>1.5002233872090098E-2</v>
      </c>
      <c r="AN12" s="1128">
        <f t="shared" si="3"/>
        <v>1.7930174967582202E-2</v>
      </c>
    </row>
    <row r="13" spans="1:40" collapsed="1">
      <c r="A13" s="937" t="s">
        <v>997</v>
      </c>
      <c r="B13" s="1544">
        <v>154</v>
      </c>
      <c r="C13" s="1544">
        <v>176</v>
      </c>
      <c r="D13" s="1544">
        <v>197</v>
      </c>
      <c r="E13" s="1544">
        <v>201</v>
      </c>
      <c r="F13" s="1544">
        <v>169</v>
      </c>
      <c r="G13" s="1544">
        <v>176</v>
      </c>
      <c r="H13" s="1544">
        <v>183</v>
      </c>
      <c r="I13" s="1544">
        <v>206</v>
      </c>
      <c r="J13" s="985">
        <v>219</v>
      </c>
      <c r="K13" s="985">
        <v>195</v>
      </c>
      <c r="L13" s="985">
        <v>206</v>
      </c>
      <c r="M13" s="985">
        <v>274</v>
      </c>
      <c r="N13" s="985">
        <v>451</v>
      </c>
      <c r="O13" s="985">
        <v>623</v>
      </c>
      <c r="P13" s="985">
        <v>671</v>
      </c>
      <c r="Q13" s="985">
        <v>693</v>
      </c>
      <c r="R13" s="985">
        <v>722</v>
      </c>
      <c r="S13" s="985">
        <v>741</v>
      </c>
      <c r="T13" s="985">
        <v>891</v>
      </c>
      <c r="U13" s="985">
        <v>909</v>
      </c>
      <c r="V13" s="985">
        <v>973</v>
      </c>
      <c r="W13" s="985">
        <v>1011</v>
      </c>
      <c r="X13" s="985">
        <v>1070</v>
      </c>
      <c r="Y13" s="1566">
        <v>1140</v>
      </c>
      <c r="Z13" s="1566">
        <v>1210</v>
      </c>
      <c r="AA13" s="1566">
        <v>1268</v>
      </c>
      <c r="AB13" s="1566">
        <v>1318</v>
      </c>
      <c r="AC13" s="1566">
        <v>1365</v>
      </c>
      <c r="AD13" s="1566">
        <v>1412</v>
      </c>
      <c r="AE13" s="1566">
        <v>1452</v>
      </c>
      <c r="AF13" s="1566">
        <v>1493</v>
      </c>
      <c r="AG13" s="1566">
        <v>1534</v>
      </c>
      <c r="AH13" s="1566">
        <v>1570</v>
      </c>
      <c r="AI13" s="1127"/>
      <c r="AJ13" s="1127">
        <v>6.2596234584169075E-2</v>
      </c>
      <c r="AK13" s="1127">
        <f t="shared" si="0"/>
        <v>5.5860714840627157E-2</v>
      </c>
      <c r="AL13" s="1127">
        <f t="shared" si="1"/>
        <v>5.4647193024466301E-2</v>
      </c>
      <c r="AM13" s="1127">
        <f t="shared" si="2"/>
        <v>3.6505985588819234E-2</v>
      </c>
      <c r="AN13" s="1127">
        <f t="shared" si="3"/>
        <v>3.9086224963078786E-2</v>
      </c>
    </row>
    <row r="14" spans="1:40" hidden="1" outlineLevel="1">
      <c r="A14" s="86" t="s">
        <v>731</v>
      </c>
      <c r="B14" s="1545">
        <v>142</v>
      </c>
      <c r="C14" s="1545">
        <v>153</v>
      </c>
      <c r="D14" s="1545">
        <v>168</v>
      </c>
      <c r="E14" s="1545">
        <v>172</v>
      </c>
      <c r="F14" s="1545">
        <v>142</v>
      </c>
      <c r="G14" s="1545">
        <v>151</v>
      </c>
      <c r="H14" s="1545">
        <v>154</v>
      </c>
      <c r="I14" s="1545">
        <v>159</v>
      </c>
      <c r="J14" s="438">
        <v>165</v>
      </c>
      <c r="K14" s="438">
        <v>164</v>
      </c>
      <c r="L14" s="438">
        <v>170</v>
      </c>
      <c r="M14" s="438">
        <v>233</v>
      </c>
      <c r="N14" s="438">
        <v>447</v>
      </c>
      <c r="O14" s="438">
        <v>467</v>
      </c>
      <c r="P14" s="438">
        <v>498</v>
      </c>
      <c r="Q14" s="438">
        <v>517</v>
      </c>
      <c r="R14" s="438">
        <v>533</v>
      </c>
      <c r="S14" s="438">
        <v>550</v>
      </c>
      <c r="T14" s="438">
        <v>356</v>
      </c>
      <c r="U14" s="438">
        <v>363</v>
      </c>
      <c r="V14" s="438">
        <v>385</v>
      </c>
      <c r="W14" s="438">
        <v>415</v>
      </c>
      <c r="X14" s="438">
        <v>462</v>
      </c>
      <c r="Y14" s="447">
        <v>492</v>
      </c>
      <c r="Z14" s="447">
        <v>534</v>
      </c>
      <c r="AA14" s="447">
        <v>568</v>
      </c>
      <c r="AB14" s="447">
        <v>597</v>
      </c>
      <c r="AC14" s="447">
        <v>626</v>
      </c>
      <c r="AD14" s="447">
        <v>655</v>
      </c>
      <c r="AE14" s="447">
        <v>680</v>
      </c>
      <c r="AF14" s="447">
        <v>705</v>
      </c>
      <c r="AG14" s="447">
        <v>730</v>
      </c>
      <c r="AH14" s="447">
        <v>752</v>
      </c>
      <c r="AI14" s="1128"/>
      <c r="AJ14" s="1128">
        <v>-6.1281328050714734E-2</v>
      </c>
      <c r="AK14" s="1128">
        <f t="shared" si="0"/>
        <v>8.3706762661827083E-2</v>
      </c>
      <c r="AL14" s="1127">
        <f t="shared" si="1"/>
        <v>7.4463375232235229E-2</v>
      </c>
      <c r="AM14" s="1128">
        <f t="shared" si="2"/>
        <v>4.8651030817234764E-2</v>
      </c>
      <c r="AN14" s="1128">
        <f t="shared" si="3"/>
        <v>4.9923330872504668E-2</v>
      </c>
    </row>
    <row r="15" spans="1:40" hidden="1" outlineLevel="1">
      <c r="A15" s="86" t="s">
        <v>949</v>
      </c>
      <c r="B15" s="1545">
        <v>0</v>
      </c>
      <c r="C15" s="1545">
        <v>0</v>
      </c>
      <c r="D15" s="1545">
        <v>0</v>
      </c>
      <c r="E15" s="1545">
        <v>0</v>
      </c>
      <c r="F15" s="1545">
        <v>0</v>
      </c>
      <c r="G15" s="1545">
        <v>0</v>
      </c>
      <c r="H15" s="1545">
        <v>0</v>
      </c>
      <c r="I15" s="1545">
        <v>0</v>
      </c>
      <c r="J15" s="438">
        <v>0</v>
      </c>
      <c r="K15" s="438">
        <v>0</v>
      </c>
      <c r="L15" s="438">
        <v>0</v>
      </c>
      <c r="M15" s="438">
        <v>0</v>
      </c>
      <c r="N15" s="438">
        <v>0</v>
      </c>
      <c r="O15" s="438">
        <v>140</v>
      </c>
      <c r="P15" s="438">
        <v>154</v>
      </c>
      <c r="Q15" s="438">
        <v>155</v>
      </c>
      <c r="R15" s="438">
        <v>168</v>
      </c>
      <c r="S15" s="438">
        <v>173</v>
      </c>
      <c r="T15" s="438">
        <v>510</v>
      </c>
      <c r="U15" s="438">
        <v>514</v>
      </c>
      <c r="V15" s="438">
        <v>546</v>
      </c>
      <c r="W15" s="438">
        <v>548</v>
      </c>
      <c r="X15" s="438">
        <v>558</v>
      </c>
      <c r="Y15" s="447">
        <v>599</v>
      </c>
      <c r="Z15" s="447">
        <v>617</v>
      </c>
      <c r="AA15" s="447">
        <v>632</v>
      </c>
      <c r="AB15" s="447">
        <v>645</v>
      </c>
      <c r="AC15" s="447">
        <v>658</v>
      </c>
      <c r="AD15" s="447">
        <v>671</v>
      </c>
      <c r="AE15" s="447">
        <v>682</v>
      </c>
      <c r="AF15" s="447">
        <v>693</v>
      </c>
      <c r="AG15" s="447">
        <v>704</v>
      </c>
      <c r="AH15" s="447">
        <v>714</v>
      </c>
      <c r="AI15" s="1128"/>
      <c r="AJ15" s="1128">
        <v>0.27258992205548904</v>
      </c>
      <c r="AK15" s="1128">
        <f t="shared" si="0"/>
        <v>2.7756802541692327E-2</v>
      </c>
      <c r="AL15" s="1127">
        <f t="shared" si="1"/>
        <v>2.7176625366591489E-2</v>
      </c>
      <c r="AM15" s="1128">
        <f t="shared" si="2"/>
        <v>2.0160445335987376E-2</v>
      </c>
      <c r="AN15" s="1128">
        <f t="shared" si="3"/>
        <v>2.4958782919320743E-2</v>
      </c>
    </row>
    <row r="16" spans="1:40" hidden="1" outlineLevel="1">
      <c r="A16" s="86" t="s">
        <v>733</v>
      </c>
      <c r="B16" s="1545">
        <v>12</v>
      </c>
      <c r="C16" s="1545">
        <v>23</v>
      </c>
      <c r="D16" s="1545">
        <v>29</v>
      </c>
      <c r="E16" s="1545">
        <v>29</v>
      </c>
      <c r="F16" s="1545">
        <v>27</v>
      </c>
      <c r="G16" s="1545">
        <v>25</v>
      </c>
      <c r="H16" s="1545">
        <v>29</v>
      </c>
      <c r="I16" s="1545">
        <v>47</v>
      </c>
      <c r="J16" s="438">
        <v>54</v>
      </c>
      <c r="K16" s="438">
        <v>31</v>
      </c>
      <c r="L16" s="438">
        <v>36</v>
      </c>
      <c r="M16" s="438">
        <v>41</v>
      </c>
      <c r="N16" s="438">
        <v>4</v>
      </c>
      <c r="O16" s="438">
        <v>16</v>
      </c>
      <c r="P16" s="438">
        <v>19</v>
      </c>
      <c r="Q16" s="438">
        <v>21</v>
      </c>
      <c r="R16" s="438">
        <v>21</v>
      </c>
      <c r="S16" s="438">
        <v>18</v>
      </c>
      <c r="T16" s="438">
        <v>25</v>
      </c>
      <c r="U16" s="438">
        <v>32</v>
      </c>
      <c r="V16" s="438">
        <v>42</v>
      </c>
      <c r="W16" s="438">
        <v>48</v>
      </c>
      <c r="X16" s="438">
        <v>50</v>
      </c>
      <c r="Y16" s="447">
        <v>49</v>
      </c>
      <c r="Z16" s="447">
        <v>59</v>
      </c>
      <c r="AA16" s="447">
        <v>68</v>
      </c>
      <c r="AB16" s="447">
        <v>76</v>
      </c>
      <c r="AC16" s="447">
        <v>81</v>
      </c>
      <c r="AD16" s="447">
        <v>86</v>
      </c>
      <c r="AE16" s="447">
        <v>90</v>
      </c>
      <c r="AF16" s="447">
        <v>95</v>
      </c>
      <c r="AG16" s="447">
        <v>100</v>
      </c>
      <c r="AH16" s="447">
        <v>104</v>
      </c>
      <c r="AI16" s="1128"/>
      <c r="AJ16" s="1128">
        <v>0.1098883056567086</v>
      </c>
      <c r="AK16" s="1128">
        <f t="shared" si="0"/>
        <v>0.16039720840319482</v>
      </c>
      <c r="AL16" s="1127">
        <f t="shared" si="1"/>
        <v>0.17803017874790306</v>
      </c>
      <c r="AM16" s="1128">
        <f t="shared" si="2"/>
        <v>8.1425267992054184E-2</v>
      </c>
      <c r="AN16" s="1128">
        <f t="shared" si="3"/>
        <v>7.5985288632311354E-2</v>
      </c>
    </row>
    <row r="17" spans="1:40" collapsed="1">
      <c r="A17" s="43" t="s">
        <v>1252</v>
      </c>
      <c r="B17" s="1569"/>
      <c r="C17" s="967">
        <v>59</v>
      </c>
      <c r="D17" s="967">
        <v>21</v>
      </c>
      <c r="E17" s="967">
        <v>62</v>
      </c>
      <c r="F17" s="967">
        <v>134</v>
      </c>
      <c r="G17" s="967">
        <v>130</v>
      </c>
      <c r="H17" s="967">
        <v>117</v>
      </c>
      <c r="I17" s="967">
        <v>123</v>
      </c>
      <c r="J17" s="967">
        <v>23</v>
      </c>
      <c r="K17" s="967">
        <v>59</v>
      </c>
      <c r="L17" s="967">
        <v>66</v>
      </c>
      <c r="M17" s="967">
        <v>84</v>
      </c>
      <c r="N17" s="972">
        <v>250</v>
      </c>
      <c r="O17" s="972">
        <v>750</v>
      </c>
      <c r="P17" s="972">
        <v>122</v>
      </c>
      <c r="Q17" s="972">
        <v>219</v>
      </c>
      <c r="R17" s="972">
        <v>214</v>
      </c>
      <c r="S17" s="972">
        <v>231</v>
      </c>
      <c r="T17" s="972">
        <v>472</v>
      </c>
      <c r="U17" s="972">
        <v>-135</v>
      </c>
      <c r="V17" s="972">
        <v>5</v>
      </c>
      <c r="W17" s="972">
        <v>147</v>
      </c>
      <c r="X17" s="972">
        <v>116</v>
      </c>
      <c r="Y17" s="1396">
        <v>117</v>
      </c>
      <c r="Z17" s="1396">
        <v>111</v>
      </c>
      <c r="AA17" s="1396">
        <v>88</v>
      </c>
      <c r="AB17" s="1396">
        <v>76</v>
      </c>
      <c r="AC17" s="1396">
        <v>76</v>
      </c>
      <c r="AD17" s="1396">
        <v>76</v>
      </c>
      <c r="AE17" s="1396">
        <v>66</v>
      </c>
      <c r="AF17" s="1396">
        <v>66</v>
      </c>
      <c r="AG17" s="1396">
        <v>66</v>
      </c>
      <c r="AH17" s="1396">
        <v>56</v>
      </c>
      <c r="AI17" s="1127"/>
      <c r="AJ17" s="1127">
        <v>-2.0204571842626802</v>
      </c>
      <c r="AK17" s="1127">
        <f t="shared" si="0"/>
        <v>-1.9506954314282725</v>
      </c>
      <c r="AL17" s="1127">
        <f t="shared" si="1"/>
        <v>-0.13274181921601214</v>
      </c>
      <c r="AM17" s="1127">
        <f t="shared" si="2"/>
        <v>-4.7693007186371261E-2</v>
      </c>
      <c r="AN17" s="1127">
        <f t="shared" si="3"/>
        <v>-7.0235406399456135E-2</v>
      </c>
    </row>
    <row r="18" spans="1:40" hidden="1" outlineLevel="1">
      <c r="A18" s="42" t="s">
        <v>731</v>
      </c>
      <c r="B18" s="1571"/>
      <c r="C18" s="967">
        <v>59</v>
      </c>
      <c r="D18" s="967">
        <v>21</v>
      </c>
      <c r="E18" s="967">
        <v>62</v>
      </c>
      <c r="F18" s="967">
        <v>134</v>
      </c>
      <c r="G18" s="967">
        <v>80</v>
      </c>
      <c r="H18" s="967">
        <v>106</v>
      </c>
      <c r="I18" s="967">
        <v>86</v>
      </c>
      <c r="J18" s="967">
        <v>5</v>
      </c>
      <c r="K18" s="967">
        <v>37</v>
      </c>
      <c r="L18" s="967">
        <v>32</v>
      </c>
      <c r="M18" s="967">
        <v>48</v>
      </c>
      <c r="N18" s="967">
        <v>175</v>
      </c>
      <c r="O18" s="967">
        <v>404</v>
      </c>
      <c r="P18" s="967">
        <v>62</v>
      </c>
      <c r="Q18" s="967">
        <v>104</v>
      </c>
      <c r="R18" s="967">
        <v>115</v>
      </c>
      <c r="S18" s="967">
        <v>104</v>
      </c>
      <c r="T18" s="967">
        <v>-1</v>
      </c>
      <c r="U18" s="967">
        <v>-95</v>
      </c>
      <c r="V18" s="967">
        <v>-32</v>
      </c>
      <c r="W18" s="967">
        <v>44</v>
      </c>
      <c r="X18" s="967">
        <v>18</v>
      </c>
      <c r="Y18" s="1397">
        <v>52</v>
      </c>
      <c r="Z18" s="1397">
        <v>65</v>
      </c>
      <c r="AA18" s="1397">
        <v>52</v>
      </c>
      <c r="AB18" s="1397">
        <v>45</v>
      </c>
      <c r="AC18" s="1397">
        <v>45</v>
      </c>
      <c r="AD18" s="1397">
        <v>45</v>
      </c>
      <c r="AE18" s="1397">
        <v>38</v>
      </c>
      <c r="AF18" s="1397">
        <v>38</v>
      </c>
      <c r="AG18" s="1397">
        <v>38</v>
      </c>
      <c r="AH18" s="1397">
        <v>33</v>
      </c>
      <c r="AI18" s="1128"/>
      <c r="AJ18" s="1128">
        <v>-2.0890965521452962</v>
      </c>
      <c r="AK18" s="1128">
        <f t="shared" si="0"/>
        <v>-1.5743583862351338</v>
      </c>
      <c r="AL18" s="1127">
        <f t="shared" si="1"/>
        <v>0</v>
      </c>
      <c r="AM18" s="1128">
        <f t="shared" si="2"/>
        <v>-4.7050857974376803E-2</v>
      </c>
      <c r="AN18" s="1128">
        <f t="shared" si="3"/>
        <v>6.2488268514150569E-2</v>
      </c>
    </row>
    <row r="19" spans="1:40" hidden="1" outlineLevel="1">
      <c r="A19" s="42" t="s">
        <v>949</v>
      </c>
      <c r="B19" s="1571"/>
      <c r="C19" s="967">
        <v>0</v>
      </c>
      <c r="D19" s="967">
        <v>0</v>
      </c>
      <c r="E19" s="967">
        <v>0</v>
      </c>
      <c r="F19" s="967">
        <v>0</v>
      </c>
      <c r="G19" s="967">
        <v>0</v>
      </c>
      <c r="H19" s="967">
        <v>0</v>
      </c>
      <c r="I19" s="967">
        <v>0</v>
      </c>
      <c r="J19" s="967">
        <v>0</v>
      </c>
      <c r="K19" s="967">
        <v>0</v>
      </c>
      <c r="L19" s="967">
        <v>0</v>
      </c>
      <c r="M19" s="967">
        <v>0</v>
      </c>
      <c r="N19" s="967">
        <v>0</v>
      </c>
      <c r="O19" s="967">
        <v>302</v>
      </c>
      <c r="P19" s="967">
        <v>11</v>
      </c>
      <c r="Q19" s="967">
        <v>31</v>
      </c>
      <c r="R19" s="967">
        <v>37</v>
      </c>
      <c r="S19" s="967">
        <v>39</v>
      </c>
      <c r="T19" s="967">
        <v>468</v>
      </c>
      <c r="U19" s="967">
        <v>-26</v>
      </c>
      <c r="V19" s="967">
        <v>16</v>
      </c>
      <c r="W19" s="967">
        <v>50</v>
      </c>
      <c r="X19" s="967">
        <v>48</v>
      </c>
      <c r="Y19" s="1397">
        <v>35</v>
      </c>
      <c r="Z19" s="1397">
        <v>27</v>
      </c>
      <c r="AA19" s="1397">
        <v>22</v>
      </c>
      <c r="AB19" s="1397">
        <v>19</v>
      </c>
      <c r="AC19" s="1397">
        <v>19</v>
      </c>
      <c r="AD19" s="1397">
        <v>19</v>
      </c>
      <c r="AE19" s="1397">
        <v>17</v>
      </c>
      <c r="AF19" s="1397">
        <v>17</v>
      </c>
      <c r="AG19" s="1397">
        <v>17</v>
      </c>
      <c r="AH19" s="1397">
        <v>14</v>
      </c>
      <c r="AI19" s="1128"/>
      <c r="AJ19" s="1128">
        <v>-2.1877256418249376</v>
      </c>
      <c r="AK19" s="1128">
        <f t="shared" si="0"/>
        <v>-2.2267497075930422</v>
      </c>
      <c r="AL19" s="1127">
        <f t="shared" si="1"/>
        <v>-0.20717503282790817</v>
      </c>
      <c r="AM19" s="1128">
        <f t="shared" si="2"/>
        <v>-4.7693007186371261E-2</v>
      </c>
      <c r="AN19" s="1128">
        <f t="shared" si="3"/>
        <v>-0.11592587507015828</v>
      </c>
    </row>
    <row r="20" spans="1:40" hidden="1" outlineLevel="1">
      <c r="A20" s="42" t="s">
        <v>733</v>
      </c>
      <c r="B20" s="1571"/>
      <c r="C20" s="967">
        <v>0</v>
      </c>
      <c r="D20" s="967">
        <v>0</v>
      </c>
      <c r="E20" s="967">
        <v>0</v>
      </c>
      <c r="F20" s="967">
        <v>0</v>
      </c>
      <c r="G20" s="967">
        <v>50</v>
      </c>
      <c r="H20" s="967">
        <v>11</v>
      </c>
      <c r="I20" s="967">
        <v>37</v>
      </c>
      <c r="J20" s="967">
        <v>18</v>
      </c>
      <c r="K20" s="967">
        <v>22</v>
      </c>
      <c r="L20" s="967">
        <v>34</v>
      </c>
      <c r="M20" s="967">
        <v>36</v>
      </c>
      <c r="N20" s="967">
        <v>75</v>
      </c>
      <c r="O20" s="967">
        <v>44</v>
      </c>
      <c r="P20" s="967">
        <v>49</v>
      </c>
      <c r="Q20" s="967">
        <v>84</v>
      </c>
      <c r="R20" s="967">
        <v>62</v>
      </c>
      <c r="S20" s="967">
        <v>88</v>
      </c>
      <c r="T20" s="967">
        <v>5</v>
      </c>
      <c r="U20" s="967">
        <v>-14</v>
      </c>
      <c r="V20" s="967">
        <v>21</v>
      </c>
      <c r="W20" s="967">
        <v>53</v>
      </c>
      <c r="X20" s="967">
        <v>50</v>
      </c>
      <c r="Y20" s="1397">
        <v>30</v>
      </c>
      <c r="Z20" s="1397">
        <v>19</v>
      </c>
      <c r="AA20" s="1397">
        <v>14</v>
      </c>
      <c r="AB20" s="1397">
        <v>12</v>
      </c>
      <c r="AC20" s="1397">
        <v>12</v>
      </c>
      <c r="AD20" s="1397">
        <v>12</v>
      </c>
      <c r="AE20" s="1397">
        <v>11</v>
      </c>
      <c r="AF20" s="1397">
        <v>11</v>
      </c>
      <c r="AG20" s="1397">
        <v>11</v>
      </c>
      <c r="AH20" s="1397">
        <v>9</v>
      </c>
      <c r="AI20" s="1128"/>
      <c r="AJ20" s="1128">
        <v>-1.7783705415511708</v>
      </c>
      <c r="AK20" s="1128">
        <f t="shared" si="0"/>
        <v>-2.5285535436643993</v>
      </c>
      <c r="AL20" s="1127">
        <f t="shared" si="1"/>
        <v>-0.31686994893602682</v>
      </c>
      <c r="AM20" s="1128">
        <f t="shared" si="2"/>
        <v>-5.0085748407003527E-2</v>
      </c>
      <c r="AN20" s="1128">
        <f t="shared" si="3"/>
        <v>-0.15758275138589717</v>
      </c>
    </row>
    <row r="21" spans="1:40" collapsed="1">
      <c r="A21" s="43" t="s">
        <v>760</v>
      </c>
      <c r="B21" s="1572">
        <v>8.7443604240282689</v>
      </c>
      <c r="C21" s="1572">
        <v>7.6839649122807021</v>
      </c>
      <c r="D21" s="1572">
        <v>7.9104435261707993</v>
      </c>
      <c r="E21" s="1572">
        <v>8.7261035294117644</v>
      </c>
      <c r="F21" s="1572">
        <v>8.3457960644007159</v>
      </c>
      <c r="G21" s="1572">
        <v>8.7466531204644422</v>
      </c>
      <c r="H21" s="1572">
        <v>8.6667531017369726</v>
      </c>
      <c r="I21" s="1572">
        <v>8.3819623250807318</v>
      </c>
      <c r="J21" s="1511">
        <v>7.7902450145758877</v>
      </c>
      <c r="K21" s="1511">
        <v>7.8071224134417063</v>
      </c>
      <c r="L21" s="1511">
        <v>8.6056821918270696</v>
      </c>
      <c r="M21" s="1511">
        <v>10.268132693674076</v>
      </c>
      <c r="N21" s="1511">
        <v>10.098705772420976</v>
      </c>
      <c r="O21" s="1511">
        <v>9.8160616510396626</v>
      </c>
      <c r="P21" s="1511">
        <v>11.011442736576171</v>
      </c>
      <c r="Q21" s="1511">
        <v>11.784556795352522</v>
      </c>
      <c r="R21" s="1511">
        <v>12.70416836598498</v>
      </c>
      <c r="S21" s="1511">
        <v>14.831108701315719</v>
      </c>
      <c r="T21" s="1511">
        <v>16.526011687415455</v>
      </c>
      <c r="U21" s="1511">
        <v>11.378650635125464</v>
      </c>
      <c r="V21" s="1511">
        <v>15.883420563966551</v>
      </c>
      <c r="W21" s="1511">
        <v>19.647487200777157</v>
      </c>
      <c r="X21" s="1511">
        <v>20.763782431595924</v>
      </c>
      <c r="Y21" s="1573">
        <v>20.925431169087791</v>
      </c>
      <c r="Z21" s="1573">
        <v>22.580188657910146</v>
      </c>
      <c r="AA21" s="1573">
        <v>23.903793554868781</v>
      </c>
      <c r="AB21" s="1573">
        <v>25.116271245001752</v>
      </c>
      <c r="AC21" s="1573">
        <v>26.151445978526123</v>
      </c>
      <c r="AD21" s="1573">
        <v>27.226696351041525</v>
      </c>
      <c r="AE21" s="1573">
        <v>28.387498351462717</v>
      </c>
      <c r="AF21" s="1573">
        <v>29.566533473282089</v>
      </c>
      <c r="AG21" s="1573">
        <v>30.792970886381042</v>
      </c>
      <c r="AH21" s="1573">
        <v>32.128534378911993</v>
      </c>
      <c r="AI21" s="1127"/>
      <c r="AJ21" s="1127">
        <v>6.5823425004154501E-3</v>
      </c>
      <c r="AK21" s="1127">
        <f t="shared" si="0"/>
        <v>0.22200195895013231</v>
      </c>
      <c r="AL21" s="1127">
        <f t="shared" si="1"/>
        <v>6.8799413908171569E-2</v>
      </c>
      <c r="AM21" s="1127">
        <f t="shared" si="2"/>
        <v>4.4341908411591469E-2</v>
      </c>
      <c r="AN21" s="1127">
        <f t="shared" si="3"/>
        <v>4.4620259877595547E-2</v>
      </c>
    </row>
    <row r="22" spans="1:40" hidden="1" outlineLevel="1">
      <c r="A22" s="42" t="s">
        <v>731</v>
      </c>
      <c r="B22" s="610">
        <v>8.7443604240282689</v>
      </c>
      <c r="C22" s="610">
        <v>7.6842105263157894</v>
      </c>
      <c r="D22" s="610">
        <v>7.9090909090909092</v>
      </c>
      <c r="E22" s="610">
        <v>11</v>
      </c>
      <c r="F22" s="610">
        <v>10.067978533094813</v>
      </c>
      <c r="G22" s="610">
        <v>11.073552425665103</v>
      </c>
      <c r="H22" s="610">
        <v>10.748993288590604</v>
      </c>
      <c r="I22" s="610">
        <v>10.462214199759327</v>
      </c>
      <c r="J22" s="610">
        <v>7.2153110047846889</v>
      </c>
      <c r="K22" s="610">
        <v>7.0002290950744568</v>
      </c>
      <c r="L22" s="610">
        <v>7.6131701657458564</v>
      </c>
      <c r="M22" s="610">
        <v>8.9584669464847835</v>
      </c>
      <c r="N22" s="610">
        <v>8.9112074468085112</v>
      </c>
      <c r="O22" s="610">
        <v>9.8949027415143611</v>
      </c>
      <c r="P22" s="610">
        <v>8.0820922208281054</v>
      </c>
      <c r="Q22" s="610">
        <v>8.2098127208480562</v>
      </c>
      <c r="R22" s="610">
        <v>8.7364655267512408</v>
      </c>
      <c r="S22" s="610">
        <v>12.428149713093374</v>
      </c>
      <c r="T22" s="610">
        <v>13.615288622129434</v>
      </c>
      <c r="U22" s="610">
        <v>10.041501372872048</v>
      </c>
      <c r="V22" s="610">
        <v>14.185298490776971</v>
      </c>
      <c r="W22" s="610">
        <v>17.879829241680305</v>
      </c>
      <c r="X22" s="610">
        <v>20.264267963263102</v>
      </c>
      <c r="Y22" s="1574">
        <v>21.602075919667669</v>
      </c>
      <c r="Z22" s="1574">
        <v>22.337599330936754</v>
      </c>
      <c r="AA22" s="1574">
        <v>23.337207044005787</v>
      </c>
      <c r="AB22" s="1574">
        <v>24.374966097166116</v>
      </c>
      <c r="AC22" s="1574">
        <v>25.122817729355418</v>
      </c>
      <c r="AD22" s="1574">
        <v>25.895697160115795</v>
      </c>
      <c r="AE22" s="1574">
        <v>26.755555600233503</v>
      </c>
      <c r="AF22" s="1574">
        <v>27.59795784511622</v>
      </c>
      <c r="AG22" s="1574">
        <v>28.468386581081862</v>
      </c>
      <c r="AH22" s="1574">
        <v>29.409131532028624</v>
      </c>
      <c r="AI22" s="1128"/>
      <c r="AJ22" s="1128">
        <v>4.4371399657326061E-2</v>
      </c>
      <c r="AK22" s="1128">
        <f t="shared" si="0"/>
        <v>0.26370030188176052</v>
      </c>
      <c r="AL22" s="1128">
        <f t="shared" si="1"/>
        <v>3.9385599797538529E-2</v>
      </c>
      <c r="AM22" s="1128">
        <f t="shared" si="2"/>
        <v>3.5284176232092346E-2</v>
      </c>
      <c r="AN22" s="1128">
        <f t="shared" si="3"/>
        <v>3.7946880545293826E-2</v>
      </c>
    </row>
    <row r="23" spans="1:40" hidden="1" outlineLevel="1">
      <c r="A23" s="42" t="s">
        <v>949</v>
      </c>
      <c r="B23" s="438" t="s">
        <v>628</v>
      </c>
      <c r="C23" s="438" t="s">
        <v>628</v>
      </c>
      <c r="D23" s="438" t="s">
        <v>628</v>
      </c>
      <c r="E23" s="438" t="s">
        <v>628</v>
      </c>
      <c r="F23" s="438" t="s">
        <v>628</v>
      </c>
      <c r="G23" s="438" t="s">
        <v>628</v>
      </c>
      <c r="H23" s="438" t="s">
        <v>628</v>
      </c>
      <c r="I23" s="438" t="s">
        <v>628</v>
      </c>
      <c r="J23" s="438" t="s">
        <v>628</v>
      </c>
      <c r="K23" s="438" t="s">
        <v>628</v>
      </c>
      <c r="L23" s="438" t="s">
        <v>628</v>
      </c>
      <c r="M23" s="610" t="s">
        <v>628</v>
      </c>
      <c r="N23" s="610" t="s">
        <v>628</v>
      </c>
      <c r="O23" s="610">
        <v>4.7615958481998053</v>
      </c>
      <c r="P23" s="610">
        <v>17.741467954900582</v>
      </c>
      <c r="Q23" s="610">
        <v>21.61944251530355</v>
      </c>
      <c r="R23" s="610">
        <v>22.050724993631402</v>
      </c>
      <c r="S23" s="610">
        <v>23.103154590079431</v>
      </c>
      <c r="T23" s="610">
        <v>23.308689842247077</v>
      </c>
      <c r="U23" s="610">
        <v>15.667476604444849</v>
      </c>
      <c r="V23" s="610">
        <v>20.415123119621477</v>
      </c>
      <c r="W23" s="610">
        <v>23.04809144753866</v>
      </c>
      <c r="X23" s="610">
        <v>22.930954127181923</v>
      </c>
      <c r="Y23" s="1574">
        <v>23.236632539559611</v>
      </c>
      <c r="Z23" s="1574">
        <v>26.528903595815663</v>
      </c>
      <c r="AA23" s="1574">
        <v>28.599132977760664</v>
      </c>
      <c r="AB23" s="1574">
        <v>30.5921912305276</v>
      </c>
      <c r="AC23" s="1574">
        <v>32.594351197420451</v>
      </c>
      <c r="AD23" s="1574">
        <v>34.699679159256846</v>
      </c>
      <c r="AE23" s="1574">
        <v>36.930769549750913</v>
      </c>
      <c r="AF23" s="1574">
        <v>39.270036524995696</v>
      </c>
      <c r="AG23" s="1574">
        <v>41.727813123438942</v>
      </c>
      <c r="AH23" s="1574">
        <v>44.409491092511132</v>
      </c>
      <c r="AI23" s="1128"/>
      <c r="AJ23" s="1128">
        <v>-2.4556990421347513E-2</v>
      </c>
      <c r="AK23" s="1128">
        <f t="shared" si="0"/>
        <v>0.13537943480334169</v>
      </c>
      <c r="AL23" s="1128">
        <f t="shared" si="1"/>
        <v>0.10940428366297206</v>
      </c>
      <c r="AM23" s="1128">
        <f t="shared" si="2"/>
        <v>6.657368421756682E-2</v>
      </c>
      <c r="AN23" s="1128">
        <f t="shared" si="3"/>
        <v>6.8329859808971438E-2</v>
      </c>
    </row>
    <row r="24" spans="1:40" hidden="1" outlineLevel="1">
      <c r="A24" s="42" t="s">
        <v>733</v>
      </c>
      <c r="B24" s="610" t="s">
        <v>1299</v>
      </c>
      <c r="C24" s="610" t="s">
        <v>1299</v>
      </c>
      <c r="D24" s="610" t="s">
        <v>1299</v>
      </c>
      <c r="E24" s="610" t="s">
        <v>1299</v>
      </c>
      <c r="F24" s="610" t="s">
        <v>1299</v>
      </c>
      <c r="G24" s="610" t="s">
        <v>1299</v>
      </c>
      <c r="H24" s="610" t="s">
        <v>1299</v>
      </c>
      <c r="I24" s="610" t="s">
        <v>1299</v>
      </c>
      <c r="J24" s="610">
        <v>11.933734947209006</v>
      </c>
      <c r="K24" s="610">
        <v>12.911599710069305</v>
      </c>
      <c r="L24" s="610">
        <v>13.827911166266013</v>
      </c>
      <c r="M24" s="610">
        <v>16.268668544978865</v>
      </c>
      <c r="N24" s="610">
        <v>14.831914646240275</v>
      </c>
      <c r="O24" s="610">
        <v>14.114728690337516</v>
      </c>
      <c r="P24" s="610">
        <v>17.827631110956158</v>
      </c>
      <c r="Q24" s="610">
        <v>17.625241036320851</v>
      </c>
      <c r="R24" s="610">
        <v>19.662802795865222</v>
      </c>
      <c r="S24" s="610">
        <v>16.687195762203377</v>
      </c>
      <c r="T24" s="610">
        <v>15.800690047736646</v>
      </c>
      <c r="U24" s="610">
        <v>9.2787851126798078</v>
      </c>
      <c r="V24" s="610">
        <v>14.370728514241682</v>
      </c>
      <c r="W24" s="610">
        <v>19.772459494154706</v>
      </c>
      <c r="X24" s="610">
        <v>19.121633060550586</v>
      </c>
      <c r="Y24" s="1574">
        <v>16.125060909616916</v>
      </c>
      <c r="Z24" s="1574">
        <v>17.901441487287045</v>
      </c>
      <c r="AA24" s="1574">
        <v>19.040145031617321</v>
      </c>
      <c r="AB24" s="1574">
        <v>19.6441180773745</v>
      </c>
      <c r="AC24" s="1574">
        <v>20.112154938383522</v>
      </c>
      <c r="AD24" s="1574">
        <v>20.577402005978932</v>
      </c>
      <c r="AE24" s="1574">
        <v>21.071068309051739</v>
      </c>
      <c r="AF24" s="1574">
        <v>21.55608455356067</v>
      </c>
      <c r="AG24" s="1574">
        <v>22.044529878026555</v>
      </c>
      <c r="AH24" s="1574">
        <v>22.59501765610754</v>
      </c>
      <c r="AI24" s="1128"/>
      <c r="AJ24" s="1128">
        <v>-0.12243459247839072</v>
      </c>
      <c r="AK24" s="1128">
        <f t="shared" si="0"/>
        <v>0.27255908062772116</v>
      </c>
      <c r="AL24" s="1128">
        <f t="shared" si="1"/>
        <v>8.6636888661566269E-2</v>
      </c>
      <c r="AM24" s="1128">
        <f t="shared" si="2"/>
        <v>2.6219107523290264E-2</v>
      </c>
      <c r="AN24" s="1128">
        <f t="shared" si="3"/>
        <v>1.6830982394029137E-2</v>
      </c>
    </row>
    <row r="25" spans="1:40" collapsed="1">
      <c r="A25" s="93" t="s">
        <v>767</v>
      </c>
      <c r="B25" s="1569"/>
      <c r="C25" s="1569"/>
      <c r="D25" s="1569"/>
      <c r="E25" s="1569"/>
      <c r="F25" s="1569"/>
      <c r="G25" s="1569"/>
      <c r="H25" s="1569"/>
      <c r="I25" s="1569"/>
      <c r="J25" s="1512">
        <v>-3.6999999999999998E-2</v>
      </c>
      <c r="K25" s="1512">
        <v>3.7999999999999999E-2</v>
      </c>
      <c r="L25" s="1512">
        <v>0.122</v>
      </c>
      <c r="M25" s="1512">
        <v>0.105</v>
      </c>
      <c r="N25" s="1512">
        <v>0.08</v>
      </c>
      <c r="O25" s="1512">
        <v>4.4999999999999998E-2</v>
      </c>
      <c r="P25" s="1512">
        <v>0.104</v>
      </c>
      <c r="Q25" s="1512">
        <v>8.8999999999999996E-2</v>
      </c>
      <c r="R25" s="1512">
        <v>6.6000000000000003E-2</v>
      </c>
      <c r="S25" s="1575">
        <v>4.9000000000000002E-2</v>
      </c>
      <c r="T25" s="1575">
        <v>5.0999999999999997E-2</v>
      </c>
      <c r="U25" s="1575">
        <v>-0.23</v>
      </c>
      <c r="V25" s="1575">
        <v>0.307</v>
      </c>
      <c r="W25" s="1575">
        <v>0.35870779740410264</v>
      </c>
      <c r="X25" s="1575">
        <v>0.18932600635373661</v>
      </c>
      <c r="Y25" s="1576">
        <v>0.10821226165079655</v>
      </c>
      <c r="Z25" s="1576">
        <v>6.8226675467136011E-2</v>
      </c>
      <c r="AA25" s="1576">
        <v>5.9055224409396756E-2</v>
      </c>
      <c r="AB25" s="1576">
        <v>5.3831284214149143E-2</v>
      </c>
      <c r="AC25" s="1576">
        <v>4.5517599445134296E-2</v>
      </c>
      <c r="AD25" s="1576">
        <v>4.4976964446341187E-2</v>
      </c>
      <c r="AE25" s="1576">
        <v>4.4535096968639512E-2</v>
      </c>
      <c r="AF25" s="1576">
        <v>4.413304297247618E-2</v>
      </c>
      <c r="AG25" s="1576">
        <v>4.3696257826690732E-2</v>
      </c>
      <c r="AH25" s="1576">
        <v>4.3356429890511423E-2</v>
      </c>
      <c r="AI25" s="1127"/>
      <c r="AJ25" s="1127"/>
      <c r="AK25" s="1127"/>
      <c r="AL25" s="1127"/>
      <c r="AM25" s="1127"/>
      <c r="AN25" s="1127"/>
    </row>
    <row r="26" spans="1:40">
      <c r="A26" s="42" t="s">
        <v>731</v>
      </c>
      <c r="B26" s="1571"/>
      <c r="C26" s="1571"/>
      <c r="D26" s="1571"/>
      <c r="E26" s="1571"/>
      <c r="F26" s="1571"/>
      <c r="G26" s="1571"/>
      <c r="H26" s="1571"/>
      <c r="I26" s="1571"/>
      <c r="J26" s="649" t="s">
        <v>750</v>
      </c>
      <c r="K26" s="649" t="s">
        <v>750</v>
      </c>
      <c r="L26" s="649" t="s">
        <v>750</v>
      </c>
      <c r="M26" s="649" t="s">
        <v>750</v>
      </c>
      <c r="N26" s="1141">
        <v>0.04</v>
      </c>
      <c r="O26" s="1141">
        <v>-4.0000000000000001E-3</v>
      </c>
      <c r="P26" s="1141">
        <v>4.3999999999999997E-2</v>
      </c>
      <c r="Q26" s="1141">
        <v>5.8999999999999997E-2</v>
      </c>
      <c r="R26" s="1141">
        <v>3.1E-2</v>
      </c>
      <c r="S26" s="1577">
        <v>0.04</v>
      </c>
      <c r="T26" s="1577">
        <v>3.4000000000000002E-2</v>
      </c>
      <c r="U26" s="1577">
        <v>-0.23</v>
      </c>
      <c r="V26" s="1577">
        <v>0.34300000000000003</v>
      </c>
      <c r="W26" s="1577">
        <v>0.27128725947173421</v>
      </c>
      <c r="X26" s="1577">
        <v>0.15443653132781138</v>
      </c>
      <c r="Y26" s="1578">
        <v>7.1081854772975919E-2</v>
      </c>
      <c r="Z26" s="1578">
        <v>4.8074206670876696E-2</v>
      </c>
      <c r="AA26" s="1578">
        <v>4.6874784217962644E-2</v>
      </c>
      <c r="AB26" s="1578">
        <v>4.6874784217962644E-2</v>
      </c>
      <c r="AC26" s="1578">
        <v>3.487478421796264E-2</v>
      </c>
      <c r="AD26" s="1578">
        <v>3.487478421796264E-2</v>
      </c>
      <c r="AE26" s="1578">
        <v>3.487478421796264E-2</v>
      </c>
      <c r="AF26" s="1578">
        <v>3.5390349036284914E-2</v>
      </c>
      <c r="AG26" s="1578">
        <v>3.487478421796264E-2</v>
      </c>
      <c r="AH26" s="1578">
        <v>3.487478421796264E-2</v>
      </c>
      <c r="AI26" s="1128"/>
      <c r="AJ26" s="1128"/>
      <c r="AK26" s="1128"/>
      <c r="AL26" s="1128"/>
      <c r="AM26" s="1128"/>
      <c r="AN26" s="1128"/>
    </row>
    <row r="27" spans="1:40">
      <c r="A27" s="42" t="s">
        <v>949</v>
      </c>
      <c r="B27" s="1571"/>
      <c r="C27" s="1571"/>
      <c r="D27" s="1571"/>
      <c r="E27" s="1571"/>
      <c r="F27" s="1571"/>
      <c r="G27" s="1571"/>
      <c r="H27" s="1571"/>
      <c r="I27" s="1571"/>
      <c r="J27" s="649" t="s">
        <v>750</v>
      </c>
      <c r="K27" s="649" t="s">
        <v>750</v>
      </c>
      <c r="L27" s="649" t="s">
        <v>750</v>
      </c>
      <c r="M27" s="649" t="s">
        <v>750</v>
      </c>
      <c r="N27" s="1141" t="s">
        <v>750</v>
      </c>
      <c r="O27" s="1141">
        <v>6.5000000000000002E-2</v>
      </c>
      <c r="P27" s="1141">
        <v>7.1999999999999995E-2</v>
      </c>
      <c r="Q27" s="1141">
        <v>4.2999999999999997E-2</v>
      </c>
      <c r="R27" s="1141">
        <v>2.3E-2</v>
      </c>
      <c r="S27" s="1577">
        <v>1.0999999999999999E-2</v>
      </c>
      <c r="T27" s="1577">
        <v>0.02</v>
      </c>
      <c r="U27" s="1577">
        <v>-0.24399999999999999</v>
      </c>
      <c r="V27" s="1577">
        <v>0.127</v>
      </c>
      <c r="W27" s="1577">
        <v>0.27673825991991263</v>
      </c>
      <c r="X27" s="1577">
        <v>9.8127100931812261E-2</v>
      </c>
      <c r="Y27" s="1578">
        <v>5.8095695062160566E-3</v>
      </c>
      <c r="Z27" s="1578">
        <v>2.1463272532592469E-2</v>
      </c>
      <c r="AA27" s="1578">
        <v>2.1000000000000005E-2</v>
      </c>
      <c r="AB27" s="1578">
        <v>2.1000000000000001E-2</v>
      </c>
      <c r="AC27" s="1578">
        <v>1.9949999999999999E-2</v>
      </c>
      <c r="AD27" s="1578">
        <v>1.9949999999999999E-2</v>
      </c>
      <c r="AE27" s="1578">
        <v>1.9949999999999999E-2</v>
      </c>
      <c r="AF27" s="1578">
        <v>1.9949999999999996E-2</v>
      </c>
      <c r="AG27" s="1578">
        <v>1.9949999999999999E-2</v>
      </c>
      <c r="AH27" s="1578">
        <v>1.9949999999999999E-2</v>
      </c>
      <c r="AI27" s="1130"/>
      <c r="AJ27" s="1129"/>
      <c r="AK27" s="1129"/>
      <c r="AL27" s="1130"/>
      <c r="AM27" s="1130"/>
      <c r="AN27" s="1130"/>
    </row>
    <row r="28" spans="1:40">
      <c r="A28" s="42" t="s">
        <v>733</v>
      </c>
      <c r="B28" s="1571"/>
      <c r="C28" s="1571"/>
      <c r="D28" s="1571"/>
      <c r="E28" s="1571"/>
      <c r="F28" s="1571"/>
      <c r="G28" s="1571"/>
      <c r="H28" s="1571"/>
      <c r="I28" s="1571"/>
      <c r="J28" s="649" t="s">
        <v>750</v>
      </c>
      <c r="K28" s="649" t="s">
        <v>750</v>
      </c>
      <c r="L28" s="649" t="s">
        <v>750</v>
      </c>
      <c r="M28" s="649" t="s">
        <v>750</v>
      </c>
      <c r="N28" s="1141">
        <v>0.21099999999999999</v>
      </c>
      <c r="O28" s="1141">
        <v>0.2</v>
      </c>
      <c r="P28" s="1141">
        <v>0.255</v>
      </c>
      <c r="Q28" s="1141">
        <v>0.23499999999999999</v>
      </c>
      <c r="R28" s="1141">
        <v>0.19600000000000001</v>
      </c>
      <c r="S28" s="1577">
        <v>0.115</v>
      </c>
      <c r="T28" s="1577">
        <v>0.14599999999999999</v>
      </c>
      <c r="U28" s="1577">
        <v>-0.20100000000000001</v>
      </c>
      <c r="V28" s="1577">
        <v>0.63400000000000001</v>
      </c>
      <c r="W28" s="1577">
        <v>0.71179330784827166</v>
      </c>
      <c r="X28" s="1577">
        <v>0.43871130918072654</v>
      </c>
      <c r="Y28" s="1578">
        <v>0.44221681681804537</v>
      </c>
      <c r="Z28" s="1578">
        <v>0.23042643509430136</v>
      </c>
      <c r="AA28" s="1578">
        <v>0.17762072527362735</v>
      </c>
      <c r="AB28" s="1578">
        <v>0.14733212978486515</v>
      </c>
      <c r="AC28" s="1578">
        <v>0.13873805895278069</v>
      </c>
      <c r="AD28" s="1578">
        <v>0.137921671300164</v>
      </c>
      <c r="AE28" s="1578">
        <v>0.13758847609642097</v>
      </c>
      <c r="AF28" s="1578">
        <v>0.14328983767761314</v>
      </c>
      <c r="AG28" s="1578">
        <v>0.1370334563086496</v>
      </c>
      <c r="AH28" s="1578">
        <v>0.13717154726602152</v>
      </c>
      <c r="AI28" s="1128"/>
      <c r="AJ28" s="1128"/>
      <c r="AK28" s="1128"/>
      <c r="AL28" s="1128"/>
      <c r="AM28" s="1128"/>
      <c r="AN28" s="1128"/>
    </row>
    <row r="29" spans="1:40" s="13" customFormat="1">
      <c r="A29" s="1155" t="s">
        <v>922</v>
      </c>
      <c r="B29" s="1511"/>
      <c r="C29" s="1511"/>
      <c r="D29" s="1511"/>
      <c r="E29" s="1511"/>
      <c r="F29" s="1511"/>
      <c r="G29" s="1511"/>
      <c r="H29" s="1511"/>
      <c r="I29" s="1511"/>
      <c r="J29" s="1513">
        <v>12.559485064935066</v>
      </c>
      <c r="K29" s="1513">
        <v>4.067049598214286</v>
      </c>
      <c r="L29" s="1513">
        <v>3.4638024276527339</v>
      </c>
      <c r="M29" s="1513">
        <v>3.1895798621908127</v>
      </c>
      <c r="N29" s="1513">
        <v>4.4015171101694914</v>
      </c>
      <c r="O29" s="1513">
        <v>602.96500866666668</v>
      </c>
      <c r="P29" s="1513" t="s">
        <v>338</v>
      </c>
      <c r="Q29" s="1513" t="s">
        <v>338</v>
      </c>
      <c r="R29" s="1513" t="s">
        <v>338</v>
      </c>
      <c r="S29" s="1579" t="s">
        <v>338</v>
      </c>
      <c r="T29" s="1579" t="s">
        <v>338</v>
      </c>
      <c r="U29" s="1579" t="s">
        <v>338</v>
      </c>
      <c r="V29" s="1579">
        <v>142.04957540000001</v>
      </c>
      <c r="W29" s="1579">
        <v>13.307110816326531</v>
      </c>
      <c r="X29" s="1579">
        <v>19.747604482758625</v>
      </c>
      <c r="Y29" s="1580">
        <v>21.703695042735042</v>
      </c>
      <c r="Z29" s="1580">
        <v>20</v>
      </c>
      <c r="AA29" s="1580">
        <v>20.737495684359256</v>
      </c>
      <c r="AB29" s="1580">
        <v>21.502186362940932</v>
      </c>
      <c r="AC29" s="1580">
        <v>22.295074845288799</v>
      </c>
      <c r="AD29" s="1580">
        <v>23.117200919332149</v>
      </c>
      <c r="AE29" s="1580">
        <v>23.96964271495581</v>
      </c>
      <c r="AF29" s="1580">
        <v>24.853518117851468</v>
      </c>
      <c r="AG29" s="1580">
        <v>25.769986235504462</v>
      </c>
      <c r="AH29" s="1580">
        <v>26.720248917238557</v>
      </c>
      <c r="AI29" s="1127"/>
      <c r="AJ29" s="1128" t="s">
        <v>628</v>
      </c>
      <c r="AK29" s="1128" t="str">
        <f>IFERROR((#REF!/T29)^(1/3)-1,"NM")</f>
        <v>NM</v>
      </c>
      <c r="AL29" s="1127" t="str">
        <f>IFERROR((Y29/#REF!)^(1/2)-1,"NM")</f>
        <v>NM</v>
      </c>
      <c r="AM29" s="1127" t="str">
        <f>IFERROR((#REF!/AA29)^(1/3)-1,"NM")</f>
        <v>NM</v>
      </c>
      <c r="AN29" s="1127">
        <f>IFERROR((AH29/X29)^(1/10)-1,"NM")</f>
        <v>3.0700787641186666E-2</v>
      </c>
    </row>
    <row r="30" spans="1:40" hidden="1" outlineLevel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hidden="1" outlineLevel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hidden="1" outlineLevel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hidden="1" outlineLevel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collapsed="1">
      <c r="A34" s="42"/>
      <c r="B34" s="1571"/>
      <c r="C34" s="1571"/>
      <c r="D34" s="1571"/>
      <c r="E34" s="1571"/>
      <c r="F34" s="1571"/>
      <c r="G34" s="1571"/>
      <c r="H34" s="1571"/>
      <c r="I34" s="1571"/>
      <c r="J34" s="649"/>
      <c r="K34" s="649"/>
      <c r="L34" s="649"/>
      <c r="M34" s="649"/>
      <c r="N34" s="1141"/>
      <c r="O34" s="1141"/>
      <c r="P34" s="1141"/>
      <c r="Q34" s="1141"/>
      <c r="R34" s="1141"/>
      <c r="S34" s="40"/>
      <c r="T34" s="1578"/>
      <c r="U34" s="1578"/>
      <c r="V34" s="1578"/>
      <c r="W34" s="1578"/>
      <c r="X34" s="1578"/>
      <c r="Y34" s="1578"/>
      <c r="Z34" s="1578"/>
      <c r="AA34" s="1578"/>
      <c r="AB34" s="1578"/>
      <c r="AC34" s="1578"/>
      <c r="AD34" s="1578"/>
      <c r="AE34" s="1578"/>
      <c r="AF34" s="1578"/>
      <c r="AG34" s="1578"/>
      <c r="AH34" s="1578"/>
      <c r="AI34" s="1130"/>
      <c r="AJ34" s="1129"/>
      <c r="AK34" s="1129"/>
      <c r="AL34" s="1130"/>
      <c r="AM34" s="1130"/>
      <c r="AN34" s="1130"/>
    </row>
    <row r="35" spans="1:40">
      <c r="A35" s="1126" t="s">
        <v>662</v>
      </c>
      <c r="B35" s="1124">
        <v>2001</v>
      </c>
      <c r="C35" s="1124">
        <v>2002</v>
      </c>
      <c r="D35" s="1124">
        <v>2003</v>
      </c>
      <c r="E35" s="1124">
        <v>2004</v>
      </c>
      <c r="F35" s="1124">
        <v>2005</v>
      </c>
      <c r="G35" s="1124">
        <v>2006</v>
      </c>
      <c r="H35" s="1124">
        <v>2007</v>
      </c>
      <c r="I35" s="1124">
        <v>2008</v>
      </c>
      <c r="J35" s="1124">
        <v>2009</v>
      </c>
      <c r="K35" s="1124">
        <v>2010</v>
      </c>
      <c r="L35" s="1124">
        <v>2011</v>
      </c>
      <c r="M35" s="1124">
        <v>2012</v>
      </c>
      <c r="N35" s="1124">
        <v>2013</v>
      </c>
      <c r="O35" s="1124">
        <v>2014</v>
      </c>
      <c r="P35" s="1124">
        <v>2015</v>
      </c>
      <c r="Q35" s="1124">
        <v>2016</v>
      </c>
      <c r="R35" s="1124">
        <v>2017</v>
      </c>
      <c r="S35" s="1583">
        <v>2018</v>
      </c>
      <c r="T35" s="1583">
        <v>2019</v>
      </c>
      <c r="U35" s="1583">
        <v>2020</v>
      </c>
      <c r="V35" s="1583">
        <v>2021</v>
      </c>
      <c r="W35" s="1583">
        <v>2022</v>
      </c>
      <c r="X35" s="1583">
        <v>2023</v>
      </c>
      <c r="Y35" s="1445">
        <v>2024</v>
      </c>
      <c r="Z35" s="1445">
        <v>2025</v>
      </c>
      <c r="AA35" s="1445">
        <v>2026</v>
      </c>
      <c r="AB35" s="1445">
        <v>2027</v>
      </c>
      <c r="AC35" s="1445">
        <v>2028</v>
      </c>
      <c r="AD35" s="1445">
        <v>2029</v>
      </c>
      <c r="AE35" s="1445">
        <v>2030</v>
      </c>
      <c r="AF35" s="1445">
        <v>2031</v>
      </c>
      <c r="AG35" s="1445">
        <v>2032</v>
      </c>
      <c r="AH35" s="1445">
        <v>2033</v>
      </c>
      <c r="AI35" s="1130"/>
      <c r="AJ35" s="1131"/>
      <c r="AK35" s="1131"/>
      <c r="AL35" s="1130"/>
      <c r="AM35" s="1130"/>
      <c r="AN35" s="1130"/>
    </row>
    <row r="36" spans="1:40">
      <c r="A36" s="89" t="s">
        <v>48</v>
      </c>
      <c r="B36" s="985">
        <v>2474.654</v>
      </c>
      <c r="C36" s="985">
        <v>2627.9160000000002</v>
      </c>
      <c r="D36" s="985">
        <v>2871.491</v>
      </c>
      <c r="E36" s="985">
        <v>3708.5940000000001</v>
      </c>
      <c r="F36" s="985">
        <v>4665.3</v>
      </c>
      <c r="G36" s="985">
        <v>6026.4440000000004</v>
      </c>
      <c r="H36" s="985">
        <v>6985.4030000000002</v>
      </c>
      <c r="I36" s="985">
        <v>7786.8429999999998</v>
      </c>
      <c r="J36" s="985">
        <v>8587.0810000000019</v>
      </c>
      <c r="K36" s="985">
        <v>8981.4399999999987</v>
      </c>
      <c r="L36" s="985">
        <v>10696.504000000001</v>
      </c>
      <c r="M36" s="985">
        <v>13519.513000000001</v>
      </c>
      <c r="N36" s="985">
        <v>15712.665000000001</v>
      </c>
      <c r="O36" s="985">
        <v>22800.255000000001</v>
      </c>
      <c r="P36" s="985">
        <v>32288.376</v>
      </c>
      <c r="Q36" s="985">
        <v>37701.866999999998</v>
      </c>
      <c r="R36" s="985">
        <v>42529.120999999999</v>
      </c>
      <c r="S36" s="985">
        <v>46156.591</v>
      </c>
      <c r="T36" s="985">
        <v>58154.618999999999</v>
      </c>
      <c r="U36" s="985">
        <v>38495.419000000002</v>
      </c>
      <c r="V36" s="985">
        <v>53379.468999999997</v>
      </c>
      <c r="W36" s="985">
        <v>68831.305000000008</v>
      </c>
      <c r="X36" s="985">
        <v>76231.047999999995</v>
      </c>
      <c r="Y36" s="1566">
        <v>79604.235698233228</v>
      </c>
      <c r="Z36" s="1566">
        <v>88604.548944993992</v>
      </c>
      <c r="AA36" s="1566">
        <v>96046.244130494029</v>
      </c>
      <c r="AB36" s="1566">
        <v>102997.62486263641</v>
      </c>
      <c r="AC36" s="1566">
        <v>109390.15741898434</v>
      </c>
      <c r="AD36" s="1566">
        <v>116122.85198467033</v>
      </c>
      <c r="AE36" s="1566">
        <v>123098.31423831571</v>
      </c>
      <c r="AF36" s="1566">
        <v>130312.60010114835</v>
      </c>
      <c r="AG36" s="1566">
        <v>137910.75788017499</v>
      </c>
      <c r="AH36" s="1566">
        <v>145836.36884586397</v>
      </c>
      <c r="AI36" s="1127"/>
      <c r="AJ36" s="1128">
        <v>3.5792041537159092E-2</v>
      </c>
      <c r="AK36" s="1128">
        <f>IFERROR((X36/U36)^(1/3)-1,"NM")</f>
        <v>0.25576279851379535</v>
      </c>
      <c r="AL36" s="1127">
        <f>IFERROR((AA36/Y36)^(1/2)-1,"NM")</f>
        <v>9.8429289505711948E-2</v>
      </c>
      <c r="AM36" s="1127">
        <f>IFERROR((AD36/AA36)^(1/3)-1,"NM")</f>
        <v>6.5317600833610934E-2</v>
      </c>
      <c r="AN36" s="1127">
        <f>IFERROR((AH36/X36)^(1/10)-1,"NM")</f>
        <v>6.7022052438204804E-2</v>
      </c>
    </row>
    <row r="37" spans="1:40">
      <c r="A37" s="88" t="s">
        <v>46</v>
      </c>
      <c r="B37" s="1584"/>
      <c r="C37" s="1584">
        <v>6.1932698470170022E-2</v>
      </c>
      <c r="D37" s="1584">
        <v>9.2687513603935567E-2</v>
      </c>
      <c r="E37" s="1584">
        <v>0.29152206989330631</v>
      </c>
      <c r="F37" s="1584">
        <v>0.25797000156932803</v>
      </c>
      <c r="G37" s="1584">
        <v>0.2917591580391401</v>
      </c>
      <c r="H37" s="1584">
        <v>0.15912518227996464</v>
      </c>
      <c r="I37" s="1584">
        <v>0.11473067480859722</v>
      </c>
      <c r="J37" s="1584">
        <v>0.10276796385903797</v>
      </c>
      <c r="K37" s="1584">
        <v>4.5924686165181861E-2</v>
      </c>
      <c r="L37" s="1514">
        <v>0.19095646132468769</v>
      </c>
      <c r="M37" s="1514">
        <v>0.26391884675591193</v>
      </c>
      <c r="N37" s="1514">
        <v>0.16222122793920168</v>
      </c>
      <c r="O37" s="1514">
        <v>0.4510749767782869</v>
      </c>
      <c r="P37" s="1514">
        <v>0.41614100368614304</v>
      </c>
      <c r="Q37" s="1514">
        <v>0.16766067763829295</v>
      </c>
      <c r="R37" s="1514">
        <v>0.12803753193442646</v>
      </c>
      <c r="S37" s="1584">
        <v>8.5293791987847589E-2</v>
      </c>
      <c r="T37" s="1584">
        <v>0.25994181416040885</v>
      </c>
      <c r="U37" s="1584">
        <v>-0.3380505338707489</v>
      </c>
      <c r="V37" s="1584">
        <v>0.38664470699747411</v>
      </c>
      <c r="W37" s="1584">
        <v>0.28947151947127847</v>
      </c>
      <c r="X37" s="1584">
        <v>0.10750548751037026</v>
      </c>
      <c r="Y37" s="1585">
        <v>4.4249525445763771E-2</v>
      </c>
      <c r="Z37" s="1585">
        <v>0.11306324553984148</v>
      </c>
      <c r="AA37" s="1585">
        <v>8.3987732843376461E-2</v>
      </c>
      <c r="AB37" s="1585">
        <v>7.2375352051224695E-2</v>
      </c>
      <c r="AC37" s="1585">
        <v>6.206485406700768E-2</v>
      </c>
      <c r="AD37" s="1585">
        <v>6.1547535212866933E-2</v>
      </c>
      <c r="AE37" s="1585">
        <v>6.0069677366916707E-2</v>
      </c>
      <c r="AF37" s="1585">
        <v>5.8605886745662028E-2</v>
      </c>
      <c r="AG37" s="1585">
        <v>5.8307161188779766E-2</v>
      </c>
      <c r="AH37" s="1585">
        <v>5.7469127771563766E-2</v>
      </c>
      <c r="AI37" s="1128"/>
      <c r="AJ37" s="1128"/>
      <c r="AK37" s="1128"/>
      <c r="AL37" s="1128"/>
      <c r="AM37" s="1128"/>
      <c r="AN37" s="1128"/>
    </row>
    <row r="38" spans="1:40">
      <c r="A38" s="42" t="s">
        <v>731</v>
      </c>
      <c r="B38" s="955">
        <v>2474.654</v>
      </c>
      <c r="C38" s="955">
        <v>2628</v>
      </c>
      <c r="D38" s="955">
        <v>2871</v>
      </c>
      <c r="E38" s="438">
        <v>4675</v>
      </c>
      <c r="F38" s="438">
        <v>5628</v>
      </c>
      <c r="G38" s="438">
        <v>7076</v>
      </c>
      <c r="H38" s="438">
        <v>8008</v>
      </c>
      <c r="I38" s="438">
        <v>8694.1</v>
      </c>
      <c r="J38" s="955">
        <v>9097.5</v>
      </c>
      <c r="K38" s="955">
        <v>9085.1</v>
      </c>
      <c r="L38" s="438">
        <v>10501</v>
      </c>
      <c r="M38" s="438">
        <v>12785.8</v>
      </c>
      <c r="N38" s="438">
        <v>14694.7</v>
      </c>
      <c r="O38" s="438">
        <v>20668</v>
      </c>
      <c r="P38" s="438">
        <v>19896</v>
      </c>
      <c r="Q38" s="438">
        <v>21986</v>
      </c>
      <c r="R38" s="438">
        <v>23677</v>
      </c>
      <c r="S38" s="438">
        <v>25462</v>
      </c>
      <c r="T38" s="438">
        <v>27217</v>
      </c>
      <c r="U38" s="438">
        <v>19067</v>
      </c>
      <c r="V38" s="438">
        <v>26015</v>
      </c>
      <c r="W38" s="438">
        <v>33468</v>
      </c>
      <c r="X38" s="438">
        <v>39358</v>
      </c>
      <c r="Y38" s="447">
        <v>43311.440257550275</v>
      </c>
      <c r="Z38" s="447">
        <v>46454.836506325948</v>
      </c>
      <c r="AA38" s="447">
        <v>49953.195437697126</v>
      </c>
      <c r="AB38" s="447">
        <v>53447.886173603132</v>
      </c>
      <c r="AC38" s="447">
        <v>56391.973580598198</v>
      </c>
      <c r="AD38" s="447">
        <v>59472.295506773946</v>
      </c>
      <c r="AE38" s="447">
        <v>62629.255086687102</v>
      </c>
      <c r="AF38" s="447">
        <v>65816.774871147543</v>
      </c>
      <c r="AG38" s="447">
        <v>69147.425558856805</v>
      </c>
      <c r="AH38" s="447">
        <v>72562.589565501083</v>
      </c>
      <c r="AI38" s="1128"/>
      <c r="AJ38" s="1128">
        <v>-8.475799035301268E-3</v>
      </c>
      <c r="AK38" s="1128">
        <f>IFERROR((X38/U38)^(1/3)-1,"NM")</f>
        <v>0.27325938195803201</v>
      </c>
      <c r="AL38" s="1128">
        <f>IFERROR((AA38/Y38)^(1/2)-1,"NM")</f>
        <v>7.3940756738001046E-2</v>
      </c>
      <c r="AM38" s="1128">
        <f>IFERROR((AD38/AA38)^(1/3)-1,"NM")</f>
        <v>5.9864817010183424E-2</v>
      </c>
      <c r="AN38" s="1128">
        <f>IFERROR((AH38/X38)^(1/10)-1,"NM")</f>
        <v>6.3084962851367221E-2</v>
      </c>
    </row>
    <row r="39" spans="1:40">
      <c r="A39" s="42" t="s">
        <v>949</v>
      </c>
      <c r="B39" s="1586">
        <v>0</v>
      </c>
      <c r="C39" s="1586">
        <v>0</v>
      </c>
      <c r="D39" s="1586">
        <v>0</v>
      </c>
      <c r="E39" s="1586">
        <v>0</v>
      </c>
      <c r="F39" s="1586">
        <v>0</v>
      </c>
      <c r="G39" s="1586">
        <v>0</v>
      </c>
      <c r="H39" s="1586">
        <v>0</v>
      </c>
      <c r="I39" s="1586">
        <v>0</v>
      </c>
      <c r="J39" s="1586">
        <v>0</v>
      </c>
      <c r="K39" s="1586">
        <v>0</v>
      </c>
      <c r="L39" s="106">
        <v>0</v>
      </c>
      <c r="M39" s="438">
        <v>0</v>
      </c>
      <c r="N39" s="438">
        <v>0</v>
      </c>
      <c r="O39" s="438">
        <v>1468</v>
      </c>
      <c r="P39" s="438">
        <v>5673</v>
      </c>
      <c r="Q39" s="438">
        <v>7591</v>
      </c>
      <c r="R39" s="438">
        <v>8570</v>
      </c>
      <c r="S39" s="438">
        <v>9887</v>
      </c>
      <c r="T39" s="438">
        <v>21207</v>
      </c>
      <c r="U39" s="438">
        <v>13860</v>
      </c>
      <c r="V39" s="438">
        <v>18414</v>
      </c>
      <c r="W39" s="438">
        <v>21976</v>
      </c>
      <c r="X39" s="438">
        <v>22966</v>
      </c>
      <c r="Y39" s="447">
        <v>24090.430278568248</v>
      </c>
      <c r="Z39" s="447">
        <v>28237.003644288554</v>
      </c>
      <c r="AA39" s="447">
        <v>31008.626008697986</v>
      </c>
      <c r="AB39" s="447">
        <v>33729.600320410951</v>
      </c>
      <c r="AC39" s="447">
        <v>36538.56905849895</v>
      </c>
      <c r="AD39" s="447">
        <v>39539.742598634431</v>
      </c>
      <c r="AE39" s="447">
        <v>42688.687085178994</v>
      </c>
      <c r="AF39" s="447">
        <v>46038.58922570874</v>
      </c>
      <c r="AG39" s="447">
        <v>49607.303974402275</v>
      </c>
      <c r="AH39" s="447">
        <v>53392.385409772622</v>
      </c>
      <c r="AI39" s="1128"/>
      <c r="AJ39" s="1128">
        <v>0.19561151566315527</v>
      </c>
      <c r="AK39" s="1128">
        <f>IFERROR((X39/U39)^(1/3)-1,"NM")</f>
        <v>0.18333409190333394</v>
      </c>
      <c r="AL39" s="1128">
        <f>IFERROR((AA39/Y39)^(1/2)-1,"NM")</f>
        <v>0.13453783387271345</v>
      </c>
      <c r="AM39" s="1128">
        <f>IFERROR((AD39/AA39)^(1/3)-1,"NM")</f>
        <v>8.4385674365504926E-2</v>
      </c>
      <c r="AN39" s="1128">
        <f>IFERROR((AH39/X39)^(1/10)-1,"NM")</f>
        <v>8.8026307590588271E-2</v>
      </c>
    </row>
    <row r="40" spans="1:40">
      <c r="A40" s="42" t="s">
        <v>733</v>
      </c>
      <c r="B40" s="1586">
        <v>0</v>
      </c>
      <c r="C40" s="1586">
        <v>0</v>
      </c>
      <c r="D40" s="1586">
        <v>0</v>
      </c>
      <c r="E40" s="438">
        <v>0</v>
      </c>
      <c r="F40" s="438">
        <v>0</v>
      </c>
      <c r="G40" s="438">
        <v>347</v>
      </c>
      <c r="H40" s="438">
        <v>642</v>
      </c>
      <c r="I40" s="438">
        <v>972</v>
      </c>
      <c r="J40" s="955">
        <v>1407.7</v>
      </c>
      <c r="K40" s="955">
        <v>1810.6999999999998</v>
      </c>
      <c r="L40" s="438">
        <v>2402.1</v>
      </c>
      <c r="M40" s="438">
        <v>3416.5</v>
      </c>
      <c r="N40" s="438">
        <v>4219.5</v>
      </c>
      <c r="O40" s="438">
        <v>4621</v>
      </c>
      <c r="P40" s="438">
        <v>6718</v>
      </c>
      <c r="Q40" s="438">
        <v>8124</v>
      </c>
      <c r="R40" s="438">
        <v>10283</v>
      </c>
      <c r="S40" s="438">
        <v>10194.977999999999</v>
      </c>
      <c r="T40" s="438">
        <v>9732.4130000000005</v>
      </c>
      <c r="U40" s="438">
        <v>5586.9660000000003</v>
      </c>
      <c r="V40" s="438">
        <v>8962.0789999999997</v>
      </c>
      <c r="W40" s="438">
        <v>13387.712</v>
      </c>
      <c r="X40" s="438">
        <v>13905.773000000001</v>
      </c>
      <c r="Y40" s="447">
        <v>12201.123162114702</v>
      </c>
      <c r="Z40" s="447">
        <v>13912.708794379487</v>
      </c>
      <c r="AA40" s="447">
        <v>15084.422684098914</v>
      </c>
      <c r="AB40" s="447">
        <v>15820.138368622325</v>
      </c>
      <c r="AC40" s="447">
        <v>16459.614779887186</v>
      </c>
      <c r="AD40" s="447">
        <v>17110.813879261947</v>
      </c>
      <c r="AE40" s="447">
        <v>17780.372066449621</v>
      </c>
      <c r="AF40" s="447">
        <v>18457.236004292066</v>
      </c>
      <c r="AG40" s="447">
        <v>19156.028346915919</v>
      </c>
      <c r="AH40" s="447">
        <v>19881.393870590269</v>
      </c>
      <c r="AI40" s="1128"/>
      <c r="AJ40" s="1128">
        <v>-3.619937013872887E-2</v>
      </c>
      <c r="AK40" s="1128">
        <f>IFERROR((X40/U40)^(1/3)-1,"NM")</f>
        <v>0.35520928676790975</v>
      </c>
      <c r="AL40" s="1128">
        <f>IFERROR((AA40/Y40)^(1/2)-1,"NM")</f>
        <v>0.11189669966101778</v>
      </c>
      <c r="AM40" s="1128">
        <f>IFERROR((AD40/AA40)^(1/3)-1,"NM")</f>
        <v>4.291118369504443E-2</v>
      </c>
      <c r="AN40" s="1128">
        <f>IFERROR((AH40/X40)^(1/10)-1,"NM")</f>
        <v>3.6394666520289887E-2</v>
      </c>
    </row>
    <row r="41" spans="1:40">
      <c r="A41" s="42" t="s">
        <v>755</v>
      </c>
      <c r="B41" s="1586">
        <v>0</v>
      </c>
      <c r="C41" s="1586">
        <v>0</v>
      </c>
      <c r="D41" s="1586">
        <v>0</v>
      </c>
      <c r="E41" s="438">
        <v>-966</v>
      </c>
      <c r="F41" s="438">
        <v>-1132</v>
      </c>
      <c r="G41" s="438">
        <v>-1397</v>
      </c>
      <c r="H41" s="438">
        <v>-1665</v>
      </c>
      <c r="I41" s="438">
        <v>-1879</v>
      </c>
      <c r="J41" s="955">
        <v>-1918.1189999999997</v>
      </c>
      <c r="K41" s="955">
        <v>-1914.3600000000004</v>
      </c>
      <c r="L41" s="438">
        <v>-2206.5959999999995</v>
      </c>
      <c r="M41" s="438">
        <v>-2682.7869999999989</v>
      </c>
      <c r="N41" s="438">
        <v>-3201.5350000000003</v>
      </c>
      <c r="O41" s="438">
        <v>-3956.7449999999999</v>
      </c>
      <c r="P41" s="438">
        <v>1.3759999999992942</v>
      </c>
      <c r="Q41" s="438">
        <v>0.86700000000018917</v>
      </c>
      <c r="R41" s="438">
        <v>-0.87900000000081491</v>
      </c>
      <c r="S41" s="438">
        <v>612.61300000000028</v>
      </c>
      <c r="T41" s="438">
        <v>-1.794000000001688</v>
      </c>
      <c r="U41" s="438">
        <v>-18.547000000000025</v>
      </c>
      <c r="V41" s="438">
        <v>-11.609999999999673</v>
      </c>
      <c r="W41" s="438">
        <v>-0.40699999999742431</v>
      </c>
      <c r="X41" s="438">
        <v>1.2749999999996362</v>
      </c>
      <c r="Y41" s="447">
        <v>1.2420000000038272</v>
      </c>
      <c r="Z41" s="447">
        <v>0</v>
      </c>
      <c r="AA41" s="447">
        <v>0</v>
      </c>
      <c r="AB41" s="447">
        <v>0</v>
      </c>
      <c r="AC41" s="447">
        <v>0</v>
      </c>
      <c r="AD41" s="447">
        <v>0</v>
      </c>
      <c r="AE41" s="447">
        <v>0</v>
      </c>
      <c r="AF41" s="447">
        <v>0</v>
      </c>
      <c r="AG41" s="447">
        <v>0</v>
      </c>
      <c r="AH41" s="447">
        <v>0</v>
      </c>
      <c r="AI41" s="1128"/>
      <c r="AJ41" s="1128"/>
      <c r="AK41" s="1128"/>
      <c r="AL41" s="1128"/>
      <c r="AM41" s="1128"/>
      <c r="AN41" s="1128"/>
    </row>
    <row r="42" spans="1:40" ht="11.25" hidden="1" customHeight="1" outlineLevel="1">
      <c r="A42" s="1497" t="s">
        <v>1315</v>
      </c>
      <c r="B42" s="1587"/>
      <c r="C42" s="1588"/>
      <c r="D42" s="1588"/>
      <c r="E42" s="1515"/>
      <c r="F42" s="1515"/>
      <c r="G42" s="1515"/>
      <c r="H42" s="1515"/>
      <c r="I42" s="1515"/>
      <c r="J42" s="1588"/>
      <c r="K42" s="1588"/>
      <c r="L42" s="1515"/>
      <c r="M42" s="1515"/>
      <c r="N42" s="1515"/>
      <c r="O42" s="1515"/>
      <c r="P42" s="1515"/>
      <c r="Q42" s="1515"/>
      <c r="R42" s="1515"/>
      <c r="S42" s="1589"/>
      <c r="T42" s="1589"/>
      <c r="U42" s="1589"/>
      <c r="V42" s="1589"/>
      <c r="W42" s="1589"/>
      <c r="X42" s="1589"/>
      <c r="Y42" s="1589"/>
      <c r="Z42" s="1589"/>
      <c r="AA42" s="1589"/>
      <c r="AB42" s="1589"/>
      <c r="AC42" s="1589"/>
      <c r="AD42" s="1589"/>
      <c r="AE42" s="1589"/>
      <c r="AF42" s="1589"/>
      <c r="AG42" s="1589"/>
      <c r="AH42" s="1589"/>
      <c r="AI42" s="1128"/>
      <c r="AJ42" s="1128"/>
      <c r="AK42" s="1128"/>
      <c r="AL42" s="1128"/>
      <c r="AM42" s="1128"/>
      <c r="AN42" s="1128"/>
    </row>
    <row r="43" spans="1:40" ht="11.25" hidden="1" customHeight="1" outlineLevel="1">
      <c r="A43" s="42" t="s">
        <v>739</v>
      </c>
      <c r="B43" s="1586">
        <v>0</v>
      </c>
      <c r="C43" s="1586">
        <v>0</v>
      </c>
      <c r="D43" s="1586">
        <v>0</v>
      </c>
      <c r="E43" s="438">
        <v>0</v>
      </c>
      <c r="F43" s="438">
        <v>0</v>
      </c>
      <c r="G43" s="438">
        <v>0</v>
      </c>
      <c r="H43" s="438">
        <v>0</v>
      </c>
      <c r="I43" s="438">
        <v>0</v>
      </c>
      <c r="J43" s="955">
        <v>7416.3132538762447</v>
      </c>
      <c r="K43" s="955">
        <v>7893.0007599895653</v>
      </c>
      <c r="L43" s="438">
        <v>9268.319720597754</v>
      </c>
      <c r="M43" s="438">
        <v>11921.302057355602</v>
      </c>
      <c r="N43" s="438">
        <v>14249.273844885998</v>
      </c>
      <c r="O43" s="438">
        <v>21212.509227896709</v>
      </c>
      <c r="P43" s="438">
        <v>25139.1237676034</v>
      </c>
      <c r="Q43" s="438">
        <v>29484.961101972011</v>
      </c>
      <c r="R43" s="438">
        <v>34504.521282015208</v>
      </c>
      <c r="S43" s="438">
        <v>43707.277342777423</v>
      </c>
      <c r="T43" s="438">
        <v>56502.43395927344</v>
      </c>
      <c r="U43" s="438">
        <v>37367.488685752025</v>
      </c>
      <c r="V43" s="438">
        <v>52240.570234885985</v>
      </c>
      <c r="W43" s="438">
        <v>67508.766021870309</v>
      </c>
      <c r="X43" s="438">
        <v>73752.955197028728</v>
      </c>
      <c r="Y43" s="447">
        <v>76775.406959383108</v>
      </c>
      <c r="Z43" s="447">
        <v>85353.113126900353</v>
      </c>
      <c r="AA43" s="447">
        <v>92459.873470232444</v>
      </c>
      <c r="AB43" s="447">
        <v>99058.573790286915</v>
      </c>
      <c r="AC43" s="447">
        <v>105128.81283367501</v>
      </c>
      <c r="AD43" s="447">
        <v>111520.54825386609</v>
      </c>
      <c r="AE43" s="447">
        <v>118148.76813878783</v>
      </c>
      <c r="AF43" s="447">
        <v>125007.30352503667</v>
      </c>
      <c r="AG43" s="447">
        <v>132225.0169861202</v>
      </c>
      <c r="AH43" s="447">
        <v>139759.12454826717</v>
      </c>
      <c r="AI43" s="1128"/>
      <c r="AJ43" s="1128"/>
      <c r="AK43" s="1128"/>
      <c r="AL43" s="1128"/>
      <c r="AM43" s="1128"/>
      <c r="AN43" s="1128"/>
    </row>
    <row r="44" spans="1:40" ht="11.25" hidden="1" customHeight="1" outlineLevel="2">
      <c r="A44" s="86" t="s">
        <v>731</v>
      </c>
      <c r="B44" s="1586">
        <v>0</v>
      </c>
      <c r="C44" s="1586">
        <v>0</v>
      </c>
      <c r="D44" s="1586">
        <v>0</v>
      </c>
      <c r="E44" s="438">
        <v>0</v>
      </c>
      <c r="F44" s="438">
        <v>0</v>
      </c>
      <c r="G44" s="438">
        <v>0</v>
      </c>
      <c r="H44" s="438">
        <v>0</v>
      </c>
      <c r="I44" s="438">
        <v>0</v>
      </c>
      <c r="J44" s="955">
        <v>6032</v>
      </c>
      <c r="K44" s="955">
        <v>6111.2000000000007</v>
      </c>
      <c r="L44" s="438">
        <v>6889.9189999999999</v>
      </c>
      <c r="M44" s="438">
        <v>8537.4189999999981</v>
      </c>
      <c r="N44" s="438">
        <v>10051.842000000001</v>
      </c>
      <c r="O44" s="438">
        <v>15158.991</v>
      </c>
      <c r="P44" s="438">
        <v>12882.855</v>
      </c>
      <c r="Q44" s="438">
        <v>13940.262000000001</v>
      </c>
      <c r="R44" s="438">
        <v>15839.212</v>
      </c>
      <c r="S44" s="438">
        <v>23824.762999999999</v>
      </c>
      <c r="T44" s="438">
        <v>26086.892999999996</v>
      </c>
      <c r="U44" s="438">
        <v>18285.574000000001</v>
      </c>
      <c r="V44" s="438">
        <v>25377.499</v>
      </c>
      <c r="W44" s="438">
        <v>32773.726999999999</v>
      </c>
      <c r="X44" s="438">
        <v>37509.160000000003</v>
      </c>
      <c r="Y44" s="447">
        <v>41108.750475127577</v>
      </c>
      <c r="Z44" s="447">
        <v>43960.39548328353</v>
      </c>
      <c r="AA44" s="447">
        <v>47141.158228891691</v>
      </c>
      <c r="AB44" s="447">
        <v>50334.30499064803</v>
      </c>
      <c r="AC44" s="447">
        <v>53009.145408939934</v>
      </c>
      <c r="AD44" s="447">
        <v>55805.227380049539</v>
      </c>
      <c r="AE44" s="447">
        <v>58674.933431312071</v>
      </c>
      <c r="AF44" s="447">
        <v>61571.043952454289</v>
      </c>
      <c r="AG44" s="447">
        <v>64594.76915247475</v>
      </c>
      <c r="AH44" s="447">
        <v>67699.820786729892</v>
      </c>
      <c r="AI44" s="1128"/>
      <c r="AJ44" s="1272"/>
      <c r="AK44" s="1128"/>
      <c r="AL44" s="1128"/>
      <c r="AM44" s="1128"/>
      <c r="AN44" s="1128"/>
    </row>
    <row r="45" spans="1:40" ht="11.25" hidden="1" customHeight="1" outlineLevel="2">
      <c r="A45" s="86" t="s">
        <v>949</v>
      </c>
      <c r="B45" s="1586">
        <v>0</v>
      </c>
      <c r="C45" s="1586">
        <v>0</v>
      </c>
      <c r="D45" s="1586">
        <v>0</v>
      </c>
      <c r="E45" s="438">
        <v>0</v>
      </c>
      <c r="F45" s="438">
        <v>0</v>
      </c>
      <c r="G45" s="438">
        <v>0</v>
      </c>
      <c r="H45" s="438">
        <v>0</v>
      </c>
      <c r="I45" s="438">
        <v>0</v>
      </c>
      <c r="J45" s="1586">
        <v>0</v>
      </c>
      <c r="K45" s="1586">
        <v>0</v>
      </c>
      <c r="L45" s="438">
        <v>0</v>
      </c>
      <c r="M45" s="438">
        <v>0</v>
      </c>
      <c r="N45" s="438">
        <v>0</v>
      </c>
      <c r="O45" s="438">
        <v>1438.0019461563413</v>
      </c>
      <c r="P45" s="438">
        <v>5553.0794698838818</v>
      </c>
      <c r="Q45" s="438">
        <v>7437.0882252644215</v>
      </c>
      <c r="R45" s="438">
        <v>8401.3262225735634</v>
      </c>
      <c r="S45" s="438">
        <v>9703.3249278333606</v>
      </c>
      <c r="T45" s="438">
        <v>20698.116579915404</v>
      </c>
      <c r="U45" s="438">
        <v>13505.364833031459</v>
      </c>
      <c r="V45" s="438">
        <v>17924.478099027656</v>
      </c>
      <c r="W45" s="438">
        <v>21388.628863315877</v>
      </c>
      <c r="X45" s="438">
        <v>22380.611228129557</v>
      </c>
      <c r="Y45" s="447">
        <v>23492.235497494767</v>
      </c>
      <c r="Z45" s="447">
        <v>27537.00193245666</v>
      </c>
      <c r="AA45" s="447">
        <v>30315.080956426304</v>
      </c>
      <c r="AB45" s="447">
        <v>33008.974337739281</v>
      </c>
      <c r="AC45" s="447">
        <v>35788.597614767656</v>
      </c>
      <c r="AD45" s="447">
        <v>38759.541620889897</v>
      </c>
      <c r="AE45" s="447">
        <v>41879.492669417537</v>
      </c>
      <c r="AF45" s="447">
        <v>45199.812040270044</v>
      </c>
      <c r="AG45" s="447">
        <v>48738.08572817668</v>
      </c>
      <c r="AH45" s="447">
        <v>52492.018471348158</v>
      </c>
      <c r="AI45" s="1128"/>
      <c r="AJ45" s="1272"/>
      <c r="AK45" s="1128"/>
      <c r="AL45" s="1128"/>
      <c r="AM45" s="1128"/>
      <c r="AN45" s="1128"/>
    </row>
    <row r="46" spans="1:40" ht="11.25" hidden="1" customHeight="1" outlineLevel="2">
      <c r="A46" s="86" t="s">
        <v>733</v>
      </c>
      <c r="B46" s="1586">
        <v>0</v>
      </c>
      <c r="C46" s="1586">
        <v>0</v>
      </c>
      <c r="D46" s="1586">
        <v>0</v>
      </c>
      <c r="E46" s="438">
        <v>0</v>
      </c>
      <c r="F46" s="438">
        <v>0</v>
      </c>
      <c r="G46" s="438">
        <v>0</v>
      </c>
      <c r="H46" s="438">
        <v>0</v>
      </c>
      <c r="I46" s="438">
        <v>0</v>
      </c>
      <c r="J46" s="955">
        <v>1384.3132538762447</v>
      </c>
      <c r="K46" s="955">
        <v>1781.8007599895641</v>
      </c>
      <c r="L46" s="438">
        <v>2378.4007205977541</v>
      </c>
      <c r="M46" s="438">
        <v>3383.8830573556043</v>
      </c>
      <c r="N46" s="438">
        <v>4197.4318448859976</v>
      </c>
      <c r="O46" s="438">
        <v>4615.516281740368</v>
      </c>
      <c r="P46" s="438">
        <v>6703.1892977195157</v>
      </c>
      <c r="Q46" s="438">
        <v>8107.6108767075912</v>
      </c>
      <c r="R46" s="438">
        <v>10263.983059441645</v>
      </c>
      <c r="S46" s="438">
        <v>10179.18941494406</v>
      </c>
      <c r="T46" s="438">
        <v>9717.4243793580372</v>
      </c>
      <c r="U46" s="438">
        <v>5576.5498527205646</v>
      </c>
      <c r="V46" s="438">
        <v>8938.5931358583257</v>
      </c>
      <c r="W46" s="438">
        <v>13346.410158554427</v>
      </c>
      <c r="X46" s="438">
        <v>13863.183968899175</v>
      </c>
      <c r="Y46" s="447">
        <v>12174.420986760771</v>
      </c>
      <c r="Z46" s="447">
        <v>13855.715711160174</v>
      </c>
      <c r="AA46" s="447">
        <v>15003.634284914449</v>
      </c>
      <c r="AB46" s="447">
        <v>15715.294461899599</v>
      </c>
      <c r="AC46" s="447">
        <v>16331.069809967421</v>
      </c>
      <c r="AD46" s="447">
        <v>16955.779252926641</v>
      </c>
      <c r="AE46" s="447">
        <v>17594.342038058203</v>
      </c>
      <c r="AF46" s="447">
        <v>18236.447532312326</v>
      </c>
      <c r="AG46" s="447">
        <v>18892.162105468757</v>
      </c>
      <c r="AH46" s="447">
        <v>19567.285290189131</v>
      </c>
      <c r="AI46" s="1128"/>
      <c r="AJ46" s="1272"/>
      <c r="AK46" s="1128"/>
      <c r="AL46" s="1128"/>
      <c r="AM46" s="1128"/>
      <c r="AN46" s="1128"/>
    </row>
    <row r="47" spans="1:40" ht="11.25" hidden="1" customHeight="1" outlineLevel="1">
      <c r="A47" s="42" t="s">
        <v>744</v>
      </c>
      <c r="B47" s="1586">
        <v>0</v>
      </c>
      <c r="C47" s="1586">
        <v>0</v>
      </c>
      <c r="D47" s="1586">
        <v>0</v>
      </c>
      <c r="E47" s="438">
        <v>0</v>
      </c>
      <c r="F47" s="438">
        <v>0</v>
      </c>
      <c r="G47" s="438">
        <v>0</v>
      </c>
      <c r="H47" s="438">
        <v>0</v>
      </c>
      <c r="I47" s="438">
        <v>0</v>
      </c>
      <c r="J47" s="955">
        <v>3065.5</v>
      </c>
      <c r="K47" s="955">
        <v>2973.8999999999996</v>
      </c>
      <c r="L47" s="438">
        <v>3396.6000000000004</v>
      </c>
      <c r="M47" s="438">
        <v>4033.8999999999996</v>
      </c>
      <c r="N47" s="438">
        <v>4329.3</v>
      </c>
      <c r="O47" s="438">
        <v>5064</v>
      </c>
      <c r="P47" s="438">
        <v>6374</v>
      </c>
      <c r="Q47" s="438">
        <v>7258</v>
      </c>
      <c r="R47" s="438">
        <v>7026</v>
      </c>
      <c r="S47" s="438">
        <v>974.42199999999991</v>
      </c>
      <c r="T47" s="438">
        <v>235.69200000000001</v>
      </c>
      <c r="U47" s="438">
        <v>275.13300000000004</v>
      </c>
      <c r="V47" s="438">
        <v>320.24799999999999</v>
      </c>
      <c r="W47" s="438">
        <v>394.911</v>
      </c>
      <c r="X47" s="438">
        <v>1522.79</v>
      </c>
      <c r="Y47" s="447">
        <v>1816.7821397254957</v>
      </c>
      <c r="Z47" s="447">
        <v>2057.5344503744545</v>
      </c>
      <c r="AA47" s="447">
        <v>2319.2110441004311</v>
      </c>
      <c r="AB47" s="447">
        <v>2567.7142938770962</v>
      </c>
      <c r="AC47" s="447">
        <v>2789.7157875485873</v>
      </c>
      <c r="AD47" s="447">
        <v>3024.0788056113588</v>
      </c>
      <c r="AE47" s="447">
        <v>3260.8020750258838</v>
      </c>
      <c r="AF47" s="447">
        <v>3501.0733340235338</v>
      </c>
      <c r="AG47" s="447">
        <v>3754.1374572475615</v>
      </c>
      <c r="AH47" s="447">
        <v>4009.7228378976952</v>
      </c>
      <c r="AI47" s="1128"/>
      <c r="AJ47" s="1128">
        <v>-0.46663302088537983</v>
      </c>
      <c r="AK47" s="1128">
        <f>IFERROR((X47/U47)^(1/3)-1,"NM")</f>
        <v>0.76888301104618129</v>
      </c>
      <c r="AL47" s="1128">
        <f>IFERROR((AA47/Y47)^(1/2)-1,"NM")</f>
        <v>0.12984458713043945</v>
      </c>
      <c r="AM47" s="1128">
        <f>IFERROR((AD47/AA47)^(1/3)-1,"NM")</f>
        <v>9.2490354515725848E-2</v>
      </c>
      <c r="AN47" s="1128">
        <f>IFERROR((AH47/X47)^(1/10)-1,"NM")</f>
        <v>0.10165962661931416</v>
      </c>
    </row>
    <row r="48" spans="1:40" ht="11.25" hidden="1" customHeight="1" outlineLevel="2">
      <c r="A48" s="86" t="s">
        <v>731</v>
      </c>
      <c r="B48" s="1586">
        <v>0</v>
      </c>
      <c r="C48" s="1586">
        <v>0</v>
      </c>
      <c r="D48" s="1586">
        <v>0</v>
      </c>
      <c r="E48" s="438">
        <v>0</v>
      </c>
      <c r="F48" s="438">
        <v>0</v>
      </c>
      <c r="G48" s="438">
        <v>0</v>
      </c>
      <c r="H48" s="438">
        <v>0</v>
      </c>
      <c r="I48" s="438">
        <v>0</v>
      </c>
      <c r="J48" s="955">
        <v>3065.5</v>
      </c>
      <c r="K48" s="955">
        <v>2973.8999999999996</v>
      </c>
      <c r="L48" s="438">
        <v>3396.6000000000004</v>
      </c>
      <c r="M48" s="438">
        <v>4033.8999999999996</v>
      </c>
      <c r="N48" s="438">
        <v>4329.3</v>
      </c>
      <c r="O48" s="438">
        <v>5064</v>
      </c>
      <c r="P48" s="438">
        <v>6374</v>
      </c>
      <c r="Q48" s="438">
        <v>7258</v>
      </c>
      <c r="R48" s="438">
        <v>7026</v>
      </c>
      <c r="S48" s="438">
        <v>974.42199999999991</v>
      </c>
      <c r="T48" s="438">
        <v>235.69200000000001</v>
      </c>
      <c r="U48" s="438">
        <v>275.13300000000004</v>
      </c>
      <c r="V48" s="438">
        <v>320.24799999999999</v>
      </c>
      <c r="W48" s="438">
        <v>394.911</v>
      </c>
      <c r="X48" s="438">
        <v>1522.79</v>
      </c>
      <c r="Y48" s="447">
        <v>1816.7821397254957</v>
      </c>
      <c r="Z48" s="447">
        <v>2057.5344503744545</v>
      </c>
      <c r="AA48" s="447">
        <v>2319.2110441004311</v>
      </c>
      <c r="AB48" s="447">
        <v>2567.7142938770962</v>
      </c>
      <c r="AC48" s="447">
        <v>2789.7157875485873</v>
      </c>
      <c r="AD48" s="447">
        <v>3024.0788056113588</v>
      </c>
      <c r="AE48" s="447">
        <v>3260.8020750258838</v>
      </c>
      <c r="AF48" s="447">
        <v>3501.0733340235338</v>
      </c>
      <c r="AG48" s="447">
        <v>3754.1374572475615</v>
      </c>
      <c r="AH48" s="447">
        <v>4009.7228378976952</v>
      </c>
      <c r="AI48" s="1128"/>
      <c r="AJ48" s="1128"/>
      <c r="AK48" s="1128"/>
      <c r="AL48" s="1128"/>
      <c r="AM48" s="1128"/>
      <c r="AN48" s="1128"/>
    </row>
    <row r="49" spans="1:40" ht="11.25" hidden="1" customHeight="1" outlineLevel="2">
      <c r="A49" s="86" t="s">
        <v>949</v>
      </c>
      <c r="B49" s="955" t="s">
        <v>628</v>
      </c>
      <c r="C49" s="955" t="s">
        <v>628</v>
      </c>
      <c r="D49" s="955" t="s">
        <v>628</v>
      </c>
      <c r="E49" s="438" t="s">
        <v>628</v>
      </c>
      <c r="F49" s="438" t="s">
        <v>628</v>
      </c>
      <c r="G49" s="438" t="s">
        <v>628</v>
      </c>
      <c r="H49" s="438" t="s">
        <v>628</v>
      </c>
      <c r="I49" s="438" t="s">
        <v>628</v>
      </c>
      <c r="J49" s="955" t="s">
        <v>628</v>
      </c>
      <c r="K49" s="955" t="s">
        <v>628</v>
      </c>
      <c r="L49" s="438" t="s">
        <v>628</v>
      </c>
      <c r="M49" s="438" t="s">
        <v>628</v>
      </c>
      <c r="N49" s="438" t="s">
        <v>628</v>
      </c>
      <c r="O49" s="438" t="s">
        <v>628</v>
      </c>
      <c r="P49" s="438" t="s">
        <v>628</v>
      </c>
      <c r="Q49" s="438" t="s">
        <v>628</v>
      </c>
      <c r="R49" s="438" t="s">
        <v>628</v>
      </c>
      <c r="S49" s="438" t="s">
        <v>628</v>
      </c>
      <c r="T49" s="438" t="s">
        <v>628</v>
      </c>
      <c r="U49" s="438" t="s">
        <v>628</v>
      </c>
      <c r="V49" s="438" t="s">
        <v>628</v>
      </c>
      <c r="W49" s="438" t="s">
        <v>628</v>
      </c>
      <c r="X49" s="438" t="s">
        <v>628</v>
      </c>
      <c r="Y49" s="447" t="s">
        <v>628</v>
      </c>
      <c r="Z49" s="447" t="s">
        <v>628</v>
      </c>
      <c r="AA49" s="447" t="s">
        <v>628</v>
      </c>
      <c r="AB49" s="447" t="s">
        <v>628</v>
      </c>
      <c r="AC49" s="447" t="s">
        <v>628</v>
      </c>
      <c r="AD49" s="447" t="s">
        <v>628</v>
      </c>
      <c r="AE49" s="447" t="s">
        <v>628</v>
      </c>
      <c r="AF49" s="447" t="s">
        <v>628</v>
      </c>
      <c r="AG49" s="447" t="s">
        <v>628</v>
      </c>
      <c r="AH49" s="447" t="s">
        <v>628</v>
      </c>
      <c r="AI49" s="1128"/>
      <c r="AJ49" s="1128"/>
      <c r="AK49" s="1128"/>
      <c r="AL49" s="1128"/>
      <c r="AM49" s="1128"/>
      <c r="AN49" s="1128"/>
    </row>
    <row r="50" spans="1:40" ht="11.25" hidden="1" customHeight="1" outlineLevel="2">
      <c r="A50" s="86" t="s">
        <v>733</v>
      </c>
      <c r="B50" s="955" t="s">
        <v>628</v>
      </c>
      <c r="C50" s="955" t="s">
        <v>628</v>
      </c>
      <c r="D50" s="955" t="s">
        <v>628</v>
      </c>
      <c r="E50" s="438" t="s">
        <v>628</v>
      </c>
      <c r="F50" s="438" t="s">
        <v>628</v>
      </c>
      <c r="G50" s="438" t="s">
        <v>628</v>
      </c>
      <c r="H50" s="438" t="s">
        <v>628</v>
      </c>
      <c r="I50" s="438" t="s">
        <v>628</v>
      </c>
      <c r="J50" s="955" t="s">
        <v>628</v>
      </c>
      <c r="K50" s="955" t="s">
        <v>628</v>
      </c>
      <c r="L50" s="438" t="s">
        <v>628</v>
      </c>
      <c r="M50" s="438" t="s">
        <v>628</v>
      </c>
      <c r="N50" s="438" t="s">
        <v>628</v>
      </c>
      <c r="O50" s="438" t="s">
        <v>628</v>
      </c>
      <c r="P50" s="438" t="s">
        <v>628</v>
      </c>
      <c r="Q50" s="438" t="s">
        <v>628</v>
      </c>
      <c r="R50" s="438" t="s">
        <v>628</v>
      </c>
      <c r="S50" s="438" t="s">
        <v>628</v>
      </c>
      <c r="T50" s="438" t="s">
        <v>628</v>
      </c>
      <c r="U50" s="438" t="s">
        <v>628</v>
      </c>
      <c r="V50" s="438" t="s">
        <v>628</v>
      </c>
      <c r="W50" s="438" t="s">
        <v>628</v>
      </c>
      <c r="X50" s="438" t="s">
        <v>628</v>
      </c>
      <c r="Y50" s="447" t="s">
        <v>628</v>
      </c>
      <c r="Z50" s="447" t="s">
        <v>628</v>
      </c>
      <c r="AA50" s="447" t="s">
        <v>628</v>
      </c>
      <c r="AB50" s="447" t="s">
        <v>628</v>
      </c>
      <c r="AC50" s="447" t="s">
        <v>628</v>
      </c>
      <c r="AD50" s="447" t="s">
        <v>628</v>
      </c>
      <c r="AE50" s="447" t="s">
        <v>628</v>
      </c>
      <c r="AF50" s="447" t="s">
        <v>628</v>
      </c>
      <c r="AG50" s="447" t="s">
        <v>628</v>
      </c>
      <c r="AH50" s="447" t="s">
        <v>628</v>
      </c>
      <c r="AI50" s="1128"/>
      <c r="AJ50" s="1128"/>
      <c r="AK50" s="1128"/>
      <c r="AL50" s="1128"/>
      <c r="AM50" s="1128"/>
      <c r="AN50" s="1128"/>
    </row>
    <row r="51" spans="1:40" ht="11.25" hidden="1" customHeight="1" outlineLevel="1">
      <c r="A51" s="42" t="s">
        <v>1028</v>
      </c>
      <c r="B51" s="1586">
        <v>0</v>
      </c>
      <c r="C51" s="1586">
        <v>0</v>
      </c>
      <c r="D51" s="1586">
        <v>0</v>
      </c>
      <c r="E51" s="438">
        <v>0</v>
      </c>
      <c r="F51" s="438">
        <v>0</v>
      </c>
      <c r="G51" s="438">
        <v>0</v>
      </c>
      <c r="H51" s="438">
        <v>0</v>
      </c>
      <c r="I51" s="438">
        <v>0</v>
      </c>
      <c r="J51" s="955">
        <v>23.386746123755337</v>
      </c>
      <c r="K51" s="955">
        <v>28.899240010435861</v>
      </c>
      <c r="L51" s="438">
        <v>238.18027940224619</v>
      </c>
      <c r="M51" s="438">
        <v>247.09794264439591</v>
      </c>
      <c r="N51" s="438">
        <v>335.62615511400259</v>
      </c>
      <c r="O51" s="438">
        <v>480.49077210329079</v>
      </c>
      <c r="P51" s="438">
        <v>773.87623239660206</v>
      </c>
      <c r="Q51" s="438">
        <v>958.03889802798665</v>
      </c>
      <c r="R51" s="438">
        <v>999.47871798479071</v>
      </c>
      <c r="S51" s="438">
        <v>862.27865722258105</v>
      </c>
      <c r="T51" s="438">
        <v>1418.28704072656</v>
      </c>
      <c r="U51" s="438">
        <v>871.34431424797663</v>
      </c>
      <c r="V51" s="438">
        <v>830.26076511401914</v>
      </c>
      <c r="W51" s="438">
        <v>928.03497812969715</v>
      </c>
      <c r="X51" s="438">
        <v>954.02780297126628</v>
      </c>
      <c r="Y51" s="447">
        <v>1010.8045991246158</v>
      </c>
      <c r="Z51" s="447">
        <v>1193.901367719164</v>
      </c>
      <c r="AA51" s="447">
        <v>1267.1596161611446</v>
      </c>
      <c r="AB51" s="447">
        <v>1371.3367784724041</v>
      </c>
      <c r="AC51" s="447">
        <v>1471.6287977607444</v>
      </c>
      <c r="AD51" s="447">
        <v>1578.2249251928897</v>
      </c>
      <c r="AE51" s="447">
        <v>1688.7440245020198</v>
      </c>
      <c r="AF51" s="447">
        <v>1804.2232420881646</v>
      </c>
      <c r="AG51" s="447">
        <v>1931.6034368072465</v>
      </c>
      <c r="AH51" s="447">
        <v>2067.5214596990959</v>
      </c>
      <c r="AI51" s="1128"/>
      <c r="AJ51" s="1128"/>
      <c r="AK51" s="1128"/>
      <c r="AL51" s="1128"/>
      <c r="AM51" s="1128"/>
      <c r="AN51" s="1128"/>
    </row>
    <row r="52" spans="1:40" ht="11.25" hidden="1" customHeight="1" outlineLevel="2">
      <c r="A52" s="86" t="s">
        <v>731</v>
      </c>
      <c r="B52" s="1586">
        <v>0</v>
      </c>
      <c r="C52" s="1586">
        <v>0</v>
      </c>
      <c r="D52" s="1586">
        <v>0</v>
      </c>
      <c r="E52" s="438">
        <v>0</v>
      </c>
      <c r="F52" s="438">
        <v>0</v>
      </c>
      <c r="G52" s="438">
        <v>0</v>
      </c>
      <c r="H52" s="438">
        <v>0</v>
      </c>
      <c r="I52" s="438">
        <v>0</v>
      </c>
      <c r="J52" s="1586">
        <v>0</v>
      </c>
      <c r="K52" s="1586">
        <v>0</v>
      </c>
      <c r="L52" s="438">
        <v>214.48099999999999</v>
      </c>
      <c r="M52" s="438">
        <v>214.48099999999999</v>
      </c>
      <c r="N52" s="438">
        <v>313.55799999999999</v>
      </c>
      <c r="O52" s="438">
        <v>445.00900000000001</v>
      </c>
      <c r="P52" s="438">
        <v>639.14499999999998</v>
      </c>
      <c r="Q52" s="438">
        <v>787.73800000000006</v>
      </c>
      <c r="R52" s="438">
        <v>811.78800000000001</v>
      </c>
      <c r="S52" s="438">
        <v>662.81500000000005</v>
      </c>
      <c r="T52" s="438">
        <v>894.41499999999996</v>
      </c>
      <c r="U52" s="438">
        <v>506.29300000000001</v>
      </c>
      <c r="V52" s="438">
        <v>317.25299999999999</v>
      </c>
      <c r="W52" s="438">
        <v>299.36200000000002</v>
      </c>
      <c r="X52" s="438">
        <v>326.05</v>
      </c>
      <c r="Y52" s="447">
        <v>385.90764269720643</v>
      </c>
      <c r="Z52" s="447">
        <v>436.90657266796109</v>
      </c>
      <c r="AA52" s="447">
        <v>492.82616470499875</v>
      </c>
      <c r="AB52" s="447">
        <v>545.86688907800806</v>
      </c>
      <c r="AC52" s="447">
        <v>593.1123841096794</v>
      </c>
      <c r="AD52" s="447">
        <v>642.98932111304634</v>
      </c>
      <c r="AE52" s="447">
        <v>693.51958034915094</v>
      </c>
      <c r="AF52" s="447">
        <v>744.6575846697292</v>
      </c>
      <c r="AG52" s="447">
        <v>798.5189491344895</v>
      </c>
      <c r="AH52" s="447">
        <v>853.04594087349801</v>
      </c>
      <c r="AI52" s="1128"/>
      <c r="AJ52" s="1128"/>
      <c r="AK52" s="1128"/>
      <c r="AL52" s="1128"/>
      <c r="AM52" s="1128"/>
      <c r="AN52" s="1128"/>
    </row>
    <row r="53" spans="1:40" ht="11.25" hidden="1" customHeight="1" outlineLevel="2">
      <c r="A53" s="86" t="s">
        <v>949</v>
      </c>
      <c r="B53" s="1586">
        <v>0</v>
      </c>
      <c r="C53" s="1586">
        <v>0</v>
      </c>
      <c r="D53" s="1586">
        <v>0</v>
      </c>
      <c r="E53" s="438">
        <v>0</v>
      </c>
      <c r="F53" s="438">
        <v>0</v>
      </c>
      <c r="G53" s="438">
        <v>0</v>
      </c>
      <c r="H53" s="438">
        <v>0</v>
      </c>
      <c r="I53" s="438">
        <v>0</v>
      </c>
      <c r="J53" s="1586">
        <v>0</v>
      </c>
      <c r="K53" s="1586">
        <v>0</v>
      </c>
      <c r="L53" s="438">
        <v>0</v>
      </c>
      <c r="M53" s="438">
        <v>0</v>
      </c>
      <c r="N53" s="438">
        <v>0</v>
      </c>
      <c r="O53" s="438">
        <v>29.99805384365877</v>
      </c>
      <c r="P53" s="438">
        <v>119.92053011611762</v>
      </c>
      <c r="Q53" s="438">
        <v>153.91177473557826</v>
      </c>
      <c r="R53" s="438">
        <v>168.67377742643626</v>
      </c>
      <c r="S53" s="438">
        <v>183.67507216664126</v>
      </c>
      <c r="T53" s="438">
        <v>508.88342008459722</v>
      </c>
      <c r="U53" s="438">
        <v>354.63516696854089</v>
      </c>
      <c r="V53" s="438">
        <v>489.52190097234342</v>
      </c>
      <c r="W53" s="438">
        <v>587.37113668412485</v>
      </c>
      <c r="X53" s="438">
        <v>585.38877187044068</v>
      </c>
      <c r="Y53" s="447">
        <v>598.19478107347948</v>
      </c>
      <c r="Z53" s="447">
        <v>700.00171183188945</v>
      </c>
      <c r="AA53" s="447">
        <v>693.54505227167897</v>
      </c>
      <c r="AB53" s="447">
        <v>720.62598267166925</v>
      </c>
      <c r="AC53" s="447">
        <v>749.97144373129765</v>
      </c>
      <c r="AD53" s="447">
        <v>780.20097774453723</v>
      </c>
      <c r="AE53" s="447">
        <v>809.19441576145277</v>
      </c>
      <c r="AF53" s="447">
        <v>838.77718543869196</v>
      </c>
      <c r="AG53" s="447">
        <v>869.21824622559416</v>
      </c>
      <c r="AH53" s="447">
        <v>900.36693842446334</v>
      </c>
      <c r="AI53" s="1128"/>
      <c r="AJ53" s="1128"/>
      <c r="AK53" s="1128"/>
      <c r="AL53" s="1128"/>
      <c r="AM53" s="1128"/>
      <c r="AN53" s="1128"/>
    </row>
    <row r="54" spans="1:40" ht="11.25" hidden="1" customHeight="1" outlineLevel="2">
      <c r="A54" s="86" t="s">
        <v>733</v>
      </c>
      <c r="B54" s="1586">
        <v>0</v>
      </c>
      <c r="C54" s="1586">
        <v>0</v>
      </c>
      <c r="D54" s="1586">
        <v>0</v>
      </c>
      <c r="E54" s="438">
        <v>0</v>
      </c>
      <c r="F54" s="438">
        <v>0</v>
      </c>
      <c r="G54" s="438">
        <v>0</v>
      </c>
      <c r="H54" s="438">
        <v>0</v>
      </c>
      <c r="I54" s="438">
        <v>0</v>
      </c>
      <c r="J54" s="955">
        <v>23.386746123755337</v>
      </c>
      <c r="K54" s="955">
        <v>28.899240010435861</v>
      </c>
      <c r="L54" s="438">
        <v>23.699279402246194</v>
      </c>
      <c r="M54" s="438">
        <v>32.616942644395934</v>
      </c>
      <c r="N54" s="438">
        <v>22.068155114002614</v>
      </c>
      <c r="O54" s="438">
        <v>5.4837182596319671</v>
      </c>
      <c r="P54" s="438">
        <v>14.81070228048447</v>
      </c>
      <c r="Q54" s="438">
        <v>16.389123292408243</v>
      </c>
      <c r="R54" s="438">
        <v>19.01694055835441</v>
      </c>
      <c r="S54" s="438">
        <v>15.788585055939711</v>
      </c>
      <c r="T54" s="438">
        <v>14.98862064196287</v>
      </c>
      <c r="U54" s="438">
        <v>10.416147279435753</v>
      </c>
      <c r="V54" s="438">
        <v>23.485864141675712</v>
      </c>
      <c r="W54" s="438">
        <v>41.30184144557218</v>
      </c>
      <c r="X54" s="438">
        <v>42.589031100825608</v>
      </c>
      <c r="Y54" s="447">
        <v>26.702175353929984</v>
      </c>
      <c r="Z54" s="447">
        <v>56.99308321931337</v>
      </c>
      <c r="AA54" s="447">
        <v>80.788399184466854</v>
      </c>
      <c r="AB54" s="447">
        <v>104.84390672272684</v>
      </c>
      <c r="AC54" s="447">
        <v>128.5449699197676</v>
      </c>
      <c r="AD54" s="447">
        <v>155.03462633530626</v>
      </c>
      <c r="AE54" s="447">
        <v>186.03002839141612</v>
      </c>
      <c r="AF54" s="447">
        <v>220.78847197974341</v>
      </c>
      <c r="AG54" s="447">
        <v>263.86624144716291</v>
      </c>
      <c r="AH54" s="447">
        <v>314.10858040113465</v>
      </c>
      <c r="AI54" s="1128"/>
      <c r="AJ54" s="1128"/>
      <c r="AK54" s="1128"/>
      <c r="AL54" s="1128"/>
      <c r="AM54" s="1128"/>
      <c r="AN54" s="1128"/>
    </row>
    <row r="55" spans="1:40" hidden="1" outlineLevel="1"/>
    <row r="56" spans="1:40" hidden="1" outlineLevel="1"/>
    <row r="57" spans="1:40" hidden="1" outlineLevel="1"/>
    <row r="58" spans="1:40" hidden="1" outlineLevel="1"/>
    <row r="59" spans="1:40" hidden="1" outlineLevel="1"/>
    <row r="60" spans="1:40" collapsed="1">
      <c r="A60" s="97" t="s">
        <v>49</v>
      </c>
      <c r="B60" s="438">
        <v>-1156.671</v>
      </c>
      <c r="C60" s="438">
        <v>-1160.8230000000001</v>
      </c>
      <c r="D60" s="438">
        <v>-1256.1659999999999</v>
      </c>
      <c r="E60" s="438">
        <v>-1571.328</v>
      </c>
      <c r="F60" s="438">
        <v>-1769.06</v>
      </c>
      <c r="G60" s="438">
        <v>-2066.5149999999999</v>
      </c>
      <c r="H60" s="438">
        <v>-2323.6970000000001</v>
      </c>
      <c r="I60" s="438">
        <v>-2781.3240000000001</v>
      </c>
      <c r="J60" s="438">
        <v>-3166.4590000000003</v>
      </c>
      <c r="K60" s="438">
        <v>-3173.1430000000005</v>
      </c>
      <c r="L60" s="438">
        <v>-3787.5989999999997</v>
      </c>
      <c r="M60" s="438">
        <v>-4759.3680000000004</v>
      </c>
      <c r="N60" s="438">
        <v>-5225.7469999999994</v>
      </c>
      <c r="O60" s="438">
        <v>-7276.5049999999992</v>
      </c>
      <c r="P60" s="438">
        <v>-10149.276</v>
      </c>
      <c r="Q60" s="438">
        <v>-11779.630999999999</v>
      </c>
      <c r="R60" s="438">
        <v>-12923.188</v>
      </c>
      <c r="S60" s="438">
        <v>-14187.508000000002</v>
      </c>
      <c r="T60" s="438">
        <v>-17164.022000000001</v>
      </c>
      <c r="U60" s="438">
        <v>-11454.883999999998</v>
      </c>
      <c r="V60" s="438">
        <v>-16753.061000000002</v>
      </c>
      <c r="W60" s="438">
        <v>-22512.075000000001</v>
      </c>
      <c r="X60" s="438">
        <v>-25003.550999999999</v>
      </c>
      <c r="Y60" s="447">
        <v>-25467.296277566726</v>
      </c>
      <c r="Z60" s="447">
        <v>-28433.867026946515</v>
      </c>
      <c r="AA60" s="447">
        <v>-30917.815208897708</v>
      </c>
      <c r="AB60" s="447">
        <v>-33258.48423895931</v>
      </c>
      <c r="AC60" s="447">
        <v>-35322.7437252245</v>
      </c>
      <c r="AD60" s="447">
        <v>-37496.853860405557</v>
      </c>
      <c r="AE60" s="447">
        <v>-39749.286685254774</v>
      </c>
      <c r="AF60" s="447">
        <v>-42078.919244442004</v>
      </c>
      <c r="AG60" s="447">
        <v>-44532.518801495549</v>
      </c>
      <c r="AH60" s="447">
        <v>-47091.780149092709</v>
      </c>
      <c r="AI60" s="1130"/>
      <c r="AJ60" s="1130"/>
      <c r="AK60" s="1130"/>
      <c r="AL60" s="1130"/>
      <c r="AM60" s="1130"/>
      <c r="AN60" s="1130"/>
    </row>
    <row r="61" spans="1:40">
      <c r="A61" s="1760" t="s">
        <v>332</v>
      </c>
      <c r="B61" s="1761">
        <v>1317.9829999999999</v>
      </c>
      <c r="C61" s="1761">
        <v>1467.0930000000001</v>
      </c>
      <c r="D61" s="1761">
        <v>1615.325</v>
      </c>
      <c r="E61" s="1762">
        <v>2137.2660000000001</v>
      </c>
      <c r="F61" s="1762">
        <v>2896.2400000000002</v>
      </c>
      <c r="G61" s="1762">
        <v>3959.9290000000005</v>
      </c>
      <c r="H61" s="1762">
        <v>4661.7060000000001</v>
      </c>
      <c r="I61" s="1762">
        <v>5005.5190000000002</v>
      </c>
      <c r="J61" s="1761">
        <v>5420.6220000000012</v>
      </c>
      <c r="K61" s="1761">
        <v>5808.2969999999987</v>
      </c>
      <c r="L61" s="1762">
        <v>6908.9050000000007</v>
      </c>
      <c r="M61" s="1762">
        <v>8760.1450000000004</v>
      </c>
      <c r="N61" s="1762">
        <v>10486.918000000001</v>
      </c>
      <c r="O61" s="1762">
        <v>15523.750000000002</v>
      </c>
      <c r="P61" s="1762">
        <v>22139.1</v>
      </c>
      <c r="Q61" s="1762">
        <v>25922.235999999997</v>
      </c>
      <c r="R61" s="1762">
        <v>29605.932999999997</v>
      </c>
      <c r="S61" s="1762">
        <v>31969.082999999999</v>
      </c>
      <c r="T61" s="1762">
        <v>40990.596999999994</v>
      </c>
      <c r="U61" s="1762">
        <v>27040.535000000003</v>
      </c>
      <c r="V61" s="1762">
        <v>36626.407999999996</v>
      </c>
      <c r="W61" s="1762">
        <v>46319.23000000001</v>
      </c>
      <c r="X61" s="1762">
        <v>51227.496999999996</v>
      </c>
      <c r="Y61" s="1763">
        <v>54136.939420666502</v>
      </c>
      <c r="Z61" s="1763">
        <v>60170.681918047478</v>
      </c>
      <c r="AA61" s="1763">
        <v>65128.428921596322</v>
      </c>
      <c r="AB61" s="1763">
        <v>69739.1406236771</v>
      </c>
      <c r="AC61" s="1763">
        <v>74067.413693759838</v>
      </c>
      <c r="AD61" s="1763">
        <v>78625.998124264763</v>
      </c>
      <c r="AE61" s="1763">
        <v>83349.027553060936</v>
      </c>
      <c r="AF61" s="1763">
        <v>88233.680856706342</v>
      </c>
      <c r="AG61" s="1763">
        <v>93378.239078679442</v>
      </c>
      <c r="AH61" s="1763">
        <v>98744.588696771258</v>
      </c>
      <c r="AI61" s="1130"/>
      <c r="AJ61" s="1130">
        <v>4.0809059028040995E-2</v>
      </c>
      <c r="AK61" s="1132"/>
      <c r="AL61" s="1130"/>
      <c r="AM61" s="1130"/>
      <c r="AN61" s="1130"/>
    </row>
    <row r="62" spans="1:40">
      <c r="A62" s="593" t="s">
        <v>50</v>
      </c>
      <c r="B62" s="1593">
        <v>0.53259283924136458</v>
      </c>
      <c r="C62" s="1593">
        <v>0.55827241053367005</v>
      </c>
      <c r="D62" s="1593">
        <v>0.56253876470446884</v>
      </c>
      <c r="E62" s="1593">
        <v>0.57630088383899669</v>
      </c>
      <c r="F62" s="1593">
        <v>0.62080466422309388</v>
      </c>
      <c r="G62" s="1593">
        <v>0.65709214256367443</v>
      </c>
      <c r="H62" s="1593">
        <v>0.66734961461779652</v>
      </c>
      <c r="I62" s="1593">
        <v>0.64281750640150315</v>
      </c>
      <c r="J62" s="1593">
        <v>0.63125315808713112</v>
      </c>
      <c r="K62" s="1520">
        <v>0.64669997238750132</v>
      </c>
      <c r="L62" s="1520">
        <v>0.64590309132778334</v>
      </c>
      <c r="M62" s="1520">
        <v>0.64796305902438944</v>
      </c>
      <c r="N62" s="1520">
        <v>0.6674181623550175</v>
      </c>
      <c r="O62" s="1520">
        <v>0.68085861320410679</v>
      </c>
      <c r="P62" s="1520">
        <v>0.68566780813008366</v>
      </c>
      <c r="Q62" s="1520">
        <v>0.68755841719986965</v>
      </c>
      <c r="R62" s="1520">
        <v>0.69613319776818328</v>
      </c>
      <c r="S62" s="1520">
        <v>0.69262227359901862</v>
      </c>
      <c r="T62" s="1520">
        <v>0.7048553959230649</v>
      </c>
      <c r="U62" s="1520">
        <v>0.7024351391005772</v>
      </c>
      <c r="V62" s="1520">
        <v>0.68615159884786414</v>
      </c>
      <c r="W62" s="1520">
        <v>0.67293842532841719</v>
      </c>
      <c r="X62" s="1520">
        <v>0.67200305313918807</v>
      </c>
      <c r="Y62" s="1594">
        <v>0.68007611587266381</v>
      </c>
      <c r="Z62" s="1594">
        <v>0.67909246911692589</v>
      </c>
      <c r="AA62" s="1594">
        <v>0.67809448991164134</v>
      </c>
      <c r="AB62" s="1594">
        <v>0.67709464870364977</v>
      </c>
      <c r="AC62" s="1594">
        <v>0.67709394923044197</v>
      </c>
      <c r="AD62" s="1594">
        <v>0.67709324030936113</v>
      </c>
      <c r="AE62" s="1594">
        <v>0.67709316791860363</v>
      </c>
      <c r="AF62" s="1594">
        <v>0.67709247446693221</v>
      </c>
      <c r="AG62" s="1594">
        <v>0.6770917694456583</v>
      </c>
      <c r="AH62" s="1594">
        <v>0.67709165743927346</v>
      </c>
      <c r="AI62" s="1130"/>
      <c r="AJ62" s="1130"/>
      <c r="AK62" s="1130"/>
      <c r="AL62" s="1130"/>
      <c r="AM62" s="1130"/>
      <c r="AN62" s="1130"/>
    </row>
    <row r="63" spans="1:40">
      <c r="A63" s="98" t="s">
        <v>51</v>
      </c>
      <c r="B63" s="955">
        <v>-987.41700000000003</v>
      </c>
      <c r="C63" s="955">
        <v>-1083.19</v>
      </c>
      <c r="D63" s="955">
        <v>-1200.116</v>
      </c>
      <c r="E63" s="438">
        <v>-1591.8130000000001</v>
      </c>
      <c r="F63" s="438">
        <v>-2195.6849999999999</v>
      </c>
      <c r="G63" s="438">
        <v>-2952.49</v>
      </c>
      <c r="H63" s="438">
        <v>-3373.03</v>
      </c>
      <c r="I63" s="438">
        <v>-3973.4520000000002</v>
      </c>
      <c r="J63" s="955">
        <v>-4420.3860000000004</v>
      </c>
      <c r="K63" s="955">
        <v>-4809.6660000000002</v>
      </c>
      <c r="L63" s="438">
        <v>-5794.058</v>
      </c>
      <c r="M63" s="438">
        <v>-7152.08</v>
      </c>
      <c r="N63" s="438">
        <v>-8448.1959999999999</v>
      </c>
      <c r="O63" s="438">
        <v>-12730.657999999999</v>
      </c>
      <c r="P63" s="438">
        <v>-17837.370999999999</v>
      </c>
      <c r="Q63" s="438">
        <v>-20766.998</v>
      </c>
      <c r="R63" s="438">
        <v>-23139.688999999998</v>
      </c>
      <c r="S63" s="438">
        <v>-25560.766</v>
      </c>
      <c r="T63" s="438">
        <v>-28373.038</v>
      </c>
      <c r="U63" s="438">
        <v>-20115.798999999999</v>
      </c>
      <c r="V63" s="438">
        <v>-24315.138999999996</v>
      </c>
      <c r="W63" s="438">
        <v>-32269.436000000002</v>
      </c>
      <c r="X63" s="438">
        <v>-35267.108</v>
      </c>
      <c r="Y63" s="447">
        <v>-37535.179744669877</v>
      </c>
      <c r="Z63" s="447">
        <v>-41681.470566048069</v>
      </c>
      <c r="AA63" s="447">
        <v>-45087.334645050367</v>
      </c>
      <c r="AB63" s="447">
        <v>-48247.649874618859</v>
      </c>
      <c r="AC63" s="447">
        <v>-51241.915687396344</v>
      </c>
      <c r="AD63" s="447">
        <v>-54395.493826993945</v>
      </c>
      <c r="AE63" s="447">
        <v>-57663.042048982752</v>
      </c>
      <c r="AF63" s="447">
        <v>-61042.176992048357</v>
      </c>
      <c r="AG63" s="447">
        <v>-64601.094100907983</v>
      </c>
      <c r="AH63" s="447">
        <v>-68313.675285703124</v>
      </c>
      <c r="AI63" s="1130"/>
      <c r="AJ63" s="1129">
        <v>2.4333292972720466E-2</v>
      </c>
      <c r="AK63" s="1130"/>
      <c r="AL63" s="1130"/>
      <c r="AM63" s="1130"/>
      <c r="AN63" s="1130"/>
    </row>
    <row r="64" spans="1:40">
      <c r="A64" s="593" t="s">
        <v>991</v>
      </c>
      <c r="B64" s="1593">
        <v>0.39901214472811147</v>
      </c>
      <c r="C64" s="1593">
        <v>0.41218592983946212</v>
      </c>
      <c r="D64" s="1593">
        <v>0.41794175917667858</v>
      </c>
      <c r="E64" s="1593">
        <v>0.42922277283520388</v>
      </c>
      <c r="F64" s="1593">
        <v>0.47064175937238761</v>
      </c>
      <c r="G64" s="1593">
        <v>0.48992241527507757</v>
      </c>
      <c r="H64" s="1593">
        <v>0.4828683470373864</v>
      </c>
      <c r="I64" s="1593">
        <v>0.51027765681162451</v>
      </c>
      <c r="J64" s="1593">
        <v>0.51477166687958331</v>
      </c>
      <c r="K64" s="1520">
        <v>0.53551167741475769</v>
      </c>
      <c r="L64" s="1520">
        <v>0.54167772947123649</v>
      </c>
      <c r="M64" s="1520">
        <v>0.52901905564201901</v>
      </c>
      <c r="N64" s="1520">
        <v>0.53766792584198797</v>
      </c>
      <c r="O64" s="1520">
        <v>0.55835594821198264</v>
      </c>
      <c r="P64" s="1520">
        <v>0.55243939800502817</v>
      </c>
      <c r="Q64" s="1520">
        <v>0.55082147523357394</v>
      </c>
      <c r="R64" s="1520">
        <v>0.54409045980517678</v>
      </c>
      <c r="S64" s="1520">
        <v>0.55378366222930109</v>
      </c>
      <c r="T64" s="1520">
        <v>0.48788967218579837</v>
      </c>
      <c r="U64" s="1520">
        <v>0.52255046243294556</v>
      </c>
      <c r="V64" s="1520">
        <v>0.45551481600538207</v>
      </c>
      <c r="W64" s="1520">
        <v>0.468819180458659</v>
      </c>
      <c r="X64" s="1520">
        <v>0.46263443734893955</v>
      </c>
      <c r="Y64" s="1594">
        <v>0.4715223934434804</v>
      </c>
      <c r="Z64" s="1594">
        <v>0.47042133911120149</v>
      </c>
      <c r="AA64" s="1594">
        <v>0.46943360516827792</v>
      </c>
      <c r="AB64" s="1594">
        <v>0.46843458709814634</v>
      </c>
      <c r="AC64" s="1594">
        <v>0.46843259847529445</v>
      </c>
      <c r="AD64" s="1594">
        <v>0.4684305707043333</v>
      </c>
      <c r="AE64" s="1594">
        <v>0.46843080188204961</v>
      </c>
      <c r="AF64" s="1594">
        <v>0.46842881612881299</v>
      </c>
      <c r="AG64" s="1594">
        <v>0.46842679348508276</v>
      </c>
      <c r="AH64" s="1594">
        <v>0.4684268802516921</v>
      </c>
      <c r="AI64" s="1130"/>
      <c r="AJ64" s="1129"/>
      <c r="AK64" s="1130"/>
      <c r="AL64" s="1130"/>
      <c r="AM64" s="1130"/>
      <c r="AN64" s="1130"/>
    </row>
    <row r="65" spans="1:40" s="1209" customFormat="1">
      <c r="A65" s="1237" t="s">
        <v>1270</v>
      </c>
      <c r="B65" s="1591">
        <v>-987.41700000000003</v>
      </c>
      <c r="C65" s="1591">
        <v>-1083.19</v>
      </c>
      <c r="D65" s="1591">
        <v>-1200.116</v>
      </c>
      <c r="E65" s="1518">
        <v>-1591.8130000000001</v>
      </c>
      <c r="F65" s="1518">
        <v>-2195.6849999999999</v>
      </c>
      <c r="G65" s="1518">
        <v>-2952.49</v>
      </c>
      <c r="H65" s="1518">
        <v>-3373.03</v>
      </c>
      <c r="I65" s="1518">
        <v>-3973.4520000000002</v>
      </c>
      <c r="J65" s="1591">
        <v>-4420.3860000000004</v>
      </c>
      <c r="K65" s="1591">
        <v>-4809.6660000000002</v>
      </c>
      <c r="L65" s="1518">
        <v>-5794.058</v>
      </c>
      <c r="M65" s="1518">
        <v>-7152.08</v>
      </c>
      <c r="N65" s="1518">
        <v>-8448.1959999999999</v>
      </c>
      <c r="O65" s="1518">
        <v>-12730.657999999999</v>
      </c>
      <c r="P65" s="1518">
        <v>-17837.370999999999</v>
      </c>
      <c r="Q65" s="1518">
        <v>-20766.998</v>
      </c>
      <c r="R65" s="1518">
        <v>-23139.688999999998</v>
      </c>
      <c r="S65" s="1518">
        <v>-25560.766</v>
      </c>
      <c r="T65" s="1518">
        <v>-33322.428</v>
      </c>
      <c r="U65" s="1518">
        <v>-25603.792999999998</v>
      </c>
      <c r="V65" s="1518">
        <v>-30090.120999999999</v>
      </c>
      <c r="W65" s="1518">
        <v>-37494.724000000002</v>
      </c>
      <c r="X65" s="1518">
        <v>-40432.868000000002</v>
      </c>
      <c r="Y65" s="1518">
        <v>-42618.418311372312</v>
      </c>
      <c r="Z65" s="1518">
        <v>-47398.462125328537</v>
      </c>
      <c r="AA65" s="1518">
        <v>-51187.828703529362</v>
      </c>
      <c r="AB65" s="1518">
        <v>-54654.733592545555</v>
      </c>
      <c r="AC65" s="1518">
        <v>-58051.667786269856</v>
      </c>
      <c r="AD65" s="1518">
        <v>-61628.809956905512</v>
      </c>
      <c r="AE65" s="1518">
        <v>-65335.419075834507</v>
      </c>
      <c r="AF65" s="1518">
        <v>-69172.265000638101</v>
      </c>
      <c r="AG65" s="1518">
        <v>-73212.910993408688</v>
      </c>
      <c r="AH65" s="1518">
        <v>-77430.124982656416</v>
      </c>
      <c r="AI65" s="1243"/>
      <c r="AJ65" s="1243">
        <v>7.4965911398891416E-2</v>
      </c>
      <c r="AK65" s="1243"/>
      <c r="AL65" s="1243"/>
      <c r="AM65" s="1243"/>
      <c r="AN65" s="1243"/>
    </row>
    <row r="66" spans="1:40">
      <c r="A66" s="1421" t="s">
        <v>991</v>
      </c>
      <c r="B66" s="1519">
        <v>0.39901214472811147</v>
      </c>
      <c r="C66" s="1519">
        <v>0.41218592983946212</v>
      </c>
      <c r="D66" s="1519">
        <v>0.41794175917667858</v>
      </c>
      <c r="E66" s="1519">
        <v>0.42922277283520388</v>
      </c>
      <c r="F66" s="1519">
        <v>0.47064175937238761</v>
      </c>
      <c r="G66" s="1519">
        <v>0.48992241527507757</v>
      </c>
      <c r="H66" s="1519">
        <v>0.4828683470373864</v>
      </c>
      <c r="I66" s="1519">
        <v>0.51027765681162451</v>
      </c>
      <c r="J66" s="1519">
        <v>0.51477166687958331</v>
      </c>
      <c r="K66" s="1519">
        <v>0.53551167741475769</v>
      </c>
      <c r="L66" s="1519">
        <v>0.54167772947123649</v>
      </c>
      <c r="M66" s="1519">
        <v>0.52901905564201901</v>
      </c>
      <c r="N66" s="1519">
        <v>0.53766792584198797</v>
      </c>
      <c r="O66" s="1519">
        <v>0.55835594821198264</v>
      </c>
      <c r="P66" s="1519">
        <v>0.55243939800502817</v>
      </c>
      <c r="Q66" s="1519">
        <v>0.55082147523357394</v>
      </c>
      <c r="R66" s="1519">
        <v>0.54409045980517678</v>
      </c>
      <c r="S66" s="1519">
        <v>0.55378366222930109</v>
      </c>
      <c r="T66" s="1519">
        <v>0.57299709933616794</v>
      </c>
      <c r="U66" s="1519">
        <v>0.66511272419193557</v>
      </c>
      <c r="V66" s="1519">
        <v>0.56370214173543021</v>
      </c>
      <c r="W66" s="1519">
        <v>0.54473359178646985</v>
      </c>
      <c r="X66" s="1519">
        <v>0.53039895240584922</v>
      </c>
      <c r="Y66" s="1519">
        <v>0.53537877648787224</v>
      </c>
      <c r="Z66" s="1519">
        <v>0.53494389046270818</v>
      </c>
      <c r="AA66" s="1519">
        <v>0.53294982190019413</v>
      </c>
      <c r="AB66" s="1519">
        <v>0.53064071783632161</v>
      </c>
      <c r="AC66" s="1519">
        <v>0.53068456208469772</v>
      </c>
      <c r="AD66" s="1519">
        <v>0.53072077462445799</v>
      </c>
      <c r="AE66" s="1519">
        <v>0.53075803255393517</v>
      </c>
      <c r="AF66" s="1519">
        <v>0.53081793277815614</v>
      </c>
      <c r="AG66" s="1519">
        <v>0.53087164568423584</v>
      </c>
      <c r="AH66" s="1519">
        <v>0.53093837700041169</v>
      </c>
      <c r="AI66" s="1130"/>
      <c r="AJ66" s="1129"/>
      <c r="AK66" s="1130"/>
      <c r="AL66" s="1130"/>
      <c r="AM66" s="1130"/>
      <c r="AN66" s="1130"/>
    </row>
    <row r="67" spans="1:40">
      <c r="A67" s="43" t="s">
        <v>1555</v>
      </c>
      <c r="B67" s="1592">
        <v>330.56599999999992</v>
      </c>
      <c r="C67" s="1592">
        <v>383.90300000000002</v>
      </c>
      <c r="D67" s="1592">
        <v>415.20900000000006</v>
      </c>
      <c r="E67" s="985">
        <v>545.45299999999997</v>
      </c>
      <c r="F67" s="985">
        <v>700.55500000000029</v>
      </c>
      <c r="G67" s="985">
        <v>1007.4390000000008</v>
      </c>
      <c r="H67" s="985">
        <v>1288.6759999999999</v>
      </c>
      <c r="I67" s="985">
        <v>1032.067</v>
      </c>
      <c r="J67" s="1592">
        <v>1000.2359999999994</v>
      </c>
      <c r="K67" s="1592">
        <v>998.63099999999986</v>
      </c>
      <c r="L67" s="985">
        <v>1114.8470000000004</v>
      </c>
      <c r="M67" s="985">
        <v>1608.0649999999994</v>
      </c>
      <c r="N67" s="985">
        <v>2038.7220000000002</v>
      </c>
      <c r="O67" s="985">
        <v>2793.0920000000001</v>
      </c>
      <c r="P67" s="985">
        <v>4301.7290000000003</v>
      </c>
      <c r="Q67" s="985">
        <v>5155.2379999999994</v>
      </c>
      <c r="R67" s="985">
        <v>6466.2439999999997</v>
      </c>
      <c r="S67" s="985">
        <v>6408.3169999999991</v>
      </c>
      <c r="T67" s="985">
        <v>12617.558999999997</v>
      </c>
      <c r="U67" s="985">
        <v>6924.7359999999981</v>
      </c>
      <c r="V67" s="985">
        <v>12311.269</v>
      </c>
      <c r="W67" s="985">
        <v>14049.793999999998</v>
      </c>
      <c r="X67" s="985">
        <v>15960.388999999996</v>
      </c>
      <c r="Y67" s="1566">
        <v>16601.759675996625</v>
      </c>
      <c r="Z67" s="1566">
        <v>18489.211351999395</v>
      </c>
      <c r="AA67" s="1566">
        <v>20041.094276545951</v>
      </c>
      <c r="AB67" s="1566">
        <v>21491.490749058237</v>
      </c>
      <c r="AC67" s="1566">
        <v>22825.498006363494</v>
      </c>
      <c r="AD67" s="1566">
        <v>24230.504297270818</v>
      </c>
      <c r="AE67" s="1566">
        <v>25685.985504078188</v>
      </c>
      <c r="AF67" s="1566">
        <v>27191.503864658</v>
      </c>
      <c r="AG67" s="1566">
        <v>28777.144977771459</v>
      </c>
      <c r="AH67" s="1566">
        <v>30430.913411068141</v>
      </c>
      <c r="AI67" s="1246"/>
      <c r="AJ67" s="1128">
        <v>9.9897043647288353E-2</v>
      </c>
      <c r="AK67" s="1128">
        <f>IFERROR((X67/U67)^(1/3)-1,"NM")</f>
        <v>0.32093085183440095</v>
      </c>
      <c r="AL67" s="1246">
        <f>IFERROR((AA67/Y67)^(1/2)-1,"NM")</f>
        <v>9.8711459265654389E-2</v>
      </c>
      <c r="AM67" s="1246">
        <f>IFERROR((AD67/AA67)^(1/3)-1,"NM")</f>
        <v>6.5320638360468752E-2</v>
      </c>
      <c r="AN67" s="1246">
        <f>IFERROR((AH67/X67)^(1/10)-1,"NM")</f>
        <v>6.6662805737049746E-2</v>
      </c>
    </row>
    <row r="68" spans="1:40">
      <c r="A68" s="593" t="s">
        <v>52</v>
      </c>
      <c r="B68" s="1593">
        <v>0.13358069451325313</v>
      </c>
      <c r="C68" s="1593">
        <v>0.14608648069420788</v>
      </c>
      <c r="D68" s="1593">
        <v>0.14459700552779028</v>
      </c>
      <c r="E68" s="1593">
        <v>0.14707811100379281</v>
      </c>
      <c r="F68" s="1593">
        <v>0.15016290485070632</v>
      </c>
      <c r="G68" s="1593">
        <v>0.16716972728859683</v>
      </c>
      <c r="H68" s="1593">
        <v>0.18448126758041017</v>
      </c>
      <c r="I68" s="1593">
        <v>0.13253984958987872</v>
      </c>
      <c r="J68" s="1593">
        <v>0.11648149120754761</v>
      </c>
      <c r="K68" s="1520">
        <v>0.1111882949727438</v>
      </c>
      <c r="L68" s="1520">
        <v>0.10422536185654681</v>
      </c>
      <c r="M68" s="1520">
        <v>0.11894400338237031</v>
      </c>
      <c r="N68" s="1520">
        <v>0.12975023651302947</v>
      </c>
      <c r="O68" s="1520">
        <v>0.12250266499212399</v>
      </c>
      <c r="P68" s="1520">
        <v>0.13322841012505554</v>
      </c>
      <c r="Q68" s="1520">
        <v>0.13673694196629571</v>
      </c>
      <c r="R68" s="1520">
        <v>0.15204273796300657</v>
      </c>
      <c r="S68" s="1520">
        <v>0.13883861136971748</v>
      </c>
      <c r="T68" s="1520">
        <v>0.21696572373726664</v>
      </c>
      <c r="U68" s="1520">
        <v>0.17988467666763147</v>
      </c>
      <c r="V68" s="1520">
        <v>0.23063678284248201</v>
      </c>
      <c r="W68" s="1520">
        <v>0.20411924486975797</v>
      </c>
      <c r="X68" s="1520">
        <v>0.20936861579024857</v>
      </c>
      <c r="Y68" s="1594">
        <v>0.20855372242918341</v>
      </c>
      <c r="Z68" s="1594">
        <v>0.20867113000572421</v>
      </c>
      <c r="AA68" s="1594">
        <v>0.20866088474336333</v>
      </c>
      <c r="AB68" s="1594">
        <v>0.20866006160550335</v>
      </c>
      <c r="AC68" s="1594">
        <v>0.20866135075514752</v>
      </c>
      <c r="AD68" s="1594">
        <v>0.20866266960502786</v>
      </c>
      <c r="AE68" s="1594">
        <v>0.20866236603655405</v>
      </c>
      <c r="AF68" s="1594">
        <v>0.2086636583381194</v>
      </c>
      <c r="AG68" s="1594">
        <v>0.20866497596057548</v>
      </c>
      <c r="AH68" s="1594">
        <v>0.20866477718758139</v>
      </c>
      <c r="AI68" s="1130"/>
      <c r="AJ68" s="1130"/>
      <c r="AK68" s="1130"/>
      <c r="AL68" s="1130"/>
      <c r="AM68" s="1130"/>
      <c r="AN68" s="1130"/>
    </row>
    <row r="69" spans="1:40" s="1207" customFormat="1">
      <c r="A69" s="1235" t="s">
        <v>1554</v>
      </c>
      <c r="B69" s="1595">
        <v>330.56599999999992</v>
      </c>
      <c r="C69" s="1595">
        <v>383.90300000000002</v>
      </c>
      <c r="D69" s="1595">
        <v>415.20900000000006</v>
      </c>
      <c r="E69" s="1521">
        <v>545.45299999999997</v>
      </c>
      <c r="F69" s="1521">
        <v>700.55500000000029</v>
      </c>
      <c r="G69" s="1521">
        <v>1007.4390000000008</v>
      </c>
      <c r="H69" s="1521">
        <v>1288.6759999999999</v>
      </c>
      <c r="I69" s="1521">
        <v>1032.067</v>
      </c>
      <c r="J69" s="1595">
        <v>1000.2359999999994</v>
      </c>
      <c r="K69" s="1595">
        <v>998.63099999999986</v>
      </c>
      <c r="L69" s="1521">
        <v>1114.8470000000004</v>
      </c>
      <c r="M69" s="1521">
        <v>1608.0649999999994</v>
      </c>
      <c r="N69" s="1521">
        <v>2038.7220000000002</v>
      </c>
      <c r="O69" s="1521">
        <v>2793.0920000000001</v>
      </c>
      <c r="P69" s="1521">
        <v>4301.7290000000003</v>
      </c>
      <c r="Q69" s="1521">
        <v>5155.2379999999994</v>
      </c>
      <c r="R69" s="1521">
        <v>6466.2439999999997</v>
      </c>
      <c r="S69" s="1521">
        <v>6408.3169999999991</v>
      </c>
      <c r="T69" s="1521">
        <v>7668.168999999999</v>
      </c>
      <c r="U69" s="1521">
        <v>1436.7419999999979</v>
      </c>
      <c r="V69" s="1521">
        <v>6536.2869999999994</v>
      </c>
      <c r="W69" s="1521">
        <v>8824.5059999999976</v>
      </c>
      <c r="X69" s="1521">
        <v>10794.628999999997</v>
      </c>
      <c r="Y69" s="1521">
        <v>11518.521109294194</v>
      </c>
      <c r="Z69" s="1521">
        <v>12772.219792718926</v>
      </c>
      <c r="AA69" s="1521">
        <v>13940.600218066955</v>
      </c>
      <c r="AB69" s="1521">
        <v>15084.407031131532</v>
      </c>
      <c r="AC69" s="1521">
        <v>16015.74590748998</v>
      </c>
      <c r="AD69" s="1521">
        <v>16997.188167359251</v>
      </c>
      <c r="AE69" s="1521">
        <v>18013.608477226437</v>
      </c>
      <c r="AF69" s="1521">
        <v>19061.415856068255</v>
      </c>
      <c r="AG69" s="1521">
        <v>20165.328085270754</v>
      </c>
      <c r="AH69" s="1521">
        <v>21314.463714114852</v>
      </c>
      <c r="AI69" s="1244"/>
      <c r="AJ69" s="1244">
        <v>-0.19694156508327454</v>
      </c>
      <c r="AK69" s="1244">
        <f>IFERROR((X69/U69)^(1/3)-1,"NM")</f>
        <v>0.95858749661951514</v>
      </c>
      <c r="AL69" s="1244">
        <f>IFERROR((AA69/Y69)^(1/2)-1,"NM")</f>
        <v>0.10012586422244274</v>
      </c>
      <c r="AM69" s="1244">
        <f>IFERROR((AD69/AA69)^(1/3)-1,"NM")</f>
        <v>6.8313057159704371E-2</v>
      </c>
      <c r="AN69" s="1244">
        <f>IFERROR((AH69/X69)^(1/10)-1,"NM")</f>
        <v>7.0401401191584334E-2</v>
      </c>
    </row>
    <row r="70" spans="1:40" s="1209" customFormat="1">
      <c r="A70" s="1236" t="s">
        <v>1215</v>
      </c>
      <c r="B70" s="1519">
        <v>0.13358069451325313</v>
      </c>
      <c r="C70" s="1519">
        <v>0.14608648069420788</v>
      </c>
      <c r="D70" s="1519">
        <v>0.14459700552779028</v>
      </c>
      <c r="E70" s="1519">
        <v>0.14707811100379281</v>
      </c>
      <c r="F70" s="1519">
        <v>0.15016290485070632</v>
      </c>
      <c r="G70" s="1519">
        <v>0.16716972728859683</v>
      </c>
      <c r="H70" s="1519">
        <v>0.18448126758041017</v>
      </c>
      <c r="I70" s="1519">
        <v>0.13253984958987872</v>
      </c>
      <c r="J70" s="1519">
        <v>0.11648149120754761</v>
      </c>
      <c r="K70" s="1519">
        <v>0.1111882949727438</v>
      </c>
      <c r="L70" s="1519">
        <v>0.10422536185654681</v>
      </c>
      <c r="M70" s="1519">
        <v>0.11894400338237031</v>
      </c>
      <c r="N70" s="1519">
        <v>0.12975023651302947</v>
      </c>
      <c r="O70" s="1519">
        <v>0.12250266499212399</v>
      </c>
      <c r="P70" s="1519">
        <v>0.13322841012505554</v>
      </c>
      <c r="Q70" s="1519">
        <v>0.13673694196629571</v>
      </c>
      <c r="R70" s="1519">
        <v>0.15204273796300657</v>
      </c>
      <c r="S70" s="1519">
        <v>0.13883861136971748</v>
      </c>
      <c r="T70" s="1519">
        <v>0.13185829658689707</v>
      </c>
      <c r="U70" s="1519">
        <v>3.732241490864141E-2</v>
      </c>
      <c r="V70" s="1519">
        <v>0.12244945711243399</v>
      </c>
      <c r="W70" s="1519">
        <v>0.12820483354194717</v>
      </c>
      <c r="X70" s="1519">
        <v>0.14160410073333896</v>
      </c>
      <c r="Y70" s="1519">
        <v>0.14469733938479157</v>
      </c>
      <c r="Z70" s="1519">
        <v>0.14414857865421746</v>
      </c>
      <c r="AA70" s="1519">
        <v>0.1451446680114471</v>
      </c>
      <c r="AB70" s="1519">
        <v>0.14645393086732794</v>
      </c>
      <c r="AC70" s="1519">
        <v>0.1464093871457442</v>
      </c>
      <c r="AD70" s="1519">
        <v>0.1463724656849032</v>
      </c>
      <c r="AE70" s="1519">
        <v>0.14633513536466855</v>
      </c>
      <c r="AF70" s="1519">
        <v>0.14627454168877627</v>
      </c>
      <c r="AG70" s="1519">
        <v>0.14622012376142246</v>
      </c>
      <c r="AH70" s="1519">
        <v>0.14615328043886186</v>
      </c>
      <c r="AI70" s="1245"/>
      <c r="AJ70" s="1245"/>
      <c r="AK70" s="1245"/>
      <c r="AL70" s="1245"/>
      <c r="AM70" s="1245"/>
      <c r="AN70" s="1245"/>
    </row>
    <row r="71" spans="1:40">
      <c r="A71" s="904" t="s">
        <v>963</v>
      </c>
      <c r="B71" s="1522">
        <v>0</v>
      </c>
      <c r="C71" s="1522">
        <v>0</v>
      </c>
      <c r="D71" s="1522">
        <v>0</v>
      </c>
      <c r="E71" s="1522">
        <v>0</v>
      </c>
      <c r="F71" s="1522">
        <v>0</v>
      </c>
      <c r="G71" s="1522">
        <v>0</v>
      </c>
      <c r="H71" s="1522">
        <v>0</v>
      </c>
      <c r="I71" s="1522">
        <v>0</v>
      </c>
      <c r="J71" s="1522">
        <v>0</v>
      </c>
      <c r="K71" s="1522">
        <v>0</v>
      </c>
      <c r="L71" s="1522">
        <v>0</v>
      </c>
      <c r="M71" s="1522">
        <v>0</v>
      </c>
      <c r="N71" s="1522">
        <v>297.68399999999974</v>
      </c>
      <c r="O71" s="1522">
        <v>2194.9079999999999</v>
      </c>
      <c r="P71" s="1522">
        <v>2476.2709999999997</v>
      </c>
      <c r="Q71" s="1522">
        <v>2786.7620000000006</v>
      </c>
      <c r="R71" s="1522">
        <v>2429.7560000000003</v>
      </c>
      <c r="S71" s="1522">
        <v>2816.6830000000009</v>
      </c>
      <c r="T71" s="1522">
        <v>3545.8310000000006</v>
      </c>
      <c r="U71" s="1522">
        <v>2914.2580000000021</v>
      </c>
      <c r="V71" s="1522">
        <v>4094.7130000000006</v>
      </c>
      <c r="W71" s="1522">
        <v>3934.4940000000024</v>
      </c>
      <c r="X71" s="1522">
        <v>3962.3710000000033</v>
      </c>
      <c r="Y71" s="1596">
        <v>4126.1523678456106</v>
      </c>
      <c r="Z71" s="1596">
        <v>4506.0261589392303</v>
      </c>
      <c r="AA71" s="1596">
        <v>4789.2842434741469</v>
      </c>
      <c r="AB71" s="1596">
        <v>5033.0335468330859</v>
      </c>
      <c r="AC71" s="1596">
        <v>5345.3570500510205</v>
      </c>
      <c r="AD71" s="1596">
        <v>5674.292613972556</v>
      </c>
      <c r="AE71" s="1596">
        <v>6015.240936308759</v>
      </c>
      <c r="AF71" s="1596">
        <v>6367.6952054437488</v>
      </c>
      <c r="AG71" s="1596">
        <v>6738.8942563868022</v>
      </c>
      <c r="AH71" s="1596">
        <v>7126.22848060666</v>
      </c>
      <c r="AI71" s="1130"/>
      <c r="AJ71" s="1130"/>
      <c r="AK71" s="1130"/>
      <c r="AL71" s="1130"/>
      <c r="AM71" s="1130"/>
      <c r="AN71" s="1130"/>
    </row>
    <row r="72" spans="1:40">
      <c r="A72" s="89" t="s">
        <v>1553</v>
      </c>
      <c r="B72" s="985">
        <v>330.56599999999992</v>
      </c>
      <c r="C72" s="985">
        <v>383.90300000000002</v>
      </c>
      <c r="D72" s="985">
        <v>415.20900000000006</v>
      </c>
      <c r="E72" s="985">
        <v>545.45299999999997</v>
      </c>
      <c r="F72" s="985">
        <v>700.55500000000029</v>
      </c>
      <c r="G72" s="985">
        <v>1007.4390000000008</v>
      </c>
      <c r="H72" s="985">
        <v>1288.6759999999999</v>
      </c>
      <c r="I72" s="985">
        <v>1032.067</v>
      </c>
      <c r="J72" s="985">
        <v>1000.2359999999994</v>
      </c>
      <c r="K72" s="985">
        <v>998.63099999999986</v>
      </c>
      <c r="L72" s="985">
        <v>1114.8470000000004</v>
      </c>
      <c r="M72" s="985">
        <v>1608.0649999999994</v>
      </c>
      <c r="N72" s="985">
        <v>2336.4059999999999</v>
      </c>
      <c r="O72" s="985">
        <v>4988</v>
      </c>
      <c r="P72" s="985">
        <v>6778</v>
      </c>
      <c r="Q72" s="985">
        <v>7942</v>
      </c>
      <c r="R72" s="985">
        <v>8896</v>
      </c>
      <c r="S72" s="985">
        <v>9225</v>
      </c>
      <c r="T72" s="985">
        <v>11214</v>
      </c>
      <c r="U72" s="985">
        <v>4351</v>
      </c>
      <c r="V72" s="985">
        <v>10631</v>
      </c>
      <c r="W72" s="985">
        <v>12759</v>
      </c>
      <c r="X72" s="985">
        <v>14757</v>
      </c>
      <c r="Y72" s="1566">
        <v>15644.673477139804</v>
      </c>
      <c r="Z72" s="1566">
        <v>17278.245951658158</v>
      </c>
      <c r="AA72" s="1566">
        <v>18729.8844615411</v>
      </c>
      <c r="AB72" s="1566">
        <v>20117.440577964619</v>
      </c>
      <c r="AC72" s="1566">
        <v>21361.102957540999</v>
      </c>
      <c r="AD72" s="1566">
        <v>22671.480781331808</v>
      </c>
      <c r="AE72" s="1566">
        <v>24028.849413535194</v>
      </c>
      <c r="AF72" s="1566">
        <v>25429.111061512005</v>
      </c>
      <c r="AG72" s="1566">
        <v>26904.222341657558</v>
      </c>
      <c r="AH72" s="1566">
        <v>28440.692194721512</v>
      </c>
      <c r="AI72" s="1127"/>
      <c r="AJ72" s="1128">
        <v>-8.4839000904462059E-2</v>
      </c>
      <c r="AK72" s="1128">
        <f t="shared" ref="AK72:AK75" si="4">IFERROR((X72/U72)^(1/3)-1,"NM")</f>
        <v>0.50246027465609888</v>
      </c>
      <c r="AL72" s="1127">
        <f t="shared" ref="AL72:AL75" si="5">IFERROR((AA72/Y72)^(1/2)-1,"NM")</f>
        <v>9.4168726217424004E-2</v>
      </c>
      <c r="AM72" s="1128">
        <f t="shared" ref="AM72:AM75" si="6">IFERROR((AD72/AA72)^(1/3)-1,"NM")</f>
        <v>6.5732629685929078E-2</v>
      </c>
      <c r="AN72" s="1128">
        <f t="shared" ref="AN72:AN75" si="7">IFERROR((AH72/X72)^(1/10)-1,"NM")</f>
        <v>6.7810552702212368E-2</v>
      </c>
    </row>
    <row r="73" spans="1:40">
      <c r="A73" s="1466" t="s">
        <v>731</v>
      </c>
      <c r="B73" s="1597"/>
      <c r="C73" s="1597"/>
      <c r="D73" s="1597"/>
      <c r="E73" s="1597"/>
      <c r="F73" s="1597"/>
      <c r="G73" s="1523"/>
      <c r="H73" s="1523"/>
      <c r="I73" s="1523"/>
      <c r="J73" s="1597"/>
      <c r="K73" s="1597"/>
      <c r="L73" s="1597"/>
      <c r="M73" s="1597"/>
      <c r="N73" s="1523"/>
      <c r="O73" s="1523">
        <v>4019</v>
      </c>
      <c r="P73" s="1523">
        <v>4675</v>
      </c>
      <c r="Q73" s="1523">
        <v>5215</v>
      </c>
      <c r="R73" s="1523">
        <v>5608</v>
      </c>
      <c r="S73" s="1523">
        <v>5901</v>
      </c>
      <c r="T73" s="1523">
        <v>6200</v>
      </c>
      <c r="U73" s="1523">
        <v>2867</v>
      </c>
      <c r="V73" s="1523">
        <v>5951</v>
      </c>
      <c r="W73" s="1523">
        <v>7567</v>
      </c>
      <c r="X73" s="1523">
        <v>9005</v>
      </c>
      <c r="Y73" s="1598">
        <v>10301.314301112398</v>
      </c>
      <c r="Z73" s="1598">
        <v>11048.977753002166</v>
      </c>
      <c r="AA73" s="1598">
        <v>11881.386195030213</v>
      </c>
      <c r="AB73" s="1598">
        <v>12712.769677410242</v>
      </c>
      <c r="AC73" s="1598">
        <v>13412.992439925425</v>
      </c>
      <c r="AD73" s="1598">
        <v>14145.615937331679</v>
      </c>
      <c r="AE73" s="1598">
        <v>14896.687975484305</v>
      </c>
      <c r="AF73" s="1598">
        <v>15654.814054611699</v>
      </c>
      <c r="AG73" s="1598">
        <v>16446.981353514737</v>
      </c>
      <c r="AH73" s="1598">
        <v>17259.435591886908</v>
      </c>
      <c r="AI73" s="1128"/>
      <c r="AJ73" s="1128">
        <v>-9.316303338050802E-2</v>
      </c>
      <c r="AK73" s="1128">
        <f t="shared" si="4"/>
        <v>0.46448639479460474</v>
      </c>
      <c r="AL73" s="1128">
        <f t="shared" si="5"/>
        <v>7.3957851102449901E-2</v>
      </c>
      <c r="AM73" s="1128">
        <f t="shared" si="6"/>
        <v>5.986752020422581E-2</v>
      </c>
      <c r="AN73" s="1128">
        <f t="shared" si="7"/>
        <v>6.7220815335631734E-2</v>
      </c>
    </row>
    <row r="74" spans="1:40">
      <c r="A74" s="42" t="s">
        <v>949</v>
      </c>
      <c r="B74" s="985"/>
      <c r="C74" s="985"/>
      <c r="D74" s="985"/>
      <c r="E74" s="985"/>
      <c r="F74" s="985"/>
      <c r="G74" s="438"/>
      <c r="H74" s="438"/>
      <c r="I74" s="438"/>
      <c r="J74" s="985"/>
      <c r="K74" s="985"/>
      <c r="L74" s="985"/>
      <c r="M74" s="985"/>
      <c r="N74" s="438"/>
      <c r="O74" s="438">
        <v>290</v>
      </c>
      <c r="P74" s="438">
        <v>1082</v>
      </c>
      <c r="Q74" s="438">
        <v>1500</v>
      </c>
      <c r="R74" s="438">
        <v>1726</v>
      </c>
      <c r="S74" s="438">
        <v>1916</v>
      </c>
      <c r="T74" s="438">
        <v>3751</v>
      </c>
      <c r="U74" s="438">
        <v>1187</v>
      </c>
      <c r="V74" s="438">
        <v>3422</v>
      </c>
      <c r="W74" s="438">
        <v>3224</v>
      </c>
      <c r="X74" s="438">
        <v>3541</v>
      </c>
      <c r="Y74" s="447">
        <v>3567.0405859735301</v>
      </c>
      <c r="Z74" s="447">
        <v>4200.7390429892321</v>
      </c>
      <c r="AA74" s="447">
        <v>4641.3262556342415</v>
      </c>
      <c r="AB74" s="447">
        <v>5081.9158731992793</v>
      </c>
      <c r="AC74" s="447">
        <v>5523.2303445382631</v>
      </c>
      <c r="AD74" s="447">
        <v>5996.4861288417769</v>
      </c>
      <c r="AE74" s="447">
        <v>6494.9419313469234</v>
      </c>
      <c r="AF74" s="447">
        <v>7027.4555041294861</v>
      </c>
      <c r="AG74" s="447">
        <v>7596.8110423511052</v>
      </c>
      <c r="AH74" s="447">
        <v>8202.6251793583724</v>
      </c>
      <c r="AI74" s="1128"/>
      <c r="AJ74" s="1128">
        <v>1.8696212915184418E-2</v>
      </c>
      <c r="AK74" s="1128">
        <f t="shared" si="4"/>
        <v>0.43954441611797734</v>
      </c>
      <c r="AL74" s="1128">
        <f t="shared" si="5"/>
        <v>0.1406883955781606</v>
      </c>
      <c r="AM74" s="1128">
        <f t="shared" si="6"/>
        <v>8.9143018421760312E-2</v>
      </c>
      <c r="AN74" s="1128">
        <f t="shared" si="7"/>
        <v>8.7633796168933742E-2</v>
      </c>
    </row>
    <row r="75" spans="1:40">
      <c r="A75" s="1467" t="s">
        <v>733</v>
      </c>
      <c r="B75" s="1599"/>
      <c r="C75" s="1599"/>
      <c r="D75" s="1599"/>
      <c r="E75" s="1599"/>
      <c r="F75" s="1599"/>
      <c r="G75" s="1524"/>
      <c r="H75" s="1524"/>
      <c r="I75" s="1524"/>
      <c r="J75" s="1599"/>
      <c r="K75" s="1599"/>
      <c r="L75" s="1599"/>
      <c r="M75" s="1599"/>
      <c r="N75" s="1524"/>
      <c r="O75" s="1524">
        <v>679</v>
      </c>
      <c r="P75" s="1524">
        <v>1021</v>
      </c>
      <c r="Q75" s="1524">
        <v>1227</v>
      </c>
      <c r="R75" s="1524">
        <v>1562</v>
      </c>
      <c r="S75" s="1524">
        <v>1408</v>
      </c>
      <c r="T75" s="1524">
        <v>1263</v>
      </c>
      <c r="U75" s="1524">
        <v>297</v>
      </c>
      <c r="V75" s="1524">
        <v>1258</v>
      </c>
      <c r="W75" s="1524">
        <v>1968</v>
      </c>
      <c r="X75" s="1524">
        <v>2211</v>
      </c>
      <c r="Y75" s="1600">
        <v>1776.3185900538731</v>
      </c>
      <c r="Z75" s="1600">
        <v>2028.5291556667562</v>
      </c>
      <c r="AA75" s="1600">
        <v>2207.1720108766503</v>
      </c>
      <c r="AB75" s="1600">
        <v>2322.755027355101</v>
      </c>
      <c r="AC75" s="1600">
        <v>2424.8801730773166</v>
      </c>
      <c r="AD75" s="1600">
        <v>2529.3787151583501</v>
      </c>
      <c r="AE75" s="1600">
        <v>2637.2195067039661</v>
      </c>
      <c r="AF75" s="1600">
        <v>2746.8415027708261</v>
      </c>
      <c r="AG75" s="1600">
        <v>2860.4299457917095</v>
      </c>
      <c r="AH75" s="1600">
        <v>2978.6314234762222</v>
      </c>
      <c r="AI75" s="1128"/>
      <c r="AJ75" s="1128">
        <v>-0.21882894752709825</v>
      </c>
      <c r="AK75" s="1128">
        <f t="shared" si="4"/>
        <v>0.95258866755021732</v>
      </c>
      <c r="AL75" s="1128">
        <f t="shared" si="5"/>
        <v>0.11469912351840872</v>
      </c>
      <c r="AM75" s="1128">
        <f t="shared" si="6"/>
        <v>4.6467856802227425E-2</v>
      </c>
      <c r="AN75" s="1128">
        <f t="shared" si="7"/>
        <v>3.0250425175784912E-2</v>
      </c>
    </row>
    <row r="76" spans="1:40" hidden="1" outlineLevel="2"/>
    <row r="77" spans="1:40" hidden="1" outlineLevel="2"/>
    <row r="78" spans="1:40" hidden="1" outlineLevel="2"/>
    <row r="79" spans="1:40" hidden="1" outlineLevel="2"/>
    <row r="80" spans="1:40" collapsed="1">
      <c r="A80" s="90" t="s">
        <v>319</v>
      </c>
      <c r="B80" s="1584">
        <v>0.13358069451325313</v>
      </c>
      <c r="C80" s="1584">
        <v>0.14608648069420788</v>
      </c>
      <c r="D80" s="1584">
        <v>0.14459700552779028</v>
      </c>
      <c r="E80" s="1584">
        <v>0.14707811100379281</v>
      </c>
      <c r="F80" s="1584">
        <v>0.15016290485070632</v>
      </c>
      <c r="G80" s="1584">
        <v>0.16716972728859683</v>
      </c>
      <c r="H80" s="1584">
        <v>0.18448126758041017</v>
      </c>
      <c r="I80" s="1584">
        <v>0.13253984958987872</v>
      </c>
      <c r="J80" s="1584">
        <v>0.11648149120754761</v>
      </c>
      <c r="K80" s="1584">
        <v>0.1111882949727438</v>
      </c>
      <c r="L80" s="1514">
        <v>0.10422536185654681</v>
      </c>
      <c r="M80" s="1514">
        <v>0.11894400338237031</v>
      </c>
      <c r="N80" s="1514">
        <v>0.14869571775379922</v>
      </c>
      <c r="O80" s="1514">
        <v>0.21876948306060612</v>
      </c>
      <c r="P80" s="1514">
        <v>0.20992074671082869</v>
      </c>
      <c r="Q80" s="1514">
        <v>0.21065269791546398</v>
      </c>
      <c r="R80" s="1514">
        <v>0.20917432081420165</v>
      </c>
      <c r="S80" s="1584">
        <v>0.19986311380751667</v>
      </c>
      <c r="T80" s="1584">
        <v>0.19283077067360721</v>
      </c>
      <c r="U80" s="1584">
        <v>0.11302643569095844</v>
      </c>
      <c r="V80" s="1584">
        <v>0.19915896877880146</v>
      </c>
      <c r="W80" s="1584">
        <v>0.18536623706320834</v>
      </c>
      <c r="X80" s="1584">
        <v>0.19358254132882971</v>
      </c>
      <c r="Y80" s="1585">
        <v>0.19653066623799051</v>
      </c>
      <c r="Z80" s="1585">
        <v>0.19500405066544105</v>
      </c>
      <c r="AA80" s="1585">
        <v>0.19500902540336285</v>
      </c>
      <c r="AB80" s="1585">
        <v>0.1953194610535379</v>
      </c>
      <c r="AC80" s="1585">
        <v>0.1952744512079278</v>
      </c>
      <c r="AD80" s="1585">
        <v>0.19523703038506776</v>
      </c>
      <c r="AE80" s="1585">
        <v>0.19520047502044466</v>
      </c>
      <c r="AF80" s="1585">
        <v>0.19513931148464528</v>
      </c>
      <c r="AG80" s="1585">
        <v>0.19508429041506345</v>
      </c>
      <c r="AH80" s="1585">
        <v>0.19501783005020365</v>
      </c>
      <c r="AI80" s="1133"/>
      <c r="AJ80" s="1133"/>
      <c r="AK80" s="1133"/>
      <c r="AL80" s="1128"/>
      <c r="AM80" s="1133"/>
      <c r="AN80" s="1133"/>
    </row>
    <row r="81" spans="1:40">
      <c r="A81" s="1466" t="s">
        <v>731</v>
      </c>
      <c r="B81" s="1603"/>
      <c r="C81" s="1603"/>
      <c r="D81" s="1603"/>
      <c r="E81" s="1525"/>
      <c r="F81" s="1525"/>
      <c r="G81" s="1525"/>
      <c r="H81" s="1525"/>
      <c r="I81" s="1525"/>
      <c r="J81" s="1603"/>
      <c r="K81" s="1603"/>
      <c r="L81" s="1525"/>
      <c r="M81" s="1525"/>
      <c r="N81" s="1525"/>
      <c r="O81" s="1525">
        <v>0.19445519643893941</v>
      </c>
      <c r="P81" s="1525">
        <v>0.2349718536389224</v>
      </c>
      <c r="Q81" s="1525">
        <v>0.23719639770763212</v>
      </c>
      <c r="R81" s="1525">
        <v>0.23685433120750096</v>
      </c>
      <c r="S81" s="1603">
        <v>0.2317571282695782</v>
      </c>
      <c r="T81" s="1603">
        <v>0.22779880221920124</v>
      </c>
      <c r="U81" s="1603">
        <v>0.1503645041170609</v>
      </c>
      <c r="V81" s="1603">
        <v>0.22875264270613108</v>
      </c>
      <c r="W81" s="1603">
        <v>0.2260965698577746</v>
      </c>
      <c r="X81" s="1603">
        <v>0.22879719497941969</v>
      </c>
      <c r="Y81" s="1604">
        <v>0.23784280180607983</v>
      </c>
      <c r="Z81" s="1604">
        <v>0.23784343211492265</v>
      </c>
      <c r="AA81" s="1604">
        <v>0.23785037355315886</v>
      </c>
      <c r="AB81" s="1604">
        <v>0.23785355394819771</v>
      </c>
      <c r="AC81" s="1604">
        <v>0.23785286430443711</v>
      </c>
      <c r="AD81" s="1604">
        <v>0.23785219347587619</v>
      </c>
      <c r="AE81" s="1604">
        <v>0.23785510389458306</v>
      </c>
      <c r="AF81" s="1604">
        <v>0.23785446924830078</v>
      </c>
      <c r="AG81" s="1604">
        <v>0.23785384951917579</v>
      </c>
      <c r="AH81" s="1604">
        <v>0.23785583859720294</v>
      </c>
      <c r="AI81" s="1133"/>
      <c r="AJ81" s="1133"/>
      <c r="AK81" s="1133"/>
      <c r="AL81" s="1128"/>
      <c r="AM81" s="1133"/>
      <c r="AN81" s="1133"/>
    </row>
    <row r="82" spans="1:40">
      <c r="A82" s="42" t="s">
        <v>949</v>
      </c>
      <c r="B82" s="1584"/>
      <c r="C82" s="1584"/>
      <c r="D82" s="1584"/>
      <c r="E82" s="1514"/>
      <c r="F82" s="1514"/>
      <c r="G82" s="1514"/>
      <c r="H82" s="1514"/>
      <c r="I82" s="1514"/>
      <c r="J82" s="1584"/>
      <c r="K82" s="1584"/>
      <c r="L82" s="1514"/>
      <c r="M82" s="1514"/>
      <c r="N82" s="1514"/>
      <c r="O82" s="1514">
        <v>0.19754768392370572</v>
      </c>
      <c r="P82" s="1514">
        <v>0.1907280098713203</v>
      </c>
      <c r="Q82" s="1514">
        <v>0.19760242392306679</v>
      </c>
      <c r="R82" s="1514">
        <v>0.2014002333722287</v>
      </c>
      <c r="S82" s="1584">
        <v>0.19378982502275716</v>
      </c>
      <c r="T82" s="1584">
        <v>0.17687555995661811</v>
      </c>
      <c r="U82" s="1584">
        <v>8.5642135642135644E-2</v>
      </c>
      <c r="V82" s="1584">
        <v>0.18583686325621809</v>
      </c>
      <c r="W82" s="1584">
        <v>0.14670549690571533</v>
      </c>
      <c r="X82" s="1584">
        <v>0.15418444657319516</v>
      </c>
      <c r="Y82" s="1585">
        <v>0.1480687785451015</v>
      </c>
      <c r="Z82" s="1585">
        <v>0.14876716722168598</v>
      </c>
      <c r="AA82" s="1585">
        <v>0.14967855248834114</v>
      </c>
      <c r="AB82" s="1585">
        <v>0.15066635314157684</v>
      </c>
      <c r="AC82" s="1585">
        <v>0.1511616488236161</v>
      </c>
      <c r="AD82" s="1585">
        <v>0.15165718678828413</v>
      </c>
      <c r="AE82" s="1585">
        <v>0.15214667807391741</v>
      </c>
      <c r="AF82" s="1585">
        <v>0.15264272042908808</v>
      </c>
      <c r="AG82" s="1585">
        <v>0.15313896208250127</v>
      </c>
      <c r="AH82" s="1585">
        <v>0.15362911989051181</v>
      </c>
      <c r="AI82" s="1133"/>
      <c r="AJ82" s="1133"/>
      <c r="AK82" s="1133"/>
      <c r="AL82" s="1128"/>
      <c r="AM82" s="1133"/>
      <c r="AN82" s="1133"/>
    </row>
    <row r="83" spans="1:40" ht="9" customHeight="1">
      <c r="A83" s="1467" t="s">
        <v>733</v>
      </c>
      <c r="B83" s="1605"/>
      <c r="C83" s="1605"/>
      <c r="D83" s="1605"/>
      <c r="E83" s="1526"/>
      <c r="F83" s="1526"/>
      <c r="G83" s="1526"/>
      <c r="H83" s="1526"/>
      <c r="I83" s="1526"/>
      <c r="J83" s="1605"/>
      <c r="K83" s="1605"/>
      <c r="L83" s="1526"/>
      <c r="M83" s="1526"/>
      <c r="N83" s="1526"/>
      <c r="O83" s="1526">
        <v>0.14693789223111881</v>
      </c>
      <c r="P83" s="1526">
        <v>0.15197975587972612</v>
      </c>
      <c r="Q83" s="1526">
        <v>0.15103397341211225</v>
      </c>
      <c r="R83" s="1526">
        <v>0.15190119614898376</v>
      </c>
      <c r="S83" s="1605">
        <v>0.13810721317888083</v>
      </c>
      <c r="T83" s="1605">
        <v>0.12977254458889073</v>
      </c>
      <c r="U83" s="1605">
        <v>5.3159442889038518E-2</v>
      </c>
      <c r="V83" s="1605">
        <v>0.14036921566971236</v>
      </c>
      <c r="W83" s="1605">
        <v>0.14700047326981638</v>
      </c>
      <c r="X83" s="1605">
        <v>0.15899871226144707</v>
      </c>
      <c r="Y83" s="1606">
        <v>0.14558648137980121</v>
      </c>
      <c r="Z83" s="1606">
        <v>0.14580404043864195</v>
      </c>
      <c r="AA83" s="1606">
        <v>0.14632127838762551</v>
      </c>
      <c r="AB83" s="1606">
        <v>0.14682267457041054</v>
      </c>
      <c r="AC83" s="1606">
        <v>0.14732302095188748</v>
      </c>
      <c r="AD83" s="1606">
        <v>0.14782340179761524</v>
      </c>
      <c r="AE83" s="1606">
        <v>0.14832195281673682</v>
      </c>
      <c r="AF83" s="1606">
        <v>0.14882193098316956</v>
      </c>
      <c r="AG83" s="1606">
        <v>0.14932270374574971</v>
      </c>
      <c r="AH83" s="1606">
        <v>0.14982004998564963</v>
      </c>
      <c r="AI83" s="92"/>
      <c r="AJ83" s="1133"/>
      <c r="AK83" s="1133"/>
      <c r="AL83" s="1128"/>
      <c r="AM83" s="92"/>
      <c r="AN83" s="92"/>
    </row>
    <row r="84" spans="1:40" hidden="1" outlineLevel="2"/>
    <row r="85" spans="1:40" hidden="1" outlineLevel="2"/>
    <row r="86" spans="1:40" hidden="1" outlineLevel="2"/>
    <row r="87" spans="1:40" hidden="1" outlineLevel="2"/>
    <row r="88" spans="1:40" collapsed="1">
      <c r="A88" s="98" t="s">
        <v>79</v>
      </c>
      <c r="B88" s="955">
        <v>-111.178</v>
      </c>
      <c r="C88" s="955">
        <v>-113.99299999999999</v>
      </c>
      <c r="D88" s="955">
        <v>-161.46</v>
      </c>
      <c r="E88" s="438">
        <v>-183.01</v>
      </c>
      <c r="F88" s="438">
        <v>-210.93</v>
      </c>
      <c r="G88" s="438">
        <v>-571.35799999999995</v>
      </c>
      <c r="H88" s="438">
        <v>-572.98</v>
      </c>
      <c r="I88" s="438">
        <v>-572.98</v>
      </c>
      <c r="J88" s="955">
        <v>-665.16699999999992</v>
      </c>
      <c r="K88" s="955">
        <v>-670.52599999999995</v>
      </c>
      <c r="L88" s="438">
        <v>-661.779</v>
      </c>
      <c r="M88" s="438">
        <v>-805.80099999999993</v>
      </c>
      <c r="N88" s="438">
        <v>-922.07399999999984</v>
      </c>
      <c r="O88" s="438">
        <v>-1336.0809999999999</v>
      </c>
      <c r="P88" s="438">
        <v>-1947.8959999999997</v>
      </c>
      <c r="Q88" s="438">
        <v>-2388.2359999999999</v>
      </c>
      <c r="R88" s="438">
        <v>-2751.6759999999999</v>
      </c>
      <c r="S88" s="438">
        <v>-3114.7280000000001</v>
      </c>
      <c r="T88" s="438">
        <v>-8046.665</v>
      </c>
      <c r="U88" s="438">
        <v>-8378.5339999999997</v>
      </c>
      <c r="V88" s="438">
        <v>-8178.3280000000004</v>
      </c>
      <c r="W88" s="438">
        <v>-7708.2970000000005</v>
      </c>
      <c r="X88" s="438">
        <v>-8060.03</v>
      </c>
      <c r="Y88" s="447">
        <v>-8366.7272637469032</v>
      </c>
      <c r="Z88" s="447">
        <v>-9067.8465348633254</v>
      </c>
      <c r="AA88" s="447">
        <v>-9586.4395375157656</v>
      </c>
      <c r="AB88" s="447">
        <v>-10084.581294682423</v>
      </c>
      <c r="AC88" s="447">
        <v>-10713.78104803888</v>
      </c>
      <c r="AD88" s="447">
        <v>-11736.892578056722</v>
      </c>
      <c r="AE88" s="447">
        <v>-12849.364224239878</v>
      </c>
      <c r="AF88" s="447">
        <v>-14017.657604105991</v>
      </c>
      <c r="AG88" s="447">
        <v>-15284.023367671203</v>
      </c>
      <c r="AH88" s="447">
        <v>-16636.681157338506</v>
      </c>
      <c r="AI88" s="272"/>
      <c r="AJ88" s="1133">
        <v>0.33881464424294139</v>
      </c>
      <c r="AK88" s="1133"/>
      <c r="AL88" s="1128">
        <f t="shared" ref="AL88:AL93" si="8">IFERROR((AA88/Y88)^(1/2)-1,"NM")</f>
        <v>7.0411737431579358E-2</v>
      </c>
      <c r="AM88" s="272"/>
      <c r="AN88" s="272"/>
    </row>
    <row r="89" spans="1:40" s="1209" customFormat="1">
      <c r="A89" s="1237" t="s">
        <v>1216</v>
      </c>
      <c r="B89" s="1591">
        <v>-111.178</v>
      </c>
      <c r="C89" s="1591">
        <v>-113.99299999999999</v>
      </c>
      <c r="D89" s="1591">
        <v>-161.46</v>
      </c>
      <c r="E89" s="1518">
        <v>-183.01</v>
      </c>
      <c r="F89" s="1518">
        <v>-210.93</v>
      </c>
      <c r="G89" s="1518">
        <v>-571.35799999999995</v>
      </c>
      <c r="H89" s="1518">
        <v>-572.98</v>
      </c>
      <c r="I89" s="1518">
        <v>-572.98</v>
      </c>
      <c r="J89" s="1591">
        <v>-665.16699999999992</v>
      </c>
      <c r="K89" s="1591">
        <v>-670.52599999999995</v>
      </c>
      <c r="L89" s="1518">
        <v>-661.779</v>
      </c>
      <c r="M89" s="1518">
        <v>-805.80099999999993</v>
      </c>
      <c r="N89" s="1518">
        <v>-922.07399999999984</v>
      </c>
      <c r="O89" s="1518">
        <v>-1336.0809999999999</v>
      </c>
      <c r="P89" s="1518">
        <v>-1947.8959999999997</v>
      </c>
      <c r="Q89" s="1518">
        <v>-2388.2359999999999</v>
      </c>
      <c r="R89" s="1518">
        <v>-2751.6759999999999</v>
      </c>
      <c r="S89" s="1518">
        <v>-3114.7280000000001</v>
      </c>
      <c r="T89" s="1518">
        <v>-4257.2840000000006</v>
      </c>
      <c r="U89" s="1518">
        <v>-4353.3640000000005</v>
      </c>
      <c r="V89" s="1518">
        <v>-3740.0439999999994</v>
      </c>
      <c r="W89" s="1518">
        <v>-3350.9949999999999</v>
      </c>
      <c r="X89" s="1518">
        <v>-3913.605</v>
      </c>
      <c r="Y89" s="1518">
        <v>-4135.2185379407183</v>
      </c>
      <c r="Z89" s="1518">
        <v>-4588.4112481196971</v>
      </c>
      <c r="AA89" s="1518">
        <v>-4891.7208423013144</v>
      </c>
      <c r="AB89" s="1518">
        <v>-5159.1739193743024</v>
      </c>
      <c r="AC89" s="1518">
        <v>-5554.5908105438766</v>
      </c>
      <c r="AD89" s="1518">
        <v>-6310.5763161027789</v>
      </c>
      <c r="AE89" s="1518">
        <v>-7126.0896631079513</v>
      </c>
      <c r="AF89" s="1518">
        <v>-7980.7259914050901</v>
      </c>
      <c r="AG89" s="1518">
        <v>-8903.5584086580566</v>
      </c>
      <c r="AH89" s="1518">
        <v>-9885.7767587815397</v>
      </c>
      <c r="AI89" s="1243"/>
      <c r="AJ89" s="1243">
        <v>0.17449681435554676</v>
      </c>
      <c r="AK89" s="1243"/>
      <c r="AL89" s="1128">
        <f t="shared" si="8"/>
        <v>8.7631055049841589E-2</v>
      </c>
      <c r="AM89" s="1243"/>
      <c r="AN89" s="1243"/>
    </row>
    <row r="90" spans="1:40">
      <c r="A90" s="43" t="s">
        <v>336</v>
      </c>
      <c r="B90" s="985">
        <v>219.38799999999992</v>
      </c>
      <c r="C90" s="985">
        <v>269.91000000000003</v>
      </c>
      <c r="D90" s="985">
        <v>253.74900000000005</v>
      </c>
      <c r="E90" s="985">
        <v>362.44299999999998</v>
      </c>
      <c r="F90" s="985">
        <v>489.62500000000028</v>
      </c>
      <c r="G90" s="985">
        <v>436.08100000000081</v>
      </c>
      <c r="H90" s="985">
        <v>715.69599999999991</v>
      </c>
      <c r="I90" s="985">
        <v>459.08699999999999</v>
      </c>
      <c r="J90" s="985">
        <v>335.06900000000087</v>
      </c>
      <c r="K90" s="985">
        <v>328.10499999999854</v>
      </c>
      <c r="L90" s="985">
        <v>453.06800000000067</v>
      </c>
      <c r="M90" s="985">
        <v>802.26400000000058</v>
      </c>
      <c r="N90" s="985">
        <v>1116.6480000000017</v>
      </c>
      <c r="O90" s="985">
        <v>1457.0110000000025</v>
      </c>
      <c r="P90" s="985">
        <v>2353.8329999999996</v>
      </c>
      <c r="Q90" s="985">
        <v>2767.0019999999977</v>
      </c>
      <c r="R90" s="985">
        <v>3714.5679999999988</v>
      </c>
      <c r="S90" s="985">
        <v>3293.588999999999</v>
      </c>
      <c r="T90" s="985">
        <v>4570.8939999999939</v>
      </c>
      <c r="U90" s="985">
        <v>-1453.7979999999952</v>
      </c>
      <c r="V90" s="985">
        <v>4132.9409999999998</v>
      </c>
      <c r="W90" s="985">
        <v>6341.4970000000085</v>
      </c>
      <c r="X90" s="985">
        <v>7900.3589999999958</v>
      </c>
      <c r="Y90" s="1566">
        <v>8235.0324122497223</v>
      </c>
      <c r="Z90" s="1566">
        <v>9421.3648171360837</v>
      </c>
      <c r="AA90" s="1566">
        <v>10454.654739030189</v>
      </c>
      <c r="AB90" s="1566">
        <v>11406.909454375818</v>
      </c>
      <c r="AC90" s="1566">
        <v>12111.716958324614</v>
      </c>
      <c r="AD90" s="1566">
        <v>12493.611719214096</v>
      </c>
      <c r="AE90" s="1566">
        <v>12836.621279838306</v>
      </c>
      <c r="AF90" s="1566">
        <v>13173.846260551994</v>
      </c>
      <c r="AG90" s="1566">
        <v>13493.121610100256</v>
      </c>
      <c r="AH90" s="1566">
        <v>13794.232253729628</v>
      </c>
      <c r="AI90" s="87"/>
      <c r="AJ90" s="87">
        <v>-1.9081251094117162</v>
      </c>
      <c r="AK90" s="87"/>
      <c r="AL90" s="1128">
        <f t="shared" si="8"/>
        <v>0.12673605322886439</v>
      </c>
      <c r="AM90" s="1133"/>
      <c r="AN90" s="1133"/>
    </row>
    <row r="91" spans="1:40">
      <c r="A91" s="90" t="s">
        <v>53</v>
      </c>
      <c r="B91" s="1584">
        <v>8.8654009813088991E-2</v>
      </c>
      <c r="C91" s="1584">
        <v>0.10270876238053271</v>
      </c>
      <c r="D91" s="1584">
        <v>8.8368377264633619E-2</v>
      </c>
      <c r="E91" s="1584">
        <v>9.7730568511948182E-2</v>
      </c>
      <c r="F91" s="1584">
        <v>0.10495037832508097</v>
      </c>
      <c r="G91" s="1584">
        <v>7.2361246532781323E-2</v>
      </c>
      <c r="H91" s="1584">
        <v>0.1024559356131636</v>
      </c>
      <c r="I91" s="1584">
        <v>5.8956755645387993E-2</v>
      </c>
      <c r="J91" s="1584">
        <v>3.9020128027207474E-2</v>
      </c>
      <c r="K91" s="1584">
        <v>3.6531447073074985E-2</v>
      </c>
      <c r="L91" s="1514">
        <v>4.2356642880702018E-2</v>
      </c>
      <c r="M91" s="1514">
        <v>5.9341190766265067E-2</v>
      </c>
      <c r="N91" s="1514">
        <v>7.1066747747756454E-2</v>
      </c>
      <c r="O91" s="1514">
        <v>6.3903276520372351E-2</v>
      </c>
      <c r="P91" s="1514">
        <v>7.2900321775241958E-2</v>
      </c>
      <c r="Q91" s="1514">
        <v>7.3391643973493348E-2</v>
      </c>
      <c r="R91" s="1514">
        <v>8.7341753430549368E-2</v>
      </c>
      <c r="S91" s="1584">
        <v>7.1356851289125722E-2</v>
      </c>
      <c r="T91" s="1584">
        <v>7.859898454497645E-2</v>
      </c>
      <c r="U91" s="1584">
        <v>-3.7765480614719252E-2</v>
      </c>
      <c r="V91" s="1584">
        <v>7.7425667160533201E-2</v>
      </c>
      <c r="W91" s="1584">
        <v>9.2131000567256538E-2</v>
      </c>
      <c r="X91" s="1584">
        <v>0.1036370246411934</v>
      </c>
      <c r="Y91" s="1585">
        <v>0.1034496762643058</v>
      </c>
      <c r="Z91" s="1585">
        <v>0.10633048674492886</v>
      </c>
      <c r="AA91" s="1585">
        <v>0.10885021932586854</v>
      </c>
      <c r="AB91" s="1585">
        <v>0.1107492475636087</v>
      </c>
      <c r="AC91" s="1585">
        <v>0.11072035404368713</v>
      </c>
      <c r="AD91" s="1585">
        <v>0.10758960450664275</v>
      </c>
      <c r="AE91" s="1585">
        <v>0.10427942380256223</v>
      </c>
      <c r="AF91" s="1585">
        <v>0.10109418621320183</v>
      </c>
      <c r="AG91" s="1585">
        <v>9.7839514607148168E-2</v>
      </c>
      <c r="AH91" s="1585">
        <v>9.4587052344322298E-2</v>
      </c>
      <c r="AI91" s="1133"/>
      <c r="AJ91" s="1133"/>
      <c r="AK91" s="1133"/>
      <c r="AL91" s="1128">
        <f t="shared" si="8"/>
        <v>2.577021934283108E-2</v>
      </c>
      <c r="AM91" s="1133"/>
      <c r="AN91" s="1133"/>
    </row>
    <row r="92" spans="1:40">
      <c r="A92" s="97" t="s">
        <v>699</v>
      </c>
      <c r="B92" s="955">
        <v>-43.086999999999996</v>
      </c>
      <c r="C92" s="955">
        <v>-18.219000000000001</v>
      </c>
      <c r="D92" s="955">
        <v>-4.6790000000000003</v>
      </c>
      <c r="E92" s="438">
        <v>-2.0659999999999998</v>
      </c>
      <c r="F92" s="438">
        <v>-31.681000000000001</v>
      </c>
      <c r="G92" s="438">
        <v>-49.722000000000001</v>
      </c>
      <c r="H92" s="438">
        <v>-37.064999999999998</v>
      </c>
      <c r="I92" s="438">
        <v>-194.4</v>
      </c>
      <c r="J92" s="955">
        <v>-127.83699999999999</v>
      </c>
      <c r="K92" s="955">
        <v>-79.625</v>
      </c>
      <c r="L92" s="438">
        <v>-118.09400000000001</v>
      </c>
      <c r="M92" s="438">
        <v>-189.33699999999999</v>
      </c>
      <c r="N92" s="438">
        <v>-210.471</v>
      </c>
      <c r="O92" s="438">
        <v>-493.46300000000002</v>
      </c>
      <c r="P92" s="438">
        <v>-858.86599999999999</v>
      </c>
      <c r="Q92" s="438">
        <v>-1179.1570000000002</v>
      </c>
      <c r="R92" s="438">
        <v>-1626.5820000000001</v>
      </c>
      <c r="S92" s="438">
        <v>-1455.97</v>
      </c>
      <c r="T92" s="438">
        <v>-2849.7980000000002</v>
      </c>
      <c r="U92" s="438">
        <v>-3567.605</v>
      </c>
      <c r="V92" s="438">
        <v>-3135.3649999999998</v>
      </c>
      <c r="W92" s="438">
        <v>-3819.6909999999998</v>
      </c>
      <c r="X92" s="438">
        <v>-3455.893</v>
      </c>
      <c r="Y92" s="447">
        <v>-5739.678383482511</v>
      </c>
      <c r="Z92" s="447">
        <v>-5064.4658627825993</v>
      </c>
      <c r="AA92" s="447">
        <v>-4749.1682970589945</v>
      </c>
      <c r="AB92" s="447">
        <v>-4172.8582868366866</v>
      </c>
      <c r="AC92" s="447">
        <v>-4032.8574230150602</v>
      </c>
      <c r="AD92" s="447">
        <v>-3887.7021554111107</v>
      </c>
      <c r="AE92" s="447">
        <v>-3717.6560103961779</v>
      </c>
      <c r="AF92" s="447">
        <v>-3511.515896554934</v>
      </c>
      <c r="AG92" s="447">
        <v>-3288.3207627992369</v>
      </c>
      <c r="AH92" s="447">
        <v>-3044.2615207457939</v>
      </c>
      <c r="AI92" s="1133"/>
      <c r="AJ92" s="1133">
        <v>0.32950590520447176</v>
      </c>
      <c r="AK92" s="1133"/>
      <c r="AL92" s="1128">
        <f t="shared" si="8"/>
        <v>-9.036952677908594E-2</v>
      </c>
      <c r="AM92" s="1133"/>
      <c r="AN92" s="1133"/>
    </row>
    <row r="93" spans="1:40" s="1209" customFormat="1">
      <c r="A93" s="1242" t="s">
        <v>1225</v>
      </c>
      <c r="B93" s="1591">
        <v>-43.086999999999996</v>
      </c>
      <c r="C93" s="1591">
        <v>-18.219000000000001</v>
      </c>
      <c r="D93" s="1591">
        <v>-4.6790000000000003</v>
      </c>
      <c r="E93" s="1518">
        <v>-2.0659999999999998</v>
      </c>
      <c r="F93" s="1518">
        <v>-31.681000000000001</v>
      </c>
      <c r="G93" s="1518">
        <v>-49.722000000000001</v>
      </c>
      <c r="H93" s="1518">
        <v>-37.064999999999998</v>
      </c>
      <c r="I93" s="1518">
        <v>-194.4</v>
      </c>
      <c r="J93" s="1591">
        <v>-127.83699999999999</v>
      </c>
      <c r="K93" s="1591">
        <v>-79.625</v>
      </c>
      <c r="L93" s="1518">
        <v>-118.09400000000001</v>
      </c>
      <c r="M93" s="1518">
        <v>-189.33699999999999</v>
      </c>
      <c r="N93" s="1518">
        <v>-210.471</v>
      </c>
      <c r="O93" s="1518">
        <v>-493.46300000000002</v>
      </c>
      <c r="P93" s="1518">
        <v>-858.86599999999999</v>
      </c>
      <c r="Q93" s="1518">
        <v>-1179.1569999999999</v>
      </c>
      <c r="R93" s="1518">
        <v>-1626.5820000000001</v>
      </c>
      <c r="S93" s="1518">
        <v>-1455.97</v>
      </c>
      <c r="T93" s="1518">
        <v>-1852.0450000000003</v>
      </c>
      <c r="U93" s="1518">
        <v>-2626.9479999999994</v>
      </c>
      <c r="V93" s="1518">
        <v>-2145.9099999999994</v>
      </c>
      <c r="W93" s="1518">
        <v>-2879.3719999999998</v>
      </c>
      <c r="X93" s="1518">
        <v>-2577.3910000000001</v>
      </c>
      <c r="Y93" s="1518">
        <v>-4760.0969888418449</v>
      </c>
      <c r="Z93" s="1518">
        <v>-4072.5802231644857</v>
      </c>
      <c r="AA93" s="1518">
        <v>-3761.2166162217263</v>
      </c>
      <c r="AB93" s="1518">
        <v>-3161.291243937083</v>
      </c>
      <c r="AC93" s="1518">
        <v>-3001.620411950772</v>
      </c>
      <c r="AD93" s="1518">
        <v>-2837.6166701476104</v>
      </c>
      <c r="AE93" s="1518">
        <v>-2649.5603149104263</v>
      </c>
      <c r="AF93" s="1518">
        <v>-2428.5117537424426</v>
      </c>
      <c r="AG93" s="1518">
        <v>-2190.9905814165704</v>
      </c>
      <c r="AH93" s="1518">
        <v>-1933.5349048523281</v>
      </c>
      <c r="AI93" s="1243"/>
      <c r="AJ93" s="1243">
        <v>0.25056195728153696</v>
      </c>
      <c r="AK93" s="1243"/>
      <c r="AL93" s="1128">
        <f t="shared" si="8"/>
        <v>-0.11109311062711658</v>
      </c>
      <c r="AM93" s="1243"/>
      <c r="AN93" s="1243"/>
    </row>
    <row r="94" spans="1:40" ht="12.75" customHeight="1">
      <c r="A94" s="98" t="s">
        <v>590</v>
      </c>
      <c r="B94" s="967">
        <v>-80.444000000000003</v>
      </c>
      <c r="C94" s="967">
        <v>-5.5730000000000004</v>
      </c>
      <c r="D94" s="967">
        <v>-22.995999999999999</v>
      </c>
      <c r="E94" s="967">
        <v>-72.927999999999997</v>
      </c>
      <c r="F94" s="967">
        <v>-16.267000000000003</v>
      </c>
      <c r="G94" s="967">
        <v>-24.486000000000001</v>
      </c>
      <c r="H94" s="967">
        <v>1.847</v>
      </c>
      <c r="I94" s="967">
        <v>-37</v>
      </c>
      <c r="J94" s="967">
        <v>-23.288999999999998</v>
      </c>
      <c r="K94" s="967">
        <v>38.258999999999993</v>
      </c>
      <c r="L94" s="967">
        <v>8.8040000000000003</v>
      </c>
      <c r="M94" s="967">
        <v>12.978999999999999</v>
      </c>
      <c r="N94" s="967">
        <v>43.580999999999996</v>
      </c>
      <c r="O94" s="967">
        <v>32.253</v>
      </c>
      <c r="P94" s="967">
        <v>27.703000000000003</v>
      </c>
      <c r="Q94" s="967">
        <v>67.876999999999995</v>
      </c>
      <c r="R94" s="967">
        <v>-0.43800000000000061</v>
      </c>
      <c r="S94" s="967">
        <v>0</v>
      </c>
      <c r="T94" s="967">
        <v>-0.94300000000000006</v>
      </c>
      <c r="U94" s="967">
        <v>-2.617</v>
      </c>
      <c r="V94" s="967">
        <v>1.8399999999999999</v>
      </c>
      <c r="W94" s="967">
        <v>0</v>
      </c>
      <c r="X94" s="967">
        <v>3.4039999999999999</v>
      </c>
      <c r="Y94" s="1397">
        <v>0</v>
      </c>
      <c r="Z94" s="1397">
        <v>0</v>
      </c>
      <c r="AA94" s="1397">
        <v>0</v>
      </c>
      <c r="AB94" s="1397">
        <v>0</v>
      </c>
      <c r="AC94" s="1397">
        <v>0</v>
      </c>
      <c r="AD94" s="1397">
        <v>0</v>
      </c>
      <c r="AE94" s="1397">
        <v>0</v>
      </c>
      <c r="AF94" s="1397">
        <v>0</v>
      </c>
      <c r="AG94" s="1397">
        <v>0</v>
      </c>
      <c r="AH94" s="1397">
        <v>0</v>
      </c>
      <c r="AI94" s="1133"/>
      <c r="AJ94" s="1133"/>
      <c r="AK94" s="1133"/>
      <c r="AL94" s="1128"/>
      <c r="AM94" s="1133"/>
      <c r="AN94" s="1133"/>
    </row>
    <row r="95" spans="1:40" ht="12.75" customHeight="1">
      <c r="A95" s="1242" t="s">
        <v>1383</v>
      </c>
      <c r="B95" s="967"/>
      <c r="C95" s="967"/>
      <c r="D95" s="967"/>
      <c r="E95" s="967"/>
      <c r="F95" s="967"/>
      <c r="G95" s="967"/>
      <c r="H95" s="967"/>
      <c r="I95" s="967"/>
      <c r="J95" s="1591">
        <v>-24.145999999999994</v>
      </c>
      <c r="K95" s="1591">
        <v>47.025999999999996</v>
      </c>
      <c r="L95" s="1518">
        <v>12.91</v>
      </c>
      <c r="M95" s="1518">
        <v>8.7230000000000008</v>
      </c>
      <c r="N95" s="1518">
        <v>-8.1250000000000018</v>
      </c>
      <c r="O95" s="1518">
        <v>0.56099999999999994</v>
      </c>
      <c r="P95" s="1518">
        <v>30.071999999999989</v>
      </c>
      <c r="Q95" s="1518">
        <v>480.95899999999995</v>
      </c>
      <c r="R95" s="1518">
        <v>-174.16400000000007</v>
      </c>
      <c r="S95" s="1518">
        <v>-114.16999999999999</v>
      </c>
      <c r="T95" s="1518">
        <v>-230.21999999999997</v>
      </c>
      <c r="U95" s="1518">
        <v>445.22200000000009</v>
      </c>
      <c r="V95" s="1518">
        <v>-5.3020000000000209</v>
      </c>
      <c r="W95" s="1518">
        <v>-302.32600000000002</v>
      </c>
      <c r="X95" s="1518">
        <v>362.99699999999996</v>
      </c>
      <c r="Y95" s="1518">
        <v>-1298.8578166252321</v>
      </c>
      <c r="Z95" s="1518">
        <v>-859.19873382515493</v>
      </c>
      <c r="AA95" s="1518">
        <v>-786.8191181181644</v>
      </c>
      <c r="AB95" s="1518">
        <v>-359.69523414344627</v>
      </c>
      <c r="AC95" s="1518">
        <v>-372.15226457853095</v>
      </c>
      <c r="AD95" s="1518">
        <v>-375.49231073177918</v>
      </c>
      <c r="AE95" s="1518">
        <v>-378.86233361596589</v>
      </c>
      <c r="AF95" s="1518">
        <v>-382.26260227061437</v>
      </c>
      <c r="AG95" s="1518">
        <v>-388.98567450631299</v>
      </c>
      <c r="AH95" s="1518">
        <v>-399.52511344076925</v>
      </c>
      <c r="AI95" s="1133"/>
      <c r="AJ95" s="1133">
        <v>0.71428435117127131</v>
      </c>
      <c r="AK95" s="1133"/>
      <c r="AL95" s="1128">
        <f t="shared" ref="AL95:AL117" si="9">IFERROR((AA95/Y95)^(1/2)-1,"NM")</f>
        <v>-0.22168276818058197</v>
      </c>
      <c r="AM95" s="1133"/>
      <c r="AN95" s="1133"/>
    </row>
    <row r="96" spans="1:40">
      <c r="A96" s="93" t="s">
        <v>55</v>
      </c>
      <c r="B96" s="985">
        <v>95.856999999999928</v>
      </c>
      <c r="C96" s="985">
        <v>246.11800000000002</v>
      </c>
      <c r="D96" s="985">
        <v>226.07400000000004</v>
      </c>
      <c r="E96" s="985">
        <v>287.44900000000001</v>
      </c>
      <c r="F96" s="985">
        <v>441.67700000000031</v>
      </c>
      <c r="G96" s="985">
        <v>361.87300000000084</v>
      </c>
      <c r="H96" s="985">
        <v>680.47799999999984</v>
      </c>
      <c r="I96" s="985">
        <v>227.68700000000001</v>
      </c>
      <c r="J96" s="985">
        <v>183.94300000000089</v>
      </c>
      <c r="K96" s="985">
        <v>286.73899999999855</v>
      </c>
      <c r="L96" s="985">
        <v>343.77800000000065</v>
      </c>
      <c r="M96" s="985">
        <v>625.90600000000063</v>
      </c>
      <c r="N96" s="985">
        <v>949.75800000000174</v>
      </c>
      <c r="O96" s="985">
        <v>995.80100000000255</v>
      </c>
      <c r="P96" s="985">
        <v>1522.6699999999996</v>
      </c>
      <c r="Q96" s="985">
        <v>1655.7219999999977</v>
      </c>
      <c r="R96" s="985">
        <v>2087.5479999999989</v>
      </c>
      <c r="S96" s="985">
        <v>1837.618999999999</v>
      </c>
      <c r="T96" s="985">
        <v>2717.9059999999936</v>
      </c>
      <c r="U96" s="985">
        <v>-5024.019999999995</v>
      </c>
      <c r="V96" s="985">
        <v>999.41600000000005</v>
      </c>
      <c r="W96" s="985">
        <v>2521.8060000000087</v>
      </c>
      <c r="X96" s="985">
        <v>4447.8699999999963</v>
      </c>
      <c r="Y96" s="1566">
        <v>2495.3540287672113</v>
      </c>
      <c r="Z96" s="1566">
        <v>4356.8989543534844</v>
      </c>
      <c r="AA96" s="1566">
        <v>5705.4864419711948</v>
      </c>
      <c r="AB96" s="1566">
        <v>7234.0511675391317</v>
      </c>
      <c r="AC96" s="1566">
        <v>8078.8595353095534</v>
      </c>
      <c r="AD96" s="1566">
        <v>8605.9095638029848</v>
      </c>
      <c r="AE96" s="1566">
        <v>9118.9652694421275</v>
      </c>
      <c r="AF96" s="1566">
        <v>9662.33036399706</v>
      </c>
      <c r="AG96" s="1566">
        <v>10204.80084730102</v>
      </c>
      <c r="AH96" s="1566">
        <v>10749.970732983835</v>
      </c>
      <c r="AI96" s="1133"/>
      <c r="AJ96" s="1133">
        <v>-2.2696649000747335</v>
      </c>
      <c r="AK96" s="1133"/>
      <c r="AL96" s="1128">
        <f t="shared" si="9"/>
        <v>0.51209909642481133</v>
      </c>
      <c r="AM96" s="1133"/>
      <c r="AN96" s="1133"/>
    </row>
    <row r="97" spans="1:40">
      <c r="A97" s="271" t="s">
        <v>356</v>
      </c>
      <c r="B97" s="955">
        <v>-64.39</v>
      </c>
      <c r="C97" s="955">
        <v>-77.775999999999996</v>
      </c>
      <c r="D97" s="955">
        <v>-85.6</v>
      </c>
      <c r="E97" s="967">
        <v>-123.066</v>
      </c>
      <c r="F97" s="967">
        <v>-127.033</v>
      </c>
      <c r="G97" s="967">
        <v>-125.46899999999999</v>
      </c>
      <c r="H97" s="967">
        <v>-168.40899999999999</v>
      </c>
      <c r="I97" s="967">
        <v>-53.148000000000003</v>
      </c>
      <c r="J97" s="955">
        <v>-45.084999999999994</v>
      </c>
      <c r="K97" s="955">
        <v>-127.749</v>
      </c>
      <c r="L97" s="967">
        <v>-107.01700000000001</v>
      </c>
      <c r="M97" s="967">
        <v>-222.46199999999999</v>
      </c>
      <c r="N97" s="967">
        <v>-284.86799999999999</v>
      </c>
      <c r="O97" s="967">
        <v>-364.59300000000002</v>
      </c>
      <c r="P97" s="967">
        <v>-489.91800000000001</v>
      </c>
      <c r="Q97" s="967">
        <v>-529.23200000000008</v>
      </c>
      <c r="R97" s="967">
        <v>-835.42800000000011</v>
      </c>
      <c r="S97" s="967">
        <v>-698.29500000000007</v>
      </c>
      <c r="T97" s="967">
        <v>-635.41899999999998</v>
      </c>
      <c r="U97" s="967">
        <v>1178.0889999999999</v>
      </c>
      <c r="V97" s="967">
        <v>-214.94599999999997</v>
      </c>
      <c r="W97" s="967">
        <v>-937.01099999999997</v>
      </c>
      <c r="X97" s="967">
        <v>-1457.873</v>
      </c>
      <c r="Y97" s="1397">
        <v>-835.35653279405051</v>
      </c>
      <c r="Z97" s="1397">
        <v>-1481.3456444801789</v>
      </c>
      <c r="AA97" s="1397">
        <v>-1939.8653902702058</v>
      </c>
      <c r="AB97" s="1397">
        <v>-2459.5773969633042</v>
      </c>
      <c r="AC97" s="1397">
        <v>-2746.8122420052468</v>
      </c>
      <c r="AD97" s="1397">
        <v>-2926.0092516930144</v>
      </c>
      <c r="AE97" s="1397">
        <v>-3100.4481916103246</v>
      </c>
      <c r="AF97" s="1397">
        <v>-3285.1923237590072</v>
      </c>
      <c r="AG97" s="1397">
        <v>-3469.6322880823463</v>
      </c>
      <c r="AH97" s="1397">
        <v>-3654.9900492145048</v>
      </c>
      <c r="AI97" s="1133"/>
      <c r="AJ97" s="1133"/>
      <c r="AK97" s="1133"/>
      <c r="AL97" s="1128">
        <f t="shared" si="9"/>
        <v>0.52387681210513581</v>
      </c>
      <c r="AM97" s="1133"/>
      <c r="AN97" s="1133"/>
    </row>
    <row r="98" spans="1:40">
      <c r="A98" s="90" t="s">
        <v>56</v>
      </c>
      <c r="B98" s="471">
        <v>-0.67172976412781593</v>
      </c>
      <c r="C98" s="471">
        <v>-0.31601101910465706</v>
      </c>
      <c r="D98" s="471">
        <v>-0.37863708343285818</v>
      </c>
      <c r="E98" s="471">
        <v>-0.42813159899669156</v>
      </c>
      <c r="F98" s="471">
        <v>-0.28761515768310308</v>
      </c>
      <c r="G98" s="471">
        <v>-0.34672108723226019</v>
      </c>
      <c r="H98" s="471">
        <v>-0.24748632578863686</v>
      </c>
      <c r="I98" s="471">
        <v>-0.23342571161287207</v>
      </c>
      <c r="J98" s="471">
        <v>-0.24510310259156246</v>
      </c>
      <c r="K98" s="471">
        <v>-0.44552362950279045</v>
      </c>
      <c r="L98" s="471">
        <v>-0.31129682527677688</v>
      </c>
      <c r="M98" s="471">
        <v>-0.35542397740235715</v>
      </c>
      <c r="N98" s="471">
        <v>-0.29993745775239533</v>
      </c>
      <c r="O98" s="471">
        <v>-0.36613038147179916</v>
      </c>
      <c r="P98" s="471">
        <v>-0.3217492956451497</v>
      </c>
      <c r="Q98" s="471">
        <v>-0.31963820013263144</v>
      </c>
      <c r="R98" s="471">
        <v>-0.4001958278324621</v>
      </c>
      <c r="S98" s="471">
        <v>-0.37999988027986237</v>
      </c>
      <c r="T98" s="471">
        <v>-0.23378991032066654</v>
      </c>
      <c r="U98" s="471">
        <v>-0.23449130377665717</v>
      </c>
      <c r="V98" s="471">
        <v>-0.2150716018154602</v>
      </c>
      <c r="W98" s="471">
        <v>-0.371563474747858</v>
      </c>
      <c r="X98" s="471">
        <v>-0.3277687971995587</v>
      </c>
      <c r="Y98" s="588">
        <v>-0.33476473605099821</v>
      </c>
      <c r="Z98" s="588">
        <v>-0.33999999999999864</v>
      </c>
      <c r="AA98" s="588">
        <v>-0.33999999999999991</v>
      </c>
      <c r="AB98" s="588">
        <v>-0.33999999999999991</v>
      </c>
      <c r="AC98" s="588">
        <v>-0.33999999999999986</v>
      </c>
      <c r="AD98" s="588">
        <v>-0.33999999999999997</v>
      </c>
      <c r="AE98" s="588">
        <v>-0.34000000000000014</v>
      </c>
      <c r="AF98" s="588">
        <v>-0.34000000000000069</v>
      </c>
      <c r="AG98" s="588">
        <v>-0.33999999999999997</v>
      </c>
      <c r="AH98" s="588">
        <v>-0.34000000000000008</v>
      </c>
      <c r="AI98" s="1133"/>
      <c r="AJ98" s="1133"/>
      <c r="AK98" s="1133"/>
      <c r="AL98" s="1128">
        <f t="shared" si="9"/>
        <v>7.7889840078415595E-3</v>
      </c>
      <c r="AM98" s="1133"/>
      <c r="AN98" s="1133"/>
    </row>
    <row r="99" spans="1:40">
      <c r="A99" s="93" t="s">
        <v>57</v>
      </c>
      <c r="B99" s="985">
        <v>31.466999999999928</v>
      </c>
      <c r="C99" s="985">
        <v>168.34200000000004</v>
      </c>
      <c r="D99" s="985">
        <v>140.47400000000005</v>
      </c>
      <c r="E99" s="985">
        <v>164.38300000000001</v>
      </c>
      <c r="F99" s="985">
        <v>314.64400000000029</v>
      </c>
      <c r="G99" s="985">
        <v>236.40400000000085</v>
      </c>
      <c r="H99" s="985">
        <v>512.06899999999985</v>
      </c>
      <c r="I99" s="985">
        <v>174.53900000000002</v>
      </c>
      <c r="J99" s="985">
        <v>138.85800000000091</v>
      </c>
      <c r="K99" s="985">
        <v>158.98999999999856</v>
      </c>
      <c r="L99" s="985">
        <v>236.76100000000065</v>
      </c>
      <c r="M99" s="985">
        <v>403.44400000000064</v>
      </c>
      <c r="N99" s="985">
        <v>664.89000000000169</v>
      </c>
      <c r="O99" s="985">
        <v>631.20800000000258</v>
      </c>
      <c r="P99" s="985">
        <v>1032.7519999999995</v>
      </c>
      <c r="Q99" s="985">
        <v>1126.4899999999975</v>
      </c>
      <c r="R99" s="985">
        <v>1252.1199999999988</v>
      </c>
      <c r="S99" s="985">
        <v>1139.3239999999989</v>
      </c>
      <c r="T99" s="985">
        <v>2082.4869999999937</v>
      </c>
      <c r="U99" s="985">
        <v>-3845.930999999995</v>
      </c>
      <c r="V99" s="985">
        <v>784.47</v>
      </c>
      <c r="W99" s="985">
        <v>1584.7950000000087</v>
      </c>
      <c r="X99" s="985">
        <v>2989.9969999999962</v>
      </c>
      <c r="Y99" s="1566">
        <v>1659.9974959731608</v>
      </c>
      <c r="Z99" s="1566">
        <v>2875.5533098733058</v>
      </c>
      <c r="AA99" s="1566">
        <v>3765.621051700989</v>
      </c>
      <c r="AB99" s="1566">
        <v>4774.4737705758271</v>
      </c>
      <c r="AC99" s="1566">
        <v>5332.0472933043065</v>
      </c>
      <c r="AD99" s="1566">
        <v>5679.9003121099704</v>
      </c>
      <c r="AE99" s="1566">
        <v>6018.5170778318025</v>
      </c>
      <c r="AF99" s="1566">
        <v>6377.1380402380528</v>
      </c>
      <c r="AG99" s="1566">
        <v>6735.1685592186732</v>
      </c>
      <c r="AH99" s="1566">
        <v>7094.9806837693304</v>
      </c>
      <c r="AI99" s="1133"/>
      <c r="AJ99" s="1133">
        <v>-2.3007717269928643</v>
      </c>
      <c r="AK99" s="1133"/>
      <c r="AL99" s="1128">
        <f t="shared" si="9"/>
        <v>0.50613739032343319</v>
      </c>
      <c r="AM99" s="1133"/>
      <c r="AN99" s="1133"/>
    </row>
    <row r="100" spans="1:40">
      <c r="A100" s="719" t="s">
        <v>58</v>
      </c>
      <c r="B100" s="438">
        <v>1.2649999999999999</v>
      </c>
      <c r="C100" s="438">
        <v>9.9410000000000007</v>
      </c>
      <c r="D100" s="438">
        <v>4.984</v>
      </c>
      <c r="E100" s="967">
        <v>-19.515000000000001</v>
      </c>
      <c r="F100" s="967">
        <v>-3.702</v>
      </c>
      <c r="G100" s="967">
        <v>-6.452</v>
      </c>
      <c r="H100" s="967">
        <v>-10.706</v>
      </c>
      <c r="I100" s="967">
        <v>-10.752000000000001</v>
      </c>
      <c r="J100" s="438">
        <v>-3.2130000000000001</v>
      </c>
      <c r="K100" s="438">
        <v>-7.7640000000000011</v>
      </c>
      <c r="L100" s="967">
        <v>-21.265000000000001</v>
      </c>
      <c r="M100" s="967">
        <v>-36.879000000000005</v>
      </c>
      <c r="N100" s="967">
        <v>17.695</v>
      </c>
      <c r="O100" s="967">
        <v>42.572000000000003</v>
      </c>
      <c r="P100" s="967">
        <v>-51.545999999999999</v>
      </c>
      <c r="Q100" s="967">
        <v>-130.018</v>
      </c>
      <c r="R100" s="967">
        <v>-162.65100000000001</v>
      </c>
      <c r="S100" s="967">
        <v>-186.07100000000003</v>
      </c>
      <c r="T100" s="967">
        <v>-158.06399999999999</v>
      </c>
      <c r="U100" s="967">
        <v>659.88400000000001</v>
      </c>
      <c r="V100" s="967">
        <v>50.66</v>
      </c>
      <c r="W100" s="967">
        <v>47.54</v>
      </c>
      <c r="X100" s="967">
        <v>-59.268000000000001</v>
      </c>
      <c r="Y100" s="1397">
        <v>6.800000000000006E-2</v>
      </c>
      <c r="Z100" s="1397">
        <v>0</v>
      </c>
      <c r="AA100" s="1397">
        <v>0</v>
      </c>
      <c r="AB100" s="1397">
        <v>0</v>
      </c>
      <c r="AC100" s="1397">
        <v>0</v>
      </c>
      <c r="AD100" s="1397">
        <v>0</v>
      </c>
      <c r="AE100" s="1397">
        <v>0</v>
      </c>
      <c r="AF100" s="1397">
        <v>0</v>
      </c>
      <c r="AG100" s="1397">
        <v>0</v>
      </c>
      <c r="AH100" s="1397">
        <v>0</v>
      </c>
      <c r="AI100" s="1133"/>
      <c r="AJ100" s="1133"/>
      <c r="AK100" s="1133"/>
      <c r="AL100" s="1128">
        <f t="shared" si="9"/>
        <v>-1</v>
      </c>
      <c r="AM100" s="1133"/>
      <c r="AN100" s="1133"/>
    </row>
    <row r="101" spans="1:40">
      <c r="A101" s="719" t="s">
        <v>707</v>
      </c>
      <c r="B101" s="438">
        <v>-1.718</v>
      </c>
      <c r="C101" s="438">
        <v>-29.356000000000002</v>
      </c>
      <c r="D101" s="438">
        <v>-17.309999999999999</v>
      </c>
      <c r="E101" s="967">
        <v>9.7409999999999997</v>
      </c>
      <c r="F101" s="967">
        <v>-29.443999999999999</v>
      </c>
      <c r="G101" s="967">
        <v>-7.7750000000000004</v>
      </c>
      <c r="H101" s="967">
        <v>-22.928000000000001</v>
      </c>
      <c r="I101" s="967">
        <v>-35.008000000000003</v>
      </c>
      <c r="J101" s="438">
        <v>-31.897000000000002</v>
      </c>
      <c r="K101" s="438">
        <v>0</v>
      </c>
      <c r="L101" s="967">
        <v>-5.8520000000000003</v>
      </c>
      <c r="M101" s="967">
        <v>0</v>
      </c>
      <c r="N101" s="967">
        <v>-1.5720000000000001</v>
      </c>
      <c r="O101" s="967">
        <v>-7.1139999999999999</v>
      </c>
      <c r="P101" s="967">
        <v>0</v>
      </c>
      <c r="Q101" s="967">
        <v>0</v>
      </c>
      <c r="R101" s="967">
        <v>0</v>
      </c>
      <c r="S101" s="967">
        <v>0</v>
      </c>
      <c r="T101" s="967">
        <v>0</v>
      </c>
      <c r="U101" s="967">
        <v>0</v>
      </c>
      <c r="V101" s="967">
        <v>0</v>
      </c>
      <c r="W101" s="967">
        <v>0</v>
      </c>
      <c r="X101" s="967">
        <v>0</v>
      </c>
      <c r="Y101" s="1397">
        <v>0</v>
      </c>
      <c r="Z101" s="1397">
        <v>0</v>
      </c>
      <c r="AA101" s="1397">
        <v>0</v>
      </c>
      <c r="AB101" s="1397">
        <v>0</v>
      </c>
      <c r="AC101" s="1397">
        <v>0</v>
      </c>
      <c r="AD101" s="1397">
        <v>0</v>
      </c>
      <c r="AE101" s="1397">
        <v>0</v>
      </c>
      <c r="AF101" s="1397">
        <v>0</v>
      </c>
      <c r="AG101" s="1397">
        <v>0</v>
      </c>
      <c r="AH101" s="1397">
        <v>0</v>
      </c>
      <c r="AI101" s="1133"/>
      <c r="AJ101" s="1133"/>
      <c r="AK101" s="1133"/>
      <c r="AL101" s="1128" t="str">
        <f t="shared" si="9"/>
        <v>NM</v>
      </c>
      <c r="AM101" s="1133"/>
      <c r="AN101" s="1133"/>
    </row>
    <row r="102" spans="1:40">
      <c r="A102" s="102" t="s">
        <v>1214</v>
      </c>
      <c r="B102" s="1527">
        <v>31.013999999999928</v>
      </c>
      <c r="C102" s="1527">
        <v>148.92700000000005</v>
      </c>
      <c r="D102" s="1527">
        <v>128.14800000000005</v>
      </c>
      <c r="E102" s="1527">
        <v>154.60899999999998</v>
      </c>
      <c r="F102" s="1527">
        <v>281.49800000000027</v>
      </c>
      <c r="G102" s="1527">
        <v>222.17700000000085</v>
      </c>
      <c r="H102" s="1527">
        <v>478.43499999999983</v>
      </c>
      <c r="I102" s="1527">
        <v>128.779</v>
      </c>
      <c r="J102" s="1527">
        <v>103.74800000000091</v>
      </c>
      <c r="K102" s="1527">
        <v>151.22599999999855</v>
      </c>
      <c r="L102" s="1527">
        <v>209.64400000000066</v>
      </c>
      <c r="M102" s="1527">
        <v>366.56500000000062</v>
      </c>
      <c r="N102" s="1527">
        <v>681.01300000000174</v>
      </c>
      <c r="O102" s="1527">
        <v>666.66600000000255</v>
      </c>
      <c r="P102" s="1527">
        <v>981.20599999999945</v>
      </c>
      <c r="Q102" s="1527">
        <v>996.47199999999748</v>
      </c>
      <c r="R102" s="1527">
        <v>1089.4689999999987</v>
      </c>
      <c r="S102" s="1527">
        <v>953.25299999999891</v>
      </c>
      <c r="T102" s="1527">
        <v>926.66999999999723</v>
      </c>
      <c r="U102" s="1527">
        <v>-3186.0470000000023</v>
      </c>
      <c r="V102" s="1527">
        <v>835.13</v>
      </c>
      <c r="W102" s="985">
        <v>1632.3349999999978</v>
      </c>
      <c r="X102" s="985">
        <v>2930.7289999999962</v>
      </c>
      <c r="Y102" s="1566">
        <v>1660.0654959731608</v>
      </c>
      <c r="Z102" s="1566">
        <v>2875.5533098732913</v>
      </c>
      <c r="AA102" s="1566">
        <v>3765.6210517009854</v>
      </c>
      <c r="AB102" s="1566">
        <v>4774.4737705758234</v>
      </c>
      <c r="AC102" s="1566">
        <v>5332.0472933043065</v>
      </c>
      <c r="AD102" s="1566">
        <v>5679.9003121099704</v>
      </c>
      <c r="AE102" s="1566">
        <v>6018.5170778318061</v>
      </c>
      <c r="AF102" s="1566">
        <v>6377.1380402380673</v>
      </c>
      <c r="AG102" s="1566">
        <v>6735.1685592186732</v>
      </c>
      <c r="AH102" s="1566">
        <v>7094.9806837693377</v>
      </c>
      <c r="AI102" s="1133"/>
      <c r="AJ102" s="1264">
        <v>-2.2656056255837949</v>
      </c>
      <c r="AK102" s="1133"/>
      <c r="AL102" s="1128">
        <f t="shared" si="9"/>
        <v>0.50610654262747645</v>
      </c>
      <c r="AM102" s="1133"/>
      <c r="AN102" s="1133"/>
    </row>
    <row r="103" spans="1:40">
      <c r="A103" s="720" t="s">
        <v>111</v>
      </c>
      <c r="B103" s="1528"/>
      <c r="C103" s="1528"/>
      <c r="D103" s="1528"/>
      <c r="E103" s="1528"/>
      <c r="F103" s="1528"/>
      <c r="G103" s="1528"/>
      <c r="H103" s="1528"/>
      <c r="I103" s="1528"/>
      <c r="J103" s="1528"/>
      <c r="K103" s="1528"/>
      <c r="L103" s="1528"/>
      <c r="M103" s="1528"/>
      <c r="N103" s="1528"/>
      <c r="O103" s="1528"/>
      <c r="P103" s="1528"/>
      <c r="Q103" s="1528"/>
      <c r="R103" s="1528"/>
      <c r="S103" s="1528"/>
      <c r="T103" s="1528"/>
      <c r="U103" s="1608"/>
      <c r="V103" s="1608"/>
      <c r="W103" s="1608">
        <v>0</v>
      </c>
      <c r="X103" s="1608">
        <v>0</v>
      </c>
      <c r="Y103" s="1608">
        <v>0</v>
      </c>
      <c r="Z103" s="1608">
        <v>0</v>
      </c>
      <c r="AA103" s="1608">
        <v>0</v>
      </c>
      <c r="AB103" s="1608">
        <v>0</v>
      </c>
      <c r="AC103" s="1608">
        <v>0</v>
      </c>
      <c r="AD103" s="1608">
        <v>0</v>
      </c>
      <c r="AE103" s="1608">
        <v>0</v>
      </c>
      <c r="AF103" s="1608">
        <v>0</v>
      </c>
      <c r="AG103" s="1608">
        <v>0</v>
      </c>
      <c r="AH103" s="1608">
        <v>0</v>
      </c>
      <c r="AI103" s="1133"/>
      <c r="AJ103" s="1264"/>
      <c r="AK103" s="1133"/>
      <c r="AL103" s="1128" t="str">
        <f t="shared" si="9"/>
        <v>NM</v>
      </c>
      <c r="AM103" s="1133"/>
      <c r="AN103" s="1133"/>
    </row>
    <row r="104" spans="1:40" s="1209" customFormat="1" hidden="1" outlineLevel="1" collapsed="1">
      <c r="A104" s="1238" t="s">
        <v>1228</v>
      </c>
      <c r="B104" s="1521">
        <v>31.013999999999928</v>
      </c>
      <c r="C104" s="1521">
        <v>148.92700000000005</v>
      </c>
      <c r="D104" s="1521">
        <v>128.14800000000005</v>
      </c>
      <c r="E104" s="1521">
        <v>154.60899999999998</v>
      </c>
      <c r="F104" s="1521">
        <v>281.49800000000027</v>
      </c>
      <c r="G104" s="1521">
        <v>222.17700000000085</v>
      </c>
      <c r="H104" s="1521">
        <v>478.43499999999983</v>
      </c>
      <c r="I104" s="1521">
        <v>128.779</v>
      </c>
      <c r="J104" s="1521">
        <v>103.74799999999955</v>
      </c>
      <c r="K104" s="1521">
        <v>151.22599999999991</v>
      </c>
      <c r="L104" s="1521">
        <v>209.64400000000043</v>
      </c>
      <c r="M104" s="1521">
        <v>366.56499999999949</v>
      </c>
      <c r="N104" s="1521">
        <v>681.01300000000037</v>
      </c>
      <c r="O104" s="1521">
        <v>666.66600000000028</v>
      </c>
      <c r="P104" s="1521">
        <v>981.20600000000036</v>
      </c>
      <c r="Q104" s="1521">
        <v>996.4719999999993</v>
      </c>
      <c r="R104" s="1521">
        <v>1089.4689999999996</v>
      </c>
      <c r="S104" s="1521">
        <v>953.25299999999891</v>
      </c>
      <c r="T104" s="1521">
        <v>764.41399999999817</v>
      </c>
      <c r="U104" s="1521">
        <v>-3708.2140000000018</v>
      </c>
      <c r="V104" s="1521">
        <v>487.88700000000063</v>
      </c>
      <c r="W104" s="1521">
        <v>1661.8799999999978</v>
      </c>
      <c r="X104" s="1521">
        <v>2789.8959999999984</v>
      </c>
      <c r="Y104" s="1521">
        <v>1745.1168580746194</v>
      </c>
      <c r="Z104" s="1521">
        <v>2713.4106921469365</v>
      </c>
      <c r="AA104" s="1521">
        <v>3489.8574212989838</v>
      </c>
      <c r="AB104" s="1521">
        <v>4464.2016327612973</v>
      </c>
      <c r="AC104" s="1521">
        <v>4923.2928920969189</v>
      </c>
      <c r="AD104" s="1521">
        <v>5180.336819531849</v>
      </c>
      <c r="AE104" s="1521">
        <v>5437.0526094773177</v>
      </c>
      <c r="AF104" s="1521">
        <v>5710.4375532076701</v>
      </c>
      <c r="AG104" s="1521">
        <v>5986.7142028294438</v>
      </c>
      <c r="AH104" s="1521">
        <v>6266.8003533174497</v>
      </c>
      <c r="AI104" s="1261"/>
      <c r="AJ104" s="1261">
        <v>-2.3046106478878299</v>
      </c>
      <c r="AK104" s="1261">
        <f>IFERROR((X104/U104)^(1/3)-1,"NM")</f>
        <v>-1.9095105512112025</v>
      </c>
      <c r="AL104" s="1128">
        <f t="shared" si="9"/>
        <v>0.41413732455232166</v>
      </c>
      <c r="AM104" s="1261">
        <f>IFERROR((AD104/AA104)^(1/3)-1,"NM")</f>
        <v>0.14073150968488579</v>
      </c>
      <c r="AN104" s="1261">
        <f>IFERROR((AH104/X104)^(1/10)-1,"NM")</f>
        <v>8.4290829008088819E-2</v>
      </c>
    </row>
    <row r="105" spans="1:40" s="1209" customFormat="1" hidden="1" outlineLevel="1">
      <c r="A105" s="1239" t="s">
        <v>1229</v>
      </c>
      <c r="B105" s="1609">
        <v>0</v>
      </c>
      <c r="C105" s="1609">
        <v>0</v>
      </c>
      <c r="D105" s="1609">
        <v>0</v>
      </c>
      <c r="E105" s="1609">
        <v>0</v>
      </c>
      <c r="F105" s="1609">
        <v>0</v>
      </c>
      <c r="G105" s="1609">
        <v>0</v>
      </c>
      <c r="H105" s="1609">
        <v>0</v>
      </c>
      <c r="I105" s="1609">
        <v>0</v>
      </c>
      <c r="J105" s="1609">
        <v>0</v>
      </c>
      <c r="K105" s="1529">
        <v>0</v>
      </c>
      <c r="L105" s="1529">
        <v>0</v>
      </c>
      <c r="M105" s="1529">
        <v>0</v>
      </c>
      <c r="N105" s="1529">
        <v>0</v>
      </c>
      <c r="O105" s="1529">
        <v>0</v>
      </c>
      <c r="P105" s="1529">
        <v>0</v>
      </c>
      <c r="Q105" s="1529">
        <v>0</v>
      </c>
      <c r="R105" s="1529">
        <v>0</v>
      </c>
      <c r="S105" s="1529">
        <v>0</v>
      </c>
      <c r="T105" s="1529">
        <v>0</v>
      </c>
      <c r="U105" s="1529">
        <v>0</v>
      </c>
      <c r="V105" s="1529">
        <v>0</v>
      </c>
      <c r="W105" s="1529">
        <v>0</v>
      </c>
      <c r="X105" s="1529">
        <v>0</v>
      </c>
      <c r="Y105" s="1529">
        <v>0</v>
      </c>
      <c r="Z105" s="1529">
        <v>0</v>
      </c>
      <c r="AA105" s="1529">
        <v>0</v>
      </c>
      <c r="AB105" s="1529">
        <v>0</v>
      </c>
      <c r="AC105" s="1529">
        <v>0</v>
      </c>
      <c r="AD105" s="1529">
        <v>0</v>
      </c>
      <c r="AE105" s="1529">
        <v>0</v>
      </c>
      <c r="AF105" s="1529">
        <v>0</v>
      </c>
      <c r="AG105" s="1529">
        <v>0</v>
      </c>
      <c r="AH105" s="1529">
        <v>0</v>
      </c>
      <c r="AI105" s="1243"/>
      <c r="AJ105" s="1262"/>
      <c r="AK105" s="1243"/>
      <c r="AL105" s="1128" t="str">
        <f t="shared" si="9"/>
        <v>NM</v>
      </c>
      <c r="AM105" s="1243"/>
      <c r="AN105" s="1243"/>
    </row>
    <row r="106" spans="1:40" s="13" customFormat="1" hidden="1" outlineLevel="1">
      <c r="A106" s="1779" t="s">
        <v>639</v>
      </c>
      <c r="B106" s="1762">
        <v>31.013999999999928</v>
      </c>
      <c r="C106" s="1762">
        <v>148.92700000000005</v>
      </c>
      <c r="D106" s="1762">
        <v>128.14800000000005</v>
      </c>
      <c r="E106" s="1762">
        <v>154.60900000000004</v>
      </c>
      <c r="F106" s="1762">
        <v>281.49800000000027</v>
      </c>
      <c r="G106" s="1762">
        <v>222.17700000000085</v>
      </c>
      <c r="H106" s="1762">
        <v>478.43499999999983</v>
      </c>
      <c r="I106" s="1762">
        <v>128.779</v>
      </c>
      <c r="J106" s="1762">
        <v>103.74800000000091</v>
      </c>
      <c r="K106" s="1780">
        <v>151.22599999999855</v>
      </c>
      <c r="L106" s="1780">
        <v>209.64400000000063</v>
      </c>
      <c r="M106" s="1780">
        <v>366.56500000000062</v>
      </c>
      <c r="N106" s="1780">
        <v>681.01300000000174</v>
      </c>
      <c r="O106" s="1780">
        <v>666.66600000000255</v>
      </c>
      <c r="P106" s="1780">
        <v>981.20599999999945</v>
      </c>
      <c r="Q106" s="1780">
        <v>996.47199999999748</v>
      </c>
      <c r="R106" s="1780">
        <v>1089.4689999999987</v>
      </c>
      <c r="S106" s="1762">
        <v>953.25299999999891</v>
      </c>
      <c r="T106" s="1762">
        <v>926.66999999999723</v>
      </c>
      <c r="U106" s="1762">
        <v>-3186.0470000000023</v>
      </c>
      <c r="V106" s="1762">
        <v>835.13</v>
      </c>
      <c r="W106" s="1762">
        <v>1632.3349999999978</v>
      </c>
      <c r="X106" s="1762">
        <v>2930.7289999999962</v>
      </c>
      <c r="Y106" s="1763">
        <v>1660.0654959731608</v>
      </c>
      <c r="Z106" s="1763">
        <v>2875.5533098732913</v>
      </c>
      <c r="AA106" s="1763">
        <v>3765.6210517009854</v>
      </c>
      <c r="AB106" s="1763">
        <v>4774.4737705758234</v>
      </c>
      <c r="AC106" s="1763">
        <v>5332.0472933043065</v>
      </c>
      <c r="AD106" s="1763">
        <v>5679.9003121099704</v>
      </c>
      <c r="AE106" s="1763">
        <v>6018.5170778318061</v>
      </c>
      <c r="AF106" s="1763">
        <v>6377.1380402380673</v>
      </c>
      <c r="AG106" s="1763">
        <v>6735.1685592186732</v>
      </c>
      <c r="AH106" s="1763">
        <v>7094.9806837693377</v>
      </c>
      <c r="AI106" s="1263"/>
      <c r="AJ106" s="1128">
        <v>-2.2656056255837949</v>
      </c>
      <c r="AK106" s="1128">
        <f>IFERROR((X106/U106)^(1/3)-1,"NM")</f>
        <v>-1.9725407954776022</v>
      </c>
      <c r="AL106" s="1128">
        <f t="shared" si="9"/>
        <v>0.50610654262747645</v>
      </c>
      <c r="AM106" s="1263">
        <f>IFERROR((AD106/AA106)^(1/3)-1,"NM")</f>
        <v>0.14683613057709666</v>
      </c>
      <c r="AN106" s="1263">
        <f>IFERROR((AH106/X106)^(1/10)-1,"NM")</f>
        <v>9.2439904394299388E-2</v>
      </c>
    </row>
    <row r="107" spans="1:40" hidden="1" outlineLevel="1">
      <c r="A107" s="1781" t="s">
        <v>598</v>
      </c>
      <c r="B107" s="1517">
        <v>1.2532661131616754E-2</v>
      </c>
      <c r="C107" s="1517">
        <v>5.6671141695548884E-2</v>
      </c>
      <c r="D107" s="1517">
        <v>4.4627686452787092E-2</v>
      </c>
      <c r="E107" s="1517">
        <v>4.1689384170928399E-2</v>
      </c>
      <c r="F107" s="1517">
        <v>6.03386706106789E-2</v>
      </c>
      <c r="G107" s="1517">
        <v>3.6867014776873534E-2</v>
      </c>
      <c r="H107" s="1517">
        <v>6.8490679778961908E-2</v>
      </c>
      <c r="I107" s="1517">
        <v>1.6538024459976913E-2</v>
      </c>
      <c r="J107" s="1517">
        <v>1.2081870428379667E-2</v>
      </c>
      <c r="K107" s="1517">
        <v>1.6837611786083142E-2</v>
      </c>
      <c r="L107" s="1517">
        <v>1.9599300855681501E-2</v>
      </c>
      <c r="M107" s="1517">
        <v>2.7113772515326595E-2</v>
      </c>
      <c r="N107" s="1517">
        <v>4.3341661010401593E-2</v>
      </c>
      <c r="O107" s="1517">
        <v>2.9239409822390254E-2</v>
      </c>
      <c r="P107" s="1517">
        <v>3.0388830952662326E-2</v>
      </c>
      <c r="Q107" s="1517">
        <v>2.643030914092391E-2</v>
      </c>
      <c r="R107" s="1517">
        <v>2.5617011929308361E-2</v>
      </c>
      <c r="S107" s="1517">
        <v>2.0652586756244606E-2</v>
      </c>
      <c r="T107" s="1517">
        <v>1.5934589821661412E-2</v>
      </c>
      <c r="U107" s="1782">
        <v>-8.276431541114028E-2</v>
      </c>
      <c r="V107" s="1782">
        <v>1.5645153757524264E-2</v>
      </c>
      <c r="W107" s="1782">
        <v>2.3715008744930779E-2</v>
      </c>
      <c r="X107" s="1782">
        <v>3.8445345786142102E-2</v>
      </c>
      <c r="Y107" s="1782">
        <v>2.085398448226047E-2</v>
      </c>
      <c r="Z107" s="1782">
        <v>3.2453788706248529E-2</v>
      </c>
      <c r="AA107" s="1782">
        <v>3.9206333217827787E-2</v>
      </c>
      <c r="AB107" s="1782">
        <v>4.6355183208771446E-2</v>
      </c>
      <c r="AC107" s="1782">
        <v>4.8743391719253029E-2</v>
      </c>
      <c r="AD107" s="1782">
        <v>4.8912855781907495E-2</v>
      </c>
      <c r="AE107" s="1782">
        <v>4.8891953680048658E-2</v>
      </c>
      <c r="AF107" s="1782">
        <v>4.8937232741025405E-2</v>
      </c>
      <c r="AG107" s="1782">
        <v>4.8837151377781461E-2</v>
      </c>
      <c r="AH107" s="1782">
        <v>4.8650283464394942E-2</v>
      </c>
      <c r="AJ107" s="1260"/>
      <c r="AL107" s="1128">
        <f t="shared" si="9"/>
        <v>0.37114565044529813</v>
      </c>
    </row>
    <row r="108" spans="1:40" s="1209" customFormat="1" hidden="1" outlineLevel="1">
      <c r="A108" s="1238" t="s">
        <v>1226</v>
      </c>
      <c r="B108" s="1521">
        <v>31.013999999999928</v>
      </c>
      <c r="C108" s="1521">
        <v>148.92700000000005</v>
      </c>
      <c r="D108" s="1521">
        <v>128.14800000000005</v>
      </c>
      <c r="E108" s="1521">
        <v>154.60900000000004</v>
      </c>
      <c r="F108" s="1521">
        <v>281.49800000000027</v>
      </c>
      <c r="G108" s="1521">
        <v>222.17700000000085</v>
      </c>
      <c r="H108" s="1521">
        <v>478.43499999999983</v>
      </c>
      <c r="I108" s="1521">
        <v>128.779</v>
      </c>
      <c r="J108" s="1521">
        <v>103.74800000000091</v>
      </c>
      <c r="K108" s="1521">
        <v>151.22599999999855</v>
      </c>
      <c r="L108" s="1521">
        <v>209.64400000000063</v>
      </c>
      <c r="M108" s="1521">
        <v>366.56500000000062</v>
      </c>
      <c r="N108" s="1521">
        <v>681.01300000000174</v>
      </c>
      <c r="O108" s="1521">
        <v>666.66600000000255</v>
      </c>
      <c r="P108" s="1521">
        <v>981.20599999999945</v>
      </c>
      <c r="Q108" s="1521">
        <v>996.47199999999748</v>
      </c>
      <c r="R108" s="1521">
        <v>1089.4689999999987</v>
      </c>
      <c r="S108" s="1521">
        <v>953.25299999999891</v>
      </c>
      <c r="T108" s="1521">
        <v>764.41399999999817</v>
      </c>
      <c r="U108" s="1521">
        <v>-3708.2140000000018</v>
      </c>
      <c r="V108" s="1521">
        <v>487.88700000000063</v>
      </c>
      <c r="W108" s="1521">
        <v>1661.8799999999978</v>
      </c>
      <c r="X108" s="1521">
        <v>2789.8959999999984</v>
      </c>
      <c r="Y108" s="1521">
        <v>1787.9170497175799</v>
      </c>
      <c r="Z108" s="1521">
        <v>2629.8826769545649</v>
      </c>
      <c r="AA108" s="1521">
        <v>3347.7973692737082</v>
      </c>
      <c r="AB108" s="1521">
        <v>4304.3644708568409</v>
      </c>
      <c r="AC108" s="1521">
        <v>4712.7224429900834</v>
      </c>
      <c r="AD108" s="1521">
        <v>4922.9859294158468</v>
      </c>
      <c r="AE108" s="1521">
        <v>5137.5103075977331</v>
      </c>
      <c r="AF108" s="1521">
        <v>5366.9857871617151</v>
      </c>
      <c r="AG108" s="1521">
        <v>5601.1468071137806</v>
      </c>
      <c r="AH108" s="1521">
        <v>5840.1620012664807</v>
      </c>
      <c r="AI108" s="1261"/>
      <c r="AJ108" s="1261">
        <v>-2.3046106478878299</v>
      </c>
      <c r="AK108" s="1261">
        <f>IFERROR((X108/U108)^(1/3)-1,"NM")</f>
        <v>-1.9095105512112025</v>
      </c>
      <c r="AL108" s="1128">
        <f t="shared" si="9"/>
        <v>0.36837741935323387</v>
      </c>
      <c r="AM108" s="1261">
        <f>IFERROR((AD108/AA108)^(1/3)-1,"NM")</f>
        <v>0.13716410764488085</v>
      </c>
      <c r="AN108" s="1261">
        <f>IFERROR((AH108/X108)^(1/10)-1,"NM")</f>
        <v>7.6672667116929105E-2</v>
      </c>
    </row>
    <row r="109" spans="1:40" s="1209" customFormat="1" hidden="1" outlineLevel="1">
      <c r="A109" s="1240" t="s">
        <v>1227</v>
      </c>
      <c r="B109" s="1530">
        <v>1.2532661131616754E-2</v>
      </c>
      <c r="C109" s="1530">
        <v>5.6671141695548884E-2</v>
      </c>
      <c r="D109" s="1530">
        <v>4.4627686452787092E-2</v>
      </c>
      <c r="E109" s="1530">
        <v>4.1689384170928399E-2</v>
      </c>
      <c r="F109" s="1530">
        <v>6.03386706106789E-2</v>
      </c>
      <c r="G109" s="1530">
        <v>3.6867014776873534E-2</v>
      </c>
      <c r="H109" s="1530">
        <v>6.8490679778961908E-2</v>
      </c>
      <c r="I109" s="1530">
        <v>1.6538024459976913E-2</v>
      </c>
      <c r="J109" s="1530">
        <v>1.2081870428379667E-2</v>
      </c>
      <c r="K109" s="1530">
        <v>1.6837611786083142E-2</v>
      </c>
      <c r="L109" s="1530">
        <v>1.9599300855681501E-2</v>
      </c>
      <c r="M109" s="1530">
        <v>2.7113772515326595E-2</v>
      </c>
      <c r="N109" s="1530">
        <v>4.3341661010401593E-2</v>
      </c>
      <c r="O109" s="1530">
        <v>2.9239409822390254E-2</v>
      </c>
      <c r="P109" s="1530">
        <v>3.0388830952662326E-2</v>
      </c>
      <c r="Q109" s="1530">
        <v>2.643030914092391E-2</v>
      </c>
      <c r="R109" s="1530">
        <v>2.5617011929308361E-2</v>
      </c>
      <c r="S109" s="1530">
        <v>2.0652586756244606E-2</v>
      </c>
      <c r="T109" s="1530">
        <v>1.3144510498813485E-2</v>
      </c>
      <c r="U109" s="1530">
        <v>-9.632870861855021E-2</v>
      </c>
      <c r="V109" s="1530">
        <v>9.1399747719483806E-3</v>
      </c>
      <c r="W109" s="1530">
        <v>2.4144246575014051E-2</v>
      </c>
      <c r="X109" s="1530">
        <v>3.6597896437157711E-2</v>
      </c>
      <c r="Y109" s="1530">
        <v>2.2460074316840176E-2</v>
      </c>
      <c r="Z109" s="1530">
        <v>2.968112482111054E-2</v>
      </c>
      <c r="AA109" s="1530">
        <v>3.4856098742655627E-2</v>
      </c>
      <c r="AB109" s="1530">
        <v>4.1790910000083885E-2</v>
      </c>
      <c r="AC109" s="1530">
        <v>4.3081777686263797E-2</v>
      </c>
      <c r="AD109" s="1530">
        <v>4.2394635037604336E-2</v>
      </c>
      <c r="AE109" s="1530">
        <v>4.1735017570196965E-2</v>
      </c>
      <c r="AF109" s="1530">
        <v>4.1185470806321664E-2</v>
      </c>
      <c r="AG109" s="1530">
        <v>4.0614284869497912E-2</v>
      </c>
      <c r="AH109" s="1530">
        <v>4.0045991596506431E-2</v>
      </c>
      <c r="AI109" s="1243"/>
      <c r="AJ109" s="1262"/>
      <c r="AK109" s="1243"/>
      <c r="AL109" s="1128">
        <f t="shared" si="9"/>
        <v>0.24575831364529344</v>
      </c>
      <c r="AM109" s="1243"/>
      <c r="AN109" s="1243"/>
    </row>
    <row r="110" spans="1:40" collapsed="1">
      <c r="A110" s="103"/>
      <c r="B110" s="1531"/>
      <c r="C110" s="1531"/>
      <c r="D110" s="1531"/>
      <c r="E110" s="1531"/>
      <c r="F110" s="1531"/>
      <c r="G110" s="1531"/>
      <c r="H110" s="1531"/>
      <c r="I110" s="1531"/>
      <c r="J110" s="1531"/>
      <c r="K110" s="1531"/>
      <c r="L110" s="1531"/>
      <c r="M110" s="1531"/>
      <c r="N110" s="1531"/>
      <c r="O110" s="1531"/>
      <c r="P110" s="1531"/>
      <c r="Q110" s="1531"/>
      <c r="R110" s="1531"/>
      <c r="S110" s="1531"/>
      <c r="T110" s="1531"/>
      <c r="U110" s="1531"/>
      <c r="V110" s="1531"/>
      <c r="W110" s="1531"/>
      <c r="X110" s="1531"/>
      <c r="Y110" s="1531"/>
      <c r="Z110" s="1531"/>
      <c r="AA110" s="1531"/>
      <c r="AB110" s="1531"/>
      <c r="AC110" s="1531"/>
      <c r="AD110" s="1531"/>
      <c r="AE110" s="1531"/>
      <c r="AF110" s="1531"/>
      <c r="AG110" s="1531"/>
      <c r="AH110" s="1531"/>
      <c r="AI110" s="1133"/>
      <c r="AJ110" s="508"/>
      <c r="AK110" s="1133"/>
      <c r="AL110" s="1128" t="str">
        <f t="shared" si="9"/>
        <v>NM</v>
      </c>
      <c r="AM110" s="1133"/>
      <c r="AN110" s="1133"/>
    </row>
    <row r="111" spans="1:40">
      <c r="A111" s="105" t="s">
        <v>591</v>
      </c>
      <c r="B111" s="106"/>
      <c r="C111" s="106"/>
      <c r="D111" s="106">
        <v>467.2</v>
      </c>
      <c r="E111" s="967">
        <v>496.8</v>
      </c>
      <c r="F111" s="967">
        <v>546.4</v>
      </c>
      <c r="G111" s="967">
        <v>623.20000000000005</v>
      </c>
      <c r="H111" s="967">
        <v>618.79999999999995</v>
      </c>
      <c r="I111" s="967">
        <v>618</v>
      </c>
      <c r="J111" s="106">
        <v>601.79999999999995</v>
      </c>
      <c r="K111" s="106">
        <v>605.20000000000005</v>
      </c>
      <c r="L111" s="967">
        <v>606</v>
      </c>
      <c r="M111" s="967">
        <v>687.8</v>
      </c>
      <c r="N111" s="967">
        <v>687.8</v>
      </c>
      <c r="O111" s="967">
        <v>837.6</v>
      </c>
      <c r="P111" s="967">
        <v>837.5</v>
      </c>
      <c r="Q111" s="967">
        <v>834.3</v>
      </c>
      <c r="R111" s="967">
        <v>832.8</v>
      </c>
      <c r="S111" s="967">
        <v>835.6</v>
      </c>
      <c r="T111" s="967">
        <v>838.5</v>
      </c>
      <c r="U111" s="967">
        <v>838.5</v>
      </c>
      <c r="V111" s="967">
        <v>838.6</v>
      </c>
      <c r="W111" s="967">
        <v>820</v>
      </c>
      <c r="X111" s="967">
        <v>809.7</v>
      </c>
      <c r="Y111" s="1397">
        <v>815</v>
      </c>
      <c r="Z111" s="1397">
        <v>815</v>
      </c>
      <c r="AA111" s="1397">
        <v>815</v>
      </c>
      <c r="AB111" s="1397">
        <v>815</v>
      </c>
      <c r="AC111" s="1397">
        <v>815</v>
      </c>
      <c r="AD111" s="1397">
        <v>815</v>
      </c>
      <c r="AE111" s="1397">
        <v>815</v>
      </c>
      <c r="AF111" s="1397">
        <v>815</v>
      </c>
      <c r="AG111" s="1397">
        <v>815</v>
      </c>
      <c r="AH111" s="1397">
        <v>815</v>
      </c>
      <c r="AI111" s="1133"/>
      <c r="AJ111" s="508"/>
      <c r="AK111" s="1133"/>
      <c r="AL111" s="1128">
        <f t="shared" si="9"/>
        <v>0</v>
      </c>
      <c r="AM111" s="1133"/>
      <c r="AN111" s="1133"/>
    </row>
    <row r="112" spans="1:40" hidden="1" outlineLevel="1">
      <c r="A112" s="107" t="s">
        <v>592</v>
      </c>
      <c r="B112" s="106"/>
      <c r="C112" s="106"/>
      <c r="D112" s="106" t="s">
        <v>750</v>
      </c>
      <c r="E112" s="106" t="s">
        <v>750</v>
      </c>
      <c r="F112" s="106" t="s">
        <v>750</v>
      </c>
      <c r="G112" s="106" t="s">
        <v>750</v>
      </c>
      <c r="H112" s="106" t="s">
        <v>750</v>
      </c>
      <c r="I112" s="106" t="s">
        <v>750</v>
      </c>
      <c r="J112" s="106" t="s">
        <v>750</v>
      </c>
      <c r="K112" s="106">
        <v>603.5</v>
      </c>
      <c r="L112" s="438">
        <v>605.6</v>
      </c>
      <c r="M112" s="438">
        <v>646.9</v>
      </c>
      <c r="N112" s="438">
        <v>687.8</v>
      </c>
      <c r="O112" s="438">
        <v>762.7</v>
      </c>
      <c r="P112" s="438">
        <v>837.55</v>
      </c>
      <c r="Q112" s="438">
        <v>835.9</v>
      </c>
      <c r="R112" s="438">
        <v>833.55</v>
      </c>
      <c r="S112" s="438">
        <v>834.2</v>
      </c>
      <c r="T112" s="438">
        <v>837.05</v>
      </c>
      <c r="U112" s="438">
        <v>838.5</v>
      </c>
      <c r="V112" s="438">
        <v>838.55</v>
      </c>
      <c r="W112" s="438">
        <v>829.3</v>
      </c>
      <c r="X112" s="438">
        <v>814.85</v>
      </c>
      <c r="Y112" s="447">
        <v>812.35</v>
      </c>
      <c r="Z112" s="447">
        <v>815</v>
      </c>
      <c r="AA112" s="447">
        <v>815</v>
      </c>
      <c r="AB112" s="447">
        <v>815</v>
      </c>
      <c r="AC112" s="447">
        <v>815</v>
      </c>
      <c r="AD112" s="447">
        <v>815</v>
      </c>
      <c r="AE112" s="447">
        <v>815</v>
      </c>
      <c r="AF112" s="447">
        <v>815</v>
      </c>
      <c r="AG112" s="447">
        <v>815</v>
      </c>
      <c r="AH112" s="447">
        <v>815</v>
      </c>
      <c r="AI112" s="1133"/>
      <c r="AJ112" s="508"/>
      <c r="AK112" s="1133"/>
      <c r="AL112" s="1128">
        <f t="shared" si="9"/>
        <v>1.6297423214324258E-3</v>
      </c>
      <c r="AM112" s="1133"/>
      <c r="AN112" s="1133"/>
    </row>
    <row r="113" spans="1:40" collapsed="1">
      <c r="A113" s="108" t="s">
        <v>593</v>
      </c>
      <c r="B113" s="106"/>
      <c r="C113" s="106"/>
      <c r="D113" s="106">
        <v>467.2</v>
      </c>
      <c r="E113" s="967">
        <v>496.8</v>
      </c>
      <c r="F113" s="967">
        <v>546.4</v>
      </c>
      <c r="G113" s="967">
        <v>623.20000000000005</v>
      </c>
      <c r="H113" s="967">
        <v>618.79999999999995</v>
      </c>
      <c r="I113" s="967">
        <v>618</v>
      </c>
      <c r="J113" s="106">
        <v>601.79999999999995</v>
      </c>
      <c r="K113" s="106">
        <v>605.20000000000005</v>
      </c>
      <c r="L113" s="438">
        <v>606</v>
      </c>
      <c r="M113" s="438">
        <v>687.8</v>
      </c>
      <c r="N113" s="438">
        <v>687.8</v>
      </c>
      <c r="O113" s="438">
        <v>837.6</v>
      </c>
      <c r="P113" s="438">
        <v>837.5</v>
      </c>
      <c r="Q113" s="438">
        <v>834.3</v>
      </c>
      <c r="R113" s="438">
        <v>832.8</v>
      </c>
      <c r="S113" s="438">
        <v>835.6</v>
      </c>
      <c r="T113" s="438">
        <v>838.5</v>
      </c>
      <c r="U113" s="438">
        <v>838.5</v>
      </c>
      <c r="V113" s="438">
        <v>838.6</v>
      </c>
      <c r="W113" s="438">
        <v>820</v>
      </c>
      <c r="X113" s="438">
        <v>809.7</v>
      </c>
      <c r="Y113" s="447">
        <v>815</v>
      </c>
      <c r="Z113" s="447">
        <v>815</v>
      </c>
      <c r="AA113" s="447">
        <v>815</v>
      </c>
      <c r="AB113" s="447">
        <v>815</v>
      </c>
      <c r="AC113" s="447">
        <v>815</v>
      </c>
      <c r="AD113" s="447">
        <v>815</v>
      </c>
      <c r="AE113" s="447">
        <v>815</v>
      </c>
      <c r="AF113" s="447">
        <v>815</v>
      </c>
      <c r="AG113" s="447">
        <v>815</v>
      </c>
      <c r="AH113" s="447">
        <v>815</v>
      </c>
      <c r="AI113" s="1133"/>
      <c r="AJ113" s="508"/>
      <c r="AK113" s="1134"/>
      <c r="AL113" s="1128">
        <f t="shared" si="9"/>
        <v>0</v>
      </c>
      <c r="AM113" s="1133"/>
      <c r="AN113" s="1133"/>
    </row>
    <row r="114" spans="1:40">
      <c r="A114" s="101" t="s">
        <v>663</v>
      </c>
      <c r="B114" s="1114"/>
      <c r="C114" s="1114"/>
      <c r="D114" s="1114">
        <v>0.27428938356164395</v>
      </c>
      <c r="E114" s="1114">
        <v>0.31120974235104665</v>
      </c>
      <c r="F114" s="1114">
        <v>0.51518667642752614</v>
      </c>
      <c r="G114" s="1114">
        <v>0.35650994865211943</v>
      </c>
      <c r="H114" s="1114">
        <v>0.77316580478345165</v>
      </c>
      <c r="I114" s="1114">
        <v>0.20838025889967637</v>
      </c>
      <c r="J114" s="1114">
        <v>0.17239614489863669</v>
      </c>
      <c r="K114" s="1114">
        <v>0.24987772637144728</v>
      </c>
      <c r="L114" s="1114">
        <v>0.34594719471947266</v>
      </c>
      <c r="M114" s="1114">
        <v>0.53295289328293038</v>
      </c>
      <c r="N114" s="1114">
        <v>0.99013230590287937</v>
      </c>
      <c r="O114" s="1114">
        <v>0.79592406876790867</v>
      </c>
      <c r="P114" s="1114">
        <v>1.1715892537313437</v>
      </c>
      <c r="Q114" s="1114">
        <v>1.1943809181349627</v>
      </c>
      <c r="R114" s="1114">
        <v>1.3082000480307392</v>
      </c>
      <c r="S114" s="1114">
        <v>1.1408006223073228</v>
      </c>
      <c r="T114" s="1114">
        <v>0.9116446034585548</v>
      </c>
      <c r="U114" s="1114">
        <v>-4.4224376863446651</v>
      </c>
      <c r="V114" s="1114">
        <v>0.58178750298115978</v>
      </c>
      <c r="W114" s="1114">
        <v>2.0266829268292659</v>
      </c>
      <c r="X114" s="1114">
        <v>3.4455921946399881</v>
      </c>
      <c r="Y114" s="1614">
        <v>2.1412476786191648</v>
      </c>
      <c r="Z114" s="1614">
        <v>3.3293382725729281</v>
      </c>
      <c r="AA114" s="1614">
        <v>4.2820336457656243</v>
      </c>
      <c r="AB114" s="1614">
        <v>5.4775480156580336</v>
      </c>
      <c r="AC114" s="1614">
        <v>6.0408501743520473</v>
      </c>
      <c r="AD114" s="1614">
        <v>6.3562414963580967</v>
      </c>
      <c r="AE114" s="1614">
        <v>6.6712301956776905</v>
      </c>
      <c r="AF114" s="1614">
        <v>7.006671844426589</v>
      </c>
      <c r="AG114" s="1614">
        <v>7.3456615985637344</v>
      </c>
      <c r="AH114" s="1614">
        <v>7.6893255868925765</v>
      </c>
      <c r="AI114" s="508"/>
      <c r="AJ114" s="508"/>
      <c r="AK114" s="508"/>
      <c r="AL114" s="1128">
        <f t="shared" si="9"/>
        <v>0.41413732455232166</v>
      </c>
      <c r="AM114" s="508"/>
      <c r="AN114" s="508"/>
    </row>
    <row r="115" spans="1:40" s="13" customFormat="1">
      <c r="A115" s="590" t="s">
        <v>664</v>
      </c>
      <c r="B115" s="1615"/>
      <c r="C115" s="1615"/>
      <c r="D115" s="1615"/>
      <c r="E115" s="1615"/>
      <c r="F115" s="1615"/>
      <c r="G115" s="1615"/>
      <c r="H115" s="1615"/>
      <c r="I115" s="1615"/>
      <c r="J115" s="1615"/>
      <c r="K115" s="1615"/>
      <c r="L115" s="1615"/>
      <c r="M115" s="1615"/>
      <c r="N115" s="1615"/>
      <c r="O115" s="1532">
        <v>0.79592406876791133</v>
      </c>
      <c r="P115" s="1532">
        <v>1.1715892537313426</v>
      </c>
      <c r="Q115" s="1532">
        <v>1.1943809181349605</v>
      </c>
      <c r="R115" s="1532">
        <v>1.3082000480307381</v>
      </c>
      <c r="S115" s="1532">
        <v>1.1408006223073228</v>
      </c>
      <c r="T115" s="1532">
        <v>1.1051520572450773</v>
      </c>
      <c r="U115" s="1532">
        <v>-3.7996982707215294</v>
      </c>
      <c r="V115" s="1532">
        <v>0.99586215120438826</v>
      </c>
      <c r="W115" s="1532">
        <v>1.9906524390243876</v>
      </c>
      <c r="X115" s="1532">
        <v>3.6195245152525577</v>
      </c>
      <c r="Y115" s="1532">
        <v>2.0368901791081728</v>
      </c>
      <c r="Z115" s="1532">
        <v>3.5282862697831794</v>
      </c>
      <c r="AA115" s="1532">
        <v>4.6203939284674664</v>
      </c>
      <c r="AB115" s="1532">
        <v>5.8582500252464094</v>
      </c>
      <c r="AC115" s="1532">
        <v>6.5423893169377996</v>
      </c>
      <c r="AD115" s="1532">
        <v>6.9692028369447492</v>
      </c>
      <c r="AE115" s="1532">
        <v>7.3846835310819703</v>
      </c>
      <c r="AF115" s="1532">
        <v>7.8247092518258494</v>
      </c>
      <c r="AG115" s="1532">
        <v>8.2640105021088015</v>
      </c>
      <c r="AH115" s="1532">
        <v>8.7054977714961197</v>
      </c>
      <c r="AI115" s="1127"/>
      <c r="AJ115" s="1128">
        <v>-2.2653036077411164</v>
      </c>
      <c r="AK115" s="1128">
        <f>IFERROR((X115/U115)^(1/3)-1,"NM")</f>
        <v>-1.9839374040059536</v>
      </c>
      <c r="AL115" s="1128">
        <f t="shared" si="9"/>
        <v>0.50610654262747623</v>
      </c>
      <c r="AM115" s="1127">
        <f>IFERROR((AD115/AA115)^(1/3)-1,"NM")</f>
        <v>0.14683613057709666</v>
      </c>
      <c r="AN115" s="1241"/>
    </row>
    <row r="116" spans="1:40" s="1209" customFormat="1" hidden="1" outlineLevel="1">
      <c r="A116" s="1265" t="s">
        <v>1230</v>
      </c>
      <c r="B116" s="1533"/>
      <c r="C116" s="1533"/>
      <c r="D116" s="1533">
        <v>0.27428938356164395</v>
      </c>
      <c r="E116" s="1533">
        <v>0.31120974235104665</v>
      </c>
      <c r="F116" s="1533">
        <v>0.51518667642752614</v>
      </c>
      <c r="G116" s="1533">
        <v>0.35650994865211943</v>
      </c>
      <c r="H116" s="1533">
        <v>0.77316580478345165</v>
      </c>
      <c r="I116" s="1533">
        <v>0.20838025889967637</v>
      </c>
      <c r="J116" s="1533">
        <v>0.17239614489863669</v>
      </c>
      <c r="K116" s="1533">
        <v>0.24987772637144728</v>
      </c>
      <c r="L116" s="1533">
        <v>0.34594719471947266</v>
      </c>
      <c r="M116" s="1533">
        <v>0.53295289328293038</v>
      </c>
      <c r="N116" s="1533">
        <v>0.99013230590287937</v>
      </c>
      <c r="O116" s="1533">
        <v>0.79592406876790867</v>
      </c>
      <c r="P116" s="1533">
        <v>1.1715892537313437</v>
      </c>
      <c r="Q116" s="1533">
        <v>1.1943809181349627</v>
      </c>
      <c r="R116" s="1533">
        <v>1.3082000480307392</v>
      </c>
      <c r="S116" s="1533">
        <v>1.1408006223073228</v>
      </c>
      <c r="T116" s="1533">
        <v>0.9116446034585548</v>
      </c>
      <c r="U116" s="1533">
        <v>-4.4224376863446651</v>
      </c>
      <c r="V116" s="1533">
        <v>0.58178750298115978</v>
      </c>
      <c r="W116" s="1533">
        <v>2.0266829268292659</v>
      </c>
      <c r="X116" s="1533">
        <v>3.4455921946399881</v>
      </c>
      <c r="Y116" s="1533">
        <v>2.1412476786191648</v>
      </c>
      <c r="Z116" s="1533">
        <v>3.3293382725729281</v>
      </c>
      <c r="AA116" s="1533">
        <v>4.2820336457656243</v>
      </c>
      <c r="AB116" s="1533">
        <v>5.4775480156580336</v>
      </c>
      <c r="AC116" s="1533">
        <v>6.0408501743520473</v>
      </c>
      <c r="AD116" s="1533">
        <v>6.3562414963580967</v>
      </c>
      <c r="AE116" s="1533">
        <v>6.6712301956776905</v>
      </c>
      <c r="AF116" s="1533">
        <v>7.006671844426589</v>
      </c>
      <c r="AG116" s="1533">
        <v>7.3456615985637344</v>
      </c>
      <c r="AH116" s="1533">
        <v>7.6893255868925765</v>
      </c>
      <c r="AI116" s="1261"/>
      <c r="AJ116" s="1261">
        <v>-2.3042993220802908</v>
      </c>
      <c r="AK116" s="1261">
        <f>IFERROR((X116/U116)^(1/3)-1,"NM")</f>
        <v>-1.9201685470019796</v>
      </c>
      <c r="AL116" s="1128">
        <f t="shared" si="9"/>
        <v>0.41413732455232166</v>
      </c>
      <c r="AM116" s="1261">
        <f>IFERROR((AD116/AA116)^(1/3)-1,"NM")</f>
        <v>0.14073150968488579</v>
      </c>
      <c r="AN116" s="1261">
        <f>IFERROR((AH116/X116)^(1/10)-1,"NM")</f>
        <v>8.3583635371716092E-2</v>
      </c>
    </row>
    <row r="117" spans="1:40" hidden="1" outlineLevel="1">
      <c r="A117" s="95" t="s">
        <v>665</v>
      </c>
      <c r="B117" s="967"/>
      <c r="C117" s="967"/>
      <c r="D117" s="967">
        <v>43.343000000000004</v>
      </c>
      <c r="E117" s="1272">
        <v>78.266999999999996</v>
      </c>
      <c r="F117" s="1272">
        <v>104.13</v>
      </c>
      <c r="G117" s="1272">
        <v>167.67699999999999</v>
      </c>
      <c r="H117" s="1272">
        <v>67.84</v>
      </c>
      <c r="I117" s="1272">
        <v>0</v>
      </c>
      <c r="J117" s="967">
        <v>41.834000000000003</v>
      </c>
      <c r="K117" s="967">
        <v>245.958</v>
      </c>
      <c r="L117" s="1272">
        <v>122.648</v>
      </c>
      <c r="M117" s="1272">
        <v>0</v>
      </c>
      <c r="N117" s="1272">
        <v>343.87799999999999</v>
      </c>
      <c r="O117" s="1272">
        <v>0</v>
      </c>
      <c r="P117" s="1272">
        <v>419.173</v>
      </c>
      <c r="Q117" s="1272">
        <v>644.77099999999996</v>
      </c>
      <c r="R117" s="1272">
        <v>719.39800000000002</v>
      </c>
      <c r="S117" s="967">
        <v>720.14400000000001</v>
      </c>
      <c r="T117" s="967">
        <v>0</v>
      </c>
      <c r="U117" s="967">
        <v>0</v>
      </c>
      <c r="V117" s="967">
        <v>0</v>
      </c>
      <c r="W117" s="967">
        <v>0</v>
      </c>
      <c r="X117" s="967">
        <v>0</v>
      </c>
      <c r="Y117" s="1397">
        <v>978.01700000000005</v>
      </c>
      <c r="Z117" s="1397">
        <v>707.44737168106508</v>
      </c>
      <c r="AA117" s="1397">
        <v>1554.2548466739831</v>
      </c>
      <c r="AB117" s="1397">
        <v>2783.6654174172477</v>
      </c>
      <c r="AC117" s="1397">
        <v>4117.3745866159361</v>
      </c>
      <c r="AD117" s="1397">
        <v>5562.8433099046606</v>
      </c>
      <c r="AE117" s="1397">
        <v>7117.3793089865512</v>
      </c>
      <c r="AF117" s="1397">
        <v>8754.0077302446171</v>
      </c>
      <c r="AG117" s="1397">
        <v>10483.649998049916</v>
      </c>
      <c r="AH117" s="1397">
        <v>12285.033723050869</v>
      </c>
      <c r="AI117" s="1128"/>
      <c r="AJ117" s="1128">
        <v>-1</v>
      </c>
      <c r="AK117" s="1128" t="str">
        <f>IFERROR((W117/T117)^(1/3)-1,"NM")</f>
        <v>NM</v>
      </c>
      <c r="AL117" s="1128">
        <f t="shared" si="9"/>
        <v>0.26063079871893247</v>
      </c>
      <c r="AM117" s="1128">
        <f>IFERROR((AD117/AA117)^(1/3)-1,"NM")</f>
        <v>0.5296481024846138</v>
      </c>
      <c r="AN117" s="1128" t="str">
        <f>IFERROR((AH117/X117)^(1/10)-1,"NM")</f>
        <v>NM</v>
      </c>
    </row>
    <row r="118" spans="1:40" collapsed="1">
      <c r="A118" s="101" t="s">
        <v>666</v>
      </c>
      <c r="B118" s="1114"/>
      <c r="C118" s="1114"/>
      <c r="D118" s="1114">
        <v>9.2771832191780826E-2</v>
      </c>
      <c r="E118" s="1114">
        <v>0.15754227053140096</v>
      </c>
      <c r="F118" s="1114">
        <v>0.19057467057101024</v>
      </c>
      <c r="G118" s="1114">
        <v>0.26905808729139918</v>
      </c>
      <c r="H118" s="1114">
        <v>0.10963154492566259</v>
      </c>
      <c r="I118" s="1114">
        <v>0</v>
      </c>
      <c r="J118" s="1114">
        <v>6.9514788966434038E-2</v>
      </c>
      <c r="K118" s="1114">
        <v>0.40640779907468599</v>
      </c>
      <c r="L118" s="1534">
        <v>0.20238943894389438</v>
      </c>
      <c r="M118" s="1534">
        <v>0</v>
      </c>
      <c r="N118" s="1534">
        <v>0.49996801395754581</v>
      </c>
      <c r="O118" s="1534">
        <v>0</v>
      </c>
      <c r="P118" s="1534">
        <v>0.50050507462686566</v>
      </c>
      <c r="Q118" s="1534">
        <v>0.77282871868632386</v>
      </c>
      <c r="R118" s="1534">
        <v>0.86383045148895299</v>
      </c>
      <c r="S118" s="1114">
        <v>0.86182862613690758</v>
      </c>
      <c r="T118" s="1114">
        <v>0</v>
      </c>
      <c r="U118" s="1114">
        <v>0</v>
      </c>
      <c r="V118" s="1114">
        <v>0</v>
      </c>
      <c r="W118" s="1114">
        <v>0</v>
      </c>
      <c r="X118" s="1114">
        <v>0</v>
      </c>
      <c r="Y118" s="1614">
        <v>1.2000208588957055</v>
      </c>
      <c r="Z118" s="1614">
        <v>0.86803358488474247</v>
      </c>
      <c r="AA118" s="1614">
        <v>1.9070611615631694</v>
      </c>
      <c r="AB118" s="1614">
        <v>3.4155403894690157</v>
      </c>
      <c r="AC118" s="1614">
        <v>5.0519933578109644</v>
      </c>
      <c r="AD118" s="1614">
        <v>6.8255746133799517</v>
      </c>
      <c r="AE118" s="1614">
        <v>8.7329807472227614</v>
      </c>
      <c r="AF118" s="1614">
        <v>10.741113779441248</v>
      </c>
      <c r="AG118" s="1614">
        <v>12.863374230736094</v>
      </c>
      <c r="AH118" s="1614">
        <v>15.073661009878366</v>
      </c>
      <c r="AI118" s="508"/>
      <c r="AJ118" s="508"/>
      <c r="AK118" s="508"/>
      <c r="AL118" s="508"/>
      <c r="AM118" s="508"/>
      <c r="AN118" s="508"/>
    </row>
    <row r="119" spans="1:40">
      <c r="A119" s="126" t="s">
        <v>1549</v>
      </c>
      <c r="B119" s="127"/>
      <c r="C119" s="127"/>
      <c r="D119" s="127"/>
      <c r="E119" s="127"/>
      <c r="F119" s="127"/>
      <c r="G119" s="1535"/>
      <c r="H119" s="1535"/>
      <c r="I119" s="1535"/>
      <c r="J119" s="1535"/>
      <c r="K119" s="1535"/>
      <c r="L119" s="1535"/>
      <c r="M119" s="1535"/>
      <c r="N119" s="1535"/>
      <c r="O119" s="1535"/>
      <c r="P119" s="1535"/>
      <c r="Q119" s="1535"/>
      <c r="R119" s="1535"/>
      <c r="S119" s="1535"/>
      <c r="T119" s="1535"/>
      <c r="U119" s="1535"/>
      <c r="V119" s="127"/>
      <c r="W119" s="127"/>
      <c r="X119" s="127"/>
      <c r="Y119" s="127"/>
      <c r="Z119" s="127"/>
      <c r="AA119" s="127"/>
      <c r="AB119" s="127"/>
      <c r="AC119" s="127"/>
      <c r="AD119" s="127"/>
      <c r="AE119" s="127"/>
      <c r="AF119" s="127"/>
      <c r="AG119" s="127"/>
      <c r="AH119" s="127" t="s">
        <v>281</v>
      </c>
      <c r="AI119" s="508"/>
      <c r="AJ119" s="508"/>
      <c r="AK119" s="508"/>
      <c r="AL119" s="508"/>
      <c r="AM119" s="508"/>
      <c r="AN119" s="508"/>
    </row>
    <row r="120" spans="1:40">
      <c r="A120" s="94"/>
      <c r="B120" s="1536"/>
      <c r="C120" s="1536"/>
      <c r="D120" s="1536"/>
      <c r="E120" s="1536"/>
      <c r="F120" s="438"/>
      <c r="G120" s="1536"/>
      <c r="H120" s="1536"/>
      <c r="I120" s="1536"/>
      <c r="J120" s="1536"/>
      <c r="K120" s="1536"/>
      <c r="L120" s="1536"/>
      <c r="M120" s="438"/>
      <c r="N120" s="1536"/>
      <c r="O120" s="1536"/>
      <c r="P120" s="1536"/>
      <c r="Q120" s="1536"/>
      <c r="R120" s="1536"/>
      <c r="S120" s="1536"/>
      <c r="T120" s="1536"/>
      <c r="U120" s="1536"/>
      <c r="V120" s="1536"/>
      <c r="W120" s="1536"/>
      <c r="X120" s="1536"/>
      <c r="Y120" s="1536"/>
      <c r="Z120" s="1536"/>
      <c r="AA120" s="1536"/>
      <c r="AB120" s="1536"/>
      <c r="AC120" s="1536"/>
      <c r="AD120" s="1536"/>
      <c r="AE120" s="1536"/>
      <c r="AF120" s="1536"/>
      <c r="AG120" s="1536"/>
      <c r="AH120" s="1536"/>
      <c r="AI120" s="104"/>
      <c r="AJ120" s="104"/>
      <c r="AK120" s="104"/>
      <c r="AL120" s="104"/>
      <c r="AM120" s="104"/>
      <c r="AN120" s="104"/>
    </row>
    <row r="121" spans="1:40">
      <c r="A121" s="1126" t="s">
        <v>667</v>
      </c>
      <c r="B121" s="1124">
        <v>2001</v>
      </c>
      <c r="C121" s="1124">
        <v>2002</v>
      </c>
      <c r="D121" s="1124">
        <v>2003</v>
      </c>
      <c r="E121" s="1124">
        <v>2004</v>
      </c>
      <c r="F121" s="1124">
        <v>2005</v>
      </c>
      <c r="G121" s="1124">
        <v>2006</v>
      </c>
      <c r="H121" s="1124">
        <v>2007</v>
      </c>
      <c r="I121" s="1124">
        <v>2008</v>
      </c>
      <c r="J121" s="1124">
        <v>2009</v>
      </c>
      <c r="K121" s="1124">
        <v>2010</v>
      </c>
      <c r="L121" s="1124">
        <v>2011</v>
      </c>
      <c r="M121" s="1124">
        <v>2012</v>
      </c>
      <c r="N121" s="1124">
        <v>2013</v>
      </c>
      <c r="O121" s="1124">
        <v>2014</v>
      </c>
      <c r="P121" s="1124">
        <v>2015</v>
      </c>
      <c r="Q121" s="1124">
        <v>2016</v>
      </c>
      <c r="R121" s="1124">
        <v>2017</v>
      </c>
      <c r="S121" s="1124">
        <v>2018</v>
      </c>
      <c r="T121" s="1124">
        <v>2019</v>
      </c>
      <c r="U121" s="1124">
        <v>2020</v>
      </c>
      <c r="V121" s="1124">
        <v>2021</v>
      </c>
      <c r="W121" s="1124">
        <v>2022</v>
      </c>
      <c r="X121" s="1124">
        <v>2023</v>
      </c>
      <c r="Y121" s="1445">
        <v>2024</v>
      </c>
      <c r="Z121" s="1445">
        <v>2025</v>
      </c>
      <c r="AA121" s="1445">
        <v>2026</v>
      </c>
      <c r="AB121" s="1445">
        <v>2027</v>
      </c>
      <c r="AC121" s="1445">
        <v>2028</v>
      </c>
      <c r="AD121" s="1445">
        <v>2029</v>
      </c>
      <c r="AE121" s="1445">
        <v>2030</v>
      </c>
      <c r="AF121" s="1445">
        <v>2031</v>
      </c>
      <c r="AG121" s="1445">
        <v>2032</v>
      </c>
      <c r="AH121" s="1445">
        <v>2033</v>
      </c>
      <c r="AI121" s="508"/>
      <c r="AJ121" s="508"/>
      <c r="AK121" s="508"/>
      <c r="AL121" s="508"/>
      <c r="AM121" s="508"/>
      <c r="AN121" s="508"/>
    </row>
    <row r="122" spans="1:40">
      <c r="A122" s="122" t="s">
        <v>62</v>
      </c>
      <c r="B122" s="1616"/>
      <c r="C122" s="1616"/>
      <c r="D122" s="1616"/>
      <c r="E122" s="1616"/>
      <c r="F122" s="1537"/>
      <c r="G122" s="1537"/>
      <c r="H122" s="1537"/>
      <c r="I122" s="1537"/>
      <c r="J122" s="1616"/>
      <c r="K122" s="1616"/>
      <c r="L122" s="1616"/>
      <c r="M122" s="1537"/>
      <c r="N122" s="1537"/>
      <c r="O122" s="1537"/>
      <c r="P122" s="1537"/>
      <c r="Q122" s="1537"/>
      <c r="R122" s="1537"/>
      <c r="S122" s="1616"/>
      <c r="T122" s="1616"/>
      <c r="U122" s="1616"/>
      <c r="V122" s="1616"/>
      <c r="W122" s="1616"/>
      <c r="X122" s="1616"/>
      <c r="Y122" s="1616"/>
      <c r="Z122" s="1616"/>
      <c r="AA122" s="1616"/>
      <c r="AB122" s="1616"/>
      <c r="AC122" s="1616"/>
      <c r="AD122" s="1616"/>
      <c r="AE122" s="1616"/>
      <c r="AF122" s="1616"/>
      <c r="AG122" s="1616"/>
      <c r="AH122" s="1616"/>
      <c r="AI122" s="508"/>
      <c r="AJ122" s="508"/>
      <c r="AK122" s="508"/>
      <c r="AL122" s="508"/>
      <c r="AM122" s="508"/>
      <c r="AN122" s="508"/>
    </row>
    <row r="123" spans="1:40">
      <c r="A123" s="721" t="s">
        <v>63</v>
      </c>
      <c r="B123" s="967">
        <v>181.71699999999998</v>
      </c>
      <c r="C123" s="967">
        <v>271.52500000000003</v>
      </c>
      <c r="D123" s="967">
        <v>260.60399999999998</v>
      </c>
      <c r="E123" s="967">
        <v>338.76300000000003</v>
      </c>
      <c r="F123" s="967">
        <v>606.67600000000004</v>
      </c>
      <c r="G123" s="967">
        <v>751.4319999999999</v>
      </c>
      <c r="H123" s="967">
        <v>829.23</v>
      </c>
      <c r="I123" s="967">
        <v>1002.3040000000001</v>
      </c>
      <c r="J123" s="967">
        <v>992.6</v>
      </c>
      <c r="K123" s="967">
        <v>955.31</v>
      </c>
      <c r="L123" s="967">
        <v>928.69399999999996</v>
      </c>
      <c r="M123" s="967">
        <v>2418.83</v>
      </c>
      <c r="N123" s="967">
        <v>3386.0430000000001</v>
      </c>
      <c r="O123" s="967">
        <v>13597.599</v>
      </c>
      <c r="P123" s="967">
        <v>13753.902</v>
      </c>
      <c r="Q123" s="967">
        <v>15215.335999999999</v>
      </c>
      <c r="R123" s="967">
        <v>15358.005999999999</v>
      </c>
      <c r="S123" s="967">
        <v>25749.010999999999</v>
      </c>
      <c r="T123" s="967">
        <v>27375.208999999999</v>
      </c>
      <c r="U123" s="967">
        <v>28817</v>
      </c>
      <c r="V123" s="967">
        <v>27796.563999999998</v>
      </c>
      <c r="W123" s="967">
        <v>26671.732</v>
      </c>
      <c r="X123" s="967">
        <v>24991.065999999999</v>
      </c>
      <c r="Y123" s="1397">
        <v>24226.096441226942</v>
      </c>
      <c r="Z123" s="1397">
        <v>22831.37491894397</v>
      </c>
      <c r="AA123" s="1397">
        <v>21516.948962619736</v>
      </c>
      <c r="AB123" s="1397">
        <v>20278.195873163684</v>
      </c>
      <c r="AC123" s="1397">
        <v>19626.219407437969</v>
      </c>
      <c r="AD123" s="1397">
        <v>18995.205028996501</v>
      </c>
      <c r="AE123" s="1397">
        <v>18384.478773169671</v>
      </c>
      <c r="AF123" s="1397">
        <v>17793.388344331117</v>
      </c>
      <c r="AG123" s="1397">
        <v>17221.30241920329</v>
      </c>
      <c r="AH123" s="1397">
        <v>16667.609972562856</v>
      </c>
      <c r="AI123" s="1128"/>
      <c r="AJ123" s="1428"/>
      <c r="AK123" s="1428"/>
      <c r="AL123" s="1128"/>
      <c r="AM123" s="1128"/>
      <c r="AN123" s="1128"/>
    </row>
    <row r="124" spans="1:40">
      <c r="A124" s="721" t="s">
        <v>64</v>
      </c>
      <c r="B124" s="967">
        <v>822.97699999999998</v>
      </c>
      <c r="C124" s="967">
        <v>832.29399999999998</v>
      </c>
      <c r="D124" s="967">
        <v>875.50300000000004</v>
      </c>
      <c r="E124" s="967">
        <v>1308.741</v>
      </c>
      <c r="F124" s="967">
        <v>1809.133</v>
      </c>
      <c r="G124" s="967">
        <v>2244.79</v>
      </c>
      <c r="H124" s="967">
        <v>2748.3519999999999</v>
      </c>
      <c r="I124" s="967">
        <v>3044.9110000000001</v>
      </c>
      <c r="J124" s="967">
        <v>2897.6779999999999</v>
      </c>
      <c r="K124" s="967">
        <v>2994.123</v>
      </c>
      <c r="L124" s="967">
        <v>3472.42</v>
      </c>
      <c r="M124" s="967">
        <v>3924.1080000000002</v>
      </c>
      <c r="N124" s="967">
        <v>4764.3959999999997</v>
      </c>
      <c r="O124" s="967">
        <v>9947.0660000000007</v>
      </c>
      <c r="P124" s="967">
        <v>11063.805</v>
      </c>
      <c r="Q124" s="967">
        <v>13673.445</v>
      </c>
      <c r="R124" s="967">
        <v>15772.478999999999</v>
      </c>
      <c r="S124" s="967">
        <v>17993.148000000001</v>
      </c>
      <c r="T124" s="967">
        <v>17538.350999999999</v>
      </c>
      <c r="U124" s="967">
        <v>15880</v>
      </c>
      <c r="V124" s="967">
        <v>15277.931</v>
      </c>
      <c r="W124" s="967">
        <v>15428.754999999999</v>
      </c>
      <c r="X124" s="967">
        <v>15644.915000000001</v>
      </c>
      <c r="Y124" s="1397">
        <v>19405.176491341444</v>
      </c>
      <c r="Z124" s="1397">
        <v>22418.3818247085</v>
      </c>
      <c r="AA124" s="1397">
        <v>25036.473542764699</v>
      </c>
      <c r="AB124" s="1397">
        <v>27498.35607153206</v>
      </c>
      <c r="AC124" s="1397">
        <v>29879.825628428425</v>
      </c>
      <c r="AD124" s="1397">
        <v>32163.341227774919</v>
      </c>
      <c r="AE124" s="1397">
        <v>34103.56333930511</v>
      </c>
      <c r="AF124" s="1397">
        <v>35947.772192471712</v>
      </c>
      <c r="AG124" s="1397">
        <v>37693.440973958815</v>
      </c>
      <c r="AH124" s="1397">
        <v>39079.61463846964</v>
      </c>
      <c r="AI124" s="1128"/>
      <c r="AJ124" s="1428"/>
      <c r="AK124" s="1428"/>
      <c r="AL124" s="1128"/>
      <c r="AM124" s="1128"/>
      <c r="AN124" s="1128"/>
    </row>
    <row r="125" spans="1:40">
      <c r="A125" s="722" t="s">
        <v>347</v>
      </c>
      <c r="B125" s="967">
        <v>53.679000000000002</v>
      </c>
      <c r="C125" s="967">
        <v>47.076000000000001</v>
      </c>
      <c r="D125" s="967">
        <v>74.444000000000003</v>
      </c>
      <c r="E125" s="967">
        <v>3.669</v>
      </c>
      <c r="F125" s="967">
        <v>3.8980000000000001</v>
      </c>
      <c r="G125" s="967">
        <v>3.5150000000000001</v>
      </c>
      <c r="H125" s="967">
        <v>22.873999999999999</v>
      </c>
      <c r="I125" s="967">
        <v>28.884</v>
      </c>
      <c r="J125" s="967">
        <v>25.033000000000001</v>
      </c>
      <c r="K125" s="967">
        <v>20.783000000000001</v>
      </c>
      <c r="L125" s="967">
        <v>30.393999999999998</v>
      </c>
      <c r="M125" s="967">
        <v>40.295999999999999</v>
      </c>
      <c r="N125" s="967">
        <v>788.66499999999996</v>
      </c>
      <c r="O125" s="967">
        <v>829.82399999999996</v>
      </c>
      <c r="P125" s="967">
        <v>922.96199999999999</v>
      </c>
      <c r="Q125" s="967">
        <v>1001.398</v>
      </c>
      <c r="R125" s="967">
        <v>0</v>
      </c>
      <c r="S125" s="967">
        <v>14.295999999999999</v>
      </c>
      <c r="T125" s="967">
        <v>85.471000000000004</v>
      </c>
      <c r="U125" s="967">
        <v>90</v>
      </c>
      <c r="V125" s="967">
        <v>131.86699999999999</v>
      </c>
      <c r="W125" s="967">
        <v>156.90299999999999</v>
      </c>
      <c r="X125" s="967">
        <v>164.00299999999999</v>
      </c>
      <c r="Y125" s="1397">
        <v>164.00299999999999</v>
      </c>
      <c r="Z125" s="1397">
        <v>164.00299999999999</v>
      </c>
      <c r="AA125" s="1397">
        <v>164.00299999999999</v>
      </c>
      <c r="AB125" s="1397">
        <v>164.00299999999999</v>
      </c>
      <c r="AC125" s="1397">
        <v>164.00299999999999</v>
      </c>
      <c r="AD125" s="1397">
        <v>164.00299999999999</v>
      </c>
      <c r="AE125" s="1397">
        <v>164.00299999999999</v>
      </c>
      <c r="AF125" s="1397">
        <v>164.00299999999999</v>
      </c>
      <c r="AG125" s="1397">
        <v>164.00299999999999</v>
      </c>
      <c r="AH125" s="1397">
        <v>164.00299999999999</v>
      </c>
      <c r="AI125" s="1128"/>
      <c r="AJ125" s="1428"/>
      <c r="AK125" s="1428"/>
      <c r="AL125" s="1128"/>
      <c r="AM125" s="1128"/>
      <c r="AN125" s="1128"/>
    </row>
    <row r="126" spans="1:40">
      <c r="A126" s="722" t="s">
        <v>1236</v>
      </c>
      <c r="B126" s="967">
        <v>0</v>
      </c>
      <c r="C126" s="967">
        <v>0</v>
      </c>
      <c r="D126" s="967">
        <v>0</v>
      </c>
      <c r="E126" s="967">
        <v>0</v>
      </c>
      <c r="F126" s="967">
        <v>0</v>
      </c>
      <c r="G126" s="967">
        <v>0</v>
      </c>
      <c r="H126" s="967">
        <v>0</v>
      </c>
      <c r="I126" s="967">
        <v>0</v>
      </c>
      <c r="J126" s="967">
        <v>0</v>
      </c>
      <c r="K126" s="967">
        <v>0</v>
      </c>
      <c r="L126" s="967">
        <v>0</v>
      </c>
      <c r="M126" s="967">
        <v>0</v>
      </c>
      <c r="N126" s="967">
        <v>0</v>
      </c>
      <c r="O126" s="967">
        <v>0</v>
      </c>
      <c r="P126" s="967">
        <v>0</v>
      </c>
      <c r="Q126" s="967">
        <v>0</v>
      </c>
      <c r="R126" s="967">
        <v>0</v>
      </c>
      <c r="S126" s="967">
        <v>0</v>
      </c>
      <c r="T126" s="967">
        <v>20347.108</v>
      </c>
      <c r="U126" s="967">
        <v>23423</v>
      </c>
      <c r="V126" s="967">
        <v>22274.256000000001</v>
      </c>
      <c r="W126" s="967">
        <v>20604.243999999999</v>
      </c>
      <c r="X126" s="967">
        <v>17151.940999999999</v>
      </c>
      <c r="Y126" s="1397">
        <v>17340.291743278991</v>
      </c>
      <c r="Z126" s="1397">
        <v>18016.163648638871</v>
      </c>
      <c r="AA126" s="1397">
        <v>18918.40961275631</v>
      </c>
      <c r="AB126" s="1397">
        <v>19809.7702309458</v>
      </c>
      <c r="AC126" s="1397">
        <v>20802.811776699276</v>
      </c>
      <c r="AD126" s="1397">
        <v>21928.304141625937</v>
      </c>
      <c r="AE126" s="1397">
        <v>23123.111018988002</v>
      </c>
      <c r="AF126" s="1397">
        <v>24420.353385000111</v>
      </c>
      <c r="AG126" s="1397">
        <v>25835.608722499746</v>
      </c>
      <c r="AH126" s="1397">
        <v>27326.187692952142</v>
      </c>
      <c r="AI126" s="1128"/>
      <c r="AJ126" s="1428"/>
      <c r="AK126" s="1428"/>
      <c r="AL126" s="1128"/>
      <c r="AM126" s="1128"/>
      <c r="AN126" s="1128"/>
    </row>
    <row r="127" spans="1:40">
      <c r="A127" s="723" t="s">
        <v>621</v>
      </c>
      <c r="B127" s="967">
        <v>10.439</v>
      </c>
      <c r="C127" s="967">
        <v>37.771999999999998</v>
      </c>
      <c r="D127" s="967">
        <v>30.786999999999999</v>
      </c>
      <c r="E127" s="967">
        <v>4.1269999999999998</v>
      </c>
      <c r="F127" s="967">
        <v>12.048</v>
      </c>
      <c r="G127" s="967">
        <v>99.655000000000001</v>
      </c>
      <c r="H127" s="967">
        <v>268.36099999999999</v>
      </c>
      <c r="I127" s="967">
        <v>341.95099999999996</v>
      </c>
      <c r="J127" s="967">
        <v>458.14</v>
      </c>
      <c r="K127" s="967">
        <v>535.17499999999995</v>
      </c>
      <c r="L127" s="967">
        <v>692.42</v>
      </c>
      <c r="M127" s="967">
        <v>828.96500000000003</v>
      </c>
      <c r="N127" s="967">
        <v>741.28200000000004</v>
      </c>
      <c r="O127" s="967">
        <v>1320.8810000000001</v>
      </c>
      <c r="P127" s="967">
        <v>1710.943</v>
      </c>
      <c r="Q127" s="967">
        <v>1900.191</v>
      </c>
      <c r="R127" s="967">
        <v>2456.0720000000001</v>
      </c>
      <c r="S127" s="967">
        <v>2730.5549999999998</v>
      </c>
      <c r="T127" s="967">
        <v>3835.5929999999998</v>
      </c>
      <c r="U127" s="967">
        <v>6698</v>
      </c>
      <c r="V127" s="967">
        <v>5751.8270000000002</v>
      </c>
      <c r="W127" s="967">
        <v>5233.857</v>
      </c>
      <c r="X127" s="967">
        <v>6372.8</v>
      </c>
      <c r="Y127" s="1397">
        <v>6446.9470000000001</v>
      </c>
      <c r="Z127" s="1397">
        <v>6446.9470000000001</v>
      </c>
      <c r="AA127" s="1397">
        <v>6446.9470000000001</v>
      </c>
      <c r="AB127" s="1397">
        <v>6446.9470000000001</v>
      </c>
      <c r="AC127" s="1397">
        <v>6446.9470000000001</v>
      </c>
      <c r="AD127" s="1397">
        <v>6446.9470000000001</v>
      </c>
      <c r="AE127" s="1397">
        <v>6446.9470000000001</v>
      </c>
      <c r="AF127" s="1397">
        <v>6446.9470000000001</v>
      </c>
      <c r="AG127" s="1397">
        <v>6446.9470000000001</v>
      </c>
      <c r="AH127" s="1397">
        <v>6446.9470000000001</v>
      </c>
      <c r="AI127" s="1128"/>
      <c r="AJ127" s="1428"/>
      <c r="AK127" s="1428"/>
      <c r="AL127" s="1128"/>
      <c r="AM127" s="1128"/>
      <c r="AN127" s="1128"/>
    </row>
    <row r="128" spans="1:40">
      <c r="A128" s="109" t="s">
        <v>66</v>
      </c>
      <c r="B128" s="1538">
        <v>1068.8120000000001</v>
      </c>
      <c r="C128" s="1538">
        <v>1188.6669999999999</v>
      </c>
      <c r="D128" s="1538">
        <v>1241.338</v>
      </c>
      <c r="E128" s="1538">
        <v>1655.3</v>
      </c>
      <c r="F128" s="1538">
        <v>2431.7550000000001</v>
      </c>
      <c r="G128" s="1538">
        <v>3099.3919999999998</v>
      </c>
      <c r="H128" s="1538">
        <v>3868.8169999999996</v>
      </c>
      <c r="I128" s="1538">
        <v>4418.05</v>
      </c>
      <c r="J128" s="1538">
        <v>4373.451</v>
      </c>
      <c r="K128" s="1538">
        <v>4505.3909999999996</v>
      </c>
      <c r="L128" s="1538">
        <v>5123.9279999999999</v>
      </c>
      <c r="M128" s="1538">
        <v>7212.1990000000005</v>
      </c>
      <c r="N128" s="1538">
        <v>9680.3859999999986</v>
      </c>
      <c r="O128" s="1538">
        <v>25695.370000000003</v>
      </c>
      <c r="P128" s="1538">
        <v>27451.612000000001</v>
      </c>
      <c r="Q128" s="1538">
        <v>31790.37</v>
      </c>
      <c r="R128" s="1538">
        <v>33586.557000000001</v>
      </c>
      <c r="S128" s="1538">
        <v>46487.01</v>
      </c>
      <c r="T128" s="1538">
        <v>69181.731999999989</v>
      </c>
      <c r="U128" s="1538">
        <v>74908</v>
      </c>
      <c r="V128" s="1538">
        <v>71232.444999999992</v>
      </c>
      <c r="W128" s="1538">
        <v>68095.490999999995</v>
      </c>
      <c r="X128" s="1538">
        <v>64324.724999999999</v>
      </c>
      <c r="Y128" s="1617">
        <v>67582.514675847371</v>
      </c>
      <c r="Z128" s="1617">
        <v>69876.870392291341</v>
      </c>
      <c r="AA128" s="1617">
        <v>72082.782118140734</v>
      </c>
      <c r="AB128" s="1617">
        <v>74197.272175641541</v>
      </c>
      <c r="AC128" s="1617">
        <v>76919.806812565672</v>
      </c>
      <c r="AD128" s="1617">
        <v>79697.800398397361</v>
      </c>
      <c r="AE128" s="1617">
        <v>82222.103131462776</v>
      </c>
      <c r="AF128" s="1617">
        <v>84772.463921802933</v>
      </c>
      <c r="AG128" s="1617">
        <v>87361.302115661849</v>
      </c>
      <c r="AH128" s="1617">
        <v>89684.362303984628</v>
      </c>
      <c r="AI128" s="1128"/>
      <c r="AJ128" s="1428"/>
      <c r="AK128" s="1428"/>
      <c r="AL128" s="1128"/>
      <c r="AM128" s="1128"/>
      <c r="AN128" s="1128"/>
    </row>
    <row r="129" spans="1:40">
      <c r="A129" s="723" t="s">
        <v>67</v>
      </c>
      <c r="B129" s="967">
        <v>99.13</v>
      </c>
      <c r="C129" s="967">
        <v>207.08600000000001</v>
      </c>
      <c r="D129" s="967">
        <v>205.8</v>
      </c>
      <c r="E129" s="967">
        <v>147.19499999999999</v>
      </c>
      <c r="F129" s="967">
        <v>165.05500000000001</v>
      </c>
      <c r="G129" s="967">
        <v>244.262</v>
      </c>
      <c r="H129" s="967">
        <v>209.327</v>
      </c>
      <c r="I129" s="967">
        <v>661.86300000000006</v>
      </c>
      <c r="J129" s="967">
        <v>463.214</v>
      </c>
      <c r="K129" s="967">
        <v>640.20299999999997</v>
      </c>
      <c r="L129" s="967">
        <v>739.37900000000002</v>
      </c>
      <c r="M129" s="967">
        <v>932.59400000000005</v>
      </c>
      <c r="N129" s="967">
        <v>663.27</v>
      </c>
      <c r="O129" s="967">
        <v>1112.8499999999999</v>
      </c>
      <c r="P129" s="967">
        <v>1195.8139999999999</v>
      </c>
      <c r="Q129" s="967">
        <v>2547.8420000000001</v>
      </c>
      <c r="R129" s="967">
        <v>1540.403</v>
      </c>
      <c r="S129" s="967">
        <v>1987.857</v>
      </c>
      <c r="T129" s="967">
        <v>2625.3890000000001</v>
      </c>
      <c r="U129" s="967">
        <v>3932</v>
      </c>
      <c r="V129" s="967">
        <v>6893.433</v>
      </c>
      <c r="W129" s="967">
        <v>6099.7089999999998</v>
      </c>
      <c r="X129" s="967">
        <v>6409.7979999999998</v>
      </c>
      <c r="Y129" s="1397">
        <v>4720.2990221226773</v>
      </c>
      <c r="Z129" s="1397">
        <v>8493.5500296094651</v>
      </c>
      <c r="AA129" s="1397">
        <v>13729.319643431854</v>
      </c>
      <c r="AB129" s="1397">
        <v>19147.433324976839</v>
      </c>
      <c r="AC129" s="1397">
        <v>21459.163156257204</v>
      </c>
      <c r="AD129" s="1397">
        <v>23968.399924420206</v>
      </c>
      <c r="AE129" s="1397">
        <v>26928.38278087154</v>
      </c>
      <c r="AF129" s="1397">
        <v>30118.317719719606</v>
      </c>
      <c r="AG129" s="1397">
        <v>34551.652239166258</v>
      </c>
      <c r="AH129" s="1397">
        <v>38635.572052865449</v>
      </c>
      <c r="AI129" s="1128"/>
      <c r="AJ129" s="1428"/>
      <c r="AK129" s="1428"/>
      <c r="AL129" s="1128"/>
      <c r="AM129" s="1128"/>
      <c r="AN129" s="1128"/>
    </row>
    <row r="130" spans="1:40">
      <c r="A130" s="723" t="s">
        <v>68</v>
      </c>
      <c r="B130" s="967">
        <v>110.291</v>
      </c>
      <c r="C130" s="967">
        <v>121.56</v>
      </c>
      <c r="D130" s="967">
        <v>133.27799999999999</v>
      </c>
      <c r="E130" s="967">
        <v>142.49700000000001</v>
      </c>
      <c r="F130" s="967">
        <v>189.31799999999998</v>
      </c>
      <c r="G130" s="967">
        <v>210.517</v>
      </c>
      <c r="H130" s="967">
        <v>309.786</v>
      </c>
      <c r="I130" s="967">
        <v>182.87299999999999</v>
      </c>
      <c r="J130" s="967">
        <v>196.14699999999999</v>
      </c>
      <c r="K130" s="967">
        <v>246.70599999999999</v>
      </c>
      <c r="L130" s="967">
        <v>385.57799999999997</v>
      </c>
      <c r="M130" s="967">
        <v>535.93100000000004</v>
      </c>
      <c r="N130" s="967">
        <v>628.81799999999998</v>
      </c>
      <c r="O130" s="967">
        <v>895.54300000000001</v>
      </c>
      <c r="P130" s="967">
        <v>904.85299999999995</v>
      </c>
      <c r="Q130" s="967">
        <v>953.63800000000003</v>
      </c>
      <c r="R130" s="967">
        <v>1250.588</v>
      </c>
      <c r="S130" s="967">
        <v>1025.1179999999999</v>
      </c>
      <c r="T130" s="967">
        <v>1447.221</v>
      </c>
      <c r="U130" s="967">
        <v>1706</v>
      </c>
      <c r="V130" s="967">
        <v>1751.527</v>
      </c>
      <c r="W130" s="967">
        <v>2029.42</v>
      </c>
      <c r="X130" s="967">
        <v>2372.241</v>
      </c>
      <c r="Y130" s="1397">
        <v>2521.1072568450909</v>
      </c>
      <c r="Z130" s="1397">
        <v>2768.2488315435803</v>
      </c>
      <c r="AA130" s="1397">
        <v>2988.4759475203846</v>
      </c>
      <c r="AB130" s="1397">
        <v>3203.9326446045052</v>
      </c>
      <c r="AC130" s="1397">
        <v>3405.4285382873654</v>
      </c>
      <c r="AD130" s="1397">
        <v>3617.875077983128</v>
      </c>
      <c r="AE130" s="1397">
        <v>3835.2101052364646</v>
      </c>
      <c r="AF130" s="1397">
        <v>4063.0606017859973</v>
      </c>
      <c r="AG130" s="1397">
        <v>4303.2773181249022</v>
      </c>
      <c r="AH130" s="1397">
        <v>4550.6151134377424</v>
      </c>
      <c r="AI130" s="1128"/>
      <c r="AJ130" s="1428"/>
      <c r="AK130" s="1428"/>
      <c r="AL130" s="1128"/>
      <c r="AM130" s="1128"/>
      <c r="AN130" s="1128"/>
    </row>
    <row r="131" spans="1:40">
      <c r="A131" s="723" t="s">
        <v>345</v>
      </c>
      <c r="B131" s="955">
        <v>88.174000000000007</v>
      </c>
      <c r="C131" s="955">
        <v>69.954999999999998</v>
      </c>
      <c r="D131" s="955">
        <v>113.45699999999999</v>
      </c>
      <c r="E131" s="955">
        <v>181.892</v>
      </c>
      <c r="F131" s="955">
        <v>140.095</v>
      </c>
      <c r="G131" s="955">
        <v>226.386</v>
      </c>
      <c r="H131" s="955">
        <v>235.25200000000001</v>
      </c>
      <c r="I131" s="955">
        <v>361.524</v>
      </c>
      <c r="J131" s="955">
        <v>336.87</v>
      </c>
      <c r="K131" s="955">
        <v>352.32499999999999</v>
      </c>
      <c r="L131" s="955">
        <v>403.13</v>
      </c>
      <c r="M131" s="955">
        <v>550.39400000000001</v>
      </c>
      <c r="N131" s="955">
        <v>641.88</v>
      </c>
      <c r="O131" s="955">
        <v>1055.174</v>
      </c>
      <c r="P131" s="955">
        <v>1377.981</v>
      </c>
      <c r="Q131" s="955">
        <v>1575.3630000000001</v>
      </c>
      <c r="R131" s="955">
        <v>2009.779</v>
      </c>
      <c r="S131" s="955">
        <v>2120.2080000000001</v>
      </c>
      <c r="T131" s="955">
        <v>1779.646</v>
      </c>
      <c r="U131" s="955">
        <v>1618</v>
      </c>
      <c r="V131" s="955">
        <v>2009.258</v>
      </c>
      <c r="W131" s="955">
        <v>2895.326</v>
      </c>
      <c r="X131" s="955">
        <v>2750.665</v>
      </c>
      <c r="Y131" s="1123">
        <v>2919.229213012321</v>
      </c>
      <c r="Z131" s="1123">
        <v>3215.3529303149844</v>
      </c>
      <c r="AA131" s="1123">
        <v>3481.895856458118</v>
      </c>
      <c r="AB131" s="1123">
        <v>3744.4474553360046</v>
      </c>
      <c r="AC131" s="1123">
        <v>3979.9364215700548</v>
      </c>
      <c r="AD131" s="1123">
        <v>4228.2234466728978</v>
      </c>
      <c r="AE131" s="1123">
        <v>4482.2236645378371</v>
      </c>
      <c r="AF131" s="1123">
        <v>4748.5133486979303</v>
      </c>
      <c r="AG131" s="1123">
        <v>5029.2554778244976</v>
      </c>
      <c r="AH131" s="1123">
        <v>5318.3200372269021</v>
      </c>
      <c r="AI131" s="1128"/>
      <c r="AJ131" s="1428"/>
      <c r="AK131" s="1428"/>
      <c r="AL131" s="1128"/>
      <c r="AM131" s="1128"/>
      <c r="AN131" s="1128"/>
    </row>
    <row r="132" spans="1:40">
      <c r="A132" s="723" t="s">
        <v>69</v>
      </c>
      <c r="B132" s="967">
        <v>106.58099999999999</v>
      </c>
      <c r="C132" s="967">
        <v>64.171999999999997</v>
      </c>
      <c r="D132" s="967">
        <v>104.354</v>
      </c>
      <c r="E132" s="967">
        <v>79.14</v>
      </c>
      <c r="F132" s="967">
        <v>317.69100000000003</v>
      </c>
      <c r="G132" s="967">
        <v>259.90899999999999</v>
      </c>
      <c r="H132" s="967">
        <v>672.53899999999999</v>
      </c>
      <c r="I132" s="967">
        <v>886.32999999999993</v>
      </c>
      <c r="J132" s="967">
        <v>439.12700000000001</v>
      </c>
      <c r="K132" s="967">
        <v>396.60400000000004</v>
      </c>
      <c r="L132" s="967">
        <v>2722.1579999999999</v>
      </c>
      <c r="M132" s="967">
        <v>566.47500000000002</v>
      </c>
      <c r="N132" s="967">
        <v>801.78099999999995</v>
      </c>
      <c r="O132" s="967">
        <v>1012.6589999999999</v>
      </c>
      <c r="P132" s="967">
        <v>912.16700000000014</v>
      </c>
      <c r="Q132" s="967">
        <v>1127.9279999999999</v>
      </c>
      <c r="R132" s="967">
        <v>1271.9299999999998</v>
      </c>
      <c r="S132" s="967">
        <v>1439.9290000000001</v>
      </c>
      <c r="T132" s="967">
        <v>1378.26</v>
      </c>
      <c r="U132" s="967">
        <v>1274</v>
      </c>
      <c r="V132" s="967">
        <v>1090.8989999999999</v>
      </c>
      <c r="W132" s="967">
        <v>1349.377</v>
      </c>
      <c r="X132" s="967">
        <v>1139.5920000000001</v>
      </c>
      <c r="Y132" s="1397">
        <v>1211.1053055075815</v>
      </c>
      <c r="Z132" s="1397">
        <v>1329.8287241626847</v>
      </c>
      <c r="AA132" s="1397">
        <v>1435.622806446162</v>
      </c>
      <c r="AB132" s="1397">
        <v>1539.1252450025681</v>
      </c>
      <c r="AC132" s="1397">
        <v>1635.9211053193901</v>
      </c>
      <c r="AD132" s="1397">
        <v>1737.9775056029082</v>
      </c>
      <c r="AE132" s="1397">
        <v>1842.3822681787528</v>
      </c>
      <c r="AF132" s="1397">
        <v>1951.8385178025792</v>
      </c>
      <c r="AG132" s="1397">
        <v>2067.2353295961889</v>
      </c>
      <c r="AH132" s="1397">
        <v>2186.0530099398602</v>
      </c>
      <c r="AI132" s="1128"/>
      <c r="AJ132" s="1428"/>
      <c r="AK132" s="1428"/>
      <c r="AL132" s="1128"/>
      <c r="AM132" s="1128"/>
      <c r="AN132" s="1128"/>
    </row>
    <row r="133" spans="1:40">
      <c r="A133" s="109" t="s">
        <v>70</v>
      </c>
      <c r="B133" s="1538">
        <v>1472.9879999999998</v>
      </c>
      <c r="C133" s="1538">
        <v>1651.4399999999998</v>
      </c>
      <c r="D133" s="1538">
        <v>1798.2270000000001</v>
      </c>
      <c r="E133" s="1538">
        <v>2206.0239999999999</v>
      </c>
      <c r="F133" s="1538">
        <v>3243.9139999999998</v>
      </c>
      <c r="G133" s="1538">
        <v>4040.4659999999999</v>
      </c>
      <c r="H133" s="1538">
        <v>5295.7209999999995</v>
      </c>
      <c r="I133" s="1538">
        <v>6510.64</v>
      </c>
      <c r="J133" s="1538">
        <v>5808.8090000000002</v>
      </c>
      <c r="K133" s="1538">
        <v>6141.2289999999994</v>
      </c>
      <c r="L133" s="1538">
        <v>9374.1730000000007</v>
      </c>
      <c r="M133" s="1538">
        <v>9797.5930000000008</v>
      </c>
      <c r="N133" s="1538">
        <v>12416.134999999998</v>
      </c>
      <c r="O133" s="1538">
        <v>29771.596000000001</v>
      </c>
      <c r="P133" s="1538">
        <v>31842.427</v>
      </c>
      <c r="Q133" s="1538">
        <v>37995.140999999996</v>
      </c>
      <c r="R133" s="1538">
        <v>39659.257000000005</v>
      </c>
      <c r="S133" s="1538">
        <v>53060.122000000003</v>
      </c>
      <c r="T133" s="1538">
        <v>76412.247999999978</v>
      </c>
      <c r="U133" s="1538">
        <v>83438</v>
      </c>
      <c r="V133" s="1538">
        <v>82977.562000000005</v>
      </c>
      <c r="W133" s="1538">
        <v>80469.322999999989</v>
      </c>
      <c r="X133" s="1538">
        <v>76997.020999999993</v>
      </c>
      <c r="Y133" s="1617">
        <v>78954.255473335041</v>
      </c>
      <c r="Z133" s="1617">
        <v>85683.850907922053</v>
      </c>
      <c r="AA133" s="1617">
        <v>93718.09637199725</v>
      </c>
      <c r="AB133" s="1617">
        <v>101832.21084556145</v>
      </c>
      <c r="AC133" s="1617">
        <v>107400.25603399967</v>
      </c>
      <c r="AD133" s="1617">
        <v>113250.27635307651</v>
      </c>
      <c r="AE133" s="1617">
        <v>119310.30195028738</v>
      </c>
      <c r="AF133" s="1617">
        <v>125654.19410980905</v>
      </c>
      <c r="AG133" s="1617">
        <v>133312.72248037369</v>
      </c>
      <c r="AH133" s="1617">
        <v>140374.92251745454</v>
      </c>
      <c r="AI133" s="1128"/>
      <c r="AJ133" s="1428"/>
      <c r="AK133" s="1428"/>
      <c r="AL133" s="1128"/>
      <c r="AM133" s="1128"/>
      <c r="AN133" s="1128"/>
    </row>
    <row r="134" spans="1:40">
      <c r="A134" s="110" t="s">
        <v>71</v>
      </c>
      <c r="B134" s="438"/>
      <c r="C134" s="438"/>
      <c r="D134" s="438"/>
      <c r="E134" s="438"/>
      <c r="F134" s="438"/>
      <c r="G134" s="438"/>
      <c r="H134" s="438"/>
      <c r="I134" s="438"/>
      <c r="J134" s="438"/>
      <c r="K134" s="438"/>
      <c r="L134" s="438"/>
      <c r="M134" s="438"/>
      <c r="N134" s="438"/>
      <c r="O134" s="438"/>
      <c r="P134" s="438"/>
      <c r="Q134" s="438"/>
      <c r="R134" s="438"/>
      <c r="S134" s="447"/>
      <c r="T134" s="447"/>
      <c r="U134" s="447"/>
      <c r="V134" s="447"/>
      <c r="W134" s="447"/>
      <c r="X134" s="447"/>
      <c r="Y134" s="447"/>
      <c r="Z134" s="447"/>
      <c r="AA134" s="447"/>
      <c r="AB134" s="447"/>
      <c r="AC134" s="447"/>
      <c r="AD134" s="447"/>
      <c r="AE134" s="447"/>
      <c r="AF134" s="447"/>
      <c r="AG134" s="447"/>
      <c r="AH134" s="447"/>
      <c r="AI134" s="508"/>
      <c r="AJ134" s="508"/>
      <c r="AK134" s="508"/>
      <c r="AL134" s="508"/>
      <c r="AM134" s="508"/>
      <c r="AN134" s="508"/>
    </row>
    <row r="135" spans="1:40">
      <c r="A135" s="724" t="s">
        <v>72</v>
      </c>
      <c r="B135" s="967">
        <v>142.27600000000001</v>
      </c>
      <c r="C135" s="967">
        <v>66.106999999999999</v>
      </c>
      <c r="D135" s="967">
        <v>45.132000000000005</v>
      </c>
      <c r="E135" s="967">
        <v>98.706999999999994</v>
      </c>
      <c r="F135" s="967">
        <v>769.35500000000002</v>
      </c>
      <c r="G135" s="967">
        <v>497.27600000000001</v>
      </c>
      <c r="H135" s="967">
        <v>1033.45</v>
      </c>
      <c r="I135" s="967">
        <v>1790.1779999999999</v>
      </c>
      <c r="J135" s="967">
        <v>1328.134</v>
      </c>
      <c r="K135" s="967">
        <v>1656.047</v>
      </c>
      <c r="L135" s="967">
        <v>4056.5309999999999</v>
      </c>
      <c r="M135" s="967">
        <v>2474.48</v>
      </c>
      <c r="N135" s="967">
        <v>5043.6170000000002</v>
      </c>
      <c r="O135" s="967">
        <v>11239.179</v>
      </c>
      <c r="P135" s="967">
        <v>12233.341</v>
      </c>
      <c r="Q135" s="967">
        <v>14839.888999999999</v>
      </c>
      <c r="R135" s="967">
        <v>18041.436000000002</v>
      </c>
      <c r="S135" s="967">
        <v>28115.931999999997</v>
      </c>
      <c r="T135" s="967">
        <v>27686.744999999999</v>
      </c>
      <c r="U135" s="967">
        <v>38368.148999999998</v>
      </c>
      <c r="V135" s="967">
        <v>37448.553</v>
      </c>
      <c r="W135" s="967">
        <v>32649.838</v>
      </c>
      <c r="X135" s="967">
        <v>31416.120000000003</v>
      </c>
      <c r="Y135" s="1397">
        <v>34525.30381662523</v>
      </c>
      <c r="Z135" s="1397">
        <v>37359.942550450389</v>
      </c>
      <c r="AA135" s="1397">
        <v>40946.76166856855</v>
      </c>
      <c r="AB135" s="1397">
        <v>44106.456902711994</v>
      </c>
      <c r="AC135" s="1397">
        <v>44478.609167290524</v>
      </c>
      <c r="AD135" s="1397">
        <v>44854.101478022312</v>
      </c>
      <c r="AE135" s="1397">
        <v>45232.96381163827</v>
      </c>
      <c r="AF135" s="1397">
        <v>45615.226413908887</v>
      </c>
      <c r="AG135" s="1397">
        <v>47004.212088415195</v>
      </c>
      <c r="AH135" s="1397">
        <v>47553.737201855962</v>
      </c>
      <c r="AI135" s="508"/>
      <c r="AJ135" s="508"/>
      <c r="AK135" s="508"/>
      <c r="AL135" s="508"/>
      <c r="AM135" s="508"/>
      <c r="AN135" s="508"/>
    </row>
    <row r="136" spans="1:40">
      <c r="A136" s="723" t="s">
        <v>574</v>
      </c>
      <c r="B136" s="967">
        <v>188.44800000000001</v>
      </c>
      <c r="C136" s="967">
        <v>280.45400000000001</v>
      </c>
      <c r="D136" s="967">
        <v>257.99399999999997</v>
      </c>
      <c r="E136" s="967">
        <v>330.79300000000001</v>
      </c>
      <c r="F136" s="967">
        <v>483.69600000000003</v>
      </c>
      <c r="G136" s="967">
        <v>685.5630000000001</v>
      </c>
      <c r="H136" s="967">
        <v>911.31099999999992</v>
      </c>
      <c r="I136" s="967">
        <v>1171.8150000000001</v>
      </c>
      <c r="J136" s="967">
        <v>559.149</v>
      </c>
      <c r="K136" s="967">
        <v>710.548</v>
      </c>
      <c r="L136" s="967">
        <v>1021.424</v>
      </c>
      <c r="M136" s="967">
        <v>1129.6120000000001</v>
      </c>
      <c r="N136" s="967">
        <v>1408.5650000000001</v>
      </c>
      <c r="O136" s="967">
        <v>2694.0149999999999</v>
      </c>
      <c r="P136" s="967">
        <v>3013.0909999999999</v>
      </c>
      <c r="Q136" s="967">
        <v>3901.9720000000002</v>
      </c>
      <c r="R136" s="967">
        <v>3960.806</v>
      </c>
      <c r="S136" s="967">
        <v>5215.8770000000004</v>
      </c>
      <c r="T136" s="967">
        <v>5450.5550000000003</v>
      </c>
      <c r="U136" s="967">
        <v>3604</v>
      </c>
      <c r="V136" s="967">
        <v>3979.2370000000001</v>
      </c>
      <c r="W136" s="967">
        <v>5628.5950000000003</v>
      </c>
      <c r="X136" s="967">
        <v>5767.8990000000003</v>
      </c>
      <c r="Y136" s="1397">
        <v>6121.36310983146</v>
      </c>
      <c r="Z136" s="1397">
        <v>6742.3081150961189</v>
      </c>
      <c r="AA136" s="1397">
        <v>7301.2248414724872</v>
      </c>
      <c r="AB136" s="1397">
        <v>7851.7721108114156</v>
      </c>
      <c r="AC136" s="1397">
        <v>8345.5714549163549</v>
      </c>
      <c r="AD136" s="1397">
        <v>8866.207186204485</v>
      </c>
      <c r="AE136" s="1397">
        <v>9398.8229727953512</v>
      </c>
      <c r="AF136" s="1397">
        <v>9957.208673335881</v>
      </c>
      <c r="AG136" s="1397">
        <v>10545.899861047581</v>
      </c>
      <c r="AH136" s="1397">
        <v>11152.042442246151</v>
      </c>
      <c r="AI136" s="508"/>
      <c r="AJ136" s="508"/>
      <c r="AK136" s="508"/>
      <c r="AL136" s="508"/>
      <c r="AM136" s="508"/>
      <c r="AN136" s="508"/>
    </row>
    <row r="137" spans="1:40">
      <c r="A137" s="723" t="s">
        <v>1182</v>
      </c>
      <c r="B137" s="967">
        <v>0</v>
      </c>
      <c r="C137" s="967">
        <v>0</v>
      </c>
      <c r="D137" s="967">
        <v>0</v>
      </c>
      <c r="E137" s="967">
        <v>0</v>
      </c>
      <c r="F137" s="967">
        <v>0</v>
      </c>
      <c r="G137" s="967">
        <v>0</v>
      </c>
      <c r="H137" s="967">
        <v>0</v>
      </c>
      <c r="I137" s="967">
        <v>0</v>
      </c>
      <c r="J137" s="967">
        <v>0</v>
      </c>
      <c r="K137" s="967">
        <v>0</v>
      </c>
      <c r="L137" s="967">
        <v>0</v>
      </c>
      <c r="M137" s="967">
        <v>0</v>
      </c>
      <c r="N137" s="967">
        <v>0</v>
      </c>
      <c r="O137" s="967">
        <v>0</v>
      </c>
      <c r="P137" s="967">
        <v>0</v>
      </c>
      <c r="Q137" s="967">
        <v>0</v>
      </c>
      <c r="R137" s="967">
        <v>0</v>
      </c>
      <c r="S137" s="967">
        <v>0</v>
      </c>
      <c r="T137" s="967">
        <v>22561.86</v>
      </c>
      <c r="U137" s="967">
        <v>25300</v>
      </c>
      <c r="V137" s="967">
        <v>23763.274000000001</v>
      </c>
      <c r="W137" s="967">
        <v>21981.811000000002</v>
      </c>
      <c r="X137" s="967">
        <v>18330.066999999999</v>
      </c>
      <c r="Y137" s="1397">
        <v>18691.480297023416</v>
      </c>
      <c r="Z137" s="1397">
        <v>19121.681569464567</v>
      </c>
      <c r="AA137" s="1397">
        <v>19606.10385115473</v>
      </c>
      <c r="AB137" s="1397">
        <v>20027.355169625236</v>
      </c>
      <c r="AC137" s="1397">
        <v>20401.071865064496</v>
      </c>
      <c r="AD137" s="1397">
        <v>20769.649847297038</v>
      </c>
      <c r="AE137" s="1397">
        <v>21083.449954425036</v>
      </c>
      <c r="AF137" s="1397">
        <v>21370.540067360787</v>
      </c>
      <c r="AG137" s="1397">
        <v>21651.773652755535</v>
      </c>
      <c r="AH137" s="1397">
        <v>21887.533940705081</v>
      </c>
      <c r="AI137" s="508"/>
      <c r="AJ137" s="508"/>
      <c r="AK137" s="508"/>
      <c r="AL137" s="508"/>
      <c r="AM137" s="508"/>
      <c r="AN137" s="508"/>
    </row>
    <row r="138" spans="1:40">
      <c r="A138" s="722" t="s">
        <v>73</v>
      </c>
      <c r="B138" s="1539">
        <v>170.74700000000001</v>
      </c>
      <c r="C138" s="1539">
        <v>197.51000000000002</v>
      </c>
      <c r="D138" s="1539">
        <v>240.82499999999999</v>
      </c>
      <c r="E138" s="1539">
        <v>188.51300000000001</v>
      </c>
      <c r="F138" s="1539">
        <v>141.24600000000001</v>
      </c>
      <c r="G138" s="1539">
        <v>135.05700000000002</v>
      </c>
      <c r="H138" s="1539">
        <v>218.87199999999999</v>
      </c>
      <c r="I138" s="1539">
        <v>318.85399999999998</v>
      </c>
      <c r="J138" s="1539">
        <v>789.16300000000001</v>
      </c>
      <c r="K138" s="1539">
        <v>663.20100000000002</v>
      </c>
      <c r="L138" s="1539">
        <v>1003.49</v>
      </c>
      <c r="M138" s="1539">
        <v>1364.6019999999999</v>
      </c>
      <c r="N138" s="1539">
        <v>1453.0210000000002</v>
      </c>
      <c r="O138" s="1539">
        <v>5748.7839999999997</v>
      </c>
      <c r="P138" s="1539">
        <v>6170.5209999999997</v>
      </c>
      <c r="Q138" s="1539">
        <v>3779.114</v>
      </c>
      <c r="R138" s="1539">
        <v>4473.75</v>
      </c>
      <c r="S138" s="1539">
        <v>4127.8909999999996</v>
      </c>
      <c r="T138" s="1539">
        <v>4174.9709999999995</v>
      </c>
      <c r="U138" s="1539">
        <v>3659</v>
      </c>
      <c r="V138" s="1539">
        <v>4159.7520000000004</v>
      </c>
      <c r="W138" s="1539">
        <v>5899.3039999999992</v>
      </c>
      <c r="X138" s="1539">
        <v>7101.8060000000005</v>
      </c>
      <c r="Y138" s="1618">
        <v>7163.0877538817867</v>
      </c>
      <c r="Z138" s="1618">
        <v>7838.7922387456001</v>
      </c>
      <c r="AA138" s="1618">
        <v>8446.9983366704018</v>
      </c>
      <c r="AB138" s="1618">
        <v>9046.0968975216674</v>
      </c>
      <c r="AC138" s="1618">
        <v>9583.4430853572612</v>
      </c>
      <c r="AD138" s="1618">
        <v>10149.992289600876</v>
      </c>
      <c r="AE138" s="1618">
        <v>10729.578038189553</v>
      </c>
      <c r="AF138" s="1618">
        <v>11337.206280530023</v>
      </c>
      <c r="AG138" s="1618">
        <v>11977.812569918015</v>
      </c>
      <c r="AH138" s="1618">
        <v>12637.409244519229</v>
      </c>
      <c r="AI138" s="508"/>
      <c r="AJ138" s="508"/>
      <c r="AK138" s="508"/>
      <c r="AL138" s="508"/>
      <c r="AM138" s="508"/>
      <c r="AN138" s="508"/>
    </row>
    <row r="139" spans="1:40">
      <c r="A139" s="722" t="s">
        <v>1543</v>
      </c>
      <c r="B139" s="1539"/>
      <c r="C139" s="1539"/>
      <c r="D139" s="1539"/>
      <c r="E139" s="1539"/>
      <c r="F139" s="1539"/>
      <c r="G139" s="1539"/>
      <c r="H139" s="1539"/>
      <c r="I139" s="1539"/>
      <c r="J139" s="1539"/>
      <c r="K139" s="1539"/>
      <c r="L139" s="1539"/>
      <c r="M139" s="1539"/>
      <c r="N139" s="1539"/>
      <c r="O139" s="1539"/>
      <c r="P139" s="1539"/>
      <c r="Q139" s="1539">
        <v>5550.0949999999993</v>
      </c>
      <c r="R139" s="1539">
        <v>2580.1390000000001</v>
      </c>
      <c r="S139" s="1539">
        <v>2641.6</v>
      </c>
      <c r="T139" s="1539">
        <v>4995.5560000000005</v>
      </c>
      <c r="U139" s="1539">
        <v>4873</v>
      </c>
      <c r="V139" s="1539">
        <v>4952.6570000000002</v>
      </c>
      <c r="W139" s="1539">
        <v>5729.777</v>
      </c>
      <c r="X139" s="1539">
        <v>5065.4059999999999</v>
      </c>
      <c r="Y139" s="1618">
        <v>4243.8869999999997</v>
      </c>
      <c r="Z139" s="1618">
        <v>4243.8869999999997</v>
      </c>
      <c r="AA139" s="1618">
        <v>4243.8869999999997</v>
      </c>
      <c r="AB139" s="1618">
        <v>4243.8869999999997</v>
      </c>
      <c r="AC139" s="1618">
        <v>4243.8869999999997</v>
      </c>
      <c r="AD139" s="1618">
        <v>4243.8869999999997</v>
      </c>
      <c r="AE139" s="1618">
        <v>4243.8869999999997</v>
      </c>
      <c r="AF139" s="1618">
        <v>4243.8869999999997</v>
      </c>
      <c r="AG139" s="1618">
        <v>4243.8869999999997</v>
      </c>
      <c r="AH139" s="1618">
        <v>4243.8869999999997</v>
      </c>
      <c r="AI139" s="508"/>
      <c r="AJ139" s="508"/>
      <c r="AK139" s="508"/>
      <c r="AL139" s="508"/>
      <c r="AM139" s="508"/>
      <c r="AN139" s="508"/>
    </row>
    <row r="140" spans="1:40">
      <c r="A140" s="109" t="s">
        <v>74</v>
      </c>
      <c r="B140" s="1538">
        <v>922.91300000000001</v>
      </c>
      <c r="C140" s="1538">
        <v>1080.4529999999997</v>
      </c>
      <c r="D140" s="1538">
        <v>1211.9480000000003</v>
      </c>
      <c r="E140" s="1538">
        <v>1425.3859999999997</v>
      </c>
      <c r="F140" s="1538">
        <v>1767.4979999999998</v>
      </c>
      <c r="G140" s="1538">
        <v>2653.8759999999997</v>
      </c>
      <c r="H140" s="1538">
        <v>2997.4830000000002</v>
      </c>
      <c r="I140" s="1538">
        <v>2997.0709999999999</v>
      </c>
      <c r="J140" s="1538">
        <v>2908.5889999999999</v>
      </c>
      <c r="K140" s="1538">
        <v>2865.3280000000004</v>
      </c>
      <c r="L140" s="1538">
        <v>2993.8649999999998</v>
      </c>
      <c r="M140" s="1538">
        <v>4520.71</v>
      </c>
      <c r="N140" s="1538">
        <v>4271.4269999999997</v>
      </c>
      <c r="O140" s="1538">
        <v>8800.1280000000006</v>
      </c>
      <c r="P140" s="1538">
        <v>9069.2769999999982</v>
      </c>
      <c r="Q140" s="1538">
        <v>8910.6229999999996</v>
      </c>
      <c r="R140" s="1538">
        <v>9460.389000000001</v>
      </c>
      <c r="S140" s="1538">
        <v>11080.08</v>
      </c>
      <c r="T140" s="1538">
        <v>9580.9979999999996</v>
      </c>
      <c r="U140" s="1538">
        <v>6302.7489999999998</v>
      </c>
      <c r="V140" s="1538">
        <v>7639.1659999999993</v>
      </c>
      <c r="W140" s="1538">
        <v>7617.8669999999993</v>
      </c>
      <c r="X140" s="1538">
        <v>8375.1020000000008</v>
      </c>
      <c r="Y140" s="1617">
        <v>8084.7424959731597</v>
      </c>
      <c r="Z140" s="1617">
        <v>10252.848434165382</v>
      </c>
      <c r="AA140" s="1617">
        <v>13048.7296741311</v>
      </c>
      <c r="AB140" s="1617">
        <v>16432.25176489116</v>
      </c>
      <c r="AC140" s="1617">
        <v>20223.282461371055</v>
      </c>
      <c r="AD140" s="1617">
        <v>24242.047551951808</v>
      </c>
      <c r="AE140" s="1617">
        <v>28497.2091732392</v>
      </c>
      <c r="AF140" s="1617">
        <v>33005.734674673506</v>
      </c>
      <c r="AG140" s="1617">
        <v>37764.746308237409</v>
      </c>
      <c r="AH140" s="1617">
        <v>42775.921688128219</v>
      </c>
      <c r="AI140" s="508"/>
      <c r="AJ140" s="508"/>
      <c r="AK140" s="508"/>
      <c r="AL140" s="508"/>
      <c r="AM140" s="508"/>
      <c r="AN140" s="508"/>
    </row>
    <row r="141" spans="1:40" s="13" customFormat="1">
      <c r="A141" s="112" t="s">
        <v>342</v>
      </c>
      <c r="B141" s="1538">
        <v>48.603999999999999</v>
      </c>
      <c r="C141" s="1538">
        <v>26.916</v>
      </c>
      <c r="D141" s="1538">
        <v>42.328000000000003</v>
      </c>
      <c r="E141" s="1538">
        <v>162.625</v>
      </c>
      <c r="F141" s="1538">
        <v>82.119</v>
      </c>
      <c r="G141" s="1538">
        <v>68.694000000000003</v>
      </c>
      <c r="H141" s="1538">
        <v>134.60499999999999</v>
      </c>
      <c r="I141" s="1538">
        <v>232.72200000000001</v>
      </c>
      <c r="J141" s="1538">
        <v>223.774</v>
      </c>
      <c r="K141" s="1538">
        <v>245.64099999999999</v>
      </c>
      <c r="L141" s="1538">
        <v>298.86399999999998</v>
      </c>
      <c r="M141" s="1538">
        <v>308.18900000000002</v>
      </c>
      <c r="N141" s="1538">
        <v>239.50399999999999</v>
      </c>
      <c r="O141" s="1538">
        <v>1289.49</v>
      </c>
      <c r="P141" s="1538">
        <v>1356.1969999999999</v>
      </c>
      <c r="Q141" s="1538">
        <v>1013.448</v>
      </c>
      <c r="R141" s="1538">
        <v>1142.7370000000001</v>
      </c>
      <c r="S141" s="1538">
        <v>1878.742</v>
      </c>
      <c r="T141" s="1538">
        <v>1961.5630000000001</v>
      </c>
      <c r="U141" s="1538">
        <v>1330.4459999999999</v>
      </c>
      <c r="V141" s="1538">
        <v>1034.923</v>
      </c>
      <c r="W141" s="1538">
        <v>962.13099999999997</v>
      </c>
      <c r="X141" s="1538">
        <v>940.62099999999998</v>
      </c>
      <c r="Y141" s="1617">
        <v>124.39</v>
      </c>
      <c r="Z141" s="1617">
        <v>124.39</v>
      </c>
      <c r="AA141" s="1617">
        <v>124.39</v>
      </c>
      <c r="AB141" s="1617">
        <v>124.39</v>
      </c>
      <c r="AC141" s="1617">
        <v>124.39</v>
      </c>
      <c r="AD141" s="1617">
        <v>124.39</v>
      </c>
      <c r="AE141" s="1617">
        <v>124.39</v>
      </c>
      <c r="AF141" s="1617">
        <v>124.39</v>
      </c>
      <c r="AG141" s="1617">
        <v>124.39</v>
      </c>
      <c r="AH141" s="1617">
        <v>124.39</v>
      </c>
      <c r="AI141" s="508"/>
      <c r="AJ141" s="508"/>
      <c r="AK141" s="508"/>
      <c r="AL141" s="508"/>
      <c r="AM141" s="508"/>
      <c r="AN141" s="508"/>
    </row>
    <row r="142" spans="1:40">
      <c r="A142" s="109" t="s">
        <v>78</v>
      </c>
      <c r="B142" s="1538">
        <v>1472.9880000000001</v>
      </c>
      <c r="C142" s="1538">
        <v>1651.4399999999998</v>
      </c>
      <c r="D142" s="1538">
        <v>1798.2270000000003</v>
      </c>
      <c r="E142" s="1538">
        <v>2206.0239999999999</v>
      </c>
      <c r="F142" s="1538">
        <v>3243.9140000000002</v>
      </c>
      <c r="G142" s="1538">
        <v>4040.4659999999999</v>
      </c>
      <c r="H142" s="1538">
        <v>5295.7209999999995</v>
      </c>
      <c r="I142" s="1538">
        <v>6510.6399999999994</v>
      </c>
      <c r="J142" s="1538">
        <v>5808.8090000000002</v>
      </c>
      <c r="K142" s="1538">
        <v>6140.7650000000003</v>
      </c>
      <c r="L142" s="1538">
        <v>9374.1739999999991</v>
      </c>
      <c r="M142" s="1538">
        <v>9797.5929999999989</v>
      </c>
      <c r="N142" s="1538">
        <v>12416.134000000002</v>
      </c>
      <c r="O142" s="1538">
        <v>29771.596000000001</v>
      </c>
      <c r="P142" s="1538">
        <v>31842.427</v>
      </c>
      <c r="Q142" s="1538">
        <v>37995.140999999996</v>
      </c>
      <c r="R142" s="1538">
        <v>39659.257000000005</v>
      </c>
      <c r="S142" s="1538">
        <v>53060.121999999996</v>
      </c>
      <c r="T142" s="1538">
        <v>76412.247999999992</v>
      </c>
      <c r="U142" s="1538">
        <v>83437.343999999997</v>
      </c>
      <c r="V142" s="1538">
        <v>82977.561999999991</v>
      </c>
      <c r="W142" s="1538">
        <v>80469.322999999989</v>
      </c>
      <c r="X142" s="1538">
        <v>76997.020999999993</v>
      </c>
      <c r="Y142" s="1617">
        <v>78954.254473335051</v>
      </c>
      <c r="Z142" s="1617">
        <v>85683.849907922064</v>
      </c>
      <c r="AA142" s="1617">
        <v>93718.09537199726</v>
      </c>
      <c r="AB142" s="1617">
        <v>101832.20984556148</v>
      </c>
      <c r="AC142" s="1617">
        <v>107400.25503399968</v>
      </c>
      <c r="AD142" s="1617">
        <v>113250.27535307652</v>
      </c>
      <c r="AE142" s="1617">
        <v>119310.30095028742</v>
      </c>
      <c r="AF142" s="1617">
        <v>125654.19310980909</v>
      </c>
      <c r="AG142" s="1617">
        <v>133312.72148037376</v>
      </c>
      <c r="AH142" s="1617">
        <v>140374.92151745467</v>
      </c>
      <c r="AI142" s="1128"/>
      <c r="AJ142" s="1128">
        <v>0.24462695891982578</v>
      </c>
      <c r="AK142" s="1128">
        <f>IFERROR((W142/T142)^(1/3)-1,"NM")</f>
        <v>1.7393886587318219E-2</v>
      </c>
      <c r="AL142" s="1128">
        <f>IFERROR((AA142/Y142)^(1/2)-1,"NM")</f>
        <v>8.9491781193675068E-2</v>
      </c>
      <c r="AM142" s="1128">
        <f>IFERROR((AD142/R142)^(1/5)-1,"NM")</f>
        <v>0.23349938870775921</v>
      </c>
      <c r="AN142" s="1128">
        <f>IFERROR((AH142/X142)^(1/5)-1,"NM")</f>
        <v>0.12762091038205758</v>
      </c>
    </row>
    <row r="143" spans="1:40">
      <c r="A143" s="4"/>
      <c r="B143" s="1619"/>
      <c r="C143" s="1619"/>
      <c r="D143" s="1620"/>
      <c r="E143" s="1540"/>
      <c r="F143" s="1540"/>
      <c r="G143" s="1540"/>
      <c r="H143" s="1540"/>
      <c r="I143" s="1540"/>
      <c r="J143" s="1619"/>
      <c r="K143" s="1620"/>
      <c r="L143" s="1540"/>
      <c r="M143" s="1540"/>
      <c r="N143" s="1540"/>
      <c r="O143" s="1540"/>
      <c r="P143" s="1540"/>
      <c r="Q143" s="1540"/>
      <c r="R143" s="1540"/>
      <c r="S143" s="1540"/>
      <c r="T143" s="1540"/>
      <c r="U143" s="1540"/>
      <c r="V143" s="1540"/>
      <c r="W143" s="1540"/>
      <c r="X143" s="1540"/>
      <c r="Y143" s="1540"/>
      <c r="Z143" s="1540"/>
      <c r="AA143" s="1540"/>
      <c r="AB143" s="1540"/>
      <c r="AC143" s="1540"/>
      <c r="AD143" s="1540"/>
      <c r="AE143" s="1540"/>
      <c r="AF143" s="1540"/>
      <c r="AG143" s="1540"/>
      <c r="AH143" s="1540"/>
      <c r="AI143" s="508"/>
      <c r="AJ143" s="508"/>
      <c r="AK143" s="508"/>
      <c r="AL143" s="508"/>
      <c r="AM143" s="508"/>
      <c r="AN143" s="508"/>
    </row>
    <row r="144" spans="1:40" hidden="1"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</row>
    <row r="145" spans="1:40" hidden="1"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</row>
    <row r="146" spans="1:40" hidden="1"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</row>
    <row r="147" spans="1:40" hidden="1"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</row>
    <row r="148" spans="1:40" hidden="1"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</row>
    <row r="149" spans="1:40"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</row>
    <row r="150" spans="1:40">
      <c r="A150" s="1126" t="s">
        <v>668</v>
      </c>
      <c r="B150" s="1124">
        <v>2001</v>
      </c>
      <c r="C150" s="1124">
        <v>2002</v>
      </c>
      <c r="D150" s="1124">
        <v>2003</v>
      </c>
      <c r="E150" s="1124">
        <v>2004</v>
      </c>
      <c r="F150" s="1124">
        <v>2005</v>
      </c>
      <c r="G150" s="1124">
        <v>2006</v>
      </c>
      <c r="H150" s="1124">
        <v>2007</v>
      </c>
      <c r="I150" s="1124">
        <v>2008</v>
      </c>
      <c r="J150" s="1124">
        <v>2009</v>
      </c>
      <c r="K150" s="1124">
        <v>2010</v>
      </c>
      <c r="L150" s="1124">
        <v>2011</v>
      </c>
      <c r="M150" s="1124">
        <v>2012</v>
      </c>
      <c r="N150" s="1124">
        <v>2013</v>
      </c>
      <c r="O150" s="1124">
        <v>2014</v>
      </c>
      <c r="P150" s="1124">
        <v>2015</v>
      </c>
      <c r="Q150" s="1124">
        <v>2016</v>
      </c>
      <c r="R150" s="1124">
        <v>2017</v>
      </c>
      <c r="S150" s="1583">
        <v>2018</v>
      </c>
      <c r="T150" s="1583">
        <v>2019</v>
      </c>
      <c r="U150" s="1583">
        <v>2020</v>
      </c>
      <c r="V150" s="1583">
        <v>2021</v>
      </c>
      <c r="W150" s="1583">
        <v>2022</v>
      </c>
      <c r="X150" s="1583">
        <v>2023</v>
      </c>
      <c r="Y150" s="1445">
        <v>2024</v>
      </c>
      <c r="Z150" s="1445">
        <v>2025</v>
      </c>
      <c r="AA150" s="1445">
        <v>2026</v>
      </c>
      <c r="AB150" s="1445">
        <v>2027</v>
      </c>
      <c r="AC150" s="1445">
        <v>2028</v>
      </c>
      <c r="AD150" s="1445">
        <v>2029</v>
      </c>
      <c r="AE150" s="1445">
        <v>2030</v>
      </c>
      <c r="AF150" s="1445">
        <v>2031</v>
      </c>
      <c r="AG150" s="1445">
        <v>2032</v>
      </c>
      <c r="AH150" s="1445">
        <v>2033</v>
      </c>
      <c r="AI150" s="508"/>
      <c r="AJ150" s="508"/>
      <c r="AK150" s="508"/>
      <c r="AL150" s="508"/>
      <c r="AM150" s="508"/>
      <c r="AN150" s="508"/>
    </row>
    <row r="151" spans="1:40">
      <c r="A151" s="123" t="s">
        <v>40</v>
      </c>
      <c r="B151" s="1541">
        <v>31.013999999999928</v>
      </c>
      <c r="C151" s="1541">
        <v>148.92700000000005</v>
      </c>
      <c r="D151" s="1541">
        <v>128.14800000000005</v>
      </c>
      <c r="E151" s="1541">
        <v>154.60899999999998</v>
      </c>
      <c r="F151" s="1541">
        <v>281.49800000000027</v>
      </c>
      <c r="G151" s="1541">
        <v>222.17700000000085</v>
      </c>
      <c r="H151" s="1541">
        <v>478.43499999999983</v>
      </c>
      <c r="I151" s="1541">
        <v>128.779</v>
      </c>
      <c r="J151" s="1541">
        <v>103.74799999999944</v>
      </c>
      <c r="K151" s="1541">
        <v>151.22599999999986</v>
      </c>
      <c r="L151" s="1541">
        <v>209.6440000000004</v>
      </c>
      <c r="M151" s="1541">
        <v>366.56499999999937</v>
      </c>
      <c r="N151" s="1541">
        <v>681.01300000000026</v>
      </c>
      <c r="O151" s="1541">
        <v>666.66600000000017</v>
      </c>
      <c r="P151" s="1541">
        <v>981.20600000000036</v>
      </c>
      <c r="Q151" s="1541">
        <v>996.47199999999941</v>
      </c>
      <c r="R151" s="1541">
        <v>1089.4689999999996</v>
      </c>
      <c r="S151" s="1541">
        <v>953.25299999999902</v>
      </c>
      <c r="T151" s="1541">
        <v>926.66999999999916</v>
      </c>
      <c r="U151" s="1541">
        <v>-3186.0470000000023</v>
      </c>
      <c r="V151" s="1541">
        <v>835.12999999999909</v>
      </c>
      <c r="W151" s="1541">
        <v>1632.3349999999982</v>
      </c>
      <c r="X151" s="1541">
        <v>2930.7289999999966</v>
      </c>
      <c r="Y151" s="1621">
        <v>1660.0654959731623</v>
      </c>
      <c r="Z151" s="1621">
        <v>2875.5533098732876</v>
      </c>
      <c r="AA151" s="1621">
        <v>3765.6210517009877</v>
      </c>
      <c r="AB151" s="1621">
        <v>4774.4737705758253</v>
      </c>
      <c r="AC151" s="1621">
        <v>5332.0472933043029</v>
      </c>
      <c r="AD151" s="1621">
        <v>5679.9003121099686</v>
      </c>
      <c r="AE151" s="1621">
        <v>6018.5170778318043</v>
      </c>
      <c r="AF151" s="1621">
        <v>6377.138040238071</v>
      </c>
      <c r="AG151" s="1621">
        <v>6735.1685592186705</v>
      </c>
      <c r="AH151" s="1621">
        <v>7094.9806837693322</v>
      </c>
      <c r="AI151" s="508"/>
      <c r="AJ151" s="508"/>
      <c r="AK151" s="508"/>
      <c r="AL151" s="508"/>
      <c r="AM151" s="508"/>
      <c r="AN151" s="508"/>
    </row>
    <row r="152" spans="1:40">
      <c r="A152" s="725" t="s">
        <v>79</v>
      </c>
      <c r="B152" s="967">
        <v>111.178</v>
      </c>
      <c r="C152" s="967">
        <v>113.99299999999999</v>
      </c>
      <c r="D152" s="967">
        <v>161.46</v>
      </c>
      <c r="E152" s="967">
        <v>183.01</v>
      </c>
      <c r="F152" s="967">
        <v>210.93</v>
      </c>
      <c r="G152" s="967">
        <v>571.35799999999995</v>
      </c>
      <c r="H152" s="967">
        <v>437.25299999999999</v>
      </c>
      <c r="I152" s="967">
        <v>572.89</v>
      </c>
      <c r="J152" s="967">
        <v>665.16700000000003</v>
      </c>
      <c r="K152" s="967">
        <v>675.03300000000002</v>
      </c>
      <c r="L152" s="967">
        <v>723.85199999999998</v>
      </c>
      <c r="M152" s="967">
        <v>811.298</v>
      </c>
      <c r="N152" s="967">
        <v>923.12100000000009</v>
      </c>
      <c r="O152" s="967">
        <v>1333.32</v>
      </c>
      <c r="P152" s="967">
        <v>1947.8969999999999</v>
      </c>
      <c r="Q152" s="967">
        <v>2388.2350000000001</v>
      </c>
      <c r="R152" s="967">
        <v>2751.6759999999999</v>
      </c>
      <c r="S152" s="967">
        <v>3023.1880000000001</v>
      </c>
      <c r="T152" s="967">
        <v>4081.7860000000001</v>
      </c>
      <c r="U152" s="967">
        <v>4353.3639999999996</v>
      </c>
      <c r="V152" s="967">
        <v>3506.527</v>
      </c>
      <c r="W152" s="967">
        <v>3350.9949999999999</v>
      </c>
      <c r="X152" s="967">
        <v>3913.6039999999998</v>
      </c>
      <c r="Y152" s="1397">
        <v>4135.2185379407183</v>
      </c>
      <c r="Z152" s="1397">
        <v>4588.4112481196971</v>
      </c>
      <c r="AA152" s="1397">
        <v>4891.7208423013144</v>
      </c>
      <c r="AB152" s="1397">
        <v>5159.1739193743024</v>
      </c>
      <c r="AC152" s="1397">
        <v>5554.5908105438766</v>
      </c>
      <c r="AD152" s="1397">
        <v>6310.5763161027789</v>
      </c>
      <c r="AE152" s="1397">
        <v>7126.0896631079513</v>
      </c>
      <c r="AF152" s="1397">
        <v>7980.7259914050901</v>
      </c>
      <c r="AG152" s="1397">
        <v>8903.5584086580566</v>
      </c>
      <c r="AH152" s="1397">
        <v>9885.7767587815397</v>
      </c>
      <c r="AI152" s="508"/>
      <c r="AJ152" s="508"/>
      <c r="AK152" s="508"/>
      <c r="AL152" s="508"/>
      <c r="AM152" s="508"/>
      <c r="AN152" s="508"/>
    </row>
    <row r="153" spans="1:40">
      <c r="A153" s="725" t="s">
        <v>1523</v>
      </c>
      <c r="B153" s="438">
        <v>-0.12199999999992883</v>
      </c>
      <c r="C153" s="438">
        <v>0.91099999999994452</v>
      </c>
      <c r="D153" s="438">
        <v>63.397999999999939</v>
      </c>
      <c r="E153" s="438">
        <v>28.021999999999991</v>
      </c>
      <c r="F153" s="438">
        <v>-55.706000000000245</v>
      </c>
      <c r="G153" s="438">
        <v>-123.64300000000085</v>
      </c>
      <c r="H153" s="438">
        <v>-98.70599999999979</v>
      </c>
      <c r="I153" s="438">
        <v>318.32500000000005</v>
      </c>
      <c r="J153" s="438">
        <v>93.598000000000582</v>
      </c>
      <c r="K153" s="438">
        <v>136.01900000000015</v>
      </c>
      <c r="L153" s="438">
        <v>-1895.2460000000005</v>
      </c>
      <c r="M153" s="438">
        <v>2855.1200000000008</v>
      </c>
      <c r="N153" s="438">
        <v>244.02099999999976</v>
      </c>
      <c r="O153" s="438">
        <v>370.17999999999972</v>
      </c>
      <c r="P153" s="438">
        <v>780.76999999999964</v>
      </c>
      <c r="Q153" s="438">
        <v>565.41100000000051</v>
      </c>
      <c r="R153" s="438">
        <v>-196.6179999999994</v>
      </c>
      <c r="S153" s="438">
        <v>1096.5500000000006</v>
      </c>
      <c r="T153" s="438">
        <v>1232.0650000000005</v>
      </c>
      <c r="U153" s="438">
        <v>4081.826</v>
      </c>
      <c r="V153" s="438">
        <v>4671.8019999999997</v>
      </c>
      <c r="W153" s="438">
        <v>4357.3019999999997</v>
      </c>
      <c r="X153" s="438">
        <v>4146.4250000000002</v>
      </c>
      <c r="Y153" s="447">
        <v>4231.5097258061842</v>
      </c>
      <c r="Z153" s="447">
        <v>4479.4352867436291</v>
      </c>
      <c r="AA153" s="447">
        <v>4694.7186952144502</v>
      </c>
      <c r="AB153" s="447">
        <v>4925.4073753081193</v>
      </c>
      <c r="AC153" s="447">
        <v>5159.1902374950041</v>
      </c>
      <c r="AD153" s="447">
        <v>5426.3162619539435</v>
      </c>
      <c r="AE153" s="447">
        <v>5723.2745611319278</v>
      </c>
      <c r="AF153" s="447">
        <v>6036.9316127008988</v>
      </c>
      <c r="AG153" s="447">
        <v>6380.4649590131448</v>
      </c>
      <c r="AH153" s="447">
        <v>6750.904398556966</v>
      </c>
      <c r="AI153" s="508"/>
      <c r="AJ153" s="508"/>
      <c r="AK153" s="508"/>
      <c r="AL153" s="508"/>
      <c r="AM153" s="508"/>
      <c r="AN153" s="508"/>
    </row>
    <row r="154" spans="1:40">
      <c r="A154" s="725" t="s">
        <v>198</v>
      </c>
      <c r="B154" s="438">
        <v>79.549000000000007</v>
      </c>
      <c r="C154" s="438">
        <v>134.40600000000001</v>
      </c>
      <c r="D154" s="438">
        <v>-127.19</v>
      </c>
      <c r="E154" s="438">
        <v>69.669000000000011</v>
      </c>
      <c r="F154" s="438">
        <v>-99.646000000000001</v>
      </c>
      <c r="G154" s="438">
        <v>279.66800000000001</v>
      </c>
      <c r="H154" s="438">
        <v>-212.05200000000005</v>
      </c>
      <c r="I154" s="438">
        <v>-40.324999999999989</v>
      </c>
      <c r="J154" s="438">
        <v>302.99300000000005</v>
      </c>
      <c r="K154" s="438">
        <v>-77.469000000000008</v>
      </c>
      <c r="L154" s="438">
        <v>22.838999999999942</v>
      </c>
      <c r="M154" s="438">
        <v>-349.32</v>
      </c>
      <c r="N154" s="438">
        <v>-290.34099999999995</v>
      </c>
      <c r="O154" s="438">
        <v>71.646000000000043</v>
      </c>
      <c r="P154" s="438">
        <v>-128.899</v>
      </c>
      <c r="Q154" s="438">
        <v>1044.1950000000002</v>
      </c>
      <c r="R154" s="438">
        <v>-371.01099999999997</v>
      </c>
      <c r="S154" s="438">
        <v>843.87400000000002</v>
      </c>
      <c r="T154" s="438">
        <v>347.36900000000003</v>
      </c>
      <c r="U154" s="438">
        <v>-1772.485999999999</v>
      </c>
      <c r="V154" s="438">
        <v>2483.4550000000013</v>
      </c>
      <c r="W154" s="438">
        <v>1631.2390000000016</v>
      </c>
      <c r="X154" s="438">
        <v>443.18800000000329</v>
      </c>
      <c r="Y154" s="447">
        <v>-773.58491165174962</v>
      </c>
      <c r="Z154" s="447">
        <v>634.66077947221629</v>
      </c>
      <c r="AA154" s="447">
        <v>574.55869989775329</v>
      </c>
      <c r="AB154" s="447">
        <v>568.13509567178198</v>
      </c>
      <c r="AC154" s="447">
        <v>497.36481170680008</v>
      </c>
      <c r="AD154" s="447">
        <v>524.39497044962081</v>
      </c>
      <c r="AE154" s="447">
        <v>536.46152748542272</v>
      </c>
      <c r="AF154" s="447">
        <v>562.41751254754536</v>
      </c>
      <c r="AG154" s="447">
        <v>592.94181984061015</v>
      </c>
      <c r="AH154" s="447">
        <v>610.51922074086724</v>
      </c>
      <c r="AI154" s="508"/>
      <c r="AJ154" s="508"/>
      <c r="AK154" s="508"/>
      <c r="AL154" s="508"/>
      <c r="AM154" s="508"/>
      <c r="AN154" s="508"/>
    </row>
    <row r="155" spans="1:40">
      <c r="A155" s="115" t="s">
        <v>81</v>
      </c>
      <c r="B155" s="985">
        <v>221.619</v>
      </c>
      <c r="C155" s="985">
        <v>398.23700000000002</v>
      </c>
      <c r="D155" s="985">
        <v>225.81599999999997</v>
      </c>
      <c r="E155" s="985">
        <v>435.30999999999995</v>
      </c>
      <c r="F155" s="985">
        <v>337.07600000000002</v>
      </c>
      <c r="G155" s="985">
        <v>949.56</v>
      </c>
      <c r="H155" s="985">
        <v>604.93000000000006</v>
      </c>
      <c r="I155" s="985">
        <v>979.6690000000001</v>
      </c>
      <c r="J155" s="985">
        <v>1165.5060000000003</v>
      </c>
      <c r="K155" s="985">
        <v>884.80899999999997</v>
      </c>
      <c r="L155" s="985">
        <v>-938.91100000000029</v>
      </c>
      <c r="M155" s="985">
        <v>3683.663</v>
      </c>
      <c r="N155" s="985">
        <v>1557.8140000000003</v>
      </c>
      <c r="O155" s="985">
        <v>2441.8119999999999</v>
      </c>
      <c r="P155" s="985">
        <v>3580.9739999999997</v>
      </c>
      <c r="Q155" s="985">
        <v>4994.3130000000001</v>
      </c>
      <c r="R155" s="985">
        <v>3273.5160000000001</v>
      </c>
      <c r="S155" s="985">
        <v>5916.8649999999998</v>
      </c>
      <c r="T155" s="985">
        <v>6587.8899999999994</v>
      </c>
      <c r="U155" s="985">
        <v>3476.6569999999983</v>
      </c>
      <c r="V155" s="985">
        <v>11496.914000000001</v>
      </c>
      <c r="W155" s="985">
        <v>10971.870999999999</v>
      </c>
      <c r="X155" s="985">
        <v>11433.946000000002</v>
      </c>
      <c r="Y155" s="1566">
        <v>9253.208848068316</v>
      </c>
      <c r="Z155" s="1566">
        <v>12578.060624208831</v>
      </c>
      <c r="AA155" s="1566">
        <v>13926.619289114504</v>
      </c>
      <c r="AB155" s="1566">
        <v>15427.190160930029</v>
      </c>
      <c r="AC155" s="1566">
        <v>16543.193153049982</v>
      </c>
      <c r="AD155" s="1566">
        <v>17941.187860616308</v>
      </c>
      <c r="AE155" s="1566">
        <v>19404.342829557107</v>
      </c>
      <c r="AF155" s="1566">
        <v>20957.213156891605</v>
      </c>
      <c r="AG155" s="1566">
        <v>22612.13374673048</v>
      </c>
      <c r="AH155" s="1566">
        <v>24342.181061848707</v>
      </c>
      <c r="AI155" s="508"/>
      <c r="AJ155" s="508"/>
      <c r="AK155" s="508"/>
      <c r="AL155" s="508"/>
      <c r="AM155" s="508"/>
      <c r="AN155" s="508"/>
    </row>
    <row r="156" spans="1:40">
      <c r="A156" s="726" t="s">
        <v>42</v>
      </c>
      <c r="B156" s="967">
        <v>-43.343000000000004</v>
      </c>
      <c r="C156" s="967">
        <v>-10.760999999999999</v>
      </c>
      <c r="D156" s="967">
        <v>-46.585000000000001</v>
      </c>
      <c r="E156" s="967">
        <v>-78.266999999999996</v>
      </c>
      <c r="F156" s="967">
        <v>-104.13</v>
      </c>
      <c r="G156" s="967">
        <v>-167.67699999999999</v>
      </c>
      <c r="H156" s="967">
        <v>-67.84</v>
      </c>
      <c r="I156" s="967">
        <v>0</v>
      </c>
      <c r="J156" s="967">
        <v>-41.834000000000003</v>
      </c>
      <c r="K156" s="967">
        <v>-245.958</v>
      </c>
      <c r="L156" s="967">
        <v>-122.648</v>
      </c>
      <c r="M156" s="967">
        <v>0</v>
      </c>
      <c r="N156" s="967">
        <v>-343.87799999999999</v>
      </c>
      <c r="O156" s="967">
        <v>0</v>
      </c>
      <c r="P156" s="967">
        <v>-419.173</v>
      </c>
      <c r="Q156" s="967">
        <v>-644.77099999999996</v>
      </c>
      <c r="R156" s="967">
        <v>-719.39800000000002</v>
      </c>
      <c r="S156" s="967">
        <v>-720.14400000000001</v>
      </c>
      <c r="T156" s="967">
        <v>0</v>
      </c>
      <c r="U156" s="967">
        <v>0</v>
      </c>
      <c r="V156" s="967">
        <v>0</v>
      </c>
      <c r="W156" s="967">
        <v>0</v>
      </c>
      <c r="X156" s="967">
        <v>0</v>
      </c>
      <c r="Y156" s="1397">
        <v>-978.01700000000005</v>
      </c>
      <c r="Z156" s="1397">
        <v>-707.44737168106508</v>
      </c>
      <c r="AA156" s="1397">
        <v>-969.73981173526772</v>
      </c>
      <c r="AB156" s="1397">
        <v>-1390.9516798157674</v>
      </c>
      <c r="AC156" s="1397">
        <v>-1541.016596824405</v>
      </c>
      <c r="AD156" s="1397">
        <v>-1661.13522152922</v>
      </c>
      <c r="AE156" s="1397">
        <v>-1763.355456544416</v>
      </c>
      <c r="AF156" s="1397">
        <v>-1868.6125388037653</v>
      </c>
      <c r="AG156" s="1397">
        <v>-1976.1569256547684</v>
      </c>
      <c r="AH156" s="1397">
        <v>-2083.805303878527</v>
      </c>
      <c r="AI156" s="508"/>
      <c r="AJ156" s="508"/>
      <c r="AK156" s="508"/>
      <c r="AL156" s="508"/>
      <c r="AM156" s="508"/>
      <c r="AN156" s="508"/>
    </row>
    <row r="157" spans="1:40">
      <c r="A157" s="727" t="s">
        <v>82</v>
      </c>
      <c r="B157" s="967">
        <v>-123.169</v>
      </c>
      <c r="C157" s="967">
        <v>-234.94300000000004</v>
      </c>
      <c r="D157" s="967">
        <v>-164.846</v>
      </c>
      <c r="E157" s="967">
        <v>-526.36199999999997</v>
      </c>
      <c r="F157" s="967">
        <v>-874.95</v>
      </c>
      <c r="G157" s="967">
        <v>-1117.8700000000001</v>
      </c>
      <c r="H157" s="967">
        <v>-1091.8439999999998</v>
      </c>
      <c r="I157" s="967">
        <v>-1094.98</v>
      </c>
      <c r="J157" s="967">
        <v>-554.76100000000019</v>
      </c>
      <c r="K157" s="967">
        <v>-761.947</v>
      </c>
      <c r="L157" s="967">
        <v>-1255.009</v>
      </c>
      <c r="M157" s="967">
        <v>-2751.0480000000002</v>
      </c>
      <c r="N157" s="967">
        <v>-3202.7510000000002</v>
      </c>
      <c r="O157" s="967">
        <v>-12410.406999999999</v>
      </c>
      <c r="P157" s="967">
        <v>-3439.192</v>
      </c>
      <c r="Q157" s="967">
        <v>-5038.588999999999</v>
      </c>
      <c r="R157" s="967">
        <v>-3274.3160000000007</v>
      </c>
      <c r="S157" s="967">
        <v>-17497.725999999999</v>
      </c>
      <c r="T157" s="967">
        <v>-4828.8850000000002</v>
      </c>
      <c r="U157" s="967">
        <v>-1779.9180000000001</v>
      </c>
      <c r="V157" s="967">
        <v>-2541.7869999999998</v>
      </c>
      <c r="W157" s="967">
        <v>-4223.424</v>
      </c>
      <c r="X157" s="967">
        <v>-4739.5130000000008</v>
      </c>
      <c r="Y157" s="1397">
        <v>-6051.5874705091046</v>
      </c>
      <c r="Z157" s="1397">
        <v>-6206.89505920378</v>
      </c>
      <c r="AA157" s="1397">
        <v>-6195.3866040332841</v>
      </c>
      <c r="AB157" s="1397">
        <v>-6382.3033586856191</v>
      </c>
      <c r="AC157" s="1397">
        <v>-7284.0839017145245</v>
      </c>
      <c r="AD157" s="1397">
        <v>-7963.0775370078054</v>
      </c>
      <c r="AE157" s="1397">
        <v>-8455.5855188113237</v>
      </c>
      <c r="AF157" s="1397">
        <v>-9233.8444157331323</v>
      </c>
      <c r="AG157" s="1397">
        <v>-10077.141265017346</v>
      </c>
      <c r="AH157" s="1397">
        <v>-10718.257976651943</v>
      </c>
      <c r="AI157" s="508"/>
      <c r="AJ157" s="508"/>
      <c r="AK157" s="508"/>
      <c r="AL157" s="508"/>
      <c r="AM157" s="508"/>
      <c r="AN157" s="508"/>
    </row>
    <row r="158" spans="1:40">
      <c r="A158" s="727" t="s">
        <v>83</v>
      </c>
      <c r="B158" s="438">
        <v>-4.1900000000000004</v>
      </c>
      <c r="C158" s="438">
        <v>14.678000000000001</v>
      </c>
      <c r="D158" s="438">
        <v>2.5609999999999999</v>
      </c>
      <c r="E158" s="438">
        <v>191.41500000000002</v>
      </c>
      <c r="F158" s="438">
        <v>26.544</v>
      </c>
      <c r="G158" s="438">
        <v>741.04399999999998</v>
      </c>
      <c r="H158" s="438">
        <v>-15.052999999999997</v>
      </c>
      <c r="I158" s="438">
        <v>-125.748</v>
      </c>
      <c r="J158" s="438">
        <v>-118.035</v>
      </c>
      <c r="K158" s="438">
        <v>62.094999999999999</v>
      </c>
      <c r="L158" s="438">
        <v>27.172999999999995</v>
      </c>
      <c r="M158" s="438">
        <v>186.226</v>
      </c>
      <c r="N158" s="438">
        <v>5.07</v>
      </c>
      <c r="O158" s="438">
        <v>6613.2640000000001</v>
      </c>
      <c r="P158" s="438">
        <v>-13.844999999999999</v>
      </c>
      <c r="Q158" s="438">
        <v>-199.00200000000001</v>
      </c>
      <c r="R158" s="438">
        <v>-60.576999999999991</v>
      </c>
      <c r="S158" s="438">
        <v>221.19499999999999</v>
      </c>
      <c r="T158" s="438">
        <v>227.923</v>
      </c>
      <c r="U158" s="438">
        <v>4.4850000000000136</v>
      </c>
      <c r="V158" s="438">
        <v>0</v>
      </c>
      <c r="W158" s="438">
        <v>-729.08699999999999</v>
      </c>
      <c r="X158" s="438">
        <v>-348.23700000000002</v>
      </c>
      <c r="Y158" s="447">
        <v>356.35599999999999</v>
      </c>
      <c r="Z158" s="447">
        <v>0</v>
      </c>
      <c r="AA158" s="447">
        <v>0</v>
      </c>
      <c r="AB158" s="447">
        <v>0</v>
      </c>
      <c r="AC158" s="447">
        <v>0</v>
      </c>
      <c r="AD158" s="447">
        <v>0</v>
      </c>
      <c r="AE158" s="447">
        <v>0</v>
      </c>
      <c r="AF158" s="447">
        <v>0</v>
      </c>
      <c r="AG158" s="447">
        <v>0</v>
      </c>
      <c r="AH158" s="447">
        <v>0</v>
      </c>
      <c r="AI158" s="508"/>
      <c r="AJ158" s="508"/>
      <c r="AK158" s="508"/>
      <c r="AL158" s="508"/>
      <c r="AM158" s="508"/>
      <c r="AN158" s="508"/>
    </row>
    <row r="159" spans="1:40">
      <c r="A159" s="728" t="s">
        <v>80</v>
      </c>
      <c r="B159" s="438">
        <v>33.78</v>
      </c>
      <c r="C159" s="438">
        <v>-3.4000000000000002E-2</v>
      </c>
      <c r="D159" s="438">
        <v>0</v>
      </c>
      <c r="E159" s="438">
        <v>0</v>
      </c>
      <c r="F159" s="438">
        <v>0</v>
      </c>
      <c r="G159" s="438">
        <v>0</v>
      </c>
      <c r="H159" s="438">
        <v>0</v>
      </c>
      <c r="I159" s="438">
        <v>-46.424000000000007</v>
      </c>
      <c r="J159" s="438">
        <v>-38.065999999999988</v>
      </c>
      <c r="K159" s="438">
        <v>-57.430999999999997</v>
      </c>
      <c r="L159" s="438">
        <v>-76.904999999999987</v>
      </c>
      <c r="M159" s="438">
        <v>733.64499999999998</v>
      </c>
      <c r="N159" s="438">
        <v>-854.71499999999992</v>
      </c>
      <c r="O159" s="438">
        <v>-18.565999999999999</v>
      </c>
      <c r="P159" s="438">
        <v>-18.462</v>
      </c>
      <c r="Q159" s="438">
        <v>-116.83200000000002</v>
      </c>
      <c r="R159" s="438">
        <v>38.690999999999995</v>
      </c>
      <c r="S159" s="438">
        <v>1295.4759999999999</v>
      </c>
      <c r="T159" s="438">
        <v>-1753.6409999999998</v>
      </c>
      <c r="U159" s="438">
        <v>-253.41799999999992</v>
      </c>
      <c r="V159" s="438">
        <v>-745.85900000000004</v>
      </c>
      <c r="W159" s="438">
        <v>-1208.6290000000001</v>
      </c>
      <c r="X159" s="438">
        <v>-2930.3290000000006</v>
      </c>
      <c r="Y159" s="447">
        <v>-3046.6060000000002</v>
      </c>
      <c r="Z159" s="447">
        <v>-824.56</v>
      </c>
      <c r="AA159" s="447">
        <v>0</v>
      </c>
      <c r="AB159" s="447">
        <v>0</v>
      </c>
      <c r="AC159" s="447">
        <v>0</v>
      </c>
      <c r="AD159" s="447">
        <v>0</v>
      </c>
      <c r="AE159" s="447">
        <v>0</v>
      </c>
      <c r="AF159" s="447">
        <v>0</v>
      </c>
      <c r="AG159" s="447">
        <v>0</v>
      </c>
      <c r="AH159" s="447">
        <v>0</v>
      </c>
      <c r="AI159" s="508"/>
      <c r="AJ159" s="508"/>
      <c r="AK159" s="508"/>
      <c r="AL159" s="508"/>
      <c r="AM159" s="508"/>
      <c r="AN159" s="508"/>
    </row>
    <row r="160" spans="1:40">
      <c r="A160" s="113" t="s">
        <v>206</v>
      </c>
      <c r="B160" s="985">
        <v>84.697000000000017</v>
      </c>
      <c r="C160" s="985">
        <v>167.17699999999996</v>
      </c>
      <c r="D160" s="985">
        <v>16.945999999999962</v>
      </c>
      <c r="E160" s="985">
        <v>22.096000000000004</v>
      </c>
      <c r="F160" s="985">
        <v>-615.46</v>
      </c>
      <c r="G160" s="985">
        <v>405.05699999999979</v>
      </c>
      <c r="H160" s="985">
        <v>-569.80699999999979</v>
      </c>
      <c r="I160" s="985">
        <v>-287.48299999999995</v>
      </c>
      <c r="J160" s="985">
        <v>412.81000000000012</v>
      </c>
      <c r="K160" s="985">
        <v>-118.432</v>
      </c>
      <c r="L160" s="985">
        <v>-2366.3000000000006</v>
      </c>
      <c r="M160" s="985">
        <v>1852.4859999999999</v>
      </c>
      <c r="N160" s="985">
        <v>-2838.46</v>
      </c>
      <c r="O160" s="985">
        <v>-3373.896999999999</v>
      </c>
      <c r="P160" s="985">
        <v>-309.69800000000055</v>
      </c>
      <c r="Q160" s="985">
        <v>-1004.8809999999986</v>
      </c>
      <c r="R160" s="985">
        <v>-742.08400000000074</v>
      </c>
      <c r="S160" s="985">
        <v>-10784.333999999999</v>
      </c>
      <c r="T160" s="985">
        <v>233.28699999999935</v>
      </c>
      <c r="U160" s="985">
        <v>1447.8059999999984</v>
      </c>
      <c r="V160" s="985">
        <v>8209.268</v>
      </c>
      <c r="W160" s="985">
        <v>4810.7309999999989</v>
      </c>
      <c r="X160" s="985">
        <v>3415.8670000000002</v>
      </c>
      <c r="Y160" s="1566">
        <v>-466.64562244078888</v>
      </c>
      <c r="Z160" s="1566">
        <v>4839.1581933239868</v>
      </c>
      <c r="AA160" s="1566">
        <v>6761.4928733459519</v>
      </c>
      <c r="AB160" s="1566">
        <v>7653.9351224286429</v>
      </c>
      <c r="AC160" s="1566">
        <v>7718.0926545110524</v>
      </c>
      <c r="AD160" s="1566">
        <v>8316.9751020792828</v>
      </c>
      <c r="AE160" s="1566">
        <v>9185.4018542013655</v>
      </c>
      <c r="AF160" s="1566">
        <v>9854.7562023547071</v>
      </c>
      <c r="AG160" s="1566">
        <v>10558.835556058364</v>
      </c>
      <c r="AH160" s="1566">
        <v>11540.117781318238</v>
      </c>
      <c r="AI160" s="508"/>
      <c r="AJ160" s="508"/>
      <c r="AK160" s="508"/>
      <c r="AL160" s="508"/>
      <c r="AM160" s="508"/>
      <c r="AN160" s="508"/>
    </row>
    <row r="161" spans="1:40">
      <c r="A161" s="1411" t="s">
        <v>918</v>
      </c>
      <c r="B161" s="438">
        <v>-93.914000000000001</v>
      </c>
      <c r="C161" s="438">
        <v>-60.65</v>
      </c>
      <c r="D161" s="438">
        <v>-28.98</v>
      </c>
      <c r="E161" s="438">
        <v>-87.554000000000002</v>
      </c>
      <c r="F161" s="438">
        <v>627.36</v>
      </c>
      <c r="G161" s="438">
        <v>-332.04700000000003</v>
      </c>
      <c r="H161" s="438">
        <v>536.17399999999998</v>
      </c>
      <c r="I161" s="438">
        <v>739.92899999999997</v>
      </c>
      <c r="J161" s="438">
        <v>-488.07600000000002</v>
      </c>
      <c r="K161" s="438">
        <v>295.42099999999999</v>
      </c>
      <c r="L161" s="438">
        <v>2465.4760000000001</v>
      </c>
      <c r="M161" s="438">
        <v>-1659.2719999999999</v>
      </c>
      <c r="N161" s="438">
        <v>2569.136</v>
      </c>
      <c r="O161" s="438">
        <v>4188.07</v>
      </c>
      <c r="P161" s="438">
        <v>882.57999999999993</v>
      </c>
      <c r="Q161" s="438">
        <v>2356.9089999999997</v>
      </c>
      <c r="R161" s="438">
        <v>-265.35500000000002</v>
      </c>
      <c r="S161" s="438">
        <v>11231.788</v>
      </c>
      <c r="T161" s="438">
        <v>404.24599999999987</v>
      </c>
      <c r="U161" s="438">
        <v>5347.3440000000001</v>
      </c>
      <c r="V161" s="438">
        <v>275.26300000000015</v>
      </c>
      <c r="W161" s="438">
        <v>-2152.7870000000003</v>
      </c>
      <c r="X161" s="438">
        <v>566.35699999999997</v>
      </c>
      <c r="Y161" s="447">
        <v>2955.9718166252323</v>
      </c>
      <c r="Z161" s="447">
        <v>3659.1987338251547</v>
      </c>
      <c r="AA161" s="447">
        <v>3586.8191181181646</v>
      </c>
      <c r="AB161" s="447">
        <v>3159.6952341434467</v>
      </c>
      <c r="AC161" s="447">
        <v>372.15226457853095</v>
      </c>
      <c r="AD161" s="447">
        <v>375.49231073177918</v>
      </c>
      <c r="AE161" s="447">
        <v>378.86233361596589</v>
      </c>
      <c r="AF161" s="447">
        <v>382.26260227061437</v>
      </c>
      <c r="AG161" s="447">
        <v>1388.985674506313</v>
      </c>
      <c r="AH161" s="447">
        <v>549.52511344076925</v>
      </c>
      <c r="AI161" s="508"/>
      <c r="AJ161" s="508"/>
      <c r="AK161" s="508"/>
      <c r="AL161" s="508"/>
      <c r="AM161" s="508"/>
      <c r="AN161" s="508"/>
    </row>
    <row r="162" spans="1:40">
      <c r="A162" s="1411" t="s">
        <v>1267</v>
      </c>
      <c r="B162" s="438"/>
      <c r="C162" s="438"/>
      <c r="D162" s="438"/>
      <c r="E162" s="438"/>
      <c r="F162" s="438"/>
      <c r="G162" s="438"/>
      <c r="H162" s="438"/>
      <c r="I162" s="438"/>
      <c r="J162" s="438"/>
      <c r="K162" s="438"/>
      <c r="L162" s="438"/>
      <c r="M162" s="438"/>
      <c r="N162" s="438"/>
      <c r="O162" s="438">
        <v>0</v>
      </c>
      <c r="P162" s="438">
        <v>0</v>
      </c>
      <c r="Q162" s="438">
        <v>0</v>
      </c>
      <c r="R162" s="438">
        <v>0</v>
      </c>
      <c r="S162" s="438">
        <v>0</v>
      </c>
      <c r="T162" s="438">
        <v>0</v>
      </c>
      <c r="U162" s="438">
        <v>-4310.0410000000002</v>
      </c>
      <c r="V162" s="438">
        <v>-5738.4549999999999</v>
      </c>
      <c r="W162" s="438">
        <v>-4388.6689999999999</v>
      </c>
      <c r="X162" s="438">
        <v>-5130</v>
      </c>
      <c r="Y162" s="447">
        <v>-4178.8261720617656</v>
      </c>
      <c r="Z162" s="447">
        <v>-4725.1059196623519</v>
      </c>
      <c r="AA162" s="447">
        <v>-5112.5423776417283</v>
      </c>
      <c r="AB162" s="447">
        <v>-5395.5166750271028</v>
      </c>
      <c r="AC162" s="447">
        <v>-5778.5150878092227</v>
      </c>
      <c r="AD162" s="447">
        <v>-6183.2306446480643</v>
      </c>
      <c r="AE162" s="447">
        <v>-6604.2813313659981</v>
      </c>
      <c r="AF162" s="447">
        <v>-7047.0838657772565</v>
      </c>
      <c r="AG162" s="447">
        <v>-7514.4867111180365</v>
      </c>
      <c r="AH162" s="447">
        <v>-8005.7230810598194</v>
      </c>
      <c r="AI162" s="508"/>
      <c r="AJ162" s="508"/>
      <c r="AK162" s="508"/>
      <c r="AL162" s="508"/>
      <c r="AM162" s="508"/>
      <c r="AN162" s="508"/>
    </row>
    <row r="163" spans="1:40">
      <c r="A163" s="113" t="s">
        <v>919</v>
      </c>
      <c r="B163" s="985">
        <v>-9.2169999999999845</v>
      </c>
      <c r="C163" s="985">
        <v>106.52699999999996</v>
      </c>
      <c r="D163" s="985">
        <v>-12.034000000000038</v>
      </c>
      <c r="E163" s="985">
        <v>-65.457999999999998</v>
      </c>
      <c r="F163" s="985">
        <v>11.899999999999977</v>
      </c>
      <c r="G163" s="985">
        <v>73.009999999999764</v>
      </c>
      <c r="H163" s="985">
        <v>-33.632999999999811</v>
      </c>
      <c r="I163" s="985">
        <v>452.44600000000003</v>
      </c>
      <c r="J163" s="985">
        <v>-75.265999999999906</v>
      </c>
      <c r="K163" s="985">
        <v>176.98899999999998</v>
      </c>
      <c r="L163" s="985">
        <v>99.175999999999476</v>
      </c>
      <c r="M163" s="985">
        <v>193.21399999999994</v>
      </c>
      <c r="N163" s="985">
        <v>-269.32400000000007</v>
      </c>
      <c r="O163" s="985">
        <v>814.17300000000068</v>
      </c>
      <c r="P163" s="985">
        <v>572.88199999999938</v>
      </c>
      <c r="Q163" s="985">
        <v>1352.0280000000012</v>
      </c>
      <c r="R163" s="985">
        <v>-1007.4390000000008</v>
      </c>
      <c r="S163" s="985">
        <v>447.45400000000154</v>
      </c>
      <c r="T163" s="985">
        <v>637.53299999999922</v>
      </c>
      <c r="U163" s="985">
        <v>2485.1089999999986</v>
      </c>
      <c r="V163" s="985">
        <v>2746.0760000000009</v>
      </c>
      <c r="W163" s="985">
        <v>-1730.7250000000013</v>
      </c>
      <c r="X163" s="985">
        <v>-1147.7759999999998</v>
      </c>
      <c r="Y163" s="1566">
        <v>-1689.4999778773222</v>
      </c>
      <c r="Z163" s="1566">
        <v>3773.2510074867896</v>
      </c>
      <c r="AA163" s="1566">
        <v>5235.7696138223891</v>
      </c>
      <c r="AB163" s="1566">
        <v>5418.1136815449872</v>
      </c>
      <c r="AC163" s="1566">
        <v>2311.7298312803605</v>
      </c>
      <c r="AD163" s="1566">
        <v>2509.2367681629976</v>
      </c>
      <c r="AE163" s="1566">
        <v>2959.9828564513327</v>
      </c>
      <c r="AF163" s="1566">
        <v>3189.9349388480641</v>
      </c>
      <c r="AG163" s="1566">
        <v>4433.334519446641</v>
      </c>
      <c r="AH163" s="1566">
        <v>4083.919813699189</v>
      </c>
      <c r="AI163" s="508"/>
      <c r="AJ163" s="508"/>
      <c r="AK163" s="508"/>
      <c r="AL163" s="508"/>
      <c r="AM163" s="508"/>
      <c r="AN163" s="508"/>
    </row>
    <row r="164" spans="1:40">
      <c r="A164" s="95"/>
      <c r="B164" s="1536"/>
      <c r="C164" s="1536"/>
      <c r="D164" s="1536"/>
      <c r="E164" s="1536"/>
      <c r="F164" s="1536"/>
      <c r="G164" s="1542"/>
      <c r="H164" s="1542"/>
      <c r="I164" s="1542"/>
      <c r="J164" s="1542"/>
      <c r="K164" s="1542"/>
      <c r="L164" s="1542"/>
      <c r="M164" s="1542"/>
      <c r="N164" s="1542"/>
      <c r="O164" s="1542"/>
      <c r="P164" s="1542"/>
      <c r="Q164" s="1542"/>
      <c r="R164" s="1542"/>
      <c r="S164" s="1542"/>
      <c r="T164" s="1622"/>
      <c r="U164" s="1622"/>
      <c r="V164" s="1622"/>
      <c r="W164" s="1622"/>
      <c r="X164" s="1622"/>
      <c r="Y164" s="1622"/>
      <c r="Z164" s="1622"/>
      <c r="AA164" s="1622"/>
      <c r="AB164" s="1622"/>
      <c r="AC164" s="1622"/>
      <c r="AD164" s="1622"/>
      <c r="AE164" s="1622"/>
      <c r="AF164" s="1622"/>
      <c r="AG164" s="1622"/>
      <c r="AH164" s="1622"/>
      <c r="AI164" s="1410"/>
      <c r="AJ164" s="1410"/>
      <c r="AK164" s="1410"/>
      <c r="AL164" s="1410"/>
      <c r="AM164" s="1410"/>
      <c r="AN164" s="1410"/>
    </row>
    <row r="165" spans="1:40">
      <c r="A165" s="1126" t="s">
        <v>669</v>
      </c>
      <c r="B165" s="1124">
        <v>2001</v>
      </c>
      <c r="C165" s="1124">
        <v>2002</v>
      </c>
      <c r="D165" s="1124">
        <v>2003</v>
      </c>
      <c r="E165" s="1124">
        <v>2004</v>
      </c>
      <c r="F165" s="1124">
        <v>2005</v>
      </c>
      <c r="G165" s="1124">
        <v>2006</v>
      </c>
      <c r="H165" s="1124">
        <v>2007</v>
      </c>
      <c r="I165" s="1124">
        <v>2008</v>
      </c>
      <c r="J165" s="1124">
        <v>2009</v>
      </c>
      <c r="K165" s="1124">
        <v>2010</v>
      </c>
      <c r="L165" s="1124">
        <v>2011</v>
      </c>
      <c r="M165" s="1124">
        <v>2012</v>
      </c>
      <c r="N165" s="1124">
        <v>2013</v>
      </c>
      <c r="O165" s="1124">
        <v>2014</v>
      </c>
      <c r="P165" s="1124">
        <v>2015</v>
      </c>
      <c r="Q165" s="1124">
        <v>2016</v>
      </c>
      <c r="R165" s="1124">
        <v>2017</v>
      </c>
      <c r="S165" s="1583">
        <v>2018</v>
      </c>
      <c r="T165" s="1583">
        <v>2019</v>
      </c>
      <c r="U165" s="1583">
        <v>2020</v>
      </c>
      <c r="V165" s="1583">
        <v>2021</v>
      </c>
      <c r="W165" s="1583">
        <v>2022</v>
      </c>
      <c r="X165" s="1583">
        <v>2023</v>
      </c>
      <c r="Y165" s="1445">
        <v>2024</v>
      </c>
      <c r="Z165" s="1445">
        <v>2025</v>
      </c>
      <c r="AA165" s="1445">
        <v>2026</v>
      </c>
      <c r="AB165" s="1445">
        <v>2027</v>
      </c>
      <c r="AC165" s="1445">
        <v>2028</v>
      </c>
      <c r="AD165" s="1445">
        <v>2029</v>
      </c>
      <c r="AE165" s="1445">
        <v>2030</v>
      </c>
      <c r="AF165" s="1445">
        <v>2031</v>
      </c>
      <c r="AG165" s="1445">
        <v>2032</v>
      </c>
      <c r="AH165" s="1445">
        <v>2033</v>
      </c>
      <c r="AI165" s="508"/>
      <c r="AJ165" s="508"/>
      <c r="AK165" s="508"/>
      <c r="AL165" s="508"/>
      <c r="AM165" s="508"/>
      <c r="AN165" s="508"/>
    </row>
    <row r="166" spans="1:40">
      <c r="A166" s="124" t="s">
        <v>84</v>
      </c>
      <c r="B166" s="1522">
        <v>43.146000000000015</v>
      </c>
      <c r="C166" s="1522">
        <v>-140.97900000000001</v>
      </c>
      <c r="D166" s="1522">
        <v>-160.66800000000001</v>
      </c>
      <c r="E166" s="1522">
        <v>-48.488</v>
      </c>
      <c r="F166" s="1522">
        <v>604.29999999999995</v>
      </c>
      <c r="G166" s="1522">
        <v>253.01400000000001</v>
      </c>
      <c r="H166" s="1522">
        <v>824.12300000000005</v>
      </c>
      <c r="I166" s="1522">
        <v>1128.3149999999998</v>
      </c>
      <c r="J166" s="1522">
        <v>864.92000000000007</v>
      </c>
      <c r="K166" s="1522">
        <v>1015.8440000000001</v>
      </c>
      <c r="L166" s="1522">
        <v>3317.152</v>
      </c>
      <c r="M166" s="1522">
        <v>1541.886</v>
      </c>
      <c r="N166" s="1522">
        <v>4380.3469999999998</v>
      </c>
      <c r="O166" s="1522">
        <v>10126.329</v>
      </c>
      <c r="P166" s="1522">
        <v>11037.527</v>
      </c>
      <c r="Q166" s="1522">
        <v>12292.046999999999</v>
      </c>
      <c r="R166" s="1522">
        <v>16501.033000000003</v>
      </c>
      <c r="S166" s="1522">
        <v>26128.074999999997</v>
      </c>
      <c r="T166" s="1522">
        <v>47623.216</v>
      </c>
      <c r="U166" s="1522">
        <v>59736.148999999998</v>
      </c>
      <c r="V166" s="1522">
        <v>54318.394</v>
      </c>
      <c r="W166" s="1522">
        <v>48531.94</v>
      </c>
      <c r="X166" s="1522">
        <v>43336.389000000003</v>
      </c>
      <c r="Y166" s="1596">
        <v>48496.485091525967</v>
      </c>
      <c r="Z166" s="1596">
        <v>47988.07409030549</v>
      </c>
      <c r="AA166" s="1596">
        <v>46823.545876291428</v>
      </c>
      <c r="AB166" s="1596">
        <v>44986.378747360388</v>
      </c>
      <c r="AC166" s="1596">
        <v>43420.517876097816</v>
      </c>
      <c r="AD166" s="1596">
        <v>41655.351400899148</v>
      </c>
      <c r="AE166" s="1596">
        <v>39388.03098519177</v>
      </c>
      <c r="AF166" s="1596">
        <v>36867.448761550069</v>
      </c>
      <c r="AG166" s="1596">
        <v>34104.333502004476</v>
      </c>
      <c r="AH166" s="1596">
        <v>30805.699089695594</v>
      </c>
      <c r="AI166" s="1128"/>
      <c r="AJ166" s="1128">
        <v>0.44124142130556043</v>
      </c>
      <c r="AK166" s="1128">
        <f>IFERROR((W166/T166)^(1/3)-1,"NM")</f>
        <v>6.3204786119639422E-3</v>
      </c>
      <c r="AL166" s="1128">
        <f>IFERROR((AA166/Y166)^(1/2)-1,"NM")</f>
        <v>-1.7399415876010238E-2</v>
      </c>
      <c r="AM166" s="1128">
        <f>IFERROR((AD166/R166)^(1/5)-1,"NM")</f>
        <v>0.20346075911717265</v>
      </c>
      <c r="AN166" s="1128">
        <f>IFERROR((AH166/X166)^(1/5)-1,"NM")</f>
        <v>-6.5981088676648758E-2</v>
      </c>
    </row>
    <row r="167" spans="1:40">
      <c r="A167" s="4" t="s">
        <v>1263</v>
      </c>
      <c r="B167" s="605">
        <v>0.15415970952841709</v>
      </c>
      <c r="C167" s="605">
        <v>6.118452167748159E-2</v>
      </c>
      <c r="D167" s="605">
        <v>3.7239221484750167E-2</v>
      </c>
      <c r="E167" s="605">
        <v>6.9249312116156619E-2</v>
      </c>
      <c r="F167" s="605">
        <v>0.43527913468643253</v>
      </c>
      <c r="G167" s="605">
        <v>0.1873772550036249</v>
      </c>
      <c r="H167" s="605">
        <v>0.34477259754267164</v>
      </c>
      <c r="I167" s="605">
        <v>0.59730917285576479</v>
      </c>
      <c r="J167" s="605">
        <v>0.45662484455521218</v>
      </c>
      <c r="K167" s="605">
        <v>0.57796070816325384</v>
      </c>
      <c r="L167" s="605">
        <v>1.3549478683908593</v>
      </c>
      <c r="M167" s="605">
        <v>0.54736534747860399</v>
      </c>
      <c r="N167" s="605">
        <v>1.1807803340663439</v>
      </c>
      <c r="O167" s="605">
        <v>1.2771608549330191</v>
      </c>
      <c r="P167" s="605">
        <v>1.3488772037726935</v>
      </c>
      <c r="Q167" s="605">
        <v>1.6654154260594349</v>
      </c>
      <c r="R167" s="605">
        <v>1.9070501223575478</v>
      </c>
      <c r="S167" s="605">
        <v>2.5375206677208104</v>
      </c>
      <c r="T167" s="605">
        <v>5.2446107388812733</v>
      </c>
      <c r="U167" s="605">
        <v>10.101647550933727</v>
      </c>
      <c r="V167" s="605">
        <v>8.0128939467999523</v>
      </c>
      <c r="W167" s="605">
        <v>7.1715152023525759</v>
      </c>
      <c r="X167" s="605">
        <v>5.9397708827904427</v>
      </c>
      <c r="Y167" s="606">
        <v>6.5823721831777338</v>
      </c>
      <c r="Z167" s="606">
        <v>5.5088714597303765</v>
      </c>
      <c r="AA167" s="606">
        <v>4.6405180451985588</v>
      </c>
      <c r="AB167" s="606">
        <v>3.9029229219433166</v>
      </c>
      <c r="AC167" s="606">
        <v>3.2081676728930208</v>
      </c>
      <c r="AD167" s="606">
        <v>2.7070218051789836</v>
      </c>
      <c r="AE167" s="606">
        <v>2.3271195913577003</v>
      </c>
      <c r="AF167" s="606">
        <v>2.029519025754948</v>
      </c>
      <c r="AG167" s="606">
        <v>1.8179914457996822</v>
      </c>
      <c r="AH167" s="606">
        <v>1.6233728789959276</v>
      </c>
      <c r="AI167" s="1133"/>
      <c r="AJ167" s="1133"/>
      <c r="AK167" s="508"/>
      <c r="AL167" s="1133"/>
      <c r="AM167" s="1133"/>
      <c r="AN167" s="1133"/>
    </row>
    <row r="168" spans="1:40">
      <c r="A168" s="91" t="s">
        <v>299</v>
      </c>
      <c r="B168" s="605">
        <v>0.13052159024219073</v>
      </c>
      <c r="C168" s="605">
        <v>-0.36722557521040472</v>
      </c>
      <c r="D168" s="605">
        <v>-0.38695693012434695</v>
      </c>
      <c r="E168" s="605">
        <v>-8.8894918535602524E-2</v>
      </c>
      <c r="F168" s="605">
        <v>0.86260179429166828</v>
      </c>
      <c r="G168" s="605">
        <v>0.25114572693731313</v>
      </c>
      <c r="H168" s="605">
        <v>0.63951140550456442</v>
      </c>
      <c r="I168" s="605">
        <v>1.0932575113824974</v>
      </c>
      <c r="J168" s="605">
        <v>0.8647159270412188</v>
      </c>
      <c r="K168" s="605">
        <v>1.0172365969011579</v>
      </c>
      <c r="L168" s="605">
        <v>2.9754325032941731</v>
      </c>
      <c r="M168" s="605">
        <v>0.95884556905349005</v>
      </c>
      <c r="N168" s="605">
        <v>2.148574940575517</v>
      </c>
      <c r="O168" s="605">
        <v>3.625490674850667</v>
      </c>
      <c r="P168" s="605">
        <v>2.5658350398177103</v>
      </c>
      <c r="Q168" s="605">
        <v>2.3843801197927235</v>
      </c>
      <c r="R168" s="605">
        <v>2.5518729265397351</v>
      </c>
      <c r="S168" s="605">
        <v>4.0772132527151825</v>
      </c>
      <c r="T168" s="605">
        <v>3.7743604765390844</v>
      </c>
      <c r="U168" s="605">
        <v>8.6264875657353599</v>
      </c>
      <c r="V168" s="605">
        <v>4.4120873323456742</v>
      </c>
      <c r="W168" s="605">
        <v>3.4542812513834731</v>
      </c>
      <c r="X168" s="605">
        <v>2.7152464141068249</v>
      </c>
      <c r="Y168" s="606">
        <v>2.9211653486132434</v>
      </c>
      <c r="Z168" s="606">
        <v>2.5954635477254215</v>
      </c>
      <c r="AA168" s="606">
        <v>2.3363767082862794</v>
      </c>
      <c r="AB168" s="606">
        <v>2.093218161207905</v>
      </c>
      <c r="AC168" s="606">
        <v>1.9022812936652098</v>
      </c>
      <c r="AD168" s="606">
        <v>1.7191285368992903</v>
      </c>
      <c r="AE168" s="606">
        <v>1.5334444138395273</v>
      </c>
      <c r="AF168" s="606">
        <v>1.3558444190896084</v>
      </c>
      <c r="AG168" s="606">
        <v>1.185118729754044</v>
      </c>
      <c r="AH168" s="606">
        <v>1.0123159523200884</v>
      </c>
      <c r="AI168" s="1133"/>
      <c r="AJ168" s="1133"/>
      <c r="AK168" s="508"/>
      <c r="AL168" s="1133"/>
      <c r="AM168" s="1133"/>
      <c r="AN168" s="1133"/>
    </row>
    <row r="169" spans="1:40" s="1209" customFormat="1">
      <c r="A169" s="1266" t="s">
        <v>1231</v>
      </c>
      <c r="B169" s="1624">
        <v>43.146000000000015</v>
      </c>
      <c r="C169" s="1624">
        <v>-140.97900000000001</v>
      </c>
      <c r="D169" s="1624">
        <v>-160.66800000000001</v>
      </c>
      <c r="E169" s="1624">
        <v>-48.488</v>
      </c>
      <c r="F169" s="1624">
        <v>604.29999999999995</v>
      </c>
      <c r="G169" s="1624">
        <v>253.01400000000001</v>
      </c>
      <c r="H169" s="1624">
        <v>824.12300000000005</v>
      </c>
      <c r="I169" s="1624">
        <v>1128.3149999999998</v>
      </c>
      <c r="J169" s="1624">
        <v>864.92000000000007</v>
      </c>
      <c r="K169" s="1624">
        <v>1015.8440000000001</v>
      </c>
      <c r="L169" s="1624">
        <v>3317.152</v>
      </c>
      <c r="M169" s="1624">
        <v>1541.886</v>
      </c>
      <c r="N169" s="1624">
        <v>4380.3469999999998</v>
      </c>
      <c r="O169" s="1624">
        <v>10126.329</v>
      </c>
      <c r="P169" s="1624">
        <v>11037.527</v>
      </c>
      <c r="Q169" s="1624">
        <v>12292.046999999999</v>
      </c>
      <c r="R169" s="1624">
        <v>16501.033000000003</v>
      </c>
      <c r="S169" s="1624">
        <v>26128.074999999997</v>
      </c>
      <c r="T169" s="1624">
        <v>25061.356</v>
      </c>
      <c r="U169" s="1624">
        <v>34436.148999999998</v>
      </c>
      <c r="V169" s="1624">
        <v>30555.119999999999</v>
      </c>
      <c r="W169" s="1624">
        <v>26550.129000000001</v>
      </c>
      <c r="X169" s="1624">
        <v>25006.322000000004</v>
      </c>
      <c r="Y169" s="1624">
        <v>29805.004794502551</v>
      </c>
      <c r="Z169" s="1624">
        <v>28866.392520840924</v>
      </c>
      <c r="AA169" s="1624">
        <v>27217.442025136697</v>
      </c>
      <c r="AB169" s="1624">
        <v>24959.023577735155</v>
      </c>
      <c r="AC169" s="1624">
        <v>23019.44601103332</v>
      </c>
      <c r="AD169" s="1624">
        <v>20885.701553602106</v>
      </c>
      <c r="AE169" s="1624">
        <v>18304.581030766731</v>
      </c>
      <c r="AF169" s="1624">
        <v>15496.908694189282</v>
      </c>
      <c r="AG169" s="1624">
        <v>12452.559849248937</v>
      </c>
      <c r="AH169" s="1624">
        <v>8918.1651489905125</v>
      </c>
      <c r="AI169" s="1261"/>
      <c r="AJ169" s="1261">
        <v>0.22753305802065449</v>
      </c>
      <c r="AK169" s="1261">
        <f>IFERROR((W169/T169)^(1/3)-1,"NM")</f>
        <v>1.9422050377688294E-2</v>
      </c>
      <c r="AL169" s="1261">
        <f>IFERROR((AA169/Y169)^(1/2)-1,"NM")</f>
        <v>-4.4393587788146838E-2</v>
      </c>
      <c r="AM169" s="1261">
        <f>IFERROR((AD169/R169)^(1/5)-1,"NM")</f>
        <v>4.8256555419673663E-2</v>
      </c>
      <c r="AN169" s="1261">
        <f>IFERROR((AH169/X169)^(1/5)-1,"NM")</f>
        <v>-0.18633593087315625</v>
      </c>
    </row>
    <row r="170" spans="1:40" s="1209" customFormat="1">
      <c r="A170" s="1267" t="s">
        <v>1264</v>
      </c>
      <c r="B170" s="1625">
        <v>0.11591879906693063</v>
      </c>
      <c r="C170" s="1625">
        <v>0.119598653296517</v>
      </c>
      <c r="D170" s="1625">
        <v>0.13392358139434007</v>
      </c>
      <c r="E170" s="1625">
        <v>8.5453739397214179E-2</v>
      </c>
      <c r="F170" s="1625">
        <v>4.3541844820793645E-2</v>
      </c>
      <c r="G170" s="1625">
        <v>3.342609491083455E-2</v>
      </c>
      <c r="H170" s="1625">
        <v>4.1329971877294897E-2</v>
      </c>
      <c r="I170" s="1625">
        <v>4.8974294385805389E-2</v>
      </c>
      <c r="J170" s="1625">
        <v>0.13585624867335111</v>
      </c>
      <c r="K170" s="1625">
        <v>0.10799973618922072</v>
      </c>
      <c r="L170" s="1625">
        <v>0.10704836500794632</v>
      </c>
      <c r="M170" s="1625">
        <v>0.13927931074499625</v>
      </c>
      <c r="N170" s="1625">
        <v>0.11702684587650229</v>
      </c>
      <c r="O170" s="1625">
        <v>1.2771608549330191</v>
      </c>
      <c r="P170" s="1625">
        <v>1.3488772037726935</v>
      </c>
      <c r="Q170" s="1625">
        <v>1.6654154260594349</v>
      </c>
      <c r="R170" s="1625">
        <v>1.9070501223575478</v>
      </c>
      <c r="S170" s="1625">
        <v>2.5375206677208104</v>
      </c>
      <c r="T170" s="1625">
        <v>2.8897558479815988</v>
      </c>
      <c r="U170" s="1625">
        <v>6.0875260937727331</v>
      </c>
      <c r="V170" s="1625">
        <v>4.9021781958920654</v>
      </c>
      <c r="W170" s="1625">
        <v>4.2859553730722793</v>
      </c>
      <c r="X170" s="1625">
        <v>3.7511328220241378</v>
      </c>
      <c r="Y170" s="1625">
        <v>4.2704271451838522</v>
      </c>
      <c r="Z170" s="1625">
        <v>3.6438598298163196</v>
      </c>
      <c r="AA170" s="1625">
        <v>3.1379883476124775</v>
      </c>
      <c r="AB170" s="1625">
        <v>2.6841395527391456</v>
      </c>
      <c r="AC170" s="1625">
        <v>2.1993763501177472</v>
      </c>
      <c r="AD170" s="1625">
        <v>1.8502604362068813</v>
      </c>
      <c r="AE170" s="1625">
        <v>1.5872769693572335</v>
      </c>
      <c r="AF170" s="1625">
        <v>1.3820394202256949</v>
      </c>
      <c r="AG170" s="1625">
        <v>1.2446584892895847</v>
      </c>
      <c r="AH170" s="1625">
        <v>1.1116940401322493</v>
      </c>
      <c r="AI170" s="1243"/>
      <c r="AJ170" s="1243"/>
      <c r="AK170" s="1262"/>
      <c r="AL170" s="1243"/>
      <c r="AM170" s="1243"/>
      <c r="AN170" s="1243"/>
    </row>
    <row r="171" spans="1:40" s="1209" customFormat="1">
      <c r="A171" s="1267" t="s">
        <v>1243</v>
      </c>
      <c r="B171" s="1625">
        <v>0.13052159024219073</v>
      </c>
      <c r="C171" s="1625">
        <v>-0.36722557521040472</v>
      </c>
      <c r="D171" s="1625">
        <v>-0.38695693012434695</v>
      </c>
      <c r="E171" s="1625">
        <v>-8.8894918535602524E-2</v>
      </c>
      <c r="F171" s="1625">
        <v>0.86260179429166828</v>
      </c>
      <c r="G171" s="1625">
        <v>0.25114572693731313</v>
      </c>
      <c r="H171" s="1625">
        <v>0.63951140550456442</v>
      </c>
      <c r="I171" s="1625">
        <v>1.0932575113824974</v>
      </c>
      <c r="J171" s="1625">
        <v>0.8647159270412188</v>
      </c>
      <c r="K171" s="1625">
        <v>1.0172365969011579</v>
      </c>
      <c r="L171" s="1625">
        <v>2.9754325032941731</v>
      </c>
      <c r="M171" s="1625">
        <v>0.95884556905349005</v>
      </c>
      <c r="N171" s="1625">
        <v>2.148574940575517</v>
      </c>
      <c r="O171" s="1625">
        <v>3.625490674850667</v>
      </c>
      <c r="P171" s="1625">
        <v>2.5658350398177103</v>
      </c>
      <c r="Q171" s="1625">
        <v>2.3843801197927235</v>
      </c>
      <c r="R171" s="1625">
        <v>2.5518729265397351</v>
      </c>
      <c r="S171" s="1625">
        <v>4.0772132527151825</v>
      </c>
      <c r="T171" s="1625">
        <v>3.2682320903464706</v>
      </c>
      <c r="U171" s="1625">
        <v>23.968220459901673</v>
      </c>
      <c r="V171" s="1625">
        <v>4.674690692131481</v>
      </c>
      <c r="W171" s="1625">
        <v>3.0086816191183967</v>
      </c>
      <c r="X171" s="1625">
        <v>2.3165522409338952</v>
      </c>
      <c r="Y171" s="1625">
        <v>2.5875721815062831</v>
      </c>
      <c r="Z171" s="1625">
        <v>2.260092058335609</v>
      </c>
      <c r="AA171" s="1625">
        <v>1.9523866691093412</v>
      </c>
      <c r="AB171" s="1625">
        <v>1.6546241112576829</v>
      </c>
      <c r="AC171" s="1625">
        <v>1.4373009002514185</v>
      </c>
      <c r="AD171" s="1625">
        <v>1.2287739211895181</v>
      </c>
      <c r="AE171" s="1625">
        <v>1.0161529298201497</v>
      </c>
      <c r="AF171" s="1625">
        <v>0.81299882501938059</v>
      </c>
      <c r="AG171" s="1625">
        <v>0.61752329526166205</v>
      </c>
      <c r="AH171" s="1625">
        <v>0.41840907979705488</v>
      </c>
      <c r="AI171" s="1243"/>
      <c r="AJ171" s="1243"/>
      <c r="AK171" s="1262"/>
      <c r="AL171" s="1243"/>
      <c r="AM171" s="1243"/>
      <c r="AN171" s="1243"/>
    </row>
    <row r="172" spans="1:40">
      <c r="A172" s="91" t="s">
        <v>342</v>
      </c>
      <c r="B172" s="438">
        <v>48.603999999999999</v>
      </c>
      <c r="C172" s="438">
        <v>26.916</v>
      </c>
      <c r="D172" s="438">
        <v>42.328000000000003</v>
      </c>
      <c r="E172" s="438">
        <v>162.625</v>
      </c>
      <c r="F172" s="438">
        <v>82.119</v>
      </c>
      <c r="G172" s="438">
        <v>68.694000000000003</v>
      </c>
      <c r="H172" s="438">
        <v>134.60499999999999</v>
      </c>
      <c r="I172" s="438">
        <v>232.72200000000001</v>
      </c>
      <c r="J172" s="438">
        <v>223.774</v>
      </c>
      <c r="K172" s="438">
        <v>245.64099999999999</v>
      </c>
      <c r="L172" s="438">
        <v>298.86399999999998</v>
      </c>
      <c r="M172" s="438">
        <v>308.18900000000002</v>
      </c>
      <c r="N172" s="438">
        <v>239.50399999999999</v>
      </c>
      <c r="O172" s="438">
        <v>1289.49</v>
      </c>
      <c r="P172" s="438">
        <v>1356.1969999999999</v>
      </c>
      <c r="Q172" s="438">
        <v>1013.448</v>
      </c>
      <c r="R172" s="438">
        <v>1142.7370000000001</v>
      </c>
      <c r="S172" s="438">
        <v>1878.742</v>
      </c>
      <c r="T172" s="438">
        <v>1961.5630000000001</v>
      </c>
      <c r="U172" s="438">
        <v>1330.4459999999999</v>
      </c>
      <c r="V172" s="438">
        <v>1034.923</v>
      </c>
      <c r="W172" s="438">
        <v>962.13099999999997</v>
      </c>
      <c r="X172" s="438">
        <v>940.62099999999998</v>
      </c>
      <c r="Y172" s="447">
        <v>124.39</v>
      </c>
      <c r="Z172" s="447">
        <v>124.39</v>
      </c>
      <c r="AA172" s="447">
        <v>124.39</v>
      </c>
      <c r="AB172" s="447">
        <v>124.39</v>
      </c>
      <c r="AC172" s="447">
        <v>124.39</v>
      </c>
      <c r="AD172" s="447">
        <v>124.39</v>
      </c>
      <c r="AE172" s="447">
        <v>124.39</v>
      </c>
      <c r="AF172" s="447">
        <v>124.39</v>
      </c>
      <c r="AG172" s="447">
        <v>124.39</v>
      </c>
      <c r="AH172" s="447">
        <v>124.39</v>
      </c>
      <c r="AI172" s="1133"/>
      <c r="AJ172" s="1133"/>
      <c r="AK172" s="508"/>
      <c r="AL172" s="1133"/>
      <c r="AM172" s="1133"/>
      <c r="AN172" s="1133"/>
    </row>
    <row r="173" spans="1:40">
      <c r="A173" s="91" t="s">
        <v>95</v>
      </c>
      <c r="B173" s="438">
        <v>99.024999999999935</v>
      </c>
      <c r="C173" s="438">
        <v>181.798</v>
      </c>
      <c r="D173" s="438">
        <v>9.8980000000000814</v>
      </c>
      <c r="E173" s="438">
        <v>-109.30000000000007</v>
      </c>
      <c r="F173" s="438">
        <v>-449.02199999999988</v>
      </c>
      <c r="G173" s="438">
        <v>-30.439999999999372</v>
      </c>
      <c r="H173" s="438">
        <v>-218.84699999999987</v>
      </c>
      <c r="I173" s="438">
        <v>-387.78600000000006</v>
      </c>
      <c r="J173" s="438">
        <v>552.25699999999938</v>
      </c>
      <c r="K173" s="438">
        <v>-9.9000000000002046</v>
      </c>
      <c r="L173" s="438">
        <v>-333.62999999999977</v>
      </c>
      <c r="M173" s="438">
        <v>-1891.1230000000007</v>
      </c>
      <c r="N173" s="438">
        <v>-1906.1279999999999</v>
      </c>
      <c r="O173" s="438">
        <v>-10371.472</v>
      </c>
      <c r="P173" s="438">
        <v>-587.44299999999976</v>
      </c>
      <c r="Q173" s="438">
        <v>-479.66799999999967</v>
      </c>
      <c r="R173" s="438">
        <v>358.46899999999869</v>
      </c>
      <c r="S173" s="438">
        <v>-12399.8</v>
      </c>
      <c r="T173" s="438">
        <v>4649.882999999998</v>
      </c>
      <c r="U173" s="438">
        <v>-3329.8420000000019</v>
      </c>
      <c r="V173" s="438">
        <v>3166.0110000000022</v>
      </c>
      <c r="W173" s="438">
        <v>2312.2380000000003</v>
      </c>
      <c r="X173" s="438">
        <v>1623.7019999999993</v>
      </c>
      <c r="Y173" s="447">
        <v>-4023.8797945025558</v>
      </c>
      <c r="Z173" s="447">
        <v>821.49964534270066</v>
      </c>
      <c r="AA173" s="447">
        <v>2618.6903074394913</v>
      </c>
      <c r="AB173" s="447">
        <v>3649.3701272173048</v>
      </c>
      <c r="AC173" s="447">
        <v>3480.5941635262425</v>
      </c>
      <c r="AD173" s="447">
        <v>3794.8796789604394</v>
      </c>
      <c r="AE173" s="447">
        <v>4344.4759793797848</v>
      </c>
      <c r="AF173" s="447">
        <v>4676.2848753812123</v>
      </c>
      <c r="AG173" s="447">
        <v>5020.5057705951012</v>
      </c>
      <c r="AH173" s="447">
        <v>5618.2000041369447</v>
      </c>
      <c r="AI173" s="1133"/>
      <c r="AJ173" s="1133"/>
      <c r="AK173" s="508"/>
      <c r="AL173" s="1133"/>
      <c r="AM173" s="1133"/>
      <c r="AN173" s="1133"/>
    </row>
    <row r="174" spans="1:40">
      <c r="A174" s="4" t="s">
        <v>85</v>
      </c>
      <c r="B174" s="1623">
        <v>2.1055161345509898E-2</v>
      </c>
      <c r="C174" s="1623">
        <v>9.0180085258925582E-2</v>
      </c>
      <c r="D174" s="1623">
        <v>7.1263527908323063E-2</v>
      </c>
      <c r="E174" s="1623">
        <v>7.0084912947456598E-2</v>
      </c>
      <c r="F174" s="1623">
        <v>8.6777269681008892E-2</v>
      </c>
      <c r="G174" s="1623">
        <v>5.4987964259568291E-2</v>
      </c>
      <c r="H174" s="1623">
        <v>9.0343694465777155E-2</v>
      </c>
      <c r="I174" s="1623">
        <v>1.9779775874568396E-2</v>
      </c>
      <c r="J174" s="1623">
        <v>1.7860459863631176E-2</v>
      </c>
      <c r="K174" s="1623">
        <v>2.4624712740723385E-2</v>
      </c>
      <c r="L174" s="1623">
        <v>2.2363999469606589E-2</v>
      </c>
      <c r="M174" s="1623">
        <v>3.7413781119505524E-2</v>
      </c>
      <c r="N174" s="1623">
        <v>5.4849033133096609E-2</v>
      </c>
      <c r="O174" s="1623">
        <v>2.2392685968196078E-2</v>
      </c>
      <c r="P174" s="1623">
        <v>3.0814422531297615E-2</v>
      </c>
      <c r="Q174" s="1623">
        <v>2.6226300884105092E-2</v>
      </c>
      <c r="R174" s="1623">
        <v>2.7470736529431161E-2</v>
      </c>
      <c r="S174" s="1623">
        <v>1.7965525974478515E-2</v>
      </c>
      <c r="T174" s="1623">
        <v>1.212724431297974E-2</v>
      </c>
      <c r="U174" s="1623">
        <v>-3.8184604137203697E-2</v>
      </c>
      <c r="V174" s="1623">
        <v>1.0064528046750757E-2</v>
      </c>
      <c r="W174" s="1623">
        <v>2.0285183709076289E-2</v>
      </c>
      <c r="X174" s="1623">
        <v>3.8062888173296942E-2</v>
      </c>
      <c r="Y174" s="1626">
        <v>2.1025662087761809E-2</v>
      </c>
      <c r="Z174" s="1626">
        <v>3.3560038203271587E-2</v>
      </c>
      <c r="AA174" s="1626">
        <v>4.0180298122510137E-2</v>
      </c>
      <c r="AB174" s="1626">
        <v>4.688569295443052E-2</v>
      </c>
      <c r="AC174" s="1626">
        <v>4.9646504488931029E-2</v>
      </c>
      <c r="AD174" s="1626">
        <v>5.0153522755228781E-2</v>
      </c>
      <c r="AE174" s="1626">
        <v>5.0444236410863506E-2</v>
      </c>
      <c r="AF174" s="1626">
        <v>5.0751493695985146E-2</v>
      </c>
      <c r="AG174" s="1626">
        <v>5.0521573889620516E-2</v>
      </c>
      <c r="AH174" s="1626">
        <v>5.0543078183264048E-2</v>
      </c>
      <c r="AI174" s="1133"/>
      <c r="AJ174" s="1133"/>
      <c r="AK174" s="1133"/>
      <c r="AL174" s="1133"/>
      <c r="AM174" s="1133"/>
      <c r="AN174" s="1133"/>
    </row>
    <row r="175" spans="1:40" s="1209" customFormat="1">
      <c r="A175" s="1267" t="s">
        <v>1232</v>
      </c>
      <c r="B175" s="1530">
        <v>2.1055161345509898E-2</v>
      </c>
      <c r="C175" s="1530">
        <v>9.0180085258925582E-2</v>
      </c>
      <c r="D175" s="1530">
        <v>7.1263527908323063E-2</v>
      </c>
      <c r="E175" s="1530">
        <v>7.0084912947456598E-2</v>
      </c>
      <c r="F175" s="1530">
        <v>8.6777269681008892E-2</v>
      </c>
      <c r="G175" s="1530">
        <v>5.4987964259568291E-2</v>
      </c>
      <c r="H175" s="1530">
        <v>9.0343694465777155E-2</v>
      </c>
      <c r="I175" s="1530">
        <v>1.9779775874568396E-2</v>
      </c>
      <c r="J175" s="1530">
        <v>1.7860459863631176E-2</v>
      </c>
      <c r="K175" s="1530">
        <v>2.4624712740723385E-2</v>
      </c>
      <c r="L175" s="1530">
        <v>2.2363999469606589E-2</v>
      </c>
      <c r="M175" s="1530">
        <v>3.7413781119505524E-2</v>
      </c>
      <c r="N175" s="1530">
        <v>5.4849033133096609E-2</v>
      </c>
      <c r="O175" s="1530">
        <v>2.2392685968196002E-2</v>
      </c>
      <c r="P175" s="1530">
        <v>3.0814422531297642E-2</v>
      </c>
      <c r="Q175" s="1530">
        <v>2.6226300884105137E-2</v>
      </c>
      <c r="R175" s="1530">
        <v>2.7470736529431185E-2</v>
      </c>
      <c r="S175" s="1530">
        <v>1.7965525974478515E-2</v>
      </c>
      <c r="T175" s="1530">
        <v>1.0003815095192572E-2</v>
      </c>
      <c r="U175" s="1530">
        <v>-4.4442747908626783E-2</v>
      </c>
      <c r="V175" s="1530">
        <v>5.8797461414930533E-3</v>
      </c>
      <c r="W175" s="1530">
        <v>2.0652342259670782E-2</v>
      </c>
      <c r="X175" s="1530">
        <v>3.6233817409637166E-2</v>
      </c>
      <c r="Y175" s="1530">
        <v>2.2102885368401604E-2</v>
      </c>
      <c r="Z175" s="1530">
        <v>3.1667702412941659E-2</v>
      </c>
      <c r="AA175" s="1530">
        <v>3.7237818056468176E-2</v>
      </c>
      <c r="AB175" s="1530">
        <v>4.3838797131996843E-2</v>
      </c>
      <c r="AC175" s="1530">
        <v>4.5840606660549794E-2</v>
      </c>
      <c r="AD175" s="1530">
        <v>4.5742376851967144E-2</v>
      </c>
      <c r="AE175" s="1530">
        <v>4.5570688537380083E-2</v>
      </c>
      <c r="AF175" s="1530">
        <v>4.5445658170528917E-2</v>
      </c>
      <c r="AG175" s="1530">
        <v>4.4907298354144767E-2</v>
      </c>
      <c r="AH175" s="1530">
        <v>4.4643304095417904E-2</v>
      </c>
      <c r="AI175" s="1243"/>
      <c r="AJ175" s="1275"/>
      <c r="AK175" s="1243"/>
      <c r="AL175" s="1243"/>
      <c r="AM175" s="1243"/>
      <c r="AN175" s="1243"/>
    </row>
    <row r="176" spans="1:40">
      <c r="A176" s="4" t="s">
        <v>86</v>
      </c>
      <c r="B176" s="1623"/>
      <c r="C176" s="1623">
        <v>0.14867677698433543</v>
      </c>
      <c r="D176" s="1623">
        <v>0.11180242898166601</v>
      </c>
      <c r="E176" s="1623">
        <v>0.11724643143416798</v>
      </c>
      <c r="F176" s="1623">
        <v>0.17632836019097486</v>
      </c>
      <c r="G176" s="1623">
        <v>0.10050133736707226</v>
      </c>
      <c r="H176" s="1623">
        <v>0.16931679619008447</v>
      </c>
      <c r="I176" s="1623">
        <v>4.296533153258774E-2</v>
      </c>
      <c r="J176" s="1623">
        <v>3.5135107676364553E-2</v>
      </c>
      <c r="K176" s="1623">
        <v>5.2382464105389777E-2</v>
      </c>
      <c r="L176" s="1623">
        <v>7.1560708104341481E-2</v>
      </c>
      <c r="M176" s="1623">
        <v>9.7561072981505806E-2</v>
      </c>
      <c r="N176" s="1623">
        <v>0.15491410108827933</v>
      </c>
      <c r="O176" s="1623">
        <v>0.10200255440152339</v>
      </c>
      <c r="P176" s="1623">
        <v>0.10981966103516032</v>
      </c>
      <c r="Q176" s="1623">
        <v>0.11084288566677207</v>
      </c>
      <c r="R176" s="1623">
        <v>0.11860740170438064</v>
      </c>
      <c r="S176" s="1623">
        <v>9.2817062745743431E-2</v>
      </c>
      <c r="T176" s="1623">
        <v>8.9701999092205859E-2</v>
      </c>
      <c r="U176" s="1623">
        <v>-0.4011707061312425</v>
      </c>
      <c r="V176" s="1623">
        <v>0.11980133288719663</v>
      </c>
      <c r="W176" s="1623">
        <v>0.21397803884936184</v>
      </c>
      <c r="X176" s="1623">
        <v>0.36650217980163607</v>
      </c>
      <c r="Y176" s="1626">
        <v>0.20171095740051367</v>
      </c>
      <c r="Z176" s="1626">
        <v>0.3136238910365492</v>
      </c>
      <c r="AA176" s="1626">
        <v>0.32320738399775961</v>
      </c>
      <c r="AB176" s="1626">
        <v>0.32390195560152757</v>
      </c>
      <c r="AC176" s="1626">
        <v>0.29092727228534615</v>
      </c>
      <c r="AD176" s="1626">
        <v>0.25547545966298407</v>
      </c>
      <c r="AE176" s="1626">
        <v>0.228236704555491</v>
      </c>
      <c r="AF176" s="1626">
        <v>0.20737667634276974</v>
      </c>
      <c r="AG176" s="1626">
        <v>0.19033835762243942</v>
      </c>
      <c r="AH176" s="1626">
        <v>0.17618380528181107</v>
      </c>
      <c r="AI176" s="1133"/>
      <c r="AJ176" s="1133"/>
      <c r="AK176" s="1133"/>
      <c r="AL176" s="1133"/>
      <c r="AM176" s="1133"/>
      <c r="AN176" s="1133"/>
    </row>
    <row r="177" spans="1:40" s="1209" customFormat="1">
      <c r="A177" s="1267" t="s">
        <v>1233</v>
      </c>
      <c r="B177" s="1530"/>
      <c r="C177" s="1530">
        <v>0.14867677698433543</v>
      </c>
      <c r="D177" s="1530">
        <v>0.11180242898166601</v>
      </c>
      <c r="E177" s="1530">
        <v>0.11724643143416798</v>
      </c>
      <c r="F177" s="1530">
        <v>0.17632836019097486</v>
      </c>
      <c r="G177" s="1530">
        <v>0.10050133736707226</v>
      </c>
      <c r="H177" s="1530">
        <v>0.16931679619008447</v>
      </c>
      <c r="I177" s="1530">
        <v>4.296533153258774E-2</v>
      </c>
      <c r="J177" s="1530">
        <v>3.5135107676364553E-2</v>
      </c>
      <c r="K177" s="1530">
        <v>5.2382464105389777E-2</v>
      </c>
      <c r="L177" s="1530">
        <v>7.1560708104341481E-2</v>
      </c>
      <c r="M177" s="1530">
        <v>9.7561072981505806E-2</v>
      </c>
      <c r="N177" s="1530">
        <v>0.15491410108827933</v>
      </c>
      <c r="O177" s="1530">
        <v>0.10200255440152305</v>
      </c>
      <c r="P177" s="1530">
        <v>0.10981966103516043</v>
      </c>
      <c r="Q177" s="1530">
        <v>0.11084288566677228</v>
      </c>
      <c r="R177" s="1530">
        <v>0.11860740170438074</v>
      </c>
      <c r="S177" s="1530">
        <v>9.2817062745743431E-2</v>
      </c>
      <c r="T177" s="1530">
        <v>7.3995558218210897E-2</v>
      </c>
      <c r="U177" s="1530">
        <v>-0.4669192980724261</v>
      </c>
      <c r="V177" s="1530">
        <v>6.9988520228390527E-2</v>
      </c>
      <c r="W177" s="1530">
        <v>0.2178510068110881</v>
      </c>
      <c r="X177" s="1530">
        <v>0.34889031548801203</v>
      </c>
      <c r="Y177" s="1530">
        <v>0.2120453639159903</v>
      </c>
      <c r="Z177" s="1530">
        <v>0.29593971230837535</v>
      </c>
      <c r="AA177" s="1530">
        <v>0.2995382892162507</v>
      </c>
      <c r="AB177" s="1530">
        <v>0.30285298622062107</v>
      </c>
      <c r="AC177" s="1530">
        <v>0.26862480637750891</v>
      </c>
      <c r="AD177" s="1530">
        <v>0.23300566162354797</v>
      </c>
      <c r="AE177" s="1530">
        <v>0.20618616746186713</v>
      </c>
      <c r="AF177" s="1530">
        <v>0.18569639747094713</v>
      </c>
      <c r="AG177" s="1530">
        <v>0.169186760346452</v>
      </c>
      <c r="AH177" s="1530">
        <v>0.15561828599683916</v>
      </c>
      <c r="AI177" s="1243"/>
      <c r="AJ177" s="1243"/>
      <c r="AK177" s="1243"/>
      <c r="AL177" s="1243"/>
      <c r="AM177" s="1243"/>
      <c r="AN177" s="1243"/>
    </row>
    <row r="178" spans="1:40">
      <c r="A178" s="4" t="s">
        <v>87</v>
      </c>
      <c r="B178" s="1623"/>
      <c r="C178" s="1623">
        <v>0.27249144773007089</v>
      </c>
      <c r="D178" s="1623">
        <v>0.24635849161018608</v>
      </c>
      <c r="E178" s="1623">
        <v>0.27529431691776823</v>
      </c>
      <c r="F178" s="1623">
        <v>0.24521465202932827</v>
      </c>
      <c r="G178" s="1623">
        <v>0.16063391460835932</v>
      </c>
      <c r="H178" s="1623">
        <v>0.20649658566071263</v>
      </c>
      <c r="I178" s="1623">
        <v>0.11043285685815038</v>
      </c>
      <c r="J178" s="1623">
        <v>6.0545951354699847E-2</v>
      </c>
      <c r="K178" s="1623">
        <v>4.4786883252483999E-2</v>
      </c>
      <c r="L178" s="1623">
        <v>5.8123919702936809E-2</v>
      </c>
      <c r="M178" s="1623">
        <v>7.9675440103500972E-2</v>
      </c>
      <c r="N178" s="1623">
        <v>0.10244007480190646</v>
      </c>
      <c r="O178" s="1623">
        <v>6.3458815243390199E-2</v>
      </c>
      <c r="P178" s="1623">
        <v>7.6608886106419485E-2</v>
      </c>
      <c r="Q178" s="1623">
        <v>8.6199653475456176E-2</v>
      </c>
      <c r="R178" s="1623">
        <v>9.034877821955567E-2</v>
      </c>
      <c r="S178" s="1623">
        <v>6.1700951690782144E-2</v>
      </c>
      <c r="T178" s="1623">
        <v>7.1290988002112241E-2</v>
      </c>
      <c r="U178" s="1623">
        <v>-1.7590294342897887E-2</v>
      </c>
      <c r="V178" s="1623">
        <v>4.9770133383006517E-2</v>
      </c>
      <c r="W178" s="1623">
        <v>6.6362725141931089E-2</v>
      </c>
      <c r="X178" s="1623">
        <v>9.6768802410721722E-2</v>
      </c>
      <c r="Y178" s="1626">
        <v>9.9400772356673259E-2</v>
      </c>
      <c r="Z178" s="1626">
        <v>0.10807422471095487</v>
      </c>
      <c r="AA178" s="1626">
        <v>0.11659271397769158</v>
      </c>
      <c r="AB178" s="1626">
        <v>0.12388645196937247</v>
      </c>
      <c r="AC178" s="1626">
        <v>0.12758209163074383</v>
      </c>
      <c r="AD178" s="1626">
        <v>0.12706348794827643</v>
      </c>
      <c r="AE178" s="1626">
        <v>0.12642065719917678</v>
      </c>
      <c r="AF178" s="1626">
        <v>0.1260041259513078</v>
      </c>
      <c r="AG178" s="1626">
        <v>0.12543692980983639</v>
      </c>
      <c r="AH178" s="1626">
        <v>0.12497221336295251</v>
      </c>
      <c r="AI178" s="1133"/>
      <c r="AJ178" s="1133"/>
      <c r="AK178" s="1133"/>
      <c r="AL178" s="1133"/>
      <c r="AM178" s="1133"/>
      <c r="AN178" s="1133"/>
    </row>
    <row r="179" spans="1:40" s="1209" customFormat="1">
      <c r="A179" s="1267" t="s">
        <v>1234</v>
      </c>
      <c r="B179" s="1530"/>
      <c r="C179" s="1530">
        <v>0.33347121469145202</v>
      </c>
      <c r="D179" s="1530">
        <v>0.30941124660718716</v>
      </c>
      <c r="E179" s="1530">
        <v>0.36399803037639328</v>
      </c>
      <c r="F179" s="1530">
        <v>0.32246417073560807</v>
      </c>
      <c r="G179" s="1530">
        <v>0.23413908556634691</v>
      </c>
      <c r="H179" s="1530">
        <v>0.29833991285980033</v>
      </c>
      <c r="I179" s="1530">
        <v>0.16946318514553602</v>
      </c>
      <c r="J179" s="1530">
        <v>0.1137103873560552</v>
      </c>
      <c r="K179" s="1530">
        <v>0.12242927172007949</v>
      </c>
      <c r="L179" s="1530">
        <v>0.14746690502899712</v>
      </c>
      <c r="M179" s="1530">
        <v>0.2063639419871246</v>
      </c>
      <c r="N179" s="1530">
        <v>0.19173831614810272</v>
      </c>
      <c r="O179" s="1530">
        <v>0.12274548135826327</v>
      </c>
      <c r="P179" s="1530">
        <v>0.12792247450464619</v>
      </c>
      <c r="Q179" s="1530">
        <v>0.13643205279978415</v>
      </c>
      <c r="R179" s="1530">
        <v>7.5593457981945236E-2</v>
      </c>
      <c r="S179" s="1530">
        <v>5.6631731934722575E-2</v>
      </c>
      <c r="T179" s="1530">
        <v>6.188529283106349E-2</v>
      </c>
      <c r="U179" s="1530">
        <v>-5.116039345085685E-2</v>
      </c>
      <c r="V179" s="1530">
        <v>5.0170930832998901E-2</v>
      </c>
      <c r="W179" s="1530">
        <v>8.1374383644524262E-2</v>
      </c>
      <c r="X179" s="1530">
        <v>0.1132229138572384</v>
      </c>
      <c r="Y179" s="1530">
        <v>0.11704153130184565</v>
      </c>
      <c r="Z179" s="1530">
        <v>0.1230797892730917</v>
      </c>
      <c r="AA179" s="1530">
        <v>0.13192297645177506</v>
      </c>
      <c r="AB179" s="1530">
        <v>0.14098989511002483</v>
      </c>
      <c r="AC179" s="1530">
        <v>0.14422095817762537</v>
      </c>
      <c r="AD179" s="1530">
        <v>0.14247048284654443</v>
      </c>
      <c r="AE179" s="1530">
        <v>0.14107281831741164</v>
      </c>
      <c r="AF179" s="1530">
        <v>0.14019442848809777</v>
      </c>
      <c r="AG179" s="1530">
        <v>0.13941898035053121</v>
      </c>
      <c r="AH179" s="1530">
        <v>0.13904857738069579</v>
      </c>
      <c r="AI179" s="1243"/>
      <c r="AJ179" s="1243"/>
      <c r="AK179" s="1243"/>
      <c r="AL179" s="1243"/>
      <c r="AM179" s="1243"/>
      <c r="AN179" s="1243"/>
    </row>
    <row r="180" spans="1:40" ht="12.75" customHeight="1">
      <c r="A180" s="1267" t="s">
        <v>1369</v>
      </c>
      <c r="B180" s="1625"/>
      <c r="C180" s="1625">
        <v>0.17219714354928198</v>
      </c>
      <c r="D180" s="1625">
        <v>0.10869706581504736</v>
      </c>
      <c r="E180" s="1625">
        <v>0.18096334606281383</v>
      </c>
      <c r="F180" s="1625">
        <v>1.0982078494907606</v>
      </c>
      <c r="G180" s="1625">
        <v>0.49360407925442595</v>
      </c>
      <c r="H180" s="1625">
        <v>0.80194711471308544</v>
      </c>
      <c r="I180" s="1625">
        <v>1.7345559929733243</v>
      </c>
      <c r="J180" s="1625">
        <v>1.3278206343302987</v>
      </c>
      <c r="K180" s="1625">
        <v>1.6583172362964902</v>
      </c>
      <c r="L180" s="1625">
        <v>3.6386436883267375</v>
      </c>
      <c r="M180" s="1625">
        <v>1.538793518918701</v>
      </c>
      <c r="N180" s="1625">
        <v>2.4739111070562831</v>
      </c>
      <c r="O180" s="1625">
        <v>4.0239200856971413</v>
      </c>
      <c r="P180" s="1625">
        <v>2.8438195432580713</v>
      </c>
      <c r="Q180" s="1625">
        <v>2.878604052809977</v>
      </c>
      <c r="R180" s="1625">
        <v>2.7900951464250348</v>
      </c>
      <c r="S180" s="1625">
        <v>4.3874127949662913</v>
      </c>
      <c r="T180" s="1625">
        <v>3.6106070432198356</v>
      </c>
      <c r="U180" s="1625">
        <v>26.704967906555286</v>
      </c>
      <c r="V180" s="1625">
        <v>5.729331193688405</v>
      </c>
      <c r="W180" s="1625">
        <v>3.6999054677961585</v>
      </c>
      <c r="X180" s="1625">
        <v>2.9103473588578184</v>
      </c>
      <c r="Y180" s="1625">
        <v>2.9973729690669288</v>
      </c>
      <c r="Z180" s="1625">
        <v>2.9250939270359422</v>
      </c>
      <c r="AA180" s="1625">
        <v>2.9372308959482054</v>
      </c>
      <c r="AB180" s="1625">
        <v>2.9239768465332521</v>
      </c>
      <c r="AC180" s="1625">
        <v>2.7771799967486688</v>
      </c>
      <c r="AD180" s="1625">
        <v>2.6389130388141733</v>
      </c>
      <c r="AE180" s="1625">
        <v>2.5110440181279441</v>
      </c>
      <c r="AF180" s="1625">
        <v>2.3930660113785382</v>
      </c>
      <c r="AG180" s="1625">
        <v>2.3309420947506534</v>
      </c>
      <c r="AH180" s="1625">
        <v>2.2310548292315211</v>
      </c>
      <c r="AI180" s="1133"/>
      <c r="AJ180" s="1133"/>
      <c r="AK180" s="1133"/>
      <c r="AL180" s="1133"/>
      <c r="AM180" s="1133"/>
      <c r="AN180" s="1133"/>
    </row>
    <row r="181" spans="1:40">
      <c r="A181" s="97" t="s">
        <v>603</v>
      </c>
      <c r="B181" s="1623"/>
      <c r="C181" s="1623"/>
      <c r="D181" s="1623"/>
      <c r="E181" s="1623"/>
      <c r="F181" s="1623"/>
      <c r="G181" s="1623"/>
      <c r="H181" s="1623"/>
      <c r="I181" s="1623"/>
      <c r="J181" s="1623">
        <v>6.4604141966286346E-2</v>
      </c>
      <c r="K181" s="1623">
        <v>8.4835727901093824E-2</v>
      </c>
      <c r="L181" s="1623">
        <v>0.11732889549707082</v>
      </c>
      <c r="M181" s="1623">
        <v>0.20348721141064771</v>
      </c>
      <c r="N181" s="1623">
        <v>0.20383244981039181</v>
      </c>
      <c r="O181" s="1623">
        <v>0.54431000881349789</v>
      </c>
      <c r="P181" s="1623">
        <v>0.10651486466832522</v>
      </c>
      <c r="Q181" s="1623">
        <v>0.13364295725726261</v>
      </c>
      <c r="R181" s="1623">
        <v>7.698997588029155E-2</v>
      </c>
      <c r="S181" s="1623">
        <v>0.37909485126403719</v>
      </c>
      <c r="T181" s="1623">
        <v>8.3035278762637929E-2</v>
      </c>
      <c r="U181" s="1623">
        <v>4.6237137982573978E-2</v>
      </c>
      <c r="V181" s="1623">
        <v>4.7617315189103886E-2</v>
      </c>
      <c r="W181" s="1623">
        <v>6.1359057481185336E-2</v>
      </c>
      <c r="X181" s="1623">
        <v>6.2173000691266911E-2</v>
      </c>
      <c r="Y181" s="1626">
        <v>7.6020922975125263E-2</v>
      </c>
      <c r="Z181" s="1626">
        <v>7.0051652348651322E-2</v>
      </c>
      <c r="AA181" s="1626">
        <v>6.4504204824666234E-2</v>
      </c>
      <c r="AB181" s="1626">
        <v>6.1965539178184231E-2</v>
      </c>
      <c r="AC181" s="1626">
        <v>6.6588110608664264E-2</v>
      </c>
      <c r="AD181" s="1626">
        <v>6.8574594930367633E-2</v>
      </c>
      <c r="AE181" s="1626">
        <v>6.8689693852683392E-2</v>
      </c>
      <c r="AF181" s="1626">
        <v>7.0859183291299865E-2</v>
      </c>
      <c r="AG181" s="1626">
        <v>7.307001585599987E-2</v>
      </c>
      <c r="AH181" s="1626">
        <v>7.3495096329367515E-2</v>
      </c>
      <c r="AI181" s="1133"/>
      <c r="AJ181" s="1133"/>
      <c r="AK181" s="1133"/>
      <c r="AL181" s="1133"/>
      <c r="AM181" s="1133"/>
      <c r="AN181" s="1133"/>
    </row>
    <row r="182" spans="1:40">
      <c r="A182" s="116" t="s">
        <v>522</v>
      </c>
      <c r="B182" s="1623">
        <v>4.0478386069325231E-3</v>
      </c>
      <c r="C182" s="1623">
        <v>-3.3843928040317883E-2</v>
      </c>
      <c r="D182" s="1623">
        <v>-3.9209595293873412E-3</v>
      </c>
      <c r="E182" s="1623">
        <v>-1.7267999678584381E-3</v>
      </c>
      <c r="F182" s="1623">
        <v>-3.3070327738837807E-2</v>
      </c>
      <c r="G182" s="1623">
        <v>-4.1261480236106082E-2</v>
      </c>
      <c r="H182" s="1623">
        <v>-5.2434054270025635E-2</v>
      </c>
      <c r="I182" s="1623">
        <v>-8.05741171357892E-2</v>
      </c>
      <c r="J182" s="1623">
        <v>-2.4444860832219914E-3</v>
      </c>
      <c r="K182" s="1623">
        <v>-3.2114003990451382E-3</v>
      </c>
      <c r="L182" s="1623">
        <v>-2.175626728134725E-2</v>
      </c>
      <c r="M182" s="1623">
        <v>-3.2018165151363096E-3</v>
      </c>
      <c r="N182" s="1623">
        <v>-8.7742594906720268E-3</v>
      </c>
      <c r="O182" s="1623">
        <v>-3.2600424863669278E-2</v>
      </c>
      <c r="P182" s="1623">
        <v>-2.2616715067986078E-2</v>
      </c>
      <c r="Q182" s="1623">
        <v>-3.641652547339367E-2</v>
      </c>
      <c r="R182" s="1623">
        <v>-1.6469632654763776E-2</v>
      </c>
      <c r="S182" s="1623">
        <v>-4.485927047775258E-2</v>
      </c>
      <c r="T182" s="1623">
        <v>-3.8237512999612297E-2</v>
      </c>
      <c r="U182" s="1623">
        <v>-7.2735927358005895E-3</v>
      </c>
      <c r="V182" s="1623">
        <v>-4.0924348647979293E-3</v>
      </c>
      <c r="W182" s="1623">
        <v>-1.0225710525174557E-2</v>
      </c>
      <c r="X182" s="1623">
        <v>-8.4610275855055862E-3</v>
      </c>
      <c r="Y182" s="1626">
        <v>-8.5551558155235637E-3</v>
      </c>
      <c r="Z182" s="1626">
        <v>-8.56283748714258E-3</v>
      </c>
      <c r="AA182" s="1626">
        <v>-8.6505520857758818E-3</v>
      </c>
      <c r="AB182" s="1626">
        <v>-8.7709984776418014E-3</v>
      </c>
      <c r="AC182" s="1626">
        <v>-8.7778143638752425E-3</v>
      </c>
      <c r="AD182" s="1626">
        <v>-8.7847365450783657E-3</v>
      </c>
      <c r="AE182" s="1626">
        <v>-8.7847604551879038E-3</v>
      </c>
      <c r="AF182" s="1626">
        <v>-8.7914347650397146E-3</v>
      </c>
      <c r="AG182" s="1626">
        <v>-8.7982046052739928E-3</v>
      </c>
      <c r="AH182" s="1626">
        <v>-8.7982668639921754E-3</v>
      </c>
      <c r="AI182" s="1133"/>
      <c r="AJ182" s="1133"/>
      <c r="AK182" s="1133"/>
      <c r="AL182" s="1133"/>
      <c r="AM182" s="1133"/>
      <c r="AN182" s="1133"/>
    </row>
    <row r="183" spans="1:40">
      <c r="A183" s="98" t="s">
        <v>30</v>
      </c>
      <c r="B183" s="967">
        <v>10.016999999999996</v>
      </c>
      <c r="C183" s="967">
        <v>-88.939000000000021</v>
      </c>
      <c r="D183" s="967">
        <v>-11.258999999999986</v>
      </c>
      <c r="E183" s="967">
        <v>-6.4039999999999964</v>
      </c>
      <c r="F183" s="967">
        <v>-154.28300000000002</v>
      </c>
      <c r="G183" s="967">
        <v>-248.66000000000008</v>
      </c>
      <c r="H183" s="967">
        <v>-366.27299999999991</v>
      </c>
      <c r="I183" s="967">
        <v>-627.41800000000012</v>
      </c>
      <c r="J183" s="967">
        <v>-20.990999999999985</v>
      </c>
      <c r="K183" s="967">
        <v>-28.842999999999961</v>
      </c>
      <c r="L183" s="967">
        <v>-232.71600000000001</v>
      </c>
      <c r="M183" s="967">
        <v>-43.287000000000035</v>
      </c>
      <c r="N183" s="967">
        <v>-137.86700000000019</v>
      </c>
      <c r="O183" s="967">
        <v>-743.29799999999977</v>
      </c>
      <c r="P183" s="967">
        <v>-730.25700000000006</v>
      </c>
      <c r="Q183" s="967">
        <v>-1372.971</v>
      </c>
      <c r="R183" s="967">
        <v>-700.43899999999985</v>
      </c>
      <c r="S183" s="967">
        <v>-2070.5510000000004</v>
      </c>
      <c r="T183" s="967">
        <v>-2223.6880000000001</v>
      </c>
      <c r="U183" s="967">
        <v>-280</v>
      </c>
      <c r="V183" s="967">
        <v>-218.45200000000023</v>
      </c>
      <c r="W183" s="967">
        <v>-703.84900000000016</v>
      </c>
      <c r="X183" s="967">
        <v>-644.99300000000039</v>
      </c>
      <c r="Y183" s="1397">
        <v>-681.02663997404852</v>
      </c>
      <c r="Z183" s="1397">
        <v>-758.70635323755414</v>
      </c>
      <c r="AA183" s="1397">
        <v>-830.85303749398463</v>
      </c>
      <c r="AB183" s="1397">
        <v>-903.39201087090532</v>
      </c>
      <c r="AC183" s="1397">
        <v>-960.20649505893471</v>
      </c>
      <c r="AD183" s="1397">
        <v>-1020.1086615484592</v>
      </c>
      <c r="AE183" s="1397">
        <v>-1081.38920302105</v>
      </c>
      <c r="AF183" s="1397">
        <v>-1145.6347228519535</v>
      </c>
      <c r="AG183" s="1397">
        <v>-1213.3670650981821</v>
      </c>
      <c r="AH183" s="1397">
        <v>-1283.1072915815057</v>
      </c>
      <c r="AI183" s="1133"/>
      <c r="AJ183" s="1133"/>
      <c r="AK183" s="1133"/>
      <c r="AL183" s="1133"/>
      <c r="AM183" s="1133"/>
      <c r="AN183" s="1133"/>
    </row>
    <row r="184" spans="1:40">
      <c r="A184" s="9" t="s">
        <v>38</v>
      </c>
      <c r="B184" s="967">
        <v>1.4572218984957084</v>
      </c>
      <c r="C184" s="967">
        <v>-12.183814094514439</v>
      </c>
      <c r="D184" s="967">
        <v>-1.4115454305794428</v>
      </c>
      <c r="E184" s="967">
        <v>-0.62164798842903768</v>
      </c>
      <c r="F184" s="967">
        <v>-11.905317985981611</v>
      </c>
      <c r="G184" s="967">
        <v>-14.85413288499819</v>
      </c>
      <c r="H184" s="967">
        <v>-18.876259537209229</v>
      </c>
      <c r="I184" s="967">
        <v>-29.006682168884112</v>
      </c>
      <c r="J184" s="967">
        <v>-0.88001498995991689</v>
      </c>
      <c r="K184" s="967">
        <v>-1.1561041436562498</v>
      </c>
      <c r="L184" s="967">
        <v>-7.83225622128501</v>
      </c>
      <c r="M184" s="967">
        <v>-1.1526539454490714</v>
      </c>
      <c r="N184" s="967">
        <v>-3.1587334166419296</v>
      </c>
      <c r="O184" s="967">
        <v>-11.736152950920941</v>
      </c>
      <c r="P184" s="967">
        <v>-8.1420174244749877</v>
      </c>
      <c r="Q184" s="967">
        <v>-13.109949170421721</v>
      </c>
      <c r="R184" s="967">
        <v>-5.9290677557149589</v>
      </c>
      <c r="S184" s="967">
        <v>-16.149337371990928</v>
      </c>
      <c r="T184" s="967">
        <v>-13.765504679860427</v>
      </c>
      <c r="U184" s="967">
        <v>-2.6184933848882124</v>
      </c>
      <c r="V184" s="967">
        <v>-1.4732765513272545</v>
      </c>
      <c r="W184" s="967">
        <v>-3.6812557890628406</v>
      </c>
      <c r="X184" s="967">
        <v>-3.0459699307820109</v>
      </c>
      <c r="Y184" s="1397">
        <v>-3.0798560935884831</v>
      </c>
      <c r="Z184" s="1397">
        <v>-3.0826214953713289</v>
      </c>
      <c r="AA184" s="1397">
        <v>-3.1141987508793174</v>
      </c>
      <c r="AB184" s="1397">
        <v>-3.1575594519510486</v>
      </c>
      <c r="AC184" s="1397">
        <v>-3.1600131709950872</v>
      </c>
      <c r="AD184" s="1397">
        <v>-3.1625051562282116</v>
      </c>
      <c r="AE184" s="1397">
        <v>-3.1625137638676453</v>
      </c>
      <c r="AF184" s="1397">
        <v>-3.1649165154142973</v>
      </c>
      <c r="AG184" s="1397">
        <v>-3.1673536578986372</v>
      </c>
      <c r="AH184" s="1397">
        <v>-3.1673760710371832</v>
      </c>
      <c r="AI184" s="1133"/>
      <c r="AJ184" s="1133"/>
      <c r="AK184" s="1133"/>
      <c r="AL184" s="1133"/>
      <c r="AM184" s="1133"/>
      <c r="AN184" s="1133"/>
    </row>
    <row r="185" spans="1:40">
      <c r="A185" s="126" t="s">
        <v>1549</v>
      </c>
      <c r="B185" s="12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535"/>
      <c r="R185" s="1627"/>
      <c r="S185" s="1627"/>
      <c r="T185" s="1627"/>
      <c r="U185" s="1627"/>
      <c r="V185" s="1627"/>
      <c r="W185" s="1627"/>
      <c r="X185" s="16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 t="s">
        <v>281</v>
      </c>
      <c r="AI185" s="1133"/>
      <c r="AJ185" s="1133"/>
      <c r="AK185" s="1133"/>
      <c r="AL185" s="1133"/>
      <c r="AM185" s="1133"/>
      <c r="AN185" s="1133"/>
    </row>
    <row r="186" spans="1:40">
      <c r="A186" s="103"/>
      <c r="B186" s="1628"/>
      <c r="C186" s="1628"/>
      <c r="D186" s="1628"/>
      <c r="E186" s="1628"/>
      <c r="F186" s="1628"/>
      <c r="G186" s="1628"/>
      <c r="H186" s="1628"/>
      <c r="I186" s="1628"/>
      <c r="J186" s="1628"/>
      <c r="K186" s="1628"/>
      <c r="L186" s="1628"/>
      <c r="M186" s="1628"/>
      <c r="N186" s="1628"/>
      <c r="O186" s="1628"/>
      <c r="P186" s="1628"/>
      <c r="Q186" s="1628"/>
      <c r="R186" s="1628"/>
      <c r="S186" s="1628"/>
      <c r="T186" s="1628"/>
      <c r="U186" s="1628"/>
      <c r="V186" s="1628"/>
      <c r="W186" s="1628"/>
      <c r="X186" s="1628"/>
      <c r="Y186" s="1628"/>
      <c r="Z186" s="1628"/>
      <c r="AA186" s="1628"/>
      <c r="AB186" s="1628"/>
      <c r="AC186" s="1628"/>
      <c r="AD186" s="1628"/>
      <c r="AE186" s="1628"/>
      <c r="AF186" s="1628"/>
      <c r="AG186" s="1628"/>
      <c r="AH186" s="1628"/>
      <c r="AI186" s="1133"/>
      <c r="AJ186" s="1133"/>
      <c r="AK186" s="1133"/>
      <c r="AL186" s="1133"/>
      <c r="AM186" s="1133"/>
      <c r="AN186" s="1133"/>
    </row>
    <row r="187" spans="1:40">
      <c r="A187" s="1126" t="s">
        <v>1123</v>
      </c>
      <c r="B187" s="1124">
        <v>2001</v>
      </c>
      <c r="C187" s="1124">
        <v>2002</v>
      </c>
      <c r="D187" s="1124">
        <v>2003</v>
      </c>
      <c r="E187" s="1124">
        <v>2004</v>
      </c>
      <c r="F187" s="1124">
        <v>2005</v>
      </c>
      <c r="G187" s="1124">
        <v>2006</v>
      </c>
      <c r="H187" s="1124">
        <v>2007</v>
      </c>
      <c r="I187" s="1124">
        <v>2008</v>
      </c>
      <c r="J187" s="1124">
        <v>2009</v>
      </c>
      <c r="K187" s="1124">
        <v>2010</v>
      </c>
      <c r="L187" s="1124">
        <v>2011</v>
      </c>
      <c r="M187" s="1124">
        <v>2012</v>
      </c>
      <c r="N187" s="1124">
        <v>2013</v>
      </c>
      <c r="O187" s="1124">
        <v>2014</v>
      </c>
      <c r="P187" s="1124">
        <v>2015</v>
      </c>
      <c r="Q187" s="1124">
        <v>2016</v>
      </c>
      <c r="R187" s="1124">
        <v>2017</v>
      </c>
      <c r="S187" s="1583">
        <v>2018</v>
      </c>
      <c r="T187" s="1583">
        <v>2019</v>
      </c>
      <c r="U187" s="1583">
        <v>2020</v>
      </c>
      <c r="V187" s="1583">
        <v>2021</v>
      </c>
      <c r="W187" s="1583">
        <v>2022</v>
      </c>
      <c r="X187" s="1583">
        <v>2023</v>
      </c>
      <c r="Y187" s="1445">
        <v>2024</v>
      </c>
      <c r="Z187" s="1445">
        <v>2025</v>
      </c>
      <c r="AA187" s="1445">
        <v>2026</v>
      </c>
      <c r="AB187" s="1445">
        <v>2027</v>
      </c>
      <c r="AC187" s="1445">
        <v>2028</v>
      </c>
      <c r="AD187" s="1445">
        <v>2029</v>
      </c>
      <c r="AE187" s="1445">
        <v>2030</v>
      </c>
      <c r="AF187" s="1445">
        <v>2031</v>
      </c>
      <c r="AG187" s="1445">
        <v>2032</v>
      </c>
      <c r="AH187" s="1445">
        <v>2033</v>
      </c>
      <c r="AI187" s="1133"/>
      <c r="AJ187" s="1133"/>
      <c r="AK187" s="1133"/>
      <c r="AL187" s="1133"/>
      <c r="AM187" s="1133"/>
      <c r="AN187" s="1133"/>
    </row>
    <row r="188" spans="1:40">
      <c r="A188" s="124" t="s">
        <v>515</v>
      </c>
      <c r="B188" s="716">
        <v>0.88</v>
      </c>
      <c r="C188" s="716">
        <v>1.72</v>
      </c>
      <c r="D188" s="716">
        <v>2.74</v>
      </c>
      <c r="E188" s="716">
        <v>5.63</v>
      </c>
      <c r="F188" s="716">
        <v>7.84</v>
      </c>
      <c r="G188" s="716">
        <v>16.2</v>
      </c>
      <c r="H188" s="716">
        <v>13.53</v>
      </c>
      <c r="I188" s="716">
        <v>4.84</v>
      </c>
      <c r="J188" s="716">
        <v>9.16</v>
      </c>
      <c r="K188" s="716">
        <v>12.1</v>
      </c>
      <c r="L188" s="716">
        <v>13.44</v>
      </c>
      <c r="M188" s="716">
        <v>25.15</v>
      </c>
      <c r="N188" s="716">
        <v>40.78</v>
      </c>
      <c r="O188" s="716">
        <v>40.770000000000003</v>
      </c>
      <c r="P188" s="716">
        <v>59.85</v>
      </c>
      <c r="Q188" s="716">
        <v>59.33</v>
      </c>
      <c r="R188" s="716">
        <v>64.37</v>
      </c>
      <c r="S188" s="716">
        <v>51.15</v>
      </c>
      <c r="T188" s="716">
        <v>49.83</v>
      </c>
      <c r="U188" s="716">
        <v>25.89</v>
      </c>
      <c r="V188" s="716">
        <v>37.950000000000003</v>
      </c>
      <c r="W188" s="716">
        <v>36.86</v>
      </c>
      <c r="X188" s="716">
        <v>64.16</v>
      </c>
      <c r="Y188" s="1629">
        <v>61.26</v>
      </c>
      <c r="Z188" s="1629">
        <v>61.26</v>
      </c>
      <c r="AA188" s="1629">
        <v>61.26</v>
      </c>
      <c r="AB188" s="1629">
        <v>61.26</v>
      </c>
      <c r="AC188" s="1629">
        <v>61.26</v>
      </c>
      <c r="AD188" s="1629">
        <v>61.26</v>
      </c>
      <c r="AE188" s="1629">
        <v>61.26</v>
      </c>
      <c r="AF188" s="1629">
        <v>61.26</v>
      </c>
      <c r="AG188" s="1629">
        <v>61.26</v>
      </c>
      <c r="AH188" s="1629">
        <v>61.26</v>
      </c>
      <c r="AI188" s="1133"/>
      <c r="AJ188" s="1133"/>
      <c r="AK188" s="1133"/>
      <c r="AL188" s="1133"/>
      <c r="AM188" s="1133"/>
      <c r="AN188" s="1133"/>
    </row>
    <row r="189" spans="1:40">
      <c r="A189" s="98" t="s">
        <v>88</v>
      </c>
      <c r="B189" s="438"/>
      <c r="C189" s="438"/>
      <c r="D189" s="438">
        <v>1280.1280000000002</v>
      </c>
      <c r="E189" s="438">
        <v>2796.9839999999999</v>
      </c>
      <c r="F189" s="438">
        <v>4283.7759999999998</v>
      </c>
      <c r="G189" s="438">
        <v>10095.84</v>
      </c>
      <c r="H189" s="438">
        <v>8372.3639999999996</v>
      </c>
      <c r="I189" s="438">
        <v>2991.12</v>
      </c>
      <c r="J189" s="438">
        <v>5512.4879999999994</v>
      </c>
      <c r="K189" s="438">
        <v>7322.92</v>
      </c>
      <c r="L189" s="438">
        <v>8144.6399999999994</v>
      </c>
      <c r="M189" s="438">
        <v>17298.169999999998</v>
      </c>
      <c r="N189" s="438">
        <v>28048.484</v>
      </c>
      <c r="O189" s="438">
        <v>34148.952000000005</v>
      </c>
      <c r="P189" s="438">
        <v>50124.375</v>
      </c>
      <c r="Q189" s="438">
        <v>49499.018999999993</v>
      </c>
      <c r="R189" s="438">
        <v>53607.336000000003</v>
      </c>
      <c r="S189" s="438">
        <v>42740.94</v>
      </c>
      <c r="T189" s="438">
        <v>41782.455000000002</v>
      </c>
      <c r="U189" s="438">
        <v>21708.764999999999</v>
      </c>
      <c r="V189" s="438">
        <v>31824.870000000003</v>
      </c>
      <c r="W189" s="438">
        <v>30225.200000000001</v>
      </c>
      <c r="X189" s="438">
        <v>51950.351999999999</v>
      </c>
      <c r="Y189" s="447">
        <v>49926.9</v>
      </c>
      <c r="Z189" s="447">
        <v>49926.9</v>
      </c>
      <c r="AA189" s="447">
        <v>49926.9</v>
      </c>
      <c r="AB189" s="447">
        <v>49926.9</v>
      </c>
      <c r="AC189" s="447">
        <v>49926.9</v>
      </c>
      <c r="AD189" s="447">
        <v>49926.9</v>
      </c>
      <c r="AE189" s="447">
        <v>49926.9</v>
      </c>
      <c r="AF189" s="447">
        <v>49926.9</v>
      </c>
      <c r="AG189" s="447">
        <v>49926.9</v>
      </c>
      <c r="AH189" s="447">
        <v>49926.9</v>
      </c>
      <c r="AI189" s="1133"/>
      <c r="AJ189" s="1133"/>
      <c r="AK189" s="1133"/>
      <c r="AL189" s="1133"/>
      <c r="AM189" s="1133"/>
      <c r="AN189" s="1133"/>
    </row>
    <row r="190" spans="1:40">
      <c r="A190" s="98" t="s">
        <v>89</v>
      </c>
      <c r="B190" s="438">
        <v>91.750000000000014</v>
      </c>
      <c r="C190" s="438">
        <v>-114.06300000000002</v>
      </c>
      <c r="D190" s="438">
        <v>1161.788</v>
      </c>
      <c r="E190" s="438">
        <v>2911.1210000000001</v>
      </c>
      <c r="F190" s="438">
        <v>4970.1949999999997</v>
      </c>
      <c r="G190" s="438">
        <v>10417.547999999999</v>
      </c>
      <c r="H190" s="438">
        <v>9331.0919999999987</v>
      </c>
      <c r="I190" s="438">
        <v>4352.1569999999992</v>
      </c>
      <c r="J190" s="438">
        <v>6601.1819999999998</v>
      </c>
      <c r="K190" s="438">
        <v>8584.4049999999988</v>
      </c>
      <c r="L190" s="438">
        <v>11760.655999999999</v>
      </c>
      <c r="M190" s="438">
        <v>19148.244999999995</v>
      </c>
      <c r="N190" s="438">
        <v>32668.334999999999</v>
      </c>
      <c r="O190" s="438">
        <v>45564.771000000001</v>
      </c>
      <c r="P190" s="438">
        <v>62518.099000000002</v>
      </c>
      <c r="Q190" s="438">
        <v>62804.513999999988</v>
      </c>
      <c r="R190" s="438">
        <v>71251.106</v>
      </c>
      <c r="S190" s="438">
        <v>70747.756999999998</v>
      </c>
      <c r="T190" s="438">
        <v>91367.233999999997</v>
      </c>
      <c r="U190" s="438">
        <v>82775.359999999986</v>
      </c>
      <c r="V190" s="438">
        <v>87178.186999999991</v>
      </c>
      <c r="W190" s="438">
        <v>79719.270999999993</v>
      </c>
      <c r="X190" s="438">
        <v>96227.362000000008</v>
      </c>
      <c r="Y190" s="447">
        <v>98547.775091525968</v>
      </c>
      <c r="Z190" s="447">
        <v>98039.364090305491</v>
      </c>
      <c r="AA190" s="447">
        <v>96874.835876291429</v>
      </c>
      <c r="AB190" s="447">
        <v>95037.668747360396</v>
      </c>
      <c r="AC190" s="447">
        <v>93471.80787609781</v>
      </c>
      <c r="AD190" s="447">
        <v>91706.641400899141</v>
      </c>
      <c r="AE190" s="447">
        <v>89439.320985191778</v>
      </c>
      <c r="AF190" s="447">
        <v>86918.738761550063</v>
      </c>
      <c r="AG190" s="447">
        <v>84155.62350200447</v>
      </c>
      <c r="AH190" s="447">
        <v>80856.989089695591</v>
      </c>
      <c r="AI190" s="1133"/>
      <c r="AJ190" s="1133"/>
      <c r="AK190" s="1133"/>
      <c r="AL190" s="1133"/>
      <c r="AM190" s="1133"/>
      <c r="AN190" s="1133"/>
    </row>
    <row r="191" spans="1:40" s="1209" customFormat="1">
      <c r="A191" s="1237" t="s">
        <v>1235</v>
      </c>
      <c r="B191" s="1518">
        <v>91.750000000000014</v>
      </c>
      <c r="C191" s="1518">
        <v>-114.06300000000002</v>
      </c>
      <c r="D191" s="1518">
        <v>1161.788</v>
      </c>
      <c r="E191" s="1518">
        <v>2911.1210000000001</v>
      </c>
      <c r="F191" s="1518">
        <v>4970.1949999999997</v>
      </c>
      <c r="G191" s="1518">
        <v>10417.547999999999</v>
      </c>
      <c r="H191" s="1518">
        <v>9331.0919999999987</v>
      </c>
      <c r="I191" s="1518">
        <v>4352.1569999999992</v>
      </c>
      <c r="J191" s="1518">
        <v>6601.1819999999998</v>
      </c>
      <c r="K191" s="1518">
        <v>8584.4049999999988</v>
      </c>
      <c r="L191" s="1518">
        <v>11760.655999999999</v>
      </c>
      <c r="M191" s="1518">
        <v>19148.244999999995</v>
      </c>
      <c r="N191" s="1518">
        <v>32668.334999999999</v>
      </c>
      <c r="O191" s="1518">
        <v>45564.771000000001</v>
      </c>
      <c r="P191" s="1518">
        <v>62518.099000000002</v>
      </c>
      <c r="Q191" s="1518">
        <v>62804.513999999988</v>
      </c>
      <c r="R191" s="1518">
        <v>71251.106</v>
      </c>
      <c r="S191" s="1518">
        <v>70747.756999999998</v>
      </c>
      <c r="T191" s="1518">
        <v>68805.373999999996</v>
      </c>
      <c r="U191" s="1518">
        <v>57475.360000000001</v>
      </c>
      <c r="V191" s="1518">
        <v>63414.913000000008</v>
      </c>
      <c r="W191" s="1518">
        <v>57737.46</v>
      </c>
      <c r="X191" s="1518">
        <v>77897.294999999998</v>
      </c>
      <c r="Y191" s="1518">
        <v>79856.294794502552</v>
      </c>
      <c r="Z191" s="1518">
        <v>78917.682520840928</v>
      </c>
      <c r="AA191" s="1518">
        <v>77268.732025136691</v>
      </c>
      <c r="AB191" s="1518">
        <v>75010.313577735156</v>
      </c>
      <c r="AC191" s="1518">
        <v>73070.736011033325</v>
      </c>
      <c r="AD191" s="1518">
        <v>70936.991553602114</v>
      </c>
      <c r="AE191" s="1518">
        <v>68355.871030766735</v>
      </c>
      <c r="AF191" s="1518">
        <v>65548.198694189283</v>
      </c>
      <c r="AG191" s="1518">
        <v>62503.849849248938</v>
      </c>
      <c r="AH191" s="1518">
        <v>58969.455148990513</v>
      </c>
      <c r="AI191" s="1243"/>
      <c r="AJ191" s="1243"/>
      <c r="AK191" s="1243"/>
      <c r="AL191" s="1243"/>
      <c r="AM191" s="1243"/>
      <c r="AN191" s="1243"/>
    </row>
    <row r="192" spans="1:40">
      <c r="A192" s="98" t="s">
        <v>638</v>
      </c>
      <c r="B192" s="1630">
        <v>3.7075890205256985E-2</v>
      </c>
      <c r="C192" s="1630">
        <v>-4.3404355390354948E-2</v>
      </c>
      <c r="D192" s="605">
        <v>0.40459398967296084</v>
      </c>
      <c r="E192" s="605">
        <v>0.78496621630731211</v>
      </c>
      <c r="F192" s="605">
        <v>1.0653537821790666</v>
      </c>
      <c r="G192" s="605">
        <v>1.7286393103462006</v>
      </c>
      <c r="H192" s="605">
        <v>1.3357986647298659</v>
      </c>
      <c r="I192" s="605">
        <v>0.55891161540049017</v>
      </c>
      <c r="J192" s="605">
        <v>0.76873410184438673</v>
      </c>
      <c r="K192" s="605">
        <v>0.95579383706844334</v>
      </c>
      <c r="L192" s="605">
        <v>1.0994859628903049</v>
      </c>
      <c r="M192" s="605">
        <v>1.4163413282712176</v>
      </c>
      <c r="N192" s="605">
        <v>2.0791084771424835</v>
      </c>
      <c r="O192" s="605">
        <v>1.9984325175310538</v>
      </c>
      <c r="P192" s="605">
        <v>1.9362416678993084</v>
      </c>
      <c r="Q192" s="605">
        <v>1.665819732481683</v>
      </c>
      <c r="R192" s="605">
        <v>1.6753486628609136</v>
      </c>
      <c r="S192" s="605">
        <v>1.5327769115357761</v>
      </c>
      <c r="T192" s="605">
        <v>1.5711088056479228</v>
      </c>
      <c r="U192" s="605">
        <v>2.1502652042831376</v>
      </c>
      <c r="V192" s="605">
        <v>1.6331782356246367</v>
      </c>
      <c r="W192" s="605">
        <v>1.158183344046724</v>
      </c>
      <c r="X192" s="605">
        <v>1.2623119388310129</v>
      </c>
      <c r="Y192" s="606">
        <v>1.2379715002239911</v>
      </c>
      <c r="Z192" s="606">
        <v>1.1064822885241328</v>
      </c>
      <c r="AA192" s="606">
        <v>1.0086270083052038</v>
      </c>
      <c r="AB192" s="606">
        <v>0.92271709055532225</v>
      </c>
      <c r="AC192" s="606">
        <v>0.85448097051440985</v>
      </c>
      <c r="AD192" s="606">
        <v>0.78973810781882592</v>
      </c>
      <c r="AE192" s="606">
        <v>0.72656820313590287</v>
      </c>
      <c r="AF192" s="606">
        <v>0.66700179947360372</v>
      </c>
      <c r="AG192" s="606">
        <v>0.6102179757080578</v>
      </c>
      <c r="AH192" s="606">
        <v>0.55443638462470368</v>
      </c>
      <c r="AI192" s="1133"/>
      <c r="AJ192" s="1133"/>
      <c r="AK192" s="1133"/>
      <c r="AL192" s="1133"/>
      <c r="AM192" s="1133"/>
      <c r="AN192" s="1133"/>
    </row>
    <row r="193" spans="1:40" s="1209" customFormat="1">
      <c r="A193" s="1237" t="s">
        <v>1237</v>
      </c>
      <c r="B193" s="1631">
        <v>3.7075890205256985E-2</v>
      </c>
      <c r="C193" s="1631">
        <v>-4.3404355390354948E-2</v>
      </c>
      <c r="D193" s="1268">
        <v>0.40459398967296084</v>
      </c>
      <c r="E193" s="1268">
        <v>0.78496621630731211</v>
      </c>
      <c r="F193" s="1268">
        <v>1.0653537821790666</v>
      </c>
      <c r="G193" s="1268">
        <v>1.7286393103462006</v>
      </c>
      <c r="H193" s="1268">
        <v>1.3357986647298659</v>
      </c>
      <c r="I193" s="1268">
        <v>0.55891161540049017</v>
      </c>
      <c r="J193" s="1268">
        <v>0.76873410184438673</v>
      </c>
      <c r="K193" s="1268">
        <v>0.95579383706844334</v>
      </c>
      <c r="L193" s="1268">
        <v>1.0994859628903049</v>
      </c>
      <c r="M193" s="1268">
        <v>1.4163413282712176</v>
      </c>
      <c r="N193" s="1268">
        <v>2.0791084771424835</v>
      </c>
      <c r="O193" s="1268">
        <v>1.9984325175310538</v>
      </c>
      <c r="P193" s="1268">
        <v>1.9362416678993084</v>
      </c>
      <c r="Q193" s="1268">
        <v>1.665819732481683</v>
      </c>
      <c r="R193" s="1268">
        <v>1.6753486628609136</v>
      </c>
      <c r="S193" s="1268">
        <v>1.5327769115357761</v>
      </c>
      <c r="T193" s="1268">
        <v>1.1831454694940053</v>
      </c>
      <c r="U193" s="1268">
        <v>1.4930441463697277</v>
      </c>
      <c r="V193" s="1268">
        <v>1.1880019450924102</v>
      </c>
      <c r="W193" s="1268">
        <v>0.83882558960635711</v>
      </c>
      <c r="X193" s="1268">
        <v>1.0218578524592763</v>
      </c>
      <c r="Y193" s="1268">
        <v>1.0031664030696161</v>
      </c>
      <c r="Z193" s="1268">
        <v>0.89067303496836592</v>
      </c>
      <c r="AA193" s="1268">
        <v>0.80449509217825199</v>
      </c>
      <c r="AB193" s="1268">
        <v>0.72827226528546896</v>
      </c>
      <c r="AC193" s="1268">
        <v>0.66798273021181442</v>
      </c>
      <c r="AD193" s="1268">
        <v>0.61087882652905123</v>
      </c>
      <c r="AE193" s="1268">
        <v>0.55529494009504654</v>
      </c>
      <c r="AF193" s="1268">
        <v>0.50300737337226731</v>
      </c>
      <c r="AG193" s="1268">
        <v>0.45321953711222424</v>
      </c>
      <c r="AH193" s="1268">
        <v>0.40435356156814334</v>
      </c>
      <c r="AI193" s="1243"/>
      <c r="AJ193" s="1243"/>
      <c r="AK193" s="1243"/>
      <c r="AL193" s="1243"/>
      <c r="AM193" s="1243"/>
      <c r="AN193" s="1243"/>
    </row>
    <row r="194" spans="1:40">
      <c r="A194" s="98" t="s">
        <v>90</v>
      </c>
      <c r="B194" s="605">
        <v>0.2775542554285681</v>
      </c>
      <c r="C194" s="605">
        <v>-0.29711411476336475</v>
      </c>
      <c r="D194" s="605">
        <v>2.7980800030827844</v>
      </c>
      <c r="E194" s="605">
        <v>5.3370702883658172</v>
      </c>
      <c r="F194" s="605">
        <v>7.094653524705409</v>
      </c>
      <c r="G194" s="605">
        <v>10.34062409733988</v>
      </c>
      <c r="H194" s="605">
        <v>7.2408363312422974</v>
      </c>
      <c r="I194" s="605">
        <v>4.2169326216224325</v>
      </c>
      <c r="J194" s="605">
        <v>6.5996244886206892</v>
      </c>
      <c r="K194" s="605">
        <v>8.5961731610574876</v>
      </c>
      <c r="L194" s="605">
        <v>10.549121090158556</v>
      </c>
      <c r="M194" s="605">
        <v>11.907631221374759</v>
      </c>
      <c r="N194" s="605">
        <v>16.023928225623699</v>
      </c>
      <c r="O194" s="605">
        <v>16.313379938791847</v>
      </c>
      <c r="P194" s="605">
        <v>14.533249072640325</v>
      </c>
      <c r="Q194" s="605">
        <v>12.182660431972296</v>
      </c>
      <c r="R194" s="605">
        <v>11.018932474555553</v>
      </c>
      <c r="S194" s="605">
        <v>11.039990218960767</v>
      </c>
      <c r="T194" s="605">
        <v>7.2412765416829048</v>
      </c>
      <c r="U194" s="605">
        <v>11.953576280741968</v>
      </c>
      <c r="V194" s="605">
        <v>7.0811698615309266</v>
      </c>
      <c r="W194" s="605">
        <v>5.6740526587080211</v>
      </c>
      <c r="X194" s="605">
        <v>6.0291363825781463</v>
      </c>
      <c r="Y194" s="606">
        <v>5.9359837158713731</v>
      </c>
      <c r="Z194" s="606">
        <v>5.3025173558689227</v>
      </c>
      <c r="AA194" s="606">
        <v>4.8338096981891772</v>
      </c>
      <c r="AB194" s="606">
        <v>4.4221068634582723</v>
      </c>
      <c r="AC194" s="606">
        <v>4.0950610519007693</v>
      </c>
      <c r="AD194" s="606">
        <v>3.7847599156749059</v>
      </c>
      <c r="AE194" s="606">
        <v>3.4820280098262693</v>
      </c>
      <c r="AF194" s="606">
        <v>3.1965403309127818</v>
      </c>
      <c r="AG194" s="606">
        <v>2.9243909903852314</v>
      </c>
      <c r="AH194" s="606">
        <v>2.6570674365721403</v>
      </c>
      <c r="AI194" s="1133"/>
      <c r="AJ194" s="1133"/>
      <c r="AK194" s="1133"/>
      <c r="AL194" s="1133"/>
      <c r="AM194" s="1133"/>
      <c r="AN194" s="1133"/>
    </row>
    <row r="195" spans="1:40" s="1209" customFormat="1">
      <c r="A195" s="1237" t="s">
        <v>1238</v>
      </c>
      <c r="B195" s="1268">
        <v>0.2775542554285681</v>
      </c>
      <c r="C195" s="1268">
        <v>-0.29711411476336475</v>
      </c>
      <c r="D195" s="1268">
        <v>2.7980800030827844</v>
      </c>
      <c r="E195" s="1268">
        <v>5.3370702883658172</v>
      </c>
      <c r="F195" s="1268">
        <v>7.094653524705409</v>
      </c>
      <c r="G195" s="1268">
        <v>10.34062409733988</v>
      </c>
      <c r="H195" s="1268">
        <v>7.2408363312422974</v>
      </c>
      <c r="I195" s="1268">
        <v>4.2169326216224325</v>
      </c>
      <c r="J195" s="1268">
        <v>6.5996244886206892</v>
      </c>
      <c r="K195" s="1268">
        <v>8.5961731610574876</v>
      </c>
      <c r="L195" s="1268">
        <v>10.549121090158556</v>
      </c>
      <c r="M195" s="1268">
        <v>11.907631221374759</v>
      </c>
      <c r="N195" s="1268">
        <v>16.023928225623699</v>
      </c>
      <c r="O195" s="1268">
        <v>16.313379938791847</v>
      </c>
      <c r="P195" s="1268">
        <v>14.533249072640325</v>
      </c>
      <c r="Q195" s="1268">
        <v>12.182660431972296</v>
      </c>
      <c r="R195" s="1268">
        <v>11.018932474555553</v>
      </c>
      <c r="S195" s="1268">
        <v>11.039990218960767</v>
      </c>
      <c r="T195" s="1268">
        <v>8.9728557104049234</v>
      </c>
      <c r="U195" s="1268">
        <v>40.003953388987085</v>
      </c>
      <c r="V195" s="1268">
        <v>9.7019780496174679</v>
      </c>
      <c r="W195" s="1268">
        <v>6.5428546368487952</v>
      </c>
      <c r="X195" s="1268">
        <v>7.2163012735314958</v>
      </c>
      <c r="Y195" s="1268">
        <v>6.9328600465963648</v>
      </c>
      <c r="Z195" s="1268">
        <v>6.1788540912699936</v>
      </c>
      <c r="AA195" s="1268">
        <v>5.54271199349055</v>
      </c>
      <c r="AB195" s="1268">
        <v>4.9727054847384595</v>
      </c>
      <c r="AC195" s="1268">
        <v>4.562431024636874</v>
      </c>
      <c r="AD195" s="1268">
        <v>4.1734545064239974</v>
      </c>
      <c r="AE195" s="1268">
        <v>3.7946795122801249</v>
      </c>
      <c r="AF195" s="1268">
        <v>3.4387896045676918</v>
      </c>
      <c r="AG195" s="1268">
        <v>3.0995701922104244</v>
      </c>
      <c r="AH195" s="1268">
        <v>2.7666403405655378</v>
      </c>
      <c r="AI195" s="1243"/>
      <c r="AJ195" s="1243"/>
      <c r="AK195" s="1243"/>
      <c r="AL195" s="1243"/>
      <c r="AM195" s="1243"/>
      <c r="AN195" s="1243"/>
    </row>
    <row r="196" spans="1:40">
      <c r="A196" s="9" t="s">
        <v>306</v>
      </c>
      <c r="B196" s="605"/>
      <c r="C196" s="605"/>
      <c r="D196" s="605">
        <v>9.9894496987857764</v>
      </c>
      <c r="E196" s="605">
        <v>18.090693297285412</v>
      </c>
      <c r="F196" s="605">
        <v>15.217784851046884</v>
      </c>
      <c r="G196" s="605">
        <v>45.440527147274295</v>
      </c>
      <c r="H196" s="605">
        <v>17.499480598200385</v>
      </c>
      <c r="I196" s="605">
        <v>23.226768339558468</v>
      </c>
      <c r="J196" s="605">
        <v>53.133438716891156</v>
      </c>
      <c r="K196" s="605">
        <v>48.423683758083961</v>
      </c>
      <c r="L196" s="605">
        <v>38.849859762263563</v>
      </c>
      <c r="M196" s="605">
        <v>47.189911748257529</v>
      </c>
      <c r="N196" s="605">
        <v>41.186414943620726</v>
      </c>
      <c r="O196" s="606">
        <v>51.223479223479032</v>
      </c>
      <c r="P196" s="606">
        <v>51.084456271160214</v>
      </c>
      <c r="Q196" s="606">
        <v>49.674269823938978</v>
      </c>
      <c r="R196" s="606">
        <v>49.205012717204497</v>
      </c>
      <c r="S196" s="606">
        <v>44.836932063156418</v>
      </c>
      <c r="T196" s="606">
        <v>45.08881802583457</v>
      </c>
      <c r="U196" s="606" t="s">
        <v>628</v>
      </c>
      <c r="V196" s="606">
        <v>38.107683833654647</v>
      </c>
      <c r="W196" s="606">
        <v>18.516542253887859</v>
      </c>
      <c r="X196" s="606">
        <v>17.726085216340394</v>
      </c>
      <c r="Y196" s="606">
        <v>30.075259151586625</v>
      </c>
      <c r="Z196" s="606">
        <v>17.362536743302453</v>
      </c>
      <c r="AA196" s="606">
        <v>13.258609752419803</v>
      </c>
      <c r="AB196" s="606">
        <v>10.45704770810346</v>
      </c>
      <c r="AC196" s="606">
        <v>9.3635516066587527</v>
      </c>
      <c r="AD196" s="606">
        <v>8.7901014553991601</v>
      </c>
      <c r="AE196" s="606">
        <v>8.2955484472906669</v>
      </c>
      <c r="AF196" s="606">
        <v>7.829044892077663</v>
      </c>
      <c r="AG196" s="606">
        <v>7.4128657005418539</v>
      </c>
      <c r="AH196" s="606">
        <v>7.0369324773799704</v>
      </c>
      <c r="AI196" s="1133"/>
      <c r="AJ196" s="1133"/>
      <c r="AK196" s="1133"/>
      <c r="AL196" s="1133"/>
      <c r="AM196" s="1133"/>
      <c r="AN196" s="1133"/>
    </row>
    <row r="197" spans="1:40" s="1209" customFormat="1">
      <c r="A197" s="1209" t="s">
        <v>1239</v>
      </c>
      <c r="B197" s="1268"/>
      <c r="C197" s="1268"/>
      <c r="D197" s="1268">
        <v>9.9894496987857764</v>
      </c>
      <c r="E197" s="1268">
        <v>18.090693297285412</v>
      </c>
      <c r="F197" s="1268">
        <v>15.217784851046884</v>
      </c>
      <c r="G197" s="1268">
        <v>45.440527147274295</v>
      </c>
      <c r="H197" s="1268">
        <v>17.499480598200385</v>
      </c>
      <c r="I197" s="1268">
        <v>23.226768339558468</v>
      </c>
      <c r="J197" s="1268">
        <v>53.133438716891156</v>
      </c>
      <c r="K197" s="1268">
        <v>48.423683758083961</v>
      </c>
      <c r="L197" s="1268">
        <v>38.849859762263563</v>
      </c>
      <c r="M197" s="1268">
        <v>47.189911748257529</v>
      </c>
      <c r="N197" s="1268">
        <v>41.186414943620726</v>
      </c>
      <c r="O197" s="1268">
        <v>51.223479223479202</v>
      </c>
      <c r="P197" s="1268">
        <v>51.084456271160164</v>
      </c>
      <c r="Q197" s="1268">
        <v>49.674269823938886</v>
      </c>
      <c r="R197" s="1268">
        <v>49.205012717204461</v>
      </c>
      <c r="S197" s="1268">
        <v>44.836932063156418</v>
      </c>
      <c r="T197" s="1268">
        <v>54.659458094697506</v>
      </c>
      <c r="U197" s="1268" t="s">
        <v>628</v>
      </c>
      <c r="V197" s="1268">
        <v>65.230002029158314</v>
      </c>
      <c r="W197" s="1268">
        <v>18.187354080920425</v>
      </c>
      <c r="X197" s="1268">
        <v>18.620891961564169</v>
      </c>
      <c r="Y197" s="1268">
        <v>28.609488109056578</v>
      </c>
      <c r="Z197" s="1268">
        <v>18.400052798677613</v>
      </c>
      <c r="AA197" s="1268">
        <v>14.306286467547539</v>
      </c>
      <c r="AB197" s="1268">
        <v>11.183836239295962</v>
      </c>
      <c r="AC197" s="1268">
        <v>10.140956691840293</v>
      </c>
      <c r="AD197" s="1268">
        <v>9.6377710058845043</v>
      </c>
      <c r="AE197" s="1268">
        <v>9.1827141626278355</v>
      </c>
      <c r="AF197" s="1268">
        <v>8.7430953468626988</v>
      </c>
      <c r="AG197" s="1268">
        <v>8.3396164086809961</v>
      </c>
      <c r="AH197" s="1268">
        <v>7.9668885531944937</v>
      </c>
      <c r="AI197" s="1243"/>
      <c r="AJ197" s="1243"/>
      <c r="AK197" s="1243"/>
      <c r="AL197" s="1243"/>
      <c r="AM197" s="1243"/>
      <c r="AN197" s="1243"/>
    </row>
    <row r="198" spans="1:40">
      <c r="A198" s="98" t="s">
        <v>92</v>
      </c>
      <c r="B198" s="605"/>
      <c r="C198" s="605"/>
      <c r="D198" s="605">
        <v>1.0562565390594314</v>
      </c>
      <c r="E198" s="605">
        <v>1.9622642568399018</v>
      </c>
      <c r="F198" s="605">
        <v>2.4236383860123181</v>
      </c>
      <c r="G198" s="605">
        <v>3.8041867818993813</v>
      </c>
      <c r="H198" s="605">
        <v>2.793131437275874</v>
      </c>
      <c r="I198" s="605">
        <v>0.99801439472071241</v>
      </c>
      <c r="J198" s="605">
        <v>1.8952447389438658</v>
      </c>
      <c r="K198" s="605">
        <v>2.5557004294098262</v>
      </c>
      <c r="L198" s="605">
        <v>2.7204433065619193</v>
      </c>
      <c r="M198" s="605">
        <v>3.8264277071521948</v>
      </c>
      <c r="N198" s="605">
        <v>6.5665371315019545</v>
      </c>
      <c r="O198" s="605">
        <v>3.8805062835449671</v>
      </c>
      <c r="P198" s="605">
        <v>5.5268325137714962</v>
      </c>
      <c r="Q198" s="605">
        <v>5.5550570369770993</v>
      </c>
      <c r="R198" s="605">
        <v>5.6665044111822462</v>
      </c>
      <c r="S198" s="605">
        <v>3.8574577078865859</v>
      </c>
      <c r="T198" s="605">
        <v>4.360971059591078</v>
      </c>
      <c r="U198" s="605">
        <v>3.4443327824097074</v>
      </c>
      <c r="V198" s="605">
        <v>4.1660136721731158</v>
      </c>
      <c r="W198" s="605">
        <v>3.9676723156232576</v>
      </c>
      <c r="X198" s="605">
        <v>6.2029515580825159</v>
      </c>
      <c r="Y198" s="606">
        <v>6.1754471493517</v>
      </c>
      <c r="Z198" s="606">
        <v>4.8695638407790653</v>
      </c>
      <c r="AA198" s="606">
        <v>3.8261885445430974</v>
      </c>
      <c r="AB198" s="606">
        <v>3.038348043490477</v>
      </c>
      <c r="AC198" s="606">
        <v>2.4687832005198209</v>
      </c>
      <c r="AD198" s="606">
        <v>2.0595166267620089</v>
      </c>
      <c r="AE198" s="606">
        <v>1.7519926143113242</v>
      </c>
      <c r="AF198" s="606">
        <v>1.5126734942310105</v>
      </c>
      <c r="AG198" s="606">
        <v>1.3220504539470381</v>
      </c>
      <c r="AH198" s="606">
        <v>1.1671729802576392</v>
      </c>
      <c r="AI198" s="1133"/>
      <c r="AJ198" s="1133"/>
      <c r="AK198" s="1133"/>
      <c r="AL198" s="1133"/>
      <c r="AM198" s="1133"/>
      <c r="AN198" s="1133"/>
    </row>
    <row r="199" spans="1:40">
      <c r="A199" s="90" t="s">
        <v>99</v>
      </c>
      <c r="B199" s="117"/>
      <c r="C199" s="117"/>
      <c r="D199" s="117"/>
      <c r="E199" s="117"/>
      <c r="F199" s="117"/>
      <c r="G199" s="117"/>
      <c r="H199" s="117"/>
      <c r="I199" s="117"/>
      <c r="J199" s="117"/>
      <c r="K199" s="117">
        <v>-1.3519197260109634E-3</v>
      </c>
      <c r="L199" s="117">
        <v>-4.0963136492220623E-2</v>
      </c>
      <c r="M199" s="117">
        <v>-0.10932503264796224</v>
      </c>
      <c r="N199" s="117">
        <v>-6.7958325305567308E-2</v>
      </c>
      <c r="O199" s="117">
        <v>-0.30371274644094493</v>
      </c>
      <c r="P199" s="117">
        <v>-1.1719707228269675E-2</v>
      </c>
      <c r="Q199" s="117">
        <v>-9.6904546734552406E-3</v>
      </c>
      <c r="R199" s="117">
        <v>6.6869392651781592E-3</v>
      </c>
      <c r="S199" s="117">
        <v>-0.29011528525109648</v>
      </c>
      <c r="T199" s="117">
        <v>0.111287931740727</v>
      </c>
      <c r="U199" s="117">
        <v>-0.15338698447378291</v>
      </c>
      <c r="V199" s="117">
        <v>9.94822916794319E-2</v>
      </c>
      <c r="W199" s="117">
        <v>7.6500337466749613E-2</v>
      </c>
      <c r="X199" s="117">
        <v>3.1254879658948208E-2</v>
      </c>
      <c r="Y199" s="589">
        <v>-8.0595426403452963E-2</v>
      </c>
      <c r="Z199" s="589">
        <v>1.6454048726091557E-2</v>
      </c>
      <c r="AA199" s="589">
        <v>5.2450488763361863E-2</v>
      </c>
      <c r="AB199" s="589">
        <v>7.3094266361766996E-2</v>
      </c>
      <c r="AC199" s="589">
        <v>6.9713804853220263E-2</v>
      </c>
      <c r="AD199" s="589">
        <v>7.6008718325400515E-2</v>
      </c>
      <c r="AE199" s="589">
        <v>8.7016738058637425E-2</v>
      </c>
      <c r="AF199" s="589">
        <v>9.3662632276011779E-2</v>
      </c>
      <c r="AG199" s="589">
        <v>0.10055712993586827</v>
      </c>
      <c r="AH199" s="589">
        <v>0.11252851677426286</v>
      </c>
      <c r="AI199" s="1133"/>
      <c r="AJ199" s="1133"/>
      <c r="AK199" s="1133"/>
      <c r="AL199" s="1133"/>
      <c r="AM199" s="1133"/>
      <c r="AN199" s="1133"/>
    </row>
    <row r="200" spans="1:40">
      <c r="A200" s="90" t="s">
        <v>247</v>
      </c>
      <c r="B200" s="117"/>
      <c r="C200" s="117"/>
      <c r="D200" s="117">
        <v>3.6390892160783915E-2</v>
      </c>
      <c r="E200" s="117">
        <v>2.7982641302202658E-2</v>
      </c>
      <c r="F200" s="117">
        <v>2.4307993695281919E-2</v>
      </c>
      <c r="G200" s="117">
        <v>1.6608523906876494E-2</v>
      </c>
      <c r="H200" s="117">
        <v>8.1028488489033688E-3</v>
      </c>
      <c r="I200" s="117">
        <v>0</v>
      </c>
      <c r="J200" s="117">
        <v>7.5889507605277342E-3</v>
      </c>
      <c r="K200" s="117">
        <v>3.358742141113108E-2</v>
      </c>
      <c r="L200" s="117">
        <v>1.505873801665881E-2</v>
      </c>
      <c r="M200" s="117">
        <v>0</v>
      </c>
      <c r="N200" s="117">
        <v>1.226012785575149E-2</v>
      </c>
      <c r="O200" s="117">
        <v>0</v>
      </c>
      <c r="P200" s="117">
        <v>8.3626578885023506E-3</v>
      </c>
      <c r="Q200" s="117">
        <v>1.3025934918023325E-2</v>
      </c>
      <c r="R200" s="117">
        <v>1.3419767772082538E-2</v>
      </c>
      <c r="S200" s="117">
        <v>1.684904449925528E-2</v>
      </c>
      <c r="T200" s="117">
        <v>0</v>
      </c>
      <c r="U200" s="117">
        <v>0</v>
      </c>
      <c r="V200" s="117">
        <v>0</v>
      </c>
      <c r="W200" s="117">
        <v>0</v>
      </c>
      <c r="X200" s="117">
        <v>0</v>
      </c>
      <c r="Y200" s="589">
        <v>1.9588979087425816E-2</v>
      </c>
      <c r="Z200" s="589">
        <v>1.4169663481631446E-2</v>
      </c>
      <c r="AA200" s="589">
        <v>1.9423192942787708E-2</v>
      </c>
      <c r="AB200" s="589">
        <v>2.7859764572119788E-2</v>
      </c>
      <c r="AC200" s="589">
        <v>3.0865457234965619E-2</v>
      </c>
      <c r="AD200" s="589">
        <v>3.3271347140103227E-2</v>
      </c>
      <c r="AE200" s="589">
        <v>3.5318745136277557E-2</v>
      </c>
      <c r="AF200" s="589">
        <v>3.7426969004760266E-2</v>
      </c>
      <c r="AG200" s="589">
        <v>3.9581005943785184E-2</v>
      </c>
      <c r="AH200" s="589">
        <v>4.1737125755424972E-2</v>
      </c>
      <c r="AI200" s="1133"/>
      <c r="AJ200" s="1133"/>
      <c r="AK200" s="1133"/>
      <c r="AL200" s="1133"/>
      <c r="AM200" s="1133"/>
      <c r="AN200" s="1133"/>
    </row>
    <row r="201" spans="1:40">
      <c r="A201" s="90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33"/>
      <c r="AJ201" s="1133"/>
      <c r="AK201" s="1133"/>
      <c r="AL201" s="1133"/>
      <c r="AM201" s="1133"/>
      <c r="AN201" s="1133"/>
    </row>
    <row r="202" spans="1:40">
      <c r="A202" s="1126" t="s">
        <v>1124</v>
      </c>
      <c r="B202" s="1124">
        <v>2001</v>
      </c>
      <c r="C202" s="1124">
        <v>2002</v>
      </c>
      <c r="D202" s="1124">
        <v>2003</v>
      </c>
      <c r="E202" s="1124">
        <v>2004</v>
      </c>
      <c r="F202" s="1124">
        <v>2005</v>
      </c>
      <c r="G202" s="1124">
        <v>2006</v>
      </c>
      <c r="H202" s="1124">
        <v>2007</v>
      </c>
      <c r="I202" s="1124">
        <v>2008</v>
      </c>
      <c r="J202" s="1124">
        <v>2009</v>
      </c>
      <c r="K202" s="1124">
        <v>2010</v>
      </c>
      <c r="L202" s="1124">
        <v>2011</v>
      </c>
      <c r="M202" s="1124">
        <v>2012</v>
      </c>
      <c r="N202" s="1124">
        <v>2013</v>
      </c>
      <c r="O202" s="1124">
        <v>2014</v>
      </c>
      <c r="P202" s="1124">
        <v>2015</v>
      </c>
      <c r="Q202" s="1124">
        <v>2016</v>
      </c>
      <c r="R202" s="1124">
        <v>2017</v>
      </c>
      <c r="S202" s="1583">
        <v>2018</v>
      </c>
      <c r="T202" s="1583">
        <v>2019</v>
      </c>
      <c r="U202" s="1583">
        <v>2020</v>
      </c>
      <c r="V202" s="1583">
        <v>2021</v>
      </c>
      <c r="W202" s="1583">
        <v>2022</v>
      </c>
      <c r="X202" s="1583">
        <v>2023</v>
      </c>
      <c r="Y202" s="1445">
        <v>2024</v>
      </c>
      <c r="Z202" s="1445">
        <v>2025</v>
      </c>
      <c r="AA202" s="1445">
        <v>2026</v>
      </c>
      <c r="AB202" s="1445">
        <v>2027</v>
      </c>
      <c r="AC202" s="1445">
        <v>2028</v>
      </c>
      <c r="AD202" s="1445">
        <v>2029</v>
      </c>
      <c r="AE202" s="1445">
        <v>2030</v>
      </c>
      <c r="AF202" s="1445">
        <v>2031</v>
      </c>
      <c r="AG202" s="1445">
        <v>2032</v>
      </c>
      <c r="AH202" s="1445">
        <v>2033</v>
      </c>
      <c r="AI202" s="1133"/>
      <c r="AJ202" s="1133"/>
      <c r="AK202" s="1133"/>
      <c r="AL202" s="1133"/>
      <c r="AM202" s="1133"/>
      <c r="AN202" s="1133"/>
    </row>
    <row r="203" spans="1:40">
      <c r="A203" s="124" t="s">
        <v>594</v>
      </c>
      <c r="B203" s="1632">
        <v>0.88</v>
      </c>
      <c r="C203" s="1632">
        <v>1.72</v>
      </c>
      <c r="D203" s="1632">
        <v>2.74</v>
      </c>
      <c r="E203" s="1632">
        <v>5.63</v>
      </c>
      <c r="F203" s="1632">
        <v>7.84</v>
      </c>
      <c r="G203" s="1632">
        <v>16.2</v>
      </c>
      <c r="H203" s="1632">
        <v>13.53</v>
      </c>
      <c r="I203" s="1632">
        <v>4.84</v>
      </c>
      <c r="J203" s="1632">
        <v>9.16</v>
      </c>
      <c r="K203" s="1632">
        <v>12.1</v>
      </c>
      <c r="L203" s="1632">
        <v>13.44</v>
      </c>
      <c r="M203" s="1632">
        <v>25.15</v>
      </c>
      <c r="N203" s="1632">
        <v>40.78</v>
      </c>
      <c r="O203" s="1632">
        <v>40.770000000000003</v>
      </c>
      <c r="P203" s="1632">
        <v>59.85</v>
      </c>
      <c r="Q203" s="1632">
        <v>59.33</v>
      </c>
      <c r="R203" s="716">
        <v>64.37</v>
      </c>
      <c r="S203" s="716">
        <v>51.15</v>
      </c>
      <c r="T203" s="716">
        <v>49.83</v>
      </c>
      <c r="U203" s="716">
        <v>25.89</v>
      </c>
      <c r="V203" s="716">
        <v>37.950000000000003</v>
      </c>
      <c r="W203" s="716">
        <v>36.86</v>
      </c>
      <c r="X203" s="716">
        <v>64.16</v>
      </c>
      <c r="Y203" s="1629">
        <v>65</v>
      </c>
      <c r="Z203" s="1629">
        <v>65</v>
      </c>
      <c r="AA203" s="1629">
        <v>65</v>
      </c>
      <c r="AB203" s="1629">
        <v>65</v>
      </c>
      <c r="AC203" s="1629">
        <v>65</v>
      </c>
      <c r="AD203" s="1629">
        <v>65</v>
      </c>
      <c r="AE203" s="1629">
        <v>65</v>
      </c>
      <c r="AF203" s="1629">
        <v>65</v>
      </c>
      <c r="AG203" s="1629">
        <v>65</v>
      </c>
      <c r="AH203" s="1629">
        <v>65</v>
      </c>
      <c r="AI203" s="1133"/>
      <c r="AJ203" s="1133"/>
      <c r="AK203" s="1133"/>
      <c r="AL203" s="1133"/>
      <c r="AM203" s="1133"/>
      <c r="AN203" s="1133"/>
    </row>
    <row r="204" spans="1:40">
      <c r="A204" s="98" t="s">
        <v>88</v>
      </c>
      <c r="B204" s="438"/>
      <c r="C204" s="438"/>
      <c r="D204" s="438">
        <v>1280.1280000000002</v>
      </c>
      <c r="E204" s="438">
        <v>2796.9839999999999</v>
      </c>
      <c r="F204" s="438">
        <v>4283.7759999999998</v>
      </c>
      <c r="G204" s="438">
        <v>10095.84</v>
      </c>
      <c r="H204" s="438">
        <v>8372.3639999999996</v>
      </c>
      <c r="I204" s="438">
        <v>2991.12</v>
      </c>
      <c r="J204" s="438">
        <v>5512.4879999999994</v>
      </c>
      <c r="K204" s="438">
        <v>7322.92</v>
      </c>
      <c r="L204" s="438">
        <v>8144.6399999999994</v>
      </c>
      <c r="M204" s="438">
        <v>17298.169999999998</v>
      </c>
      <c r="N204" s="438">
        <v>28048.484</v>
      </c>
      <c r="O204" s="438">
        <v>34148.952000000005</v>
      </c>
      <c r="P204" s="438">
        <v>50124.375</v>
      </c>
      <c r="Q204" s="438">
        <v>49499.018999999993</v>
      </c>
      <c r="R204" s="438">
        <v>53607.336000000003</v>
      </c>
      <c r="S204" s="438">
        <v>42740.94</v>
      </c>
      <c r="T204" s="438">
        <v>41782.455000000002</v>
      </c>
      <c r="U204" s="438">
        <v>21708.764999999999</v>
      </c>
      <c r="V204" s="438">
        <v>31824.870000000003</v>
      </c>
      <c r="W204" s="438">
        <v>30225.200000000001</v>
      </c>
      <c r="X204" s="438">
        <v>51950.351999999999</v>
      </c>
      <c r="Y204" s="447">
        <v>52975</v>
      </c>
      <c r="Z204" s="447">
        <v>52975</v>
      </c>
      <c r="AA204" s="447">
        <v>52975</v>
      </c>
      <c r="AB204" s="447">
        <v>52975</v>
      </c>
      <c r="AC204" s="447">
        <v>52975</v>
      </c>
      <c r="AD204" s="447">
        <v>52975</v>
      </c>
      <c r="AE204" s="447">
        <v>52975</v>
      </c>
      <c r="AF204" s="447">
        <v>52975</v>
      </c>
      <c r="AG204" s="447">
        <v>52975</v>
      </c>
      <c r="AH204" s="447">
        <v>52975</v>
      </c>
      <c r="AI204" s="1133"/>
      <c r="AJ204" s="1133"/>
      <c r="AK204" s="1133"/>
      <c r="AL204" s="1133"/>
      <c r="AM204" s="1133"/>
      <c r="AN204" s="1133"/>
    </row>
    <row r="205" spans="1:40">
      <c r="A205" s="98" t="s">
        <v>89</v>
      </c>
      <c r="B205" s="438">
        <v>91.750000000000014</v>
      </c>
      <c r="C205" s="438">
        <v>-114.06300000000002</v>
      </c>
      <c r="D205" s="438">
        <v>1161.788</v>
      </c>
      <c r="E205" s="438">
        <v>2911.1210000000001</v>
      </c>
      <c r="F205" s="438">
        <v>4970.1949999999997</v>
      </c>
      <c r="G205" s="438">
        <v>10417.547999999999</v>
      </c>
      <c r="H205" s="438">
        <v>9331.0919999999987</v>
      </c>
      <c r="I205" s="438">
        <v>4352.1569999999992</v>
      </c>
      <c r="J205" s="438">
        <v>6601.1819999999998</v>
      </c>
      <c r="K205" s="438">
        <v>8584.4049999999988</v>
      </c>
      <c r="L205" s="438">
        <v>11760.655999999999</v>
      </c>
      <c r="M205" s="438">
        <v>19148.244999999995</v>
      </c>
      <c r="N205" s="438">
        <v>32668.334999999999</v>
      </c>
      <c r="O205" s="438">
        <v>45564.771000000001</v>
      </c>
      <c r="P205" s="438">
        <v>62518.099000000002</v>
      </c>
      <c r="Q205" s="438">
        <v>62804.513999999988</v>
      </c>
      <c r="R205" s="438">
        <v>71251.106</v>
      </c>
      <c r="S205" s="438">
        <v>70747.756999999998</v>
      </c>
      <c r="T205" s="438">
        <v>91367.233999999997</v>
      </c>
      <c r="U205" s="438">
        <v>82775.359999999986</v>
      </c>
      <c r="V205" s="438">
        <v>87178.186999999991</v>
      </c>
      <c r="W205" s="438">
        <v>79719.270999999993</v>
      </c>
      <c r="X205" s="438">
        <v>96227.362000000008</v>
      </c>
      <c r="Y205" s="447">
        <v>101595.87509152597</v>
      </c>
      <c r="Z205" s="447">
        <v>101087.46409030548</v>
      </c>
      <c r="AA205" s="447">
        <v>99922.935876291434</v>
      </c>
      <c r="AB205" s="447">
        <v>98085.768747360387</v>
      </c>
      <c r="AC205" s="447">
        <v>96519.907876097815</v>
      </c>
      <c r="AD205" s="447">
        <v>94754.741400899147</v>
      </c>
      <c r="AE205" s="447">
        <v>92487.420985191769</v>
      </c>
      <c r="AF205" s="447">
        <v>89966.838761550069</v>
      </c>
      <c r="AG205" s="447">
        <v>87203.723502004475</v>
      </c>
      <c r="AH205" s="447">
        <v>83905.089089695597</v>
      </c>
      <c r="AI205" s="1133"/>
      <c r="AJ205" s="1133"/>
      <c r="AK205" s="1133"/>
      <c r="AL205" s="1133"/>
      <c r="AM205" s="1133"/>
      <c r="AN205" s="1133"/>
    </row>
    <row r="206" spans="1:40" s="1209" customFormat="1">
      <c r="A206" s="1237" t="s">
        <v>1240</v>
      </c>
      <c r="B206" s="1518">
        <v>142.17099999999994</v>
      </c>
      <c r="C206" s="1518">
        <v>40.818999999999988</v>
      </c>
      <c r="D206" s="1518">
        <v>1129.3580000000002</v>
      </c>
      <c r="E206" s="1518">
        <v>2639.1959999999999</v>
      </c>
      <c r="F206" s="1518">
        <v>4439.0540000000001</v>
      </c>
      <c r="G206" s="1518">
        <v>10318.414000000001</v>
      </c>
      <c r="H206" s="1518">
        <v>8977.64</v>
      </c>
      <c r="I206" s="1518">
        <v>3731.6489999999994</v>
      </c>
      <c r="J206" s="1518">
        <v>6929.6649999999991</v>
      </c>
      <c r="K206" s="1518">
        <v>8328.8639999999996</v>
      </c>
      <c r="L206" s="1518">
        <v>11128.162</v>
      </c>
      <c r="M206" s="1518">
        <v>16948.932999999997</v>
      </c>
      <c r="N206" s="1518">
        <v>30522.702999999998</v>
      </c>
      <c r="O206" s="1518">
        <v>33903.809000000001</v>
      </c>
      <c r="P206" s="1518">
        <v>60574.459000000003</v>
      </c>
      <c r="Q206" s="1518">
        <v>61311.397999999994</v>
      </c>
      <c r="R206" s="1518">
        <v>71251.106</v>
      </c>
      <c r="S206" s="1518">
        <v>70747.756999999998</v>
      </c>
      <c r="T206" s="1518">
        <v>68805.373999999996</v>
      </c>
      <c r="U206" s="1518">
        <v>57475.360000000001</v>
      </c>
      <c r="V206" s="1518">
        <v>63414.913000000008</v>
      </c>
      <c r="W206" s="1518">
        <v>57737.46</v>
      </c>
      <c r="X206" s="1518">
        <v>77897.294999999998</v>
      </c>
      <c r="Y206" s="1518">
        <v>82904.394794502543</v>
      </c>
      <c r="Z206" s="1518">
        <v>81965.782520840919</v>
      </c>
      <c r="AA206" s="1518">
        <v>80316.832025136697</v>
      </c>
      <c r="AB206" s="1518">
        <v>78058.413577735148</v>
      </c>
      <c r="AC206" s="1518">
        <v>76118.836011033316</v>
      </c>
      <c r="AD206" s="1518">
        <v>73985.091553602106</v>
      </c>
      <c r="AE206" s="1518">
        <v>71403.971030766726</v>
      </c>
      <c r="AF206" s="1518">
        <v>68596.298694189274</v>
      </c>
      <c r="AG206" s="1518">
        <v>65551.949849248937</v>
      </c>
      <c r="AH206" s="1518">
        <v>62017.555148990512</v>
      </c>
      <c r="AI206" s="1243"/>
      <c r="AJ206" s="1243"/>
      <c r="AK206" s="1243"/>
      <c r="AL206" s="1243"/>
      <c r="AM206" s="1243"/>
      <c r="AN206" s="1243"/>
    </row>
    <row r="207" spans="1:40">
      <c r="A207" s="98" t="s">
        <v>638</v>
      </c>
      <c r="B207" s="605">
        <v>3.7075890205256985E-2</v>
      </c>
      <c r="C207" s="605">
        <v>-4.3404355390354948E-2</v>
      </c>
      <c r="D207" s="605">
        <v>0.40459398967296084</v>
      </c>
      <c r="E207" s="605">
        <v>0.78496621630731211</v>
      </c>
      <c r="F207" s="605">
        <v>1.0653537821790666</v>
      </c>
      <c r="G207" s="605">
        <v>1.7286393103462006</v>
      </c>
      <c r="H207" s="605">
        <v>1.3357986647298659</v>
      </c>
      <c r="I207" s="605">
        <v>0.55891161540049017</v>
      </c>
      <c r="J207" s="605">
        <v>0.76873410184438673</v>
      </c>
      <c r="K207" s="605">
        <v>0.95579383706844334</v>
      </c>
      <c r="L207" s="605">
        <v>1.0994859628903049</v>
      </c>
      <c r="M207" s="605">
        <v>1.4163413282712176</v>
      </c>
      <c r="N207" s="605">
        <v>2.0791084771424835</v>
      </c>
      <c r="O207" s="605">
        <v>1.9984325175310538</v>
      </c>
      <c r="P207" s="605">
        <v>1.9362416678993084</v>
      </c>
      <c r="Q207" s="605">
        <v>1.665819732481683</v>
      </c>
      <c r="R207" s="605">
        <v>1.6753486628609136</v>
      </c>
      <c r="S207" s="605">
        <v>1.5327769115357761</v>
      </c>
      <c r="T207" s="605">
        <v>1.5711088056479228</v>
      </c>
      <c r="U207" s="605">
        <v>2.1502652042831376</v>
      </c>
      <c r="V207" s="605">
        <v>1.6331782356246367</v>
      </c>
      <c r="W207" s="605">
        <v>1.158183344046724</v>
      </c>
      <c r="X207" s="605">
        <v>1.2623119388310129</v>
      </c>
      <c r="Y207" s="606">
        <v>1.2762621762572972</v>
      </c>
      <c r="Z207" s="606">
        <v>1.140883456819592</v>
      </c>
      <c r="AA207" s="606">
        <v>1.0403627625514467</v>
      </c>
      <c r="AB207" s="606">
        <v>0.95231097686158528</v>
      </c>
      <c r="AC207" s="606">
        <v>0.8823454518527557</v>
      </c>
      <c r="AD207" s="606">
        <v>0.81598703253867688</v>
      </c>
      <c r="AE207" s="606">
        <v>0.75132971200676313</v>
      </c>
      <c r="AF207" s="606">
        <v>0.69039247694941253</v>
      </c>
      <c r="AG207" s="606">
        <v>0.63231994981691142</v>
      </c>
      <c r="AH207" s="606">
        <v>0.57533720671813893</v>
      </c>
      <c r="AI207" s="1133"/>
      <c r="AJ207" s="1133"/>
      <c r="AK207" s="1133"/>
      <c r="AL207" s="1133"/>
      <c r="AM207" s="1133"/>
      <c r="AN207" s="1133"/>
    </row>
    <row r="208" spans="1:40" s="1209" customFormat="1">
      <c r="A208" s="1237" t="s">
        <v>1237</v>
      </c>
      <c r="B208" s="1268">
        <v>5.7450859796965528E-2</v>
      </c>
      <c r="C208" s="1268">
        <v>1.5532840471308819E-2</v>
      </c>
      <c r="D208" s="1268">
        <v>0.39330020536369442</v>
      </c>
      <c r="E208" s="1268">
        <v>0.71164328044536551</v>
      </c>
      <c r="F208" s="1268">
        <v>0.95150451203566755</v>
      </c>
      <c r="G208" s="1268">
        <v>1.7121894769120893</v>
      </c>
      <c r="H208" s="1268">
        <v>1.2852000092192246</v>
      </c>
      <c r="I208" s="1268">
        <v>0.47922489255273282</v>
      </c>
      <c r="J208" s="1268">
        <v>0.80698726377450003</v>
      </c>
      <c r="K208" s="1268">
        <v>0.92734171803185239</v>
      </c>
      <c r="L208" s="1268">
        <v>1.0403550543242914</v>
      </c>
      <c r="M208" s="1268">
        <v>1.253664462617847</v>
      </c>
      <c r="N208" s="1268">
        <v>1.9425541752465285</v>
      </c>
      <c r="O208" s="1268">
        <v>1.486992535829095</v>
      </c>
      <c r="P208" s="1268">
        <v>1.8760453916914248</v>
      </c>
      <c r="Q208" s="1268">
        <v>1.6262164947958677</v>
      </c>
      <c r="R208" s="1268">
        <v>1.6753486628609136</v>
      </c>
      <c r="S208" s="1268">
        <v>1.5327769115357761</v>
      </c>
      <c r="T208" s="1268">
        <v>1.1831454694940053</v>
      </c>
      <c r="U208" s="1268">
        <v>1.4930441463697277</v>
      </c>
      <c r="V208" s="1268">
        <v>1.1880019450924102</v>
      </c>
      <c r="W208" s="1268">
        <v>0.83882558960635711</v>
      </c>
      <c r="X208" s="1268">
        <v>1.0218578524592763</v>
      </c>
      <c r="Y208" s="1268">
        <v>1.0414570791029221</v>
      </c>
      <c r="Z208" s="1268">
        <v>0.92507420326382517</v>
      </c>
      <c r="AA208" s="1268">
        <v>0.83623084642449486</v>
      </c>
      <c r="AB208" s="1268">
        <v>0.75786615159173198</v>
      </c>
      <c r="AC208" s="1268">
        <v>0.69584721155016016</v>
      </c>
      <c r="AD208" s="1268">
        <v>0.63712775124890197</v>
      </c>
      <c r="AE208" s="1268">
        <v>0.58005644896590669</v>
      </c>
      <c r="AF208" s="1268">
        <v>0.526398050848076</v>
      </c>
      <c r="AG208" s="1268">
        <v>0.47532151122107774</v>
      </c>
      <c r="AH208" s="1268">
        <v>0.42525438366157853</v>
      </c>
      <c r="AI208" s="1243"/>
      <c r="AJ208" s="1243"/>
      <c r="AK208" s="1243"/>
      <c r="AL208" s="1243"/>
      <c r="AM208" s="1243"/>
      <c r="AN208" s="1243"/>
    </row>
    <row r="209" spans="1:40">
      <c r="A209" s="98" t="s">
        <v>90</v>
      </c>
      <c r="B209" s="605">
        <v>0.2775542554285681</v>
      </c>
      <c r="C209" s="605">
        <v>-0.29711411476336475</v>
      </c>
      <c r="D209" s="605">
        <v>2.7980800030827844</v>
      </c>
      <c r="E209" s="605">
        <v>5.3370702883658172</v>
      </c>
      <c r="F209" s="605">
        <v>7.094653524705409</v>
      </c>
      <c r="G209" s="605">
        <v>10.34062409733988</v>
      </c>
      <c r="H209" s="605">
        <v>7.2408363312422974</v>
      </c>
      <c r="I209" s="605">
        <v>4.2169326216224325</v>
      </c>
      <c r="J209" s="605">
        <v>6.5996244886206892</v>
      </c>
      <c r="K209" s="605">
        <v>8.5961731610574876</v>
      </c>
      <c r="L209" s="605">
        <v>10.549121090158556</v>
      </c>
      <c r="M209" s="605">
        <v>11.907631221374759</v>
      </c>
      <c r="N209" s="605">
        <v>16.023928225623699</v>
      </c>
      <c r="O209" s="606">
        <v>16.313379938791847</v>
      </c>
      <c r="P209" s="606">
        <v>14.533249072640325</v>
      </c>
      <c r="Q209" s="606">
        <v>12.182660431972296</v>
      </c>
      <c r="R209" s="606">
        <v>11.018932474555553</v>
      </c>
      <c r="S209" s="606">
        <v>11.039990218960767</v>
      </c>
      <c r="T209" s="606">
        <v>7.2412765416829048</v>
      </c>
      <c r="U209" s="606">
        <v>11.953576280741968</v>
      </c>
      <c r="V209" s="606">
        <v>7.0811698615309266</v>
      </c>
      <c r="W209" s="606">
        <v>5.6740526587080211</v>
      </c>
      <c r="X209" s="606">
        <v>6.0291363825781463</v>
      </c>
      <c r="Y209" s="606">
        <v>6.1195847352504842</v>
      </c>
      <c r="Z209" s="606">
        <v>5.4673756584741531</v>
      </c>
      <c r="AA209" s="606">
        <v>4.9859021916398563</v>
      </c>
      <c r="AB209" s="606">
        <v>4.5639350891309638</v>
      </c>
      <c r="AC209" s="606">
        <v>4.2286003069544922</v>
      </c>
      <c r="AD209" s="606">
        <v>3.9105558942729792</v>
      </c>
      <c r="AE209" s="606">
        <v>3.600695833551236</v>
      </c>
      <c r="AF209" s="606">
        <v>3.3086378454589247</v>
      </c>
      <c r="AG209" s="606">
        <v>3.0303118523176598</v>
      </c>
      <c r="AH209" s="606">
        <v>2.7572320277175173</v>
      </c>
      <c r="AI209" s="1133"/>
      <c r="AJ209" s="1133"/>
      <c r="AK209" s="1133"/>
      <c r="AL209" s="1133"/>
      <c r="AM209" s="1133"/>
      <c r="AN209" s="1133"/>
    </row>
    <row r="210" spans="1:40" s="1209" customFormat="1">
      <c r="A210" s="1237" t="s">
        <v>1238</v>
      </c>
      <c r="B210" s="1268">
        <v>0.2775542554285681</v>
      </c>
      <c r="C210" s="1268">
        <v>-0.29711411476336475</v>
      </c>
      <c r="D210" s="1268">
        <v>2.7980800030827844</v>
      </c>
      <c r="E210" s="1268">
        <v>5.3370702883658172</v>
      </c>
      <c r="F210" s="1268">
        <v>7.094653524705409</v>
      </c>
      <c r="G210" s="1268">
        <v>10.34062409733988</v>
      </c>
      <c r="H210" s="1268">
        <v>7.2408363312422974</v>
      </c>
      <c r="I210" s="1268">
        <v>4.2169326216224325</v>
      </c>
      <c r="J210" s="1268">
        <v>6.5996244886206892</v>
      </c>
      <c r="K210" s="1268">
        <v>8.5961731610574876</v>
      </c>
      <c r="L210" s="1268">
        <v>10.549121090158556</v>
      </c>
      <c r="M210" s="1268">
        <v>11.907631221374759</v>
      </c>
      <c r="N210" s="1268">
        <v>16.023928225623699</v>
      </c>
      <c r="O210" s="1268">
        <v>12.138450505747752</v>
      </c>
      <c r="P210" s="1268">
        <v>14.081421447050708</v>
      </c>
      <c r="Q210" s="1268">
        <v>11.893029574968217</v>
      </c>
      <c r="R210" s="1268">
        <v>11.018932474555553</v>
      </c>
      <c r="S210" s="1268">
        <v>11.039990218960767</v>
      </c>
      <c r="T210" s="1268">
        <v>8.9728557104049234</v>
      </c>
      <c r="U210" s="1268">
        <v>40.003953388987085</v>
      </c>
      <c r="V210" s="1268">
        <v>9.7019780496174679</v>
      </c>
      <c r="W210" s="1268">
        <v>6.5428546368487952</v>
      </c>
      <c r="X210" s="1268">
        <v>7.2163012735314958</v>
      </c>
      <c r="Y210" s="1268">
        <v>7.1974860320920637</v>
      </c>
      <c r="Z210" s="1268">
        <v>6.4175048543689517</v>
      </c>
      <c r="AA210" s="1268">
        <v>5.761361115645971</v>
      </c>
      <c r="AB210" s="1268">
        <v>5.1747750784393762</v>
      </c>
      <c r="AC210" s="1268">
        <v>4.7527499780971993</v>
      </c>
      <c r="AD210" s="1268">
        <v>4.3527841678943249</v>
      </c>
      <c r="AE210" s="1268">
        <v>3.9638904731963414</v>
      </c>
      <c r="AF210" s="1268">
        <v>3.5986990269849994</v>
      </c>
      <c r="AG210" s="1268">
        <v>3.2507256798430011</v>
      </c>
      <c r="AH210" s="1268">
        <v>2.9096465189467224</v>
      </c>
      <c r="AI210" s="1243"/>
      <c r="AJ210" s="1243"/>
      <c r="AK210" s="1243"/>
      <c r="AL210" s="1243"/>
      <c r="AM210" s="1243"/>
      <c r="AN210" s="1243"/>
    </row>
    <row r="211" spans="1:40">
      <c r="A211" s="9" t="s">
        <v>306</v>
      </c>
      <c r="B211" s="605"/>
      <c r="C211" s="605"/>
      <c r="D211" s="605">
        <v>9.9894496987857764</v>
      </c>
      <c r="E211" s="605">
        <v>18.090693297285412</v>
      </c>
      <c r="F211" s="605">
        <v>15.217784851046884</v>
      </c>
      <c r="G211" s="605">
        <v>45.440527147274295</v>
      </c>
      <c r="H211" s="605">
        <v>17.499480598200385</v>
      </c>
      <c r="I211" s="605">
        <v>23.226768339558468</v>
      </c>
      <c r="J211" s="605">
        <v>53.13343871689046</v>
      </c>
      <c r="K211" s="605">
        <v>48.423683758084394</v>
      </c>
      <c r="L211" s="605">
        <v>38.84985976226352</v>
      </c>
      <c r="M211" s="605">
        <v>47.18991174825738</v>
      </c>
      <c r="N211" s="605">
        <v>41.186414943620647</v>
      </c>
      <c r="O211" s="605">
        <v>51.223479223479032</v>
      </c>
      <c r="P211" s="605">
        <v>51.084456271160214</v>
      </c>
      <c r="Q211" s="605">
        <v>49.674269823938978</v>
      </c>
      <c r="R211" s="605">
        <v>49.205012717204497</v>
      </c>
      <c r="S211" s="605">
        <v>44.836932063156418</v>
      </c>
      <c r="T211" s="605">
        <v>45.08881802583457</v>
      </c>
      <c r="U211" s="605" t="s">
        <v>628</v>
      </c>
      <c r="V211" s="605">
        <v>38.107683833654647</v>
      </c>
      <c r="W211" s="605">
        <v>18.516542253887859</v>
      </c>
      <c r="X211" s="605">
        <v>17.726085216340394</v>
      </c>
      <c r="Y211" s="606">
        <v>31.911391525516336</v>
      </c>
      <c r="Z211" s="606">
        <v>18.422541435107075</v>
      </c>
      <c r="AA211" s="606">
        <v>14.068064543050722</v>
      </c>
      <c r="AB211" s="606">
        <v>11.095463614540073</v>
      </c>
      <c r="AC211" s="606">
        <v>9.9352082016457555</v>
      </c>
      <c r="AD211" s="606">
        <v>9.3267481978606828</v>
      </c>
      <c r="AE211" s="606">
        <v>8.8020021069848742</v>
      </c>
      <c r="AF211" s="606">
        <v>8.3070179233602364</v>
      </c>
      <c r="AG211" s="606">
        <v>7.8654304690698744</v>
      </c>
      <c r="AH211" s="606">
        <v>7.4665460501093381</v>
      </c>
      <c r="AI211" s="1133"/>
      <c r="AJ211" s="1133"/>
      <c r="AK211" s="1133"/>
      <c r="AL211" s="1133"/>
      <c r="AM211" s="1133"/>
      <c r="AN211" s="1133"/>
    </row>
    <row r="212" spans="1:40" s="1209" customFormat="1">
      <c r="A212" s="1209" t="s">
        <v>1239</v>
      </c>
      <c r="B212" s="1268"/>
      <c r="C212" s="1268"/>
      <c r="D212" s="1268">
        <v>9.9894496987857764</v>
      </c>
      <c r="E212" s="1268">
        <v>18.090693297285412</v>
      </c>
      <c r="F212" s="1268">
        <v>15.217784851046884</v>
      </c>
      <c r="G212" s="1268">
        <v>45.440527147274295</v>
      </c>
      <c r="H212" s="1268">
        <v>17.499480598200385</v>
      </c>
      <c r="I212" s="1268">
        <v>23.226768339558468</v>
      </c>
      <c r="J212" s="1268">
        <v>53.133438716891156</v>
      </c>
      <c r="K212" s="1268">
        <v>48.423683758083961</v>
      </c>
      <c r="L212" s="1268">
        <v>38.849859762263563</v>
      </c>
      <c r="M212" s="1268">
        <v>47.189911748257529</v>
      </c>
      <c r="N212" s="1268">
        <v>41.186414943620726</v>
      </c>
      <c r="O212" s="1268">
        <v>51.223479223479202</v>
      </c>
      <c r="P212" s="1268">
        <v>51.084456271160164</v>
      </c>
      <c r="Q212" s="1268">
        <v>49.674269823938886</v>
      </c>
      <c r="R212" s="1268">
        <v>49.205012717204461</v>
      </c>
      <c r="S212" s="1268">
        <v>44.836932063156418</v>
      </c>
      <c r="T212" s="1268">
        <v>54.659458094697506</v>
      </c>
      <c r="U212" s="1268" t="s">
        <v>628</v>
      </c>
      <c r="V212" s="1268">
        <v>65.230002029158314</v>
      </c>
      <c r="W212" s="1268">
        <v>18.187354080920425</v>
      </c>
      <c r="X212" s="1268">
        <v>18.620891961564169</v>
      </c>
      <c r="Y212" s="1268">
        <v>30.356133318457029</v>
      </c>
      <c r="Z212" s="1268">
        <v>19.523399149755875</v>
      </c>
      <c r="AA212" s="1268">
        <v>15.179703238501306</v>
      </c>
      <c r="AB212" s="1268">
        <v>11.866623499089741</v>
      </c>
      <c r="AC212" s="1268">
        <v>10.760074844427344</v>
      </c>
      <c r="AD212" s="1268">
        <v>10.226169039870923</v>
      </c>
      <c r="AE212" s="1268">
        <v>9.7433304043553601</v>
      </c>
      <c r="AF212" s="1268">
        <v>9.2768723073143242</v>
      </c>
      <c r="AG212" s="1268">
        <v>8.8487604728087632</v>
      </c>
      <c r="AH212" s="1268">
        <v>8.4532771132491362</v>
      </c>
      <c r="AI212" s="1243"/>
      <c r="AJ212" s="1243"/>
      <c r="AK212" s="1243"/>
      <c r="AL212" s="1243"/>
      <c r="AM212" s="1243"/>
      <c r="AN212" s="1243"/>
    </row>
    <row r="213" spans="1:40">
      <c r="A213" s="98" t="s">
        <v>92</v>
      </c>
      <c r="B213" s="605"/>
      <c r="C213" s="605"/>
      <c r="D213" s="605">
        <v>1.0562565390594314</v>
      </c>
      <c r="E213" s="605">
        <v>1.9622642568399018</v>
      </c>
      <c r="F213" s="605">
        <v>2.4236383860123181</v>
      </c>
      <c r="G213" s="605">
        <v>3.8041867818993813</v>
      </c>
      <c r="H213" s="605">
        <v>2.793131437275874</v>
      </c>
      <c r="I213" s="605">
        <v>0.99801439472071241</v>
      </c>
      <c r="J213" s="605">
        <v>1.8952447389438658</v>
      </c>
      <c r="K213" s="605">
        <v>2.5557004294098262</v>
      </c>
      <c r="L213" s="605">
        <v>2.7204433065619193</v>
      </c>
      <c r="M213" s="605">
        <v>3.8264277071521948</v>
      </c>
      <c r="N213" s="605">
        <v>6.5665371315019545</v>
      </c>
      <c r="O213" s="605">
        <v>3.8805062835449671</v>
      </c>
      <c r="P213" s="605">
        <v>5.5268325137714962</v>
      </c>
      <c r="Q213" s="605">
        <v>5.5550570369770993</v>
      </c>
      <c r="R213" s="605">
        <v>5.6665044111822462</v>
      </c>
      <c r="S213" s="605">
        <v>3.8574577078865859</v>
      </c>
      <c r="T213" s="605">
        <v>4.360971059591078</v>
      </c>
      <c r="U213" s="605">
        <v>3.4443327824097074</v>
      </c>
      <c r="V213" s="605">
        <v>4.1660136721731158</v>
      </c>
      <c r="W213" s="605">
        <v>3.9676723156232576</v>
      </c>
      <c r="X213" s="605">
        <v>6.2029515580825159</v>
      </c>
      <c r="Y213" s="606">
        <v>6.5524659599716051</v>
      </c>
      <c r="Z213" s="606">
        <v>5.1668568339967225</v>
      </c>
      <c r="AA213" s="606">
        <v>4.0597821644678636</v>
      </c>
      <c r="AB213" s="606">
        <v>3.2238430105595985</v>
      </c>
      <c r="AC213" s="606">
        <v>2.6195055180180931</v>
      </c>
      <c r="AD213" s="606">
        <v>2.1852527055098037</v>
      </c>
      <c r="AE213" s="606">
        <v>1.8589539655604974</v>
      </c>
      <c r="AF213" s="606">
        <v>1.6050241123900699</v>
      </c>
      <c r="AG213" s="606">
        <v>1.4027632958954861</v>
      </c>
      <c r="AH213" s="606">
        <v>1.2384303577660227</v>
      </c>
      <c r="AI213" s="1133"/>
      <c r="AJ213" s="1133"/>
      <c r="AK213" s="1133"/>
      <c r="AL213" s="1133"/>
      <c r="AM213" s="1133"/>
      <c r="AN213" s="1133"/>
    </row>
    <row r="214" spans="1:40">
      <c r="A214" s="90" t="s">
        <v>99</v>
      </c>
      <c r="B214" s="117"/>
      <c r="C214" s="117"/>
      <c r="D214" s="117"/>
      <c r="E214" s="117"/>
      <c r="F214" s="117"/>
      <c r="G214" s="117"/>
      <c r="H214" s="117"/>
      <c r="I214" s="117"/>
      <c r="J214" s="117"/>
      <c r="K214" s="117">
        <v>-1.3519197260109634E-3</v>
      </c>
      <c r="L214" s="117">
        <v>-4.0963136492220623E-2</v>
      </c>
      <c r="M214" s="117">
        <v>-0.10932503264796224</v>
      </c>
      <c r="N214" s="117">
        <v>-6.7958325305567308E-2</v>
      </c>
      <c r="O214" s="117">
        <v>-0.30371274644094493</v>
      </c>
      <c r="P214" s="117">
        <v>-1.1719707228269675E-2</v>
      </c>
      <c r="Q214" s="117">
        <v>-9.6904546734552406E-3</v>
      </c>
      <c r="R214" s="117">
        <v>6.6869392651781592E-3</v>
      </c>
      <c r="S214" s="117">
        <v>-0.29011528525109648</v>
      </c>
      <c r="T214" s="117">
        <v>0.111287931740727</v>
      </c>
      <c r="U214" s="117">
        <v>-0.15338698447378291</v>
      </c>
      <c r="V214" s="117">
        <v>9.94822916794319E-2</v>
      </c>
      <c r="W214" s="117">
        <v>7.6500337466749613E-2</v>
      </c>
      <c r="X214" s="117">
        <v>3.1254879658948208E-2</v>
      </c>
      <c r="Y214" s="589">
        <v>-7.5958089561161984E-2</v>
      </c>
      <c r="Z214" s="589">
        <v>1.5507308076313368E-2</v>
      </c>
      <c r="AA214" s="589">
        <v>4.9432568332977656E-2</v>
      </c>
      <c r="AB214" s="589">
        <v>6.8888534728028403E-2</v>
      </c>
      <c r="AC214" s="589">
        <v>6.5702579773973424E-2</v>
      </c>
      <c r="AD214" s="589">
        <v>7.1635293609446704E-2</v>
      </c>
      <c r="AE214" s="589">
        <v>8.2009928822648126E-2</v>
      </c>
      <c r="AF214" s="589">
        <v>8.8273428511207411E-2</v>
      </c>
      <c r="AG214" s="589">
        <v>9.4771227382635229E-2</v>
      </c>
      <c r="AH214" s="589">
        <v>0.10605379903986682</v>
      </c>
      <c r="AI214" s="1133"/>
      <c r="AJ214" s="1133"/>
      <c r="AK214" s="1133"/>
      <c r="AL214" s="1133"/>
      <c r="AM214" s="1133"/>
      <c r="AN214" s="1133"/>
    </row>
    <row r="215" spans="1:40">
      <c r="A215" s="90" t="s">
        <v>247</v>
      </c>
      <c r="B215" s="117"/>
      <c r="C215" s="117"/>
      <c r="D215" s="117">
        <v>8.4061906309369043E-3</v>
      </c>
      <c r="E215" s="117">
        <v>1.665544028853937E-2</v>
      </c>
      <c r="F215" s="117">
        <v>1.8270563166701528E-2</v>
      </c>
      <c r="G215" s="117">
        <v>1.0314149194123519E-2</v>
      </c>
      <c r="H215" s="117">
        <v>2.0027437889704749E-2</v>
      </c>
      <c r="I215" s="117">
        <v>2.2680467517184201E-2</v>
      </c>
      <c r="J215" s="117">
        <v>0</v>
      </c>
      <c r="K215" s="117">
        <v>5.7127484664587355E-3</v>
      </c>
      <c r="L215" s="117">
        <v>3.0198756482791137E-2</v>
      </c>
      <c r="M215" s="117">
        <v>7.0902297757508455E-3</v>
      </c>
      <c r="N215" s="117">
        <v>0</v>
      </c>
      <c r="O215" s="117">
        <v>1.0069942995615208E-2</v>
      </c>
      <c r="P215" s="117">
        <v>0</v>
      </c>
      <c r="Q215" s="117">
        <v>8.4683092406336383E-3</v>
      </c>
      <c r="R215" s="117">
        <v>1.3419767772082538E-2</v>
      </c>
      <c r="S215" s="117">
        <v>1.684904449925528E-2</v>
      </c>
      <c r="T215" s="117">
        <v>0</v>
      </c>
      <c r="U215" s="117">
        <v>0</v>
      </c>
      <c r="V215" s="117">
        <v>0</v>
      </c>
      <c r="W215" s="117">
        <v>0</v>
      </c>
      <c r="X215" s="117">
        <v>0</v>
      </c>
      <c r="Y215" s="589">
        <v>1.8461859367626239E-2</v>
      </c>
      <c r="Z215" s="589">
        <v>1.3354362844380652E-2</v>
      </c>
      <c r="AA215" s="589">
        <v>1.8305612302695003E-2</v>
      </c>
      <c r="AB215" s="589">
        <v>2.6256756579816281E-2</v>
      </c>
      <c r="AC215" s="589">
        <v>2.908950631098452E-2</v>
      </c>
      <c r="AD215" s="589">
        <v>3.1356965012349601E-2</v>
      </c>
      <c r="AE215" s="589">
        <v>3.3286558877667127E-2</v>
      </c>
      <c r="AF215" s="589">
        <v>3.5273478788178679E-2</v>
      </c>
      <c r="AG215" s="589">
        <v>3.7303575755635081E-2</v>
      </c>
      <c r="AH215" s="589">
        <v>3.9335635750420518E-2</v>
      </c>
      <c r="AI215" s="1133"/>
      <c r="AJ215" s="1133"/>
      <c r="AK215" s="1133"/>
      <c r="AL215" s="1133"/>
      <c r="AM215" s="1133"/>
      <c r="AN215" s="1133"/>
    </row>
    <row r="216" spans="1:40">
      <c r="A216" s="126" t="s">
        <v>1549</v>
      </c>
      <c r="B216" s="12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 t="s">
        <v>281</v>
      </c>
      <c r="AI216" s="1133"/>
      <c r="AJ216" s="1133"/>
      <c r="AK216" s="1133"/>
      <c r="AL216" s="1133"/>
      <c r="AM216" s="1133"/>
      <c r="AN216" s="1133"/>
    </row>
    <row r="217" spans="1:40">
      <c r="A217" s="103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988"/>
      <c r="W217" s="988"/>
      <c r="X217" s="988"/>
      <c r="Y217" s="118"/>
      <c r="Z217" s="988"/>
      <c r="AA217" s="988"/>
      <c r="AB217" s="988"/>
      <c r="AC217" s="988"/>
      <c r="AD217" s="988"/>
      <c r="AE217" s="988"/>
      <c r="AF217" s="988"/>
      <c r="AG217" s="988"/>
      <c r="AH217" s="988"/>
      <c r="AI217" s="1133"/>
      <c r="AJ217" s="1133"/>
      <c r="AK217" s="1133"/>
      <c r="AL217" s="1133"/>
      <c r="AM217" s="1133"/>
      <c r="AN217" s="1133"/>
    </row>
    <row r="218" spans="1:40"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1133"/>
      <c r="AJ218" s="1133"/>
      <c r="AK218" s="1133"/>
      <c r="AL218" s="1133"/>
      <c r="AM218" s="1133"/>
      <c r="AN218" s="1133"/>
    </row>
    <row r="219" spans="1:40"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1133"/>
      <c r="AJ219" s="1133"/>
      <c r="AK219" s="1133"/>
      <c r="AL219" s="1133"/>
      <c r="AM219" s="1133"/>
      <c r="AN219" s="1133"/>
    </row>
    <row r="220" spans="1:40"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1133"/>
      <c r="AJ220" s="1133"/>
      <c r="AK220" s="1133"/>
      <c r="AL220" s="1133"/>
      <c r="AM220" s="1133"/>
      <c r="AN220" s="1133"/>
    </row>
    <row r="221" spans="1:40"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1133"/>
      <c r="AJ221" s="1133"/>
      <c r="AK221" s="1133"/>
      <c r="AL221" s="1133"/>
      <c r="AM221" s="1133"/>
      <c r="AN221" s="1133"/>
    </row>
    <row r="222" spans="1:40"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1133"/>
      <c r="AJ222" s="1133"/>
      <c r="AK222" s="1133"/>
      <c r="AL222" s="1133"/>
      <c r="AM222" s="1133"/>
      <c r="AN222" s="1133"/>
    </row>
    <row r="223" spans="1:40"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1133"/>
      <c r="AJ223" s="1133"/>
      <c r="AK223" s="1133"/>
      <c r="AL223" s="1133"/>
      <c r="AM223" s="1133"/>
      <c r="AN223" s="1133"/>
    </row>
    <row r="224" spans="1:40"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1133"/>
      <c r="AJ224" s="1133"/>
      <c r="AK224" s="1133"/>
      <c r="AL224" s="1133"/>
      <c r="AM224" s="1133"/>
      <c r="AN224" s="1133"/>
    </row>
    <row r="225" spans="2:40"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1133"/>
      <c r="AJ225" s="1133"/>
      <c r="AK225" s="1133"/>
      <c r="AL225" s="1133"/>
      <c r="AM225" s="1133"/>
      <c r="AN225" s="1133"/>
    </row>
    <row r="226" spans="2:40"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1133"/>
      <c r="AJ226" s="1133"/>
      <c r="AK226" s="1133"/>
      <c r="AL226" s="1133"/>
      <c r="AM226" s="1133"/>
      <c r="AN226" s="1133"/>
    </row>
    <row r="227" spans="2:40"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1133"/>
      <c r="AJ227" s="1133"/>
      <c r="AK227" s="1133"/>
      <c r="AL227" s="1133"/>
      <c r="AM227" s="1133"/>
      <c r="AN227" s="1133"/>
    </row>
    <row r="228" spans="2:40"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1133"/>
      <c r="AJ228" s="1133"/>
      <c r="AK228" s="1133"/>
      <c r="AL228" s="1133"/>
      <c r="AM228" s="1133"/>
      <c r="AN228" s="1133"/>
    </row>
    <row r="229" spans="2:40"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1133"/>
      <c r="AJ229" s="1133"/>
      <c r="AK229" s="1133"/>
      <c r="AL229" s="1133"/>
      <c r="AM229" s="1133"/>
      <c r="AN229" s="1133"/>
    </row>
    <row r="230" spans="2:40"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1133"/>
      <c r="AJ230" s="1133"/>
      <c r="AK230" s="1133"/>
      <c r="AL230" s="1133"/>
      <c r="AM230" s="1133"/>
      <c r="AN230" s="1133"/>
    </row>
    <row r="231" spans="2:40"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1133"/>
      <c r="AJ231" s="1133"/>
      <c r="AK231" s="1133"/>
      <c r="AL231" s="1133"/>
      <c r="AM231" s="1133"/>
      <c r="AN231" s="1133"/>
    </row>
    <row r="232" spans="2:40"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1133"/>
      <c r="AJ232" s="1133"/>
      <c r="AK232" s="1133"/>
      <c r="AL232" s="1133"/>
      <c r="AM232" s="1133"/>
      <c r="AN232" s="1133"/>
    </row>
    <row r="233" spans="2:40"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1133"/>
      <c r="AJ233" s="1133"/>
      <c r="AK233" s="1133"/>
      <c r="AL233" s="1133"/>
      <c r="AM233" s="1133"/>
      <c r="AN233" s="1133"/>
    </row>
    <row r="234" spans="2:40"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1133"/>
      <c r="AJ234" s="1133"/>
      <c r="AK234" s="1133"/>
      <c r="AL234" s="1133"/>
      <c r="AM234" s="1133"/>
      <c r="AN234" s="1133"/>
    </row>
    <row r="235" spans="2:40"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1133"/>
      <c r="AJ235" s="1133"/>
      <c r="AK235" s="1133"/>
      <c r="AL235" s="1133"/>
      <c r="AM235" s="1133"/>
      <c r="AN235" s="1133"/>
    </row>
    <row r="236" spans="2:40"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1133"/>
      <c r="AJ236" s="1133"/>
      <c r="AK236" s="1133"/>
      <c r="AL236" s="1133"/>
      <c r="AM236" s="1133"/>
      <c r="AN236" s="1133"/>
    </row>
    <row r="237" spans="2:40"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1133"/>
      <c r="AJ237" s="1133"/>
      <c r="AK237" s="1133"/>
      <c r="AL237" s="1133"/>
      <c r="AM237" s="1133"/>
      <c r="AN237" s="1133"/>
    </row>
    <row r="238" spans="2:40"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1133"/>
      <c r="AJ238" s="1133"/>
      <c r="AK238" s="1133"/>
      <c r="AL238" s="1133"/>
      <c r="AM238" s="1133"/>
      <c r="AN238" s="1133"/>
    </row>
    <row r="239" spans="2:40"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1133"/>
      <c r="AJ239" s="1133"/>
      <c r="AK239" s="1133"/>
      <c r="AL239" s="1133"/>
      <c r="AM239" s="1133"/>
      <c r="AN239" s="1133"/>
    </row>
    <row r="240" spans="2:40"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1133"/>
      <c r="AJ240" s="1133"/>
      <c r="AK240" s="1133"/>
      <c r="AL240" s="1133"/>
      <c r="AM240" s="1133"/>
      <c r="AN240" s="1133"/>
    </row>
    <row r="241" spans="2:40"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1133"/>
      <c r="AJ241" s="1133"/>
      <c r="AK241" s="1133"/>
      <c r="AL241" s="1133"/>
      <c r="AM241" s="1133"/>
      <c r="AN241" s="1133"/>
    </row>
    <row r="242" spans="2:40"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1133"/>
      <c r="AJ242" s="1133"/>
      <c r="AK242" s="1133"/>
      <c r="AL242" s="1133"/>
      <c r="AM242" s="1133"/>
      <c r="AN242" s="1133"/>
    </row>
    <row r="243" spans="2:40"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1133"/>
      <c r="AJ243" s="1133"/>
      <c r="AK243" s="1133"/>
      <c r="AL243" s="1133"/>
      <c r="AM243" s="1133"/>
      <c r="AN243" s="1133"/>
    </row>
    <row r="244" spans="2:40"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1133"/>
      <c r="AJ244" s="1133"/>
      <c r="AK244" s="1133"/>
      <c r="AL244" s="1133"/>
      <c r="AM244" s="1133"/>
      <c r="AN244" s="1133"/>
    </row>
    <row r="245" spans="2:40"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1133"/>
      <c r="AJ245" s="1133"/>
      <c r="AK245" s="1133"/>
      <c r="AL245" s="1133"/>
      <c r="AM245" s="1133"/>
      <c r="AN245" s="1133"/>
    </row>
    <row r="246" spans="2:40"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1133"/>
      <c r="AJ246" s="1133"/>
      <c r="AK246" s="1133"/>
      <c r="AL246" s="1133"/>
      <c r="AM246" s="1133"/>
      <c r="AN246" s="1133"/>
    </row>
    <row r="247" spans="2:40"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1133"/>
      <c r="AJ247" s="1133"/>
      <c r="AK247" s="1133"/>
      <c r="AL247" s="1133"/>
      <c r="AM247" s="1133"/>
      <c r="AN247" s="1133"/>
    </row>
    <row r="248" spans="2:40"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1133"/>
      <c r="AJ248" s="1133"/>
      <c r="AK248" s="1133"/>
      <c r="AL248" s="1133"/>
      <c r="AM248" s="1133"/>
      <c r="AN248" s="1133"/>
    </row>
    <row r="249" spans="2:40"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1133"/>
      <c r="AJ249" s="1133"/>
      <c r="AK249" s="1133"/>
      <c r="AL249" s="1133"/>
      <c r="AM249" s="1133"/>
      <c r="AN249" s="1133"/>
    </row>
    <row r="250" spans="2:40"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1133"/>
      <c r="AJ250" s="1133"/>
      <c r="AK250" s="1133"/>
      <c r="AL250" s="1133"/>
      <c r="AM250" s="1133"/>
      <c r="AN250" s="1133"/>
    </row>
    <row r="251" spans="2:40"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1133"/>
      <c r="AJ251" s="1133"/>
      <c r="AK251" s="1133"/>
      <c r="AL251" s="1133"/>
      <c r="AM251" s="1133"/>
      <c r="AN251" s="1133"/>
    </row>
    <row r="252" spans="2:40"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1133"/>
      <c r="AJ252" s="1133"/>
      <c r="AK252" s="1133"/>
      <c r="AL252" s="1133"/>
      <c r="AM252" s="1133"/>
      <c r="AN252" s="1133"/>
    </row>
    <row r="253" spans="2:40"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1133"/>
      <c r="AJ253" s="1133"/>
      <c r="AK253" s="1133"/>
      <c r="AL253" s="1133"/>
      <c r="AM253" s="1133"/>
      <c r="AN253" s="1133"/>
    </row>
    <row r="254" spans="2:40"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1133"/>
      <c r="AJ254" s="1133"/>
      <c r="AK254" s="1133"/>
      <c r="AL254" s="1133"/>
      <c r="AM254" s="1133"/>
      <c r="AN254" s="1133"/>
    </row>
    <row r="255" spans="2:40"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1133"/>
      <c r="AJ255" s="1133"/>
      <c r="AK255" s="1133"/>
      <c r="AL255" s="1133"/>
      <c r="AM255" s="1133"/>
      <c r="AN255" s="1133"/>
    </row>
    <row r="256" spans="2:40"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1133"/>
      <c r="AJ256" s="1133"/>
      <c r="AK256" s="1133"/>
      <c r="AL256" s="1133"/>
      <c r="AM256" s="1133"/>
      <c r="AN256" s="1133"/>
    </row>
    <row r="257" spans="2:40"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1133"/>
      <c r="AJ257" s="1133"/>
      <c r="AK257" s="1133"/>
      <c r="AL257" s="1133"/>
      <c r="AM257" s="1133"/>
      <c r="AN257" s="1133"/>
    </row>
    <row r="258" spans="2:40"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1133"/>
      <c r="AJ258" s="1133"/>
      <c r="AK258" s="1133"/>
      <c r="AL258" s="1133"/>
      <c r="AM258" s="1133"/>
      <c r="AN258" s="1133"/>
    </row>
    <row r="259" spans="2:40"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1133"/>
      <c r="AJ259" s="1133"/>
      <c r="AK259" s="1133"/>
      <c r="AL259" s="1133"/>
      <c r="AM259" s="1133"/>
      <c r="AN259" s="1133"/>
    </row>
    <row r="260" spans="2:40"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1133"/>
      <c r="AJ260" s="1133"/>
      <c r="AK260" s="1133"/>
      <c r="AL260" s="1133"/>
      <c r="AM260" s="1133"/>
      <c r="AN260" s="1133"/>
    </row>
    <row r="261" spans="2:40"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1133"/>
      <c r="AJ261" s="1133"/>
      <c r="AK261" s="1133"/>
      <c r="AL261" s="1133"/>
      <c r="AM261" s="1133"/>
      <c r="AN261" s="1133"/>
    </row>
    <row r="262" spans="2:40"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1133"/>
      <c r="AJ262" s="1133"/>
      <c r="AK262" s="1133"/>
      <c r="AL262" s="1133"/>
      <c r="AM262" s="1133"/>
      <c r="AN262" s="1133"/>
    </row>
    <row r="263" spans="2:40"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1133"/>
      <c r="AJ263" s="1133"/>
      <c r="AK263" s="1133"/>
      <c r="AL263" s="1133"/>
      <c r="AM263" s="1133"/>
      <c r="AN263" s="1133"/>
    </row>
    <row r="264" spans="2:40"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1133"/>
      <c r="AJ264" s="1133"/>
      <c r="AK264" s="1133"/>
      <c r="AL264" s="1133"/>
      <c r="AM264" s="1133"/>
      <c r="AN264" s="1133"/>
    </row>
    <row r="265" spans="2:40"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1133"/>
      <c r="AJ265" s="1133"/>
      <c r="AK265" s="1133"/>
      <c r="AL265" s="1133"/>
      <c r="AM265" s="1133"/>
      <c r="AN265" s="1133"/>
    </row>
    <row r="266" spans="2:40"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1133"/>
      <c r="AJ266" s="1133"/>
      <c r="AK266" s="1133"/>
      <c r="AL266" s="1133"/>
      <c r="AM266" s="1133"/>
      <c r="AN266" s="1133"/>
    </row>
    <row r="267" spans="2:40"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1133"/>
      <c r="AJ267" s="1133"/>
      <c r="AK267" s="1133"/>
      <c r="AL267" s="1133"/>
      <c r="AM267" s="1133"/>
      <c r="AN267" s="1133"/>
    </row>
    <row r="268" spans="2:40"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1133"/>
      <c r="AJ268" s="1133"/>
      <c r="AK268" s="1133"/>
      <c r="AL268" s="1133"/>
      <c r="AM268" s="1133"/>
      <c r="AN268" s="1133"/>
    </row>
    <row r="269" spans="2:40"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</row>
    <row r="270" spans="2:40"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</row>
  </sheetData>
  <phoneticPr fontId="18" type="noConversion"/>
  <pageMargins left="0.75" right="0.25" top="0.5" bottom="0.5" header="0.5" footer="0.5"/>
  <pageSetup scale="83" orientation="portrait" r:id="rId1"/>
  <headerFooter alignWithMargins="0"/>
  <rowBreaks count="1" manualBreakCount="1">
    <brk id="121" max="19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>
    <tabColor theme="8" tint="0.59999389629810485"/>
    <pageSetUpPr fitToPage="1"/>
  </sheetPr>
  <dimension ref="A1:AN270"/>
  <sheetViews>
    <sheetView showGridLines="0" workbookViewId="0">
      <pane xSplit="1" ySplit="4" topLeftCell="R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11.42578125" defaultRowHeight="11.25" outlineLevelRow="2" outlineLevelCol="1"/>
  <cols>
    <col min="1" max="1" width="33.42578125" style="9" customWidth="1"/>
    <col min="2" max="10" width="8.5703125" style="9" hidden="1" customWidth="1" outlineLevel="1"/>
    <col min="11" max="11" width="8.5703125" style="9" hidden="1" customWidth="1" outlineLevel="1" collapsed="1"/>
    <col min="12" max="14" width="8.5703125" style="9" hidden="1" customWidth="1" outlineLevel="1"/>
    <col min="15" max="15" width="8.5703125" style="9" hidden="1" customWidth="1" outlineLevel="1" collapsed="1"/>
    <col min="16" max="17" width="8.5703125" style="9" hidden="1" customWidth="1" outlineLevel="1"/>
    <col min="18" max="18" width="8.5703125" style="9" customWidth="1" collapsed="1"/>
    <col min="19" max="34" width="8.5703125" style="9" customWidth="1"/>
    <col min="35" max="39" width="8" style="9" customWidth="1"/>
    <col min="40" max="40" width="9.28515625" style="9" customWidth="1"/>
    <col min="41" max="16384" width="11.42578125" style="9"/>
  </cols>
  <sheetData>
    <row r="1" spans="1:40" ht="18">
      <c r="A1" s="24" t="s">
        <v>645</v>
      </c>
      <c r="B1" s="24"/>
      <c r="C1" s="24"/>
      <c r="D1" s="24"/>
      <c r="E1" s="24"/>
      <c r="F1" s="24"/>
      <c r="G1" s="24"/>
      <c r="H1" s="24"/>
      <c r="I1" s="24"/>
      <c r="J1" s="1647"/>
      <c r="K1" s="1647"/>
      <c r="L1" s="1647"/>
      <c r="M1" s="1647"/>
      <c r="N1" s="1647"/>
      <c r="O1" s="1647"/>
      <c r="P1" s="1647"/>
      <c r="Q1" s="1647"/>
      <c r="R1" s="1647"/>
      <c r="S1" s="1647"/>
      <c r="T1" s="1647"/>
      <c r="U1" s="1647"/>
      <c r="V1" s="1647"/>
      <c r="W1" s="1647"/>
      <c r="X1" s="1647"/>
      <c r="Y1" s="1647"/>
      <c r="Z1" s="1647"/>
      <c r="AA1" s="1647"/>
      <c r="AB1" s="1647"/>
      <c r="AC1" s="1647"/>
      <c r="AD1" s="1647"/>
      <c r="AE1" s="1647"/>
      <c r="AF1" s="1647"/>
      <c r="AG1" s="1647"/>
      <c r="AH1" s="1647"/>
    </row>
    <row r="2" spans="1:40" ht="12.75">
      <c r="A2" s="551" t="s">
        <v>537</v>
      </c>
      <c r="B2" s="551"/>
      <c r="C2" s="551"/>
      <c r="D2" s="551"/>
      <c r="E2" s="551"/>
      <c r="F2" s="551"/>
      <c r="G2" s="551"/>
      <c r="H2" s="551"/>
      <c r="I2" s="551"/>
      <c r="J2" s="130"/>
      <c r="K2" s="130"/>
      <c r="L2" s="129"/>
      <c r="M2" s="129"/>
      <c r="N2" s="129"/>
      <c r="O2" s="1138"/>
      <c r="P2" s="1138"/>
      <c r="Q2" s="1138"/>
      <c r="R2" s="409"/>
      <c r="S2" s="409"/>
      <c r="T2" s="409"/>
      <c r="U2" s="409"/>
      <c r="V2" s="409"/>
      <c r="W2" s="409"/>
      <c r="X2" s="409"/>
      <c r="Y2" s="409"/>
      <c r="Z2" s="409"/>
      <c r="AA2" s="131"/>
      <c r="AB2" s="131"/>
      <c r="AC2" s="409"/>
      <c r="AD2" s="409"/>
      <c r="AE2" s="131" t="s">
        <v>317</v>
      </c>
      <c r="AF2" s="131"/>
      <c r="AG2" s="131"/>
      <c r="AH2" s="131"/>
    </row>
    <row r="3" spans="1:40">
      <c r="J3" s="504"/>
      <c r="K3" s="504"/>
      <c r="L3" s="504"/>
      <c r="M3" s="504"/>
      <c r="N3" s="504"/>
      <c r="O3" s="1674" t="s">
        <v>916</v>
      </c>
      <c r="P3" s="504"/>
      <c r="Q3" s="504"/>
      <c r="R3" s="1139"/>
      <c r="S3" s="504"/>
      <c r="T3" s="1139"/>
      <c r="U3" s="1139"/>
      <c r="V3" s="1139"/>
      <c r="W3" s="1139"/>
      <c r="X3" s="1139"/>
      <c r="Y3" s="1139"/>
      <c r="Z3" s="1139"/>
      <c r="AA3" s="1139"/>
      <c r="AB3" s="1139"/>
      <c r="AC3" s="1139"/>
      <c r="AD3" s="1139"/>
      <c r="AE3" s="1139"/>
      <c r="AF3" s="1139"/>
      <c r="AG3" s="1139"/>
      <c r="AH3" s="1139"/>
      <c r="AI3" s="507"/>
      <c r="AJ3" s="62"/>
      <c r="AL3" s="62" t="s">
        <v>232</v>
      </c>
      <c r="AM3" s="40"/>
    </row>
    <row r="4" spans="1:40">
      <c r="A4" s="1126" t="s">
        <v>599</v>
      </c>
      <c r="B4" s="1124">
        <v>2001</v>
      </c>
      <c r="C4" s="1124">
        <v>2002</v>
      </c>
      <c r="D4" s="1124">
        <v>2003</v>
      </c>
      <c r="E4" s="1124">
        <v>2004</v>
      </c>
      <c r="F4" s="1124">
        <v>2005</v>
      </c>
      <c r="G4" s="1124">
        <v>2006</v>
      </c>
      <c r="H4" s="1124">
        <v>2007</v>
      </c>
      <c r="I4" s="1124">
        <v>2008</v>
      </c>
      <c r="J4" s="1124">
        <v>2009</v>
      </c>
      <c r="K4" s="1124">
        <v>2010</v>
      </c>
      <c r="L4" s="1124">
        <v>2011</v>
      </c>
      <c r="M4" s="1124">
        <v>2012</v>
      </c>
      <c r="N4" s="1124">
        <v>2013</v>
      </c>
      <c r="O4" s="1124">
        <v>2014</v>
      </c>
      <c r="P4" s="1124">
        <v>2015</v>
      </c>
      <c r="Q4" s="1124">
        <v>2016</v>
      </c>
      <c r="R4" s="1124">
        <v>2017</v>
      </c>
      <c r="S4" s="1124">
        <v>2018</v>
      </c>
      <c r="T4" s="1124">
        <v>2019</v>
      </c>
      <c r="U4" s="1124">
        <v>2020</v>
      </c>
      <c r="V4" s="1124">
        <v>2021</v>
      </c>
      <c r="W4" s="1124">
        <v>2022</v>
      </c>
      <c r="X4" s="1124">
        <v>2023</v>
      </c>
      <c r="Y4" s="1445">
        <v>2024</v>
      </c>
      <c r="Z4" s="1445">
        <v>2025</v>
      </c>
      <c r="AA4" s="1445">
        <v>2026</v>
      </c>
      <c r="AB4" s="1445">
        <v>2027</v>
      </c>
      <c r="AC4" s="1445">
        <v>2028</v>
      </c>
      <c r="AD4" s="1445">
        <v>2029</v>
      </c>
      <c r="AE4" s="1445">
        <v>2030</v>
      </c>
      <c r="AF4" s="1445">
        <v>2031</v>
      </c>
      <c r="AG4" s="1445">
        <v>2032</v>
      </c>
      <c r="AH4" s="1445">
        <v>2033</v>
      </c>
      <c r="AI4" s="125"/>
      <c r="AJ4" s="1949" t="s">
        <v>1481</v>
      </c>
      <c r="AK4" s="1949" t="s">
        <v>1493</v>
      </c>
      <c r="AL4" s="1949" t="s">
        <v>1494</v>
      </c>
      <c r="AM4" s="1949" t="s">
        <v>1491</v>
      </c>
      <c r="AN4" s="1949" t="s">
        <v>1492</v>
      </c>
    </row>
    <row r="5" spans="1:40">
      <c r="A5" s="89" t="s">
        <v>891</v>
      </c>
      <c r="B5" s="1544">
        <v>437</v>
      </c>
      <c r="C5" s="1544">
        <v>518</v>
      </c>
      <c r="D5" s="1544">
        <v>560</v>
      </c>
      <c r="E5" s="1544">
        <v>626</v>
      </c>
      <c r="F5" s="1544">
        <v>728</v>
      </c>
      <c r="G5" s="1544">
        <v>865</v>
      </c>
      <c r="H5" s="1544">
        <v>989</v>
      </c>
      <c r="I5" s="1544">
        <v>1135</v>
      </c>
      <c r="J5" s="985">
        <v>1171</v>
      </c>
      <c r="K5" s="985">
        <v>1206</v>
      </c>
      <c r="L5" s="985">
        <v>1283</v>
      </c>
      <c r="M5" s="985">
        <v>1435</v>
      </c>
      <c r="N5" s="985">
        <v>1862</v>
      </c>
      <c r="O5" s="985">
        <v>2784</v>
      </c>
      <c r="P5" s="985">
        <v>2954</v>
      </c>
      <c r="Q5" s="985">
        <v>3195</v>
      </c>
      <c r="R5" s="985">
        <v>3438</v>
      </c>
      <c r="S5" s="985">
        <v>3688</v>
      </c>
      <c r="T5" s="985">
        <v>4310</v>
      </c>
      <c r="U5" s="985">
        <v>4193</v>
      </c>
      <c r="V5" s="985">
        <v>4262</v>
      </c>
      <c r="W5" s="985">
        <v>4447</v>
      </c>
      <c r="X5" s="985">
        <v>4622</v>
      </c>
      <c r="Y5" s="1566">
        <v>4809</v>
      </c>
      <c r="Z5" s="1566">
        <v>4990</v>
      </c>
      <c r="AA5" s="1566">
        <v>5136</v>
      </c>
      <c r="AB5" s="1566">
        <v>5262</v>
      </c>
      <c r="AC5" s="1566">
        <v>5385</v>
      </c>
      <c r="AD5" s="1566">
        <v>5508</v>
      </c>
      <c r="AE5" s="1566">
        <v>5614</v>
      </c>
      <c r="AF5" s="1566">
        <v>5721</v>
      </c>
      <c r="AG5" s="1566">
        <v>5828</v>
      </c>
      <c r="AH5" s="1566">
        <v>5920</v>
      </c>
      <c r="AI5" s="1127"/>
      <c r="AJ5" s="1127">
        <v>7.2563156017504404E-2</v>
      </c>
      <c r="AK5" s="1127">
        <f t="shared" ref="AK5:AK24" si="0">IFERROR((X5/U5)^(1/3)-1,"NM")</f>
        <v>3.3003261961264796E-2</v>
      </c>
      <c r="AL5" s="1127">
        <f t="shared" ref="AL5:AL24" si="1">IFERROR((AA5/Y5)^(1/2)-1,"NM")</f>
        <v>3.3439647332502487E-2</v>
      </c>
      <c r="AM5" s="1127">
        <f t="shared" ref="AM5:AM24" si="2">IFERROR((AD5/AA5)^(1/3)-1,"NM")</f>
        <v>2.3582782704291816E-2</v>
      </c>
      <c r="AN5" s="1127">
        <f t="shared" ref="AN5:AN24" si="3">IFERROR((AH5/X5)^(1/10)-1,"NM")</f>
        <v>2.5059739882687504E-2</v>
      </c>
    </row>
    <row r="6" spans="1:40" hidden="1" outlineLevel="1">
      <c r="A6" s="42" t="s">
        <v>731</v>
      </c>
      <c r="B6" s="1545">
        <v>425</v>
      </c>
      <c r="C6" s="1545">
        <v>495</v>
      </c>
      <c r="D6" s="1545">
        <v>531</v>
      </c>
      <c r="E6" s="1545">
        <v>597</v>
      </c>
      <c r="F6" s="1545">
        <v>701</v>
      </c>
      <c r="G6" s="1545">
        <v>790</v>
      </c>
      <c r="H6" s="1545">
        <v>899</v>
      </c>
      <c r="I6" s="1545">
        <v>990</v>
      </c>
      <c r="J6" s="438">
        <v>1001</v>
      </c>
      <c r="K6" s="438">
        <v>1037</v>
      </c>
      <c r="L6" s="438">
        <v>1075</v>
      </c>
      <c r="M6" s="438">
        <v>1186</v>
      </c>
      <c r="N6" s="438">
        <v>1575</v>
      </c>
      <c r="O6" s="438">
        <v>1999</v>
      </c>
      <c r="P6" s="438">
        <v>2092</v>
      </c>
      <c r="Q6" s="438">
        <v>2215</v>
      </c>
      <c r="R6" s="438">
        <v>2346</v>
      </c>
      <c r="S6" s="438">
        <v>2467</v>
      </c>
      <c r="T6" s="438">
        <v>2272</v>
      </c>
      <c r="U6" s="438">
        <v>2184</v>
      </c>
      <c r="V6" s="438">
        <v>2174</v>
      </c>
      <c r="W6" s="438">
        <v>2248</v>
      </c>
      <c r="X6" s="438">
        <v>2313</v>
      </c>
      <c r="Y6" s="447">
        <v>2395</v>
      </c>
      <c r="Z6" s="447">
        <v>2502</v>
      </c>
      <c r="AA6" s="447">
        <v>2588</v>
      </c>
      <c r="AB6" s="447">
        <v>2662</v>
      </c>
      <c r="AC6" s="447">
        <v>2736</v>
      </c>
      <c r="AD6" s="447">
        <v>2810</v>
      </c>
      <c r="AE6" s="447">
        <v>2873</v>
      </c>
      <c r="AF6" s="447">
        <v>2936</v>
      </c>
      <c r="AG6" s="447">
        <v>2999</v>
      </c>
      <c r="AH6" s="447">
        <v>3054</v>
      </c>
      <c r="AI6" s="1128"/>
      <c r="AJ6" s="1128">
        <v>8.6446534003510322E-3</v>
      </c>
      <c r="AK6" s="1128">
        <f t="shared" si="0"/>
        <v>1.9313242080715387E-2</v>
      </c>
      <c r="AL6" s="1128">
        <f t="shared" si="1"/>
        <v>3.9511688798267164E-2</v>
      </c>
      <c r="AM6" s="1128">
        <f t="shared" si="2"/>
        <v>2.7812785904341553E-2</v>
      </c>
      <c r="AN6" s="1128">
        <f t="shared" si="3"/>
        <v>2.8180445585768599E-2</v>
      </c>
    </row>
    <row r="7" spans="1:40" hidden="1" outlineLevel="1">
      <c r="A7" s="42" t="s">
        <v>949</v>
      </c>
      <c r="B7" s="1545">
        <v>0</v>
      </c>
      <c r="C7" s="1545">
        <v>0</v>
      </c>
      <c r="D7" s="1545">
        <v>0</v>
      </c>
      <c r="E7" s="1545">
        <v>0</v>
      </c>
      <c r="F7" s="1545">
        <v>0</v>
      </c>
      <c r="G7" s="1545">
        <v>0</v>
      </c>
      <c r="H7" s="1545">
        <v>0</v>
      </c>
      <c r="I7" s="1545">
        <v>0</v>
      </c>
      <c r="J7" s="438">
        <v>0</v>
      </c>
      <c r="K7" s="438">
        <v>0</v>
      </c>
      <c r="L7" s="438">
        <v>0</v>
      </c>
      <c r="M7" s="438">
        <v>0</v>
      </c>
      <c r="N7" s="438">
        <v>0</v>
      </c>
      <c r="O7" s="438">
        <v>442</v>
      </c>
      <c r="P7" s="438">
        <v>467</v>
      </c>
      <c r="Q7" s="438">
        <v>499</v>
      </c>
      <c r="R7" s="438">
        <v>549</v>
      </c>
      <c r="S7" s="438">
        <v>593</v>
      </c>
      <c r="T7" s="438">
        <v>1398</v>
      </c>
      <c r="U7" s="438">
        <v>1376</v>
      </c>
      <c r="V7" s="438">
        <v>1424</v>
      </c>
      <c r="W7" s="438">
        <v>1476</v>
      </c>
      <c r="X7" s="438">
        <v>1534</v>
      </c>
      <c r="Y7" s="447">
        <v>1610</v>
      </c>
      <c r="Z7" s="447">
        <v>1655</v>
      </c>
      <c r="AA7" s="447">
        <v>1692</v>
      </c>
      <c r="AB7" s="447">
        <v>1724</v>
      </c>
      <c r="AC7" s="447">
        <v>1756</v>
      </c>
      <c r="AD7" s="447">
        <v>1788</v>
      </c>
      <c r="AE7" s="447">
        <v>1816</v>
      </c>
      <c r="AF7" s="447">
        <v>1844</v>
      </c>
      <c r="AG7" s="447">
        <v>1872</v>
      </c>
      <c r="AH7" s="447">
        <v>1896</v>
      </c>
      <c r="AI7" s="1128"/>
      <c r="AJ7" s="1128">
        <v>0.24125299860002158</v>
      </c>
      <c r="AK7" s="1128">
        <f t="shared" si="0"/>
        <v>3.6897057174009262E-2</v>
      </c>
      <c r="AL7" s="1128">
        <f t="shared" si="1"/>
        <v>2.5149587630328929E-2</v>
      </c>
      <c r="AM7" s="1128">
        <f t="shared" si="2"/>
        <v>1.8565710821354164E-2</v>
      </c>
      <c r="AN7" s="1128">
        <f t="shared" si="3"/>
        <v>2.1412803183560758E-2</v>
      </c>
    </row>
    <row r="8" spans="1:40" hidden="1" outlineLevel="1">
      <c r="A8" s="42" t="s">
        <v>733</v>
      </c>
      <c r="B8" s="1545">
        <v>12</v>
      </c>
      <c r="C8" s="1545">
        <v>23</v>
      </c>
      <c r="D8" s="1545">
        <v>29</v>
      </c>
      <c r="E8" s="1545">
        <v>29</v>
      </c>
      <c r="F8" s="1545">
        <v>27</v>
      </c>
      <c r="G8" s="1545">
        <v>75</v>
      </c>
      <c r="H8" s="1545">
        <v>90</v>
      </c>
      <c r="I8" s="1545">
        <v>145</v>
      </c>
      <c r="J8" s="438">
        <v>170</v>
      </c>
      <c r="K8" s="438">
        <v>169</v>
      </c>
      <c r="L8" s="438">
        <v>208</v>
      </c>
      <c r="M8" s="438">
        <v>249</v>
      </c>
      <c r="N8" s="438">
        <v>287</v>
      </c>
      <c r="O8" s="438">
        <v>343</v>
      </c>
      <c r="P8" s="438">
        <v>395</v>
      </c>
      <c r="Q8" s="438">
        <v>481</v>
      </c>
      <c r="R8" s="438">
        <v>543</v>
      </c>
      <c r="S8" s="438">
        <v>628</v>
      </c>
      <c r="T8" s="438">
        <v>640</v>
      </c>
      <c r="U8" s="438">
        <v>633</v>
      </c>
      <c r="V8" s="438">
        <v>664</v>
      </c>
      <c r="W8" s="438">
        <v>723</v>
      </c>
      <c r="X8" s="438">
        <v>775</v>
      </c>
      <c r="Y8" s="447">
        <v>804</v>
      </c>
      <c r="Z8" s="447">
        <v>833</v>
      </c>
      <c r="AA8" s="447">
        <v>856</v>
      </c>
      <c r="AB8" s="447">
        <v>876</v>
      </c>
      <c r="AC8" s="447">
        <v>893</v>
      </c>
      <c r="AD8" s="447">
        <v>910</v>
      </c>
      <c r="AE8" s="447">
        <v>925</v>
      </c>
      <c r="AF8" s="447">
        <v>941</v>
      </c>
      <c r="AG8" s="447">
        <v>957</v>
      </c>
      <c r="AH8" s="447">
        <v>970</v>
      </c>
      <c r="AI8" s="1128"/>
      <c r="AJ8" s="1128">
        <v>9.8907969227377102E-2</v>
      </c>
      <c r="AK8" s="1128">
        <f t="shared" si="0"/>
        <v>6.979196293093981E-2</v>
      </c>
      <c r="AL8" s="1128">
        <f t="shared" si="1"/>
        <v>3.1831680515491234E-2</v>
      </c>
      <c r="AM8" s="1128">
        <f t="shared" si="2"/>
        <v>2.0600732935971866E-2</v>
      </c>
      <c r="AN8" s="1128">
        <f t="shared" si="3"/>
        <v>2.2697049908062983E-2</v>
      </c>
    </row>
    <row r="9" spans="1:40" collapsed="1">
      <c r="A9" s="937" t="s">
        <v>996</v>
      </c>
      <c r="B9" s="1544">
        <v>283</v>
      </c>
      <c r="C9" s="1544">
        <v>342</v>
      </c>
      <c r="D9" s="1544">
        <v>363</v>
      </c>
      <c r="E9" s="1544">
        <v>425</v>
      </c>
      <c r="F9" s="1544">
        <v>559</v>
      </c>
      <c r="G9" s="1544">
        <v>689</v>
      </c>
      <c r="H9" s="1544">
        <v>806</v>
      </c>
      <c r="I9" s="1544">
        <v>929</v>
      </c>
      <c r="J9" s="985">
        <v>952</v>
      </c>
      <c r="K9" s="985">
        <v>1011</v>
      </c>
      <c r="L9" s="985">
        <v>1077</v>
      </c>
      <c r="M9" s="985">
        <v>1161</v>
      </c>
      <c r="N9" s="985">
        <v>1411</v>
      </c>
      <c r="O9" s="985">
        <v>2161</v>
      </c>
      <c r="P9" s="985">
        <v>2283</v>
      </c>
      <c r="Q9" s="985">
        <v>2502</v>
      </c>
      <c r="R9" s="985">
        <v>2716</v>
      </c>
      <c r="S9" s="985">
        <v>2947</v>
      </c>
      <c r="T9" s="985">
        <v>3419</v>
      </c>
      <c r="U9" s="985">
        <v>3284</v>
      </c>
      <c r="V9" s="985">
        <v>3289</v>
      </c>
      <c r="W9" s="985">
        <v>3436</v>
      </c>
      <c r="X9" s="985">
        <v>3552</v>
      </c>
      <c r="Y9" s="1566">
        <v>3669</v>
      </c>
      <c r="Z9" s="1566">
        <v>3780</v>
      </c>
      <c r="AA9" s="1566">
        <v>3868</v>
      </c>
      <c r="AB9" s="1566">
        <v>3944</v>
      </c>
      <c r="AC9" s="1566">
        <v>4020</v>
      </c>
      <c r="AD9" s="1566">
        <v>4096</v>
      </c>
      <c r="AE9" s="1566">
        <v>4162</v>
      </c>
      <c r="AF9" s="1566">
        <v>4228</v>
      </c>
      <c r="AG9" s="1566">
        <v>4294</v>
      </c>
      <c r="AH9" s="1566">
        <v>4350</v>
      </c>
      <c r="AI9" s="1127"/>
      <c r="AJ9" s="1127">
        <v>7.5423314295679056E-2</v>
      </c>
      <c r="AK9" s="1127">
        <f t="shared" si="0"/>
        <v>2.6494443607898877E-2</v>
      </c>
      <c r="AL9" s="1127">
        <f t="shared" si="1"/>
        <v>2.6761029668967984E-2</v>
      </c>
      <c r="AM9" s="1127">
        <f t="shared" si="2"/>
        <v>1.9274503742167104E-2</v>
      </c>
      <c r="AN9" s="1127">
        <f t="shared" si="3"/>
        <v>2.0473261953542155E-2</v>
      </c>
    </row>
    <row r="10" spans="1:40" hidden="1" outlineLevel="1">
      <c r="A10" s="86" t="s">
        <v>731</v>
      </c>
      <c r="B10" s="1545">
        <v>283</v>
      </c>
      <c r="C10" s="1545">
        <v>342</v>
      </c>
      <c r="D10" s="1545">
        <v>363</v>
      </c>
      <c r="E10" s="1545">
        <v>425</v>
      </c>
      <c r="F10" s="1545">
        <v>559</v>
      </c>
      <c r="G10" s="1545">
        <v>639</v>
      </c>
      <c r="H10" s="1545">
        <v>745</v>
      </c>
      <c r="I10" s="1545">
        <v>831</v>
      </c>
      <c r="J10" s="438">
        <v>836</v>
      </c>
      <c r="K10" s="438">
        <v>873</v>
      </c>
      <c r="L10" s="438">
        <v>905</v>
      </c>
      <c r="M10" s="438">
        <v>953</v>
      </c>
      <c r="N10" s="438">
        <v>1128</v>
      </c>
      <c r="O10" s="438">
        <v>1532</v>
      </c>
      <c r="P10" s="438">
        <v>1594</v>
      </c>
      <c r="Q10" s="438">
        <v>1698</v>
      </c>
      <c r="R10" s="438">
        <v>1813</v>
      </c>
      <c r="S10" s="438">
        <v>1917</v>
      </c>
      <c r="T10" s="438">
        <v>1916</v>
      </c>
      <c r="U10" s="438">
        <v>1821</v>
      </c>
      <c r="V10" s="438">
        <v>1789</v>
      </c>
      <c r="W10" s="438">
        <v>1833</v>
      </c>
      <c r="X10" s="438">
        <v>1851</v>
      </c>
      <c r="Y10" s="447">
        <v>1903</v>
      </c>
      <c r="Z10" s="447">
        <v>1968</v>
      </c>
      <c r="AA10" s="447">
        <v>2020</v>
      </c>
      <c r="AB10" s="447">
        <v>2065</v>
      </c>
      <c r="AC10" s="447">
        <v>2110</v>
      </c>
      <c r="AD10" s="447">
        <v>2155</v>
      </c>
      <c r="AE10" s="447">
        <v>2193</v>
      </c>
      <c r="AF10" s="447">
        <v>2231</v>
      </c>
      <c r="AG10" s="447">
        <v>2269</v>
      </c>
      <c r="AH10" s="447">
        <v>2302</v>
      </c>
      <c r="AI10" s="1128"/>
      <c r="AJ10" s="1128">
        <v>2.698553288545158E-2</v>
      </c>
      <c r="AK10" s="1128">
        <f t="shared" si="0"/>
        <v>5.4616047617601637E-3</v>
      </c>
      <c r="AL10" s="1127">
        <f t="shared" si="1"/>
        <v>3.0282422799897013E-2</v>
      </c>
      <c r="AM10" s="1128">
        <f t="shared" si="2"/>
        <v>2.1798596183635111E-2</v>
      </c>
      <c r="AN10" s="1128">
        <f t="shared" si="3"/>
        <v>2.2044699056354755E-2</v>
      </c>
    </row>
    <row r="11" spans="1:40" hidden="1" outlineLevel="1">
      <c r="A11" s="86" t="s">
        <v>949</v>
      </c>
      <c r="B11" s="1545">
        <v>0</v>
      </c>
      <c r="C11" s="1545">
        <v>0</v>
      </c>
      <c r="D11" s="1545">
        <v>0</v>
      </c>
      <c r="E11" s="1545">
        <v>0</v>
      </c>
      <c r="F11" s="1545">
        <v>0</v>
      </c>
      <c r="G11" s="1545">
        <v>0</v>
      </c>
      <c r="H11" s="1545">
        <v>0</v>
      </c>
      <c r="I11" s="1545">
        <v>0</v>
      </c>
      <c r="J11" s="438">
        <v>0</v>
      </c>
      <c r="K11" s="438">
        <v>0</v>
      </c>
      <c r="L11" s="438">
        <v>0</v>
      </c>
      <c r="M11" s="438">
        <v>0</v>
      </c>
      <c r="N11" s="438">
        <v>0</v>
      </c>
      <c r="O11" s="438">
        <v>302</v>
      </c>
      <c r="P11" s="438">
        <v>313</v>
      </c>
      <c r="Q11" s="438">
        <v>344</v>
      </c>
      <c r="R11" s="438">
        <v>381</v>
      </c>
      <c r="S11" s="438">
        <v>420</v>
      </c>
      <c r="T11" s="438">
        <v>888</v>
      </c>
      <c r="U11" s="438">
        <v>862</v>
      </c>
      <c r="V11" s="438">
        <v>878</v>
      </c>
      <c r="W11" s="438">
        <v>928</v>
      </c>
      <c r="X11" s="438">
        <v>976</v>
      </c>
      <c r="Y11" s="447">
        <v>1011</v>
      </c>
      <c r="Z11" s="447">
        <v>1038</v>
      </c>
      <c r="AA11" s="447">
        <v>1060</v>
      </c>
      <c r="AB11" s="447">
        <v>1079</v>
      </c>
      <c r="AC11" s="447">
        <v>1098</v>
      </c>
      <c r="AD11" s="447">
        <v>1117</v>
      </c>
      <c r="AE11" s="447">
        <v>1134</v>
      </c>
      <c r="AF11" s="447">
        <v>1151</v>
      </c>
      <c r="AG11" s="447">
        <v>1168</v>
      </c>
      <c r="AH11" s="447">
        <v>1182</v>
      </c>
      <c r="AI11" s="1128"/>
      <c r="AJ11" s="1128">
        <v>0.22459529260132638</v>
      </c>
      <c r="AK11" s="1128">
        <f t="shared" si="0"/>
        <v>4.2271471409511596E-2</v>
      </c>
      <c r="AL11" s="1127">
        <f t="shared" si="1"/>
        <v>2.3946709790408693E-2</v>
      </c>
      <c r="AM11" s="1128">
        <f t="shared" si="2"/>
        <v>1.7612506771589542E-2</v>
      </c>
      <c r="AN11" s="1128">
        <f t="shared" si="3"/>
        <v>1.9334599668773933E-2</v>
      </c>
    </row>
    <row r="12" spans="1:40" hidden="1" outlineLevel="1">
      <c r="A12" s="86" t="s">
        <v>733</v>
      </c>
      <c r="B12" s="1545">
        <v>0</v>
      </c>
      <c r="C12" s="1545">
        <v>0</v>
      </c>
      <c r="D12" s="1545">
        <v>0</v>
      </c>
      <c r="E12" s="1545">
        <v>0</v>
      </c>
      <c r="F12" s="1545">
        <v>0</v>
      </c>
      <c r="G12" s="1545">
        <v>50</v>
      </c>
      <c r="H12" s="1545">
        <v>61</v>
      </c>
      <c r="I12" s="1545">
        <v>98</v>
      </c>
      <c r="J12" s="438">
        <v>116</v>
      </c>
      <c r="K12" s="438">
        <v>138</v>
      </c>
      <c r="L12" s="438">
        <v>172</v>
      </c>
      <c r="M12" s="438">
        <v>208</v>
      </c>
      <c r="N12" s="438">
        <v>283</v>
      </c>
      <c r="O12" s="438">
        <v>327</v>
      </c>
      <c r="P12" s="438">
        <v>376</v>
      </c>
      <c r="Q12" s="438">
        <v>460</v>
      </c>
      <c r="R12" s="438">
        <v>522</v>
      </c>
      <c r="S12" s="438">
        <v>610</v>
      </c>
      <c r="T12" s="438">
        <v>615</v>
      </c>
      <c r="U12" s="438">
        <v>601</v>
      </c>
      <c r="V12" s="438">
        <v>622</v>
      </c>
      <c r="W12" s="438">
        <v>675</v>
      </c>
      <c r="X12" s="438">
        <v>725</v>
      </c>
      <c r="Y12" s="447">
        <v>755</v>
      </c>
      <c r="Z12" s="447">
        <v>774</v>
      </c>
      <c r="AA12" s="447">
        <v>788</v>
      </c>
      <c r="AB12" s="447">
        <v>800</v>
      </c>
      <c r="AC12" s="447">
        <v>812</v>
      </c>
      <c r="AD12" s="447">
        <v>824</v>
      </c>
      <c r="AE12" s="447">
        <v>835</v>
      </c>
      <c r="AF12" s="447">
        <v>846</v>
      </c>
      <c r="AG12" s="447">
        <v>857</v>
      </c>
      <c r="AH12" s="447">
        <v>866</v>
      </c>
      <c r="AI12" s="1128"/>
      <c r="AJ12" s="1128">
        <v>9.8341328067830691E-2</v>
      </c>
      <c r="AK12" s="1128">
        <f t="shared" si="0"/>
        <v>6.4521682050938889E-2</v>
      </c>
      <c r="AL12" s="1127">
        <f t="shared" si="1"/>
        <v>2.1620579898194547E-2</v>
      </c>
      <c r="AM12" s="1128">
        <f t="shared" si="2"/>
        <v>1.5002233872090098E-2</v>
      </c>
      <c r="AN12" s="1128">
        <f t="shared" si="3"/>
        <v>1.7930174967582202E-2</v>
      </c>
    </row>
    <row r="13" spans="1:40" collapsed="1">
      <c r="A13" s="937" t="s">
        <v>997</v>
      </c>
      <c r="B13" s="1544">
        <v>154</v>
      </c>
      <c r="C13" s="1544">
        <v>176</v>
      </c>
      <c r="D13" s="1544">
        <v>197</v>
      </c>
      <c r="E13" s="1544">
        <v>201</v>
      </c>
      <c r="F13" s="1544">
        <v>169</v>
      </c>
      <c r="G13" s="1544">
        <v>176</v>
      </c>
      <c r="H13" s="1544">
        <v>183</v>
      </c>
      <c r="I13" s="1544">
        <v>206</v>
      </c>
      <c r="J13" s="985">
        <v>219</v>
      </c>
      <c r="K13" s="985">
        <v>195</v>
      </c>
      <c r="L13" s="985">
        <v>206</v>
      </c>
      <c r="M13" s="985">
        <v>274</v>
      </c>
      <c r="N13" s="985">
        <v>451</v>
      </c>
      <c r="O13" s="985">
        <v>623</v>
      </c>
      <c r="P13" s="985">
        <v>671</v>
      </c>
      <c r="Q13" s="985">
        <v>693</v>
      </c>
      <c r="R13" s="985">
        <v>722</v>
      </c>
      <c r="S13" s="985">
        <v>741</v>
      </c>
      <c r="T13" s="985">
        <v>891</v>
      </c>
      <c r="U13" s="985">
        <v>909</v>
      </c>
      <c r="V13" s="985">
        <v>973</v>
      </c>
      <c r="W13" s="985">
        <v>1011</v>
      </c>
      <c r="X13" s="985">
        <v>1070</v>
      </c>
      <c r="Y13" s="1566">
        <v>1140</v>
      </c>
      <c r="Z13" s="1566">
        <v>1210</v>
      </c>
      <c r="AA13" s="1566">
        <v>1268</v>
      </c>
      <c r="AB13" s="1566">
        <v>1318</v>
      </c>
      <c r="AC13" s="1566">
        <v>1365</v>
      </c>
      <c r="AD13" s="1566">
        <v>1412</v>
      </c>
      <c r="AE13" s="1566">
        <v>1452</v>
      </c>
      <c r="AF13" s="1566">
        <v>1493</v>
      </c>
      <c r="AG13" s="1566">
        <v>1534</v>
      </c>
      <c r="AH13" s="1566">
        <v>1570</v>
      </c>
      <c r="AI13" s="1127"/>
      <c r="AJ13" s="1127">
        <v>6.2596234584169075E-2</v>
      </c>
      <c r="AK13" s="1127">
        <f t="shared" si="0"/>
        <v>5.5860714840627157E-2</v>
      </c>
      <c r="AL13" s="1127">
        <f t="shared" si="1"/>
        <v>5.4647193024466301E-2</v>
      </c>
      <c r="AM13" s="1127">
        <f t="shared" si="2"/>
        <v>3.6505985588819234E-2</v>
      </c>
      <c r="AN13" s="1127">
        <f t="shared" si="3"/>
        <v>3.9086224963078786E-2</v>
      </c>
    </row>
    <row r="14" spans="1:40" hidden="1" outlineLevel="1">
      <c r="A14" s="86" t="s">
        <v>731</v>
      </c>
      <c r="B14" s="1545">
        <v>142</v>
      </c>
      <c r="C14" s="1545">
        <v>153</v>
      </c>
      <c r="D14" s="1545">
        <v>168</v>
      </c>
      <c r="E14" s="1545">
        <v>172</v>
      </c>
      <c r="F14" s="1545">
        <v>142</v>
      </c>
      <c r="G14" s="1545">
        <v>151</v>
      </c>
      <c r="H14" s="1545">
        <v>154</v>
      </c>
      <c r="I14" s="1545">
        <v>159</v>
      </c>
      <c r="J14" s="438">
        <v>165</v>
      </c>
      <c r="K14" s="438">
        <v>164</v>
      </c>
      <c r="L14" s="438">
        <v>170</v>
      </c>
      <c r="M14" s="438">
        <v>233</v>
      </c>
      <c r="N14" s="438">
        <v>447</v>
      </c>
      <c r="O14" s="438">
        <v>467</v>
      </c>
      <c r="P14" s="438">
        <v>498</v>
      </c>
      <c r="Q14" s="438">
        <v>517</v>
      </c>
      <c r="R14" s="438">
        <v>533</v>
      </c>
      <c r="S14" s="438">
        <v>550</v>
      </c>
      <c r="T14" s="438">
        <v>356</v>
      </c>
      <c r="U14" s="438">
        <v>363</v>
      </c>
      <c r="V14" s="438">
        <v>385</v>
      </c>
      <c r="W14" s="438">
        <v>415</v>
      </c>
      <c r="X14" s="438">
        <v>462</v>
      </c>
      <c r="Y14" s="447">
        <v>492</v>
      </c>
      <c r="Z14" s="447">
        <v>534</v>
      </c>
      <c r="AA14" s="447">
        <v>568</v>
      </c>
      <c r="AB14" s="447">
        <v>597</v>
      </c>
      <c r="AC14" s="447">
        <v>626</v>
      </c>
      <c r="AD14" s="447">
        <v>655</v>
      </c>
      <c r="AE14" s="447">
        <v>680</v>
      </c>
      <c r="AF14" s="447">
        <v>705</v>
      </c>
      <c r="AG14" s="447">
        <v>730</v>
      </c>
      <c r="AH14" s="447">
        <v>752</v>
      </c>
      <c r="AI14" s="1128"/>
      <c r="AJ14" s="1128">
        <v>-6.1281328050714734E-2</v>
      </c>
      <c r="AK14" s="1128">
        <f t="shared" si="0"/>
        <v>8.3706762661827083E-2</v>
      </c>
      <c r="AL14" s="1127">
        <f t="shared" si="1"/>
        <v>7.4463375232235229E-2</v>
      </c>
      <c r="AM14" s="1128">
        <f t="shared" si="2"/>
        <v>4.8651030817234764E-2</v>
      </c>
      <c r="AN14" s="1128">
        <f t="shared" si="3"/>
        <v>4.9923330872504668E-2</v>
      </c>
    </row>
    <row r="15" spans="1:40" hidden="1" outlineLevel="1">
      <c r="A15" s="86" t="s">
        <v>949</v>
      </c>
      <c r="B15" s="1545">
        <v>0</v>
      </c>
      <c r="C15" s="1545">
        <v>0</v>
      </c>
      <c r="D15" s="1545">
        <v>0</v>
      </c>
      <c r="E15" s="1545">
        <v>0</v>
      </c>
      <c r="F15" s="1545">
        <v>0</v>
      </c>
      <c r="G15" s="1545">
        <v>0</v>
      </c>
      <c r="H15" s="1545">
        <v>0</v>
      </c>
      <c r="I15" s="1545">
        <v>0</v>
      </c>
      <c r="J15" s="438">
        <v>0</v>
      </c>
      <c r="K15" s="438">
        <v>0</v>
      </c>
      <c r="L15" s="438">
        <v>0</v>
      </c>
      <c r="M15" s="438">
        <v>0</v>
      </c>
      <c r="N15" s="438">
        <v>0</v>
      </c>
      <c r="O15" s="438">
        <v>140</v>
      </c>
      <c r="P15" s="438">
        <v>154</v>
      </c>
      <c r="Q15" s="438">
        <v>155</v>
      </c>
      <c r="R15" s="438">
        <v>168</v>
      </c>
      <c r="S15" s="438">
        <v>173</v>
      </c>
      <c r="T15" s="438">
        <v>510</v>
      </c>
      <c r="U15" s="438">
        <v>514</v>
      </c>
      <c r="V15" s="438">
        <v>546</v>
      </c>
      <c r="W15" s="438">
        <v>548</v>
      </c>
      <c r="X15" s="438">
        <v>558</v>
      </c>
      <c r="Y15" s="447">
        <v>599</v>
      </c>
      <c r="Z15" s="447">
        <v>617</v>
      </c>
      <c r="AA15" s="447">
        <v>632</v>
      </c>
      <c r="AB15" s="447">
        <v>645</v>
      </c>
      <c r="AC15" s="447">
        <v>658</v>
      </c>
      <c r="AD15" s="447">
        <v>671</v>
      </c>
      <c r="AE15" s="447">
        <v>682</v>
      </c>
      <c r="AF15" s="447">
        <v>693</v>
      </c>
      <c r="AG15" s="447">
        <v>704</v>
      </c>
      <c r="AH15" s="447">
        <v>714</v>
      </c>
      <c r="AI15" s="1128"/>
      <c r="AJ15" s="1128">
        <v>0.27258992205548904</v>
      </c>
      <c r="AK15" s="1128">
        <f t="shared" si="0"/>
        <v>2.7756802541692327E-2</v>
      </c>
      <c r="AL15" s="1127">
        <f t="shared" si="1"/>
        <v>2.7176625366591489E-2</v>
      </c>
      <c r="AM15" s="1128">
        <f t="shared" si="2"/>
        <v>2.0160445335987376E-2</v>
      </c>
      <c r="AN15" s="1128">
        <f t="shared" si="3"/>
        <v>2.4958782919320743E-2</v>
      </c>
    </row>
    <row r="16" spans="1:40" hidden="1" outlineLevel="1">
      <c r="A16" s="86" t="s">
        <v>733</v>
      </c>
      <c r="B16" s="1545">
        <v>12</v>
      </c>
      <c r="C16" s="1545">
        <v>23</v>
      </c>
      <c r="D16" s="1545">
        <v>29</v>
      </c>
      <c r="E16" s="1545">
        <v>29</v>
      </c>
      <c r="F16" s="1545">
        <v>27</v>
      </c>
      <c r="G16" s="1545">
        <v>25</v>
      </c>
      <c r="H16" s="1545">
        <v>29</v>
      </c>
      <c r="I16" s="1545">
        <v>47</v>
      </c>
      <c r="J16" s="438">
        <v>54</v>
      </c>
      <c r="K16" s="438">
        <v>31</v>
      </c>
      <c r="L16" s="438">
        <v>36</v>
      </c>
      <c r="M16" s="438">
        <v>41</v>
      </c>
      <c r="N16" s="438">
        <v>4</v>
      </c>
      <c r="O16" s="438">
        <v>16</v>
      </c>
      <c r="P16" s="438">
        <v>19</v>
      </c>
      <c r="Q16" s="438">
        <v>21</v>
      </c>
      <c r="R16" s="438">
        <v>21</v>
      </c>
      <c r="S16" s="438">
        <v>18</v>
      </c>
      <c r="T16" s="438">
        <v>25</v>
      </c>
      <c r="U16" s="438">
        <v>32</v>
      </c>
      <c r="V16" s="438">
        <v>42</v>
      </c>
      <c r="W16" s="438">
        <v>48</v>
      </c>
      <c r="X16" s="438">
        <v>50</v>
      </c>
      <c r="Y16" s="447">
        <v>49</v>
      </c>
      <c r="Z16" s="447">
        <v>59</v>
      </c>
      <c r="AA16" s="447">
        <v>68</v>
      </c>
      <c r="AB16" s="447">
        <v>76</v>
      </c>
      <c r="AC16" s="447">
        <v>81</v>
      </c>
      <c r="AD16" s="447">
        <v>86</v>
      </c>
      <c r="AE16" s="447">
        <v>90</v>
      </c>
      <c r="AF16" s="447">
        <v>95</v>
      </c>
      <c r="AG16" s="447">
        <v>100</v>
      </c>
      <c r="AH16" s="447">
        <v>104</v>
      </c>
      <c r="AI16" s="1128"/>
      <c r="AJ16" s="1128">
        <v>0.1098883056567086</v>
      </c>
      <c r="AK16" s="1128">
        <f t="shared" si="0"/>
        <v>0.16039720840319482</v>
      </c>
      <c r="AL16" s="1127">
        <f t="shared" si="1"/>
        <v>0.17803017874790306</v>
      </c>
      <c r="AM16" s="1128">
        <f t="shared" si="2"/>
        <v>8.1425267992054184E-2</v>
      </c>
      <c r="AN16" s="1128">
        <f t="shared" si="3"/>
        <v>7.5985288632311354E-2</v>
      </c>
    </row>
    <row r="17" spans="1:40" collapsed="1">
      <c r="A17" s="43" t="s">
        <v>1252</v>
      </c>
      <c r="B17" s="1569"/>
      <c r="C17" s="967">
        <v>59</v>
      </c>
      <c r="D17" s="967">
        <v>21</v>
      </c>
      <c r="E17" s="967">
        <v>62</v>
      </c>
      <c r="F17" s="967">
        <v>134</v>
      </c>
      <c r="G17" s="967">
        <v>130</v>
      </c>
      <c r="H17" s="967">
        <v>117</v>
      </c>
      <c r="I17" s="967">
        <v>123</v>
      </c>
      <c r="J17" s="967">
        <v>23</v>
      </c>
      <c r="K17" s="967">
        <v>59</v>
      </c>
      <c r="L17" s="967">
        <v>66</v>
      </c>
      <c r="M17" s="967">
        <v>84</v>
      </c>
      <c r="N17" s="972">
        <v>250</v>
      </c>
      <c r="O17" s="972">
        <v>750</v>
      </c>
      <c r="P17" s="972">
        <v>122</v>
      </c>
      <c r="Q17" s="972">
        <v>219</v>
      </c>
      <c r="R17" s="972">
        <v>214</v>
      </c>
      <c r="S17" s="972">
        <v>231</v>
      </c>
      <c r="T17" s="972">
        <v>472</v>
      </c>
      <c r="U17" s="972">
        <v>-135</v>
      </c>
      <c r="V17" s="972">
        <v>5</v>
      </c>
      <c r="W17" s="972">
        <v>147</v>
      </c>
      <c r="X17" s="972">
        <v>116</v>
      </c>
      <c r="Y17" s="1396">
        <v>117</v>
      </c>
      <c r="Z17" s="1396">
        <v>111</v>
      </c>
      <c r="AA17" s="1396">
        <v>88</v>
      </c>
      <c r="AB17" s="1396">
        <v>76</v>
      </c>
      <c r="AC17" s="1396">
        <v>76</v>
      </c>
      <c r="AD17" s="1396">
        <v>76</v>
      </c>
      <c r="AE17" s="1396">
        <v>66</v>
      </c>
      <c r="AF17" s="1396">
        <v>66</v>
      </c>
      <c r="AG17" s="1396">
        <v>66</v>
      </c>
      <c r="AH17" s="1396">
        <v>56</v>
      </c>
      <c r="AI17" s="1127"/>
      <c r="AJ17" s="1127">
        <v>-2.0204571842626802</v>
      </c>
      <c r="AK17" s="1127">
        <f t="shared" si="0"/>
        <v>-1.9506954314282725</v>
      </c>
      <c r="AL17" s="1127">
        <f t="shared" si="1"/>
        <v>-0.13274181921601214</v>
      </c>
      <c r="AM17" s="1127">
        <f t="shared" si="2"/>
        <v>-4.7693007186371261E-2</v>
      </c>
      <c r="AN17" s="1127">
        <f t="shared" si="3"/>
        <v>-7.0235406399456135E-2</v>
      </c>
    </row>
    <row r="18" spans="1:40" hidden="1" outlineLevel="1">
      <c r="A18" s="42" t="s">
        <v>731</v>
      </c>
      <c r="B18" s="1571"/>
      <c r="C18" s="967">
        <v>59</v>
      </c>
      <c r="D18" s="967">
        <v>21</v>
      </c>
      <c r="E18" s="967">
        <v>62</v>
      </c>
      <c r="F18" s="967">
        <v>134</v>
      </c>
      <c r="G18" s="967">
        <v>80</v>
      </c>
      <c r="H18" s="967">
        <v>106</v>
      </c>
      <c r="I18" s="967">
        <v>86</v>
      </c>
      <c r="J18" s="967">
        <v>5</v>
      </c>
      <c r="K18" s="967">
        <v>37</v>
      </c>
      <c r="L18" s="967">
        <v>32</v>
      </c>
      <c r="M18" s="967">
        <v>48</v>
      </c>
      <c r="N18" s="967">
        <v>175</v>
      </c>
      <c r="O18" s="967">
        <v>404</v>
      </c>
      <c r="P18" s="967">
        <v>62</v>
      </c>
      <c r="Q18" s="967">
        <v>104</v>
      </c>
      <c r="R18" s="967">
        <v>115</v>
      </c>
      <c r="S18" s="967">
        <v>104</v>
      </c>
      <c r="T18" s="967">
        <v>-1</v>
      </c>
      <c r="U18" s="967">
        <v>-95</v>
      </c>
      <c r="V18" s="967">
        <v>-32</v>
      </c>
      <c r="W18" s="967">
        <v>44</v>
      </c>
      <c r="X18" s="967">
        <v>18</v>
      </c>
      <c r="Y18" s="1397">
        <v>52</v>
      </c>
      <c r="Z18" s="1397">
        <v>65</v>
      </c>
      <c r="AA18" s="1397">
        <v>52</v>
      </c>
      <c r="AB18" s="1397">
        <v>45</v>
      </c>
      <c r="AC18" s="1397">
        <v>45</v>
      </c>
      <c r="AD18" s="1397">
        <v>45</v>
      </c>
      <c r="AE18" s="1397">
        <v>38</v>
      </c>
      <c r="AF18" s="1397">
        <v>38</v>
      </c>
      <c r="AG18" s="1397">
        <v>38</v>
      </c>
      <c r="AH18" s="1397">
        <v>33</v>
      </c>
      <c r="AI18" s="1128"/>
      <c r="AJ18" s="1128">
        <v>-2.0890965521452962</v>
      </c>
      <c r="AK18" s="1128">
        <f t="shared" si="0"/>
        <v>-1.5743583862351338</v>
      </c>
      <c r="AL18" s="1127">
        <f t="shared" si="1"/>
        <v>0</v>
      </c>
      <c r="AM18" s="1128">
        <f t="shared" si="2"/>
        <v>-4.7050857974376803E-2</v>
      </c>
      <c r="AN18" s="1128">
        <f t="shared" si="3"/>
        <v>6.2488268514150569E-2</v>
      </c>
    </row>
    <row r="19" spans="1:40" hidden="1" outlineLevel="1">
      <c r="A19" s="42" t="s">
        <v>949</v>
      </c>
      <c r="B19" s="1571"/>
      <c r="C19" s="967">
        <v>0</v>
      </c>
      <c r="D19" s="967">
        <v>0</v>
      </c>
      <c r="E19" s="967">
        <v>0</v>
      </c>
      <c r="F19" s="967">
        <v>0</v>
      </c>
      <c r="G19" s="967">
        <v>0</v>
      </c>
      <c r="H19" s="967">
        <v>0</v>
      </c>
      <c r="I19" s="967">
        <v>0</v>
      </c>
      <c r="J19" s="967">
        <v>0</v>
      </c>
      <c r="K19" s="967">
        <v>0</v>
      </c>
      <c r="L19" s="967">
        <v>0</v>
      </c>
      <c r="M19" s="967">
        <v>0</v>
      </c>
      <c r="N19" s="967">
        <v>0</v>
      </c>
      <c r="O19" s="967">
        <v>302</v>
      </c>
      <c r="P19" s="967">
        <v>11</v>
      </c>
      <c r="Q19" s="967">
        <v>31</v>
      </c>
      <c r="R19" s="967">
        <v>37</v>
      </c>
      <c r="S19" s="967">
        <v>39</v>
      </c>
      <c r="T19" s="967">
        <v>468</v>
      </c>
      <c r="U19" s="967">
        <v>-26</v>
      </c>
      <c r="V19" s="967">
        <v>16</v>
      </c>
      <c r="W19" s="967">
        <v>50</v>
      </c>
      <c r="X19" s="967">
        <v>48</v>
      </c>
      <c r="Y19" s="1397">
        <v>35</v>
      </c>
      <c r="Z19" s="1397">
        <v>27</v>
      </c>
      <c r="AA19" s="1397">
        <v>22</v>
      </c>
      <c r="AB19" s="1397">
        <v>19</v>
      </c>
      <c r="AC19" s="1397">
        <v>19</v>
      </c>
      <c r="AD19" s="1397">
        <v>19</v>
      </c>
      <c r="AE19" s="1397">
        <v>17</v>
      </c>
      <c r="AF19" s="1397">
        <v>17</v>
      </c>
      <c r="AG19" s="1397">
        <v>17</v>
      </c>
      <c r="AH19" s="1397">
        <v>14</v>
      </c>
      <c r="AI19" s="1128"/>
      <c r="AJ19" s="1128">
        <v>-2.1877256418249376</v>
      </c>
      <c r="AK19" s="1128">
        <f t="shared" si="0"/>
        <v>-2.2267497075930422</v>
      </c>
      <c r="AL19" s="1127">
        <f t="shared" si="1"/>
        <v>-0.20717503282790817</v>
      </c>
      <c r="AM19" s="1128">
        <f t="shared" si="2"/>
        <v>-4.7693007186371261E-2</v>
      </c>
      <c r="AN19" s="1128">
        <f t="shared" si="3"/>
        <v>-0.11592587507015828</v>
      </c>
    </row>
    <row r="20" spans="1:40" hidden="1" outlineLevel="1">
      <c r="A20" s="42" t="s">
        <v>733</v>
      </c>
      <c r="B20" s="1571"/>
      <c r="C20" s="967">
        <v>0</v>
      </c>
      <c r="D20" s="967">
        <v>0</v>
      </c>
      <c r="E20" s="967">
        <v>0</v>
      </c>
      <c r="F20" s="967">
        <v>0</v>
      </c>
      <c r="G20" s="967">
        <v>50</v>
      </c>
      <c r="H20" s="967">
        <v>11</v>
      </c>
      <c r="I20" s="967">
        <v>37</v>
      </c>
      <c r="J20" s="967">
        <v>18</v>
      </c>
      <c r="K20" s="967">
        <v>22</v>
      </c>
      <c r="L20" s="967">
        <v>34</v>
      </c>
      <c r="M20" s="967">
        <v>36</v>
      </c>
      <c r="N20" s="967">
        <v>75</v>
      </c>
      <c r="O20" s="967">
        <v>44</v>
      </c>
      <c r="P20" s="967">
        <v>49</v>
      </c>
      <c r="Q20" s="967">
        <v>84</v>
      </c>
      <c r="R20" s="967">
        <v>62</v>
      </c>
      <c r="S20" s="967">
        <v>88</v>
      </c>
      <c r="T20" s="967">
        <v>5</v>
      </c>
      <c r="U20" s="967">
        <v>-14</v>
      </c>
      <c r="V20" s="967">
        <v>21</v>
      </c>
      <c r="W20" s="967">
        <v>53</v>
      </c>
      <c r="X20" s="967">
        <v>50</v>
      </c>
      <c r="Y20" s="1397">
        <v>30</v>
      </c>
      <c r="Z20" s="1397">
        <v>19</v>
      </c>
      <c r="AA20" s="1397">
        <v>14</v>
      </c>
      <c r="AB20" s="1397">
        <v>12</v>
      </c>
      <c r="AC20" s="1397">
        <v>12</v>
      </c>
      <c r="AD20" s="1397">
        <v>12</v>
      </c>
      <c r="AE20" s="1397">
        <v>11</v>
      </c>
      <c r="AF20" s="1397">
        <v>11</v>
      </c>
      <c r="AG20" s="1397">
        <v>11</v>
      </c>
      <c r="AH20" s="1397">
        <v>9</v>
      </c>
      <c r="AI20" s="1128"/>
      <c r="AJ20" s="1128">
        <v>-1.7783705415511708</v>
      </c>
      <c r="AK20" s="1128">
        <f t="shared" si="0"/>
        <v>-2.5285535436643993</v>
      </c>
      <c r="AL20" s="1127">
        <f t="shared" si="1"/>
        <v>-0.31686994893602682</v>
      </c>
      <c r="AM20" s="1128">
        <f t="shared" si="2"/>
        <v>-5.0085748407003527E-2</v>
      </c>
      <c r="AN20" s="1128">
        <f t="shared" si="3"/>
        <v>-0.15758275138589717</v>
      </c>
    </row>
    <row r="21" spans="1:40" collapsed="1">
      <c r="A21" s="43" t="s">
        <v>760</v>
      </c>
      <c r="B21" s="1572">
        <v>8.7443604240282689</v>
      </c>
      <c r="C21" s="1572">
        <v>7.6839649122807021</v>
      </c>
      <c r="D21" s="1572">
        <v>7.9104435261707993</v>
      </c>
      <c r="E21" s="1572">
        <v>8.7261035294117644</v>
      </c>
      <c r="F21" s="1572">
        <v>8.3457960644007159</v>
      </c>
      <c r="G21" s="1572">
        <v>8.7466531204644422</v>
      </c>
      <c r="H21" s="1572">
        <v>8.6667531017369726</v>
      </c>
      <c r="I21" s="1572">
        <v>8.3819623250807318</v>
      </c>
      <c r="J21" s="1511">
        <v>7.7902450145758877</v>
      </c>
      <c r="K21" s="1511">
        <v>7.8071224134417063</v>
      </c>
      <c r="L21" s="1511">
        <v>8.6056821918270696</v>
      </c>
      <c r="M21" s="1511">
        <v>10.268132693674076</v>
      </c>
      <c r="N21" s="1511">
        <v>10.098705772420976</v>
      </c>
      <c r="O21" s="1511">
        <v>9.8160616510396626</v>
      </c>
      <c r="P21" s="1511">
        <v>11.011442736576171</v>
      </c>
      <c r="Q21" s="1511">
        <v>11.784556795352522</v>
      </c>
      <c r="R21" s="1511">
        <v>12.70416836598498</v>
      </c>
      <c r="S21" s="1511">
        <v>14.831108701315719</v>
      </c>
      <c r="T21" s="1511">
        <v>16.526011687415455</v>
      </c>
      <c r="U21" s="1511">
        <v>11.378650635125464</v>
      </c>
      <c r="V21" s="1511">
        <v>15.883420563966551</v>
      </c>
      <c r="W21" s="1511">
        <v>19.647487200777157</v>
      </c>
      <c r="X21" s="1511">
        <v>20.763782431595924</v>
      </c>
      <c r="Y21" s="1573">
        <v>21.066582133790419</v>
      </c>
      <c r="Z21" s="1573">
        <v>22.890389800985723</v>
      </c>
      <c r="AA21" s="1573">
        <v>24.376236168841505</v>
      </c>
      <c r="AB21" s="1573">
        <v>25.750262275666437</v>
      </c>
      <c r="AC21" s="1573">
        <v>26.917356819997934</v>
      </c>
      <c r="AD21" s="1573">
        <v>28.132535483936085</v>
      </c>
      <c r="AE21" s="1573">
        <v>29.443670980724498</v>
      </c>
      <c r="AF21" s="1573">
        <v>30.781343971126152</v>
      </c>
      <c r="AG21" s="1573">
        <v>32.175965822739613</v>
      </c>
      <c r="AH21" s="1573">
        <v>33.692918864604806</v>
      </c>
      <c r="AI21" s="1127"/>
      <c r="AJ21" s="1127">
        <v>6.5823425004154501E-3</v>
      </c>
      <c r="AK21" s="1127">
        <f t="shared" si="0"/>
        <v>0.22200195895013231</v>
      </c>
      <c r="AL21" s="1127">
        <f t="shared" si="1"/>
        <v>7.5687901382571754E-2</v>
      </c>
      <c r="AM21" s="1127">
        <f t="shared" si="2"/>
        <v>4.8932178921403002E-2</v>
      </c>
      <c r="AN21" s="1127">
        <f t="shared" si="3"/>
        <v>4.9598536935781645E-2</v>
      </c>
    </row>
    <row r="22" spans="1:40" hidden="1" outlineLevel="1">
      <c r="A22" s="42" t="s">
        <v>731</v>
      </c>
      <c r="B22" s="610">
        <v>8.7443604240282689</v>
      </c>
      <c r="C22" s="610">
        <v>7.6842105263157894</v>
      </c>
      <c r="D22" s="610">
        <v>7.9090909090909092</v>
      </c>
      <c r="E22" s="610">
        <v>11</v>
      </c>
      <c r="F22" s="610">
        <v>10.067978533094813</v>
      </c>
      <c r="G22" s="610">
        <v>11.073552425665103</v>
      </c>
      <c r="H22" s="610">
        <v>10.748993288590604</v>
      </c>
      <c r="I22" s="610">
        <v>10.462214199759327</v>
      </c>
      <c r="J22" s="610">
        <v>7.2153110047846889</v>
      </c>
      <c r="K22" s="610">
        <v>7.0002290950744568</v>
      </c>
      <c r="L22" s="610">
        <v>7.6131701657458564</v>
      </c>
      <c r="M22" s="610">
        <v>8.9584669464847835</v>
      </c>
      <c r="N22" s="610">
        <v>8.9112074468085112</v>
      </c>
      <c r="O22" s="610">
        <v>9.8949027415143611</v>
      </c>
      <c r="P22" s="610">
        <v>8.0820922208281054</v>
      </c>
      <c r="Q22" s="610">
        <v>8.2098127208480562</v>
      </c>
      <c r="R22" s="610">
        <v>8.7364655267512408</v>
      </c>
      <c r="S22" s="610">
        <v>12.428149713093374</v>
      </c>
      <c r="T22" s="610">
        <v>13.615288622129434</v>
      </c>
      <c r="U22" s="610">
        <v>10.041501372872048</v>
      </c>
      <c r="V22" s="610">
        <v>14.185298490776971</v>
      </c>
      <c r="W22" s="610">
        <v>17.879829241680305</v>
      </c>
      <c r="X22" s="610">
        <v>20.264267963263102</v>
      </c>
      <c r="Y22" s="1574">
        <v>21.661996965102727</v>
      </c>
      <c r="Z22" s="1574">
        <v>22.502215296916685</v>
      </c>
      <c r="AA22" s="1574">
        <v>23.61436814046073</v>
      </c>
      <c r="AB22" s="1574">
        <v>24.774848647282255</v>
      </c>
      <c r="AC22" s="1574">
        <v>25.621015196389543</v>
      </c>
      <c r="AD22" s="1574">
        <v>26.498213502156634</v>
      </c>
      <c r="AE22" s="1574">
        <v>27.470300922908581</v>
      </c>
      <c r="AF22" s="1574">
        <v>28.430691325684236</v>
      </c>
      <c r="AG22" s="1574">
        <v>29.426212043463746</v>
      </c>
      <c r="AH22" s="1574">
        <v>30.501016299768615</v>
      </c>
      <c r="AI22" s="1128"/>
      <c r="AJ22" s="1128">
        <v>4.4371399657326061E-2</v>
      </c>
      <c r="AK22" s="1128">
        <f t="shared" si="0"/>
        <v>0.26370030188176052</v>
      </c>
      <c r="AL22" s="1128">
        <f t="shared" si="1"/>
        <v>4.4092363662286749E-2</v>
      </c>
      <c r="AM22" s="1128">
        <f t="shared" si="2"/>
        <v>3.9154418326486695E-2</v>
      </c>
      <c r="AN22" s="1128">
        <f t="shared" si="3"/>
        <v>4.1737598554110855E-2</v>
      </c>
    </row>
    <row r="23" spans="1:40" hidden="1" outlineLevel="1">
      <c r="A23" s="42" t="s">
        <v>949</v>
      </c>
      <c r="B23" s="438" t="s">
        <v>628</v>
      </c>
      <c r="C23" s="438" t="s">
        <v>628</v>
      </c>
      <c r="D23" s="438" t="s">
        <v>628</v>
      </c>
      <c r="E23" s="438" t="s">
        <v>628</v>
      </c>
      <c r="F23" s="438" t="s">
        <v>628</v>
      </c>
      <c r="G23" s="438" t="s">
        <v>628</v>
      </c>
      <c r="H23" s="438" t="s">
        <v>628</v>
      </c>
      <c r="I23" s="438" t="s">
        <v>628</v>
      </c>
      <c r="J23" s="438" t="s">
        <v>628</v>
      </c>
      <c r="K23" s="438" t="s">
        <v>628</v>
      </c>
      <c r="L23" s="438" t="s">
        <v>628</v>
      </c>
      <c r="M23" s="610" t="s">
        <v>628</v>
      </c>
      <c r="N23" s="610" t="s">
        <v>628</v>
      </c>
      <c r="O23" s="610">
        <v>4.7615958481998053</v>
      </c>
      <c r="P23" s="610">
        <v>17.741467954900582</v>
      </c>
      <c r="Q23" s="610">
        <v>21.61944251530355</v>
      </c>
      <c r="R23" s="610">
        <v>22.050724993631402</v>
      </c>
      <c r="S23" s="610">
        <v>23.103154590079431</v>
      </c>
      <c r="T23" s="610">
        <v>23.308689842247077</v>
      </c>
      <c r="U23" s="610">
        <v>15.667476604444849</v>
      </c>
      <c r="V23" s="610">
        <v>20.415123119621477</v>
      </c>
      <c r="W23" s="610">
        <v>23.04809144753866</v>
      </c>
      <c r="X23" s="610">
        <v>22.930954127181923</v>
      </c>
      <c r="Y23" s="1574">
        <v>23.273831597931</v>
      </c>
      <c r="Z23" s="1574">
        <v>26.681164341153295</v>
      </c>
      <c r="AA23" s="1574">
        <v>28.877238855877618</v>
      </c>
      <c r="AB23" s="1574">
        <v>31.010042294567082</v>
      </c>
      <c r="AC23" s="1574">
        <v>33.094640814606208</v>
      </c>
      <c r="AD23" s="1574">
        <v>35.290240677413685</v>
      </c>
      <c r="AE23" s="1574">
        <v>37.620314302898642</v>
      </c>
      <c r="AF23" s="1574">
        <v>40.06757561662311</v>
      </c>
      <c r="AG23" s="1574">
        <v>42.643071380603061</v>
      </c>
      <c r="AH23" s="1574">
        <v>45.455211526701298</v>
      </c>
      <c r="AI23" s="1128"/>
      <c r="AJ23" s="1128">
        <v>-2.4556990421347513E-2</v>
      </c>
      <c r="AK23" s="1128">
        <f t="shared" si="0"/>
        <v>0.13537943480334169</v>
      </c>
      <c r="AL23" s="1128">
        <f t="shared" si="1"/>
        <v>0.11389406192824381</v>
      </c>
      <c r="AM23" s="1128">
        <f t="shared" si="2"/>
        <v>6.9136077947921981E-2</v>
      </c>
      <c r="AN23" s="1128">
        <f t="shared" si="3"/>
        <v>7.0819215253104195E-2</v>
      </c>
    </row>
    <row r="24" spans="1:40" hidden="1" outlineLevel="1">
      <c r="A24" s="42" t="s">
        <v>733</v>
      </c>
      <c r="B24" s="610" t="s">
        <v>1299</v>
      </c>
      <c r="C24" s="610" t="s">
        <v>1299</v>
      </c>
      <c r="D24" s="610" t="s">
        <v>1299</v>
      </c>
      <c r="E24" s="610" t="s">
        <v>1299</v>
      </c>
      <c r="F24" s="610" t="s">
        <v>1299</v>
      </c>
      <c r="G24" s="610" t="s">
        <v>1299</v>
      </c>
      <c r="H24" s="610" t="s">
        <v>1299</v>
      </c>
      <c r="I24" s="610" t="s">
        <v>1299</v>
      </c>
      <c r="J24" s="610">
        <v>11.933734947209006</v>
      </c>
      <c r="K24" s="610">
        <v>12.911599710069305</v>
      </c>
      <c r="L24" s="610">
        <v>13.827911166266013</v>
      </c>
      <c r="M24" s="610">
        <v>16.268668544978865</v>
      </c>
      <c r="N24" s="610">
        <v>14.831914646240275</v>
      </c>
      <c r="O24" s="610">
        <v>14.114728690337516</v>
      </c>
      <c r="P24" s="610">
        <v>17.827631110956158</v>
      </c>
      <c r="Q24" s="610">
        <v>17.625241036320851</v>
      </c>
      <c r="R24" s="610">
        <v>19.662802795865222</v>
      </c>
      <c r="S24" s="610">
        <v>16.687195762203377</v>
      </c>
      <c r="T24" s="610">
        <v>15.800690047736646</v>
      </c>
      <c r="U24" s="610">
        <v>9.2787851126798078</v>
      </c>
      <c r="V24" s="610">
        <v>14.370728514241682</v>
      </c>
      <c r="W24" s="610">
        <v>19.772459494154706</v>
      </c>
      <c r="X24" s="610">
        <v>19.121633060550586</v>
      </c>
      <c r="Y24" s="1574">
        <v>16.610153481825574</v>
      </c>
      <c r="Z24" s="1574">
        <v>18.793624234207865</v>
      </c>
      <c r="AA24" s="1574">
        <v>20.274599835175106</v>
      </c>
      <c r="AB24" s="1574">
        <v>21.173920403440867</v>
      </c>
      <c r="AC24" s="1574">
        <v>21.932902386172575</v>
      </c>
      <c r="AD24" s="1574">
        <v>22.703903408232485</v>
      </c>
      <c r="AE24" s="1574">
        <v>23.521859015987758</v>
      </c>
      <c r="AF24" s="1574">
        <v>24.34618253851848</v>
      </c>
      <c r="AG24" s="1574">
        <v>25.190682314679417</v>
      </c>
      <c r="AH24" s="1574">
        <v>26.123322764899118</v>
      </c>
      <c r="AI24" s="1128"/>
      <c r="AJ24" s="1128">
        <v>-0.12243459247839072</v>
      </c>
      <c r="AK24" s="1128">
        <f t="shared" si="0"/>
        <v>0.27255908062772116</v>
      </c>
      <c r="AL24" s="1128">
        <f t="shared" si="1"/>
        <v>0.10481439166720996</v>
      </c>
      <c r="AM24" s="1128">
        <f t="shared" si="2"/>
        <v>3.8443199087591973E-2</v>
      </c>
      <c r="AN24" s="1128">
        <f t="shared" si="3"/>
        <v>3.1692666857513263E-2</v>
      </c>
    </row>
    <row r="25" spans="1:40" collapsed="1">
      <c r="A25" s="93" t="s">
        <v>767</v>
      </c>
      <c r="B25" s="1569"/>
      <c r="C25" s="1569"/>
      <c r="D25" s="1569"/>
      <c r="E25" s="1569"/>
      <c r="F25" s="1569"/>
      <c r="G25" s="1569"/>
      <c r="H25" s="1569"/>
      <c r="I25" s="1569"/>
      <c r="J25" s="1512">
        <v>-3.6999999999999998E-2</v>
      </c>
      <c r="K25" s="1512">
        <v>3.7999999999999999E-2</v>
      </c>
      <c r="L25" s="1512">
        <v>0.122</v>
      </c>
      <c r="M25" s="1512">
        <v>0.105</v>
      </c>
      <c r="N25" s="1512">
        <v>0.08</v>
      </c>
      <c r="O25" s="1512">
        <v>4.4999999999999998E-2</v>
      </c>
      <c r="P25" s="1512">
        <v>0.104</v>
      </c>
      <c r="Q25" s="1512">
        <v>8.8999999999999996E-2</v>
      </c>
      <c r="R25" s="1512">
        <v>6.6000000000000003E-2</v>
      </c>
      <c r="S25" s="1575">
        <v>4.9000000000000002E-2</v>
      </c>
      <c r="T25" s="1575">
        <v>5.0999999999999997E-2</v>
      </c>
      <c r="U25" s="1575">
        <v>-0.23</v>
      </c>
      <c r="V25" s="1575">
        <v>0.307</v>
      </c>
      <c r="W25" s="1575">
        <v>0.35870779740410264</v>
      </c>
      <c r="X25" s="1575">
        <v>0.18932600635373661</v>
      </c>
      <c r="Y25" s="1576">
        <v>0.1159211772715807</v>
      </c>
      <c r="Z25" s="1576">
        <v>7.6569721163340806E-2</v>
      </c>
      <c r="AA25" s="1576">
        <v>6.6584022518558272E-2</v>
      </c>
      <c r="AB25" s="1576">
        <v>6.0766839011253307E-2</v>
      </c>
      <c r="AC25" s="1576">
        <v>5.1090038120319099E-2</v>
      </c>
      <c r="AD25" s="1576">
        <v>5.0631135739548958E-2</v>
      </c>
      <c r="AE25" s="1576">
        <v>5.0275116506088194E-2</v>
      </c>
      <c r="AF25" s="1576">
        <v>4.9958093772977073E-2</v>
      </c>
      <c r="AG25" s="1576">
        <v>4.959949269553679E-2</v>
      </c>
      <c r="AH25" s="1576">
        <v>4.9344043109751087E-2</v>
      </c>
      <c r="AI25" s="1127"/>
      <c r="AJ25" s="1127"/>
      <c r="AK25" s="1127"/>
      <c r="AL25" s="1127"/>
      <c r="AM25" s="1127"/>
      <c r="AN25" s="1127"/>
    </row>
    <row r="26" spans="1:40">
      <c r="A26" s="42" t="s">
        <v>731</v>
      </c>
      <c r="B26" s="1571"/>
      <c r="C26" s="1571"/>
      <c r="D26" s="1571"/>
      <c r="E26" s="1571"/>
      <c r="F26" s="1571"/>
      <c r="G26" s="1571"/>
      <c r="H26" s="1571"/>
      <c r="I26" s="1571"/>
      <c r="J26" s="649" t="s">
        <v>750</v>
      </c>
      <c r="K26" s="649" t="s">
        <v>750</v>
      </c>
      <c r="L26" s="649" t="s">
        <v>750</v>
      </c>
      <c r="M26" s="649" t="s">
        <v>750</v>
      </c>
      <c r="N26" s="1141">
        <v>0.04</v>
      </c>
      <c r="O26" s="1141">
        <v>-4.0000000000000001E-3</v>
      </c>
      <c r="P26" s="1141">
        <v>4.3999999999999997E-2</v>
      </c>
      <c r="Q26" s="1141">
        <v>5.8999999999999997E-2</v>
      </c>
      <c r="R26" s="1141">
        <v>3.1E-2</v>
      </c>
      <c r="S26" s="1577">
        <v>0.04</v>
      </c>
      <c r="T26" s="1577">
        <v>3.4000000000000002E-2</v>
      </c>
      <c r="U26" s="1577">
        <v>-0.23</v>
      </c>
      <c r="V26" s="1577">
        <v>0.34300000000000003</v>
      </c>
      <c r="W26" s="1577">
        <v>0.27128725947173421</v>
      </c>
      <c r="X26" s="1577">
        <v>0.15443653132781138</v>
      </c>
      <c r="Y26" s="1578">
        <v>7.3996813480194851E-2</v>
      </c>
      <c r="Z26" s="1578">
        <v>5.2878074821984762E-2</v>
      </c>
      <c r="AA26" s="1578">
        <v>5.1562262639758903E-2</v>
      </c>
      <c r="AB26" s="1578">
        <v>5.156226263975891E-2</v>
      </c>
      <c r="AC26" s="1578">
        <v>3.8362262639758914E-2</v>
      </c>
      <c r="AD26" s="1578">
        <v>3.8362262639758907E-2</v>
      </c>
      <c r="AE26" s="1578">
        <v>3.8362262639758907E-2</v>
      </c>
      <c r="AF26" s="1578">
        <v>3.8975118696161257E-2</v>
      </c>
      <c r="AG26" s="1578">
        <v>3.8362262639758907E-2</v>
      </c>
      <c r="AH26" s="1578">
        <v>3.83622626397589E-2</v>
      </c>
      <c r="AI26" s="1128"/>
      <c r="AJ26" s="1128"/>
      <c r="AK26" s="1128"/>
      <c r="AL26" s="1128"/>
      <c r="AM26" s="1128"/>
      <c r="AN26" s="1128"/>
    </row>
    <row r="27" spans="1:40">
      <c r="A27" s="42" t="s">
        <v>949</v>
      </c>
      <c r="B27" s="1571"/>
      <c r="C27" s="1571"/>
      <c r="D27" s="1571"/>
      <c r="E27" s="1571"/>
      <c r="F27" s="1571"/>
      <c r="G27" s="1571"/>
      <c r="H27" s="1571"/>
      <c r="I27" s="1571"/>
      <c r="J27" s="649" t="s">
        <v>750</v>
      </c>
      <c r="K27" s="649" t="s">
        <v>750</v>
      </c>
      <c r="L27" s="649" t="s">
        <v>750</v>
      </c>
      <c r="M27" s="649" t="s">
        <v>750</v>
      </c>
      <c r="N27" s="1141" t="s">
        <v>750</v>
      </c>
      <c r="O27" s="1141">
        <v>6.5000000000000002E-2</v>
      </c>
      <c r="P27" s="1141">
        <v>7.1999999999999995E-2</v>
      </c>
      <c r="Q27" s="1141">
        <v>4.2999999999999997E-2</v>
      </c>
      <c r="R27" s="1141">
        <v>2.3E-2</v>
      </c>
      <c r="S27" s="1577">
        <v>1.0999999999999999E-2</v>
      </c>
      <c r="T27" s="1577">
        <v>0.02</v>
      </c>
      <c r="U27" s="1577">
        <v>-0.24399999999999999</v>
      </c>
      <c r="V27" s="1577">
        <v>0.127</v>
      </c>
      <c r="W27" s="1577">
        <v>0.27673825991991263</v>
      </c>
      <c r="X27" s="1577">
        <v>9.8127100931812261E-2</v>
      </c>
      <c r="Y27" s="1578">
        <v>7.4554799977728497E-3</v>
      </c>
      <c r="Z27" s="1578">
        <v>2.5755152032509943E-2</v>
      </c>
      <c r="AA27" s="1578">
        <v>2.5199999999999997E-2</v>
      </c>
      <c r="AB27" s="1578">
        <v>2.52E-2</v>
      </c>
      <c r="AC27" s="1578">
        <v>2.1944999999999999E-2</v>
      </c>
      <c r="AD27" s="1578">
        <v>2.1944999999999999E-2</v>
      </c>
      <c r="AE27" s="1578">
        <v>2.1944999999999996E-2</v>
      </c>
      <c r="AF27" s="1578">
        <v>2.1944999999999999E-2</v>
      </c>
      <c r="AG27" s="1578">
        <v>2.1944999999999999E-2</v>
      </c>
      <c r="AH27" s="1578">
        <v>2.1945000000000003E-2</v>
      </c>
      <c r="AI27" s="1130"/>
      <c r="AJ27" s="1129"/>
      <c r="AK27" s="1129"/>
      <c r="AL27" s="1130"/>
      <c r="AM27" s="1130"/>
      <c r="AN27" s="1130"/>
    </row>
    <row r="28" spans="1:40">
      <c r="A28" s="42" t="s">
        <v>733</v>
      </c>
      <c r="B28" s="1571"/>
      <c r="C28" s="1571"/>
      <c r="D28" s="1571"/>
      <c r="E28" s="1571"/>
      <c r="F28" s="1571"/>
      <c r="G28" s="1571"/>
      <c r="H28" s="1571"/>
      <c r="I28" s="1571"/>
      <c r="J28" s="649" t="s">
        <v>750</v>
      </c>
      <c r="K28" s="649" t="s">
        <v>750</v>
      </c>
      <c r="L28" s="649" t="s">
        <v>750</v>
      </c>
      <c r="M28" s="649" t="s">
        <v>750</v>
      </c>
      <c r="N28" s="1141">
        <v>0.21099999999999999</v>
      </c>
      <c r="O28" s="1141">
        <v>0.2</v>
      </c>
      <c r="P28" s="1141">
        <v>0.255</v>
      </c>
      <c r="Q28" s="1141">
        <v>0.23499999999999999</v>
      </c>
      <c r="R28" s="1141">
        <v>0.19600000000000001</v>
      </c>
      <c r="S28" s="1577">
        <v>0.115</v>
      </c>
      <c r="T28" s="1577">
        <v>0.14599999999999999</v>
      </c>
      <c r="U28" s="1577">
        <v>-0.20100000000000001</v>
      </c>
      <c r="V28" s="1577">
        <v>0.63400000000000001</v>
      </c>
      <c r="W28" s="1577">
        <v>0.71179330784827166</v>
      </c>
      <c r="X28" s="1577">
        <v>0.43871130918072654</v>
      </c>
      <c r="Y28" s="1578">
        <v>0.46904155060734176</v>
      </c>
      <c r="Z28" s="1578">
        <v>0.25126697073807602</v>
      </c>
      <c r="AA28" s="1578">
        <v>0.19451790149807996</v>
      </c>
      <c r="AB28" s="1578">
        <v>0.1614039466857527</v>
      </c>
      <c r="AC28" s="1578">
        <v>0.15210717616548086</v>
      </c>
      <c r="AD28" s="1578">
        <v>0.15129108021521781</v>
      </c>
      <c r="AE28" s="1578">
        <v>0.15096184472840629</v>
      </c>
      <c r="AF28" s="1578">
        <v>0.15971181286362235</v>
      </c>
      <c r="AG28" s="1578">
        <v>0.15040707182848373</v>
      </c>
      <c r="AH28" s="1578">
        <v>0.15054496165053707</v>
      </c>
      <c r="AI28" s="1128"/>
      <c r="AJ28" s="1128"/>
      <c r="AK28" s="1128"/>
      <c r="AL28" s="1128"/>
      <c r="AM28" s="1128"/>
      <c r="AN28" s="1128"/>
    </row>
    <row r="29" spans="1:40" s="13" customFormat="1">
      <c r="A29" s="1155" t="s">
        <v>922</v>
      </c>
      <c r="B29" s="1511"/>
      <c r="C29" s="1511"/>
      <c r="D29" s="1511"/>
      <c r="E29" s="1511"/>
      <c r="F29" s="1511"/>
      <c r="G29" s="1511"/>
      <c r="H29" s="1511"/>
      <c r="I29" s="1511"/>
      <c r="J29" s="1513">
        <v>12.559485064935066</v>
      </c>
      <c r="K29" s="1513">
        <v>4.067049598214286</v>
      </c>
      <c r="L29" s="1513">
        <v>3.4638024276527339</v>
      </c>
      <c r="M29" s="1513">
        <v>3.1895798621908127</v>
      </c>
      <c r="N29" s="1513">
        <v>4.4015171101694914</v>
      </c>
      <c r="O29" s="1513">
        <v>602.96500866666668</v>
      </c>
      <c r="P29" s="1513" t="s">
        <v>338</v>
      </c>
      <c r="Q29" s="1513" t="s">
        <v>338</v>
      </c>
      <c r="R29" s="1513" t="s">
        <v>338</v>
      </c>
      <c r="S29" s="1579" t="s">
        <v>338</v>
      </c>
      <c r="T29" s="1579" t="s">
        <v>338</v>
      </c>
      <c r="U29" s="1579" t="s">
        <v>338</v>
      </c>
      <c r="V29" s="1579">
        <v>142.04957540000001</v>
      </c>
      <c r="W29" s="1579">
        <v>13.307110816326531</v>
      </c>
      <c r="X29" s="1579">
        <v>19.747604482758625</v>
      </c>
      <c r="Y29" s="1580">
        <v>20.626771965811965</v>
      </c>
      <c r="Z29" s="1580">
        <v>18</v>
      </c>
      <c r="AA29" s="1580">
        <v>18.663746115923331</v>
      </c>
      <c r="AB29" s="1580">
        <v>19.351967726646841</v>
      </c>
      <c r="AC29" s="1580">
        <v>20.065567360759918</v>
      </c>
      <c r="AD29" s="1580">
        <v>20.805480827398934</v>
      </c>
      <c r="AE29" s="1580">
        <v>21.57267844346023</v>
      </c>
      <c r="AF29" s="1580">
        <v>22.368166306066321</v>
      </c>
      <c r="AG29" s="1580">
        <v>23.192987611954017</v>
      </c>
      <c r="AH29" s="1580">
        <v>24.048224025514703</v>
      </c>
      <c r="AI29" s="1127"/>
      <c r="AJ29" s="1128" t="s">
        <v>628</v>
      </c>
      <c r="AK29" s="1128" t="str">
        <f>IFERROR((#REF!/T29)^(1/3)-1,"NM")</f>
        <v>NM</v>
      </c>
      <c r="AL29" s="1127" t="str">
        <f>IFERROR((Y29/#REF!)^(1/2)-1,"NM")</f>
        <v>NM</v>
      </c>
      <c r="AM29" s="1127" t="str">
        <f>IFERROR((#REF!/AA29)^(1/3)-1,"NM")</f>
        <v>NM</v>
      </c>
      <c r="AN29" s="1127">
        <f>IFERROR((AH29/X29)^(1/10)-1,"NM")</f>
        <v>1.9898278819268089E-2</v>
      </c>
    </row>
    <row r="30" spans="1:40" hidden="1" outlineLevel="1">
      <c r="A30" s="89" t="s">
        <v>835</v>
      </c>
      <c r="B30" s="985"/>
      <c r="C30" s="1581"/>
      <c r="D30" s="1581"/>
      <c r="E30" s="1581"/>
      <c r="F30" s="1581"/>
      <c r="G30" s="1581"/>
      <c r="H30" s="1581"/>
      <c r="I30" s="1581"/>
      <c r="J30" s="985">
        <v>1171</v>
      </c>
      <c r="K30" s="985">
        <v>1206</v>
      </c>
      <c r="L30" s="985">
        <v>1283</v>
      </c>
      <c r="M30" s="985">
        <v>1435</v>
      </c>
      <c r="N30" s="985">
        <v>1862</v>
      </c>
      <c r="O30" s="985">
        <v>2784</v>
      </c>
      <c r="P30" s="985">
        <v>2954</v>
      </c>
      <c r="Q30" s="985">
        <v>3195</v>
      </c>
      <c r="R30" s="985">
        <v>3438</v>
      </c>
      <c r="S30" s="985">
        <v>3688</v>
      </c>
      <c r="T30" s="985">
        <v>4310</v>
      </c>
      <c r="U30" s="985">
        <v>4193</v>
      </c>
      <c r="V30" s="985">
        <v>4262</v>
      </c>
      <c r="W30" s="985">
        <v>4447</v>
      </c>
      <c r="X30" s="985">
        <v>4622</v>
      </c>
      <c r="Y30" s="1566">
        <v>4804</v>
      </c>
      <c r="Z30" s="1566">
        <v>4985</v>
      </c>
      <c r="AA30" s="1566">
        <v>5131</v>
      </c>
      <c r="AB30" s="1566">
        <v>5258.0000000000009</v>
      </c>
      <c r="AC30" s="1566">
        <v>5382</v>
      </c>
      <c r="AD30" s="1566">
        <v>5506.0000000000009</v>
      </c>
      <c r="AE30" s="1566">
        <v>5612.9999999999991</v>
      </c>
      <c r="AF30" s="1566">
        <v>5721</v>
      </c>
      <c r="AG30" s="1566">
        <v>5829</v>
      </c>
      <c r="AH30" s="1566">
        <v>5921.0000000000009</v>
      </c>
      <c r="AI30" s="1128"/>
      <c r="AJ30" s="1128">
        <v>7.2563156017504404E-2</v>
      </c>
      <c r="AK30" s="1128">
        <f>IFERROR((X30/U30)^(1/3)-1,"NM")</f>
        <v>3.3003261961264796E-2</v>
      </c>
      <c r="AL30" s="1128">
        <f>IFERROR((AA30/Y30)^(1/2)-1,"NM")</f>
        <v>3.347388764124215E-2</v>
      </c>
      <c r="AM30" s="1128">
        <f>IFERROR((AD30/AA30)^(1/3)-1,"NM")</f>
        <v>2.379121229701453E-2</v>
      </c>
      <c r="AN30" s="1128">
        <f>IFERROR((AH30/X30)^(1/10)-1,"NM")</f>
        <v>2.5077053764948287E-2</v>
      </c>
    </row>
    <row r="31" spans="1:40" hidden="1" outlineLevel="1"/>
    <row r="32" spans="1:40" hidden="1" outlineLevel="1"/>
    <row r="33" spans="1:40" hidden="1" outlineLevel="1"/>
    <row r="34" spans="1:40" collapsed="1">
      <c r="A34" s="42"/>
      <c r="B34" s="1571"/>
      <c r="C34" s="1571"/>
      <c r="D34" s="1571"/>
      <c r="E34" s="1571"/>
      <c r="F34" s="1571"/>
      <c r="G34" s="1571"/>
      <c r="H34" s="1571"/>
      <c r="I34" s="1571"/>
      <c r="J34" s="649"/>
      <c r="K34" s="649"/>
      <c r="L34" s="649"/>
      <c r="M34" s="649"/>
      <c r="N34" s="1141"/>
      <c r="O34" s="1141"/>
      <c r="P34" s="1141"/>
      <c r="Q34" s="1141"/>
      <c r="R34" s="1141"/>
      <c r="S34" s="40"/>
      <c r="T34" s="1578"/>
      <c r="U34" s="1578"/>
      <c r="V34" s="1578"/>
      <c r="W34" s="1578"/>
      <c r="X34" s="1578"/>
      <c r="Y34" s="1578"/>
      <c r="Z34" s="1578"/>
      <c r="AA34" s="1578"/>
      <c r="AB34" s="1578"/>
      <c r="AC34" s="1578"/>
      <c r="AD34" s="1578"/>
      <c r="AE34" s="1578"/>
      <c r="AF34" s="1578"/>
      <c r="AG34" s="1578"/>
      <c r="AH34" s="1578"/>
      <c r="AI34" s="1130"/>
      <c r="AJ34" s="1129"/>
      <c r="AK34" s="1129"/>
      <c r="AL34" s="1130"/>
      <c r="AM34" s="1130"/>
      <c r="AN34" s="1130"/>
    </row>
    <row r="35" spans="1:40">
      <c r="A35" s="1126" t="s">
        <v>662</v>
      </c>
      <c r="B35" s="1124">
        <v>2001</v>
      </c>
      <c r="C35" s="1124">
        <v>2002</v>
      </c>
      <c r="D35" s="1124">
        <v>2003</v>
      </c>
      <c r="E35" s="1124">
        <v>2004</v>
      </c>
      <c r="F35" s="1124">
        <v>2005</v>
      </c>
      <c r="G35" s="1124">
        <v>2006</v>
      </c>
      <c r="H35" s="1124">
        <v>2007</v>
      </c>
      <c r="I35" s="1124">
        <v>2008</v>
      </c>
      <c r="J35" s="1124">
        <v>2009</v>
      </c>
      <c r="K35" s="1124">
        <v>2010</v>
      </c>
      <c r="L35" s="1124">
        <v>2011</v>
      </c>
      <c r="M35" s="1124">
        <v>2012</v>
      </c>
      <c r="N35" s="1124">
        <v>2013</v>
      </c>
      <c r="O35" s="1124">
        <v>2014</v>
      </c>
      <c r="P35" s="1124">
        <v>2015</v>
      </c>
      <c r="Q35" s="1124">
        <v>2016</v>
      </c>
      <c r="R35" s="1124">
        <v>2017</v>
      </c>
      <c r="S35" s="1583">
        <v>2018</v>
      </c>
      <c r="T35" s="1583">
        <v>2019</v>
      </c>
      <c r="U35" s="1583">
        <v>2020</v>
      </c>
      <c r="V35" s="1583">
        <v>2021</v>
      </c>
      <c r="W35" s="1583">
        <v>2022</v>
      </c>
      <c r="X35" s="1583">
        <v>2023</v>
      </c>
      <c r="Y35" s="1445">
        <v>2024</v>
      </c>
      <c r="Z35" s="1445">
        <v>2025</v>
      </c>
      <c r="AA35" s="1445">
        <v>2026</v>
      </c>
      <c r="AB35" s="1445">
        <v>2027</v>
      </c>
      <c r="AC35" s="1445">
        <v>2028</v>
      </c>
      <c r="AD35" s="1445">
        <v>2029</v>
      </c>
      <c r="AE35" s="1445">
        <v>2030</v>
      </c>
      <c r="AF35" s="1445">
        <v>2031</v>
      </c>
      <c r="AG35" s="1445">
        <v>2032</v>
      </c>
      <c r="AH35" s="1445">
        <v>2033</v>
      </c>
      <c r="AI35" s="1130"/>
      <c r="AJ35" s="1131"/>
      <c r="AK35" s="1131"/>
      <c r="AL35" s="1130"/>
      <c r="AM35" s="1130"/>
      <c r="AN35" s="1130"/>
    </row>
    <row r="36" spans="1:40">
      <c r="A36" s="89" t="s">
        <v>48</v>
      </c>
      <c r="B36" s="985">
        <v>2474.654</v>
      </c>
      <c r="C36" s="985">
        <v>2627.9160000000002</v>
      </c>
      <c r="D36" s="985">
        <v>2871.491</v>
      </c>
      <c r="E36" s="985">
        <v>3708.5940000000001</v>
      </c>
      <c r="F36" s="985">
        <v>4665.3</v>
      </c>
      <c r="G36" s="985">
        <v>6026.4440000000004</v>
      </c>
      <c r="H36" s="985">
        <v>6985.4030000000002</v>
      </c>
      <c r="I36" s="985">
        <v>7786.8429999999998</v>
      </c>
      <c r="J36" s="985">
        <v>8587.0810000000019</v>
      </c>
      <c r="K36" s="985">
        <v>8981.4399999999987</v>
      </c>
      <c r="L36" s="985">
        <v>10696.504000000001</v>
      </c>
      <c r="M36" s="985">
        <v>13519.513000000001</v>
      </c>
      <c r="N36" s="985">
        <v>15712.665000000001</v>
      </c>
      <c r="O36" s="985">
        <v>22800.255000000001</v>
      </c>
      <c r="P36" s="985">
        <v>32288.376</v>
      </c>
      <c r="Q36" s="985">
        <v>37701.866999999998</v>
      </c>
      <c r="R36" s="985">
        <v>42529.120999999999</v>
      </c>
      <c r="S36" s="985">
        <v>46156.591</v>
      </c>
      <c r="T36" s="985">
        <v>58154.618999999999</v>
      </c>
      <c r="U36" s="985">
        <v>38495.419000000002</v>
      </c>
      <c r="V36" s="985">
        <v>53379.468999999997</v>
      </c>
      <c r="W36" s="985">
        <v>68831.305000000008</v>
      </c>
      <c r="X36" s="985">
        <v>76231.047999999995</v>
      </c>
      <c r="Y36" s="1566">
        <v>80122.118587727149</v>
      </c>
      <c r="Z36" s="1566">
        <v>89777.109265819658</v>
      </c>
      <c r="AA36" s="1566">
        <v>97873.652161340535</v>
      </c>
      <c r="AB36" s="1566">
        <v>105498.08548757793</v>
      </c>
      <c r="AC36" s="1566">
        <v>112469.11900170101</v>
      </c>
      <c r="AD36" s="1566">
        <v>119833.16907300646</v>
      </c>
      <c r="AE36" s="1566">
        <v>127494.10472130327</v>
      </c>
      <c r="AF36" s="1566">
        <v>135448.81888603306</v>
      </c>
      <c r="AG36" s="1566">
        <v>143849.33813689867</v>
      </c>
      <c r="AH36" s="1566">
        <v>152641.44135862772</v>
      </c>
      <c r="AI36" s="1127"/>
      <c r="AJ36" s="1128">
        <v>3.5792041537159092E-2</v>
      </c>
      <c r="AK36" s="1128">
        <f>IFERROR((X36/U36)^(1/3)-1,"NM")</f>
        <v>0.25576279851379535</v>
      </c>
      <c r="AL36" s="1127">
        <f>IFERROR((AA36/Y36)^(1/2)-1,"NM")</f>
        <v>0.10524023107903102</v>
      </c>
      <c r="AM36" s="1127">
        <f>IFERROR((AD36/AA36)^(1/3)-1,"NM")</f>
        <v>6.9802848956718622E-2</v>
      </c>
      <c r="AN36" s="1127">
        <f>IFERROR((AH36/X36)^(1/10)-1,"NM")</f>
        <v>7.1899471509608626E-2</v>
      </c>
    </row>
    <row r="37" spans="1:40">
      <c r="A37" s="88" t="s">
        <v>46</v>
      </c>
      <c r="B37" s="1584"/>
      <c r="C37" s="1584">
        <v>6.1932698470170022E-2</v>
      </c>
      <c r="D37" s="1584">
        <v>9.2687513603935567E-2</v>
      </c>
      <c r="E37" s="1584">
        <v>0.29152206989330631</v>
      </c>
      <c r="F37" s="1584">
        <v>0.25797000156932803</v>
      </c>
      <c r="G37" s="1584">
        <v>0.2917591580391401</v>
      </c>
      <c r="H37" s="1584">
        <v>0.15912518227996464</v>
      </c>
      <c r="I37" s="1584">
        <v>0.11473067480859722</v>
      </c>
      <c r="J37" s="1584">
        <v>0.10276796385903797</v>
      </c>
      <c r="K37" s="1584">
        <v>4.5924686165181861E-2</v>
      </c>
      <c r="L37" s="1514">
        <v>0.19095646132468769</v>
      </c>
      <c r="M37" s="1514">
        <v>0.26391884675591193</v>
      </c>
      <c r="N37" s="1514">
        <v>0.16222122793920168</v>
      </c>
      <c r="O37" s="1514">
        <v>0.4510749767782869</v>
      </c>
      <c r="P37" s="1514">
        <v>0.41614100368614304</v>
      </c>
      <c r="Q37" s="1514">
        <v>0.16766067763829295</v>
      </c>
      <c r="R37" s="1514">
        <v>0.12803753193442646</v>
      </c>
      <c r="S37" s="1584">
        <v>8.5293791987847589E-2</v>
      </c>
      <c r="T37" s="1584">
        <v>0.25994181416040885</v>
      </c>
      <c r="U37" s="1584">
        <v>-0.3380505338707489</v>
      </c>
      <c r="V37" s="1584">
        <v>0.38664470699747411</v>
      </c>
      <c r="W37" s="1584">
        <v>0.28947151947127847</v>
      </c>
      <c r="X37" s="1584">
        <v>0.10750548751037026</v>
      </c>
      <c r="Y37" s="1585">
        <v>5.1043120746905535E-2</v>
      </c>
      <c r="Z37" s="1585">
        <v>0.12050343710670952</v>
      </c>
      <c r="AA37" s="1585">
        <v>9.0184936469138721E-2</v>
      </c>
      <c r="AB37" s="1585">
        <v>7.7900774701539222E-2</v>
      </c>
      <c r="AC37" s="1585">
        <v>6.6077346161356632E-2</v>
      </c>
      <c r="AD37" s="1585">
        <v>6.5476195925337377E-2</v>
      </c>
      <c r="AE37" s="1585">
        <v>6.3930009592164883E-2</v>
      </c>
      <c r="AF37" s="1585">
        <v>6.239279990332447E-2</v>
      </c>
      <c r="AG37" s="1585">
        <v>6.2019878209007118E-2</v>
      </c>
      <c r="AH37" s="1585">
        <v>6.1120220194282426E-2</v>
      </c>
      <c r="AI37" s="1128"/>
      <c r="AJ37" s="1128"/>
      <c r="AK37" s="1128"/>
      <c r="AL37" s="1128"/>
      <c r="AM37" s="1128"/>
      <c r="AN37" s="1128"/>
    </row>
    <row r="38" spans="1:40">
      <c r="A38" s="42" t="s">
        <v>731</v>
      </c>
      <c r="B38" s="955">
        <v>2474.654</v>
      </c>
      <c r="C38" s="955">
        <v>2628</v>
      </c>
      <c r="D38" s="955">
        <v>2871</v>
      </c>
      <c r="E38" s="438">
        <v>4675</v>
      </c>
      <c r="F38" s="438">
        <v>5628</v>
      </c>
      <c r="G38" s="438">
        <v>7076</v>
      </c>
      <c r="H38" s="438">
        <v>8008</v>
      </c>
      <c r="I38" s="438">
        <v>8694.1</v>
      </c>
      <c r="J38" s="955">
        <v>9097.5</v>
      </c>
      <c r="K38" s="955">
        <v>9085.1</v>
      </c>
      <c r="L38" s="438">
        <v>10501</v>
      </c>
      <c r="M38" s="438">
        <v>12785.8</v>
      </c>
      <c r="N38" s="438">
        <v>14694.7</v>
      </c>
      <c r="O38" s="438">
        <v>20668</v>
      </c>
      <c r="P38" s="438">
        <v>19896</v>
      </c>
      <c r="Q38" s="438">
        <v>21986</v>
      </c>
      <c r="R38" s="438">
        <v>23677</v>
      </c>
      <c r="S38" s="438">
        <v>25462</v>
      </c>
      <c r="T38" s="438">
        <v>27217</v>
      </c>
      <c r="U38" s="438">
        <v>19067</v>
      </c>
      <c r="V38" s="438">
        <v>26015</v>
      </c>
      <c r="W38" s="438">
        <v>33468</v>
      </c>
      <c r="X38" s="438">
        <v>39358</v>
      </c>
      <c r="Y38" s="447">
        <v>43425.470007013195</v>
      </c>
      <c r="Z38" s="447">
        <v>46778.800727374444</v>
      </c>
      <c r="AA38" s="447">
        <v>50513.060852536117</v>
      </c>
      <c r="AB38" s="447">
        <v>54273.643639592963</v>
      </c>
      <c r="AC38" s="447">
        <v>57443.170236040198</v>
      </c>
      <c r="AD38" s="447">
        <v>60770.71822387194</v>
      </c>
      <c r="AE38" s="447">
        <v>64196.691579313556</v>
      </c>
      <c r="AF38" s="447">
        <v>67674.603266294798</v>
      </c>
      <c r="AG38" s="447">
        <v>71320.731533001293</v>
      </c>
      <c r="AH38" s="447">
        <v>75076.108300838561</v>
      </c>
      <c r="AI38" s="1128"/>
      <c r="AJ38" s="1128">
        <v>-8.475799035301268E-3</v>
      </c>
      <c r="AK38" s="1128">
        <f>IFERROR((X38/U38)^(1/3)-1,"NM")</f>
        <v>0.27325938195803201</v>
      </c>
      <c r="AL38" s="1128">
        <f>IFERROR((AA38/Y38)^(1/2)-1,"NM")</f>
        <v>7.852341686337172E-2</v>
      </c>
      <c r="AM38" s="1128">
        <f>IFERROR((AD38/AA38)^(1/3)-1,"NM")</f>
        <v>6.3563834689408294E-2</v>
      </c>
      <c r="AN38" s="1128">
        <f>IFERROR((AH38/X38)^(1/10)-1,"NM")</f>
        <v>6.6711244353513388E-2</v>
      </c>
    </row>
    <row r="39" spans="1:40">
      <c r="A39" s="42" t="s">
        <v>949</v>
      </c>
      <c r="B39" s="1586">
        <v>0</v>
      </c>
      <c r="C39" s="1586">
        <v>0</v>
      </c>
      <c r="D39" s="1586">
        <v>0</v>
      </c>
      <c r="E39" s="1586">
        <v>0</v>
      </c>
      <c r="F39" s="1586">
        <v>0</v>
      </c>
      <c r="G39" s="1586">
        <v>0</v>
      </c>
      <c r="H39" s="1586">
        <v>0</v>
      </c>
      <c r="I39" s="1586">
        <v>0</v>
      </c>
      <c r="J39" s="1586">
        <v>0</v>
      </c>
      <c r="K39" s="1586">
        <v>0</v>
      </c>
      <c r="L39" s="106">
        <v>0</v>
      </c>
      <c r="M39" s="438">
        <v>0</v>
      </c>
      <c r="N39" s="438">
        <v>0</v>
      </c>
      <c r="O39" s="438">
        <v>1468</v>
      </c>
      <c r="P39" s="438">
        <v>5673</v>
      </c>
      <c r="Q39" s="438">
        <v>7591</v>
      </c>
      <c r="R39" s="438">
        <v>8570</v>
      </c>
      <c r="S39" s="438">
        <v>9887</v>
      </c>
      <c r="T39" s="438">
        <v>21207</v>
      </c>
      <c r="U39" s="438">
        <v>13860</v>
      </c>
      <c r="V39" s="438">
        <v>18414</v>
      </c>
      <c r="W39" s="438">
        <v>21976</v>
      </c>
      <c r="X39" s="438">
        <v>22966</v>
      </c>
      <c r="Y39" s="447">
        <v>24128.038526581717</v>
      </c>
      <c r="Z39" s="447">
        <v>28395.050297949008</v>
      </c>
      <c r="AA39" s="447">
        <v>31303.41823950196</v>
      </c>
      <c r="AB39" s="447">
        <v>34180.461618509551</v>
      </c>
      <c r="AC39" s="447">
        <v>37087.887058168912</v>
      </c>
      <c r="AD39" s="447">
        <v>40199.399814415628</v>
      </c>
      <c r="AE39" s="447">
        <v>43470.630835248521</v>
      </c>
      <c r="AF39" s="447">
        <v>46956.556720171888</v>
      </c>
      <c r="AG39" s="447">
        <v>50676.325618769966</v>
      </c>
      <c r="AH39" s="447">
        <v>54628.426962985388</v>
      </c>
      <c r="AI39" s="1128"/>
      <c r="AJ39" s="1128">
        <v>0.19561151566315527</v>
      </c>
      <c r="AK39" s="1128">
        <f>IFERROR((X39/U39)^(1/3)-1,"NM")</f>
        <v>0.18333409190333394</v>
      </c>
      <c r="AL39" s="1128">
        <f>IFERROR((AA39/Y39)^(1/2)-1,"NM")</f>
        <v>0.13902924021408403</v>
      </c>
      <c r="AM39" s="1128">
        <f>IFERROR((AD39/AA39)^(1/3)-1,"NM")</f>
        <v>8.6949252993030912E-2</v>
      </c>
      <c r="AN39" s="1128">
        <f>IFERROR((AH39/X39)^(1/10)-1,"NM")</f>
        <v>9.051924309602577E-2</v>
      </c>
    </row>
    <row r="40" spans="1:40">
      <c r="A40" s="42" t="s">
        <v>733</v>
      </c>
      <c r="B40" s="1586">
        <v>0</v>
      </c>
      <c r="C40" s="1586">
        <v>0</v>
      </c>
      <c r="D40" s="1586">
        <v>0</v>
      </c>
      <c r="E40" s="438">
        <v>0</v>
      </c>
      <c r="F40" s="438">
        <v>0</v>
      </c>
      <c r="G40" s="438">
        <v>347</v>
      </c>
      <c r="H40" s="438">
        <v>642</v>
      </c>
      <c r="I40" s="438">
        <v>972</v>
      </c>
      <c r="J40" s="955">
        <v>1407.7</v>
      </c>
      <c r="K40" s="955">
        <v>1810.6999999999998</v>
      </c>
      <c r="L40" s="438">
        <v>2402.1</v>
      </c>
      <c r="M40" s="438">
        <v>3416.5</v>
      </c>
      <c r="N40" s="438">
        <v>4219.5</v>
      </c>
      <c r="O40" s="438">
        <v>4621</v>
      </c>
      <c r="P40" s="438">
        <v>6718</v>
      </c>
      <c r="Q40" s="438">
        <v>8124</v>
      </c>
      <c r="R40" s="438">
        <v>10283</v>
      </c>
      <c r="S40" s="438">
        <v>10194.977999999999</v>
      </c>
      <c r="T40" s="438">
        <v>9732.4130000000005</v>
      </c>
      <c r="U40" s="438">
        <v>5586.9660000000003</v>
      </c>
      <c r="V40" s="438">
        <v>8962.0789999999997</v>
      </c>
      <c r="W40" s="438">
        <v>13387.712</v>
      </c>
      <c r="X40" s="438">
        <v>13905.773000000001</v>
      </c>
      <c r="Y40" s="447">
        <v>12567.368054132236</v>
      </c>
      <c r="Z40" s="447">
        <v>14603.258240496201</v>
      </c>
      <c r="AA40" s="447">
        <v>16057.173069302451</v>
      </c>
      <c r="AB40" s="447">
        <v>17043.980229475423</v>
      </c>
      <c r="AC40" s="447">
        <v>17938.061707491899</v>
      </c>
      <c r="AD40" s="447">
        <v>18863.051034718876</v>
      </c>
      <c r="AE40" s="447">
        <v>19826.782306741195</v>
      </c>
      <c r="AF40" s="447">
        <v>20817.658899566377</v>
      </c>
      <c r="AG40" s="447">
        <v>21852.280985127421</v>
      </c>
      <c r="AH40" s="447">
        <v>22936.906094803766</v>
      </c>
      <c r="AI40" s="1128"/>
      <c r="AJ40" s="1128">
        <v>-3.619937013872887E-2</v>
      </c>
      <c r="AK40" s="1128">
        <f>IFERROR((X40/U40)^(1/3)-1,"NM")</f>
        <v>0.35520928676790975</v>
      </c>
      <c r="AL40" s="1128">
        <f>IFERROR((AA40/Y40)^(1/2)-1,"NM")</f>
        <v>0.13034853836163141</v>
      </c>
      <c r="AM40" s="1128">
        <f>IFERROR((AD40/AA40)^(1/3)-1,"NM")</f>
        <v>5.5150195630077725E-2</v>
      </c>
      <c r="AN40" s="1128">
        <f>IFERROR((AH40/X40)^(1/10)-1,"NM")</f>
        <v>5.1317685065187302E-2</v>
      </c>
    </row>
    <row r="41" spans="1:40">
      <c r="A41" s="42" t="s">
        <v>755</v>
      </c>
      <c r="B41" s="1586">
        <v>0</v>
      </c>
      <c r="C41" s="1586">
        <v>0</v>
      </c>
      <c r="D41" s="1586">
        <v>0</v>
      </c>
      <c r="E41" s="438">
        <v>-966</v>
      </c>
      <c r="F41" s="438">
        <v>-1132</v>
      </c>
      <c r="G41" s="438">
        <v>-1397</v>
      </c>
      <c r="H41" s="438">
        <v>-1665</v>
      </c>
      <c r="I41" s="438">
        <v>-1879</v>
      </c>
      <c r="J41" s="955">
        <v>-1918.1189999999997</v>
      </c>
      <c r="K41" s="955">
        <v>-1914.3600000000004</v>
      </c>
      <c r="L41" s="438">
        <v>-2206.5959999999995</v>
      </c>
      <c r="M41" s="438">
        <v>-2682.7869999999989</v>
      </c>
      <c r="N41" s="438">
        <v>-3201.5350000000003</v>
      </c>
      <c r="O41" s="438">
        <v>-3956.7449999999999</v>
      </c>
      <c r="P41" s="438">
        <v>1.3759999999992942</v>
      </c>
      <c r="Q41" s="438">
        <v>0.86700000000018917</v>
      </c>
      <c r="R41" s="438">
        <v>-0.87900000000081491</v>
      </c>
      <c r="S41" s="438">
        <v>612.61300000000028</v>
      </c>
      <c r="T41" s="438">
        <v>-1.794000000001688</v>
      </c>
      <c r="U41" s="438">
        <v>-18.547000000000025</v>
      </c>
      <c r="V41" s="438">
        <v>-11.609999999999673</v>
      </c>
      <c r="W41" s="438">
        <v>-0.40699999999742431</v>
      </c>
      <c r="X41" s="438">
        <v>1.2749999999996362</v>
      </c>
      <c r="Y41" s="447">
        <v>1.2420000000038272</v>
      </c>
      <c r="Z41" s="447">
        <v>0</v>
      </c>
      <c r="AA41" s="447">
        <v>0</v>
      </c>
      <c r="AB41" s="447">
        <v>0</v>
      </c>
      <c r="AC41" s="447">
        <v>0</v>
      </c>
      <c r="AD41" s="447">
        <v>0</v>
      </c>
      <c r="AE41" s="447">
        <v>0</v>
      </c>
      <c r="AF41" s="447">
        <v>0</v>
      </c>
      <c r="AG41" s="447">
        <v>0</v>
      </c>
      <c r="AH41" s="447">
        <v>0</v>
      </c>
      <c r="AI41" s="1128"/>
      <c r="AJ41" s="1128"/>
      <c r="AK41" s="1128"/>
      <c r="AL41" s="1128"/>
      <c r="AM41" s="1128"/>
      <c r="AN41" s="1128"/>
    </row>
    <row r="42" spans="1:40" ht="11.25" hidden="1" customHeight="1" outlineLevel="1">
      <c r="A42" s="1497" t="s">
        <v>1315</v>
      </c>
      <c r="B42" s="1587"/>
      <c r="C42" s="1588"/>
      <c r="D42" s="1588"/>
      <c r="E42" s="1515"/>
      <c r="F42" s="1515"/>
      <c r="G42" s="1515"/>
      <c r="H42" s="1515"/>
      <c r="I42" s="1515"/>
      <c r="J42" s="1588"/>
      <c r="K42" s="1588"/>
      <c r="L42" s="1515"/>
      <c r="M42" s="1515"/>
      <c r="N42" s="1515"/>
      <c r="O42" s="1515"/>
      <c r="P42" s="1515"/>
      <c r="Q42" s="1515"/>
      <c r="R42" s="1515"/>
      <c r="S42" s="1589"/>
      <c r="T42" s="1589"/>
      <c r="U42" s="1589"/>
      <c r="V42" s="1589"/>
      <c r="W42" s="1589"/>
      <c r="X42" s="1589"/>
      <c r="Y42" s="1589"/>
      <c r="Z42" s="1589"/>
      <c r="AA42" s="1589"/>
      <c r="AB42" s="1589"/>
      <c r="AC42" s="1589"/>
      <c r="AD42" s="1589"/>
      <c r="AE42" s="1589"/>
      <c r="AF42" s="1589"/>
      <c r="AG42" s="1589"/>
      <c r="AH42" s="1589"/>
      <c r="AI42" s="1128"/>
      <c r="AJ42" s="1128"/>
      <c r="AK42" s="1128"/>
      <c r="AL42" s="1128"/>
      <c r="AM42" s="1128"/>
      <c r="AN42" s="1128"/>
    </row>
    <row r="43" spans="1:40" ht="11.25" hidden="1" customHeight="1" outlineLevel="1">
      <c r="A43" s="42" t="s">
        <v>739</v>
      </c>
      <c r="B43" s="1586">
        <v>0</v>
      </c>
      <c r="C43" s="1586">
        <v>0</v>
      </c>
      <c r="D43" s="1586">
        <v>0</v>
      </c>
      <c r="E43" s="438">
        <v>0</v>
      </c>
      <c r="F43" s="438">
        <v>0</v>
      </c>
      <c r="G43" s="438">
        <v>0</v>
      </c>
      <c r="H43" s="438">
        <v>0</v>
      </c>
      <c r="I43" s="438">
        <v>0</v>
      </c>
      <c r="J43" s="955">
        <v>7416.3132538762447</v>
      </c>
      <c r="K43" s="955">
        <v>7893.0007599895653</v>
      </c>
      <c r="L43" s="438">
        <v>9268.319720597754</v>
      </c>
      <c r="M43" s="438">
        <v>11921.302057355602</v>
      </c>
      <c r="N43" s="438">
        <v>14249.273844885998</v>
      </c>
      <c r="O43" s="438">
        <v>21212.509227896709</v>
      </c>
      <c r="P43" s="438">
        <v>25139.1237676034</v>
      </c>
      <c r="Q43" s="438">
        <v>29484.961101972011</v>
      </c>
      <c r="R43" s="438">
        <v>34504.521282015208</v>
      </c>
      <c r="S43" s="438">
        <v>43707.277342777423</v>
      </c>
      <c r="T43" s="438">
        <v>56502.43395927344</v>
      </c>
      <c r="U43" s="438">
        <v>37367.488685752025</v>
      </c>
      <c r="V43" s="438">
        <v>52240.570234885985</v>
      </c>
      <c r="W43" s="438">
        <v>67508.766021870309</v>
      </c>
      <c r="X43" s="438">
        <v>73752.955197028728</v>
      </c>
      <c r="Y43" s="447">
        <v>77293.289848877044</v>
      </c>
      <c r="Z43" s="447">
        <v>86525.673447726032</v>
      </c>
      <c r="AA43" s="447">
        <v>94287.281501078935</v>
      </c>
      <c r="AB43" s="447">
        <v>101559.03441522842</v>
      </c>
      <c r="AC43" s="447">
        <v>108207.77441639169</v>
      </c>
      <c r="AD43" s="447">
        <v>115230.8653422022</v>
      </c>
      <c r="AE43" s="447">
        <v>122544.55862177536</v>
      </c>
      <c r="AF43" s="447">
        <v>130143.52230992136</v>
      </c>
      <c r="AG43" s="447">
        <v>138163.59724284388</v>
      </c>
      <c r="AH43" s="447">
        <v>146564.19706103092</v>
      </c>
      <c r="AI43" s="1128"/>
      <c r="AJ43" s="1128"/>
      <c r="AK43" s="1128"/>
      <c r="AL43" s="1128"/>
      <c r="AM43" s="1128"/>
      <c r="AN43" s="1128"/>
    </row>
    <row r="44" spans="1:40" ht="11.25" hidden="1" customHeight="1" outlineLevel="2">
      <c r="A44" s="86" t="s">
        <v>731</v>
      </c>
      <c r="B44" s="1586">
        <v>0</v>
      </c>
      <c r="C44" s="1586">
        <v>0</v>
      </c>
      <c r="D44" s="1586">
        <v>0</v>
      </c>
      <c r="E44" s="438">
        <v>0</v>
      </c>
      <c r="F44" s="438">
        <v>0</v>
      </c>
      <c r="G44" s="438">
        <v>0</v>
      </c>
      <c r="H44" s="438">
        <v>0</v>
      </c>
      <c r="I44" s="438">
        <v>0</v>
      </c>
      <c r="J44" s="955">
        <v>6032</v>
      </c>
      <c r="K44" s="955">
        <v>6111.2000000000007</v>
      </c>
      <c r="L44" s="438">
        <v>6889.9189999999999</v>
      </c>
      <c r="M44" s="438">
        <v>8537.4189999999981</v>
      </c>
      <c r="N44" s="438">
        <v>10051.842000000001</v>
      </c>
      <c r="O44" s="438">
        <v>15158.991</v>
      </c>
      <c r="P44" s="438">
        <v>12882.855</v>
      </c>
      <c r="Q44" s="438">
        <v>13940.262000000001</v>
      </c>
      <c r="R44" s="438">
        <v>15839.212</v>
      </c>
      <c r="S44" s="438">
        <v>23824.762999999999</v>
      </c>
      <c r="T44" s="438">
        <v>26086.892999999996</v>
      </c>
      <c r="U44" s="438">
        <v>18285.574000000001</v>
      </c>
      <c r="V44" s="438">
        <v>25377.499</v>
      </c>
      <c r="W44" s="438">
        <v>32773.726999999999</v>
      </c>
      <c r="X44" s="438">
        <v>37509.160000000003</v>
      </c>
      <c r="Y44" s="447">
        <v>41222.78022459049</v>
      </c>
      <c r="Z44" s="447">
        <v>44284.359704332033</v>
      </c>
      <c r="AA44" s="447">
        <v>47701.023643730674</v>
      </c>
      <c r="AB44" s="447">
        <v>51160.062456637854</v>
      </c>
      <c r="AC44" s="447">
        <v>54060.342064381934</v>
      </c>
      <c r="AD44" s="447">
        <v>57103.650097147547</v>
      </c>
      <c r="AE44" s="447">
        <v>60242.369923938517</v>
      </c>
      <c r="AF44" s="447">
        <v>63428.872347601529</v>
      </c>
      <c r="AG44" s="447">
        <v>66768.075126619238</v>
      </c>
      <c r="AH44" s="447">
        <v>70213.339522067356</v>
      </c>
      <c r="AI44" s="1128"/>
      <c r="AJ44" s="1272"/>
      <c r="AK44" s="1128"/>
      <c r="AL44" s="1128"/>
      <c r="AM44" s="1128"/>
      <c r="AN44" s="1128"/>
    </row>
    <row r="45" spans="1:40" ht="11.25" hidden="1" customHeight="1" outlineLevel="2">
      <c r="A45" s="86" t="s">
        <v>949</v>
      </c>
      <c r="B45" s="1586">
        <v>0</v>
      </c>
      <c r="C45" s="1586">
        <v>0</v>
      </c>
      <c r="D45" s="1586">
        <v>0</v>
      </c>
      <c r="E45" s="438">
        <v>0</v>
      </c>
      <c r="F45" s="438">
        <v>0</v>
      </c>
      <c r="G45" s="438">
        <v>0</v>
      </c>
      <c r="H45" s="438">
        <v>0</v>
      </c>
      <c r="I45" s="438">
        <v>0</v>
      </c>
      <c r="J45" s="1586">
        <v>0</v>
      </c>
      <c r="K45" s="1586">
        <v>0</v>
      </c>
      <c r="L45" s="438">
        <v>0</v>
      </c>
      <c r="M45" s="438">
        <v>0</v>
      </c>
      <c r="N45" s="438">
        <v>0</v>
      </c>
      <c r="O45" s="438">
        <v>1438.0019461563413</v>
      </c>
      <c r="P45" s="438">
        <v>5553.0794698838818</v>
      </c>
      <c r="Q45" s="438">
        <v>7437.0882252644215</v>
      </c>
      <c r="R45" s="438">
        <v>8401.3262225735634</v>
      </c>
      <c r="S45" s="438">
        <v>9703.3249278333606</v>
      </c>
      <c r="T45" s="438">
        <v>20698.116579915404</v>
      </c>
      <c r="U45" s="438">
        <v>13505.364833031459</v>
      </c>
      <c r="V45" s="438">
        <v>17924.478099027656</v>
      </c>
      <c r="W45" s="438">
        <v>21388.628863315877</v>
      </c>
      <c r="X45" s="438">
        <v>22380.611228129557</v>
      </c>
      <c r="Y45" s="447">
        <v>23529.843745508242</v>
      </c>
      <c r="Z45" s="447">
        <v>27695.048586117118</v>
      </c>
      <c r="AA45" s="447">
        <v>30609.873187230274</v>
      </c>
      <c r="AB45" s="447">
        <v>33459.835635837881</v>
      </c>
      <c r="AC45" s="447">
        <v>36337.915614437617</v>
      </c>
      <c r="AD45" s="447">
        <v>39419.198836671087</v>
      </c>
      <c r="AE45" s="447">
        <v>42661.436419487058</v>
      </c>
      <c r="AF45" s="447">
        <v>46117.779534733199</v>
      </c>
      <c r="AG45" s="447">
        <v>49807.107372544378</v>
      </c>
      <c r="AH45" s="447">
        <v>53728.060024560931</v>
      </c>
      <c r="AI45" s="1128"/>
      <c r="AJ45" s="1272"/>
      <c r="AK45" s="1128"/>
      <c r="AL45" s="1128"/>
      <c r="AM45" s="1128"/>
      <c r="AN45" s="1128"/>
    </row>
    <row r="46" spans="1:40" ht="11.25" hidden="1" customHeight="1" outlineLevel="2">
      <c r="A46" s="86" t="s">
        <v>733</v>
      </c>
      <c r="B46" s="1586">
        <v>0</v>
      </c>
      <c r="C46" s="1586">
        <v>0</v>
      </c>
      <c r="D46" s="1586">
        <v>0</v>
      </c>
      <c r="E46" s="438">
        <v>0</v>
      </c>
      <c r="F46" s="438">
        <v>0</v>
      </c>
      <c r="G46" s="438">
        <v>0</v>
      </c>
      <c r="H46" s="438">
        <v>0</v>
      </c>
      <c r="I46" s="438">
        <v>0</v>
      </c>
      <c r="J46" s="955">
        <v>1384.3132538762447</v>
      </c>
      <c r="K46" s="955">
        <v>1781.8007599895641</v>
      </c>
      <c r="L46" s="438">
        <v>2378.4007205977541</v>
      </c>
      <c r="M46" s="438">
        <v>3383.8830573556043</v>
      </c>
      <c r="N46" s="438">
        <v>4197.4318448859976</v>
      </c>
      <c r="O46" s="438">
        <v>4615.516281740368</v>
      </c>
      <c r="P46" s="438">
        <v>6703.1892977195157</v>
      </c>
      <c r="Q46" s="438">
        <v>8107.6108767075912</v>
      </c>
      <c r="R46" s="438">
        <v>10263.983059441645</v>
      </c>
      <c r="S46" s="438">
        <v>10179.18941494406</v>
      </c>
      <c r="T46" s="438">
        <v>9717.4243793580372</v>
      </c>
      <c r="U46" s="438">
        <v>5576.5498527205646</v>
      </c>
      <c r="V46" s="438">
        <v>8938.5931358583257</v>
      </c>
      <c r="W46" s="438">
        <v>13346.410158554427</v>
      </c>
      <c r="X46" s="438">
        <v>13863.183968899175</v>
      </c>
      <c r="Y46" s="447">
        <v>12540.665878778307</v>
      </c>
      <c r="Z46" s="447">
        <v>14546.265157276888</v>
      </c>
      <c r="AA46" s="447">
        <v>15976.384670117985</v>
      </c>
      <c r="AB46" s="447">
        <v>16939.136322752693</v>
      </c>
      <c r="AC46" s="447">
        <v>17809.516737572132</v>
      </c>
      <c r="AD46" s="447">
        <v>18708.016408383566</v>
      </c>
      <c r="AE46" s="447">
        <v>19640.752278349777</v>
      </c>
      <c r="AF46" s="447">
        <v>20596.870427586633</v>
      </c>
      <c r="AG46" s="447">
        <v>21588.41474368026</v>
      </c>
      <c r="AH46" s="447">
        <v>22622.797514402635</v>
      </c>
      <c r="AI46" s="1128"/>
      <c r="AJ46" s="1272"/>
      <c r="AK46" s="1128"/>
      <c r="AL46" s="1128"/>
      <c r="AM46" s="1128"/>
      <c r="AN46" s="1128"/>
    </row>
    <row r="47" spans="1:40" ht="11.25" hidden="1" customHeight="1" outlineLevel="1">
      <c r="A47" s="42" t="s">
        <v>744</v>
      </c>
      <c r="B47" s="1586">
        <v>0</v>
      </c>
      <c r="C47" s="1586">
        <v>0</v>
      </c>
      <c r="D47" s="1586">
        <v>0</v>
      </c>
      <c r="E47" s="438">
        <v>0</v>
      </c>
      <c r="F47" s="438">
        <v>0</v>
      </c>
      <c r="G47" s="438">
        <v>0</v>
      </c>
      <c r="H47" s="438">
        <v>0</v>
      </c>
      <c r="I47" s="438">
        <v>0</v>
      </c>
      <c r="J47" s="955">
        <v>3065.5</v>
      </c>
      <c r="K47" s="955">
        <v>2973.8999999999996</v>
      </c>
      <c r="L47" s="438">
        <v>3396.6000000000004</v>
      </c>
      <c r="M47" s="438">
        <v>4033.8999999999996</v>
      </c>
      <c r="N47" s="438">
        <v>4329.3</v>
      </c>
      <c r="O47" s="438">
        <v>5064</v>
      </c>
      <c r="P47" s="438">
        <v>6374</v>
      </c>
      <c r="Q47" s="438">
        <v>7258</v>
      </c>
      <c r="R47" s="438">
        <v>7026</v>
      </c>
      <c r="S47" s="438">
        <v>974.42199999999991</v>
      </c>
      <c r="T47" s="438">
        <v>235.69200000000001</v>
      </c>
      <c r="U47" s="438">
        <v>275.13300000000004</v>
      </c>
      <c r="V47" s="438">
        <v>320.24799999999999</v>
      </c>
      <c r="W47" s="438">
        <v>394.911</v>
      </c>
      <c r="X47" s="438">
        <v>1522.79</v>
      </c>
      <c r="Y47" s="447">
        <v>1816.7821397254957</v>
      </c>
      <c r="Z47" s="447">
        <v>2057.5344503744545</v>
      </c>
      <c r="AA47" s="447">
        <v>2319.2110441004311</v>
      </c>
      <c r="AB47" s="447">
        <v>2567.7142938770962</v>
      </c>
      <c r="AC47" s="447">
        <v>2789.7157875485873</v>
      </c>
      <c r="AD47" s="447">
        <v>3024.0788056113588</v>
      </c>
      <c r="AE47" s="447">
        <v>3260.8020750258838</v>
      </c>
      <c r="AF47" s="447">
        <v>3501.0733340235338</v>
      </c>
      <c r="AG47" s="447">
        <v>3754.1374572475615</v>
      </c>
      <c r="AH47" s="447">
        <v>4009.7228378976952</v>
      </c>
      <c r="AI47" s="1128"/>
      <c r="AJ47" s="1128">
        <v>-0.46663302088537983</v>
      </c>
      <c r="AK47" s="1128">
        <f>IFERROR((X47/U47)^(1/3)-1,"NM")</f>
        <v>0.76888301104618129</v>
      </c>
      <c r="AL47" s="1128">
        <f>IFERROR((AA47/Y47)^(1/2)-1,"NM")</f>
        <v>0.12984458713043945</v>
      </c>
      <c r="AM47" s="1128">
        <f>IFERROR((AD47/AA47)^(1/3)-1,"NM")</f>
        <v>9.2490354515725848E-2</v>
      </c>
      <c r="AN47" s="1128">
        <f>IFERROR((AH47/X47)^(1/10)-1,"NM")</f>
        <v>0.10165962661931416</v>
      </c>
    </row>
    <row r="48" spans="1:40" ht="11.25" hidden="1" customHeight="1" outlineLevel="2">
      <c r="A48" s="86" t="s">
        <v>731</v>
      </c>
      <c r="B48" s="1586">
        <v>0</v>
      </c>
      <c r="C48" s="1586">
        <v>0</v>
      </c>
      <c r="D48" s="1586">
        <v>0</v>
      </c>
      <c r="E48" s="438">
        <v>0</v>
      </c>
      <c r="F48" s="438">
        <v>0</v>
      </c>
      <c r="G48" s="438">
        <v>0</v>
      </c>
      <c r="H48" s="438">
        <v>0</v>
      </c>
      <c r="I48" s="438">
        <v>0</v>
      </c>
      <c r="J48" s="955">
        <v>3065.5</v>
      </c>
      <c r="K48" s="955">
        <v>2973.8999999999996</v>
      </c>
      <c r="L48" s="438">
        <v>3396.6000000000004</v>
      </c>
      <c r="M48" s="438">
        <v>4033.8999999999996</v>
      </c>
      <c r="N48" s="438">
        <v>4329.3</v>
      </c>
      <c r="O48" s="438">
        <v>5064</v>
      </c>
      <c r="P48" s="438">
        <v>6374</v>
      </c>
      <c r="Q48" s="438">
        <v>7258</v>
      </c>
      <c r="R48" s="438">
        <v>7026</v>
      </c>
      <c r="S48" s="438">
        <v>974.42199999999991</v>
      </c>
      <c r="T48" s="438">
        <v>235.69200000000001</v>
      </c>
      <c r="U48" s="438">
        <v>275.13300000000004</v>
      </c>
      <c r="V48" s="438">
        <v>320.24799999999999</v>
      </c>
      <c r="W48" s="438">
        <v>394.911</v>
      </c>
      <c r="X48" s="438">
        <v>1522.79</v>
      </c>
      <c r="Y48" s="447">
        <v>1816.7821397254957</v>
      </c>
      <c r="Z48" s="447">
        <v>2057.5344503744545</v>
      </c>
      <c r="AA48" s="447">
        <v>2319.2110441004311</v>
      </c>
      <c r="AB48" s="447">
        <v>2567.7142938770962</v>
      </c>
      <c r="AC48" s="447">
        <v>2789.7157875485873</v>
      </c>
      <c r="AD48" s="447">
        <v>3024.0788056113588</v>
      </c>
      <c r="AE48" s="447">
        <v>3260.8020750258838</v>
      </c>
      <c r="AF48" s="447">
        <v>3501.0733340235338</v>
      </c>
      <c r="AG48" s="447">
        <v>3754.1374572475615</v>
      </c>
      <c r="AH48" s="447">
        <v>4009.7228378976952</v>
      </c>
      <c r="AI48" s="1128"/>
      <c r="AJ48" s="1128"/>
      <c r="AK48" s="1128"/>
      <c r="AL48" s="1128"/>
      <c r="AM48" s="1128"/>
      <c r="AN48" s="1128"/>
    </row>
    <row r="49" spans="1:40" ht="11.25" hidden="1" customHeight="1" outlineLevel="2">
      <c r="A49" s="86" t="s">
        <v>949</v>
      </c>
      <c r="B49" s="955" t="s">
        <v>628</v>
      </c>
      <c r="C49" s="955" t="s">
        <v>628</v>
      </c>
      <c r="D49" s="955" t="s">
        <v>628</v>
      </c>
      <c r="E49" s="438" t="s">
        <v>628</v>
      </c>
      <c r="F49" s="438" t="s">
        <v>628</v>
      </c>
      <c r="G49" s="438" t="s">
        <v>628</v>
      </c>
      <c r="H49" s="438" t="s">
        <v>628</v>
      </c>
      <c r="I49" s="438" t="s">
        <v>628</v>
      </c>
      <c r="J49" s="955" t="s">
        <v>628</v>
      </c>
      <c r="K49" s="955" t="s">
        <v>628</v>
      </c>
      <c r="L49" s="438" t="s">
        <v>628</v>
      </c>
      <c r="M49" s="438" t="s">
        <v>628</v>
      </c>
      <c r="N49" s="438" t="s">
        <v>628</v>
      </c>
      <c r="O49" s="438" t="s">
        <v>628</v>
      </c>
      <c r="P49" s="438" t="s">
        <v>628</v>
      </c>
      <c r="Q49" s="438" t="s">
        <v>628</v>
      </c>
      <c r="R49" s="438" t="s">
        <v>628</v>
      </c>
      <c r="S49" s="438" t="s">
        <v>628</v>
      </c>
      <c r="T49" s="438" t="s">
        <v>628</v>
      </c>
      <c r="U49" s="438" t="s">
        <v>628</v>
      </c>
      <c r="V49" s="438" t="s">
        <v>628</v>
      </c>
      <c r="W49" s="438" t="s">
        <v>628</v>
      </c>
      <c r="X49" s="438" t="s">
        <v>628</v>
      </c>
      <c r="Y49" s="447" t="s">
        <v>628</v>
      </c>
      <c r="Z49" s="447" t="s">
        <v>628</v>
      </c>
      <c r="AA49" s="447" t="s">
        <v>628</v>
      </c>
      <c r="AB49" s="447" t="s">
        <v>628</v>
      </c>
      <c r="AC49" s="447" t="s">
        <v>628</v>
      </c>
      <c r="AD49" s="447" t="s">
        <v>628</v>
      </c>
      <c r="AE49" s="447" t="s">
        <v>628</v>
      </c>
      <c r="AF49" s="447" t="s">
        <v>628</v>
      </c>
      <c r="AG49" s="447" t="s">
        <v>628</v>
      </c>
      <c r="AH49" s="447" t="s">
        <v>628</v>
      </c>
      <c r="AI49" s="1128"/>
      <c r="AJ49" s="1128"/>
      <c r="AK49" s="1128"/>
      <c r="AL49" s="1128"/>
      <c r="AM49" s="1128"/>
      <c r="AN49" s="1128"/>
    </row>
    <row r="50" spans="1:40" ht="11.25" hidden="1" customHeight="1" outlineLevel="2">
      <c r="A50" s="86" t="s">
        <v>733</v>
      </c>
      <c r="B50" s="955" t="s">
        <v>628</v>
      </c>
      <c r="C50" s="955" t="s">
        <v>628</v>
      </c>
      <c r="D50" s="955" t="s">
        <v>628</v>
      </c>
      <c r="E50" s="438" t="s">
        <v>628</v>
      </c>
      <c r="F50" s="438" t="s">
        <v>628</v>
      </c>
      <c r="G50" s="438" t="s">
        <v>628</v>
      </c>
      <c r="H50" s="438" t="s">
        <v>628</v>
      </c>
      <c r="I50" s="438" t="s">
        <v>628</v>
      </c>
      <c r="J50" s="955" t="s">
        <v>628</v>
      </c>
      <c r="K50" s="955" t="s">
        <v>628</v>
      </c>
      <c r="L50" s="438" t="s">
        <v>628</v>
      </c>
      <c r="M50" s="438" t="s">
        <v>628</v>
      </c>
      <c r="N50" s="438" t="s">
        <v>628</v>
      </c>
      <c r="O50" s="438" t="s">
        <v>628</v>
      </c>
      <c r="P50" s="438" t="s">
        <v>628</v>
      </c>
      <c r="Q50" s="438" t="s">
        <v>628</v>
      </c>
      <c r="R50" s="438" t="s">
        <v>628</v>
      </c>
      <c r="S50" s="438" t="s">
        <v>628</v>
      </c>
      <c r="T50" s="438" t="s">
        <v>628</v>
      </c>
      <c r="U50" s="438" t="s">
        <v>628</v>
      </c>
      <c r="V50" s="438" t="s">
        <v>628</v>
      </c>
      <c r="W50" s="438" t="s">
        <v>628</v>
      </c>
      <c r="X50" s="438" t="s">
        <v>628</v>
      </c>
      <c r="Y50" s="447" t="s">
        <v>628</v>
      </c>
      <c r="Z50" s="447" t="s">
        <v>628</v>
      </c>
      <c r="AA50" s="447" t="s">
        <v>628</v>
      </c>
      <c r="AB50" s="447" t="s">
        <v>628</v>
      </c>
      <c r="AC50" s="447" t="s">
        <v>628</v>
      </c>
      <c r="AD50" s="447" t="s">
        <v>628</v>
      </c>
      <c r="AE50" s="447" t="s">
        <v>628</v>
      </c>
      <c r="AF50" s="447" t="s">
        <v>628</v>
      </c>
      <c r="AG50" s="447" t="s">
        <v>628</v>
      </c>
      <c r="AH50" s="447" t="s">
        <v>628</v>
      </c>
      <c r="AI50" s="1128"/>
      <c r="AJ50" s="1128"/>
      <c r="AK50" s="1128"/>
      <c r="AL50" s="1128"/>
      <c r="AM50" s="1128"/>
      <c r="AN50" s="1128"/>
    </row>
    <row r="51" spans="1:40" ht="11.25" hidden="1" customHeight="1" outlineLevel="1">
      <c r="A51" s="42" t="s">
        <v>1028</v>
      </c>
      <c r="B51" s="1586">
        <v>0</v>
      </c>
      <c r="C51" s="1586">
        <v>0</v>
      </c>
      <c r="D51" s="1586">
        <v>0</v>
      </c>
      <c r="E51" s="438">
        <v>0</v>
      </c>
      <c r="F51" s="438">
        <v>0</v>
      </c>
      <c r="G51" s="438">
        <v>0</v>
      </c>
      <c r="H51" s="438">
        <v>0</v>
      </c>
      <c r="I51" s="438">
        <v>0</v>
      </c>
      <c r="J51" s="955">
        <v>23.386746123755337</v>
      </c>
      <c r="K51" s="955">
        <v>28.899240010435861</v>
      </c>
      <c r="L51" s="438">
        <v>238.18027940224619</v>
      </c>
      <c r="M51" s="438">
        <v>247.09794264439591</v>
      </c>
      <c r="N51" s="438">
        <v>335.62615511400259</v>
      </c>
      <c r="O51" s="438">
        <v>480.49077210329079</v>
      </c>
      <c r="P51" s="438">
        <v>773.87623239660206</v>
      </c>
      <c r="Q51" s="438">
        <v>958.03889802798665</v>
      </c>
      <c r="R51" s="438">
        <v>999.47871798479071</v>
      </c>
      <c r="S51" s="438">
        <v>862.27865722258105</v>
      </c>
      <c r="T51" s="438">
        <v>1418.28704072656</v>
      </c>
      <c r="U51" s="438">
        <v>871.34431424797663</v>
      </c>
      <c r="V51" s="438">
        <v>830.26076511401914</v>
      </c>
      <c r="W51" s="438">
        <v>928.03497812969715</v>
      </c>
      <c r="X51" s="438">
        <v>954.02780297126628</v>
      </c>
      <c r="Y51" s="447">
        <v>1010.8045991246158</v>
      </c>
      <c r="Z51" s="447">
        <v>1193.901367719164</v>
      </c>
      <c r="AA51" s="447">
        <v>1267.1596161611446</v>
      </c>
      <c r="AB51" s="447">
        <v>1371.3367784724041</v>
      </c>
      <c r="AC51" s="447">
        <v>1471.6287977607444</v>
      </c>
      <c r="AD51" s="447">
        <v>1578.2249251928897</v>
      </c>
      <c r="AE51" s="447">
        <v>1688.7440245020198</v>
      </c>
      <c r="AF51" s="447">
        <v>1804.2232420881646</v>
      </c>
      <c r="AG51" s="447">
        <v>1931.6034368072465</v>
      </c>
      <c r="AH51" s="447">
        <v>2067.5214596990959</v>
      </c>
      <c r="AI51" s="1128"/>
      <c r="AJ51" s="1128"/>
      <c r="AK51" s="1128"/>
      <c r="AL51" s="1128"/>
      <c r="AM51" s="1128"/>
      <c r="AN51" s="1128"/>
    </row>
    <row r="52" spans="1:40" ht="11.25" hidden="1" customHeight="1" outlineLevel="2">
      <c r="A52" s="86" t="s">
        <v>731</v>
      </c>
      <c r="B52" s="1586">
        <v>0</v>
      </c>
      <c r="C52" s="1586">
        <v>0</v>
      </c>
      <c r="D52" s="1586">
        <v>0</v>
      </c>
      <c r="E52" s="438">
        <v>0</v>
      </c>
      <c r="F52" s="438">
        <v>0</v>
      </c>
      <c r="G52" s="438">
        <v>0</v>
      </c>
      <c r="H52" s="438">
        <v>0</v>
      </c>
      <c r="I52" s="438">
        <v>0</v>
      </c>
      <c r="J52" s="1586">
        <v>0</v>
      </c>
      <c r="K52" s="1586">
        <v>0</v>
      </c>
      <c r="L52" s="438">
        <v>214.48099999999999</v>
      </c>
      <c r="M52" s="438">
        <v>214.48099999999999</v>
      </c>
      <c r="N52" s="438">
        <v>313.55799999999999</v>
      </c>
      <c r="O52" s="438">
        <v>445.00900000000001</v>
      </c>
      <c r="P52" s="438">
        <v>639.14499999999998</v>
      </c>
      <c r="Q52" s="438">
        <v>787.73800000000006</v>
      </c>
      <c r="R52" s="438">
        <v>811.78800000000001</v>
      </c>
      <c r="S52" s="438">
        <v>662.81500000000005</v>
      </c>
      <c r="T52" s="438">
        <v>894.41499999999996</v>
      </c>
      <c r="U52" s="438">
        <v>506.29300000000001</v>
      </c>
      <c r="V52" s="438">
        <v>317.25299999999999</v>
      </c>
      <c r="W52" s="438">
        <v>299.36200000000002</v>
      </c>
      <c r="X52" s="438">
        <v>326.05</v>
      </c>
      <c r="Y52" s="447">
        <v>385.90764269720643</v>
      </c>
      <c r="Z52" s="447">
        <v>436.90657266796109</v>
      </c>
      <c r="AA52" s="447">
        <v>492.82616470499875</v>
      </c>
      <c r="AB52" s="447">
        <v>545.86688907800806</v>
      </c>
      <c r="AC52" s="447">
        <v>593.1123841096794</v>
      </c>
      <c r="AD52" s="447">
        <v>642.98932111304634</v>
      </c>
      <c r="AE52" s="447">
        <v>693.51958034915094</v>
      </c>
      <c r="AF52" s="447">
        <v>744.6575846697292</v>
      </c>
      <c r="AG52" s="447">
        <v>798.5189491344895</v>
      </c>
      <c r="AH52" s="447">
        <v>853.04594087349801</v>
      </c>
      <c r="AI52" s="1128"/>
      <c r="AJ52" s="1128"/>
      <c r="AK52" s="1128"/>
      <c r="AL52" s="1128"/>
      <c r="AM52" s="1128"/>
      <c r="AN52" s="1128"/>
    </row>
    <row r="53" spans="1:40" ht="11.25" hidden="1" customHeight="1" outlineLevel="2">
      <c r="A53" s="86" t="s">
        <v>949</v>
      </c>
      <c r="B53" s="1586">
        <v>0</v>
      </c>
      <c r="C53" s="1586">
        <v>0</v>
      </c>
      <c r="D53" s="1586">
        <v>0</v>
      </c>
      <c r="E53" s="438">
        <v>0</v>
      </c>
      <c r="F53" s="438">
        <v>0</v>
      </c>
      <c r="G53" s="438">
        <v>0</v>
      </c>
      <c r="H53" s="438">
        <v>0</v>
      </c>
      <c r="I53" s="438">
        <v>0</v>
      </c>
      <c r="J53" s="1586">
        <v>0</v>
      </c>
      <c r="K53" s="1586">
        <v>0</v>
      </c>
      <c r="L53" s="438">
        <v>0</v>
      </c>
      <c r="M53" s="438">
        <v>0</v>
      </c>
      <c r="N53" s="438">
        <v>0</v>
      </c>
      <c r="O53" s="438">
        <v>29.99805384365877</v>
      </c>
      <c r="P53" s="438">
        <v>119.92053011611762</v>
      </c>
      <c r="Q53" s="438">
        <v>153.91177473557826</v>
      </c>
      <c r="R53" s="438">
        <v>168.67377742643626</v>
      </c>
      <c r="S53" s="438">
        <v>183.67507216664126</v>
      </c>
      <c r="T53" s="438">
        <v>508.88342008459722</v>
      </c>
      <c r="U53" s="438">
        <v>354.63516696854089</v>
      </c>
      <c r="V53" s="438">
        <v>489.52190097234342</v>
      </c>
      <c r="W53" s="438">
        <v>587.37113668412485</v>
      </c>
      <c r="X53" s="438">
        <v>585.38877187044068</v>
      </c>
      <c r="Y53" s="447">
        <v>598.19478107347948</v>
      </c>
      <c r="Z53" s="447">
        <v>700.00171183188945</v>
      </c>
      <c r="AA53" s="447">
        <v>693.54505227167897</v>
      </c>
      <c r="AB53" s="447">
        <v>720.62598267166925</v>
      </c>
      <c r="AC53" s="447">
        <v>749.97144373129765</v>
      </c>
      <c r="AD53" s="447">
        <v>780.20097774453723</v>
      </c>
      <c r="AE53" s="447">
        <v>809.19441576145277</v>
      </c>
      <c r="AF53" s="447">
        <v>838.77718543869196</v>
      </c>
      <c r="AG53" s="447">
        <v>869.21824622559416</v>
      </c>
      <c r="AH53" s="447">
        <v>900.36693842446334</v>
      </c>
      <c r="AI53" s="1128"/>
      <c r="AJ53" s="1128"/>
      <c r="AK53" s="1128"/>
      <c r="AL53" s="1128"/>
      <c r="AM53" s="1128"/>
      <c r="AN53" s="1128"/>
    </row>
    <row r="54" spans="1:40" ht="11.25" hidden="1" customHeight="1" outlineLevel="2">
      <c r="A54" s="86" t="s">
        <v>733</v>
      </c>
      <c r="B54" s="1586">
        <v>0</v>
      </c>
      <c r="C54" s="1586">
        <v>0</v>
      </c>
      <c r="D54" s="1586">
        <v>0</v>
      </c>
      <c r="E54" s="438">
        <v>0</v>
      </c>
      <c r="F54" s="438">
        <v>0</v>
      </c>
      <c r="G54" s="438">
        <v>0</v>
      </c>
      <c r="H54" s="438">
        <v>0</v>
      </c>
      <c r="I54" s="438">
        <v>0</v>
      </c>
      <c r="J54" s="955">
        <v>23.386746123755337</v>
      </c>
      <c r="K54" s="955">
        <v>28.899240010435861</v>
      </c>
      <c r="L54" s="438">
        <v>23.699279402246194</v>
      </c>
      <c r="M54" s="438">
        <v>32.616942644395934</v>
      </c>
      <c r="N54" s="438">
        <v>22.068155114002614</v>
      </c>
      <c r="O54" s="438">
        <v>5.4837182596319671</v>
      </c>
      <c r="P54" s="438">
        <v>14.81070228048447</v>
      </c>
      <c r="Q54" s="438">
        <v>16.389123292408243</v>
      </c>
      <c r="R54" s="438">
        <v>19.01694055835441</v>
      </c>
      <c r="S54" s="438">
        <v>15.788585055939711</v>
      </c>
      <c r="T54" s="438">
        <v>14.98862064196287</v>
      </c>
      <c r="U54" s="438">
        <v>10.416147279435753</v>
      </c>
      <c r="V54" s="438">
        <v>23.485864141675712</v>
      </c>
      <c r="W54" s="438">
        <v>41.30184144557218</v>
      </c>
      <c r="X54" s="438">
        <v>42.589031100825608</v>
      </c>
      <c r="Y54" s="447">
        <v>26.702175353929984</v>
      </c>
      <c r="Z54" s="447">
        <v>56.99308321931337</v>
      </c>
      <c r="AA54" s="447">
        <v>80.788399184466854</v>
      </c>
      <c r="AB54" s="447">
        <v>104.84390672272684</v>
      </c>
      <c r="AC54" s="447">
        <v>128.5449699197676</v>
      </c>
      <c r="AD54" s="447">
        <v>155.03462633530626</v>
      </c>
      <c r="AE54" s="447">
        <v>186.03002839141612</v>
      </c>
      <c r="AF54" s="447">
        <v>220.78847197974341</v>
      </c>
      <c r="AG54" s="447">
        <v>263.86624144716291</v>
      </c>
      <c r="AH54" s="447">
        <v>314.10858040113465</v>
      </c>
      <c r="AI54" s="1128"/>
      <c r="AJ54" s="1128"/>
      <c r="AK54" s="1128"/>
      <c r="AL54" s="1128"/>
      <c r="AM54" s="1128"/>
      <c r="AN54" s="1128"/>
    </row>
    <row r="55" spans="1:40" hidden="1" outlineLevel="1">
      <c r="A55" s="1128"/>
      <c r="B55" s="1128"/>
      <c r="C55" s="1128"/>
      <c r="D55" s="1128"/>
      <c r="E55" s="1128"/>
      <c r="F55" s="1128"/>
      <c r="G55" s="1128"/>
      <c r="H55" s="1128"/>
      <c r="I55" s="1128"/>
      <c r="J55" s="1128"/>
      <c r="K55" s="1128"/>
      <c r="L55" s="1128"/>
      <c r="M55" s="1128"/>
      <c r="N55" s="1128"/>
      <c r="O55" s="1128"/>
      <c r="P55" s="1128"/>
      <c r="Q55" s="1128"/>
      <c r="R55" s="1128"/>
      <c r="S55" s="1128"/>
      <c r="T55" s="1128"/>
      <c r="U55" s="1128"/>
      <c r="V55" s="1128"/>
      <c r="W55" s="1128"/>
      <c r="X55" s="1128"/>
      <c r="Y55" s="1128"/>
      <c r="Z55" s="1128"/>
      <c r="AA55" s="1128"/>
      <c r="AB55" s="1128"/>
      <c r="AC55" s="1128"/>
      <c r="AD55" s="1128"/>
      <c r="AE55" s="1128"/>
      <c r="AF55" s="1128"/>
      <c r="AG55" s="1128"/>
      <c r="AH55" s="1128"/>
      <c r="AI55" s="1128"/>
      <c r="AJ55" s="1128"/>
      <c r="AK55" s="1128"/>
      <c r="AL55" s="1128"/>
      <c r="AM55" s="1128"/>
      <c r="AN55" s="1128"/>
    </row>
    <row r="56" spans="1:40" hidden="1" outlineLevel="1">
      <c r="A56" s="1128"/>
      <c r="B56" s="1128"/>
      <c r="C56" s="1128"/>
      <c r="D56" s="1128"/>
      <c r="E56" s="1128"/>
      <c r="F56" s="1128"/>
      <c r="G56" s="1128"/>
      <c r="H56" s="1128"/>
      <c r="I56" s="1128"/>
      <c r="J56" s="1128"/>
      <c r="K56" s="1128"/>
      <c r="L56" s="1128"/>
      <c r="M56" s="1128"/>
      <c r="N56" s="1128"/>
      <c r="O56" s="1128"/>
      <c r="P56" s="1128"/>
      <c r="Q56" s="1128"/>
      <c r="R56" s="1128"/>
      <c r="S56" s="1128"/>
      <c r="T56" s="1128"/>
      <c r="U56" s="1128"/>
      <c r="V56" s="1128"/>
      <c r="W56" s="1128"/>
      <c r="X56" s="1128"/>
      <c r="Y56" s="1128"/>
      <c r="Z56" s="1128"/>
      <c r="AA56" s="1128"/>
      <c r="AB56" s="1128"/>
      <c r="AC56" s="1128"/>
      <c r="AD56" s="1128"/>
      <c r="AE56" s="1128"/>
      <c r="AF56" s="1128"/>
      <c r="AG56" s="1128"/>
      <c r="AH56" s="1128"/>
      <c r="AI56" s="1128"/>
      <c r="AJ56" s="1128"/>
      <c r="AK56" s="1128"/>
      <c r="AL56" s="1128"/>
      <c r="AM56" s="1128"/>
      <c r="AN56" s="1128"/>
    </row>
    <row r="57" spans="1:40" hidden="1" outlineLevel="1">
      <c r="A57" s="1128"/>
      <c r="B57" s="1128"/>
      <c r="C57" s="1128"/>
      <c r="D57" s="1128"/>
      <c r="E57" s="1128"/>
      <c r="F57" s="1128"/>
      <c r="G57" s="1128"/>
      <c r="H57" s="1128"/>
      <c r="I57" s="1128"/>
      <c r="J57" s="1128"/>
      <c r="K57" s="1128"/>
      <c r="L57" s="1128"/>
      <c r="M57" s="1128"/>
      <c r="N57" s="1128"/>
      <c r="O57" s="1128"/>
      <c r="P57" s="1128"/>
      <c r="Q57" s="1128"/>
      <c r="R57" s="1128"/>
      <c r="S57" s="1128"/>
      <c r="T57" s="1128"/>
      <c r="U57" s="1128"/>
      <c r="V57" s="1128"/>
      <c r="W57" s="1128"/>
      <c r="X57" s="1128"/>
      <c r="Y57" s="1128"/>
      <c r="Z57" s="1128"/>
      <c r="AA57" s="1128"/>
      <c r="AB57" s="1128"/>
      <c r="AC57" s="1128"/>
      <c r="AD57" s="1128"/>
      <c r="AE57" s="1128"/>
      <c r="AF57" s="1128"/>
      <c r="AG57" s="1128"/>
      <c r="AH57" s="1128"/>
      <c r="AI57" s="1128"/>
      <c r="AJ57" s="1128"/>
      <c r="AK57" s="1128"/>
      <c r="AL57" s="1128"/>
      <c r="AM57" s="1128"/>
      <c r="AN57" s="1128"/>
    </row>
    <row r="58" spans="1:40" hidden="1" outlineLevel="1">
      <c r="A58" s="1128"/>
      <c r="B58" s="1128"/>
      <c r="C58" s="1128"/>
      <c r="D58" s="1128"/>
      <c r="E58" s="1128"/>
      <c r="F58" s="1128"/>
      <c r="G58" s="1128"/>
      <c r="H58" s="1128"/>
      <c r="I58" s="1128"/>
      <c r="J58" s="1128"/>
      <c r="K58" s="1128"/>
      <c r="L58" s="1128"/>
      <c r="M58" s="1128"/>
      <c r="N58" s="1128"/>
      <c r="O58" s="1128"/>
      <c r="P58" s="1128"/>
      <c r="Q58" s="1128"/>
      <c r="R58" s="1128"/>
      <c r="S58" s="1128"/>
      <c r="T58" s="1128"/>
      <c r="U58" s="1128"/>
      <c r="V58" s="1128"/>
      <c r="W58" s="1128"/>
      <c r="X58" s="1128"/>
      <c r="Y58" s="1128"/>
      <c r="Z58" s="1128"/>
      <c r="AA58" s="1128"/>
      <c r="AB58" s="1128"/>
      <c r="AC58" s="1128"/>
      <c r="AD58" s="1128"/>
      <c r="AE58" s="1128"/>
      <c r="AF58" s="1128"/>
      <c r="AG58" s="1128"/>
      <c r="AH58" s="1128"/>
      <c r="AI58" s="1128"/>
      <c r="AJ58" s="1128"/>
      <c r="AK58" s="1128"/>
      <c r="AL58" s="1128"/>
      <c r="AM58" s="1128"/>
      <c r="AN58" s="1128"/>
    </row>
    <row r="59" spans="1:40" hidden="1" outlineLevel="1">
      <c r="A59" s="1128"/>
      <c r="B59" s="1128"/>
      <c r="C59" s="1128"/>
      <c r="D59" s="1128"/>
      <c r="E59" s="1128"/>
      <c r="F59" s="1128"/>
      <c r="G59" s="1128"/>
      <c r="H59" s="1128"/>
      <c r="I59" s="1128"/>
      <c r="J59" s="1128"/>
      <c r="K59" s="1128"/>
      <c r="L59" s="1128"/>
      <c r="M59" s="1128"/>
      <c r="N59" s="1128"/>
      <c r="O59" s="1128"/>
      <c r="P59" s="1128"/>
      <c r="Q59" s="1128"/>
      <c r="R59" s="1128"/>
      <c r="S59" s="1128"/>
      <c r="T59" s="1128"/>
      <c r="U59" s="1128"/>
      <c r="V59" s="1128"/>
      <c r="W59" s="1128"/>
      <c r="X59" s="1128"/>
      <c r="Y59" s="1128"/>
      <c r="Z59" s="1128"/>
      <c r="AA59" s="1128"/>
      <c r="AB59" s="1128"/>
      <c r="AC59" s="1128"/>
      <c r="AD59" s="1128"/>
      <c r="AE59" s="1128"/>
      <c r="AF59" s="1128"/>
      <c r="AG59" s="1128"/>
      <c r="AH59" s="1128"/>
      <c r="AI59" s="1128"/>
      <c r="AJ59" s="1128"/>
      <c r="AK59" s="1128"/>
      <c r="AL59" s="1128"/>
      <c r="AM59" s="1128"/>
      <c r="AN59" s="1128"/>
    </row>
    <row r="60" spans="1:40" collapsed="1">
      <c r="A60" s="97" t="s">
        <v>49</v>
      </c>
      <c r="B60" s="438">
        <v>-1156.671</v>
      </c>
      <c r="C60" s="438">
        <v>-1160.8230000000001</v>
      </c>
      <c r="D60" s="438">
        <v>-1256.1659999999999</v>
      </c>
      <c r="E60" s="438">
        <v>-1571.328</v>
      </c>
      <c r="F60" s="438">
        <v>-1769.06</v>
      </c>
      <c r="G60" s="438">
        <v>-2066.5149999999999</v>
      </c>
      <c r="H60" s="438">
        <v>-2323.6970000000001</v>
      </c>
      <c r="I60" s="438">
        <v>-2781.3240000000001</v>
      </c>
      <c r="J60" s="438">
        <v>-3166.4590000000003</v>
      </c>
      <c r="K60" s="438">
        <v>-3173.1430000000005</v>
      </c>
      <c r="L60" s="438">
        <v>-3787.5989999999997</v>
      </c>
      <c r="M60" s="438">
        <v>-4759.3680000000004</v>
      </c>
      <c r="N60" s="438">
        <v>-5225.7469999999994</v>
      </c>
      <c r="O60" s="438">
        <v>-7276.5049999999992</v>
      </c>
      <c r="P60" s="438">
        <v>-10149.276</v>
      </c>
      <c r="Q60" s="438">
        <v>-11779.630999999999</v>
      </c>
      <c r="R60" s="438">
        <v>-12923.188</v>
      </c>
      <c r="S60" s="438">
        <v>-14187.508000000002</v>
      </c>
      <c r="T60" s="438">
        <v>-17164.022000000001</v>
      </c>
      <c r="U60" s="438">
        <v>-11454.883999999998</v>
      </c>
      <c r="V60" s="438">
        <v>-16753.061000000002</v>
      </c>
      <c r="W60" s="438">
        <v>-22512.075000000001</v>
      </c>
      <c r="X60" s="438">
        <v>-25003.550999999999</v>
      </c>
      <c r="Y60" s="447">
        <v>-25548.103304391298</v>
      </c>
      <c r="Z60" s="447">
        <v>-28631.004954966025</v>
      </c>
      <c r="AA60" s="447">
        <v>-31310.742644884573</v>
      </c>
      <c r="AB60" s="447">
        <v>-33855.329322585923</v>
      </c>
      <c r="AC60" s="447">
        <v>-36429.856224834293</v>
      </c>
      <c r="AD60" s="447">
        <v>-38815.198601691212</v>
      </c>
      <c r="AE60" s="447">
        <v>-41296.632535379256</v>
      </c>
      <c r="AF60" s="447">
        <v>-43873.305545719326</v>
      </c>
      <c r="AG60" s="447">
        <v>-46594.389286902559</v>
      </c>
      <c r="AH60" s="447">
        <v>-49442.229985053942</v>
      </c>
      <c r="AI60" s="1130"/>
      <c r="AJ60" s="1130"/>
      <c r="AK60" s="1130"/>
      <c r="AL60" s="1130"/>
      <c r="AM60" s="1130"/>
      <c r="AN60" s="1130"/>
    </row>
    <row r="61" spans="1:40">
      <c r="A61" s="1760" t="s">
        <v>332</v>
      </c>
      <c r="B61" s="1761">
        <v>1317.9829999999999</v>
      </c>
      <c r="C61" s="1761">
        <v>1467.0930000000001</v>
      </c>
      <c r="D61" s="1761">
        <v>1615.325</v>
      </c>
      <c r="E61" s="1762">
        <v>2137.2660000000001</v>
      </c>
      <c r="F61" s="1762">
        <v>2896.2400000000002</v>
      </c>
      <c r="G61" s="1762">
        <v>3959.9290000000005</v>
      </c>
      <c r="H61" s="1762">
        <v>4661.7060000000001</v>
      </c>
      <c r="I61" s="1762">
        <v>5005.5190000000002</v>
      </c>
      <c r="J61" s="1761">
        <v>5420.6220000000012</v>
      </c>
      <c r="K61" s="1761">
        <v>5808.2969999999987</v>
      </c>
      <c r="L61" s="1762">
        <v>6908.9050000000007</v>
      </c>
      <c r="M61" s="1762">
        <v>8760.1450000000004</v>
      </c>
      <c r="N61" s="1762">
        <v>10486.918000000001</v>
      </c>
      <c r="O61" s="1762">
        <v>15523.750000000002</v>
      </c>
      <c r="P61" s="1762">
        <v>22139.1</v>
      </c>
      <c r="Q61" s="1762">
        <v>25922.235999999997</v>
      </c>
      <c r="R61" s="1762">
        <v>29605.932999999997</v>
      </c>
      <c r="S61" s="1762">
        <v>31969.082999999999</v>
      </c>
      <c r="T61" s="1762">
        <v>40990.596999999994</v>
      </c>
      <c r="U61" s="1762">
        <v>27040.535000000003</v>
      </c>
      <c r="V61" s="1762">
        <v>36626.407999999996</v>
      </c>
      <c r="W61" s="1762">
        <v>46319.23000000001</v>
      </c>
      <c r="X61" s="1762">
        <v>51227.496999999996</v>
      </c>
      <c r="Y61" s="1763">
        <v>54574.015283335852</v>
      </c>
      <c r="Z61" s="1763">
        <v>61146.104310853632</v>
      </c>
      <c r="AA61" s="1763">
        <v>66562.909516455955</v>
      </c>
      <c r="AB61" s="1763">
        <v>71642.75616499201</v>
      </c>
      <c r="AC61" s="1763">
        <v>76039.262776866715</v>
      </c>
      <c r="AD61" s="1763">
        <v>81017.970471315246</v>
      </c>
      <c r="AE61" s="1763">
        <v>86197.472185924009</v>
      </c>
      <c r="AF61" s="1763">
        <v>91575.51334031373</v>
      </c>
      <c r="AG61" s="1763">
        <v>97254.948849996115</v>
      </c>
      <c r="AH61" s="1763">
        <v>103199.21137357378</v>
      </c>
      <c r="AI61" s="1130"/>
      <c r="AJ61" s="1130">
        <v>4.0809059028040995E-2</v>
      </c>
      <c r="AK61" s="1132"/>
      <c r="AL61" s="1130"/>
      <c r="AM61" s="1130"/>
      <c r="AN61" s="1130"/>
    </row>
    <row r="62" spans="1:40">
      <c r="A62" s="593" t="s">
        <v>50</v>
      </c>
      <c r="B62" s="1593">
        <v>0.53259283924136458</v>
      </c>
      <c r="C62" s="1593">
        <v>0.55827241053367005</v>
      </c>
      <c r="D62" s="1593">
        <v>0.56253876470446884</v>
      </c>
      <c r="E62" s="1593">
        <v>0.57630088383899669</v>
      </c>
      <c r="F62" s="1593">
        <v>0.62080466422309388</v>
      </c>
      <c r="G62" s="1593">
        <v>0.65709214256367443</v>
      </c>
      <c r="H62" s="1593">
        <v>0.66734961461779652</v>
      </c>
      <c r="I62" s="1593">
        <v>0.64281750640150315</v>
      </c>
      <c r="J62" s="1593">
        <v>0.63125315808713112</v>
      </c>
      <c r="K62" s="1520">
        <v>0.64669997238750132</v>
      </c>
      <c r="L62" s="1520">
        <v>0.64590309132778334</v>
      </c>
      <c r="M62" s="1520">
        <v>0.64796305902438944</v>
      </c>
      <c r="N62" s="1520">
        <v>0.6674181623550175</v>
      </c>
      <c r="O62" s="1520">
        <v>0.68085861320410679</v>
      </c>
      <c r="P62" s="1520">
        <v>0.68566780813008366</v>
      </c>
      <c r="Q62" s="1520">
        <v>0.68755841719986965</v>
      </c>
      <c r="R62" s="1520">
        <v>0.69613319776818328</v>
      </c>
      <c r="S62" s="1520">
        <v>0.69262227359901862</v>
      </c>
      <c r="T62" s="1520">
        <v>0.7048553959230649</v>
      </c>
      <c r="U62" s="1520">
        <v>0.7024351391005772</v>
      </c>
      <c r="V62" s="1520">
        <v>0.68615159884786414</v>
      </c>
      <c r="W62" s="1520">
        <v>0.67293842532841719</v>
      </c>
      <c r="X62" s="1520">
        <v>0.67200305313918807</v>
      </c>
      <c r="Y62" s="1594">
        <v>0.6811354498019393</v>
      </c>
      <c r="Z62" s="1594">
        <v>0.68108791662924983</v>
      </c>
      <c r="AA62" s="1594">
        <v>0.6800901779646461</v>
      </c>
      <c r="AB62" s="1594">
        <v>0.67909058097009467</v>
      </c>
      <c r="AC62" s="1594">
        <v>0.67609014324826955</v>
      </c>
      <c r="AD62" s="1594">
        <v>0.67608969284586251</v>
      </c>
      <c r="AE62" s="1594">
        <v>0.6760898660714395</v>
      </c>
      <c r="AF62" s="1594">
        <v>0.67608941955681112</v>
      </c>
      <c r="AG62" s="1594">
        <v>0.67608895605373198</v>
      </c>
      <c r="AH62" s="1594">
        <v>0.67608907813645114</v>
      </c>
      <c r="AI62" s="1130"/>
      <c r="AJ62" s="1130"/>
      <c r="AK62" s="1130"/>
      <c r="AL62" s="1130"/>
      <c r="AM62" s="1130"/>
      <c r="AN62" s="1130"/>
    </row>
    <row r="63" spans="1:40">
      <c r="A63" s="98" t="s">
        <v>51</v>
      </c>
      <c r="B63" s="955">
        <v>-987.41700000000003</v>
      </c>
      <c r="C63" s="955">
        <v>-1083.19</v>
      </c>
      <c r="D63" s="955">
        <v>-1200.116</v>
      </c>
      <c r="E63" s="438">
        <v>-1591.8130000000001</v>
      </c>
      <c r="F63" s="438">
        <v>-2195.6849999999999</v>
      </c>
      <c r="G63" s="438">
        <v>-2952.49</v>
      </c>
      <c r="H63" s="438">
        <v>-3373.03</v>
      </c>
      <c r="I63" s="438">
        <v>-3973.4520000000002</v>
      </c>
      <c r="J63" s="955">
        <v>-4420.3860000000004</v>
      </c>
      <c r="K63" s="955">
        <v>-4809.6660000000002</v>
      </c>
      <c r="L63" s="438">
        <v>-5794.058</v>
      </c>
      <c r="M63" s="438">
        <v>-7152.08</v>
      </c>
      <c r="N63" s="438">
        <v>-8448.1959999999999</v>
      </c>
      <c r="O63" s="438">
        <v>-12730.657999999999</v>
      </c>
      <c r="P63" s="438">
        <v>-17837.370999999999</v>
      </c>
      <c r="Q63" s="438">
        <v>-20766.998</v>
      </c>
      <c r="R63" s="438">
        <v>-23139.688999999998</v>
      </c>
      <c r="S63" s="438">
        <v>-25560.766</v>
      </c>
      <c r="T63" s="438">
        <v>-28373.038</v>
      </c>
      <c r="U63" s="438">
        <v>-20115.798999999999</v>
      </c>
      <c r="V63" s="438">
        <v>-24315.138999999996</v>
      </c>
      <c r="W63" s="438">
        <v>-32269.436000000002</v>
      </c>
      <c r="X63" s="438">
        <v>-35267.108</v>
      </c>
      <c r="Y63" s="447">
        <v>-37692.940346096184</v>
      </c>
      <c r="Z63" s="447">
        <v>-42052.733982980004</v>
      </c>
      <c r="AA63" s="447">
        <v>-45748.661376666758</v>
      </c>
      <c r="AB63" s="447">
        <v>-49207.197735257017</v>
      </c>
      <c r="AC63" s="447">
        <v>-52121.135140591534</v>
      </c>
      <c r="AD63" s="447">
        <v>-55533.677348267585</v>
      </c>
      <c r="AE63" s="447">
        <v>-59084.067711112948</v>
      </c>
      <c r="AF63" s="447">
        <v>-62770.31816059244</v>
      </c>
      <c r="AG63" s="447">
        <v>-66663.136890965136</v>
      </c>
      <c r="AH63" s="447">
        <v>-70737.720844571057</v>
      </c>
      <c r="AI63" s="1130"/>
      <c r="AJ63" s="1129">
        <v>2.4333292972720466E-2</v>
      </c>
      <c r="AK63" s="1130"/>
      <c r="AL63" s="1130"/>
      <c r="AM63" s="1130"/>
      <c r="AN63" s="1130"/>
    </row>
    <row r="64" spans="1:40">
      <c r="A64" s="593" t="s">
        <v>991</v>
      </c>
      <c r="B64" s="1593">
        <v>0.39901214472811147</v>
      </c>
      <c r="C64" s="1593">
        <v>0.41218592983946212</v>
      </c>
      <c r="D64" s="1593">
        <v>0.41794175917667858</v>
      </c>
      <c r="E64" s="1593">
        <v>0.42922277283520388</v>
      </c>
      <c r="F64" s="1593">
        <v>0.47064175937238761</v>
      </c>
      <c r="G64" s="1593">
        <v>0.48992241527507757</v>
      </c>
      <c r="H64" s="1593">
        <v>0.4828683470373864</v>
      </c>
      <c r="I64" s="1593">
        <v>0.51027765681162451</v>
      </c>
      <c r="J64" s="1593">
        <v>0.51477166687958331</v>
      </c>
      <c r="K64" s="1520">
        <v>0.53551167741475769</v>
      </c>
      <c r="L64" s="1520">
        <v>0.54167772947123649</v>
      </c>
      <c r="M64" s="1520">
        <v>0.52901905564201901</v>
      </c>
      <c r="N64" s="1520">
        <v>0.53766792584198797</v>
      </c>
      <c r="O64" s="1520">
        <v>0.55835594821198264</v>
      </c>
      <c r="P64" s="1520">
        <v>0.55243939800502817</v>
      </c>
      <c r="Q64" s="1520">
        <v>0.55082147523357394</v>
      </c>
      <c r="R64" s="1520">
        <v>0.54409045980517678</v>
      </c>
      <c r="S64" s="1520">
        <v>0.55378366222930109</v>
      </c>
      <c r="T64" s="1520">
        <v>0.48788967218579837</v>
      </c>
      <c r="U64" s="1520">
        <v>0.52255046243294556</v>
      </c>
      <c r="V64" s="1520">
        <v>0.45551481600538207</v>
      </c>
      <c r="W64" s="1520">
        <v>0.468819180458659</v>
      </c>
      <c r="X64" s="1520">
        <v>0.46263443734893955</v>
      </c>
      <c r="Y64" s="1594">
        <v>0.47044363042928661</v>
      </c>
      <c r="Z64" s="1594">
        <v>0.46841265359153761</v>
      </c>
      <c r="AA64" s="1594">
        <v>0.46742571025399199</v>
      </c>
      <c r="AB64" s="1594">
        <v>0.46642740015458395</v>
      </c>
      <c r="AC64" s="1594">
        <v>0.46342618847937489</v>
      </c>
      <c r="AD64" s="1594">
        <v>0.46342492465032425</v>
      </c>
      <c r="AE64" s="1594">
        <v>0.46342588028103909</v>
      </c>
      <c r="AF64" s="1594">
        <v>0.46342462545507707</v>
      </c>
      <c r="AG64" s="1594">
        <v>0.46342331326907532</v>
      </c>
      <c r="AH64" s="1594">
        <v>0.46342408860234968</v>
      </c>
      <c r="AI64" s="1130"/>
      <c r="AJ64" s="1129"/>
      <c r="AK64" s="1130"/>
      <c r="AL64" s="1130"/>
      <c r="AM64" s="1130"/>
      <c r="AN64" s="1130"/>
    </row>
    <row r="65" spans="1:40" s="1209" customFormat="1">
      <c r="A65" s="1237" t="s">
        <v>1270</v>
      </c>
      <c r="B65" s="1591">
        <v>-987.41700000000003</v>
      </c>
      <c r="C65" s="1591">
        <v>-1083.19</v>
      </c>
      <c r="D65" s="1591">
        <v>-1200.116</v>
      </c>
      <c r="E65" s="1518">
        <v>-1591.8130000000001</v>
      </c>
      <c r="F65" s="1518">
        <v>-2195.6849999999999</v>
      </c>
      <c r="G65" s="1518">
        <v>-2952.49</v>
      </c>
      <c r="H65" s="1518">
        <v>-3373.03</v>
      </c>
      <c r="I65" s="1518">
        <v>-3973.4520000000002</v>
      </c>
      <c r="J65" s="1591">
        <v>-4420.3860000000004</v>
      </c>
      <c r="K65" s="1591">
        <v>-4809.6660000000002</v>
      </c>
      <c r="L65" s="1518">
        <v>-5794.058</v>
      </c>
      <c r="M65" s="1518">
        <v>-7152.08</v>
      </c>
      <c r="N65" s="1518">
        <v>-8448.1959999999999</v>
      </c>
      <c r="O65" s="1518">
        <v>-12730.657999999999</v>
      </c>
      <c r="P65" s="1518">
        <v>-17837.370999999999</v>
      </c>
      <c r="Q65" s="1518">
        <v>-20766.998</v>
      </c>
      <c r="R65" s="1518">
        <v>-23139.688999999998</v>
      </c>
      <c r="S65" s="1518">
        <v>-25560.766</v>
      </c>
      <c r="T65" s="1518">
        <v>-33322.428</v>
      </c>
      <c r="U65" s="1518">
        <v>-25603.792999999998</v>
      </c>
      <c r="V65" s="1518">
        <v>-30090.120999999999</v>
      </c>
      <c r="W65" s="1518">
        <v>-37494.724000000002</v>
      </c>
      <c r="X65" s="1518">
        <v>-40432.868000000002</v>
      </c>
      <c r="Y65" s="1518">
        <v>-42853.862658133512</v>
      </c>
      <c r="Z65" s="1518">
        <v>-47932.89903139395</v>
      </c>
      <c r="AA65" s="1518">
        <v>-52067.21923105829</v>
      </c>
      <c r="AB65" s="1518">
        <v>-55885.495623284238</v>
      </c>
      <c r="AC65" s="1518">
        <v>-58927.421923897164</v>
      </c>
      <c r="AD65" s="1518">
        <v>-62794.088000104763</v>
      </c>
      <c r="AE65" s="1518">
        <v>-66817.093243056588</v>
      </c>
      <c r="AF65" s="1518">
        <v>-70997.778874744778</v>
      </c>
      <c r="AG65" s="1518">
        <v>-75412.190815027308</v>
      </c>
      <c r="AH65" s="1518">
        <v>-80034.796765459934</v>
      </c>
      <c r="AI65" s="1243"/>
      <c r="AJ65" s="1243">
        <v>7.4965911398891416E-2</v>
      </c>
      <c r="AK65" s="1243"/>
      <c r="AL65" s="1243"/>
      <c r="AM65" s="1243"/>
      <c r="AN65" s="1243"/>
    </row>
    <row r="66" spans="1:40">
      <c r="A66" s="1421" t="s">
        <v>991</v>
      </c>
      <c r="B66" s="1519">
        <v>0.39901214472811147</v>
      </c>
      <c r="C66" s="1519">
        <v>0.41218592983946212</v>
      </c>
      <c r="D66" s="1519">
        <v>0.41794175917667858</v>
      </c>
      <c r="E66" s="1519">
        <v>0.42922277283520388</v>
      </c>
      <c r="F66" s="1519">
        <v>0.47064175937238761</v>
      </c>
      <c r="G66" s="1519">
        <v>0.48992241527507757</v>
      </c>
      <c r="H66" s="1519">
        <v>0.4828683470373864</v>
      </c>
      <c r="I66" s="1519">
        <v>0.51027765681162451</v>
      </c>
      <c r="J66" s="1519">
        <v>0.51477166687958331</v>
      </c>
      <c r="K66" s="1519">
        <v>0.53551167741475769</v>
      </c>
      <c r="L66" s="1519">
        <v>0.54167772947123649</v>
      </c>
      <c r="M66" s="1519">
        <v>0.52901905564201901</v>
      </c>
      <c r="N66" s="1519">
        <v>0.53766792584198797</v>
      </c>
      <c r="O66" s="1519">
        <v>0.55835594821198264</v>
      </c>
      <c r="P66" s="1519">
        <v>0.55243939800502817</v>
      </c>
      <c r="Q66" s="1519">
        <v>0.55082147523357394</v>
      </c>
      <c r="R66" s="1519">
        <v>0.54409045980517678</v>
      </c>
      <c r="S66" s="1519">
        <v>0.55378366222930109</v>
      </c>
      <c r="T66" s="1519">
        <v>0.57299709933616794</v>
      </c>
      <c r="U66" s="1519">
        <v>0.66511272419193557</v>
      </c>
      <c r="V66" s="1519">
        <v>0.56370214173543021</v>
      </c>
      <c r="W66" s="1519">
        <v>0.54473359178646985</v>
      </c>
      <c r="X66" s="1519">
        <v>0.53039895240584922</v>
      </c>
      <c r="Y66" s="1519">
        <v>0.53485683371205472</v>
      </c>
      <c r="Z66" s="1519">
        <v>0.53391002921992248</v>
      </c>
      <c r="AA66" s="1519">
        <v>0.53198402308751802</v>
      </c>
      <c r="AB66" s="1519">
        <v>0.52972995069057038</v>
      </c>
      <c r="AC66" s="1519">
        <v>0.52394312720637504</v>
      </c>
      <c r="AD66" s="1519">
        <v>0.52401257920374666</v>
      </c>
      <c r="AE66" s="1519">
        <v>0.52407986541115714</v>
      </c>
      <c r="AF66" s="1519">
        <v>0.52416683629026306</v>
      </c>
      <c r="AG66" s="1519">
        <v>0.5242442668958196</v>
      </c>
      <c r="AH66" s="1519">
        <v>0.52433202971020121</v>
      </c>
      <c r="AI66" s="1130"/>
      <c r="AJ66" s="1129"/>
      <c r="AK66" s="1130"/>
      <c r="AL66" s="1130"/>
      <c r="AM66" s="1130"/>
      <c r="AN66" s="1130"/>
    </row>
    <row r="67" spans="1:40">
      <c r="A67" s="43" t="s">
        <v>1555</v>
      </c>
      <c r="B67" s="1592">
        <v>330.56599999999992</v>
      </c>
      <c r="C67" s="1592">
        <v>383.90300000000002</v>
      </c>
      <c r="D67" s="1592">
        <v>415.20900000000006</v>
      </c>
      <c r="E67" s="985">
        <v>545.45299999999997</v>
      </c>
      <c r="F67" s="985">
        <v>700.55500000000029</v>
      </c>
      <c r="G67" s="985">
        <v>1007.4390000000008</v>
      </c>
      <c r="H67" s="985">
        <v>1288.6759999999999</v>
      </c>
      <c r="I67" s="985">
        <v>1032.067</v>
      </c>
      <c r="J67" s="1592">
        <v>1000.2359999999994</v>
      </c>
      <c r="K67" s="1592">
        <v>998.63099999999986</v>
      </c>
      <c r="L67" s="985">
        <v>1114.8470000000004</v>
      </c>
      <c r="M67" s="985">
        <v>1608.0649999999994</v>
      </c>
      <c r="N67" s="985">
        <v>2038.7220000000002</v>
      </c>
      <c r="O67" s="985">
        <v>2793.0920000000001</v>
      </c>
      <c r="P67" s="985">
        <v>4301.7290000000003</v>
      </c>
      <c r="Q67" s="985">
        <v>5155.2379999999994</v>
      </c>
      <c r="R67" s="985">
        <v>6466.2439999999997</v>
      </c>
      <c r="S67" s="985">
        <v>6408.3169999999991</v>
      </c>
      <c r="T67" s="985">
        <v>12617.558999999997</v>
      </c>
      <c r="U67" s="985">
        <v>6924.7359999999981</v>
      </c>
      <c r="V67" s="985">
        <v>12311.269</v>
      </c>
      <c r="W67" s="985">
        <v>14049.793999999998</v>
      </c>
      <c r="X67" s="985">
        <v>15960.388999999996</v>
      </c>
      <c r="Y67" s="1566">
        <v>16881.074937239671</v>
      </c>
      <c r="Z67" s="1566">
        <v>19093.370327873621</v>
      </c>
      <c r="AA67" s="1566">
        <v>20814.248139789182</v>
      </c>
      <c r="AB67" s="1566">
        <v>22435.558429734992</v>
      </c>
      <c r="AC67" s="1566">
        <v>23918.127636275185</v>
      </c>
      <c r="AD67" s="1566">
        <v>25484.293123047653</v>
      </c>
      <c r="AE67" s="1566">
        <v>27113.40447481105</v>
      </c>
      <c r="AF67" s="1566">
        <v>28805.195179721297</v>
      </c>
      <c r="AG67" s="1566">
        <v>30591.811959031002</v>
      </c>
      <c r="AH67" s="1566">
        <v>32461.490529002713</v>
      </c>
      <c r="AI67" s="1246"/>
      <c r="AJ67" s="1128">
        <v>9.9897043647288353E-2</v>
      </c>
      <c r="AK67" s="1128">
        <f>IFERROR((X67/U67)^(1/3)-1,"NM")</f>
        <v>0.32093085183440095</v>
      </c>
      <c r="AL67" s="1246">
        <f>IFERROR((AA67/Y67)^(1/2)-1,"NM")</f>
        <v>0.11040220365801878</v>
      </c>
      <c r="AM67" s="1246">
        <f>IFERROR((AD67/AA67)^(1/3)-1,"NM")</f>
        <v>6.9803352816840247E-2</v>
      </c>
      <c r="AN67" s="1246">
        <f>IFERROR((AH67/X67)^(1/10)-1,"NM")</f>
        <v>7.3575269100176532E-2</v>
      </c>
    </row>
    <row r="68" spans="1:40">
      <c r="A68" s="593" t="s">
        <v>52</v>
      </c>
      <c r="B68" s="1593">
        <v>0.13358069451325313</v>
      </c>
      <c r="C68" s="1593">
        <v>0.14608648069420788</v>
      </c>
      <c r="D68" s="1593">
        <v>0.14459700552779028</v>
      </c>
      <c r="E68" s="1593">
        <v>0.14707811100379281</v>
      </c>
      <c r="F68" s="1593">
        <v>0.15016290485070632</v>
      </c>
      <c r="G68" s="1593">
        <v>0.16716972728859683</v>
      </c>
      <c r="H68" s="1593">
        <v>0.18448126758041017</v>
      </c>
      <c r="I68" s="1593">
        <v>0.13253984958987872</v>
      </c>
      <c r="J68" s="1593">
        <v>0.11648149120754761</v>
      </c>
      <c r="K68" s="1520">
        <v>0.1111882949727438</v>
      </c>
      <c r="L68" s="1520">
        <v>0.10422536185654681</v>
      </c>
      <c r="M68" s="1520">
        <v>0.11894400338237031</v>
      </c>
      <c r="N68" s="1520">
        <v>0.12975023651302947</v>
      </c>
      <c r="O68" s="1520">
        <v>0.12250266499212399</v>
      </c>
      <c r="P68" s="1520">
        <v>0.13322841012505554</v>
      </c>
      <c r="Q68" s="1520">
        <v>0.13673694196629571</v>
      </c>
      <c r="R68" s="1520">
        <v>0.15204273796300657</v>
      </c>
      <c r="S68" s="1520">
        <v>0.13883861136971748</v>
      </c>
      <c r="T68" s="1520">
        <v>0.21696572373726664</v>
      </c>
      <c r="U68" s="1520">
        <v>0.17988467666763147</v>
      </c>
      <c r="V68" s="1520">
        <v>0.23063678284248201</v>
      </c>
      <c r="W68" s="1520">
        <v>0.20411924486975797</v>
      </c>
      <c r="X68" s="1520">
        <v>0.20936861579024857</v>
      </c>
      <c r="Y68" s="1594">
        <v>0.21069181937265274</v>
      </c>
      <c r="Z68" s="1594">
        <v>0.21267526303771217</v>
      </c>
      <c r="AA68" s="1594">
        <v>0.21266446771065398</v>
      </c>
      <c r="AB68" s="1594">
        <v>0.21266318081551072</v>
      </c>
      <c r="AC68" s="1594">
        <v>0.21266395476889477</v>
      </c>
      <c r="AD68" s="1594">
        <v>0.21266476819553817</v>
      </c>
      <c r="AE68" s="1594">
        <v>0.21266398579040033</v>
      </c>
      <c r="AF68" s="1594">
        <v>0.21266479410173414</v>
      </c>
      <c r="AG68" s="1594">
        <v>0.2126656427846568</v>
      </c>
      <c r="AH68" s="1594">
        <v>0.21266498953410137</v>
      </c>
      <c r="AI68" s="1130"/>
      <c r="AJ68" s="1130"/>
      <c r="AK68" s="1130"/>
      <c r="AL68" s="1130"/>
      <c r="AM68" s="1130"/>
      <c r="AN68" s="1130"/>
    </row>
    <row r="69" spans="1:40" s="1207" customFormat="1">
      <c r="A69" s="1235" t="s">
        <v>1554</v>
      </c>
      <c r="B69" s="1595">
        <v>330.56599999999992</v>
      </c>
      <c r="C69" s="1595">
        <v>383.90300000000002</v>
      </c>
      <c r="D69" s="1595">
        <v>415.20900000000006</v>
      </c>
      <c r="E69" s="1521">
        <v>545.45299999999997</v>
      </c>
      <c r="F69" s="1521">
        <v>700.55500000000029</v>
      </c>
      <c r="G69" s="1521">
        <v>1007.4390000000008</v>
      </c>
      <c r="H69" s="1521">
        <v>1288.6759999999999</v>
      </c>
      <c r="I69" s="1521">
        <v>1032.067</v>
      </c>
      <c r="J69" s="1595">
        <v>1000.2359999999994</v>
      </c>
      <c r="K69" s="1595">
        <v>998.63099999999986</v>
      </c>
      <c r="L69" s="1521">
        <v>1114.8470000000004</v>
      </c>
      <c r="M69" s="1521">
        <v>1608.0649999999994</v>
      </c>
      <c r="N69" s="1521">
        <v>2038.7220000000002</v>
      </c>
      <c r="O69" s="1521">
        <v>2793.0920000000001</v>
      </c>
      <c r="P69" s="1521">
        <v>4301.7290000000003</v>
      </c>
      <c r="Q69" s="1521">
        <v>5155.2379999999994</v>
      </c>
      <c r="R69" s="1521">
        <v>6466.2439999999997</v>
      </c>
      <c r="S69" s="1521">
        <v>6408.3169999999991</v>
      </c>
      <c r="T69" s="1521">
        <v>7668.168999999999</v>
      </c>
      <c r="U69" s="1521">
        <v>1436.7419999999979</v>
      </c>
      <c r="V69" s="1521">
        <v>6536.2869999999994</v>
      </c>
      <c r="W69" s="1521">
        <v>8824.5059999999976</v>
      </c>
      <c r="X69" s="1521">
        <v>10794.628999999997</v>
      </c>
      <c r="Y69" s="1521">
        <v>11720.152625202352</v>
      </c>
      <c r="Z69" s="1521">
        <v>13213.205279459673</v>
      </c>
      <c r="AA69" s="1521">
        <v>14495.690285397648</v>
      </c>
      <c r="AB69" s="1521">
        <v>15757.260541707772</v>
      </c>
      <c r="AC69" s="1521">
        <v>17111.840852969559</v>
      </c>
      <c r="AD69" s="1521">
        <v>18223.882471210476</v>
      </c>
      <c r="AE69" s="1521">
        <v>19380.378942867406</v>
      </c>
      <c r="AF69" s="1521">
        <v>20577.734465568967</v>
      </c>
      <c r="AG69" s="1521">
        <v>21842.758034968814</v>
      </c>
      <c r="AH69" s="1521">
        <v>23164.414608113842</v>
      </c>
      <c r="AI69" s="1244"/>
      <c r="AJ69" s="1244">
        <v>-0.19694156508327454</v>
      </c>
      <c r="AK69" s="1244">
        <f>IFERROR((X69/U69)^(1/3)-1,"NM")</f>
        <v>0.95858749661951514</v>
      </c>
      <c r="AL69" s="1244">
        <f>IFERROR((AA69/Y69)^(1/2)-1,"NM")</f>
        <v>0.11212298577265067</v>
      </c>
      <c r="AM69" s="1244">
        <f>IFERROR((AD69/AA69)^(1/3)-1,"NM")</f>
        <v>7.9279682535807749E-2</v>
      </c>
      <c r="AN69" s="1244">
        <f>IFERROR((AH69/X69)^(1/10)-1,"NM")</f>
        <v>7.934767631478179E-2</v>
      </c>
    </row>
    <row r="70" spans="1:40" s="1209" customFormat="1">
      <c r="A70" s="1236" t="s">
        <v>1215</v>
      </c>
      <c r="B70" s="1519">
        <v>0.13358069451325313</v>
      </c>
      <c r="C70" s="1519">
        <v>0.14608648069420788</v>
      </c>
      <c r="D70" s="1519">
        <v>0.14459700552779028</v>
      </c>
      <c r="E70" s="1519">
        <v>0.14707811100379281</v>
      </c>
      <c r="F70" s="1519">
        <v>0.15016290485070632</v>
      </c>
      <c r="G70" s="1519">
        <v>0.16716972728859683</v>
      </c>
      <c r="H70" s="1519">
        <v>0.18448126758041017</v>
      </c>
      <c r="I70" s="1519">
        <v>0.13253984958987872</v>
      </c>
      <c r="J70" s="1519">
        <v>0.11648149120754761</v>
      </c>
      <c r="K70" s="1519">
        <v>0.1111882949727438</v>
      </c>
      <c r="L70" s="1519">
        <v>0.10422536185654681</v>
      </c>
      <c r="M70" s="1519">
        <v>0.11894400338237031</v>
      </c>
      <c r="N70" s="1519">
        <v>0.12975023651302947</v>
      </c>
      <c r="O70" s="1519">
        <v>0.12250266499212399</v>
      </c>
      <c r="P70" s="1519">
        <v>0.13322841012505554</v>
      </c>
      <c r="Q70" s="1519">
        <v>0.13673694196629571</v>
      </c>
      <c r="R70" s="1519">
        <v>0.15204273796300657</v>
      </c>
      <c r="S70" s="1519">
        <v>0.13883861136971748</v>
      </c>
      <c r="T70" s="1519">
        <v>0.13185829658689707</v>
      </c>
      <c r="U70" s="1519">
        <v>3.732241490864141E-2</v>
      </c>
      <c r="V70" s="1519">
        <v>0.12244945711243399</v>
      </c>
      <c r="W70" s="1519">
        <v>0.12820483354194717</v>
      </c>
      <c r="X70" s="1519">
        <v>0.14160410073333896</v>
      </c>
      <c r="Y70" s="1519">
        <v>0.14627861608988468</v>
      </c>
      <c r="Z70" s="1519">
        <v>0.14717788740932722</v>
      </c>
      <c r="AA70" s="1519">
        <v>0.14810615487712794</v>
      </c>
      <c r="AB70" s="1519">
        <v>0.14936063027952426</v>
      </c>
      <c r="AC70" s="1519">
        <v>0.15214701604189462</v>
      </c>
      <c r="AD70" s="1519">
        <v>0.15207711364211576</v>
      </c>
      <c r="AE70" s="1519">
        <v>0.15201000066028225</v>
      </c>
      <c r="AF70" s="1519">
        <v>0.15192258326654823</v>
      </c>
      <c r="AG70" s="1519">
        <v>0.15184468915791241</v>
      </c>
      <c r="AH70" s="1519">
        <v>0.15175704842624985</v>
      </c>
      <c r="AI70" s="1245"/>
      <c r="AJ70" s="1245"/>
      <c r="AK70" s="1245"/>
      <c r="AL70" s="1245"/>
      <c r="AM70" s="1245"/>
      <c r="AN70" s="1245"/>
    </row>
    <row r="71" spans="1:40">
      <c r="A71" s="904" t="s">
        <v>963</v>
      </c>
      <c r="B71" s="1522">
        <v>0</v>
      </c>
      <c r="C71" s="1522">
        <v>0</v>
      </c>
      <c r="D71" s="1522">
        <v>0</v>
      </c>
      <c r="E71" s="1522">
        <v>0</v>
      </c>
      <c r="F71" s="1522">
        <v>0</v>
      </c>
      <c r="G71" s="1522">
        <v>0</v>
      </c>
      <c r="H71" s="1522">
        <v>0</v>
      </c>
      <c r="I71" s="1522">
        <v>0</v>
      </c>
      <c r="J71" s="1522">
        <v>0</v>
      </c>
      <c r="K71" s="1522">
        <v>0</v>
      </c>
      <c r="L71" s="1522">
        <v>0</v>
      </c>
      <c r="M71" s="1522">
        <v>0</v>
      </c>
      <c r="N71" s="1522">
        <v>297.68399999999974</v>
      </c>
      <c r="O71" s="1522">
        <v>2194.9079999999999</v>
      </c>
      <c r="P71" s="1522">
        <v>2476.2709999999997</v>
      </c>
      <c r="Q71" s="1522">
        <v>2786.7620000000006</v>
      </c>
      <c r="R71" s="1522">
        <v>2429.7560000000003</v>
      </c>
      <c r="S71" s="1522">
        <v>2816.6830000000009</v>
      </c>
      <c r="T71" s="1522">
        <v>3545.8310000000006</v>
      </c>
      <c r="U71" s="1522">
        <v>2914.2580000000021</v>
      </c>
      <c r="V71" s="1522">
        <v>4094.7130000000006</v>
      </c>
      <c r="W71" s="1522">
        <v>3934.4940000000024</v>
      </c>
      <c r="X71" s="1522">
        <v>3962.3710000000033</v>
      </c>
      <c r="Y71" s="1596">
        <v>4109.1737620515942</v>
      </c>
      <c r="Z71" s="1596">
        <v>4474.768786243163</v>
      </c>
      <c r="AA71" s="1596">
        <v>4781.3318319789578</v>
      </c>
      <c r="AB71" s="1596">
        <v>5048.4567662664367</v>
      </c>
      <c r="AC71" s="1596">
        <v>4932.1480498880965</v>
      </c>
      <c r="AD71" s="1596">
        <v>5255.0602543055666</v>
      </c>
      <c r="AE71" s="1596">
        <v>5591.1474002995546</v>
      </c>
      <c r="AF71" s="1596">
        <v>5939.9534433074396</v>
      </c>
      <c r="AG71" s="1596">
        <v>6308.2996290009705</v>
      </c>
      <c r="AH71" s="1596">
        <v>6693.9606078286379</v>
      </c>
      <c r="AI71" s="1130"/>
      <c r="AJ71" s="1130"/>
      <c r="AK71" s="1130"/>
      <c r="AL71" s="1130"/>
      <c r="AM71" s="1130"/>
      <c r="AN71" s="1130"/>
    </row>
    <row r="72" spans="1:40">
      <c r="A72" s="89" t="s">
        <v>1553</v>
      </c>
      <c r="B72" s="985">
        <v>330.56599999999992</v>
      </c>
      <c r="C72" s="985">
        <v>383.90300000000002</v>
      </c>
      <c r="D72" s="985">
        <v>415.20900000000006</v>
      </c>
      <c r="E72" s="985">
        <v>545.45299999999997</v>
      </c>
      <c r="F72" s="985">
        <v>700.55500000000029</v>
      </c>
      <c r="G72" s="985">
        <v>1007.4390000000008</v>
      </c>
      <c r="H72" s="985">
        <v>1288.6759999999999</v>
      </c>
      <c r="I72" s="985">
        <v>1032.067</v>
      </c>
      <c r="J72" s="985">
        <v>1000.2359999999994</v>
      </c>
      <c r="K72" s="985">
        <v>998.63099999999986</v>
      </c>
      <c r="L72" s="985">
        <v>1114.8470000000004</v>
      </c>
      <c r="M72" s="985">
        <v>1608.0649999999994</v>
      </c>
      <c r="N72" s="985">
        <v>2336.4059999999999</v>
      </c>
      <c r="O72" s="985">
        <v>4988</v>
      </c>
      <c r="P72" s="985">
        <v>6778</v>
      </c>
      <c r="Q72" s="985">
        <v>7942</v>
      </c>
      <c r="R72" s="985">
        <v>8896</v>
      </c>
      <c r="S72" s="985">
        <v>9225</v>
      </c>
      <c r="T72" s="985">
        <v>11214</v>
      </c>
      <c r="U72" s="985">
        <v>4351</v>
      </c>
      <c r="V72" s="985">
        <v>10631</v>
      </c>
      <c r="W72" s="985">
        <v>12759</v>
      </c>
      <c r="X72" s="985">
        <v>14757</v>
      </c>
      <c r="Y72" s="1566">
        <v>15829.326387253946</v>
      </c>
      <c r="Z72" s="1566">
        <v>17687.974065702838</v>
      </c>
      <c r="AA72" s="1566">
        <v>19277.022117376604</v>
      </c>
      <c r="AB72" s="1566">
        <v>20805.71730797421</v>
      </c>
      <c r="AC72" s="1566">
        <v>22043.988902857654</v>
      </c>
      <c r="AD72" s="1566">
        <v>23478.942725516041</v>
      </c>
      <c r="AE72" s="1566">
        <v>24971.526343166959</v>
      </c>
      <c r="AF72" s="1566">
        <v>26517.687908876407</v>
      </c>
      <c r="AG72" s="1566">
        <v>28151.057663969783</v>
      </c>
      <c r="AH72" s="1566">
        <v>29858.37521594248</v>
      </c>
      <c r="AI72" s="1127"/>
      <c r="AJ72" s="1128">
        <v>-8.4839000904462059E-2</v>
      </c>
      <c r="AK72" s="1128">
        <f t="shared" ref="AK72:AK75" si="4">IFERROR((X72/U72)^(1/3)-1,"NM")</f>
        <v>0.50246027465609888</v>
      </c>
      <c r="AL72" s="1127">
        <f t="shared" ref="AL72:AL75" si="5">IFERROR((AA72/Y72)^(1/2)-1,"NM")</f>
        <v>0.1035417182003926</v>
      </c>
      <c r="AM72" s="1128">
        <f t="shared" ref="AM72:AM75" si="6">IFERROR((AD72/AA72)^(1/3)-1,"NM")</f>
        <v>6.7938385598557804E-2</v>
      </c>
      <c r="AN72" s="1128">
        <f t="shared" ref="AN72:AN75" si="7">IFERROR((AH72/X72)^(1/10)-1,"NM")</f>
        <v>7.3017510887612547E-2</v>
      </c>
    </row>
    <row r="73" spans="1:40">
      <c r="A73" s="1466" t="s">
        <v>731</v>
      </c>
      <c r="B73" s="1597"/>
      <c r="C73" s="1597"/>
      <c r="D73" s="1597"/>
      <c r="E73" s="1597"/>
      <c r="F73" s="1597"/>
      <c r="G73" s="1523"/>
      <c r="H73" s="1523"/>
      <c r="I73" s="1523"/>
      <c r="J73" s="1597"/>
      <c r="K73" s="1597"/>
      <c r="L73" s="1597"/>
      <c r="M73" s="1597"/>
      <c r="N73" s="1523"/>
      <c r="O73" s="1523">
        <v>4019</v>
      </c>
      <c r="P73" s="1523">
        <v>4675</v>
      </c>
      <c r="Q73" s="1523">
        <v>5215</v>
      </c>
      <c r="R73" s="1523">
        <v>5608</v>
      </c>
      <c r="S73" s="1523">
        <v>5901</v>
      </c>
      <c r="T73" s="1523">
        <v>6200</v>
      </c>
      <c r="U73" s="1523">
        <v>2867</v>
      </c>
      <c r="V73" s="1523">
        <v>5951</v>
      </c>
      <c r="W73" s="1523">
        <v>7567</v>
      </c>
      <c r="X73" s="1523">
        <v>9005</v>
      </c>
      <c r="Y73" s="1598">
        <v>10373.045949291278</v>
      </c>
      <c r="Z73" s="1598">
        <v>11218.978322246139</v>
      </c>
      <c r="AA73" s="1598">
        <v>12114.929600251369</v>
      </c>
      <c r="AB73" s="1598">
        <v>13017.043292589549</v>
      </c>
      <c r="AC73" s="1598">
        <v>13777.196519839732</v>
      </c>
      <c r="AD73" s="1598">
        <v>14575.247800070147</v>
      </c>
      <c r="AE73" s="1598">
        <v>15397.131640054633</v>
      </c>
      <c r="AF73" s="1598">
        <v>16231.254489952864</v>
      </c>
      <c r="AG73" s="1598">
        <v>17105.720986348686</v>
      </c>
      <c r="AH73" s="1598">
        <v>18006.58193467377</v>
      </c>
      <c r="AI73" s="1128"/>
      <c r="AJ73" s="1128">
        <v>-9.316303338050802E-2</v>
      </c>
      <c r="AK73" s="1128">
        <f t="shared" si="4"/>
        <v>0.46448639479460474</v>
      </c>
      <c r="AL73" s="1128">
        <f t="shared" si="5"/>
        <v>8.0705337860177417E-2</v>
      </c>
      <c r="AM73" s="1128">
        <f t="shared" si="6"/>
        <v>6.3567400931868745E-2</v>
      </c>
      <c r="AN73" s="1128">
        <f t="shared" si="7"/>
        <v>7.1753119923208875E-2</v>
      </c>
    </row>
    <row r="74" spans="1:40">
      <c r="A74" s="42" t="s">
        <v>949</v>
      </c>
      <c r="B74" s="985"/>
      <c r="C74" s="985"/>
      <c r="D74" s="985"/>
      <c r="E74" s="985"/>
      <c r="F74" s="985"/>
      <c r="G74" s="438"/>
      <c r="H74" s="438"/>
      <c r="I74" s="438"/>
      <c r="J74" s="985"/>
      <c r="K74" s="985"/>
      <c r="L74" s="985"/>
      <c r="M74" s="985"/>
      <c r="N74" s="438"/>
      <c r="O74" s="438">
        <v>290</v>
      </c>
      <c r="P74" s="438">
        <v>1082</v>
      </c>
      <c r="Q74" s="438">
        <v>1500</v>
      </c>
      <c r="R74" s="438">
        <v>1726</v>
      </c>
      <c r="S74" s="438">
        <v>1916</v>
      </c>
      <c r="T74" s="438">
        <v>3751</v>
      </c>
      <c r="U74" s="438">
        <v>1187</v>
      </c>
      <c r="V74" s="438">
        <v>3422</v>
      </c>
      <c r="W74" s="438">
        <v>3224</v>
      </c>
      <c r="X74" s="438">
        <v>3541</v>
      </c>
      <c r="Y74" s="447">
        <v>3592.9292534569786</v>
      </c>
      <c r="Z74" s="447">
        <v>4267.4335490212216</v>
      </c>
      <c r="AA74" s="447">
        <v>4733.0418962745898</v>
      </c>
      <c r="AB74" s="447">
        <v>5201.7980167400074</v>
      </c>
      <c r="AC74" s="447">
        <v>5606.9930855923576</v>
      </c>
      <c r="AD74" s="447">
        <v>6097.3028529218782</v>
      </c>
      <c r="AE74" s="447">
        <v>6614.7371633360353</v>
      </c>
      <c r="AF74" s="447">
        <v>7168.4549177260906</v>
      </c>
      <c r="AG74" s="447">
        <v>7761.4549209642082</v>
      </c>
      <c r="AH74" s="447">
        <v>8393.5117545510075</v>
      </c>
      <c r="AI74" s="1128"/>
      <c r="AJ74" s="1128">
        <v>1.8696212915184418E-2</v>
      </c>
      <c r="AK74" s="1128">
        <f t="shared" si="4"/>
        <v>0.43954441611797734</v>
      </c>
      <c r="AL74" s="1128">
        <f t="shared" si="5"/>
        <v>0.14774614167604216</v>
      </c>
      <c r="AM74" s="1128">
        <f t="shared" si="6"/>
        <v>8.8092473051732956E-2</v>
      </c>
      <c r="AN74" s="1128">
        <f t="shared" si="7"/>
        <v>9.0138750752808861E-2</v>
      </c>
    </row>
    <row r="75" spans="1:40">
      <c r="A75" s="1467" t="s">
        <v>733</v>
      </c>
      <c r="B75" s="1599"/>
      <c r="C75" s="1599"/>
      <c r="D75" s="1599"/>
      <c r="E75" s="1599"/>
      <c r="F75" s="1599"/>
      <c r="G75" s="1524"/>
      <c r="H75" s="1524"/>
      <c r="I75" s="1524"/>
      <c r="J75" s="1599"/>
      <c r="K75" s="1599"/>
      <c r="L75" s="1599"/>
      <c r="M75" s="1599"/>
      <c r="N75" s="1524"/>
      <c r="O75" s="1524">
        <v>679</v>
      </c>
      <c r="P75" s="1524">
        <v>1021</v>
      </c>
      <c r="Q75" s="1524">
        <v>1227</v>
      </c>
      <c r="R75" s="1524">
        <v>1562</v>
      </c>
      <c r="S75" s="1524">
        <v>1408</v>
      </c>
      <c r="T75" s="1524">
        <v>1263</v>
      </c>
      <c r="U75" s="1524">
        <v>297</v>
      </c>
      <c r="V75" s="1524">
        <v>1258</v>
      </c>
      <c r="W75" s="1524">
        <v>1968</v>
      </c>
      <c r="X75" s="1524">
        <v>2211</v>
      </c>
      <c r="Y75" s="1600">
        <v>1863.3511845056923</v>
      </c>
      <c r="Z75" s="1600">
        <v>2201.562194435478</v>
      </c>
      <c r="AA75" s="1600">
        <v>2429.0506208506504</v>
      </c>
      <c r="AB75" s="1600">
        <v>2586.8759986446494</v>
      </c>
      <c r="AC75" s="1600">
        <v>2659.799297425569</v>
      </c>
      <c r="AD75" s="1600">
        <v>2806.3920725240182</v>
      </c>
      <c r="AE75" s="1600">
        <v>2959.6575397762936</v>
      </c>
      <c r="AF75" s="1600">
        <v>3117.9785011974454</v>
      </c>
      <c r="AG75" s="1600">
        <v>3283.8817566568896</v>
      </c>
      <c r="AH75" s="1600">
        <v>3458.2815267177029</v>
      </c>
      <c r="AI75" s="1128"/>
      <c r="AJ75" s="1128">
        <v>-0.21882894752709825</v>
      </c>
      <c r="AK75" s="1128">
        <f t="shared" si="4"/>
        <v>0.95258866755021732</v>
      </c>
      <c r="AL75" s="1128">
        <f t="shared" si="5"/>
        <v>0.14174975175521287</v>
      </c>
      <c r="AM75" s="1128">
        <f t="shared" si="6"/>
        <v>4.9310277194244856E-2</v>
      </c>
      <c r="AN75" s="1128">
        <f t="shared" si="7"/>
        <v>4.5748283071618934E-2</v>
      </c>
    </row>
    <row r="76" spans="1:40" hidden="1" outlineLevel="2"/>
    <row r="77" spans="1:40" hidden="1" outlineLevel="2"/>
    <row r="78" spans="1:40" hidden="1" outlineLevel="2"/>
    <row r="79" spans="1:40" hidden="1" outlineLevel="2"/>
    <row r="80" spans="1:40" collapsed="1">
      <c r="A80" s="90" t="s">
        <v>319</v>
      </c>
      <c r="B80" s="1584">
        <v>0.13358069451325313</v>
      </c>
      <c r="C80" s="1584">
        <v>0.14608648069420788</v>
      </c>
      <c r="D80" s="1584">
        <v>0.14459700552779028</v>
      </c>
      <c r="E80" s="1584">
        <v>0.14707811100379281</v>
      </c>
      <c r="F80" s="1584">
        <v>0.15016290485070632</v>
      </c>
      <c r="G80" s="1584">
        <v>0.16716972728859683</v>
      </c>
      <c r="H80" s="1584">
        <v>0.18448126758041017</v>
      </c>
      <c r="I80" s="1584">
        <v>0.13253984958987872</v>
      </c>
      <c r="J80" s="1584">
        <v>0.11648149120754761</v>
      </c>
      <c r="K80" s="1584">
        <v>0.1111882949727438</v>
      </c>
      <c r="L80" s="1514">
        <v>0.10422536185654681</v>
      </c>
      <c r="M80" s="1514">
        <v>0.11894400338237031</v>
      </c>
      <c r="N80" s="1514">
        <v>0.14869571775379922</v>
      </c>
      <c r="O80" s="1514">
        <v>0.21876948306060612</v>
      </c>
      <c r="P80" s="1514">
        <v>0.20992074671082869</v>
      </c>
      <c r="Q80" s="1514">
        <v>0.21065269791546398</v>
      </c>
      <c r="R80" s="1514">
        <v>0.20917432081420165</v>
      </c>
      <c r="S80" s="1584">
        <v>0.19986311380751667</v>
      </c>
      <c r="T80" s="1584">
        <v>0.19283077067360721</v>
      </c>
      <c r="U80" s="1584">
        <v>0.11302643569095844</v>
      </c>
      <c r="V80" s="1584">
        <v>0.19915896877880146</v>
      </c>
      <c r="W80" s="1584">
        <v>0.18536623706320834</v>
      </c>
      <c r="X80" s="1584">
        <v>0.19358254132882971</v>
      </c>
      <c r="Y80" s="1585">
        <v>0.19756500035532801</v>
      </c>
      <c r="Z80" s="1585">
        <v>0.1970209801847238</v>
      </c>
      <c r="AA80" s="1585">
        <v>0.19695823841945997</v>
      </c>
      <c r="AB80" s="1585">
        <v>0.19721416944977657</v>
      </c>
      <c r="AC80" s="1585">
        <v>0.1960003696883609</v>
      </c>
      <c r="AD80" s="1585">
        <v>0.19593024958900876</v>
      </c>
      <c r="AE80" s="1585">
        <v>0.19586416483925795</v>
      </c>
      <c r="AF80" s="1585">
        <v>0.19577644254829901</v>
      </c>
      <c r="AG80" s="1585">
        <v>0.195698207781665</v>
      </c>
      <c r="AH80" s="1585">
        <v>0.19561119804805094</v>
      </c>
      <c r="AI80" s="1133"/>
      <c r="AJ80" s="1133"/>
      <c r="AK80" s="1133"/>
      <c r="AL80" s="1128"/>
      <c r="AM80" s="1133"/>
      <c r="AN80" s="1133"/>
    </row>
    <row r="81" spans="1:40">
      <c r="A81" s="1466" t="s">
        <v>731</v>
      </c>
      <c r="B81" s="1603"/>
      <c r="C81" s="1603"/>
      <c r="D81" s="1603"/>
      <c r="E81" s="1525"/>
      <c r="F81" s="1525"/>
      <c r="G81" s="1525"/>
      <c r="H81" s="1525"/>
      <c r="I81" s="1525"/>
      <c r="J81" s="1603"/>
      <c r="K81" s="1603"/>
      <c r="L81" s="1525"/>
      <c r="M81" s="1525"/>
      <c r="N81" s="1525"/>
      <c r="O81" s="1525">
        <v>0.19445519643893941</v>
      </c>
      <c r="P81" s="1525">
        <v>0.2349718536389224</v>
      </c>
      <c r="Q81" s="1525">
        <v>0.23719639770763212</v>
      </c>
      <c r="R81" s="1525">
        <v>0.23685433120750096</v>
      </c>
      <c r="S81" s="1603">
        <v>0.2317571282695782</v>
      </c>
      <c r="T81" s="1603">
        <v>0.22779880221920124</v>
      </c>
      <c r="U81" s="1603">
        <v>0.1503645041170609</v>
      </c>
      <c r="V81" s="1603">
        <v>0.22875264270613108</v>
      </c>
      <c r="W81" s="1603">
        <v>0.2260965698577746</v>
      </c>
      <c r="X81" s="1603">
        <v>0.22879719497941969</v>
      </c>
      <c r="Y81" s="1604">
        <v>0.23887009047031696</v>
      </c>
      <c r="Z81" s="1604">
        <v>0.23983039641460743</v>
      </c>
      <c r="AA81" s="1604">
        <v>0.23983756667644332</v>
      </c>
      <c r="AB81" s="1604">
        <v>0.23984096920099787</v>
      </c>
      <c r="AC81" s="1604">
        <v>0.23984046255155733</v>
      </c>
      <c r="AD81" s="1604">
        <v>0.23983997928700967</v>
      </c>
      <c r="AE81" s="1604">
        <v>0.23984307074503716</v>
      </c>
      <c r="AF81" s="1604">
        <v>0.23984262495169748</v>
      </c>
      <c r="AG81" s="1604">
        <v>0.23984219761449843</v>
      </c>
      <c r="AH81" s="1604">
        <v>0.2398443704955954</v>
      </c>
      <c r="AI81" s="1133"/>
      <c r="AJ81" s="1133"/>
      <c r="AK81" s="1133"/>
      <c r="AL81" s="1128"/>
      <c r="AM81" s="1133"/>
      <c r="AN81" s="1133"/>
    </row>
    <row r="82" spans="1:40">
      <c r="A82" s="42" t="s">
        <v>949</v>
      </c>
      <c r="B82" s="1584"/>
      <c r="C82" s="1584"/>
      <c r="D82" s="1584"/>
      <c r="E82" s="1514"/>
      <c r="F82" s="1514"/>
      <c r="G82" s="1514"/>
      <c r="H82" s="1514"/>
      <c r="I82" s="1514"/>
      <c r="J82" s="1584"/>
      <c r="K82" s="1584"/>
      <c r="L82" s="1514"/>
      <c r="M82" s="1514"/>
      <c r="N82" s="1514"/>
      <c r="O82" s="1514">
        <v>0.19754768392370572</v>
      </c>
      <c r="P82" s="1514">
        <v>0.1907280098713203</v>
      </c>
      <c r="Q82" s="1514">
        <v>0.19760242392306679</v>
      </c>
      <c r="R82" s="1514">
        <v>0.2014002333722287</v>
      </c>
      <c r="S82" s="1584">
        <v>0.19378982502275716</v>
      </c>
      <c r="T82" s="1584">
        <v>0.17687555995661811</v>
      </c>
      <c r="U82" s="1584">
        <v>8.5642135642135644E-2</v>
      </c>
      <c r="V82" s="1584">
        <v>0.18583686325621809</v>
      </c>
      <c r="W82" s="1584">
        <v>0.14670549690571533</v>
      </c>
      <c r="X82" s="1584">
        <v>0.15418444657319516</v>
      </c>
      <c r="Y82" s="1585">
        <v>0.14891095475907293</v>
      </c>
      <c r="Z82" s="1585">
        <v>0.1502879376596653</v>
      </c>
      <c r="AA82" s="1585">
        <v>0.15119888377883081</v>
      </c>
      <c r="AB82" s="1585">
        <v>0.15218630089896468</v>
      </c>
      <c r="AC82" s="1585">
        <v>0.15118124892901849</v>
      </c>
      <c r="AD82" s="1585">
        <v>0.15167646484949177</v>
      </c>
      <c r="AE82" s="1585">
        <v>0.1521656584282283</v>
      </c>
      <c r="AF82" s="1585">
        <v>0.1526614261868699</v>
      </c>
      <c r="AG82" s="1585">
        <v>0.15315741277993228</v>
      </c>
      <c r="AH82" s="1585">
        <v>0.15364732651442084</v>
      </c>
      <c r="AI82" s="1133"/>
      <c r="AJ82" s="1133"/>
      <c r="AK82" s="1133"/>
      <c r="AL82" s="1128"/>
      <c r="AM82" s="1133"/>
      <c r="AN82" s="1133"/>
    </row>
    <row r="83" spans="1:40" ht="9" customHeight="1">
      <c r="A83" s="1467" t="s">
        <v>733</v>
      </c>
      <c r="B83" s="1605"/>
      <c r="C83" s="1605"/>
      <c r="D83" s="1605"/>
      <c r="E83" s="1526"/>
      <c r="F83" s="1526"/>
      <c r="G83" s="1526"/>
      <c r="H83" s="1526"/>
      <c r="I83" s="1526"/>
      <c r="J83" s="1605"/>
      <c r="K83" s="1605"/>
      <c r="L83" s="1526"/>
      <c r="M83" s="1526"/>
      <c r="N83" s="1526"/>
      <c r="O83" s="1526">
        <v>0.14693789223111881</v>
      </c>
      <c r="P83" s="1526">
        <v>0.15197975587972612</v>
      </c>
      <c r="Q83" s="1526">
        <v>0.15103397341211225</v>
      </c>
      <c r="R83" s="1526">
        <v>0.15190119614898376</v>
      </c>
      <c r="S83" s="1605">
        <v>0.13810721317888083</v>
      </c>
      <c r="T83" s="1605">
        <v>0.12977254458889073</v>
      </c>
      <c r="U83" s="1605">
        <v>5.3159442889038518E-2</v>
      </c>
      <c r="V83" s="1605">
        <v>0.14036921566971236</v>
      </c>
      <c r="W83" s="1605">
        <v>0.14700047326981638</v>
      </c>
      <c r="X83" s="1605">
        <v>0.15899871226144707</v>
      </c>
      <c r="Y83" s="1606">
        <v>0.14826900720019973</v>
      </c>
      <c r="Z83" s="1606">
        <v>0.15075828682741088</v>
      </c>
      <c r="AA83" s="1606">
        <v>0.15127510990676343</v>
      </c>
      <c r="AB83" s="1606">
        <v>0.15177651955797111</v>
      </c>
      <c r="AC83" s="1606">
        <v>0.14827685068753518</v>
      </c>
      <c r="AD83" s="1606">
        <v>0.14877720827657417</v>
      </c>
      <c r="AE83" s="1606">
        <v>0.14927573692933505</v>
      </c>
      <c r="AF83" s="1606">
        <v>0.14977565518966168</v>
      </c>
      <c r="AG83" s="1606">
        <v>0.15027638345360317</v>
      </c>
      <c r="AH83" s="1606">
        <v>0.15077367071320741</v>
      </c>
      <c r="AI83" s="92"/>
      <c r="AJ83" s="1133"/>
      <c r="AK83" s="1133"/>
      <c r="AL83" s="1128"/>
      <c r="AM83" s="92"/>
      <c r="AN83" s="92"/>
    </row>
    <row r="84" spans="1:40" hidden="1" outlineLevel="2">
      <c r="AD84" s="1604"/>
      <c r="AE84" s="1604"/>
      <c r="AF84" s="1604"/>
      <c r="AG84" s="1604"/>
      <c r="AH84" s="1604"/>
      <c r="AI84" s="1128"/>
      <c r="AJ84" s="1128"/>
      <c r="AK84" s="1128"/>
      <c r="AL84" s="1128"/>
      <c r="AM84" s="1128"/>
      <c r="AN84" s="1128"/>
    </row>
    <row r="85" spans="1:40" hidden="1" outlineLevel="2">
      <c r="AD85" s="1585"/>
      <c r="AE85" s="1585"/>
      <c r="AF85" s="1585"/>
      <c r="AG85" s="1585"/>
      <c r="AH85" s="1585"/>
      <c r="AI85" s="1128"/>
      <c r="AJ85" s="1128"/>
      <c r="AK85" s="1128"/>
      <c r="AL85" s="1128"/>
      <c r="AM85" s="1128"/>
      <c r="AN85" s="1128"/>
    </row>
    <row r="86" spans="1:40" hidden="1" outlineLevel="2">
      <c r="A86" s="36"/>
      <c r="B86" s="438"/>
      <c r="C86" s="1582"/>
      <c r="D86" s="1582"/>
      <c r="E86" s="1582"/>
      <c r="F86" s="1582"/>
      <c r="G86" s="1582"/>
      <c r="H86" s="1582"/>
      <c r="I86" s="1582"/>
      <c r="J86" s="438"/>
      <c r="K86" s="438"/>
      <c r="L86" s="438"/>
      <c r="M86" s="438"/>
      <c r="N86" s="438"/>
      <c r="O86" s="438"/>
      <c r="P86" s="438"/>
      <c r="Q86" s="1514"/>
      <c r="R86" s="1514"/>
      <c r="S86" s="1584"/>
      <c r="T86" s="1584"/>
      <c r="U86" s="1584"/>
      <c r="V86" s="1584"/>
      <c r="W86" s="1584"/>
      <c r="X86" s="1584"/>
      <c r="Y86" s="1585"/>
      <c r="Z86" s="1585"/>
      <c r="AA86" s="1585"/>
      <c r="AB86" s="1585"/>
      <c r="AC86" s="1585"/>
      <c r="AD86" s="1585"/>
      <c r="AE86" s="1585"/>
      <c r="AF86" s="1585"/>
      <c r="AG86" s="1585"/>
      <c r="AH86" s="1585"/>
      <c r="AI86" s="1128"/>
      <c r="AJ86" s="1128"/>
      <c r="AK86" s="1128"/>
      <c r="AL86" s="1128"/>
      <c r="AM86" s="1128"/>
      <c r="AN86" s="1128"/>
    </row>
    <row r="87" spans="1:40" hidden="1" outlineLevel="2">
      <c r="A87" s="1465"/>
      <c r="B87" s="1524"/>
      <c r="C87" s="1602"/>
      <c r="D87" s="1602"/>
      <c r="E87" s="1602"/>
      <c r="F87" s="1602"/>
      <c r="G87" s="1602"/>
      <c r="H87" s="1602"/>
      <c r="I87" s="1602"/>
      <c r="J87" s="1524"/>
      <c r="K87" s="1524"/>
      <c r="L87" s="1524"/>
      <c r="M87" s="1524"/>
      <c r="N87" s="1524"/>
      <c r="O87" s="1524"/>
      <c r="P87" s="1524"/>
      <c r="Q87" s="1526"/>
      <c r="R87" s="1526"/>
      <c r="S87" s="1605"/>
      <c r="T87" s="1605"/>
      <c r="U87" s="1605"/>
      <c r="V87" s="1605"/>
      <c r="W87" s="1605"/>
      <c r="X87" s="1605"/>
      <c r="Y87" s="1606"/>
      <c r="Z87" s="1606"/>
      <c r="AA87" s="1606"/>
      <c r="AB87" s="1606"/>
      <c r="AC87" s="1606"/>
      <c r="AD87" s="1606"/>
      <c r="AE87" s="1606"/>
      <c r="AF87" s="1606"/>
      <c r="AG87" s="1606"/>
      <c r="AH87" s="1606"/>
      <c r="AI87" s="1128"/>
      <c r="AJ87" s="1128"/>
      <c r="AK87" s="1128"/>
      <c r="AL87" s="1128"/>
      <c r="AM87" s="1128"/>
      <c r="AN87" s="1128"/>
    </row>
    <row r="88" spans="1:40" collapsed="1">
      <c r="A88" s="98" t="s">
        <v>79</v>
      </c>
      <c r="B88" s="955">
        <v>-111.178</v>
      </c>
      <c r="C88" s="955">
        <v>-113.99299999999999</v>
      </c>
      <c r="D88" s="955">
        <v>-161.46</v>
      </c>
      <c r="E88" s="438">
        <v>-183.01</v>
      </c>
      <c r="F88" s="438">
        <v>-210.93</v>
      </c>
      <c r="G88" s="438">
        <v>-571.35799999999995</v>
      </c>
      <c r="H88" s="438">
        <v>-572.98</v>
      </c>
      <c r="I88" s="438">
        <v>-572.98</v>
      </c>
      <c r="J88" s="955">
        <v>-665.16699999999992</v>
      </c>
      <c r="K88" s="955">
        <v>-670.52599999999995</v>
      </c>
      <c r="L88" s="438">
        <v>-661.779</v>
      </c>
      <c r="M88" s="438">
        <v>-805.80099999999993</v>
      </c>
      <c r="N88" s="438">
        <v>-922.07399999999984</v>
      </c>
      <c r="O88" s="438">
        <v>-1336.0809999999999</v>
      </c>
      <c r="P88" s="438">
        <v>-1947.8959999999997</v>
      </c>
      <c r="Q88" s="438">
        <v>-2388.2359999999999</v>
      </c>
      <c r="R88" s="438">
        <v>-2751.6759999999999</v>
      </c>
      <c r="S88" s="438">
        <v>-3114.7280000000001</v>
      </c>
      <c r="T88" s="438">
        <v>-8046.665</v>
      </c>
      <c r="U88" s="438">
        <v>-8378.5339999999997</v>
      </c>
      <c r="V88" s="438">
        <v>-8178.3280000000004</v>
      </c>
      <c r="W88" s="438">
        <v>-7708.2970000000005</v>
      </c>
      <c r="X88" s="438">
        <v>-8060.03</v>
      </c>
      <c r="Y88" s="447">
        <v>-8365.5613959890907</v>
      </c>
      <c r="Z88" s="447">
        <v>-9069.1618587253979</v>
      </c>
      <c r="AA88" s="447">
        <v>-9605.5708531591372</v>
      </c>
      <c r="AB88" s="447">
        <v>-10136.583020611051</v>
      </c>
      <c r="AC88" s="447">
        <v>-10774.134670218176</v>
      </c>
      <c r="AD88" s="447">
        <v>-11727.483609480956</v>
      </c>
      <c r="AE88" s="447">
        <v>-12783.645975435866</v>
      </c>
      <c r="AF88" s="447">
        <v>-13916.574984967308</v>
      </c>
      <c r="AG88" s="447">
        <v>-15165.788135939183</v>
      </c>
      <c r="AH88" s="447">
        <v>-16520.94913126135</v>
      </c>
      <c r="AI88" s="272"/>
      <c r="AJ88" s="1133">
        <v>0.33881464424294139</v>
      </c>
      <c r="AK88" s="1133"/>
      <c r="AL88" s="1128">
        <f t="shared" ref="AL88:AL93" si="8">IFERROR((AA88/Y88)^(1/2)-1,"NM")</f>
        <v>7.1553957185409134E-2</v>
      </c>
      <c r="AM88" s="272"/>
      <c r="AN88" s="272"/>
    </row>
    <row r="89" spans="1:40" s="1209" customFormat="1">
      <c r="A89" s="1237" t="s">
        <v>1216</v>
      </c>
      <c r="B89" s="1591">
        <v>-111.178</v>
      </c>
      <c r="C89" s="1591">
        <v>-113.99299999999999</v>
      </c>
      <c r="D89" s="1591">
        <v>-161.46</v>
      </c>
      <c r="E89" s="1518">
        <v>-183.01</v>
      </c>
      <c r="F89" s="1518">
        <v>-210.93</v>
      </c>
      <c r="G89" s="1518">
        <v>-571.35799999999995</v>
      </c>
      <c r="H89" s="1518">
        <v>-572.98</v>
      </c>
      <c r="I89" s="1518">
        <v>-572.98</v>
      </c>
      <c r="J89" s="1591">
        <v>-665.16699999999992</v>
      </c>
      <c r="K89" s="1591">
        <v>-670.52599999999995</v>
      </c>
      <c r="L89" s="1518">
        <v>-661.779</v>
      </c>
      <c r="M89" s="1518">
        <v>-805.80099999999993</v>
      </c>
      <c r="N89" s="1518">
        <v>-922.07399999999984</v>
      </c>
      <c r="O89" s="1518">
        <v>-1336.0809999999999</v>
      </c>
      <c r="P89" s="1518">
        <v>-1947.8959999999997</v>
      </c>
      <c r="Q89" s="1518">
        <v>-2388.2359999999999</v>
      </c>
      <c r="R89" s="1518">
        <v>-2751.6759999999999</v>
      </c>
      <c r="S89" s="1518">
        <v>-3114.7280000000001</v>
      </c>
      <c r="T89" s="1518">
        <v>-4257.2840000000006</v>
      </c>
      <c r="U89" s="1518">
        <v>-4353.3640000000005</v>
      </c>
      <c r="V89" s="1518">
        <v>-3740.0439999999994</v>
      </c>
      <c r="W89" s="1518">
        <v>-3350.9949999999999</v>
      </c>
      <c r="X89" s="1518">
        <v>-3913.605</v>
      </c>
      <c r="Y89" s="1518">
        <v>-4134.0526701829067</v>
      </c>
      <c r="Z89" s="1518">
        <v>-4568.177454425906</v>
      </c>
      <c r="AA89" s="1518">
        <v>-4854.2276496088361</v>
      </c>
      <c r="AB89" s="1518">
        <v>-5114.7083778290817</v>
      </c>
      <c r="AC89" s="1518">
        <v>-5490.0922959703676</v>
      </c>
      <c r="AD89" s="1518">
        <v>-6200.8336810934443</v>
      </c>
      <c r="AE89" s="1518">
        <v>-6976.0363940141951</v>
      </c>
      <c r="AF89" s="1518">
        <v>-7799.5545837345999</v>
      </c>
      <c r="AG89" s="1518">
        <v>-8699.7247013018659</v>
      </c>
      <c r="AH89" s="1518">
        <v>-9670.6984151549241</v>
      </c>
      <c r="AI89" s="1243"/>
      <c r="AJ89" s="1243">
        <v>0.17449681435554676</v>
      </c>
      <c r="AK89" s="1243"/>
      <c r="AL89" s="1128">
        <f t="shared" si="8"/>
        <v>8.3607661740727757E-2</v>
      </c>
      <c r="AM89" s="1243"/>
      <c r="AN89" s="1243"/>
    </row>
    <row r="90" spans="1:40">
      <c r="A90" s="43" t="s">
        <v>336</v>
      </c>
      <c r="B90" s="985">
        <v>219.38799999999992</v>
      </c>
      <c r="C90" s="985">
        <v>269.91000000000003</v>
      </c>
      <c r="D90" s="985">
        <v>253.74900000000005</v>
      </c>
      <c r="E90" s="985">
        <v>362.44299999999998</v>
      </c>
      <c r="F90" s="985">
        <v>489.62500000000028</v>
      </c>
      <c r="G90" s="985">
        <v>436.08100000000081</v>
      </c>
      <c r="H90" s="985">
        <v>715.69599999999991</v>
      </c>
      <c r="I90" s="985">
        <v>459.08699999999999</v>
      </c>
      <c r="J90" s="985">
        <v>335.06900000000087</v>
      </c>
      <c r="K90" s="985">
        <v>328.10499999999854</v>
      </c>
      <c r="L90" s="985">
        <v>453.06800000000067</v>
      </c>
      <c r="M90" s="985">
        <v>802.26400000000058</v>
      </c>
      <c r="N90" s="985">
        <v>1116.6480000000017</v>
      </c>
      <c r="O90" s="985">
        <v>1457.0110000000025</v>
      </c>
      <c r="P90" s="985">
        <v>2353.8329999999996</v>
      </c>
      <c r="Q90" s="985">
        <v>2767.0019999999977</v>
      </c>
      <c r="R90" s="985">
        <v>3714.5679999999988</v>
      </c>
      <c r="S90" s="985">
        <v>3293.588999999999</v>
      </c>
      <c r="T90" s="985">
        <v>4570.8939999999939</v>
      </c>
      <c r="U90" s="985">
        <v>-1453.7979999999952</v>
      </c>
      <c r="V90" s="985">
        <v>4132.9409999999998</v>
      </c>
      <c r="W90" s="985">
        <v>6341.4970000000085</v>
      </c>
      <c r="X90" s="985">
        <v>7900.3589999999958</v>
      </c>
      <c r="Y90" s="1566">
        <v>8515.513541250577</v>
      </c>
      <c r="Z90" s="1566">
        <v>10024.208469148231</v>
      </c>
      <c r="AA90" s="1566">
        <v>11208.67728663006</v>
      </c>
      <c r="AB90" s="1566">
        <v>12298.975409123941</v>
      </c>
      <c r="AC90" s="1566">
        <v>13143.992966057005</v>
      </c>
      <c r="AD90" s="1566">
        <v>13756.809513566704</v>
      </c>
      <c r="AE90" s="1566">
        <v>14329.758499375195</v>
      </c>
      <c r="AF90" s="1566">
        <v>14888.620194753981</v>
      </c>
      <c r="AG90" s="1566">
        <v>15426.023823091797</v>
      </c>
      <c r="AH90" s="1566">
        <v>15940.541397741374</v>
      </c>
      <c r="AI90" s="87"/>
      <c r="AJ90" s="87">
        <v>-1.9081251094117162</v>
      </c>
      <c r="AK90" s="87"/>
      <c r="AL90" s="1128">
        <f t="shared" si="8"/>
        <v>0.14728617622890838</v>
      </c>
      <c r="AM90" s="1133"/>
      <c r="AN90" s="1133"/>
    </row>
    <row r="91" spans="1:40">
      <c r="A91" s="90" t="s">
        <v>53</v>
      </c>
      <c r="B91" s="1584">
        <v>8.8654009813088991E-2</v>
      </c>
      <c r="C91" s="1584">
        <v>0.10270876238053271</v>
      </c>
      <c r="D91" s="1584">
        <v>8.8368377264633619E-2</v>
      </c>
      <c r="E91" s="1584">
        <v>9.7730568511948182E-2</v>
      </c>
      <c r="F91" s="1584">
        <v>0.10495037832508097</v>
      </c>
      <c r="G91" s="1584">
        <v>7.2361246532781323E-2</v>
      </c>
      <c r="H91" s="1584">
        <v>0.1024559356131636</v>
      </c>
      <c r="I91" s="1584">
        <v>5.8956755645387993E-2</v>
      </c>
      <c r="J91" s="1584">
        <v>3.9020128027207474E-2</v>
      </c>
      <c r="K91" s="1584">
        <v>3.6531447073074985E-2</v>
      </c>
      <c r="L91" s="1514">
        <v>4.2356642880702018E-2</v>
      </c>
      <c r="M91" s="1514">
        <v>5.9341190766265067E-2</v>
      </c>
      <c r="N91" s="1514">
        <v>7.1066747747756454E-2</v>
      </c>
      <c r="O91" s="1514">
        <v>6.3903276520372351E-2</v>
      </c>
      <c r="P91" s="1514">
        <v>7.2900321775241958E-2</v>
      </c>
      <c r="Q91" s="1514">
        <v>7.3391643973493348E-2</v>
      </c>
      <c r="R91" s="1514">
        <v>8.7341753430549368E-2</v>
      </c>
      <c r="S91" s="1584">
        <v>7.1356851289125722E-2</v>
      </c>
      <c r="T91" s="1584">
        <v>7.859898454497645E-2</v>
      </c>
      <c r="U91" s="1584">
        <v>-3.7765480614719252E-2</v>
      </c>
      <c r="V91" s="1584">
        <v>7.7425667160533201E-2</v>
      </c>
      <c r="W91" s="1584">
        <v>9.2131000567256538E-2</v>
      </c>
      <c r="X91" s="1584">
        <v>0.1036370246411934</v>
      </c>
      <c r="Y91" s="1585">
        <v>0.10628168215405823</v>
      </c>
      <c r="Z91" s="1585">
        <v>0.11165661883217587</v>
      </c>
      <c r="AA91" s="1585">
        <v>0.11452190695973043</v>
      </c>
      <c r="AB91" s="1585">
        <v>0.11658008154633391</v>
      </c>
      <c r="AC91" s="1585">
        <v>0.1168675729189113</v>
      </c>
      <c r="AD91" s="1585">
        <v>0.11479968042225093</v>
      </c>
      <c r="AE91" s="1585">
        <v>0.11239545962301113</v>
      </c>
      <c r="AF91" s="1585">
        <v>0.10992063509450976</v>
      </c>
      <c r="AG91" s="1585">
        <v>0.10723736391759511</v>
      </c>
      <c r="AH91" s="1585">
        <v>0.10443128193666242</v>
      </c>
      <c r="AI91" s="1133"/>
      <c r="AJ91" s="1133"/>
      <c r="AK91" s="1133"/>
      <c r="AL91" s="1128">
        <f t="shared" si="8"/>
        <v>3.8042358545733235E-2</v>
      </c>
      <c r="AM91" s="1133"/>
      <c r="AN91" s="1133"/>
    </row>
    <row r="92" spans="1:40">
      <c r="A92" s="97" t="s">
        <v>699</v>
      </c>
      <c r="B92" s="955">
        <v>-43.086999999999996</v>
      </c>
      <c r="C92" s="955">
        <v>-18.219000000000001</v>
      </c>
      <c r="D92" s="955">
        <v>-4.6790000000000003</v>
      </c>
      <c r="E92" s="438">
        <v>-2.0659999999999998</v>
      </c>
      <c r="F92" s="438">
        <v>-31.681000000000001</v>
      </c>
      <c r="G92" s="438">
        <v>-49.722000000000001</v>
      </c>
      <c r="H92" s="438">
        <v>-37.064999999999998</v>
      </c>
      <c r="I92" s="438">
        <v>-194.4</v>
      </c>
      <c r="J92" s="955">
        <v>-127.83699999999999</v>
      </c>
      <c r="K92" s="955">
        <v>-79.625</v>
      </c>
      <c r="L92" s="438">
        <v>-118.09400000000001</v>
      </c>
      <c r="M92" s="438">
        <v>-189.33699999999999</v>
      </c>
      <c r="N92" s="438">
        <v>-210.471</v>
      </c>
      <c r="O92" s="438">
        <v>-493.46300000000002</v>
      </c>
      <c r="P92" s="438">
        <v>-858.86599999999999</v>
      </c>
      <c r="Q92" s="438">
        <v>-1179.1570000000002</v>
      </c>
      <c r="R92" s="438">
        <v>-1626.5820000000001</v>
      </c>
      <c r="S92" s="438">
        <v>-1455.97</v>
      </c>
      <c r="T92" s="438">
        <v>-2849.7980000000002</v>
      </c>
      <c r="U92" s="438">
        <v>-3567.605</v>
      </c>
      <c r="V92" s="438">
        <v>-3135.3649999999998</v>
      </c>
      <c r="W92" s="438">
        <v>-3819.6909999999998</v>
      </c>
      <c r="X92" s="438">
        <v>-3455.893</v>
      </c>
      <c r="Y92" s="447">
        <v>-5736.1077737267242</v>
      </c>
      <c r="Z92" s="447">
        <v>-5032.408262677066</v>
      </c>
      <c r="AA92" s="447">
        <v>-4686.8876145349041</v>
      </c>
      <c r="AB92" s="447">
        <v>-4080.2691440500275</v>
      </c>
      <c r="AC92" s="447">
        <v>-3885.0471254500876</v>
      </c>
      <c r="AD92" s="447">
        <v>-3649.5543935869332</v>
      </c>
      <c r="AE92" s="447">
        <v>-3387.7090751529458</v>
      </c>
      <c r="AF92" s="447">
        <v>-3087.2311543473138</v>
      </c>
      <c r="AG92" s="447">
        <v>-2764.839975752639</v>
      </c>
      <c r="AH92" s="447">
        <v>-2416.2085038189225</v>
      </c>
      <c r="AI92" s="1133"/>
      <c r="AJ92" s="1133">
        <v>0.32950590520447176</v>
      </c>
      <c r="AK92" s="1133"/>
      <c r="AL92" s="1128">
        <f t="shared" si="8"/>
        <v>-9.6072459211618666E-2</v>
      </c>
      <c r="AM92" s="1133"/>
      <c r="AN92" s="1133"/>
    </row>
    <row r="93" spans="1:40" s="1209" customFormat="1">
      <c r="A93" s="1242" t="s">
        <v>1225</v>
      </c>
      <c r="B93" s="1591">
        <v>-43.086999999999996</v>
      </c>
      <c r="C93" s="1591">
        <v>-18.219000000000001</v>
      </c>
      <c r="D93" s="1591">
        <v>-4.6790000000000003</v>
      </c>
      <c r="E93" s="1518">
        <v>-2.0659999999999998</v>
      </c>
      <c r="F93" s="1518">
        <v>-31.681000000000001</v>
      </c>
      <c r="G93" s="1518">
        <v>-49.722000000000001</v>
      </c>
      <c r="H93" s="1518">
        <v>-37.064999999999998</v>
      </c>
      <c r="I93" s="1518">
        <v>-194.4</v>
      </c>
      <c r="J93" s="1591">
        <v>-127.83699999999999</v>
      </c>
      <c r="K93" s="1591">
        <v>-79.625</v>
      </c>
      <c r="L93" s="1518">
        <v>-118.09400000000001</v>
      </c>
      <c r="M93" s="1518">
        <v>-189.33699999999999</v>
      </c>
      <c r="N93" s="1518">
        <v>-210.471</v>
      </c>
      <c r="O93" s="1518">
        <v>-493.46300000000002</v>
      </c>
      <c r="P93" s="1518">
        <v>-858.86599999999999</v>
      </c>
      <c r="Q93" s="1518">
        <v>-1179.1569999999999</v>
      </c>
      <c r="R93" s="1518">
        <v>-1626.5820000000001</v>
      </c>
      <c r="S93" s="1518">
        <v>-1455.97</v>
      </c>
      <c r="T93" s="1518">
        <v>-1852.0450000000003</v>
      </c>
      <c r="U93" s="1518">
        <v>-2626.9479999999994</v>
      </c>
      <c r="V93" s="1518">
        <v>-2145.9099999999994</v>
      </c>
      <c r="W93" s="1518">
        <v>-2879.3719999999998</v>
      </c>
      <c r="X93" s="1518">
        <v>-2577.3910000000001</v>
      </c>
      <c r="Y93" s="1518">
        <v>-4756.5388144832978</v>
      </c>
      <c r="Z93" s="1518">
        <v>-4042.0501677297325</v>
      </c>
      <c r="AA93" s="1518">
        <v>-3701.5968571570902</v>
      </c>
      <c r="AB93" s="1518">
        <v>-3072.0558170179565</v>
      </c>
      <c r="AC93" s="1518">
        <v>-2854.7677969001411</v>
      </c>
      <c r="AD93" s="1518">
        <v>-2599.7343946470851</v>
      </c>
      <c r="AE93" s="1518">
        <v>-2320.3052562466455</v>
      </c>
      <c r="AF93" s="1518">
        <v>-2005.3866555536433</v>
      </c>
      <c r="AG93" s="1518">
        <v>-1669.1776002293018</v>
      </c>
      <c r="AH93" s="1518">
        <v>-1307.7029212458376</v>
      </c>
      <c r="AI93" s="1243"/>
      <c r="AJ93" s="1243">
        <v>0.25056195728153696</v>
      </c>
      <c r="AK93" s="1243"/>
      <c r="AL93" s="1128">
        <f t="shared" si="8"/>
        <v>-0.11783659808041858</v>
      </c>
      <c r="AM93" s="1243"/>
      <c r="AN93" s="1243"/>
    </row>
    <row r="94" spans="1:40" ht="12.75" customHeight="1">
      <c r="A94" s="98" t="s">
        <v>590</v>
      </c>
      <c r="B94" s="967">
        <v>-80.444000000000003</v>
      </c>
      <c r="C94" s="967">
        <v>-5.5730000000000004</v>
      </c>
      <c r="D94" s="967">
        <v>-22.995999999999999</v>
      </c>
      <c r="E94" s="967">
        <v>-72.927999999999997</v>
      </c>
      <c r="F94" s="967">
        <v>-16.267000000000003</v>
      </c>
      <c r="G94" s="967">
        <v>-24.486000000000001</v>
      </c>
      <c r="H94" s="967">
        <v>1.847</v>
      </c>
      <c r="I94" s="967">
        <v>-37</v>
      </c>
      <c r="J94" s="967">
        <v>-23.288999999999998</v>
      </c>
      <c r="K94" s="967">
        <v>38.258999999999993</v>
      </c>
      <c r="L94" s="967">
        <v>8.8040000000000003</v>
      </c>
      <c r="M94" s="967">
        <v>12.978999999999999</v>
      </c>
      <c r="N94" s="967">
        <v>43.580999999999996</v>
      </c>
      <c r="O94" s="967">
        <v>32.253</v>
      </c>
      <c r="P94" s="967">
        <v>27.703000000000003</v>
      </c>
      <c r="Q94" s="967">
        <v>67.876999999999995</v>
      </c>
      <c r="R94" s="967">
        <v>-0.43800000000000061</v>
      </c>
      <c r="S94" s="967">
        <v>0</v>
      </c>
      <c r="T94" s="967">
        <v>-0.94300000000000006</v>
      </c>
      <c r="U94" s="967">
        <v>-2.617</v>
      </c>
      <c r="V94" s="967">
        <v>1.8399999999999999</v>
      </c>
      <c r="W94" s="967">
        <v>0</v>
      </c>
      <c r="X94" s="967">
        <v>3.4039999999999999</v>
      </c>
      <c r="Y94" s="1397">
        <v>0</v>
      </c>
      <c r="Z94" s="1397">
        <v>0</v>
      </c>
      <c r="AA94" s="1397">
        <v>0</v>
      </c>
      <c r="AB94" s="1397">
        <v>0</v>
      </c>
      <c r="AC94" s="1397">
        <v>0</v>
      </c>
      <c r="AD94" s="1397">
        <v>0</v>
      </c>
      <c r="AE94" s="1397">
        <v>0</v>
      </c>
      <c r="AF94" s="1397">
        <v>0</v>
      </c>
      <c r="AG94" s="1397">
        <v>0</v>
      </c>
      <c r="AH94" s="1397">
        <v>0</v>
      </c>
      <c r="AI94" s="1133"/>
      <c r="AJ94" s="1133"/>
      <c r="AK94" s="1133"/>
      <c r="AL94" s="1128"/>
      <c r="AM94" s="1133"/>
      <c r="AN94" s="1133"/>
    </row>
    <row r="95" spans="1:40" ht="12.75" customHeight="1">
      <c r="A95" s="1242" t="s">
        <v>1383</v>
      </c>
      <c r="B95" s="967"/>
      <c r="C95" s="967"/>
      <c r="D95" s="967"/>
      <c r="E95" s="967"/>
      <c r="F95" s="967"/>
      <c r="G95" s="967"/>
      <c r="H95" s="967"/>
      <c r="I95" s="967"/>
      <c r="J95" s="1591">
        <v>-24.145999999999994</v>
      </c>
      <c r="K95" s="1591">
        <v>47.025999999999996</v>
      </c>
      <c r="L95" s="1518">
        <v>12.91</v>
      </c>
      <c r="M95" s="1518">
        <v>8.7230000000000008</v>
      </c>
      <c r="N95" s="1518">
        <v>-8.1250000000000018</v>
      </c>
      <c r="O95" s="1518">
        <v>0.56099999999999994</v>
      </c>
      <c r="P95" s="1518">
        <v>30.071999999999989</v>
      </c>
      <c r="Q95" s="1518">
        <v>480.95899999999995</v>
      </c>
      <c r="R95" s="1518">
        <v>-174.16400000000007</v>
      </c>
      <c r="S95" s="1518">
        <v>-114.16999999999999</v>
      </c>
      <c r="T95" s="1518">
        <v>-230.21999999999997</v>
      </c>
      <c r="U95" s="1518">
        <v>445.22200000000009</v>
      </c>
      <c r="V95" s="1518">
        <v>-5.3020000000000209</v>
      </c>
      <c r="W95" s="1518">
        <v>-302.32600000000002</v>
      </c>
      <c r="X95" s="1518">
        <v>362.99699999999996</v>
      </c>
      <c r="Y95" s="1518">
        <v>-1298.8578166252321</v>
      </c>
      <c r="Z95" s="1518">
        <v>-859.19873382515493</v>
      </c>
      <c r="AA95" s="1518">
        <v>-786.8191181181644</v>
      </c>
      <c r="AB95" s="1518">
        <v>-359.69523414344627</v>
      </c>
      <c r="AC95" s="1518">
        <v>-372.15226457853095</v>
      </c>
      <c r="AD95" s="1518">
        <v>-375.49231073177918</v>
      </c>
      <c r="AE95" s="1518">
        <v>-378.86233361596589</v>
      </c>
      <c r="AF95" s="1518">
        <v>-382.26260227061437</v>
      </c>
      <c r="AG95" s="1518">
        <v>-388.98567450631299</v>
      </c>
      <c r="AH95" s="1518">
        <v>-399.52511344076925</v>
      </c>
      <c r="AI95" s="1133"/>
      <c r="AJ95" s="1133">
        <v>0.71428435117127131</v>
      </c>
      <c r="AK95" s="1133"/>
      <c r="AL95" s="1128">
        <f t="shared" ref="AL95:AL117" si="9">IFERROR((AA95/Y95)^(1/2)-1,"NM")</f>
        <v>-0.22168276818058197</v>
      </c>
      <c r="AM95" s="1133"/>
      <c r="AN95" s="1133"/>
    </row>
    <row r="96" spans="1:40">
      <c r="A96" s="93" t="s">
        <v>55</v>
      </c>
      <c r="B96" s="985">
        <v>95.856999999999928</v>
      </c>
      <c r="C96" s="985">
        <v>246.11800000000002</v>
      </c>
      <c r="D96" s="985">
        <v>226.07400000000004</v>
      </c>
      <c r="E96" s="985">
        <v>287.44900000000001</v>
      </c>
      <c r="F96" s="985">
        <v>441.67700000000031</v>
      </c>
      <c r="G96" s="985">
        <v>361.87300000000084</v>
      </c>
      <c r="H96" s="985">
        <v>680.47799999999984</v>
      </c>
      <c r="I96" s="985">
        <v>227.68700000000001</v>
      </c>
      <c r="J96" s="985">
        <v>183.94300000000089</v>
      </c>
      <c r="K96" s="985">
        <v>286.73899999999855</v>
      </c>
      <c r="L96" s="985">
        <v>343.77800000000065</v>
      </c>
      <c r="M96" s="985">
        <v>625.90600000000063</v>
      </c>
      <c r="N96" s="985">
        <v>949.75800000000174</v>
      </c>
      <c r="O96" s="985">
        <v>995.80100000000255</v>
      </c>
      <c r="P96" s="985">
        <v>1522.6699999999996</v>
      </c>
      <c r="Q96" s="985">
        <v>1655.7219999999977</v>
      </c>
      <c r="R96" s="985">
        <v>2087.5479999999989</v>
      </c>
      <c r="S96" s="985">
        <v>1837.618999999999</v>
      </c>
      <c r="T96" s="985">
        <v>2717.9059999999936</v>
      </c>
      <c r="U96" s="985">
        <v>-5024.019999999995</v>
      </c>
      <c r="V96" s="985">
        <v>999.41600000000005</v>
      </c>
      <c r="W96" s="985">
        <v>2521.8060000000087</v>
      </c>
      <c r="X96" s="985">
        <v>4447.8699999999963</v>
      </c>
      <c r="Y96" s="1566">
        <v>2779.4057675238528</v>
      </c>
      <c r="Z96" s="1566">
        <v>4991.8002064711645</v>
      </c>
      <c r="AA96" s="1566">
        <v>6521.7896720951558</v>
      </c>
      <c r="AB96" s="1566">
        <v>8218.7062650739135</v>
      </c>
      <c r="AC96" s="1566">
        <v>9258.945840606917</v>
      </c>
      <c r="AD96" s="1566">
        <v>10107.255119979771</v>
      </c>
      <c r="AE96" s="1566">
        <v>10942.049424222248</v>
      </c>
      <c r="AF96" s="1566">
        <v>11801.389040406668</v>
      </c>
      <c r="AG96" s="1566">
        <v>12661.183847339158</v>
      </c>
      <c r="AH96" s="1566">
        <v>13524.332893922452</v>
      </c>
      <c r="AI96" s="1133"/>
      <c r="AJ96" s="1133">
        <v>-2.2696649000747335</v>
      </c>
      <c r="AK96" s="1133"/>
      <c r="AL96" s="1128">
        <f t="shared" si="9"/>
        <v>0.53181887702897557</v>
      </c>
      <c r="AM96" s="1133"/>
      <c r="AN96" s="1133"/>
    </row>
    <row r="97" spans="1:40">
      <c r="A97" s="271" t="s">
        <v>356</v>
      </c>
      <c r="B97" s="955">
        <v>-64.39</v>
      </c>
      <c r="C97" s="955">
        <v>-77.775999999999996</v>
      </c>
      <c r="D97" s="955">
        <v>-85.6</v>
      </c>
      <c r="E97" s="967">
        <v>-123.066</v>
      </c>
      <c r="F97" s="967">
        <v>-127.033</v>
      </c>
      <c r="G97" s="967">
        <v>-125.46899999999999</v>
      </c>
      <c r="H97" s="967">
        <v>-168.40899999999999</v>
      </c>
      <c r="I97" s="967">
        <v>-53.148000000000003</v>
      </c>
      <c r="J97" s="955">
        <v>-45.084999999999994</v>
      </c>
      <c r="K97" s="955">
        <v>-127.749</v>
      </c>
      <c r="L97" s="967">
        <v>-107.01700000000001</v>
      </c>
      <c r="M97" s="967">
        <v>-222.46199999999999</v>
      </c>
      <c r="N97" s="967">
        <v>-284.86799999999999</v>
      </c>
      <c r="O97" s="967">
        <v>-364.59300000000002</v>
      </c>
      <c r="P97" s="967">
        <v>-489.91800000000001</v>
      </c>
      <c r="Q97" s="967">
        <v>-529.23200000000008</v>
      </c>
      <c r="R97" s="967">
        <v>-835.42800000000011</v>
      </c>
      <c r="S97" s="967">
        <v>-698.29500000000007</v>
      </c>
      <c r="T97" s="967">
        <v>-635.41899999999998</v>
      </c>
      <c r="U97" s="967">
        <v>1178.0889999999999</v>
      </c>
      <c r="V97" s="967">
        <v>-214.94599999999997</v>
      </c>
      <c r="W97" s="967">
        <v>-937.01099999999997</v>
      </c>
      <c r="X97" s="967">
        <v>-1457.873</v>
      </c>
      <c r="Y97" s="1397">
        <v>-930.44976152606864</v>
      </c>
      <c r="Z97" s="1397">
        <v>-1697.2120702001941</v>
      </c>
      <c r="AA97" s="1397">
        <v>-2217.4084885123489</v>
      </c>
      <c r="AB97" s="1397">
        <v>-2794.3601301251301</v>
      </c>
      <c r="AC97" s="1397">
        <v>-3148.0415858063534</v>
      </c>
      <c r="AD97" s="1397">
        <v>-3436.4667407931188</v>
      </c>
      <c r="AE97" s="1397">
        <v>-3720.296804235561</v>
      </c>
      <c r="AF97" s="1397">
        <v>-4012.4722737382685</v>
      </c>
      <c r="AG97" s="1397">
        <v>-4304.8025080953212</v>
      </c>
      <c r="AH97" s="1397">
        <v>-4598.2731839336302</v>
      </c>
      <c r="AI97" s="1133"/>
      <c r="AJ97" s="1133"/>
      <c r="AK97" s="1133"/>
      <c r="AL97" s="1128">
        <f t="shared" si="9"/>
        <v>0.54374793052161419</v>
      </c>
      <c r="AM97" s="1133"/>
      <c r="AN97" s="1133"/>
    </row>
    <row r="98" spans="1:40">
      <c r="A98" s="90" t="s">
        <v>56</v>
      </c>
      <c r="B98" s="471">
        <v>-0.67172976412781593</v>
      </c>
      <c r="C98" s="471">
        <v>-0.31601101910465706</v>
      </c>
      <c r="D98" s="471">
        <v>-0.37863708343285818</v>
      </c>
      <c r="E98" s="471">
        <v>-0.42813159899669156</v>
      </c>
      <c r="F98" s="471">
        <v>-0.28761515768310308</v>
      </c>
      <c r="G98" s="471">
        <v>-0.34672108723226019</v>
      </c>
      <c r="H98" s="471">
        <v>-0.24748632578863686</v>
      </c>
      <c r="I98" s="471">
        <v>-0.23342571161287207</v>
      </c>
      <c r="J98" s="471">
        <v>-0.24510310259156246</v>
      </c>
      <c r="K98" s="471">
        <v>-0.44552362950279045</v>
      </c>
      <c r="L98" s="471">
        <v>-0.31129682527677688</v>
      </c>
      <c r="M98" s="471">
        <v>-0.35542397740235715</v>
      </c>
      <c r="N98" s="471">
        <v>-0.29993745775239533</v>
      </c>
      <c r="O98" s="471">
        <v>-0.36613038147179916</v>
      </c>
      <c r="P98" s="471">
        <v>-0.3217492956451497</v>
      </c>
      <c r="Q98" s="471">
        <v>-0.31963820013263144</v>
      </c>
      <c r="R98" s="471">
        <v>-0.4001958278324621</v>
      </c>
      <c r="S98" s="471">
        <v>-0.37999988027986237</v>
      </c>
      <c r="T98" s="471">
        <v>-0.23378991032066654</v>
      </c>
      <c r="U98" s="471">
        <v>-0.23449130377665717</v>
      </c>
      <c r="V98" s="471">
        <v>-0.2150716018154602</v>
      </c>
      <c r="W98" s="471">
        <v>-0.371563474747858</v>
      </c>
      <c r="X98" s="471">
        <v>-0.3277687971995587</v>
      </c>
      <c r="Y98" s="588">
        <v>-0.33476571589437187</v>
      </c>
      <c r="Z98" s="588">
        <v>-0.33999999999999964</v>
      </c>
      <c r="AA98" s="588">
        <v>-0.33999999999999936</v>
      </c>
      <c r="AB98" s="588">
        <v>-0.33999999999999997</v>
      </c>
      <c r="AC98" s="588">
        <v>-0.34000000000000019</v>
      </c>
      <c r="AD98" s="588">
        <v>-0.33999999999999969</v>
      </c>
      <c r="AE98" s="588">
        <v>-0.33999999999999969</v>
      </c>
      <c r="AF98" s="588">
        <v>-0.34000000000000014</v>
      </c>
      <c r="AG98" s="588">
        <v>-0.34000000000000058</v>
      </c>
      <c r="AH98" s="588">
        <v>-0.33999999999999975</v>
      </c>
      <c r="AI98" s="1133"/>
      <c r="AJ98" s="1133"/>
      <c r="AK98" s="1133"/>
      <c r="AL98" s="1128">
        <f t="shared" si="9"/>
        <v>7.7875091314811851E-3</v>
      </c>
      <c r="AM98" s="1133"/>
      <c r="AN98" s="1133"/>
    </row>
    <row r="99" spans="1:40">
      <c r="A99" s="93" t="s">
        <v>57</v>
      </c>
      <c r="B99" s="985">
        <v>31.466999999999928</v>
      </c>
      <c r="C99" s="985">
        <v>168.34200000000004</v>
      </c>
      <c r="D99" s="985">
        <v>140.47400000000005</v>
      </c>
      <c r="E99" s="985">
        <v>164.38300000000001</v>
      </c>
      <c r="F99" s="985">
        <v>314.64400000000029</v>
      </c>
      <c r="G99" s="985">
        <v>236.40400000000085</v>
      </c>
      <c r="H99" s="985">
        <v>512.06899999999985</v>
      </c>
      <c r="I99" s="985">
        <v>174.53900000000002</v>
      </c>
      <c r="J99" s="985">
        <v>138.85800000000091</v>
      </c>
      <c r="K99" s="985">
        <v>158.98999999999856</v>
      </c>
      <c r="L99" s="985">
        <v>236.76100000000065</v>
      </c>
      <c r="M99" s="985">
        <v>403.44400000000064</v>
      </c>
      <c r="N99" s="985">
        <v>664.89000000000169</v>
      </c>
      <c r="O99" s="985">
        <v>631.20800000000258</v>
      </c>
      <c r="P99" s="985">
        <v>1032.7519999999995</v>
      </c>
      <c r="Q99" s="985">
        <v>1126.4899999999975</v>
      </c>
      <c r="R99" s="985">
        <v>1252.1199999999988</v>
      </c>
      <c r="S99" s="985">
        <v>1139.3239999999989</v>
      </c>
      <c r="T99" s="985">
        <v>2082.4869999999937</v>
      </c>
      <c r="U99" s="985">
        <v>-3845.930999999995</v>
      </c>
      <c r="V99" s="985">
        <v>784.47</v>
      </c>
      <c r="W99" s="985">
        <v>1584.7950000000087</v>
      </c>
      <c r="X99" s="985">
        <v>2989.9969999999962</v>
      </c>
      <c r="Y99" s="1566">
        <v>1848.9560059977841</v>
      </c>
      <c r="Z99" s="1566">
        <v>3294.5881362709706</v>
      </c>
      <c r="AA99" s="1566">
        <v>4304.3811835828074</v>
      </c>
      <c r="AB99" s="1566">
        <v>5424.3461349487834</v>
      </c>
      <c r="AC99" s="1566">
        <v>6110.9042548005636</v>
      </c>
      <c r="AD99" s="1566">
        <v>6670.7883791866516</v>
      </c>
      <c r="AE99" s="1566">
        <v>7221.7526199866879</v>
      </c>
      <c r="AF99" s="1566">
        <v>7788.9167666683989</v>
      </c>
      <c r="AG99" s="1566">
        <v>8356.3813392438369</v>
      </c>
      <c r="AH99" s="1566">
        <v>8926.0597099888219</v>
      </c>
      <c r="AI99" s="1133"/>
      <c r="AJ99" s="1133">
        <v>-2.3007717269928643</v>
      </c>
      <c r="AK99" s="1133"/>
      <c r="AL99" s="1128">
        <f t="shared" si="9"/>
        <v>0.52578054604417646</v>
      </c>
      <c r="AM99" s="1133"/>
      <c r="AN99" s="1133"/>
    </row>
    <row r="100" spans="1:40">
      <c r="A100" s="719" t="s">
        <v>58</v>
      </c>
      <c r="B100" s="438">
        <v>1.2649999999999999</v>
      </c>
      <c r="C100" s="438">
        <v>9.9410000000000007</v>
      </c>
      <c r="D100" s="438">
        <v>4.984</v>
      </c>
      <c r="E100" s="967">
        <v>-19.515000000000001</v>
      </c>
      <c r="F100" s="967">
        <v>-3.702</v>
      </c>
      <c r="G100" s="967">
        <v>-6.452</v>
      </c>
      <c r="H100" s="967">
        <v>-10.706</v>
      </c>
      <c r="I100" s="967">
        <v>-10.752000000000001</v>
      </c>
      <c r="J100" s="438">
        <v>-3.2130000000000001</v>
      </c>
      <c r="K100" s="438">
        <v>-7.7640000000000011</v>
      </c>
      <c r="L100" s="967">
        <v>-21.265000000000001</v>
      </c>
      <c r="M100" s="967">
        <v>-36.879000000000005</v>
      </c>
      <c r="N100" s="967">
        <v>17.695</v>
      </c>
      <c r="O100" s="967">
        <v>42.572000000000003</v>
      </c>
      <c r="P100" s="967">
        <v>-51.545999999999999</v>
      </c>
      <c r="Q100" s="967">
        <v>-130.018</v>
      </c>
      <c r="R100" s="967">
        <v>-162.65100000000001</v>
      </c>
      <c r="S100" s="967">
        <v>-186.07100000000003</v>
      </c>
      <c r="T100" s="967">
        <v>-158.06399999999999</v>
      </c>
      <c r="U100" s="967">
        <v>659.88400000000001</v>
      </c>
      <c r="V100" s="967">
        <v>50.66</v>
      </c>
      <c r="W100" s="967">
        <v>47.54</v>
      </c>
      <c r="X100" s="967">
        <v>-59.268000000000001</v>
      </c>
      <c r="Y100" s="1397">
        <v>6.800000000000006E-2</v>
      </c>
      <c r="Z100" s="1397">
        <v>0</v>
      </c>
      <c r="AA100" s="1397">
        <v>0</v>
      </c>
      <c r="AB100" s="1397">
        <v>0</v>
      </c>
      <c r="AC100" s="1397">
        <v>0</v>
      </c>
      <c r="AD100" s="1397">
        <v>0</v>
      </c>
      <c r="AE100" s="1397">
        <v>0</v>
      </c>
      <c r="AF100" s="1397">
        <v>0</v>
      </c>
      <c r="AG100" s="1397">
        <v>0</v>
      </c>
      <c r="AH100" s="1397">
        <v>0</v>
      </c>
      <c r="AI100" s="1133"/>
      <c r="AJ100" s="1133"/>
      <c r="AK100" s="1133"/>
      <c r="AL100" s="1128">
        <f t="shared" si="9"/>
        <v>-1</v>
      </c>
      <c r="AM100" s="1133"/>
      <c r="AN100" s="1133"/>
    </row>
    <row r="101" spans="1:40">
      <c r="A101" s="719" t="s">
        <v>707</v>
      </c>
      <c r="B101" s="438">
        <v>-1.718</v>
      </c>
      <c r="C101" s="438">
        <v>-29.356000000000002</v>
      </c>
      <c r="D101" s="438">
        <v>-17.309999999999999</v>
      </c>
      <c r="E101" s="967">
        <v>9.7409999999999997</v>
      </c>
      <c r="F101" s="967">
        <v>-29.443999999999999</v>
      </c>
      <c r="G101" s="967">
        <v>-7.7750000000000004</v>
      </c>
      <c r="H101" s="967">
        <v>-22.928000000000001</v>
      </c>
      <c r="I101" s="967">
        <v>-35.008000000000003</v>
      </c>
      <c r="J101" s="438">
        <v>-31.897000000000002</v>
      </c>
      <c r="K101" s="438">
        <v>0</v>
      </c>
      <c r="L101" s="967">
        <v>-5.8520000000000003</v>
      </c>
      <c r="M101" s="967">
        <v>0</v>
      </c>
      <c r="N101" s="967">
        <v>-1.5720000000000001</v>
      </c>
      <c r="O101" s="967">
        <v>-7.1139999999999999</v>
      </c>
      <c r="P101" s="967">
        <v>0</v>
      </c>
      <c r="Q101" s="967">
        <v>0</v>
      </c>
      <c r="R101" s="967">
        <v>0</v>
      </c>
      <c r="S101" s="967">
        <v>0</v>
      </c>
      <c r="T101" s="967">
        <v>0</v>
      </c>
      <c r="U101" s="967">
        <v>0</v>
      </c>
      <c r="V101" s="967">
        <v>0</v>
      </c>
      <c r="W101" s="967">
        <v>0</v>
      </c>
      <c r="X101" s="967">
        <v>0</v>
      </c>
      <c r="Y101" s="1397">
        <v>0</v>
      </c>
      <c r="Z101" s="1397">
        <v>0</v>
      </c>
      <c r="AA101" s="1397">
        <v>0</v>
      </c>
      <c r="AB101" s="1397">
        <v>0</v>
      </c>
      <c r="AC101" s="1397">
        <v>0</v>
      </c>
      <c r="AD101" s="1397">
        <v>0</v>
      </c>
      <c r="AE101" s="1397">
        <v>0</v>
      </c>
      <c r="AF101" s="1397">
        <v>0</v>
      </c>
      <c r="AG101" s="1397">
        <v>0</v>
      </c>
      <c r="AH101" s="1397">
        <v>0</v>
      </c>
      <c r="AI101" s="1133"/>
      <c r="AJ101" s="1133"/>
      <c r="AK101" s="1133"/>
      <c r="AL101" s="1128" t="str">
        <f t="shared" si="9"/>
        <v>NM</v>
      </c>
      <c r="AM101" s="1133"/>
      <c r="AN101" s="1133"/>
    </row>
    <row r="102" spans="1:40">
      <c r="A102" s="102" t="s">
        <v>1214</v>
      </c>
      <c r="B102" s="1527">
        <v>31.013999999999928</v>
      </c>
      <c r="C102" s="1527">
        <v>148.92700000000005</v>
      </c>
      <c r="D102" s="1527">
        <v>128.14800000000005</v>
      </c>
      <c r="E102" s="1527">
        <v>154.60899999999998</v>
      </c>
      <c r="F102" s="1527">
        <v>281.49800000000027</v>
      </c>
      <c r="G102" s="1527">
        <v>222.17700000000085</v>
      </c>
      <c r="H102" s="1527">
        <v>478.43499999999983</v>
      </c>
      <c r="I102" s="1527">
        <v>128.779</v>
      </c>
      <c r="J102" s="1527">
        <v>103.74800000000091</v>
      </c>
      <c r="K102" s="1527">
        <v>151.22599999999855</v>
      </c>
      <c r="L102" s="1527">
        <v>209.64400000000066</v>
      </c>
      <c r="M102" s="1527">
        <v>366.56500000000062</v>
      </c>
      <c r="N102" s="1527">
        <v>681.01300000000174</v>
      </c>
      <c r="O102" s="1527">
        <v>666.66600000000255</v>
      </c>
      <c r="P102" s="1527">
        <v>981.20599999999945</v>
      </c>
      <c r="Q102" s="1527">
        <v>996.47199999999748</v>
      </c>
      <c r="R102" s="1527">
        <v>1089.4689999999987</v>
      </c>
      <c r="S102" s="1527">
        <v>953.25299999999891</v>
      </c>
      <c r="T102" s="1527">
        <v>926.66999999999723</v>
      </c>
      <c r="U102" s="1527">
        <v>-3186.0470000000023</v>
      </c>
      <c r="V102" s="1527">
        <v>835.13</v>
      </c>
      <c r="W102" s="1527">
        <v>1632.3349999999978</v>
      </c>
      <c r="X102" s="1527">
        <v>2930.7289999999962</v>
      </c>
      <c r="Y102" s="1566">
        <v>1849.0240059977878</v>
      </c>
      <c r="Z102" s="1566">
        <v>3294.5881362709633</v>
      </c>
      <c r="AA102" s="1566">
        <v>4304.3811835827928</v>
      </c>
      <c r="AB102" s="1566">
        <v>5424.3461349487834</v>
      </c>
      <c r="AC102" s="1566">
        <v>6110.9042548005673</v>
      </c>
      <c r="AD102" s="1566">
        <v>6670.7883791866443</v>
      </c>
      <c r="AE102" s="1566">
        <v>7221.752619986677</v>
      </c>
      <c r="AF102" s="1566">
        <v>7788.9167666684061</v>
      </c>
      <c r="AG102" s="1566">
        <v>8356.3813392438587</v>
      </c>
      <c r="AH102" s="1566">
        <v>8926.0597099888109</v>
      </c>
      <c r="AI102" s="1133"/>
      <c r="AJ102" s="1264">
        <v>-2.2656056255837949</v>
      </c>
      <c r="AK102" s="1133"/>
      <c r="AL102" s="1128">
        <f t="shared" si="9"/>
        <v>0.52575248961258425</v>
      </c>
      <c r="AM102" s="1133"/>
      <c r="AN102" s="1133"/>
    </row>
    <row r="103" spans="1:40">
      <c r="A103" s="720" t="s">
        <v>111</v>
      </c>
      <c r="B103" s="1528"/>
      <c r="C103" s="1528"/>
      <c r="D103" s="1528"/>
      <c r="E103" s="1528"/>
      <c r="F103" s="1528"/>
      <c r="G103" s="1528"/>
      <c r="H103" s="1528"/>
      <c r="I103" s="1528"/>
      <c r="J103" s="1528"/>
      <c r="K103" s="1528"/>
      <c r="L103" s="1528"/>
      <c r="M103" s="1528"/>
      <c r="N103" s="1528"/>
      <c r="O103" s="1528"/>
      <c r="P103" s="1528"/>
      <c r="Q103" s="1528"/>
      <c r="R103" s="1528"/>
      <c r="S103" s="1528"/>
      <c r="T103" s="1528"/>
      <c r="U103" s="1608"/>
      <c r="V103" s="1608"/>
      <c r="W103" s="1608">
        <v>0</v>
      </c>
      <c r="X103" s="1608">
        <v>0</v>
      </c>
      <c r="Y103" s="1608">
        <v>0</v>
      </c>
      <c r="Z103" s="1608">
        <v>0</v>
      </c>
      <c r="AA103" s="1608">
        <v>0</v>
      </c>
      <c r="AB103" s="1608">
        <v>0</v>
      </c>
      <c r="AC103" s="1608">
        <v>0</v>
      </c>
      <c r="AD103" s="1608">
        <v>0</v>
      </c>
      <c r="AE103" s="1608">
        <v>0</v>
      </c>
      <c r="AF103" s="1608">
        <v>0</v>
      </c>
      <c r="AG103" s="1608">
        <v>0</v>
      </c>
      <c r="AH103" s="1608">
        <v>0</v>
      </c>
      <c r="AI103" s="1133"/>
      <c r="AJ103" s="1264"/>
      <c r="AK103" s="1133"/>
      <c r="AL103" s="1128" t="str">
        <f t="shared" si="9"/>
        <v>NM</v>
      </c>
      <c r="AM103" s="1133"/>
      <c r="AN103" s="1133"/>
    </row>
    <row r="104" spans="1:40" s="1209" customFormat="1" hidden="1" outlineLevel="1" collapsed="1">
      <c r="A104" s="1238" t="s">
        <v>1228</v>
      </c>
      <c r="B104" s="1521">
        <v>31.013999999999928</v>
      </c>
      <c r="C104" s="1521">
        <v>148.92700000000005</v>
      </c>
      <c r="D104" s="1521">
        <v>128.14800000000005</v>
      </c>
      <c r="E104" s="1521">
        <v>154.60899999999998</v>
      </c>
      <c r="F104" s="1521">
        <v>281.49800000000027</v>
      </c>
      <c r="G104" s="1521">
        <v>222.17700000000085</v>
      </c>
      <c r="H104" s="1521">
        <v>478.43499999999983</v>
      </c>
      <c r="I104" s="1521">
        <v>128.779</v>
      </c>
      <c r="J104" s="1521">
        <v>103.74799999999955</v>
      </c>
      <c r="K104" s="1521">
        <v>151.22599999999991</v>
      </c>
      <c r="L104" s="1521">
        <v>209.64400000000043</v>
      </c>
      <c r="M104" s="1521">
        <v>366.56499999999949</v>
      </c>
      <c r="N104" s="1521">
        <v>681.01300000000037</v>
      </c>
      <c r="O104" s="1521">
        <v>666.66600000000028</v>
      </c>
      <c r="P104" s="1521">
        <v>981.20600000000036</v>
      </c>
      <c r="Q104" s="1521">
        <v>996.4719999999993</v>
      </c>
      <c r="R104" s="1521">
        <v>1089.4689999999996</v>
      </c>
      <c r="S104" s="1521">
        <v>953.25299999999891</v>
      </c>
      <c r="T104" s="1521">
        <v>764.41399999999817</v>
      </c>
      <c r="U104" s="1521">
        <v>-3708.2140000000018</v>
      </c>
      <c r="V104" s="1521">
        <v>487.88700000000063</v>
      </c>
      <c r="W104" s="1521">
        <v>1661.8799999999978</v>
      </c>
      <c r="X104" s="1521">
        <v>2789.8959999999984</v>
      </c>
      <c r="Y104" s="1521">
        <v>1882.3890796576688</v>
      </c>
      <c r="Z104" s="1521">
        <v>3037.9652538206642</v>
      </c>
      <c r="AA104" s="1521">
        <v>3920.3114138969399</v>
      </c>
      <c r="AB104" s="1521">
        <v>4996.5275889280847</v>
      </c>
      <c r="AC104" s="1521">
        <v>5786.2073016653712</v>
      </c>
      <c r="AD104" s="1521">
        <v>6219.3875010101683</v>
      </c>
      <c r="AE104" s="1521">
        <v>6655.4646131203372</v>
      </c>
      <c r="AF104" s="1521">
        <v>7110.0435293452756</v>
      </c>
      <c r="AG104" s="1521">
        <v>7572.7447840688401</v>
      </c>
      <c r="AH104" s="1521">
        <v>8042.7687593306355</v>
      </c>
      <c r="AI104" s="1261"/>
      <c r="AJ104" s="1261">
        <v>-2.3046106478878299</v>
      </c>
      <c r="AK104" s="1261">
        <f>IFERROR((X104/U104)^(1/3)-1,"NM")</f>
        <v>-1.9095105512112025</v>
      </c>
      <c r="AL104" s="1128">
        <f t="shared" si="9"/>
        <v>0.44313043596413859</v>
      </c>
      <c r="AM104" s="1261">
        <f>IFERROR((AD104/AA104)^(1/3)-1,"NM")</f>
        <v>0.16629661862272904</v>
      </c>
      <c r="AN104" s="1261">
        <f>IFERROR((AH104/X104)^(1/10)-1,"NM")</f>
        <v>0.11168502830685645</v>
      </c>
    </row>
    <row r="105" spans="1:40" s="1209" customFormat="1" hidden="1" outlineLevel="1">
      <c r="A105" s="1239" t="s">
        <v>1229</v>
      </c>
      <c r="B105" s="1609">
        <v>0</v>
      </c>
      <c r="C105" s="1609">
        <v>0</v>
      </c>
      <c r="D105" s="1609">
        <v>0</v>
      </c>
      <c r="E105" s="1609">
        <v>0</v>
      </c>
      <c r="F105" s="1609">
        <v>0</v>
      </c>
      <c r="G105" s="1609">
        <v>0</v>
      </c>
      <c r="H105" s="1609">
        <v>0</v>
      </c>
      <c r="I105" s="1609">
        <v>0</v>
      </c>
      <c r="J105" s="1609">
        <v>0</v>
      </c>
      <c r="K105" s="1529">
        <v>0</v>
      </c>
      <c r="L105" s="1529">
        <v>0</v>
      </c>
      <c r="M105" s="1529">
        <v>0</v>
      </c>
      <c r="N105" s="1529">
        <v>0</v>
      </c>
      <c r="O105" s="1529">
        <v>0</v>
      </c>
      <c r="P105" s="1529">
        <v>0</v>
      </c>
      <c r="Q105" s="1529">
        <v>0</v>
      </c>
      <c r="R105" s="1529">
        <v>0</v>
      </c>
      <c r="S105" s="1529">
        <v>0</v>
      </c>
      <c r="T105" s="1529">
        <v>0</v>
      </c>
      <c r="U105" s="1529">
        <v>0</v>
      </c>
      <c r="V105" s="1529">
        <v>0</v>
      </c>
      <c r="W105" s="1529">
        <v>0</v>
      </c>
      <c r="X105" s="1529">
        <v>0</v>
      </c>
      <c r="Y105" s="1529">
        <v>0</v>
      </c>
      <c r="Z105" s="1529">
        <v>0</v>
      </c>
      <c r="AA105" s="1529">
        <v>0</v>
      </c>
      <c r="AB105" s="1529">
        <v>0</v>
      </c>
      <c r="AC105" s="1529">
        <v>0</v>
      </c>
      <c r="AD105" s="1529">
        <v>0</v>
      </c>
      <c r="AE105" s="1529">
        <v>0</v>
      </c>
      <c r="AF105" s="1529">
        <v>0</v>
      </c>
      <c r="AG105" s="1529">
        <v>0</v>
      </c>
      <c r="AH105" s="1529">
        <v>0</v>
      </c>
      <c r="AI105" s="1243"/>
      <c r="AJ105" s="1262"/>
      <c r="AK105" s="1243"/>
      <c r="AL105" s="1128" t="str">
        <f t="shared" si="9"/>
        <v>NM</v>
      </c>
      <c r="AM105" s="1243"/>
      <c r="AN105" s="1243"/>
    </row>
    <row r="106" spans="1:40" s="13" customFormat="1" hidden="1" outlineLevel="1">
      <c r="A106" s="1779" t="s">
        <v>639</v>
      </c>
      <c r="B106" s="1762">
        <v>31.013999999999928</v>
      </c>
      <c r="C106" s="1762">
        <v>148.92700000000005</v>
      </c>
      <c r="D106" s="1762">
        <v>128.14800000000005</v>
      </c>
      <c r="E106" s="1762">
        <v>154.60900000000004</v>
      </c>
      <c r="F106" s="1762">
        <v>281.49800000000027</v>
      </c>
      <c r="G106" s="1762">
        <v>222.17700000000085</v>
      </c>
      <c r="H106" s="1762">
        <v>478.43499999999983</v>
      </c>
      <c r="I106" s="1762">
        <v>128.779</v>
      </c>
      <c r="J106" s="1762">
        <v>103.74800000000091</v>
      </c>
      <c r="K106" s="1780">
        <v>151.22599999999855</v>
      </c>
      <c r="L106" s="1780">
        <v>209.64400000000063</v>
      </c>
      <c r="M106" s="1780">
        <v>366.56500000000062</v>
      </c>
      <c r="N106" s="1780">
        <v>681.01300000000174</v>
      </c>
      <c r="O106" s="1780">
        <v>666.66600000000255</v>
      </c>
      <c r="P106" s="1780">
        <v>981.20599999999945</v>
      </c>
      <c r="Q106" s="1780">
        <v>996.47199999999748</v>
      </c>
      <c r="R106" s="1780">
        <v>1089.4689999999987</v>
      </c>
      <c r="S106" s="1762">
        <v>953.25299999999891</v>
      </c>
      <c r="T106" s="1762">
        <v>926.66999999999723</v>
      </c>
      <c r="U106" s="1762">
        <v>-3186.0470000000023</v>
      </c>
      <c r="V106" s="1762">
        <v>835.13</v>
      </c>
      <c r="W106" s="1762">
        <v>1632.3349999999978</v>
      </c>
      <c r="X106" s="1762">
        <v>2930.7289999999962</v>
      </c>
      <c r="Y106" s="1763">
        <v>1849.0240059977878</v>
      </c>
      <c r="Z106" s="1763">
        <v>3294.5881362709633</v>
      </c>
      <c r="AA106" s="1763">
        <v>4304.3811835827928</v>
      </c>
      <c r="AB106" s="1763">
        <v>5424.3461349487834</v>
      </c>
      <c r="AC106" s="1763">
        <v>6110.9042548005673</v>
      </c>
      <c r="AD106" s="1763">
        <v>6670.7883791866443</v>
      </c>
      <c r="AE106" s="1763">
        <v>7221.752619986677</v>
      </c>
      <c r="AF106" s="1763">
        <v>7788.9167666684061</v>
      </c>
      <c r="AG106" s="1763">
        <v>8356.3813392438587</v>
      </c>
      <c r="AH106" s="1763">
        <v>8926.0597099888109</v>
      </c>
      <c r="AI106" s="1263"/>
      <c r="AJ106" s="1128">
        <v>-2.2656056255837949</v>
      </c>
      <c r="AK106" s="1128">
        <f>IFERROR((X106/U106)^(1/3)-1,"NM")</f>
        <v>-1.9725407954776022</v>
      </c>
      <c r="AL106" s="1128">
        <f t="shared" si="9"/>
        <v>0.52575248961258425</v>
      </c>
      <c r="AM106" s="1263">
        <f>IFERROR((AD106/AA106)^(1/3)-1,"NM")</f>
        <v>0.15723656210546211</v>
      </c>
      <c r="AN106" s="1263">
        <f>IFERROR((AH106/X106)^(1/10)-1,"NM")</f>
        <v>0.11781108634536919</v>
      </c>
    </row>
    <row r="107" spans="1:40" hidden="1" outlineLevel="1">
      <c r="A107" s="1781" t="s">
        <v>598</v>
      </c>
      <c r="B107" s="1517">
        <v>1.2532661131616754E-2</v>
      </c>
      <c r="C107" s="1517">
        <v>5.6671141695548884E-2</v>
      </c>
      <c r="D107" s="1517">
        <v>4.4627686452787092E-2</v>
      </c>
      <c r="E107" s="1517">
        <v>4.1689384170928399E-2</v>
      </c>
      <c r="F107" s="1517">
        <v>6.03386706106789E-2</v>
      </c>
      <c r="G107" s="1517">
        <v>3.6867014776873534E-2</v>
      </c>
      <c r="H107" s="1517">
        <v>6.8490679778961908E-2</v>
      </c>
      <c r="I107" s="1517">
        <v>1.6538024459976913E-2</v>
      </c>
      <c r="J107" s="1517">
        <v>1.2081870428379667E-2</v>
      </c>
      <c r="K107" s="1517">
        <v>1.6837611786083142E-2</v>
      </c>
      <c r="L107" s="1517">
        <v>1.9599300855681501E-2</v>
      </c>
      <c r="M107" s="1517">
        <v>2.7113772515326595E-2</v>
      </c>
      <c r="N107" s="1517">
        <v>4.3341661010401593E-2</v>
      </c>
      <c r="O107" s="1517">
        <v>2.9239409822390254E-2</v>
      </c>
      <c r="P107" s="1517">
        <v>3.0388830952662326E-2</v>
      </c>
      <c r="Q107" s="1517">
        <v>2.643030914092391E-2</v>
      </c>
      <c r="R107" s="1517">
        <v>2.5617011929308361E-2</v>
      </c>
      <c r="S107" s="1517">
        <v>2.0652586756244606E-2</v>
      </c>
      <c r="T107" s="1517">
        <v>1.5934589821661412E-2</v>
      </c>
      <c r="U107" s="1782">
        <v>-8.276431541114028E-2</v>
      </c>
      <c r="V107" s="1782">
        <v>1.5645153757524264E-2</v>
      </c>
      <c r="W107" s="1782">
        <v>2.3715008744930779E-2</v>
      </c>
      <c r="X107" s="1782">
        <v>3.8445345786142102E-2</v>
      </c>
      <c r="Y107" s="1782">
        <v>2.3077572567845397E-2</v>
      </c>
      <c r="Z107" s="1782">
        <v>3.6697418342086154E-2</v>
      </c>
      <c r="AA107" s="1782">
        <v>4.3978957446966463E-2</v>
      </c>
      <c r="AB107" s="1782">
        <v>5.1416536232664463E-2</v>
      </c>
      <c r="AC107" s="1782">
        <v>5.4334063510430311E-2</v>
      </c>
      <c r="AD107" s="1782">
        <v>5.5667295046854449E-2</v>
      </c>
      <c r="AE107" s="1782">
        <v>5.6643816086815332E-2</v>
      </c>
      <c r="AF107" s="1782">
        <v>5.7504501188910463E-2</v>
      </c>
      <c r="AG107" s="1782">
        <v>5.8091204641423165E-2</v>
      </c>
      <c r="AH107" s="1782">
        <v>5.8477302300999824E-2</v>
      </c>
      <c r="AJ107" s="1260"/>
      <c r="AL107" s="1128">
        <f t="shared" si="9"/>
        <v>0.38047136424179273</v>
      </c>
    </row>
    <row r="108" spans="1:40" s="1209" customFormat="1" hidden="1" outlineLevel="1">
      <c r="A108" s="1238" t="s">
        <v>1226</v>
      </c>
      <c r="B108" s="1521">
        <v>31.013999999999928</v>
      </c>
      <c r="C108" s="1521">
        <v>148.92700000000005</v>
      </c>
      <c r="D108" s="1521">
        <v>128.14800000000005</v>
      </c>
      <c r="E108" s="1521">
        <v>154.60900000000004</v>
      </c>
      <c r="F108" s="1521">
        <v>281.49800000000027</v>
      </c>
      <c r="G108" s="1521">
        <v>222.17700000000085</v>
      </c>
      <c r="H108" s="1521">
        <v>478.43499999999983</v>
      </c>
      <c r="I108" s="1521">
        <v>128.779</v>
      </c>
      <c r="J108" s="1521">
        <v>103.74800000000091</v>
      </c>
      <c r="K108" s="1521">
        <v>151.22599999999855</v>
      </c>
      <c r="L108" s="1521">
        <v>209.64400000000063</v>
      </c>
      <c r="M108" s="1521">
        <v>366.56500000000062</v>
      </c>
      <c r="N108" s="1521">
        <v>681.01300000000174</v>
      </c>
      <c r="O108" s="1521">
        <v>666.66600000000255</v>
      </c>
      <c r="P108" s="1521">
        <v>981.20599999999945</v>
      </c>
      <c r="Q108" s="1521">
        <v>996.47199999999748</v>
      </c>
      <c r="R108" s="1521">
        <v>1089.4689999999987</v>
      </c>
      <c r="S108" s="1521">
        <v>953.25299999999891</v>
      </c>
      <c r="T108" s="1521">
        <v>764.41399999999817</v>
      </c>
      <c r="U108" s="1521">
        <v>-3708.2140000000018</v>
      </c>
      <c r="V108" s="1521">
        <v>487.88700000000063</v>
      </c>
      <c r="W108" s="1521">
        <v>1661.8799999999978</v>
      </c>
      <c r="X108" s="1521">
        <v>2789.8959999999984</v>
      </c>
      <c r="Y108" s="1521">
        <v>1899.1793790100792</v>
      </c>
      <c r="Z108" s="1521">
        <v>2905.7655871038405</v>
      </c>
      <c r="AA108" s="1521">
        <v>3722.4572901193728</v>
      </c>
      <c r="AB108" s="1521">
        <v>4776.1362167356037</v>
      </c>
      <c r="AC108" s="1521">
        <v>5618.9391742926964</v>
      </c>
      <c r="AD108" s="1521">
        <v>5986.847654676827</v>
      </c>
      <c r="AE108" s="1521">
        <v>6363.740488371006</v>
      </c>
      <c r="AF108" s="1521">
        <v>6760.3209525424536</v>
      </c>
      <c r="AG108" s="1521">
        <v>7169.0532253423244</v>
      </c>
      <c r="AH108" s="1521">
        <v>7587.7400877794498</v>
      </c>
      <c r="AI108" s="1261"/>
      <c r="AJ108" s="1261">
        <v>-2.3046106478878299</v>
      </c>
      <c r="AK108" s="1261">
        <f>IFERROR((X108/U108)^(1/3)-1,"NM")</f>
        <v>-1.9095105512112025</v>
      </c>
      <c r="AL108" s="1128">
        <f t="shared" si="9"/>
        <v>0.4000123562708906</v>
      </c>
      <c r="AM108" s="1261">
        <f>IFERROR((AD108/AA108)^(1/3)-1,"NM")</f>
        <v>0.17162733203422076</v>
      </c>
      <c r="AN108" s="1261">
        <f>IFERROR((AH108/X108)^(1/10)-1,"NM")</f>
        <v>0.10522943613427516</v>
      </c>
    </row>
    <row r="109" spans="1:40" s="1209" customFormat="1" hidden="1" outlineLevel="1">
      <c r="A109" s="1240" t="s">
        <v>1227</v>
      </c>
      <c r="B109" s="1530">
        <v>1.2532661131616754E-2</v>
      </c>
      <c r="C109" s="1530">
        <v>5.6671141695548884E-2</v>
      </c>
      <c r="D109" s="1530">
        <v>4.4627686452787092E-2</v>
      </c>
      <c r="E109" s="1530">
        <v>4.1689384170928399E-2</v>
      </c>
      <c r="F109" s="1530">
        <v>6.03386706106789E-2</v>
      </c>
      <c r="G109" s="1530">
        <v>3.6867014776873534E-2</v>
      </c>
      <c r="H109" s="1530">
        <v>6.8490679778961908E-2</v>
      </c>
      <c r="I109" s="1530">
        <v>1.6538024459976913E-2</v>
      </c>
      <c r="J109" s="1530">
        <v>1.2081870428379667E-2</v>
      </c>
      <c r="K109" s="1530">
        <v>1.6837611786083142E-2</v>
      </c>
      <c r="L109" s="1530">
        <v>1.9599300855681501E-2</v>
      </c>
      <c r="M109" s="1530">
        <v>2.7113772515326595E-2</v>
      </c>
      <c r="N109" s="1530">
        <v>4.3341661010401593E-2</v>
      </c>
      <c r="O109" s="1530">
        <v>2.9239409822390254E-2</v>
      </c>
      <c r="P109" s="1530">
        <v>3.0388830952662326E-2</v>
      </c>
      <c r="Q109" s="1530">
        <v>2.643030914092391E-2</v>
      </c>
      <c r="R109" s="1530">
        <v>2.5617011929308361E-2</v>
      </c>
      <c r="S109" s="1530">
        <v>2.0652586756244606E-2</v>
      </c>
      <c r="T109" s="1530">
        <v>1.3144510498813485E-2</v>
      </c>
      <c r="U109" s="1530">
        <v>-9.632870861855021E-2</v>
      </c>
      <c r="V109" s="1530">
        <v>9.1399747719483806E-3</v>
      </c>
      <c r="W109" s="1530">
        <v>2.4144246575014051E-2</v>
      </c>
      <c r="X109" s="1530">
        <v>3.6597896437157711E-2</v>
      </c>
      <c r="Y109" s="1530">
        <v>2.3703559172997074E-2</v>
      </c>
      <c r="Z109" s="1530">
        <v>3.2366441856578429E-2</v>
      </c>
      <c r="AA109" s="1530">
        <v>3.8033293004976057E-2</v>
      </c>
      <c r="AB109" s="1530">
        <v>4.5272254891279319E-2</v>
      </c>
      <c r="AC109" s="1530">
        <v>4.9959839857976605E-2</v>
      </c>
      <c r="AD109" s="1530">
        <v>4.9959854195539423E-2</v>
      </c>
      <c r="AE109" s="1530">
        <v>4.9913998002353709E-2</v>
      </c>
      <c r="AF109" s="1530">
        <v>4.9910519767843844E-2</v>
      </c>
      <c r="AG109" s="1530">
        <v>4.9837234694258187E-2</v>
      </c>
      <c r="AH109" s="1530">
        <v>4.9709567862060607E-2</v>
      </c>
      <c r="AI109" s="1243"/>
      <c r="AJ109" s="1262"/>
      <c r="AK109" s="1243"/>
      <c r="AL109" s="1128">
        <f t="shared" si="9"/>
        <v>0.2667041217854309</v>
      </c>
      <c r="AM109" s="1243"/>
      <c r="AN109" s="1243"/>
    </row>
    <row r="110" spans="1:40" collapsed="1">
      <c r="A110" s="103"/>
      <c r="B110" s="1531"/>
      <c r="C110" s="1531"/>
      <c r="D110" s="1531"/>
      <c r="E110" s="1531"/>
      <c r="F110" s="1531"/>
      <c r="G110" s="1531"/>
      <c r="H110" s="1531"/>
      <c r="I110" s="1531"/>
      <c r="J110" s="1531"/>
      <c r="K110" s="1531"/>
      <c r="L110" s="1531"/>
      <c r="M110" s="1531"/>
      <c r="N110" s="1531"/>
      <c r="O110" s="1531"/>
      <c r="P110" s="1531"/>
      <c r="Q110" s="1531"/>
      <c r="R110" s="1531"/>
      <c r="S110" s="1531"/>
      <c r="T110" s="1531"/>
      <c r="U110" s="1531"/>
      <c r="V110" s="1531"/>
      <c r="W110" s="1531"/>
      <c r="X110" s="1531"/>
      <c r="Y110" s="1531"/>
      <c r="Z110" s="1531"/>
      <c r="AA110" s="1531"/>
      <c r="AB110" s="1531"/>
      <c r="AC110" s="1531"/>
      <c r="AD110" s="1531"/>
      <c r="AE110" s="1531"/>
      <c r="AF110" s="1531"/>
      <c r="AG110" s="1531"/>
      <c r="AH110" s="1531"/>
      <c r="AI110" s="1133"/>
      <c r="AJ110" s="508"/>
      <c r="AK110" s="1133"/>
      <c r="AL110" s="1128" t="str">
        <f t="shared" si="9"/>
        <v>NM</v>
      </c>
      <c r="AM110" s="1133"/>
      <c r="AN110" s="1133"/>
    </row>
    <row r="111" spans="1:40">
      <c r="A111" s="105" t="s">
        <v>591</v>
      </c>
      <c r="B111" s="106"/>
      <c r="C111" s="106"/>
      <c r="D111" s="106">
        <v>467.2</v>
      </c>
      <c r="E111" s="967">
        <v>496.8</v>
      </c>
      <c r="F111" s="967">
        <v>546.4</v>
      </c>
      <c r="G111" s="967">
        <v>623.20000000000005</v>
      </c>
      <c r="H111" s="967">
        <v>618.79999999999995</v>
      </c>
      <c r="I111" s="967">
        <v>618</v>
      </c>
      <c r="J111" s="106">
        <v>601.79999999999995</v>
      </c>
      <c r="K111" s="106">
        <v>605.20000000000005</v>
      </c>
      <c r="L111" s="967">
        <v>606</v>
      </c>
      <c r="M111" s="967">
        <v>687.8</v>
      </c>
      <c r="N111" s="967">
        <v>687.8</v>
      </c>
      <c r="O111" s="967">
        <v>837.6</v>
      </c>
      <c r="P111" s="967">
        <v>837.5</v>
      </c>
      <c r="Q111" s="967">
        <v>834.3</v>
      </c>
      <c r="R111" s="967">
        <v>832.8</v>
      </c>
      <c r="S111" s="967">
        <v>835.6</v>
      </c>
      <c r="T111" s="967">
        <v>838.5</v>
      </c>
      <c r="U111" s="967">
        <v>838.5</v>
      </c>
      <c r="V111" s="967">
        <v>838.6</v>
      </c>
      <c r="W111" s="967">
        <v>820</v>
      </c>
      <c r="X111" s="967">
        <v>809.7</v>
      </c>
      <c r="Y111" s="1397">
        <v>815</v>
      </c>
      <c r="Z111" s="1397">
        <v>815</v>
      </c>
      <c r="AA111" s="1397">
        <v>815</v>
      </c>
      <c r="AB111" s="1397">
        <v>815</v>
      </c>
      <c r="AC111" s="1397">
        <v>815</v>
      </c>
      <c r="AD111" s="1397">
        <v>815</v>
      </c>
      <c r="AE111" s="1397">
        <v>815</v>
      </c>
      <c r="AF111" s="1397">
        <v>815</v>
      </c>
      <c r="AG111" s="1397">
        <v>815</v>
      </c>
      <c r="AH111" s="1397">
        <v>815</v>
      </c>
      <c r="AI111" s="1133"/>
      <c r="AJ111" s="508"/>
      <c r="AK111" s="1133"/>
      <c r="AL111" s="1128">
        <f t="shared" si="9"/>
        <v>0</v>
      </c>
      <c r="AM111" s="1133"/>
      <c r="AN111" s="1133"/>
    </row>
    <row r="112" spans="1:40" hidden="1" outlineLevel="1">
      <c r="A112" s="107" t="s">
        <v>592</v>
      </c>
      <c r="B112" s="106"/>
      <c r="C112" s="106"/>
      <c r="D112" s="106" t="s">
        <v>750</v>
      </c>
      <c r="E112" s="106" t="s">
        <v>750</v>
      </c>
      <c r="F112" s="106" t="s">
        <v>750</v>
      </c>
      <c r="G112" s="106" t="s">
        <v>750</v>
      </c>
      <c r="H112" s="106" t="s">
        <v>750</v>
      </c>
      <c r="I112" s="106" t="s">
        <v>750</v>
      </c>
      <c r="J112" s="106" t="s">
        <v>750</v>
      </c>
      <c r="K112" s="106">
        <v>603.5</v>
      </c>
      <c r="L112" s="438">
        <v>605.6</v>
      </c>
      <c r="M112" s="438">
        <v>646.9</v>
      </c>
      <c r="N112" s="438">
        <v>687.8</v>
      </c>
      <c r="O112" s="438">
        <v>762.7</v>
      </c>
      <c r="P112" s="438">
        <v>837.55</v>
      </c>
      <c r="Q112" s="438">
        <v>835.9</v>
      </c>
      <c r="R112" s="438">
        <v>833.55</v>
      </c>
      <c r="S112" s="438">
        <v>834.2</v>
      </c>
      <c r="T112" s="438">
        <v>837.05</v>
      </c>
      <c r="U112" s="438">
        <v>838.5</v>
      </c>
      <c r="V112" s="438">
        <v>838.55</v>
      </c>
      <c r="W112" s="438">
        <v>829.3</v>
      </c>
      <c r="X112" s="438">
        <v>814.85</v>
      </c>
      <c r="Y112" s="447">
        <v>812.35</v>
      </c>
      <c r="Z112" s="447">
        <v>815</v>
      </c>
      <c r="AA112" s="447">
        <v>815</v>
      </c>
      <c r="AB112" s="447">
        <v>815</v>
      </c>
      <c r="AC112" s="447">
        <v>815</v>
      </c>
      <c r="AD112" s="447">
        <v>815</v>
      </c>
      <c r="AE112" s="447">
        <v>815</v>
      </c>
      <c r="AF112" s="447">
        <v>815</v>
      </c>
      <c r="AG112" s="447">
        <v>815</v>
      </c>
      <c r="AH112" s="447">
        <v>815</v>
      </c>
      <c r="AI112" s="1133"/>
      <c r="AJ112" s="508"/>
      <c r="AK112" s="1133"/>
      <c r="AL112" s="1128">
        <f t="shared" si="9"/>
        <v>1.6297423214324258E-3</v>
      </c>
      <c r="AM112" s="1133"/>
      <c r="AN112" s="1133"/>
    </row>
    <row r="113" spans="1:40" collapsed="1">
      <c r="A113" s="108" t="s">
        <v>593</v>
      </c>
      <c r="B113" s="106"/>
      <c r="C113" s="106"/>
      <c r="D113" s="106">
        <v>467.2</v>
      </c>
      <c r="E113" s="967">
        <v>496.8</v>
      </c>
      <c r="F113" s="967">
        <v>546.4</v>
      </c>
      <c r="G113" s="967">
        <v>623.20000000000005</v>
      </c>
      <c r="H113" s="967">
        <v>618.79999999999995</v>
      </c>
      <c r="I113" s="967">
        <v>618</v>
      </c>
      <c r="J113" s="106">
        <v>601.79999999999995</v>
      </c>
      <c r="K113" s="106">
        <v>605.20000000000005</v>
      </c>
      <c r="L113" s="438">
        <v>606</v>
      </c>
      <c r="M113" s="438">
        <v>687.8</v>
      </c>
      <c r="N113" s="438">
        <v>687.8</v>
      </c>
      <c r="O113" s="438">
        <v>837.6</v>
      </c>
      <c r="P113" s="438">
        <v>837.5</v>
      </c>
      <c r="Q113" s="438">
        <v>834.3</v>
      </c>
      <c r="R113" s="438">
        <v>832.8</v>
      </c>
      <c r="S113" s="438">
        <v>835.6</v>
      </c>
      <c r="T113" s="438">
        <v>838.5</v>
      </c>
      <c r="U113" s="438">
        <v>838.5</v>
      </c>
      <c r="V113" s="438">
        <v>838.6</v>
      </c>
      <c r="W113" s="438">
        <v>820</v>
      </c>
      <c r="X113" s="438">
        <v>809.7</v>
      </c>
      <c r="Y113" s="447">
        <v>815</v>
      </c>
      <c r="Z113" s="447">
        <v>815</v>
      </c>
      <c r="AA113" s="447">
        <v>815</v>
      </c>
      <c r="AB113" s="447">
        <v>815</v>
      </c>
      <c r="AC113" s="447">
        <v>815</v>
      </c>
      <c r="AD113" s="447">
        <v>815</v>
      </c>
      <c r="AE113" s="447">
        <v>815</v>
      </c>
      <c r="AF113" s="447">
        <v>815</v>
      </c>
      <c r="AG113" s="447">
        <v>815</v>
      </c>
      <c r="AH113" s="447">
        <v>815</v>
      </c>
      <c r="AI113" s="1133"/>
      <c r="AJ113" s="508"/>
      <c r="AK113" s="1134"/>
      <c r="AL113" s="1128">
        <f t="shared" si="9"/>
        <v>0</v>
      </c>
      <c r="AM113" s="1133"/>
      <c r="AN113" s="1133"/>
    </row>
    <row r="114" spans="1:40">
      <c r="A114" s="101" t="s">
        <v>663</v>
      </c>
      <c r="B114" s="1114"/>
      <c r="C114" s="1114"/>
      <c r="D114" s="1114">
        <v>0.27428938356164395</v>
      </c>
      <c r="E114" s="1114">
        <v>0.31120974235104665</v>
      </c>
      <c r="F114" s="1114">
        <v>0.51518667642752614</v>
      </c>
      <c r="G114" s="1114">
        <v>0.35650994865211943</v>
      </c>
      <c r="H114" s="1114">
        <v>0.77316580478345165</v>
      </c>
      <c r="I114" s="1114">
        <v>0.20838025889967637</v>
      </c>
      <c r="J114" s="1114">
        <v>0.17239614489863669</v>
      </c>
      <c r="K114" s="1114">
        <v>0.24987772637144728</v>
      </c>
      <c r="L114" s="1114">
        <v>0.34594719471947266</v>
      </c>
      <c r="M114" s="1114">
        <v>0.53295289328293038</v>
      </c>
      <c r="N114" s="1114">
        <v>0.99013230590287937</v>
      </c>
      <c r="O114" s="1114">
        <v>0.79592406876790867</v>
      </c>
      <c r="P114" s="1114">
        <v>1.1715892537313437</v>
      </c>
      <c r="Q114" s="1114">
        <v>1.1943809181349627</v>
      </c>
      <c r="R114" s="1114">
        <v>1.3082000480307392</v>
      </c>
      <c r="S114" s="1114">
        <v>1.1408006223073228</v>
      </c>
      <c r="T114" s="1114">
        <v>0.9116446034585548</v>
      </c>
      <c r="U114" s="1114">
        <v>-4.4224376863446651</v>
      </c>
      <c r="V114" s="1114">
        <v>0.58178750298115978</v>
      </c>
      <c r="W114" s="1114">
        <v>2.0266829268292659</v>
      </c>
      <c r="X114" s="1114">
        <v>3.4455921946399881</v>
      </c>
      <c r="Y114" s="1614">
        <v>2.3096798523406981</v>
      </c>
      <c r="Z114" s="1614">
        <v>3.7275647286143121</v>
      </c>
      <c r="AA114" s="1614">
        <v>4.8101980538612761</v>
      </c>
      <c r="AB114" s="1614">
        <v>6.1307086980712695</v>
      </c>
      <c r="AC114" s="1614">
        <v>7.0996408609391057</v>
      </c>
      <c r="AD114" s="1614">
        <v>7.6311503079879364</v>
      </c>
      <c r="AE114" s="1614">
        <v>8.1662142492274068</v>
      </c>
      <c r="AF114" s="1614">
        <v>8.7239797906077001</v>
      </c>
      <c r="AG114" s="1614">
        <v>9.2917113914955092</v>
      </c>
      <c r="AH114" s="1614">
        <v>9.8684279255590628</v>
      </c>
      <c r="AI114" s="508"/>
      <c r="AJ114" s="508"/>
      <c r="AK114" s="508"/>
      <c r="AL114" s="1128">
        <f t="shared" si="9"/>
        <v>0.44313043596413859</v>
      </c>
      <c r="AM114" s="508"/>
      <c r="AN114" s="508"/>
    </row>
    <row r="115" spans="1:40" s="13" customFormat="1">
      <c r="A115" s="590" t="s">
        <v>664</v>
      </c>
      <c r="B115" s="1615"/>
      <c r="C115" s="1615"/>
      <c r="D115" s="1615"/>
      <c r="E115" s="1615"/>
      <c r="F115" s="1615"/>
      <c r="G115" s="1615"/>
      <c r="H115" s="1615"/>
      <c r="I115" s="1615"/>
      <c r="J115" s="1615"/>
      <c r="K115" s="1615"/>
      <c r="L115" s="1615"/>
      <c r="M115" s="1615"/>
      <c r="N115" s="1615"/>
      <c r="O115" s="1532">
        <v>0.79592406876791133</v>
      </c>
      <c r="P115" s="1532">
        <v>1.1715892537313426</v>
      </c>
      <c r="Q115" s="1532">
        <v>1.1943809181349605</v>
      </c>
      <c r="R115" s="1532">
        <v>1.3082000480307381</v>
      </c>
      <c r="S115" s="1532">
        <v>1.1408006223073228</v>
      </c>
      <c r="T115" s="1532">
        <v>1.1051520572450773</v>
      </c>
      <c r="U115" s="1532">
        <v>-3.7996982707215294</v>
      </c>
      <c r="V115" s="1532">
        <v>0.99586215120438826</v>
      </c>
      <c r="W115" s="1532">
        <v>1.9906524390243876</v>
      </c>
      <c r="X115" s="1532">
        <v>3.6195245152525577</v>
      </c>
      <c r="Y115" s="1532">
        <v>2.2687411116537275</v>
      </c>
      <c r="Z115" s="1532">
        <v>4.0424394310073168</v>
      </c>
      <c r="AA115" s="1532">
        <v>5.2814493050095619</v>
      </c>
      <c r="AB115" s="1532">
        <v>6.6556394293850101</v>
      </c>
      <c r="AC115" s="1532">
        <v>7.4980420304301436</v>
      </c>
      <c r="AD115" s="1532">
        <v>8.1850164161799324</v>
      </c>
      <c r="AE115" s="1532">
        <v>8.8610461594928545</v>
      </c>
      <c r="AF115" s="1532">
        <v>9.5569530879366944</v>
      </c>
      <c r="AG115" s="1532">
        <v>10.253228637109029</v>
      </c>
      <c r="AH115" s="1532">
        <v>10.952220503053756</v>
      </c>
      <c r="AI115" s="1127"/>
      <c r="AJ115" s="1128">
        <v>-2.2653036077411164</v>
      </c>
      <c r="AK115" s="1128">
        <f>IFERROR((X115/U115)^(1/3)-1,"NM")</f>
        <v>-1.9839374040059536</v>
      </c>
      <c r="AL115" s="1128">
        <f t="shared" si="9"/>
        <v>0.52575248961258425</v>
      </c>
      <c r="AM115" s="1127">
        <f>IFERROR((AD115/AA115)^(1/3)-1,"NM")</f>
        <v>0.15723656210546211</v>
      </c>
      <c r="AN115" s="1241"/>
    </row>
    <row r="116" spans="1:40" s="1209" customFormat="1" hidden="1" outlineLevel="1">
      <c r="A116" s="1265" t="s">
        <v>1230</v>
      </c>
      <c r="B116" s="1533"/>
      <c r="C116" s="1533"/>
      <c r="D116" s="1533">
        <v>0.27428938356164395</v>
      </c>
      <c r="E116" s="1533">
        <v>0.31120974235104665</v>
      </c>
      <c r="F116" s="1533">
        <v>0.51518667642752614</v>
      </c>
      <c r="G116" s="1533">
        <v>0.35650994865211943</v>
      </c>
      <c r="H116" s="1533">
        <v>0.77316580478345165</v>
      </c>
      <c r="I116" s="1533">
        <v>0.20838025889967637</v>
      </c>
      <c r="J116" s="1533">
        <v>0.17239614489863669</v>
      </c>
      <c r="K116" s="1533">
        <v>0.24987772637144728</v>
      </c>
      <c r="L116" s="1533">
        <v>0.34594719471947266</v>
      </c>
      <c r="M116" s="1533">
        <v>0.53295289328293038</v>
      </c>
      <c r="N116" s="1533">
        <v>0.99013230590287937</v>
      </c>
      <c r="O116" s="1533">
        <v>0.79592406876790867</v>
      </c>
      <c r="P116" s="1533">
        <v>1.1715892537313437</v>
      </c>
      <c r="Q116" s="1533">
        <v>1.1943809181349627</v>
      </c>
      <c r="R116" s="1533">
        <v>1.3082000480307392</v>
      </c>
      <c r="S116" s="1533">
        <v>1.1408006223073228</v>
      </c>
      <c r="T116" s="1533">
        <v>0.9116446034585548</v>
      </c>
      <c r="U116" s="1533">
        <v>-4.4224376863446651</v>
      </c>
      <c r="V116" s="1533">
        <v>0.58178750298115978</v>
      </c>
      <c r="W116" s="1533">
        <v>2.0266829268292659</v>
      </c>
      <c r="X116" s="1533">
        <v>3.4455921946399881</v>
      </c>
      <c r="Y116" s="1533">
        <v>2.3096798523406981</v>
      </c>
      <c r="Z116" s="1533">
        <v>3.7275647286143121</v>
      </c>
      <c r="AA116" s="1533">
        <v>4.8101980538612761</v>
      </c>
      <c r="AB116" s="1533">
        <v>6.1307086980712695</v>
      </c>
      <c r="AC116" s="1533">
        <v>7.0996408609391057</v>
      </c>
      <c r="AD116" s="1533">
        <v>7.6311503079879364</v>
      </c>
      <c r="AE116" s="1533">
        <v>8.1662142492274068</v>
      </c>
      <c r="AF116" s="1533">
        <v>8.7239797906077001</v>
      </c>
      <c r="AG116" s="1533">
        <v>9.2917113914955092</v>
      </c>
      <c r="AH116" s="1533">
        <v>9.8684279255590628</v>
      </c>
      <c r="AI116" s="1261"/>
      <c r="AJ116" s="1261">
        <v>-2.3042993220802908</v>
      </c>
      <c r="AK116" s="1261">
        <f>IFERROR((X116/U116)^(1/3)-1,"NM")</f>
        <v>-1.9201685470019796</v>
      </c>
      <c r="AL116" s="1128">
        <f t="shared" si="9"/>
        <v>0.44313043596413859</v>
      </c>
      <c r="AM116" s="1261">
        <f>IFERROR((AD116/AA116)^(1/3)-1,"NM")</f>
        <v>0.16629661862272904</v>
      </c>
      <c r="AN116" s="1261">
        <f>IFERROR((AH116/X116)^(1/10)-1,"NM")</f>
        <v>0.11095996768968908</v>
      </c>
    </row>
    <row r="117" spans="1:40" hidden="1" outlineLevel="1">
      <c r="A117" s="95" t="s">
        <v>665</v>
      </c>
      <c r="B117" s="967"/>
      <c r="C117" s="967"/>
      <c r="D117" s="967">
        <v>43.343000000000004</v>
      </c>
      <c r="E117" s="1272">
        <v>78.266999999999996</v>
      </c>
      <c r="F117" s="1272">
        <v>104.13</v>
      </c>
      <c r="G117" s="1272">
        <v>167.67699999999999</v>
      </c>
      <c r="H117" s="1272">
        <v>67.84</v>
      </c>
      <c r="I117" s="1272">
        <v>0</v>
      </c>
      <c r="J117" s="967">
        <v>41.834000000000003</v>
      </c>
      <c r="K117" s="967">
        <v>245.958</v>
      </c>
      <c r="L117" s="1272">
        <v>122.648</v>
      </c>
      <c r="M117" s="1272">
        <v>0</v>
      </c>
      <c r="N117" s="1272">
        <v>343.87799999999999</v>
      </c>
      <c r="O117" s="1272">
        <v>0</v>
      </c>
      <c r="P117" s="1272">
        <v>419.173</v>
      </c>
      <c r="Q117" s="1272">
        <v>644.77099999999996</v>
      </c>
      <c r="R117" s="1272">
        <v>719.39800000000002</v>
      </c>
      <c r="S117" s="967">
        <v>720.14400000000001</v>
      </c>
      <c r="T117" s="967">
        <v>0</v>
      </c>
      <c r="U117" s="967">
        <v>0</v>
      </c>
      <c r="V117" s="967">
        <v>0</v>
      </c>
      <c r="W117" s="967">
        <v>0</v>
      </c>
      <c r="X117" s="967">
        <v>0</v>
      </c>
      <c r="Y117" s="1397">
        <v>978.01700000000005</v>
      </c>
      <c r="Z117" s="1397">
        <v>814.74728553763475</v>
      </c>
      <c r="AA117" s="1397">
        <v>1789.0774785812121</v>
      </c>
      <c r="AB117" s="1397">
        <v>3173.8433317875997</v>
      </c>
      <c r="AC117" s="1397">
        <v>4694.4714810960622</v>
      </c>
      <c r="AD117" s="1397">
        <v>6381.1675136440845</v>
      </c>
      <c r="AE117" s="1397">
        <v>8238.8792381882795</v>
      </c>
      <c r="AF117" s="1397">
        <v>10239.38584353755</v>
      </c>
      <c r="AG117" s="1397">
        <v>12393.040766166339</v>
      </c>
      <c r="AH117" s="1397">
        <v>14679.11761363689</v>
      </c>
      <c r="AI117" s="1128"/>
      <c r="AJ117" s="1128">
        <v>-1</v>
      </c>
      <c r="AK117" s="1128" t="str">
        <f>IFERROR((W117/T117)^(1/3)-1,"NM")</f>
        <v>NM</v>
      </c>
      <c r="AL117" s="1128">
        <f t="shared" si="9"/>
        <v>0.3525127643569419</v>
      </c>
      <c r="AM117" s="1128">
        <f>IFERROR((AD117/AA117)^(1/3)-1,"NM")</f>
        <v>0.52788382158413727</v>
      </c>
      <c r="AN117" s="1128" t="str">
        <f>IFERROR((AH117/X117)^(1/10)-1,"NM")</f>
        <v>NM</v>
      </c>
    </row>
    <row r="118" spans="1:40" collapsed="1">
      <c r="A118" s="101" t="s">
        <v>666</v>
      </c>
      <c r="B118" s="1114"/>
      <c r="C118" s="1114"/>
      <c r="D118" s="1114">
        <v>9.2771832191780826E-2</v>
      </c>
      <c r="E118" s="1114">
        <v>0.15754227053140096</v>
      </c>
      <c r="F118" s="1114">
        <v>0.19057467057101024</v>
      </c>
      <c r="G118" s="1114">
        <v>0.26905808729139918</v>
      </c>
      <c r="H118" s="1114">
        <v>0.10963154492566259</v>
      </c>
      <c r="I118" s="1114">
        <v>0</v>
      </c>
      <c r="J118" s="1114">
        <v>6.9514788966434038E-2</v>
      </c>
      <c r="K118" s="1114">
        <v>0.40640779907468599</v>
      </c>
      <c r="L118" s="1534">
        <v>0.20238943894389438</v>
      </c>
      <c r="M118" s="1534">
        <v>0</v>
      </c>
      <c r="N118" s="1534">
        <v>0.49996801395754581</v>
      </c>
      <c r="O118" s="1534">
        <v>0</v>
      </c>
      <c r="P118" s="1534">
        <v>0.50050507462686566</v>
      </c>
      <c r="Q118" s="1534">
        <v>0.77282871868632386</v>
      </c>
      <c r="R118" s="1534">
        <v>0.86383045148895299</v>
      </c>
      <c r="S118" s="1114">
        <v>0.86182862613690758</v>
      </c>
      <c r="T118" s="1114">
        <v>0</v>
      </c>
      <c r="U118" s="1114">
        <v>0</v>
      </c>
      <c r="V118" s="1114">
        <v>0</v>
      </c>
      <c r="W118" s="1114">
        <v>0</v>
      </c>
      <c r="X118" s="1114">
        <v>0</v>
      </c>
      <c r="Y118" s="1614">
        <v>1.2000208588957055</v>
      </c>
      <c r="Z118" s="1614">
        <v>0.99968992090507336</v>
      </c>
      <c r="AA118" s="1614">
        <v>2.1951870902836959</v>
      </c>
      <c r="AB118" s="1614">
        <v>3.8942862966719014</v>
      </c>
      <c r="AC118" s="1614">
        <v>5.7600877068663339</v>
      </c>
      <c r="AD118" s="1614">
        <v>7.8296533909743369</v>
      </c>
      <c r="AE118" s="1614">
        <v>10.109054279985619</v>
      </c>
      <c r="AF118" s="1614">
        <v>12.563663611702514</v>
      </c>
      <c r="AG118" s="1614">
        <v>15.206184989161153</v>
      </c>
      <c r="AH118" s="1614">
        <v>18.011187255996184</v>
      </c>
      <c r="AI118" s="508"/>
      <c r="AJ118" s="508"/>
      <c r="AK118" s="508"/>
      <c r="AL118" s="508"/>
      <c r="AM118" s="508"/>
      <c r="AN118" s="508"/>
    </row>
    <row r="119" spans="1:40">
      <c r="A119" s="126" t="s">
        <v>1549</v>
      </c>
      <c r="B119" s="127"/>
      <c r="C119" s="127"/>
      <c r="D119" s="127"/>
      <c r="E119" s="127"/>
      <c r="F119" s="127"/>
      <c r="G119" s="1535"/>
      <c r="H119" s="1535"/>
      <c r="I119" s="1535"/>
      <c r="J119" s="1535"/>
      <c r="K119" s="1535"/>
      <c r="L119" s="1535"/>
      <c r="M119" s="1535"/>
      <c r="N119" s="1535"/>
      <c r="O119" s="1535"/>
      <c r="P119" s="1535"/>
      <c r="Q119" s="1535"/>
      <c r="R119" s="1535"/>
      <c r="S119" s="1535"/>
      <c r="T119" s="1535"/>
      <c r="U119" s="1535"/>
      <c r="V119" s="127"/>
      <c r="W119" s="127"/>
      <c r="X119" s="127"/>
      <c r="Y119" s="127"/>
      <c r="Z119" s="127"/>
      <c r="AA119" s="127"/>
      <c r="AB119" s="127"/>
      <c r="AC119" s="127"/>
      <c r="AD119" s="127"/>
      <c r="AE119" s="127"/>
      <c r="AF119" s="127"/>
      <c r="AG119" s="127"/>
      <c r="AH119" s="127" t="s">
        <v>281</v>
      </c>
      <c r="AI119" s="508"/>
      <c r="AJ119" s="508"/>
      <c r="AK119" s="508"/>
      <c r="AL119" s="508"/>
      <c r="AM119" s="508"/>
      <c r="AN119" s="508"/>
    </row>
    <row r="120" spans="1:40">
      <c r="A120" s="94"/>
      <c r="B120" s="1536"/>
      <c r="C120" s="1536"/>
      <c r="D120" s="1536"/>
      <c r="E120" s="1536"/>
      <c r="F120" s="438"/>
      <c r="G120" s="1536"/>
      <c r="H120" s="1536"/>
      <c r="I120" s="1536"/>
      <c r="J120" s="1536"/>
      <c r="K120" s="1536"/>
      <c r="L120" s="1536"/>
      <c r="M120" s="438"/>
      <c r="N120" s="1536"/>
      <c r="O120" s="1536"/>
      <c r="P120" s="1536"/>
      <c r="Q120" s="1536"/>
      <c r="R120" s="1536"/>
      <c r="S120" s="1536"/>
      <c r="T120" s="1536"/>
      <c r="U120" s="1536"/>
      <c r="V120" s="1536"/>
      <c r="W120" s="1536"/>
      <c r="X120" s="1536"/>
      <c r="Y120" s="1536"/>
      <c r="Z120" s="1536"/>
      <c r="AA120" s="1536"/>
      <c r="AB120" s="1536"/>
      <c r="AC120" s="1536"/>
      <c r="AD120" s="1536"/>
      <c r="AE120" s="1536"/>
      <c r="AF120" s="1536"/>
      <c r="AG120" s="1536"/>
      <c r="AH120" s="1536"/>
      <c r="AI120" s="104"/>
      <c r="AJ120" s="104"/>
      <c r="AK120" s="104"/>
      <c r="AL120" s="104"/>
      <c r="AM120" s="104"/>
      <c r="AN120" s="104"/>
    </row>
    <row r="121" spans="1:40">
      <c r="A121" s="1126" t="s">
        <v>667</v>
      </c>
      <c r="B121" s="1124">
        <v>2001</v>
      </c>
      <c r="C121" s="1124">
        <v>2002</v>
      </c>
      <c r="D121" s="1124">
        <v>2003</v>
      </c>
      <c r="E121" s="1124">
        <v>2004</v>
      </c>
      <c r="F121" s="1124">
        <v>2005</v>
      </c>
      <c r="G121" s="1124">
        <v>2006</v>
      </c>
      <c r="H121" s="1124">
        <v>2007</v>
      </c>
      <c r="I121" s="1124">
        <v>2008</v>
      </c>
      <c r="J121" s="1124">
        <v>2009</v>
      </c>
      <c r="K121" s="1124">
        <v>2010</v>
      </c>
      <c r="L121" s="1124">
        <v>2011</v>
      </c>
      <c r="M121" s="1124">
        <v>2012</v>
      </c>
      <c r="N121" s="1124">
        <v>2013</v>
      </c>
      <c r="O121" s="1124">
        <v>2014</v>
      </c>
      <c r="P121" s="1124">
        <v>2015</v>
      </c>
      <c r="Q121" s="1124">
        <v>2016</v>
      </c>
      <c r="R121" s="1124">
        <v>2017</v>
      </c>
      <c r="S121" s="1124">
        <v>2018</v>
      </c>
      <c r="T121" s="1124">
        <v>2019</v>
      </c>
      <c r="U121" s="1124">
        <v>2020</v>
      </c>
      <c r="V121" s="1124">
        <v>2021</v>
      </c>
      <c r="W121" s="1124">
        <v>2022</v>
      </c>
      <c r="X121" s="1124">
        <v>2023</v>
      </c>
      <c r="Y121" s="1445">
        <v>2024</v>
      </c>
      <c r="Z121" s="1445">
        <v>2025</v>
      </c>
      <c r="AA121" s="1445">
        <v>2026</v>
      </c>
      <c r="AB121" s="1445">
        <v>2027</v>
      </c>
      <c r="AC121" s="1445">
        <v>2028</v>
      </c>
      <c r="AD121" s="1445">
        <v>2029</v>
      </c>
      <c r="AE121" s="1445">
        <v>2030</v>
      </c>
      <c r="AF121" s="1445">
        <v>2031</v>
      </c>
      <c r="AG121" s="1445">
        <v>2032</v>
      </c>
      <c r="AH121" s="1445">
        <v>2033</v>
      </c>
      <c r="AI121" s="508"/>
      <c r="AJ121" s="508"/>
      <c r="AK121" s="508"/>
      <c r="AL121" s="508"/>
      <c r="AM121" s="508"/>
      <c r="AN121" s="508"/>
    </row>
    <row r="122" spans="1:40">
      <c r="A122" s="122" t="s">
        <v>62</v>
      </c>
      <c r="B122" s="1616"/>
      <c r="C122" s="1616"/>
      <c r="D122" s="1616"/>
      <c r="E122" s="1616"/>
      <c r="F122" s="1537"/>
      <c r="G122" s="1537"/>
      <c r="H122" s="1537"/>
      <c r="I122" s="1537"/>
      <c r="J122" s="1616"/>
      <c r="K122" s="1616"/>
      <c r="L122" s="1616"/>
      <c r="M122" s="1537"/>
      <c r="N122" s="1537"/>
      <c r="O122" s="1537"/>
      <c r="P122" s="1537"/>
      <c r="Q122" s="1537"/>
      <c r="R122" s="1537"/>
      <c r="S122" s="1616"/>
      <c r="T122" s="1616"/>
      <c r="U122" s="1616"/>
      <c r="V122" s="1616"/>
      <c r="W122" s="1616"/>
      <c r="X122" s="1616"/>
      <c r="Y122" s="1616"/>
      <c r="Z122" s="1616"/>
      <c r="AA122" s="1616"/>
      <c r="AB122" s="1616"/>
      <c r="AC122" s="1616"/>
      <c r="AD122" s="1616"/>
      <c r="AE122" s="1616"/>
      <c r="AF122" s="1616"/>
      <c r="AG122" s="1616"/>
      <c r="AH122" s="1616"/>
      <c r="AI122" s="508"/>
      <c r="AJ122" s="508"/>
      <c r="AK122" s="508"/>
      <c r="AL122" s="508"/>
      <c r="AM122" s="508"/>
      <c r="AN122" s="508"/>
    </row>
    <row r="123" spans="1:40">
      <c r="A123" s="721" t="s">
        <v>63</v>
      </c>
      <c r="B123" s="967">
        <v>181.71699999999998</v>
      </c>
      <c r="C123" s="967">
        <v>271.52500000000003</v>
      </c>
      <c r="D123" s="967">
        <v>260.60399999999998</v>
      </c>
      <c r="E123" s="967">
        <v>338.76300000000003</v>
      </c>
      <c r="F123" s="967">
        <v>606.67600000000004</v>
      </c>
      <c r="G123" s="967">
        <v>751.4319999999999</v>
      </c>
      <c r="H123" s="967">
        <v>829.23</v>
      </c>
      <c r="I123" s="967">
        <v>1002.3040000000001</v>
      </c>
      <c r="J123" s="967">
        <v>992.6</v>
      </c>
      <c r="K123" s="967">
        <v>955.31</v>
      </c>
      <c r="L123" s="967">
        <v>928.69399999999996</v>
      </c>
      <c r="M123" s="967">
        <v>2418.83</v>
      </c>
      <c r="N123" s="967">
        <v>3386.0430000000001</v>
      </c>
      <c r="O123" s="967">
        <v>13597.599</v>
      </c>
      <c r="P123" s="967">
        <v>13753.902</v>
      </c>
      <c r="Q123" s="967">
        <v>15215.335999999999</v>
      </c>
      <c r="R123" s="967">
        <v>15358.005999999999</v>
      </c>
      <c r="S123" s="967">
        <v>25749.010999999999</v>
      </c>
      <c r="T123" s="967">
        <v>27375.208999999999</v>
      </c>
      <c r="U123" s="967">
        <v>28817</v>
      </c>
      <c r="V123" s="967">
        <v>27796.563999999998</v>
      </c>
      <c r="W123" s="967">
        <v>26671.732</v>
      </c>
      <c r="X123" s="967">
        <v>24991.065999999999</v>
      </c>
      <c r="Y123" s="1397">
        <v>24226.096441226942</v>
      </c>
      <c r="Z123" s="1397">
        <v>22831.37491894397</v>
      </c>
      <c r="AA123" s="1397">
        <v>21516.948962619736</v>
      </c>
      <c r="AB123" s="1397">
        <v>20278.195873163684</v>
      </c>
      <c r="AC123" s="1397">
        <v>19626.219407437969</v>
      </c>
      <c r="AD123" s="1397">
        <v>18995.205028996501</v>
      </c>
      <c r="AE123" s="1397">
        <v>18384.478773169671</v>
      </c>
      <c r="AF123" s="1397">
        <v>17793.388344331117</v>
      </c>
      <c r="AG123" s="1397">
        <v>17221.30241920329</v>
      </c>
      <c r="AH123" s="1397">
        <v>16667.609972562856</v>
      </c>
      <c r="AI123" s="1128"/>
      <c r="AJ123" s="1428"/>
      <c r="AK123" s="1428"/>
      <c r="AL123" s="1128"/>
      <c r="AM123" s="1128"/>
      <c r="AN123" s="1128"/>
    </row>
    <row r="124" spans="1:40">
      <c r="A124" s="721" t="s">
        <v>64</v>
      </c>
      <c r="B124" s="967">
        <v>822.97699999999998</v>
      </c>
      <c r="C124" s="967">
        <v>832.29399999999998</v>
      </c>
      <c r="D124" s="967">
        <v>875.50300000000004</v>
      </c>
      <c r="E124" s="967">
        <v>1308.741</v>
      </c>
      <c r="F124" s="967">
        <v>1809.133</v>
      </c>
      <c r="G124" s="967">
        <v>2244.79</v>
      </c>
      <c r="H124" s="967">
        <v>2748.3519999999999</v>
      </c>
      <c r="I124" s="967">
        <v>3044.9110000000001</v>
      </c>
      <c r="J124" s="967">
        <v>2897.6779999999999</v>
      </c>
      <c r="K124" s="967">
        <v>2994.123</v>
      </c>
      <c r="L124" s="967">
        <v>3472.42</v>
      </c>
      <c r="M124" s="967">
        <v>3924.1080000000002</v>
      </c>
      <c r="N124" s="967">
        <v>4764.3959999999997</v>
      </c>
      <c r="O124" s="967">
        <v>9947.0660000000007</v>
      </c>
      <c r="P124" s="967">
        <v>11063.805</v>
      </c>
      <c r="Q124" s="967">
        <v>13673.445</v>
      </c>
      <c r="R124" s="967">
        <v>15772.478999999999</v>
      </c>
      <c r="S124" s="967">
        <v>17993.148000000001</v>
      </c>
      <c r="T124" s="967">
        <v>17538.350999999999</v>
      </c>
      <c r="U124" s="967">
        <v>15880</v>
      </c>
      <c r="V124" s="967">
        <v>15277.931</v>
      </c>
      <c r="W124" s="967">
        <v>15428.754999999999</v>
      </c>
      <c r="X124" s="967">
        <v>15644.915000000001</v>
      </c>
      <c r="Y124" s="1397">
        <v>19306.754386463446</v>
      </c>
      <c r="Z124" s="1397">
        <v>22165.891894676515</v>
      </c>
      <c r="AA124" s="1397">
        <v>24715.410483743297</v>
      </c>
      <c r="AB124" s="1397">
        <v>27165.594122971343</v>
      </c>
      <c r="AC124" s="1397">
        <v>29290.494729234961</v>
      </c>
      <c r="AD124" s="1397">
        <v>31376.648168923413</v>
      </c>
      <c r="AE124" s="1397">
        <v>33203.07441828958</v>
      </c>
      <c r="AF124" s="1397">
        <v>34990.595025213697</v>
      </c>
      <c r="AG124" s="1397">
        <v>36734.537010450469</v>
      </c>
      <c r="AH124" s="1397">
        <v>38196.345403299973</v>
      </c>
      <c r="AI124" s="1128"/>
      <c r="AJ124" s="1428"/>
      <c r="AK124" s="1428"/>
      <c r="AL124" s="1128"/>
      <c r="AM124" s="1128"/>
      <c r="AN124" s="1128"/>
    </row>
    <row r="125" spans="1:40">
      <c r="A125" s="722" t="s">
        <v>347</v>
      </c>
      <c r="B125" s="967">
        <v>53.679000000000002</v>
      </c>
      <c r="C125" s="967">
        <v>47.076000000000001</v>
      </c>
      <c r="D125" s="967">
        <v>74.444000000000003</v>
      </c>
      <c r="E125" s="967">
        <v>3.669</v>
      </c>
      <c r="F125" s="967">
        <v>3.8980000000000001</v>
      </c>
      <c r="G125" s="967">
        <v>3.5150000000000001</v>
      </c>
      <c r="H125" s="967">
        <v>22.873999999999999</v>
      </c>
      <c r="I125" s="967">
        <v>28.884</v>
      </c>
      <c r="J125" s="967">
        <v>25.033000000000001</v>
      </c>
      <c r="K125" s="967">
        <v>20.783000000000001</v>
      </c>
      <c r="L125" s="967">
        <v>30.393999999999998</v>
      </c>
      <c r="M125" s="967">
        <v>40.295999999999999</v>
      </c>
      <c r="N125" s="967">
        <v>788.66499999999996</v>
      </c>
      <c r="O125" s="967">
        <v>829.82399999999996</v>
      </c>
      <c r="P125" s="967">
        <v>922.96199999999999</v>
      </c>
      <c r="Q125" s="967">
        <v>1001.398</v>
      </c>
      <c r="R125" s="967">
        <v>0</v>
      </c>
      <c r="S125" s="967">
        <v>14.295999999999999</v>
      </c>
      <c r="T125" s="967">
        <v>85.471000000000004</v>
      </c>
      <c r="U125" s="967">
        <v>90</v>
      </c>
      <c r="V125" s="967">
        <v>131.86699999999999</v>
      </c>
      <c r="W125" s="967">
        <v>156.90299999999999</v>
      </c>
      <c r="X125" s="967">
        <v>164.00299999999999</v>
      </c>
      <c r="Y125" s="1397">
        <v>164.00299999999999</v>
      </c>
      <c r="Z125" s="1397">
        <v>164.00299999999999</v>
      </c>
      <c r="AA125" s="1397">
        <v>164.00299999999999</v>
      </c>
      <c r="AB125" s="1397">
        <v>164.00299999999999</v>
      </c>
      <c r="AC125" s="1397">
        <v>164.00299999999999</v>
      </c>
      <c r="AD125" s="1397">
        <v>164.00299999999999</v>
      </c>
      <c r="AE125" s="1397">
        <v>164.00299999999999</v>
      </c>
      <c r="AF125" s="1397">
        <v>164.00299999999999</v>
      </c>
      <c r="AG125" s="1397">
        <v>164.00299999999999</v>
      </c>
      <c r="AH125" s="1397">
        <v>164.00299999999999</v>
      </c>
      <c r="AI125" s="1128"/>
      <c r="AJ125" s="1428"/>
      <c r="AK125" s="1428"/>
      <c r="AL125" s="1128"/>
      <c r="AM125" s="1128"/>
      <c r="AN125" s="1128"/>
    </row>
    <row r="126" spans="1:40">
      <c r="A126" s="722" t="s">
        <v>1236</v>
      </c>
      <c r="B126" s="967">
        <v>0</v>
      </c>
      <c r="C126" s="967">
        <v>0</v>
      </c>
      <c r="D126" s="967">
        <v>0</v>
      </c>
      <c r="E126" s="967">
        <v>0</v>
      </c>
      <c r="F126" s="967">
        <v>0</v>
      </c>
      <c r="G126" s="967">
        <v>0</v>
      </c>
      <c r="H126" s="967">
        <v>0</v>
      </c>
      <c r="I126" s="967">
        <v>0</v>
      </c>
      <c r="J126" s="967">
        <v>0</v>
      </c>
      <c r="K126" s="967">
        <v>0</v>
      </c>
      <c r="L126" s="967">
        <v>0</v>
      </c>
      <c r="M126" s="967">
        <v>0</v>
      </c>
      <c r="N126" s="967">
        <v>0</v>
      </c>
      <c r="O126" s="967">
        <v>0</v>
      </c>
      <c r="P126" s="967">
        <v>0</v>
      </c>
      <c r="Q126" s="967">
        <v>0</v>
      </c>
      <c r="R126" s="967">
        <v>0</v>
      </c>
      <c r="S126" s="967">
        <v>0</v>
      </c>
      <c r="T126" s="967">
        <v>20347.108</v>
      </c>
      <c r="U126" s="967">
        <v>23423</v>
      </c>
      <c r="V126" s="967">
        <v>22274.256000000001</v>
      </c>
      <c r="W126" s="967">
        <v>20604.243999999999</v>
      </c>
      <c r="X126" s="967">
        <v>17151.940999999999</v>
      </c>
      <c r="Y126" s="1397">
        <v>17384.399166718787</v>
      </c>
      <c r="Z126" s="1397">
        <v>18190.72966727212</v>
      </c>
      <c r="AA126" s="1397">
        <v>19244.02146063387</v>
      </c>
      <c r="AB126" s="1397">
        <v>20300.653759113728</v>
      </c>
      <c r="AC126" s="1397">
        <v>21243.584983908211</v>
      </c>
      <c r="AD126" s="1397">
        <v>22289.463419475916</v>
      </c>
      <c r="AE126" s="1397">
        <v>23453.93241138048</v>
      </c>
      <c r="AF126" s="1397">
        <v>24761.589781446706</v>
      </c>
      <c r="AG126" s="1397">
        <v>26221.409652932522</v>
      </c>
      <c r="AH126" s="1397">
        <v>27785.981654542335</v>
      </c>
      <c r="AI126" s="1128"/>
      <c r="AJ126" s="1428"/>
      <c r="AK126" s="1428"/>
      <c r="AL126" s="1128"/>
      <c r="AM126" s="1128"/>
      <c r="AN126" s="1128"/>
    </row>
    <row r="127" spans="1:40">
      <c r="A127" s="723" t="s">
        <v>621</v>
      </c>
      <c r="B127" s="967">
        <v>10.439</v>
      </c>
      <c r="C127" s="967">
        <v>37.771999999999998</v>
      </c>
      <c r="D127" s="967">
        <v>30.786999999999999</v>
      </c>
      <c r="E127" s="967">
        <v>4.1269999999999998</v>
      </c>
      <c r="F127" s="967">
        <v>12.048</v>
      </c>
      <c r="G127" s="967">
        <v>99.655000000000001</v>
      </c>
      <c r="H127" s="967">
        <v>268.36099999999999</v>
      </c>
      <c r="I127" s="967">
        <v>341.95099999999996</v>
      </c>
      <c r="J127" s="967">
        <v>458.14</v>
      </c>
      <c r="K127" s="967">
        <v>535.17499999999995</v>
      </c>
      <c r="L127" s="967">
        <v>692.42</v>
      </c>
      <c r="M127" s="967">
        <v>828.96500000000003</v>
      </c>
      <c r="N127" s="967">
        <v>741.28200000000004</v>
      </c>
      <c r="O127" s="967">
        <v>1320.8810000000001</v>
      </c>
      <c r="P127" s="967">
        <v>1710.943</v>
      </c>
      <c r="Q127" s="967">
        <v>1900.191</v>
      </c>
      <c r="R127" s="967">
        <v>2456.0720000000001</v>
      </c>
      <c r="S127" s="967">
        <v>2730.5549999999998</v>
      </c>
      <c r="T127" s="967">
        <v>3835.5929999999998</v>
      </c>
      <c r="U127" s="967">
        <v>6698</v>
      </c>
      <c r="V127" s="967">
        <v>5751.8270000000002</v>
      </c>
      <c r="W127" s="967">
        <v>5233.857</v>
      </c>
      <c r="X127" s="967">
        <v>6372.8</v>
      </c>
      <c r="Y127" s="1397">
        <v>6446.9470000000001</v>
      </c>
      <c r="Z127" s="1397">
        <v>6446.9470000000001</v>
      </c>
      <c r="AA127" s="1397">
        <v>6446.9470000000001</v>
      </c>
      <c r="AB127" s="1397">
        <v>6446.9470000000001</v>
      </c>
      <c r="AC127" s="1397">
        <v>6446.9470000000001</v>
      </c>
      <c r="AD127" s="1397">
        <v>6446.9470000000001</v>
      </c>
      <c r="AE127" s="1397">
        <v>6446.9470000000001</v>
      </c>
      <c r="AF127" s="1397">
        <v>6446.9470000000001</v>
      </c>
      <c r="AG127" s="1397">
        <v>6446.9470000000001</v>
      </c>
      <c r="AH127" s="1397">
        <v>6446.9470000000001</v>
      </c>
      <c r="AI127" s="1128"/>
      <c r="AJ127" s="1428"/>
      <c r="AK127" s="1428"/>
      <c r="AL127" s="1128"/>
      <c r="AM127" s="1128"/>
      <c r="AN127" s="1128"/>
    </row>
    <row r="128" spans="1:40">
      <c r="A128" s="109" t="s">
        <v>66</v>
      </c>
      <c r="B128" s="1538">
        <v>1068.8120000000001</v>
      </c>
      <c r="C128" s="1538">
        <v>1188.6669999999999</v>
      </c>
      <c r="D128" s="1538">
        <v>1241.338</v>
      </c>
      <c r="E128" s="1538">
        <v>1655.3</v>
      </c>
      <c r="F128" s="1538">
        <v>2431.7550000000001</v>
      </c>
      <c r="G128" s="1538">
        <v>3099.3919999999998</v>
      </c>
      <c r="H128" s="1538">
        <v>3868.8169999999996</v>
      </c>
      <c r="I128" s="1538">
        <v>4418.05</v>
      </c>
      <c r="J128" s="1538">
        <v>4373.451</v>
      </c>
      <c r="K128" s="1538">
        <v>4505.3909999999996</v>
      </c>
      <c r="L128" s="1538">
        <v>5123.9279999999999</v>
      </c>
      <c r="M128" s="1538">
        <v>7212.1990000000005</v>
      </c>
      <c r="N128" s="1538">
        <v>9680.3859999999986</v>
      </c>
      <c r="O128" s="1538">
        <v>25695.370000000003</v>
      </c>
      <c r="P128" s="1538">
        <v>27451.612000000001</v>
      </c>
      <c r="Q128" s="1538">
        <v>31790.37</v>
      </c>
      <c r="R128" s="1538">
        <v>33586.557000000001</v>
      </c>
      <c r="S128" s="1538">
        <v>46487.01</v>
      </c>
      <c r="T128" s="1538">
        <v>69181.731999999989</v>
      </c>
      <c r="U128" s="1538">
        <v>74908</v>
      </c>
      <c r="V128" s="1538">
        <v>71232.444999999992</v>
      </c>
      <c r="W128" s="1538">
        <v>68095.490999999995</v>
      </c>
      <c r="X128" s="1538">
        <v>64324.724999999999</v>
      </c>
      <c r="Y128" s="1617">
        <v>67528.199994409166</v>
      </c>
      <c r="Z128" s="1617">
        <v>69798.946480892599</v>
      </c>
      <c r="AA128" s="1617">
        <v>72087.330906996896</v>
      </c>
      <c r="AB128" s="1617">
        <v>74355.393755248748</v>
      </c>
      <c r="AC128" s="1617">
        <v>76771.249120581138</v>
      </c>
      <c r="AD128" s="1617">
        <v>79272.266617395828</v>
      </c>
      <c r="AE128" s="1617">
        <v>81652.435602839731</v>
      </c>
      <c r="AF128" s="1617">
        <v>84156.523150991517</v>
      </c>
      <c r="AG128" s="1617">
        <v>86788.199082586274</v>
      </c>
      <c r="AH128" s="1617">
        <v>89260.887030405167</v>
      </c>
      <c r="AI128" s="1128"/>
      <c r="AJ128" s="1428"/>
      <c r="AK128" s="1428"/>
      <c r="AL128" s="1128"/>
      <c r="AM128" s="1128"/>
      <c r="AN128" s="1128"/>
    </row>
    <row r="129" spans="1:40">
      <c r="A129" s="723" t="s">
        <v>67</v>
      </c>
      <c r="B129" s="967">
        <v>99.13</v>
      </c>
      <c r="C129" s="967">
        <v>207.08600000000001</v>
      </c>
      <c r="D129" s="967">
        <v>205.8</v>
      </c>
      <c r="E129" s="967">
        <v>147.19499999999999</v>
      </c>
      <c r="F129" s="967">
        <v>165.05500000000001</v>
      </c>
      <c r="G129" s="967">
        <v>244.262</v>
      </c>
      <c r="H129" s="967">
        <v>209.327</v>
      </c>
      <c r="I129" s="967">
        <v>661.86300000000006</v>
      </c>
      <c r="J129" s="967">
        <v>463.214</v>
      </c>
      <c r="K129" s="967">
        <v>640.20299999999997</v>
      </c>
      <c r="L129" s="967">
        <v>739.37900000000002</v>
      </c>
      <c r="M129" s="967">
        <v>932.59400000000005</v>
      </c>
      <c r="N129" s="967">
        <v>663.27</v>
      </c>
      <c r="O129" s="967">
        <v>1112.8499999999999</v>
      </c>
      <c r="P129" s="967">
        <v>1195.8139999999999</v>
      </c>
      <c r="Q129" s="967">
        <v>2547.8420000000001</v>
      </c>
      <c r="R129" s="967">
        <v>1540.403</v>
      </c>
      <c r="S129" s="967">
        <v>1987.857</v>
      </c>
      <c r="T129" s="967">
        <v>2625.3890000000001</v>
      </c>
      <c r="U129" s="967">
        <v>3932</v>
      </c>
      <c r="V129" s="967">
        <v>6893.433</v>
      </c>
      <c r="W129" s="967">
        <v>6099.7089999999998</v>
      </c>
      <c r="X129" s="967">
        <v>6409.7979999999998</v>
      </c>
      <c r="Y129" s="1397">
        <v>4969.3202765723709</v>
      </c>
      <c r="Z129" s="1397">
        <v>9105.1948910376377</v>
      </c>
      <c r="AA129" s="1397">
        <v>14683.609372634401</v>
      </c>
      <c r="AB129" s="1397">
        <v>20452.778241418084</v>
      </c>
      <c r="AC129" s="1397">
        <v>23880.454467978907</v>
      </c>
      <c r="AD129" s="1397">
        <v>27431.545934836733</v>
      </c>
      <c r="AE129" s="1397">
        <v>31452.121722225464</v>
      </c>
      <c r="AF129" s="1397">
        <v>35754.381606641611</v>
      </c>
      <c r="AG129" s="1397">
        <v>41362.019653842995</v>
      </c>
      <c r="AH129" s="1397">
        <v>46664.23587672026</v>
      </c>
      <c r="AI129" s="1128"/>
      <c r="AJ129" s="1428"/>
      <c r="AK129" s="1428"/>
      <c r="AL129" s="1128"/>
      <c r="AM129" s="1128"/>
      <c r="AN129" s="1128"/>
    </row>
    <row r="130" spans="1:40">
      <c r="A130" s="723" t="s">
        <v>68</v>
      </c>
      <c r="B130" s="967">
        <v>110.291</v>
      </c>
      <c r="C130" s="967">
        <v>121.56</v>
      </c>
      <c r="D130" s="967">
        <v>133.27799999999999</v>
      </c>
      <c r="E130" s="967">
        <v>142.49700000000001</v>
      </c>
      <c r="F130" s="967">
        <v>189.31799999999998</v>
      </c>
      <c r="G130" s="967">
        <v>210.517</v>
      </c>
      <c r="H130" s="967">
        <v>309.786</v>
      </c>
      <c r="I130" s="967">
        <v>182.87299999999999</v>
      </c>
      <c r="J130" s="967">
        <v>196.14699999999999</v>
      </c>
      <c r="K130" s="967">
        <v>246.70599999999999</v>
      </c>
      <c r="L130" s="967">
        <v>385.57799999999997</v>
      </c>
      <c r="M130" s="967">
        <v>535.93100000000004</v>
      </c>
      <c r="N130" s="967">
        <v>628.81799999999998</v>
      </c>
      <c r="O130" s="967">
        <v>895.54300000000001</v>
      </c>
      <c r="P130" s="967">
        <v>904.85299999999995</v>
      </c>
      <c r="Q130" s="967">
        <v>953.63800000000003</v>
      </c>
      <c r="R130" s="967">
        <v>1250.588</v>
      </c>
      <c r="S130" s="967">
        <v>1025.1179999999999</v>
      </c>
      <c r="T130" s="967">
        <v>1447.221</v>
      </c>
      <c r="U130" s="967">
        <v>1706</v>
      </c>
      <c r="V130" s="967">
        <v>1751.527</v>
      </c>
      <c r="W130" s="967">
        <v>2029.42</v>
      </c>
      <c r="X130" s="967">
        <v>2372.241</v>
      </c>
      <c r="Y130" s="1397">
        <v>2545.5401314097121</v>
      </c>
      <c r="Z130" s="1397">
        <v>2809.7090408351196</v>
      </c>
      <c r="AA130" s="1397">
        <v>3049.6103152247374</v>
      </c>
      <c r="AB130" s="1397">
        <v>3285.4692624516861</v>
      </c>
      <c r="AC130" s="1397">
        <v>3504.268317099506</v>
      </c>
      <c r="AD130" s="1397">
        <v>3735.5968458891107</v>
      </c>
      <c r="AE130" s="1397">
        <v>3973.3474478758858</v>
      </c>
      <c r="AF130" s="1397">
        <v>4223.3130884675802</v>
      </c>
      <c r="AG130" s="1397">
        <v>4487.5141958226241</v>
      </c>
      <c r="AH130" s="1397">
        <v>4760.6056655990751</v>
      </c>
      <c r="AI130" s="1128"/>
      <c r="AJ130" s="1428"/>
      <c r="AK130" s="1428"/>
      <c r="AL130" s="1128"/>
      <c r="AM130" s="1128"/>
      <c r="AN130" s="1128"/>
    </row>
    <row r="131" spans="1:40">
      <c r="A131" s="723" t="s">
        <v>345</v>
      </c>
      <c r="B131" s="955">
        <v>88.174000000000007</v>
      </c>
      <c r="C131" s="955">
        <v>69.954999999999998</v>
      </c>
      <c r="D131" s="955">
        <v>113.45699999999999</v>
      </c>
      <c r="E131" s="955">
        <v>181.892</v>
      </c>
      <c r="F131" s="955">
        <v>140.095</v>
      </c>
      <c r="G131" s="955">
        <v>226.386</v>
      </c>
      <c r="H131" s="955">
        <v>235.25200000000001</v>
      </c>
      <c r="I131" s="955">
        <v>361.524</v>
      </c>
      <c r="J131" s="955">
        <v>336.87</v>
      </c>
      <c r="K131" s="955">
        <v>352.32499999999999</v>
      </c>
      <c r="L131" s="955">
        <v>403.13</v>
      </c>
      <c r="M131" s="955">
        <v>550.39400000000001</v>
      </c>
      <c r="N131" s="955">
        <v>641.88</v>
      </c>
      <c r="O131" s="955">
        <v>1055.174</v>
      </c>
      <c r="P131" s="955">
        <v>1377.981</v>
      </c>
      <c r="Q131" s="955">
        <v>1575.3630000000001</v>
      </c>
      <c r="R131" s="955">
        <v>2009.779</v>
      </c>
      <c r="S131" s="955">
        <v>2120.2080000000001</v>
      </c>
      <c r="T131" s="955">
        <v>1779.646</v>
      </c>
      <c r="U131" s="955">
        <v>1618</v>
      </c>
      <c r="V131" s="955">
        <v>2009.258</v>
      </c>
      <c r="W131" s="955">
        <v>2895.326</v>
      </c>
      <c r="X131" s="955">
        <v>2750.665</v>
      </c>
      <c r="Y131" s="1123">
        <v>2929.2128373648911</v>
      </c>
      <c r="Z131" s="1123">
        <v>3243.3019525609634</v>
      </c>
      <c r="AA131" s="1123">
        <v>3531.1911051528823</v>
      </c>
      <c r="AB131" s="1123">
        <v>3816.1104233514179</v>
      </c>
      <c r="AC131" s="1123">
        <v>4108.0522090818977</v>
      </c>
      <c r="AD131" s="1123">
        <v>4379.2385417838341</v>
      </c>
      <c r="AE131" s="1123">
        <v>4657.9534680742772</v>
      </c>
      <c r="AF131" s="1123">
        <v>4950.9880787564944</v>
      </c>
      <c r="AG131" s="1123">
        <v>5260.7109208732536</v>
      </c>
      <c r="AH131" s="1123">
        <v>5580.8559309520333</v>
      </c>
      <c r="AI131" s="1128"/>
      <c r="AJ131" s="1428"/>
      <c r="AK131" s="1428"/>
      <c r="AL131" s="1128"/>
      <c r="AM131" s="1128"/>
      <c r="AN131" s="1128"/>
    </row>
    <row r="132" spans="1:40">
      <c r="A132" s="723" t="s">
        <v>69</v>
      </c>
      <c r="B132" s="967">
        <v>106.58099999999999</v>
      </c>
      <c r="C132" s="967">
        <v>64.171999999999997</v>
      </c>
      <c r="D132" s="967">
        <v>104.354</v>
      </c>
      <c r="E132" s="967">
        <v>79.14</v>
      </c>
      <c r="F132" s="967">
        <v>317.69100000000003</v>
      </c>
      <c r="G132" s="967">
        <v>259.90899999999999</v>
      </c>
      <c r="H132" s="967">
        <v>672.53899999999999</v>
      </c>
      <c r="I132" s="967">
        <v>886.32999999999993</v>
      </c>
      <c r="J132" s="967">
        <v>439.12700000000001</v>
      </c>
      <c r="K132" s="967">
        <v>396.60400000000004</v>
      </c>
      <c r="L132" s="967">
        <v>2722.1579999999999</v>
      </c>
      <c r="M132" s="967">
        <v>566.47500000000002</v>
      </c>
      <c r="N132" s="967">
        <v>801.78099999999995</v>
      </c>
      <c r="O132" s="967">
        <v>1012.6589999999999</v>
      </c>
      <c r="P132" s="967">
        <v>912.16700000000014</v>
      </c>
      <c r="Q132" s="967">
        <v>1127.9279999999999</v>
      </c>
      <c r="R132" s="967">
        <v>1271.9299999999998</v>
      </c>
      <c r="S132" s="967">
        <v>1439.9290000000001</v>
      </c>
      <c r="T132" s="967">
        <v>1378.26</v>
      </c>
      <c r="U132" s="967">
        <v>1274</v>
      </c>
      <c r="V132" s="967">
        <v>1090.8989999999999</v>
      </c>
      <c r="W132" s="967">
        <v>1349.377</v>
      </c>
      <c r="X132" s="967">
        <v>1139.5920000000001</v>
      </c>
      <c r="Y132" s="1397">
        <v>1222.8425229280906</v>
      </c>
      <c r="Z132" s="1397">
        <v>1349.7456393609989</v>
      </c>
      <c r="AA132" s="1397">
        <v>1464.990917173925</v>
      </c>
      <c r="AB132" s="1397">
        <v>1578.2943165284817</v>
      </c>
      <c r="AC132" s="1397">
        <v>1683.4023777601265</v>
      </c>
      <c r="AD132" s="1397">
        <v>1794.5294263105914</v>
      </c>
      <c r="AE132" s="1397">
        <v>1908.7415506349382</v>
      </c>
      <c r="AF132" s="1397">
        <v>2028.821611764128</v>
      </c>
      <c r="AG132" s="1397">
        <v>2155.7401956402809</v>
      </c>
      <c r="AH132" s="1397">
        <v>2286.9295875382732</v>
      </c>
      <c r="AI132" s="1128"/>
      <c r="AJ132" s="1428"/>
      <c r="AK132" s="1428"/>
      <c r="AL132" s="1128"/>
      <c r="AM132" s="1128"/>
      <c r="AN132" s="1128"/>
    </row>
    <row r="133" spans="1:40">
      <c r="A133" s="109" t="s">
        <v>70</v>
      </c>
      <c r="B133" s="1538">
        <v>1472.9879999999998</v>
      </c>
      <c r="C133" s="1538">
        <v>1651.4399999999998</v>
      </c>
      <c r="D133" s="1538">
        <v>1798.2270000000001</v>
      </c>
      <c r="E133" s="1538">
        <v>2206.0239999999999</v>
      </c>
      <c r="F133" s="1538">
        <v>3243.9139999999998</v>
      </c>
      <c r="G133" s="1538">
        <v>4040.4659999999999</v>
      </c>
      <c r="H133" s="1538">
        <v>5295.7209999999995</v>
      </c>
      <c r="I133" s="1538">
        <v>6510.64</v>
      </c>
      <c r="J133" s="1538">
        <v>5808.8090000000002</v>
      </c>
      <c r="K133" s="1538">
        <v>6141.2289999999994</v>
      </c>
      <c r="L133" s="1538">
        <v>9374.1730000000007</v>
      </c>
      <c r="M133" s="1538">
        <v>9797.5930000000008</v>
      </c>
      <c r="N133" s="1538">
        <v>12416.134999999998</v>
      </c>
      <c r="O133" s="1538">
        <v>29771.596000000001</v>
      </c>
      <c r="P133" s="1538">
        <v>31842.427</v>
      </c>
      <c r="Q133" s="1538">
        <v>37995.140999999996</v>
      </c>
      <c r="R133" s="1538">
        <v>39659.257000000005</v>
      </c>
      <c r="S133" s="1538">
        <v>53060.122000000003</v>
      </c>
      <c r="T133" s="1538">
        <v>76412.247999999978</v>
      </c>
      <c r="U133" s="1538">
        <v>83438</v>
      </c>
      <c r="V133" s="1538">
        <v>82977.562000000005</v>
      </c>
      <c r="W133" s="1538">
        <v>80469.322999999989</v>
      </c>
      <c r="X133" s="1538">
        <v>76997.020999999993</v>
      </c>
      <c r="Y133" s="1617">
        <v>79195.115762684218</v>
      </c>
      <c r="Z133" s="1617">
        <v>86306.898004687333</v>
      </c>
      <c r="AA133" s="1617">
        <v>94816.732617182846</v>
      </c>
      <c r="AB133" s="1617">
        <v>103488.04599899842</v>
      </c>
      <c r="AC133" s="1617">
        <v>109947.42649250157</v>
      </c>
      <c r="AD133" s="1617">
        <v>116613.1773662161</v>
      </c>
      <c r="AE133" s="1617">
        <v>123644.5997916503</v>
      </c>
      <c r="AF133" s="1617">
        <v>131114.02753662135</v>
      </c>
      <c r="AG133" s="1617">
        <v>140054.1840487654</v>
      </c>
      <c r="AH133" s="1617">
        <v>148553.51409121481</v>
      </c>
      <c r="AI133" s="1128"/>
      <c r="AJ133" s="1428"/>
      <c r="AK133" s="1428"/>
      <c r="AL133" s="1128"/>
      <c r="AM133" s="1128"/>
      <c r="AN133" s="1128"/>
    </row>
    <row r="134" spans="1:40">
      <c r="A134" s="110" t="s">
        <v>71</v>
      </c>
      <c r="B134" s="438"/>
      <c r="C134" s="438"/>
      <c r="D134" s="438"/>
      <c r="E134" s="438"/>
      <c r="F134" s="438"/>
      <c r="G134" s="438"/>
      <c r="H134" s="438"/>
      <c r="I134" s="438"/>
      <c r="J134" s="438"/>
      <c r="K134" s="438"/>
      <c r="L134" s="438"/>
      <c r="M134" s="438"/>
      <c r="N134" s="438"/>
      <c r="O134" s="438"/>
      <c r="P134" s="438"/>
      <c r="Q134" s="438"/>
      <c r="R134" s="438"/>
      <c r="S134" s="447"/>
      <c r="T134" s="447"/>
      <c r="U134" s="447"/>
      <c r="V134" s="447"/>
      <c r="W134" s="447"/>
      <c r="X134" s="447"/>
      <c r="Y134" s="447"/>
      <c r="Z134" s="447"/>
      <c r="AA134" s="447"/>
      <c r="AB134" s="447"/>
      <c r="AC134" s="447"/>
      <c r="AD134" s="447"/>
      <c r="AE134" s="447"/>
      <c r="AF134" s="447"/>
      <c r="AG134" s="447"/>
      <c r="AH134" s="447"/>
      <c r="AI134" s="508"/>
      <c r="AJ134" s="508"/>
      <c r="AK134" s="508"/>
      <c r="AL134" s="508"/>
      <c r="AM134" s="508"/>
      <c r="AN134" s="508"/>
    </row>
    <row r="135" spans="1:40">
      <c r="A135" s="724" t="s">
        <v>72</v>
      </c>
      <c r="B135" s="967">
        <v>142.27600000000001</v>
      </c>
      <c r="C135" s="967">
        <v>66.106999999999999</v>
      </c>
      <c r="D135" s="967">
        <v>45.132000000000005</v>
      </c>
      <c r="E135" s="967">
        <v>98.706999999999994</v>
      </c>
      <c r="F135" s="967">
        <v>769.35500000000002</v>
      </c>
      <c r="G135" s="967">
        <v>497.27600000000001</v>
      </c>
      <c r="H135" s="967">
        <v>1033.45</v>
      </c>
      <c r="I135" s="967">
        <v>1790.1779999999999</v>
      </c>
      <c r="J135" s="967">
        <v>1328.134</v>
      </c>
      <c r="K135" s="967">
        <v>1656.047</v>
      </c>
      <c r="L135" s="967">
        <v>4056.5309999999999</v>
      </c>
      <c r="M135" s="967">
        <v>2474.48</v>
      </c>
      <c r="N135" s="967">
        <v>5043.6170000000002</v>
      </c>
      <c r="O135" s="967">
        <v>11239.179</v>
      </c>
      <c r="P135" s="967">
        <v>12233.341</v>
      </c>
      <c r="Q135" s="967">
        <v>14839.888999999999</v>
      </c>
      <c r="R135" s="967">
        <v>18041.436000000002</v>
      </c>
      <c r="S135" s="967">
        <v>28115.931999999997</v>
      </c>
      <c r="T135" s="967">
        <v>27686.744999999999</v>
      </c>
      <c r="U135" s="967">
        <v>38368.148999999998</v>
      </c>
      <c r="V135" s="967">
        <v>37448.553</v>
      </c>
      <c r="W135" s="967">
        <v>32649.838</v>
      </c>
      <c r="X135" s="967">
        <v>31416.120000000003</v>
      </c>
      <c r="Y135" s="1397">
        <v>34525.30381662523</v>
      </c>
      <c r="Z135" s="1397">
        <v>37359.942550450389</v>
      </c>
      <c r="AA135" s="1397">
        <v>40946.76166856855</v>
      </c>
      <c r="AB135" s="1397">
        <v>44106.456902711994</v>
      </c>
      <c r="AC135" s="1397">
        <v>44478.609167290524</v>
      </c>
      <c r="AD135" s="1397">
        <v>44854.101478022312</v>
      </c>
      <c r="AE135" s="1397">
        <v>45232.96381163827</v>
      </c>
      <c r="AF135" s="1397">
        <v>45615.226413908887</v>
      </c>
      <c r="AG135" s="1397">
        <v>47004.212088415195</v>
      </c>
      <c r="AH135" s="1397">
        <v>47553.737201855962</v>
      </c>
      <c r="AI135" s="508"/>
      <c r="AJ135" s="508"/>
      <c r="AK135" s="508"/>
      <c r="AL135" s="508"/>
      <c r="AM135" s="508"/>
      <c r="AN135" s="508"/>
    </row>
    <row r="136" spans="1:40">
      <c r="A136" s="723" t="s">
        <v>574</v>
      </c>
      <c r="B136" s="967">
        <v>188.44800000000001</v>
      </c>
      <c r="C136" s="967">
        <v>280.45400000000001</v>
      </c>
      <c r="D136" s="967">
        <v>257.99399999999997</v>
      </c>
      <c r="E136" s="967">
        <v>330.79300000000001</v>
      </c>
      <c r="F136" s="967">
        <v>483.69600000000003</v>
      </c>
      <c r="G136" s="967">
        <v>685.5630000000001</v>
      </c>
      <c r="H136" s="967">
        <v>911.31099999999992</v>
      </c>
      <c r="I136" s="967">
        <v>1171.8150000000001</v>
      </c>
      <c r="J136" s="967">
        <v>559.149</v>
      </c>
      <c r="K136" s="967">
        <v>710.548</v>
      </c>
      <c r="L136" s="967">
        <v>1021.424</v>
      </c>
      <c r="M136" s="967">
        <v>1129.6120000000001</v>
      </c>
      <c r="N136" s="967">
        <v>1408.5650000000001</v>
      </c>
      <c r="O136" s="967">
        <v>2694.0149999999999</v>
      </c>
      <c r="P136" s="967">
        <v>3013.0909999999999</v>
      </c>
      <c r="Q136" s="967">
        <v>3901.9720000000002</v>
      </c>
      <c r="R136" s="967">
        <v>3960.806</v>
      </c>
      <c r="S136" s="967">
        <v>5215.8770000000004</v>
      </c>
      <c r="T136" s="967">
        <v>5450.5550000000003</v>
      </c>
      <c r="U136" s="967">
        <v>3604</v>
      </c>
      <c r="V136" s="967">
        <v>3979.2370000000001</v>
      </c>
      <c r="W136" s="967">
        <v>5628.5950000000003</v>
      </c>
      <c r="X136" s="967">
        <v>5767.8990000000003</v>
      </c>
      <c r="Y136" s="1397">
        <v>6142.2978790307498</v>
      </c>
      <c r="Z136" s="1397">
        <v>6800.9147202129043</v>
      </c>
      <c r="AA136" s="1397">
        <v>7404.5925782384265</v>
      </c>
      <c r="AB136" s="1397">
        <v>8002.0429586075434</v>
      </c>
      <c r="AC136" s="1397">
        <v>8614.218826615117</v>
      </c>
      <c r="AD136" s="1397">
        <v>9182.8723621075023</v>
      </c>
      <c r="AE136" s="1397">
        <v>9767.3126864057067</v>
      </c>
      <c r="AF136" s="1397">
        <v>10381.780110799207</v>
      </c>
      <c r="AG136" s="1397">
        <v>11031.24126703685</v>
      </c>
      <c r="AH136" s="1397">
        <v>11702.556779281482</v>
      </c>
      <c r="AI136" s="508"/>
      <c r="AJ136" s="508"/>
      <c r="AK136" s="508"/>
      <c r="AL136" s="508"/>
      <c r="AM136" s="508"/>
      <c r="AN136" s="508"/>
    </row>
    <row r="137" spans="1:40">
      <c r="A137" s="723" t="s">
        <v>1182</v>
      </c>
      <c r="B137" s="967">
        <v>0</v>
      </c>
      <c r="C137" s="967">
        <v>0</v>
      </c>
      <c r="D137" s="967">
        <v>0</v>
      </c>
      <c r="E137" s="967">
        <v>0</v>
      </c>
      <c r="F137" s="967">
        <v>0</v>
      </c>
      <c r="G137" s="967">
        <v>0</v>
      </c>
      <c r="H137" s="967">
        <v>0</v>
      </c>
      <c r="I137" s="967">
        <v>0</v>
      </c>
      <c r="J137" s="967">
        <v>0</v>
      </c>
      <c r="K137" s="967">
        <v>0</v>
      </c>
      <c r="L137" s="967">
        <v>0</v>
      </c>
      <c r="M137" s="967">
        <v>0</v>
      </c>
      <c r="N137" s="967">
        <v>0</v>
      </c>
      <c r="O137" s="967">
        <v>0</v>
      </c>
      <c r="P137" s="967">
        <v>0</v>
      </c>
      <c r="Q137" s="967">
        <v>0</v>
      </c>
      <c r="R137" s="967">
        <v>0</v>
      </c>
      <c r="S137" s="967">
        <v>0</v>
      </c>
      <c r="T137" s="967">
        <v>22561.86</v>
      </c>
      <c r="U137" s="967">
        <v>25300</v>
      </c>
      <c r="V137" s="967">
        <v>23763.274000000001</v>
      </c>
      <c r="W137" s="967">
        <v>21981.811000000002</v>
      </c>
      <c r="X137" s="967">
        <v>18330.066999999999</v>
      </c>
      <c r="Y137" s="1397">
        <v>18657.891539731085</v>
      </c>
      <c r="Z137" s="1397">
        <v>19075.399491117292</v>
      </c>
      <c r="AA137" s="1397">
        <v>19546.767391015623</v>
      </c>
      <c r="AB137" s="1397">
        <v>19955.189771282305</v>
      </c>
      <c r="AC137" s="1397">
        <v>20406.155915568917</v>
      </c>
      <c r="AD137" s="1397">
        <v>20768.093626626811</v>
      </c>
      <c r="AE137" s="1397">
        <v>21074.550486915701</v>
      </c>
      <c r="AF137" s="1397">
        <v>21353.612042855981</v>
      </c>
      <c r="AG137" s="1397">
        <v>21626.103800440262</v>
      </c>
      <c r="AH137" s="1397">
        <v>21852.356179840714</v>
      </c>
      <c r="AI137" s="508"/>
      <c r="AJ137" s="508"/>
      <c r="AK137" s="508"/>
      <c r="AL137" s="508"/>
      <c r="AM137" s="508"/>
      <c r="AN137" s="508"/>
    </row>
    <row r="138" spans="1:40">
      <c r="A138" s="722" t="s">
        <v>73</v>
      </c>
      <c r="B138" s="1539">
        <v>170.74700000000001</v>
      </c>
      <c r="C138" s="1539">
        <v>197.51000000000002</v>
      </c>
      <c r="D138" s="1539">
        <v>240.82499999999999</v>
      </c>
      <c r="E138" s="1539">
        <v>188.51300000000001</v>
      </c>
      <c r="F138" s="1539">
        <v>141.24600000000001</v>
      </c>
      <c r="G138" s="1539">
        <v>135.05700000000002</v>
      </c>
      <c r="H138" s="1539">
        <v>218.87199999999999</v>
      </c>
      <c r="I138" s="1539">
        <v>318.85399999999998</v>
      </c>
      <c r="J138" s="1539">
        <v>789.16300000000001</v>
      </c>
      <c r="K138" s="1539">
        <v>663.20100000000002</v>
      </c>
      <c r="L138" s="1539">
        <v>1003.49</v>
      </c>
      <c r="M138" s="1539">
        <v>1364.6019999999999</v>
      </c>
      <c r="N138" s="1539">
        <v>1453.0210000000002</v>
      </c>
      <c r="O138" s="1539">
        <v>5748.7839999999997</v>
      </c>
      <c r="P138" s="1539">
        <v>6170.5209999999997</v>
      </c>
      <c r="Q138" s="1539">
        <v>3779.114</v>
      </c>
      <c r="R138" s="1539">
        <v>4473.75</v>
      </c>
      <c r="S138" s="1539">
        <v>4127.8909999999996</v>
      </c>
      <c r="T138" s="1539">
        <v>4174.9709999999995</v>
      </c>
      <c r="U138" s="1539">
        <v>3659</v>
      </c>
      <c r="V138" s="1539">
        <v>4159.7520000000004</v>
      </c>
      <c r="W138" s="1539">
        <v>5899.3039999999992</v>
      </c>
      <c r="X138" s="1539">
        <v>7101.8060000000005</v>
      </c>
      <c r="Y138" s="1618">
        <v>7227.6435212993929</v>
      </c>
      <c r="Z138" s="1618">
        <v>7948.8213861756276</v>
      </c>
      <c r="AA138" s="1618">
        <v>8609.8416964708795</v>
      </c>
      <c r="AB138" s="1618">
        <v>9264.0429903684471</v>
      </c>
      <c r="AC138" s="1618">
        <v>9934.3685238395155</v>
      </c>
      <c r="AD138" s="1618">
        <v>10557.037603853672</v>
      </c>
      <c r="AE138" s="1618">
        <v>11196.993036011205</v>
      </c>
      <c r="AF138" s="1618">
        <v>11869.827797364573</v>
      </c>
      <c r="AG138" s="1618">
        <v>12580.980292546477</v>
      </c>
      <c r="AH138" s="1618">
        <v>13316.063056160448</v>
      </c>
      <c r="AI138" s="508"/>
      <c r="AJ138" s="508"/>
      <c r="AK138" s="508"/>
      <c r="AL138" s="508"/>
      <c r="AM138" s="508"/>
      <c r="AN138" s="508"/>
    </row>
    <row r="139" spans="1:40">
      <c r="A139" s="722" t="s">
        <v>1543</v>
      </c>
      <c r="B139" s="1539"/>
      <c r="C139" s="1539"/>
      <c r="D139" s="1539"/>
      <c r="E139" s="1539"/>
      <c r="F139" s="1539"/>
      <c r="G139" s="1539"/>
      <c r="H139" s="1539"/>
      <c r="I139" s="1539"/>
      <c r="J139" s="1539"/>
      <c r="K139" s="1539"/>
      <c r="L139" s="1539"/>
      <c r="M139" s="1539"/>
      <c r="N139" s="1539"/>
      <c r="O139" s="1539"/>
      <c r="P139" s="1539"/>
      <c r="Q139" s="1539">
        <v>5550.0949999999993</v>
      </c>
      <c r="R139" s="1539">
        <v>2580.1390000000001</v>
      </c>
      <c r="S139" s="1539">
        <v>2641.6</v>
      </c>
      <c r="T139" s="1539">
        <v>4995.5560000000005</v>
      </c>
      <c r="U139" s="1539">
        <v>4873</v>
      </c>
      <c r="V139" s="1539">
        <v>4952.6570000000002</v>
      </c>
      <c r="W139" s="1539">
        <v>5729.777</v>
      </c>
      <c r="X139" s="1539">
        <v>5065.4059999999999</v>
      </c>
      <c r="Y139" s="1618">
        <v>4243.8869999999997</v>
      </c>
      <c r="Z139" s="1618">
        <v>4243.8869999999997</v>
      </c>
      <c r="AA139" s="1618">
        <v>4243.8869999999997</v>
      </c>
      <c r="AB139" s="1618">
        <v>4243.8869999999997</v>
      </c>
      <c r="AC139" s="1618">
        <v>4243.8869999999997</v>
      </c>
      <c r="AD139" s="1618">
        <v>4243.8869999999997</v>
      </c>
      <c r="AE139" s="1618">
        <v>4243.8869999999997</v>
      </c>
      <c r="AF139" s="1618">
        <v>4243.8869999999997</v>
      </c>
      <c r="AG139" s="1618">
        <v>4243.8869999999997</v>
      </c>
      <c r="AH139" s="1618">
        <v>4243.8869999999997</v>
      </c>
      <c r="AI139" s="508"/>
      <c r="AJ139" s="508"/>
      <c r="AK139" s="508"/>
      <c r="AL139" s="508"/>
      <c r="AM139" s="508"/>
      <c r="AN139" s="508"/>
    </row>
    <row r="140" spans="1:40">
      <c r="A140" s="109" t="s">
        <v>74</v>
      </c>
      <c r="B140" s="1538">
        <v>922.91300000000001</v>
      </c>
      <c r="C140" s="1538">
        <v>1080.4529999999997</v>
      </c>
      <c r="D140" s="1538">
        <v>1211.9480000000003</v>
      </c>
      <c r="E140" s="1538">
        <v>1425.3859999999997</v>
      </c>
      <c r="F140" s="1538">
        <v>1767.4979999999998</v>
      </c>
      <c r="G140" s="1538">
        <v>2653.8759999999997</v>
      </c>
      <c r="H140" s="1538">
        <v>2997.4830000000002</v>
      </c>
      <c r="I140" s="1538">
        <v>2997.0709999999999</v>
      </c>
      <c r="J140" s="1538">
        <v>2908.5889999999999</v>
      </c>
      <c r="K140" s="1538">
        <v>2865.3280000000004</v>
      </c>
      <c r="L140" s="1538">
        <v>2993.8649999999998</v>
      </c>
      <c r="M140" s="1538">
        <v>4520.71</v>
      </c>
      <c r="N140" s="1538">
        <v>4271.4269999999997</v>
      </c>
      <c r="O140" s="1538">
        <v>8800.1280000000006</v>
      </c>
      <c r="P140" s="1538">
        <v>9069.2769999999982</v>
      </c>
      <c r="Q140" s="1538">
        <v>8910.6229999999996</v>
      </c>
      <c r="R140" s="1538">
        <v>9460.389000000001</v>
      </c>
      <c r="S140" s="1538">
        <v>11080.08</v>
      </c>
      <c r="T140" s="1538">
        <v>9580.9979999999996</v>
      </c>
      <c r="U140" s="1538">
        <v>6302.7489999999998</v>
      </c>
      <c r="V140" s="1538">
        <v>7639.1659999999993</v>
      </c>
      <c r="W140" s="1538">
        <v>7617.8669999999993</v>
      </c>
      <c r="X140" s="1538">
        <v>8375.1020000000008</v>
      </c>
      <c r="Y140" s="1617">
        <v>8273.7010059977856</v>
      </c>
      <c r="Z140" s="1617">
        <v>10753.541856731115</v>
      </c>
      <c r="AA140" s="1617">
        <v>13940.49128288937</v>
      </c>
      <c r="AB140" s="1617">
        <v>17792.035376028136</v>
      </c>
      <c r="AC140" s="1617">
        <v>22145.796059187516</v>
      </c>
      <c r="AD140" s="1617">
        <v>26882.794295605818</v>
      </c>
      <c r="AE140" s="1617">
        <v>32004.501770679417</v>
      </c>
      <c r="AF140" s="1617">
        <v>37525.303171692707</v>
      </c>
      <c r="AG140" s="1617">
        <v>43443.368600326678</v>
      </c>
      <c r="AH140" s="1617">
        <v>49760.522874076225</v>
      </c>
      <c r="AI140" s="508"/>
      <c r="AJ140" s="508"/>
      <c r="AK140" s="508"/>
      <c r="AL140" s="508"/>
      <c r="AM140" s="508"/>
      <c r="AN140" s="508"/>
    </row>
    <row r="141" spans="1:40" s="13" customFormat="1">
      <c r="A141" s="112" t="s">
        <v>342</v>
      </c>
      <c r="B141" s="1538">
        <v>48.603999999999999</v>
      </c>
      <c r="C141" s="1538">
        <v>26.916</v>
      </c>
      <c r="D141" s="1538">
        <v>42.328000000000003</v>
      </c>
      <c r="E141" s="1538">
        <v>162.625</v>
      </c>
      <c r="F141" s="1538">
        <v>82.119</v>
      </c>
      <c r="G141" s="1538">
        <v>68.694000000000003</v>
      </c>
      <c r="H141" s="1538">
        <v>134.60499999999999</v>
      </c>
      <c r="I141" s="1538">
        <v>232.72200000000001</v>
      </c>
      <c r="J141" s="1538">
        <v>223.774</v>
      </c>
      <c r="K141" s="1538">
        <v>245.64099999999999</v>
      </c>
      <c r="L141" s="1538">
        <v>298.86399999999998</v>
      </c>
      <c r="M141" s="1538">
        <v>308.18900000000002</v>
      </c>
      <c r="N141" s="1538">
        <v>239.50399999999999</v>
      </c>
      <c r="O141" s="1538">
        <v>1289.49</v>
      </c>
      <c r="P141" s="1538">
        <v>1356.1969999999999</v>
      </c>
      <c r="Q141" s="1538">
        <v>1013.448</v>
      </c>
      <c r="R141" s="1538">
        <v>1142.7370000000001</v>
      </c>
      <c r="S141" s="1538">
        <v>1878.742</v>
      </c>
      <c r="T141" s="1538">
        <v>1961.5630000000001</v>
      </c>
      <c r="U141" s="1538">
        <v>1330.4459999999999</v>
      </c>
      <c r="V141" s="1538">
        <v>1034.923</v>
      </c>
      <c r="W141" s="1538">
        <v>962.13099999999997</v>
      </c>
      <c r="X141" s="1538">
        <v>940.62099999999998</v>
      </c>
      <c r="Y141" s="1617">
        <v>124.39</v>
      </c>
      <c r="Z141" s="1617">
        <v>124.39</v>
      </c>
      <c r="AA141" s="1617">
        <v>124.39</v>
      </c>
      <c r="AB141" s="1617">
        <v>124.39</v>
      </c>
      <c r="AC141" s="1617">
        <v>124.39</v>
      </c>
      <c r="AD141" s="1617">
        <v>124.39</v>
      </c>
      <c r="AE141" s="1617">
        <v>124.39</v>
      </c>
      <c r="AF141" s="1617">
        <v>124.39</v>
      </c>
      <c r="AG141" s="1617">
        <v>124.39</v>
      </c>
      <c r="AH141" s="1617">
        <v>124.39</v>
      </c>
      <c r="AI141" s="508"/>
      <c r="AJ141" s="508"/>
      <c r="AK141" s="508"/>
      <c r="AL141" s="508"/>
      <c r="AM141" s="508"/>
      <c r="AN141" s="508"/>
    </row>
    <row r="142" spans="1:40">
      <c r="A142" s="109" t="s">
        <v>78</v>
      </c>
      <c r="B142" s="1538">
        <v>1472.9880000000001</v>
      </c>
      <c r="C142" s="1538">
        <v>1651.4399999999998</v>
      </c>
      <c r="D142" s="1538">
        <v>1798.2270000000003</v>
      </c>
      <c r="E142" s="1538">
        <v>2206.0239999999999</v>
      </c>
      <c r="F142" s="1538">
        <v>3243.9140000000002</v>
      </c>
      <c r="G142" s="1538">
        <v>4040.4659999999999</v>
      </c>
      <c r="H142" s="1538">
        <v>5295.7209999999995</v>
      </c>
      <c r="I142" s="1538">
        <v>6510.6399999999994</v>
      </c>
      <c r="J142" s="1538">
        <v>5808.8090000000002</v>
      </c>
      <c r="K142" s="1538">
        <v>6140.7650000000003</v>
      </c>
      <c r="L142" s="1538">
        <v>9374.1739999999991</v>
      </c>
      <c r="M142" s="1538">
        <v>9797.5929999999989</v>
      </c>
      <c r="N142" s="1538">
        <v>12416.134000000002</v>
      </c>
      <c r="O142" s="1538">
        <v>29771.596000000001</v>
      </c>
      <c r="P142" s="1538">
        <v>31842.427</v>
      </c>
      <c r="Q142" s="1538">
        <v>37995.140999999996</v>
      </c>
      <c r="R142" s="1538">
        <v>39659.257000000005</v>
      </c>
      <c r="S142" s="1538">
        <v>53060.121999999996</v>
      </c>
      <c r="T142" s="1538">
        <v>76412.247999999992</v>
      </c>
      <c r="U142" s="1538">
        <v>83437.343999999997</v>
      </c>
      <c r="V142" s="1538">
        <v>82977.561999999991</v>
      </c>
      <c r="W142" s="1538">
        <v>80469.322999999989</v>
      </c>
      <c r="X142" s="1538">
        <v>76997.020999999993</v>
      </c>
      <c r="Y142" s="1617">
        <v>79195.114762684243</v>
      </c>
      <c r="Z142" s="1617">
        <v>86306.897004687329</v>
      </c>
      <c r="AA142" s="1617">
        <v>94816.731617182842</v>
      </c>
      <c r="AB142" s="1617">
        <v>103488.04499899842</v>
      </c>
      <c r="AC142" s="1617">
        <v>109947.42549250158</v>
      </c>
      <c r="AD142" s="1617">
        <v>116613.17636621611</v>
      </c>
      <c r="AE142" s="1617">
        <v>123644.59879165031</v>
      </c>
      <c r="AF142" s="1617">
        <v>131114.02653662136</v>
      </c>
      <c r="AG142" s="1617">
        <v>140054.18304876547</v>
      </c>
      <c r="AH142" s="1617">
        <v>148553.51309121485</v>
      </c>
      <c r="AI142" s="1128"/>
      <c r="AJ142" s="1128">
        <v>0.24462695891982578</v>
      </c>
      <c r="AK142" s="1128">
        <f>IFERROR((W142/T142)^(1/3)-1,"NM")</f>
        <v>1.7393886587318219E-2</v>
      </c>
      <c r="AL142" s="1128">
        <f>IFERROR((AA142/Y142)^(1/2)-1,"NM")</f>
        <v>9.4191392846633137E-2</v>
      </c>
      <c r="AM142" s="1128">
        <f>IFERROR((AD142/R142)^(1/5)-1,"NM")</f>
        <v>0.24073950485918472</v>
      </c>
      <c r="AN142" s="1128">
        <f>IFERROR((AH142/X142)^(1/5)-1,"NM")</f>
        <v>0.14046457761029418</v>
      </c>
    </row>
    <row r="143" spans="1:40">
      <c r="A143" s="4"/>
      <c r="B143" s="1619"/>
      <c r="C143" s="1619"/>
      <c r="D143" s="1620"/>
      <c r="E143" s="1540"/>
      <c r="F143" s="1540"/>
      <c r="G143" s="1540"/>
      <c r="H143" s="1540"/>
      <c r="I143" s="1540"/>
      <c r="J143" s="1619"/>
      <c r="K143" s="1620"/>
      <c r="L143" s="1540"/>
      <c r="M143" s="1540"/>
      <c r="N143" s="1540"/>
      <c r="O143" s="1540"/>
      <c r="P143" s="1540"/>
      <c r="Q143" s="1540"/>
      <c r="R143" s="1540"/>
      <c r="S143" s="1540"/>
      <c r="T143" s="1540"/>
      <c r="U143" s="1540"/>
      <c r="V143" s="1540"/>
      <c r="W143" s="1540"/>
      <c r="X143" s="1540"/>
      <c r="Y143" s="1540"/>
      <c r="Z143" s="1540"/>
      <c r="AA143" s="1540"/>
      <c r="AB143" s="1540"/>
      <c r="AC143" s="1540"/>
      <c r="AD143" s="1540"/>
      <c r="AE143" s="1540"/>
      <c r="AF143" s="1540"/>
      <c r="AG143" s="1540"/>
      <c r="AH143" s="1540"/>
      <c r="AI143" s="508"/>
      <c r="AJ143" s="508"/>
      <c r="AK143" s="508"/>
      <c r="AL143" s="508"/>
      <c r="AM143" s="508"/>
      <c r="AN143" s="508"/>
    </row>
    <row r="144" spans="1:40" hidden="1"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</row>
    <row r="145" spans="1:40" hidden="1"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</row>
    <row r="146" spans="1:40" hidden="1"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</row>
    <row r="147" spans="1:40" hidden="1"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</row>
    <row r="148" spans="1:40" hidden="1"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</row>
    <row r="149" spans="1:40"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</row>
    <row r="150" spans="1:40">
      <c r="A150" s="1126" t="s">
        <v>668</v>
      </c>
      <c r="B150" s="1124">
        <v>2001</v>
      </c>
      <c r="C150" s="1124">
        <v>2002</v>
      </c>
      <c r="D150" s="1124">
        <v>2003</v>
      </c>
      <c r="E150" s="1124">
        <v>2004</v>
      </c>
      <c r="F150" s="1124">
        <v>2005</v>
      </c>
      <c r="G150" s="1124">
        <v>2006</v>
      </c>
      <c r="H150" s="1124">
        <v>2007</v>
      </c>
      <c r="I150" s="1124">
        <v>2008</v>
      </c>
      <c r="J150" s="1124">
        <v>2009</v>
      </c>
      <c r="K150" s="1124">
        <v>2010</v>
      </c>
      <c r="L150" s="1124">
        <v>2011</v>
      </c>
      <c r="M150" s="1124">
        <v>2012</v>
      </c>
      <c r="N150" s="1124">
        <v>2013</v>
      </c>
      <c r="O150" s="1124">
        <v>2014</v>
      </c>
      <c r="P150" s="1124">
        <v>2015</v>
      </c>
      <c r="Q150" s="1124">
        <v>2016</v>
      </c>
      <c r="R150" s="1124">
        <v>2017</v>
      </c>
      <c r="S150" s="1583">
        <v>2018</v>
      </c>
      <c r="T150" s="1583">
        <v>2019</v>
      </c>
      <c r="U150" s="1583">
        <v>2020</v>
      </c>
      <c r="V150" s="1583">
        <v>2021</v>
      </c>
      <c r="W150" s="1583">
        <v>2022</v>
      </c>
      <c r="X150" s="1583">
        <v>2023</v>
      </c>
      <c r="Y150" s="1445">
        <v>2024</v>
      </c>
      <c r="Z150" s="1445">
        <v>2025</v>
      </c>
      <c r="AA150" s="1445">
        <v>2026</v>
      </c>
      <c r="AB150" s="1445">
        <v>2027</v>
      </c>
      <c r="AC150" s="1445">
        <v>2028</v>
      </c>
      <c r="AD150" s="1445">
        <v>2029</v>
      </c>
      <c r="AE150" s="1445">
        <v>2030</v>
      </c>
      <c r="AF150" s="1445">
        <v>2031</v>
      </c>
      <c r="AG150" s="1445">
        <v>2032</v>
      </c>
      <c r="AH150" s="1445">
        <v>2033</v>
      </c>
      <c r="AI150" s="508"/>
      <c r="AJ150" s="508"/>
      <c r="AK150" s="508"/>
      <c r="AL150" s="508"/>
      <c r="AM150" s="508"/>
      <c r="AN150" s="508"/>
    </row>
    <row r="151" spans="1:40">
      <c r="A151" s="123" t="s">
        <v>40</v>
      </c>
      <c r="B151" s="1541">
        <v>31.013999999999928</v>
      </c>
      <c r="C151" s="1541">
        <v>148.92700000000005</v>
      </c>
      <c r="D151" s="1541">
        <v>128.14800000000005</v>
      </c>
      <c r="E151" s="1541">
        <v>154.60899999999998</v>
      </c>
      <c r="F151" s="1541">
        <v>281.49800000000027</v>
      </c>
      <c r="G151" s="1541">
        <v>222.17700000000085</v>
      </c>
      <c r="H151" s="1541">
        <v>478.43499999999983</v>
      </c>
      <c r="I151" s="1541">
        <v>128.779</v>
      </c>
      <c r="J151" s="1541">
        <v>103.74799999999944</v>
      </c>
      <c r="K151" s="1541">
        <v>151.22599999999986</v>
      </c>
      <c r="L151" s="1541">
        <v>209.6440000000004</v>
      </c>
      <c r="M151" s="1541">
        <v>366.56499999999937</v>
      </c>
      <c r="N151" s="1541">
        <v>681.01300000000026</v>
      </c>
      <c r="O151" s="1541">
        <v>666.66600000000017</v>
      </c>
      <c r="P151" s="1541">
        <v>981.20600000000036</v>
      </c>
      <c r="Q151" s="1541">
        <v>996.47199999999941</v>
      </c>
      <c r="R151" s="1541">
        <v>1089.4689999999996</v>
      </c>
      <c r="S151" s="1541">
        <v>953.25299999999902</v>
      </c>
      <c r="T151" s="1541">
        <v>926.66999999999916</v>
      </c>
      <c r="U151" s="1541">
        <v>-3186.0470000000023</v>
      </c>
      <c r="V151" s="1541">
        <v>835.12999999999909</v>
      </c>
      <c r="W151" s="1541">
        <v>1632.3349999999982</v>
      </c>
      <c r="X151" s="1541">
        <v>2930.7289999999966</v>
      </c>
      <c r="Y151" s="1621">
        <v>1849.0240059977882</v>
      </c>
      <c r="Z151" s="1621">
        <v>3294.5881362709642</v>
      </c>
      <c r="AA151" s="1621">
        <v>4304.3811835827946</v>
      </c>
      <c r="AB151" s="1621">
        <v>5424.3461349487798</v>
      </c>
      <c r="AC151" s="1621">
        <v>6110.9042548005682</v>
      </c>
      <c r="AD151" s="1621">
        <v>6670.7883791866425</v>
      </c>
      <c r="AE151" s="1621">
        <v>7221.752619986677</v>
      </c>
      <c r="AF151" s="1621">
        <v>7788.9167666684034</v>
      </c>
      <c r="AG151" s="1621">
        <v>8356.3813392438587</v>
      </c>
      <c r="AH151" s="1621">
        <v>8926.0597099888109</v>
      </c>
      <c r="AI151" s="508"/>
      <c r="AJ151" s="508"/>
      <c r="AK151" s="508"/>
      <c r="AL151" s="508"/>
      <c r="AM151" s="508"/>
      <c r="AN151" s="508"/>
    </row>
    <row r="152" spans="1:40">
      <c r="A152" s="725" t="s">
        <v>79</v>
      </c>
      <c r="B152" s="967">
        <v>111.178</v>
      </c>
      <c r="C152" s="967">
        <v>113.99299999999999</v>
      </c>
      <c r="D152" s="967">
        <v>161.46</v>
      </c>
      <c r="E152" s="967">
        <v>183.01</v>
      </c>
      <c r="F152" s="967">
        <v>210.93</v>
      </c>
      <c r="G152" s="967">
        <v>571.35799999999995</v>
      </c>
      <c r="H152" s="967">
        <v>437.25299999999999</v>
      </c>
      <c r="I152" s="967">
        <v>572.89</v>
      </c>
      <c r="J152" s="967">
        <v>665.16700000000003</v>
      </c>
      <c r="K152" s="967">
        <v>675.03300000000002</v>
      </c>
      <c r="L152" s="967">
        <v>723.85199999999998</v>
      </c>
      <c r="M152" s="967">
        <v>811.298</v>
      </c>
      <c r="N152" s="967">
        <v>923.12100000000009</v>
      </c>
      <c r="O152" s="967">
        <v>1333.32</v>
      </c>
      <c r="P152" s="967">
        <v>1947.8969999999999</v>
      </c>
      <c r="Q152" s="967">
        <v>2388.2350000000001</v>
      </c>
      <c r="R152" s="967">
        <v>2751.6759999999999</v>
      </c>
      <c r="S152" s="967">
        <v>3023.1880000000001</v>
      </c>
      <c r="T152" s="967">
        <v>4081.7860000000001</v>
      </c>
      <c r="U152" s="967">
        <v>4353.3639999999996</v>
      </c>
      <c r="V152" s="967">
        <v>3506.527</v>
      </c>
      <c r="W152" s="967">
        <v>3350.9949999999999</v>
      </c>
      <c r="X152" s="967">
        <v>3913.6039999999998</v>
      </c>
      <c r="Y152" s="1397">
        <v>4134.0526701829067</v>
      </c>
      <c r="Z152" s="1397">
        <v>4568.177454425906</v>
      </c>
      <c r="AA152" s="1397">
        <v>4854.2276496088361</v>
      </c>
      <c r="AB152" s="1397">
        <v>5114.7083778290817</v>
      </c>
      <c r="AC152" s="1397">
        <v>5490.0922959703676</v>
      </c>
      <c r="AD152" s="1397">
        <v>6200.8336810934443</v>
      </c>
      <c r="AE152" s="1397">
        <v>6976.0363940141951</v>
      </c>
      <c r="AF152" s="1397">
        <v>7799.5545837345999</v>
      </c>
      <c r="AG152" s="1397">
        <v>8699.7247013018659</v>
      </c>
      <c r="AH152" s="1397">
        <v>9670.6984151549241</v>
      </c>
      <c r="AI152" s="508"/>
      <c r="AJ152" s="508"/>
      <c r="AK152" s="508"/>
      <c r="AL152" s="508"/>
      <c r="AM152" s="508"/>
      <c r="AN152" s="508"/>
    </row>
    <row r="153" spans="1:40">
      <c r="A153" s="725" t="s">
        <v>1523</v>
      </c>
      <c r="B153" s="438">
        <v>-0.12199999999992883</v>
      </c>
      <c r="C153" s="438">
        <v>0.91099999999994452</v>
      </c>
      <c r="D153" s="438">
        <v>63.397999999999939</v>
      </c>
      <c r="E153" s="438">
        <v>28.021999999999991</v>
      </c>
      <c r="F153" s="438">
        <v>-55.706000000000245</v>
      </c>
      <c r="G153" s="438">
        <v>-123.64300000000085</v>
      </c>
      <c r="H153" s="438">
        <v>-98.70599999999979</v>
      </c>
      <c r="I153" s="438">
        <v>318.32500000000005</v>
      </c>
      <c r="J153" s="438">
        <v>93.598000000000582</v>
      </c>
      <c r="K153" s="438">
        <v>136.01900000000015</v>
      </c>
      <c r="L153" s="438">
        <v>-1895.2460000000005</v>
      </c>
      <c r="M153" s="438">
        <v>2855.1200000000008</v>
      </c>
      <c r="N153" s="438">
        <v>244.02099999999976</v>
      </c>
      <c r="O153" s="438">
        <v>370.17999999999972</v>
      </c>
      <c r="P153" s="438">
        <v>780.76999999999964</v>
      </c>
      <c r="Q153" s="438">
        <v>565.41100000000051</v>
      </c>
      <c r="R153" s="438">
        <v>-196.6179999999994</v>
      </c>
      <c r="S153" s="438">
        <v>1096.5500000000006</v>
      </c>
      <c r="T153" s="438">
        <v>1232.0650000000005</v>
      </c>
      <c r="U153" s="438">
        <v>4081.826</v>
      </c>
      <c r="V153" s="438">
        <v>4671.8019999999997</v>
      </c>
      <c r="W153" s="438">
        <v>4357.3019999999997</v>
      </c>
      <c r="X153" s="438">
        <v>4146.4250000000002</v>
      </c>
      <c r="Y153" s="447">
        <v>4231.5097258061842</v>
      </c>
      <c r="Z153" s="447">
        <v>4500.9844042994919</v>
      </c>
      <c r="AA153" s="447">
        <v>4751.343203550302</v>
      </c>
      <c r="AB153" s="447">
        <v>5021.8746427819706</v>
      </c>
      <c r="AC153" s="447">
        <v>5284.0423742478088</v>
      </c>
      <c r="AD153" s="447">
        <v>5526.6499283875128</v>
      </c>
      <c r="AE153" s="447">
        <v>5807.6095814216715</v>
      </c>
      <c r="AF153" s="447">
        <v>6117.0204012327104</v>
      </c>
      <c r="AG153" s="447">
        <v>6466.0634346373181</v>
      </c>
      <c r="AH153" s="447">
        <v>6850.250716106425</v>
      </c>
      <c r="AI153" s="508"/>
      <c r="AJ153" s="508"/>
      <c r="AK153" s="508"/>
      <c r="AL153" s="508"/>
      <c r="AM153" s="508"/>
      <c r="AN153" s="508"/>
    </row>
    <row r="154" spans="1:40">
      <c r="A154" s="725" t="s">
        <v>198</v>
      </c>
      <c r="B154" s="438">
        <v>79.549000000000007</v>
      </c>
      <c r="C154" s="438">
        <v>134.40600000000001</v>
      </c>
      <c r="D154" s="438">
        <v>-127.19</v>
      </c>
      <c r="E154" s="438">
        <v>69.669000000000011</v>
      </c>
      <c r="F154" s="438">
        <v>-99.646000000000001</v>
      </c>
      <c r="G154" s="438">
        <v>279.66800000000001</v>
      </c>
      <c r="H154" s="438">
        <v>-212.05200000000005</v>
      </c>
      <c r="I154" s="438">
        <v>-40.324999999999989</v>
      </c>
      <c r="J154" s="438">
        <v>302.99300000000005</v>
      </c>
      <c r="K154" s="438">
        <v>-77.469000000000008</v>
      </c>
      <c r="L154" s="438">
        <v>22.838999999999942</v>
      </c>
      <c r="M154" s="438">
        <v>-349.32</v>
      </c>
      <c r="N154" s="438">
        <v>-290.34099999999995</v>
      </c>
      <c r="O154" s="438">
        <v>71.646000000000043</v>
      </c>
      <c r="P154" s="438">
        <v>-128.899</v>
      </c>
      <c r="Q154" s="438">
        <v>1044.1950000000002</v>
      </c>
      <c r="R154" s="438">
        <v>-371.01099999999997</v>
      </c>
      <c r="S154" s="438">
        <v>843.87400000000002</v>
      </c>
      <c r="T154" s="438">
        <v>347.36900000000003</v>
      </c>
      <c r="U154" s="438">
        <v>-1772.485999999999</v>
      </c>
      <c r="V154" s="438">
        <v>2483.4550000000013</v>
      </c>
      <c r="W154" s="438">
        <v>1631.2390000000016</v>
      </c>
      <c r="X154" s="438">
        <v>443.18800000000329</v>
      </c>
      <c r="Y154" s="447">
        <v>-734.24809137255431</v>
      </c>
      <c r="Z154" s="447">
        <v>674.6335650040005</v>
      </c>
      <c r="AA154" s="447">
        <v>621.66246352631197</v>
      </c>
      <c r="AB154" s="447">
        <v>617.57000948664336</v>
      </c>
      <c r="AC154" s="447">
        <v>666.65249986869867</v>
      </c>
      <c r="AD154" s="447">
        <v>577.68070546453646</v>
      </c>
      <c r="AE154" s="447">
        <v>593.71810385417302</v>
      </c>
      <c r="AF154" s="447">
        <v>624.2218733437644</v>
      </c>
      <c r="AG154" s="447">
        <v>659.77111807159145</v>
      </c>
      <c r="AH154" s="447">
        <v>681.9724041053787</v>
      </c>
      <c r="AI154" s="508"/>
      <c r="AJ154" s="508"/>
      <c r="AK154" s="508"/>
      <c r="AL154" s="508"/>
      <c r="AM154" s="508"/>
      <c r="AN154" s="508"/>
    </row>
    <row r="155" spans="1:40">
      <c r="A155" s="115" t="s">
        <v>81</v>
      </c>
      <c r="B155" s="985">
        <v>221.619</v>
      </c>
      <c r="C155" s="985">
        <v>398.23700000000002</v>
      </c>
      <c r="D155" s="985">
        <v>225.81599999999997</v>
      </c>
      <c r="E155" s="985">
        <v>435.30999999999995</v>
      </c>
      <c r="F155" s="985">
        <v>337.07600000000002</v>
      </c>
      <c r="G155" s="985">
        <v>949.56</v>
      </c>
      <c r="H155" s="985">
        <v>604.93000000000006</v>
      </c>
      <c r="I155" s="985">
        <v>979.6690000000001</v>
      </c>
      <c r="J155" s="985">
        <v>1165.5060000000003</v>
      </c>
      <c r="K155" s="985">
        <v>884.80899999999997</v>
      </c>
      <c r="L155" s="985">
        <v>-938.91100000000029</v>
      </c>
      <c r="M155" s="985">
        <v>3683.663</v>
      </c>
      <c r="N155" s="985">
        <v>1557.8140000000003</v>
      </c>
      <c r="O155" s="985">
        <v>2441.8119999999999</v>
      </c>
      <c r="P155" s="985">
        <v>3580.9739999999997</v>
      </c>
      <c r="Q155" s="985">
        <v>4994.3130000000001</v>
      </c>
      <c r="R155" s="985">
        <v>3273.5160000000001</v>
      </c>
      <c r="S155" s="985">
        <v>5916.8649999999998</v>
      </c>
      <c r="T155" s="985">
        <v>6587.8899999999994</v>
      </c>
      <c r="U155" s="985">
        <v>3476.6569999999983</v>
      </c>
      <c r="V155" s="985">
        <v>11496.914000000001</v>
      </c>
      <c r="W155" s="985">
        <v>10971.870999999999</v>
      </c>
      <c r="X155" s="985">
        <v>11433.946000000002</v>
      </c>
      <c r="Y155" s="1566">
        <v>9480.3383106143247</v>
      </c>
      <c r="Z155" s="1566">
        <v>13038.383560000362</v>
      </c>
      <c r="AA155" s="1566">
        <v>14531.614500268244</v>
      </c>
      <c r="AB155" s="1566">
        <v>16178.499165046476</v>
      </c>
      <c r="AC155" s="1566">
        <v>17551.691424887442</v>
      </c>
      <c r="AD155" s="1566">
        <v>18975.952694132135</v>
      </c>
      <c r="AE155" s="1566">
        <v>20599.116699276718</v>
      </c>
      <c r="AF155" s="1566">
        <v>22329.713624979482</v>
      </c>
      <c r="AG155" s="1566">
        <v>24181.940593254636</v>
      </c>
      <c r="AH155" s="1566">
        <v>26128.981245355539</v>
      </c>
      <c r="AI155" s="508"/>
      <c r="AJ155" s="508"/>
      <c r="AK155" s="508"/>
      <c r="AL155" s="508"/>
      <c r="AM155" s="508"/>
      <c r="AN155" s="508"/>
    </row>
    <row r="156" spans="1:40">
      <c r="A156" s="726" t="s">
        <v>42</v>
      </c>
      <c r="B156" s="967">
        <v>-43.343000000000004</v>
      </c>
      <c r="C156" s="967">
        <v>-10.760999999999999</v>
      </c>
      <c r="D156" s="967">
        <v>-46.585000000000001</v>
      </c>
      <c r="E156" s="967">
        <v>-78.266999999999996</v>
      </c>
      <c r="F156" s="967">
        <v>-104.13</v>
      </c>
      <c r="G156" s="967">
        <v>-167.67699999999999</v>
      </c>
      <c r="H156" s="967">
        <v>-67.84</v>
      </c>
      <c r="I156" s="967">
        <v>0</v>
      </c>
      <c r="J156" s="967">
        <v>-41.834000000000003</v>
      </c>
      <c r="K156" s="967">
        <v>-245.958</v>
      </c>
      <c r="L156" s="967">
        <v>-122.648</v>
      </c>
      <c r="M156" s="967">
        <v>0</v>
      </c>
      <c r="N156" s="967">
        <v>-343.87799999999999</v>
      </c>
      <c r="O156" s="967">
        <v>0</v>
      </c>
      <c r="P156" s="967">
        <v>-419.173</v>
      </c>
      <c r="Q156" s="967">
        <v>-644.77099999999996</v>
      </c>
      <c r="R156" s="967">
        <v>-719.39800000000002</v>
      </c>
      <c r="S156" s="967">
        <v>-720.14400000000001</v>
      </c>
      <c r="T156" s="967">
        <v>0</v>
      </c>
      <c r="U156" s="967">
        <v>0</v>
      </c>
      <c r="V156" s="967">
        <v>0</v>
      </c>
      <c r="W156" s="967">
        <v>0</v>
      </c>
      <c r="X156" s="967">
        <v>0</v>
      </c>
      <c r="Y156" s="1397">
        <v>-978.01700000000005</v>
      </c>
      <c r="Z156" s="1397">
        <v>-814.74728553763475</v>
      </c>
      <c r="AA156" s="1397">
        <v>-1117.4317574245395</v>
      </c>
      <c r="AB156" s="1397">
        <v>-1572.8020418100132</v>
      </c>
      <c r="AC156" s="1397">
        <v>-1757.1435716411877</v>
      </c>
      <c r="AD156" s="1397">
        <v>-1933.7901427683444</v>
      </c>
      <c r="AE156" s="1397">
        <v>-2100.0451449130769</v>
      </c>
      <c r="AF156" s="1397">
        <v>-2268.1153656551105</v>
      </c>
      <c r="AG156" s="1397">
        <v>-2438.3159106098969</v>
      </c>
      <c r="AH156" s="1397">
        <v>-2608.9054362392585</v>
      </c>
      <c r="AI156" s="508"/>
      <c r="AJ156" s="508"/>
      <c r="AK156" s="508"/>
      <c r="AL156" s="508"/>
      <c r="AM156" s="508"/>
      <c r="AN156" s="508"/>
    </row>
    <row r="157" spans="1:40">
      <c r="A157" s="727" t="s">
        <v>82</v>
      </c>
      <c r="B157" s="967">
        <v>-123.169</v>
      </c>
      <c r="C157" s="967">
        <v>-234.94300000000004</v>
      </c>
      <c r="D157" s="967">
        <v>-164.846</v>
      </c>
      <c r="E157" s="967">
        <v>-526.36199999999997</v>
      </c>
      <c r="F157" s="967">
        <v>-874.95</v>
      </c>
      <c r="G157" s="967">
        <v>-1117.8700000000001</v>
      </c>
      <c r="H157" s="967">
        <v>-1091.8439999999998</v>
      </c>
      <c r="I157" s="967">
        <v>-1094.98</v>
      </c>
      <c r="J157" s="967">
        <v>-554.76100000000019</v>
      </c>
      <c r="K157" s="967">
        <v>-761.947</v>
      </c>
      <c r="L157" s="967">
        <v>-1255.009</v>
      </c>
      <c r="M157" s="967">
        <v>-2751.0480000000002</v>
      </c>
      <c r="N157" s="967">
        <v>-3202.7510000000002</v>
      </c>
      <c r="O157" s="967">
        <v>-12410.406999999999</v>
      </c>
      <c r="P157" s="967">
        <v>-3439.192</v>
      </c>
      <c r="Q157" s="967">
        <v>-5038.588999999999</v>
      </c>
      <c r="R157" s="967">
        <v>-3274.3160000000007</v>
      </c>
      <c r="S157" s="967">
        <v>-17497.725999999999</v>
      </c>
      <c r="T157" s="967">
        <v>-4828.8850000000002</v>
      </c>
      <c r="U157" s="967">
        <v>-1779.9180000000001</v>
      </c>
      <c r="V157" s="967">
        <v>-2541.7869999999998</v>
      </c>
      <c r="W157" s="967">
        <v>-4223.424</v>
      </c>
      <c r="X157" s="967">
        <v>-4739.5130000000008</v>
      </c>
      <c r="Y157" s="1397">
        <v>-5951.9994978732948</v>
      </c>
      <c r="Z157" s="1397">
        <v>-6032.5934403559986</v>
      </c>
      <c r="AA157" s="1397">
        <v>-6089.3202823513848</v>
      </c>
      <c r="AB157" s="1397">
        <v>-6326.138927601075</v>
      </c>
      <c r="AC157" s="1397">
        <v>-6963.0164365082765</v>
      </c>
      <c r="AD157" s="1397">
        <v>-7655.9727423404211</v>
      </c>
      <c r="AE157" s="1397">
        <v>-8191.7363875535302</v>
      </c>
      <c r="AF157" s="1397">
        <v>-8995.9847618201729</v>
      </c>
      <c r="AG157" s="1397">
        <v>-9871.580761410818</v>
      </c>
      <c r="AH157" s="1397">
        <v>-10578.814361364002</v>
      </c>
      <c r="AI157" s="508"/>
      <c r="AJ157" s="508"/>
      <c r="AK157" s="508"/>
      <c r="AL157" s="508"/>
      <c r="AM157" s="508"/>
      <c r="AN157" s="508"/>
    </row>
    <row r="158" spans="1:40">
      <c r="A158" s="727" t="s">
        <v>83</v>
      </c>
      <c r="B158" s="438">
        <v>-4.1900000000000004</v>
      </c>
      <c r="C158" s="438">
        <v>14.678000000000001</v>
      </c>
      <c r="D158" s="438">
        <v>2.5609999999999999</v>
      </c>
      <c r="E158" s="438">
        <v>191.41500000000002</v>
      </c>
      <c r="F158" s="438">
        <v>26.544</v>
      </c>
      <c r="G158" s="438">
        <v>741.04399999999998</v>
      </c>
      <c r="H158" s="438">
        <v>-15.052999999999997</v>
      </c>
      <c r="I158" s="438">
        <v>-125.748</v>
      </c>
      <c r="J158" s="438">
        <v>-118.035</v>
      </c>
      <c r="K158" s="438">
        <v>62.094999999999999</v>
      </c>
      <c r="L158" s="438">
        <v>27.172999999999995</v>
      </c>
      <c r="M158" s="438">
        <v>186.226</v>
      </c>
      <c r="N158" s="438">
        <v>5.07</v>
      </c>
      <c r="O158" s="438">
        <v>6613.2640000000001</v>
      </c>
      <c r="P158" s="438">
        <v>-13.844999999999999</v>
      </c>
      <c r="Q158" s="438">
        <v>-199.00200000000001</v>
      </c>
      <c r="R158" s="438">
        <v>-60.576999999999991</v>
      </c>
      <c r="S158" s="438">
        <v>221.19499999999999</v>
      </c>
      <c r="T158" s="438">
        <v>227.923</v>
      </c>
      <c r="U158" s="438">
        <v>4.4850000000000136</v>
      </c>
      <c r="V158" s="438">
        <v>0</v>
      </c>
      <c r="W158" s="438">
        <v>-729.08699999999999</v>
      </c>
      <c r="X158" s="438">
        <v>-348.23700000000002</v>
      </c>
      <c r="Y158" s="447">
        <v>356.35599999999999</v>
      </c>
      <c r="Z158" s="447">
        <v>0</v>
      </c>
      <c r="AA158" s="447">
        <v>0</v>
      </c>
      <c r="AB158" s="447">
        <v>0</v>
      </c>
      <c r="AC158" s="447">
        <v>0</v>
      </c>
      <c r="AD158" s="447">
        <v>0</v>
      </c>
      <c r="AE158" s="447">
        <v>0</v>
      </c>
      <c r="AF158" s="447">
        <v>0</v>
      </c>
      <c r="AG158" s="447">
        <v>0</v>
      </c>
      <c r="AH158" s="447">
        <v>0</v>
      </c>
      <c r="AI158" s="508"/>
      <c r="AJ158" s="508"/>
      <c r="AK158" s="508"/>
      <c r="AL158" s="508"/>
      <c r="AM158" s="508"/>
      <c r="AN158" s="508"/>
    </row>
    <row r="159" spans="1:40">
      <c r="A159" s="728" t="s">
        <v>80</v>
      </c>
      <c r="B159" s="438">
        <v>33.78</v>
      </c>
      <c r="C159" s="438">
        <v>-3.4000000000000002E-2</v>
      </c>
      <c r="D159" s="438">
        <v>0</v>
      </c>
      <c r="E159" s="438">
        <v>0</v>
      </c>
      <c r="F159" s="438">
        <v>0</v>
      </c>
      <c r="G159" s="438">
        <v>0</v>
      </c>
      <c r="H159" s="438">
        <v>0</v>
      </c>
      <c r="I159" s="438">
        <v>-46.424000000000007</v>
      </c>
      <c r="J159" s="438">
        <v>-38.065999999999988</v>
      </c>
      <c r="K159" s="438">
        <v>-57.430999999999997</v>
      </c>
      <c r="L159" s="438">
        <v>-76.904999999999987</v>
      </c>
      <c r="M159" s="438">
        <v>733.64499999999998</v>
      </c>
      <c r="N159" s="438">
        <v>-854.71499999999992</v>
      </c>
      <c r="O159" s="438">
        <v>-18.565999999999999</v>
      </c>
      <c r="P159" s="438">
        <v>-18.462</v>
      </c>
      <c r="Q159" s="438">
        <v>-116.83200000000002</v>
      </c>
      <c r="R159" s="438">
        <v>38.690999999999995</v>
      </c>
      <c r="S159" s="438">
        <v>1295.4759999999999</v>
      </c>
      <c r="T159" s="438">
        <v>-1753.6409999999998</v>
      </c>
      <c r="U159" s="438">
        <v>-253.41799999999992</v>
      </c>
      <c r="V159" s="438">
        <v>-745.85900000000004</v>
      </c>
      <c r="W159" s="438">
        <v>-1208.6290000000001</v>
      </c>
      <c r="X159" s="438">
        <v>-2930.3290000000006</v>
      </c>
      <c r="Y159" s="447">
        <v>-3046.6060000000002</v>
      </c>
      <c r="Z159" s="447">
        <v>-824.56</v>
      </c>
      <c r="AA159" s="447">
        <v>0</v>
      </c>
      <c r="AB159" s="447">
        <v>0</v>
      </c>
      <c r="AC159" s="447">
        <v>0</v>
      </c>
      <c r="AD159" s="447">
        <v>0</v>
      </c>
      <c r="AE159" s="447">
        <v>0</v>
      </c>
      <c r="AF159" s="447">
        <v>0</v>
      </c>
      <c r="AG159" s="447">
        <v>0</v>
      </c>
      <c r="AH159" s="447">
        <v>0</v>
      </c>
      <c r="AI159" s="508"/>
      <c r="AJ159" s="508"/>
      <c r="AK159" s="508"/>
      <c r="AL159" s="508"/>
      <c r="AM159" s="508"/>
      <c r="AN159" s="508"/>
    </row>
    <row r="160" spans="1:40">
      <c r="A160" s="113" t="s">
        <v>206</v>
      </c>
      <c r="B160" s="985">
        <v>84.697000000000017</v>
      </c>
      <c r="C160" s="985">
        <v>167.17699999999996</v>
      </c>
      <c r="D160" s="985">
        <v>16.945999999999962</v>
      </c>
      <c r="E160" s="985">
        <v>22.096000000000004</v>
      </c>
      <c r="F160" s="985">
        <v>-615.46</v>
      </c>
      <c r="G160" s="985">
        <v>405.05699999999979</v>
      </c>
      <c r="H160" s="985">
        <v>-569.80699999999979</v>
      </c>
      <c r="I160" s="985">
        <v>-287.48299999999995</v>
      </c>
      <c r="J160" s="985">
        <v>412.81000000000012</v>
      </c>
      <c r="K160" s="985">
        <v>-118.432</v>
      </c>
      <c r="L160" s="985">
        <v>-2366.3000000000006</v>
      </c>
      <c r="M160" s="985">
        <v>1852.4859999999999</v>
      </c>
      <c r="N160" s="985">
        <v>-2838.46</v>
      </c>
      <c r="O160" s="985">
        <v>-3373.896999999999</v>
      </c>
      <c r="P160" s="985">
        <v>-309.69800000000055</v>
      </c>
      <c r="Q160" s="985">
        <v>-1004.8809999999986</v>
      </c>
      <c r="R160" s="985">
        <v>-742.08400000000074</v>
      </c>
      <c r="S160" s="985">
        <v>-10784.333999999999</v>
      </c>
      <c r="T160" s="985">
        <v>233.28699999999935</v>
      </c>
      <c r="U160" s="985">
        <v>1447.8059999999984</v>
      </c>
      <c r="V160" s="985">
        <v>8209.268</v>
      </c>
      <c r="W160" s="985">
        <v>4810.7309999999989</v>
      </c>
      <c r="X160" s="985">
        <v>3415.8670000000002</v>
      </c>
      <c r="Y160" s="1566">
        <v>-139.92818725897041</v>
      </c>
      <c r="Z160" s="1566">
        <v>5366.4828341067296</v>
      </c>
      <c r="AA160" s="1566">
        <v>7324.8624604923198</v>
      </c>
      <c r="AB160" s="1566">
        <v>8279.558195635389</v>
      </c>
      <c r="AC160" s="1566">
        <v>8831.5314167379784</v>
      </c>
      <c r="AD160" s="1566">
        <v>9386.1898090233699</v>
      </c>
      <c r="AE160" s="1566">
        <v>10307.33516681011</v>
      </c>
      <c r="AF160" s="1566">
        <v>11065.613497504199</v>
      </c>
      <c r="AG160" s="1566">
        <v>11872.043921233921</v>
      </c>
      <c r="AH160" s="1566">
        <v>12941.261447752277</v>
      </c>
      <c r="AI160" s="508"/>
      <c r="AJ160" s="508"/>
      <c r="AK160" s="508"/>
      <c r="AL160" s="508"/>
      <c r="AM160" s="508"/>
      <c r="AN160" s="508"/>
    </row>
    <row r="161" spans="1:40">
      <c r="A161" s="1411" t="s">
        <v>918</v>
      </c>
      <c r="B161" s="438">
        <v>-93.914000000000001</v>
      </c>
      <c r="C161" s="438">
        <v>-60.65</v>
      </c>
      <c r="D161" s="438">
        <v>-28.98</v>
      </c>
      <c r="E161" s="438">
        <v>-87.554000000000002</v>
      </c>
      <c r="F161" s="438">
        <v>627.36</v>
      </c>
      <c r="G161" s="438">
        <v>-332.04700000000003</v>
      </c>
      <c r="H161" s="438">
        <v>536.17399999999998</v>
      </c>
      <c r="I161" s="438">
        <v>739.92899999999997</v>
      </c>
      <c r="J161" s="438">
        <v>-488.07600000000002</v>
      </c>
      <c r="K161" s="438">
        <v>295.42099999999999</v>
      </c>
      <c r="L161" s="438">
        <v>2465.4760000000001</v>
      </c>
      <c r="M161" s="438">
        <v>-1659.2719999999999</v>
      </c>
      <c r="N161" s="438">
        <v>2569.136</v>
      </c>
      <c r="O161" s="438">
        <v>4188.07</v>
      </c>
      <c r="P161" s="438">
        <v>882.57999999999993</v>
      </c>
      <c r="Q161" s="438">
        <v>2356.9089999999997</v>
      </c>
      <c r="R161" s="438">
        <v>-265.35500000000002</v>
      </c>
      <c r="S161" s="438">
        <v>11231.788</v>
      </c>
      <c r="T161" s="438">
        <v>404.24599999999987</v>
      </c>
      <c r="U161" s="438">
        <v>5347.3440000000001</v>
      </c>
      <c r="V161" s="438">
        <v>275.26300000000015</v>
      </c>
      <c r="W161" s="438">
        <v>-2152.7870000000003</v>
      </c>
      <c r="X161" s="438">
        <v>566.35699999999997</v>
      </c>
      <c r="Y161" s="447">
        <v>2955.9718166252323</v>
      </c>
      <c r="Z161" s="447">
        <v>3659.1987338251547</v>
      </c>
      <c r="AA161" s="447">
        <v>3586.8191181181646</v>
      </c>
      <c r="AB161" s="447">
        <v>3159.6952341434467</v>
      </c>
      <c r="AC161" s="447">
        <v>372.15226457853095</v>
      </c>
      <c r="AD161" s="447">
        <v>375.49231073177918</v>
      </c>
      <c r="AE161" s="447">
        <v>378.86233361596589</v>
      </c>
      <c r="AF161" s="447">
        <v>382.26260227061437</v>
      </c>
      <c r="AG161" s="447">
        <v>1388.985674506313</v>
      </c>
      <c r="AH161" s="447">
        <v>549.52511344076925</v>
      </c>
      <c r="AI161" s="508"/>
      <c r="AJ161" s="508"/>
      <c r="AK161" s="508"/>
      <c r="AL161" s="508"/>
      <c r="AM161" s="508"/>
      <c r="AN161" s="508"/>
    </row>
    <row r="162" spans="1:40">
      <c r="A162" s="1411" t="s">
        <v>1267</v>
      </c>
      <c r="B162" s="438"/>
      <c r="C162" s="438"/>
      <c r="D162" s="438"/>
      <c r="E162" s="438"/>
      <c r="F162" s="438"/>
      <c r="G162" s="438"/>
      <c r="H162" s="438"/>
      <c r="I162" s="438"/>
      <c r="J162" s="438"/>
      <c r="K162" s="438"/>
      <c r="L162" s="438"/>
      <c r="M162" s="438"/>
      <c r="N162" s="438"/>
      <c r="O162" s="438">
        <v>0</v>
      </c>
      <c r="P162" s="438">
        <v>0</v>
      </c>
      <c r="Q162" s="438">
        <v>0</v>
      </c>
      <c r="R162" s="438">
        <v>0</v>
      </c>
      <c r="S162" s="438">
        <v>0</v>
      </c>
      <c r="T162" s="438">
        <v>0</v>
      </c>
      <c r="U162" s="438">
        <v>-4310.0410000000002</v>
      </c>
      <c r="V162" s="438">
        <v>-5738.4549999999999</v>
      </c>
      <c r="W162" s="438">
        <v>-4388.6689999999999</v>
      </c>
      <c r="X162" s="438">
        <v>-5130</v>
      </c>
      <c r="Y162" s="447">
        <v>-4256.5223527938924</v>
      </c>
      <c r="Z162" s="447">
        <v>-4889.8069534666156</v>
      </c>
      <c r="AA162" s="447">
        <v>-5333.2670970137215</v>
      </c>
      <c r="AB162" s="447">
        <v>-5670.0845609951484</v>
      </c>
      <c r="AC162" s="447">
        <v>-5776.0074547556815</v>
      </c>
      <c r="AD162" s="447">
        <v>-6210.5906528973246</v>
      </c>
      <c r="AE162" s="447">
        <v>-6665.6217130373443</v>
      </c>
      <c r="AF162" s="447">
        <v>-7145.6162153586592</v>
      </c>
      <c r="AG162" s="447">
        <v>-7653.3915485388497</v>
      </c>
      <c r="AH162" s="447">
        <v>-8188.5703383157852</v>
      </c>
      <c r="AI162" s="508"/>
      <c r="AJ162" s="508"/>
      <c r="AK162" s="508"/>
      <c r="AL162" s="508"/>
      <c r="AM162" s="508"/>
      <c r="AN162" s="508"/>
    </row>
    <row r="163" spans="1:40">
      <c r="A163" s="113" t="s">
        <v>919</v>
      </c>
      <c r="B163" s="985">
        <v>-9.2169999999999845</v>
      </c>
      <c r="C163" s="985">
        <v>106.52699999999996</v>
      </c>
      <c r="D163" s="985">
        <v>-12.034000000000038</v>
      </c>
      <c r="E163" s="985">
        <v>-65.457999999999998</v>
      </c>
      <c r="F163" s="985">
        <v>11.899999999999977</v>
      </c>
      <c r="G163" s="985">
        <v>73.009999999999764</v>
      </c>
      <c r="H163" s="985">
        <v>-33.632999999999811</v>
      </c>
      <c r="I163" s="985">
        <v>452.44600000000003</v>
      </c>
      <c r="J163" s="985">
        <v>-75.265999999999906</v>
      </c>
      <c r="K163" s="985">
        <v>176.98899999999998</v>
      </c>
      <c r="L163" s="985">
        <v>99.175999999999476</v>
      </c>
      <c r="M163" s="985">
        <v>193.21399999999994</v>
      </c>
      <c r="N163" s="985">
        <v>-269.32400000000007</v>
      </c>
      <c r="O163" s="985">
        <v>814.17300000000068</v>
      </c>
      <c r="P163" s="985">
        <v>572.88199999999938</v>
      </c>
      <c r="Q163" s="985">
        <v>1352.0280000000012</v>
      </c>
      <c r="R163" s="985">
        <v>-1007.4390000000008</v>
      </c>
      <c r="S163" s="985">
        <v>447.45400000000154</v>
      </c>
      <c r="T163" s="985">
        <v>637.53299999999922</v>
      </c>
      <c r="U163" s="985">
        <v>2485.1089999999986</v>
      </c>
      <c r="V163" s="985">
        <v>2746.0760000000009</v>
      </c>
      <c r="W163" s="985">
        <v>-1730.7250000000013</v>
      </c>
      <c r="X163" s="985">
        <v>-1147.7759999999998</v>
      </c>
      <c r="Y163" s="1566">
        <v>-1440.4787234276305</v>
      </c>
      <c r="Z163" s="1566">
        <v>4135.8746144652687</v>
      </c>
      <c r="AA163" s="1566">
        <v>5578.4144815967638</v>
      </c>
      <c r="AB163" s="1566">
        <v>5769.1688687836868</v>
      </c>
      <c r="AC163" s="1566">
        <v>3427.6762265608286</v>
      </c>
      <c r="AD163" s="1566">
        <v>3551.0914668578243</v>
      </c>
      <c r="AE163" s="1566">
        <v>4020.5757873887305</v>
      </c>
      <c r="AF163" s="1566">
        <v>4302.259884416153</v>
      </c>
      <c r="AG163" s="1566">
        <v>5607.6380472013843</v>
      </c>
      <c r="AH163" s="1566">
        <v>5302.2162228772613</v>
      </c>
      <c r="AI163" s="508"/>
      <c r="AJ163" s="508"/>
      <c r="AK163" s="508"/>
      <c r="AL163" s="508"/>
      <c r="AM163" s="508"/>
      <c r="AN163" s="508"/>
    </row>
    <row r="164" spans="1:40">
      <c r="A164" s="95"/>
      <c r="B164" s="1536"/>
      <c r="C164" s="1536"/>
      <c r="D164" s="1536"/>
      <c r="E164" s="1536"/>
      <c r="F164" s="1536"/>
      <c r="G164" s="1542"/>
      <c r="H164" s="1542"/>
      <c r="I164" s="1542"/>
      <c r="J164" s="1542"/>
      <c r="K164" s="1542"/>
      <c r="L164" s="1542"/>
      <c r="M164" s="1542"/>
      <c r="N164" s="1542"/>
      <c r="O164" s="1542"/>
      <c r="P164" s="1542"/>
      <c r="Q164" s="1542"/>
      <c r="R164" s="1542"/>
      <c r="S164" s="1542"/>
      <c r="T164" s="1622"/>
      <c r="U164" s="1622"/>
      <c r="V164" s="1622"/>
      <c r="W164" s="1622"/>
      <c r="X164" s="1622"/>
      <c r="Y164" s="1622"/>
      <c r="Z164" s="1622"/>
      <c r="AA164" s="1622"/>
      <c r="AB164" s="1622"/>
      <c r="AC164" s="1622"/>
      <c r="AD164" s="1622"/>
      <c r="AE164" s="1622"/>
      <c r="AF164" s="1622"/>
      <c r="AG164" s="1622"/>
      <c r="AH164" s="1622"/>
      <c r="AI164" s="1410"/>
      <c r="AJ164" s="1410"/>
      <c r="AK164" s="1410"/>
      <c r="AL164" s="1410"/>
      <c r="AM164" s="1410"/>
      <c r="AN164" s="1410"/>
    </row>
    <row r="165" spans="1:40">
      <c r="A165" s="1126" t="s">
        <v>669</v>
      </c>
      <c r="B165" s="1124">
        <v>2001</v>
      </c>
      <c r="C165" s="1124">
        <v>2002</v>
      </c>
      <c r="D165" s="1124">
        <v>2003</v>
      </c>
      <c r="E165" s="1124">
        <v>2004</v>
      </c>
      <c r="F165" s="1124">
        <v>2005</v>
      </c>
      <c r="G165" s="1124">
        <v>2006</v>
      </c>
      <c r="H165" s="1124">
        <v>2007</v>
      </c>
      <c r="I165" s="1124">
        <v>2008</v>
      </c>
      <c r="J165" s="1124">
        <v>2009</v>
      </c>
      <c r="K165" s="1124">
        <v>2010</v>
      </c>
      <c r="L165" s="1124">
        <v>2011</v>
      </c>
      <c r="M165" s="1124">
        <v>2012</v>
      </c>
      <c r="N165" s="1124">
        <v>2013</v>
      </c>
      <c r="O165" s="1124">
        <v>2014</v>
      </c>
      <c r="P165" s="1124">
        <v>2015</v>
      </c>
      <c r="Q165" s="1124">
        <v>2016</v>
      </c>
      <c r="R165" s="1124">
        <v>2017</v>
      </c>
      <c r="S165" s="1583">
        <v>2018</v>
      </c>
      <c r="T165" s="1583">
        <v>2019</v>
      </c>
      <c r="U165" s="1583">
        <v>2020</v>
      </c>
      <c r="V165" s="1583">
        <v>2021</v>
      </c>
      <c r="W165" s="1583">
        <v>2022</v>
      </c>
      <c r="X165" s="1583">
        <v>2023</v>
      </c>
      <c r="Y165" s="1445">
        <v>2024</v>
      </c>
      <c r="Z165" s="1445">
        <v>2025</v>
      </c>
      <c r="AA165" s="1445">
        <v>2026</v>
      </c>
      <c r="AB165" s="1445">
        <v>2027</v>
      </c>
      <c r="AC165" s="1445">
        <v>2028</v>
      </c>
      <c r="AD165" s="1445">
        <v>2029</v>
      </c>
      <c r="AE165" s="1445">
        <v>2030</v>
      </c>
      <c r="AF165" s="1445">
        <v>2031</v>
      </c>
      <c r="AG165" s="1445">
        <v>2032</v>
      </c>
      <c r="AH165" s="1445">
        <v>2033</v>
      </c>
      <c r="AI165" s="508"/>
      <c r="AJ165" s="508"/>
      <c r="AK165" s="508"/>
      <c r="AL165" s="508"/>
      <c r="AM165" s="508"/>
      <c r="AN165" s="508"/>
    </row>
    <row r="166" spans="1:40">
      <c r="A166" s="124" t="s">
        <v>84</v>
      </c>
      <c r="B166" s="1522">
        <v>43.146000000000015</v>
      </c>
      <c r="C166" s="1522">
        <v>-140.97900000000001</v>
      </c>
      <c r="D166" s="1522">
        <v>-160.66800000000001</v>
      </c>
      <c r="E166" s="1522">
        <v>-48.488</v>
      </c>
      <c r="F166" s="1522">
        <v>604.29999999999995</v>
      </c>
      <c r="G166" s="1522">
        <v>253.01400000000001</v>
      </c>
      <c r="H166" s="1522">
        <v>824.12300000000005</v>
      </c>
      <c r="I166" s="1522">
        <v>1128.3149999999998</v>
      </c>
      <c r="J166" s="1522">
        <v>864.92000000000007</v>
      </c>
      <c r="K166" s="1522">
        <v>1015.8440000000001</v>
      </c>
      <c r="L166" s="1522">
        <v>3317.152</v>
      </c>
      <c r="M166" s="1522">
        <v>1541.886</v>
      </c>
      <c r="N166" s="1522">
        <v>4380.3469999999998</v>
      </c>
      <c r="O166" s="1522">
        <v>10126.329</v>
      </c>
      <c r="P166" s="1522">
        <v>11037.527</v>
      </c>
      <c r="Q166" s="1522">
        <v>12292.046999999999</v>
      </c>
      <c r="R166" s="1522">
        <v>16501.033000000003</v>
      </c>
      <c r="S166" s="1522">
        <v>26128.074999999997</v>
      </c>
      <c r="T166" s="1522">
        <v>47623.216</v>
      </c>
      <c r="U166" s="1522">
        <v>59736.148999999998</v>
      </c>
      <c r="V166" s="1522">
        <v>54318.394</v>
      </c>
      <c r="W166" s="1522">
        <v>48531.94</v>
      </c>
      <c r="X166" s="1522">
        <v>43336.389000000003</v>
      </c>
      <c r="Y166" s="1596">
        <v>48213.875079783946</v>
      </c>
      <c r="Z166" s="1596">
        <v>47330.147150530043</v>
      </c>
      <c r="AA166" s="1596">
        <v>45809.919686949768</v>
      </c>
      <c r="AB166" s="1596">
        <v>43608.868432576215</v>
      </c>
      <c r="AC166" s="1596">
        <v>41004.310614880538</v>
      </c>
      <c r="AD166" s="1596">
        <v>38190.649169812386</v>
      </c>
      <c r="AE166" s="1596">
        <v>34855.392576328508</v>
      </c>
      <c r="AF166" s="1596">
        <v>31214.456850123257</v>
      </c>
      <c r="AG166" s="1596">
        <v>27268.296235012462</v>
      </c>
      <c r="AH166" s="1596">
        <v>22741.857504976415</v>
      </c>
      <c r="AI166" s="1128"/>
      <c r="AJ166" s="1128">
        <v>0.44124142130556043</v>
      </c>
      <c r="AK166" s="1128">
        <f>IFERROR((W166/T166)^(1/3)-1,"NM")</f>
        <v>6.3204786119639422E-3</v>
      </c>
      <c r="AL166" s="1128">
        <f>IFERROR((AA166/Y166)^(1/2)-1,"NM")</f>
        <v>-2.5248872895214935E-2</v>
      </c>
      <c r="AM166" s="1128">
        <f>IFERROR((AD166/R166)^(1/5)-1,"NM")</f>
        <v>0.18273971883983675</v>
      </c>
      <c r="AN166" s="1128">
        <f>IFERROR((AH166/X166)^(1/5)-1,"NM")</f>
        <v>-0.12098832658082881</v>
      </c>
    </row>
    <row r="167" spans="1:40">
      <c r="A167" s="4" t="s">
        <v>1263</v>
      </c>
      <c r="B167" s="605">
        <v>0.15415970952841709</v>
      </c>
      <c r="C167" s="605">
        <v>6.118452167748159E-2</v>
      </c>
      <c r="D167" s="605">
        <v>3.7239221484750167E-2</v>
      </c>
      <c r="E167" s="605">
        <v>6.9249312116156619E-2</v>
      </c>
      <c r="F167" s="605">
        <v>0.43527913468643253</v>
      </c>
      <c r="G167" s="605">
        <v>0.1873772550036249</v>
      </c>
      <c r="H167" s="605">
        <v>0.34477259754267164</v>
      </c>
      <c r="I167" s="605">
        <v>0.59730917285576479</v>
      </c>
      <c r="J167" s="605">
        <v>0.45662484455521218</v>
      </c>
      <c r="K167" s="605">
        <v>0.57796070816325384</v>
      </c>
      <c r="L167" s="605">
        <v>1.3549478683908593</v>
      </c>
      <c r="M167" s="605">
        <v>0.54736534747860399</v>
      </c>
      <c r="N167" s="605">
        <v>1.1807803340663439</v>
      </c>
      <c r="O167" s="605">
        <v>1.2771608549330191</v>
      </c>
      <c r="P167" s="605">
        <v>1.3488772037726935</v>
      </c>
      <c r="Q167" s="605">
        <v>1.6654154260594349</v>
      </c>
      <c r="R167" s="605">
        <v>1.9070501223575478</v>
      </c>
      <c r="S167" s="605">
        <v>2.5375206677208104</v>
      </c>
      <c r="T167" s="605">
        <v>5.2446107388812733</v>
      </c>
      <c r="U167" s="605">
        <v>10.101647550933727</v>
      </c>
      <c r="V167" s="605">
        <v>8.0128939467999523</v>
      </c>
      <c r="W167" s="605">
        <v>7.1715152023525759</v>
      </c>
      <c r="X167" s="605">
        <v>5.9397708827904427</v>
      </c>
      <c r="Y167" s="606">
        <v>6.427981300968292</v>
      </c>
      <c r="Z167" s="606">
        <v>5.2480701515326613</v>
      </c>
      <c r="AA167" s="606">
        <v>4.3394115624773022</v>
      </c>
      <c r="AB167" s="606">
        <v>3.6005799966150533</v>
      </c>
      <c r="AC167" s="606">
        <v>2.9298908429142254</v>
      </c>
      <c r="AD167" s="606">
        <v>2.4410481433983788</v>
      </c>
      <c r="AE167" s="606">
        <v>2.0718183577318143</v>
      </c>
      <c r="AF167" s="606">
        <v>1.7846315098470134</v>
      </c>
      <c r="AG167" s="606">
        <v>1.5797650619648171</v>
      </c>
      <c r="AH167" s="606">
        <v>1.394802332711323</v>
      </c>
      <c r="AI167" s="1133"/>
      <c r="AJ167" s="1133"/>
      <c r="AK167" s="508"/>
      <c r="AL167" s="1133"/>
      <c r="AM167" s="1133"/>
      <c r="AN167" s="1133"/>
    </row>
    <row r="168" spans="1:40">
      <c r="A168" s="91" t="s">
        <v>299</v>
      </c>
      <c r="B168" s="605">
        <v>0.13052159024219073</v>
      </c>
      <c r="C168" s="605">
        <v>-0.36722557521040472</v>
      </c>
      <c r="D168" s="605">
        <v>-0.38695693012434695</v>
      </c>
      <c r="E168" s="605">
        <v>-8.8894918535602524E-2</v>
      </c>
      <c r="F168" s="605">
        <v>0.86260179429166828</v>
      </c>
      <c r="G168" s="605">
        <v>0.25114572693731313</v>
      </c>
      <c r="H168" s="605">
        <v>0.63951140550456442</v>
      </c>
      <c r="I168" s="605">
        <v>1.0932575113824974</v>
      </c>
      <c r="J168" s="605">
        <v>0.8647159270412188</v>
      </c>
      <c r="K168" s="605">
        <v>1.0172365969011579</v>
      </c>
      <c r="L168" s="605">
        <v>2.9754325032941731</v>
      </c>
      <c r="M168" s="605">
        <v>0.95884556905349005</v>
      </c>
      <c r="N168" s="605">
        <v>2.148574940575517</v>
      </c>
      <c r="O168" s="605">
        <v>3.625490674850667</v>
      </c>
      <c r="P168" s="605">
        <v>2.5658350398177103</v>
      </c>
      <c r="Q168" s="605">
        <v>2.3843801197927235</v>
      </c>
      <c r="R168" s="605">
        <v>2.5518729265397351</v>
      </c>
      <c r="S168" s="605">
        <v>4.0772132527151825</v>
      </c>
      <c r="T168" s="605">
        <v>3.7743604765390844</v>
      </c>
      <c r="U168" s="605">
        <v>8.6264875657353599</v>
      </c>
      <c r="V168" s="605">
        <v>4.4120873323456742</v>
      </c>
      <c r="W168" s="605">
        <v>3.4542812513834731</v>
      </c>
      <c r="X168" s="605">
        <v>2.7152464141068249</v>
      </c>
      <c r="Y168" s="606">
        <v>2.8560903413457446</v>
      </c>
      <c r="Z168" s="606">
        <v>2.4788786022462843</v>
      </c>
      <c r="AA168" s="606">
        <v>2.2008923588922755</v>
      </c>
      <c r="AB168" s="606">
        <v>1.9437389342972249</v>
      </c>
      <c r="AC168" s="606">
        <v>1.7143612258633392</v>
      </c>
      <c r="AD168" s="606">
        <v>1.498595585344028</v>
      </c>
      <c r="AE168" s="606">
        <v>1.2855409806138487</v>
      </c>
      <c r="AF168" s="606">
        <v>1.0836398314738054</v>
      </c>
      <c r="AG168" s="606">
        <v>0.8913593046247329</v>
      </c>
      <c r="AH168" s="606">
        <v>0.70057958320360258</v>
      </c>
      <c r="AI168" s="1133"/>
      <c r="AJ168" s="1133"/>
      <c r="AK168" s="508"/>
      <c r="AL168" s="1133"/>
      <c r="AM168" s="1133"/>
      <c r="AN168" s="1133"/>
    </row>
    <row r="169" spans="1:40" s="1209" customFormat="1">
      <c r="A169" s="1266" t="s">
        <v>1231</v>
      </c>
      <c r="B169" s="1624">
        <v>43.146000000000015</v>
      </c>
      <c r="C169" s="1624">
        <v>-140.97900000000001</v>
      </c>
      <c r="D169" s="1624">
        <v>-160.66800000000001</v>
      </c>
      <c r="E169" s="1624">
        <v>-48.488</v>
      </c>
      <c r="F169" s="1624">
        <v>604.29999999999995</v>
      </c>
      <c r="G169" s="1624">
        <v>253.01400000000001</v>
      </c>
      <c r="H169" s="1624">
        <v>824.12300000000005</v>
      </c>
      <c r="I169" s="1624">
        <v>1128.3149999999998</v>
      </c>
      <c r="J169" s="1624">
        <v>864.92000000000007</v>
      </c>
      <c r="K169" s="1624">
        <v>1015.8440000000001</v>
      </c>
      <c r="L169" s="1624">
        <v>3317.152</v>
      </c>
      <c r="M169" s="1624">
        <v>1541.886</v>
      </c>
      <c r="N169" s="1624">
        <v>4380.3469999999998</v>
      </c>
      <c r="O169" s="1624">
        <v>10126.329</v>
      </c>
      <c r="P169" s="1624">
        <v>11037.527</v>
      </c>
      <c r="Q169" s="1624">
        <v>12292.046999999999</v>
      </c>
      <c r="R169" s="1624">
        <v>16501.033000000003</v>
      </c>
      <c r="S169" s="1624">
        <v>26128.074999999997</v>
      </c>
      <c r="T169" s="1624">
        <v>25061.356</v>
      </c>
      <c r="U169" s="1624">
        <v>34436.148999999998</v>
      </c>
      <c r="V169" s="1624">
        <v>30555.119999999999</v>
      </c>
      <c r="W169" s="1624">
        <v>26550.129000000001</v>
      </c>
      <c r="X169" s="1624">
        <v>25006.322000000004</v>
      </c>
      <c r="Y169" s="1624">
        <v>29555.983540052861</v>
      </c>
      <c r="Z169" s="1624">
        <v>28254.747659412751</v>
      </c>
      <c r="AA169" s="1624">
        <v>26263.152295934149</v>
      </c>
      <c r="AB169" s="1624">
        <v>23653.67866129391</v>
      </c>
      <c r="AC169" s="1624">
        <v>20598.154699311617</v>
      </c>
      <c r="AD169" s="1624">
        <v>17422.555543185579</v>
      </c>
      <c r="AE169" s="1624">
        <v>13780.842089412807</v>
      </c>
      <c r="AF169" s="1624">
        <v>9860.8448072672763</v>
      </c>
      <c r="AG169" s="1624">
        <v>5642.1924345722</v>
      </c>
      <c r="AH169" s="1624">
        <v>889.50132513570134</v>
      </c>
      <c r="AI169" s="1261"/>
      <c r="AJ169" s="1261">
        <v>0.22753305802065449</v>
      </c>
      <c r="AK169" s="1261">
        <f>IFERROR((W169/T169)^(1/3)-1,"NM")</f>
        <v>1.9422050377688294E-2</v>
      </c>
      <c r="AL169" s="1261">
        <f>IFERROR((AA169/Y169)^(1/2)-1,"NM")</f>
        <v>-5.7349465685012313E-2</v>
      </c>
      <c r="AM169" s="1261">
        <f>IFERROR((AD169/R169)^(1/5)-1,"NM")</f>
        <v>1.0927812555195482E-2</v>
      </c>
      <c r="AN169" s="1261">
        <f>IFERROR((AH169/X169)^(1/5)-1,"NM")</f>
        <v>-0.48687951149278752</v>
      </c>
    </row>
    <row r="170" spans="1:40" s="1209" customFormat="1">
      <c r="A170" s="1267" t="s">
        <v>1264</v>
      </c>
      <c r="B170" s="1625">
        <v>0.11591879906693063</v>
      </c>
      <c r="C170" s="1625">
        <v>0.119598653296517</v>
      </c>
      <c r="D170" s="1625">
        <v>0.13392358139434007</v>
      </c>
      <c r="E170" s="1625">
        <v>8.5453739397214179E-2</v>
      </c>
      <c r="F170" s="1625">
        <v>4.3541844820793645E-2</v>
      </c>
      <c r="G170" s="1625">
        <v>3.342609491083455E-2</v>
      </c>
      <c r="H170" s="1625">
        <v>4.1329971877294897E-2</v>
      </c>
      <c r="I170" s="1625">
        <v>4.8974294385805389E-2</v>
      </c>
      <c r="J170" s="1625">
        <v>0.13585624867335111</v>
      </c>
      <c r="K170" s="1625">
        <v>0.10799973618922072</v>
      </c>
      <c r="L170" s="1625">
        <v>0.10704836500794632</v>
      </c>
      <c r="M170" s="1625">
        <v>0.13927931074499625</v>
      </c>
      <c r="N170" s="1625">
        <v>0.11702684587650229</v>
      </c>
      <c r="O170" s="1625">
        <v>1.2771608549330191</v>
      </c>
      <c r="P170" s="1625">
        <v>1.3488772037726935</v>
      </c>
      <c r="Q170" s="1625">
        <v>1.6654154260594349</v>
      </c>
      <c r="R170" s="1625">
        <v>1.9070501223575478</v>
      </c>
      <c r="S170" s="1625">
        <v>2.5375206677208104</v>
      </c>
      <c r="T170" s="1625">
        <v>2.8897558479815988</v>
      </c>
      <c r="U170" s="1625">
        <v>6.0875260937727331</v>
      </c>
      <c r="V170" s="1625">
        <v>4.9021781958920654</v>
      </c>
      <c r="W170" s="1625">
        <v>4.2859553730722793</v>
      </c>
      <c r="X170" s="1625">
        <v>3.7511328220241378</v>
      </c>
      <c r="Y170" s="1625">
        <v>4.1728972066548078</v>
      </c>
      <c r="Z170" s="1625">
        <v>3.4741988312497392</v>
      </c>
      <c r="AA170" s="1625">
        <v>2.9372538483508692</v>
      </c>
      <c r="AB170" s="1625">
        <v>2.4790000677571857</v>
      </c>
      <c r="AC170" s="1625">
        <v>2.0084448104017425</v>
      </c>
      <c r="AD170" s="1625">
        <v>1.6685059218473441</v>
      </c>
      <c r="AE170" s="1625">
        <v>1.413331291195977</v>
      </c>
      <c r="AF170" s="1625">
        <v>1.2155858196588492</v>
      </c>
      <c r="AG170" s="1625">
        <v>1.0819651791012759</v>
      </c>
      <c r="AH170" s="1625">
        <v>0.9556518793461084</v>
      </c>
      <c r="AI170" s="1243"/>
      <c r="AJ170" s="1243"/>
      <c r="AK170" s="1262"/>
      <c r="AL170" s="1243"/>
      <c r="AM170" s="1243"/>
      <c r="AN170" s="1243"/>
    </row>
    <row r="171" spans="1:40" s="1209" customFormat="1">
      <c r="A171" s="1267" t="s">
        <v>1243</v>
      </c>
      <c r="B171" s="1625">
        <v>0.13052159024219073</v>
      </c>
      <c r="C171" s="1625">
        <v>-0.36722557521040472</v>
      </c>
      <c r="D171" s="1625">
        <v>-0.38695693012434695</v>
      </c>
      <c r="E171" s="1625">
        <v>-8.8894918535602524E-2</v>
      </c>
      <c r="F171" s="1625">
        <v>0.86260179429166828</v>
      </c>
      <c r="G171" s="1625">
        <v>0.25114572693731313</v>
      </c>
      <c r="H171" s="1625">
        <v>0.63951140550456442</v>
      </c>
      <c r="I171" s="1625">
        <v>1.0932575113824974</v>
      </c>
      <c r="J171" s="1625">
        <v>0.8647159270412188</v>
      </c>
      <c r="K171" s="1625">
        <v>1.0172365969011579</v>
      </c>
      <c r="L171" s="1625">
        <v>2.9754325032941731</v>
      </c>
      <c r="M171" s="1625">
        <v>0.95884556905349005</v>
      </c>
      <c r="N171" s="1625">
        <v>2.148574940575517</v>
      </c>
      <c r="O171" s="1625">
        <v>3.625490674850667</v>
      </c>
      <c r="P171" s="1625">
        <v>2.5658350398177103</v>
      </c>
      <c r="Q171" s="1625">
        <v>2.3843801197927235</v>
      </c>
      <c r="R171" s="1625">
        <v>2.5518729265397351</v>
      </c>
      <c r="S171" s="1625">
        <v>4.0772132527151825</v>
      </c>
      <c r="T171" s="1625">
        <v>3.2682320903464706</v>
      </c>
      <c r="U171" s="1625">
        <v>23.968220459901673</v>
      </c>
      <c r="V171" s="1625">
        <v>4.674690692131481</v>
      </c>
      <c r="W171" s="1625">
        <v>3.0086816191183967</v>
      </c>
      <c r="X171" s="1625">
        <v>2.3165522409338952</v>
      </c>
      <c r="Y171" s="1625">
        <v>2.5218087584028002</v>
      </c>
      <c r="Z171" s="1625">
        <v>2.1383719590987971</v>
      </c>
      <c r="AA171" s="1625">
        <v>1.8117903858908015</v>
      </c>
      <c r="AB171" s="1625">
        <v>1.5011288668284166</v>
      </c>
      <c r="AC171" s="1625">
        <v>1.2037369255767154</v>
      </c>
      <c r="AD171" s="1625">
        <v>0.95602874802936155</v>
      </c>
      <c r="AE171" s="1625">
        <v>0.71107185932938599</v>
      </c>
      <c r="AF171" s="1625">
        <v>0.47919973035742192</v>
      </c>
      <c r="AG171" s="1625">
        <v>0.25830952416995245</v>
      </c>
      <c r="AH171" s="1625">
        <v>3.8399473510724251E-2</v>
      </c>
      <c r="AI171" s="1243"/>
      <c r="AJ171" s="1243"/>
      <c r="AK171" s="1262"/>
      <c r="AL171" s="1243"/>
      <c r="AM171" s="1243"/>
      <c r="AN171" s="1243"/>
    </row>
    <row r="172" spans="1:40">
      <c r="A172" s="91" t="s">
        <v>342</v>
      </c>
      <c r="B172" s="438">
        <v>48.603999999999999</v>
      </c>
      <c r="C172" s="438">
        <v>26.916</v>
      </c>
      <c r="D172" s="438">
        <v>42.328000000000003</v>
      </c>
      <c r="E172" s="438">
        <v>162.625</v>
      </c>
      <c r="F172" s="438">
        <v>82.119</v>
      </c>
      <c r="G172" s="438">
        <v>68.694000000000003</v>
      </c>
      <c r="H172" s="438">
        <v>134.60499999999999</v>
      </c>
      <c r="I172" s="438">
        <v>232.72200000000001</v>
      </c>
      <c r="J172" s="438">
        <v>223.774</v>
      </c>
      <c r="K172" s="438">
        <v>245.64099999999999</v>
      </c>
      <c r="L172" s="438">
        <v>298.86399999999998</v>
      </c>
      <c r="M172" s="438">
        <v>308.18900000000002</v>
      </c>
      <c r="N172" s="438">
        <v>239.50399999999999</v>
      </c>
      <c r="O172" s="438">
        <v>1289.49</v>
      </c>
      <c r="P172" s="438">
        <v>1356.1969999999999</v>
      </c>
      <c r="Q172" s="438">
        <v>1013.448</v>
      </c>
      <c r="R172" s="438">
        <v>1142.7370000000001</v>
      </c>
      <c r="S172" s="438">
        <v>1878.742</v>
      </c>
      <c r="T172" s="438">
        <v>1961.5630000000001</v>
      </c>
      <c r="U172" s="438">
        <v>1330.4459999999999</v>
      </c>
      <c r="V172" s="438">
        <v>1034.923</v>
      </c>
      <c r="W172" s="438">
        <v>962.13099999999997</v>
      </c>
      <c r="X172" s="438">
        <v>940.62099999999998</v>
      </c>
      <c r="Y172" s="447">
        <v>124.39</v>
      </c>
      <c r="Z172" s="447">
        <v>124.39</v>
      </c>
      <c r="AA172" s="447">
        <v>124.39</v>
      </c>
      <c r="AB172" s="447">
        <v>124.39</v>
      </c>
      <c r="AC172" s="447">
        <v>124.39</v>
      </c>
      <c r="AD172" s="447">
        <v>124.39</v>
      </c>
      <c r="AE172" s="447">
        <v>124.39</v>
      </c>
      <c r="AF172" s="447">
        <v>124.39</v>
      </c>
      <c r="AG172" s="447">
        <v>124.39</v>
      </c>
      <c r="AH172" s="447">
        <v>124.39</v>
      </c>
      <c r="AI172" s="1133"/>
      <c r="AJ172" s="1133"/>
      <c r="AK172" s="508"/>
      <c r="AL172" s="1133"/>
      <c r="AM172" s="1133"/>
      <c r="AN172" s="1133"/>
    </row>
    <row r="173" spans="1:40">
      <c r="A173" s="91" t="s">
        <v>95</v>
      </c>
      <c r="B173" s="438">
        <v>99.024999999999935</v>
      </c>
      <c r="C173" s="438">
        <v>181.798</v>
      </c>
      <c r="D173" s="438">
        <v>9.8980000000000814</v>
      </c>
      <c r="E173" s="438">
        <v>-109.30000000000007</v>
      </c>
      <c r="F173" s="438">
        <v>-449.02199999999988</v>
      </c>
      <c r="G173" s="438">
        <v>-30.439999999999372</v>
      </c>
      <c r="H173" s="438">
        <v>-218.84699999999987</v>
      </c>
      <c r="I173" s="438">
        <v>-387.78600000000006</v>
      </c>
      <c r="J173" s="438">
        <v>552.25699999999938</v>
      </c>
      <c r="K173" s="438">
        <v>-9.9000000000002046</v>
      </c>
      <c r="L173" s="438">
        <v>-333.62999999999977</v>
      </c>
      <c r="M173" s="438">
        <v>-1891.1230000000007</v>
      </c>
      <c r="N173" s="438">
        <v>-1906.1279999999999</v>
      </c>
      <c r="O173" s="438">
        <v>-10371.472</v>
      </c>
      <c r="P173" s="438">
        <v>-587.44299999999976</v>
      </c>
      <c r="Q173" s="438">
        <v>-479.66799999999967</v>
      </c>
      <c r="R173" s="438">
        <v>358.46899999999869</v>
      </c>
      <c r="S173" s="438">
        <v>-12399.8</v>
      </c>
      <c r="T173" s="438">
        <v>4649.882999999998</v>
      </c>
      <c r="U173" s="438">
        <v>-3329.8420000000019</v>
      </c>
      <c r="V173" s="438">
        <v>3166.0110000000022</v>
      </c>
      <c r="W173" s="438">
        <v>2312.2380000000003</v>
      </c>
      <c r="X173" s="438">
        <v>1623.7019999999993</v>
      </c>
      <c r="Y173" s="447">
        <v>-3774.8585400528623</v>
      </c>
      <c r="Z173" s="447">
        <v>1291.423166177748</v>
      </c>
      <c r="AA173" s="447">
        <v>3109.0271209031353</v>
      </c>
      <c r="AB173" s="447">
        <v>4182.2756764502574</v>
      </c>
      <c r="AC173" s="447">
        <v>4812.6675336234839</v>
      </c>
      <c r="AD173" s="447">
        <v>5109.3892988943917</v>
      </c>
      <c r="AE173" s="447">
        <v>5741.758598685843</v>
      </c>
      <c r="AF173" s="447">
        <v>6188.1126478006463</v>
      </c>
      <c r="AG173" s="447">
        <v>6656.9682833049683</v>
      </c>
      <c r="AH173" s="447">
        <v>7361.5965456757513</v>
      </c>
      <c r="AI173" s="1133"/>
      <c r="AJ173" s="1133"/>
      <c r="AK173" s="508"/>
      <c r="AL173" s="1133"/>
      <c r="AM173" s="1133"/>
      <c r="AN173" s="1133"/>
    </row>
    <row r="174" spans="1:40">
      <c r="A174" s="4" t="s">
        <v>85</v>
      </c>
      <c r="B174" s="1623">
        <v>2.1055161345509898E-2</v>
      </c>
      <c r="C174" s="1623">
        <v>9.0180085258925582E-2</v>
      </c>
      <c r="D174" s="1623">
        <v>7.1263527908323063E-2</v>
      </c>
      <c r="E174" s="1623">
        <v>7.0084912947456598E-2</v>
      </c>
      <c r="F174" s="1623">
        <v>8.6777269681008892E-2</v>
      </c>
      <c r="G174" s="1623">
        <v>5.4987964259568291E-2</v>
      </c>
      <c r="H174" s="1623">
        <v>9.0343694465777155E-2</v>
      </c>
      <c r="I174" s="1623">
        <v>1.9779775874568396E-2</v>
      </c>
      <c r="J174" s="1623">
        <v>1.7860459863631176E-2</v>
      </c>
      <c r="K174" s="1623">
        <v>2.4624712740723385E-2</v>
      </c>
      <c r="L174" s="1623">
        <v>2.2363999469606589E-2</v>
      </c>
      <c r="M174" s="1623">
        <v>3.7413781119505524E-2</v>
      </c>
      <c r="N174" s="1623">
        <v>5.4849033133096609E-2</v>
      </c>
      <c r="O174" s="1623">
        <v>2.2392685968196078E-2</v>
      </c>
      <c r="P174" s="1623">
        <v>3.0814422531297615E-2</v>
      </c>
      <c r="Q174" s="1623">
        <v>2.6226300884105092E-2</v>
      </c>
      <c r="R174" s="1623">
        <v>2.7470736529431161E-2</v>
      </c>
      <c r="S174" s="1623">
        <v>1.7965525974478515E-2</v>
      </c>
      <c r="T174" s="1623">
        <v>1.212724431297974E-2</v>
      </c>
      <c r="U174" s="1623">
        <v>-3.8184604137203697E-2</v>
      </c>
      <c r="V174" s="1623">
        <v>1.0064528046750757E-2</v>
      </c>
      <c r="W174" s="1623">
        <v>2.0285183709076289E-2</v>
      </c>
      <c r="X174" s="1623">
        <v>3.8062888173296942E-2</v>
      </c>
      <c r="Y174" s="1626">
        <v>2.3347702546941986E-2</v>
      </c>
      <c r="Z174" s="1626">
        <v>3.8172941125656425E-2</v>
      </c>
      <c r="AA174" s="1626">
        <v>4.539685206156055E-2</v>
      </c>
      <c r="AB174" s="1626">
        <v>5.2415195229420806E-2</v>
      </c>
      <c r="AC174" s="1626">
        <v>5.5580239117441567E-2</v>
      </c>
      <c r="AD174" s="1626">
        <v>5.7204413170541327E-2</v>
      </c>
      <c r="AE174" s="1626">
        <v>5.8407343564990541E-2</v>
      </c>
      <c r="AF174" s="1626">
        <v>5.9405670872957436E-2</v>
      </c>
      <c r="AG174" s="1626">
        <v>5.9665345923076846E-2</v>
      </c>
      <c r="AH174" s="1626">
        <v>6.0086493171127769E-2</v>
      </c>
      <c r="AI174" s="1133"/>
      <c r="AJ174" s="1133"/>
      <c r="AK174" s="1133"/>
      <c r="AL174" s="1133"/>
      <c r="AM174" s="1133"/>
      <c r="AN174" s="1133"/>
    </row>
    <row r="175" spans="1:40" s="1209" customFormat="1">
      <c r="A175" s="1267" t="s">
        <v>1232</v>
      </c>
      <c r="B175" s="1530">
        <v>2.1055161345509898E-2</v>
      </c>
      <c r="C175" s="1530">
        <v>9.0180085258925582E-2</v>
      </c>
      <c r="D175" s="1530">
        <v>7.1263527908323063E-2</v>
      </c>
      <c r="E175" s="1530">
        <v>7.0084912947456598E-2</v>
      </c>
      <c r="F175" s="1530">
        <v>8.6777269681008892E-2</v>
      </c>
      <c r="G175" s="1530">
        <v>5.4987964259568291E-2</v>
      </c>
      <c r="H175" s="1530">
        <v>9.0343694465777155E-2</v>
      </c>
      <c r="I175" s="1530">
        <v>1.9779775874568396E-2</v>
      </c>
      <c r="J175" s="1530">
        <v>1.7860459863631176E-2</v>
      </c>
      <c r="K175" s="1530">
        <v>2.4624712740723385E-2</v>
      </c>
      <c r="L175" s="1530">
        <v>2.2363999469606589E-2</v>
      </c>
      <c r="M175" s="1530">
        <v>3.7413781119505524E-2</v>
      </c>
      <c r="N175" s="1530">
        <v>5.4849033133096609E-2</v>
      </c>
      <c r="O175" s="1530">
        <v>2.2392685968196002E-2</v>
      </c>
      <c r="P175" s="1530">
        <v>3.0814422531297642E-2</v>
      </c>
      <c r="Q175" s="1530">
        <v>2.6226300884105137E-2</v>
      </c>
      <c r="R175" s="1530">
        <v>2.7470736529431185E-2</v>
      </c>
      <c r="S175" s="1530">
        <v>1.7965525974478515E-2</v>
      </c>
      <c r="T175" s="1530">
        <v>1.0003815095192572E-2</v>
      </c>
      <c r="U175" s="1530">
        <v>-4.4442747908626783E-2</v>
      </c>
      <c r="V175" s="1530">
        <v>5.8797461414930533E-3</v>
      </c>
      <c r="W175" s="1530">
        <v>2.0652342259670782E-2</v>
      </c>
      <c r="X175" s="1530">
        <v>3.6233817409637166E-2</v>
      </c>
      <c r="Y175" s="1530">
        <v>2.3769004711078758E-2</v>
      </c>
      <c r="Z175" s="1530">
        <v>3.5199564855820355E-2</v>
      </c>
      <c r="AA175" s="1530">
        <v>4.1346198141260296E-2</v>
      </c>
      <c r="AB175" s="1530">
        <v>4.8281205241583573E-2</v>
      </c>
      <c r="AC175" s="1530">
        <v>5.2627037178173436E-2</v>
      </c>
      <c r="AD175" s="1530">
        <v>5.3333488045511239E-2</v>
      </c>
      <c r="AE175" s="1530">
        <v>5.3827378020028821E-2</v>
      </c>
      <c r="AF175" s="1530">
        <v>5.4227939320675475E-2</v>
      </c>
      <c r="AG175" s="1530">
        <v>5.4070107476632684E-2</v>
      </c>
      <c r="AH175" s="1530">
        <v>5.4140548667143719E-2</v>
      </c>
      <c r="AI175" s="1243"/>
      <c r="AJ175" s="1275"/>
      <c r="AK175" s="1243"/>
      <c r="AL175" s="1243"/>
      <c r="AM175" s="1243"/>
      <c r="AN175" s="1243"/>
    </row>
    <row r="176" spans="1:40">
      <c r="A176" s="4" t="s">
        <v>86</v>
      </c>
      <c r="B176" s="1623"/>
      <c r="C176" s="1623">
        <v>0.14867677698433543</v>
      </c>
      <c r="D176" s="1623">
        <v>0.11180242898166601</v>
      </c>
      <c r="E176" s="1623">
        <v>0.11724643143416798</v>
      </c>
      <c r="F176" s="1623">
        <v>0.17632836019097486</v>
      </c>
      <c r="G176" s="1623">
        <v>0.10050133736707226</v>
      </c>
      <c r="H176" s="1623">
        <v>0.16931679619008447</v>
      </c>
      <c r="I176" s="1623">
        <v>4.296533153258774E-2</v>
      </c>
      <c r="J176" s="1623">
        <v>3.5135107676364553E-2</v>
      </c>
      <c r="K176" s="1623">
        <v>5.2382464105389777E-2</v>
      </c>
      <c r="L176" s="1623">
        <v>7.1560708104341481E-2</v>
      </c>
      <c r="M176" s="1623">
        <v>9.7561072981505806E-2</v>
      </c>
      <c r="N176" s="1623">
        <v>0.15491410108827933</v>
      </c>
      <c r="O176" s="1623">
        <v>0.10200255440152339</v>
      </c>
      <c r="P176" s="1623">
        <v>0.10981966103516032</v>
      </c>
      <c r="Q176" s="1623">
        <v>0.11084288566677207</v>
      </c>
      <c r="R176" s="1623">
        <v>0.11860740170438064</v>
      </c>
      <c r="S176" s="1623">
        <v>9.2817062745743431E-2</v>
      </c>
      <c r="T176" s="1623">
        <v>8.9701999092205859E-2</v>
      </c>
      <c r="U176" s="1623">
        <v>-0.4011707061312425</v>
      </c>
      <c r="V176" s="1623">
        <v>0.11980133288719663</v>
      </c>
      <c r="W176" s="1623">
        <v>0.21397803884936184</v>
      </c>
      <c r="X176" s="1623">
        <v>0.36650217980163607</v>
      </c>
      <c r="Y176" s="1626">
        <v>0.22212095432106088</v>
      </c>
      <c r="Z176" s="1626">
        <v>0.34630221099710617</v>
      </c>
      <c r="AA176" s="1626">
        <v>0.34861710594180773</v>
      </c>
      <c r="AB176" s="1626">
        <v>0.34187924543502607</v>
      </c>
      <c r="AC176" s="1626">
        <v>0.3060208346421236</v>
      </c>
      <c r="AD176" s="1626">
        <v>0.27211830203209042</v>
      </c>
      <c r="AE176" s="1626">
        <v>0.24527370425898531</v>
      </c>
      <c r="AF176" s="1626">
        <v>0.22404540824252381</v>
      </c>
      <c r="AG176" s="1626">
        <v>0.20641023636333383</v>
      </c>
      <c r="AH176" s="1626">
        <v>0.19153834821242896</v>
      </c>
      <c r="AI176" s="1133"/>
      <c r="AJ176" s="1133"/>
      <c r="AK176" s="1133"/>
      <c r="AL176" s="1133"/>
      <c r="AM176" s="1133"/>
      <c r="AN176" s="1133"/>
    </row>
    <row r="177" spans="1:40" s="1209" customFormat="1">
      <c r="A177" s="1267" t="s">
        <v>1233</v>
      </c>
      <c r="B177" s="1530"/>
      <c r="C177" s="1530">
        <v>0.14867677698433543</v>
      </c>
      <c r="D177" s="1530">
        <v>0.11180242898166601</v>
      </c>
      <c r="E177" s="1530">
        <v>0.11724643143416798</v>
      </c>
      <c r="F177" s="1530">
        <v>0.17632836019097486</v>
      </c>
      <c r="G177" s="1530">
        <v>0.10050133736707226</v>
      </c>
      <c r="H177" s="1530">
        <v>0.16931679619008447</v>
      </c>
      <c r="I177" s="1530">
        <v>4.296533153258774E-2</v>
      </c>
      <c r="J177" s="1530">
        <v>3.5135107676364553E-2</v>
      </c>
      <c r="K177" s="1530">
        <v>5.2382464105389777E-2</v>
      </c>
      <c r="L177" s="1530">
        <v>7.1560708104341481E-2</v>
      </c>
      <c r="M177" s="1530">
        <v>9.7561072981505806E-2</v>
      </c>
      <c r="N177" s="1530">
        <v>0.15491410108827933</v>
      </c>
      <c r="O177" s="1530">
        <v>0.10200255440152305</v>
      </c>
      <c r="P177" s="1530">
        <v>0.10981966103516043</v>
      </c>
      <c r="Q177" s="1530">
        <v>0.11084288566677228</v>
      </c>
      <c r="R177" s="1530">
        <v>0.11860740170438074</v>
      </c>
      <c r="S177" s="1530">
        <v>9.2817062745743431E-2</v>
      </c>
      <c r="T177" s="1530">
        <v>7.3995558218210897E-2</v>
      </c>
      <c r="U177" s="1530">
        <v>-0.4669192980724261</v>
      </c>
      <c r="V177" s="1530">
        <v>6.9988520228390527E-2</v>
      </c>
      <c r="W177" s="1530">
        <v>0.2178510068110881</v>
      </c>
      <c r="X177" s="1530">
        <v>0.34889031548801203</v>
      </c>
      <c r="Y177" s="1530">
        <v>0.22612905912569595</v>
      </c>
      <c r="Z177" s="1530">
        <v>0.31932795263485242</v>
      </c>
      <c r="AA177" s="1530">
        <v>0.31751082471878384</v>
      </c>
      <c r="AB177" s="1530">
        <v>0.31491520625723357</v>
      </c>
      <c r="AC177" s="1530">
        <v>0.28976071527826197</v>
      </c>
      <c r="AD177" s="1530">
        <v>0.2537045204034557</v>
      </c>
      <c r="AE177" s="1530">
        <v>0.22604076117296182</v>
      </c>
      <c r="AF177" s="1530">
        <v>0.20451786209491715</v>
      </c>
      <c r="AG177" s="1530">
        <v>0.18705369912430203</v>
      </c>
      <c r="AH177" s="1530">
        <v>0.17258439818555141</v>
      </c>
      <c r="AI177" s="1243"/>
      <c r="AJ177" s="1243"/>
      <c r="AK177" s="1243"/>
      <c r="AL177" s="1243"/>
      <c r="AM177" s="1243"/>
      <c r="AN177" s="1243"/>
    </row>
    <row r="178" spans="1:40">
      <c r="A178" s="4" t="s">
        <v>87</v>
      </c>
      <c r="B178" s="1623"/>
      <c r="C178" s="1623">
        <v>0.27249144773007089</v>
      </c>
      <c r="D178" s="1623">
        <v>0.24635849161018608</v>
      </c>
      <c r="E178" s="1623">
        <v>0.27529431691776823</v>
      </c>
      <c r="F178" s="1623">
        <v>0.24521465202932827</v>
      </c>
      <c r="G178" s="1623">
        <v>0.16063391460835932</v>
      </c>
      <c r="H178" s="1623">
        <v>0.20649658566071263</v>
      </c>
      <c r="I178" s="1623">
        <v>0.11043285685815038</v>
      </c>
      <c r="J178" s="1623">
        <v>6.0545951354699847E-2</v>
      </c>
      <c r="K178" s="1623">
        <v>4.4786883252483999E-2</v>
      </c>
      <c r="L178" s="1623">
        <v>5.8123919702936809E-2</v>
      </c>
      <c r="M178" s="1623">
        <v>7.9675440103500972E-2</v>
      </c>
      <c r="N178" s="1623">
        <v>0.10244007480190646</v>
      </c>
      <c r="O178" s="1623">
        <v>6.3458815243390199E-2</v>
      </c>
      <c r="P178" s="1623">
        <v>7.6608886106419485E-2</v>
      </c>
      <c r="Q178" s="1623">
        <v>8.6199653475456176E-2</v>
      </c>
      <c r="R178" s="1623">
        <v>9.034877821955567E-2</v>
      </c>
      <c r="S178" s="1623">
        <v>6.1700951690782144E-2</v>
      </c>
      <c r="T178" s="1623">
        <v>7.1290988002112241E-2</v>
      </c>
      <c r="U178" s="1623">
        <v>-1.7590294342897887E-2</v>
      </c>
      <c r="V178" s="1623">
        <v>4.9770133383006517E-2</v>
      </c>
      <c r="W178" s="1623">
        <v>6.6362725141931089E-2</v>
      </c>
      <c r="X178" s="1623">
        <v>9.6768802410721722E-2</v>
      </c>
      <c r="Y178" s="1626">
        <v>0.10287441281137259</v>
      </c>
      <c r="Z178" s="1626">
        <v>0.11524081155475356</v>
      </c>
      <c r="AA178" s="1626">
        <v>0.12529719821553256</v>
      </c>
      <c r="AB178" s="1626">
        <v>0.13372845852939416</v>
      </c>
      <c r="AC178" s="1626">
        <v>0.13902323592125088</v>
      </c>
      <c r="AD178" s="1626">
        <v>0.14134552193606428</v>
      </c>
      <c r="AE178" s="1626">
        <v>0.14310015251849048</v>
      </c>
      <c r="AF178" s="1626">
        <v>0.14466842218967413</v>
      </c>
      <c r="AG178" s="1626">
        <v>0.14575749167513308</v>
      </c>
      <c r="AH178" s="1626">
        <v>0.14666875975413168</v>
      </c>
      <c r="AI178" s="1133"/>
      <c r="AJ178" s="1133"/>
      <c r="AK178" s="1133"/>
      <c r="AL178" s="1133"/>
      <c r="AM178" s="1133"/>
      <c r="AN178" s="1133"/>
    </row>
    <row r="179" spans="1:40" s="1209" customFormat="1">
      <c r="A179" s="1267" t="s">
        <v>1234</v>
      </c>
      <c r="B179" s="1530"/>
      <c r="C179" s="1530">
        <v>0.33347121469145202</v>
      </c>
      <c r="D179" s="1530">
        <v>0.30941124660718716</v>
      </c>
      <c r="E179" s="1530">
        <v>0.36399803037639328</v>
      </c>
      <c r="F179" s="1530">
        <v>0.32246417073560807</v>
      </c>
      <c r="G179" s="1530">
        <v>0.23413908556634691</v>
      </c>
      <c r="H179" s="1530">
        <v>0.29833991285980033</v>
      </c>
      <c r="I179" s="1530">
        <v>0.16946318514553602</v>
      </c>
      <c r="J179" s="1530">
        <v>0.1137103873560552</v>
      </c>
      <c r="K179" s="1530">
        <v>0.12242927172007949</v>
      </c>
      <c r="L179" s="1530">
        <v>0.14746690502899712</v>
      </c>
      <c r="M179" s="1530">
        <v>0.2063639419871246</v>
      </c>
      <c r="N179" s="1530">
        <v>0.19173831614810272</v>
      </c>
      <c r="O179" s="1530">
        <v>0.12274548135826327</v>
      </c>
      <c r="P179" s="1530">
        <v>0.12792247450464619</v>
      </c>
      <c r="Q179" s="1530">
        <v>0.13643205279978415</v>
      </c>
      <c r="R179" s="1530">
        <v>7.5593457981945236E-2</v>
      </c>
      <c r="S179" s="1530">
        <v>5.6631731934722575E-2</v>
      </c>
      <c r="T179" s="1530">
        <v>6.188529283106349E-2</v>
      </c>
      <c r="U179" s="1530">
        <v>-5.116039345085685E-2</v>
      </c>
      <c r="V179" s="1530">
        <v>5.0170930832998901E-2</v>
      </c>
      <c r="W179" s="1530">
        <v>8.1374383644524262E-2</v>
      </c>
      <c r="X179" s="1530">
        <v>0.1132229138572384</v>
      </c>
      <c r="Y179" s="1530">
        <v>0.12037910940604005</v>
      </c>
      <c r="Z179" s="1530">
        <v>0.13050191715305504</v>
      </c>
      <c r="AA179" s="1530">
        <v>0.1414302173256432</v>
      </c>
      <c r="AB179" s="1530">
        <v>0.15223432949411714</v>
      </c>
      <c r="AC179" s="1530">
        <v>0.16184546295388119</v>
      </c>
      <c r="AD179" s="1530">
        <v>0.16269575988090479</v>
      </c>
      <c r="AE179" s="1530">
        <v>0.16360093794057678</v>
      </c>
      <c r="AF179" s="1530">
        <v>0.1647894495700023</v>
      </c>
      <c r="AG179" s="1530">
        <v>0.16589449535338494</v>
      </c>
      <c r="AH179" s="1530">
        <v>0.16724026616292981</v>
      </c>
      <c r="AI179" s="1243"/>
      <c r="AJ179" s="1243"/>
      <c r="AK179" s="1243"/>
      <c r="AL179" s="1243"/>
      <c r="AM179" s="1243"/>
      <c r="AN179" s="1243"/>
    </row>
    <row r="180" spans="1:40" ht="12.75" customHeight="1">
      <c r="A180" s="1267" t="s">
        <v>1369</v>
      </c>
      <c r="B180" s="1625"/>
      <c r="C180" s="1625">
        <v>0.17219714354928198</v>
      </c>
      <c r="D180" s="1625">
        <v>0.10869706581504736</v>
      </c>
      <c r="E180" s="1625">
        <v>0.18096334606281383</v>
      </c>
      <c r="F180" s="1625">
        <v>1.0982078494907606</v>
      </c>
      <c r="G180" s="1625">
        <v>0.49360407925442595</v>
      </c>
      <c r="H180" s="1625">
        <v>0.80194711471308544</v>
      </c>
      <c r="I180" s="1625">
        <v>1.7345559929733243</v>
      </c>
      <c r="J180" s="1625">
        <v>1.3278206343302987</v>
      </c>
      <c r="K180" s="1625">
        <v>1.6583172362964902</v>
      </c>
      <c r="L180" s="1625">
        <v>3.6386436883267375</v>
      </c>
      <c r="M180" s="1625">
        <v>1.538793518918701</v>
      </c>
      <c r="N180" s="1625">
        <v>2.4739111070562831</v>
      </c>
      <c r="O180" s="1625">
        <v>4.0239200856971413</v>
      </c>
      <c r="P180" s="1625">
        <v>2.8438195432580713</v>
      </c>
      <c r="Q180" s="1625">
        <v>2.878604052809977</v>
      </c>
      <c r="R180" s="1625">
        <v>2.7900951464250348</v>
      </c>
      <c r="S180" s="1625">
        <v>4.3874127949662913</v>
      </c>
      <c r="T180" s="1625">
        <v>3.6106070432198356</v>
      </c>
      <c r="U180" s="1625">
        <v>26.704967906555286</v>
      </c>
      <c r="V180" s="1625">
        <v>5.729331193688405</v>
      </c>
      <c r="W180" s="1625">
        <v>3.6999054677961585</v>
      </c>
      <c r="X180" s="1625">
        <v>2.9103473588578184</v>
      </c>
      <c r="Y180" s="1625">
        <v>2.9458066734032093</v>
      </c>
      <c r="Z180" s="1625">
        <v>2.827470077115017</v>
      </c>
      <c r="AA180" s="1625">
        <v>2.8247541760613224</v>
      </c>
      <c r="AB180" s="1625">
        <v>2.799119604957153</v>
      </c>
      <c r="AC180" s="1625">
        <v>2.5992883845440735</v>
      </c>
      <c r="AD180" s="1625">
        <v>2.4612813185599407</v>
      </c>
      <c r="AE180" s="1625">
        <v>2.3339566241188194</v>
      </c>
      <c r="AF180" s="1625">
        <v>2.2167273316813909</v>
      </c>
      <c r="AG180" s="1625">
        <v>2.1519357588984209</v>
      </c>
      <c r="AH180" s="1625">
        <v>2.0528788664143156</v>
      </c>
      <c r="AI180" s="1133"/>
      <c r="AJ180" s="1133"/>
      <c r="AK180" s="1133"/>
      <c r="AL180" s="1133"/>
      <c r="AM180" s="1133"/>
      <c r="AN180" s="1133"/>
    </row>
    <row r="181" spans="1:40">
      <c r="A181" s="97" t="s">
        <v>603</v>
      </c>
      <c r="B181" s="1623"/>
      <c r="C181" s="1623"/>
      <c r="D181" s="1623"/>
      <c r="E181" s="1623"/>
      <c r="F181" s="1623"/>
      <c r="G181" s="1623"/>
      <c r="H181" s="1623"/>
      <c r="I181" s="1623"/>
      <c r="J181" s="1623">
        <v>6.4604141966286346E-2</v>
      </c>
      <c r="K181" s="1623">
        <v>8.4835727901093824E-2</v>
      </c>
      <c r="L181" s="1623">
        <v>0.11732889549707082</v>
      </c>
      <c r="M181" s="1623">
        <v>0.20348721141064771</v>
      </c>
      <c r="N181" s="1623">
        <v>0.20383244981039181</v>
      </c>
      <c r="O181" s="1623">
        <v>0.54431000881349789</v>
      </c>
      <c r="P181" s="1623">
        <v>0.10651486466832522</v>
      </c>
      <c r="Q181" s="1623">
        <v>0.13364295725726261</v>
      </c>
      <c r="R181" s="1623">
        <v>7.698997588029155E-2</v>
      </c>
      <c r="S181" s="1623">
        <v>0.37909485126403719</v>
      </c>
      <c r="T181" s="1623">
        <v>8.3035278762637929E-2</v>
      </c>
      <c r="U181" s="1623">
        <v>4.6237137982573978E-2</v>
      </c>
      <c r="V181" s="1623">
        <v>4.7617315189103886E-2</v>
      </c>
      <c r="W181" s="1623">
        <v>6.1359057481185336E-2</v>
      </c>
      <c r="X181" s="1623">
        <v>6.2173000691266911E-2</v>
      </c>
      <c r="Y181" s="1626">
        <v>7.4286596545201727E-2</v>
      </c>
      <c r="Z181" s="1626">
        <v>6.7195229270461204E-2</v>
      </c>
      <c r="AA181" s="1626">
        <v>6.2216134249423946E-2</v>
      </c>
      <c r="AB181" s="1626">
        <v>5.9964490335191516E-2</v>
      </c>
      <c r="AC181" s="1626">
        <v>6.191047372215093E-2</v>
      </c>
      <c r="AD181" s="1626">
        <v>6.3888594464827517E-2</v>
      </c>
      <c r="AE181" s="1626">
        <v>6.4251883688742475E-2</v>
      </c>
      <c r="AF181" s="1626">
        <v>6.6416118175156733E-2</v>
      </c>
      <c r="AG181" s="1626">
        <v>6.8624443388235978E-2</v>
      </c>
      <c r="AH181" s="1626">
        <v>6.9304995204476028E-2</v>
      </c>
      <c r="AI181" s="1133"/>
      <c r="AJ181" s="1133"/>
      <c r="AK181" s="1133"/>
      <c r="AL181" s="1133"/>
      <c r="AM181" s="1133"/>
      <c r="AN181" s="1133"/>
    </row>
    <row r="182" spans="1:40">
      <c r="A182" s="116" t="s">
        <v>522</v>
      </c>
      <c r="B182" s="1623">
        <v>4.0478386069325231E-3</v>
      </c>
      <c r="C182" s="1623">
        <v>-3.3843928040317883E-2</v>
      </c>
      <c r="D182" s="1623">
        <v>-3.9209595293873412E-3</v>
      </c>
      <c r="E182" s="1623">
        <v>-1.7267999678584381E-3</v>
      </c>
      <c r="F182" s="1623">
        <v>-3.3070327738837807E-2</v>
      </c>
      <c r="G182" s="1623">
        <v>-4.1261480236106082E-2</v>
      </c>
      <c r="H182" s="1623">
        <v>-5.2434054270025635E-2</v>
      </c>
      <c r="I182" s="1623">
        <v>-8.05741171357892E-2</v>
      </c>
      <c r="J182" s="1623">
        <v>-2.4444860832219914E-3</v>
      </c>
      <c r="K182" s="1623">
        <v>-3.2114003990451382E-3</v>
      </c>
      <c r="L182" s="1623">
        <v>-2.175626728134725E-2</v>
      </c>
      <c r="M182" s="1623">
        <v>-3.2018165151363096E-3</v>
      </c>
      <c r="N182" s="1623">
        <v>-8.7742594906720268E-3</v>
      </c>
      <c r="O182" s="1623">
        <v>-3.2600424863669278E-2</v>
      </c>
      <c r="P182" s="1623">
        <v>-2.2616715067986078E-2</v>
      </c>
      <c r="Q182" s="1623">
        <v>-3.641652547339367E-2</v>
      </c>
      <c r="R182" s="1623">
        <v>-1.6469632654763776E-2</v>
      </c>
      <c r="S182" s="1623">
        <v>-4.485927047775258E-2</v>
      </c>
      <c r="T182" s="1623">
        <v>-3.8237512999612297E-2</v>
      </c>
      <c r="U182" s="1623">
        <v>-7.2735927358005895E-3</v>
      </c>
      <c r="V182" s="1623">
        <v>-4.0924348647979293E-3</v>
      </c>
      <c r="W182" s="1623">
        <v>-1.0225710525174557E-2</v>
      </c>
      <c r="X182" s="1623">
        <v>-8.4610275855055862E-3</v>
      </c>
      <c r="Y182" s="1626">
        <v>-8.3315933480370974E-3</v>
      </c>
      <c r="Z182" s="1626">
        <v>-8.3306728511648182E-3</v>
      </c>
      <c r="AA182" s="1626">
        <v>-8.4168838054885474E-3</v>
      </c>
      <c r="AB182" s="1626">
        <v>-8.5353517899665176E-3</v>
      </c>
      <c r="AC182" s="1626">
        <v>-8.9082079536744688E-3</v>
      </c>
      <c r="AD182" s="1626">
        <v>-8.9126990690188007E-3</v>
      </c>
      <c r="AE182" s="1626">
        <v>-8.9103082290653123E-3</v>
      </c>
      <c r="AF182" s="1626">
        <v>-8.9146509619335065E-3</v>
      </c>
      <c r="AG182" s="1626">
        <v>-8.9191661703716049E-3</v>
      </c>
      <c r="AH182" s="1626">
        <v>-8.916943987265627E-3</v>
      </c>
      <c r="AI182" s="1133"/>
      <c r="AJ182" s="1133"/>
      <c r="AK182" s="1133"/>
      <c r="AL182" s="1133"/>
      <c r="AM182" s="1133"/>
      <c r="AN182" s="1133"/>
    </row>
    <row r="183" spans="1:40">
      <c r="A183" s="98" t="s">
        <v>30</v>
      </c>
      <c r="B183" s="967">
        <v>10.016999999999996</v>
      </c>
      <c r="C183" s="967">
        <v>-88.939000000000021</v>
      </c>
      <c r="D183" s="967">
        <v>-11.258999999999986</v>
      </c>
      <c r="E183" s="967">
        <v>-6.4039999999999964</v>
      </c>
      <c r="F183" s="967">
        <v>-154.28300000000002</v>
      </c>
      <c r="G183" s="967">
        <v>-248.66000000000008</v>
      </c>
      <c r="H183" s="967">
        <v>-366.27299999999991</v>
      </c>
      <c r="I183" s="967">
        <v>-627.41800000000012</v>
      </c>
      <c r="J183" s="967">
        <v>-20.990999999999985</v>
      </c>
      <c r="K183" s="967">
        <v>-28.842999999999961</v>
      </c>
      <c r="L183" s="967">
        <v>-232.71600000000001</v>
      </c>
      <c r="M183" s="967">
        <v>-43.287000000000035</v>
      </c>
      <c r="N183" s="967">
        <v>-137.86700000000019</v>
      </c>
      <c r="O183" s="967">
        <v>-743.29799999999977</v>
      </c>
      <c r="P183" s="967">
        <v>-730.25700000000006</v>
      </c>
      <c r="Q183" s="967">
        <v>-1372.971</v>
      </c>
      <c r="R183" s="967">
        <v>-700.43899999999985</v>
      </c>
      <c r="S183" s="967">
        <v>-2070.5510000000004</v>
      </c>
      <c r="T183" s="967">
        <v>-2223.6880000000001</v>
      </c>
      <c r="U183" s="967">
        <v>-280</v>
      </c>
      <c r="V183" s="967">
        <v>-218.45200000000023</v>
      </c>
      <c r="W183" s="967">
        <v>-703.84900000000016</v>
      </c>
      <c r="X183" s="967">
        <v>-644.99300000000039</v>
      </c>
      <c r="Y183" s="1397">
        <v>-667.54491025614698</v>
      </c>
      <c r="Z183" s="1397">
        <v>-747.90372681682129</v>
      </c>
      <c r="AA183" s="1397">
        <v>-823.79115786080638</v>
      </c>
      <c r="AB183" s="1397">
        <v>-900.46327280443893</v>
      </c>
      <c r="AC183" s="1397">
        <v>-1001.8983004337133</v>
      </c>
      <c r="AD183" s="1397">
        <v>-1068.0369744345571</v>
      </c>
      <c r="AE183" s="1397">
        <v>-1136.0117704555432</v>
      </c>
      <c r="AF183" s="1397">
        <v>-1207.4789435751318</v>
      </c>
      <c r="AG183" s="1397">
        <v>-1283.0161503409727</v>
      </c>
      <c r="AH183" s="1397">
        <v>-1361.0951827303743</v>
      </c>
      <c r="AI183" s="1133"/>
      <c r="AJ183" s="1133"/>
      <c r="AK183" s="1133"/>
      <c r="AL183" s="1133"/>
      <c r="AM183" s="1133"/>
      <c r="AN183" s="1133"/>
    </row>
    <row r="184" spans="1:40">
      <c r="A184" s="9" t="s">
        <v>38</v>
      </c>
      <c r="B184" s="967">
        <v>1.4572218984957084</v>
      </c>
      <c r="C184" s="967">
        <v>-12.183814094514439</v>
      </c>
      <c r="D184" s="967">
        <v>-1.4115454305794428</v>
      </c>
      <c r="E184" s="967">
        <v>-0.62164798842903768</v>
      </c>
      <c r="F184" s="967">
        <v>-11.905317985981611</v>
      </c>
      <c r="G184" s="967">
        <v>-14.85413288499819</v>
      </c>
      <c r="H184" s="967">
        <v>-18.876259537209229</v>
      </c>
      <c r="I184" s="967">
        <v>-29.006682168884112</v>
      </c>
      <c r="J184" s="967">
        <v>-0.88001498995991689</v>
      </c>
      <c r="K184" s="967">
        <v>-1.1561041436562498</v>
      </c>
      <c r="L184" s="967">
        <v>-7.83225622128501</v>
      </c>
      <c r="M184" s="967">
        <v>-1.1526539454490714</v>
      </c>
      <c r="N184" s="967">
        <v>-3.1587334166419296</v>
      </c>
      <c r="O184" s="967">
        <v>-11.736152950920941</v>
      </c>
      <c r="P184" s="967">
        <v>-8.1420174244749877</v>
      </c>
      <c r="Q184" s="967">
        <v>-13.109949170421721</v>
      </c>
      <c r="R184" s="967">
        <v>-5.9290677557149589</v>
      </c>
      <c r="S184" s="967">
        <v>-16.149337371990928</v>
      </c>
      <c r="T184" s="967">
        <v>-13.765504679860427</v>
      </c>
      <c r="U184" s="967">
        <v>-2.6184933848882124</v>
      </c>
      <c r="V184" s="967">
        <v>-1.4732765513272545</v>
      </c>
      <c r="W184" s="967">
        <v>-3.6812557890628406</v>
      </c>
      <c r="X184" s="967">
        <v>-3.0459699307820109</v>
      </c>
      <c r="Y184" s="1397">
        <v>-2.9993736052933553</v>
      </c>
      <c r="Z184" s="1397">
        <v>-2.9990422264193346</v>
      </c>
      <c r="AA184" s="1397">
        <v>-3.030078169975877</v>
      </c>
      <c r="AB184" s="1397">
        <v>-3.0727266443879464</v>
      </c>
      <c r="AC184" s="1397">
        <v>-3.2069548633228089</v>
      </c>
      <c r="AD184" s="1397">
        <v>-3.2085716648467684</v>
      </c>
      <c r="AE184" s="1397">
        <v>-3.2077109624635125</v>
      </c>
      <c r="AF184" s="1397">
        <v>-3.2092743462960622</v>
      </c>
      <c r="AG184" s="1397">
        <v>-3.2108998213337778</v>
      </c>
      <c r="AH184" s="1397">
        <v>-3.2100998354156256</v>
      </c>
      <c r="AI184" s="1133"/>
      <c r="AJ184" s="1133"/>
      <c r="AK184" s="1133"/>
      <c r="AL184" s="1133"/>
      <c r="AM184" s="1133"/>
      <c r="AN184" s="1133"/>
    </row>
    <row r="185" spans="1:40">
      <c r="A185" s="126" t="s">
        <v>1549</v>
      </c>
      <c r="B185" s="12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535"/>
      <c r="R185" s="1627"/>
      <c r="S185" s="1627"/>
      <c r="T185" s="1627"/>
      <c r="U185" s="1627"/>
      <c r="V185" s="1627"/>
      <c r="W185" s="1627"/>
      <c r="X185" s="16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 t="s">
        <v>281</v>
      </c>
      <c r="AI185" s="1133"/>
      <c r="AJ185" s="1133"/>
      <c r="AK185" s="1133"/>
      <c r="AL185" s="1133"/>
      <c r="AM185" s="1133"/>
      <c r="AN185" s="1133"/>
    </row>
    <row r="186" spans="1:40">
      <c r="A186" s="103"/>
      <c r="B186" s="1628"/>
      <c r="C186" s="1628"/>
      <c r="D186" s="1628"/>
      <c r="E186" s="1628"/>
      <c r="F186" s="1628"/>
      <c r="G186" s="1628"/>
      <c r="H186" s="1628"/>
      <c r="I186" s="1628"/>
      <c r="J186" s="1628"/>
      <c r="K186" s="1628"/>
      <c r="L186" s="1628"/>
      <c r="M186" s="1628"/>
      <c r="N186" s="1628"/>
      <c r="O186" s="1628"/>
      <c r="P186" s="1628"/>
      <c r="Q186" s="1628"/>
      <c r="R186" s="1628"/>
      <c r="S186" s="1628"/>
      <c r="T186" s="1628"/>
      <c r="U186" s="1628"/>
      <c r="V186" s="1628"/>
      <c r="W186" s="1628"/>
      <c r="X186" s="1628"/>
      <c r="Y186" s="1628"/>
      <c r="Z186" s="1628"/>
      <c r="AA186" s="1628"/>
      <c r="AB186" s="1628"/>
      <c r="AC186" s="1628"/>
      <c r="AD186" s="1628"/>
      <c r="AE186" s="1628"/>
      <c r="AF186" s="1628"/>
      <c r="AG186" s="1628"/>
      <c r="AH186" s="1628"/>
      <c r="AI186" s="1133"/>
      <c r="AJ186" s="1133"/>
      <c r="AK186" s="1133"/>
      <c r="AL186" s="1133"/>
      <c r="AM186" s="1133"/>
      <c r="AN186" s="1133"/>
    </row>
    <row r="187" spans="1:40">
      <c r="A187" s="1126" t="s">
        <v>1123</v>
      </c>
      <c r="B187" s="1124">
        <v>2001</v>
      </c>
      <c r="C187" s="1124">
        <v>2002</v>
      </c>
      <c r="D187" s="1124">
        <v>2003</v>
      </c>
      <c r="E187" s="1124">
        <v>2004</v>
      </c>
      <c r="F187" s="1124">
        <v>2005</v>
      </c>
      <c r="G187" s="1124">
        <v>2006</v>
      </c>
      <c r="H187" s="1124">
        <v>2007</v>
      </c>
      <c r="I187" s="1124">
        <v>2008</v>
      </c>
      <c r="J187" s="1124">
        <v>2009</v>
      </c>
      <c r="K187" s="1124">
        <v>2010</v>
      </c>
      <c r="L187" s="1124">
        <v>2011</v>
      </c>
      <c r="M187" s="1124">
        <v>2012</v>
      </c>
      <c r="N187" s="1124">
        <v>2013</v>
      </c>
      <c r="O187" s="1124">
        <v>2014</v>
      </c>
      <c r="P187" s="1124">
        <v>2015</v>
      </c>
      <c r="Q187" s="1124">
        <v>2016</v>
      </c>
      <c r="R187" s="1124">
        <v>2017</v>
      </c>
      <c r="S187" s="1583">
        <v>2018</v>
      </c>
      <c r="T187" s="1583">
        <v>2019</v>
      </c>
      <c r="U187" s="1583">
        <v>2020</v>
      </c>
      <c r="V187" s="1583">
        <v>2021</v>
      </c>
      <c r="W187" s="1583">
        <v>2022</v>
      </c>
      <c r="X187" s="1583">
        <v>2023</v>
      </c>
      <c r="Y187" s="1445">
        <v>2024</v>
      </c>
      <c r="Z187" s="1445">
        <v>2025</v>
      </c>
      <c r="AA187" s="1445">
        <v>2026</v>
      </c>
      <c r="AB187" s="1445">
        <v>2027</v>
      </c>
      <c r="AC187" s="1445">
        <v>2028</v>
      </c>
      <c r="AD187" s="1445">
        <v>2029</v>
      </c>
      <c r="AE187" s="1445">
        <v>2030</v>
      </c>
      <c r="AF187" s="1445">
        <v>2031</v>
      </c>
      <c r="AG187" s="1445">
        <v>2032</v>
      </c>
      <c r="AH187" s="1445">
        <v>2033</v>
      </c>
      <c r="AI187" s="1133"/>
      <c r="AJ187" s="1133"/>
      <c r="AK187" s="1133"/>
      <c r="AL187" s="1133"/>
      <c r="AM187" s="1133"/>
      <c r="AN187" s="1133"/>
    </row>
    <row r="188" spans="1:40">
      <c r="A188" s="124" t="s">
        <v>515</v>
      </c>
      <c r="B188" s="716">
        <v>0.88</v>
      </c>
      <c r="C188" s="716">
        <v>1.72</v>
      </c>
      <c r="D188" s="716">
        <v>2.74</v>
      </c>
      <c r="E188" s="716">
        <v>5.63</v>
      </c>
      <c r="F188" s="716">
        <v>7.84</v>
      </c>
      <c r="G188" s="716">
        <v>16.2</v>
      </c>
      <c r="H188" s="716">
        <v>13.53</v>
      </c>
      <c r="I188" s="716">
        <v>4.84</v>
      </c>
      <c r="J188" s="716">
        <v>9.16</v>
      </c>
      <c r="K188" s="716">
        <v>12.1</v>
      </c>
      <c r="L188" s="716">
        <v>13.44</v>
      </c>
      <c r="M188" s="716">
        <v>25.15</v>
      </c>
      <c r="N188" s="716">
        <v>40.78</v>
      </c>
      <c r="O188" s="716">
        <v>40.770000000000003</v>
      </c>
      <c r="P188" s="716">
        <v>59.85</v>
      </c>
      <c r="Q188" s="716">
        <v>59.33</v>
      </c>
      <c r="R188" s="716">
        <v>64.37</v>
      </c>
      <c r="S188" s="716">
        <v>51.15</v>
      </c>
      <c r="T188" s="716">
        <v>49.83</v>
      </c>
      <c r="U188" s="716">
        <v>25.89</v>
      </c>
      <c r="V188" s="716">
        <v>37.950000000000003</v>
      </c>
      <c r="W188" s="716">
        <v>36.86</v>
      </c>
      <c r="X188" s="716">
        <v>64.16</v>
      </c>
      <c r="Y188" s="1629">
        <v>61.26</v>
      </c>
      <c r="Z188" s="1629">
        <v>61.26</v>
      </c>
      <c r="AA188" s="1629">
        <v>61.26</v>
      </c>
      <c r="AB188" s="1629">
        <v>61.26</v>
      </c>
      <c r="AC188" s="1629">
        <v>61.26</v>
      </c>
      <c r="AD188" s="1629">
        <v>61.26</v>
      </c>
      <c r="AE188" s="1629">
        <v>61.26</v>
      </c>
      <c r="AF188" s="1629">
        <v>61.26</v>
      </c>
      <c r="AG188" s="1629">
        <v>61.26</v>
      </c>
      <c r="AH188" s="1629">
        <v>61.26</v>
      </c>
      <c r="AI188" s="1133"/>
      <c r="AJ188" s="1133"/>
      <c r="AK188" s="1133"/>
      <c r="AL188" s="1133"/>
      <c r="AM188" s="1133"/>
      <c r="AN188" s="1133"/>
    </row>
    <row r="189" spans="1:40">
      <c r="A189" s="98" t="s">
        <v>88</v>
      </c>
      <c r="B189" s="438"/>
      <c r="C189" s="438"/>
      <c r="D189" s="438">
        <v>1280.1280000000002</v>
      </c>
      <c r="E189" s="438">
        <v>2796.9839999999999</v>
      </c>
      <c r="F189" s="438">
        <v>4283.7759999999998</v>
      </c>
      <c r="G189" s="438">
        <v>10095.84</v>
      </c>
      <c r="H189" s="438">
        <v>8372.3639999999996</v>
      </c>
      <c r="I189" s="438">
        <v>2991.12</v>
      </c>
      <c r="J189" s="438">
        <v>5512.4879999999994</v>
      </c>
      <c r="K189" s="438">
        <v>7322.92</v>
      </c>
      <c r="L189" s="438">
        <v>8144.6399999999994</v>
      </c>
      <c r="M189" s="438">
        <v>17298.169999999998</v>
      </c>
      <c r="N189" s="438">
        <v>28048.484</v>
      </c>
      <c r="O189" s="438">
        <v>34148.952000000005</v>
      </c>
      <c r="P189" s="438">
        <v>50124.375</v>
      </c>
      <c r="Q189" s="438">
        <v>49499.018999999993</v>
      </c>
      <c r="R189" s="438">
        <v>53607.336000000003</v>
      </c>
      <c r="S189" s="438">
        <v>42740.94</v>
      </c>
      <c r="T189" s="438">
        <v>41782.455000000002</v>
      </c>
      <c r="U189" s="438">
        <v>21708.764999999999</v>
      </c>
      <c r="V189" s="438">
        <v>31824.870000000003</v>
      </c>
      <c r="W189" s="438">
        <v>30225.200000000001</v>
      </c>
      <c r="X189" s="438">
        <v>51950.351999999999</v>
      </c>
      <c r="Y189" s="447">
        <v>49926.9</v>
      </c>
      <c r="Z189" s="447">
        <v>49926.9</v>
      </c>
      <c r="AA189" s="447">
        <v>49926.9</v>
      </c>
      <c r="AB189" s="447">
        <v>49926.9</v>
      </c>
      <c r="AC189" s="447">
        <v>49926.9</v>
      </c>
      <c r="AD189" s="447">
        <v>49926.9</v>
      </c>
      <c r="AE189" s="447">
        <v>49926.9</v>
      </c>
      <c r="AF189" s="447">
        <v>49926.9</v>
      </c>
      <c r="AG189" s="447">
        <v>49926.9</v>
      </c>
      <c r="AH189" s="447">
        <v>49926.9</v>
      </c>
      <c r="AI189" s="1133"/>
      <c r="AJ189" s="1133"/>
      <c r="AK189" s="1133"/>
      <c r="AL189" s="1133"/>
      <c r="AM189" s="1133"/>
      <c r="AN189" s="1133"/>
    </row>
    <row r="190" spans="1:40">
      <c r="A190" s="98" t="s">
        <v>89</v>
      </c>
      <c r="B190" s="438">
        <v>91.750000000000014</v>
      </c>
      <c r="C190" s="438">
        <v>-114.06300000000002</v>
      </c>
      <c r="D190" s="438">
        <v>1161.788</v>
      </c>
      <c r="E190" s="438">
        <v>2911.1210000000001</v>
      </c>
      <c r="F190" s="438">
        <v>4970.1949999999997</v>
      </c>
      <c r="G190" s="438">
        <v>10417.547999999999</v>
      </c>
      <c r="H190" s="438">
        <v>9331.0919999999987</v>
      </c>
      <c r="I190" s="438">
        <v>4352.1569999999992</v>
      </c>
      <c r="J190" s="438">
        <v>6601.1819999999998</v>
      </c>
      <c r="K190" s="438">
        <v>8584.4049999999988</v>
      </c>
      <c r="L190" s="438">
        <v>11760.655999999999</v>
      </c>
      <c r="M190" s="438">
        <v>19148.244999999995</v>
      </c>
      <c r="N190" s="438">
        <v>32668.334999999999</v>
      </c>
      <c r="O190" s="438">
        <v>45564.771000000001</v>
      </c>
      <c r="P190" s="438">
        <v>62518.099000000002</v>
      </c>
      <c r="Q190" s="438">
        <v>62804.513999999988</v>
      </c>
      <c r="R190" s="438">
        <v>71251.106</v>
      </c>
      <c r="S190" s="438">
        <v>70747.756999999998</v>
      </c>
      <c r="T190" s="438">
        <v>91367.233999999997</v>
      </c>
      <c r="U190" s="438">
        <v>82775.359999999986</v>
      </c>
      <c r="V190" s="438">
        <v>87178.186999999991</v>
      </c>
      <c r="W190" s="438">
        <v>79719.270999999993</v>
      </c>
      <c r="X190" s="438">
        <v>96227.362000000008</v>
      </c>
      <c r="Y190" s="447">
        <v>98265.165079783954</v>
      </c>
      <c r="Z190" s="447">
        <v>97381.437150530037</v>
      </c>
      <c r="AA190" s="447">
        <v>95861.209686949776</v>
      </c>
      <c r="AB190" s="447">
        <v>93660.158432576209</v>
      </c>
      <c r="AC190" s="447">
        <v>91055.600614880546</v>
      </c>
      <c r="AD190" s="447">
        <v>88241.93916981238</v>
      </c>
      <c r="AE190" s="447">
        <v>84906.682576328501</v>
      </c>
      <c r="AF190" s="447">
        <v>81265.746850123265</v>
      </c>
      <c r="AG190" s="447">
        <v>77319.586235012466</v>
      </c>
      <c r="AH190" s="447">
        <v>72793.147504976412</v>
      </c>
      <c r="AI190" s="1133"/>
      <c r="AJ190" s="1133"/>
      <c r="AK190" s="1133"/>
      <c r="AL190" s="1133"/>
      <c r="AM190" s="1133"/>
      <c r="AN190" s="1133"/>
    </row>
    <row r="191" spans="1:40" s="1209" customFormat="1">
      <c r="A191" s="1237" t="s">
        <v>1235</v>
      </c>
      <c r="B191" s="1518">
        <v>91.750000000000014</v>
      </c>
      <c r="C191" s="1518">
        <v>-114.06300000000002</v>
      </c>
      <c r="D191" s="1518">
        <v>1161.788</v>
      </c>
      <c r="E191" s="1518">
        <v>2911.1210000000001</v>
      </c>
      <c r="F191" s="1518">
        <v>4970.1949999999997</v>
      </c>
      <c r="G191" s="1518">
        <v>10417.547999999999</v>
      </c>
      <c r="H191" s="1518">
        <v>9331.0919999999987</v>
      </c>
      <c r="I191" s="1518">
        <v>4352.1569999999992</v>
      </c>
      <c r="J191" s="1518">
        <v>6601.1819999999998</v>
      </c>
      <c r="K191" s="1518">
        <v>8584.4049999999988</v>
      </c>
      <c r="L191" s="1518">
        <v>11760.655999999999</v>
      </c>
      <c r="M191" s="1518">
        <v>19148.244999999995</v>
      </c>
      <c r="N191" s="1518">
        <v>32668.334999999999</v>
      </c>
      <c r="O191" s="1518">
        <v>45564.771000000001</v>
      </c>
      <c r="P191" s="1518">
        <v>62518.099000000002</v>
      </c>
      <c r="Q191" s="1518">
        <v>62804.513999999988</v>
      </c>
      <c r="R191" s="1518">
        <v>71251.106</v>
      </c>
      <c r="S191" s="1518">
        <v>70747.756999999998</v>
      </c>
      <c r="T191" s="1518">
        <v>68805.373999999996</v>
      </c>
      <c r="U191" s="1518">
        <v>57475.360000000001</v>
      </c>
      <c r="V191" s="1518">
        <v>63414.913000000008</v>
      </c>
      <c r="W191" s="1518">
        <v>57737.46</v>
      </c>
      <c r="X191" s="1518">
        <v>77897.294999999998</v>
      </c>
      <c r="Y191" s="1518">
        <v>79607.273540052862</v>
      </c>
      <c r="Z191" s="1518">
        <v>78306.037659412759</v>
      </c>
      <c r="AA191" s="1518">
        <v>76314.442295934146</v>
      </c>
      <c r="AB191" s="1518">
        <v>73704.968661293911</v>
      </c>
      <c r="AC191" s="1518">
        <v>70649.444699311614</v>
      </c>
      <c r="AD191" s="1518">
        <v>67473.845543185584</v>
      </c>
      <c r="AE191" s="1518">
        <v>63832.132089412808</v>
      </c>
      <c r="AF191" s="1518">
        <v>59912.134807267277</v>
      </c>
      <c r="AG191" s="1518">
        <v>55693.482434572201</v>
      </c>
      <c r="AH191" s="1518">
        <v>50940.791325135702</v>
      </c>
      <c r="AI191" s="1243"/>
      <c r="AJ191" s="1243"/>
      <c r="AK191" s="1243"/>
      <c r="AL191" s="1243"/>
      <c r="AM191" s="1243"/>
      <c r="AN191" s="1243"/>
    </row>
    <row r="192" spans="1:40">
      <c r="A192" s="98" t="s">
        <v>638</v>
      </c>
      <c r="B192" s="1630">
        <v>3.7075890205256985E-2</v>
      </c>
      <c r="C192" s="1630">
        <v>-4.3404355390354948E-2</v>
      </c>
      <c r="D192" s="605">
        <v>0.40459398967296084</v>
      </c>
      <c r="E192" s="605">
        <v>0.78496621630731211</v>
      </c>
      <c r="F192" s="605">
        <v>1.0653537821790666</v>
      </c>
      <c r="G192" s="605">
        <v>1.7286393103462006</v>
      </c>
      <c r="H192" s="605">
        <v>1.3357986647298659</v>
      </c>
      <c r="I192" s="605">
        <v>0.55891161540049017</v>
      </c>
      <c r="J192" s="605">
        <v>0.76873410184438673</v>
      </c>
      <c r="K192" s="605">
        <v>0.95579383706844334</v>
      </c>
      <c r="L192" s="605">
        <v>1.0994859628903049</v>
      </c>
      <c r="M192" s="605">
        <v>1.4163413282712176</v>
      </c>
      <c r="N192" s="605">
        <v>2.0791084771424835</v>
      </c>
      <c r="O192" s="605">
        <v>1.9984325175310538</v>
      </c>
      <c r="P192" s="605">
        <v>1.9362416678993084</v>
      </c>
      <c r="Q192" s="605">
        <v>1.665819732481683</v>
      </c>
      <c r="R192" s="605">
        <v>1.6753486628609136</v>
      </c>
      <c r="S192" s="605">
        <v>1.5327769115357761</v>
      </c>
      <c r="T192" s="605">
        <v>1.5711088056479228</v>
      </c>
      <c r="U192" s="605">
        <v>2.1502652042831376</v>
      </c>
      <c r="V192" s="605">
        <v>1.6331782356246367</v>
      </c>
      <c r="W192" s="605">
        <v>1.158183344046724</v>
      </c>
      <c r="X192" s="605">
        <v>1.2623119388310129</v>
      </c>
      <c r="Y192" s="606">
        <v>1.2264424207928508</v>
      </c>
      <c r="Z192" s="606">
        <v>1.0847023027016256</v>
      </c>
      <c r="AA192" s="606">
        <v>0.97943836333936596</v>
      </c>
      <c r="AB192" s="606">
        <v>0.88779012433931226</v>
      </c>
      <c r="AC192" s="606">
        <v>0.80960535143432044</v>
      </c>
      <c r="AD192" s="606">
        <v>0.7363732416694444</v>
      </c>
      <c r="AE192" s="606">
        <v>0.66596555787368306</v>
      </c>
      <c r="AF192" s="606">
        <v>0.59997383158062423</v>
      </c>
      <c r="AG192" s="606">
        <v>0.53750394152963632</v>
      </c>
      <c r="AH192" s="606">
        <v>0.47688980696893779</v>
      </c>
      <c r="AI192" s="1133"/>
      <c r="AJ192" s="1133"/>
      <c r="AK192" s="1133"/>
      <c r="AL192" s="1133"/>
      <c r="AM192" s="1133"/>
      <c r="AN192" s="1133"/>
    </row>
    <row r="193" spans="1:40" s="1209" customFormat="1">
      <c r="A193" s="1237" t="s">
        <v>1237</v>
      </c>
      <c r="B193" s="1631">
        <v>3.7075890205256985E-2</v>
      </c>
      <c r="C193" s="1631">
        <v>-4.3404355390354948E-2</v>
      </c>
      <c r="D193" s="1268">
        <v>0.40459398967296084</v>
      </c>
      <c r="E193" s="1268">
        <v>0.78496621630731211</v>
      </c>
      <c r="F193" s="1268">
        <v>1.0653537821790666</v>
      </c>
      <c r="G193" s="1268">
        <v>1.7286393103462006</v>
      </c>
      <c r="H193" s="1268">
        <v>1.3357986647298659</v>
      </c>
      <c r="I193" s="1268">
        <v>0.55891161540049017</v>
      </c>
      <c r="J193" s="1268">
        <v>0.76873410184438673</v>
      </c>
      <c r="K193" s="1268">
        <v>0.95579383706844334</v>
      </c>
      <c r="L193" s="1268">
        <v>1.0994859628903049</v>
      </c>
      <c r="M193" s="1268">
        <v>1.4163413282712176</v>
      </c>
      <c r="N193" s="1268">
        <v>2.0791084771424835</v>
      </c>
      <c r="O193" s="1268">
        <v>1.9984325175310538</v>
      </c>
      <c r="P193" s="1268">
        <v>1.9362416678993084</v>
      </c>
      <c r="Q193" s="1268">
        <v>1.665819732481683</v>
      </c>
      <c r="R193" s="1268">
        <v>1.6753486628609136</v>
      </c>
      <c r="S193" s="1268">
        <v>1.5327769115357761</v>
      </c>
      <c r="T193" s="1268">
        <v>1.1831454694940053</v>
      </c>
      <c r="U193" s="1268">
        <v>1.4930441463697277</v>
      </c>
      <c r="V193" s="1268">
        <v>1.1880019450924102</v>
      </c>
      <c r="W193" s="1268">
        <v>0.83882558960635711</v>
      </c>
      <c r="X193" s="1268">
        <v>1.0218578524592763</v>
      </c>
      <c r="Y193" s="1268">
        <v>0.99357424570456687</v>
      </c>
      <c r="Z193" s="1268">
        <v>0.87222721136584624</v>
      </c>
      <c r="AA193" s="1268">
        <v>0.779724068844729</v>
      </c>
      <c r="AB193" s="1268">
        <v>0.69863797357699386</v>
      </c>
      <c r="AC193" s="1268">
        <v>0.62816749456571364</v>
      </c>
      <c r="AD193" s="1268">
        <v>0.56306485145259089</v>
      </c>
      <c r="AE193" s="1268">
        <v>0.50066732284561044</v>
      </c>
      <c r="AF193" s="1268">
        <v>0.44232305087634233</v>
      </c>
      <c r="AG193" s="1268">
        <v>0.38716537146364743</v>
      </c>
      <c r="AH193" s="1268">
        <v>0.33372844800024803</v>
      </c>
      <c r="AI193" s="1243"/>
      <c r="AJ193" s="1243"/>
      <c r="AK193" s="1243"/>
      <c r="AL193" s="1243"/>
      <c r="AM193" s="1243"/>
      <c r="AN193" s="1243"/>
    </row>
    <row r="194" spans="1:40">
      <c r="A194" s="98" t="s">
        <v>90</v>
      </c>
      <c r="B194" s="605">
        <v>0.2775542554285681</v>
      </c>
      <c r="C194" s="605">
        <v>-0.29711411476336475</v>
      </c>
      <c r="D194" s="605">
        <v>2.7980800030827844</v>
      </c>
      <c r="E194" s="605">
        <v>5.3370702883658172</v>
      </c>
      <c r="F194" s="605">
        <v>7.094653524705409</v>
      </c>
      <c r="G194" s="605">
        <v>10.34062409733988</v>
      </c>
      <c r="H194" s="605">
        <v>7.2408363312422974</v>
      </c>
      <c r="I194" s="605">
        <v>4.2169326216224325</v>
      </c>
      <c r="J194" s="605">
        <v>6.5996244886206892</v>
      </c>
      <c r="K194" s="605">
        <v>8.5961731610574876</v>
      </c>
      <c r="L194" s="605">
        <v>10.549121090158556</v>
      </c>
      <c r="M194" s="605">
        <v>11.907631221374759</v>
      </c>
      <c r="N194" s="605">
        <v>16.023928225623699</v>
      </c>
      <c r="O194" s="605">
        <v>16.313379938791847</v>
      </c>
      <c r="P194" s="605">
        <v>14.533249072640325</v>
      </c>
      <c r="Q194" s="605">
        <v>12.182660431972296</v>
      </c>
      <c r="R194" s="605">
        <v>11.018932474555553</v>
      </c>
      <c r="S194" s="605">
        <v>11.039990218960767</v>
      </c>
      <c r="T194" s="605">
        <v>7.2412765416829048</v>
      </c>
      <c r="U194" s="605">
        <v>11.953576280741968</v>
      </c>
      <c r="V194" s="605">
        <v>7.0811698615309266</v>
      </c>
      <c r="W194" s="605">
        <v>5.6740526587080211</v>
      </c>
      <c r="X194" s="605">
        <v>6.0291363825781463</v>
      </c>
      <c r="Y194" s="606">
        <v>5.8210253461413695</v>
      </c>
      <c r="Z194" s="606">
        <v>5.1002748848571224</v>
      </c>
      <c r="AA194" s="606">
        <v>4.6055571665689152</v>
      </c>
      <c r="AB194" s="606">
        <v>4.174630140181562</v>
      </c>
      <c r="AC194" s="606">
        <v>3.8069702611997935</v>
      </c>
      <c r="AD194" s="606">
        <v>3.4626010124647149</v>
      </c>
      <c r="AE194" s="606">
        <v>3.1315389646183562</v>
      </c>
      <c r="AF194" s="606">
        <v>2.821218406717616</v>
      </c>
      <c r="AG194" s="606">
        <v>2.5274601693603498</v>
      </c>
      <c r="AH194" s="606">
        <v>2.2424462438020023</v>
      </c>
      <c r="AI194" s="1133"/>
      <c r="AJ194" s="1133"/>
      <c r="AK194" s="1133"/>
      <c r="AL194" s="1133"/>
      <c r="AM194" s="1133"/>
      <c r="AN194" s="1133"/>
    </row>
    <row r="195" spans="1:40" s="1209" customFormat="1">
      <c r="A195" s="1237" t="s">
        <v>1238</v>
      </c>
      <c r="B195" s="1268">
        <v>0.2775542554285681</v>
      </c>
      <c r="C195" s="1268">
        <v>-0.29711411476336475</v>
      </c>
      <c r="D195" s="1268">
        <v>2.7980800030827844</v>
      </c>
      <c r="E195" s="1268">
        <v>5.3370702883658172</v>
      </c>
      <c r="F195" s="1268">
        <v>7.094653524705409</v>
      </c>
      <c r="G195" s="1268">
        <v>10.34062409733988</v>
      </c>
      <c r="H195" s="1268">
        <v>7.2408363312422974</v>
      </c>
      <c r="I195" s="1268">
        <v>4.2169326216224325</v>
      </c>
      <c r="J195" s="1268">
        <v>6.5996244886206892</v>
      </c>
      <c r="K195" s="1268">
        <v>8.5961731610574876</v>
      </c>
      <c r="L195" s="1268">
        <v>10.549121090158556</v>
      </c>
      <c r="M195" s="1268">
        <v>11.907631221374759</v>
      </c>
      <c r="N195" s="1268">
        <v>16.023928225623699</v>
      </c>
      <c r="O195" s="1268">
        <v>16.313379938791847</v>
      </c>
      <c r="P195" s="1268">
        <v>14.533249072640325</v>
      </c>
      <c r="Q195" s="1268">
        <v>12.182660431972296</v>
      </c>
      <c r="R195" s="1268">
        <v>11.018932474555553</v>
      </c>
      <c r="S195" s="1268">
        <v>11.039990218960767</v>
      </c>
      <c r="T195" s="1268">
        <v>8.9728557104049234</v>
      </c>
      <c r="U195" s="1268">
        <v>40.003953388987085</v>
      </c>
      <c r="V195" s="1268">
        <v>9.7019780496174679</v>
      </c>
      <c r="W195" s="1268">
        <v>6.5428546368487952</v>
      </c>
      <c r="X195" s="1268">
        <v>7.2163012735314958</v>
      </c>
      <c r="Y195" s="1268">
        <v>6.7923410288079262</v>
      </c>
      <c r="Z195" s="1268">
        <v>5.9263468630992859</v>
      </c>
      <c r="AA195" s="1268">
        <v>5.2646297481127977</v>
      </c>
      <c r="AB195" s="1268">
        <v>4.6775242730933337</v>
      </c>
      <c r="AC195" s="1268">
        <v>4.1286875740812672</v>
      </c>
      <c r="AD195" s="1268">
        <v>3.7024956482121012</v>
      </c>
      <c r="AE195" s="1268">
        <v>3.2936472644620323</v>
      </c>
      <c r="AF195" s="1268">
        <v>2.9115029600325211</v>
      </c>
      <c r="AG195" s="1268">
        <v>2.5497458858176523</v>
      </c>
      <c r="AH195" s="1268">
        <v>2.1990968555403327</v>
      </c>
      <c r="AI195" s="1243"/>
      <c r="AJ195" s="1243"/>
      <c r="AK195" s="1243"/>
      <c r="AL195" s="1243"/>
      <c r="AM195" s="1243"/>
      <c r="AN195" s="1243"/>
    </row>
    <row r="196" spans="1:40">
      <c r="A196" s="9" t="s">
        <v>306</v>
      </c>
      <c r="B196" s="605"/>
      <c r="C196" s="605"/>
      <c r="D196" s="605">
        <v>9.9894496987857764</v>
      </c>
      <c r="E196" s="605">
        <v>18.090693297285412</v>
      </c>
      <c r="F196" s="605">
        <v>15.217784851046884</v>
      </c>
      <c r="G196" s="605">
        <v>45.440527147274295</v>
      </c>
      <c r="H196" s="605">
        <v>17.499480598200385</v>
      </c>
      <c r="I196" s="605">
        <v>23.226768339558468</v>
      </c>
      <c r="J196" s="605">
        <v>53.133438716891156</v>
      </c>
      <c r="K196" s="605">
        <v>48.423683758083961</v>
      </c>
      <c r="L196" s="605">
        <v>38.849859762263563</v>
      </c>
      <c r="M196" s="605">
        <v>47.189911748257529</v>
      </c>
      <c r="N196" s="605">
        <v>41.186414943620726</v>
      </c>
      <c r="O196" s="606">
        <v>51.223479223479032</v>
      </c>
      <c r="P196" s="606">
        <v>51.084456271160214</v>
      </c>
      <c r="Q196" s="606">
        <v>49.674269823938978</v>
      </c>
      <c r="R196" s="606">
        <v>49.205012717204497</v>
      </c>
      <c r="S196" s="606">
        <v>44.836932063156418</v>
      </c>
      <c r="T196" s="606">
        <v>45.08881802583457</v>
      </c>
      <c r="U196" s="606" t="s">
        <v>628</v>
      </c>
      <c r="V196" s="606">
        <v>38.107683833654647</v>
      </c>
      <c r="W196" s="606">
        <v>18.516542253887859</v>
      </c>
      <c r="X196" s="606">
        <v>17.726085216340394</v>
      </c>
      <c r="Y196" s="606">
        <v>27.001758678118389</v>
      </c>
      <c r="Z196" s="606">
        <v>15.154215924698445</v>
      </c>
      <c r="AA196" s="606">
        <v>11.599088898173015</v>
      </c>
      <c r="AB196" s="606">
        <v>9.2042245752577525</v>
      </c>
      <c r="AC196" s="606">
        <v>8.1701329162175504</v>
      </c>
      <c r="AD196" s="606">
        <v>7.4844077134534253</v>
      </c>
      <c r="AE196" s="606">
        <v>6.9134049069783989</v>
      </c>
      <c r="AF196" s="606">
        <v>6.4099927493968449</v>
      </c>
      <c r="AG196" s="606">
        <v>5.9747034000865407</v>
      </c>
      <c r="AH196" s="606">
        <v>5.5933862893756716</v>
      </c>
      <c r="AI196" s="1133"/>
      <c r="AJ196" s="1133"/>
      <c r="AK196" s="1133"/>
      <c r="AL196" s="1133"/>
      <c r="AM196" s="1133"/>
      <c r="AN196" s="1133"/>
    </row>
    <row r="197" spans="1:40" s="1209" customFormat="1">
      <c r="A197" s="1209" t="s">
        <v>1239</v>
      </c>
      <c r="B197" s="1268"/>
      <c r="C197" s="1268"/>
      <c r="D197" s="1268">
        <v>9.9894496987857764</v>
      </c>
      <c r="E197" s="1268">
        <v>18.090693297285412</v>
      </c>
      <c r="F197" s="1268">
        <v>15.217784851046884</v>
      </c>
      <c r="G197" s="1268">
        <v>45.440527147274295</v>
      </c>
      <c r="H197" s="1268">
        <v>17.499480598200385</v>
      </c>
      <c r="I197" s="1268">
        <v>23.226768339558468</v>
      </c>
      <c r="J197" s="1268">
        <v>53.133438716891156</v>
      </c>
      <c r="K197" s="1268">
        <v>48.423683758083961</v>
      </c>
      <c r="L197" s="1268">
        <v>38.849859762263563</v>
      </c>
      <c r="M197" s="1268">
        <v>47.189911748257529</v>
      </c>
      <c r="N197" s="1268">
        <v>41.186414943620726</v>
      </c>
      <c r="O197" s="1268">
        <v>51.223479223479202</v>
      </c>
      <c r="P197" s="1268">
        <v>51.084456271160164</v>
      </c>
      <c r="Q197" s="1268">
        <v>49.674269823938886</v>
      </c>
      <c r="R197" s="1268">
        <v>49.205012717204461</v>
      </c>
      <c r="S197" s="1268">
        <v>44.836932063156418</v>
      </c>
      <c r="T197" s="1268">
        <v>54.659458094697506</v>
      </c>
      <c r="U197" s="1268" t="s">
        <v>628</v>
      </c>
      <c r="V197" s="1268">
        <v>65.230002029158314</v>
      </c>
      <c r="W197" s="1268">
        <v>18.187354080920425</v>
      </c>
      <c r="X197" s="1268">
        <v>18.620891961564169</v>
      </c>
      <c r="Y197" s="1268">
        <v>26.523156418374302</v>
      </c>
      <c r="Z197" s="1268">
        <v>16.434322261326052</v>
      </c>
      <c r="AA197" s="1268">
        <v>12.735442348538006</v>
      </c>
      <c r="AB197" s="1268">
        <v>9.9923194881649628</v>
      </c>
      <c r="AC197" s="1268">
        <v>8.6286054745446421</v>
      </c>
      <c r="AD197" s="1268">
        <v>8.0276232976142339</v>
      </c>
      <c r="AE197" s="1268">
        <v>7.5016400660557876</v>
      </c>
      <c r="AF197" s="1268">
        <v>7.0220245198129598</v>
      </c>
      <c r="AG197" s="1268">
        <v>6.5929727494624801</v>
      </c>
      <c r="AH197" s="1268">
        <v>6.2076756766229835</v>
      </c>
      <c r="AI197" s="1243"/>
      <c r="AJ197" s="1243"/>
      <c r="AK197" s="1243"/>
      <c r="AL197" s="1243"/>
      <c r="AM197" s="1243"/>
      <c r="AN197" s="1243"/>
    </row>
    <row r="198" spans="1:40">
      <c r="A198" s="98" t="s">
        <v>92</v>
      </c>
      <c r="B198" s="605"/>
      <c r="C198" s="605"/>
      <c r="D198" s="605">
        <v>1.0562565390594314</v>
      </c>
      <c r="E198" s="605">
        <v>1.9622642568399018</v>
      </c>
      <c r="F198" s="605">
        <v>2.4236383860123181</v>
      </c>
      <c r="G198" s="605">
        <v>3.8041867818993813</v>
      </c>
      <c r="H198" s="605">
        <v>2.793131437275874</v>
      </c>
      <c r="I198" s="605">
        <v>0.99801439472071241</v>
      </c>
      <c r="J198" s="605">
        <v>1.8952447389438658</v>
      </c>
      <c r="K198" s="605">
        <v>2.5557004294098262</v>
      </c>
      <c r="L198" s="605">
        <v>2.7204433065619193</v>
      </c>
      <c r="M198" s="605">
        <v>3.8264277071521948</v>
      </c>
      <c r="N198" s="605">
        <v>6.5665371315019545</v>
      </c>
      <c r="O198" s="605">
        <v>3.8805062835449671</v>
      </c>
      <c r="P198" s="605">
        <v>5.5268325137714962</v>
      </c>
      <c r="Q198" s="605">
        <v>5.5550570369770993</v>
      </c>
      <c r="R198" s="605">
        <v>5.6665044111822462</v>
      </c>
      <c r="S198" s="605">
        <v>3.8574577078865859</v>
      </c>
      <c r="T198" s="605">
        <v>4.360971059591078</v>
      </c>
      <c r="U198" s="605">
        <v>3.4443327824097074</v>
      </c>
      <c r="V198" s="605">
        <v>4.1660136721731158</v>
      </c>
      <c r="W198" s="605">
        <v>3.9676723156232576</v>
      </c>
      <c r="X198" s="605">
        <v>6.2029515580825159</v>
      </c>
      <c r="Y198" s="606">
        <v>6.034409505952282</v>
      </c>
      <c r="Z198" s="606">
        <v>4.6428330930565496</v>
      </c>
      <c r="AA198" s="606">
        <v>3.5814304522596361</v>
      </c>
      <c r="AB198" s="606">
        <v>2.806137630957521</v>
      </c>
      <c r="AC198" s="606">
        <v>2.254464001500053</v>
      </c>
      <c r="AD198" s="606">
        <v>1.8572064886930637</v>
      </c>
      <c r="AE198" s="606">
        <v>1.5599961642189974</v>
      </c>
      <c r="AF198" s="606">
        <v>1.3304862527443206</v>
      </c>
      <c r="AG198" s="606">
        <v>1.1492409914001136</v>
      </c>
      <c r="AH198" s="606">
        <v>1.0033435566250943</v>
      </c>
      <c r="AI198" s="1133"/>
      <c r="AJ198" s="1133"/>
      <c r="AK198" s="1133"/>
      <c r="AL198" s="1133"/>
      <c r="AM198" s="1133"/>
      <c r="AN198" s="1133"/>
    </row>
    <row r="199" spans="1:40">
      <c r="A199" s="90" t="s">
        <v>99</v>
      </c>
      <c r="B199" s="117"/>
      <c r="C199" s="117"/>
      <c r="D199" s="117"/>
      <c r="E199" s="117"/>
      <c r="F199" s="117"/>
      <c r="G199" s="117"/>
      <c r="H199" s="117"/>
      <c r="I199" s="117"/>
      <c r="J199" s="117"/>
      <c r="K199" s="117">
        <v>-1.3519197260109634E-3</v>
      </c>
      <c r="L199" s="117">
        <v>-4.0963136492220623E-2</v>
      </c>
      <c r="M199" s="117">
        <v>-0.10932503264796224</v>
      </c>
      <c r="N199" s="117">
        <v>-6.7958325305567308E-2</v>
      </c>
      <c r="O199" s="117">
        <v>-0.30371274644094493</v>
      </c>
      <c r="P199" s="117">
        <v>-1.1719707228269675E-2</v>
      </c>
      <c r="Q199" s="117">
        <v>-9.6904546734552406E-3</v>
      </c>
      <c r="R199" s="117">
        <v>6.6869392651781592E-3</v>
      </c>
      <c r="S199" s="117">
        <v>-0.29011528525109648</v>
      </c>
      <c r="T199" s="117">
        <v>0.111287931740727</v>
      </c>
      <c r="U199" s="117">
        <v>-0.15338698447378291</v>
      </c>
      <c r="V199" s="117">
        <v>9.94822916794319E-2</v>
      </c>
      <c r="W199" s="117">
        <v>7.6500337466749613E-2</v>
      </c>
      <c r="X199" s="117">
        <v>3.1254879658948208E-2</v>
      </c>
      <c r="Y199" s="589">
        <v>-7.5607709272012921E-2</v>
      </c>
      <c r="Z199" s="589">
        <v>2.5866279824658611E-2</v>
      </c>
      <c r="AA199" s="589">
        <v>6.2271583473100377E-2</v>
      </c>
      <c r="AB199" s="589">
        <v>8.3767982319155748E-2</v>
      </c>
      <c r="AC199" s="589">
        <v>9.639427910852634E-2</v>
      </c>
      <c r="AD199" s="589">
        <v>0.10233740326145609</v>
      </c>
      <c r="AE199" s="589">
        <v>0.11500330680827055</v>
      </c>
      <c r="AF199" s="589">
        <v>0.12394345829203587</v>
      </c>
      <c r="AG199" s="589">
        <v>0.1333343004133036</v>
      </c>
      <c r="AH199" s="589">
        <v>0.14744749915728297</v>
      </c>
      <c r="AI199" s="1133"/>
      <c r="AJ199" s="1133"/>
      <c r="AK199" s="1133"/>
      <c r="AL199" s="1133"/>
      <c r="AM199" s="1133"/>
      <c r="AN199" s="1133"/>
    </row>
    <row r="200" spans="1:40">
      <c r="A200" s="90" t="s">
        <v>247</v>
      </c>
      <c r="B200" s="117"/>
      <c r="C200" s="117"/>
      <c r="D200" s="117">
        <v>3.6390892160783915E-2</v>
      </c>
      <c r="E200" s="117">
        <v>2.7982641302202658E-2</v>
      </c>
      <c r="F200" s="117">
        <v>2.4307993695281919E-2</v>
      </c>
      <c r="G200" s="117">
        <v>1.6608523906876494E-2</v>
      </c>
      <c r="H200" s="117">
        <v>8.1028488489033688E-3</v>
      </c>
      <c r="I200" s="117">
        <v>0</v>
      </c>
      <c r="J200" s="117">
        <v>7.5889507605277342E-3</v>
      </c>
      <c r="K200" s="117">
        <v>3.358742141113108E-2</v>
      </c>
      <c r="L200" s="117">
        <v>1.505873801665881E-2</v>
      </c>
      <c r="M200" s="117">
        <v>0</v>
      </c>
      <c r="N200" s="117">
        <v>1.226012785575149E-2</v>
      </c>
      <c r="O200" s="117">
        <v>0</v>
      </c>
      <c r="P200" s="117">
        <v>8.3626578885023506E-3</v>
      </c>
      <c r="Q200" s="117">
        <v>1.3025934918023325E-2</v>
      </c>
      <c r="R200" s="117">
        <v>1.3419767772082538E-2</v>
      </c>
      <c r="S200" s="117">
        <v>1.684904449925528E-2</v>
      </c>
      <c r="T200" s="117">
        <v>0</v>
      </c>
      <c r="U200" s="117">
        <v>0</v>
      </c>
      <c r="V200" s="117">
        <v>0</v>
      </c>
      <c r="W200" s="117">
        <v>0</v>
      </c>
      <c r="X200" s="117">
        <v>0</v>
      </c>
      <c r="Y200" s="589">
        <v>1.9588979087425816E-2</v>
      </c>
      <c r="Z200" s="589">
        <v>1.6318803801911089E-2</v>
      </c>
      <c r="AA200" s="589">
        <v>2.2381356691974455E-2</v>
      </c>
      <c r="AB200" s="589">
        <v>3.1502096901870801E-2</v>
      </c>
      <c r="AC200" s="589">
        <v>3.519432553675849E-2</v>
      </c>
      <c r="AD200" s="589">
        <v>3.8732429667540834E-2</v>
      </c>
      <c r="AE200" s="589">
        <v>4.2062398124319292E-2</v>
      </c>
      <c r="AF200" s="589">
        <v>4.5428724107747738E-2</v>
      </c>
      <c r="AG200" s="589">
        <v>4.8837718957313529E-2</v>
      </c>
      <c r="AH200" s="589">
        <v>5.2254504810818586E-2</v>
      </c>
      <c r="AI200" s="1133"/>
      <c r="AJ200" s="1133"/>
      <c r="AK200" s="1133"/>
      <c r="AL200" s="1133"/>
      <c r="AM200" s="1133"/>
      <c r="AN200" s="1133"/>
    </row>
    <row r="201" spans="1:40">
      <c r="A201" s="90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33"/>
      <c r="AJ201" s="1133"/>
      <c r="AK201" s="1133"/>
      <c r="AL201" s="1133"/>
      <c r="AM201" s="1133"/>
      <c r="AN201" s="1133"/>
    </row>
    <row r="202" spans="1:40">
      <c r="A202" s="1126" t="s">
        <v>1124</v>
      </c>
      <c r="B202" s="1124">
        <v>2001</v>
      </c>
      <c r="C202" s="1124">
        <v>2002</v>
      </c>
      <c r="D202" s="1124">
        <v>2003</v>
      </c>
      <c r="E202" s="1124">
        <v>2004</v>
      </c>
      <c r="F202" s="1124">
        <v>2005</v>
      </c>
      <c r="G202" s="1124">
        <v>2006</v>
      </c>
      <c r="H202" s="1124">
        <v>2007</v>
      </c>
      <c r="I202" s="1124">
        <v>2008</v>
      </c>
      <c r="J202" s="1124">
        <v>2009</v>
      </c>
      <c r="K202" s="1124">
        <v>2010</v>
      </c>
      <c r="L202" s="1124">
        <v>2011</v>
      </c>
      <c r="M202" s="1124">
        <v>2012</v>
      </c>
      <c r="N202" s="1124">
        <v>2013</v>
      </c>
      <c r="O202" s="1124">
        <v>2014</v>
      </c>
      <c r="P202" s="1124">
        <v>2015</v>
      </c>
      <c r="Q202" s="1124">
        <v>2016</v>
      </c>
      <c r="R202" s="1124">
        <v>2017</v>
      </c>
      <c r="S202" s="1583">
        <v>2018</v>
      </c>
      <c r="T202" s="1583">
        <v>2019</v>
      </c>
      <c r="U202" s="1583">
        <v>2020</v>
      </c>
      <c r="V202" s="1583">
        <v>2021</v>
      </c>
      <c r="W202" s="1583">
        <v>2022</v>
      </c>
      <c r="X202" s="1583">
        <v>2023</v>
      </c>
      <c r="Y202" s="1445">
        <v>2024</v>
      </c>
      <c r="Z202" s="1445">
        <v>2025</v>
      </c>
      <c r="AA202" s="1445">
        <v>2026</v>
      </c>
      <c r="AB202" s="1445">
        <v>2027</v>
      </c>
      <c r="AC202" s="1445">
        <v>2028</v>
      </c>
      <c r="AD202" s="1445">
        <v>2029</v>
      </c>
      <c r="AE202" s="1445">
        <v>2030</v>
      </c>
      <c r="AF202" s="1445">
        <v>2031</v>
      </c>
      <c r="AG202" s="1445">
        <v>2032</v>
      </c>
      <c r="AH202" s="1445">
        <v>2033</v>
      </c>
      <c r="AI202" s="1133"/>
      <c r="AJ202" s="1133"/>
      <c r="AK202" s="1133"/>
      <c r="AL202" s="1133"/>
      <c r="AM202" s="1133"/>
      <c r="AN202" s="1133"/>
    </row>
    <row r="203" spans="1:40">
      <c r="A203" s="124" t="s">
        <v>594</v>
      </c>
      <c r="B203" s="1632">
        <v>0.88</v>
      </c>
      <c r="C203" s="1632">
        <v>1.72</v>
      </c>
      <c r="D203" s="1632">
        <v>2.74</v>
      </c>
      <c r="E203" s="1632">
        <v>5.63</v>
      </c>
      <c r="F203" s="1632">
        <v>7.84</v>
      </c>
      <c r="G203" s="1632">
        <v>16.2</v>
      </c>
      <c r="H203" s="1632">
        <v>13.53</v>
      </c>
      <c r="I203" s="1632">
        <v>4.84</v>
      </c>
      <c r="J203" s="1632">
        <v>9.16</v>
      </c>
      <c r="K203" s="1632">
        <v>12.1</v>
      </c>
      <c r="L203" s="1632">
        <v>13.44</v>
      </c>
      <c r="M203" s="1632">
        <v>25.15</v>
      </c>
      <c r="N203" s="1632">
        <v>40.78</v>
      </c>
      <c r="O203" s="1632">
        <v>40.770000000000003</v>
      </c>
      <c r="P203" s="1632">
        <v>59.85</v>
      </c>
      <c r="Q203" s="1632">
        <v>59.33</v>
      </c>
      <c r="R203" s="1632">
        <v>64.37</v>
      </c>
      <c r="S203" s="1632">
        <v>51.15</v>
      </c>
      <c r="T203" s="1632">
        <v>49.83</v>
      </c>
      <c r="U203" s="1632">
        <v>25.89</v>
      </c>
      <c r="V203" s="1632">
        <v>37.950000000000003</v>
      </c>
      <c r="W203" s="1632">
        <v>36.86</v>
      </c>
      <c r="X203" s="1632">
        <v>64.16</v>
      </c>
      <c r="Y203" s="1629">
        <v>83</v>
      </c>
      <c r="Z203" s="1629">
        <v>83</v>
      </c>
      <c r="AA203" s="1629">
        <v>83</v>
      </c>
      <c r="AB203" s="1629">
        <v>83</v>
      </c>
      <c r="AC203" s="1629">
        <v>83</v>
      </c>
      <c r="AD203" s="1629">
        <v>83</v>
      </c>
      <c r="AE203" s="1629">
        <v>83</v>
      </c>
      <c r="AF203" s="1629">
        <v>83</v>
      </c>
      <c r="AG203" s="1629">
        <v>83</v>
      </c>
      <c r="AH203" s="1629">
        <v>83</v>
      </c>
      <c r="AI203" s="1133"/>
      <c r="AJ203" s="1133"/>
      <c r="AK203" s="1133"/>
      <c r="AL203" s="1133"/>
      <c r="AM203" s="1133"/>
      <c r="AN203" s="1133"/>
    </row>
    <row r="204" spans="1:40">
      <c r="A204" s="98" t="s">
        <v>88</v>
      </c>
      <c r="B204" s="438"/>
      <c r="C204" s="438"/>
      <c r="D204" s="438">
        <v>1280.1280000000002</v>
      </c>
      <c r="E204" s="438">
        <v>2796.9839999999999</v>
      </c>
      <c r="F204" s="438">
        <v>4283.7759999999998</v>
      </c>
      <c r="G204" s="438">
        <v>10095.84</v>
      </c>
      <c r="H204" s="438">
        <v>8372.3639999999996</v>
      </c>
      <c r="I204" s="438">
        <v>2991.12</v>
      </c>
      <c r="J204" s="438">
        <v>5512.4879999999994</v>
      </c>
      <c r="K204" s="438">
        <v>7322.92</v>
      </c>
      <c r="L204" s="438">
        <v>8144.6399999999994</v>
      </c>
      <c r="M204" s="438">
        <v>17298.169999999998</v>
      </c>
      <c r="N204" s="438">
        <v>28048.484</v>
      </c>
      <c r="O204" s="438">
        <v>34148.952000000005</v>
      </c>
      <c r="P204" s="438">
        <v>50124.375</v>
      </c>
      <c r="Q204" s="438">
        <v>49499.018999999993</v>
      </c>
      <c r="R204" s="438">
        <v>53607.336000000003</v>
      </c>
      <c r="S204" s="438">
        <v>42740.94</v>
      </c>
      <c r="T204" s="438">
        <v>41782.455000000002</v>
      </c>
      <c r="U204" s="438">
        <v>21708.764999999999</v>
      </c>
      <c r="V204" s="438">
        <v>31824.870000000003</v>
      </c>
      <c r="W204" s="438">
        <v>30225.200000000001</v>
      </c>
      <c r="X204" s="438">
        <v>51950.351999999999</v>
      </c>
      <c r="Y204" s="447">
        <v>67645</v>
      </c>
      <c r="Z204" s="447">
        <v>67645</v>
      </c>
      <c r="AA204" s="447">
        <v>67645</v>
      </c>
      <c r="AB204" s="447">
        <v>67645</v>
      </c>
      <c r="AC204" s="447">
        <v>67645</v>
      </c>
      <c r="AD204" s="447">
        <v>67645</v>
      </c>
      <c r="AE204" s="447">
        <v>67645</v>
      </c>
      <c r="AF204" s="447">
        <v>67645</v>
      </c>
      <c r="AG204" s="447">
        <v>67645</v>
      </c>
      <c r="AH204" s="447">
        <v>67645</v>
      </c>
      <c r="AI204" s="1133"/>
      <c r="AJ204" s="1133"/>
      <c r="AK204" s="1133"/>
      <c r="AL204" s="1133"/>
      <c r="AM204" s="1133"/>
      <c r="AN204" s="1133"/>
    </row>
    <row r="205" spans="1:40">
      <c r="A205" s="98" t="s">
        <v>89</v>
      </c>
      <c r="B205" s="438">
        <v>91.750000000000014</v>
      </c>
      <c r="C205" s="438">
        <v>-114.06300000000002</v>
      </c>
      <c r="D205" s="438">
        <v>1161.788</v>
      </c>
      <c r="E205" s="438">
        <v>2911.1210000000001</v>
      </c>
      <c r="F205" s="438">
        <v>4970.1949999999997</v>
      </c>
      <c r="G205" s="438">
        <v>10417.547999999999</v>
      </c>
      <c r="H205" s="438">
        <v>9331.0919999999987</v>
      </c>
      <c r="I205" s="438">
        <v>4352.1569999999992</v>
      </c>
      <c r="J205" s="438">
        <v>6601.1819999999998</v>
      </c>
      <c r="K205" s="438">
        <v>8584.4049999999988</v>
      </c>
      <c r="L205" s="438">
        <v>11760.655999999999</v>
      </c>
      <c r="M205" s="438">
        <v>19148.244999999995</v>
      </c>
      <c r="N205" s="438">
        <v>32668.334999999999</v>
      </c>
      <c r="O205" s="438">
        <v>45564.771000000001</v>
      </c>
      <c r="P205" s="438">
        <v>62518.099000000002</v>
      </c>
      <c r="Q205" s="438">
        <v>62804.513999999988</v>
      </c>
      <c r="R205" s="438">
        <v>71251.106</v>
      </c>
      <c r="S205" s="438">
        <v>70747.756999999998</v>
      </c>
      <c r="T205" s="438">
        <v>91367.233999999997</v>
      </c>
      <c r="U205" s="438">
        <v>82775.359999999986</v>
      </c>
      <c r="V205" s="438">
        <v>87178.186999999991</v>
      </c>
      <c r="W205" s="438">
        <v>79719.270999999993</v>
      </c>
      <c r="X205" s="438">
        <v>96227.362000000008</v>
      </c>
      <c r="Y205" s="447">
        <v>115983.26507978395</v>
      </c>
      <c r="Z205" s="447">
        <v>115099.53715053004</v>
      </c>
      <c r="AA205" s="447">
        <v>113579.30968694977</v>
      </c>
      <c r="AB205" s="447">
        <v>111378.25843257621</v>
      </c>
      <c r="AC205" s="447">
        <v>108773.70061488054</v>
      </c>
      <c r="AD205" s="447">
        <v>105960.03916981239</v>
      </c>
      <c r="AE205" s="447">
        <v>102624.78257632851</v>
      </c>
      <c r="AF205" s="447">
        <v>98983.846850123256</v>
      </c>
      <c r="AG205" s="447">
        <v>95037.686235012457</v>
      </c>
      <c r="AH205" s="447">
        <v>90511.247504976418</v>
      </c>
      <c r="AI205" s="1133"/>
      <c r="AJ205" s="1133"/>
      <c r="AK205" s="1133"/>
      <c r="AL205" s="1133"/>
      <c r="AM205" s="1133"/>
      <c r="AN205" s="1133"/>
    </row>
    <row r="206" spans="1:40" s="1209" customFormat="1">
      <c r="A206" s="1237" t="s">
        <v>1240</v>
      </c>
      <c r="B206" s="1518">
        <v>142.17099999999994</v>
      </c>
      <c r="C206" s="1518">
        <v>40.818999999999988</v>
      </c>
      <c r="D206" s="1518">
        <v>1129.3580000000002</v>
      </c>
      <c r="E206" s="1518">
        <v>2639.1959999999999</v>
      </c>
      <c r="F206" s="1518">
        <v>4439.0540000000001</v>
      </c>
      <c r="G206" s="1518">
        <v>10318.414000000001</v>
      </c>
      <c r="H206" s="1518">
        <v>8977.64</v>
      </c>
      <c r="I206" s="1518">
        <v>3731.6489999999994</v>
      </c>
      <c r="J206" s="1518">
        <v>6929.6649999999991</v>
      </c>
      <c r="K206" s="1518">
        <v>8328.8639999999996</v>
      </c>
      <c r="L206" s="1518">
        <v>11128.162</v>
      </c>
      <c r="M206" s="1518">
        <v>16948.932999999997</v>
      </c>
      <c r="N206" s="1518">
        <v>30522.702999999998</v>
      </c>
      <c r="O206" s="1518">
        <v>33903.809000000001</v>
      </c>
      <c r="P206" s="1518">
        <v>60574.459000000003</v>
      </c>
      <c r="Q206" s="1518">
        <v>61311.397999999994</v>
      </c>
      <c r="R206" s="1518">
        <v>71251.106</v>
      </c>
      <c r="S206" s="1518">
        <v>70747.756999999998</v>
      </c>
      <c r="T206" s="1518">
        <v>68805.373999999996</v>
      </c>
      <c r="U206" s="1518">
        <v>57475.360000000001</v>
      </c>
      <c r="V206" s="1518">
        <v>63414.913000000008</v>
      </c>
      <c r="W206" s="1518">
        <v>57737.46</v>
      </c>
      <c r="X206" s="1518">
        <v>77897.294999999998</v>
      </c>
      <c r="Y206" s="1518">
        <v>97325.373540052868</v>
      </c>
      <c r="Z206" s="1518">
        <v>96024.137659412751</v>
      </c>
      <c r="AA206" s="1518">
        <v>94032.542295934152</v>
      </c>
      <c r="AB206" s="1518">
        <v>91423.068661293903</v>
      </c>
      <c r="AC206" s="1518">
        <v>88367.54469931162</v>
      </c>
      <c r="AD206" s="1518">
        <v>85191.945543185575</v>
      </c>
      <c r="AE206" s="1518">
        <v>81550.232089412806</v>
      </c>
      <c r="AF206" s="1518">
        <v>77630.234807267276</v>
      </c>
      <c r="AG206" s="1518">
        <v>73411.582434572207</v>
      </c>
      <c r="AH206" s="1518">
        <v>68658.891325135701</v>
      </c>
      <c r="AI206" s="1243"/>
      <c r="AJ206" s="1243"/>
      <c r="AK206" s="1243"/>
      <c r="AL206" s="1243"/>
      <c r="AM206" s="1243"/>
      <c r="AN206" s="1243"/>
    </row>
    <row r="207" spans="1:40">
      <c r="A207" s="98" t="s">
        <v>638</v>
      </c>
      <c r="B207" s="605">
        <v>3.7075890205256985E-2</v>
      </c>
      <c r="C207" s="605">
        <v>-4.3404355390354948E-2</v>
      </c>
      <c r="D207" s="605">
        <v>0.40459398967296084</v>
      </c>
      <c r="E207" s="605">
        <v>0.78496621630731211</v>
      </c>
      <c r="F207" s="605">
        <v>1.0653537821790666</v>
      </c>
      <c r="G207" s="605">
        <v>1.7286393103462006</v>
      </c>
      <c r="H207" s="605">
        <v>1.3357986647298659</v>
      </c>
      <c r="I207" s="605">
        <v>0.55891161540049017</v>
      </c>
      <c r="J207" s="605">
        <v>0.76873410184438673</v>
      </c>
      <c r="K207" s="605">
        <v>0.95579383706844334</v>
      </c>
      <c r="L207" s="605">
        <v>1.0994859628903049</v>
      </c>
      <c r="M207" s="605">
        <v>1.4163413282712176</v>
      </c>
      <c r="N207" s="605">
        <v>2.0791084771424835</v>
      </c>
      <c r="O207" s="605">
        <v>1.9984325175310538</v>
      </c>
      <c r="P207" s="605">
        <v>1.9362416678993084</v>
      </c>
      <c r="Q207" s="605">
        <v>1.665819732481683</v>
      </c>
      <c r="R207" s="605">
        <v>1.6753486628609136</v>
      </c>
      <c r="S207" s="605">
        <v>1.5327769115357761</v>
      </c>
      <c r="T207" s="605">
        <v>1.5711088056479228</v>
      </c>
      <c r="U207" s="605">
        <v>2.1502652042831376</v>
      </c>
      <c r="V207" s="605">
        <v>1.6331782356246367</v>
      </c>
      <c r="W207" s="605">
        <v>1.158183344046724</v>
      </c>
      <c r="X207" s="605">
        <v>1.2623119388310129</v>
      </c>
      <c r="Y207" s="606">
        <v>1.4475811064929816</v>
      </c>
      <c r="Z207" s="606">
        <v>1.2820588465344056</v>
      </c>
      <c r="AA207" s="606">
        <v>1.160468697946605</v>
      </c>
      <c r="AB207" s="606">
        <v>1.0557372479113913</v>
      </c>
      <c r="AC207" s="606">
        <v>0.96714281733846796</v>
      </c>
      <c r="AD207" s="606">
        <v>0.8842296334936941</v>
      </c>
      <c r="AE207" s="606">
        <v>0.80493747378094027</v>
      </c>
      <c r="AF207" s="606">
        <v>0.73078412690632977</v>
      </c>
      <c r="AG207" s="606">
        <v>0.66067517213438198</v>
      </c>
      <c r="AH207" s="606">
        <v>0.59296641003488837</v>
      </c>
      <c r="AI207" s="1133"/>
      <c r="AJ207" s="1133"/>
      <c r="AK207" s="1133"/>
      <c r="AL207" s="1133"/>
      <c r="AM207" s="1133"/>
      <c r="AN207" s="1133"/>
    </row>
    <row r="208" spans="1:40" s="1209" customFormat="1">
      <c r="A208" s="1237" t="s">
        <v>1237</v>
      </c>
      <c r="B208" s="1268">
        <v>5.7450859796965528E-2</v>
      </c>
      <c r="C208" s="1268">
        <v>1.5532840471308819E-2</v>
      </c>
      <c r="D208" s="1268">
        <v>0.39330020536369442</v>
      </c>
      <c r="E208" s="1268">
        <v>0.71164328044536551</v>
      </c>
      <c r="F208" s="1268">
        <v>0.95150451203566755</v>
      </c>
      <c r="G208" s="1268">
        <v>1.7121894769120893</v>
      </c>
      <c r="H208" s="1268">
        <v>1.2852000092192246</v>
      </c>
      <c r="I208" s="1268">
        <v>0.47922489255273282</v>
      </c>
      <c r="J208" s="1268">
        <v>0.80698726377450003</v>
      </c>
      <c r="K208" s="1268">
        <v>0.92734171803185239</v>
      </c>
      <c r="L208" s="1268">
        <v>1.0403550543242914</v>
      </c>
      <c r="M208" s="1268">
        <v>1.253664462617847</v>
      </c>
      <c r="N208" s="1268">
        <v>1.9425541752465285</v>
      </c>
      <c r="O208" s="1268">
        <v>1.486992535829095</v>
      </c>
      <c r="P208" s="1268">
        <v>1.8760453916914248</v>
      </c>
      <c r="Q208" s="1268">
        <v>1.6262164947958677</v>
      </c>
      <c r="R208" s="1268">
        <v>1.6753486628609136</v>
      </c>
      <c r="S208" s="1268">
        <v>1.5327769115357761</v>
      </c>
      <c r="T208" s="1268">
        <v>1.1831454694940053</v>
      </c>
      <c r="U208" s="1268">
        <v>1.4930441463697277</v>
      </c>
      <c r="V208" s="1268">
        <v>1.1880019450924102</v>
      </c>
      <c r="W208" s="1268">
        <v>0.83882558960635711</v>
      </c>
      <c r="X208" s="1268">
        <v>1.0218578524592763</v>
      </c>
      <c r="Y208" s="1268">
        <v>1.2147129314046978</v>
      </c>
      <c r="Z208" s="1268">
        <v>1.069583755198626</v>
      </c>
      <c r="AA208" s="1268">
        <v>0.96075440345196805</v>
      </c>
      <c r="AB208" s="1268">
        <v>0.86658509714907273</v>
      </c>
      <c r="AC208" s="1268">
        <v>0.78570496046986138</v>
      </c>
      <c r="AD208" s="1268">
        <v>0.71092124327684048</v>
      </c>
      <c r="AE208" s="1268">
        <v>0.63963923875286754</v>
      </c>
      <c r="AF208" s="1268">
        <v>0.57313334620204792</v>
      </c>
      <c r="AG208" s="1268">
        <v>0.51033660206839326</v>
      </c>
      <c r="AH208" s="1268">
        <v>0.44980505106619861</v>
      </c>
      <c r="AI208" s="1243"/>
      <c r="AJ208" s="1243"/>
      <c r="AK208" s="1243"/>
      <c r="AL208" s="1243"/>
      <c r="AM208" s="1243"/>
      <c r="AN208" s="1243"/>
    </row>
    <row r="209" spans="1:40">
      <c r="A209" s="98" t="s">
        <v>90</v>
      </c>
      <c r="B209" s="605">
        <v>0.2775542554285681</v>
      </c>
      <c r="C209" s="605">
        <v>-0.29711411476336475</v>
      </c>
      <c r="D209" s="605">
        <v>2.7980800030827844</v>
      </c>
      <c r="E209" s="605">
        <v>5.3370702883658172</v>
      </c>
      <c r="F209" s="605">
        <v>7.094653524705409</v>
      </c>
      <c r="G209" s="605">
        <v>10.34062409733988</v>
      </c>
      <c r="H209" s="605">
        <v>7.2408363312422974</v>
      </c>
      <c r="I209" s="605">
        <v>4.2169326216224325</v>
      </c>
      <c r="J209" s="605">
        <v>6.5996244886206892</v>
      </c>
      <c r="K209" s="605">
        <v>8.5961731610574876</v>
      </c>
      <c r="L209" s="605">
        <v>10.549121090158556</v>
      </c>
      <c r="M209" s="605">
        <v>11.907631221374759</v>
      </c>
      <c r="N209" s="605">
        <v>16.023928225623699</v>
      </c>
      <c r="O209" s="606">
        <v>16.313379938791847</v>
      </c>
      <c r="P209" s="606">
        <v>14.533249072640325</v>
      </c>
      <c r="Q209" s="606">
        <v>12.182660431972296</v>
      </c>
      <c r="R209" s="606">
        <v>11.018932474555553</v>
      </c>
      <c r="S209" s="606">
        <v>11.039990218960767</v>
      </c>
      <c r="T209" s="606">
        <v>7.2412765416829048</v>
      </c>
      <c r="U209" s="606">
        <v>11.953576280741968</v>
      </c>
      <c r="V209" s="606">
        <v>7.0811698615309266</v>
      </c>
      <c r="W209" s="606">
        <v>5.6740526587080211</v>
      </c>
      <c r="X209" s="606">
        <v>6.0291363825781463</v>
      </c>
      <c r="Y209" s="606">
        <v>6.8706089814176892</v>
      </c>
      <c r="Z209" s="606">
        <v>6.0282462013791767</v>
      </c>
      <c r="AA209" s="606">
        <v>5.4568057863126906</v>
      </c>
      <c r="AB209" s="606">
        <v>4.9643631016093144</v>
      </c>
      <c r="AC209" s="606">
        <v>4.5477514907943721</v>
      </c>
      <c r="AD209" s="606">
        <v>4.1578567103351807</v>
      </c>
      <c r="AE209" s="606">
        <v>3.7850201612146934</v>
      </c>
      <c r="AF209" s="606">
        <v>3.4363192553476378</v>
      </c>
      <c r="AG209" s="606">
        <v>3.1066380233471724</v>
      </c>
      <c r="AH209" s="606">
        <v>2.7882652962010219</v>
      </c>
      <c r="AI209" s="1133"/>
      <c r="AJ209" s="1133"/>
      <c r="AK209" s="1133"/>
      <c r="AL209" s="1133"/>
      <c r="AM209" s="1133"/>
      <c r="AN209" s="1133"/>
    </row>
    <row r="210" spans="1:40" s="1209" customFormat="1">
      <c r="A210" s="1237" t="s">
        <v>1238</v>
      </c>
      <c r="B210" s="1268">
        <v>0.2775542554285681</v>
      </c>
      <c r="C210" s="1268">
        <v>-0.29711411476336475</v>
      </c>
      <c r="D210" s="1268">
        <v>2.7980800030827844</v>
      </c>
      <c r="E210" s="1268">
        <v>5.3370702883658172</v>
      </c>
      <c r="F210" s="1268">
        <v>7.094653524705409</v>
      </c>
      <c r="G210" s="1268">
        <v>10.34062409733988</v>
      </c>
      <c r="H210" s="1268">
        <v>7.2408363312422974</v>
      </c>
      <c r="I210" s="1268">
        <v>4.2169326216224325</v>
      </c>
      <c r="J210" s="1268">
        <v>6.5996244886206892</v>
      </c>
      <c r="K210" s="1268">
        <v>8.5961731610574876</v>
      </c>
      <c r="L210" s="1268">
        <v>10.549121090158556</v>
      </c>
      <c r="M210" s="1268">
        <v>11.907631221374759</v>
      </c>
      <c r="N210" s="1268">
        <v>16.023928225623699</v>
      </c>
      <c r="O210" s="1268">
        <v>12.138450505747752</v>
      </c>
      <c r="P210" s="1268">
        <v>14.081421447050708</v>
      </c>
      <c r="Q210" s="1268">
        <v>11.893029574968217</v>
      </c>
      <c r="R210" s="1268">
        <v>11.018932474555553</v>
      </c>
      <c r="S210" s="1268">
        <v>11.039990218960767</v>
      </c>
      <c r="T210" s="1268">
        <v>8.9728557104049234</v>
      </c>
      <c r="U210" s="1268">
        <v>40.003953388987085</v>
      </c>
      <c r="V210" s="1268">
        <v>9.7019780496174679</v>
      </c>
      <c r="W210" s="1268">
        <v>6.5428546368487952</v>
      </c>
      <c r="X210" s="1268">
        <v>7.2163012735314958</v>
      </c>
      <c r="Y210" s="1268">
        <v>8.3041046181233078</v>
      </c>
      <c r="Z210" s="1268">
        <v>7.2672856909810655</v>
      </c>
      <c r="AA210" s="1268">
        <v>6.4869309735914129</v>
      </c>
      <c r="AB210" s="1268">
        <v>5.8019646511084133</v>
      </c>
      <c r="AC210" s="1268">
        <v>5.16411679249439</v>
      </c>
      <c r="AD210" s="1268">
        <v>4.6747418217698211</v>
      </c>
      <c r="AE210" s="1268">
        <v>4.2078760343035437</v>
      </c>
      <c r="AF210" s="1268">
        <v>3.7725355498759874</v>
      </c>
      <c r="AG210" s="1268">
        <v>3.3609117638461732</v>
      </c>
      <c r="AH210" s="1268">
        <v>2.9639812827856407</v>
      </c>
      <c r="AI210" s="1243"/>
      <c r="AJ210" s="1243"/>
      <c r="AK210" s="1243"/>
      <c r="AL210" s="1243"/>
      <c r="AM210" s="1243"/>
      <c r="AN210" s="1243"/>
    </row>
    <row r="211" spans="1:40">
      <c r="A211" s="9" t="s">
        <v>306</v>
      </c>
      <c r="B211" s="605"/>
      <c r="C211" s="605"/>
      <c r="D211" s="605">
        <v>9.9894496987857764</v>
      </c>
      <c r="E211" s="605">
        <v>18.090693297285412</v>
      </c>
      <c r="F211" s="605">
        <v>15.217784851046884</v>
      </c>
      <c r="G211" s="605">
        <v>45.440527147274295</v>
      </c>
      <c r="H211" s="605">
        <v>17.499480598200385</v>
      </c>
      <c r="I211" s="605">
        <v>23.226768339558468</v>
      </c>
      <c r="J211" s="605">
        <v>53.13343871689046</v>
      </c>
      <c r="K211" s="605">
        <v>48.423683758084394</v>
      </c>
      <c r="L211" s="605">
        <v>38.84985976226352</v>
      </c>
      <c r="M211" s="605">
        <v>47.18991174825738</v>
      </c>
      <c r="N211" s="605">
        <v>41.186414943620647</v>
      </c>
      <c r="O211" s="605">
        <v>51.223479223479032</v>
      </c>
      <c r="P211" s="605">
        <v>51.084456271160214</v>
      </c>
      <c r="Q211" s="605">
        <v>49.674269823938978</v>
      </c>
      <c r="R211" s="605">
        <v>49.205012717204497</v>
      </c>
      <c r="S211" s="605">
        <v>44.836932063156418</v>
      </c>
      <c r="T211" s="605">
        <v>45.08881802583457</v>
      </c>
      <c r="U211" s="605" t="s">
        <v>628</v>
      </c>
      <c r="V211" s="605">
        <v>38.107683833654647</v>
      </c>
      <c r="W211" s="605">
        <v>18.516542253887859</v>
      </c>
      <c r="X211" s="605">
        <v>17.726085216340394</v>
      </c>
      <c r="Y211" s="606">
        <v>36.584165365390568</v>
      </c>
      <c r="Z211" s="606">
        <v>20.532156737675006</v>
      </c>
      <c r="AA211" s="606">
        <v>15.715383260665366</v>
      </c>
      <c r="AB211" s="606">
        <v>12.470627485249649</v>
      </c>
      <c r="AC211" s="606">
        <v>11.069556513974156</v>
      </c>
      <c r="AD211" s="606">
        <v>10.140480578136374</v>
      </c>
      <c r="AE211" s="606">
        <v>9.3668398184656727</v>
      </c>
      <c r="AF211" s="606">
        <v>8.6847763336588013</v>
      </c>
      <c r="AG211" s="606">
        <v>8.0950111362582895</v>
      </c>
      <c r="AH211" s="606">
        <v>7.5783718906004038</v>
      </c>
      <c r="AI211" s="1133"/>
      <c r="AJ211" s="1133"/>
      <c r="AK211" s="1133"/>
      <c r="AL211" s="1133"/>
      <c r="AM211" s="1133"/>
      <c r="AN211" s="1133"/>
    </row>
    <row r="212" spans="1:40" s="1209" customFormat="1">
      <c r="A212" s="1209" t="s">
        <v>1239</v>
      </c>
      <c r="B212" s="1268"/>
      <c r="C212" s="1268"/>
      <c r="D212" s="1268">
        <v>9.9894496987857764</v>
      </c>
      <c r="E212" s="1268">
        <v>18.090693297285412</v>
      </c>
      <c r="F212" s="1268">
        <v>15.217784851046884</v>
      </c>
      <c r="G212" s="1268">
        <v>45.440527147274295</v>
      </c>
      <c r="H212" s="1268">
        <v>17.499480598200385</v>
      </c>
      <c r="I212" s="1268">
        <v>23.226768339558468</v>
      </c>
      <c r="J212" s="1268">
        <v>53.133438716891156</v>
      </c>
      <c r="K212" s="1268">
        <v>48.423683758083961</v>
      </c>
      <c r="L212" s="1268">
        <v>38.849859762263563</v>
      </c>
      <c r="M212" s="1268">
        <v>47.189911748257529</v>
      </c>
      <c r="N212" s="1268">
        <v>41.186414943620726</v>
      </c>
      <c r="O212" s="1268">
        <v>51.223479223479202</v>
      </c>
      <c r="P212" s="1268">
        <v>51.084456271160164</v>
      </c>
      <c r="Q212" s="1268">
        <v>49.674269823938886</v>
      </c>
      <c r="R212" s="1268">
        <v>49.205012717204461</v>
      </c>
      <c r="S212" s="1268">
        <v>44.836932063156418</v>
      </c>
      <c r="T212" s="1268">
        <v>54.659458094697506</v>
      </c>
      <c r="U212" s="1268" t="s">
        <v>628</v>
      </c>
      <c r="V212" s="1268">
        <v>65.230002029158314</v>
      </c>
      <c r="W212" s="1268">
        <v>18.187354080920425</v>
      </c>
      <c r="X212" s="1268">
        <v>18.620891961564169</v>
      </c>
      <c r="Y212" s="1268">
        <v>35.935716335701393</v>
      </c>
      <c r="Z212" s="1268">
        <v>22.266548280934746</v>
      </c>
      <c r="AA212" s="1268">
        <v>17.255006773239547</v>
      </c>
      <c r="AB212" s="1268">
        <v>13.538402179524844</v>
      </c>
      <c r="AC212" s="1268">
        <v>11.690732196983435</v>
      </c>
      <c r="AD212" s="1268">
        <v>10.876472962813931</v>
      </c>
      <c r="AE212" s="1268">
        <v>10.163828362432753</v>
      </c>
      <c r="AF212" s="1268">
        <v>9.5140064502852706</v>
      </c>
      <c r="AG212" s="1268">
        <v>8.9326924290791041</v>
      </c>
      <c r="AH212" s="1268">
        <v>8.4106608090060018</v>
      </c>
      <c r="AI212" s="1243"/>
      <c r="AJ212" s="1243"/>
      <c r="AK212" s="1243"/>
      <c r="AL212" s="1243"/>
      <c r="AM212" s="1243"/>
      <c r="AN212" s="1243"/>
    </row>
    <row r="213" spans="1:40">
      <c r="A213" s="98" t="s">
        <v>92</v>
      </c>
      <c r="B213" s="605"/>
      <c r="C213" s="605"/>
      <c r="D213" s="605">
        <v>1.0562565390594314</v>
      </c>
      <c r="E213" s="605">
        <v>1.9622642568399018</v>
      </c>
      <c r="F213" s="605">
        <v>2.4236383860123181</v>
      </c>
      <c r="G213" s="605">
        <v>3.8041867818993813</v>
      </c>
      <c r="H213" s="605">
        <v>2.793131437275874</v>
      </c>
      <c r="I213" s="605">
        <v>0.99801439472071241</v>
      </c>
      <c r="J213" s="605">
        <v>1.8952447389438658</v>
      </c>
      <c r="K213" s="605">
        <v>2.5557004294098262</v>
      </c>
      <c r="L213" s="605">
        <v>2.7204433065619193</v>
      </c>
      <c r="M213" s="605">
        <v>3.8264277071521948</v>
      </c>
      <c r="N213" s="605">
        <v>6.5665371315019545</v>
      </c>
      <c r="O213" s="605">
        <v>3.8805062835449671</v>
      </c>
      <c r="P213" s="605">
        <v>5.5268325137714962</v>
      </c>
      <c r="Q213" s="605">
        <v>5.5550570369770993</v>
      </c>
      <c r="R213" s="605">
        <v>5.6665044111822462</v>
      </c>
      <c r="S213" s="605">
        <v>3.8574577078865859</v>
      </c>
      <c r="T213" s="605">
        <v>4.360971059591078</v>
      </c>
      <c r="U213" s="605">
        <v>3.4443327824097074</v>
      </c>
      <c r="V213" s="605">
        <v>4.1660136721731158</v>
      </c>
      <c r="W213" s="605">
        <v>3.9676723156232576</v>
      </c>
      <c r="X213" s="605">
        <v>6.2029515580825159</v>
      </c>
      <c r="Y213" s="606">
        <v>8.1759057948749501</v>
      </c>
      <c r="Z213" s="606">
        <v>6.2904855815163829</v>
      </c>
      <c r="AA213" s="606">
        <v>4.8524114844523316</v>
      </c>
      <c r="AB213" s="606">
        <v>3.8019820987508042</v>
      </c>
      <c r="AC213" s="606">
        <v>3.0545300705926284</v>
      </c>
      <c r="AD213" s="606">
        <v>2.5162934796200505</v>
      </c>
      <c r="AE213" s="606">
        <v>2.1136089067936137</v>
      </c>
      <c r="AF213" s="606">
        <v>1.8026503261145708</v>
      </c>
      <c r="AG213" s="606">
        <v>1.5570845949430205</v>
      </c>
      <c r="AH213" s="606">
        <v>1.359410956576605</v>
      </c>
      <c r="AI213" s="1133"/>
      <c r="AJ213" s="1133"/>
      <c r="AK213" s="1133"/>
      <c r="AL213" s="1133"/>
      <c r="AM213" s="1133"/>
      <c r="AN213" s="1133"/>
    </row>
    <row r="214" spans="1:40">
      <c r="A214" s="90" t="s">
        <v>99</v>
      </c>
      <c r="B214" s="117"/>
      <c r="C214" s="117"/>
      <c r="D214" s="117"/>
      <c r="E214" s="117"/>
      <c r="F214" s="117"/>
      <c r="G214" s="117"/>
      <c r="H214" s="117"/>
      <c r="I214" s="117"/>
      <c r="J214" s="117"/>
      <c r="K214" s="117">
        <v>-1.3519197260109634E-3</v>
      </c>
      <c r="L214" s="117">
        <v>-4.0963136492220623E-2</v>
      </c>
      <c r="M214" s="117">
        <v>-0.10932503264796224</v>
      </c>
      <c r="N214" s="117">
        <v>-6.7958325305567308E-2</v>
      </c>
      <c r="O214" s="117">
        <v>-0.30371274644094493</v>
      </c>
      <c r="P214" s="117">
        <v>-1.1719707228269675E-2</v>
      </c>
      <c r="Q214" s="117">
        <v>-9.6904546734552406E-3</v>
      </c>
      <c r="R214" s="117">
        <v>6.6869392651781592E-3</v>
      </c>
      <c r="S214" s="117">
        <v>-0.29011528525109648</v>
      </c>
      <c r="T214" s="117">
        <v>0.111287931740727</v>
      </c>
      <c r="U214" s="117">
        <v>-0.15338698447378291</v>
      </c>
      <c r="V214" s="117">
        <v>9.94822916794319E-2</v>
      </c>
      <c r="W214" s="117">
        <v>7.6500337466749613E-2</v>
      </c>
      <c r="X214" s="117">
        <v>3.1254879658948208E-2</v>
      </c>
      <c r="Y214" s="589">
        <v>-5.5803955060283274E-2</v>
      </c>
      <c r="Z214" s="589">
        <v>1.9091184362151646E-2</v>
      </c>
      <c r="AA214" s="589">
        <v>4.5960930163399145E-2</v>
      </c>
      <c r="AB214" s="589">
        <v>6.1826826468331104E-2</v>
      </c>
      <c r="AC214" s="589">
        <v>7.114594624323281E-2</v>
      </c>
      <c r="AD214" s="589">
        <v>7.5532401491527706E-2</v>
      </c>
      <c r="AE214" s="589">
        <v>8.4880753916562093E-2</v>
      </c>
      <c r="AF214" s="589">
        <v>9.147923198759178E-2</v>
      </c>
      <c r="AG214" s="589">
        <v>9.8410352329144329E-2</v>
      </c>
      <c r="AH214" s="589">
        <v>0.1088269132334356</v>
      </c>
      <c r="AI214" s="1133"/>
      <c r="AJ214" s="1133"/>
      <c r="AK214" s="1133"/>
      <c r="AL214" s="1133"/>
      <c r="AM214" s="1133"/>
      <c r="AN214" s="1133"/>
    </row>
    <row r="215" spans="1:40">
      <c r="A215" s="90" t="s">
        <v>247</v>
      </c>
      <c r="B215" s="117"/>
      <c r="C215" s="117"/>
      <c r="D215" s="117">
        <v>8.4061906309369043E-3</v>
      </c>
      <c r="E215" s="117">
        <v>1.665544028853937E-2</v>
      </c>
      <c r="F215" s="117">
        <v>1.8270563166701528E-2</v>
      </c>
      <c r="G215" s="117">
        <v>1.0314149194123519E-2</v>
      </c>
      <c r="H215" s="117">
        <v>2.0027437889704749E-2</v>
      </c>
      <c r="I215" s="117">
        <v>2.2680467517184201E-2</v>
      </c>
      <c r="J215" s="117">
        <v>0</v>
      </c>
      <c r="K215" s="117">
        <v>5.7127484664587355E-3</v>
      </c>
      <c r="L215" s="117">
        <v>3.0198756482791137E-2</v>
      </c>
      <c r="M215" s="117">
        <v>7.0902297757508455E-3</v>
      </c>
      <c r="N215" s="117">
        <v>0</v>
      </c>
      <c r="O215" s="117">
        <v>1.0069942995615208E-2</v>
      </c>
      <c r="P215" s="117">
        <v>0</v>
      </c>
      <c r="Q215" s="117">
        <v>8.4683092406336383E-3</v>
      </c>
      <c r="R215" s="117">
        <v>1.3419767772082538E-2</v>
      </c>
      <c r="S215" s="117">
        <v>1.684904449925528E-2</v>
      </c>
      <c r="T215" s="117">
        <v>0</v>
      </c>
      <c r="U215" s="117">
        <v>0</v>
      </c>
      <c r="V215" s="117">
        <v>0</v>
      </c>
      <c r="W215" s="117">
        <v>0</v>
      </c>
      <c r="X215" s="117">
        <v>0</v>
      </c>
      <c r="Y215" s="589">
        <v>1.4458082637297658E-2</v>
      </c>
      <c r="Z215" s="589">
        <v>1.2044456878374377E-2</v>
      </c>
      <c r="AA215" s="589">
        <v>1.6519059168076569E-2</v>
      </c>
      <c r="AB215" s="589">
        <v>2.3250824773597651E-2</v>
      </c>
      <c r="AC215" s="589">
        <v>2.597595641423886E-2</v>
      </c>
      <c r="AD215" s="589">
        <v>2.8587333029319897E-2</v>
      </c>
      <c r="AE215" s="589">
        <v>3.1045090471033734E-2</v>
      </c>
      <c r="AF215" s="589">
        <v>3.3529682395670196E-2</v>
      </c>
      <c r="AG215" s="589">
        <v>3.604576702801237E-2</v>
      </c>
      <c r="AH215" s="589">
        <v>3.8567601984466827E-2</v>
      </c>
      <c r="AI215" s="1133"/>
      <c r="AJ215" s="1133"/>
      <c r="AK215" s="1133"/>
      <c r="AL215" s="1133"/>
      <c r="AM215" s="1133"/>
      <c r="AN215" s="1133"/>
    </row>
    <row r="216" spans="1:40">
      <c r="A216" s="126" t="s">
        <v>1549</v>
      </c>
      <c r="B216" s="12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 t="s">
        <v>281</v>
      </c>
      <c r="AI216" s="1133"/>
      <c r="AJ216" s="1133"/>
      <c r="AK216" s="1133"/>
      <c r="AL216" s="1133"/>
      <c r="AM216" s="1133"/>
      <c r="AN216" s="1133"/>
    </row>
    <row r="217" spans="1:40">
      <c r="A217" s="103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988"/>
      <c r="W217" s="988"/>
      <c r="X217" s="988"/>
      <c r="Y217" s="118"/>
      <c r="Z217" s="988"/>
      <c r="AA217" s="988"/>
      <c r="AB217" s="988"/>
      <c r="AC217" s="988"/>
      <c r="AD217" s="988"/>
      <c r="AE217" s="988"/>
      <c r="AF217" s="988"/>
      <c r="AG217" s="988"/>
      <c r="AH217" s="988"/>
      <c r="AI217" s="1133"/>
      <c r="AJ217" s="1133"/>
      <c r="AK217" s="1133"/>
      <c r="AL217" s="1133"/>
      <c r="AM217" s="1133"/>
      <c r="AN217" s="1133"/>
    </row>
    <row r="218" spans="1:40"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1133"/>
      <c r="AJ218" s="1133"/>
      <c r="AK218" s="1133"/>
      <c r="AL218" s="1133"/>
      <c r="AM218" s="1133"/>
      <c r="AN218" s="1133"/>
    </row>
    <row r="219" spans="1:40"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1133"/>
      <c r="AJ219" s="1133"/>
      <c r="AK219" s="1133"/>
      <c r="AL219" s="1133"/>
      <c r="AM219" s="1133"/>
      <c r="AN219" s="1133"/>
    </row>
    <row r="220" spans="1:40"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1133"/>
      <c r="AJ220" s="1133"/>
      <c r="AK220" s="1133"/>
      <c r="AL220" s="1133"/>
      <c r="AM220" s="1133"/>
      <c r="AN220" s="1133"/>
    </row>
    <row r="221" spans="1:40"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1133"/>
      <c r="AJ221" s="1133"/>
      <c r="AK221" s="1133"/>
      <c r="AL221" s="1133"/>
      <c r="AM221" s="1133"/>
      <c r="AN221" s="1133"/>
    </row>
    <row r="222" spans="1:40"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1133"/>
      <c r="AJ222" s="1133"/>
      <c r="AK222" s="1133"/>
      <c r="AL222" s="1133"/>
      <c r="AM222" s="1133"/>
      <c r="AN222" s="1133"/>
    </row>
    <row r="223" spans="1:40"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1133"/>
      <c r="AJ223" s="1133"/>
      <c r="AK223" s="1133"/>
      <c r="AL223" s="1133"/>
      <c r="AM223" s="1133"/>
      <c r="AN223" s="1133"/>
    </row>
    <row r="224" spans="1:40"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1133"/>
      <c r="AJ224" s="1133"/>
      <c r="AK224" s="1133"/>
      <c r="AL224" s="1133"/>
      <c r="AM224" s="1133"/>
      <c r="AN224" s="1133"/>
    </row>
    <row r="225" spans="2:40"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1133"/>
      <c r="AJ225" s="1133"/>
      <c r="AK225" s="1133"/>
      <c r="AL225" s="1133"/>
      <c r="AM225" s="1133"/>
      <c r="AN225" s="1133"/>
    </row>
    <row r="226" spans="2:40"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1133"/>
      <c r="AJ226" s="1133"/>
      <c r="AK226" s="1133"/>
      <c r="AL226" s="1133"/>
      <c r="AM226" s="1133"/>
      <c r="AN226" s="1133"/>
    </row>
    <row r="227" spans="2:40"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1133"/>
      <c r="AJ227" s="1133"/>
      <c r="AK227" s="1133"/>
      <c r="AL227" s="1133"/>
      <c r="AM227" s="1133"/>
      <c r="AN227" s="1133"/>
    </row>
    <row r="228" spans="2:40"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1133"/>
      <c r="AJ228" s="1133"/>
      <c r="AK228" s="1133"/>
      <c r="AL228" s="1133"/>
      <c r="AM228" s="1133"/>
      <c r="AN228" s="1133"/>
    </row>
    <row r="229" spans="2:40"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1133"/>
      <c r="AJ229" s="1133"/>
      <c r="AK229" s="1133"/>
      <c r="AL229" s="1133"/>
      <c r="AM229" s="1133"/>
      <c r="AN229" s="1133"/>
    </row>
    <row r="230" spans="2:40"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1133"/>
      <c r="AJ230" s="1133"/>
      <c r="AK230" s="1133"/>
      <c r="AL230" s="1133"/>
      <c r="AM230" s="1133"/>
      <c r="AN230" s="1133"/>
    </row>
    <row r="231" spans="2:40"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1133"/>
      <c r="AJ231" s="1133"/>
      <c r="AK231" s="1133"/>
      <c r="AL231" s="1133"/>
      <c r="AM231" s="1133"/>
      <c r="AN231" s="1133"/>
    </row>
    <row r="232" spans="2:40"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1133"/>
      <c r="AJ232" s="1133"/>
      <c r="AK232" s="1133"/>
      <c r="AL232" s="1133"/>
      <c r="AM232" s="1133"/>
      <c r="AN232" s="1133"/>
    </row>
    <row r="233" spans="2:40"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1133"/>
      <c r="AJ233" s="1133"/>
      <c r="AK233" s="1133"/>
      <c r="AL233" s="1133"/>
      <c r="AM233" s="1133"/>
      <c r="AN233" s="1133"/>
    </row>
    <row r="234" spans="2:40"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1133"/>
      <c r="AJ234" s="1133"/>
      <c r="AK234" s="1133"/>
      <c r="AL234" s="1133"/>
      <c r="AM234" s="1133"/>
      <c r="AN234" s="1133"/>
    </row>
    <row r="235" spans="2:40"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1133"/>
      <c r="AJ235" s="1133"/>
      <c r="AK235" s="1133"/>
      <c r="AL235" s="1133"/>
      <c r="AM235" s="1133"/>
      <c r="AN235" s="1133"/>
    </row>
    <row r="236" spans="2:40"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1133"/>
      <c r="AJ236" s="1133"/>
      <c r="AK236" s="1133"/>
      <c r="AL236" s="1133"/>
      <c r="AM236" s="1133"/>
      <c r="AN236" s="1133"/>
    </row>
    <row r="237" spans="2:40"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1133"/>
      <c r="AJ237" s="1133"/>
      <c r="AK237" s="1133"/>
      <c r="AL237" s="1133"/>
      <c r="AM237" s="1133"/>
      <c r="AN237" s="1133"/>
    </row>
    <row r="238" spans="2:40"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1133"/>
      <c r="AJ238" s="1133"/>
      <c r="AK238" s="1133"/>
      <c r="AL238" s="1133"/>
      <c r="AM238" s="1133"/>
      <c r="AN238" s="1133"/>
    </row>
    <row r="239" spans="2:40"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1133"/>
      <c r="AJ239" s="1133"/>
      <c r="AK239" s="1133"/>
      <c r="AL239" s="1133"/>
      <c r="AM239" s="1133"/>
      <c r="AN239" s="1133"/>
    </row>
    <row r="240" spans="2:40"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1133"/>
      <c r="AJ240" s="1133"/>
      <c r="AK240" s="1133"/>
      <c r="AL240" s="1133"/>
      <c r="AM240" s="1133"/>
      <c r="AN240" s="1133"/>
    </row>
    <row r="241" spans="2:40"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1133"/>
      <c r="AJ241" s="1133"/>
      <c r="AK241" s="1133"/>
      <c r="AL241" s="1133"/>
      <c r="AM241" s="1133"/>
      <c r="AN241" s="1133"/>
    </row>
    <row r="242" spans="2:40"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1133"/>
      <c r="AJ242" s="1133"/>
      <c r="AK242" s="1133"/>
      <c r="AL242" s="1133"/>
      <c r="AM242" s="1133"/>
      <c r="AN242" s="1133"/>
    </row>
    <row r="243" spans="2:40"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1133"/>
      <c r="AJ243" s="1133"/>
      <c r="AK243" s="1133"/>
      <c r="AL243" s="1133"/>
      <c r="AM243" s="1133"/>
      <c r="AN243" s="1133"/>
    </row>
    <row r="244" spans="2:40"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1133"/>
      <c r="AJ244" s="1133"/>
      <c r="AK244" s="1133"/>
      <c r="AL244" s="1133"/>
      <c r="AM244" s="1133"/>
      <c r="AN244" s="1133"/>
    </row>
    <row r="245" spans="2:40"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1133"/>
      <c r="AJ245" s="1133"/>
      <c r="AK245" s="1133"/>
      <c r="AL245" s="1133"/>
      <c r="AM245" s="1133"/>
      <c r="AN245" s="1133"/>
    </row>
    <row r="246" spans="2:40"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1133"/>
      <c r="AJ246" s="1133"/>
      <c r="AK246" s="1133"/>
      <c r="AL246" s="1133"/>
      <c r="AM246" s="1133"/>
      <c r="AN246" s="1133"/>
    </row>
    <row r="247" spans="2:40"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1133"/>
      <c r="AJ247" s="1133"/>
      <c r="AK247" s="1133"/>
      <c r="AL247" s="1133"/>
      <c r="AM247" s="1133"/>
      <c r="AN247" s="1133"/>
    </row>
    <row r="248" spans="2:40"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1133"/>
      <c r="AJ248" s="1133"/>
      <c r="AK248" s="1133"/>
      <c r="AL248" s="1133"/>
      <c r="AM248" s="1133"/>
      <c r="AN248" s="1133"/>
    </row>
    <row r="249" spans="2:40"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1133"/>
      <c r="AJ249" s="1133"/>
      <c r="AK249" s="1133"/>
      <c r="AL249" s="1133"/>
      <c r="AM249" s="1133"/>
      <c r="AN249" s="1133"/>
    </row>
    <row r="250" spans="2:40"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1133"/>
      <c r="AJ250" s="1133"/>
      <c r="AK250" s="1133"/>
      <c r="AL250" s="1133"/>
      <c r="AM250" s="1133"/>
      <c r="AN250" s="1133"/>
    </row>
    <row r="251" spans="2:40"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1133"/>
      <c r="AJ251" s="1133"/>
      <c r="AK251" s="1133"/>
      <c r="AL251" s="1133"/>
      <c r="AM251" s="1133"/>
      <c r="AN251" s="1133"/>
    </row>
    <row r="252" spans="2:40"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1133"/>
      <c r="AJ252" s="1133"/>
      <c r="AK252" s="1133"/>
      <c r="AL252" s="1133"/>
      <c r="AM252" s="1133"/>
      <c r="AN252" s="1133"/>
    </row>
    <row r="253" spans="2:40"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1133"/>
      <c r="AJ253" s="1133"/>
      <c r="AK253" s="1133"/>
      <c r="AL253" s="1133"/>
      <c r="AM253" s="1133"/>
      <c r="AN253" s="1133"/>
    </row>
    <row r="254" spans="2:40"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1133"/>
      <c r="AJ254" s="1133"/>
      <c r="AK254" s="1133"/>
      <c r="AL254" s="1133"/>
      <c r="AM254" s="1133"/>
      <c r="AN254" s="1133"/>
    </row>
    <row r="255" spans="2:40"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1133"/>
      <c r="AJ255" s="1133"/>
      <c r="AK255" s="1133"/>
      <c r="AL255" s="1133"/>
      <c r="AM255" s="1133"/>
      <c r="AN255" s="1133"/>
    </row>
    <row r="256" spans="2:40"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1133"/>
      <c r="AJ256" s="1133"/>
      <c r="AK256" s="1133"/>
      <c r="AL256" s="1133"/>
      <c r="AM256" s="1133"/>
      <c r="AN256" s="1133"/>
    </row>
    <row r="257" spans="2:40"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1133"/>
      <c r="AJ257" s="1133"/>
      <c r="AK257" s="1133"/>
      <c r="AL257" s="1133"/>
      <c r="AM257" s="1133"/>
      <c r="AN257" s="1133"/>
    </row>
    <row r="258" spans="2:40"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1133"/>
      <c r="AJ258" s="1133"/>
      <c r="AK258" s="1133"/>
      <c r="AL258" s="1133"/>
      <c r="AM258" s="1133"/>
      <c r="AN258" s="1133"/>
    </row>
    <row r="259" spans="2:40"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1133"/>
      <c r="AJ259" s="1133"/>
      <c r="AK259" s="1133"/>
      <c r="AL259" s="1133"/>
      <c r="AM259" s="1133"/>
      <c r="AN259" s="1133"/>
    </row>
    <row r="260" spans="2:40"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1133"/>
      <c r="AJ260" s="1133"/>
      <c r="AK260" s="1133"/>
      <c r="AL260" s="1133"/>
      <c r="AM260" s="1133"/>
      <c r="AN260" s="1133"/>
    </row>
    <row r="261" spans="2:40"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1133"/>
      <c r="AJ261" s="1133"/>
      <c r="AK261" s="1133"/>
      <c r="AL261" s="1133"/>
      <c r="AM261" s="1133"/>
      <c r="AN261" s="1133"/>
    </row>
    <row r="262" spans="2:40"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1133"/>
      <c r="AJ262" s="1133"/>
      <c r="AK262" s="1133"/>
      <c r="AL262" s="1133"/>
      <c r="AM262" s="1133"/>
      <c r="AN262" s="1133"/>
    </row>
    <row r="263" spans="2:40"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1133"/>
      <c r="AJ263" s="1133"/>
      <c r="AK263" s="1133"/>
      <c r="AL263" s="1133"/>
      <c r="AM263" s="1133"/>
      <c r="AN263" s="1133"/>
    </row>
    <row r="267" spans="2:40">
      <c r="R267" s="254"/>
      <c r="S267" s="254"/>
      <c r="T267" s="254"/>
      <c r="U267" s="254"/>
      <c r="V267" s="254"/>
      <c r="W267" s="254"/>
      <c r="X267" s="254"/>
      <c r="Y267" s="254"/>
      <c r="Z267" s="254"/>
      <c r="AA267" s="254"/>
      <c r="AB267" s="254"/>
      <c r="AC267" s="254"/>
      <c r="AD267" s="254"/>
      <c r="AE267" s="254"/>
      <c r="AF267" s="254"/>
      <c r="AG267" s="254"/>
      <c r="AH267" s="254"/>
    </row>
    <row r="268" spans="2:40">
      <c r="R268" s="254"/>
      <c r="S268" s="254"/>
      <c r="T268" s="254"/>
      <c r="U268" s="254"/>
      <c r="V268" s="254"/>
      <c r="W268" s="254"/>
      <c r="X268" s="254"/>
      <c r="Y268" s="254"/>
      <c r="Z268" s="254"/>
      <c r="AA268" s="254"/>
      <c r="AB268" s="254"/>
      <c r="AC268" s="254"/>
      <c r="AD268" s="254"/>
      <c r="AE268" s="254"/>
      <c r="AF268" s="254"/>
      <c r="AG268" s="254"/>
      <c r="AH268" s="254"/>
    </row>
    <row r="269" spans="2:40"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</row>
    <row r="270" spans="2:40"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</row>
  </sheetData>
  <phoneticPr fontId="18" type="noConversion"/>
  <pageMargins left="1" right="0.25" top="0.5" bottom="0.5" header="0.5" footer="0.5"/>
  <pageSetup scale="83" orientation="portrait" r:id="rId1"/>
  <headerFooter alignWithMargins="0"/>
  <rowBreaks count="1" manualBreakCount="1">
    <brk id="121" max="1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>
    <tabColor theme="8" tint="0.59999389629810485"/>
    <pageSetUpPr fitToPage="1"/>
  </sheetPr>
  <dimension ref="A1:AN27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11.42578125" defaultRowHeight="11.25" outlineLevelRow="2" outlineLevelCol="1"/>
  <cols>
    <col min="1" max="1" width="33.42578125" style="9" customWidth="1"/>
    <col min="2" max="10" width="8.5703125" style="9" hidden="1" customWidth="1" outlineLevel="1"/>
    <col min="11" max="11" width="8.5703125" style="9" hidden="1" customWidth="1" outlineLevel="1" collapsed="1"/>
    <col min="12" max="14" width="8.5703125" style="9" hidden="1" customWidth="1" outlineLevel="1"/>
    <col min="15" max="15" width="8.5703125" style="9" hidden="1" customWidth="1" outlineLevel="1" collapsed="1"/>
    <col min="16" max="17" width="8.5703125" style="9" hidden="1" customWidth="1" outlineLevel="1"/>
    <col min="18" max="18" width="8.5703125" style="9" customWidth="1" collapsed="1"/>
    <col min="19" max="34" width="8.5703125" style="9" customWidth="1"/>
    <col min="35" max="39" width="8" style="9" customWidth="1"/>
    <col min="40" max="40" width="9.28515625" style="9" customWidth="1"/>
    <col min="41" max="16384" width="11.42578125" style="9"/>
  </cols>
  <sheetData>
    <row r="1" spans="1:40" ht="18">
      <c r="A1" s="24" t="s">
        <v>645</v>
      </c>
      <c r="B1" s="24"/>
      <c r="C1" s="24"/>
      <c r="D1" s="24"/>
      <c r="E1" s="24"/>
      <c r="F1" s="24"/>
      <c r="G1" s="24"/>
      <c r="H1" s="24"/>
      <c r="I1" s="24"/>
      <c r="J1" s="1647"/>
      <c r="K1" s="1647"/>
      <c r="L1" s="1647"/>
      <c r="M1" s="1647"/>
      <c r="N1" s="1647"/>
      <c r="O1" s="1647"/>
      <c r="P1" s="1647"/>
      <c r="Q1" s="1647"/>
      <c r="R1" s="1647"/>
      <c r="S1" s="1647"/>
      <c r="T1" s="1647"/>
      <c r="U1" s="1647"/>
      <c r="V1" s="1647"/>
      <c r="W1" s="1647"/>
      <c r="X1" s="1647"/>
      <c r="Y1" s="1647"/>
      <c r="Z1" s="1647"/>
      <c r="AA1" s="1647"/>
      <c r="AB1" s="1647"/>
      <c r="AC1" s="1647"/>
      <c r="AD1" s="1647"/>
      <c r="AE1" s="1647"/>
      <c r="AF1" s="1647"/>
      <c r="AG1" s="1647"/>
      <c r="AH1" s="1647"/>
    </row>
    <row r="2" spans="1:40" ht="12.75">
      <c r="A2" s="551" t="s">
        <v>537</v>
      </c>
      <c r="B2" s="551"/>
      <c r="C2" s="551"/>
      <c r="D2" s="551"/>
      <c r="E2" s="551"/>
      <c r="F2" s="551"/>
      <c r="G2" s="551"/>
      <c r="H2" s="551"/>
      <c r="I2" s="551"/>
      <c r="J2" s="130"/>
      <c r="K2" s="130"/>
      <c r="L2" s="129"/>
      <c r="M2" s="129"/>
      <c r="N2" s="129"/>
      <c r="O2" s="1138"/>
      <c r="P2" s="1138"/>
      <c r="Q2" s="1138"/>
      <c r="R2" s="409"/>
      <c r="S2" s="409"/>
      <c r="T2" s="409"/>
      <c r="U2" s="409"/>
      <c r="V2" s="409"/>
      <c r="W2" s="409"/>
      <c r="X2" s="409"/>
      <c r="Y2" s="409"/>
      <c r="Z2" s="409"/>
      <c r="AA2" s="131"/>
      <c r="AB2" s="131"/>
      <c r="AC2" s="409"/>
      <c r="AD2" s="409"/>
      <c r="AE2" s="131" t="s">
        <v>317</v>
      </c>
      <c r="AF2" s="131"/>
      <c r="AG2" s="131"/>
      <c r="AH2" s="131"/>
    </row>
    <row r="3" spans="1:40">
      <c r="J3" s="504"/>
      <c r="K3" s="504"/>
      <c r="L3" s="504"/>
      <c r="M3" s="504"/>
      <c r="N3" s="504"/>
      <c r="O3" s="1674" t="s">
        <v>916</v>
      </c>
      <c r="P3" s="504"/>
      <c r="Q3" s="504"/>
      <c r="R3" s="1139"/>
      <c r="S3" s="504"/>
      <c r="T3" s="1139"/>
      <c r="U3" s="1139"/>
      <c r="V3" s="1139"/>
      <c r="W3" s="1139"/>
      <c r="X3" s="1139"/>
      <c r="Y3" s="1139"/>
      <c r="Z3" s="1139"/>
      <c r="AA3" s="1139"/>
      <c r="AB3" s="1139"/>
      <c r="AC3" s="1139"/>
      <c r="AD3" s="1139"/>
      <c r="AE3" s="1139"/>
      <c r="AF3" s="1139"/>
      <c r="AG3" s="1139"/>
      <c r="AH3" s="1139"/>
      <c r="AI3" s="507"/>
      <c r="AJ3" s="62"/>
      <c r="AL3" s="62" t="s">
        <v>232</v>
      </c>
      <c r="AM3" s="40"/>
    </row>
    <row r="4" spans="1:40">
      <c r="A4" s="1126" t="s">
        <v>599</v>
      </c>
      <c r="B4" s="1124">
        <v>2001</v>
      </c>
      <c r="C4" s="1124">
        <v>2002</v>
      </c>
      <c r="D4" s="1124">
        <v>2003</v>
      </c>
      <c r="E4" s="1124">
        <v>2004</v>
      </c>
      <c r="F4" s="1124">
        <v>2005</v>
      </c>
      <c r="G4" s="1124">
        <v>2006</v>
      </c>
      <c r="H4" s="1124">
        <v>2007</v>
      </c>
      <c r="I4" s="1124">
        <v>2008</v>
      </c>
      <c r="J4" s="1124">
        <v>2009</v>
      </c>
      <c r="K4" s="1124">
        <v>2010</v>
      </c>
      <c r="L4" s="1124">
        <v>2011</v>
      </c>
      <c r="M4" s="1124">
        <v>2012</v>
      </c>
      <c r="N4" s="1124">
        <v>2013</v>
      </c>
      <c r="O4" s="1124">
        <v>2014</v>
      </c>
      <c r="P4" s="1124">
        <v>2015</v>
      </c>
      <c r="Q4" s="1124">
        <v>2016</v>
      </c>
      <c r="R4" s="1124">
        <v>2017</v>
      </c>
      <c r="S4" s="1124">
        <v>2018</v>
      </c>
      <c r="T4" s="1124">
        <v>2019</v>
      </c>
      <c r="U4" s="1124">
        <v>2020</v>
      </c>
      <c r="V4" s="1124">
        <v>2021</v>
      </c>
      <c r="W4" s="1124">
        <v>2022</v>
      </c>
      <c r="X4" s="1124">
        <v>2023</v>
      </c>
      <c r="Y4" s="1445">
        <v>2024</v>
      </c>
      <c r="Z4" s="1445">
        <v>2025</v>
      </c>
      <c r="AA4" s="1445">
        <v>2026</v>
      </c>
      <c r="AB4" s="1445">
        <v>2027</v>
      </c>
      <c r="AC4" s="1445">
        <v>2028</v>
      </c>
      <c r="AD4" s="1445">
        <v>2029</v>
      </c>
      <c r="AE4" s="1445">
        <v>2030</v>
      </c>
      <c r="AF4" s="1445">
        <v>2031</v>
      </c>
      <c r="AG4" s="1445">
        <v>2032</v>
      </c>
      <c r="AH4" s="1445">
        <v>2033</v>
      </c>
      <c r="AI4" s="125"/>
      <c r="AJ4" s="1949" t="s">
        <v>1481</v>
      </c>
      <c r="AK4" s="1949" t="s">
        <v>1493</v>
      </c>
      <c r="AL4" s="1949" t="s">
        <v>1494</v>
      </c>
      <c r="AM4" s="1949" t="s">
        <v>1491</v>
      </c>
      <c r="AN4" s="1949" t="s">
        <v>1492</v>
      </c>
    </row>
    <row r="5" spans="1:40">
      <c r="A5" s="89" t="s">
        <v>891</v>
      </c>
      <c r="B5" s="1544">
        <v>437</v>
      </c>
      <c r="C5" s="1544">
        <v>518</v>
      </c>
      <c r="D5" s="1544">
        <v>560</v>
      </c>
      <c r="E5" s="1544">
        <v>626</v>
      </c>
      <c r="F5" s="1544">
        <v>728</v>
      </c>
      <c r="G5" s="1544">
        <v>865</v>
      </c>
      <c r="H5" s="1544">
        <v>989</v>
      </c>
      <c r="I5" s="1544">
        <v>1135</v>
      </c>
      <c r="J5" s="985">
        <v>1171</v>
      </c>
      <c r="K5" s="985">
        <v>1206</v>
      </c>
      <c r="L5" s="985">
        <v>1283</v>
      </c>
      <c r="M5" s="985">
        <v>1435</v>
      </c>
      <c r="N5" s="985">
        <v>1862</v>
      </c>
      <c r="O5" s="985">
        <v>2784</v>
      </c>
      <c r="P5" s="985">
        <v>2954</v>
      </c>
      <c r="Q5" s="985">
        <v>3195</v>
      </c>
      <c r="R5" s="985">
        <v>3438</v>
      </c>
      <c r="S5" s="985">
        <v>3688</v>
      </c>
      <c r="T5" s="985">
        <v>4310</v>
      </c>
      <c r="U5" s="985">
        <v>4193</v>
      </c>
      <c r="V5" s="985">
        <v>4262</v>
      </c>
      <c r="W5" s="985">
        <v>4447</v>
      </c>
      <c r="X5" s="985">
        <v>4622</v>
      </c>
      <c r="Y5" s="1566">
        <v>4785</v>
      </c>
      <c r="Z5" s="1566">
        <v>4928</v>
      </c>
      <c r="AA5" s="1566">
        <v>5044</v>
      </c>
      <c r="AB5" s="1566">
        <v>5146</v>
      </c>
      <c r="AC5" s="1566">
        <v>5245</v>
      </c>
      <c r="AD5" s="1566">
        <v>5344</v>
      </c>
      <c r="AE5" s="1566">
        <v>5429</v>
      </c>
      <c r="AF5" s="1566">
        <v>5515</v>
      </c>
      <c r="AG5" s="1566">
        <v>5601</v>
      </c>
      <c r="AH5" s="1566">
        <v>5677</v>
      </c>
      <c r="AI5" s="1127"/>
      <c r="AJ5" s="1127">
        <v>7.2563156017504404E-2</v>
      </c>
      <c r="AK5" s="1127">
        <f t="shared" ref="AK5:AK24" si="0">IFERROR((X5/U5)^(1/3)-1,"NM")</f>
        <v>3.3003261961264796E-2</v>
      </c>
      <c r="AL5" s="1127">
        <f t="shared" ref="AL5:AL24" si="1">IFERROR((AA5/Y5)^(1/2)-1,"NM")</f>
        <v>2.6707106098759148E-2</v>
      </c>
      <c r="AM5" s="1127">
        <f t="shared" ref="AM5:AM24" si="2">IFERROR((AD5/AA5)^(1/3)-1,"NM")</f>
        <v>1.9444977382419903E-2</v>
      </c>
      <c r="AN5" s="1127">
        <f t="shared" ref="AN5:AN24" si="3">IFERROR((AH5/X5)^(1/10)-1,"NM")</f>
        <v>2.0772344478485527E-2</v>
      </c>
    </row>
    <row r="6" spans="1:40" hidden="1" outlineLevel="1">
      <c r="A6" s="42" t="s">
        <v>731</v>
      </c>
      <c r="B6" s="1545">
        <v>425</v>
      </c>
      <c r="C6" s="1545">
        <v>495</v>
      </c>
      <c r="D6" s="1545">
        <v>531</v>
      </c>
      <c r="E6" s="1545">
        <v>597</v>
      </c>
      <c r="F6" s="1545">
        <v>701</v>
      </c>
      <c r="G6" s="1545">
        <v>790</v>
      </c>
      <c r="H6" s="1545">
        <v>899</v>
      </c>
      <c r="I6" s="1545">
        <v>990</v>
      </c>
      <c r="J6" s="438">
        <v>1001</v>
      </c>
      <c r="K6" s="438">
        <v>1037</v>
      </c>
      <c r="L6" s="438">
        <v>1075</v>
      </c>
      <c r="M6" s="438">
        <v>1186</v>
      </c>
      <c r="N6" s="438">
        <v>1575</v>
      </c>
      <c r="O6" s="438">
        <v>1999</v>
      </c>
      <c r="P6" s="438">
        <v>2092</v>
      </c>
      <c r="Q6" s="438">
        <v>2215</v>
      </c>
      <c r="R6" s="438">
        <v>2346</v>
      </c>
      <c r="S6" s="438">
        <v>2467</v>
      </c>
      <c r="T6" s="438">
        <v>2272</v>
      </c>
      <c r="U6" s="438">
        <v>2184</v>
      </c>
      <c r="V6" s="438">
        <v>2174</v>
      </c>
      <c r="W6" s="438">
        <v>2248</v>
      </c>
      <c r="X6" s="438">
        <v>2313</v>
      </c>
      <c r="Y6" s="447">
        <v>2388</v>
      </c>
      <c r="Z6" s="447">
        <v>2471</v>
      </c>
      <c r="AA6" s="447">
        <v>2541</v>
      </c>
      <c r="AB6" s="447">
        <v>2600</v>
      </c>
      <c r="AC6" s="447">
        <v>2659</v>
      </c>
      <c r="AD6" s="447">
        <v>2718</v>
      </c>
      <c r="AE6" s="447">
        <v>2767</v>
      </c>
      <c r="AF6" s="447">
        <v>2816</v>
      </c>
      <c r="AG6" s="447">
        <v>2865</v>
      </c>
      <c r="AH6" s="447">
        <v>2910</v>
      </c>
      <c r="AI6" s="1128"/>
      <c r="AJ6" s="1128">
        <v>8.6446534003510322E-3</v>
      </c>
      <c r="AK6" s="1128">
        <f t="shared" si="0"/>
        <v>1.9313242080715387E-2</v>
      </c>
      <c r="AL6" s="1128">
        <f t="shared" si="1"/>
        <v>3.1537857646918299E-2</v>
      </c>
      <c r="AM6" s="1128">
        <f t="shared" si="2"/>
        <v>2.2700015306899246E-2</v>
      </c>
      <c r="AN6" s="1128">
        <f t="shared" si="3"/>
        <v>2.3226397376872265E-2</v>
      </c>
    </row>
    <row r="7" spans="1:40" hidden="1" outlineLevel="1">
      <c r="A7" s="42" t="s">
        <v>949</v>
      </c>
      <c r="B7" s="1545">
        <v>0</v>
      </c>
      <c r="C7" s="1545">
        <v>0</v>
      </c>
      <c r="D7" s="1545">
        <v>0</v>
      </c>
      <c r="E7" s="1545">
        <v>0</v>
      </c>
      <c r="F7" s="1545">
        <v>0</v>
      </c>
      <c r="G7" s="1545">
        <v>0</v>
      </c>
      <c r="H7" s="1545">
        <v>0</v>
      </c>
      <c r="I7" s="1545">
        <v>0</v>
      </c>
      <c r="J7" s="438">
        <v>0</v>
      </c>
      <c r="K7" s="438">
        <v>0</v>
      </c>
      <c r="L7" s="438">
        <v>0</v>
      </c>
      <c r="M7" s="438">
        <v>0</v>
      </c>
      <c r="N7" s="438">
        <v>0</v>
      </c>
      <c r="O7" s="438">
        <v>442</v>
      </c>
      <c r="P7" s="438">
        <v>467</v>
      </c>
      <c r="Q7" s="438">
        <v>499</v>
      </c>
      <c r="R7" s="438">
        <v>549</v>
      </c>
      <c r="S7" s="438">
        <v>593</v>
      </c>
      <c r="T7" s="438">
        <v>1398</v>
      </c>
      <c r="U7" s="438">
        <v>1376</v>
      </c>
      <c r="V7" s="438">
        <v>1424</v>
      </c>
      <c r="W7" s="438">
        <v>1476</v>
      </c>
      <c r="X7" s="438">
        <v>1534</v>
      </c>
      <c r="Y7" s="447">
        <v>1598</v>
      </c>
      <c r="Z7" s="447">
        <v>1634</v>
      </c>
      <c r="AA7" s="447">
        <v>1662</v>
      </c>
      <c r="AB7" s="447">
        <v>1686</v>
      </c>
      <c r="AC7" s="447">
        <v>1710</v>
      </c>
      <c r="AD7" s="447">
        <v>1734</v>
      </c>
      <c r="AE7" s="447">
        <v>1756</v>
      </c>
      <c r="AF7" s="447">
        <v>1778</v>
      </c>
      <c r="AG7" s="447">
        <v>1800</v>
      </c>
      <c r="AH7" s="447">
        <v>1819</v>
      </c>
      <c r="AI7" s="1128"/>
      <c r="AJ7" s="1128">
        <v>0.24125299860002158</v>
      </c>
      <c r="AK7" s="1128">
        <f t="shared" si="0"/>
        <v>3.6897057174009262E-2</v>
      </c>
      <c r="AL7" s="1128">
        <f t="shared" si="1"/>
        <v>1.9828447621570655E-2</v>
      </c>
      <c r="AM7" s="1128">
        <f t="shared" si="2"/>
        <v>1.4236785291606102E-2</v>
      </c>
      <c r="AN7" s="1128">
        <f t="shared" si="3"/>
        <v>1.7186842697963112E-2</v>
      </c>
    </row>
    <row r="8" spans="1:40" hidden="1" outlineLevel="1">
      <c r="A8" s="42" t="s">
        <v>733</v>
      </c>
      <c r="B8" s="1545">
        <v>12</v>
      </c>
      <c r="C8" s="1545">
        <v>23</v>
      </c>
      <c r="D8" s="1545">
        <v>29</v>
      </c>
      <c r="E8" s="1545">
        <v>29</v>
      </c>
      <c r="F8" s="1545">
        <v>27</v>
      </c>
      <c r="G8" s="1545">
        <v>75</v>
      </c>
      <c r="H8" s="1545">
        <v>90</v>
      </c>
      <c r="I8" s="1545">
        <v>145</v>
      </c>
      <c r="J8" s="438">
        <v>170</v>
      </c>
      <c r="K8" s="438">
        <v>169</v>
      </c>
      <c r="L8" s="438">
        <v>208</v>
      </c>
      <c r="M8" s="438">
        <v>249</v>
      </c>
      <c r="N8" s="438">
        <v>287</v>
      </c>
      <c r="O8" s="438">
        <v>343</v>
      </c>
      <c r="P8" s="438">
        <v>395</v>
      </c>
      <c r="Q8" s="438">
        <v>481</v>
      </c>
      <c r="R8" s="438">
        <v>543</v>
      </c>
      <c r="S8" s="438">
        <v>628</v>
      </c>
      <c r="T8" s="438">
        <v>640</v>
      </c>
      <c r="U8" s="438">
        <v>633</v>
      </c>
      <c r="V8" s="438">
        <v>664</v>
      </c>
      <c r="W8" s="438">
        <v>723</v>
      </c>
      <c r="X8" s="438">
        <v>775</v>
      </c>
      <c r="Y8" s="447">
        <v>799</v>
      </c>
      <c r="Z8" s="447">
        <v>823</v>
      </c>
      <c r="AA8" s="447">
        <v>841</v>
      </c>
      <c r="AB8" s="447">
        <v>860</v>
      </c>
      <c r="AC8" s="447">
        <v>876</v>
      </c>
      <c r="AD8" s="447">
        <v>892</v>
      </c>
      <c r="AE8" s="447">
        <v>906</v>
      </c>
      <c r="AF8" s="447">
        <v>921</v>
      </c>
      <c r="AG8" s="447">
        <v>936</v>
      </c>
      <c r="AH8" s="447">
        <v>948</v>
      </c>
      <c r="AI8" s="1128"/>
      <c r="AJ8" s="1128">
        <v>9.8907969227377102E-2</v>
      </c>
      <c r="AK8" s="1128">
        <f t="shared" si="0"/>
        <v>6.979196293093981E-2</v>
      </c>
      <c r="AL8" s="1128">
        <f t="shared" si="1"/>
        <v>2.5946249631976226E-2</v>
      </c>
      <c r="AM8" s="1128">
        <f t="shared" si="2"/>
        <v>1.9818656966451575E-2</v>
      </c>
      <c r="AN8" s="1128">
        <f t="shared" si="3"/>
        <v>2.0353511639755739E-2</v>
      </c>
    </row>
    <row r="9" spans="1:40" collapsed="1">
      <c r="A9" s="937" t="s">
        <v>996</v>
      </c>
      <c r="B9" s="1544">
        <v>283</v>
      </c>
      <c r="C9" s="1544">
        <v>342</v>
      </c>
      <c r="D9" s="1544">
        <v>363</v>
      </c>
      <c r="E9" s="1544">
        <v>425</v>
      </c>
      <c r="F9" s="1544">
        <v>559</v>
      </c>
      <c r="G9" s="1544">
        <v>689</v>
      </c>
      <c r="H9" s="1544">
        <v>806</v>
      </c>
      <c r="I9" s="1544">
        <v>929</v>
      </c>
      <c r="J9" s="985">
        <v>952</v>
      </c>
      <c r="K9" s="985">
        <v>1011</v>
      </c>
      <c r="L9" s="985">
        <v>1077</v>
      </c>
      <c r="M9" s="985">
        <v>1161</v>
      </c>
      <c r="N9" s="985">
        <v>1411</v>
      </c>
      <c r="O9" s="985">
        <v>2161</v>
      </c>
      <c r="P9" s="985">
        <v>2283</v>
      </c>
      <c r="Q9" s="985">
        <v>2502</v>
      </c>
      <c r="R9" s="985">
        <v>2716</v>
      </c>
      <c r="S9" s="985">
        <v>2947</v>
      </c>
      <c r="T9" s="985">
        <v>3419</v>
      </c>
      <c r="U9" s="985">
        <v>3284</v>
      </c>
      <c r="V9" s="985">
        <v>3289</v>
      </c>
      <c r="W9" s="985">
        <v>3436</v>
      </c>
      <c r="X9" s="985">
        <v>3552</v>
      </c>
      <c r="Y9" s="1566">
        <v>3657</v>
      </c>
      <c r="Z9" s="1566">
        <v>3745</v>
      </c>
      <c r="AA9" s="1566">
        <v>3814</v>
      </c>
      <c r="AB9" s="1566">
        <v>3875</v>
      </c>
      <c r="AC9" s="1566">
        <v>3936</v>
      </c>
      <c r="AD9" s="1566">
        <v>3997</v>
      </c>
      <c r="AE9" s="1566">
        <v>4048</v>
      </c>
      <c r="AF9" s="1566">
        <v>4099</v>
      </c>
      <c r="AG9" s="1566">
        <v>4150</v>
      </c>
      <c r="AH9" s="1566">
        <v>4196</v>
      </c>
      <c r="AI9" s="1127"/>
      <c r="AJ9" s="1127">
        <v>7.5423314295679056E-2</v>
      </c>
      <c r="AK9" s="1127">
        <f t="shared" si="0"/>
        <v>2.6494443607898877E-2</v>
      </c>
      <c r="AL9" s="1127">
        <f t="shared" si="1"/>
        <v>2.124011109357915E-2</v>
      </c>
      <c r="AM9" s="1127">
        <f t="shared" si="2"/>
        <v>1.5744516621780669E-2</v>
      </c>
      <c r="AN9" s="1127">
        <f t="shared" si="3"/>
        <v>1.6801673295556929E-2</v>
      </c>
    </row>
    <row r="10" spans="1:40" hidden="1" outlineLevel="1">
      <c r="A10" s="86" t="s">
        <v>731</v>
      </c>
      <c r="B10" s="1545">
        <v>283</v>
      </c>
      <c r="C10" s="1545">
        <v>342</v>
      </c>
      <c r="D10" s="1545">
        <v>363</v>
      </c>
      <c r="E10" s="1545">
        <v>425</v>
      </c>
      <c r="F10" s="1545">
        <v>559</v>
      </c>
      <c r="G10" s="1545">
        <v>639</v>
      </c>
      <c r="H10" s="1545">
        <v>745</v>
      </c>
      <c r="I10" s="1545">
        <v>831</v>
      </c>
      <c r="J10" s="438">
        <v>836</v>
      </c>
      <c r="K10" s="438">
        <v>873</v>
      </c>
      <c r="L10" s="438">
        <v>905</v>
      </c>
      <c r="M10" s="438">
        <v>953</v>
      </c>
      <c r="N10" s="438">
        <v>1128</v>
      </c>
      <c r="O10" s="438">
        <v>1532</v>
      </c>
      <c r="P10" s="438">
        <v>1594</v>
      </c>
      <c r="Q10" s="438">
        <v>1698</v>
      </c>
      <c r="R10" s="438">
        <v>1813</v>
      </c>
      <c r="S10" s="438">
        <v>1917</v>
      </c>
      <c r="T10" s="438">
        <v>1916</v>
      </c>
      <c r="U10" s="438">
        <v>1821</v>
      </c>
      <c r="V10" s="438">
        <v>1789</v>
      </c>
      <c r="W10" s="438">
        <v>1833</v>
      </c>
      <c r="X10" s="438">
        <v>1851</v>
      </c>
      <c r="Y10" s="447">
        <v>1900</v>
      </c>
      <c r="Z10" s="447">
        <v>1951</v>
      </c>
      <c r="AA10" s="447">
        <v>1993</v>
      </c>
      <c r="AB10" s="447">
        <v>2028</v>
      </c>
      <c r="AC10" s="447">
        <v>2063</v>
      </c>
      <c r="AD10" s="447">
        <v>2098</v>
      </c>
      <c r="AE10" s="447">
        <v>2127</v>
      </c>
      <c r="AF10" s="447">
        <v>2156</v>
      </c>
      <c r="AG10" s="447">
        <v>2185</v>
      </c>
      <c r="AH10" s="447">
        <v>2213</v>
      </c>
      <c r="AI10" s="1128"/>
      <c r="AJ10" s="1128">
        <v>2.698553288545158E-2</v>
      </c>
      <c r="AK10" s="1128">
        <f t="shared" si="0"/>
        <v>5.4616047617601637E-3</v>
      </c>
      <c r="AL10" s="1127">
        <f t="shared" si="1"/>
        <v>2.4181316184323176E-2</v>
      </c>
      <c r="AM10" s="1128">
        <f t="shared" si="2"/>
        <v>1.7261781533717491E-2</v>
      </c>
      <c r="AN10" s="1128">
        <f t="shared" si="3"/>
        <v>1.8022787797620898E-2</v>
      </c>
    </row>
    <row r="11" spans="1:40" hidden="1" outlineLevel="1">
      <c r="A11" s="86" t="s">
        <v>949</v>
      </c>
      <c r="B11" s="1545">
        <v>0</v>
      </c>
      <c r="C11" s="1545">
        <v>0</v>
      </c>
      <c r="D11" s="1545">
        <v>0</v>
      </c>
      <c r="E11" s="1545">
        <v>0</v>
      </c>
      <c r="F11" s="1545">
        <v>0</v>
      </c>
      <c r="G11" s="1545">
        <v>0</v>
      </c>
      <c r="H11" s="1545">
        <v>0</v>
      </c>
      <c r="I11" s="1545">
        <v>0</v>
      </c>
      <c r="J11" s="438">
        <v>0</v>
      </c>
      <c r="K11" s="438">
        <v>0</v>
      </c>
      <c r="L11" s="438">
        <v>0</v>
      </c>
      <c r="M11" s="438">
        <v>0</v>
      </c>
      <c r="N11" s="438">
        <v>0</v>
      </c>
      <c r="O11" s="438">
        <v>302</v>
      </c>
      <c r="P11" s="438">
        <v>313</v>
      </c>
      <c r="Q11" s="438">
        <v>344</v>
      </c>
      <c r="R11" s="438">
        <v>381</v>
      </c>
      <c r="S11" s="438">
        <v>420</v>
      </c>
      <c r="T11" s="438">
        <v>888</v>
      </c>
      <c r="U11" s="438">
        <v>862</v>
      </c>
      <c r="V11" s="438">
        <v>878</v>
      </c>
      <c r="W11" s="438">
        <v>928</v>
      </c>
      <c r="X11" s="438">
        <v>976</v>
      </c>
      <c r="Y11" s="447">
        <v>1007</v>
      </c>
      <c r="Z11" s="447">
        <v>1029</v>
      </c>
      <c r="AA11" s="447">
        <v>1046</v>
      </c>
      <c r="AB11" s="447">
        <v>1061</v>
      </c>
      <c r="AC11" s="447">
        <v>1076</v>
      </c>
      <c r="AD11" s="447">
        <v>1091</v>
      </c>
      <c r="AE11" s="447">
        <v>1103</v>
      </c>
      <c r="AF11" s="447">
        <v>1115</v>
      </c>
      <c r="AG11" s="447">
        <v>1127</v>
      </c>
      <c r="AH11" s="447">
        <v>1137</v>
      </c>
      <c r="AI11" s="1128"/>
      <c r="AJ11" s="1128">
        <v>0.22459529260132638</v>
      </c>
      <c r="AK11" s="1128">
        <f t="shared" si="0"/>
        <v>4.2271471409511596E-2</v>
      </c>
      <c r="AL11" s="1127">
        <f t="shared" si="1"/>
        <v>1.9180503010133076E-2</v>
      </c>
      <c r="AM11" s="1128">
        <f t="shared" si="2"/>
        <v>1.4139477078766616E-2</v>
      </c>
      <c r="AN11" s="1128">
        <f t="shared" si="3"/>
        <v>1.5385751197482866E-2</v>
      </c>
    </row>
    <row r="12" spans="1:40" hidden="1" outlineLevel="1">
      <c r="A12" s="86" t="s">
        <v>733</v>
      </c>
      <c r="B12" s="1545">
        <v>0</v>
      </c>
      <c r="C12" s="1545">
        <v>0</v>
      </c>
      <c r="D12" s="1545">
        <v>0</v>
      </c>
      <c r="E12" s="1545">
        <v>0</v>
      </c>
      <c r="F12" s="1545">
        <v>0</v>
      </c>
      <c r="G12" s="1545">
        <v>50</v>
      </c>
      <c r="H12" s="1545">
        <v>61</v>
      </c>
      <c r="I12" s="1545">
        <v>98</v>
      </c>
      <c r="J12" s="438">
        <v>116</v>
      </c>
      <c r="K12" s="438">
        <v>138</v>
      </c>
      <c r="L12" s="438">
        <v>172</v>
      </c>
      <c r="M12" s="438">
        <v>208</v>
      </c>
      <c r="N12" s="438">
        <v>283</v>
      </c>
      <c r="O12" s="438">
        <v>327</v>
      </c>
      <c r="P12" s="438">
        <v>376</v>
      </c>
      <c r="Q12" s="438">
        <v>460</v>
      </c>
      <c r="R12" s="438">
        <v>522</v>
      </c>
      <c r="S12" s="438">
        <v>610</v>
      </c>
      <c r="T12" s="438">
        <v>615</v>
      </c>
      <c r="U12" s="438">
        <v>601</v>
      </c>
      <c r="V12" s="438">
        <v>622</v>
      </c>
      <c r="W12" s="438">
        <v>675</v>
      </c>
      <c r="X12" s="438">
        <v>725</v>
      </c>
      <c r="Y12" s="447">
        <v>750</v>
      </c>
      <c r="Z12" s="447">
        <v>765</v>
      </c>
      <c r="AA12" s="447">
        <v>775</v>
      </c>
      <c r="AB12" s="447">
        <v>786</v>
      </c>
      <c r="AC12" s="447">
        <v>797</v>
      </c>
      <c r="AD12" s="447">
        <v>808</v>
      </c>
      <c r="AE12" s="447">
        <v>818</v>
      </c>
      <c r="AF12" s="447">
        <v>828</v>
      </c>
      <c r="AG12" s="447">
        <v>838</v>
      </c>
      <c r="AH12" s="447">
        <v>846</v>
      </c>
      <c r="AI12" s="1128"/>
      <c r="AJ12" s="1128">
        <v>9.8341328067830691E-2</v>
      </c>
      <c r="AK12" s="1128">
        <f t="shared" si="0"/>
        <v>6.4521682050938889E-2</v>
      </c>
      <c r="AL12" s="1127">
        <f t="shared" si="1"/>
        <v>1.6530045465127152E-2</v>
      </c>
      <c r="AM12" s="1128">
        <f t="shared" si="2"/>
        <v>1.3996726022627026E-2</v>
      </c>
      <c r="AN12" s="1128">
        <f t="shared" si="3"/>
        <v>1.5554501760122852E-2</v>
      </c>
    </row>
    <row r="13" spans="1:40" collapsed="1">
      <c r="A13" s="937" t="s">
        <v>997</v>
      </c>
      <c r="B13" s="1544">
        <v>154</v>
      </c>
      <c r="C13" s="1544">
        <v>176</v>
      </c>
      <c r="D13" s="1544">
        <v>197</v>
      </c>
      <c r="E13" s="1544">
        <v>201</v>
      </c>
      <c r="F13" s="1544">
        <v>169</v>
      </c>
      <c r="G13" s="1544">
        <v>176</v>
      </c>
      <c r="H13" s="1544">
        <v>183</v>
      </c>
      <c r="I13" s="1544">
        <v>206</v>
      </c>
      <c r="J13" s="985">
        <v>219</v>
      </c>
      <c r="K13" s="985">
        <v>195</v>
      </c>
      <c r="L13" s="985">
        <v>206</v>
      </c>
      <c r="M13" s="985">
        <v>274</v>
      </c>
      <c r="N13" s="985">
        <v>451</v>
      </c>
      <c r="O13" s="985">
        <v>623</v>
      </c>
      <c r="P13" s="985">
        <v>671</v>
      </c>
      <c r="Q13" s="985">
        <v>693</v>
      </c>
      <c r="R13" s="985">
        <v>722</v>
      </c>
      <c r="S13" s="985">
        <v>741</v>
      </c>
      <c r="T13" s="985">
        <v>891</v>
      </c>
      <c r="U13" s="985">
        <v>909</v>
      </c>
      <c r="V13" s="985">
        <v>973</v>
      </c>
      <c r="W13" s="985">
        <v>1011</v>
      </c>
      <c r="X13" s="985">
        <v>1070</v>
      </c>
      <c r="Y13" s="1566">
        <v>1128</v>
      </c>
      <c r="Z13" s="1566">
        <v>1183</v>
      </c>
      <c r="AA13" s="1566">
        <v>1230</v>
      </c>
      <c r="AB13" s="1566">
        <v>1271</v>
      </c>
      <c r="AC13" s="1566">
        <v>1309</v>
      </c>
      <c r="AD13" s="1566">
        <v>1347</v>
      </c>
      <c r="AE13" s="1566">
        <v>1381</v>
      </c>
      <c r="AF13" s="1566">
        <v>1416</v>
      </c>
      <c r="AG13" s="1566">
        <v>1451</v>
      </c>
      <c r="AH13" s="1566">
        <v>1481</v>
      </c>
      <c r="AI13" s="1127"/>
      <c r="AJ13" s="1127">
        <v>6.2596234584169075E-2</v>
      </c>
      <c r="AK13" s="1127">
        <f t="shared" si="0"/>
        <v>5.5860714840627157E-2</v>
      </c>
      <c r="AL13" s="1127">
        <f t="shared" si="1"/>
        <v>4.4234423831590375E-2</v>
      </c>
      <c r="AM13" s="1127">
        <f t="shared" si="2"/>
        <v>3.0751941326439658E-2</v>
      </c>
      <c r="AN13" s="1127">
        <f t="shared" si="3"/>
        <v>3.3039976369133361E-2</v>
      </c>
    </row>
    <row r="14" spans="1:40" hidden="1" outlineLevel="1">
      <c r="A14" s="86" t="s">
        <v>731</v>
      </c>
      <c r="B14" s="1545">
        <v>142</v>
      </c>
      <c r="C14" s="1545">
        <v>153</v>
      </c>
      <c r="D14" s="1545">
        <v>168</v>
      </c>
      <c r="E14" s="1545">
        <v>172</v>
      </c>
      <c r="F14" s="1545">
        <v>142</v>
      </c>
      <c r="G14" s="1545">
        <v>151</v>
      </c>
      <c r="H14" s="1545">
        <v>154</v>
      </c>
      <c r="I14" s="1545">
        <v>159</v>
      </c>
      <c r="J14" s="438">
        <v>165</v>
      </c>
      <c r="K14" s="438">
        <v>164</v>
      </c>
      <c r="L14" s="438">
        <v>170</v>
      </c>
      <c r="M14" s="438">
        <v>233</v>
      </c>
      <c r="N14" s="438">
        <v>447</v>
      </c>
      <c r="O14" s="438">
        <v>467</v>
      </c>
      <c r="P14" s="438">
        <v>498</v>
      </c>
      <c r="Q14" s="438">
        <v>517</v>
      </c>
      <c r="R14" s="438">
        <v>533</v>
      </c>
      <c r="S14" s="438">
        <v>550</v>
      </c>
      <c r="T14" s="438">
        <v>356</v>
      </c>
      <c r="U14" s="438">
        <v>363</v>
      </c>
      <c r="V14" s="438">
        <v>385</v>
      </c>
      <c r="W14" s="438">
        <v>415</v>
      </c>
      <c r="X14" s="438">
        <v>462</v>
      </c>
      <c r="Y14" s="447">
        <v>488</v>
      </c>
      <c r="Z14" s="447">
        <v>520</v>
      </c>
      <c r="AA14" s="447">
        <v>548</v>
      </c>
      <c r="AB14" s="447">
        <v>572</v>
      </c>
      <c r="AC14" s="447">
        <v>596</v>
      </c>
      <c r="AD14" s="447">
        <v>620</v>
      </c>
      <c r="AE14" s="447">
        <v>640</v>
      </c>
      <c r="AF14" s="447">
        <v>660</v>
      </c>
      <c r="AG14" s="447">
        <v>680</v>
      </c>
      <c r="AH14" s="447">
        <v>697</v>
      </c>
      <c r="AI14" s="1128"/>
      <c r="AJ14" s="1128">
        <v>-6.1281328050714734E-2</v>
      </c>
      <c r="AK14" s="1128">
        <f t="shared" si="0"/>
        <v>8.3706762661827083E-2</v>
      </c>
      <c r="AL14" s="1127">
        <f t="shared" si="1"/>
        <v>5.9693738620801406E-2</v>
      </c>
      <c r="AM14" s="1128">
        <f t="shared" si="2"/>
        <v>4.2006377440747977E-2</v>
      </c>
      <c r="AN14" s="1128">
        <f t="shared" si="3"/>
        <v>4.1979273405585715E-2</v>
      </c>
    </row>
    <row r="15" spans="1:40" hidden="1" outlineLevel="1">
      <c r="A15" s="86" t="s">
        <v>949</v>
      </c>
      <c r="B15" s="1545">
        <v>0</v>
      </c>
      <c r="C15" s="1545">
        <v>0</v>
      </c>
      <c r="D15" s="1545">
        <v>0</v>
      </c>
      <c r="E15" s="1545">
        <v>0</v>
      </c>
      <c r="F15" s="1545">
        <v>0</v>
      </c>
      <c r="G15" s="1545">
        <v>0</v>
      </c>
      <c r="H15" s="1545">
        <v>0</v>
      </c>
      <c r="I15" s="1545">
        <v>0</v>
      </c>
      <c r="J15" s="438">
        <v>0</v>
      </c>
      <c r="K15" s="438">
        <v>0</v>
      </c>
      <c r="L15" s="438">
        <v>0</v>
      </c>
      <c r="M15" s="438">
        <v>0</v>
      </c>
      <c r="N15" s="438">
        <v>0</v>
      </c>
      <c r="O15" s="438">
        <v>140</v>
      </c>
      <c r="P15" s="438">
        <v>154</v>
      </c>
      <c r="Q15" s="438">
        <v>155</v>
      </c>
      <c r="R15" s="438">
        <v>168</v>
      </c>
      <c r="S15" s="438">
        <v>173</v>
      </c>
      <c r="T15" s="438">
        <v>510</v>
      </c>
      <c r="U15" s="438">
        <v>514</v>
      </c>
      <c r="V15" s="438">
        <v>546</v>
      </c>
      <c r="W15" s="438">
        <v>548</v>
      </c>
      <c r="X15" s="438">
        <v>558</v>
      </c>
      <c r="Y15" s="447">
        <v>591</v>
      </c>
      <c r="Z15" s="447">
        <v>605</v>
      </c>
      <c r="AA15" s="447">
        <v>616</v>
      </c>
      <c r="AB15" s="447">
        <v>625</v>
      </c>
      <c r="AC15" s="447">
        <v>634</v>
      </c>
      <c r="AD15" s="447">
        <v>643</v>
      </c>
      <c r="AE15" s="447">
        <v>653</v>
      </c>
      <c r="AF15" s="447">
        <v>663</v>
      </c>
      <c r="AG15" s="447">
        <v>673</v>
      </c>
      <c r="AH15" s="447">
        <v>682</v>
      </c>
      <c r="AI15" s="1128"/>
      <c r="AJ15" s="1128">
        <v>0.27258992205548904</v>
      </c>
      <c r="AK15" s="1128">
        <f t="shared" si="0"/>
        <v>2.7756802541692327E-2</v>
      </c>
      <c r="AL15" s="1127">
        <f t="shared" si="1"/>
        <v>2.093152778879559E-2</v>
      </c>
      <c r="AM15" s="1128">
        <f t="shared" si="2"/>
        <v>1.4401976932822969E-2</v>
      </c>
      <c r="AN15" s="1128">
        <f t="shared" si="3"/>
        <v>2.0269766762328834E-2</v>
      </c>
    </row>
    <row r="16" spans="1:40" hidden="1" outlineLevel="1">
      <c r="A16" s="86" t="s">
        <v>733</v>
      </c>
      <c r="B16" s="1545">
        <v>12</v>
      </c>
      <c r="C16" s="1545">
        <v>23</v>
      </c>
      <c r="D16" s="1545">
        <v>29</v>
      </c>
      <c r="E16" s="1545">
        <v>29</v>
      </c>
      <c r="F16" s="1545">
        <v>27</v>
      </c>
      <c r="G16" s="1545">
        <v>25</v>
      </c>
      <c r="H16" s="1545">
        <v>29</v>
      </c>
      <c r="I16" s="1545">
        <v>47</v>
      </c>
      <c r="J16" s="438">
        <v>54</v>
      </c>
      <c r="K16" s="438">
        <v>31</v>
      </c>
      <c r="L16" s="438">
        <v>36</v>
      </c>
      <c r="M16" s="438">
        <v>41</v>
      </c>
      <c r="N16" s="438">
        <v>4</v>
      </c>
      <c r="O16" s="438">
        <v>16</v>
      </c>
      <c r="P16" s="438">
        <v>19</v>
      </c>
      <c r="Q16" s="438">
        <v>21</v>
      </c>
      <c r="R16" s="438">
        <v>21</v>
      </c>
      <c r="S16" s="438">
        <v>18</v>
      </c>
      <c r="T16" s="438">
        <v>25</v>
      </c>
      <c r="U16" s="438">
        <v>32</v>
      </c>
      <c r="V16" s="438">
        <v>42</v>
      </c>
      <c r="W16" s="438">
        <v>48</v>
      </c>
      <c r="X16" s="438">
        <v>50</v>
      </c>
      <c r="Y16" s="447">
        <v>49</v>
      </c>
      <c r="Z16" s="447">
        <v>58</v>
      </c>
      <c r="AA16" s="447">
        <v>66</v>
      </c>
      <c r="AB16" s="447">
        <v>74</v>
      </c>
      <c r="AC16" s="447">
        <v>79</v>
      </c>
      <c r="AD16" s="447">
        <v>84</v>
      </c>
      <c r="AE16" s="447">
        <v>88</v>
      </c>
      <c r="AF16" s="447">
        <v>93</v>
      </c>
      <c r="AG16" s="447">
        <v>98</v>
      </c>
      <c r="AH16" s="447">
        <v>102</v>
      </c>
      <c r="AI16" s="1128"/>
      <c r="AJ16" s="1128">
        <v>0.1098883056567086</v>
      </c>
      <c r="AK16" s="1128">
        <f t="shared" si="0"/>
        <v>0.16039720840319482</v>
      </c>
      <c r="AL16" s="1127">
        <f t="shared" si="1"/>
        <v>0.16057691494799431</v>
      </c>
      <c r="AM16" s="1128">
        <f t="shared" si="2"/>
        <v>8.3706762661827083E-2</v>
      </c>
      <c r="AN16" s="1128">
        <f t="shared" si="3"/>
        <v>7.3897958414493869E-2</v>
      </c>
    </row>
    <row r="17" spans="1:40" collapsed="1">
      <c r="A17" s="43" t="s">
        <v>1252</v>
      </c>
      <c r="B17" s="1569"/>
      <c r="C17" s="967">
        <v>59</v>
      </c>
      <c r="D17" s="967">
        <v>21</v>
      </c>
      <c r="E17" s="967">
        <v>62</v>
      </c>
      <c r="F17" s="967">
        <v>134</v>
      </c>
      <c r="G17" s="967">
        <v>130</v>
      </c>
      <c r="H17" s="967">
        <v>117</v>
      </c>
      <c r="I17" s="967">
        <v>123</v>
      </c>
      <c r="J17" s="967">
        <v>23</v>
      </c>
      <c r="K17" s="967">
        <v>59</v>
      </c>
      <c r="L17" s="967">
        <v>66</v>
      </c>
      <c r="M17" s="967">
        <v>84</v>
      </c>
      <c r="N17" s="972">
        <v>250</v>
      </c>
      <c r="O17" s="972">
        <v>750</v>
      </c>
      <c r="P17" s="972">
        <v>122</v>
      </c>
      <c r="Q17" s="972">
        <v>219</v>
      </c>
      <c r="R17" s="972">
        <v>214</v>
      </c>
      <c r="S17" s="972">
        <v>231</v>
      </c>
      <c r="T17" s="972">
        <v>472</v>
      </c>
      <c r="U17" s="972">
        <v>-135</v>
      </c>
      <c r="V17" s="972">
        <v>5</v>
      </c>
      <c r="W17" s="972">
        <v>147</v>
      </c>
      <c r="X17" s="972">
        <v>116</v>
      </c>
      <c r="Y17" s="1396">
        <v>105</v>
      </c>
      <c r="Z17" s="1396">
        <v>88</v>
      </c>
      <c r="AA17" s="1396">
        <v>69</v>
      </c>
      <c r="AB17" s="1396">
        <v>61</v>
      </c>
      <c r="AC17" s="1396">
        <v>61</v>
      </c>
      <c r="AD17" s="1396">
        <v>61</v>
      </c>
      <c r="AE17" s="1396">
        <v>51</v>
      </c>
      <c r="AF17" s="1396">
        <v>51</v>
      </c>
      <c r="AG17" s="1396">
        <v>51</v>
      </c>
      <c r="AH17" s="1396">
        <v>46</v>
      </c>
      <c r="AI17" s="1127"/>
      <c r="AJ17" s="1127">
        <v>-2.0204571842626802</v>
      </c>
      <c r="AK17" s="1127">
        <f t="shared" si="0"/>
        <v>-1.9506954314282725</v>
      </c>
      <c r="AL17" s="1127">
        <f t="shared" si="1"/>
        <v>-0.18935651662222241</v>
      </c>
      <c r="AM17" s="1127">
        <f t="shared" si="2"/>
        <v>-4.0245298851542155E-2</v>
      </c>
      <c r="AN17" s="1127">
        <f t="shared" si="3"/>
        <v>-8.8346120888910251E-2</v>
      </c>
    </row>
    <row r="18" spans="1:40" hidden="1" outlineLevel="1">
      <c r="A18" s="42" t="s">
        <v>731</v>
      </c>
      <c r="B18" s="1571"/>
      <c r="C18" s="967">
        <v>59</v>
      </c>
      <c r="D18" s="967">
        <v>21</v>
      </c>
      <c r="E18" s="967">
        <v>62</v>
      </c>
      <c r="F18" s="967">
        <v>134</v>
      </c>
      <c r="G18" s="967">
        <v>80</v>
      </c>
      <c r="H18" s="967">
        <v>106</v>
      </c>
      <c r="I18" s="967">
        <v>86</v>
      </c>
      <c r="J18" s="967">
        <v>5</v>
      </c>
      <c r="K18" s="967">
        <v>37</v>
      </c>
      <c r="L18" s="967">
        <v>32</v>
      </c>
      <c r="M18" s="967">
        <v>48</v>
      </c>
      <c r="N18" s="967">
        <v>175</v>
      </c>
      <c r="O18" s="967">
        <v>404</v>
      </c>
      <c r="P18" s="967">
        <v>62</v>
      </c>
      <c r="Q18" s="967">
        <v>104</v>
      </c>
      <c r="R18" s="967">
        <v>115</v>
      </c>
      <c r="S18" s="967">
        <v>104</v>
      </c>
      <c r="T18" s="967">
        <v>-1</v>
      </c>
      <c r="U18" s="967">
        <v>-95</v>
      </c>
      <c r="V18" s="967">
        <v>-32</v>
      </c>
      <c r="W18" s="967">
        <v>44</v>
      </c>
      <c r="X18" s="967">
        <v>18</v>
      </c>
      <c r="Y18" s="1397">
        <v>49</v>
      </c>
      <c r="Z18" s="1397">
        <v>51</v>
      </c>
      <c r="AA18" s="1397">
        <v>42</v>
      </c>
      <c r="AB18" s="1397">
        <v>35</v>
      </c>
      <c r="AC18" s="1397">
        <v>35</v>
      </c>
      <c r="AD18" s="1397">
        <v>35</v>
      </c>
      <c r="AE18" s="1397">
        <v>29</v>
      </c>
      <c r="AF18" s="1397">
        <v>29</v>
      </c>
      <c r="AG18" s="1397">
        <v>29</v>
      </c>
      <c r="AH18" s="1397">
        <v>28</v>
      </c>
      <c r="AI18" s="1128"/>
      <c r="AJ18" s="1128">
        <v>-2.0890965521452962</v>
      </c>
      <c r="AK18" s="1128">
        <f t="shared" si="0"/>
        <v>-1.5743583862351338</v>
      </c>
      <c r="AL18" s="1127">
        <f t="shared" si="1"/>
        <v>-7.4179900227448581E-2</v>
      </c>
      <c r="AM18" s="1128">
        <f t="shared" si="2"/>
        <v>-5.8963971118971448E-2</v>
      </c>
      <c r="AN18" s="1128">
        <f t="shared" si="3"/>
        <v>4.5173891819142664E-2</v>
      </c>
    </row>
    <row r="19" spans="1:40" hidden="1" outlineLevel="1">
      <c r="A19" s="42" t="s">
        <v>949</v>
      </c>
      <c r="B19" s="1571"/>
      <c r="C19" s="967">
        <v>0</v>
      </c>
      <c r="D19" s="967">
        <v>0</v>
      </c>
      <c r="E19" s="967">
        <v>0</v>
      </c>
      <c r="F19" s="967">
        <v>0</v>
      </c>
      <c r="G19" s="967">
        <v>0</v>
      </c>
      <c r="H19" s="967">
        <v>0</v>
      </c>
      <c r="I19" s="967">
        <v>0</v>
      </c>
      <c r="J19" s="967">
        <v>0</v>
      </c>
      <c r="K19" s="967">
        <v>0</v>
      </c>
      <c r="L19" s="967">
        <v>0</v>
      </c>
      <c r="M19" s="967">
        <v>0</v>
      </c>
      <c r="N19" s="967">
        <v>0</v>
      </c>
      <c r="O19" s="967">
        <v>302</v>
      </c>
      <c r="P19" s="967">
        <v>11</v>
      </c>
      <c r="Q19" s="967">
        <v>31</v>
      </c>
      <c r="R19" s="967">
        <v>37</v>
      </c>
      <c r="S19" s="967">
        <v>39</v>
      </c>
      <c r="T19" s="967">
        <v>468</v>
      </c>
      <c r="U19" s="967">
        <v>-26</v>
      </c>
      <c r="V19" s="967">
        <v>16</v>
      </c>
      <c r="W19" s="967">
        <v>50</v>
      </c>
      <c r="X19" s="967">
        <v>48</v>
      </c>
      <c r="Y19" s="1397">
        <v>31</v>
      </c>
      <c r="Z19" s="1397">
        <v>22</v>
      </c>
      <c r="AA19" s="1397">
        <v>17</v>
      </c>
      <c r="AB19" s="1397">
        <v>15</v>
      </c>
      <c r="AC19" s="1397">
        <v>15</v>
      </c>
      <c r="AD19" s="1397">
        <v>15</v>
      </c>
      <c r="AE19" s="1397">
        <v>12</v>
      </c>
      <c r="AF19" s="1397">
        <v>12</v>
      </c>
      <c r="AG19" s="1397">
        <v>12</v>
      </c>
      <c r="AH19" s="1397">
        <v>10</v>
      </c>
      <c r="AI19" s="1128"/>
      <c r="AJ19" s="1128">
        <v>-2.1877256418249376</v>
      </c>
      <c r="AK19" s="1128">
        <f t="shared" si="0"/>
        <v>-2.2267497075930422</v>
      </c>
      <c r="AL19" s="1127">
        <f t="shared" si="1"/>
        <v>-0.25946836882264546</v>
      </c>
      <c r="AM19" s="1128">
        <f t="shared" si="2"/>
        <v>-4.0862703139747492E-2</v>
      </c>
      <c r="AN19" s="1128">
        <f t="shared" si="3"/>
        <v>-0.14517763493754876</v>
      </c>
    </row>
    <row r="20" spans="1:40" hidden="1" outlineLevel="1">
      <c r="A20" s="42" t="s">
        <v>733</v>
      </c>
      <c r="B20" s="1571"/>
      <c r="C20" s="967">
        <v>0</v>
      </c>
      <c r="D20" s="967">
        <v>0</v>
      </c>
      <c r="E20" s="967">
        <v>0</v>
      </c>
      <c r="F20" s="967">
        <v>0</v>
      </c>
      <c r="G20" s="967">
        <v>50</v>
      </c>
      <c r="H20" s="967">
        <v>11</v>
      </c>
      <c r="I20" s="967">
        <v>37</v>
      </c>
      <c r="J20" s="967">
        <v>18</v>
      </c>
      <c r="K20" s="967">
        <v>22</v>
      </c>
      <c r="L20" s="967">
        <v>34</v>
      </c>
      <c r="M20" s="967">
        <v>36</v>
      </c>
      <c r="N20" s="967">
        <v>75</v>
      </c>
      <c r="O20" s="967">
        <v>44</v>
      </c>
      <c r="P20" s="967">
        <v>49</v>
      </c>
      <c r="Q20" s="967">
        <v>84</v>
      </c>
      <c r="R20" s="967">
        <v>62</v>
      </c>
      <c r="S20" s="967">
        <v>88</v>
      </c>
      <c r="T20" s="967">
        <v>5</v>
      </c>
      <c r="U20" s="967">
        <v>-14</v>
      </c>
      <c r="V20" s="967">
        <v>21</v>
      </c>
      <c r="W20" s="967">
        <v>53</v>
      </c>
      <c r="X20" s="967">
        <v>50</v>
      </c>
      <c r="Y20" s="1397">
        <v>25</v>
      </c>
      <c r="Z20" s="1397">
        <v>15</v>
      </c>
      <c r="AA20" s="1397">
        <v>10</v>
      </c>
      <c r="AB20" s="1397">
        <v>11</v>
      </c>
      <c r="AC20" s="1397">
        <v>11</v>
      </c>
      <c r="AD20" s="1397">
        <v>11</v>
      </c>
      <c r="AE20" s="1397">
        <v>10</v>
      </c>
      <c r="AF20" s="1397">
        <v>10</v>
      </c>
      <c r="AG20" s="1397">
        <v>10</v>
      </c>
      <c r="AH20" s="1397">
        <v>8</v>
      </c>
      <c r="AI20" s="1128"/>
      <c r="AJ20" s="1128">
        <v>-1.7783705415511708</v>
      </c>
      <c r="AK20" s="1128">
        <f t="shared" si="0"/>
        <v>-2.5285535436643993</v>
      </c>
      <c r="AL20" s="1127">
        <f t="shared" si="1"/>
        <v>-0.36754446796632412</v>
      </c>
      <c r="AM20" s="1128">
        <f t="shared" si="2"/>
        <v>3.228011545636722E-2</v>
      </c>
      <c r="AN20" s="1128">
        <f t="shared" si="3"/>
        <v>-0.16744679259812689</v>
      </c>
    </row>
    <row r="21" spans="1:40" collapsed="1">
      <c r="A21" s="43" t="s">
        <v>760</v>
      </c>
      <c r="B21" s="1572">
        <v>8.7443604240282689</v>
      </c>
      <c r="C21" s="1572">
        <v>7.6839649122807021</v>
      </c>
      <c r="D21" s="1572">
        <v>7.9104435261707993</v>
      </c>
      <c r="E21" s="1572">
        <v>8.7261035294117644</v>
      </c>
      <c r="F21" s="1572">
        <v>8.3457960644007159</v>
      </c>
      <c r="G21" s="1572">
        <v>8.7466531204644422</v>
      </c>
      <c r="H21" s="1572">
        <v>8.6667531017369726</v>
      </c>
      <c r="I21" s="1572">
        <v>8.3819623250807318</v>
      </c>
      <c r="J21" s="1511">
        <v>7.7902450145758877</v>
      </c>
      <c r="K21" s="1511">
        <v>7.8071224134417063</v>
      </c>
      <c r="L21" s="1511">
        <v>8.6056821918270696</v>
      </c>
      <c r="M21" s="1511">
        <v>10.268132693674076</v>
      </c>
      <c r="N21" s="1511">
        <v>10.098705772420976</v>
      </c>
      <c r="O21" s="1511">
        <v>9.8160616510396626</v>
      </c>
      <c r="P21" s="1511">
        <v>11.011442736576171</v>
      </c>
      <c r="Q21" s="1511">
        <v>11.784556795352522</v>
      </c>
      <c r="R21" s="1511">
        <v>12.70416836598498</v>
      </c>
      <c r="S21" s="1511">
        <v>14.831108701315719</v>
      </c>
      <c r="T21" s="1511">
        <v>16.526011687415455</v>
      </c>
      <c r="U21" s="1511">
        <v>11.378650635125464</v>
      </c>
      <c r="V21" s="1511">
        <v>15.883420563966551</v>
      </c>
      <c r="W21" s="1511">
        <v>19.647487200777157</v>
      </c>
      <c r="X21" s="1511">
        <v>20.763782431595924</v>
      </c>
      <c r="Y21" s="1573">
        <v>20.707182144185865</v>
      </c>
      <c r="Z21" s="1573">
        <v>22.110341503827534</v>
      </c>
      <c r="AA21" s="1573">
        <v>23.17169334440057</v>
      </c>
      <c r="AB21" s="1573">
        <v>24.125472037724947</v>
      </c>
      <c r="AC21" s="1573">
        <v>24.981833054576597</v>
      </c>
      <c r="AD21" s="1573">
        <v>25.869379641216852</v>
      </c>
      <c r="AE21" s="1573">
        <v>26.829365316401407</v>
      </c>
      <c r="AF21" s="1573">
        <v>27.795100978804342</v>
      </c>
      <c r="AG21" s="1573">
        <v>28.796484251763427</v>
      </c>
      <c r="AH21" s="1573">
        <v>29.868628076395627</v>
      </c>
      <c r="AI21" s="1127"/>
      <c r="AJ21" s="1127">
        <v>6.5823425004154501E-3</v>
      </c>
      <c r="AK21" s="1127">
        <f t="shared" si="0"/>
        <v>0.22200195895013231</v>
      </c>
      <c r="AL21" s="1127">
        <f t="shared" si="1"/>
        <v>5.7836101415930985E-2</v>
      </c>
      <c r="AM21" s="1127">
        <f t="shared" si="2"/>
        <v>3.7391648269030187E-2</v>
      </c>
      <c r="AN21" s="1127">
        <f t="shared" si="3"/>
        <v>3.7028950242662173E-2</v>
      </c>
    </row>
    <row r="22" spans="1:40" hidden="1" outlineLevel="1">
      <c r="A22" s="42" t="s">
        <v>731</v>
      </c>
      <c r="B22" s="610">
        <v>8.7443604240282689</v>
      </c>
      <c r="C22" s="610">
        <v>7.6842105263157894</v>
      </c>
      <c r="D22" s="610">
        <v>7.9090909090909092</v>
      </c>
      <c r="E22" s="610">
        <v>11</v>
      </c>
      <c r="F22" s="610">
        <v>10.067978533094813</v>
      </c>
      <c r="G22" s="610">
        <v>11.073552425665103</v>
      </c>
      <c r="H22" s="610">
        <v>10.748993288590604</v>
      </c>
      <c r="I22" s="610">
        <v>10.462214199759327</v>
      </c>
      <c r="J22" s="610">
        <v>7.2153110047846889</v>
      </c>
      <c r="K22" s="610">
        <v>7.0002290950744568</v>
      </c>
      <c r="L22" s="610">
        <v>7.6131701657458564</v>
      </c>
      <c r="M22" s="610">
        <v>8.9584669464847835</v>
      </c>
      <c r="N22" s="610">
        <v>8.9112074468085112</v>
      </c>
      <c r="O22" s="610">
        <v>9.8949027415143611</v>
      </c>
      <c r="P22" s="610">
        <v>8.0820922208281054</v>
      </c>
      <c r="Q22" s="610">
        <v>8.2098127208480562</v>
      </c>
      <c r="R22" s="610">
        <v>8.7364655267512408</v>
      </c>
      <c r="S22" s="610">
        <v>12.428149713093374</v>
      </c>
      <c r="T22" s="610">
        <v>13.615288622129434</v>
      </c>
      <c r="U22" s="610">
        <v>10.041501372872048</v>
      </c>
      <c r="V22" s="610">
        <v>14.185298490776971</v>
      </c>
      <c r="W22" s="610">
        <v>17.879829241680305</v>
      </c>
      <c r="X22" s="610">
        <v>20.264267963263102</v>
      </c>
      <c r="Y22" s="1574">
        <v>21.506897585490705</v>
      </c>
      <c r="Z22" s="1574">
        <v>22.11526459618462</v>
      </c>
      <c r="AA22" s="1574">
        <v>22.898670907243105</v>
      </c>
      <c r="AB22" s="1574">
        <v>23.722831645448004</v>
      </c>
      <c r="AC22" s="1574">
        <v>24.305225672167232</v>
      </c>
      <c r="AD22" s="1574">
        <v>24.903219248216953</v>
      </c>
      <c r="AE22" s="1574">
        <v>25.566886946723688</v>
      </c>
      <c r="AF22" s="1574">
        <v>26.211663207636843</v>
      </c>
      <c r="AG22" s="1574">
        <v>26.873603110604016</v>
      </c>
      <c r="AH22" s="1574">
        <v>27.564294469715531</v>
      </c>
      <c r="AI22" s="1128"/>
      <c r="AJ22" s="1128">
        <v>4.4371399657326061E-2</v>
      </c>
      <c r="AK22" s="1128">
        <f t="shared" si="0"/>
        <v>0.26370030188176052</v>
      </c>
      <c r="AL22" s="1128">
        <f t="shared" si="1"/>
        <v>3.1849253437452374E-2</v>
      </c>
      <c r="AM22" s="1128">
        <f t="shared" si="2"/>
        <v>2.8367648097672449E-2</v>
      </c>
      <c r="AN22" s="1128">
        <f t="shared" si="3"/>
        <v>3.1244383175431656E-2</v>
      </c>
    </row>
    <row r="23" spans="1:40" hidden="1" outlineLevel="1">
      <c r="A23" s="42" t="s">
        <v>949</v>
      </c>
      <c r="B23" s="438" t="s">
        <v>628</v>
      </c>
      <c r="C23" s="438" t="s">
        <v>628</v>
      </c>
      <c r="D23" s="438" t="s">
        <v>628</v>
      </c>
      <c r="E23" s="438" t="s">
        <v>628</v>
      </c>
      <c r="F23" s="438" t="s">
        <v>628</v>
      </c>
      <c r="G23" s="438" t="s">
        <v>628</v>
      </c>
      <c r="H23" s="438" t="s">
        <v>628</v>
      </c>
      <c r="I23" s="438" t="s">
        <v>628</v>
      </c>
      <c r="J23" s="438" t="s">
        <v>628</v>
      </c>
      <c r="K23" s="438" t="s">
        <v>628</v>
      </c>
      <c r="L23" s="438" t="s">
        <v>628</v>
      </c>
      <c r="M23" s="610" t="s">
        <v>628</v>
      </c>
      <c r="N23" s="610" t="s">
        <v>628</v>
      </c>
      <c r="O23" s="610">
        <v>4.7615958481998053</v>
      </c>
      <c r="P23" s="610">
        <v>17.741467954900582</v>
      </c>
      <c r="Q23" s="610">
        <v>21.61944251530355</v>
      </c>
      <c r="R23" s="610">
        <v>22.050724993631402</v>
      </c>
      <c r="S23" s="610">
        <v>23.103154590079431</v>
      </c>
      <c r="T23" s="610">
        <v>23.308689842247077</v>
      </c>
      <c r="U23" s="610">
        <v>15.667476604444849</v>
      </c>
      <c r="V23" s="610">
        <v>20.415123119621477</v>
      </c>
      <c r="W23" s="610">
        <v>23.04809144753866</v>
      </c>
      <c r="X23" s="610">
        <v>22.930954127181923</v>
      </c>
      <c r="Y23" s="1574">
        <v>23.275597362125197</v>
      </c>
      <c r="Z23" s="1574">
        <v>26.475775431986204</v>
      </c>
      <c r="AA23" s="1574">
        <v>28.444483824040628</v>
      </c>
      <c r="AB23" s="1574">
        <v>30.298973899364444</v>
      </c>
      <c r="AC23" s="1574">
        <v>32.174378856650236</v>
      </c>
      <c r="AD23" s="1574">
        <v>34.138580096370951</v>
      </c>
      <c r="AE23" s="1574">
        <v>36.242580589052089</v>
      </c>
      <c r="AF23" s="1574">
        <v>38.419387127728626</v>
      </c>
      <c r="AG23" s="1574">
        <v>40.701864550540755</v>
      </c>
      <c r="AH23" s="1574">
        <v>43.16198025200147</v>
      </c>
      <c r="AI23" s="1128"/>
      <c r="AJ23" s="1128">
        <v>-2.4556990421347513E-2</v>
      </c>
      <c r="AK23" s="1128">
        <f t="shared" si="0"/>
        <v>0.13537943480334169</v>
      </c>
      <c r="AL23" s="1128">
        <f t="shared" si="1"/>
        <v>0.10547419832873617</v>
      </c>
      <c r="AM23" s="1128">
        <f t="shared" si="2"/>
        <v>6.2712524388118362E-2</v>
      </c>
      <c r="AN23" s="1128">
        <f t="shared" si="3"/>
        <v>6.52901799183081E-2</v>
      </c>
    </row>
    <row r="24" spans="1:40" hidden="1" outlineLevel="1">
      <c r="A24" s="42" t="s">
        <v>733</v>
      </c>
      <c r="B24" s="610" t="s">
        <v>1299</v>
      </c>
      <c r="C24" s="610" t="s">
        <v>1299</v>
      </c>
      <c r="D24" s="610" t="s">
        <v>1299</v>
      </c>
      <c r="E24" s="610" t="s">
        <v>1299</v>
      </c>
      <c r="F24" s="610" t="s">
        <v>1299</v>
      </c>
      <c r="G24" s="610" t="s">
        <v>1299</v>
      </c>
      <c r="H24" s="610" t="s">
        <v>1299</v>
      </c>
      <c r="I24" s="610" t="s">
        <v>1299</v>
      </c>
      <c r="J24" s="610">
        <v>11.933734947209006</v>
      </c>
      <c r="K24" s="610">
        <v>12.911599710069305</v>
      </c>
      <c r="L24" s="610">
        <v>13.827911166266013</v>
      </c>
      <c r="M24" s="610">
        <v>16.268668544978865</v>
      </c>
      <c r="N24" s="610">
        <v>14.831914646240275</v>
      </c>
      <c r="O24" s="610">
        <v>14.114728690337516</v>
      </c>
      <c r="P24" s="610">
        <v>17.827631110956158</v>
      </c>
      <c r="Q24" s="610">
        <v>17.625241036320851</v>
      </c>
      <c r="R24" s="610">
        <v>19.662802795865222</v>
      </c>
      <c r="S24" s="610">
        <v>16.687195762203377</v>
      </c>
      <c r="T24" s="610">
        <v>15.800690047736646</v>
      </c>
      <c r="U24" s="610">
        <v>9.2787851126798078</v>
      </c>
      <c r="V24" s="610">
        <v>14.370728514241682</v>
      </c>
      <c r="W24" s="610">
        <v>19.772459494154706</v>
      </c>
      <c r="X24" s="610">
        <v>19.121633060550586</v>
      </c>
      <c r="Y24" s="1574">
        <v>15.232710860260394</v>
      </c>
      <c r="Z24" s="1574">
        <v>16.225849392371387</v>
      </c>
      <c r="AA24" s="1574">
        <v>16.757235119305488</v>
      </c>
      <c r="AB24" s="1574">
        <v>16.830903641208568</v>
      </c>
      <c r="AC24" s="1574">
        <v>17.022813916407564</v>
      </c>
      <c r="AD24" s="1574">
        <v>17.212581136192931</v>
      </c>
      <c r="AE24" s="1574">
        <v>17.419237011475754</v>
      </c>
      <c r="AF24" s="1574">
        <v>17.611299986759118</v>
      </c>
      <c r="AG24" s="1574">
        <v>17.799028042588318</v>
      </c>
      <c r="AH24" s="1574">
        <v>18.03050614722212</v>
      </c>
      <c r="AI24" s="1128"/>
      <c r="AJ24" s="1128">
        <v>-0.12243459247839072</v>
      </c>
      <c r="AK24" s="1128">
        <f t="shared" si="0"/>
        <v>0.27255908062772116</v>
      </c>
      <c r="AL24" s="1128">
        <f t="shared" si="1"/>
        <v>4.8848067428715058E-2</v>
      </c>
      <c r="AM24" s="1128">
        <f t="shared" si="2"/>
        <v>8.9768744202900486E-3</v>
      </c>
      <c r="AN24" s="1128">
        <f t="shared" si="3"/>
        <v>-5.8582934617898985E-3</v>
      </c>
    </row>
    <row r="25" spans="1:40" collapsed="1">
      <c r="A25" s="93" t="s">
        <v>767</v>
      </c>
      <c r="B25" s="1569"/>
      <c r="C25" s="1569"/>
      <c r="D25" s="1569"/>
      <c r="E25" s="1569"/>
      <c r="F25" s="1569"/>
      <c r="G25" s="1569"/>
      <c r="H25" s="1569"/>
      <c r="I25" s="1569"/>
      <c r="J25" s="1512">
        <v>-3.6999999999999998E-2</v>
      </c>
      <c r="K25" s="1512">
        <v>3.7999999999999999E-2</v>
      </c>
      <c r="L25" s="1512">
        <v>0.122</v>
      </c>
      <c r="M25" s="1512">
        <v>0.105</v>
      </c>
      <c r="N25" s="1512">
        <v>0.08</v>
      </c>
      <c r="O25" s="1512">
        <v>4.4999999999999998E-2</v>
      </c>
      <c r="P25" s="1512">
        <v>0.104</v>
      </c>
      <c r="Q25" s="1512">
        <v>8.8999999999999996E-2</v>
      </c>
      <c r="R25" s="1512">
        <v>6.6000000000000003E-2</v>
      </c>
      <c r="S25" s="1575">
        <v>4.9000000000000002E-2</v>
      </c>
      <c r="T25" s="1575">
        <v>5.0999999999999997E-2</v>
      </c>
      <c r="U25" s="1575">
        <v>-0.23</v>
      </c>
      <c r="V25" s="1575">
        <v>0.307</v>
      </c>
      <c r="W25" s="1575">
        <v>0.35870779740410264</v>
      </c>
      <c r="X25" s="1575">
        <v>0.18932600635373661</v>
      </c>
      <c r="Y25" s="1576">
        <v>9.4324838023244179E-2</v>
      </c>
      <c r="Z25" s="1576">
        <v>5.3256384283964037E-2</v>
      </c>
      <c r="AA25" s="1576">
        <v>4.5537668816271394E-2</v>
      </c>
      <c r="AB25" s="1576">
        <v>4.1543319079351881E-2</v>
      </c>
      <c r="AC25" s="1576">
        <v>3.672410905885181E-2</v>
      </c>
      <c r="AD25" s="1576">
        <v>3.6277820422093335E-2</v>
      </c>
      <c r="AE25" s="1576">
        <v>3.5852893734396235E-2</v>
      </c>
      <c r="AF25" s="1576">
        <v>3.5468293413223273E-2</v>
      </c>
      <c r="AG25" s="1576">
        <v>3.5053135521949587E-2</v>
      </c>
      <c r="AH25" s="1576">
        <v>3.4722122744526053E-2</v>
      </c>
      <c r="AI25" s="1127"/>
      <c r="AJ25" s="1127"/>
      <c r="AK25" s="1127"/>
      <c r="AL25" s="1127"/>
      <c r="AM25" s="1127"/>
      <c r="AN25" s="1127"/>
    </row>
    <row r="26" spans="1:40">
      <c r="A26" s="42" t="s">
        <v>731</v>
      </c>
      <c r="B26" s="1571"/>
      <c r="C26" s="1571"/>
      <c r="D26" s="1571"/>
      <c r="E26" s="1571"/>
      <c r="F26" s="1571"/>
      <c r="G26" s="1571"/>
      <c r="H26" s="1571"/>
      <c r="I26" s="1571"/>
      <c r="J26" s="649" t="s">
        <v>750</v>
      </c>
      <c r="K26" s="649" t="s">
        <v>750</v>
      </c>
      <c r="L26" s="649" t="s">
        <v>750</v>
      </c>
      <c r="M26" s="649" t="s">
        <v>750</v>
      </c>
      <c r="N26" s="1141">
        <v>0.04</v>
      </c>
      <c r="O26" s="1141">
        <v>-4.0000000000000001E-3</v>
      </c>
      <c r="P26" s="1141">
        <v>4.3999999999999997E-2</v>
      </c>
      <c r="Q26" s="1141">
        <v>5.8999999999999997E-2</v>
      </c>
      <c r="R26" s="1141">
        <v>3.1E-2</v>
      </c>
      <c r="S26" s="1577">
        <v>0.04</v>
      </c>
      <c r="T26" s="1577">
        <v>3.4000000000000002E-2</v>
      </c>
      <c r="U26" s="1577">
        <v>-0.23</v>
      </c>
      <c r="V26" s="1577">
        <v>0.34300000000000003</v>
      </c>
      <c r="W26" s="1577">
        <v>0.27128725947173421</v>
      </c>
      <c r="X26" s="1577">
        <v>0.15443653132781138</v>
      </c>
      <c r="Y26" s="1578">
        <v>6.5306215313657767E-2</v>
      </c>
      <c r="Z26" s="1578">
        <v>3.8466053076892298E-2</v>
      </c>
      <c r="AA26" s="1578">
        <v>3.7499827374370118E-2</v>
      </c>
      <c r="AB26" s="1578">
        <v>3.7499827374370125E-2</v>
      </c>
      <c r="AC26" s="1578">
        <v>2.7899827374370113E-2</v>
      </c>
      <c r="AD26" s="1578">
        <v>2.7899827374370113E-2</v>
      </c>
      <c r="AE26" s="1578">
        <v>2.7899827374370113E-2</v>
      </c>
      <c r="AF26" s="1578">
        <v>2.8235660979418355E-2</v>
      </c>
      <c r="AG26" s="1578">
        <v>2.7899827374370113E-2</v>
      </c>
      <c r="AH26" s="1578">
        <v>2.7899827374370113E-2</v>
      </c>
      <c r="AI26" s="1128"/>
      <c r="AJ26" s="1128"/>
      <c r="AK26" s="1128"/>
      <c r="AL26" s="1128"/>
      <c r="AM26" s="1128"/>
      <c r="AN26" s="1128"/>
    </row>
    <row r="27" spans="1:40">
      <c r="A27" s="42" t="s">
        <v>949</v>
      </c>
      <c r="B27" s="1571"/>
      <c r="C27" s="1571"/>
      <c r="D27" s="1571"/>
      <c r="E27" s="1571"/>
      <c r="F27" s="1571"/>
      <c r="G27" s="1571"/>
      <c r="H27" s="1571"/>
      <c r="I27" s="1571"/>
      <c r="J27" s="649" t="s">
        <v>750</v>
      </c>
      <c r="K27" s="649" t="s">
        <v>750</v>
      </c>
      <c r="L27" s="649" t="s">
        <v>750</v>
      </c>
      <c r="M27" s="649" t="s">
        <v>750</v>
      </c>
      <c r="N27" s="1141" t="s">
        <v>750</v>
      </c>
      <c r="O27" s="1141">
        <v>6.5000000000000002E-2</v>
      </c>
      <c r="P27" s="1141">
        <v>7.1999999999999995E-2</v>
      </c>
      <c r="Q27" s="1141">
        <v>4.2999999999999997E-2</v>
      </c>
      <c r="R27" s="1141">
        <v>2.3E-2</v>
      </c>
      <c r="S27" s="1577">
        <v>1.0999999999999999E-2</v>
      </c>
      <c r="T27" s="1577">
        <v>0.02</v>
      </c>
      <c r="U27" s="1577">
        <v>-0.24399999999999999</v>
      </c>
      <c r="V27" s="1577">
        <v>0.127</v>
      </c>
      <c r="W27" s="1577">
        <v>0.27673825991991263</v>
      </c>
      <c r="X27" s="1577">
        <v>9.8127100931812261E-2</v>
      </c>
      <c r="Y27" s="1578">
        <v>4.1612101721427023E-3</v>
      </c>
      <c r="Z27" s="1578">
        <v>1.7171506765586236E-2</v>
      </c>
      <c r="AA27" s="1578">
        <v>1.6800000000000002E-2</v>
      </c>
      <c r="AB27" s="1578">
        <v>1.6800000000000002E-2</v>
      </c>
      <c r="AC27" s="1578">
        <v>1.5959999999999998E-2</v>
      </c>
      <c r="AD27" s="1578">
        <v>1.5959999999999998E-2</v>
      </c>
      <c r="AE27" s="1578">
        <v>1.5959999999999998E-2</v>
      </c>
      <c r="AF27" s="1578">
        <v>1.5959999999999998E-2</v>
      </c>
      <c r="AG27" s="1578">
        <v>1.5959999999999998E-2</v>
      </c>
      <c r="AH27" s="1578">
        <v>1.5959999999999998E-2</v>
      </c>
      <c r="AI27" s="1130"/>
      <c r="AJ27" s="1129"/>
      <c r="AK27" s="1129"/>
      <c r="AL27" s="1130"/>
      <c r="AM27" s="1130"/>
      <c r="AN27" s="1130"/>
    </row>
    <row r="28" spans="1:40">
      <c r="A28" s="42" t="s">
        <v>733</v>
      </c>
      <c r="B28" s="1571"/>
      <c r="C28" s="1571"/>
      <c r="D28" s="1571"/>
      <c r="E28" s="1571"/>
      <c r="F28" s="1571"/>
      <c r="G28" s="1571"/>
      <c r="H28" s="1571"/>
      <c r="I28" s="1571"/>
      <c r="J28" s="649" t="s">
        <v>750</v>
      </c>
      <c r="K28" s="649" t="s">
        <v>750</v>
      </c>
      <c r="L28" s="649" t="s">
        <v>750</v>
      </c>
      <c r="M28" s="649" t="s">
        <v>750</v>
      </c>
      <c r="N28" s="1141">
        <v>0.21099999999999999</v>
      </c>
      <c r="O28" s="1141">
        <v>0.2</v>
      </c>
      <c r="P28" s="1141">
        <v>0.255</v>
      </c>
      <c r="Q28" s="1141">
        <v>0.23499999999999999</v>
      </c>
      <c r="R28" s="1141">
        <v>0.19600000000000001</v>
      </c>
      <c r="S28" s="1577">
        <v>0.115</v>
      </c>
      <c r="T28" s="1577">
        <v>0.14599999999999999</v>
      </c>
      <c r="U28" s="1577">
        <v>-0.20100000000000001</v>
      </c>
      <c r="V28" s="1577">
        <v>0.63400000000000001</v>
      </c>
      <c r="W28" s="1577">
        <v>0.71179330784827166</v>
      </c>
      <c r="X28" s="1577">
        <v>0.43871130918072654</v>
      </c>
      <c r="Y28" s="1578">
        <v>0.39270172196184605</v>
      </c>
      <c r="Z28" s="1578">
        <v>0.18817245562685256</v>
      </c>
      <c r="AA28" s="1578">
        <v>0.14221925248719891</v>
      </c>
      <c r="AB28" s="1578">
        <v>0.11801101744473239</v>
      </c>
      <c r="AC28" s="1578">
        <v>0.12471946926283814</v>
      </c>
      <c r="AD28" s="1578">
        <v>0.12439647404914214</v>
      </c>
      <c r="AE28" s="1578">
        <v>0.12405617881607967</v>
      </c>
      <c r="AF28" s="1578">
        <v>0.12462263376574066</v>
      </c>
      <c r="AG28" s="1578">
        <v>0.12350365576607875</v>
      </c>
      <c r="AH28" s="1578">
        <v>0.12365109809767066</v>
      </c>
      <c r="AI28" s="1128"/>
      <c r="AJ28" s="1128"/>
      <c r="AK28" s="1128"/>
      <c r="AL28" s="1128"/>
      <c r="AM28" s="1128"/>
      <c r="AN28" s="1128"/>
    </row>
    <row r="29" spans="1:40" s="13" customFormat="1">
      <c r="A29" s="1155" t="s">
        <v>922</v>
      </c>
      <c r="B29" s="1511"/>
      <c r="C29" s="1511"/>
      <c r="D29" s="1511"/>
      <c r="E29" s="1511"/>
      <c r="F29" s="1511"/>
      <c r="G29" s="1511"/>
      <c r="H29" s="1511"/>
      <c r="I29" s="1511"/>
      <c r="J29" s="1513">
        <v>12.559485064935066</v>
      </c>
      <c r="K29" s="1513">
        <v>4.067049598214286</v>
      </c>
      <c r="L29" s="1513">
        <v>3.4638024276527339</v>
      </c>
      <c r="M29" s="1513">
        <v>3.1895798621908127</v>
      </c>
      <c r="N29" s="1513">
        <v>4.4015171101694914</v>
      </c>
      <c r="O29" s="1513">
        <v>602.96500866666668</v>
      </c>
      <c r="P29" s="1513" t="s">
        <v>338</v>
      </c>
      <c r="Q29" s="1513" t="s">
        <v>338</v>
      </c>
      <c r="R29" s="1513" t="s">
        <v>338</v>
      </c>
      <c r="S29" s="1579" t="s">
        <v>338</v>
      </c>
      <c r="T29" s="1579" t="s">
        <v>338</v>
      </c>
      <c r="U29" s="1579" t="s">
        <v>338</v>
      </c>
      <c r="V29" s="1579">
        <v>142.04957540000001</v>
      </c>
      <c r="W29" s="1579">
        <v>13.307110816326531</v>
      </c>
      <c r="X29" s="1579">
        <v>19.747604482758625</v>
      </c>
      <c r="Y29" s="1580">
        <v>23.224117333333332</v>
      </c>
      <c r="Z29" s="1580">
        <v>23</v>
      </c>
      <c r="AA29" s="1580">
        <v>23.848120037013143</v>
      </c>
      <c r="AB29" s="1580">
        <v>24.72751431738207</v>
      </c>
      <c r="AC29" s="1580">
        <v>20.065567360759918</v>
      </c>
      <c r="AD29" s="1580">
        <v>20.805480827398934</v>
      </c>
      <c r="AE29" s="1580">
        <v>21.572678443460234</v>
      </c>
      <c r="AF29" s="1580">
        <v>22.368166306066318</v>
      </c>
      <c r="AG29" s="1580">
        <v>23.192987611954013</v>
      </c>
      <c r="AH29" s="1580">
        <v>24.048224025514703</v>
      </c>
      <c r="AI29" s="1127"/>
      <c r="AJ29" s="1128" t="s">
        <v>628</v>
      </c>
      <c r="AK29" s="1128" t="str">
        <f>IFERROR((#REF!/T29)^(1/3)-1,"NM")</f>
        <v>NM</v>
      </c>
      <c r="AL29" s="1127" t="str">
        <f>IFERROR((Y29/#REF!)^(1/2)-1,"NM")</f>
        <v>NM</v>
      </c>
      <c r="AM29" s="1127" t="str">
        <f>IFERROR((#REF!/AA29)^(1/3)-1,"NM")</f>
        <v>NM</v>
      </c>
      <c r="AN29" s="1127">
        <f>IFERROR((AH29/X29)^(1/10)-1,"NM")</f>
        <v>1.9898278819268089E-2</v>
      </c>
    </row>
    <row r="30" spans="1:40" hidden="1" outlineLevel="1">
      <c r="A30" s="89" t="s">
        <v>835</v>
      </c>
      <c r="B30" s="985"/>
      <c r="C30" s="1581"/>
      <c r="D30" s="1581"/>
      <c r="E30" s="1581"/>
      <c r="F30" s="1581"/>
      <c r="G30" s="1581"/>
      <c r="H30" s="1581"/>
      <c r="I30" s="1581"/>
      <c r="J30" s="985">
        <v>1171</v>
      </c>
      <c r="K30" s="985">
        <v>1206</v>
      </c>
      <c r="L30" s="985">
        <v>1283</v>
      </c>
      <c r="M30" s="985">
        <v>1435</v>
      </c>
      <c r="N30" s="985">
        <v>1862</v>
      </c>
      <c r="O30" s="985">
        <v>2784</v>
      </c>
      <c r="P30" s="985">
        <v>2954</v>
      </c>
      <c r="Q30" s="985">
        <v>3195</v>
      </c>
      <c r="R30" s="985">
        <v>3438</v>
      </c>
      <c r="S30" s="985">
        <v>3688</v>
      </c>
      <c r="T30" s="985">
        <v>4310</v>
      </c>
      <c r="U30" s="985">
        <v>4193</v>
      </c>
      <c r="V30" s="985">
        <v>4262</v>
      </c>
      <c r="W30" s="985">
        <v>4447</v>
      </c>
      <c r="X30" s="985">
        <v>4622</v>
      </c>
      <c r="Y30" s="1566">
        <v>4792</v>
      </c>
      <c r="Z30" s="1566">
        <v>4958</v>
      </c>
      <c r="AA30" s="1566">
        <v>5093</v>
      </c>
      <c r="AB30" s="1566">
        <v>5211</v>
      </c>
      <c r="AC30" s="1566">
        <v>5326</v>
      </c>
      <c r="AD30" s="1566">
        <v>5441.0000000000009</v>
      </c>
      <c r="AE30" s="1566">
        <v>5542</v>
      </c>
      <c r="AF30" s="1566">
        <v>5644</v>
      </c>
      <c r="AG30" s="1566">
        <v>5746</v>
      </c>
      <c r="AH30" s="1566">
        <v>5832</v>
      </c>
      <c r="AI30" s="1128"/>
      <c r="AJ30" s="1128">
        <v>7.2563156017504404E-2</v>
      </c>
      <c r="AK30" s="1128">
        <f>IFERROR((X30/U30)^(1/3)-1,"NM")</f>
        <v>3.3003261961264796E-2</v>
      </c>
      <c r="AL30" s="1128">
        <f>IFERROR((AA30/Y30)^(1/2)-1,"NM")</f>
        <v>3.0928233051572773E-2</v>
      </c>
      <c r="AM30" s="1128">
        <f>IFERROR((AD30/AA30)^(1/3)-1,"NM")</f>
        <v>2.2276435322494237E-2</v>
      </c>
      <c r="AN30" s="1128">
        <f>IFERROR((AH30/X30)^(1/10)-1,"NM")</f>
        <v>2.3525712860095638E-2</v>
      </c>
    </row>
    <row r="31" spans="1:40" hidden="1" outlineLevel="1">
      <c r="A31" s="36"/>
      <c r="B31" s="438"/>
      <c r="C31" s="1582"/>
      <c r="D31" s="1582"/>
      <c r="E31" s="1582"/>
      <c r="F31" s="1582"/>
      <c r="G31" s="1582"/>
      <c r="H31" s="1582"/>
      <c r="I31" s="1582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47"/>
      <c r="Z31" s="447"/>
      <c r="AA31" s="447"/>
      <c r="AB31" s="447"/>
      <c r="AC31" s="447"/>
      <c r="AD31" s="447"/>
      <c r="AE31" s="447"/>
      <c r="AF31" s="447"/>
      <c r="AG31" s="447"/>
      <c r="AH31" s="447"/>
      <c r="AI31" s="1128"/>
      <c r="AJ31" s="1128"/>
      <c r="AK31" s="1128"/>
      <c r="AL31" s="1128"/>
      <c r="AM31" s="1128"/>
      <c r="AN31" s="1128"/>
    </row>
    <row r="32" spans="1:40" hidden="1" outlineLevel="1">
      <c r="A32" s="36"/>
      <c r="B32" s="438"/>
      <c r="C32" s="1582"/>
      <c r="D32" s="1582"/>
      <c r="E32" s="1582"/>
      <c r="F32" s="1582"/>
      <c r="G32" s="1582"/>
      <c r="H32" s="1582"/>
      <c r="I32" s="1582"/>
      <c r="J32" s="438"/>
      <c r="K32" s="438"/>
      <c r="L32" s="438"/>
      <c r="M32" s="438"/>
      <c r="N32" s="438"/>
      <c r="O32" s="438"/>
      <c r="P32" s="438"/>
      <c r="Q32" s="438"/>
      <c r="R32" s="438"/>
      <c r="S32" s="438"/>
      <c r="T32" s="438"/>
      <c r="U32" s="438"/>
      <c r="V32" s="438"/>
      <c r="W32" s="438"/>
      <c r="X32" s="438"/>
      <c r="Y32" s="447"/>
      <c r="Z32" s="447"/>
      <c r="AA32" s="447"/>
      <c r="AB32" s="447"/>
      <c r="AC32" s="447"/>
      <c r="AD32" s="447"/>
      <c r="AE32" s="447"/>
      <c r="AF32" s="447"/>
      <c r="AG32" s="447"/>
      <c r="AH32" s="447"/>
      <c r="AI32" s="1128"/>
      <c r="AJ32" s="1128"/>
      <c r="AK32" s="1128"/>
      <c r="AL32" s="1128"/>
      <c r="AM32" s="1128"/>
      <c r="AN32" s="1128"/>
    </row>
    <row r="33" spans="1:40" hidden="1" outlineLevel="1">
      <c r="A33" s="36"/>
      <c r="B33" s="438"/>
      <c r="C33" s="1582"/>
      <c r="D33" s="1582"/>
      <c r="E33" s="1582"/>
      <c r="F33" s="1582"/>
      <c r="G33" s="1582"/>
      <c r="H33" s="1582"/>
      <c r="I33" s="1582"/>
      <c r="J33" s="438"/>
      <c r="K33" s="438"/>
      <c r="L33" s="438"/>
      <c r="M33" s="438"/>
      <c r="N33" s="438"/>
      <c r="O33" s="438"/>
      <c r="P33" s="438"/>
      <c r="Q33" s="438"/>
      <c r="R33" s="438"/>
      <c r="S33" s="438"/>
      <c r="T33" s="438"/>
      <c r="U33" s="438"/>
      <c r="V33" s="438"/>
      <c r="W33" s="438"/>
      <c r="X33" s="438"/>
      <c r="Y33" s="447"/>
      <c r="Z33" s="447"/>
      <c r="AA33" s="447"/>
      <c r="AB33" s="447"/>
      <c r="AC33" s="447"/>
      <c r="AD33" s="447"/>
      <c r="AE33" s="447"/>
      <c r="AF33" s="447"/>
      <c r="AG33" s="447"/>
      <c r="AH33" s="447"/>
      <c r="AI33" s="1128"/>
      <c r="AJ33" s="1128"/>
      <c r="AK33" s="1128"/>
      <c r="AL33" s="1128"/>
      <c r="AM33" s="1128"/>
      <c r="AN33" s="1128"/>
    </row>
    <row r="34" spans="1:40" collapsed="1">
      <c r="A34" s="42"/>
      <c r="B34" s="1571"/>
      <c r="C34" s="1571"/>
      <c r="D34" s="1571"/>
      <c r="E34" s="1571"/>
      <c r="F34" s="1571"/>
      <c r="G34" s="1571"/>
      <c r="H34" s="1571"/>
      <c r="I34" s="1571"/>
      <c r="J34" s="649"/>
      <c r="K34" s="649"/>
      <c r="L34" s="649"/>
      <c r="M34" s="649"/>
      <c r="N34" s="1141"/>
      <c r="O34" s="1141"/>
      <c r="P34" s="1141"/>
      <c r="Q34" s="1141"/>
      <c r="R34" s="1141"/>
      <c r="S34" s="40"/>
      <c r="T34" s="1578"/>
      <c r="U34" s="1578"/>
      <c r="V34" s="1578"/>
      <c r="W34" s="1578"/>
      <c r="X34" s="1578"/>
      <c r="Y34" s="1578"/>
      <c r="Z34" s="1578"/>
      <c r="AA34" s="1578"/>
      <c r="AB34" s="1578"/>
      <c r="AC34" s="1578"/>
      <c r="AD34" s="1578"/>
      <c r="AE34" s="1578"/>
      <c r="AF34" s="1578"/>
      <c r="AG34" s="1578"/>
      <c r="AH34" s="1578"/>
      <c r="AI34" s="1130"/>
      <c r="AJ34" s="1129"/>
      <c r="AK34" s="1129"/>
      <c r="AL34" s="1130"/>
      <c r="AM34" s="1130"/>
      <c r="AN34" s="1130"/>
    </row>
    <row r="35" spans="1:40">
      <c r="A35" s="1126" t="s">
        <v>662</v>
      </c>
      <c r="B35" s="1124">
        <v>2001</v>
      </c>
      <c r="C35" s="1124">
        <v>2002</v>
      </c>
      <c r="D35" s="1124">
        <v>2003</v>
      </c>
      <c r="E35" s="1124">
        <v>2004</v>
      </c>
      <c r="F35" s="1124">
        <v>2005</v>
      </c>
      <c r="G35" s="1124">
        <v>2006</v>
      </c>
      <c r="H35" s="1124">
        <v>2007</v>
      </c>
      <c r="I35" s="1124">
        <v>2008</v>
      </c>
      <c r="J35" s="1124">
        <v>2009</v>
      </c>
      <c r="K35" s="1124">
        <v>2010</v>
      </c>
      <c r="L35" s="1124">
        <v>2011</v>
      </c>
      <c r="M35" s="1124">
        <v>2012</v>
      </c>
      <c r="N35" s="1124">
        <v>2013</v>
      </c>
      <c r="O35" s="1124">
        <v>2014</v>
      </c>
      <c r="P35" s="1124">
        <v>2015</v>
      </c>
      <c r="Q35" s="1124">
        <v>2016</v>
      </c>
      <c r="R35" s="1124">
        <v>2017</v>
      </c>
      <c r="S35" s="1583">
        <v>2018</v>
      </c>
      <c r="T35" s="1583">
        <v>2019</v>
      </c>
      <c r="U35" s="1583">
        <v>2020</v>
      </c>
      <c r="V35" s="1583">
        <v>2021</v>
      </c>
      <c r="W35" s="1583">
        <v>2022</v>
      </c>
      <c r="X35" s="1583">
        <v>2023</v>
      </c>
      <c r="Y35" s="1445">
        <v>2024</v>
      </c>
      <c r="Z35" s="1445">
        <v>2025</v>
      </c>
      <c r="AA35" s="1445">
        <v>2026</v>
      </c>
      <c r="AB35" s="1445">
        <v>2027</v>
      </c>
      <c r="AC35" s="1445">
        <v>2028</v>
      </c>
      <c r="AD35" s="1445">
        <v>2029</v>
      </c>
      <c r="AE35" s="1445">
        <v>2030</v>
      </c>
      <c r="AF35" s="1445">
        <v>2031</v>
      </c>
      <c r="AG35" s="1445">
        <v>2032</v>
      </c>
      <c r="AH35" s="1445">
        <v>2033</v>
      </c>
      <c r="AI35" s="1130"/>
      <c r="AJ35" s="1131"/>
      <c r="AK35" s="1131"/>
      <c r="AL35" s="1130"/>
      <c r="AM35" s="1130"/>
      <c r="AN35" s="1130"/>
    </row>
    <row r="36" spans="1:40">
      <c r="A36" s="89" t="s">
        <v>48</v>
      </c>
      <c r="B36" s="985">
        <v>2474.654</v>
      </c>
      <c r="C36" s="985">
        <v>2627.9160000000002</v>
      </c>
      <c r="D36" s="985">
        <v>2871.491</v>
      </c>
      <c r="E36" s="985">
        <v>3708.5940000000001</v>
      </c>
      <c r="F36" s="985">
        <v>4665.3</v>
      </c>
      <c r="G36" s="985">
        <v>6026.4440000000004</v>
      </c>
      <c r="H36" s="985">
        <v>6985.4030000000002</v>
      </c>
      <c r="I36" s="985">
        <v>7786.8429999999998</v>
      </c>
      <c r="J36" s="985">
        <v>8587.0810000000019</v>
      </c>
      <c r="K36" s="985">
        <v>8981.4399999999987</v>
      </c>
      <c r="L36" s="985">
        <v>10696.504000000001</v>
      </c>
      <c r="M36" s="985">
        <v>13519.513000000001</v>
      </c>
      <c r="N36" s="985">
        <v>15712.665000000001</v>
      </c>
      <c r="O36" s="985">
        <v>22800.255000000001</v>
      </c>
      <c r="P36" s="985">
        <v>32288.376</v>
      </c>
      <c r="Q36" s="985">
        <v>37701.866999999998</v>
      </c>
      <c r="R36" s="985">
        <v>42529.120999999999</v>
      </c>
      <c r="S36" s="985">
        <v>46156.591</v>
      </c>
      <c r="T36" s="985">
        <v>58154.618999999999</v>
      </c>
      <c r="U36" s="985">
        <v>38495.419000000002</v>
      </c>
      <c r="V36" s="985">
        <v>53379.468999999997</v>
      </c>
      <c r="W36" s="985">
        <v>68831.305000000008</v>
      </c>
      <c r="X36" s="985">
        <v>76231.047999999995</v>
      </c>
      <c r="Y36" s="1566">
        <v>78549.033316147907</v>
      </c>
      <c r="Z36" s="1566">
        <v>86000.984261954174</v>
      </c>
      <c r="AA36" s="1566">
        <v>91862.025037079569</v>
      </c>
      <c r="AB36" s="1566">
        <v>97282.619721801486</v>
      </c>
      <c r="AC36" s="1566">
        <v>102409.94176726675</v>
      </c>
      <c r="AD36" s="1566">
        <v>107782.73332679388</v>
      </c>
      <c r="AE36" s="1566">
        <v>113295.62029326905</v>
      </c>
      <c r="AF36" s="1566">
        <v>118937.34319902334</v>
      </c>
      <c r="AG36" s="1566">
        <v>124847.65450233992</v>
      </c>
      <c r="AH36" s="1566">
        <v>131016.40663964083</v>
      </c>
      <c r="AI36" s="1127"/>
      <c r="AJ36" s="1128">
        <v>3.5792041537159092E-2</v>
      </c>
      <c r="AK36" s="1128">
        <f>IFERROR((X36/U36)^(1/3)-1,"NM")</f>
        <v>0.25576279851379535</v>
      </c>
      <c r="AL36" s="1127">
        <f>IFERROR((AA36/Y36)^(1/2)-1,"NM")</f>
        <v>8.1427938071250594E-2</v>
      </c>
      <c r="AM36" s="1127">
        <f>IFERROR((AD36/AA36)^(1/3)-1,"NM")</f>
        <v>5.4721322751425605E-2</v>
      </c>
      <c r="AN36" s="1127">
        <f>IFERROR((AH36/X36)^(1/10)-1,"NM")</f>
        <v>5.5648607977497377E-2</v>
      </c>
    </row>
    <row r="37" spans="1:40">
      <c r="A37" s="88" t="s">
        <v>46</v>
      </c>
      <c r="B37" s="1584"/>
      <c r="C37" s="1584">
        <v>6.1932698470170022E-2</v>
      </c>
      <c r="D37" s="1584">
        <v>9.2687513603935567E-2</v>
      </c>
      <c r="E37" s="1584">
        <v>0.29152206989330631</v>
      </c>
      <c r="F37" s="1584">
        <v>0.25797000156932803</v>
      </c>
      <c r="G37" s="1584">
        <v>0.2917591580391401</v>
      </c>
      <c r="H37" s="1584">
        <v>0.15912518227996464</v>
      </c>
      <c r="I37" s="1584">
        <v>0.11473067480859722</v>
      </c>
      <c r="J37" s="1584">
        <v>0.10276796385903797</v>
      </c>
      <c r="K37" s="1584">
        <v>4.5924686165181861E-2</v>
      </c>
      <c r="L37" s="1514">
        <v>0.19095646132468769</v>
      </c>
      <c r="M37" s="1514">
        <v>0.26391884675591193</v>
      </c>
      <c r="N37" s="1514">
        <v>0.16222122793920168</v>
      </c>
      <c r="O37" s="1514">
        <v>0.4510749767782869</v>
      </c>
      <c r="P37" s="1514">
        <v>0.41614100368614304</v>
      </c>
      <c r="Q37" s="1514">
        <v>0.16766067763829295</v>
      </c>
      <c r="R37" s="1514">
        <v>0.12803753193442646</v>
      </c>
      <c r="S37" s="1584">
        <v>8.5293791987847589E-2</v>
      </c>
      <c r="T37" s="1584">
        <v>0.25994181416040885</v>
      </c>
      <c r="U37" s="1584">
        <v>-0.3380505338707489</v>
      </c>
      <c r="V37" s="1584">
        <v>0.38664470699747411</v>
      </c>
      <c r="W37" s="1584">
        <v>0.28947151947127847</v>
      </c>
      <c r="X37" s="1584">
        <v>0.10750548751037026</v>
      </c>
      <c r="Y37" s="1585">
        <v>3.0407365200435299E-2</v>
      </c>
      <c r="Z37" s="1585">
        <v>9.4870052898210711E-2</v>
      </c>
      <c r="AA37" s="1585">
        <v>6.8150856939880988E-2</v>
      </c>
      <c r="AB37" s="1585">
        <v>5.9008003389147134E-2</v>
      </c>
      <c r="AC37" s="1585">
        <v>5.2705427342806255E-2</v>
      </c>
      <c r="AD37" s="1585">
        <v>5.2463574012542091E-2</v>
      </c>
      <c r="AE37" s="1585">
        <v>5.1148145870083539E-2</v>
      </c>
      <c r="AF37" s="1585">
        <v>4.9796478373572706E-2</v>
      </c>
      <c r="AG37" s="1585">
        <v>4.9692646097084792E-2</v>
      </c>
      <c r="AH37" s="1585">
        <v>4.9410236514978223E-2</v>
      </c>
      <c r="AI37" s="1128"/>
      <c r="AJ37" s="1128"/>
      <c r="AK37" s="1128"/>
      <c r="AL37" s="1128"/>
      <c r="AM37" s="1128"/>
      <c r="AN37" s="1128"/>
    </row>
    <row r="38" spans="1:40">
      <c r="A38" s="42" t="s">
        <v>731</v>
      </c>
      <c r="B38" s="955">
        <v>2474.654</v>
      </c>
      <c r="C38" s="955">
        <v>2628</v>
      </c>
      <c r="D38" s="955">
        <v>2871</v>
      </c>
      <c r="E38" s="438">
        <v>4675</v>
      </c>
      <c r="F38" s="438">
        <v>5628</v>
      </c>
      <c r="G38" s="438">
        <v>7076</v>
      </c>
      <c r="H38" s="438">
        <v>8008</v>
      </c>
      <c r="I38" s="438">
        <v>8694.1</v>
      </c>
      <c r="J38" s="955">
        <v>9097.5</v>
      </c>
      <c r="K38" s="955">
        <v>9085.1</v>
      </c>
      <c r="L38" s="438">
        <v>10501</v>
      </c>
      <c r="M38" s="438">
        <v>12785.8</v>
      </c>
      <c r="N38" s="438">
        <v>14694.7</v>
      </c>
      <c r="O38" s="438">
        <v>20668</v>
      </c>
      <c r="P38" s="438">
        <v>19896</v>
      </c>
      <c r="Q38" s="438">
        <v>21986</v>
      </c>
      <c r="R38" s="438">
        <v>23677</v>
      </c>
      <c r="S38" s="438">
        <v>25462</v>
      </c>
      <c r="T38" s="438">
        <v>27217</v>
      </c>
      <c r="U38" s="438">
        <v>19067</v>
      </c>
      <c r="V38" s="438">
        <v>26015</v>
      </c>
      <c r="W38" s="438">
        <v>33468</v>
      </c>
      <c r="X38" s="438">
        <v>39358</v>
      </c>
      <c r="Y38" s="447">
        <v>43061.606390245215</v>
      </c>
      <c r="Z38" s="447">
        <v>45599.366837764588</v>
      </c>
      <c r="AA38" s="447">
        <v>48364.973472081801</v>
      </c>
      <c r="AB38" s="447">
        <v>51104.132916101604</v>
      </c>
      <c r="AC38" s="447">
        <v>53373.295293075018</v>
      </c>
      <c r="AD38" s="447">
        <v>55728.868830958374</v>
      </c>
      <c r="AE38" s="447">
        <v>58113.813698632242</v>
      </c>
      <c r="AF38" s="447">
        <v>60498.382702236704</v>
      </c>
      <c r="AG38" s="447">
        <v>62970.957027894437</v>
      </c>
      <c r="AH38" s="447">
        <v>65518.670293975345</v>
      </c>
      <c r="AI38" s="1128"/>
      <c r="AJ38" s="1128">
        <v>-8.475799035301268E-3</v>
      </c>
      <c r="AK38" s="1128">
        <f>IFERROR((X38/U38)^(1/3)-1,"NM")</f>
        <v>0.27325938195803201</v>
      </c>
      <c r="AL38" s="1128">
        <f>IFERROR((AA38/Y38)^(1/2)-1,"NM")</f>
        <v>5.9791332932127794E-2</v>
      </c>
      <c r="AM38" s="1128">
        <f>IFERROR((AD38/AA38)^(1/3)-1,"NM")</f>
        <v>4.8374441551299441E-2</v>
      </c>
      <c r="AN38" s="1128">
        <f>IFERROR((AH38/X38)^(1/10)-1,"NM")</f>
        <v>5.2284577514685848E-2</v>
      </c>
    </row>
    <row r="39" spans="1:40">
      <c r="A39" s="42" t="s">
        <v>949</v>
      </c>
      <c r="B39" s="1586">
        <v>0</v>
      </c>
      <c r="C39" s="1586">
        <v>0</v>
      </c>
      <c r="D39" s="1586">
        <v>0</v>
      </c>
      <c r="E39" s="1586">
        <v>0</v>
      </c>
      <c r="F39" s="1586">
        <v>0</v>
      </c>
      <c r="G39" s="1586">
        <v>0</v>
      </c>
      <c r="H39" s="1586">
        <v>0</v>
      </c>
      <c r="I39" s="1586">
        <v>0</v>
      </c>
      <c r="J39" s="1586">
        <v>0</v>
      </c>
      <c r="K39" s="1586">
        <v>0</v>
      </c>
      <c r="L39" s="106">
        <v>0</v>
      </c>
      <c r="M39" s="438">
        <v>0</v>
      </c>
      <c r="N39" s="438">
        <v>0</v>
      </c>
      <c r="O39" s="438">
        <v>1468</v>
      </c>
      <c r="P39" s="438">
        <v>5673</v>
      </c>
      <c r="Q39" s="438">
        <v>7591</v>
      </c>
      <c r="R39" s="438">
        <v>8570</v>
      </c>
      <c r="S39" s="438">
        <v>9887</v>
      </c>
      <c r="T39" s="438">
        <v>21207</v>
      </c>
      <c r="U39" s="438">
        <v>13860</v>
      </c>
      <c r="V39" s="438">
        <v>18414</v>
      </c>
      <c r="W39" s="438">
        <v>21976</v>
      </c>
      <c r="X39" s="438">
        <v>22966</v>
      </c>
      <c r="Y39" s="447">
        <v>24034.949605353468</v>
      </c>
      <c r="Z39" s="447">
        <v>27931.995653906328</v>
      </c>
      <c r="AA39" s="447">
        <v>30430.845077785587</v>
      </c>
      <c r="AB39" s="447">
        <v>32847.446319831914</v>
      </c>
      <c r="AC39" s="447">
        <v>35344.199485813224</v>
      </c>
      <c r="AD39" s="447">
        <v>37994.783729019713</v>
      </c>
      <c r="AE39" s="447">
        <v>40751.057529097307</v>
      </c>
      <c r="AF39" s="447">
        <v>43640.796417823301</v>
      </c>
      <c r="AG39" s="447">
        <v>46702.665878864376</v>
      </c>
      <c r="AH39" s="447">
        <v>49935.964579800369</v>
      </c>
      <c r="AI39" s="1128"/>
      <c r="AJ39" s="1128">
        <v>0.19561151566315527</v>
      </c>
      <c r="AK39" s="1128">
        <f>IFERROR((X39/U39)^(1/3)-1,"NM")</f>
        <v>0.18333409190333394</v>
      </c>
      <c r="AL39" s="1128">
        <f>IFERROR((AA39/Y39)^(1/2)-1,"NM")</f>
        <v>0.12521470355548159</v>
      </c>
      <c r="AM39" s="1128">
        <f>IFERROR((AD39/AA39)^(1/3)-1,"NM")</f>
        <v>7.6803986163472171E-2</v>
      </c>
      <c r="AN39" s="1128">
        <f>IFERROR((AH39/X39)^(1/10)-1,"NM")</f>
        <v>8.0768823500885656E-2</v>
      </c>
    </row>
    <row r="40" spans="1:40">
      <c r="A40" s="42" t="s">
        <v>733</v>
      </c>
      <c r="B40" s="1586">
        <v>0</v>
      </c>
      <c r="C40" s="1586">
        <v>0</v>
      </c>
      <c r="D40" s="1586">
        <v>0</v>
      </c>
      <c r="E40" s="438">
        <v>0</v>
      </c>
      <c r="F40" s="438">
        <v>0</v>
      </c>
      <c r="G40" s="438">
        <v>347</v>
      </c>
      <c r="H40" s="438">
        <v>642</v>
      </c>
      <c r="I40" s="438">
        <v>972</v>
      </c>
      <c r="J40" s="955">
        <v>1407.7</v>
      </c>
      <c r="K40" s="955">
        <v>1810.6999999999998</v>
      </c>
      <c r="L40" s="438">
        <v>2402.1</v>
      </c>
      <c r="M40" s="438">
        <v>3416.5</v>
      </c>
      <c r="N40" s="438">
        <v>4219.5</v>
      </c>
      <c r="O40" s="438">
        <v>4621</v>
      </c>
      <c r="P40" s="438">
        <v>6718</v>
      </c>
      <c r="Q40" s="438">
        <v>8124</v>
      </c>
      <c r="R40" s="438">
        <v>10283</v>
      </c>
      <c r="S40" s="438">
        <v>10194.977999999999</v>
      </c>
      <c r="T40" s="438">
        <v>9732.4130000000005</v>
      </c>
      <c r="U40" s="438">
        <v>5586.9660000000003</v>
      </c>
      <c r="V40" s="438">
        <v>8962.0789999999997</v>
      </c>
      <c r="W40" s="438">
        <v>13387.712</v>
      </c>
      <c r="X40" s="438">
        <v>13905.773000000001</v>
      </c>
      <c r="Y40" s="447">
        <v>11451.235320549225</v>
      </c>
      <c r="Z40" s="447">
        <v>12469.62177028326</v>
      </c>
      <c r="AA40" s="447">
        <v>13066.206487212175</v>
      </c>
      <c r="AB40" s="447">
        <v>13331.040485867961</v>
      </c>
      <c r="AC40" s="447">
        <v>13692.446988378508</v>
      </c>
      <c r="AD40" s="447">
        <v>14059.080766815794</v>
      </c>
      <c r="AE40" s="447">
        <v>14430.749065539501</v>
      </c>
      <c r="AF40" s="447">
        <v>14798.164078963329</v>
      </c>
      <c r="AG40" s="447">
        <v>15174.031595581117</v>
      </c>
      <c r="AH40" s="447">
        <v>15561.771765865124</v>
      </c>
      <c r="AI40" s="1128"/>
      <c r="AJ40" s="1128">
        <v>-3.619937013872887E-2</v>
      </c>
      <c r="AK40" s="1128">
        <f>IFERROR((X40/U40)^(1/3)-1,"NM")</f>
        <v>0.35520928676790975</v>
      </c>
      <c r="AL40" s="1128">
        <f>IFERROR((AA40/Y40)^(1/2)-1,"NM")</f>
        <v>6.8190198993446138E-2</v>
      </c>
      <c r="AM40" s="1128">
        <f>IFERROR((AD40/AA40)^(1/3)-1,"NM")</f>
        <v>2.4713527757116216E-2</v>
      </c>
      <c r="AN40" s="1128">
        <f>IFERROR((AH40/X40)^(1/10)-1,"NM")</f>
        <v>1.1314864404388114E-2</v>
      </c>
    </row>
    <row r="41" spans="1:40">
      <c r="A41" s="42" t="s">
        <v>755</v>
      </c>
      <c r="B41" s="1586">
        <v>0</v>
      </c>
      <c r="C41" s="1586">
        <v>0</v>
      </c>
      <c r="D41" s="1586">
        <v>0</v>
      </c>
      <c r="E41" s="438">
        <v>-966</v>
      </c>
      <c r="F41" s="438">
        <v>-1132</v>
      </c>
      <c r="G41" s="438">
        <v>-1397</v>
      </c>
      <c r="H41" s="438">
        <v>-1665</v>
      </c>
      <c r="I41" s="438">
        <v>-1879</v>
      </c>
      <c r="J41" s="955">
        <v>-1918.1189999999997</v>
      </c>
      <c r="K41" s="955">
        <v>-1914.3600000000004</v>
      </c>
      <c r="L41" s="438">
        <v>-2206.5959999999995</v>
      </c>
      <c r="M41" s="438">
        <v>-2682.7869999999989</v>
      </c>
      <c r="N41" s="438">
        <v>-3201.5350000000003</v>
      </c>
      <c r="O41" s="438">
        <v>-3956.7449999999999</v>
      </c>
      <c r="P41" s="438">
        <v>1.3759999999992942</v>
      </c>
      <c r="Q41" s="438">
        <v>0.86700000000018917</v>
      </c>
      <c r="R41" s="438">
        <v>-0.87900000000081491</v>
      </c>
      <c r="S41" s="438">
        <v>612.61300000000028</v>
      </c>
      <c r="T41" s="438">
        <v>-1.794000000001688</v>
      </c>
      <c r="U41" s="438">
        <v>-18.547000000000025</v>
      </c>
      <c r="V41" s="438">
        <v>-11.609999999999673</v>
      </c>
      <c r="W41" s="438">
        <v>-0.40699999999742431</v>
      </c>
      <c r="X41" s="438">
        <v>1.2749999999996362</v>
      </c>
      <c r="Y41" s="447">
        <v>1.2420000000038272</v>
      </c>
      <c r="Z41" s="447">
        <v>0</v>
      </c>
      <c r="AA41" s="447">
        <v>0</v>
      </c>
      <c r="AB41" s="447">
        <v>0</v>
      </c>
      <c r="AC41" s="447">
        <v>0</v>
      </c>
      <c r="AD41" s="447">
        <v>0</v>
      </c>
      <c r="AE41" s="447">
        <v>0</v>
      </c>
      <c r="AF41" s="447">
        <v>0</v>
      </c>
      <c r="AG41" s="447">
        <v>0</v>
      </c>
      <c r="AH41" s="447">
        <v>0</v>
      </c>
      <c r="AI41" s="1128"/>
      <c r="AJ41" s="1128"/>
      <c r="AK41" s="1128"/>
      <c r="AL41" s="1128"/>
      <c r="AM41" s="1128"/>
      <c r="AN41" s="1128"/>
    </row>
    <row r="42" spans="1:40" ht="11.25" hidden="1" customHeight="1" outlineLevel="1">
      <c r="A42" s="1497" t="s">
        <v>1315</v>
      </c>
      <c r="B42" s="1587"/>
      <c r="C42" s="1588"/>
      <c r="D42" s="1588"/>
      <c r="E42" s="1515"/>
      <c r="F42" s="1515"/>
      <c r="G42" s="1515"/>
      <c r="H42" s="1515"/>
      <c r="I42" s="1515"/>
      <c r="J42" s="1588"/>
      <c r="K42" s="1588"/>
      <c r="L42" s="1515"/>
      <c r="M42" s="1515"/>
      <c r="N42" s="1515"/>
      <c r="O42" s="1515"/>
      <c r="P42" s="1515"/>
      <c r="Q42" s="1515"/>
      <c r="R42" s="1515"/>
      <c r="S42" s="1589"/>
      <c r="T42" s="1589"/>
      <c r="U42" s="1589"/>
      <c r="V42" s="1589"/>
      <c r="W42" s="1589"/>
      <c r="X42" s="1589"/>
      <c r="Y42" s="1589"/>
      <c r="Z42" s="1589"/>
      <c r="AA42" s="1589"/>
      <c r="AB42" s="1589"/>
      <c r="AC42" s="1589"/>
      <c r="AD42" s="1589"/>
      <c r="AE42" s="1589"/>
      <c r="AF42" s="1589"/>
      <c r="AG42" s="1589"/>
      <c r="AH42" s="1589"/>
      <c r="AI42" s="1128"/>
      <c r="AJ42" s="1128"/>
      <c r="AK42" s="1128"/>
      <c r="AL42" s="1128"/>
      <c r="AM42" s="1128"/>
      <c r="AN42" s="1128"/>
    </row>
    <row r="43" spans="1:40" ht="11.25" hidden="1" customHeight="1" outlineLevel="1">
      <c r="A43" s="42" t="s">
        <v>739</v>
      </c>
      <c r="B43" s="1586">
        <v>0</v>
      </c>
      <c r="C43" s="1586">
        <v>0</v>
      </c>
      <c r="D43" s="1586">
        <v>0</v>
      </c>
      <c r="E43" s="438">
        <v>0</v>
      </c>
      <c r="F43" s="438">
        <v>0</v>
      </c>
      <c r="G43" s="438">
        <v>0</v>
      </c>
      <c r="H43" s="438">
        <v>0</v>
      </c>
      <c r="I43" s="438">
        <v>0</v>
      </c>
      <c r="J43" s="955">
        <v>7416.3132538762447</v>
      </c>
      <c r="K43" s="955">
        <v>7893.0007599895653</v>
      </c>
      <c r="L43" s="438">
        <v>9268.319720597754</v>
      </c>
      <c r="M43" s="438">
        <v>11921.302057355602</v>
      </c>
      <c r="N43" s="438">
        <v>14249.273844885998</v>
      </c>
      <c r="O43" s="438">
        <v>21212.509227896709</v>
      </c>
      <c r="P43" s="438">
        <v>25139.1237676034</v>
      </c>
      <c r="Q43" s="438">
        <v>29484.961101972011</v>
      </c>
      <c r="R43" s="438">
        <v>34504.521282015208</v>
      </c>
      <c r="S43" s="438">
        <v>43707.277342777423</v>
      </c>
      <c r="T43" s="438">
        <v>56502.43395927344</v>
      </c>
      <c r="U43" s="438">
        <v>37367.488685752025</v>
      </c>
      <c r="V43" s="438">
        <v>52240.570234885985</v>
      </c>
      <c r="W43" s="438">
        <v>67508.766021870309</v>
      </c>
      <c r="X43" s="438">
        <v>73752.955197028728</v>
      </c>
      <c r="Y43" s="447">
        <v>75726.165101287712</v>
      </c>
      <c r="Z43" s="447">
        <v>82803.228931834121</v>
      </c>
      <c r="AA43" s="447">
        <v>88376.838415543767</v>
      </c>
      <c r="AB43" s="447">
        <v>93486.204146184173</v>
      </c>
      <c r="AC43" s="447">
        <v>98328.494902813487</v>
      </c>
      <c r="AD43" s="447">
        <v>103399.91042594376</v>
      </c>
      <c r="AE43" s="447">
        <v>108605.2708007929</v>
      </c>
      <c r="AF43" s="447">
        <v>113932.118912119</v>
      </c>
      <c r="AG43" s="447">
        <v>119505.40964481822</v>
      </c>
      <c r="AH43" s="447">
        <v>125328.76340855606</v>
      </c>
      <c r="AI43" s="1128"/>
      <c r="AJ43" s="1128"/>
      <c r="AK43" s="1128"/>
      <c r="AL43" s="1128"/>
      <c r="AM43" s="1128"/>
      <c r="AN43" s="1128"/>
    </row>
    <row r="44" spans="1:40" ht="11.25" hidden="1" customHeight="1" outlineLevel="2">
      <c r="A44" s="86" t="s">
        <v>731</v>
      </c>
      <c r="B44" s="1586">
        <v>0</v>
      </c>
      <c r="C44" s="1586">
        <v>0</v>
      </c>
      <c r="D44" s="1586">
        <v>0</v>
      </c>
      <c r="E44" s="438">
        <v>0</v>
      </c>
      <c r="F44" s="438">
        <v>0</v>
      </c>
      <c r="G44" s="438">
        <v>0</v>
      </c>
      <c r="H44" s="438">
        <v>0</v>
      </c>
      <c r="I44" s="438">
        <v>0</v>
      </c>
      <c r="J44" s="955">
        <v>6032</v>
      </c>
      <c r="K44" s="955">
        <v>6111.2000000000007</v>
      </c>
      <c r="L44" s="438">
        <v>6889.9189999999999</v>
      </c>
      <c r="M44" s="438">
        <v>8537.4189999999981</v>
      </c>
      <c r="N44" s="438">
        <v>10051.842000000001</v>
      </c>
      <c r="O44" s="438">
        <v>15158.991</v>
      </c>
      <c r="P44" s="438">
        <v>12882.855</v>
      </c>
      <c r="Q44" s="438">
        <v>13940.262000000001</v>
      </c>
      <c r="R44" s="438">
        <v>15839.212</v>
      </c>
      <c r="S44" s="438">
        <v>23824.762999999999</v>
      </c>
      <c r="T44" s="438">
        <v>26086.892999999996</v>
      </c>
      <c r="U44" s="438">
        <v>18285.574000000001</v>
      </c>
      <c r="V44" s="438">
        <v>25377.499</v>
      </c>
      <c r="W44" s="438">
        <v>32773.726999999999</v>
      </c>
      <c r="X44" s="438">
        <v>37509.160000000003</v>
      </c>
      <c r="Y44" s="447">
        <v>40863.105412432342</v>
      </c>
      <c r="Z44" s="447">
        <v>43146.881227156191</v>
      </c>
      <c r="AA44" s="447">
        <v>45637.05111813551</v>
      </c>
      <c r="AB44" s="447">
        <v>48109.902576968554</v>
      </c>
      <c r="AC44" s="447">
        <v>50141.680561681002</v>
      </c>
      <c r="AD44" s="447">
        <v>52246.953982759165</v>
      </c>
      <c r="AE44" s="447">
        <v>54380.768535681287</v>
      </c>
      <c r="AF44" s="447">
        <v>56512.345875665036</v>
      </c>
      <c r="AG44" s="447">
        <v>58718.822796669774</v>
      </c>
      <c r="AH44" s="447">
        <v>60999.783661480469</v>
      </c>
      <c r="AI44" s="1128"/>
      <c r="AJ44" s="1272"/>
      <c r="AK44" s="1128"/>
      <c r="AL44" s="1128"/>
      <c r="AM44" s="1128"/>
      <c r="AN44" s="1128"/>
    </row>
    <row r="45" spans="1:40" ht="11.25" hidden="1" customHeight="1" outlineLevel="2">
      <c r="A45" s="86" t="s">
        <v>949</v>
      </c>
      <c r="B45" s="1586">
        <v>0</v>
      </c>
      <c r="C45" s="1586">
        <v>0</v>
      </c>
      <c r="D45" s="1586">
        <v>0</v>
      </c>
      <c r="E45" s="438">
        <v>0</v>
      </c>
      <c r="F45" s="438">
        <v>0</v>
      </c>
      <c r="G45" s="438">
        <v>0</v>
      </c>
      <c r="H45" s="438">
        <v>0</v>
      </c>
      <c r="I45" s="438">
        <v>0</v>
      </c>
      <c r="J45" s="1586">
        <v>0</v>
      </c>
      <c r="K45" s="1586">
        <v>0</v>
      </c>
      <c r="L45" s="438">
        <v>0</v>
      </c>
      <c r="M45" s="438">
        <v>0</v>
      </c>
      <c r="N45" s="438">
        <v>0</v>
      </c>
      <c r="O45" s="438">
        <v>1438.0019461563413</v>
      </c>
      <c r="P45" s="438">
        <v>5553.0794698838818</v>
      </c>
      <c r="Q45" s="438">
        <v>7437.0882252644215</v>
      </c>
      <c r="R45" s="438">
        <v>8401.3262225735634</v>
      </c>
      <c r="S45" s="438">
        <v>9703.3249278333606</v>
      </c>
      <c r="T45" s="438">
        <v>20698.116579915404</v>
      </c>
      <c r="U45" s="438">
        <v>13505.364833031459</v>
      </c>
      <c r="V45" s="438">
        <v>17924.478099027656</v>
      </c>
      <c r="W45" s="438">
        <v>21388.628863315877</v>
      </c>
      <c r="X45" s="438">
        <v>22380.611228129557</v>
      </c>
      <c r="Y45" s="447">
        <v>23438.526543660075</v>
      </c>
      <c r="Z45" s="447">
        <v>27243.572919513805</v>
      </c>
      <c r="AA45" s="447">
        <v>29752.930079946498</v>
      </c>
      <c r="AB45" s="447">
        <v>32147.211307225676</v>
      </c>
      <c r="AC45" s="447">
        <v>34619.631649755655</v>
      </c>
      <c r="AD45" s="447">
        <v>37245.190885140706</v>
      </c>
      <c r="AE45" s="447">
        <v>39975.566389724452</v>
      </c>
      <c r="AF45" s="447">
        <v>42837.616647417417</v>
      </c>
      <c r="AG45" s="447">
        <v>45871.001348459431</v>
      </c>
      <c r="AH45" s="447">
        <v>49075.171546525671</v>
      </c>
      <c r="AI45" s="1128"/>
      <c r="AJ45" s="1272"/>
      <c r="AK45" s="1128"/>
      <c r="AL45" s="1128"/>
      <c r="AM45" s="1128"/>
      <c r="AN45" s="1128"/>
    </row>
    <row r="46" spans="1:40" ht="11.25" hidden="1" customHeight="1" outlineLevel="2">
      <c r="A46" s="86" t="s">
        <v>733</v>
      </c>
      <c r="B46" s="1586">
        <v>0</v>
      </c>
      <c r="C46" s="1586">
        <v>0</v>
      </c>
      <c r="D46" s="1586">
        <v>0</v>
      </c>
      <c r="E46" s="438">
        <v>0</v>
      </c>
      <c r="F46" s="438">
        <v>0</v>
      </c>
      <c r="G46" s="438">
        <v>0</v>
      </c>
      <c r="H46" s="438">
        <v>0</v>
      </c>
      <c r="I46" s="438">
        <v>0</v>
      </c>
      <c r="J46" s="955">
        <v>1384.3132538762447</v>
      </c>
      <c r="K46" s="955">
        <v>1781.8007599895641</v>
      </c>
      <c r="L46" s="438">
        <v>2378.4007205977541</v>
      </c>
      <c r="M46" s="438">
        <v>3383.8830573556043</v>
      </c>
      <c r="N46" s="438">
        <v>4197.4318448859976</v>
      </c>
      <c r="O46" s="438">
        <v>4615.516281740368</v>
      </c>
      <c r="P46" s="438">
        <v>6703.1892977195157</v>
      </c>
      <c r="Q46" s="438">
        <v>8107.6108767075912</v>
      </c>
      <c r="R46" s="438">
        <v>10263.983059441645</v>
      </c>
      <c r="S46" s="438">
        <v>10179.18941494406</v>
      </c>
      <c r="T46" s="438">
        <v>9717.4243793580372</v>
      </c>
      <c r="U46" s="438">
        <v>5576.5498527205646</v>
      </c>
      <c r="V46" s="438">
        <v>8938.5931358583257</v>
      </c>
      <c r="W46" s="438">
        <v>13346.410158554427</v>
      </c>
      <c r="X46" s="438">
        <v>13863.183968899175</v>
      </c>
      <c r="Y46" s="447">
        <v>11424.533145195295</v>
      </c>
      <c r="Z46" s="447">
        <v>12412.774785164112</v>
      </c>
      <c r="AA46" s="447">
        <v>12986.857217461753</v>
      </c>
      <c r="AB46" s="447">
        <v>13229.090261989935</v>
      </c>
      <c r="AC46" s="447">
        <v>13567.182691376829</v>
      </c>
      <c r="AD46" s="447">
        <v>13907.765558043888</v>
      </c>
      <c r="AE46" s="447">
        <v>14248.935875387167</v>
      </c>
      <c r="AF46" s="447">
        <v>14582.156389036551</v>
      </c>
      <c r="AG46" s="447">
        <v>14915.58549968901</v>
      </c>
      <c r="AH46" s="447">
        <v>15253.808200549915</v>
      </c>
      <c r="AI46" s="1128"/>
      <c r="AJ46" s="1272"/>
      <c r="AK46" s="1128"/>
      <c r="AL46" s="1128"/>
      <c r="AM46" s="1128"/>
      <c r="AN46" s="1128"/>
    </row>
    <row r="47" spans="1:40" ht="11.25" hidden="1" customHeight="1" outlineLevel="1">
      <c r="A47" s="42" t="s">
        <v>744</v>
      </c>
      <c r="B47" s="1586">
        <v>0</v>
      </c>
      <c r="C47" s="1586">
        <v>0</v>
      </c>
      <c r="D47" s="1586">
        <v>0</v>
      </c>
      <c r="E47" s="438">
        <v>0</v>
      </c>
      <c r="F47" s="438">
        <v>0</v>
      </c>
      <c r="G47" s="438">
        <v>0</v>
      </c>
      <c r="H47" s="438">
        <v>0</v>
      </c>
      <c r="I47" s="438">
        <v>0</v>
      </c>
      <c r="J47" s="955">
        <v>3065.5</v>
      </c>
      <c r="K47" s="955">
        <v>2973.8999999999996</v>
      </c>
      <c r="L47" s="438">
        <v>3396.6000000000004</v>
      </c>
      <c r="M47" s="438">
        <v>4033.8999999999996</v>
      </c>
      <c r="N47" s="438">
        <v>4329.3</v>
      </c>
      <c r="O47" s="438">
        <v>5064</v>
      </c>
      <c r="P47" s="438">
        <v>6374</v>
      </c>
      <c r="Q47" s="438">
        <v>7258</v>
      </c>
      <c r="R47" s="438">
        <v>7026</v>
      </c>
      <c r="S47" s="438">
        <v>974.42199999999991</v>
      </c>
      <c r="T47" s="438">
        <v>235.69200000000001</v>
      </c>
      <c r="U47" s="438">
        <v>275.13300000000004</v>
      </c>
      <c r="V47" s="438">
        <v>320.24799999999999</v>
      </c>
      <c r="W47" s="438">
        <v>394.911</v>
      </c>
      <c r="X47" s="438">
        <v>1522.79</v>
      </c>
      <c r="Y47" s="447">
        <v>1813.2160087767734</v>
      </c>
      <c r="Z47" s="447">
        <v>2022.6921183046925</v>
      </c>
      <c r="AA47" s="447">
        <v>2249.7075590707109</v>
      </c>
      <c r="AB47" s="447">
        <v>2469.1799204990921</v>
      </c>
      <c r="AC47" s="447">
        <v>2664.9083229990501</v>
      </c>
      <c r="AD47" s="447">
        <v>2871.2855556078021</v>
      </c>
      <c r="AE47" s="447">
        <v>3078.222840260978</v>
      </c>
      <c r="AF47" s="447">
        <v>3286.8163897927934</v>
      </c>
      <c r="AG47" s="447">
        <v>3506.2153590858352</v>
      </c>
      <c r="AH47" s="447">
        <v>3726.0480459784253</v>
      </c>
      <c r="AI47" s="1128"/>
      <c r="AJ47" s="1128">
        <v>-0.46663302088537983</v>
      </c>
      <c r="AK47" s="1128">
        <f>IFERROR((X47/U47)^(1/3)-1,"NM")</f>
        <v>0.76888301104618129</v>
      </c>
      <c r="AL47" s="1128">
        <f>IFERROR((AA47/Y47)^(1/2)-1,"NM")</f>
        <v>0.11387962874884017</v>
      </c>
      <c r="AM47" s="1128">
        <f>IFERROR((AD47/AA47)^(1/3)-1,"NM")</f>
        <v>8.4717814915540535E-2</v>
      </c>
      <c r="AN47" s="1128">
        <f>IFERROR((AH47/X47)^(1/10)-1,"NM")</f>
        <v>9.3605897139474425E-2</v>
      </c>
    </row>
    <row r="48" spans="1:40" ht="11.25" hidden="1" customHeight="1" outlineLevel="2">
      <c r="A48" s="86" t="s">
        <v>731</v>
      </c>
      <c r="B48" s="1586">
        <v>0</v>
      </c>
      <c r="C48" s="1586">
        <v>0</v>
      </c>
      <c r="D48" s="1586">
        <v>0</v>
      </c>
      <c r="E48" s="438">
        <v>0</v>
      </c>
      <c r="F48" s="438">
        <v>0</v>
      </c>
      <c r="G48" s="438">
        <v>0</v>
      </c>
      <c r="H48" s="438">
        <v>0</v>
      </c>
      <c r="I48" s="438">
        <v>0</v>
      </c>
      <c r="J48" s="955">
        <v>3065.5</v>
      </c>
      <c r="K48" s="955">
        <v>2973.8999999999996</v>
      </c>
      <c r="L48" s="438">
        <v>3396.6000000000004</v>
      </c>
      <c r="M48" s="438">
        <v>4033.8999999999996</v>
      </c>
      <c r="N48" s="438">
        <v>4329.3</v>
      </c>
      <c r="O48" s="438">
        <v>5064</v>
      </c>
      <c r="P48" s="438">
        <v>6374</v>
      </c>
      <c r="Q48" s="438">
        <v>7258</v>
      </c>
      <c r="R48" s="438">
        <v>7026</v>
      </c>
      <c r="S48" s="438">
        <v>974.42199999999991</v>
      </c>
      <c r="T48" s="438">
        <v>235.69200000000001</v>
      </c>
      <c r="U48" s="438">
        <v>275.13300000000004</v>
      </c>
      <c r="V48" s="438">
        <v>320.24799999999999</v>
      </c>
      <c r="W48" s="438">
        <v>394.911</v>
      </c>
      <c r="X48" s="438">
        <v>1522.79</v>
      </c>
      <c r="Y48" s="447">
        <v>1813.2160087767734</v>
      </c>
      <c r="Z48" s="447">
        <v>2022.6921183046925</v>
      </c>
      <c r="AA48" s="447">
        <v>2249.7075590707109</v>
      </c>
      <c r="AB48" s="447">
        <v>2469.1799204990921</v>
      </c>
      <c r="AC48" s="447">
        <v>2664.9083229990501</v>
      </c>
      <c r="AD48" s="447">
        <v>2871.2855556078021</v>
      </c>
      <c r="AE48" s="447">
        <v>3078.222840260978</v>
      </c>
      <c r="AF48" s="447">
        <v>3286.8163897927934</v>
      </c>
      <c r="AG48" s="447">
        <v>3506.2153590858352</v>
      </c>
      <c r="AH48" s="447">
        <v>3726.0480459784253</v>
      </c>
      <c r="AI48" s="1128"/>
      <c r="AJ48" s="1128"/>
      <c r="AK48" s="1128"/>
      <c r="AL48" s="1128"/>
      <c r="AM48" s="1128"/>
      <c r="AN48" s="1128"/>
    </row>
    <row r="49" spans="1:40" ht="11.25" hidden="1" customHeight="1" outlineLevel="2">
      <c r="A49" s="86" t="s">
        <v>949</v>
      </c>
      <c r="B49" s="955" t="s">
        <v>628</v>
      </c>
      <c r="C49" s="955" t="s">
        <v>628</v>
      </c>
      <c r="D49" s="955" t="s">
        <v>628</v>
      </c>
      <c r="E49" s="438" t="s">
        <v>628</v>
      </c>
      <c r="F49" s="438" t="s">
        <v>628</v>
      </c>
      <c r="G49" s="438" t="s">
        <v>628</v>
      </c>
      <c r="H49" s="438" t="s">
        <v>628</v>
      </c>
      <c r="I49" s="438" t="s">
        <v>628</v>
      </c>
      <c r="J49" s="955" t="s">
        <v>628</v>
      </c>
      <c r="K49" s="955" t="s">
        <v>628</v>
      </c>
      <c r="L49" s="438" t="s">
        <v>628</v>
      </c>
      <c r="M49" s="438" t="s">
        <v>628</v>
      </c>
      <c r="N49" s="438" t="s">
        <v>628</v>
      </c>
      <c r="O49" s="438" t="s">
        <v>628</v>
      </c>
      <c r="P49" s="438" t="s">
        <v>628</v>
      </c>
      <c r="Q49" s="438" t="s">
        <v>628</v>
      </c>
      <c r="R49" s="438" t="s">
        <v>628</v>
      </c>
      <c r="S49" s="438" t="s">
        <v>628</v>
      </c>
      <c r="T49" s="438" t="s">
        <v>628</v>
      </c>
      <c r="U49" s="438" t="s">
        <v>628</v>
      </c>
      <c r="V49" s="438" t="s">
        <v>628</v>
      </c>
      <c r="W49" s="438" t="s">
        <v>628</v>
      </c>
      <c r="X49" s="438" t="s">
        <v>628</v>
      </c>
      <c r="Y49" s="447" t="s">
        <v>628</v>
      </c>
      <c r="Z49" s="447" t="s">
        <v>628</v>
      </c>
      <c r="AA49" s="447" t="s">
        <v>628</v>
      </c>
      <c r="AB49" s="447" t="s">
        <v>628</v>
      </c>
      <c r="AC49" s="447" t="s">
        <v>628</v>
      </c>
      <c r="AD49" s="447" t="s">
        <v>628</v>
      </c>
      <c r="AE49" s="447" t="s">
        <v>628</v>
      </c>
      <c r="AF49" s="447" t="s">
        <v>628</v>
      </c>
      <c r="AG49" s="447" t="s">
        <v>628</v>
      </c>
      <c r="AH49" s="447" t="s">
        <v>628</v>
      </c>
      <c r="AI49" s="1128"/>
      <c r="AJ49" s="1128"/>
      <c r="AK49" s="1128"/>
      <c r="AL49" s="1128"/>
      <c r="AM49" s="1128"/>
      <c r="AN49" s="1128"/>
    </row>
    <row r="50" spans="1:40" ht="11.25" hidden="1" customHeight="1" outlineLevel="2">
      <c r="A50" s="86" t="s">
        <v>733</v>
      </c>
      <c r="B50" s="955" t="s">
        <v>628</v>
      </c>
      <c r="C50" s="955" t="s">
        <v>628</v>
      </c>
      <c r="D50" s="955" t="s">
        <v>628</v>
      </c>
      <c r="E50" s="438" t="s">
        <v>628</v>
      </c>
      <c r="F50" s="438" t="s">
        <v>628</v>
      </c>
      <c r="G50" s="438" t="s">
        <v>628</v>
      </c>
      <c r="H50" s="438" t="s">
        <v>628</v>
      </c>
      <c r="I50" s="438" t="s">
        <v>628</v>
      </c>
      <c r="J50" s="955" t="s">
        <v>628</v>
      </c>
      <c r="K50" s="955" t="s">
        <v>628</v>
      </c>
      <c r="L50" s="438" t="s">
        <v>628</v>
      </c>
      <c r="M50" s="438" t="s">
        <v>628</v>
      </c>
      <c r="N50" s="438" t="s">
        <v>628</v>
      </c>
      <c r="O50" s="438" t="s">
        <v>628</v>
      </c>
      <c r="P50" s="438" t="s">
        <v>628</v>
      </c>
      <c r="Q50" s="438" t="s">
        <v>628</v>
      </c>
      <c r="R50" s="438" t="s">
        <v>628</v>
      </c>
      <c r="S50" s="438" t="s">
        <v>628</v>
      </c>
      <c r="T50" s="438" t="s">
        <v>628</v>
      </c>
      <c r="U50" s="438" t="s">
        <v>628</v>
      </c>
      <c r="V50" s="438" t="s">
        <v>628</v>
      </c>
      <c r="W50" s="438" t="s">
        <v>628</v>
      </c>
      <c r="X50" s="438" t="s">
        <v>628</v>
      </c>
      <c r="Y50" s="447" t="s">
        <v>628</v>
      </c>
      <c r="Z50" s="447" t="s">
        <v>628</v>
      </c>
      <c r="AA50" s="447" t="s">
        <v>628</v>
      </c>
      <c r="AB50" s="447" t="s">
        <v>628</v>
      </c>
      <c r="AC50" s="447" t="s">
        <v>628</v>
      </c>
      <c r="AD50" s="447" t="s">
        <v>628</v>
      </c>
      <c r="AE50" s="447" t="s">
        <v>628</v>
      </c>
      <c r="AF50" s="447" t="s">
        <v>628</v>
      </c>
      <c r="AG50" s="447" t="s">
        <v>628</v>
      </c>
      <c r="AH50" s="447" t="s">
        <v>628</v>
      </c>
      <c r="AI50" s="1128"/>
      <c r="AJ50" s="1128"/>
      <c r="AK50" s="1128"/>
      <c r="AL50" s="1128"/>
      <c r="AM50" s="1128"/>
      <c r="AN50" s="1128"/>
    </row>
    <row r="51" spans="1:40" ht="11.25" hidden="1" customHeight="1" outlineLevel="1">
      <c r="A51" s="42" t="s">
        <v>1028</v>
      </c>
      <c r="B51" s="1586">
        <v>0</v>
      </c>
      <c r="C51" s="1586">
        <v>0</v>
      </c>
      <c r="D51" s="1586">
        <v>0</v>
      </c>
      <c r="E51" s="438">
        <v>0</v>
      </c>
      <c r="F51" s="438">
        <v>0</v>
      </c>
      <c r="G51" s="438">
        <v>0</v>
      </c>
      <c r="H51" s="438">
        <v>0</v>
      </c>
      <c r="I51" s="438">
        <v>0</v>
      </c>
      <c r="J51" s="955">
        <v>23.386746123755337</v>
      </c>
      <c r="K51" s="955">
        <v>28.899240010435861</v>
      </c>
      <c r="L51" s="438">
        <v>238.18027940224619</v>
      </c>
      <c r="M51" s="438">
        <v>247.09794264439591</v>
      </c>
      <c r="N51" s="438">
        <v>335.62615511400259</v>
      </c>
      <c r="O51" s="438">
        <v>480.49077210329079</v>
      </c>
      <c r="P51" s="438">
        <v>773.87623239660206</v>
      </c>
      <c r="Q51" s="438">
        <v>958.03889802798665</v>
      </c>
      <c r="R51" s="438">
        <v>999.47871798479071</v>
      </c>
      <c r="S51" s="438">
        <v>862.27865722258105</v>
      </c>
      <c r="T51" s="438">
        <v>1418.28704072656</v>
      </c>
      <c r="U51" s="438">
        <v>871.34431424797663</v>
      </c>
      <c r="V51" s="438">
        <v>830.26076511401914</v>
      </c>
      <c r="W51" s="438">
        <v>928.03497812969715</v>
      </c>
      <c r="X51" s="438">
        <v>954.02780297126628</v>
      </c>
      <c r="Y51" s="447">
        <v>1008.4102060834136</v>
      </c>
      <c r="Z51" s="447">
        <v>1175.0632118153765</v>
      </c>
      <c r="AA51" s="447">
        <v>1235.4790624650852</v>
      </c>
      <c r="AB51" s="447">
        <v>1327.2356551182179</v>
      </c>
      <c r="AC51" s="447">
        <v>1416.5385414542136</v>
      </c>
      <c r="AD51" s="447">
        <v>1511.5373452423187</v>
      </c>
      <c r="AE51" s="447">
        <v>1612.1266522151634</v>
      </c>
      <c r="AF51" s="447">
        <v>1718.4078971115339</v>
      </c>
      <c r="AG51" s="447">
        <v>1836.0294984358736</v>
      </c>
      <c r="AH51" s="447">
        <v>1961.5951851063617</v>
      </c>
      <c r="AI51" s="1128"/>
      <c r="AJ51" s="1128"/>
      <c r="AK51" s="1128"/>
      <c r="AL51" s="1128"/>
      <c r="AM51" s="1128"/>
      <c r="AN51" s="1128"/>
    </row>
    <row r="52" spans="1:40" ht="11.25" hidden="1" customHeight="1" outlineLevel="2">
      <c r="A52" s="86" t="s">
        <v>731</v>
      </c>
      <c r="B52" s="1586">
        <v>0</v>
      </c>
      <c r="C52" s="1586">
        <v>0</v>
      </c>
      <c r="D52" s="1586">
        <v>0</v>
      </c>
      <c r="E52" s="438">
        <v>0</v>
      </c>
      <c r="F52" s="438">
        <v>0</v>
      </c>
      <c r="G52" s="438">
        <v>0</v>
      </c>
      <c r="H52" s="438">
        <v>0</v>
      </c>
      <c r="I52" s="438">
        <v>0</v>
      </c>
      <c r="J52" s="1586">
        <v>0</v>
      </c>
      <c r="K52" s="1586">
        <v>0</v>
      </c>
      <c r="L52" s="438">
        <v>214.48099999999999</v>
      </c>
      <c r="M52" s="438">
        <v>214.48099999999999</v>
      </c>
      <c r="N52" s="438">
        <v>313.55799999999999</v>
      </c>
      <c r="O52" s="438">
        <v>445.00900000000001</v>
      </c>
      <c r="P52" s="438">
        <v>639.14499999999998</v>
      </c>
      <c r="Q52" s="438">
        <v>787.73800000000006</v>
      </c>
      <c r="R52" s="438">
        <v>811.78800000000001</v>
      </c>
      <c r="S52" s="438">
        <v>662.81500000000005</v>
      </c>
      <c r="T52" s="438">
        <v>894.41499999999996</v>
      </c>
      <c r="U52" s="438">
        <v>506.29300000000001</v>
      </c>
      <c r="V52" s="438">
        <v>317.25299999999999</v>
      </c>
      <c r="W52" s="438">
        <v>299.36200000000002</v>
      </c>
      <c r="X52" s="438">
        <v>326.05</v>
      </c>
      <c r="Y52" s="447">
        <v>385.28496903609431</v>
      </c>
      <c r="Z52" s="447">
        <v>429.79349230370792</v>
      </c>
      <c r="AA52" s="447">
        <v>478.21479487557593</v>
      </c>
      <c r="AB52" s="447">
        <v>525.05041863396241</v>
      </c>
      <c r="AC52" s="447">
        <v>566.70640839496878</v>
      </c>
      <c r="AD52" s="447">
        <v>610.6292925914031</v>
      </c>
      <c r="AE52" s="447">
        <v>654.82232268997336</v>
      </c>
      <c r="AF52" s="447">
        <v>699.22043677886722</v>
      </c>
      <c r="AG52" s="447">
        <v>745.91887213882706</v>
      </c>
      <c r="AH52" s="447">
        <v>792.83858651645289</v>
      </c>
      <c r="AI52" s="1128"/>
      <c r="AJ52" s="1128"/>
      <c r="AK52" s="1128"/>
      <c r="AL52" s="1128"/>
      <c r="AM52" s="1128"/>
      <c r="AN52" s="1128"/>
    </row>
    <row r="53" spans="1:40" ht="11.25" hidden="1" customHeight="1" outlineLevel="2">
      <c r="A53" s="86" t="s">
        <v>949</v>
      </c>
      <c r="B53" s="1586">
        <v>0</v>
      </c>
      <c r="C53" s="1586">
        <v>0</v>
      </c>
      <c r="D53" s="1586">
        <v>0</v>
      </c>
      <c r="E53" s="438">
        <v>0</v>
      </c>
      <c r="F53" s="438">
        <v>0</v>
      </c>
      <c r="G53" s="438">
        <v>0</v>
      </c>
      <c r="H53" s="438">
        <v>0</v>
      </c>
      <c r="I53" s="438">
        <v>0</v>
      </c>
      <c r="J53" s="1586">
        <v>0</v>
      </c>
      <c r="K53" s="1586">
        <v>0</v>
      </c>
      <c r="L53" s="438">
        <v>0</v>
      </c>
      <c r="M53" s="438">
        <v>0</v>
      </c>
      <c r="N53" s="438">
        <v>0</v>
      </c>
      <c r="O53" s="438">
        <v>29.99805384365877</v>
      </c>
      <c r="P53" s="438">
        <v>119.92053011611762</v>
      </c>
      <c r="Q53" s="438">
        <v>153.91177473557826</v>
      </c>
      <c r="R53" s="438">
        <v>168.67377742643626</v>
      </c>
      <c r="S53" s="438">
        <v>183.67507216664126</v>
      </c>
      <c r="T53" s="438">
        <v>508.88342008459722</v>
      </c>
      <c r="U53" s="438">
        <v>354.63516696854089</v>
      </c>
      <c r="V53" s="438">
        <v>489.52190097234342</v>
      </c>
      <c r="W53" s="438">
        <v>587.37113668412485</v>
      </c>
      <c r="X53" s="438">
        <v>585.38877187044068</v>
      </c>
      <c r="Y53" s="447">
        <v>596.4230616933894</v>
      </c>
      <c r="Z53" s="447">
        <v>688.42273439252153</v>
      </c>
      <c r="AA53" s="447">
        <v>677.91499783908648</v>
      </c>
      <c r="AB53" s="447">
        <v>700.23501260622982</v>
      </c>
      <c r="AC53" s="447">
        <v>724.56783605756675</v>
      </c>
      <c r="AD53" s="447">
        <v>749.59284387900777</v>
      </c>
      <c r="AE53" s="447">
        <v>775.49113937285483</v>
      </c>
      <c r="AF53" s="447">
        <v>803.1797704058871</v>
      </c>
      <c r="AG53" s="447">
        <v>831.66453040493923</v>
      </c>
      <c r="AH53" s="447">
        <v>860.79303327470006</v>
      </c>
      <c r="AI53" s="1128"/>
      <c r="AJ53" s="1128"/>
      <c r="AK53" s="1128"/>
      <c r="AL53" s="1128"/>
      <c r="AM53" s="1128"/>
      <c r="AN53" s="1128"/>
    </row>
    <row r="54" spans="1:40" ht="11.25" hidden="1" customHeight="1" outlineLevel="2">
      <c r="A54" s="86" t="s">
        <v>733</v>
      </c>
      <c r="B54" s="1586">
        <v>0</v>
      </c>
      <c r="C54" s="1586">
        <v>0</v>
      </c>
      <c r="D54" s="1586">
        <v>0</v>
      </c>
      <c r="E54" s="438">
        <v>0</v>
      </c>
      <c r="F54" s="438">
        <v>0</v>
      </c>
      <c r="G54" s="438">
        <v>0</v>
      </c>
      <c r="H54" s="438">
        <v>0</v>
      </c>
      <c r="I54" s="438">
        <v>0</v>
      </c>
      <c r="J54" s="955">
        <v>23.386746123755337</v>
      </c>
      <c r="K54" s="955">
        <v>28.899240010435861</v>
      </c>
      <c r="L54" s="438">
        <v>23.699279402246194</v>
      </c>
      <c r="M54" s="438">
        <v>32.616942644395934</v>
      </c>
      <c r="N54" s="438">
        <v>22.068155114002614</v>
      </c>
      <c r="O54" s="438">
        <v>5.4837182596319671</v>
      </c>
      <c r="P54" s="438">
        <v>14.81070228048447</v>
      </c>
      <c r="Q54" s="438">
        <v>16.389123292408243</v>
      </c>
      <c r="R54" s="438">
        <v>19.01694055835441</v>
      </c>
      <c r="S54" s="438">
        <v>15.788585055939711</v>
      </c>
      <c r="T54" s="438">
        <v>14.98862064196287</v>
      </c>
      <c r="U54" s="438">
        <v>10.416147279435753</v>
      </c>
      <c r="V54" s="438">
        <v>23.485864141675712</v>
      </c>
      <c r="W54" s="438">
        <v>41.30184144557218</v>
      </c>
      <c r="X54" s="438">
        <v>42.589031100825608</v>
      </c>
      <c r="Y54" s="447">
        <v>26.702175353929984</v>
      </c>
      <c r="Z54" s="447">
        <v>56.846985119146836</v>
      </c>
      <c r="AA54" s="447">
        <v>79.349269750422764</v>
      </c>
      <c r="AB54" s="447">
        <v>101.95022387802555</v>
      </c>
      <c r="AC54" s="447">
        <v>125.2642970016779</v>
      </c>
      <c r="AD54" s="447">
        <v>151.31520877190769</v>
      </c>
      <c r="AE54" s="447">
        <v>181.81319015233527</v>
      </c>
      <c r="AF54" s="447">
        <v>216.00768992677951</v>
      </c>
      <c r="AG54" s="447">
        <v>258.44609589210745</v>
      </c>
      <c r="AH54" s="447">
        <v>307.96356531520877</v>
      </c>
      <c r="AI54" s="1128"/>
      <c r="AJ54" s="1128"/>
      <c r="AK54" s="1128"/>
      <c r="AL54" s="1128"/>
      <c r="AM54" s="1128"/>
      <c r="AN54" s="1128"/>
    </row>
    <row r="55" spans="1:40" hidden="1" outlineLevel="1">
      <c r="A55" s="1498"/>
      <c r="B55" s="1516"/>
      <c r="C55" s="1590"/>
      <c r="D55" s="1590"/>
      <c r="E55" s="1590"/>
      <c r="F55" s="1590"/>
      <c r="G55" s="1590"/>
      <c r="H55" s="1590"/>
      <c r="I55" s="1590"/>
      <c r="J55" s="1516"/>
      <c r="K55" s="1516"/>
      <c r="L55" s="1516"/>
      <c r="M55" s="1516"/>
      <c r="N55" s="1516"/>
      <c r="O55" s="1516"/>
      <c r="P55" s="1516"/>
      <c r="Q55" s="1516"/>
      <c r="R55" s="1516"/>
      <c r="S55" s="1516"/>
      <c r="T55" s="1516"/>
      <c r="U55" s="1516"/>
      <c r="V55" s="1516"/>
      <c r="W55" s="1516"/>
      <c r="X55" s="1516"/>
      <c r="Y55" s="1516"/>
      <c r="Z55" s="1516"/>
      <c r="AA55" s="1516"/>
      <c r="AB55" s="1516"/>
      <c r="AC55" s="1516"/>
      <c r="AD55" s="1516"/>
      <c r="AE55" s="1516"/>
      <c r="AF55" s="1516"/>
      <c r="AG55" s="1516"/>
      <c r="AH55" s="1516"/>
      <c r="AI55" s="1128"/>
      <c r="AJ55" s="1128"/>
      <c r="AK55" s="1128"/>
      <c r="AL55" s="1128"/>
      <c r="AM55" s="1128"/>
      <c r="AN55" s="1128"/>
    </row>
    <row r="56" spans="1:40" hidden="1" outlineLevel="1">
      <c r="A56" s="36"/>
      <c r="B56" s="438"/>
      <c r="C56" s="1582"/>
      <c r="D56" s="1582"/>
      <c r="E56" s="1582"/>
      <c r="F56" s="1582"/>
      <c r="G56" s="1582"/>
      <c r="H56" s="1582"/>
      <c r="I56" s="1582"/>
      <c r="J56" s="438"/>
      <c r="K56" s="438"/>
      <c r="L56" s="438"/>
      <c r="M56" s="438"/>
      <c r="N56" s="438"/>
      <c r="O56" s="438"/>
      <c r="P56" s="438"/>
      <c r="Q56" s="438"/>
      <c r="R56" s="438"/>
      <c r="S56" s="438"/>
      <c r="T56" s="438"/>
      <c r="U56" s="438"/>
      <c r="V56" s="438"/>
      <c r="W56" s="438"/>
      <c r="X56" s="438"/>
      <c r="Y56" s="438"/>
      <c r="Z56" s="438"/>
      <c r="AA56" s="438"/>
      <c r="AB56" s="438"/>
      <c r="AC56" s="438"/>
      <c r="AD56" s="438"/>
      <c r="AE56" s="438"/>
      <c r="AF56" s="438"/>
      <c r="AG56" s="438"/>
      <c r="AH56" s="438"/>
      <c r="AI56" s="1128"/>
      <c r="AJ56" s="1128"/>
      <c r="AK56" s="1128"/>
      <c r="AL56" s="1128"/>
      <c r="AM56" s="1128"/>
      <c r="AN56" s="1128"/>
    </row>
    <row r="57" spans="1:40" hidden="1" outlineLevel="1">
      <c r="A57" s="36"/>
      <c r="B57" s="438"/>
      <c r="C57" s="1582"/>
      <c r="D57" s="1582"/>
      <c r="E57" s="1582"/>
      <c r="F57" s="1582"/>
      <c r="G57" s="1582"/>
      <c r="H57" s="1582"/>
      <c r="I57" s="1582"/>
      <c r="J57" s="438"/>
      <c r="K57" s="438"/>
      <c r="L57" s="438"/>
      <c r="M57" s="438"/>
      <c r="N57" s="438"/>
      <c r="O57" s="438"/>
      <c r="P57" s="438"/>
      <c r="Q57" s="438"/>
      <c r="R57" s="438"/>
      <c r="S57" s="438"/>
      <c r="T57" s="438"/>
      <c r="U57" s="438"/>
      <c r="V57" s="438"/>
      <c r="W57" s="438"/>
      <c r="X57" s="438"/>
      <c r="Y57" s="438"/>
      <c r="Z57" s="438"/>
      <c r="AA57" s="438"/>
      <c r="AB57" s="438"/>
      <c r="AC57" s="438"/>
      <c r="AD57" s="438"/>
      <c r="AE57" s="438"/>
      <c r="AF57" s="438"/>
      <c r="AG57" s="438"/>
      <c r="AH57" s="438"/>
      <c r="AI57" s="1128"/>
      <c r="AJ57" s="1128"/>
      <c r="AK57" s="1128"/>
      <c r="AL57" s="1128"/>
      <c r="AM57" s="1128"/>
      <c r="AN57" s="1128"/>
    </row>
    <row r="58" spans="1:40" hidden="1" outlineLevel="1">
      <c r="A58" s="36"/>
      <c r="B58" s="438"/>
      <c r="C58" s="1582"/>
      <c r="D58" s="1582"/>
      <c r="E58" s="1582"/>
      <c r="F58" s="1582"/>
      <c r="G58" s="1582"/>
      <c r="H58" s="1582"/>
      <c r="I58" s="1582"/>
      <c r="J58" s="438"/>
      <c r="K58" s="438"/>
      <c r="L58" s="438"/>
      <c r="M58" s="438"/>
      <c r="N58" s="438"/>
      <c r="O58" s="438"/>
      <c r="P58" s="438"/>
      <c r="Q58" s="438"/>
      <c r="R58" s="438"/>
      <c r="S58" s="438"/>
      <c r="T58" s="438"/>
      <c r="U58" s="438"/>
      <c r="V58" s="438"/>
      <c r="W58" s="438"/>
      <c r="X58" s="438"/>
      <c r="Y58" s="438"/>
      <c r="Z58" s="438"/>
      <c r="AA58" s="438"/>
      <c r="AB58" s="438"/>
      <c r="AC58" s="438"/>
      <c r="AD58" s="438"/>
      <c r="AE58" s="438"/>
      <c r="AF58" s="438"/>
      <c r="AG58" s="438"/>
      <c r="AH58" s="438"/>
      <c r="AI58" s="1128"/>
      <c r="AJ58" s="1128"/>
      <c r="AK58" s="1128"/>
      <c r="AL58" s="1128"/>
      <c r="AM58" s="1128"/>
      <c r="AN58" s="1128"/>
    </row>
    <row r="59" spans="1:40" hidden="1" outlineLevel="1">
      <c r="A59" s="36"/>
      <c r="B59" s="438"/>
      <c r="C59" s="1582"/>
      <c r="D59" s="1582"/>
      <c r="E59" s="1582"/>
      <c r="F59" s="1582"/>
      <c r="G59" s="1582"/>
      <c r="H59" s="1582"/>
      <c r="I59" s="1582"/>
      <c r="J59" s="438"/>
      <c r="K59" s="438"/>
      <c r="L59" s="438"/>
      <c r="M59" s="438"/>
      <c r="N59" s="438"/>
      <c r="O59" s="438"/>
      <c r="P59" s="438"/>
      <c r="Q59" s="438"/>
      <c r="R59" s="438"/>
      <c r="S59" s="438"/>
      <c r="T59" s="438"/>
      <c r="U59" s="438"/>
      <c r="V59" s="438"/>
      <c r="W59" s="438"/>
      <c r="X59" s="438"/>
      <c r="Y59" s="438"/>
      <c r="Z59" s="438"/>
      <c r="AA59" s="438"/>
      <c r="AB59" s="438"/>
      <c r="AC59" s="438"/>
      <c r="AD59" s="438"/>
      <c r="AE59" s="438"/>
      <c r="AF59" s="438"/>
      <c r="AG59" s="438"/>
      <c r="AH59" s="438"/>
      <c r="AI59" s="1128"/>
      <c r="AJ59" s="1128"/>
      <c r="AK59" s="1128"/>
      <c r="AL59" s="1128"/>
      <c r="AM59" s="1128"/>
      <c r="AN59" s="1128"/>
    </row>
    <row r="60" spans="1:40" collapsed="1">
      <c r="A60" s="97"/>
      <c r="B60" s="438"/>
      <c r="C60" s="438"/>
      <c r="D60" s="438"/>
      <c r="E60" s="438"/>
      <c r="F60" s="438"/>
      <c r="G60" s="438"/>
      <c r="H60" s="438"/>
      <c r="I60" s="438"/>
      <c r="J60" s="438"/>
      <c r="K60" s="438"/>
      <c r="L60" s="438"/>
      <c r="M60" s="438"/>
      <c r="N60" s="438"/>
      <c r="O60" s="438"/>
      <c r="P60" s="438"/>
      <c r="Q60" s="438"/>
      <c r="R60" s="438"/>
      <c r="S60" s="438"/>
      <c r="T60" s="438"/>
      <c r="U60" s="438"/>
      <c r="V60" s="438"/>
      <c r="W60" s="438"/>
      <c r="X60" s="438"/>
      <c r="Y60" s="447"/>
      <c r="Z60" s="447"/>
      <c r="AA60" s="447"/>
      <c r="AB60" s="447"/>
      <c r="AC60" s="447"/>
      <c r="AD60" s="447"/>
      <c r="AE60" s="447"/>
      <c r="AF60" s="447"/>
      <c r="AG60" s="447"/>
      <c r="AH60" s="447"/>
      <c r="AI60" s="1130"/>
      <c r="AJ60" s="1130"/>
      <c r="AK60" s="1130"/>
      <c r="AL60" s="1130"/>
      <c r="AM60" s="1130"/>
      <c r="AN60" s="1130"/>
    </row>
    <row r="61" spans="1:40">
      <c r="A61" s="1760" t="s">
        <v>332</v>
      </c>
      <c r="B61" s="1761">
        <v>1317.9829999999999</v>
      </c>
      <c r="C61" s="1761">
        <v>1467.0930000000001</v>
      </c>
      <c r="D61" s="1761">
        <v>1615.325</v>
      </c>
      <c r="E61" s="1762">
        <v>2137.2660000000001</v>
      </c>
      <c r="F61" s="1762">
        <v>2896.2400000000002</v>
      </c>
      <c r="G61" s="1762">
        <v>3959.9290000000005</v>
      </c>
      <c r="H61" s="1762">
        <v>4661.7060000000001</v>
      </c>
      <c r="I61" s="1762">
        <v>5005.5190000000002</v>
      </c>
      <c r="J61" s="1761">
        <v>5420.6220000000012</v>
      </c>
      <c r="K61" s="1761">
        <v>5808.2969999999987</v>
      </c>
      <c r="L61" s="1762">
        <v>6908.9050000000007</v>
      </c>
      <c r="M61" s="1762">
        <v>8760.1450000000004</v>
      </c>
      <c r="N61" s="1762">
        <v>10486.918000000001</v>
      </c>
      <c r="O61" s="1762">
        <v>15523.750000000002</v>
      </c>
      <c r="P61" s="1762">
        <v>22139.1</v>
      </c>
      <c r="Q61" s="1762">
        <v>25922.235999999997</v>
      </c>
      <c r="R61" s="1762">
        <v>29605.932999999997</v>
      </c>
      <c r="S61" s="1762">
        <v>31969.082999999999</v>
      </c>
      <c r="T61" s="1762">
        <v>40990.596999999994</v>
      </c>
      <c r="U61" s="1762">
        <v>27040.535000000003</v>
      </c>
      <c r="V61" s="1762">
        <v>36626.407999999996</v>
      </c>
      <c r="W61" s="1762">
        <v>46319.23000000001</v>
      </c>
      <c r="X61" s="1762">
        <v>51227.496999999996</v>
      </c>
      <c r="Y61" s="1763">
        <v>53009.333704852259</v>
      </c>
      <c r="Z61" s="1763">
        <v>57543.469774026853</v>
      </c>
      <c r="AA61" s="1763">
        <v>61373.333393153865</v>
      </c>
      <c r="AB61" s="1763">
        <v>64897.501196854035</v>
      </c>
      <c r="AC61" s="1763">
        <v>67805.794253296437</v>
      </c>
      <c r="AD61" s="1763">
        <v>71363.018633281696</v>
      </c>
      <c r="AE61" s="1763">
        <v>75013.066955441551</v>
      </c>
      <c r="AF61" s="1763">
        <v>78748.336440223065</v>
      </c>
      <c r="AG61" s="1763">
        <v>82661.425622197828</v>
      </c>
      <c r="AH61" s="1763">
        <v>86745.661698651049</v>
      </c>
      <c r="AI61" s="1130"/>
      <c r="AJ61" s="1130">
        <v>4.0809059028040995E-2</v>
      </c>
      <c r="AK61" s="1132"/>
      <c r="AL61" s="1130"/>
      <c r="AM61" s="1130"/>
      <c r="AN61" s="1130"/>
    </row>
    <row r="62" spans="1:40">
      <c r="A62" s="593" t="s">
        <v>50</v>
      </c>
      <c r="B62" s="1593">
        <v>0.53259283924136458</v>
      </c>
      <c r="C62" s="1593">
        <v>0.55827241053367005</v>
      </c>
      <c r="D62" s="1593">
        <v>0.56253876470446884</v>
      </c>
      <c r="E62" s="1593">
        <v>0.57630088383899669</v>
      </c>
      <c r="F62" s="1593">
        <v>0.62080466422309388</v>
      </c>
      <c r="G62" s="1593">
        <v>0.65709214256367443</v>
      </c>
      <c r="H62" s="1593">
        <v>0.66734961461779652</v>
      </c>
      <c r="I62" s="1593">
        <v>0.64281750640150315</v>
      </c>
      <c r="J62" s="1593">
        <v>0.63125315808713112</v>
      </c>
      <c r="K62" s="1520">
        <v>0.64669997238750132</v>
      </c>
      <c r="L62" s="1520">
        <v>0.64590309132778334</v>
      </c>
      <c r="M62" s="1520">
        <v>0.64796305902438944</v>
      </c>
      <c r="N62" s="1520">
        <v>0.6674181623550175</v>
      </c>
      <c r="O62" s="1520">
        <v>0.68085861320410679</v>
      </c>
      <c r="P62" s="1520">
        <v>0.68566780813008366</v>
      </c>
      <c r="Q62" s="1520">
        <v>0.68755841719986965</v>
      </c>
      <c r="R62" s="1520">
        <v>0.69613319776818328</v>
      </c>
      <c r="S62" s="1520">
        <v>0.69262227359901862</v>
      </c>
      <c r="T62" s="1520">
        <v>0.7048553959230649</v>
      </c>
      <c r="U62" s="1520">
        <v>0.7024351391005772</v>
      </c>
      <c r="V62" s="1520">
        <v>0.68615159884786414</v>
      </c>
      <c r="W62" s="1520">
        <v>0.67293842532841719</v>
      </c>
      <c r="X62" s="1520">
        <v>0.67200305313918807</v>
      </c>
      <c r="Y62" s="1594">
        <v>0.67485660188200858</v>
      </c>
      <c r="Z62" s="1594">
        <v>0.66910245583646666</v>
      </c>
      <c r="AA62" s="1594">
        <v>0.66810342324133265</v>
      </c>
      <c r="AB62" s="1594">
        <v>0.66710272998857378</v>
      </c>
      <c r="AC62" s="1594">
        <v>0.66210167766123251</v>
      </c>
      <c r="AD62" s="1594">
        <v>0.66210065778264549</v>
      </c>
      <c r="AE62" s="1594">
        <v>0.66210032445444955</v>
      </c>
      <c r="AF62" s="1594">
        <v>0.66209934005714122</v>
      </c>
      <c r="AG62" s="1594">
        <v>0.66209834659447742</v>
      </c>
      <c r="AH62" s="1594">
        <v>0.66209770152866443</v>
      </c>
      <c r="AI62" s="1130"/>
      <c r="AJ62" s="1130"/>
      <c r="AK62" s="1130"/>
      <c r="AL62" s="1130"/>
      <c r="AM62" s="1130"/>
      <c r="AN62" s="1130"/>
    </row>
    <row r="63" spans="1:40">
      <c r="A63" s="98" t="s">
        <v>51</v>
      </c>
      <c r="B63" s="955">
        <v>-987.41700000000003</v>
      </c>
      <c r="C63" s="955">
        <v>-1083.19</v>
      </c>
      <c r="D63" s="955">
        <v>-1200.116</v>
      </c>
      <c r="E63" s="438">
        <v>-1591.8130000000001</v>
      </c>
      <c r="F63" s="438">
        <v>-2195.6849999999999</v>
      </c>
      <c r="G63" s="438">
        <v>-2952.49</v>
      </c>
      <c r="H63" s="438">
        <v>-3373.03</v>
      </c>
      <c r="I63" s="438">
        <v>-3973.4520000000002</v>
      </c>
      <c r="J63" s="955">
        <v>-4420.3860000000004</v>
      </c>
      <c r="K63" s="955">
        <v>-4809.6660000000002</v>
      </c>
      <c r="L63" s="438">
        <v>-5794.058</v>
      </c>
      <c r="M63" s="438">
        <v>-7152.08</v>
      </c>
      <c r="N63" s="438">
        <v>-8448.1959999999999</v>
      </c>
      <c r="O63" s="438">
        <v>-12730.657999999999</v>
      </c>
      <c r="P63" s="438">
        <v>-17837.370999999999</v>
      </c>
      <c r="Q63" s="438">
        <v>-20766.998</v>
      </c>
      <c r="R63" s="438">
        <v>-23139.688999999998</v>
      </c>
      <c r="S63" s="438">
        <v>-25560.766</v>
      </c>
      <c r="T63" s="438">
        <v>-28373.038</v>
      </c>
      <c r="U63" s="438">
        <v>-20115.798999999999</v>
      </c>
      <c r="V63" s="438">
        <v>-24315.138999999996</v>
      </c>
      <c r="W63" s="438">
        <v>-32269.436000000002</v>
      </c>
      <c r="X63" s="438">
        <v>-35267.108</v>
      </c>
      <c r="Y63" s="447">
        <v>-37224.824719609838</v>
      </c>
      <c r="Z63" s="447">
        <v>-40845.480029361148</v>
      </c>
      <c r="AA63" s="447">
        <v>-43538.100497271997</v>
      </c>
      <c r="AB63" s="447">
        <v>-46009.773461736375</v>
      </c>
      <c r="AC63" s="447">
        <v>-48536.856654654082</v>
      </c>
      <c r="AD63" s="447">
        <v>-51082.977894216834</v>
      </c>
      <c r="AE63" s="447">
        <v>-53695.741087986455</v>
      </c>
      <c r="AF63" s="447">
        <v>-56369.283190111673</v>
      </c>
      <c r="AG63" s="447">
        <v>-59170.086372495876</v>
      </c>
      <c r="AH63" s="447">
        <v>-62093.502111055423</v>
      </c>
      <c r="AI63" s="1130"/>
      <c r="AJ63" s="1129">
        <v>2.4333292972720466E-2</v>
      </c>
      <c r="AK63" s="1130"/>
      <c r="AL63" s="1130"/>
      <c r="AM63" s="1130"/>
      <c r="AN63" s="1130"/>
    </row>
    <row r="64" spans="1:40">
      <c r="A64" s="593" t="s">
        <v>991</v>
      </c>
      <c r="B64" s="1593">
        <v>0.39901214472811147</v>
      </c>
      <c r="C64" s="1593">
        <v>0.41218592983946212</v>
      </c>
      <c r="D64" s="1593">
        <v>0.41794175917667858</v>
      </c>
      <c r="E64" s="1593">
        <v>0.42922277283520388</v>
      </c>
      <c r="F64" s="1593">
        <v>0.47064175937238761</v>
      </c>
      <c r="G64" s="1593">
        <v>0.48992241527507757</v>
      </c>
      <c r="H64" s="1593">
        <v>0.4828683470373864</v>
      </c>
      <c r="I64" s="1593">
        <v>0.51027765681162451</v>
      </c>
      <c r="J64" s="1593">
        <v>0.51477166687958331</v>
      </c>
      <c r="K64" s="1520">
        <v>0.53551167741475769</v>
      </c>
      <c r="L64" s="1520">
        <v>0.54167772947123649</v>
      </c>
      <c r="M64" s="1520">
        <v>0.52901905564201901</v>
      </c>
      <c r="N64" s="1520">
        <v>0.53766792584198797</v>
      </c>
      <c r="O64" s="1520">
        <v>0.55835594821198264</v>
      </c>
      <c r="P64" s="1520">
        <v>0.55243939800502817</v>
      </c>
      <c r="Q64" s="1520">
        <v>0.55082147523357394</v>
      </c>
      <c r="R64" s="1520">
        <v>0.54409045980517678</v>
      </c>
      <c r="S64" s="1520">
        <v>0.55378366222930109</v>
      </c>
      <c r="T64" s="1520">
        <v>0.48788967218579837</v>
      </c>
      <c r="U64" s="1520">
        <v>0.52255046243294556</v>
      </c>
      <c r="V64" s="1520">
        <v>0.45551481600538207</v>
      </c>
      <c r="W64" s="1520">
        <v>0.468819180458659</v>
      </c>
      <c r="X64" s="1520">
        <v>0.46263443734893955</v>
      </c>
      <c r="Y64" s="1594">
        <v>0.4739055739844128</v>
      </c>
      <c r="Z64" s="1594">
        <v>0.47494200653504276</v>
      </c>
      <c r="AA64" s="1594">
        <v>0.47395102034489328</v>
      </c>
      <c r="AB64" s="1594">
        <v>0.47294957304100405</v>
      </c>
      <c r="AC64" s="1594">
        <v>0.47394672643167052</v>
      </c>
      <c r="AD64" s="1594">
        <v>0.47394398265383419</v>
      </c>
      <c r="AE64" s="1594">
        <v>0.47394366127299048</v>
      </c>
      <c r="AF64" s="1594">
        <v>0.47394099846157112</v>
      </c>
      <c r="AG64" s="1594">
        <v>0.47393830992144825</v>
      </c>
      <c r="AH64" s="1594">
        <v>0.47393684274857967</v>
      </c>
      <c r="AI64" s="1130"/>
      <c r="AJ64" s="1129"/>
      <c r="AK64" s="1130"/>
      <c r="AL64" s="1130"/>
      <c r="AM64" s="1130"/>
      <c r="AN64" s="1130"/>
    </row>
    <row r="65" spans="1:40" s="1209" customFormat="1">
      <c r="A65" s="1237" t="s">
        <v>1270</v>
      </c>
      <c r="B65" s="1591">
        <v>-987.41700000000003</v>
      </c>
      <c r="C65" s="1591">
        <v>-1083.19</v>
      </c>
      <c r="D65" s="1591">
        <v>-1200.116</v>
      </c>
      <c r="E65" s="1518">
        <v>-1591.8130000000001</v>
      </c>
      <c r="F65" s="1518">
        <v>-2195.6849999999999</v>
      </c>
      <c r="G65" s="1518">
        <v>-2952.49</v>
      </c>
      <c r="H65" s="1518">
        <v>-3373.03</v>
      </c>
      <c r="I65" s="1518">
        <v>-3973.4520000000002</v>
      </c>
      <c r="J65" s="1591">
        <v>-4420.3860000000004</v>
      </c>
      <c r="K65" s="1591">
        <v>-4809.6660000000002</v>
      </c>
      <c r="L65" s="1518">
        <v>-5794.058</v>
      </c>
      <c r="M65" s="1518">
        <v>-7152.08</v>
      </c>
      <c r="N65" s="1518">
        <v>-8448.1959999999999</v>
      </c>
      <c r="O65" s="1518">
        <v>-12730.657999999999</v>
      </c>
      <c r="P65" s="1518">
        <v>-17837.370999999999</v>
      </c>
      <c r="Q65" s="1518">
        <v>-20766.998</v>
      </c>
      <c r="R65" s="1518">
        <v>-23139.688999999998</v>
      </c>
      <c r="S65" s="1518">
        <v>-25560.766</v>
      </c>
      <c r="T65" s="1518">
        <v>-33322.428</v>
      </c>
      <c r="U65" s="1518">
        <v>-25603.792999999998</v>
      </c>
      <c r="V65" s="1518">
        <v>-30090.120999999999</v>
      </c>
      <c r="W65" s="1518">
        <v>-37494.724000000002</v>
      </c>
      <c r="X65" s="1518">
        <v>-40432.868000000002</v>
      </c>
      <c r="Y65" s="1518">
        <v>-41914.223653138462</v>
      </c>
      <c r="Z65" s="1518">
        <v>-45728.444010173887</v>
      </c>
      <c r="AA65" s="1518">
        <v>-48657.565351950703</v>
      </c>
      <c r="AB65" s="1518">
        <v>-51303.859388363948</v>
      </c>
      <c r="AC65" s="1518">
        <v>-54124.460763644907</v>
      </c>
      <c r="AD65" s="1518">
        <v>-56979.38486564083</v>
      </c>
      <c r="AE65" s="1518">
        <v>-59909.599151733863</v>
      </c>
      <c r="AF65" s="1518">
        <v>-62910.334491440313</v>
      </c>
      <c r="AG65" s="1518">
        <v>-66054.163778876333</v>
      </c>
      <c r="AH65" s="1518">
        <v>-69336.44257486047</v>
      </c>
      <c r="AI65" s="1243"/>
      <c r="AJ65" s="1243">
        <v>7.4965911398891416E-2</v>
      </c>
      <c r="AK65" s="1243"/>
      <c r="AL65" s="1243"/>
      <c r="AM65" s="1243"/>
      <c r="AN65" s="1243"/>
    </row>
    <row r="66" spans="1:40">
      <c r="A66" s="1421" t="s">
        <v>991</v>
      </c>
      <c r="B66" s="1519">
        <v>0.39901214472811147</v>
      </c>
      <c r="C66" s="1519">
        <v>0.41218592983946212</v>
      </c>
      <c r="D66" s="1519">
        <v>0.41794175917667858</v>
      </c>
      <c r="E66" s="1519">
        <v>0.42922277283520388</v>
      </c>
      <c r="F66" s="1519">
        <v>0.47064175937238761</v>
      </c>
      <c r="G66" s="1519">
        <v>0.48992241527507757</v>
      </c>
      <c r="H66" s="1519">
        <v>0.4828683470373864</v>
      </c>
      <c r="I66" s="1519">
        <v>0.51027765681162451</v>
      </c>
      <c r="J66" s="1519">
        <v>0.51477166687958331</v>
      </c>
      <c r="K66" s="1519">
        <v>0.53551167741475769</v>
      </c>
      <c r="L66" s="1519">
        <v>0.54167772947123649</v>
      </c>
      <c r="M66" s="1519">
        <v>0.52901905564201901</v>
      </c>
      <c r="N66" s="1519">
        <v>0.53766792584198797</v>
      </c>
      <c r="O66" s="1519">
        <v>0.55835594821198264</v>
      </c>
      <c r="P66" s="1519">
        <v>0.55243939800502817</v>
      </c>
      <c r="Q66" s="1519">
        <v>0.55082147523357394</v>
      </c>
      <c r="R66" s="1519">
        <v>0.54409045980517678</v>
      </c>
      <c r="S66" s="1519">
        <v>0.55378366222930109</v>
      </c>
      <c r="T66" s="1519">
        <v>0.57299709933616794</v>
      </c>
      <c r="U66" s="1519">
        <v>0.66511272419193557</v>
      </c>
      <c r="V66" s="1519">
        <v>0.56370214173543021</v>
      </c>
      <c r="W66" s="1519">
        <v>0.54473359178646985</v>
      </c>
      <c r="X66" s="1519">
        <v>0.53039895240584922</v>
      </c>
      <c r="Y66" s="1519">
        <v>0.53360584953910373</v>
      </c>
      <c r="Z66" s="1519">
        <v>0.53172000765581484</v>
      </c>
      <c r="AA66" s="1519">
        <v>0.52968095719978259</v>
      </c>
      <c r="AB66" s="1519">
        <v>0.52736922109085138</v>
      </c>
      <c r="AC66" s="1519">
        <v>0.5285078755990924</v>
      </c>
      <c r="AD66" s="1519">
        <v>0.52865039795271396</v>
      </c>
      <c r="AE66" s="1519">
        <v>0.52879007146662949</v>
      </c>
      <c r="AF66" s="1519">
        <v>0.52893677292059194</v>
      </c>
      <c r="AG66" s="1519">
        <v>0.5290781316010893</v>
      </c>
      <c r="AH66" s="1519">
        <v>0.52921954092031831</v>
      </c>
      <c r="AI66" s="1130"/>
      <c r="AJ66" s="1129"/>
      <c r="AK66" s="1130"/>
      <c r="AL66" s="1130"/>
      <c r="AM66" s="1130"/>
      <c r="AN66" s="1130"/>
    </row>
    <row r="67" spans="1:40">
      <c r="A67" s="43" t="s">
        <v>1555</v>
      </c>
      <c r="B67" s="1592">
        <v>330.56599999999992</v>
      </c>
      <c r="C67" s="1592">
        <v>383.90300000000002</v>
      </c>
      <c r="D67" s="1592">
        <v>415.20900000000006</v>
      </c>
      <c r="E67" s="985">
        <v>545.45299999999997</v>
      </c>
      <c r="F67" s="985">
        <v>700.55500000000029</v>
      </c>
      <c r="G67" s="985">
        <v>1007.4390000000008</v>
      </c>
      <c r="H67" s="985">
        <v>1288.6759999999999</v>
      </c>
      <c r="I67" s="985">
        <v>1032.067</v>
      </c>
      <c r="J67" s="1592">
        <v>1000.2359999999994</v>
      </c>
      <c r="K67" s="1592">
        <v>998.63099999999986</v>
      </c>
      <c r="L67" s="985">
        <v>1114.8470000000004</v>
      </c>
      <c r="M67" s="985">
        <v>1608.0649999999994</v>
      </c>
      <c r="N67" s="985">
        <v>2038.7220000000002</v>
      </c>
      <c r="O67" s="985">
        <v>2793.0920000000001</v>
      </c>
      <c r="P67" s="985">
        <v>4301.7290000000003</v>
      </c>
      <c r="Q67" s="985">
        <v>5155.2379999999994</v>
      </c>
      <c r="R67" s="985">
        <v>6466.2439999999997</v>
      </c>
      <c r="S67" s="985">
        <v>6408.3169999999991</v>
      </c>
      <c r="T67" s="985">
        <v>12617.558999999997</v>
      </c>
      <c r="U67" s="985">
        <v>6924.7359999999981</v>
      </c>
      <c r="V67" s="985">
        <v>12311.269</v>
      </c>
      <c r="W67" s="985">
        <v>14049.793999999998</v>
      </c>
      <c r="X67" s="985">
        <v>15960.388999999996</v>
      </c>
      <c r="Y67" s="1566">
        <v>15784.508985242415</v>
      </c>
      <c r="Z67" s="1566">
        <v>16697.98974466572</v>
      </c>
      <c r="AA67" s="1566">
        <v>17835.232895881862</v>
      </c>
      <c r="AB67" s="1566">
        <v>18887.72773511766</v>
      </c>
      <c r="AC67" s="1566">
        <v>19268.937598642347</v>
      </c>
      <c r="AD67" s="1566">
        <v>20280.040739064872</v>
      </c>
      <c r="AE67" s="1566">
        <v>21317.325867455103</v>
      </c>
      <c r="AF67" s="1566">
        <v>22379.053250111392</v>
      </c>
      <c r="AG67" s="1566">
        <v>23491.339249701956</v>
      </c>
      <c r="AH67" s="1566">
        <v>24652.159587595641</v>
      </c>
      <c r="AI67" s="1246"/>
      <c r="AJ67" s="1128">
        <v>9.9897043647288353E-2</v>
      </c>
      <c r="AK67" s="1128">
        <f>IFERROR((X67/U67)^(1/3)-1,"NM")</f>
        <v>0.32093085183440095</v>
      </c>
      <c r="AL67" s="1246">
        <f>IFERROR((AA67/Y67)^(1/2)-1,"NM")</f>
        <v>6.2976966770315279E-2</v>
      </c>
      <c r="AM67" s="1246">
        <f>IFERROR((AD67/AA67)^(1/3)-1,"NM")</f>
        <v>4.3750458872423792E-2</v>
      </c>
      <c r="AN67" s="1246">
        <f>IFERROR((AH67/X67)^(1/10)-1,"NM")</f>
        <v>4.4434357472220576E-2</v>
      </c>
    </row>
    <row r="68" spans="1:40">
      <c r="A68" s="593" t="s">
        <v>52</v>
      </c>
      <c r="B68" s="1593">
        <v>0.13358069451325313</v>
      </c>
      <c r="C68" s="1593">
        <v>0.14608648069420788</v>
      </c>
      <c r="D68" s="1593">
        <v>0.14459700552779028</v>
      </c>
      <c r="E68" s="1593">
        <v>0.14707811100379281</v>
      </c>
      <c r="F68" s="1593">
        <v>0.15016290485070632</v>
      </c>
      <c r="G68" s="1593">
        <v>0.16716972728859683</v>
      </c>
      <c r="H68" s="1593">
        <v>0.18448126758041017</v>
      </c>
      <c r="I68" s="1593">
        <v>0.13253984958987872</v>
      </c>
      <c r="J68" s="1593">
        <v>0.11648149120754761</v>
      </c>
      <c r="K68" s="1520">
        <v>0.1111882949727438</v>
      </c>
      <c r="L68" s="1520">
        <v>0.10422536185654681</v>
      </c>
      <c r="M68" s="1520">
        <v>0.11894400338237031</v>
      </c>
      <c r="N68" s="1520">
        <v>0.12975023651302947</v>
      </c>
      <c r="O68" s="1520">
        <v>0.12250266499212399</v>
      </c>
      <c r="P68" s="1520">
        <v>0.13322841012505554</v>
      </c>
      <c r="Q68" s="1520">
        <v>0.13673694196629571</v>
      </c>
      <c r="R68" s="1520">
        <v>0.15204273796300657</v>
      </c>
      <c r="S68" s="1520">
        <v>0.13883861136971748</v>
      </c>
      <c r="T68" s="1520">
        <v>0.21696572373726664</v>
      </c>
      <c r="U68" s="1520">
        <v>0.17988467666763147</v>
      </c>
      <c r="V68" s="1520">
        <v>0.23063678284248201</v>
      </c>
      <c r="W68" s="1520">
        <v>0.20411924486975797</v>
      </c>
      <c r="X68" s="1520">
        <v>0.20936861579024857</v>
      </c>
      <c r="Y68" s="1594">
        <v>0.20095102789759575</v>
      </c>
      <c r="Z68" s="1594">
        <v>0.19416044930142404</v>
      </c>
      <c r="AA68" s="1594">
        <v>0.19415240289643923</v>
      </c>
      <c r="AB68" s="1594">
        <v>0.19415315694756966</v>
      </c>
      <c r="AC68" s="1594">
        <v>0.18815495122956188</v>
      </c>
      <c r="AD68" s="1594">
        <v>0.18815667512881143</v>
      </c>
      <c r="AE68" s="1594">
        <v>0.18815666318145907</v>
      </c>
      <c r="AF68" s="1594">
        <v>0.18815834159557013</v>
      </c>
      <c r="AG68" s="1594">
        <v>0.18816003667302916</v>
      </c>
      <c r="AH68" s="1594">
        <v>0.18816085878008493</v>
      </c>
      <c r="AI68" s="1130"/>
      <c r="AJ68" s="1130"/>
      <c r="AK68" s="1130"/>
      <c r="AL68" s="1130"/>
      <c r="AM68" s="1130"/>
      <c r="AN68" s="1130"/>
    </row>
    <row r="69" spans="1:40" s="1207" customFormat="1">
      <c r="A69" s="1235" t="s">
        <v>1554</v>
      </c>
      <c r="B69" s="1595">
        <v>330.56599999999992</v>
      </c>
      <c r="C69" s="1595">
        <v>383.90300000000002</v>
      </c>
      <c r="D69" s="1595">
        <v>415.20900000000006</v>
      </c>
      <c r="E69" s="1521">
        <v>545.45299999999997</v>
      </c>
      <c r="F69" s="1521">
        <v>700.55500000000029</v>
      </c>
      <c r="G69" s="1521">
        <v>1007.4390000000008</v>
      </c>
      <c r="H69" s="1521">
        <v>1288.6759999999999</v>
      </c>
      <c r="I69" s="1521">
        <v>1032.067</v>
      </c>
      <c r="J69" s="1595">
        <v>1000.2359999999994</v>
      </c>
      <c r="K69" s="1595">
        <v>998.63099999999986</v>
      </c>
      <c r="L69" s="1521">
        <v>1114.8470000000004</v>
      </c>
      <c r="M69" s="1521">
        <v>1608.0649999999994</v>
      </c>
      <c r="N69" s="1521">
        <v>2038.7220000000002</v>
      </c>
      <c r="O69" s="1521">
        <v>2793.0920000000001</v>
      </c>
      <c r="P69" s="1521">
        <v>4301.7290000000003</v>
      </c>
      <c r="Q69" s="1521">
        <v>5155.2379999999994</v>
      </c>
      <c r="R69" s="1521">
        <v>6466.2439999999997</v>
      </c>
      <c r="S69" s="1521">
        <v>6408.3169999999991</v>
      </c>
      <c r="T69" s="1521">
        <v>7668.168999999999</v>
      </c>
      <c r="U69" s="1521">
        <v>1436.7419999999979</v>
      </c>
      <c r="V69" s="1521">
        <v>6536.2869999999994</v>
      </c>
      <c r="W69" s="1521">
        <v>8824.5059999999976</v>
      </c>
      <c r="X69" s="1521">
        <v>10794.628999999997</v>
      </c>
      <c r="Y69" s="1521">
        <v>11095.110051713798</v>
      </c>
      <c r="Z69" s="1521">
        <v>11815.025763852975</v>
      </c>
      <c r="AA69" s="1521">
        <v>12715.768041203142</v>
      </c>
      <c r="AB69" s="1521">
        <v>13593.641808490087</v>
      </c>
      <c r="AC69" s="1521">
        <v>13681.333489651528</v>
      </c>
      <c r="AD69" s="1521">
        <v>14383.633767640877</v>
      </c>
      <c r="AE69" s="1521">
        <v>15103.467803707692</v>
      </c>
      <c r="AF69" s="1521">
        <v>15838.001948782758</v>
      </c>
      <c r="AG69" s="1521">
        <v>16607.261843321488</v>
      </c>
      <c r="AH69" s="1521">
        <v>17409.219123790594</v>
      </c>
      <c r="AI69" s="1244"/>
      <c r="AJ69" s="1244">
        <v>-0.19694156508327454</v>
      </c>
      <c r="AK69" s="1244">
        <f>IFERROR((X69/U69)^(1/3)-1,"NM")</f>
        <v>0.95858749661951514</v>
      </c>
      <c r="AL69" s="1244">
        <f>IFERROR((AA69/Y69)^(1/2)-1,"NM")</f>
        <v>7.0546390011434701E-2</v>
      </c>
      <c r="AM69" s="1244">
        <f>IFERROR((AD69/AA69)^(1/3)-1,"NM")</f>
        <v>4.1938310190971162E-2</v>
      </c>
      <c r="AN69" s="1244">
        <f>IFERROR((AH69/X69)^(1/10)-1,"NM")</f>
        <v>4.8955723782944771E-2</v>
      </c>
    </row>
    <row r="70" spans="1:40" s="1209" customFormat="1">
      <c r="A70" s="1236" t="s">
        <v>1215</v>
      </c>
      <c r="B70" s="1519">
        <v>0.13358069451325313</v>
      </c>
      <c r="C70" s="1519">
        <v>0.14608648069420788</v>
      </c>
      <c r="D70" s="1519">
        <v>0.14459700552779028</v>
      </c>
      <c r="E70" s="1519">
        <v>0.14707811100379281</v>
      </c>
      <c r="F70" s="1519">
        <v>0.15016290485070632</v>
      </c>
      <c r="G70" s="1519">
        <v>0.16716972728859683</v>
      </c>
      <c r="H70" s="1519">
        <v>0.18448126758041017</v>
      </c>
      <c r="I70" s="1519">
        <v>0.13253984958987872</v>
      </c>
      <c r="J70" s="1519">
        <v>0.11648149120754761</v>
      </c>
      <c r="K70" s="1519">
        <v>0.1111882949727438</v>
      </c>
      <c r="L70" s="1519">
        <v>0.10422536185654681</v>
      </c>
      <c r="M70" s="1519">
        <v>0.11894400338237031</v>
      </c>
      <c r="N70" s="1519">
        <v>0.12975023651302947</v>
      </c>
      <c r="O70" s="1519">
        <v>0.12250266499212399</v>
      </c>
      <c r="P70" s="1519">
        <v>0.13322841012505554</v>
      </c>
      <c r="Q70" s="1519">
        <v>0.13673694196629571</v>
      </c>
      <c r="R70" s="1519">
        <v>0.15204273796300657</v>
      </c>
      <c r="S70" s="1519">
        <v>0.13883861136971748</v>
      </c>
      <c r="T70" s="1519">
        <v>0.13185829658689707</v>
      </c>
      <c r="U70" s="1519">
        <v>3.732241490864141E-2</v>
      </c>
      <c r="V70" s="1519">
        <v>0.12244945711243399</v>
      </c>
      <c r="W70" s="1519">
        <v>0.12820483354194717</v>
      </c>
      <c r="X70" s="1519">
        <v>0.14160410073333896</v>
      </c>
      <c r="Y70" s="1519">
        <v>0.14125075234290496</v>
      </c>
      <c r="Z70" s="1519">
        <v>0.13738244818065184</v>
      </c>
      <c r="AA70" s="1519">
        <v>0.13842246604154979</v>
      </c>
      <c r="AB70" s="1519">
        <v>0.13973350889772235</v>
      </c>
      <c r="AC70" s="1519">
        <v>0.13359380206214011</v>
      </c>
      <c r="AD70" s="1519">
        <v>0.13345025982993164</v>
      </c>
      <c r="AE70" s="1519">
        <v>0.13331025298782001</v>
      </c>
      <c r="AF70" s="1519">
        <v>0.13316256713654936</v>
      </c>
      <c r="AG70" s="1519">
        <v>0.13302021499338806</v>
      </c>
      <c r="AH70" s="1519">
        <v>0.13287816060834623</v>
      </c>
      <c r="AI70" s="1245"/>
      <c r="AJ70" s="1245"/>
      <c r="AK70" s="1245"/>
      <c r="AL70" s="1245"/>
      <c r="AM70" s="1245"/>
      <c r="AN70" s="1245"/>
    </row>
    <row r="71" spans="1:40">
      <c r="A71" s="904" t="s">
        <v>963</v>
      </c>
      <c r="B71" s="1522">
        <v>0</v>
      </c>
      <c r="C71" s="1522">
        <v>0</v>
      </c>
      <c r="D71" s="1522">
        <v>0</v>
      </c>
      <c r="E71" s="1522">
        <v>0</v>
      </c>
      <c r="F71" s="1522">
        <v>0</v>
      </c>
      <c r="G71" s="1522">
        <v>0</v>
      </c>
      <c r="H71" s="1522">
        <v>0</v>
      </c>
      <c r="I71" s="1522">
        <v>0</v>
      </c>
      <c r="J71" s="1522">
        <v>0</v>
      </c>
      <c r="K71" s="1522">
        <v>0</v>
      </c>
      <c r="L71" s="1522">
        <v>0</v>
      </c>
      <c r="M71" s="1522">
        <v>0</v>
      </c>
      <c r="N71" s="1522">
        <v>297.68399999999974</v>
      </c>
      <c r="O71" s="1522">
        <v>2194.9079999999999</v>
      </c>
      <c r="P71" s="1522">
        <v>2476.2709999999997</v>
      </c>
      <c r="Q71" s="1522">
        <v>2786.7620000000006</v>
      </c>
      <c r="R71" s="1522">
        <v>2429.7560000000003</v>
      </c>
      <c r="S71" s="1522">
        <v>2816.6830000000009</v>
      </c>
      <c r="T71" s="1522">
        <v>3545.8310000000006</v>
      </c>
      <c r="U71" s="1522">
        <v>2914.2580000000021</v>
      </c>
      <c r="V71" s="1522">
        <v>4094.7130000000006</v>
      </c>
      <c r="W71" s="1522">
        <v>3934.4940000000024</v>
      </c>
      <c r="X71" s="1522">
        <v>3962.3710000000033</v>
      </c>
      <c r="Y71" s="1596">
        <v>4156.0033509562682</v>
      </c>
      <c r="Z71" s="1596">
        <v>4547.944074928062</v>
      </c>
      <c r="AA71" s="1596">
        <v>4766.7101779934083</v>
      </c>
      <c r="AB71" s="1596">
        <v>4950.6780564213441</v>
      </c>
      <c r="AC71" s="1596">
        <v>5313.8932311200897</v>
      </c>
      <c r="AD71" s="1596">
        <v>5592.5556376255208</v>
      </c>
      <c r="AE71" s="1596">
        <v>5878.6305437805386</v>
      </c>
      <c r="AF71" s="1596">
        <v>6171.2259593326444</v>
      </c>
      <c r="AG71" s="1596">
        <v>6477.7401096460308</v>
      </c>
      <c r="AH71" s="1596">
        <v>6797.7156243530635</v>
      </c>
      <c r="AI71" s="1130"/>
      <c r="AJ71" s="1130"/>
      <c r="AK71" s="1130"/>
      <c r="AL71" s="1130"/>
      <c r="AM71" s="1130"/>
      <c r="AN71" s="1130"/>
    </row>
    <row r="72" spans="1:40">
      <c r="A72" s="89" t="s">
        <v>1553</v>
      </c>
      <c r="B72" s="985">
        <v>330.56599999999992</v>
      </c>
      <c r="C72" s="985">
        <v>383.90300000000002</v>
      </c>
      <c r="D72" s="985">
        <v>415.20900000000006</v>
      </c>
      <c r="E72" s="985">
        <v>545.45299999999997</v>
      </c>
      <c r="F72" s="985">
        <v>700.55500000000029</v>
      </c>
      <c r="G72" s="985">
        <v>1007.4390000000008</v>
      </c>
      <c r="H72" s="985">
        <v>1288.6759999999999</v>
      </c>
      <c r="I72" s="985">
        <v>1032.067</v>
      </c>
      <c r="J72" s="985">
        <v>1000.2359999999994</v>
      </c>
      <c r="K72" s="985">
        <v>998.63099999999986</v>
      </c>
      <c r="L72" s="985">
        <v>1114.8470000000004</v>
      </c>
      <c r="M72" s="985">
        <v>1608.0649999999994</v>
      </c>
      <c r="N72" s="985">
        <v>2336.4059999999999</v>
      </c>
      <c r="O72" s="985">
        <v>4988</v>
      </c>
      <c r="P72" s="985">
        <v>6778</v>
      </c>
      <c r="Q72" s="985">
        <v>7942</v>
      </c>
      <c r="R72" s="985">
        <v>8896</v>
      </c>
      <c r="S72" s="985">
        <v>9225</v>
      </c>
      <c r="T72" s="985">
        <v>11214</v>
      </c>
      <c r="U72" s="985">
        <v>4351</v>
      </c>
      <c r="V72" s="985">
        <v>10631</v>
      </c>
      <c r="W72" s="985">
        <v>12759</v>
      </c>
      <c r="X72" s="985">
        <v>14757</v>
      </c>
      <c r="Y72" s="1566">
        <v>15251.113402670067</v>
      </c>
      <c r="Z72" s="1566">
        <v>16362.969838781037</v>
      </c>
      <c r="AA72" s="1566">
        <v>17482.47821919655</v>
      </c>
      <c r="AB72" s="1566">
        <v>18544.319864911431</v>
      </c>
      <c r="AC72" s="1566">
        <v>18995.226720771618</v>
      </c>
      <c r="AD72" s="1566">
        <v>19976.189405266399</v>
      </c>
      <c r="AE72" s="1566">
        <v>20982.098347488231</v>
      </c>
      <c r="AF72" s="1566">
        <v>22009.227908115401</v>
      </c>
      <c r="AG72" s="1566">
        <v>23085.001952967519</v>
      </c>
      <c r="AH72" s="1566">
        <v>24206.934748143656</v>
      </c>
      <c r="AI72" s="1127"/>
      <c r="AJ72" s="1128">
        <v>-8.4839000904462059E-2</v>
      </c>
      <c r="AK72" s="1128">
        <f t="shared" ref="AK72:AK75" si="4">IFERROR((X72/U72)^(1/3)-1,"NM")</f>
        <v>0.50246027465609888</v>
      </c>
      <c r="AL72" s="1127">
        <f t="shared" ref="AL72:AL75" si="5">IFERROR((AA72/Y72)^(1/2)-1,"NM")</f>
        <v>7.0657892321418947E-2</v>
      </c>
      <c r="AM72" s="1128">
        <f t="shared" ref="AM72:AM75" si="6">IFERROR((AD72/AA72)^(1/3)-1,"NM")</f>
        <v>4.5449879994899467E-2</v>
      </c>
      <c r="AN72" s="1128">
        <f t="shared" ref="AN72:AN75" si="7">IFERROR((AH72/X72)^(1/10)-1,"NM")</f>
        <v>5.0737354976589488E-2</v>
      </c>
    </row>
    <row r="73" spans="1:40">
      <c r="A73" s="1466" t="s">
        <v>731</v>
      </c>
      <c r="B73" s="1597"/>
      <c r="C73" s="1597"/>
      <c r="D73" s="1597"/>
      <c r="E73" s="1597"/>
      <c r="F73" s="1597"/>
      <c r="G73" s="1523"/>
      <c r="H73" s="1523"/>
      <c r="I73" s="1523"/>
      <c r="J73" s="1597"/>
      <c r="K73" s="1597"/>
      <c r="L73" s="1597"/>
      <c r="M73" s="1597"/>
      <c r="N73" s="1523"/>
      <c r="O73" s="1523">
        <v>4019</v>
      </c>
      <c r="P73" s="1523">
        <v>4675</v>
      </c>
      <c r="Q73" s="1523">
        <v>5215</v>
      </c>
      <c r="R73" s="1523">
        <v>5608</v>
      </c>
      <c r="S73" s="1523">
        <v>5901</v>
      </c>
      <c r="T73" s="1523">
        <v>6200</v>
      </c>
      <c r="U73" s="1523">
        <v>2867</v>
      </c>
      <c r="V73" s="1523">
        <v>5951</v>
      </c>
      <c r="W73" s="1523">
        <v>7567</v>
      </c>
      <c r="X73" s="1523">
        <v>9005</v>
      </c>
      <c r="Y73" s="1598">
        <v>10132.023750099506</v>
      </c>
      <c r="Z73" s="1598">
        <v>10619.119697261831</v>
      </c>
      <c r="AA73" s="1598">
        <v>11263.353681451592</v>
      </c>
      <c r="AB73" s="1598">
        <v>11901.390263749405</v>
      </c>
      <c r="AC73" s="1598">
        <v>12162.917468312797</v>
      </c>
      <c r="AD73" s="1598">
        <v>12699.65216024129</v>
      </c>
      <c r="AE73" s="1598">
        <v>13243.268736241422</v>
      </c>
      <c r="AF73" s="1598">
        <v>13786.613788646626</v>
      </c>
      <c r="AG73" s="1598">
        <v>14350.008973991298</v>
      </c>
      <c r="AH73" s="1598">
        <v>14930.583880378141</v>
      </c>
      <c r="AI73" s="1128"/>
      <c r="AJ73" s="1128">
        <v>-9.316303338050802E-2</v>
      </c>
      <c r="AK73" s="1128">
        <f t="shared" si="4"/>
        <v>0.46448639479460474</v>
      </c>
      <c r="AL73" s="1128">
        <f t="shared" si="5"/>
        <v>5.43523279104976E-2</v>
      </c>
      <c r="AM73" s="1128">
        <f t="shared" si="6"/>
        <v>4.0817777309554604E-2</v>
      </c>
      <c r="AN73" s="1128">
        <f t="shared" si="7"/>
        <v>5.1863311671074053E-2</v>
      </c>
    </row>
    <row r="74" spans="1:40">
      <c r="A74" s="42" t="s">
        <v>949</v>
      </c>
      <c r="B74" s="985"/>
      <c r="C74" s="985"/>
      <c r="D74" s="985"/>
      <c r="E74" s="985"/>
      <c r="F74" s="985"/>
      <c r="G74" s="438"/>
      <c r="H74" s="438"/>
      <c r="I74" s="438"/>
      <c r="J74" s="985"/>
      <c r="K74" s="985"/>
      <c r="L74" s="985"/>
      <c r="M74" s="985"/>
      <c r="N74" s="438"/>
      <c r="O74" s="438">
        <v>290</v>
      </c>
      <c r="P74" s="438">
        <v>1082</v>
      </c>
      <c r="Q74" s="438">
        <v>1500</v>
      </c>
      <c r="R74" s="438">
        <v>1726</v>
      </c>
      <c r="S74" s="438">
        <v>1916</v>
      </c>
      <c r="T74" s="438">
        <v>3751</v>
      </c>
      <c r="U74" s="438">
        <v>1187</v>
      </c>
      <c r="V74" s="438">
        <v>3422</v>
      </c>
      <c r="W74" s="438">
        <v>3224</v>
      </c>
      <c r="X74" s="438">
        <v>3541</v>
      </c>
      <c r="Y74" s="447">
        <v>3479.4100071203366</v>
      </c>
      <c r="Z74" s="447">
        <v>3986.7761517215631</v>
      </c>
      <c r="AA74" s="447">
        <v>4371.1994678118299</v>
      </c>
      <c r="AB74" s="447">
        <v>4750.872991666979</v>
      </c>
      <c r="AC74" s="447">
        <v>4882.1053921050388</v>
      </c>
      <c r="AD74" s="447">
        <v>5267.0792148732935</v>
      </c>
      <c r="AE74" s="447">
        <v>5669.0555541519943</v>
      </c>
      <c r="AF74" s="447">
        <v>6092.7431872363441</v>
      </c>
      <c r="AG74" s="447">
        <v>6543.4258226922047</v>
      </c>
      <c r="AH74" s="447">
        <v>7021.0446381416441</v>
      </c>
      <c r="AI74" s="1128"/>
      <c r="AJ74" s="1128">
        <v>1.8696212915184418E-2</v>
      </c>
      <c r="AK74" s="1128">
        <f t="shared" si="4"/>
        <v>0.43954441611797734</v>
      </c>
      <c r="AL74" s="1128">
        <f t="shared" si="5"/>
        <v>0.12085003132811045</v>
      </c>
      <c r="AM74" s="1128">
        <f t="shared" si="6"/>
        <v>6.4117882929931369E-2</v>
      </c>
      <c r="AN74" s="1128">
        <f t="shared" si="7"/>
        <v>7.0847385666911178E-2</v>
      </c>
    </row>
    <row r="75" spans="1:40">
      <c r="A75" s="1467" t="s">
        <v>733</v>
      </c>
      <c r="B75" s="1599"/>
      <c r="C75" s="1599"/>
      <c r="D75" s="1599"/>
      <c r="E75" s="1599"/>
      <c r="F75" s="1599"/>
      <c r="G75" s="1524"/>
      <c r="H75" s="1524"/>
      <c r="I75" s="1524"/>
      <c r="J75" s="1599"/>
      <c r="K75" s="1599"/>
      <c r="L75" s="1599"/>
      <c r="M75" s="1599"/>
      <c r="N75" s="1524"/>
      <c r="O75" s="1524">
        <v>679</v>
      </c>
      <c r="P75" s="1524">
        <v>1021</v>
      </c>
      <c r="Q75" s="1524">
        <v>1227</v>
      </c>
      <c r="R75" s="1524">
        <v>1562</v>
      </c>
      <c r="S75" s="1524">
        <v>1408</v>
      </c>
      <c r="T75" s="1524">
        <v>1263</v>
      </c>
      <c r="U75" s="1524">
        <v>297</v>
      </c>
      <c r="V75" s="1524">
        <v>1258</v>
      </c>
      <c r="W75" s="1524">
        <v>1968</v>
      </c>
      <c r="X75" s="1524">
        <v>2211</v>
      </c>
      <c r="Y75" s="1600">
        <v>1639.6796454502253</v>
      </c>
      <c r="Z75" s="1600">
        <v>1757.0739897976418</v>
      </c>
      <c r="AA75" s="1600">
        <v>1847.9250699331251</v>
      </c>
      <c r="AB75" s="1600">
        <v>1892.0566094950441</v>
      </c>
      <c r="AC75" s="1600">
        <v>1950.2038603537776</v>
      </c>
      <c r="AD75" s="1600">
        <v>2009.4580301518099</v>
      </c>
      <c r="AE75" s="1600">
        <v>2069.774057094819</v>
      </c>
      <c r="AF75" s="1600">
        <v>2129.8709322324294</v>
      </c>
      <c r="AG75" s="1600">
        <v>2191.5671562840153</v>
      </c>
      <c r="AH75" s="1600">
        <v>2255.3062296238741</v>
      </c>
      <c r="AI75" s="1128"/>
      <c r="AJ75" s="1128">
        <v>-0.21882894752709825</v>
      </c>
      <c r="AK75" s="1128">
        <f t="shared" si="4"/>
        <v>0.95258866755021732</v>
      </c>
      <c r="AL75" s="1128">
        <f t="shared" si="5"/>
        <v>6.1604317078285398E-2</v>
      </c>
      <c r="AM75" s="1128">
        <f t="shared" si="6"/>
        <v>2.8327683370121814E-2</v>
      </c>
      <c r="AN75" s="1128">
        <f t="shared" si="7"/>
        <v>1.9860558150530672E-3</v>
      </c>
    </row>
    <row r="76" spans="1:40" hidden="1" outlineLevel="2">
      <c r="A76" s="1464"/>
      <c r="B76" s="1523"/>
      <c r="C76" s="1601"/>
      <c r="D76" s="1601"/>
      <c r="E76" s="1601"/>
      <c r="F76" s="1601"/>
      <c r="G76" s="1601"/>
      <c r="H76" s="1601"/>
      <c r="I76" s="1601"/>
      <c r="J76" s="1523"/>
      <c r="K76" s="1523"/>
      <c r="L76" s="1523"/>
      <c r="M76" s="1523"/>
      <c r="N76" s="1523"/>
      <c r="O76" s="1523"/>
      <c r="P76" s="1523"/>
      <c r="Q76" s="1523"/>
      <c r="R76" s="1523"/>
      <c r="S76" s="1523"/>
      <c r="T76" s="1523"/>
      <c r="U76" s="1523"/>
      <c r="V76" s="1523"/>
      <c r="W76" s="1523"/>
      <c r="X76" s="1523"/>
      <c r="Y76" s="1523"/>
      <c r="Z76" s="1523"/>
      <c r="AA76" s="1523"/>
      <c r="AB76" s="1523"/>
      <c r="AC76" s="1523"/>
      <c r="AD76" s="1523"/>
      <c r="AE76" s="1523"/>
      <c r="AF76" s="1523"/>
      <c r="AG76" s="1523"/>
      <c r="AH76" s="1523"/>
      <c r="AI76" s="1128"/>
      <c r="AJ76" s="1128"/>
      <c r="AK76" s="1128"/>
      <c r="AL76" s="1128"/>
      <c r="AM76" s="1128"/>
      <c r="AN76" s="1128"/>
    </row>
    <row r="77" spans="1:40" hidden="1" outlineLevel="2">
      <c r="A77" s="36"/>
      <c r="B77" s="438"/>
      <c r="C77" s="1582"/>
      <c r="D77" s="1582"/>
      <c r="E77" s="1582"/>
      <c r="F77" s="1582"/>
      <c r="G77" s="1582"/>
      <c r="H77" s="1582"/>
      <c r="I77" s="1582"/>
      <c r="J77" s="438"/>
      <c r="K77" s="438"/>
      <c r="L77" s="438"/>
      <c r="M77" s="438"/>
      <c r="N77" s="438"/>
      <c r="O77" s="438"/>
      <c r="P77" s="438"/>
      <c r="Q77" s="438"/>
      <c r="R77" s="438"/>
      <c r="S77" s="438"/>
      <c r="T77" s="438"/>
      <c r="U77" s="438"/>
      <c r="V77" s="438"/>
      <c r="W77" s="438"/>
      <c r="X77" s="438"/>
      <c r="Y77" s="438"/>
      <c r="Z77" s="438"/>
      <c r="AA77" s="438"/>
      <c r="AB77" s="438"/>
      <c r="AC77" s="438"/>
      <c r="AD77" s="438"/>
      <c r="AE77" s="438"/>
      <c r="AF77" s="438"/>
      <c r="AG77" s="438"/>
      <c r="AH77" s="438"/>
      <c r="AI77" s="1128"/>
      <c r="AJ77" s="1128"/>
      <c r="AK77" s="1128"/>
      <c r="AL77" s="1128"/>
      <c r="AM77" s="1128"/>
      <c r="AN77" s="1128"/>
    </row>
    <row r="78" spans="1:40" hidden="1" outlineLevel="2">
      <c r="A78" s="36"/>
      <c r="B78" s="438"/>
      <c r="C78" s="1582"/>
      <c r="D78" s="1582"/>
      <c r="E78" s="1582"/>
      <c r="F78" s="1582"/>
      <c r="G78" s="1582"/>
      <c r="H78" s="1582"/>
      <c r="I78" s="1582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8"/>
      <c r="V78" s="438"/>
      <c r="W78" s="438"/>
      <c r="X78" s="438"/>
      <c r="Y78" s="438"/>
      <c r="Z78" s="438"/>
      <c r="AA78" s="438"/>
      <c r="AB78" s="438"/>
      <c r="AC78" s="438"/>
      <c r="AD78" s="438"/>
      <c r="AE78" s="438"/>
      <c r="AF78" s="438"/>
      <c r="AG78" s="438"/>
      <c r="AH78" s="438"/>
      <c r="AI78" s="1128"/>
      <c r="AJ78" s="1128"/>
      <c r="AK78" s="1128"/>
      <c r="AL78" s="1128"/>
      <c r="AM78" s="1128"/>
      <c r="AN78" s="1128"/>
    </row>
    <row r="79" spans="1:40" hidden="1" outlineLevel="2">
      <c r="A79" s="1465"/>
      <c r="B79" s="1524"/>
      <c r="C79" s="1602"/>
      <c r="D79" s="1602"/>
      <c r="E79" s="1602"/>
      <c r="F79" s="1602"/>
      <c r="G79" s="1602"/>
      <c r="H79" s="1602"/>
      <c r="I79" s="1602"/>
      <c r="J79" s="1524"/>
      <c r="K79" s="1524"/>
      <c r="L79" s="1524"/>
      <c r="M79" s="1524"/>
      <c r="N79" s="1524"/>
      <c r="O79" s="1524"/>
      <c r="P79" s="1524"/>
      <c r="Q79" s="1524"/>
      <c r="R79" s="1524"/>
      <c r="S79" s="1524"/>
      <c r="T79" s="1524"/>
      <c r="U79" s="1524"/>
      <c r="V79" s="1524"/>
      <c r="W79" s="1524"/>
      <c r="X79" s="1524"/>
      <c r="Y79" s="1524"/>
      <c r="Z79" s="1524"/>
      <c r="AA79" s="1524"/>
      <c r="AB79" s="1524"/>
      <c r="AC79" s="1524"/>
      <c r="AD79" s="1524"/>
      <c r="AE79" s="1524"/>
      <c r="AF79" s="1524"/>
      <c r="AG79" s="1524"/>
      <c r="AH79" s="1524"/>
      <c r="AI79" s="1128"/>
      <c r="AJ79" s="1128"/>
      <c r="AK79" s="1128"/>
      <c r="AL79" s="1128"/>
      <c r="AM79" s="1128"/>
      <c r="AN79" s="1128"/>
    </row>
    <row r="80" spans="1:40" collapsed="1">
      <c r="A80" s="90" t="s">
        <v>319</v>
      </c>
      <c r="B80" s="1584">
        <v>0.13358069451325313</v>
      </c>
      <c r="C80" s="1584">
        <v>0.14608648069420788</v>
      </c>
      <c r="D80" s="1584">
        <v>0.14459700552779028</v>
      </c>
      <c r="E80" s="1584">
        <v>0.14707811100379281</v>
      </c>
      <c r="F80" s="1584">
        <v>0.15016290485070632</v>
      </c>
      <c r="G80" s="1584">
        <v>0.16716972728859683</v>
      </c>
      <c r="H80" s="1584">
        <v>0.18448126758041017</v>
      </c>
      <c r="I80" s="1584">
        <v>0.13253984958987872</v>
      </c>
      <c r="J80" s="1584">
        <v>0.11648149120754761</v>
      </c>
      <c r="K80" s="1584">
        <v>0.1111882949727438</v>
      </c>
      <c r="L80" s="1514">
        <v>0.10422536185654681</v>
      </c>
      <c r="M80" s="1514">
        <v>0.11894400338237031</v>
      </c>
      <c r="N80" s="1514">
        <v>0.14869571775379922</v>
      </c>
      <c r="O80" s="1514">
        <v>0.21876948306060612</v>
      </c>
      <c r="P80" s="1514">
        <v>0.20992074671082869</v>
      </c>
      <c r="Q80" s="1514">
        <v>0.21065269791546398</v>
      </c>
      <c r="R80" s="1514">
        <v>0.20917432081420165</v>
      </c>
      <c r="S80" s="1584">
        <v>0.19986311380751667</v>
      </c>
      <c r="T80" s="1584">
        <v>0.19283077067360721</v>
      </c>
      <c r="U80" s="1584">
        <v>0.11302643569095844</v>
      </c>
      <c r="V80" s="1584">
        <v>0.19915896877880146</v>
      </c>
      <c r="W80" s="1584">
        <v>0.18536623706320834</v>
      </c>
      <c r="X80" s="1584">
        <v>0.19358254132882971</v>
      </c>
      <c r="Y80" s="1585">
        <v>0.19416042131653813</v>
      </c>
      <c r="Z80" s="1585">
        <v>0.19026491358448117</v>
      </c>
      <c r="AA80" s="1585">
        <v>0.1903123539040191</v>
      </c>
      <c r="AB80" s="1585">
        <v>0.19062315465951174</v>
      </c>
      <c r="AC80" s="1585">
        <v>0.18548225292364198</v>
      </c>
      <c r="AD80" s="1585">
        <v>0.18533756556998066</v>
      </c>
      <c r="AE80" s="1585">
        <v>0.18519778869805781</v>
      </c>
      <c r="AF80" s="1585">
        <v>0.18504892842012072</v>
      </c>
      <c r="AG80" s="1585">
        <v>0.18490537163062887</v>
      </c>
      <c r="AH80" s="1585">
        <v>0.1847626214839227</v>
      </c>
      <c r="AI80" s="1133"/>
      <c r="AJ80" s="1133"/>
      <c r="AK80" s="1133"/>
      <c r="AL80" s="1128"/>
      <c r="AM80" s="1133"/>
      <c r="AN80" s="1133"/>
    </row>
    <row r="81" spans="1:40">
      <c r="A81" s="1466" t="s">
        <v>731</v>
      </c>
      <c r="B81" s="1603"/>
      <c r="C81" s="1603"/>
      <c r="D81" s="1603"/>
      <c r="E81" s="1525"/>
      <c r="F81" s="1525"/>
      <c r="G81" s="1525"/>
      <c r="H81" s="1525"/>
      <c r="I81" s="1525"/>
      <c r="J81" s="1603"/>
      <c r="K81" s="1603"/>
      <c r="L81" s="1525"/>
      <c r="M81" s="1525"/>
      <c r="N81" s="1525"/>
      <c r="O81" s="1525">
        <v>0.19445519643893941</v>
      </c>
      <c r="P81" s="1525">
        <v>0.2349718536389224</v>
      </c>
      <c r="Q81" s="1525">
        <v>0.23719639770763212</v>
      </c>
      <c r="R81" s="1525">
        <v>0.23685433120750096</v>
      </c>
      <c r="S81" s="1603">
        <v>0.2317571282695782</v>
      </c>
      <c r="T81" s="1603">
        <v>0.22779880221920124</v>
      </c>
      <c r="U81" s="1603">
        <v>0.1503645041170609</v>
      </c>
      <c r="V81" s="1603">
        <v>0.22875264270613108</v>
      </c>
      <c r="W81" s="1603">
        <v>0.2260965698577746</v>
      </c>
      <c r="X81" s="1603">
        <v>0.22879719497941969</v>
      </c>
      <c r="Y81" s="1604">
        <v>0.23529135579100743</v>
      </c>
      <c r="Z81" s="1604">
        <v>0.23287866550961106</v>
      </c>
      <c r="AA81" s="1604">
        <v>0.23288245341338293</v>
      </c>
      <c r="AB81" s="1604">
        <v>0.23288508354672782</v>
      </c>
      <c r="AC81" s="1604">
        <v>0.22788395210611792</v>
      </c>
      <c r="AD81" s="1604">
        <v>0.22788282674035559</v>
      </c>
      <c r="AE81" s="1604">
        <v>0.22788503960381304</v>
      </c>
      <c r="AF81" s="1604">
        <v>0.22788400570147666</v>
      </c>
      <c r="AG81" s="1604">
        <v>0.22788297417227804</v>
      </c>
      <c r="AH81" s="1604">
        <v>0.22788288915794827</v>
      </c>
      <c r="AI81" s="1133"/>
      <c r="AJ81" s="1133"/>
      <c r="AK81" s="1133"/>
      <c r="AL81" s="1128"/>
      <c r="AM81" s="1133"/>
      <c r="AN81" s="1133"/>
    </row>
    <row r="82" spans="1:40">
      <c r="A82" s="42" t="s">
        <v>949</v>
      </c>
      <c r="B82" s="1584"/>
      <c r="C82" s="1584"/>
      <c r="D82" s="1584"/>
      <c r="E82" s="1514"/>
      <c r="F82" s="1514"/>
      <c r="G82" s="1514"/>
      <c r="H82" s="1514"/>
      <c r="I82" s="1514"/>
      <c r="J82" s="1584"/>
      <c r="K82" s="1584"/>
      <c r="L82" s="1514"/>
      <c r="M82" s="1514"/>
      <c r="N82" s="1514"/>
      <c r="O82" s="1514">
        <v>0.19754768392370572</v>
      </c>
      <c r="P82" s="1514">
        <v>0.1907280098713203</v>
      </c>
      <c r="Q82" s="1514">
        <v>0.19760242392306679</v>
      </c>
      <c r="R82" s="1514">
        <v>0.2014002333722287</v>
      </c>
      <c r="S82" s="1584">
        <v>0.19378982502275716</v>
      </c>
      <c r="T82" s="1584">
        <v>0.17687555995661811</v>
      </c>
      <c r="U82" s="1584">
        <v>8.5642135642135644E-2</v>
      </c>
      <c r="V82" s="1584">
        <v>0.18583686325621809</v>
      </c>
      <c r="W82" s="1584">
        <v>0.14670549690571533</v>
      </c>
      <c r="X82" s="1584">
        <v>0.15418444657319516</v>
      </c>
      <c r="Y82" s="1585">
        <v>0.14476460588647724</v>
      </c>
      <c r="Z82" s="1585">
        <v>0.14273151840348389</v>
      </c>
      <c r="AA82" s="1585">
        <v>0.14364370942175347</v>
      </c>
      <c r="AB82" s="1585">
        <v>0.14463447007137967</v>
      </c>
      <c r="AC82" s="1585">
        <v>0.13813031453901403</v>
      </c>
      <c r="AD82" s="1585">
        <v>0.13862637704265693</v>
      </c>
      <c r="AE82" s="1585">
        <v>0.13911431746536007</v>
      </c>
      <c r="AF82" s="1585">
        <v>0.13961118236485739</v>
      </c>
      <c r="AG82" s="1585">
        <v>0.14010818653616686</v>
      </c>
      <c r="AH82" s="1585">
        <v>0.14060096159595828</v>
      </c>
      <c r="AI82" s="1133"/>
      <c r="AJ82" s="1133"/>
      <c r="AK82" s="1133"/>
      <c r="AL82" s="1128"/>
      <c r="AM82" s="1133"/>
      <c r="AN82" s="1133"/>
    </row>
    <row r="83" spans="1:40" ht="9" customHeight="1">
      <c r="A83" s="1467" t="s">
        <v>733</v>
      </c>
      <c r="B83" s="1605"/>
      <c r="C83" s="1605"/>
      <c r="D83" s="1605"/>
      <c r="E83" s="1526"/>
      <c r="F83" s="1526"/>
      <c r="G83" s="1526"/>
      <c r="H83" s="1526"/>
      <c r="I83" s="1526"/>
      <c r="J83" s="1605"/>
      <c r="K83" s="1605"/>
      <c r="L83" s="1526"/>
      <c r="M83" s="1526"/>
      <c r="N83" s="1526"/>
      <c r="O83" s="1526">
        <v>0.14693789223111881</v>
      </c>
      <c r="P83" s="1526">
        <v>0.15197975587972612</v>
      </c>
      <c r="Q83" s="1526">
        <v>0.15103397341211225</v>
      </c>
      <c r="R83" s="1526">
        <v>0.15190119614898376</v>
      </c>
      <c r="S83" s="1605">
        <v>0.13810721317888083</v>
      </c>
      <c r="T83" s="1605">
        <v>0.12977254458889073</v>
      </c>
      <c r="U83" s="1605">
        <v>5.3159442889038518E-2</v>
      </c>
      <c r="V83" s="1605">
        <v>0.14036921566971236</v>
      </c>
      <c r="W83" s="1605">
        <v>0.14700047326981638</v>
      </c>
      <c r="X83" s="1605">
        <v>0.15899871226144707</v>
      </c>
      <c r="Y83" s="1606">
        <v>0.14318801417938049</v>
      </c>
      <c r="Z83" s="1606">
        <v>0.14090836291321834</v>
      </c>
      <c r="AA83" s="1606">
        <v>0.14142781776345562</v>
      </c>
      <c r="AB83" s="1606">
        <v>0.1419286522684246</v>
      </c>
      <c r="AC83" s="1606">
        <v>0.14242917003870945</v>
      </c>
      <c r="AD83" s="1606">
        <v>0.14292954592698645</v>
      </c>
      <c r="AE83" s="1606">
        <v>0.14342804020045091</v>
      </c>
      <c r="AF83" s="1606">
        <v>0.1439280522142741</v>
      </c>
      <c r="AG83" s="1606">
        <v>0.14442879879874701</v>
      </c>
      <c r="AH83" s="1606">
        <v>0.14492605749243201</v>
      </c>
      <c r="AI83" s="92"/>
      <c r="AJ83" s="1133"/>
      <c r="AK83" s="1133"/>
      <c r="AL83" s="1128"/>
      <c r="AM83" s="92"/>
      <c r="AN83" s="92"/>
    </row>
    <row r="84" spans="1:40" hidden="1" outlineLevel="2">
      <c r="A84" s="1464"/>
      <c r="B84" s="1523"/>
      <c r="C84" s="1601"/>
      <c r="D84" s="1601"/>
      <c r="E84" s="1601"/>
      <c r="F84" s="1601"/>
      <c r="G84" s="1601"/>
      <c r="H84" s="1601"/>
      <c r="I84" s="1601"/>
      <c r="J84" s="1523"/>
      <c r="K84" s="1523"/>
      <c r="L84" s="1523"/>
      <c r="M84" s="1523"/>
      <c r="N84" s="1523"/>
      <c r="O84" s="1523"/>
      <c r="P84" s="1523"/>
      <c r="Q84" s="1525"/>
      <c r="R84" s="1525"/>
      <c r="S84" s="1603"/>
      <c r="T84" s="1603"/>
      <c r="U84" s="1603"/>
      <c r="V84" s="1603"/>
      <c r="W84" s="1603"/>
      <c r="X84" s="1603"/>
      <c r="Y84" s="1604"/>
      <c r="Z84" s="1604"/>
      <c r="AA84" s="1604"/>
      <c r="AB84" s="1604"/>
      <c r="AC84" s="1604"/>
      <c r="AD84" s="1604"/>
      <c r="AE84" s="1604"/>
      <c r="AF84" s="1604"/>
      <c r="AG84" s="1604"/>
      <c r="AH84" s="1604"/>
      <c r="AI84" s="1128"/>
      <c r="AJ84" s="1128"/>
      <c r="AK84" s="1128"/>
      <c r="AL84" s="1128"/>
      <c r="AM84" s="1128"/>
      <c r="AN84" s="1128"/>
    </row>
    <row r="85" spans="1:40" hidden="1" outlineLevel="2">
      <c r="A85" s="36"/>
      <c r="B85" s="438"/>
      <c r="C85" s="1582"/>
      <c r="D85" s="1582"/>
      <c r="E85" s="1582"/>
      <c r="F85" s="1582"/>
      <c r="G85" s="1582"/>
      <c r="H85" s="1582"/>
      <c r="I85" s="1582"/>
      <c r="J85" s="438"/>
      <c r="K85" s="438"/>
      <c r="L85" s="438"/>
      <c r="M85" s="438"/>
      <c r="N85" s="438"/>
      <c r="O85" s="438"/>
      <c r="P85" s="438"/>
      <c r="Q85" s="1514"/>
      <c r="R85" s="1514"/>
      <c r="S85" s="1584"/>
      <c r="T85" s="1584"/>
      <c r="U85" s="1584"/>
      <c r="V85" s="1584"/>
      <c r="W85" s="1584"/>
      <c r="X85" s="1584"/>
      <c r="Y85" s="1585"/>
      <c r="Z85" s="1585"/>
      <c r="AA85" s="1585"/>
      <c r="AB85" s="1585"/>
      <c r="AC85" s="1585"/>
      <c r="AD85" s="1585"/>
      <c r="AE85" s="1585"/>
      <c r="AF85" s="1585"/>
      <c r="AG85" s="1585"/>
      <c r="AH85" s="1585"/>
      <c r="AI85" s="1128"/>
      <c r="AJ85" s="1128"/>
      <c r="AK85" s="1128"/>
      <c r="AL85" s="1128"/>
      <c r="AM85" s="1128"/>
      <c r="AN85" s="1128"/>
    </row>
    <row r="86" spans="1:40" hidden="1" outlineLevel="2">
      <c r="A86" s="36"/>
      <c r="B86" s="438"/>
      <c r="C86" s="1582"/>
      <c r="D86" s="1582"/>
      <c r="E86" s="1582"/>
      <c r="F86" s="1582"/>
      <c r="G86" s="1582"/>
      <c r="H86" s="1582"/>
      <c r="I86" s="1582"/>
      <c r="J86" s="438"/>
      <c r="K86" s="438"/>
      <c r="L86" s="438"/>
      <c r="M86" s="438"/>
      <c r="N86" s="438"/>
      <c r="O86" s="438"/>
      <c r="P86" s="438"/>
      <c r="Q86" s="1514"/>
      <c r="R86" s="1514"/>
      <c r="S86" s="1584"/>
      <c r="T86" s="1584"/>
      <c r="U86" s="1584"/>
      <c r="V86" s="1584"/>
      <c r="W86" s="1584"/>
      <c r="X86" s="1584"/>
      <c r="Y86" s="1585"/>
      <c r="Z86" s="1585"/>
      <c r="AA86" s="1585"/>
      <c r="AB86" s="1585"/>
      <c r="AC86" s="1585"/>
      <c r="AD86" s="1585"/>
      <c r="AE86" s="1585"/>
      <c r="AF86" s="1585"/>
      <c r="AG86" s="1585"/>
      <c r="AH86" s="1585"/>
      <c r="AI86" s="1128"/>
      <c r="AJ86" s="1128"/>
      <c r="AK86" s="1128"/>
      <c r="AL86" s="1128"/>
      <c r="AM86" s="1128"/>
      <c r="AN86" s="1128"/>
    </row>
    <row r="87" spans="1:40" hidden="1" outlineLevel="2">
      <c r="A87" s="1465"/>
      <c r="B87" s="1524"/>
      <c r="C87" s="1602"/>
      <c r="D87" s="1602"/>
      <c r="E87" s="1602"/>
      <c r="F87" s="1602"/>
      <c r="G87" s="1602"/>
      <c r="H87" s="1602"/>
      <c r="I87" s="1602"/>
      <c r="J87" s="1524"/>
      <c r="K87" s="1524"/>
      <c r="L87" s="1524"/>
      <c r="M87" s="1524"/>
      <c r="N87" s="1524"/>
      <c r="O87" s="1524"/>
      <c r="P87" s="1524"/>
      <c r="Q87" s="1526"/>
      <c r="R87" s="1526"/>
      <c r="S87" s="1605"/>
      <c r="T87" s="1605"/>
      <c r="U87" s="1605"/>
      <c r="V87" s="1605"/>
      <c r="W87" s="1605"/>
      <c r="X87" s="1605"/>
      <c r="Y87" s="1606"/>
      <c r="Z87" s="1606"/>
      <c r="AA87" s="1606"/>
      <c r="AB87" s="1606"/>
      <c r="AC87" s="1606"/>
      <c r="AD87" s="1606"/>
      <c r="AE87" s="1606"/>
      <c r="AF87" s="1606"/>
      <c r="AG87" s="1606"/>
      <c r="AH87" s="1606"/>
      <c r="AI87" s="1128"/>
      <c r="AJ87" s="1128"/>
      <c r="AK87" s="1128"/>
      <c r="AL87" s="1128"/>
      <c r="AM87" s="1128"/>
      <c r="AN87" s="1128"/>
    </row>
    <row r="88" spans="1:40" collapsed="1">
      <c r="A88" s="98" t="s">
        <v>79</v>
      </c>
      <c r="B88" s="955">
        <v>-111.178</v>
      </c>
      <c r="C88" s="955">
        <v>-113.99299999999999</v>
      </c>
      <c r="D88" s="955">
        <v>-161.46</v>
      </c>
      <c r="E88" s="438">
        <v>-183.01</v>
      </c>
      <c r="F88" s="438">
        <v>-210.93</v>
      </c>
      <c r="G88" s="438">
        <v>-571.35799999999995</v>
      </c>
      <c r="H88" s="438">
        <v>-572.98</v>
      </c>
      <c r="I88" s="438">
        <v>-572.98</v>
      </c>
      <c r="J88" s="955">
        <v>-665.16699999999992</v>
      </c>
      <c r="K88" s="955">
        <v>-670.52599999999995</v>
      </c>
      <c r="L88" s="438">
        <v>-661.779</v>
      </c>
      <c r="M88" s="438">
        <v>-805.80099999999993</v>
      </c>
      <c r="N88" s="438">
        <v>-922.07399999999984</v>
      </c>
      <c r="O88" s="438">
        <v>-1336.0809999999999</v>
      </c>
      <c r="P88" s="438">
        <v>-1947.8959999999997</v>
      </c>
      <c r="Q88" s="438">
        <v>-2388.2359999999999</v>
      </c>
      <c r="R88" s="438">
        <v>-2751.6759999999999</v>
      </c>
      <c r="S88" s="438">
        <v>-3114.7280000000001</v>
      </c>
      <c r="T88" s="438">
        <v>-8046.665</v>
      </c>
      <c r="U88" s="438">
        <v>-8378.5339999999997</v>
      </c>
      <c r="V88" s="438">
        <v>-8178.3280000000004</v>
      </c>
      <c r="W88" s="438">
        <v>-7708.2970000000005</v>
      </c>
      <c r="X88" s="438">
        <v>-8060.03</v>
      </c>
      <c r="Y88" s="447">
        <v>-8358.0358469859457</v>
      </c>
      <c r="Z88" s="447">
        <v>-8825.5464462468699</v>
      </c>
      <c r="AA88" s="447">
        <v>-9023.4744897914425</v>
      </c>
      <c r="AB88" s="447">
        <v>-9224.981070845668</v>
      </c>
      <c r="AC88" s="447">
        <v>-9561.9092322144006</v>
      </c>
      <c r="AD88" s="447">
        <v>-10334.591427064664</v>
      </c>
      <c r="AE88" s="447">
        <v>-11194.987541209386</v>
      </c>
      <c r="AF88" s="447">
        <v>-12107.989588717486</v>
      </c>
      <c r="AG88" s="447">
        <v>-13105.574967323835</v>
      </c>
      <c r="AH88" s="447">
        <v>-14183.736294791262</v>
      </c>
      <c r="AI88" s="272"/>
      <c r="AJ88" s="1133">
        <v>0.33881464424294139</v>
      </c>
      <c r="AK88" s="1133"/>
      <c r="AL88" s="1128">
        <f t="shared" ref="AL88:AL93" si="8">IFERROR((AA88/Y88)^(1/2)-1,"NM")</f>
        <v>3.9046018919084435E-2</v>
      </c>
      <c r="AM88" s="272"/>
      <c r="AN88" s="272"/>
    </row>
    <row r="89" spans="1:40" s="1209" customFormat="1">
      <c r="A89" s="1237" t="s">
        <v>1216</v>
      </c>
      <c r="B89" s="1591">
        <v>-111.178</v>
      </c>
      <c r="C89" s="1591">
        <v>-113.99299999999999</v>
      </c>
      <c r="D89" s="1591">
        <v>-161.46</v>
      </c>
      <c r="E89" s="1518">
        <v>-183.01</v>
      </c>
      <c r="F89" s="1518">
        <v>-210.93</v>
      </c>
      <c r="G89" s="1518">
        <v>-571.35799999999995</v>
      </c>
      <c r="H89" s="1518">
        <v>-572.98</v>
      </c>
      <c r="I89" s="1518">
        <v>-572.98</v>
      </c>
      <c r="J89" s="1591">
        <v>-665.16699999999992</v>
      </c>
      <c r="K89" s="1591">
        <v>-670.52599999999995</v>
      </c>
      <c r="L89" s="1518">
        <v>-661.779</v>
      </c>
      <c r="M89" s="1518">
        <v>-805.80099999999993</v>
      </c>
      <c r="N89" s="1518">
        <v>-922.07399999999984</v>
      </c>
      <c r="O89" s="1518">
        <v>-1336.0809999999999</v>
      </c>
      <c r="P89" s="1518">
        <v>-1947.8959999999997</v>
      </c>
      <c r="Q89" s="1518">
        <v>-2388.2359999999999</v>
      </c>
      <c r="R89" s="1518">
        <v>-2751.6759999999999</v>
      </c>
      <c r="S89" s="1518">
        <v>-3114.7280000000001</v>
      </c>
      <c r="T89" s="1518">
        <v>-4257.2840000000006</v>
      </c>
      <c r="U89" s="1518">
        <v>-4353.3640000000005</v>
      </c>
      <c r="V89" s="1518">
        <v>-3740.0439999999994</v>
      </c>
      <c r="W89" s="1518">
        <v>-3350.9949999999999</v>
      </c>
      <c r="X89" s="1518">
        <v>-3913.605</v>
      </c>
      <c r="Y89" s="1518">
        <v>-4127.3273107005243</v>
      </c>
      <c r="Z89" s="1518">
        <v>-4476.9530908591423</v>
      </c>
      <c r="AA89" s="1518">
        <v>-4658.9831313490258</v>
      </c>
      <c r="AB89" s="1518">
        <v>-4810.3802065913678</v>
      </c>
      <c r="AC89" s="1518">
        <v>-5080.7981233652863</v>
      </c>
      <c r="AD89" s="1518">
        <v>-5739.744654821302</v>
      </c>
      <c r="AE89" s="1518">
        <v>-6446.6711212309401</v>
      </c>
      <c r="AF89" s="1518">
        <v>-7181.7127252486052</v>
      </c>
      <c r="AG89" s="1518">
        <v>-7969.4914974689145</v>
      </c>
      <c r="AH89" s="1518">
        <v>-8808.7774258650534</v>
      </c>
      <c r="AI89" s="1243"/>
      <c r="AJ89" s="1243">
        <v>0.17449681435554676</v>
      </c>
      <c r="AK89" s="1243"/>
      <c r="AL89" s="1128">
        <f t="shared" si="8"/>
        <v>6.2456391281049184E-2</v>
      </c>
      <c r="AM89" s="1243"/>
      <c r="AN89" s="1243"/>
    </row>
    <row r="90" spans="1:40">
      <c r="A90" s="43" t="s">
        <v>336</v>
      </c>
      <c r="B90" s="985">
        <v>219.38799999999992</v>
      </c>
      <c r="C90" s="985">
        <v>269.91000000000003</v>
      </c>
      <c r="D90" s="985">
        <v>253.74900000000005</v>
      </c>
      <c r="E90" s="985">
        <v>362.44299999999998</v>
      </c>
      <c r="F90" s="985">
        <v>489.62500000000028</v>
      </c>
      <c r="G90" s="985">
        <v>436.08100000000081</v>
      </c>
      <c r="H90" s="985">
        <v>715.69599999999991</v>
      </c>
      <c r="I90" s="985">
        <v>459.08699999999999</v>
      </c>
      <c r="J90" s="985">
        <v>335.06900000000087</v>
      </c>
      <c r="K90" s="985">
        <v>328.10499999999854</v>
      </c>
      <c r="L90" s="985">
        <v>453.06800000000067</v>
      </c>
      <c r="M90" s="985">
        <v>802.26400000000058</v>
      </c>
      <c r="N90" s="985">
        <v>1116.6480000000017</v>
      </c>
      <c r="O90" s="985">
        <v>1457.0110000000025</v>
      </c>
      <c r="P90" s="985">
        <v>2353.8329999999996</v>
      </c>
      <c r="Q90" s="985">
        <v>2767.0019999999977</v>
      </c>
      <c r="R90" s="985">
        <v>3714.5679999999988</v>
      </c>
      <c r="S90" s="985">
        <v>3293.588999999999</v>
      </c>
      <c r="T90" s="985">
        <v>4570.8939999999939</v>
      </c>
      <c r="U90" s="985">
        <v>-1453.7979999999952</v>
      </c>
      <c r="V90" s="985">
        <v>4132.9409999999998</v>
      </c>
      <c r="W90" s="985">
        <v>6341.4970000000085</v>
      </c>
      <c r="X90" s="985">
        <v>7900.3589999999958</v>
      </c>
      <c r="Y90" s="1566">
        <v>7426.4731382564751</v>
      </c>
      <c r="Z90" s="1566">
        <v>7872.4432984188352</v>
      </c>
      <c r="AA90" s="1566">
        <v>8811.7584060904264</v>
      </c>
      <c r="AB90" s="1566">
        <v>9662.7466642719919</v>
      </c>
      <c r="AC90" s="1566">
        <v>9707.0283664279541</v>
      </c>
      <c r="AD90" s="1566">
        <v>9945.4493120001971</v>
      </c>
      <c r="AE90" s="1566">
        <v>10122.33832624571</v>
      </c>
      <c r="AF90" s="1566">
        <v>10271.063661393906</v>
      </c>
      <c r="AG90" s="1566">
        <v>10385.764282378117</v>
      </c>
      <c r="AH90" s="1566">
        <v>10468.423292804364</v>
      </c>
      <c r="AI90" s="87"/>
      <c r="AJ90" s="87">
        <v>-1.9081251094117162</v>
      </c>
      <c r="AK90" s="87"/>
      <c r="AL90" s="1128">
        <f t="shared" si="8"/>
        <v>8.9281138071123811E-2</v>
      </c>
      <c r="AM90" s="1133"/>
      <c r="AN90" s="1133"/>
    </row>
    <row r="91" spans="1:40">
      <c r="A91" s="90" t="s">
        <v>53</v>
      </c>
      <c r="B91" s="1584">
        <v>8.8654009813088991E-2</v>
      </c>
      <c r="C91" s="1584">
        <v>0.10270876238053271</v>
      </c>
      <c r="D91" s="1584">
        <v>8.8368377264633619E-2</v>
      </c>
      <c r="E91" s="1584">
        <v>9.7730568511948182E-2</v>
      </c>
      <c r="F91" s="1584">
        <v>0.10495037832508097</v>
      </c>
      <c r="G91" s="1584">
        <v>7.2361246532781323E-2</v>
      </c>
      <c r="H91" s="1584">
        <v>0.1024559356131636</v>
      </c>
      <c r="I91" s="1584">
        <v>5.8956755645387993E-2</v>
      </c>
      <c r="J91" s="1584">
        <v>3.9020128027207474E-2</v>
      </c>
      <c r="K91" s="1584">
        <v>3.6531447073074985E-2</v>
      </c>
      <c r="L91" s="1514">
        <v>4.2356642880702018E-2</v>
      </c>
      <c r="M91" s="1514">
        <v>5.9341190766265067E-2</v>
      </c>
      <c r="N91" s="1514">
        <v>7.1066747747756454E-2</v>
      </c>
      <c r="O91" s="1514">
        <v>6.3903276520372351E-2</v>
      </c>
      <c r="P91" s="1514">
        <v>7.2900321775241958E-2</v>
      </c>
      <c r="Q91" s="1514">
        <v>7.3391643973493348E-2</v>
      </c>
      <c r="R91" s="1514">
        <v>8.7341753430549368E-2</v>
      </c>
      <c r="S91" s="1584">
        <v>7.1356851289125722E-2</v>
      </c>
      <c r="T91" s="1584">
        <v>7.859898454497645E-2</v>
      </c>
      <c r="U91" s="1584">
        <v>-3.7765480614719252E-2</v>
      </c>
      <c r="V91" s="1584">
        <v>7.7425667160533201E-2</v>
      </c>
      <c r="W91" s="1584">
        <v>9.2131000567256538E-2</v>
      </c>
      <c r="X91" s="1584">
        <v>0.1036370246411934</v>
      </c>
      <c r="Y91" s="1585">
        <v>9.4545697441826573E-2</v>
      </c>
      <c r="Z91" s="1585">
        <v>9.1538990698522879E-2</v>
      </c>
      <c r="AA91" s="1585">
        <v>9.5923842333473619E-2</v>
      </c>
      <c r="AB91" s="1585">
        <v>9.9326546631911122E-2</v>
      </c>
      <c r="AC91" s="1585">
        <v>9.4785996348751053E-2</v>
      </c>
      <c r="AD91" s="1585">
        <v>9.2273122095038226E-2</v>
      </c>
      <c r="AE91" s="1585">
        <v>8.9344480396009479E-2</v>
      </c>
      <c r="AF91" s="1585">
        <v>8.635692865786368E-2</v>
      </c>
      <c r="AG91" s="1585">
        <v>8.3187500187946781E-2</v>
      </c>
      <c r="AH91" s="1585">
        <v>7.9901621188540495E-2</v>
      </c>
      <c r="AI91" s="1133"/>
      <c r="AJ91" s="1133"/>
      <c r="AK91" s="1133"/>
      <c r="AL91" s="1128">
        <f t="shared" si="8"/>
        <v>7.2618800785555493E-3</v>
      </c>
      <c r="AM91" s="1133"/>
      <c r="AN91" s="1133"/>
    </row>
    <row r="92" spans="1:40">
      <c r="A92" s="97" t="s">
        <v>699</v>
      </c>
      <c r="B92" s="955">
        <v>-43.086999999999996</v>
      </c>
      <c r="C92" s="955">
        <v>-18.219000000000001</v>
      </c>
      <c r="D92" s="955">
        <v>-4.6790000000000003</v>
      </c>
      <c r="E92" s="438">
        <v>-2.0659999999999998</v>
      </c>
      <c r="F92" s="438">
        <v>-31.681000000000001</v>
      </c>
      <c r="G92" s="438">
        <v>-49.722000000000001</v>
      </c>
      <c r="H92" s="438">
        <v>-37.064999999999998</v>
      </c>
      <c r="I92" s="438">
        <v>-194.4</v>
      </c>
      <c r="J92" s="955">
        <v>-127.83699999999999</v>
      </c>
      <c r="K92" s="955">
        <v>-79.625</v>
      </c>
      <c r="L92" s="438">
        <v>-118.09400000000001</v>
      </c>
      <c r="M92" s="438">
        <v>-189.33699999999999</v>
      </c>
      <c r="N92" s="438">
        <v>-210.471</v>
      </c>
      <c r="O92" s="438">
        <v>-493.46300000000002</v>
      </c>
      <c r="P92" s="438">
        <v>-858.86599999999999</v>
      </c>
      <c r="Q92" s="438">
        <v>-1179.1570000000002</v>
      </c>
      <c r="R92" s="438">
        <v>-1626.5820000000001</v>
      </c>
      <c r="S92" s="438">
        <v>-1455.97</v>
      </c>
      <c r="T92" s="438">
        <v>-2849.7980000000002</v>
      </c>
      <c r="U92" s="438">
        <v>-3567.605</v>
      </c>
      <c r="V92" s="438">
        <v>-3135.3649999999998</v>
      </c>
      <c r="W92" s="438">
        <v>-3819.6909999999998</v>
      </c>
      <c r="X92" s="438">
        <v>-3455.893</v>
      </c>
      <c r="Y92" s="447">
        <v>-5737.6232130327453</v>
      </c>
      <c r="Z92" s="447">
        <v>-4991.8497197753422</v>
      </c>
      <c r="AA92" s="447">
        <v>-4560.3902133976981</v>
      </c>
      <c r="AB92" s="447">
        <v>-3841.8855015204267</v>
      </c>
      <c r="AC92" s="447">
        <v>-3554.4274121094963</v>
      </c>
      <c r="AD92" s="447">
        <v>-3305.4284781266024</v>
      </c>
      <c r="AE92" s="447">
        <v>-3032.6740649394601</v>
      </c>
      <c r="AF92" s="447">
        <v>-2722.3707405385467</v>
      </c>
      <c r="AG92" s="447">
        <v>-2390.8902208284844</v>
      </c>
      <c r="AH92" s="447">
        <v>-2037.983586562221</v>
      </c>
      <c r="AI92" s="1133"/>
      <c r="AJ92" s="1133">
        <v>0.32950590520447176</v>
      </c>
      <c r="AK92" s="1133"/>
      <c r="AL92" s="1128">
        <f t="shared" si="8"/>
        <v>-0.1084719948073084</v>
      </c>
      <c r="AM92" s="1133"/>
      <c r="AN92" s="1133"/>
    </row>
    <row r="93" spans="1:40" s="1209" customFormat="1">
      <c r="A93" s="1242" t="s">
        <v>1225</v>
      </c>
      <c r="B93" s="1591">
        <v>-43.086999999999996</v>
      </c>
      <c r="C93" s="1591">
        <v>-18.219000000000001</v>
      </c>
      <c r="D93" s="1591">
        <v>-4.6790000000000003</v>
      </c>
      <c r="E93" s="1518">
        <v>-2.0659999999999998</v>
      </c>
      <c r="F93" s="1518">
        <v>-31.681000000000001</v>
      </c>
      <c r="G93" s="1518">
        <v>-49.722000000000001</v>
      </c>
      <c r="H93" s="1518">
        <v>-37.064999999999998</v>
      </c>
      <c r="I93" s="1518">
        <v>-194.4</v>
      </c>
      <c r="J93" s="1591">
        <v>-127.83699999999999</v>
      </c>
      <c r="K93" s="1591">
        <v>-79.625</v>
      </c>
      <c r="L93" s="1518">
        <v>-118.09400000000001</v>
      </c>
      <c r="M93" s="1518">
        <v>-189.33699999999999</v>
      </c>
      <c r="N93" s="1518">
        <v>-210.471</v>
      </c>
      <c r="O93" s="1518">
        <v>-493.46300000000002</v>
      </c>
      <c r="P93" s="1518">
        <v>-858.86599999999999</v>
      </c>
      <c r="Q93" s="1518">
        <v>-1179.1569999999999</v>
      </c>
      <c r="R93" s="1518">
        <v>-1626.5820000000001</v>
      </c>
      <c r="S93" s="1518">
        <v>-1455.97</v>
      </c>
      <c r="T93" s="1518">
        <v>-1852.0450000000003</v>
      </c>
      <c r="U93" s="1518">
        <v>-2626.9479999999994</v>
      </c>
      <c r="V93" s="1518">
        <v>-2145.9099999999994</v>
      </c>
      <c r="W93" s="1518">
        <v>-2879.3719999999998</v>
      </c>
      <c r="X93" s="1518">
        <v>-2577.3910000000001</v>
      </c>
      <c r="Y93" s="1518">
        <v>-4757.9871125950858</v>
      </c>
      <c r="Z93" s="1518">
        <v>-3995.0096716532789</v>
      </c>
      <c r="AA93" s="1518">
        <v>-3570.1918316964347</v>
      </c>
      <c r="AB93" s="1518">
        <v>-2831.7851220824296</v>
      </c>
      <c r="AC93" s="1518">
        <v>-2528.5234400668865</v>
      </c>
      <c r="AD93" s="1518">
        <v>-2264.6590732681193</v>
      </c>
      <c r="AE93" s="1518">
        <v>-1977.7333921047139</v>
      </c>
      <c r="AF93" s="1518">
        <v>-1655.7801024663954</v>
      </c>
      <c r="AG93" s="1518">
        <v>-1313.0563979822543</v>
      </c>
      <c r="AH93" s="1518">
        <v>-949.12605786901031</v>
      </c>
      <c r="AI93" s="1243"/>
      <c r="AJ93" s="1243">
        <v>0.25056195728153696</v>
      </c>
      <c r="AK93" s="1243"/>
      <c r="AL93" s="1128">
        <f t="shared" si="8"/>
        <v>-0.13376815538251119</v>
      </c>
      <c r="AM93" s="1243"/>
      <c r="AN93" s="1243"/>
    </row>
    <row r="94" spans="1:40" ht="12.75" customHeight="1">
      <c r="A94" s="98" t="s">
        <v>590</v>
      </c>
      <c r="B94" s="967">
        <v>-80.444000000000003</v>
      </c>
      <c r="C94" s="967">
        <v>-5.5730000000000004</v>
      </c>
      <c r="D94" s="967">
        <v>-22.995999999999999</v>
      </c>
      <c r="E94" s="967">
        <v>-72.927999999999997</v>
      </c>
      <c r="F94" s="967">
        <v>-16.267000000000003</v>
      </c>
      <c r="G94" s="967">
        <v>-24.486000000000001</v>
      </c>
      <c r="H94" s="967">
        <v>1.847</v>
      </c>
      <c r="I94" s="967">
        <v>-37</v>
      </c>
      <c r="J94" s="967">
        <v>-23.288999999999998</v>
      </c>
      <c r="K94" s="967">
        <v>38.258999999999993</v>
      </c>
      <c r="L94" s="967">
        <v>8.8040000000000003</v>
      </c>
      <c r="M94" s="967">
        <v>12.978999999999999</v>
      </c>
      <c r="N94" s="967">
        <v>43.580999999999996</v>
      </c>
      <c r="O94" s="967">
        <v>32.253</v>
      </c>
      <c r="P94" s="967">
        <v>27.703000000000003</v>
      </c>
      <c r="Q94" s="967">
        <v>67.876999999999995</v>
      </c>
      <c r="R94" s="967">
        <v>-0.43800000000000061</v>
      </c>
      <c r="S94" s="967">
        <v>0</v>
      </c>
      <c r="T94" s="967">
        <v>-0.94300000000000006</v>
      </c>
      <c r="U94" s="967">
        <v>-2.617</v>
      </c>
      <c r="V94" s="967">
        <v>1.8399999999999999</v>
      </c>
      <c r="W94" s="967">
        <v>0</v>
      </c>
      <c r="X94" s="967">
        <v>3.4039999999999999</v>
      </c>
      <c r="Y94" s="1397">
        <v>0</v>
      </c>
      <c r="Z94" s="1397">
        <v>0</v>
      </c>
      <c r="AA94" s="1397">
        <v>0</v>
      </c>
      <c r="AB94" s="1397">
        <v>0</v>
      </c>
      <c r="AC94" s="1397">
        <v>0</v>
      </c>
      <c r="AD94" s="1397">
        <v>0</v>
      </c>
      <c r="AE94" s="1397">
        <v>0</v>
      </c>
      <c r="AF94" s="1397">
        <v>0</v>
      </c>
      <c r="AG94" s="1397">
        <v>0</v>
      </c>
      <c r="AH94" s="1397">
        <v>0</v>
      </c>
      <c r="AI94" s="1133"/>
      <c r="AJ94" s="1133"/>
      <c r="AK94" s="1133"/>
      <c r="AL94" s="1128"/>
      <c r="AM94" s="1133"/>
      <c r="AN94" s="1133"/>
    </row>
    <row r="95" spans="1:40" ht="12.75" customHeight="1">
      <c r="A95" s="1242" t="s">
        <v>1383</v>
      </c>
      <c r="B95" s="967"/>
      <c r="C95" s="967"/>
      <c r="D95" s="967"/>
      <c r="E95" s="967"/>
      <c r="F95" s="967"/>
      <c r="G95" s="967"/>
      <c r="H95" s="967"/>
      <c r="I95" s="967"/>
      <c r="J95" s="1591">
        <v>-24.145999999999994</v>
      </c>
      <c r="K95" s="1591">
        <v>47.025999999999996</v>
      </c>
      <c r="L95" s="1518">
        <v>12.91</v>
      </c>
      <c r="M95" s="1518">
        <v>8.7230000000000008</v>
      </c>
      <c r="N95" s="1518">
        <v>-8.1250000000000018</v>
      </c>
      <c r="O95" s="1518">
        <v>0.56099999999999994</v>
      </c>
      <c r="P95" s="1518">
        <v>30.071999999999989</v>
      </c>
      <c r="Q95" s="1518">
        <v>480.95899999999995</v>
      </c>
      <c r="R95" s="1518">
        <v>-174.16400000000007</v>
      </c>
      <c r="S95" s="1518">
        <v>-114.16999999999999</v>
      </c>
      <c r="T95" s="1518">
        <v>-230.21999999999997</v>
      </c>
      <c r="U95" s="1518">
        <v>445.22200000000009</v>
      </c>
      <c r="V95" s="1518">
        <v>-5.3020000000000209</v>
      </c>
      <c r="W95" s="1518">
        <v>-302.32600000000002</v>
      </c>
      <c r="X95" s="1518">
        <v>362.99699999999996</v>
      </c>
      <c r="Y95" s="1518">
        <v>-1298.8578166252321</v>
      </c>
      <c r="Z95" s="1518">
        <v>-859.19873382515493</v>
      </c>
      <c r="AA95" s="1518">
        <v>-786.8191181181644</v>
      </c>
      <c r="AB95" s="1518">
        <v>-359.69523414344627</v>
      </c>
      <c r="AC95" s="1518">
        <v>-372.15226457853095</v>
      </c>
      <c r="AD95" s="1518">
        <v>-375.49231073177918</v>
      </c>
      <c r="AE95" s="1518">
        <v>-378.86233361596589</v>
      </c>
      <c r="AF95" s="1518">
        <v>-382.26260227061437</v>
      </c>
      <c r="AG95" s="1518">
        <v>-388.98567450631299</v>
      </c>
      <c r="AH95" s="1518">
        <v>-399.52511344076925</v>
      </c>
      <c r="AI95" s="1133"/>
      <c r="AJ95" s="1133">
        <v>0.71428435117127131</v>
      </c>
      <c r="AK95" s="1133"/>
      <c r="AL95" s="1128">
        <f t="shared" ref="AL95:AL117" si="9">IFERROR((AA95/Y95)^(1/2)-1,"NM")</f>
        <v>-0.22168276818058197</v>
      </c>
      <c r="AM95" s="1133"/>
      <c r="AN95" s="1133"/>
    </row>
    <row r="96" spans="1:40">
      <c r="A96" s="93" t="s">
        <v>55</v>
      </c>
      <c r="B96" s="985">
        <v>95.856999999999928</v>
      </c>
      <c r="C96" s="985">
        <v>246.11800000000002</v>
      </c>
      <c r="D96" s="985">
        <v>226.07400000000004</v>
      </c>
      <c r="E96" s="985">
        <v>287.44900000000001</v>
      </c>
      <c r="F96" s="985">
        <v>441.67700000000031</v>
      </c>
      <c r="G96" s="985">
        <v>361.87300000000084</v>
      </c>
      <c r="H96" s="985">
        <v>680.47799999999984</v>
      </c>
      <c r="I96" s="985">
        <v>227.68700000000001</v>
      </c>
      <c r="J96" s="985">
        <v>183.94300000000089</v>
      </c>
      <c r="K96" s="985">
        <v>286.73899999999855</v>
      </c>
      <c r="L96" s="985">
        <v>343.77800000000065</v>
      </c>
      <c r="M96" s="985">
        <v>625.90600000000063</v>
      </c>
      <c r="N96" s="985">
        <v>949.75800000000174</v>
      </c>
      <c r="O96" s="985">
        <v>995.80100000000255</v>
      </c>
      <c r="P96" s="985">
        <v>1522.6699999999996</v>
      </c>
      <c r="Q96" s="985">
        <v>1655.7219999999977</v>
      </c>
      <c r="R96" s="985">
        <v>2087.5479999999989</v>
      </c>
      <c r="S96" s="985">
        <v>1837.618999999999</v>
      </c>
      <c r="T96" s="985">
        <v>2717.9059999999936</v>
      </c>
      <c r="U96" s="985">
        <v>-5024.019999999995</v>
      </c>
      <c r="V96" s="985">
        <v>999.41600000000005</v>
      </c>
      <c r="W96" s="985">
        <v>2521.8060000000087</v>
      </c>
      <c r="X96" s="985">
        <v>4447.8699999999963</v>
      </c>
      <c r="Y96" s="1566">
        <v>1688.8499252237298</v>
      </c>
      <c r="Z96" s="1566">
        <v>2880.5935786434929</v>
      </c>
      <c r="AA96" s="1566">
        <v>4251.3681926927284</v>
      </c>
      <c r="AB96" s="1566">
        <v>5820.8611627515656</v>
      </c>
      <c r="AC96" s="1566">
        <v>6152.6009543184573</v>
      </c>
      <c r="AD96" s="1566">
        <v>6640.0208338735947</v>
      </c>
      <c r="AE96" s="1566">
        <v>7089.6642613062504</v>
      </c>
      <c r="AF96" s="1566">
        <v>7548.6929208553593</v>
      </c>
      <c r="AG96" s="1566">
        <v>7994.8740615496326</v>
      </c>
      <c r="AH96" s="1566">
        <v>8430.4397062421431</v>
      </c>
      <c r="AI96" s="1133"/>
      <c r="AJ96" s="1133">
        <v>-2.2696649000747335</v>
      </c>
      <c r="AK96" s="1133"/>
      <c r="AL96" s="1128">
        <f t="shared" si="9"/>
        <v>0.58660504173963668</v>
      </c>
      <c r="AM96" s="1133"/>
      <c r="AN96" s="1133"/>
    </row>
    <row r="97" spans="1:40">
      <c r="A97" s="271" t="s">
        <v>356</v>
      </c>
      <c r="B97" s="955">
        <v>-64.39</v>
      </c>
      <c r="C97" s="955">
        <v>-77.775999999999996</v>
      </c>
      <c r="D97" s="955">
        <v>-85.6</v>
      </c>
      <c r="E97" s="967">
        <v>-123.066</v>
      </c>
      <c r="F97" s="967">
        <v>-127.033</v>
      </c>
      <c r="G97" s="967">
        <v>-125.46899999999999</v>
      </c>
      <c r="H97" s="967">
        <v>-168.40899999999999</v>
      </c>
      <c r="I97" s="967">
        <v>-53.148000000000003</v>
      </c>
      <c r="J97" s="955">
        <v>-45.084999999999994</v>
      </c>
      <c r="K97" s="955">
        <v>-127.749</v>
      </c>
      <c r="L97" s="967">
        <v>-107.01700000000001</v>
      </c>
      <c r="M97" s="967">
        <v>-222.46199999999999</v>
      </c>
      <c r="N97" s="967">
        <v>-284.86799999999999</v>
      </c>
      <c r="O97" s="967">
        <v>-364.59300000000002</v>
      </c>
      <c r="P97" s="967">
        <v>-489.91800000000001</v>
      </c>
      <c r="Q97" s="967">
        <v>-529.23200000000008</v>
      </c>
      <c r="R97" s="967">
        <v>-835.42800000000011</v>
      </c>
      <c r="S97" s="967">
        <v>-698.29500000000007</v>
      </c>
      <c r="T97" s="967">
        <v>-635.41899999999998</v>
      </c>
      <c r="U97" s="967">
        <v>1178.0889999999999</v>
      </c>
      <c r="V97" s="967">
        <v>-214.94599999999997</v>
      </c>
      <c r="W97" s="967">
        <v>-937.01099999999997</v>
      </c>
      <c r="X97" s="967">
        <v>-1457.873</v>
      </c>
      <c r="Y97" s="1397">
        <v>-565.3616409748854</v>
      </c>
      <c r="Z97" s="1397">
        <v>-979.40181673879272</v>
      </c>
      <c r="AA97" s="1397">
        <v>-1445.4651855155253</v>
      </c>
      <c r="AB97" s="1397">
        <v>-1979.0927953355317</v>
      </c>
      <c r="AC97" s="1397">
        <v>-2091.884324468273</v>
      </c>
      <c r="AD97" s="1397">
        <v>-2257.6070835170258</v>
      </c>
      <c r="AE97" s="1397">
        <v>-2410.4858488441282</v>
      </c>
      <c r="AF97" s="1397">
        <v>-2566.5555930908231</v>
      </c>
      <c r="AG97" s="1397">
        <v>-2718.2571809268757</v>
      </c>
      <c r="AH97" s="1397">
        <v>-2866.3495001223328</v>
      </c>
      <c r="AI97" s="1133"/>
      <c r="AJ97" s="1133"/>
      <c r="AK97" s="1133"/>
      <c r="AL97" s="1128">
        <f t="shared" si="9"/>
        <v>0.59897122610869613</v>
      </c>
      <c r="AM97" s="1133"/>
      <c r="AN97" s="1133"/>
    </row>
    <row r="98" spans="1:40">
      <c r="A98" s="90" t="s">
        <v>56</v>
      </c>
      <c r="B98" s="471">
        <v>-0.67172976412781593</v>
      </c>
      <c r="C98" s="471">
        <v>-0.31601101910465706</v>
      </c>
      <c r="D98" s="471">
        <v>-0.37863708343285818</v>
      </c>
      <c r="E98" s="471">
        <v>-0.42813159899669156</v>
      </c>
      <c r="F98" s="471">
        <v>-0.28761515768310308</v>
      </c>
      <c r="G98" s="471">
        <v>-0.34672108723226019</v>
      </c>
      <c r="H98" s="471">
        <v>-0.24748632578863686</v>
      </c>
      <c r="I98" s="471">
        <v>-0.23342571161287207</v>
      </c>
      <c r="J98" s="471">
        <v>-0.24510310259156246</v>
      </c>
      <c r="K98" s="471">
        <v>-0.44552362950279045</v>
      </c>
      <c r="L98" s="471">
        <v>-0.31129682527677688</v>
      </c>
      <c r="M98" s="471">
        <v>-0.35542397740235715</v>
      </c>
      <c r="N98" s="471">
        <v>-0.29993745775239533</v>
      </c>
      <c r="O98" s="471">
        <v>-0.36613038147179916</v>
      </c>
      <c r="P98" s="471">
        <v>-0.3217492956451497</v>
      </c>
      <c r="Q98" s="471">
        <v>-0.31963820013263144</v>
      </c>
      <c r="R98" s="471">
        <v>-0.4001958278324621</v>
      </c>
      <c r="S98" s="471">
        <v>-0.37999988027986237</v>
      </c>
      <c r="T98" s="471">
        <v>-0.23378991032066654</v>
      </c>
      <c r="U98" s="471">
        <v>-0.23449130377665717</v>
      </c>
      <c r="V98" s="471">
        <v>-0.2150716018154602</v>
      </c>
      <c r="W98" s="471">
        <v>-0.371563474747858</v>
      </c>
      <c r="X98" s="471">
        <v>-0.3277687971995587</v>
      </c>
      <c r="Y98" s="588">
        <v>-0.33476132635052774</v>
      </c>
      <c r="Z98" s="588">
        <v>-0.3400000000000018</v>
      </c>
      <c r="AA98" s="588">
        <v>-0.33999999999999941</v>
      </c>
      <c r="AB98" s="588">
        <v>-0.33999999999999991</v>
      </c>
      <c r="AC98" s="588">
        <v>-0.33999999999999958</v>
      </c>
      <c r="AD98" s="588">
        <v>-0.34000000000000052</v>
      </c>
      <c r="AE98" s="588">
        <v>-0.34000000000000041</v>
      </c>
      <c r="AF98" s="588">
        <v>-0.34000000000000014</v>
      </c>
      <c r="AG98" s="588">
        <v>-0.34000000000000008</v>
      </c>
      <c r="AH98" s="588">
        <v>-0.34000000000000047</v>
      </c>
      <c r="AI98" s="1133"/>
      <c r="AJ98" s="1133"/>
      <c r="AK98" s="1133"/>
      <c r="AL98" s="1128">
        <f t="shared" si="9"/>
        <v>7.7941163955339565E-3</v>
      </c>
      <c r="AM98" s="1133"/>
      <c r="AN98" s="1133"/>
    </row>
    <row r="99" spans="1:40">
      <c r="A99" s="93" t="s">
        <v>57</v>
      </c>
      <c r="B99" s="985">
        <v>31.466999999999928</v>
      </c>
      <c r="C99" s="985">
        <v>168.34200000000004</v>
      </c>
      <c r="D99" s="985">
        <v>140.47400000000005</v>
      </c>
      <c r="E99" s="985">
        <v>164.38300000000001</v>
      </c>
      <c r="F99" s="985">
        <v>314.64400000000029</v>
      </c>
      <c r="G99" s="985">
        <v>236.40400000000085</v>
      </c>
      <c r="H99" s="985">
        <v>512.06899999999985</v>
      </c>
      <c r="I99" s="985">
        <v>174.53900000000002</v>
      </c>
      <c r="J99" s="985">
        <v>138.85800000000091</v>
      </c>
      <c r="K99" s="985">
        <v>158.98999999999856</v>
      </c>
      <c r="L99" s="985">
        <v>236.76100000000065</v>
      </c>
      <c r="M99" s="985">
        <v>403.44400000000064</v>
      </c>
      <c r="N99" s="985">
        <v>664.89000000000169</v>
      </c>
      <c r="O99" s="985">
        <v>631.20800000000258</v>
      </c>
      <c r="P99" s="985">
        <v>1032.7519999999995</v>
      </c>
      <c r="Q99" s="985">
        <v>1126.4899999999975</v>
      </c>
      <c r="R99" s="985">
        <v>1252.1199999999988</v>
      </c>
      <c r="S99" s="985">
        <v>1139.3239999999989</v>
      </c>
      <c r="T99" s="985">
        <v>2082.4869999999937</v>
      </c>
      <c r="U99" s="985">
        <v>-3845.930999999995</v>
      </c>
      <c r="V99" s="985">
        <v>784.47</v>
      </c>
      <c r="W99" s="985">
        <v>1584.7950000000087</v>
      </c>
      <c r="X99" s="985">
        <v>2989.9969999999962</v>
      </c>
      <c r="Y99" s="1566">
        <v>1123.4882842488444</v>
      </c>
      <c r="Z99" s="1566">
        <v>1901.1917619047003</v>
      </c>
      <c r="AA99" s="1566">
        <v>2805.9030071772031</v>
      </c>
      <c r="AB99" s="1566">
        <v>3841.7683674160339</v>
      </c>
      <c r="AC99" s="1566">
        <v>4060.7166298501843</v>
      </c>
      <c r="AD99" s="1566">
        <v>4382.4137503565689</v>
      </c>
      <c r="AE99" s="1566">
        <v>4679.1784124621227</v>
      </c>
      <c r="AF99" s="1566">
        <v>4982.1373277645362</v>
      </c>
      <c r="AG99" s="1566">
        <v>5276.616880622757</v>
      </c>
      <c r="AH99" s="1566">
        <v>5564.0902061198103</v>
      </c>
      <c r="AI99" s="1133"/>
      <c r="AJ99" s="1133">
        <v>-2.3007717269928643</v>
      </c>
      <c r="AK99" s="1133"/>
      <c r="AL99" s="1128">
        <f t="shared" si="9"/>
        <v>0.58034553329438343</v>
      </c>
      <c r="AM99" s="1133"/>
      <c r="AN99" s="1133"/>
    </row>
    <row r="100" spans="1:40">
      <c r="A100" s="719" t="s">
        <v>58</v>
      </c>
      <c r="B100" s="438">
        <v>1.2649999999999999</v>
      </c>
      <c r="C100" s="438">
        <v>9.9410000000000007</v>
      </c>
      <c r="D100" s="438">
        <v>4.984</v>
      </c>
      <c r="E100" s="967">
        <v>-19.515000000000001</v>
      </c>
      <c r="F100" s="967">
        <v>-3.702</v>
      </c>
      <c r="G100" s="967">
        <v>-6.452</v>
      </c>
      <c r="H100" s="967">
        <v>-10.706</v>
      </c>
      <c r="I100" s="967">
        <v>-10.752000000000001</v>
      </c>
      <c r="J100" s="438">
        <v>-3.2130000000000001</v>
      </c>
      <c r="K100" s="438">
        <v>-7.7640000000000011</v>
      </c>
      <c r="L100" s="967">
        <v>-21.265000000000001</v>
      </c>
      <c r="M100" s="967">
        <v>-36.879000000000005</v>
      </c>
      <c r="N100" s="967">
        <v>17.695</v>
      </c>
      <c r="O100" s="967">
        <v>42.572000000000003</v>
      </c>
      <c r="P100" s="967">
        <v>-51.545999999999999</v>
      </c>
      <c r="Q100" s="967">
        <v>-130.018</v>
      </c>
      <c r="R100" s="967">
        <v>-162.65100000000001</v>
      </c>
      <c r="S100" s="967">
        <v>-186.07100000000003</v>
      </c>
      <c r="T100" s="967">
        <v>-158.06399999999999</v>
      </c>
      <c r="U100" s="967">
        <v>659.88400000000001</v>
      </c>
      <c r="V100" s="967">
        <v>50.66</v>
      </c>
      <c r="W100" s="967">
        <v>47.54</v>
      </c>
      <c r="X100" s="967">
        <v>-59.268000000000001</v>
      </c>
      <c r="Y100" s="1397">
        <v>6.800000000000006E-2</v>
      </c>
      <c r="Z100" s="1397">
        <v>0</v>
      </c>
      <c r="AA100" s="1397">
        <v>0</v>
      </c>
      <c r="AB100" s="1397">
        <v>0</v>
      </c>
      <c r="AC100" s="1397">
        <v>0</v>
      </c>
      <c r="AD100" s="1397">
        <v>0</v>
      </c>
      <c r="AE100" s="1397">
        <v>0</v>
      </c>
      <c r="AF100" s="1397">
        <v>0</v>
      </c>
      <c r="AG100" s="1397">
        <v>0</v>
      </c>
      <c r="AH100" s="1397">
        <v>0</v>
      </c>
      <c r="AI100" s="1133"/>
      <c r="AJ100" s="1133"/>
      <c r="AK100" s="1133"/>
      <c r="AL100" s="1128">
        <f t="shared" si="9"/>
        <v>-1</v>
      </c>
      <c r="AM100" s="1133"/>
      <c r="AN100" s="1133"/>
    </row>
    <row r="101" spans="1:40">
      <c r="A101" s="719" t="s">
        <v>707</v>
      </c>
      <c r="B101" s="438">
        <v>-1.718</v>
      </c>
      <c r="C101" s="438">
        <v>-29.356000000000002</v>
      </c>
      <c r="D101" s="438">
        <v>-17.309999999999999</v>
      </c>
      <c r="E101" s="967">
        <v>9.7409999999999997</v>
      </c>
      <c r="F101" s="967">
        <v>-29.443999999999999</v>
      </c>
      <c r="G101" s="967">
        <v>-7.7750000000000004</v>
      </c>
      <c r="H101" s="967">
        <v>-22.928000000000001</v>
      </c>
      <c r="I101" s="967">
        <v>-35.008000000000003</v>
      </c>
      <c r="J101" s="438">
        <v>-31.897000000000002</v>
      </c>
      <c r="K101" s="438">
        <v>0</v>
      </c>
      <c r="L101" s="967">
        <v>-5.8520000000000003</v>
      </c>
      <c r="M101" s="967">
        <v>0</v>
      </c>
      <c r="N101" s="967">
        <v>-1.5720000000000001</v>
      </c>
      <c r="O101" s="967">
        <v>-7.1139999999999999</v>
      </c>
      <c r="P101" s="967">
        <v>0</v>
      </c>
      <c r="Q101" s="967">
        <v>0</v>
      </c>
      <c r="R101" s="967">
        <v>0</v>
      </c>
      <c r="S101" s="967">
        <v>0</v>
      </c>
      <c r="T101" s="967">
        <v>0</v>
      </c>
      <c r="U101" s="967">
        <v>0</v>
      </c>
      <c r="V101" s="967">
        <v>0</v>
      </c>
      <c r="W101" s="967">
        <v>0</v>
      </c>
      <c r="X101" s="967">
        <v>0</v>
      </c>
      <c r="Y101" s="1397">
        <v>0</v>
      </c>
      <c r="Z101" s="1397">
        <v>0</v>
      </c>
      <c r="AA101" s="1397">
        <v>0</v>
      </c>
      <c r="AB101" s="1397">
        <v>0</v>
      </c>
      <c r="AC101" s="1397">
        <v>0</v>
      </c>
      <c r="AD101" s="1397">
        <v>0</v>
      </c>
      <c r="AE101" s="1397">
        <v>0</v>
      </c>
      <c r="AF101" s="1397">
        <v>0</v>
      </c>
      <c r="AG101" s="1397">
        <v>0</v>
      </c>
      <c r="AH101" s="1397">
        <v>0</v>
      </c>
      <c r="AI101" s="1133"/>
      <c r="AJ101" s="1133"/>
      <c r="AK101" s="1133"/>
      <c r="AL101" s="1128" t="str">
        <f t="shared" si="9"/>
        <v>NM</v>
      </c>
      <c r="AM101" s="1133"/>
      <c r="AN101" s="1133"/>
    </row>
    <row r="102" spans="1:40">
      <c r="A102" s="102" t="s">
        <v>1214</v>
      </c>
      <c r="B102" s="1527">
        <v>31.013999999999928</v>
      </c>
      <c r="C102" s="1527">
        <v>148.92700000000005</v>
      </c>
      <c r="D102" s="1527">
        <v>128.14800000000005</v>
      </c>
      <c r="E102" s="1527">
        <v>154.60899999999998</v>
      </c>
      <c r="F102" s="1527">
        <v>281.49800000000027</v>
      </c>
      <c r="G102" s="1527">
        <v>222.17700000000085</v>
      </c>
      <c r="H102" s="1527">
        <v>478.43499999999983</v>
      </c>
      <c r="I102" s="1527">
        <v>128.779</v>
      </c>
      <c r="J102" s="1527">
        <v>103.74800000000091</v>
      </c>
      <c r="K102" s="1527">
        <v>151.22599999999855</v>
      </c>
      <c r="L102" s="1527">
        <v>209.64400000000066</v>
      </c>
      <c r="M102" s="1527">
        <v>366.56500000000062</v>
      </c>
      <c r="N102" s="1527">
        <v>681.01300000000174</v>
      </c>
      <c r="O102" s="1527">
        <v>666.66600000000255</v>
      </c>
      <c r="P102" s="1527">
        <v>981.20599999999945</v>
      </c>
      <c r="Q102" s="1527">
        <v>996.47199999999748</v>
      </c>
      <c r="R102" s="1527">
        <v>1089.4689999999987</v>
      </c>
      <c r="S102" s="1527">
        <v>953.25299999999891</v>
      </c>
      <c r="T102" s="1527">
        <v>926.66999999999723</v>
      </c>
      <c r="U102" s="1527">
        <v>-3186.0470000000023</v>
      </c>
      <c r="V102" s="1527">
        <v>835.13</v>
      </c>
      <c r="W102" s="1527">
        <v>1632.3349999999978</v>
      </c>
      <c r="X102" s="1527">
        <v>2930.7289999999962</v>
      </c>
      <c r="Y102" s="1566">
        <v>1123.5562842488389</v>
      </c>
      <c r="Z102" s="1566">
        <v>1901.1917619047149</v>
      </c>
      <c r="AA102" s="1566">
        <v>2805.9030071771958</v>
      </c>
      <c r="AB102" s="1566">
        <v>3841.7683674160339</v>
      </c>
      <c r="AC102" s="1566">
        <v>4060.716629850177</v>
      </c>
      <c r="AD102" s="1566">
        <v>4382.4137503565798</v>
      </c>
      <c r="AE102" s="1566">
        <v>4679.1784124621299</v>
      </c>
      <c r="AF102" s="1566">
        <v>4982.1373277645362</v>
      </c>
      <c r="AG102" s="1566">
        <v>5276.6168806227606</v>
      </c>
      <c r="AH102" s="1566">
        <v>5564.0902061198249</v>
      </c>
      <c r="AI102" s="1133"/>
      <c r="AJ102" s="1264">
        <v>-2.2656056255837949</v>
      </c>
      <c r="AK102" s="1133"/>
      <c r="AL102" s="1128">
        <f t="shared" si="9"/>
        <v>0.58029770964558391</v>
      </c>
      <c r="AM102" s="1133"/>
      <c r="AN102" s="1133"/>
    </row>
    <row r="103" spans="1:40">
      <c r="A103" s="720" t="s">
        <v>111</v>
      </c>
      <c r="B103" s="1528"/>
      <c r="C103" s="1528"/>
      <c r="D103" s="1528"/>
      <c r="E103" s="1528"/>
      <c r="F103" s="1528"/>
      <c r="G103" s="1528"/>
      <c r="H103" s="1528"/>
      <c r="I103" s="1528"/>
      <c r="J103" s="1528"/>
      <c r="K103" s="1528"/>
      <c r="L103" s="1528"/>
      <c r="M103" s="1528"/>
      <c r="N103" s="1528"/>
      <c r="O103" s="1528"/>
      <c r="P103" s="1528"/>
      <c r="Q103" s="1528"/>
      <c r="R103" s="1528"/>
      <c r="S103" s="1528"/>
      <c r="T103" s="1528"/>
      <c r="U103" s="1608"/>
      <c r="V103" s="1608"/>
      <c r="W103" s="1608">
        <v>0</v>
      </c>
      <c r="X103" s="1608">
        <v>0</v>
      </c>
      <c r="Y103" s="1608">
        <v>0</v>
      </c>
      <c r="Z103" s="1608">
        <v>0</v>
      </c>
      <c r="AA103" s="1608">
        <v>0</v>
      </c>
      <c r="AB103" s="1608">
        <v>0</v>
      </c>
      <c r="AC103" s="1608">
        <v>0</v>
      </c>
      <c r="AD103" s="1608">
        <v>0</v>
      </c>
      <c r="AE103" s="1608">
        <v>0</v>
      </c>
      <c r="AF103" s="1608">
        <v>0</v>
      </c>
      <c r="AG103" s="1608">
        <v>0</v>
      </c>
      <c r="AH103" s="1608">
        <v>0</v>
      </c>
      <c r="AI103" s="1133"/>
      <c r="AJ103" s="1264"/>
      <c r="AK103" s="1133"/>
      <c r="AL103" s="1128" t="str">
        <f t="shared" si="9"/>
        <v>NM</v>
      </c>
      <c r="AM103" s="1133"/>
      <c r="AN103" s="1133"/>
    </row>
    <row r="104" spans="1:40" s="1209" customFormat="1" hidden="1" outlineLevel="1" collapsed="1">
      <c r="A104" s="1238" t="s">
        <v>1228</v>
      </c>
      <c r="B104" s="1521">
        <v>31.013999999999928</v>
      </c>
      <c r="C104" s="1521">
        <v>148.92700000000005</v>
      </c>
      <c r="D104" s="1521">
        <v>128.14800000000005</v>
      </c>
      <c r="E104" s="1521">
        <v>154.60899999999998</v>
      </c>
      <c r="F104" s="1521">
        <v>281.49800000000027</v>
      </c>
      <c r="G104" s="1521">
        <v>222.17700000000085</v>
      </c>
      <c r="H104" s="1521">
        <v>478.43499999999983</v>
      </c>
      <c r="I104" s="1521">
        <v>128.779</v>
      </c>
      <c r="J104" s="1521">
        <v>103.74799999999955</v>
      </c>
      <c r="K104" s="1521">
        <v>151.22599999999991</v>
      </c>
      <c r="L104" s="1521">
        <v>209.64400000000043</v>
      </c>
      <c r="M104" s="1521">
        <v>366.56499999999949</v>
      </c>
      <c r="N104" s="1521">
        <v>681.01300000000037</v>
      </c>
      <c r="O104" s="1521">
        <v>666.66600000000028</v>
      </c>
      <c r="P104" s="1521">
        <v>981.20600000000036</v>
      </c>
      <c r="Q104" s="1521">
        <v>996.4719999999993</v>
      </c>
      <c r="R104" s="1521">
        <v>1089.4689999999996</v>
      </c>
      <c r="S104" s="1521">
        <v>953.25299999999891</v>
      </c>
      <c r="T104" s="1521">
        <v>764.41399999999817</v>
      </c>
      <c r="U104" s="1521">
        <v>-3708.2140000000018</v>
      </c>
      <c r="V104" s="1521">
        <v>487.88700000000063</v>
      </c>
      <c r="W104" s="1521">
        <v>1661.8799999999978</v>
      </c>
      <c r="X104" s="1521">
        <v>2789.8959999999984</v>
      </c>
      <c r="Y104" s="1521">
        <v>1470.1095128853174</v>
      </c>
      <c r="Z104" s="1521">
        <v>2206.4215808847589</v>
      </c>
      <c r="AA104" s="1521">
        <v>2961.1514315840727</v>
      </c>
      <c r="AB104" s="1521">
        <v>3927.9744766787521</v>
      </c>
      <c r="AC104" s="1521">
        <v>4007.5278713047765</v>
      </c>
      <c r="AD104" s="1521">
        <v>4210.2918261039576</v>
      </c>
      <c r="AE104" s="1521">
        <v>4408.1817716455425</v>
      </c>
      <c r="AF104" s="1521">
        <v>4620.3360199047202</v>
      </c>
      <c r="AG104" s="1521">
        <v>4834.3112055944102</v>
      </c>
      <c r="AH104" s="1521">
        <v>5049.8683224373053</v>
      </c>
      <c r="AI104" s="1261"/>
      <c r="AJ104" s="1261">
        <v>-2.3046106478878299</v>
      </c>
      <c r="AK104" s="1261">
        <f>IFERROR((X104/U104)^(1/3)-1,"NM")</f>
        <v>-1.9095105512112025</v>
      </c>
      <c r="AL104" s="1128">
        <f t="shared" si="9"/>
        <v>0.41923876465003707</v>
      </c>
      <c r="AM104" s="1261">
        <f>IFERROR((AD104/AA104)^(1/3)-1,"NM")</f>
        <v>0.12447687135379781</v>
      </c>
      <c r="AN104" s="1261">
        <f>IFERROR((AH104/X104)^(1/10)-1,"NM")</f>
        <v>6.1131492860125869E-2</v>
      </c>
    </row>
    <row r="105" spans="1:40" s="1209" customFormat="1" hidden="1" outlineLevel="1">
      <c r="A105" s="1239" t="s">
        <v>1229</v>
      </c>
      <c r="B105" s="1609">
        <v>0</v>
      </c>
      <c r="C105" s="1609">
        <v>0</v>
      </c>
      <c r="D105" s="1609">
        <v>0</v>
      </c>
      <c r="E105" s="1609">
        <v>0</v>
      </c>
      <c r="F105" s="1609">
        <v>0</v>
      </c>
      <c r="G105" s="1609">
        <v>0</v>
      </c>
      <c r="H105" s="1609">
        <v>0</v>
      </c>
      <c r="I105" s="1609">
        <v>0</v>
      </c>
      <c r="J105" s="1609">
        <v>0</v>
      </c>
      <c r="K105" s="1529">
        <v>0</v>
      </c>
      <c r="L105" s="1529">
        <v>0</v>
      </c>
      <c r="M105" s="1529">
        <v>0</v>
      </c>
      <c r="N105" s="1529">
        <v>0</v>
      </c>
      <c r="O105" s="1529">
        <v>0</v>
      </c>
      <c r="P105" s="1529">
        <v>0</v>
      </c>
      <c r="Q105" s="1529">
        <v>0</v>
      </c>
      <c r="R105" s="1529">
        <v>0</v>
      </c>
      <c r="S105" s="1529">
        <v>0</v>
      </c>
      <c r="T105" s="1529">
        <v>0</v>
      </c>
      <c r="U105" s="1529">
        <v>0</v>
      </c>
      <c r="V105" s="1529">
        <v>0</v>
      </c>
      <c r="W105" s="1529">
        <v>0</v>
      </c>
      <c r="X105" s="1529">
        <v>0</v>
      </c>
      <c r="Y105" s="1529">
        <v>0</v>
      </c>
      <c r="Z105" s="1529">
        <v>0</v>
      </c>
      <c r="AA105" s="1529">
        <v>0</v>
      </c>
      <c r="AB105" s="1529">
        <v>0</v>
      </c>
      <c r="AC105" s="1529">
        <v>0</v>
      </c>
      <c r="AD105" s="1529">
        <v>0</v>
      </c>
      <c r="AE105" s="1529">
        <v>0</v>
      </c>
      <c r="AF105" s="1529">
        <v>0</v>
      </c>
      <c r="AG105" s="1529">
        <v>0</v>
      </c>
      <c r="AH105" s="1529">
        <v>0</v>
      </c>
      <c r="AI105" s="1243"/>
      <c r="AJ105" s="1262"/>
      <c r="AK105" s="1243"/>
      <c r="AL105" s="1128" t="str">
        <f t="shared" si="9"/>
        <v>NM</v>
      </c>
      <c r="AM105" s="1243"/>
      <c r="AN105" s="1243"/>
    </row>
    <row r="106" spans="1:40" s="13" customFormat="1" hidden="1" outlineLevel="1">
      <c r="A106" s="1779" t="s">
        <v>639</v>
      </c>
      <c r="B106" s="1762">
        <v>31.013999999999928</v>
      </c>
      <c r="C106" s="1762">
        <v>148.92700000000005</v>
      </c>
      <c r="D106" s="1762">
        <v>128.14800000000005</v>
      </c>
      <c r="E106" s="1762">
        <v>154.60900000000004</v>
      </c>
      <c r="F106" s="1762">
        <v>281.49800000000027</v>
      </c>
      <c r="G106" s="1762">
        <v>222.17700000000085</v>
      </c>
      <c r="H106" s="1762">
        <v>478.43499999999983</v>
      </c>
      <c r="I106" s="1762">
        <v>128.779</v>
      </c>
      <c r="J106" s="1762">
        <v>103.74800000000091</v>
      </c>
      <c r="K106" s="1780">
        <v>151.22599999999855</v>
      </c>
      <c r="L106" s="1780">
        <v>209.64400000000063</v>
      </c>
      <c r="M106" s="1780">
        <v>366.56500000000062</v>
      </c>
      <c r="N106" s="1780">
        <v>681.01300000000174</v>
      </c>
      <c r="O106" s="1780">
        <v>666.66600000000255</v>
      </c>
      <c r="P106" s="1780">
        <v>981.20599999999945</v>
      </c>
      <c r="Q106" s="1780">
        <v>996.47199999999748</v>
      </c>
      <c r="R106" s="1780">
        <v>1089.4689999999987</v>
      </c>
      <c r="S106" s="1762">
        <v>953.25299999999891</v>
      </c>
      <c r="T106" s="1762">
        <v>926.66999999999723</v>
      </c>
      <c r="U106" s="1762">
        <v>-3186.0470000000023</v>
      </c>
      <c r="V106" s="1762">
        <v>835.13</v>
      </c>
      <c r="W106" s="1762">
        <v>1632.3349999999978</v>
      </c>
      <c r="X106" s="1762">
        <v>2930.7289999999962</v>
      </c>
      <c r="Y106" s="1763">
        <v>1123.5562842488389</v>
      </c>
      <c r="Z106" s="1763">
        <v>1901.1917619047149</v>
      </c>
      <c r="AA106" s="1763">
        <v>2805.9030071771958</v>
      </c>
      <c r="AB106" s="1763">
        <v>3841.7683674160339</v>
      </c>
      <c r="AC106" s="1763">
        <v>4060.716629850177</v>
      </c>
      <c r="AD106" s="1763">
        <v>4382.4137503565798</v>
      </c>
      <c r="AE106" s="1763">
        <v>4679.1784124621299</v>
      </c>
      <c r="AF106" s="1763">
        <v>4982.1373277645362</v>
      </c>
      <c r="AG106" s="1763">
        <v>5276.6168806227606</v>
      </c>
      <c r="AH106" s="1763">
        <v>5564.0902061198249</v>
      </c>
      <c r="AI106" s="1263"/>
      <c r="AJ106" s="1128">
        <v>-2.2656056255837949</v>
      </c>
      <c r="AK106" s="1128">
        <f>IFERROR((X106/U106)^(1/3)-1,"NM")</f>
        <v>-1.9725407954776022</v>
      </c>
      <c r="AL106" s="1128">
        <f t="shared" si="9"/>
        <v>0.58029770964558391</v>
      </c>
      <c r="AM106" s="1263">
        <f>IFERROR((AD106/AA106)^(1/3)-1,"NM")</f>
        <v>0.16023752539801461</v>
      </c>
      <c r="AN106" s="1263">
        <f>IFERROR((AH106/X106)^(1/10)-1,"NM")</f>
        <v>6.6207786996721474E-2</v>
      </c>
    </row>
    <row r="107" spans="1:40" hidden="1" outlineLevel="1">
      <c r="A107" s="1781" t="s">
        <v>598</v>
      </c>
      <c r="B107" s="1517">
        <v>1.2532661131616754E-2</v>
      </c>
      <c r="C107" s="1517">
        <v>5.6671141695548884E-2</v>
      </c>
      <c r="D107" s="1517">
        <v>4.4627686452787092E-2</v>
      </c>
      <c r="E107" s="1517">
        <v>4.1689384170928399E-2</v>
      </c>
      <c r="F107" s="1517">
        <v>6.03386706106789E-2</v>
      </c>
      <c r="G107" s="1517">
        <v>3.6867014776873534E-2</v>
      </c>
      <c r="H107" s="1517">
        <v>6.8490679778961908E-2</v>
      </c>
      <c r="I107" s="1517">
        <v>1.6538024459976913E-2</v>
      </c>
      <c r="J107" s="1517">
        <v>1.2081870428379667E-2</v>
      </c>
      <c r="K107" s="1517">
        <v>1.6837611786083142E-2</v>
      </c>
      <c r="L107" s="1517">
        <v>1.9599300855681501E-2</v>
      </c>
      <c r="M107" s="1517">
        <v>2.7113772515326595E-2</v>
      </c>
      <c r="N107" s="1517">
        <v>4.3341661010401593E-2</v>
      </c>
      <c r="O107" s="1517">
        <v>2.9239409822390254E-2</v>
      </c>
      <c r="P107" s="1517">
        <v>3.0388830952662326E-2</v>
      </c>
      <c r="Q107" s="1517">
        <v>2.643030914092391E-2</v>
      </c>
      <c r="R107" s="1517">
        <v>2.5617011929308361E-2</v>
      </c>
      <c r="S107" s="1517">
        <v>2.0652586756244606E-2</v>
      </c>
      <c r="T107" s="1517">
        <v>1.5934589821661412E-2</v>
      </c>
      <c r="U107" s="1782">
        <v>-8.276431541114028E-2</v>
      </c>
      <c r="V107" s="1782">
        <v>1.5645153757524264E-2</v>
      </c>
      <c r="W107" s="1782">
        <v>2.3715008744930779E-2</v>
      </c>
      <c r="X107" s="1782">
        <v>3.8445345786142102E-2</v>
      </c>
      <c r="Y107" s="1782">
        <v>1.4303884297680607E-2</v>
      </c>
      <c r="Z107" s="1782">
        <v>2.2106627944091795E-2</v>
      </c>
      <c r="AA107" s="1782">
        <v>3.0544754549495394E-2</v>
      </c>
      <c r="AB107" s="1782">
        <v>3.9490798853919803E-2</v>
      </c>
      <c r="AC107" s="1782">
        <v>3.9651586162195267E-2</v>
      </c>
      <c r="AD107" s="1782">
        <v>4.0659701374145318E-2</v>
      </c>
      <c r="AE107" s="1782">
        <v>4.130061162426172E-2</v>
      </c>
      <c r="AF107" s="1782">
        <v>4.1888755825222161E-2</v>
      </c>
      <c r="AG107" s="1782">
        <v>4.2264445428759456E-2</v>
      </c>
      <c r="AH107" s="1782">
        <v>4.2468652200359863E-2</v>
      </c>
      <c r="AJ107" s="1260"/>
      <c r="AL107" s="1128">
        <f t="shared" si="9"/>
        <v>0.46130653186570902</v>
      </c>
    </row>
    <row r="108" spans="1:40" s="1209" customFormat="1" hidden="1" outlineLevel="1">
      <c r="A108" s="1238" t="s">
        <v>1226</v>
      </c>
      <c r="B108" s="1521">
        <v>31.013999999999928</v>
      </c>
      <c r="C108" s="1521">
        <v>148.92700000000005</v>
      </c>
      <c r="D108" s="1521">
        <v>128.14800000000005</v>
      </c>
      <c r="E108" s="1521">
        <v>154.60900000000004</v>
      </c>
      <c r="F108" s="1521">
        <v>281.49800000000027</v>
      </c>
      <c r="G108" s="1521">
        <v>222.17700000000085</v>
      </c>
      <c r="H108" s="1521">
        <v>478.43499999999983</v>
      </c>
      <c r="I108" s="1521">
        <v>128.779</v>
      </c>
      <c r="J108" s="1521">
        <v>103.74800000000091</v>
      </c>
      <c r="K108" s="1521">
        <v>151.22599999999855</v>
      </c>
      <c r="L108" s="1521">
        <v>209.64400000000063</v>
      </c>
      <c r="M108" s="1521">
        <v>366.56500000000062</v>
      </c>
      <c r="N108" s="1521">
        <v>681.01300000000174</v>
      </c>
      <c r="O108" s="1521">
        <v>666.66600000000255</v>
      </c>
      <c r="P108" s="1521">
        <v>981.20599999999945</v>
      </c>
      <c r="Q108" s="1521">
        <v>996.47199999999748</v>
      </c>
      <c r="R108" s="1521">
        <v>1089.4689999999987</v>
      </c>
      <c r="S108" s="1521">
        <v>953.25299999999891</v>
      </c>
      <c r="T108" s="1521">
        <v>764.41399999999817</v>
      </c>
      <c r="U108" s="1521">
        <v>-3708.2140000000018</v>
      </c>
      <c r="V108" s="1521">
        <v>487.88700000000063</v>
      </c>
      <c r="W108" s="1521">
        <v>1661.8799999999978</v>
      </c>
      <c r="X108" s="1521">
        <v>2789.8959999999984</v>
      </c>
      <c r="Y108" s="1521">
        <v>1644.5019874433028</v>
      </c>
      <c r="Z108" s="1521">
        <v>2363.6611846017609</v>
      </c>
      <c r="AA108" s="1521">
        <v>3041.1278926421564</v>
      </c>
      <c r="AB108" s="1521">
        <v>3972.3836844807579</v>
      </c>
      <c r="AC108" s="1521">
        <v>3980.1276017510818</v>
      </c>
      <c r="AD108" s="1521">
        <v>4121.62295603443</v>
      </c>
      <c r="AE108" s="1521">
        <v>4268.5774415279102</v>
      </c>
      <c r="AF108" s="1521">
        <v>4433.9535279769352</v>
      </c>
      <c r="AG108" s="1521">
        <v>4606.4567669434437</v>
      </c>
      <c r="AH108" s="1521">
        <v>4784.9661399341967</v>
      </c>
      <c r="AI108" s="1261"/>
      <c r="AJ108" s="1261">
        <v>-2.3046106478878299</v>
      </c>
      <c r="AK108" s="1261">
        <f>IFERROR((X108/U108)^(1/3)-1,"NM")</f>
        <v>-1.9095105512112025</v>
      </c>
      <c r="AL108" s="1128">
        <f t="shared" si="9"/>
        <v>0.35987860450352849</v>
      </c>
      <c r="AM108" s="1261">
        <f>IFERROR((AD108/AA108)^(1/3)-1,"NM")</f>
        <v>0.1066523023950563</v>
      </c>
      <c r="AN108" s="1261">
        <f>IFERROR((AH108/X108)^(1/10)-1,"NM")</f>
        <v>5.5429151557334633E-2</v>
      </c>
    </row>
    <row r="109" spans="1:40" s="1209" customFormat="1" hidden="1" outlineLevel="1">
      <c r="A109" s="1240" t="s">
        <v>1227</v>
      </c>
      <c r="B109" s="1530">
        <v>1.2532661131616754E-2</v>
      </c>
      <c r="C109" s="1530">
        <v>5.6671141695548884E-2</v>
      </c>
      <c r="D109" s="1530">
        <v>4.4627686452787092E-2</v>
      </c>
      <c r="E109" s="1530">
        <v>4.1689384170928399E-2</v>
      </c>
      <c r="F109" s="1530">
        <v>6.03386706106789E-2</v>
      </c>
      <c r="G109" s="1530">
        <v>3.6867014776873534E-2</v>
      </c>
      <c r="H109" s="1530">
        <v>6.8490679778961908E-2</v>
      </c>
      <c r="I109" s="1530">
        <v>1.6538024459976913E-2</v>
      </c>
      <c r="J109" s="1530">
        <v>1.2081870428379667E-2</v>
      </c>
      <c r="K109" s="1530">
        <v>1.6837611786083142E-2</v>
      </c>
      <c r="L109" s="1530">
        <v>1.9599300855681501E-2</v>
      </c>
      <c r="M109" s="1530">
        <v>2.7113772515326595E-2</v>
      </c>
      <c r="N109" s="1530">
        <v>4.3341661010401593E-2</v>
      </c>
      <c r="O109" s="1530">
        <v>2.9239409822390254E-2</v>
      </c>
      <c r="P109" s="1530">
        <v>3.0388830952662326E-2</v>
      </c>
      <c r="Q109" s="1530">
        <v>2.643030914092391E-2</v>
      </c>
      <c r="R109" s="1530">
        <v>2.5617011929308361E-2</v>
      </c>
      <c r="S109" s="1530">
        <v>2.0652586756244606E-2</v>
      </c>
      <c r="T109" s="1530">
        <v>1.3144510498813485E-2</v>
      </c>
      <c r="U109" s="1530">
        <v>-9.632870861855021E-2</v>
      </c>
      <c r="V109" s="1530">
        <v>9.1399747719483806E-3</v>
      </c>
      <c r="W109" s="1530">
        <v>2.4144246575014051E-2</v>
      </c>
      <c r="X109" s="1530">
        <v>3.6597896437157711E-2</v>
      </c>
      <c r="Y109" s="1530">
        <v>2.0935992691653284E-2</v>
      </c>
      <c r="Z109" s="1530">
        <v>2.7484117825933033E-2</v>
      </c>
      <c r="AA109" s="1530">
        <v>3.3105387034681882E-2</v>
      </c>
      <c r="AB109" s="1530">
        <v>4.0833436597827642E-2</v>
      </c>
      <c r="AC109" s="1530">
        <v>3.8864660335382092E-2</v>
      </c>
      <c r="AD109" s="1530">
        <v>3.8240104224651621E-2</v>
      </c>
      <c r="AE109" s="1530">
        <v>3.767645589898861E-2</v>
      </c>
      <c r="AF109" s="1530">
        <v>3.727974249901813E-2</v>
      </c>
      <c r="AG109" s="1530">
        <v>3.6896622409971734E-2</v>
      </c>
      <c r="AH109" s="1530">
        <v>3.6521885026927908E-2</v>
      </c>
      <c r="AI109" s="1243"/>
      <c r="AJ109" s="1262"/>
      <c r="AK109" s="1243"/>
      <c r="AL109" s="1128">
        <f t="shared" si="9"/>
        <v>0.25748425450233925</v>
      </c>
      <c r="AM109" s="1243"/>
      <c r="AN109" s="1243"/>
    </row>
    <row r="110" spans="1:40" collapsed="1">
      <c r="A110" s="103"/>
      <c r="B110" s="1531"/>
      <c r="C110" s="1531"/>
      <c r="D110" s="1531"/>
      <c r="E110" s="1531"/>
      <c r="F110" s="1531"/>
      <c r="G110" s="1531"/>
      <c r="H110" s="1531"/>
      <c r="I110" s="1531"/>
      <c r="J110" s="1531"/>
      <c r="K110" s="1531"/>
      <c r="L110" s="1531"/>
      <c r="M110" s="1531"/>
      <c r="N110" s="1531"/>
      <c r="O110" s="1531"/>
      <c r="P110" s="1531"/>
      <c r="Q110" s="1531"/>
      <c r="R110" s="1531"/>
      <c r="S110" s="1531"/>
      <c r="T110" s="1531"/>
      <c r="U110" s="1531"/>
      <c r="V110" s="1531"/>
      <c r="W110" s="1531"/>
      <c r="X110" s="1531"/>
      <c r="Y110" s="1531"/>
      <c r="Z110" s="1531"/>
      <c r="AA110" s="1531"/>
      <c r="AB110" s="1531"/>
      <c r="AC110" s="1531"/>
      <c r="AD110" s="1531"/>
      <c r="AE110" s="1531"/>
      <c r="AF110" s="1531"/>
      <c r="AG110" s="1531"/>
      <c r="AH110" s="1531"/>
      <c r="AI110" s="1133"/>
      <c r="AJ110" s="508"/>
      <c r="AK110" s="1133"/>
      <c r="AL110" s="1128" t="str">
        <f t="shared" si="9"/>
        <v>NM</v>
      </c>
      <c r="AM110" s="1133"/>
      <c r="AN110" s="1133"/>
    </row>
    <row r="111" spans="1:40">
      <c r="A111" s="105" t="s">
        <v>591</v>
      </c>
      <c r="B111" s="106"/>
      <c r="C111" s="106"/>
      <c r="D111" s="106">
        <v>467.2</v>
      </c>
      <c r="E111" s="967">
        <v>496.8</v>
      </c>
      <c r="F111" s="967">
        <v>546.4</v>
      </c>
      <c r="G111" s="967">
        <v>623.20000000000005</v>
      </c>
      <c r="H111" s="967">
        <v>618.79999999999995</v>
      </c>
      <c r="I111" s="967">
        <v>618</v>
      </c>
      <c r="J111" s="106">
        <v>601.79999999999995</v>
      </c>
      <c r="K111" s="106">
        <v>605.20000000000005</v>
      </c>
      <c r="L111" s="967">
        <v>606</v>
      </c>
      <c r="M111" s="967">
        <v>687.8</v>
      </c>
      <c r="N111" s="967">
        <v>687.8</v>
      </c>
      <c r="O111" s="967">
        <v>837.6</v>
      </c>
      <c r="P111" s="967">
        <v>837.5</v>
      </c>
      <c r="Q111" s="967">
        <v>834.3</v>
      </c>
      <c r="R111" s="967">
        <v>832.8</v>
      </c>
      <c r="S111" s="967">
        <v>835.6</v>
      </c>
      <c r="T111" s="967">
        <v>838.5</v>
      </c>
      <c r="U111" s="967">
        <v>838.5</v>
      </c>
      <c r="V111" s="967">
        <v>838.6</v>
      </c>
      <c r="W111" s="967">
        <v>820</v>
      </c>
      <c r="X111" s="967">
        <v>809.7</v>
      </c>
      <c r="Y111" s="1397">
        <v>815</v>
      </c>
      <c r="Z111" s="1397">
        <v>815</v>
      </c>
      <c r="AA111" s="1397">
        <v>815</v>
      </c>
      <c r="AB111" s="1397">
        <v>815</v>
      </c>
      <c r="AC111" s="1397">
        <v>815</v>
      </c>
      <c r="AD111" s="1397">
        <v>815</v>
      </c>
      <c r="AE111" s="1397">
        <v>815</v>
      </c>
      <c r="AF111" s="1397">
        <v>815</v>
      </c>
      <c r="AG111" s="1397">
        <v>815</v>
      </c>
      <c r="AH111" s="1397">
        <v>815</v>
      </c>
      <c r="AI111" s="1133"/>
      <c r="AJ111" s="508"/>
      <c r="AK111" s="1133"/>
      <c r="AL111" s="1128">
        <f t="shared" si="9"/>
        <v>0</v>
      </c>
      <c r="AM111" s="1133"/>
      <c r="AN111" s="1133"/>
    </row>
    <row r="112" spans="1:40" hidden="1" outlineLevel="1">
      <c r="A112" s="107" t="s">
        <v>592</v>
      </c>
      <c r="B112" s="106"/>
      <c r="C112" s="106"/>
      <c r="D112" s="106" t="s">
        <v>750</v>
      </c>
      <c r="E112" s="106" t="s">
        <v>750</v>
      </c>
      <c r="F112" s="106" t="s">
        <v>750</v>
      </c>
      <c r="G112" s="106" t="s">
        <v>750</v>
      </c>
      <c r="H112" s="106" t="s">
        <v>750</v>
      </c>
      <c r="I112" s="106" t="s">
        <v>750</v>
      </c>
      <c r="J112" s="106" t="s">
        <v>750</v>
      </c>
      <c r="K112" s="106">
        <v>603.5</v>
      </c>
      <c r="L112" s="438">
        <v>605.6</v>
      </c>
      <c r="M112" s="438">
        <v>646.9</v>
      </c>
      <c r="N112" s="438">
        <v>687.8</v>
      </c>
      <c r="O112" s="438">
        <v>762.7</v>
      </c>
      <c r="P112" s="438">
        <v>837.55</v>
      </c>
      <c r="Q112" s="438">
        <v>835.9</v>
      </c>
      <c r="R112" s="438">
        <v>833.55</v>
      </c>
      <c r="S112" s="438">
        <v>834.2</v>
      </c>
      <c r="T112" s="438">
        <v>837.05</v>
      </c>
      <c r="U112" s="438">
        <v>838.5</v>
      </c>
      <c r="V112" s="438">
        <v>838.55</v>
      </c>
      <c r="W112" s="438">
        <v>829.3</v>
      </c>
      <c r="X112" s="438">
        <v>814.85</v>
      </c>
      <c r="Y112" s="447">
        <v>812.35</v>
      </c>
      <c r="Z112" s="447">
        <v>815</v>
      </c>
      <c r="AA112" s="447">
        <v>815</v>
      </c>
      <c r="AB112" s="447">
        <v>815</v>
      </c>
      <c r="AC112" s="447">
        <v>815</v>
      </c>
      <c r="AD112" s="447">
        <v>815</v>
      </c>
      <c r="AE112" s="447">
        <v>815</v>
      </c>
      <c r="AF112" s="447">
        <v>815</v>
      </c>
      <c r="AG112" s="447">
        <v>815</v>
      </c>
      <c r="AH112" s="447">
        <v>815</v>
      </c>
      <c r="AI112" s="1133"/>
      <c r="AJ112" s="508"/>
      <c r="AK112" s="1133"/>
      <c r="AL112" s="1128">
        <f t="shared" si="9"/>
        <v>1.6297423214324258E-3</v>
      </c>
      <c r="AM112" s="1133"/>
      <c r="AN112" s="1133"/>
    </row>
    <row r="113" spans="1:40" collapsed="1">
      <c r="A113" s="108" t="s">
        <v>593</v>
      </c>
      <c r="B113" s="106"/>
      <c r="C113" s="106"/>
      <c r="D113" s="106">
        <v>467.2</v>
      </c>
      <c r="E113" s="967">
        <v>496.8</v>
      </c>
      <c r="F113" s="967">
        <v>546.4</v>
      </c>
      <c r="G113" s="967">
        <v>623.20000000000005</v>
      </c>
      <c r="H113" s="967">
        <v>618.79999999999995</v>
      </c>
      <c r="I113" s="967">
        <v>618</v>
      </c>
      <c r="J113" s="106">
        <v>601.79999999999995</v>
      </c>
      <c r="K113" s="106">
        <v>605.20000000000005</v>
      </c>
      <c r="L113" s="438">
        <v>606</v>
      </c>
      <c r="M113" s="438">
        <v>687.8</v>
      </c>
      <c r="N113" s="438">
        <v>687.8</v>
      </c>
      <c r="O113" s="438">
        <v>837.6</v>
      </c>
      <c r="P113" s="438">
        <v>837.5</v>
      </c>
      <c r="Q113" s="438">
        <v>834.3</v>
      </c>
      <c r="R113" s="438">
        <v>832.8</v>
      </c>
      <c r="S113" s="438">
        <v>835.6</v>
      </c>
      <c r="T113" s="438">
        <v>838.5</v>
      </c>
      <c r="U113" s="438">
        <v>838.5</v>
      </c>
      <c r="V113" s="438">
        <v>838.6</v>
      </c>
      <c r="W113" s="438">
        <v>820</v>
      </c>
      <c r="X113" s="438">
        <v>809.7</v>
      </c>
      <c r="Y113" s="447">
        <v>815</v>
      </c>
      <c r="Z113" s="447">
        <v>815</v>
      </c>
      <c r="AA113" s="447">
        <v>815</v>
      </c>
      <c r="AB113" s="447">
        <v>815</v>
      </c>
      <c r="AC113" s="447">
        <v>815</v>
      </c>
      <c r="AD113" s="447">
        <v>815</v>
      </c>
      <c r="AE113" s="447">
        <v>815</v>
      </c>
      <c r="AF113" s="447">
        <v>815</v>
      </c>
      <c r="AG113" s="447">
        <v>815</v>
      </c>
      <c r="AH113" s="447">
        <v>815</v>
      </c>
      <c r="AI113" s="1133"/>
      <c r="AJ113" s="508"/>
      <c r="AK113" s="1134"/>
      <c r="AL113" s="1128">
        <f t="shared" si="9"/>
        <v>0</v>
      </c>
      <c r="AM113" s="1133"/>
      <c r="AN113" s="1133"/>
    </row>
    <row r="114" spans="1:40">
      <c r="A114" s="101" t="s">
        <v>663</v>
      </c>
      <c r="B114" s="1114"/>
      <c r="C114" s="1114"/>
      <c r="D114" s="1114">
        <v>0.27428938356164395</v>
      </c>
      <c r="E114" s="1114">
        <v>0.31120974235104665</v>
      </c>
      <c r="F114" s="1114">
        <v>0.51518667642752614</v>
      </c>
      <c r="G114" s="1114">
        <v>0.35650994865211943</v>
      </c>
      <c r="H114" s="1114">
        <v>0.77316580478345165</v>
      </c>
      <c r="I114" s="1114">
        <v>0.20838025889967637</v>
      </c>
      <c r="J114" s="1114">
        <v>0.17239614489863669</v>
      </c>
      <c r="K114" s="1114">
        <v>0.24987772637144728</v>
      </c>
      <c r="L114" s="1114">
        <v>0.34594719471947266</v>
      </c>
      <c r="M114" s="1114">
        <v>0.53295289328293038</v>
      </c>
      <c r="N114" s="1114">
        <v>0.99013230590287937</v>
      </c>
      <c r="O114" s="1114">
        <v>0.79592406876790867</v>
      </c>
      <c r="P114" s="1114">
        <v>1.1715892537313437</v>
      </c>
      <c r="Q114" s="1114">
        <v>1.1943809181349627</v>
      </c>
      <c r="R114" s="1114">
        <v>1.3082000480307392</v>
      </c>
      <c r="S114" s="1114">
        <v>1.1408006223073228</v>
      </c>
      <c r="T114" s="1114">
        <v>0.9116446034585548</v>
      </c>
      <c r="U114" s="1114">
        <v>-4.4224376863446651</v>
      </c>
      <c r="V114" s="1114">
        <v>0.58178750298115978</v>
      </c>
      <c r="W114" s="1114">
        <v>2.0266829268292659</v>
      </c>
      <c r="X114" s="1114">
        <v>3.4455921946399881</v>
      </c>
      <c r="Y114" s="1614">
        <v>1.8038153532335182</v>
      </c>
      <c r="Z114" s="1614">
        <v>2.7072657434168819</v>
      </c>
      <c r="AA114" s="1614">
        <v>3.6333146399804575</v>
      </c>
      <c r="AB114" s="1614">
        <v>4.8196005848819041</v>
      </c>
      <c r="AC114" s="1614">
        <v>4.9172121120304002</v>
      </c>
      <c r="AD114" s="1614">
        <v>5.1660022406183526</v>
      </c>
      <c r="AE114" s="1614">
        <v>5.4088119897491316</v>
      </c>
      <c r="AF114" s="1614">
        <v>5.6691239508033373</v>
      </c>
      <c r="AG114" s="1614">
        <v>5.9316701909133869</v>
      </c>
      <c r="AH114" s="1614">
        <v>6.1961574508433195</v>
      </c>
      <c r="AI114" s="508"/>
      <c r="AJ114" s="508"/>
      <c r="AK114" s="508"/>
      <c r="AL114" s="1128">
        <f t="shared" si="9"/>
        <v>0.41923876465003707</v>
      </c>
      <c r="AM114" s="508"/>
      <c r="AN114" s="508"/>
    </row>
    <row r="115" spans="1:40" s="13" customFormat="1">
      <c r="A115" s="590" t="s">
        <v>664</v>
      </c>
      <c r="B115" s="1615"/>
      <c r="C115" s="1615"/>
      <c r="D115" s="1615"/>
      <c r="E115" s="1615"/>
      <c r="F115" s="1615"/>
      <c r="G115" s="1615"/>
      <c r="H115" s="1615"/>
      <c r="I115" s="1615"/>
      <c r="J115" s="1615"/>
      <c r="K115" s="1615"/>
      <c r="L115" s="1615"/>
      <c r="M115" s="1615"/>
      <c r="N115" s="1615"/>
      <c r="O115" s="1532">
        <v>0.79592406876791133</v>
      </c>
      <c r="P115" s="1532">
        <v>1.1715892537313426</v>
      </c>
      <c r="Q115" s="1532">
        <v>1.1943809181349605</v>
      </c>
      <c r="R115" s="1532">
        <v>1.3082000480307381</v>
      </c>
      <c r="S115" s="1532">
        <v>1.1408006223073228</v>
      </c>
      <c r="T115" s="1532">
        <v>1.1051520572450773</v>
      </c>
      <c r="U115" s="1532">
        <v>-3.7996982707215294</v>
      </c>
      <c r="V115" s="1532">
        <v>0.99586215120438826</v>
      </c>
      <c r="W115" s="1532">
        <v>1.9906524390243876</v>
      </c>
      <c r="X115" s="1532">
        <v>3.6195245152525577</v>
      </c>
      <c r="Y115" s="1532">
        <v>1.3785966677899864</v>
      </c>
      <c r="Z115" s="1532">
        <v>2.3327506281039447</v>
      </c>
      <c r="AA115" s="1532">
        <v>3.4428257756775409</v>
      </c>
      <c r="AB115" s="1532">
        <v>4.7138262176883856</v>
      </c>
      <c r="AC115" s="1532">
        <v>4.982474392454205</v>
      </c>
      <c r="AD115" s="1532">
        <v>5.3771947857135949</v>
      </c>
      <c r="AE115" s="1532">
        <v>5.7413232054750063</v>
      </c>
      <c r="AF115" s="1532">
        <v>6.1130519359074063</v>
      </c>
      <c r="AG115" s="1532">
        <v>6.4743765406414244</v>
      </c>
      <c r="AH115" s="1532">
        <v>6.8271045473862886</v>
      </c>
      <c r="AI115" s="1127"/>
      <c r="AJ115" s="1128">
        <v>-2.2653036077411164</v>
      </c>
      <c r="AK115" s="1128">
        <f>IFERROR((X115/U115)^(1/3)-1,"NM")</f>
        <v>-1.9839374040059536</v>
      </c>
      <c r="AL115" s="1128">
        <f t="shared" si="9"/>
        <v>0.58029770964558391</v>
      </c>
      <c r="AM115" s="1127">
        <f>IFERROR((AD115/AA115)^(1/3)-1,"NM")</f>
        <v>0.16023752539801461</v>
      </c>
      <c r="AN115" s="1241"/>
    </row>
    <row r="116" spans="1:40" s="1209" customFormat="1" hidden="1" outlineLevel="1">
      <c r="A116" s="1265" t="s">
        <v>1230</v>
      </c>
      <c r="B116" s="1533"/>
      <c r="C116" s="1533"/>
      <c r="D116" s="1533">
        <v>0.27428938356164395</v>
      </c>
      <c r="E116" s="1533">
        <v>0.31120974235104665</v>
      </c>
      <c r="F116" s="1533">
        <v>0.51518667642752614</v>
      </c>
      <c r="G116" s="1533">
        <v>0.35650994865211943</v>
      </c>
      <c r="H116" s="1533">
        <v>0.77316580478345165</v>
      </c>
      <c r="I116" s="1533">
        <v>0.20838025889967637</v>
      </c>
      <c r="J116" s="1533">
        <v>0.17239614489863669</v>
      </c>
      <c r="K116" s="1533">
        <v>0.24987772637144728</v>
      </c>
      <c r="L116" s="1533">
        <v>0.34594719471947266</v>
      </c>
      <c r="M116" s="1533">
        <v>0.53295289328293038</v>
      </c>
      <c r="N116" s="1533">
        <v>0.99013230590287937</v>
      </c>
      <c r="O116" s="1533">
        <v>0.79592406876790867</v>
      </c>
      <c r="P116" s="1533">
        <v>1.1715892537313437</v>
      </c>
      <c r="Q116" s="1533">
        <v>1.1943809181349627</v>
      </c>
      <c r="R116" s="1533">
        <v>1.3082000480307392</v>
      </c>
      <c r="S116" s="1533">
        <v>1.1408006223073228</v>
      </c>
      <c r="T116" s="1533">
        <v>0.9116446034585548</v>
      </c>
      <c r="U116" s="1533">
        <v>-4.4224376863446651</v>
      </c>
      <c r="V116" s="1533">
        <v>0.58178750298115978</v>
      </c>
      <c r="W116" s="1533">
        <v>2.0266829268292659</v>
      </c>
      <c r="X116" s="1533">
        <v>3.4455921946399881</v>
      </c>
      <c r="Y116" s="1533">
        <v>1.8038153532335182</v>
      </c>
      <c r="Z116" s="1533">
        <v>2.7072657434168819</v>
      </c>
      <c r="AA116" s="1533">
        <v>3.6333146399804575</v>
      </c>
      <c r="AB116" s="1533">
        <v>4.8196005848819041</v>
      </c>
      <c r="AC116" s="1533">
        <v>4.9172121120304002</v>
      </c>
      <c r="AD116" s="1533">
        <v>5.1660022406183526</v>
      </c>
      <c r="AE116" s="1533">
        <v>5.4088119897491316</v>
      </c>
      <c r="AF116" s="1533">
        <v>5.6691239508033373</v>
      </c>
      <c r="AG116" s="1533">
        <v>5.9316701909133869</v>
      </c>
      <c r="AH116" s="1533">
        <v>6.1961574508433195</v>
      </c>
      <c r="AI116" s="1261"/>
      <c r="AJ116" s="1261">
        <v>-2.3042993220802908</v>
      </c>
      <c r="AK116" s="1261">
        <f>IFERROR((X116/U116)^(1/3)-1,"NM")</f>
        <v>-1.9201685470019796</v>
      </c>
      <c r="AL116" s="1128">
        <f t="shared" si="9"/>
        <v>0.41923876465003707</v>
      </c>
      <c r="AM116" s="1261">
        <f>IFERROR((AD116/AA116)^(1/3)-1,"NM")</f>
        <v>0.12447687135379781</v>
      </c>
      <c r="AN116" s="1261">
        <f>IFERROR((AH116/X116)^(1/10)-1,"NM")</f>
        <v>6.0439404151977349E-2</v>
      </c>
    </row>
    <row r="117" spans="1:40" hidden="1" outlineLevel="1">
      <c r="A117" s="95" t="s">
        <v>665</v>
      </c>
      <c r="B117" s="967"/>
      <c r="C117" s="967"/>
      <c r="D117" s="967">
        <v>43.343000000000004</v>
      </c>
      <c r="E117" s="1272">
        <v>78.266999999999996</v>
      </c>
      <c r="F117" s="1272">
        <v>104.13</v>
      </c>
      <c r="G117" s="1272">
        <v>167.67699999999999</v>
      </c>
      <c r="H117" s="1272">
        <v>67.84</v>
      </c>
      <c r="I117" s="1272">
        <v>0</v>
      </c>
      <c r="J117" s="967">
        <v>41.834000000000003</v>
      </c>
      <c r="K117" s="967">
        <v>245.958</v>
      </c>
      <c r="L117" s="1272">
        <v>122.648</v>
      </c>
      <c r="M117" s="1272">
        <v>0</v>
      </c>
      <c r="N117" s="1272">
        <v>343.87799999999999</v>
      </c>
      <c r="O117" s="1272">
        <v>0</v>
      </c>
      <c r="P117" s="1272">
        <v>419.173</v>
      </c>
      <c r="Q117" s="1272">
        <v>644.77099999999996</v>
      </c>
      <c r="R117" s="1272">
        <v>719.39800000000002</v>
      </c>
      <c r="S117" s="967">
        <v>720.14400000000001</v>
      </c>
      <c r="T117" s="967">
        <v>0</v>
      </c>
      <c r="U117" s="967">
        <v>0</v>
      </c>
      <c r="V117" s="967">
        <v>0</v>
      </c>
      <c r="W117" s="967">
        <v>0</v>
      </c>
      <c r="X117" s="967">
        <v>0</v>
      </c>
      <c r="Y117" s="1397">
        <v>978.01700000000005</v>
      </c>
      <c r="Z117" s="1397">
        <v>0</v>
      </c>
      <c r="AA117" s="1397">
        <v>0</v>
      </c>
      <c r="AB117" s="1397">
        <v>0</v>
      </c>
      <c r="AC117" s="1397">
        <v>0</v>
      </c>
      <c r="AD117" s="1397">
        <v>0</v>
      </c>
      <c r="AE117" s="1397">
        <v>0</v>
      </c>
      <c r="AF117" s="1397">
        <v>0</v>
      </c>
      <c r="AG117" s="1397">
        <v>0</v>
      </c>
      <c r="AH117" s="1397">
        <v>0</v>
      </c>
      <c r="AI117" s="1128"/>
      <c r="AJ117" s="1128">
        <v>-1</v>
      </c>
      <c r="AK117" s="1128" t="str">
        <f>IFERROR((W117/T117)^(1/3)-1,"NM")</f>
        <v>NM</v>
      </c>
      <c r="AL117" s="1128">
        <f t="shared" si="9"/>
        <v>-1</v>
      </c>
      <c r="AM117" s="1128" t="str">
        <f>IFERROR((AD117/AA117)^(1/3)-1,"NM")</f>
        <v>NM</v>
      </c>
      <c r="AN117" s="1128" t="str">
        <f>IFERROR((AH117/X117)^(1/10)-1,"NM")</f>
        <v>NM</v>
      </c>
    </row>
    <row r="118" spans="1:40" collapsed="1">
      <c r="A118" s="101" t="s">
        <v>666</v>
      </c>
      <c r="B118" s="1114"/>
      <c r="C118" s="1114"/>
      <c r="D118" s="1114">
        <v>9.2771832191780826E-2</v>
      </c>
      <c r="E118" s="1114">
        <v>0.15754227053140096</v>
      </c>
      <c r="F118" s="1114">
        <v>0.19057467057101024</v>
      </c>
      <c r="G118" s="1114">
        <v>0.26905808729139918</v>
      </c>
      <c r="H118" s="1114">
        <v>0.10963154492566259</v>
      </c>
      <c r="I118" s="1114">
        <v>0</v>
      </c>
      <c r="J118" s="1114">
        <v>6.9514788966434038E-2</v>
      </c>
      <c r="K118" s="1114">
        <v>0.40640779907468599</v>
      </c>
      <c r="L118" s="1534">
        <v>0.20238943894389438</v>
      </c>
      <c r="M118" s="1534">
        <v>0</v>
      </c>
      <c r="N118" s="1534">
        <v>0.49996801395754581</v>
      </c>
      <c r="O118" s="1534">
        <v>0</v>
      </c>
      <c r="P118" s="1534">
        <v>0.50050507462686566</v>
      </c>
      <c r="Q118" s="1534">
        <v>0.77282871868632386</v>
      </c>
      <c r="R118" s="1534">
        <v>0.86383045148895299</v>
      </c>
      <c r="S118" s="1114">
        <v>0.86182862613690758</v>
      </c>
      <c r="T118" s="1114">
        <v>0</v>
      </c>
      <c r="U118" s="1114">
        <v>0</v>
      </c>
      <c r="V118" s="1114">
        <v>0</v>
      </c>
      <c r="W118" s="1114">
        <v>0</v>
      </c>
      <c r="X118" s="1114">
        <v>0</v>
      </c>
      <c r="Y118" s="1614">
        <v>1.2000208588957055</v>
      </c>
      <c r="Z118" s="1614">
        <v>0</v>
      </c>
      <c r="AA118" s="1614">
        <v>0</v>
      </c>
      <c r="AB118" s="1614">
        <v>0</v>
      </c>
      <c r="AC118" s="1614">
        <v>0</v>
      </c>
      <c r="AD118" s="1614">
        <v>0</v>
      </c>
      <c r="AE118" s="1614">
        <v>0</v>
      </c>
      <c r="AF118" s="1614">
        <v>0</v>
      </c>
      <c r="AG118" s="1614">
        <v>0</v>
      </c>
      <c r="AH118" s="1614">
        <v>0</v>
      </c>
      <c r="AI118" s="508"/>
      <c r="AJ118" s="508"/>
      <c r="AK118" s="508"/>
      <c r="AL118" s="508"/>
      <c r="AM118" s="508"/>
      <c r="AN118" s="508"/>
    </row>
    <row r="119" spans="1:40">
      <c r="A119" s="126" t="s">
        <v>1549</v>
      </c>
      <c r="B119" s="127"/>
      <c r="C119" s="127"/>
      <c r="D119" s="127"/>
      <c r="E119" s="127"/>
      <c r="F119" s="127"/>
      <c r="G119" s="1535"/>
      <c r="H119" s="1535"/>
      <c r="I119" s="1535"/>
      <c r="J119" s="1535"/>
      <c r="K119" s="1535"/>
      <c r="L119" s="1535"/>
      <c r="M119" s="1535"/>
      <c r="N119" s="1535"/>
      <c r="O119" s="1535"/>
      <c r="P119" s="1535"/>
      <c r="Q119" s="1535"/>
      <c r="R119" s="1535"/>
      <c r="S119" s="1535"/>
      <c r="T119" s="1535"/>
      <c r="U119" s="1535"/>
      <c r="V119" s="127"/>
      <c r="W119" s="127"/>
      <c r="X119" s="127"/>
      <c r="Y119" s="127"/>
      <c r="Z119" s="127"/>
      <c r="AA119" s="127"/>
      <c r="AB119" s="127"/>
      <c r="AC119" s="127"/>
      <c r="AD119" s="127"/>
      <c r="AE119" s="127"/>
      <c r="AF119" s="127"/>
      <c r="AG119" s="127"/>
      <c r="AH119" s="127" t="s">
        <v>281</v>
      </c>
      <c r="AI119" s="508"/>
      <c r="AJ119" s="508"/>
      <c r="AK119" s="508"/>
      <c r="AL119" s="508"/>
      <c r="AM119" s="508"/>
      <c r="AN119" s="508"/>
    </row>
    <row r="120" spans="1:40">
      <c r="A120" s="94"/>
      <c r="B120" s="1536"/>
      <c r="C120" s="1536"/>
      <c r="D120" s="1536"/>
      <c r="E120" s="1536"/>
      <c r="F120" s="438"/>
      <c r="G120" s="1536"/>
      <c r="H120" s="1536"/>
      <c r="I120" s="1536"/>
      <c r="J120" s="1536"/>
      <c r="K120" s="1536"/>
      <c r="L120" s="1536"/>
      <c r="M120" s="438"/>
      <c r="N120" s="1536"/>
      <c r="O120" s="1536"/>
      <c r="P120" s="1536"/>
      <c r="Q120" s="1536"/>
      <c r="R120" s="1536"/>
      <c r="S120" s="1536"/>
      <c r="T120" s="1536"/>
      <c r="U120" s="1536"/>
      <c r="V120" s="1536"/>
      <c r="W120" s="1536"/>
      <c r="X120" s="1536"/>
      <c r="Y120" s="1536"/>
      <c r="Z120" s="1536"/>
      <c r="AA120" s="1536"/>
      <c r="AB120" s="1536"/>
      <c r="AC120" s="1536"/>
      <c r="AD120" s="1536"/>
      <c r="AE120" s="1536"/>
      <c r="AF120" s="1536"/>
      <c r="AG120" s="1536"/>
      <c r="AH120" s="1536"/>
      <c r="AI120" s="104"/>
      <c r="AJ120" s="104"/>
      <c r="AK120" s="104"/>
      <c r="AL120" s="104"/>
      <c r="AM120" s="104"/>
      <c r="AN120" s="104"/>
    </row>
    <row r="121" spans="1:40">
      <c r="A121" s="1126" t="s">
        <v>667</v>
      </c>
      <c r="B121" s="1124">
        <v>2001</v>
      </c>
      <c r="C121" s="1124">
        <v>2002</v>
      </c>
      <c r="D121" s="1124">
        <v>2003</v>
      </c>
      <c r="E121" s="1124">
        <v>2004</v>
      </c>
      <c r="F121" s="1124">
        <v>2005</v>
      </c>
      <c r="G121" s="1124">
        <v>2006</v>
      </c>
      <c r="H121" s="1124">
        <v>2007</v>
      </c>
      <c r="I121" s="1124">
        <v>2008</v>
      </c>
      <c r="J121" s="1124">
        <v>2009</v>
      </c>
      <c r="K121" s="1124">
        <v>2010</v>
      </c>
      <c r="L121" s="1124">
        <v>2011</v>
      </c>
      <c r="M121" s="1124">
        <v>2012</v>
      </c>
      <c r="N121" s="1124">
        <v>2013</v>
      </c>
      <c r="O121" s="1124">
        <v>2014</v>
      </c>
      <c r="P121" s="1124">
        <v>2015</v>
      </c>
      <c r="Q121" s="1124">
        <v>2016</v>
      </c>
      <c r="R121" s="1124">
        <v>2017</v>
      </c>
      <c r="S121" s="1124">
        <v>2018</v>
      </c>
      <c r="T121" s="1124">
        <v>2019</v>
      </c>
      <c r="U121" s="1124">
        <v>2020</v>
      </c>
      <c r="V121" s="1124">
        <v>2021</v>
      </c>
      <c r="W121" s="1124">
        <v>2022</v>
      </c>
      <c r="X121" s="1124">
        <v>2023</v>
      </c>
      <c r="Y121" s="1445">
        <v>2024</v>
      </c>
      <c r="Z121" s="1445">
        <v>2025</v>
      </c>
      <c r="AA121" s="1445">
        <v>2026</v>
      </c>
      <c r="AB121" s="1445">
        <v>2027</v>
      </c>
      <c r="AC121" s="1445">
        <v>2028</v>
      </c>
      <c r="AD121" s="1445">
        <v>2029</v>
      </c>
      <c r="AE121" s="1445">
        <v>2030</v>
      </c>
      <c r="AF121" s="1445">
        <v>2031</v>
      </c>
      <c r="AG121" s="1445">
        <v>2032</v>
      </c>
      <c r="AH121" s="1445">
        <v>2033</v>
      </c>
      <c r="AI121" s="508"/>
      <c r="AJ121" s="508"/>
      <c r="AK121" s="508"/>
      <c r="AL121" s="508"/>
      <c r="AM121" s="508"/>
      <c r="AN121" s="508"/>
    </row>
    <row r="122" spans="1:40">
      <c r="A122" s="122" t="s">
        <v>62</v>
      </c>
      <c r="B122" s="1616"/>
      <c r="C122" s="1616"/>
      <c r="D122" s="1616"/>
      <c r="E122" s="1616"/>
      <c r="F122" s="1537"/>
      <c r="G122" s="1537"/>
      <c r="H122" s="1537"/>
      <c r="I122" s="1537"/>
      <c r="J122" s="1616"/>
      <c r="K122" s="1616"/>
      <c r="L122" s="1616"/>
      <c r="M122" s="1537"/>
      <c r="N122" s="1537"/>
      <c r="O122" s="1537"/>
      <c r="P122" s="1537"/>
      <c r="Q122" s="1537"/>
      <c r="R122" s="1537"/>
      <c r="S122" s="1616"/>
      <c r="T122" s="1616"/>
      <c r="U122" s="1616"/>
      <c r="V122" s="1616"/>
      <c r="W122" s="1616"/>
      <c r="X122" s="1616"/>
      <c r="Y122" s="1616"/>
      <c r="Z122" s="1616"/>
      <c r="AA122" s="1616"/>
      <c r="AB122" s="1616"/>
      <c r="AC122" s="1616"/>
      <c r="AD122" s="1616"/>
      <c r="AE122" s="1616"/>
      <c r="AF122" s="1616"/>
      <c r="AG122" s="1616"/>
      <c r="AH122" s="1616"/>
      <c r="AI122" s="508"/>
      <c r="AJ122" s="508"/>
      <c r="AK122" s="508"/>
      <c r="AL122" s="508"/>
      <c r="AM122" s="508"/>
      <c r="AN122" s="508"/>
    </row>
    <row r="123" spans="1:40">
      <c r="A123" s="721" t="s">
        <v>63</v>
      </c>
      <c r="B123" s="967">
        <v>181.71699999999998</v>
      </c>
      <c r="C123" s="967">
        <v>271.52500000000003</v>
      </c>
      <c r="D123" s="967">
        <v>260.60399999999998</v>
      </c>
      <c r="E123" s="967">
        <v>338.76300000000003</v>
      </c>
      <c r="F123" s="967">
        <v>606.67600000000004</v>
      </c>
      <c r="G123" s="967">
        <v>751.4319999999999</v>
      </c>
      <c r="H123" s="967">
        <v>829.23</v>
      </c>
      <c r="I123" s="967">
        <v>1002.3040000000001</v>
      </c>
      <c r="J123" s="967">
        <v>992.6</v>
      </c>
      <c r="K123" s="967">
        <v>955.31</v>
      </c>
      <c r="L123" s="967">
        <v>928.69399999999996</v>
      </c>
      <c r="M123" s="967">
        <v>2418.83</v>
      </c>
      <c r="N123" s="967">
        <v>3386.0430000000001</v>
      </c>
      <c r="O123" s="967">
        <v>13597.599</v>
      </c>
      <c r="P123" s="967">
        <v>13753.902</v>
      </c>
      <c r="Q123" s="967">
        <v>15215.335999999999</v>
      </c>
      <c r="R123" s="967">
        <v>15358.005999999999</v>
      </c>
      <c r="S123" s="967">
        <v>25749.010999999999</v>
      </c>
      <c r="T123" s="967">
        <v>27375.208999999999</v>
      </c>
      <c r="U123" s="967">
        <v>28817</v>
      </c>
      <c r="V123" s="967">
        <v>27796.563999999998</v>
      </c>
      <c r="W123" s="967">
        <v>26671.732</v>
      </c>
      <c r="X123" s="967">
        <v>24991.065999999999</v>
      </c>
      <c r="Y123" s="1397">
        <v>24226.096441226942</v>
      </c>
      <c r="Z123" s="1397">
        <v>22831.37491894397</v>
      </c>
      <c r="AA123" s="1397">
        <v>21516.948962619736</v>
      </c>
      <c r="AB123" s="1397">
        <v>20278.195873163684</v>
      </c>
      <c r="AC123" s="1397">
        <v>19626.219407437969</v>
      </c>
      <c r="AD123" s="1397">
        <v>18995.205028996501</v>
      </c>
      <c r="AE123" s="1397">
        <v>18384.478773169671</v>
      </c>
      <c r="AF123" s="1397">
        <v>17793.388344331117</v>
      </c>
      <c r="AG123" s="1397">
        <v>17221.30241920329</v>
      </c>
      <c r="AH123" s="1397">
        <v>16667.609972562856</v>
      </c>
      <c r="AI123" s="1128"/>
      <c r="AJ123" s="1428"/>
      <c r="AK123" s="1428"/>
      <c r="AL123" s="1128"/>
      <c r="AM123" s="1128"/>
      <c r="AN123" s="1128"/>
    </row>
    <row r="124" spans="1:40">
      <c r="A124" s="721" t="s">
        <v>64</v>
      </c>
      <c r="B124" s="967">
        <v>822.97699999999998</v>
      </c>
      <c r="C124" s="967">
        <v>832.29399999999998</v>
      </c>
      <c r="D124" s="967">
        <v>875.50300000000004</v>
      </c>
      <c r="E124" s="967">
        <v>1308.741</v>
      </c>
      <c r="F124" s="967">
        <v>1809.133</v>
      </c>
      <c r="G124" s="967">
        <v>2244.79</v>
      </c>
      <c r="H124" s="967">
        <v>2748.3519999999999</v>
      </c>
      <c r="I124" s="967">
        <v>3044.9110000000001</v>
      </c>
      <c r="J124" s="967">
        <v>2897.6779999999999</v>
      </c>
      <c r="K124" s="967">
        <v>2994.123</v>
      </c>
      <c r="L124" s="967">
        <v>3472.42</v>
      </c>
      <c r="M124" s="967">
        <v>3924.1080000000002</v>
      </c>
      <c r="N124" s="967">
        <v>4764.3959999999997</v>
      </c>
      <c r="O124" s="967">
        <v>9947.0660000000007</v>
      </c>
      <c r="P124" s="967">
        <v>11063.805</v>
      </c>
      <c r="Q124" s="967">
        <v>13673.445</v>
      </c>
      <c r="R124" s="967">
        <v>15772.478999999999</v>
      </c>
      <c r="S124" s="967">
        <v>17993.148000000001</v>
      </c>
      <c r="T124" s="967">
        <v>17538.350999999999</v>
      </c>
      <c r="U124" s="967">
        <v>15880</v>
      </c>
      <c r="V124" s="967">
        <v>15277.931</v>
      </c>
      <c r="W124" s="967">
        <v>15428.754999999999</v>
      </c>
      <c r="X124" s="967">
        <v>15644.915000000001</v>
      </c>
      <c r="Y124" s="1397">
        <v>18929.715082566101</v>
      </c>
      <c r="Z124" s="1397">
        <v>21064.445705905047</v>
      </c>
      <c r="AA124" s="1397">
        <v>22825.858942722421</v>
      </c>
      <c r="AB124" s="1397">
        <v>24487.12058308972</v>
      </c>
      <c r="AC124" s="1397">
        <v>26552.4793142987</v>
      </c>
      <c r="AD124" s="1397">
        <v>28513.767187325444</v>
      </c>
      <c r="AE124" s="1397">
        <v>30147.610294839385</v>
      </c>
      <c r="AF124" s="1397">
        <v>31674.379422426977</v>
      </c>
      <c r="AG124" s="1397">
        <v>33090.956080210075</v>
      </c>
      <c r="AH124" s="1397">
        <v>34276.907320670143</v>
      </c>
      <c r="AI124" s="1128"/>
      <c r="AJ124" s="1428"/>
      <c r="AK124" s="1428"/>
      <c r="AL124" s="1128"/>
      <c r="AM124" s="1128"/>
      <c r="AN124" s="1128"/>
    </row>
    <row r="125" spans="1:40">
      <c r="A125" s="722" t="s">
        <v>347</v>
      </c>
      <c r="B125" s="967">
        <v>53.679000000000002</v>
      </c>
      <c r="C125" s="967">
        <v>47.076000000000001</v>
      </c>
      <c r="D125" s="967">
        <v>74.444000000000003</v>
      </c>
      <c r="E125" s="967">
        <v>3.669</v>
      </c>
      <c r="F125" s="967">
        <v>3.8980000000000001</v>
      </c>
      <c r="G125" s="967">
        <v>3.5150000000000001</v>
      </c>
      <c r="H125" s="967">
        <v>22.873999999999999</v>
      </c>
      <c r="I125" s="967">
        <v>28.884</v>
      </c>
      <c r="J125" s="967">
        <v>25.033000000000001</v>
      </c>
      <c r="K125" s="967">
        <v>20.783000000000001</v>
      </c>
      <c r="L125" s="967">
        <v>30.393999999999998</v>
      </c>
      <c r="M125" s="967">
        <v>40.295999999999999</v>
      </c>
      <c r="N125" s="967">
        <v>788.66499999999996</v>
      </c>
      <c r="O125" s="967">
        <v>829.82399999999996</v>
      </c>
      <c r="P125" s="967">
        <v>922.96199999999999</v>
      </c>
      <c r="Q125" s="967">
        <v>1001.398</v>
      </c>
      <c r="R125" s="967">
        <v>0</v>
      </c>
      <c r="S125" s="967">
        <v>14.295999999999999</v>
      </c>
      <c r="T125" s="967">
        <v>85.471000000000004</v>
      </c>
      <c r="U125" s="967">
        <v>90</v>
      </c>
      <c r="V125" s="967">
        <v>131.86699999999999</v>
      </c>
      <c r="W125" s="967">
        <v>156.90299999999999</v>
      </c>
      <c r="X125" s="967">
        <v>164.00299999999999</v>
      </c>
      <c r="Y125" s="1397">
        <v>164.00299999999999</v>
      </c>
      <c r="Z125" s="1397">
        <v>164.00299999999999</v>
      </c>
      <c r="AA125" s="1397">
        <v>164.00299999999999</v>
      </c>
      <c r="AB125" s="1397">
        <v>164.00299999999999</v>
      </c>
      <c r="AC125" s="1397">
        <v>164.00299999999999</v>
      </c>
      <c r="AD125" s="1397">
        <v>164.00299999999999</v>
      </c>
      <c r="AE125" s="1397">
        <v>164.00299999999999</v>
      </c>
      <c r="AF125" s="1397">
        <v>164.00299999999999</v>
      </c>
      <c r="AG125" s="1397">
        <v>164.00299999999999</v>
      </c>
      <c r="AH125" s="1397">
        <v>164.00299999999999</v>
      </c>
      <c r="AI125" s="1128"/>
      <c r="AJ125" s="1428"/>
      <c r="AK125" s="1428"/>
      <c r="AL125" s="1128"/>
      <c r="AM125" s="1128"/>
      <c r="AN125" s="1128"/>
    </row>
    <row r="126" spans="1:40">
      <c r="A126" s="722" t="s">
        <v>1236</v>
      </c>
      <c r="B126" s="967">
        <v>0</v>
      </c>
      <c r="C126" s="967">
        <v>0</v>
      </c>
      <c r="D126" s="967">
        <v>0</v>
      </c>
      <c r="E126" s="967">
        <v>0</v>
      </c>
      <c r="F126" s="967">
        <v>0</v>
      </c>
      <c r="G126" s="967">
        <v>0</v>
      </c>
      <c r="H126" s="967">
        <v>0</v>
      </c>
      <c r="I126" s="967">
        <v>0</v>
      </c>
      <c r="J126" s="967">
        <v>0</v>
      </c>
      <c r="K126" s="967">
        <v>0</v>
      </c>
      <c r="L126" s="967">
        <v>0</v>
      </c>
      <c r="M126" s="967">
        <v>0</v>
      </c>
      <c r="N126" s="967">
        <v>0</v>
      </c>
      <c r="O126" s="967">
        <v>0</v>
      </c>
      <c r="P126" s="967">
        <v>0</v>
      </c>
      <c r="Q126" s="967">
        <v>0</v>
      </c>
      <c r="R126" s="967">
        <v>0</v>
      </c>
      <c r="S126" s="967">
        <v>0</v>
      </c>
      <c r="T126" s="967">
        <v>20347.108</v>
      </c>
      <c r="U126" s="967">
        <v>23423</v>
      </c>
      <c r="V126" s="967">
        <v>22274.256000000001</v>
      </c>
      <c r="W126" s="967">
        <v>20604.243999999999</v>
      </c>
      <c r="X126" s="967">
        <v>17151.940999999999</v>
      </c>
      <c r="Y126" s="1397">
        <v>17104.083384253652</v>
      </c>
      <c r="Z126" s="1397">
        <v>16986.424189142854</v>
      </c>
      <c r="AA126" s="1397">
        <v>17160.217999624252</v>
      </c>
      <c r="AB126" s="1397">
        <v>17377.825188298011</v>
      </c>
      <c r="AC126" s="1397">
        <v>17750.447151311993</v>
      </c>
      <c r="AD126" s="1397">
        <v>18304.076645060672</v>
      </c>
      <c r="AE126" s="1397">
        <v>18959.625613256852</v>
      </c>
      <c r="AF126" s="1397">
        <v>19733.493985803874</v>
      </c>
      <c r="AG126" s="1397">
        <v>20625.582561876708</v>
      </c>
      <c r="AH126" s="1397">
        <v>21618.755563790903</v>
      </c>
      <c r="AI126" s="1128"/>
      <c r="AJ126" s="1428"/>
      <c r="AK126" s="1428"/>
      <c r="AL126" s="1128"/>
      <c r="AM126" s="1128"/>
      <c r="AN126" s="1128"/>
    </row>
    <row r="127" spans="1:40">
      <c r="A127" s="723" t="s">
        <v>621</v>
      </c>
      <c r="B127" s="967">
        <v>10.439</v>
      </c>
      <c r="C127" s="967">
        <v>37.771999999999998</v>
      </c>
      <c r="D127" s="967">
        <v>30.786999999999999</v>
      </c>
      <c r="E127" s="967">
        <v>4.1269999999999998</v>
      </c>
      <c r="F127" s="967">
        <v>12.048</v>
      </c>
      <c r="G127" s="967">
        <v>99.655000000000001</v>
      </c>
      <c r="H127" s="967">
        <v>268.36099999999999</v>
      </c>
      <c r="I127" s="967">
        <v>341.95099999999996</v>
      </c>
      <c r="J127" s="967">
        <v>458.14</v>
      </c>
      <c r="K127" s="967">
        <v>535.17499999999995</v>
      </c>
      <c r="L127" s="967">
        <v>692.42</v>
      </c>
      <c r="M127" s="967">
        <v>828.96500000000003</v>
      </c>
      <c r="N127" s="967">
        <v>741.28200000000004</v>
      </c>
      <c r="O127" s="967">
        <v>1320.8810000000001</v>
      </c>
      <c r="P127" s="967">
        <v>1710.943</v>
      </c>
      <c r="Q127" s="967">
        <v>1900.191</v>
      </c>
      <c r="R127" s="967">
        <v>2456.0720000000001</v>
      </c>
      <c r="S127" s="967">
        <v>2730.5549999999998</v>
      </c>
      <c r="T127" s="967">
        <v>3835.5929999999998</v>
      </c>
      <c r="U127" s="967">
        <v>6698</v>
      </c>
      <c r="V127" s="967">
        <v>5751.8270000000002</v>
      </c>
      <c r="W127" s="967">
        <v>5233.857</v>
      </c>
      <c r="X127" s="967">
        <v>6372.8</v>
      </c>
      <c r="Y127" s="1397">
        <v>6446.9470000000001</v>
      </c>
      <c r="Z127" s="1397">
        <v>6446.9470000000001</v>
      </c>
      <c r="AA127" s="1397">
        <v>6446.9470000000001</v>
      </c>
      <c r="AB127" s="1397">
        <v>6446.9470000000001</v>
      </c>
      <c r="AC127" s="1397">
        <v>6446.9470000000001</v>
      </c>
      <c r="AD127" s="1397">
        <v>6446.9470000000001</v>
      </c>
      <c r="AE127" s="1397">
        <v>6446.9470000000001</v>
      </c>
      <c r="AF127" s="1397">
        <v>6446.9470000000001</v>
      </c>
      <c r="AG127" s="1397">
        <v>6446.9470000000001</v>
      </c>
      <c r="AH127" s="1397">
        <v>6446.9470000000001</v>
      </c>
      <c r="AI127" s="1128"/>
      <c r="AJ127" s="1428"/>
      <c r="AK127" s="1428"/>
      <c r="AL127" s="1128"/>
      <c r="AM127" s="1128"/>
      <c r="AN127" s="1128"/>
    </row>
    <row r="128" spans="1:40">
      <c r="A128" s="109" t="s">
        <v>66</v>
      </c>
      <c r="B128" s="1538">
        <v>1068.8120000000001</v>
      </c>
      <c r="C128" s="1538">
        <v>1188.6669999999999</v>
      </c>
      <c r="D128" s="1538">
        <v>1241.338</v>
      </c>
      <c r="E128" s="1538">
        <v>1655.3</v>
      </c>
      <c r="F128" s="1538">
        <v>2431.7550000000001</v>
      </c>
      <c r="G128" s="1538">
        <v>3099.3919999999998</v>
      </c>
      <c r="H128" s="1538">
        <v>3868.8169999999996</v>
      </c>
      <c r="I128" s="1538">
        <v>4418.05</v>
      </c>
      <c r="J128" s="1538">
        <v>4373.451</v>
      </c>
      <c r="K128" s="1538">
        <v>4505.3909999999996</v>
      </c>
      <c r="L128" s="1538">
        <v>5123.9279999999999</v>
      </c>
      <c r="M128" s="1538">
        <v>7212.1990000000005</v>
      </c>
      <c r="N128" s="1538">
        <v>9680.3859999999986</v>
      </c>
      <c r="O128" s="1538">
        <v>25695.370000000003</v>
      </c>
      <c r="P128" s="1538">
        <v>27451.612000000001</v>
      </c>
      <c r="Q128" s="1538">
        <v>31790.37</v>
      </c>
      <c r="R128" s="1538">
        <v>33586.557000000001</v>
      </c>
      <c r="S128" s="1538">
        <v>46487.01</v>
      </c>
      <c r="T128" s="1538">
        <v>69181.731999999989</v>
      </c>
      <c r="U128" s="1538">
        <v>74908</v>
      </c>
      <c r="V128" s="1538">
        <v>71232.444999999992</v>
      </c>
      <c r="W128" s="1538">
        <v>68095.490999999995</v>
      </c>
      <c r="X128" s="1538">
        <v>64324.724999999999</v>
      </c>
      <c r="Y128" s="1617">
        <v>66870.844908046696</v>
      </c>
      <c r="Z128" s="1617">
        <v>67493.194813991868</v>
      </c>
      <c r="AA128" s="1617">
        <v>68113.975904966399</v>
      </c>
      <c r="AB128" s="1617">
        <v>68754.091644551416</v>
      </c>
      <c r="AC128" s="1617">
        <v>70540.09587304866</v>
      </c>
      <c r="AD128" s="1617">
        <v>72423.998861382614</v>
      </c>
      <c r="AE128" s="1617">
        <v>74102.664681265902</v>
      </c>
      <c r="AF128" s="1617">
        <v>75812.211752561969</v>
      </c>
      <c r="AG128" s="1617">
        <v>77548.791061290074</v>
      </c>
      <c r="AH128" s="1617">
        <v>79174.222857023895</v>
      </c>
      <c r="AI128" s="1128"/>
      <c r="AJ128" s="1428"/>
      <c r="AK128" s="1428"/>
      <c r="AL128" s="1128"/>
      <c r="AM128" s="1128"/>
      <c r="AN128" s="1128"/>
    </row>
    <row r="129" spans="1:40">
      <c r="A129" s="723" t="s">
        <v>67</v>
      </c>
      <c r="B129" s="967">
        <v>99.13</v>
      </c>
      <c r="C129" s="967">
        <v>207.08600000000001</v>
      </c>
      <c r="D129" s="967">
        <v>205.8</v>
      </c>
      <c r="E129" s="967">
        <v>147.19499999999999</v>
      </c>
      <c r="F129" s="967">
        <v>165.05500000000001</v>
      </c>
      <c r="G129" s="967">
        <v>244.262</v>
      </c>
      <c r="H129" s="967">
        <v>209.327</v>
      </c>
      <c r="I129" s="967">
        <v>661.86300000000006</v>
      </c>
      <c r="J129" s="967">
        <v>463.214</v>
      </c>
      <c r="K129" s="967">
        <v>640.20299999999997</v>
      </c>
      <c r="L129" s="967">
        <v>739.37900000000002</v>
      </c>
      <c r="M129" s="967">
        <v>932.59400000000005</v>
      </c>
      <c r="N129" s="967">
        <v>663.27</v>
      </c>
      <c r="O129" s="967">
        <v>1112.8499999999999</v>
      </c>
      <c r="P129" s="967">
        <v>1195.8139999999999</v>
      </c>
      <c r="Q129" s="967">
        <v>2547.8420000000001</v>
      </c>
      <c r="R129" s="967">
        <v>1540.403</v>
      </c>
      <c r="S129" s="967">
        <v>1987.857</v>
      </c>
      <c r="T129" s="967">
        <v>2625.3890000000001</v>
      </c>
      <c r="U129" s="967">
        <v>3932</v>
      </c>
      <c r="V129" s="967">
        <v>6893.433</v>
      </c>
      <c r="W129" s="967">
        <v>6099.7089999999998</v>
      </c>
      <c r="X129" s="967">
        <v>6409.7979999999998</v>
      </c>
      <c r="Y129" s="1397">
        <v>5027.6001092946917</v>
      </c>
      <c r="Z129" s="1397">
        <v>10021.567702024999</v>
      </c>
      <c r="AA129" s="1397">
        <v>16668.287619622075</v>
      </c>
      <c r="AB129" s="1397">
        <v>23837.458151008566</v>
      </c>
      <c r="AC129" s="1397">
        <v>27372.725024565363</v>
      </c>
      <c r="AD129" s="1397">
        <v>30976.411823377985</v>
      </c>
      <c r="AE129" s="1397">
        <v>35042.007675271117</v>
      </c>
      <c r="AF129" s="1397">
        <v>39381.865596393211</v>
      </c>
      <c r="AG129" s="1397">
        <v>45014.538811507911</v>
      </c>
      <c r="AH129" s="1397">
        <v>50215.361753652192</v>
      </c>
      <c r="AI129" s="1128"/>
      <c r="AJ129" s="1428"/>
      <c r="AK129" s="1428"/>
      <c r="AL129" s="1128"/>
      <c r="AM129" s="1128"/>
      <c r="AN129" s="1128"/>
    </row>
    <row r="130" spans="1:40">
      <c r="A130" s="723" t="s">
        <v>68</v>
      </c>
      <c r="B130" s="967">
        <v>110.291</v>
      </c>
      <c r="C130" s="967">
        <v>121.56</v>
      </c>
      <c r="D130" s="967">
        <v>133.27799999999999</v>
      </c>
      <c r="E130" s="967">
        <v>142.49700000000001</v>
      </c>
      <c r="F130" s="967">
        <v>189.31799999999998</v>
      </c>
      <c r="G130" s="967">
        <v>210.517</v>
      </c>
      <c r="H130" s="967">
        <v>309.786</v>
      </c>
      <c r="I130" s="967">
        <v>182.87299999999999</v>
      </c>
      <c r="J130" s="967">
        <v>196.14699999999999</v>
      </c>
      <c r="K130" s="967">
        <v>246.70599999999999</v>
      </c>
      <c r="L130" s="967">
        <v>385.57799999999997</v>
      </c>
      <c r="M130" s="967">
        <v>535.93100000000004</v>
      </c>
      <c r="N130" s="967">
        <v>628.81799999999998</v>
      </c>
      <c r="O130" s="967">
        <v>895.54300000000001</v>
      </c>
      <c r="P130" s="967">
        <v>904.85299999999995</v>
      </c>
      <c r="Q130" s="967">
        <v>953.63800000000003</v>
      </c>
      <c r="R130" s="967">
        <v>1250.588</v>
      </c>
      <c r="S130" s="967">
        <v>1025.1179999999999</v>
      </c>
      <c r="T130" s="967">
        <v>1447.221</v>
      </c>
      <c r="U130" s="967">
        <v>1706</v>
      </c>
      <c r="V130" s="967">
        <v>1751.527</v>
      </c>
      <c r="W130" s="967">
        <v>2029.42</v>
      </c>
      <c r="X130" s="967">
        <v>2372.241</v>
      </c>
      <c r="Y130" s="1397">
        <v>2470.8553474906266</v>
      </c>
      <c r="Z130" s="1397">
        <v>2674.727110579985</v>
      </c>
      <c r="AA130" s="1397">
        <v>2848.6329347755423</v>
      </c>
      <c r="AB130" s="1397">
        <v>3018.4303820045948</v>
      </c>
      <c r="AC130" s="1397">
        <v>3180.7981301458003</v>
      </c>
      <c r="AD130" s="1397">
        <v>3351.0032516326623</v>
      </c>
      <c r="AE130" s="1397">
        <v>3522.9335880553758</v>
      </c>
      <c r="AF130" s="1397">
        <v>3701.8956798081135</v>
      </c>
      <c r="AG130" s="1397">
        <v>3889.5857357949376</v>
      </c>
      <c r="AH130" s="1397">
        <v>4083.8483426410867</v>
      </c>
      <c r="AI130" s="1128"/>
      <c r="AJ130" s="1428"/>
      <c r="AK130" s="1428"/>
      <c r="AL130" s="1128"/>
      <c r="AM130" s="1128"/>
      <c r="AN130" s="1128"/>
    </row>
    <row r="131" spans="1:40">
      <c r="A131" s="723" t="s">
        <v>345</v>
      </c>
      <c r="B131" s="955">
        <v>88.174000000000007</v>
      </c>
      <c r="C131" s="955">
        <v>69.954999999999998</v>
      </c>
      <c r="D131" s="955">
        <v>113.45699999999999</v>
      </c>
      <c r="E131" s="955">
        <v>181.892</v>
      </c>
      <c r="F131" s="955">
        <v>140.095</v>
      </c>
      <c r="G131" s="955">
        <v>226.386</v>
      </c>
      <c r="H131" s="955">
        <v>235.25200000000001</v>
      </c>
      <c r="I131" s="955">
        <v>361.524</v>
      </c>
      <c r="J131" s="955">
        <v>336.87</v>
      </c>
      <c r="K131" s="955">
        <v>352.32499999999999</v>
      </c>
      <c r="L131" s="955">
        <v>403.13</v>
      </c>
      <c r="M131" s="955">
        <v>550.39400000000001</v>
      </c>
      <c r="N131" s="955">
        <v>641.88</v>
      </c>
      <c r="O131" s="955">
        <v>1055.174</v>
      </c>
      <c r="P131" s="955">
        <v>1377.981</v>
      </c>
      <c r="Q131" s="955">
        <v>1575.3630000000001</v>
      </c>
      <c r="R131" s="955">
        <v>2009.779</v>
      </c>
      <c r="S131" s="955">
        <v>2120.2080000000001</v>
      </c>
      <c r="T131" s="955">
        <v>1779.646</v>
      </c>
      <c r="U131" s="955">
        <v>1618</v>
      </c>
      <c r="V131" s="955">
        <v>2009.258</v>
      </c>
      <c r="W131" s="955">
        <v>2895.326</v>
      </c>
      <c r="X131" s="955">
        <v>2750.665</v>
      </c>
      <c r="Y131" s="1123">
        <v>2949.8939755864417</v>
      </c>
      <c r="Z131" s="1123">
        <v>3202.9098523431808</v>
      </c>
      <c r="AA131" s="1123">
        <v>3421.400859520812</v>
      </c>
      <c r="AB131" s="1123">
        <v>3636.1933887556324</v>
      </c>
      <c r="AC131" s="1123">
        <v>3888.9828384477514</v>
      </c>
      <c r="AD131" s="1123">
        <v>4097.0830602772903</v>
      </c>
      <c r="AE131" s="1123">
        <v>4307.2926053029696</v>
      </c>
      <c r="AF131" s="1123">
        <v>4526.0994817793471</v>
      </c>
      <c r="AG131" s="1123">
        <v>4755.5775488601412</v>
      </c>
      <c r="AH131" s="1123">
        <v>4993.0915039322172</v>
      </c>
      <c r="AI131" s="1128"/>
      <c r="AJ131" s="1428"/>
      <c r="AK131" s="1428"/>
      <c r="AL131" s="1128"/>
      <c r="AM131" s="1128"/>
      <c r="AN131" s="1128"/>
    </row>
    <row r="132" spans="1:40">
      <c r="A132" s="723" t="s">
        <v>69</v>
      </c>
      <c r="B132" s="967">
        <v>106.58099999999999</v>
      </c>
      <c r="C132" s="967">
        <v>64.171999999999997</v>
      </c>
      <c r="D132" s="967">
        <v>104.354</v>
      </c>
      <c r="E132" s="967">
        <v>79.14</v>
      </c>
      <c r="F132" s="967">
        <v>317.69100000000003</v>
      </c>
      <c r="G132" s="967">
        <v>259.90899999999999</v>
      </c>
      <c r="H132" s="967">
        <v>672.53899999999999</v>
      </c>
      <c r="I132" s="967">
        <v>886.32999999999993</v>
      </c>
      <c r="J132" s="967">
        <v>439.12700000000001</v>
      </c>
      <c r="K132" s="967">
        <v>396.60400000000004</v>
      </c>
      <c r="L132" s="967">
        <v>2722.1579999999999</v>
      </c>
      <c r="M132" s="967">
        <v>566.47500000000002</v>
      </c>
      <c r="N132" s="967">
        <v>801.78099999999995</v>
      </c>
      <c r="O132" s="967">
        <v>1012.6589999999999</v>
      </c>
      <c r="P132" s="967">
        <v>912.16700000000014</v>
      </c>
      <c r="Q132" s="967">
        <v>1127.9279999999999</v>
      </c>
      <c r="R132" s="967">
        <v>1271.9299999999998</v>
      </c>
      <c r="S132" s="967">
        <v>1439.9290000000001</v>
      </c>
      <c r="T132" s="967">
        <v>1378.26</v>
      </c>
      <c r="U132" s="967">
        <v>1274</v>
      </c>
      <c r="V132" s="967">
        <v>1090.8989999999999</v>
      </c>
      <c r="W132" s="967">
        <v>1349.377</v>
      </c>
      <c r="X132" s="967">
        <v>1139.5920000000001</v>
      </c>
      <c r="Y132" s="1397">
        <v>1186.9649783295786</v>
      </c>
      <c r="Z132" s="1397">
        <v>1284.9021736830557</v>
      </c>
      <c r="AA132" s="1397">
        <v>1368.44414349416</v>
      </c>
      <c r="AB132" s="1397">
        <v>1450.01250542815</v>
      </c>
      <c r="AC132" s="1397">
        <v>1528.0117419474298</v>
      </c>
      <c r="AD132" s="1397">
        <v>1609.7759449965533</v>
      </c>
      <c r="AE132" s="1397">
        <v>1692.3689176096364</v>
      </c>
      <c r="AF132" s="1397">
        <v>1778.3398489208673</v>
      </c>
      <c r="AG132" s="1397">
        <v>1868.5035743948547</v>
      </c>
      <c r="AH132" s="1397">
        <v>1961.8246630452138</v>
      </c>
      <c r="AI132" s="1128"/>
      <c r="AJ132" s="1428"/>
      <c r="AK132" s="1428"/>
      <c r="AL132" s="1128"/>
      <c r="AM132" s="1128"/>
      <c r="AN132" s="1128"/>
    </row>
    <row r="133" spans="1:40">
      <c r="A133" s="109" t="s">
        <v>70</v>
      </c>
      <c r="B133" s="1538">
        <v>1472.9879999999998</v>
      </c>
      <c r="C133" s="1538">
        <v>1651.4399999999998</v>
      </c>
      <c r="D133" s="1538">
        <v>1798.2270000000001</v>
      </c>
      <c r="E133" s="1538">
        <v>2206.0239999999999</v>
      </c>
      <c r="F133" s="1538">
        <v>3243.9139999999998</v>
      </c>
      <c r="G133" s="1538">
        <v>4040.4659999999999</v>
      </c>
      <c r="H133" s="1538">
        <v>5295.7209999999995</v>
      </c>
      <c r="I133" s="1538">
        <v>6510.64</v>
      </c>
      <c r="J133" s="1538">
        <v>5808.8090000000002</v>
      </c>
      <c r="K133" s="1538">
        <v>6141.2289999999994</v>
      </c>
      <c r="L133" s="1538">
        <v>9374.1730000000007</v>
      </c>
      <c r="M133" s="1538">
        <v>9797.5930000000008</v>
      </c>
      <c r="N133" s="1538">
        <v>12416.134999999998</v>
      </c>
      <c r="O133" s="1538">
        <v>29771.596000000001</v>
      </c>
      <c r="P133" s="1538">
        <v>31842.427</v>
      </c>
      <c r="Q133" s="1538">
        <v>37995.140999999996</v>
      </c>
      <c r="R133" s="1538">
        <v>39659.257000000005</v>
      </c>
      <c r="S133" s="1538">
        <v>53060.122000000003</v>
      </c>
      <c r="T133" s="1538">
        <v>76412.247999999978</v>
      </c>
      <c r="U133" s="1538">
        <v>83438</v>
      </c>
      <c r="V133" s="1538">
        <v>82977.562000000005</v>
      </c>
      <c r="W133" s="1538">
        <v>80469.322999999989</v>
      </c>
      <c r="X133" s="1538">
        <v>76997.020999999993</v>
      </c>
      <c r="Y133" s="1617">
        <v>78506.159318748032</v>
      </c>
      <c r="Z133" s="1617">
        <v>84677.301652623093</v>
      </c>
      <c r="AA133" s="1617">
        <v>92420.741462378981</v>
      </c>
      <c r="AB133" s="1617">
        <v>100696.18607174837</v>
      </c>
      <c r="AC133" s="1617">
        <v>106510.61360815501</v>
      </c>
      <c r="AD133" s="1617">
        <v>112458.27294166711</v>
      </c>
      <c r="AE133" s="1617">
        <v>118667.26746750499</v>
      </c>
      <c r="AF133" s="1617">
        <v>125200.4123594635</v>
      </c>
      <c r="AG133" s="1617">
        <v>133076.99673184793</v>
      </c>
      <c r="AH133" s="1617">
        <v>140428.34912029462</v>
      </c>
      <c r="AI133" s="1128"/>
      <c r="AJ133" s="1428"/>
      <c r="AK133" s="1428"/>
      <c r="AL133" s="1128"/>
      <c r="AM133" s="1128"/>
      <c r="AN133" s="1128"/>
    </row>
    <row r="134" spans="1:40">
      <c r="A134" s="110" t="s">
        <v>71</v>
      </c>
      <c r="B134" s="438"/>
      <c r="C134" s="438"/>
      <c r="D134" s="438"/>
      <c r="E134" s="438"/>
      <c r="F134" s="438"/>
      <c r="G134" s="438"/>
      <c r="H134" s="438"/>
      <c r="I134" s="438"/>
      <c r="J134" s="438"/>
      <c r="K134" s="438"/>
      <c r="L134" s="438"/>
      <c r="M134" s="438"/>
      <c r="N134" s="438"/>
      <c r="O134" s="438"/>
      <c r="P134" s="438"/>
      <c r="Q134" s="438"/>
      <c r="R134" s="438"/>
      <c r="S134" s="447"/>
      <c r="T134" s="447"/>
      <c r="U134" s="447"/>
      <c r="V134" s="447"/>
      <c r="W134" s="447"/>
      <c r="X134" s="447"/>
      <c r="Y134" s="447"/>
      <c r="Z134" s="447"/>
      <c r="AA134" s="447"/>
      <c r="AB134" s="447"/>
      <c r="AC134" s="447"/>
      <c r="AD134" s="447"/>
      <c r="AE134" s="447"/>
      <c r="AF134" s="447"/>
      <c r="AG134" s="447"/>
      <c r="AH134" s="447"/>
      <c r="AI134" s="508"/>
      <c r="AJ134" s="508"/>
      <c r="AK134" s="508"/>
      <c r="AL134" s="508"/>
      <c r="AM134" s="508"/>
      <c r="AN134" s="508"/>
    </row>
    <row r="135" spans="1:40">
      <c r="A135" s="724" t="s">
        <v>72</v>
      </c>
      <c r="B135" s="967">
        <v>142.27600000000001</v>
      </c>
      <c r="C135" s="967">
        <v>66.106999999999999</v>
      </c>
      <c r="D135" s="967">
        <v>45.132000000000005</v>
      </c>
      <c r="E135" s="967">
        <v>98.706999999999994</v>
      </c>
      <c r="F135" s="967">
        <v>769.35500000000002</v>
      </c>
      <c r="G135" s="967">
        <v>497.27600000000001</v>
      </c>
      <c r="H135" s="967">
        <v>1033.45</v>
      </c>
      <c r="I135" s="967">
        <v>1790.1779999999999</v>
      </c>
      <c r="J135" s="967">
        <v>1328.134</v>
      </c>
      <c r="K135" s="967">
        <v>1656.047</v>
      </c>
      <c r="L135" s="967">
        <v>4056.5309999999999</v>
      </c>
      <c r="M135" s="967">
        <v>2474.48</v>
      </c>
      <c r="N135" s="967">
        <v>5043.6170000000002</v>
      </c>
      <c r="O135" s="967">
        <v>11239.179</v>
      </c>
      <c r="P135" s="967">
        <v>12233.341</v>
      </c>
      <c r="Q135" s="967">
        <v>14839.888999999999</v>
      </c>
      <c r="R135" s="967">
        <v>18041.436000000002</v>
      </c>
      <c r="S135" s="967">
        <v>28115.931999999997</v>
      </c>
      <c r="T135" s="967">
        <v>27686.744999999999</v>
      </c>
      <c r="U135" s="967">
        <v>38368.148999999998</v>
      </c>
      <c r="V135" s="967">
        <v>37448.553</v>
      </c>
      <c r="W135" s="967">
        <v>32649.838</v>
      </c>
      <c r="X135" s="967">
        <v>31416.120000000003</v>
      </c>
      <c r="Y135" s="1397">
        <v>34525.30381662523</v>
      </c>
      <c r="Z135" s="1397">
        <v>37359.942550450389</v>
      </c>
      <c r="AA135" s="1397">
        <v>40946.76166856855</v>
      </c>
      <c r="AB135" s="1397">
        <v>44106.456902711994</v>
      </c>
      <c r="AC135" s="1397">
        <v>44478.609167290524</v>
      </c>
      <c r="AD135" s="1397">
        <v>44854.101478022312</v>
      </c>
      <c r="AE135" s="1397">
        <v>45232.96381163827</v>
      </c>
      <c r="AF135" s="1397">
        <v>45615.226413908887</v>
      </c>
      <c r="AG135" s="1397">
        <v>47004.212088415195</v>
      </c>
      <c r="AH135" s="1397">
        <v>47553.737201855962</v>
      </c>
      <c r="AI135" s="508"/>
      <c r="AJ135" s="508"/>
      <c r="AK135" s="508"/>
      <c r="AL135" s="508"/>
      <c r="AM135" s="508"/>
      <c r="AN135" s="508"/>
    </row>
    <row r="136" spans="1:40">
      <c r="A136" s="723" t="s">
        <v>574</v>
      </c>
      <c r="B136" s="967">
        <v>188.44800000000001</v>
      </c>
      <c r="C136" s="967">
        <v>280.45400000000001</v>
      </c>
      <c r="D136" s="967">
        <v>257.99399999999997</v>
      </c>
      <c r="E136" s="967">
        <v>330.79300000000001</v>
      </c>
      <c r="F136" s="967">
        <v>483.69600000000003</v>
      </c>
      <c r="G136" s="967">
        <v>685.5630000000001</v>
      </c>
      <c r="H136" s="967">
        <v>911.31099999999992</v>
      </c>
      <c r="I136" s="967">
        <v>1171.8150000000001</v>
      </c>
      <c r="J136" s="967">
        <v>559.149</v>
      </c>
      <c r="K136" s="967">
        <v>710.548</v>
      </c>
      <c r="L136" s="967">
        <v>1021.424</v>
      </c>
      <c r="M136" s="967">
        <v>1129.6120000000001</v>
      </c>
      <c r="N136" s="967">
        <v>1408.5650000000001</v>
      </c>
      <c r="O136" s="967">
        <v>2694.0149999999999</v>
      </c>
      <c r="P136" s="967">
        <v>3013.0909999999999</v>
      </c>
      <c r="Q136" s="967">
        <v>3901.9720000000002</v>
      </c>
      <c r="R136" s="967">
        <v>3960.806</v>
      </c>
      <c r="S136" s="967">
        <v>5215.8770000000004</v>
      </c>
      <c r="T136" s="967">
        <v>5450.5550000000003</v>
      </c>
      <c r="U136" s="967">
        <v>3604</v>
      </c>
      <c r="V136" s="967">
        <v>3979.2370000000001</v>
      </c>
      <c r="W136" s="967">
        <v>5628.5950000000003</v>
      </c>
      <c r="X136" s="967">
        <v>5767.8990000000003</v>
      </c>
      <c r="Y136" s="1397">
        <v>6185.6643800284883</v>
      </c>
      <c r="Z136" s="1397">
        <v>6716.2160911708188</v>
      </c>
      <c r="AA136" s="1397">
        <v>7174.3722322526492</v>
      </c>
      <c r="AB136" s="1397">
        <v>7624.7729951885176</v>
      </c>
      <c r="AC136" s="1397">
        <v>8154.849908985625</v>
      </c>
      <c r="AD136" s="1397">
        <v>8591.2175006008802</v>
      </c>
      <c r="AE136" s="1397">
        <v>9032.0081546950969</v>
      </c>
      <c r="AF136" s="1397">
        <v>9490.8266455041285</v>
      </c>
      <c r="AG136" s="1397">
        <v>9972.0216705752446</v>
      </c>
      <c r="AH136" s="1397">
        <v>10470.067235537272</v>
      </c>
      <c r="AI136" s="508"/>
      <c r="AJ136" s="508"/>
      <c r="AK136" s="508"/>
      <c r="AL136" s="508"/>
      <c r="AM136" s="508"/>
      <c r="AN136" s="508"/>
    </row>
    <row r="137" spans="1:40">
      <c r="A137" s="723" t="s">
        <v>1182</v>
      </c>
      <c r="B137" s="967">
        <v>0</v>
      </c>
      <c r="C137" s="967">
        <v>0</v>
      </c>
      <c r="D137" s="967">
        <v>0</v>
      </c>
      <c r="E137" s="967">
        <v>0</v>
      </c>
      <c r="F137" s="967">
        <v>0</v>
      </c>
      <c r="G137" s="967">
        <v>0</v>
      </c>
      <c r="H137" s="967">
        <v>0</v>
      </c>
      <c r="I137" s="967">
        <v>0</v>
      </c>
      <c r="J137" s="967">
        <v>0</v>
      </c>
      <c r="K137" s="967">
        <v>0</v>
      </c>
      <c r="L137" s="967">
        <v>0</v>
      </c>
      <c r="M137" s="967">
        <v>0</v>
      </c>
      <c r="N137" s="967">
        <v>0</v>
      </c>
      <c r="O137" s="967">
        <v>0</v>
      </c>
      <c r="P137" s="967">
        <v>0</v>
      </c>
      <c r="Q137" s="967">
        <v>0</v>
      </c>
      <c r="R137" s="967">
        <v>0</v>
      </c>
      <c r="S137" s="967">
        <v>0</v>
      </c>
      <c r="T137" s="967">
        <v>22561.86</v>
      </c>
      <c r="U137" s="967">
        <v>25300</v>
      </c>
      <c r="V137" s="967">
        <v>23763.274000000001</v>
      </c>
      <c r="W137" s="967">
        <v>21981.811000000002</v>
      </c>
      <c r="X137" s="967">
        <v>18330.066999999999</v>
      </c>
      <c r="Y137" s="1397">
        <v>18848.366087448117</v>
      </c>
      <c r="Z137" s="1397">
        <v>19193.176315034365</v>
      </c>
      <c r="AA137" s="1397">
        <v>19602.195010980726</v>
      </c>
      <c r="AB137" s="1397">
        <v>19950.417516719212</v>
      </c>
      <c r="AC137" s="1397">
        <v>20242.450451634097</v>
      </c>
      <c r="AD137" s="1397">
        <v>20535.289151060624</v>
      </c>
      <c r="AE137" s="1397">
        <v>20780.237148322587</v>
      </c>
      <c r="AF137" s="1397">
        <v>21005.921721082006</v>
      </c>
      <c r="AG137" s="1397">
        <v>21227.850183475533</v>
      </c>
      <c r="AH137" s="1397">
        <v>21441.89911920411</v>
      </c>
      <c r="AI137" s="508"/>
      <c r="AJ137" s="508"/>
      <c r="AK137" s="508"/>
      <c r="AL137" s="508"/>
      <c r="AM137" s="508"/>
      <c r="AN137" s="508"/>
    </row>
    <row r="138" spans="1:40">
      <c r="A138" s="722" t="s">
        <v>73</v>
      </c>
      <c r="B138" s="1539">
        <v>170.74700000000001</v>
      </c>
      <c r="C138" s="1539">
        <v>197.51000000000002</v>
      </c>
      <c r="D138" s="1539">
        <v>240.82499999999999</v>
      </c>
      <c r="E138" s="1539">
        <v>188.51300000000001</v>
      </c>
      <c r="F138" s="1539">
        <v>141.24600000000001</v>
      </c>
      <c r="G138" s="1539">
        <v>135.05700000000002</v>
      </c>
      <c r="H138" s="1539">
        <v>218.87199999999999</v>
      </c>
      <c r="I138" s="1539">
        <v>318.85399999999998</v>
      </c>
      <c r="J138" s="1539">
        <v>789.16300000000001</v>
      </c>
      <c r="K138" s="1539">
        <v>663.20100000000002</v>
      </c>
      <c r="L138" s="1539">
        <v>1003.49</v>
      </c>
      <c r="M138" s="1539">
        <v>1364.6019999999999</v>
      </c>
      <c r="N138" s="1539">
        <v>1453.0210000000002</v>
      </c>
      <c r="O138" s="1539">
        <v>5748.7839999999997</v>
      </c>
      <c r="P138" s="1539">
        <v>6170.5209999999997</v>
      </c>
      <c r="Q138" s="1539">
        <v>3779.114</v>
      </c>
      <c r="R138" s="1539">
        <v>4473.75</v>
      </c>
      <c r="S138" s="1539">
        <v>4127.8909999999996</v>
      </c>
      <c r="T138" s="1539">
        <v>4174.9709999999995</v>
      </c>
      <c r="U138" s="1539">
        <v>3659</v>
      </c>
      <c r="V138" s="1539">
        <v>4159.7520000000004</v>
      </c>
      <c r="W138" s="1539">
        <v>5899.3039999999992</v>
      </c>
      <c r="X138" s="1539">
        <v>7101.8060000000005</v>
      </c>
      <c r="Y138" s="1618">
        <v>7030.3137503973621</v>
      </c>
      <c r="Z138" s="1618">
        <v>7590.2636498139727</v>
      </c>
      <c r="AA138" s="1618">
        <v>8073.8064972463326</v>
      </c>
      <c r="AB138" s="1618">
        <v>8549.164236381861</v>
      </c>
      <c r="AC138" s="1618">
        <v>9108.6130296478023</v>
      </c>
      <c r="AD138" s="1618">
        <v>9569.1600110297568</v>
      </c>
      <c r="AE138" s="1618">
        <v>10034.375139433376</v>
      </c>
      <c r="AF138" s="1618">
        <v>10518.617037788266</v>
      </c>
      <c r="AG138" s="1618">
        <v>11026.475367578973</v>
      </c>
      <c r="AH138" s="1618">
        <v>11552.11793577448</v>
      </c>
      <c r="AI138" s="508"/>
      <c r="AJ138" s="508"/>
      <c r="AK138" s="508"/>
      <c r="AL138" s="508"/>
      <c r="AM138" s="508"/>
      <c r="AN138" s="508"/>
    </row>
    <row r="139" spans="1:40">
      <c r="A139" s="722" t="s">
        <v>1543</v>
      </c>
      <c r="B139" s="1539"/>
      <c r="C139" s="1539"/>
      <c r="D139" s="1539"/>
      <c r="E139" s="1539"/>
      <c r="F139" s="1539"/>
      <c r="G139" s="1539"/>
      <c r="H139" s="1539"/>
      <c r="I139" s="1539"/>
      <c r="J139" s="1539"/>
      <c r="K139" s="1539"/>
      <c r="L139" s="1539"/>
      <c r="M139" s="1539"/>
      <c r="N139" s="1539"/>
      <c r="O139" s="1539"/>
      <c r="P139" s="1539"/>
      <c r="Q139" s="1539">
        <v>5550.0949999999993</v>
      </c>
      <c r="R139" s="1539">
        <v>2580.1390000000001</v>
      </c>
      <c r="S139" s="1539">
        <v>2641.6</v>
      </c>
      <c r="T139" s="1539">
        <v>4995.5560000000005</v>
      </c>
      <c r="U139" s="1539">
        <v>4873</v>
      </c>
      <c r="V139" s="1539">
        <v>4952.6570000000002</v>
      </c>
      <c r="W139" s="1539">
        <v>5729.777</v>
      </c>
      <c r="X139" s="1539">
        <v>5065.4059999999999</v>
      </c>
      <c r="Y139" s="1618">
        <v>4243.8869999999997</v>
      </c>
      <c r="Z139" s="1618">
        <v>4243.8869999999997</v>
      </c>
      <c r="AA139" s="1618">
        <v>4243.8869999999997</v>
      </c>
      <c r="AB139" s="1618">
        <v>4243.8869999999997</v>
      </c>
      <c r="AC139" s="1618">
        <v>4243.8869999999997</v>
      </c>
      <c r="AD139" s="1618">
        <v>4243.8869999999997</v>
      </c>
      <c r="AE139" s="1618">
        <v>4243.8869999999997</v>
      </c>
      <c r="AF139" s="1618">
        <v>4243.8869999999997</v>
      </c>
      <c r="AG139" s="1618">
        <v>4243.8869999999997</v>
      </c>
      <c r="AH139" s="1618">
        <v>4243.8869999999997</v>
      </c>
      <c r="AI139" s="508"/>
      <c r="AJ139" s="508"/>
      <c r="AK139" s="508"/>
      <c r="AL139" s="508"/>
      <c r="AM139" s="508"/>
      <c r="AN139" s="508"/>
    </row>
    <row r="140" spans="1:40">
      <c r="A140" s="109" t="s">
        <v>74</v>
      </c>
      <c r="B140" s="1538">
        <v>922.91300000000001</v>
      </c>
      <c r="C140" s="1538">
        <v>1080.4529999999997</v>
      </c>
      <c r="D140" s="1538">
        <v>1211.9480000000003</v>
      </c>
      <c r="E140" s="1538">
        <v>1425.3859999999997</v>
      </c>
      <c r="F140" s="1538">
        <v>1767.4979999999998</v>
      </c>
      <c r="G140" s="1538">
        <v>2653.8759999999997</v>
      </c>
      <c r="H140" s="1538">
        <v>2997.4830000000002</v>
      </c>
      <c r="I140" s="1538">
        <v>2997.0709999999999</v>
      </c>
      <c r="J140" s="1538">
        <v>2908.5889999999999</v>
      </c>
      <c r="K140" s="1538">
        <v>2865.3280000000004</v>
      </c>
      <c r="L140" s="1538">
        <v>2993.8649999999998</v>
      </c>
      <c r="M140" s="1538">
        <v>4520.71</v>
      </c>
      <c r="N140" s="1538">
        <v>4271.4269999999997</v>
      </c>
      <c r="O140" s="1538">
        <v>8800.1280000000006</v>
      </c>
      <c r="P140" s="1538">
        <v>9069.2769999999982</v>
      </c>
      <c r="Q140" s="1538">
        <v>8910.6229999999996</v>
      </c>
      <c r="R140" s="1538">
        <v>9460.389000000001</v>
      </c>
      <c r="S140" s="1538">
        <v>11080.08</v>
      </c>
      <c r="T140" s="1538">
        <v>9580.9979999999996</v>
      </c>
      <c r="U140" s="1538">
        <v>6302.7489999999998</v>
      </c>
      <c r="V140" s="1538">
        <v>7639.1659999999993</v>
      </c>
      <c r="W140" s="1538">
        <v>7617.8669999999993</v>
      </c>
      <c r="X140" s="1538">
        <v>8375.1020000000008</v>
      </c>
      <c r="Y140" s="1617">
        <v>7548.2332842488358</v>
      </c>
      <c r="Z140" s="1617">
        <v>9449.4250461535503</v>
      </c>
      <c r="AA140" s="1617">
        <v>12255.328053330746</v>
      </c>
      <c r="AB140" s="1617">
        <v>16097.096420746779</v>
      </c>
      <c r="AC140" s="1617">
        <v>20157.813050596957</v>
      </c>
      <c r="AD140" s="1617">
        <v>24540.226800953533</v>
      </c>
      <c r="AE140" s="1617">
        <v>29219.405213415666</v>
      </c>
      <c r="AF140" s="1617">
        <v>34201.542541180206</v>
      </c>
      <c r="AG140" s="1617">
        <v>39478.159421802964</v>
      </c>
      <c r="AH140" s="1617">
        <v>45042.249627922778</v>
      </c>
      <c r="AI140" s="508"/>
      <c r="AJ140" s="508"/>
      <c r="AK140" s="508"/>
      <c r="AL140" s="508"/>
      <c r="AM140" s="508"/>
      <c r="AN140" s="508"/>
    </row>
    <row r="141" spans="1:40" s="13" customFormat="1">
      <c r="A141" s="112" t="s">
        <v>342</v>
      </c>
      <c r="B141" s="1538">
        <v>48.603999999999999</v>
      </c>
      <c r="C141" s="1538">
        <v>26.916</v>
      </c>
      <c r="D141" s="1538">
        <v>42.328000000000003</v>
      </c>
      <c r="E141" s="1538">
        <v>162.625</v>
      </c>
      <c r="F141" s="1538">
        <v>82.119</v>
      </c>
      <c r="G141" s="1538">
        <v>68.694000000000003</v>
      </c>
      <c r="H141" s="1538">
        <v>134.60499999999999</v>
      </c>
      <c r="I141" s="1538">
        <v>232.72200000000001</v>
      </c>
      <c r="J141" s="1538">
        <v>223.774</v>
      </c>
      <c r="K141" s="1538">
        <v>245.64099999999999</v>
      </c>
      <c r="L141" s="1538">
        <v>298.86399999999998</v>
      </c>
      <c r="M141" s="1538">
        <v>308.18900000000002</v>
      </c>
      <c r="N141" s="1538">
        <v>239.50399999999999</v>
      </c>
      <c r="O141" s="1538">
        <v>1289.49</v>
      </c>
      <c r="P141" s="1538">
        <v>1356.1969999999999</v>
      </c>
      <c r="Q141" s="1538">
        <v>1013.448</v>
      </c>
      <c r="R141" s="1538">
        <v>1142.7370000000001</v>
      </c>
      <c r="S141" s="1538">
        <v>1878.742</v>
      </c>
      <c r="T141" s="1538">
        <v>1961.5630000000001</v>
      </c>
      <c r="U141" s="1538">
        <v>1330.4459999999999</v>
      </c>
      <c r="V141" s="1538">
        <v>1034.923</v>
      </c>
      <c r="W141" s="1538">
        <v>962.13099999999997</v>
      </c>
      <c r="X141" s="1538">
        <v>940.62099999999998</v>
      </c>
      <c r="Y141" s="1617">
        <v>124.39</v>
      </c>
      <c r="Z141" s="1617">
        <v>124.39</v>
      </c>
      <c r="AA141" s="1617">
        <v>124.39</v>
      </c>
      <c r="AB141" s="1617">
        <v>124.39</v>
      </c>
      <c r="AC141" s="1617">
        <v>124.39</v>
      </c>
      <c r="AD141" s="1617">
        <v>124.39</v>
      </c>
      <c r="AE141" s="1617">
        <v>124.39</v>
      </c>
      <c r="AF141" s="1617">
        <v>124.39</v>
      </c>
      <c r="AG141" s="1617">
        <v>124.39</v>
      </c>
      <c r="AH141" s="1617">
        <v>124.39</v>
      </c>
      <c r="AI141" s="508"/>
      <c r="AJ141" s="508"/>
      <c r="AK141" s="508"/>
      <c r="AL141" s="508"/>
      <c r="AM141" s="508"/>
      <c r="AN141" s="508"/>
    </row>
    <row r="142" spans="1:40">
      <c r="A142" s="109" t="s">
        <v>78</v>
      </c>
      <c r="B142" s="1538">
        <v>1472.9880000000001</v>
      </c>
      <c r="C142" s="1538">
        <v>1651.4399999999998</v>
      </c>
      <c r="D142" s="1538">
        <v>1798.2270000000003</v>
      </c>
      <c r="E142" s="1538">
        <v>2206.0239999999999</v>
      </c>
      <c r="F142" s="1538">
        <v>3243.9140000000002</v>
      </c>
      <c r="G142" s="1538">
        <v>4040.4659999999999</v>
      </c>
      <c r="H142" s="1538">
        <v>5295.7209999999995</v>
      </c>
      <c r="I142" s="1538">
        <v>6510.6399999999994</v>
      </c>
      <c r="J142" s="1538">
        <v>5808.8090000000002</v>
      </c>
      <c r="K142" s="1538">
        <v>6140.7650000000003</v>
      </c>
      <c r="L142" s="1538">
        <v>9374.1739999999991</v>
      </c>
      <c r="M142" s="1538">
        <v>9797.5929999999989</v>
      </c>
      <c r="N142" s="1538">
        <v>12416.134000000002</v>
      </c>
      <c r="O142" s="1538">
        <v>29771.596000000001</v>
      </c>
      <c r="P142" s="1538">
        <v>31842.427</v>
      </c>
      <c r="Q142" s="1538">
        <v>37995.140999999996</v>
      </c>
      <c r="R142" s="1538">
        <v>39659.257000000005</v>
      </c>
      <c r="S142" s="1538">
        <v>53060.121999999996</v>
      </c>
      <c r="T142" s="1538">
        <v>76412.247999999992</v>
      </c>
      <c r="U142" s="1538">
        <v>83437.343999999997</v>
      </c>
      <c r="V142" s="1538">
        <v>82977.561999999991</v>
      </c>
      <c r="W142" s="1538">
        <v>80469.322999999989</v>
      </c>
      <c r="X142" s="1538">
        <v>76997.020999999993</v>
      </c>
      <c r="Y142" s="1617">
        <v>78506.158318748028</v>
      </c>
      <c r="Z142" s="1617">
        <v>84677.300652623104</v>
      </c>
      <c r="AA142" s="1617">
        <v>92420.740462379006</v>
      </c>
      <c r="AB142" s="1617">
        <v>100696.18507174838</v>
      </c>
      <c r="AC142" s="1617">
        <v>106510.61260815502</v>
      </c>
      <c r="AD142" s="1617">
        <v>112458.27194166712</v>
      </c>
      <c r="AE142" s="1617">
        <v>118667.266467505</v>
      </c>
      <c r="AF142" s="1617">
        <v>125200.41135946348</v>
      </c>
      <c r="AG142" s="1617">
        <v>133076.99573184794</v>
      </c>
      <c r="AH142" s="1617">
        <v>140428.34812029463</v>
      </c>
      <c r="AI142" s="1128"/>
      <c r="AJ142" s="1128">
        <v>0.24462695891982578</v>
      </c>
      <c r="AK142" s="1128">
        <f>IFERROR((W142/T142)^(1/3)-1,"NM")</f>
        <v>1.7393886587318219E-2</v>
      </c>
      <c r="AL142" s="1128">
        <f>IFERROR((AA142/Y142)^(1/2)-1,"NM")</f>
        <v>8.5007796686883408E-2</v>
      </c>
      <c r="AM142" s="1128">
        <f>IFERROR((AD142/R142)^(1/5)-1,"NM")</f>
        <v>0.23176927355963706</v>
      </c>
      <c r="AN142" s="1128">
        <f>IFERROR((AH142/X142)^(1/5)-1,"NM")</f>
        <v>0.12770673167306845</v>
      </c>
    </row>
    <row r="143" spans="1:40">
      <c r="A143" s="4"/>
      <c r="B143" s="1619"/>
      <c r="C143" s="1619"/>
      <c r="D143" s="1620"/>
      <c r="E143" s="1540"/>
      <c r="F143" s="1540"/>
      <c r="G143" s="1540"/>
      <c r="H143" s="1540"/>
      <c r="I143" s="1540"/>
      <c r="J143" s="1619"/>
      <c r="K143" s="1620"/>
      <c r="L143" s="1540"/>
      <c r="M143" s="1540"/>
      <c r="N143" s="1540"/>
      <c r="O143" s="1540"/>
      <c r="P143" s="1540"/>
      <c r="Q143" s="1540"/>
      <c r="R143" s="1540"/>
      <c r="S143" s="1540"/>
      <c r="T143" s="1540"/>
      <c r="U143" s="1540"/>
      <c r="V143" s="1540"/>
      <c r="W143" s="1540"/>
      <c r="X143" s="1540"/>
      <c r="Y143" s="1540"/>
      <c r="Z143" s="1540"/>
      <c r="AA143" s="1540"/>
      <c r="AB143" s="1540"/>
      <c r="AC143" s="1540"/>
      <c r="AD143" s="1540"/>
      <c r="AE143" s="1540"/>
      <c r="AF143" s="1540"/>
      <c r="AG143" s="1540"/>
      <c r="AH143" s="1540"/>
      <c r="AI143" s="508"/>
      <c r="AJ143" s="508"/>
      <c r="AK143" s="508"/>
      <c r="AL143" s="508"/>
      <c r="AM143" s="508"/>
      <c r="AN143" s="508"/>
    </row>
    <row r="144" spans="1:40" hidden="1"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</row>
    <row r="145" spans="1:40" hidden="1"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</row>
    <row r="146" spans="1:40" hidden="1"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</row>
    <row r="147" spans="1:40" hidden="1"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</row>
    <row r="148" spans="1:40" hidden="1"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</row>
    <row r="149" spans="1:40"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</row>
    <row r="150" spans="1:40">
      <c r="A150" s="1126" t="s">
        <v>668</v>
      </c>
      <c r="B150" s="1124">
        <v>2001</v>
      </c>
      <c r="C150" s="1124">
        <v>2002</v>
      </c>
      <c r="D150" s="1124">
        <v>2003</v>
      </c>
      <c r="E150" s="1124">
        <v>2004</v>
      </c>
      <c r="F150" s="1124">
        <v>2005</v>
      </c>
      <c r="G150" s="1124">
        <v>2006</v>
      </c>
      <c r="H150" s="1124">
        <v>2007</v>
      </c>
      <c r="I150" s="1124">
        <v>2008</v>
      </c>
      <c r="J150" s="1124">
        <v>2009</v>
      </c>
      <c r="K150" s="1124">
        <v>2010</v>
      </c>
      <c r="L150" s="1124">
        <v>2011</v>
      </c>
      <c r="M150" s="1124">
        <v>2012</v>
      </c>
      <c r="N150" s="1124">
        <v>2013</v>
      </c>
      <c r="O150" s="1124">
        <v>2014</v>
      </c>
      <c r="P150" s="1124">
        <v>2015</v>
      </c>
      <c r="Q150" s="1124">
        <v>2016</v>
      </c>
      <c r="R150" s="1124">
        <v>2017</v>
      </c>
      <c r="S150" s="1583">
        <v>2018</v>
      </c>
      <c r="T150" s="1583">
        <v>2019</v>
      </c>
      <c r="U150" s="1583">
        <v>2020</v>
      </c>
      <c r="V150" s="1583">
        <v>2021</v>
      </c>
      <c r="W150" s="1583">
        <v>2022</v>
      </c>
      <c r="X150" s="1583">
        <v>2023</v>
      </c>
      <c r="Y150" s="1445">
        <v>2024</v>
      </c>
      <c r="Z150" s="1445">
        <v>2025</v>
      </c>
      <c r="AA150" s="1445">
        <v>2026</v>
      </c>
      <c r="AB150" s="1445">
        <v>2027</v>
      </c>
      <c r="AC150" s="1445">
        <v>2028</v>
      </c>
      <c r="AD150" s="1445">
        <v>2029</v>
      </c>
      <c r="AE150" s="1445">
        <v>2030</v>
      </c>
      <c r="AF150" s="1445">
        <v>2031</v>
      </c>
      <c r="AG150" s="1445">
        <v>2032</v>
      </c>
      <c r="AH150" s="1445">
        <v>2033</v>
      </c>
      <c r="AI150" s="508"/>
      <c r="AJ150" s="508"/>
      <c r="AK150" s="508"/>
      <c r="AL150" s="508"/>
      <c r="AM150" s="508"/>
      <c r="AN150" s="508"/>
    </row>
    <row r="151" spans="1:40">
      <c r="A151" s="123" t="s">
        <v>40</v>
      </c>
      <c r="B151" s="1541">
        <v>31.013999999999928</v>
      </c>
      <c r="C151" s="1541">
        <v>148.92700000000005</v>
      </c>
      <c r="D151" s="1541">
        <v>128.14800000000005</v>
      </c>
      <c r="E151" s="1541">
        <v>154.60899999999998</v>
      </c>
      <c r="F151" s="1541">
        <v>281.49800000000027</v>
      </c>
      <c r="G151" s="1541">
        <v>222.17700000000085</v>
      </c>
      <c r="H151" s="1541">
        <v>478.43499999999983</v>
      </c>
      <c r="I151" s="1541">
        <v>128.779</v>
      </c>
      <c r="J151" s="1541">
        <v>103.74799999999944</v>
      </c>
      <c r="K151" s="1541">
        <v>151.22599999999986</v>
      </c>
      <c r="L151" s="1541">
        <v>209.6440000000004</v>
      </c>
      <c r="M151" s="1541">
        <v>366.56499999999937</v>
      </c>
      <c r="N151" s="1541">
        <v>681.01300000000026</v>
      </c>
      <c r="O151" s="1541">
        <v>666.66600000000017</v>
      </c>
      <c r="P151" s="1541">
        <v>981.20600000000036</v>
      </c>
      <c r="Q151" s="1541">
        <v>996.47199999999941</v>
      </c>
      <c r="R151" s="1541">
        <v>1089.4689999999996</v>
      </c>
      <c r="S151" s="1541">
        <v>953.25299999999902</v>
      </c>
      <c r="T151" s="1541">
        <v>926.66999999999916</v>
      </c>
      <c r="U151" s="1541">
        <v>-3186.0470000000023</v>
      </c>
      <c r="V151" s="1541">
        <v>835.12999999999909</v>
      </c>
      <c r="W151" s="1541">
        <v>1632.3349999999982</v>
      </c>
      <c r="X151" s="1541">
        <v>2930.7289999999966</v>
      </c>
      <c r="Y151" s="1621">
        <v>1123.5562842488382</v>
      </c>
      <c r="Z151" s="1621">
        <v>1901.1917619047153</v>
      </c>
      <c r="AA151" s="1621">
        <v>2805.9030071771958</v>
      </c>
      <c r="AB151" s="1621">
        <v>3841.7683674160317</v>
      </c>
      <c r="AC151" s="1621">
        <v>4060.7166298501761</v>
      </c>
      <c r="AD151" s="1621">
        <v>4382.4137503565798</v>
      </c>
      <c r="AE151" s="1621">
        <v>4679.1784124621308</v>
      </c>
      <c r="AF151" s="1621">
        <v>4982.1373277645389</v>
      </c>
      <c r="AG151" s="1621">
        <v>5276.6168806227579</v>
      </c>
      <c r="AH151" s="1621">
        <v>5564.0902061198212</v>
      </c>
      <c r="AI151" s="508"/>
      <c r="AJ151" s="508"/>
      <c r="AK151" s="508"/>
      <c r="AL151" s="508"/>
      <c r="AM151" s="508"/>
      <c r="AN151" s="508"/>
    </row>
    <row r="152" spans="1:40">
      <c r="A152" s="725" t="s">
        <v>79</v>
      </c>
      <c r="B152" s="967">
        <v>111.178</v>
      </c>
      <c r="C152" s="967">
        <v>113.99299999999999</v>
      </c>
      <c r="D152" s="967">
        <v>161.46</v>
      </c>
      <c r="E152" s="967">
        <v>183.01</v>
      </c>
      <c r="F152" s="967">
        <v>210.93</v>
      </c>
      <c r="G152" s="967">
        <v>571.35799999999995</v>
      </c>
      <c r="H152" s="967">
        <v>437.25299999999999</v>
      </c>
      <c r="I152" s="967">
        <v>572.89</v>
      </c>
      <c r="J152" s="967">
        <v>665.16700000000003</v>
      </c>
      <c r="K152" s="967">
        <v>675.03300000000002</v>
      </c>
      <c r="L152" s="967">
        <v>723.85199999999998</v>
      </c>
      <c r="M152" s="967">
        <v>811.298</v>
      </c>
      <c r="N152" s="967">
        <v>923.12100000000009</v>
      </c>
      <c r="O152" s="967">
        <v>1333.32</v>
      </c>
      <c r="P152" s="967">
        <v>1947.8969999999999</v>
      </c>
      <c r="Q152" s="967">
        <v>2388.2350000000001</v>
      </c>
      <c r="R152" s="967">
        <v>2751.6759999999999</v>
      </c>
      <c r="S152" s="967">
        <v>3023.1880000000001</v>
      </c>
      <c r="T152" s="967">
        <v>4081.7860000000001</v>
      </c>
      <c r="U152" s="967">
        <v>4353.3639999999996</v>
      </c>
      <c r="V152" s="967">
        <v>3506.527</v>
      </c>
      <c r="W152" s="967">
        <v>3350.9949999999999</v>
      </c>
      <c r="X152" s="967">
        <v>3913.6039999999998</v>
      </c>
      <c r="Y152" s="1397">
        <v>4127.3273107005243</v>
      </c>
      <c r="Z152" s="1397">
        <v>4476.9530908591423</v>
      </c>
      <c r="AA152" s="1397">
        <v>4658.9831313490258</v>
      </c>
      <c r="AB152" s="1397">
        <v>4810.3802065913678</v>
      </c>
      <c r="AC152" s="1397">
        <v>5080.7981233652863</v>
      </c>
      <c r="AD152" s="1397">
        <v>5739.744654821302</v>
      </c>
      <c r="AE152" s="1397">
        <v>6446.6711212309401</v>
      </c>
      <c r="AF152" s="1397">
        <v>7181.7127252486052</v>
      </c>
      <c r="AG152" s="1397">
        <v>7969.4914974689145</v>
      </c>
      <c r="AH152" s="1397">
        <v>8808.7774258650534</v>
      </c>
      <c r="AI152" s="508"/>
      <c r="AJ152" s="508"/>
      <c r="AK152" s="508"/>
      <c r="AL152" s="508"/>
      <c r="AM152" s="508"/>
      <c r="AN152" s="508"/>
    </row>
    <row r="153" spans="1:40">
      <c r="A153" s="725" t="s">
        <v>1523</v>
      </c>
      <c r="B153" s="438">
        <v>-0.12199999999992883</v>
      </c>
      <c r="C153" s="438">
        <v>0.91099999999994452</v>
      </c>
      <c r="D153" s="438">
        <v>63.397999999999939</v>
      </c>
      <c r="E153" s="438">
        <v>28.021999999999991</v>
      </c>
      <c r="F153" s="438">
        <v>-55.706000000000245</v>
      </c>
      <c r="G153" s="438">
        <v>-123.64300000000085</v>
      </c>
      <c r="H153" s="438">
        <v>-98.70599999999979</v>
      </c>
      <c r="I153" s="438">
        <v>318.32500000000005</v>
      </c>
      <c r="J153" s="438">
        <v>93.598000000000582</v>
      </c>
      <c r="K153" s="438">
        <v>136.01900000000015</v>
      </c>
      <c r="L153" s="438">
        <v>-1895.2460000000005</v>
      </c>
      <c r="M153" s="438">
        <v>2855.1200000000008</v>
      </c>
      <c r="N153" s="438">
        <v>244.02099999999976</v>
      </c>
      <c r="O153" s="438">
        <v>370.17999999999972</v>
      </c>
      <c r="P153" s="438">
        <v>780.76999999999964</v>
      </c>
      <c r="Q153" s="438">
        <v>565.41100000000051</v>
      </c>
      <c r="R153" s="438">
        <v>-196.6179999999994</v>
      </c>
      <c r="S153" s="438">
        <v>1096.5500000000006</v>
      </c>
      <c r="T153" s="438">
        <v>1232.0650000000005</v>
      </c>
      <c r="U153" s="438">
        <v>4081.826</v>
      </c>
      <c r="V153" s="438">
        <v>4671.8019999999997</v>
      </c>
      <c r="W153" s="438">
        <v>4357.3019999999997</v>
      </c>
      <c r="X153" s="438">
        <v>4146.4250000000002</v>
      </c>
      <c r="Y153" s="447">
        <v>4230.7095362854225</v>
      </c>
      <c r="Z153" s="447">
        <v>4348.5933553877276</v>
      </c>
      <c r="AA153" s="447">
        <v>4364.4913584424166</v>
      </c>
      <c r="AB153" s="447">
        <v>4414.6008642543011</v>
      </c>
      <c r="AC153" s="447">
        <v>4481.1111088491143</v>
      </c>
      <c r="AD153" s="447">
        <v>4594.8467722433634</v>
      </c>
      <c r="AE153" s="447">
        <v>4748.3164199784451</v>
      </c>
      <c r="AF153" s="447">
        <v>4926.27686346888</v>
      </c>
      <c r="AG153" s="447">
        <v>5136.0834698549215</v>
      </c>
      <c r="AH153" s="447">
        <v>5374.9588689262118</v>
      </c>
      <c r="AI153" s="508"/>
      <c r="AJ153" s="508"/>
      <c r="AK153" s="508"/>
      <c r="AL153" s="508"/>
      <c r="AM153" s="508"/>
      <c r="AN153" s="508"/>
    </row>
    <row r="154" spans="1:40">
      <c r="A154" s="725" t="s">
        <v>198</v>
      </c>
      <c r="B154" s="438">
        <v>79.549000000000007</v>
      </c>
      <c r="C154" s="438">
        <v>134.40600000000001</v>
      </c>
      <c r="D154" s="438">
        <v>-127.19</v>
      </c>
      <c r="E154" s="438">
        <v>69.669000000000011</v>
      </c>
      <c r="F154" s="438">
        <v>-99.646000000000001</v>
      </c>
      <c r="G154" s="438">
        <v>279.66800000000001</v>
      </c>
      <c r="H154" s="438">
        <v>-212.05200000000005</v>
      </c>
      <c r="I154" s="438">
        <v>-40.324999999999989</v>
      </c>
      <c r="J154" s="438">
        <v>302.99300000000005</v>
      </c>
      <c r="K154" s="438">
        <v>-77.469000000000008</v>
      </c>
      <c r="L154" s="438">
        <v>22.838999999999942</v>
      </c>
      <c r="M154" s="438">
        <v>-349.32</v>
      </c>
      <c r="N154" s="438">
        <v>-290.34099999999995</v>
      </c>
      <c r="O154" s="438">
        <v>71.646000000000043</v>
      </c>
      <c r="P154" s="438">
        <v>-128.899</v>
      </c>
      <c r="Q154" s="438">
        <v>1044.1950000000002</v>
      </c>
      <c r="R154" s="438">
        <v>-371.01099999999997</v>
      </c>
      <c r="S154" s="438">
        <v>843.87400000000002</v>
      </c>
      <c r="T154" s="438">
        <v>347.36900000000003</v>
      </c>
      <c r="U154" s="438">
        <v>-1772.485999999999</v>
      </c>
      <c r="V154" s="438">
        <v>2483.4550000000013</v>
      </c>
      <c r="W154" s="438">
        <v>1631.2390000000016</v>
      </c>
      <c r="X154" s="438">
        <v>443.18800000000329</v>
      </c>
      <c r="Y154" s="447">
        <v>-798.33017098079961</v>
      </c>
      <c r="Z154" s="447">
        <v>535.67677535936718</v>
      </c>
      <c r="AA154" s="447">
        <v>465.76018732989814</v>
      </c>
      <c r="AB154" s="447">
        <v>459.60016367353319</v>
      </c>
      <c r="AC154" s="447">
        <v>596.36927271044487</v>
      </c>
      <c r="AD154" s="447">
        <v>436.8450266316845</v>
      </c>
      <c r="AE154" s="447">
        <v>441.27292843636133</v>
      </c>
      <c r="AF154" s="447">
        <v>459.3204896235743</v>
      </c>
      <c r="AG154" s="447">
        <v>481.72150632021703</v>
      </c>
      <c r="AH154" s="447">
        <v>498.59048258895155</v>
      </c>
      <c r="AI154" s="508"/>
      <c r="AJ154" s="508"/>
      <c r="AK154" s="508"/>
      <c r="AL154" s="508"/>
      <c r="AM154" s="508"/>
      <c r="AN154" s="508"/>
    </row>
    <row r="155" spans="1:40">
      <c r="A155" s="115" t="s">
        <v>81</v>
      </c>
      <c r="B155" s="985">
        <v>221.619</v>
      </c>
      <c r="C155" s="985">
        <v>398.23700000000002</v>
      </c>
      <c r="D155" s="985">
        <v>225.81599999999997</v>
      </c>
      <c r="E155" s="985">
        <v>435.30999999999995</v>
      </c>
      <c r="F155" s="985">
        <v>337.07600000000002</v>
      </c>
      <c r="G155" s="985">
        <v>949.56</v>
      </c>
      <c r="H155" s="985">
        <v>604.93000000000006</v>
      </c>
      <c r="I155" s="985">
        <v>979.6690000000001</v>
      </c>
      <c r="J155" s="985">
        <v>1165.5060000000003</v>
      </c>
      <c r="K155" s="985">
        <v>884.80899999999997</v>
      </c>
      <c r="L155" s="985">
        <v>-938.91100000000029</v>
      </c>
      <c r="M155" s="985">
        <v>3683.663</v>
      </c>
      <c r="N155" s="985">
        <v>1557.8140000000003</v>
      </c>
      <c r="O155" s="985">
        <v>2441.8119999999999</v>
      </c>
      <c r="P155" s="985">
        <v>3580.9739999999997</v>
      </c>
      <c r="Q155" s="985">
        <v>4994.3130000000001</v>
      </c>
      <c r="R155" s="985">
        <v>3273.5160000000001</v>
      </c>
      <c r="S155" s="985">
        <v>5916.8649999999998</v>
      </c>
      <c r="T155" s="985">
        <v>6587.8899999999994</v>
      </c>
      <c r="U155" s="985">
        <v>3476.6569999999983</v>
      </c>
      <c r="V155" s="985">
        <v>11496.914000000001</v>
      </c>
      <c r="W155" s="985">
        <v>10971.870999999999</v>
      </c>
      <c r="X155" s="985">
        <v>11433.946000000002</v>
      </c>
      <c r="Y155" s="1566">
        <v>8683.2629602539855</v>
      </c>
      <c r="Z155" s="1566">
        <v>11262.414983510953</v>
      </c>
      <c r="AA155" s="1566">
        <v>12295.137684298537</v>
      </c>
      <c r="AB155" s="1566">
        <v>13526.349601935233</v>
      </c>
      <c r="AC155" s="1566">
        <v>14218.995134775021</v>
      </c>
      <c r="AD155" s="1566">
        <v>15153.850204052929</v>
      </c>
      <c r="AE155" s="1566">
        <v>16315.438882107877</v>
      </c>
      <c r="AF155" s="1566">
        <v>17549.447406105599</v>
      </c>
      <c r="AG155" s="1566">
        <v>18863.91335426681</v>
      </c>
      <c r="AH155" s="1566">
        <v>20246.416983500039</v>
      </c>
      <c r="AI155" s="508"/>
      <c r="AJ155" s="508"/>
      <c r="AK155" s="508"/>
      <c r="AL155" s="508"/>
      <c r="AM155" s="508"/>
      <c r="AN155" s="508"/>
    </row>
    <row r="156" spans="1:40">
      <c r="A156" s="726" t="s">
        <v>42</v>
      </c>
      <c r="B156" s="967">
        <v>-43.343000000000004</v>
      </c>
      <c r="C156" s="967">
        <v>-10.760999999999999</v>
      </c>
      <c r="D156" s="967">
        <v>-46.585000000000001</v>
      </c>
      <c r="E156" s="967">
        <v>-78.266999999999996</v>
      </c>
      <c r="F156" s="967">
        <v>-104.13</v>
      </c>
      <c r="G156" s="967">
        <v>-167.67699999999999</v>
      </c>
      <c r="H156" s="967">
        <v>-67.84</v>
      </c>
      <c r="I156" s="967">
        <v>0</v>
      </c>
      <c r="J156" s="967">
        <v>-41.834000000000003</v>
      </c>
      <c r="K156" s="967">
        <v>-245.958</v>
      </c>
      <c r="L156" s="967">
        <v>-122.648</v>
      </c>
      <c r="M156" s="967">
        <v>0</v>
      </c>
      <c r="N156" s="967">
        <v>-343.87799999999999</v>
      </c>
      <c r="O156" s="967">
        <v>0</v>
      </c>
      <c r="P156" s="967">
        <v>-419.173</v>
      </c>
      <c r="Q156" s="967">
        <v>-644.77099999999996</v>
      </c>
      <c r="R156" s="967">
        <v>-719.39800000000002</v>
      </c>
      <c r="S156" s="967">
        <v>-720.14400000000001</v>
      </c>
      <c r="T156" s="967">
        <v>0</v>
      </c>
      <c r="U156" s="967">
        <v>0</v>
      </c>
      <c r="V156" s="967">
        <v>0</v>
      </c>
      <c r="W156" s="967">
        <v>0</v>
      </c>
      <c r="X156" s="967">
        <v>0</v>
      </c>
      <c r="Y156" s="1397">
        <v>-978.01700000000005</v>
      </c>
      <c r="Z156" s="1397">
        <v>0</v>
      </c>
      <c r="AA156" s="1397">
        <v>0</v>
      </c>
      <c r="AB156" s="1397">
        <v>0</v>
      </c>
      <c r="AC156" s="1397">
        <v>0</v>
      </c>
      <c r="AD156" s="1397">
        <v>0</v>
      </c>
      <c r="AE156" s="1397">
        <v>0</v>
      </c>
      <c r="AF156" s="1397">
        <v>0</v>
      </c>
      <c r="AG156" s="1397">
        <v>0</v>
      </c>
      <c r="AH156" s="1397">
        <v>0</v>
      </c>
      <c r="AI156" s="508"/>
      <c r="AJ156" s="508"/>
      <c r="AK156" s="508"/>
      <c r="AL156" s="508"/>
      <c r="AM156" s="508"/>
      <c r="AN156" s="508"/>
    </row>
    <row r="157" spans="1:40">
      <c r="A157" s="727" t="s">
        <v>82</v>
      </c>
      <c r="B157" s="967">
        <v>-123.169</v>
      </c>
      <c r="C157" s="967">
        <v>-234.94300000000004</v>
      </c>
      <c r="D157" s="967">
        <v>-164.846</v>
      </c>
      <c r="E157" s="967">
        <v>-526.36199999999997</v>
      </c>
      <c r="F157" s="967">
        <v>-874.95</v>
      </c>
      <c r="G157" s="967">
        <v>-1117.8700000000001</v>
      </c>
      <c r="H157" s="967">
        <v>-1091.8439999999998</v>
      </c>
      <c r="I157" s="967">
        <v>-1094.98</v>
      </c>
      <c r="J157" s="967">
        <v>-554.76100000000019</v>
      </c>
      <c r="K157" s="967">
        <v>-761.947</v>
      </c>
      <c r="L157" s="967">
        <v>-1255.009</v>
      </c>
      <c r="M157" s="967">
        <v>-2751.0480000000002</v>
      </c>
      <c r="N157" s="967">
        <v>-3202.7510000000002</v>
      </c>
      <c r="O157" s="967">
        <v>-12410.406999999999</v>
      </c>
      <c r="P157" s="967">
        <v>-3439.192</v>
      </c>
      <c r="Q157" s="967">
        <v>-5038.588999999999</v>
      </c>
      <c r="R157" s="967">
        <v>-3274.3160000000007</v>
      </c>
      <c r="S157" s="967">
        <v>-17497.725999999999</v>
      </c>
      <c r="T157" s="967">
        <v>-4828.8850000000002</v>
      </c>
      <c r="U157" s="967">
        <v>-1779.9180000000001</v>
      </c>
      <c r="V157" s="967">
        <v>-2541.7869999999998</v>
      </c>
      <c r="W157" s="967">
        <v>-4223.424</v>
      </c>
      <c r="X157" s="967">
        <v>-4739.5130000000008</v>
      </c>
      <c r="Y157" s="1397">
        <v>-5568.2348344935699</v>
      </c>
      <c r="Z157" s="1397">
        <v>-5216.9621919151159</v>
      </c>
      <c r="AA157" s="1397">
        <v>-5105.9704118421696</v>
      </c>
      <c r="AB157" s="1397">
        <v>-5232.888757502612</v>
      </c>
      <c r="AC157" s="1397">
        <v>-6494.1803888485501</v>
      </c>
      <c r="AD157" s="1397">
        <v>-7070.018149406571</v>
      </c>
      <c r="AE157" s="1397">
        <v>-7469.7879729180422</v>
      </c>
      <c r="AF157" s="1397">
        <v>-8117.3914239976357</v>
      </c>
      <c r="AG157" s="1397">
        <v>-8813.9822301241838</v>
      </c>
      <c r="AH157" s="1397">
        <v>-9441.0362196846927</v>
      </c>
      <c r="AI157" s="508"/>
      <c r="AJ157" s="508"/>
      <c r="AK157" s="508"/>
      <c r="AL157" s="508"/>
      <c r="AM157" s="508"/>
      <c r="AN157" s="508"/>
    </row>
    <row r="158" spans="1:40">
      <c r="A158" s="727" t="s">
        <v>83</v>
      </c>
      <c r="B158" s="438">
        <v>-4.1900000000000004</v>
      </c>
      <c r="C158" s="438">
        <v>14.678000000000001</v>
      </c>
      <c r="D158" s="438">
        <v>2.5609999999999999</v>
      </c>
      <c r="E158" s="438">
        <v>191.41500000000002</v>
      </c>
      <c r="F158" s="438">
        <v>26.544</v>
      </c>
      <c r="G158" s="438">
        <v>741.04399999999998</v>
      </c>
      <c r="H158" s="438">
        <v>-15.052999999999997</v>
      </c>
      <c r="I158" s="438">
        <v>-125.748</v>
      </c>
      <c r="J158" s="438">
        <v>-118.035</v>
      </c>
      <c r="K158" s="438">
        <v>62.094999999999999</v>
      </c>
      <c r="L158" s="438">
        <v>27.172999999999995</v>
      </c>
      <c r="M158" s="438">
        <v>186.226</v>
      </c>
      <c r="N158" s="438">
        <v>5.07</v>
      </c>
      <c r="O158" s="438">
        <v>6613.2640000000001</v>
      </c>
      <c r="P158" s="438">
        <v>-13.844999999999999</v>
      </c>
      <c r="Q158" s="438">
        <v>-199.00200000000001</v>
      </c>
      <c r="R158" s="438">
        <v>-60.576999999999991</v>
      </c>
      <c r="S158" s="438">
        <v>221.19499999999999</v>
      </c>
      <c r="T158" s="438">
        <v>227.923</v>
      </c>
      <c r="U158" s="438">
        <v>4.4850000000000136</v>
      </c>
      <c r="V158" s="438">
        <v>0</v>
      </c>
      <c r="W158" s="438">
        <v>-729.08699999999999</v>
      </c>
      <c r="X158" s="438">
        <v>-348.23700000000002</v>
      </c>
      <c r="Y158" s="447">
        <v>356.35599999999999</v>
      </c>
      <c r="Z158" s="447">
        <v>0</v>
      </c>
      <c r="AA158" s="447">
        <v>0</v>
      </c>
      <c r="AB158" s="447">
        <v>0</v>
      </c>
      <c r="AC158" s="447">
        <v>0</v>
      </c>
      <c r="AD158" s="447">
        <v>0</v>
      </c>
      <c r="AE158" s="447">
        <v>0</v>
      </c>
      <c r="AF158" s="447">
        <v>0</v>
      </c>
      <c r="AG158" s="447">
        <v>0</v>
      </c>
      <c r="AH158" s="447">
        <v>0</v>
      </c>
      <c r="AI158" s="508"/>
      <c r="AJ158" s="508"/>
      <c r="AK158" s="508"/>
      <c r="AL158" s="508"/>
      <c r="AM158" s="508"/>
      <c r="AN158" s="508"/>
    </row>
    <row r="159" spans="1:40">
      <c r="A159" s="728" t="s">
        <v>80</v>
      </c>
      <c r="B159" s="438">
        <v>33.78</v>
      </c>
      <c r="C159" s="438">
        <v>-3.4000000000000002E-2</v>
      </c>
      <c r="D159" s="438">
        <v>0</v>
      </c>
      <c r="E159" s="438">
        <v>0</v>
      </c>
      <c r="F159" s="438">
        <v>0</v>
      </c>
      <c r="G159" s="438">
        <v>0</v>
      </c>
      <c r="H159" s="438">
        <v>0</v>
      </c>
      <c r="I159" s="438">
        <v>-46.424000000000007</v>
      </c>
      <c r="J159" s="438">
        <v>-38.065999999999988</v>
      </c>
      <c r="K159" s="438">
        <v>-57.430999999999997</v>
      </c>
      <c r="L159" s="438">
        <v>-76.904999999999987</v>
      </c>
      <c r="M159" s="438">
        <v>733.64499999999998</v>
      </c>
      <c r="N159" s="438">
        <v>-854.71499999999992</v>
      </c>
      <c r="O159" s="438">
        <v>-18.565999999999999</v>
      </c>
      <c r="P159" s="438">
        <v>-18.462</v>
      </c>
      <c r="Q159" s="438">
        <v>-116.83200000000002</v>
      </c>
      <c r="R159" s="438">
        <v>38.690999999999995</v>
      </c>
      <c r="S159" s="438">
        <v>1295.4759999999999</v>
      </c>
      <c r="T159" s="438">
        <v>-1753.6409999999998</v>
      </c>
      <c r="U159" s="438">
        <v>-253.41799999999992</v>
      </c>
      <c r="V159" s="438">
        <v>-745.85900000000004</v>
      </c>
      <c r="W159" s="438">
        <v>-1208.6290000000001</v>
      </c>
      <c r="X159" s="438">
        <v>-2930.3290000000006</v>
      </c>
      <c r="Y159" s="447">
        <v>-3046.6060000000002</v>
      </c>
      <c r="Z159" s="447">
        <v>-824.56</v>
      </c>
      <c r="AA159" s="447">
        <v>0</v>
      </c>
      <c r="AB159" s="447">
        <v>0</v>
      </c>
      <c r="AC159" s="447">
        <v>0</v>
      </c>
      <c r="AD159" s="447">
        <v>0</v>
      </c>
      <c r="AE159" s="447">
        <v>0</v>
      </c>
      <c r="AF159" s="447">
        <v>0</v>
      </c>
      <c r="AG159" s="447">
        <v>0</v>
      </c>
      <c r="AH159" s="447">
        <v>0</v>
      </c>
      <c r="AI159" s="508"/>
      <c r="AJ159" s="508"/>
      <c r="AK159" s="508"/>
      <c r="AL159" s="508"/>
      <c r="AM159" s="508"/>
      <c r="AN159" s="508"/>
    </row>
    <row r="160" spans="1:40">
      <c r="A160" s="113" t="s">
        <v>206</v>
      </c>
      <c r="B160" s="985">
        <v>84.697000000000017</v>
      </c>
      <c r="C160" s="985">
        <v>167.17699999999996</v>
      </c>
      <c r="D160" s="985">
        <v>16.945999999999962</v>
      </c>
      <c r="E160" s="985">
        <v>22.096000000000004</v>
      </c>
      <c r="F160" s="985">
        <v>-615.46</v>
      </c>
      <c r="G160" s="985">
        <v>405.05699999999979</v>
      </c>
      <c r="H160" s="985">
        <v>-569.80699999999979</v>
      </c>
      <c r="I160" s="985">
        <v>-287.48299999999995</v>
      </c>
      <c r="J160" s="985">
        <v>412.81000000000012</v>
      </c>
      <c r="K160" s="985">
        <v>-118.432</v>
      </c>
      <c r="L160" s="985">
        <v>-2366.3000000000006</v>
      </c>
      <c r="M160" s="985">
        <v>1852.4859999999999</v>
      </c>
      <c r="N160" s="985">
        <v>-2838.46</v>
      </c>
      <c r="O160" s="985">
        <v>-3373.896999999999</v>
      </c>
      <c r="P160" s="985">
        <v>-309.69800000000055</v>
      </c>
      <c r="Q160" s="985">
        <v>-1004.8809999999986</v>
      </c>
      <c r="R160" s="985">
        <v>-742.08400000000074</v>
      </c>
      <c r="S160" s="985">
        <v>-10784.333999999999</v>
      </c>
      <c r="T160" s="985">
        <v>233.28699999999935</v>
      </c>
      <c r="U160" s="985">
        <v>1447.8059999999984</v>
      </c>
      <c r="V160" s="985">
        <v>8209.268</v>
      </c>
      <c r="W160" s="985">
        <v>4810.7309999999989</v>
      </c>
      <c r="X160" s="985">
        <v>3415.8670000000002</v>
      </c>
      <c r="Y160" s="1566">
        <v>-553.23887423958467</v>
      </c>
      <c r="Z160" s="1566">
        <v>5220.8927915958375</v>
      </c>
      <c r="AA160" s="1566">
        <v>7189.1672724563678</v>
      </c>
      <c r="AB160" s="1566">
        <v>8293.4608444326223</v>
      </c>
      <c r="AC160" s="1566">
        <v>7724.814745926471</v>
      </c>
      <c r="AD160" s="1566">
        <v>8083.8320546463583</v>
      </c>
      <c r="AE160" s="1566">
        <v>8845.6509091898351</v>
      </c>
      <c r="AF160" s="1566">
        <v>9432.0559821079623</v>
      </c>
      <c r="AG160" s="1566">
        <v>10049.931124142626</v>
      </c>
      <c r="AH160" s="1566">
        <v>10805.380763815347</v>
      </c>
      <c r="AI160" s="508"/>
      <c r="AJ160" s="508"/>
      <c r="AK160" s="508"/>
      <c r="AL160" s="508"/>
      <c r="AM160" s="508"/>
      <c r="AN160" s="508"/>
    </row>
    <row r="161" spans="1:40">
      <c r="A161" s="1411" t="s">
        <v>918</v>
      </c>
      <c r="B161" s="438">
        <v>-93.914000000000001</v>
      </c>
      <c r="C161" s="438">
        <v>-60.65</v>
      </c>
      <c r="D161" s="438">
        <v>-28.98</v>
      </c>
      <c r="E161" s="438">
        <v>-87.554000000000002</v>
      </c>
      <c r="F161" s="438">
        <v>627.36</v>
      </c>
      <c r="G161" s="438">
        <v>-332.04700000000003</v>
      </c>
      <c r="H161" s="438">
        <v>536.17399999999998</v>
      </c>
      <c r="I161" s="438">
        <v>739.92899999999997</v>
      </c>
      <c r="J161" s="438">
        <v>-488.07600000000002</v>
      </c>
      <c r="K161" s="438">
        <v>295.42099999999999</v>
      </c>
      <c r="L161" s="438">
        <v>2465.4760000000001</v>
      </c>
      <c r="M161" s="438">
        <v>-1659.2719999999999</v>
      </c>
      <c r="N161" s="438">
        <v>2569.136</v>
      </c>
      <c r="O161" s="438">
        <v>4188.07</v>
      </c>
      <c r="P161" s="438">
        <v>882.57999999999993</v>
      </c>
      <c r="Q161" s="438">
        <v>2356.9089999999997</v>
      </c>
      <c r="R161" s="438">
        <v>-265.35500000000002</v>
      </c>
      <c r="S161" s="438">
        <v>11231.788</v>
      </c>
      <c r="T161" s="438">
        <v>404.24599999999987</v>
      </c>
      <c r="U161" s="438">
        <v>5347.3440000000001</v>
      </c>
      <c r="V161" s="438">
        <v>275.26300000000015</v>
      </c>
      <c r="W161" s="438">
        <v>-2152.7870000000003</v>
      </c>
      <c r="X161" s="438">
        <v>566.35699999999997</v>
      </c>
      <c r="Y161" s="447">
        <v>2955.9718166252323</v>
      </c>
      <c r="Z161" s="447">
        <v>3659.1987338251547</v>
      </c>
      <c r="AA161" s="447">
        <v>3586.8191181181646</v>
      </c>
      <c r="AB161" s="447">
        <v>3159.6952341434467</v>
      </c>
      <c r="AC161" s="447">
        <v>372.15226457853095</v>
      </c>
      <c r="AD161" s="447">
        <v>375.49231073177918</v>
      </c>
      <c r="AE161" s="447">
        <v>378.86233361596589</v>
      </c>
      <c r="AF161" s="447">
        <v>382.26260227061437</v>
      </c>
      <c r="AG161" s="447">
        <v>1388.985674506313</v>
      </c>
      <c r="AH161" s="447">
        <v>549.52511344076925</v>
      </c>
      <c r="AI161" s="508"/>
      <c r="AJ161" s="508"/>
      <c r="AK161" s="508"/>
      <c r="AL161" s="508"/>
      <c r="AM161" s="508"/>
      <c r="AN161" s="508"/>
    </row>
    <row r="162" spans="1:40">
      <c r="A162" s="1411" t="s">
        <v>1267</v>
      </c>
      <c r="B162" s="438"/>
      <c r="C162" s="438"/>
      <c r="D162" s="438"/>
      <c r="E162" s="438"/>
      <c r="F162" s="438"/>
      <c r="G162" s="438"/>
      <c r="H162" s="438"/>
      <c r="I162" s="438"/>
      <c r="J162" s="438"/>
      <c r="K162" s="438"/>
      <c r="L162" s="438"/>
      <c r="M162" s="438"/>
      <c r="N162" s="438"/>
      <c r="O162" s="438">
        <v>0</v>
      </c>
      <c r="P162" s="438">
        <v>0</v>
      </c>
      <c r="Q162" s="438">
        <v>0</v>
      </c>
      <c r="R162" s="438">
        <v>0</v>
      </c>
      <c r="S162" s="438">
        <v>0</v>
      </c>
      <c r="T162" s="438">
        <v>0</v>
      </c>
      <c r="U162" s="438">
        <v>-4310.0410000000002</v>
      </c>
      <c r="V162" s="438">
        <v>-5738.4549999999999</v>
      </c>
      <c r="W162" s="438">
        <v>-4388.6689999999999</v>
      </c>
      <c r="X162" s="438">
        <v>-5130</v>
      </c>
      <c r="Y162" s="447">
        <v>-3784.9318330909573</v>
      </c>
      <c r="Z162" s="447">
        <v>-3886.1239326906825</v>
      </c>
      <c r="AA162" s="447">
        <v>-4129.266472977456</v>
      </c>
      <c r="AB162" s="447">
        <v>-4283.9855471895753</v>
      </c>
      <c r="AC162" s="447">
        <v>-4561.7001369482095</v>
      </c>
      <c r="AD162" s="447">
        <v>-4855.6375665655132</v>
      </c>
      <c r="AE162" s="447">
        <v>-5158.9173909126648</v>
      </c>
      <c r="AF162" s="447">
        <v>-5474.4606632564846</v>
      </c>
      <c r="AG162" s="447">
        <v>-5806.243583534233</v>
      </c>
      <c r="AH162" s="447">
        <v>-6154.0829351118327</v>
      </c>
      <c r="AI162" s="508"/>
      <c r="AJ162" s="508"/>
      <c r="AK162" s="508"/>
      <c r="AL162" s="508"/>
      <c r="AM162" s="508"/>
      <c r="AN162" s="508"/>
    </row>
    <row r="163" spans="1:40">
      <c r="A163" s="113" t="s">
        <v>919</v>
      </c>
      <c r="B163" s="985">
        <v>-9.2169999999999845</v>
      </c>
      <c r="C163" s="985">
        <v>106.52699999999996</v>
      </c>
      <c r="D163" s="985">
        <v>-12.034000000000038</v>
      </c>
      <c r="E163" s="985">
        <v>-65.457999999999998</v>
      </c>
      <c r="F163" s="985">
        <v>11.899999999999977</v>
      </c>
      <c r="G163" s="985">
        <v>73.009999999999764</v>
      </c>
      <c r="H163" s="985">
        <v>-33.632999999999811</v>
      </c>
      <c r="I163" s="985">
        <v>452.44600000000003</v>
      </c>
      <c r="J163" s="985">
        <v>-75.265999999999906</v>
      </c>
      <c r="K163" s="985">
        <v>176.98899999999998</v>
      </c>
      <c r="L163" s="985">
        <v>99.175999999999476</v>
      </c>
      <c r="M163" s="985">
        <v>193.21399999999994</v>
      </c>
      <c r="N163" s="985">
        <v>-269.32400000000007</v>
      </c>
      <c r="O163" s="985">
        <v>814.17300000000068</v>
      </c>
      <c r="P163" s="985">
        <v>572.88199999999938</v>
      </c>
      <c r="Q163" s="985">
        <v>1352.0280000000012</v>
      </c>
      <c r="R163" s="985">
        <v>-1007.4390000000008</v>
      </c>
      <c r="S163" s="985">
        <v>447.45400000000154</v>
      </c>
      <c r="T163" s="985">
        <v>637.53299999999922</v>
      </c>
      <c r="U163" s="985">
        <v>2485.1089999999986</v>
      </c>
      <c r="V163" s="985">
        <v>2746.0760000000009</v>
      </c>
      <c r="W163" s="985">
        <v>-1730.7250000000013</v>
      </c>
      <c r="X163" s="985">
        <v>-1147.7759999999998</v>
      </c>
      <c r="Y163" s="1566">
        <v>-1382.1988907053096</v>
      </c>
      <c r="Z163" s="1566">
        <v>4993.9675927303097</v>
      </c>
      <c r="AA163" s="1566">
        <v>6646.7199175970773</v>
      </c>
      <c r="AB163" s="1566">
        <v>7169.1705313864932</v>
      </c>
      <c r="AC163" s="1566">
        <v>3535.2668735567922</v>
      </c>
      <c r="AD163" s="1566">
        <v>3603.6867988126241</v>
      </c>
      <c r="AE163" s="1566">
        <v>4065.5958518931357</v>
      </c>
      <c r="AF163" s="1566">
        <v>4339.8579211220913</v>
      </c>
      <c r="AG163" s="1566">
        <v>5632.6732151147062</v>
      </c>
      <c r="AH163" s="1566">
        <v>5200.8229421442838</v>
      </c>
      <c r="AI163" s="508"/>
      <c r="AJ163" s="508"/>
      <c r="AK163" s="508"/>
      <c r="AL163" s="508"/>
      <c r="AM163" s="508"/>
      <c r="AN163" s="508"/>
    </row>
    <row r="164" spans="1:40">
      <c r="A164" s="95"/>
      <c r="B164" s="1536"/>
      <c r="C164" s="1536"/>
      <c r="D164" s="1536"/>
      <c r="E164" s="1536"/>
      <c r="F164" s="1536"/>
      <c r="G164" s="1542"/>
      <c r="H164" s="1542"/>
      <c r="I164" s="1542"/>
      <c r="J164" s="1542"/>
      <c r="K164" s="1542"/>
      <c r="L164" s="1542"/>
      <c r="M164" s="1542"/>
      <c r="N164" s="1542"/>
      <c r="O164" s="1542"/>
      <c r="P164" s="1542"/>
      <c r="Q164" s="1542"/>
      <c r="R164" s="1542"/>
      <c r="S164" s="1542"/>
      <c r="T164" s="1622"/>
      <c r="U164" s="1622"/>
      <c r="V164" s="1622"/>
      <c r="W164" s="1622"/>
      <c r="X164" s="1622"/>
      <c r="Y164" s="1622"/>
      <c r="Z164" s="1622"/>
      <c r="AA164" s="1622"/>
      <c r="AB164" s="1622"/>
      <c r="AC164" s="1622"/>
      <c r="AD164" s="1622"/>
      <c r="AE164" s="1622"/>
      <c r="AF164" s="1622"/>
      <c r="AG164" s="1622"/>
      <c r="AH164" s="1622"/>
      <c r="AI164" s="1410"/>
      <c r="AJ164" s="1410"/>
      <c r="AK164" s="1410"/>
      <c r="AL164" s="1410"/>
      <c r="AM164" s="1410"/>
      <c r="AN164" s="1410"/>
    </row>
    <row r="165" spans="1:40">
      <c r="A165" s="1126" t="s">
        <v>669</v>
      </c>
      <c r="B165" s="1124">
        <v>2001</v>
      </c>
      <c r="C165" s="1124">
        <v>2002</v>
      </c>
      <c r="D165" s="1124">
        <v>2003</v>
      </c>
      <c r="E165" s="1124">
        <v>2004</v>
      </c>
      <c r="F165" s="1124">
        <v>2005</v>
      </c>
      <c r="G165" s="1124">
        <v>2006</v>
      </c>
      <c r="H165" s="1124">
        <v>2007</v>
      </c>
      <c r="I165" s="1124">
        <v>2008</v>
      </c>
      <c r="J165" s="1124">
        <v>2009</v>
      </c>
      <c r="K165" s="1124">
        <v>2010</v>
      </c>
      <c r="L165" s="1124">
        <v>2011</v>
      </c>
      <c r="M165" s="1124">
        <v>2012</v>
      </c>
      <c r="N165" s="1124">
        <v>2013</v>
      </c>
      <c r="O165" s="1124">
        <v>2014</v>
      </c>
      <c r="P165" s="1124">
        <v>2015</v>
      </c>
      <c r="Q165" s="1124">
        <v>2016</v>
      </c>
      <c r="R165" s="1124">
        <v>2017</v>
      </c>
      <c r="S165" s="1583">
        <v>2018</v>
      </c>
      <c r="T165" s="1583">
        <v>2019</v>
      </c>
      <c r="U165" s="1583">
        <v>2020</v>
      </c>
      <c r="V165" s="1583">
        <v>2021</v>
      </c>
      <c r="W165" s="1583">
        <v>2022</v>
      </c>
      <c r="X165" s="1583">
        <v>2023</v>
      </c>
      <c r="Y165" s="1445">
        <v>2024</v>
      </c>
      <c r="Z165" s="1445">
        <v>2025</v>
      </c>
      <c r="AA165" s="1445">
        <v>2026</v>
      </c>
      <c r="AB165" s="1445">
        <v>2027</v>
      </c>
      <c r="AC165" s="1445">
        <v>2028</v>
      </c>
      <c r="AD165" s="1445">
        <v>2029</v>
      </c>
      <c r="AE165" s="1445">
        <v>2030</v>
      </c>
      <c r="AF165" s="1445">
        <v>2031</v>
      </c>
      <c r="AG165" s="1445">
        <v>2032</v>
      </c>
      <c r="AH165" s="1445">
        <v>2033</v>
      </c>
      <c r="AI165" s="508"/>
      <c r="AJ165" s="508"/>
      <c r="AK165" s="508"/>
      <c r="AL165" s="508"/>
      <c r="AM165" s="508"/>
      <c r="AN165" s="508"/>
    </row>
    <row r="166" spans="1:40">
      <c r="A166" s="124" t="s">
        <v>84</v>
      </c>
      <c r="B166" s="1522">
        <v>43.146000000000015</v>
      </c>
      <c r="C166" s="1522">
        <v>-140.97900000000001</v>
      </c>
      <c r="D166" s="1522">
        <v>-160.66800000000001</v>
      </c>
      <c r="E166" s="1522">
        <v>-48.488</v>
      </c>
      <c r="F166" s="1522">
        <v>604.29999999999995</v>
      </c>
      <c r="G166" s="1522">
        <v>253.01400000000001</v>
      </c>
      <c r="H166" s="1522">
        <v>824.12300000000005</v>
      </c>
      <c r="I166" s="1522">
        <v>1128.3149999999998</v>
      </c>
      <c r="J166" s="1522">
        <v>864.92000000000007</v>
      </c>
      <c r="K166" s="1522">
        <v>1015.8440000000001</v>
      </c>
      <c r="L166" s="1522">
        <v>3317.152</v>
      </c>
      <c r="M166" s="1522">
        <v>1541.886</v>
      </c>
      <c r="N166" s="1522">
        <v>4380.3469999999998</v>
      </c>
      <c r="O166" s="1522">
        <v>10126.329</v>
      </c>
      <c r="P166" s="1522">
        <v>11037.527</v>
      </c>
      <c r="Q166" s="1522">
        <v>12292.046999999999</v>
      </c>
      <c r="R166" s="1522">
        <v>16501.033000000003</v>
      </c>
      <c r="S166" s="1522">
        <v>26128.074999999997</v>
      </c>
      <c r="T166" s="1522">
        <v>47623.216</v>
      </c>
      <c r="U166" s="1522">
        <v>59736.148999999998</v>
      </c>
      <c r="V166" s="1522">
        <v>54318.394</v>
      </c>
      <c r="W166" s="1522">
        <v>48531.94</v>
      </c>
      <c r="X166" s="1522">
        <v>43336.389000000003</v>
      </c>
      <c r="Y166" s="1596">
        <v>48346.069794778654</v>
      </c>
      <c r="Z166" s="1596">
        <v>46531.55116345975</v>
      </c>
      <c r="AA166" s="1596">
        <v>43880.669059927197</v>
      </c>
      <c r="AB166" s="1596">
        <v>40219.416268422639</v>
      </c>
      <c r="AC166" s="1596">
        <v>37348.334594359258</v>
      </c>
      <c r="AD166" s="1596">
        <v>34412.978805704952</v>
      </c>
      <c r="AE166" s="1596">
        <v>30971.19328468974</v>
      </c>
      <c r="AF166" s="1596">
        <v>27239.282538597683</v>
      </c>
      <c r="AG166" s="1596">
        <v>23217.523460382818</v>
      </c>
      <c r="AH166" s="1596">
        <v>18780.27456740788</v>
      </c>
      <c r="AI166" s="1128"/>
      <c r="AJ166" s="1128">
        <v>0.44124142130556043</v>
      </c>
      <c r="AK166" s="1128">
        <f>IFERROR((W166/T166)^(1/3)-1,"NM")</f>
        <v>6.3204786119639422E-3</v>
      </c>
      <c r="AL166" s="1128">
        <f>IFERROR((AA166/Y166)^(1/2)-1,"NM")</f>
        <v>-4.7300289960553243E-2</v>
      </c>
      <c r="AM166" s="1128">
        <f>IFERROR((AD166/R166)^(1/5)-1,"NM")</f>
        <v>0.15835646486377253</v>
      </c>
      <c r="AN166" s="1128">
        <f>IFERROR((AH166/X166)^(1/5)-1,"NM")</f>
        <v>-0.15400101248042142</v>
      </c>
    </row>
    <row r="167" spans="1:40">
      <c r="A167" s="4" t="s">
        <v>1263</v>
      </c>
      <c r="B167" s="605">
        <v>0.15415970952841709</v>
      </c>
      <c r="C167" s="605">
        <v>6.118452167748159E-2</v>
      </c>
      <c r="D167" s="605">
        <v>3.7239221484750167E-2</v>
      </c>
      <c r="E167" s="605">
        <v>6.9249312116156619E-2</v>
      </c>
      <c r="F167" s="605">
        <v>0.43527913468643253</v>
      </c>
      <c r="G167" s="605">
        <v>0.1873772550036249</v>
      </c>
      <c r="H167" s="605">
        <v>0.34477259754267164</v>
      </c>
      <c r="I167" s="605">
        <v>0.59730917285576479</v>
      </c>
      <c r="J167" s="605">
        <v>0.45662484455521218</v>
      </c>
      <c r="K167" s="605">
        <v>0.57796070816325384</v>
      </c>
      <c r="L167" s="605">
        <v>1.3549478683908593</v>
      </c>
      <c r="M167" s="605">
        <v>0.54736534747860399</v>
      </c>
      <c r="N167" s="605">
        <v>1.1807803340663439</v>
      </c>
      <c r="O167" s="605">
        <v>1.2771608549330191</v>
      </c>
      <c r="P167" s="605">
        <v>1.3488772037726935</v>
      </c>
      <c r="Q167" s="605">
        <v>1.6654154260594349</v>
      </c>
      <c r="R167" s="605">
        <v>1.9070501223575478</v>
      </c>
      <c r="S167" s="605">
        <v>2.5375206677208104</v>
      </c>
      <c r="T167" s="605">
        <v>5.2446107388812733</v>
      </c>
      <c r="U167" s="605">
        <v>10.101647550933727</v>
      </c>
      <c r="V167" s="605">
        <v>8.0128939467999523</v>
      </c>
      <c r="W167" s="605">
        <v>7.1715152023525759</v>
      </c>
      <c r="X167" s="605">
        <v>5.9397708827904427</v>
      </c>
      <c r="Y167" s="606">
        <v>7.0710148844299852</v>
      </c>
      <c r="Z167" s="606">
        <v>5.9848211493571313</v>
      </c>
      <c r="AA167" s="606">
        <v>4.9406230837772886</v>
      </c>
      <c r="AB167" s="606">
        <v>3.9794055241460415</v>
      </c>
      <c r="AC167" s="606">
        <v>3.2107183183251102</v>
      </c>
      <c r="AD167" s="606">
        <v>2.66457971882078</v>
      </c>
      <c r="AE167" s="606">
        <v>2.2592246651773684</v>
      </c>
      <c r="AF167" s="606">
        <v>1.9478989304291174</v>
      </c>
      <c r="AG167" s="606">
        <v>1.7283496310673385</v>
      </c>
      <c r="AH167" s="606">
        <v>1.5317981870578685</v>
      </c>
      <c r="AI167" s="1133"/>
      <c r="AJ167" s="1133"/>
      <c r="AK167" s="508"/>
      <c r="AL167" s="1133"/>
      <c r="AM167" s="1133"/>
      <c r="AN167" s="1133"/>
    </row>
    <row r="168" spans="1:40">
      <c r="A168" s="91" t="s">
        <v>299</v>
      </c>
      <c r="B168" s="605">
        <v>0.13052159024219073</v>
      </c>
      <c r="C168" s="605">
        <v>-0.36722557521040472</v>
      </c>
      <c r="D168" s="605">
        <v>-0.38695693012434695</v>
      </c>
      <c r="E168" s="605">
        <v>-8.8894918535602524E-2</v>
      </c>
      <c r="F168" s="605">
        <v>0.86260179429166828</v>
      </c>
      <c r="G168" s="605">
        <v>0.25114572693731313</v>
      </c>
      <c r="H168" s="605">
        <v>0.63951140550456442</v>
      </c>
      <c r="I168" s="605">
        <v>1.0932575113824974</v>
      </c>
      <c r="J168" s="605">
        <v>0.8647159270412188</v>
      </c>
      <c r="K168" s="605">
        <v>1.0172365969011579</v>
      </c>
      <c r="L168" s="605">
        <v>2.9754325032941731</v>
      </c>
      <c r="M168" s="605">
        <v>0.95884556905349005</v>
      </c>
      <c r="N168" s="605">
        <v>2.148574940575517</v>
      </c>
      <c r="O168" s="605">
        <v>3.625490674850667</v>
      </c>
      <c r="P168" s="605">
        <v>2.5658350398177103</v>
      </c>
      <c r="Q168" s="605">
        <v>2.3843801197927235</v>
      </c>
      <c r="R168" s="605">
        <v>2.5518729265397351</v>
      </c>
      <c r="S168" s="605">
        <v>4.0772132527151825</v>
      </c>
      <c r="T168" s="605">
        <v>3.7743604765390844</v>
      </c>
      <c r="U168" s="605">
        <v>8.6264875657353599</v>
      </c>
      <c r="V168" s="605">
        <v>4.4120873323456742</v>
      </c>
      <c r="W168" s="605">
        <v>3.4542812513834731</v>
      </c>
      <c r="X168" s="605">
        <v>2.7152464141068249</v>
      </c>
      <c r="Y168" s="606">
        <v>3.0628808181476774</v>
      </c>
      <c r="Z168" s="606">
        <v>2.7866558714544998</v>
      </c>
      <c r="AA168" s="606">
        <v>2.460336196117697</v>
      </c>
      <c r="AB168" s="606">
        <v>2.1293941141285777</v>
      </c>
      <c r="AC168" s="606">
        <v>1.9382664146979618</v>
      </c>
      <c r="AD168" s="606">
        <v>1.6968890372797032</v>
      </c>
      <c r="AE168" s="606">
        <v>1.4528648423005568</v>
      </c>
      <c r="AF168" s="606">
        <v>1.2171776095336875</v>
      </c>
      <c r="AG168" s="606">
        <v>0.98834396854055007</v>
      </c>
      <c r="AH168" s="606">
        <v>0.76181052214417966</v>
      </c>
      <c r="AI168" s="1133"/>
      <c r="AJ168" s="1133"/>
      <c r="AK168" s="508"/>
      <c r="AL168" s="1133"/>
      <c r="AM168" s="1133"/>
      <c r="AN168" s="1133"/>
    </row>
    <row r="169" spans="1:40" s="1209" customFormat="1">
      <c r="A169" s="1266" t="s">
        <v>1231</v>
      </c>
      <c r="B169" s="1624">
        <v>43.146000000000015</v>
      </c>
      <c r="C169" s="1624">
        <v>-140.97900000000001</v>
      </c>
      <c r="D169" s="1624">
        <v>-160.66800000000001</v>
      </c>
      <c r="E169" s="1624">
        <v>-48.488</v>
      </c>
      <c r="F169" s="1624">
        <v>604.29999999999995</v>
      </c>
      <c r="G169" s="1624">
        <v>253.01400000000001</v>
      </c>
      <c r="H169" s="1624">
        <v>824.12300000000005</v>
      </c>
      <c r="I169" s="1624">
        <v>1128.3149999999998</v>
      </c>
      <c r="J169" s="1624">
        <v>864.92000000000007</v>
      </c>
      <c r="K169" s="1624">
        <v>1015.8440000000001</v>
      </c>
      <c r="L169" s="1624">
        <v>3317.152</v>
      </c>
      <c r="M169" s="1624">
        <v>1541.886</v>
      </c>
      <c r="N169" s="1624">
        <v>4380.3469999999998</v>
      </c>
      <c r="O169" s="1624">
        <v>10126.329</v>
      </c>
      <c r="P169" s="1624">
        <v>11037.527</v>
      </c>
      <c r="Q169" s="1624">
        <v>12292.046999999999</v>
      </c>
      <c r="R169" s="1624">
        <v>16501.033000000003</v>
      </c>
      <c r="S169" s="1624">
        <v>26128.074999999997</v>
      </c>
      <c r="T169" s="1624">
        <v>25061.356</v>
      </c>
      <c r="U169" s="1624">
        <v>34436.148999999998</v>
      </c>
      <c r="V169" s="1624">
        <v>30555.119999999999</v>
      </c>
      <c r="W169" s="1624">
        <v>26550.129000000001</v>
      </c>
      <c r="X169" s="1624">
        <v>25006.322000000004</v>
      </c>
      <c r="Y169" s="1624">
        <v>29497.70370733054</v>
      </c>
      <c r="Z169" s="1624">
        <v>27338.374848425388</v>
      </c>
      <c r="AA169" s="1624">
        <v>24278.474048946475</v>
      </c>
      <c r="AB169" s="1624">
        <v>20268.998751703428</v>
      </c>
      <c r="AC169" s="1624">
        <v>17105.884142725161</v>
      </c>
      <c r="AD169" s="1624">
        <v>13877.689654644328</v>
      </c>
      <c r="AE169" s="1624">
        <v>10190.956136367153</v>
      </c>
      <c r="AF169" s="1624">
        <v>6233.3608175156769</v>
      </c>
      <c r="AG169" s="1624">
        <v>1989.6732769072842</v>
      </c>
      <c r="AH169" s="1624">
        <v>-2661.6245517962307</v>
      </c>
      <c r="AI169" s="1261"/>
      <c r="AJ169" s="1261">
        <v>0.22753305802065449</v>
      </c>
      <c r="AK169" s="1261">
        <f>IFERROR((W169/T169)^(1/3)-1,"NM")</f>
        <v>1.9422050377688294E-2</v>
      </c>
      <c r="AL169" s="1261">
        <f>IFERROR((AA169/Y169)^(1/2)-1,"NM")</f>
        <v>-9.2771700234555166E-2</v>
      </c>
      <c r="AM169" s="1261">
        <f>IFERROR((AD169/R169)^(1/5)-1,"NM")</f>
        <v>-3.4035407371994175E-2</v>
      </c>
      <c r="AN169" s="1261">
        <f>IFERROR((AH169/X169)^(1/5)-1,"NM")</f>
        <v>-1.6388801502091788</v>
      </c>
    </row>
    <row r="170" spans="1:40" s="1209" customFormat="1">
      <c r="A170" s="1267" t="s">
        <v>1264</v>
      </c>
      <c r="B170" s="1625">
        <v>0.11591879906693063</v>
      </c>
      <c r="C170" s="1625">
        <v>0.119598653296517</v>
      </c>
      <c r="D170" s="1625">
        <v>0.13392358139434007</v>
      </c>
      <c r="E170" s="1625">
        <v>8.5453739397214179E-2</v>
      </c>
      <c r="F170" s="1625">
        <v>4.3541844820793645E-2</v>
      </c>
      <c r="G170" s="1625">
        <v>3.342609491083455E-2</v>
      </c>
      <c r="H170" s="1625">
        <v>4.1329971877294897E-2</v>
      </c>
      <c r="I170" s="1625">
        <v>4.8974294385805389E-2</v>
      </c>
      <c r="J170" s="1625">
        <v>0.13585624867335111</v>
      </c>
      <c r="K170" s="1625">
        <v>0.10799973618922072</v>
      </c>
      <c r="L170" s="1625">
        <v>0.10704836500794632</v>
      </c>
      <c r="M170" s="1625">
        <v>0.13927931074499625</v>
      </c>
      <c r="N170" s="1625">
        <v>0.11702684587650229</v>
      </c>
      <c r="O170" s="1625">
        <v>1.2771608549330191</v>
      </c>
      <c r="P170" s="1625">
        <v>1.3488772037726935</v>
      </c>
      <c r="Q170" s="1625">
        <v>1.6654154260594349</v>
      </c>
      <c r="R170" s="1625">
        <v>1.9070501223575478</v>
      </c>
      <c r="S170" s="1625">
        <v>2.5375206677208104</v>
      </c>
      <c r="T170" s="1625">
        <v>2.8897558479815988</v>
      </c>
      <c r="U170" s="1625">
        <v>6.0875260937727331</v>
      </c>
      <c r="V170" s="1625">
        <v>4.9021781958920654</v>
      </c>
      <c r="W170" s="1625">
        <v>4.2859553730722793</v>
      </c>
      <c r="X170" s="1625">
        <v>3.7511328220241378</v>
      </c>
      <c r="Y170" s="1625">
        <v>4.5739582385020343</v>
      </c>
      <c r="Z170" s="1625">
        <v>3.9536736222547209</v>
      </c>
      <c r="AA170" s="1625">
        <v>3.3411395835658646</v>
      </c>
      <c r="AB170" s="1625">
        <v>2.7400256387770212</v>
      </c>
      <c r="AC170" s="1625">
        <v>2.2065195790658119</v>
      </c>
      <c r="AD170" s="1625">
        <v>1.8277786037527357</v>
      </c>
      <c r="AE170" s="1625">
        <v>1.5480453308772422</v>
      </c>
      <c r="AF170" s="1625">
        <v>1.3337183946889557</v>
      </c>
      <c r="AG170" s="1625">
        <v>1.1906383878285813</v>
      </c>
      <c r="AH170" s="1625">
        <v>1.0557584844158461</v>
      </c>
      <c r="AI170" s="1243"/>
      <c r="AJ170" s="1243"/>
      <c r="AK170" s="1262"/>
      <c r="AL170" s="1243"/>
      <c r="AM170" s="1243"/>
      <c r="AN170" s="1243"/>
    </row>
    <row r="171" spans="1:40" s="1209" customFormat="1">
      <c r="A171" s="1267" t="s">
        <v>1243</v>
      </c>
      <c r="B171" s="1625">
        <v>0.13052159024219073</v>
      </c>
      <c r="C171" s="1625">
        <v>-0.36722557521040472</v>
      </c>
      <c r="D171" s="1625">
        <v>-0.38695693012434695</v>
      </c>
      <c r="E171" s="1625">
        <v>-8.8894918535602524E-2</v>
      </c>
      <c r="F171" s="1625">
        <v>0.86260179429166828</v>
      </c>
      <c r="G171" s="1625">
        <v>0.25114572693731313</v>
      </c>
      <c r="H171" s="1625">
        <v>0.63951140550456442</v>
      </c>
      <c r="I171" s="1625">
        <v>1.0932575113824974</v>
      </c>
      <c r="J171" s="1625">
        <v>0.8647159270412188</v>
      </c>
      <c r="K171" s="1625">
        <v>1.0172365969011579</v>
      </c>
      <c r="L171" s="1625">
        <v>2.9754325032941731</v>
      </c>
      <c r="M171" s="1625">
        <v>0.95884556905349005</v>
      </c>
      <c r="N171" s="1625">
        <v>2.148574940575517</v>
      </c>
      <c r="O171" s="1625">
        <v>3.625490674850667</v>
      </c>
      <c r="P171" s="1625">
        <v>2.5658350398177103</v>
      </c>
      <c r="Q171" s="1625">
        <v>2.3843801197927235</v>
      </c>
      <c r="R171" s="1625">
        <v>2.5518729265397351</v>
      </c>
      <c r="S171" s="1625">
        <v>4.0772132527151825</v>
      </c>
      <c r="T171" s="1625">
        <v>3.2682320903464706</v>
      </c>
      <c r="U171" s="1625">
        <v>23.968220459901673</v>
      </c>
      <c r="V171" s="1625">
        <v>4.674690692131481</v>
      </c>
      <c r="W171" s="1625">
        <v>3.0086816191183967</v>
      </c>
      <c r="X171" s="1625">
        <v>2.3165522409338952</v>
      </c>
      <c r="Y171" s="1625">
        <v>2.6586220028321574</v>
      </c>
      <c r="Z171" s="1625">
        <v>2.3138650219506696</v>
      </c>
      <c r="AA171" s="1625">
        <v>1.9093202998258916</v>
      </c>
      <c r="AB171" s="1625">
        <v>1.4910646489923076</v>
      </c>
      <c r="AC171" s="1625">
        <v>1.2503082507026044</v>
      </c>
      <c r="AD171" s="1625">
        <v>0.9648250142370296</v>
      </c>
      <c r="AE171" s="1625">
        <v>0.67474279872768128</v>
      </c>
      <c r="AF171" s="1625">
        <v>0.39356989837943207</v>
      </c>
      <c r="AG171" s="1625">
        <v>0.11980742494931032</v>
      </c>
      <c r="AH171" s="1625">
        <v>-0.15288592399638326</v>
      </c>
      <c r="AI171" s="1243"/>
      <c r="AJ171" s="1243"/>
      <c r="AK171" s="1262"/>
      <c r="AL171" s="1243"/>
      <c r="AM171" s="1243"/>
      <c r="AN171" s="1243"/>
    </row>
    <row r="172" spans="1:40">
      <c r="A172" s="91" t="s">
        <v>342</v>
      </c>
      <c r="B172" s="438">
        <v>48.603999999999999</v>
      </c>
      <c r="C172" s="438">
        <v>26.916</v>
      </c>
      <c r="D172" s="438">
        <v>42.328000000000003</v>
      </c>
      <c r="E172" s="438">
        <v>162.625</v>
      </c>
      <c r="F172" s="438">
        <v>82.119</v>
      </c>
      <c r="G172" s="438">
        <v>68.694000000000003</v>
      </c>
      <c r="H172" s="438">
        <v>134.60499999999999</v>
      </c>
      <c r="I172" s="438">
        <v>232.72200000000001</v>
      </c>
      <c r="J172" s="438">
        <v>223.774</v>
      </c>
      <c r="K172" s="438">
        <v>245.64099999999999</v>
      </c>
      <c r="L172" s="438">
        <v>298.86399999999998</v>
      </c>
      <c r="M172" s="438">
        <v>308.18900000000002</v>
      </c>
      <c r="N172" s="438">
        <v>239.50399999999999</v>
      </c>
      <c r="O172" s="438">
        <v>1289.49</v>
      </c>
      <c r="P172" s="438">
        <v>1356.1969999999999</v>
      </c>
      <c r="Q172" s="438">
        <v>1013.448</v>
      </c>
      <c r="R172" s="438">
        <v>1142.7370000000001</v>
      </c>
      <c r="S172" s="438">
        <v>1878.742</v>
      </c>
      <c r="T172" s="438">
        <v>1961.5630000000001</v>
      </c>
      <c r="U172" s="438">
        <v>1330.4459999999999</v>
      </c>
      <c r="V172" s="438">
        <v>1034.923</v>
      </c>
      <c r="W172" s="438">
        <v>962.13099999999997</v>
      </c>
      <c r="X172" s="438">
        <v>940.62099999999998</v>
      </c>
      <c r="Y172" s="447">
        <v>124.39</v>
      </c>
      <c r="Z172" s="447">
        <v>124.39</v>
      </c>
      <c r="AA172" s="447">
        <v>124.39</v>
      </c>
      <c r="AB172" s="447">
        <v>124.39</v>
      </c>
      <c r="AC172" s="447">
        <v>124.39</v>
      </c>
      <c r="AD172" s="447">
        <v>124.39</v>
      </c>
      <c r="AE172" s="447">
        <v>124.39</v>
      </c>
      <c r="AF172" s="447">
        <v>124.39</v>
      </c>
      <c r="AG172" s="447">
        <v>124.39</v>
      </c>
      <c r="AH172" s="447">
        <v>124.39</v>
      </c>
      <c r="AI172" s="1133"/>
      <c r="AJ172" s="1133"/>
      <c r="AK172" s="508"/>
      <c r="AL172" s="1133"/>
      <c r="AM172" s="1133"/>
      <c r="AN172" s="1133"/>
    </row>
    <row r="173" spans="1:40">
      <c r="A173" s="91" t="s">
        <v>95</v>
      </c>
      <c r="B173" s="438">
        <v>99.024999999999935</v>
      </c>
      <c r="C173" s="438">
        <v>181.798</v>
      </c>
      <c r="D173" s="438">
        <v>9.8980000000000814</v>
      </c>
      <c r="E173" s="438">
        <v>-109.30000000000007</v>
      </c>
      <c r="F173" s="438">
        <v>-449.02199999999988</v>
      </c>
      <c r="G173" s="438">
        <v>-30.439999999999372</v>
      </c>
      <c r="H173" s="438">
        <v>-218.84699999999987</v>
      </c>
      <c r="I173" s="438">
        <v>-387.78600000000006</v>
      </c>
      <c r="J173" s="438">
        <v>552.25699999999938</v>
      </c>
      <c r="K173" s="438">
        <v>-9.9000000000002046</v>
      </c>
      <c r="L173" s="438">
        <v>-333.62999999999977</v>
      </c>
      <c r="M173" s="438">
        <v>-1891.1230000000007</v>
      </c>
      <c r="N173" s="438">
        <v>-1906.1279999999999</v>
      </c>
      <c r="O173" s="438">
        <v>-10371.472</v>
      </c>
      <c r="P173" s="438">
        <v>-587.44299999999976</v>
      </c>
      <c r="Q173" s="438">
        <v>-479.66799999999967</v>
      </c>
      <c r="R173" s="438">
        <v>358.46899999999869</v>
      </c>
      <c r="S173" s="438">
        <v>-12399.8</v>
      </c>
      <c r="T173" s="438">
        <v>4649.882999999998</v>
      </c>
      <c r="U173" s="438">
        <v>-3329.8420000000019</v>
      </c>
      <c r="V173" s="438">
        <v>3166.0110000000022</v>
      </c>
      <c r="W173" s="438">
        <v>2312.2380000000003</v>
      </c>
      <c r="X173" s="438">
        <v>1623.7019999999993</v>
      </c>
      <c r="Y173" s="447">
        <v>-3716.5787073305432</v>
      </c>
      <c r="Z173" s="447">
        <v>1334.7688589051527</v>
      </c>
      <c r="AA173" s="447">
        <v>3059.9007994789117</v>
      </c>
      <c r="AB173" s="447">
        <v>4009.475297243047</v>
      </c>
      <c r="AC173" s="447">
        <v>3163.1146089782633</v>
      </c>
      <c r="AD173" s="447">
        <v>3228.1944880808451</v>
      </c>
      <c r="AE173" s="447">
        <v>3686.7335182771703</v>
      </c>
      <c r="AF173" s="447">
        <v>3957.5953188514741</v>
      </c>
      <c r="AG173" s="447">
        <v>4243.6875406083964</v>
      </c>
      <c r="AH173" s="447">
        <v>4651.2978287035103</v>
      </c>
      <c r="AI173" s="1133"/>
      <c r="AJ173" s="1133"/>
      <c r="AK173" s="508"/>
      <c r="AL173" s="1133"/>
      <c r="AM173" s="1133"/>
      <c r="AN173" s="1133"/>
    </row>
    <row r="174" spans="1:40">
      <c r="A174" s="4" t="s">
        <v>85</v>
      </c>
      <c r="B174" s="1623">
        <v>2.1055161345509898E-2</v>
      </c>
      <c r="C174" s="1623">
        <v>9.0180085258925582E-2</v>
      </c>
      <c r="D174" s="1623">
        <v>7.1263527908323063E-2</v>
      </c>
      <c r="E174" s="1623">
        <v>7.0084912947456598E-2</v>
      </c>
      <c r="F174" s="1623">
        <v>8.6777269681008892E-2</v>
      </c>
      <c r="G174" s="1623">
        <v>5.4987964259568291E-2</v>
      </c>
      <c r="H174" s="1623">
        <v>9.0343694465777155E-2</v>
      </c>
      <c r="I174" s="1623">
        <v>1.9779775874568396E-2</v>
      </c>
      <c r="J174" s="1623">
        <v>1.7860459863631176E-2</v>
      </c>
      <c r="K174" s="1623">
        <v>2.4624712740723385E-2</v>
      </c>
      <c r="L174" s="1623">
        <v>2.2363999469606589E-2</v>
      </c>
      <c r="M174" s="1623">
        <v>3.7413781119505524E-2</v>
      </c>
      <c r="N174" s="1623">
        <v>5.4849033133096609E-2</v>
      </c>
      <c r="O174" s="1623">
        <v>2.2392685968196078E-2</v>
      </c>
      <c r="P174" s="1623">
        <v>3.0814422531297615E-2</v>
      </c>
      <c r="Q174" s="1623">
        <v>2.6226300884105092E-2</v>
      </c>
      <c r="R174" s="1623">
        <v>2.7470736529431161E-2</v>
      </c>
      <c r="S174" s="1623">
        <v>1.7965525974478515E-2</v>
      </c>
      <c r="T174" s="1623">
        <v>1.212724431297974E-2</v>
      </c>
      <c r="U174" s="1623">
        <v>-3.8184604137203697E-2</v>
      </c>
      <c r="V174" s="1623">
        <v>1.0064528046750757E-2</v>
      </c>
      <c r="W174" s="1623">
        <v>2.0285183709076289E-2</v>
      </c>
      <c r="X174" s="1623">
        <v>3.8062888173296942E-2</v>
      </c>
      <c r="Y174" s="1626">
        <v>1.4311695973904595E-2</v>
      </c>
      <c r="Z174" s="1626">
        <v>2.2452200587402878E-2</v>
      </c>
      <c r="AA174" s="1626">
        <v>3.0360100587586973E-2</v>
      </c>
      <c r="AB174" s="1626">
        <v>3.815207424716846E-2</v>
      </c>
      <c r="AC174" s="1626">
        <v>3.8124995174558522E-2</v>
      </c>
      <c r="AD174" s="1626">
        <v>3.8969242864237905E-2</v>
      </c>
      <c r="AE174" s="1626">
        <v>3.9431079119972519E-2</v>
      </c>
      <c r="AF174" s="1626">
        <v>3.979329807205665E-2</v>
      </c>
      <c r="AG174" s="1626">
        <v>3.9650856347887231E-2</v>
      </c>
      <c r="AH174" s="1626">
        <v>3.9622271720601648E-2</v>
      </c>
      <c r="AI174" s="1133"/>
      <c r="AJ174" s="1133"/>
      <c r="AK174" s="1133"/>
      <c r="AL174" s="1133"/>
      <c r="AM174" s="1133"/>
      <c r="AN174" s="1133"/>
    </row>
    <row r="175" spans="1:40" s="1209" customFormat="1">
      <c r="A175" s="1267" t="s">
        <v>1232</v>
      </c>
      <c r="B175" s="1530">
        <v>2.1055161345509898E-2</v>
      </c>
      <c r="C175" s="1530">
        <v>9.0180085258925582E-2</v>
      </c>
      <c r="D175" s="1530">
        <v>7.1263527908323063E-2</v>
      </c>
      <c r="E175" s="1530">
        <v>7.0084912947456598E-2</v>
      </c>
      <c r="F175" s="1530">
        <v>8.6777269681008892E-2</v>
      </c>
      <c r="G175" s="1530">
        <v>5.4987964259568291E-2</v>
      </c>
      <c r="H175" s="1530">
        <v>9.0343694465777155E-2</v>
      </c>
      <c r="I175" s="1530">
        <v>1.9779775874568396E-2</v>
      </c>
      <c r="J175" s="1530">
        <v>1.7860459863631176E-2</v>
      </c>
      <c r="K175" s="1530">
        <v>2.4624712740723385E-2</v>
      </c>
      <c r="L175" s="1530">
        <v>2.2363999469606589E-2</v>
      </c>
      <c r="M175" s="1530">
        <v>3.7413781119505524E-2</v>
      </c>
      <c r="N175" s="1530">
        <v>5.4849033133096609E-2</v>
      </c>
      <c r="O175" s="1530">
        <v>2.2392685968196002E-2</v>
      </c>
      <c r="P175" s="1530">
        <v>3.0814422531297642E-2</v>
      </c>
      <c r="Q175" s="1530">
        <v>2.6226300884105137E-2</v>
      </c>
      <c r="R175" s="1530">
        <v>2.7470736529431185E-2</v>
      </c>
      <c r="S175" s="1530">
        <v>1.7965525974478515E-2</v>
      </c>
      <c r="T175" s="1530">
        <v>1.0003815095192572E-2</v>
      </c>
      <c r="U175" s="1530">
        <v>-4.4442747908626783E-2</v>
      </c>
      <c r="V175" s="1530">
        <v>5.8797461414930533E-3</v>
      </c>
      <c r="W175" s="1530">
        <v>2.0652342259670782E-2</v>
      </c>
      <c r="X175" s="1530">
        <v>3.6233817409637166E-2</v>
      </c>
      <c r="Y175" s="1530">
        <v>1.8726040423356197E-2</v>
      </c>
      <c r="Z175" s="1530">
        <v>2.6056824412477125E-2</v>
      </c>
      <c r="AA175" s="1530">
        <v>3.2039901268152524E-2</v>
      </c>
      <c r="AB175" s="1530">
        <v>3.9008175283619773E-2</v>
      </c>
      <c r="AC175" s="1530">
        <v>3.7625619978570279E-2</v>
      </c>
      <c r="AD175" s="1530">
        <v>3.7438702515802155E-2</v>
      </c>
      <c r="AE175" s="1530">
        <v>3.7147411124576944E-2</v>
      </c>
      <c r="AF175" s="1530">
        <v>3.6903520785852136E-2</v>
      </c>
      <c r="AG175" s="1530">
        <v>3.6327173924247905E-2</v>
      </c>
      <c r="AH175" s="1530">
        <v>3.5960462072451307E-2</v>
      </c>
      <c r="AI175" s="1243"/>
      <c r="AJ175" s="1275"/>
      <c r="AK175" s="1243"/>
      <c r="AL175" s="1243"/>
      <c r="AM175" s="1243"/>
      <c r="AN175" s="1243"/>
    </row>
    <row r="176" spans="1:40">
      <c r="A176" s="4" t="s">
        <v>86</v>
      </c>
      <c r="B176" s="1623"/>
      <c r="C176" s="1623">
        <v>0.14867677698433543</v>
      </c>
      <c r="D176" s="1623">
        <v>0.11180242898166601</v>
      </c>
      <c r="E176" s="1623">
        <v>0.11724643143416798</v>
      </c>
      <c r="F176" s="1623">
        <v>0.17632836019097486</v>
      </c>
      <c r="G176" s="1623">
        <v>0.10050133736707226</v>
      </c>
      <c r="H176" s="1623">
        <v>0.16931679619008447</v>
      </c>
      <c r="I176" s="1623">
        <v>4.296533153258774E-2</v>
      </c>
      <c r="J176" s="1623">
        <v>3.5135107676364553E-2</v>
      </c>
      <c r="K176" s="1623">
        <v>5.2382464105389777E-2</v>
      </c>
      <c r="L176" s="1623">
        <v>7.1560708104341481E-2</v>
      </c>
      <c r="M176" s="1623">
        <v>9.7561072981505806E-2</v>
      </c>
      <c r="N176" s="1623">
        <v>0.15491410108827933</v>
      </c>
      <c r="O176" s="1623">
        <v>0.10200255440152339</v>
      </c>
      <c r="P176" s="1623">
        <v>0.10981966103516032</v>
      </c>
      <c r="Q176" s="1623">
        <v>0.11084288566677207</v>
      </c>
      <c r="R176" s="1623">
        <v>0.11860740170438064</v>
      </c>
      <c r="S176" s="1623">
        <v>9.2817062745743431E-2</v>
      </c>
      <c r="T176" s="1623">
        <v>8.9701999092205859E-2</v>
      </c>
      <c r="U176" s="1623">
        <v>-0.4011707061312425</v>
      </c>
      <c r="V176" s="1623">
        <v>0.11980133288719663</v>
      </c>
      <c r="W176" s="1623">
        <v>0.21397803884936184</v>
      </c>
      <c r="X176" s="1623">
        <v>0.36650217980163607</v>
      </c>
      <c r="Y176" s="1626">
        <v>0.14112072178248317</v>
      </c>
      <c r="Z176" s="1626">
        <v>0.22370043272421838</v>
      </c>
      <c r="AA176" s="1626">
        <v>0.25855193968954793</v>
      </c>
      <c r="AB176" s="1626">
        <v>0.27100104761259786</v>
      </c>
      <c r="AC176" s="1626">
        <v>0.22400919980560483</v>
      </c>
      <c r="AD176" s="1626">
        <v>0.1960897509112835</v>
      </c>
      <c r="AE176" s="1626">
        <v>0.17407776940182368</v>
      </c>
      <c r="AF176" s="1626">
        <v>0.15711330417333599</v>
      </c>
      <c r="AG176" s="1626">
        <v>0.14323122216953979</v>
      </c>
      <c r="AH176" s="1626">
        <v>0.13166264263691183</v>
      </c>
      <c r="AI176" s="1133"/>
      <c r="AJ176" s="1133"/>
      <c r="AK176" s="1133"/>
      <c r="AL176" s="1133"/>
      <c r="AM176" s="1133"/>
      <c r="AN176" s="1133"/>
    </row>
    <row r="177" spans="1:40" s="1209" customFormat="1">
      <c r="A177" s="1267" t="s">
        <v>1233</v>
      </c>
      <c r="B177" s="1530"/>
      <c r="C177" s="1530">
        <v>0.14867677698433543</v>
      </c>
      <c r="D177" s="1530">
        <v>0.11180242898166601</v>
      </c>
      <c r="E177" s="1530">
        <v>0.11724643143416798</v>
      </c>
      <c r="F177" s="1530">
        <v>0.17632836019097486</v>
      </c>
      <c r="G177" s="1530">
        <v>0.10050133736707226</v>
      </c>
      <c r="H177" s="1530">
        <v>0.16931679619008447</v>
      </c>
      <c r="I177" s="1530">
        <v>4.296533153258774E-2</v>
      </c>
      <c r="J177" s="1530">
        <v>3.5135107676364553E-2</v>
      </c>
      <c r="K177" s="1530">
        <v>5.2382464105389777E-2</v>
      </c>
      <c r="L177" s="1530">
        <v>7.1560708104341481E-2</v>
      </c>
      <c r="M177" s="1530">
        <v>9.7561072981505806E-2</v>
      </c>
      <c r="N177" s="1530">
        <v>0.15491410108827933</v>
      </c>
      <c r="O177" s="1530">
        <v>0.10200255440152305</v>
      </c>
      <c r="P177" s="1530">
        <v>0.10981966103516043</v>
      </c>
      <c r="Q177" s="1530">
        <v>0.11084288566677228</v>
      </c>
      <c r="R177" s="1530">
        <v>0.11860740170438074</v>
      </c>
      <c r="S177" s="1530">
        <v>9.2817062745743431E-2</v>
      </c>
      <c r="T177" s="1530">
        <v>7.3995558218210897E-2</v>
      </c>
      <c r="U177" s="1530">
        <v>-0.4669192980724261</v>
      </c>
      <c r="V177" s="1530">
        <v>6.9988520228390527E-2</v>
      </c>
      <c r="W177" s="1530">
        <v>0.2178510068110881</v>
      </c>
      <c r="X177" s="1530">
        <v>0.34889031548801203</v>
      </c>
      <c r="Y177" s="1530">
        <v>0.18464844037285721</v>
      </c>
      <c r="Z177" s="1530">
        <v>0.25961477022259055</v>
      </c>
      <c r="AA177" s="1530">
        <v>0.27285741680742082</v>
      </c>
      <c r="AB177" s="1530">
        <v>0.2770820873022749</v>
      </c>
      <c r="AC177" s="1530">
        <v>0.22107504499341635</v>
      </c>
      <c r="AD177" s="1530">
        <v>0.18838820852489396</v>
      </c>
      <c r="AE177" s="1530">
        <v>0.16399598012379613</v>
      </c>
      <c r="AF177" s="1530">
        <v>0.14570378348122059</v>
      </c>
      <c r="AG177" s="1530">
        <v>0.13122504778923175</v>
      </c>
      <c r="AH177" s="1530">
        <v>0.1194946493802775</v>
      </c>
      <c r="AI177" s="1243"/>
      <c r="AJ177" s="1243"/>
      <c r="AK177" s="1243"/>
      <c r="AL177" s="1243"/>
      <c r="AM177" s="1243"/>
      <c r="AN177" s="1243"/>
    </row>
    <row r="178" spans="1:40">
      <c r="A178" s="4" t="s">
        <v>87</v>
      </c>
      <c r="B178" s="1623"/>
      <c r="C178" s="1623">
        <v>0.27249144773007089</v>
      </c>
      <c r="D178" s="1623">
        <v>0.24635849161018608</v>
      </c>
      <c r="E178" s="1623">
        <v>0.27529431691776823</v>
      </c>
      <c r="F178" s="1623">
        <v>0.24521465202932827</v>
      </c>
      <c r="G178" s="1623">
        <v>0.16063391460835932</v>
      </c>
      <c r="H178" s="1623">
        <v>0.20649658566071263</v>
      </c>
      <c r="I178" s="1623">
        <v>0.11043285685815038</v>
      </c>
      <c r="J178" s="1623">
        <v>6.0545951354699847E-2</v>
      </c>
      <c r="K178" s="1623">
        <v>4.4786883252483999E-2</v>
      </c>
      <c r="L178" s="1623">
        <v>5.8123919702936809E-2</v>
      </c>
      <c r="M178" s="1623">
        <v>7.9675440103500972E-2</v>
      </c>
      <c r="N178" s="1623">
        <v>0.10244007480190646</v>
      </c>
      <c r="O178" s="1623">
        <v>6.3458815243390199E-2</v>
      </c>
      <c r="P178" s="1623">
        <v>7.6608886106419485E-2</v>
      </c>
      <c r="Q178" s="1623">
        <v>8.6199653475456176E-2</v>
      </c>
      <c r="R178" s="1623">
        <v>9.034877821955567E-2</v>
      </c>
      <c r="S178" s="1623">
        <v>6.1700951690782144E-2</v>
      </c>
      <c r="T178" s="1623">
        <v>7.1290988002112241E-2</v>
      </c>
      <c r="U178" s="1623">
        <v>-1.7590294342897887E-2</v>
      </c>
      <c r="V178" s="1623">
        <v>4.9770133383006517E-2</v>
      </c>
      <c r="W178" s="1623">
        <v>6.6362725141931089E-2</v>
      </c>
      <c r="X178" s="1623">
        <v>9.6768802410721722E-2</v>
      </c>
      <c r="Y178" s="1626">
        <v>9.0207710666813018E-2</v>
      </c>
      <c r="Z178" s="1626">
        <v>9.2679708706957492E-2</v>
      </c>
      <c r="AA178" s="1626">
        <v>0.10351482326307555</v>
      </c>
      <c r="AB178" s="1626">
        <v>0.11317373225452042</v>
      </c>
      <c r="AC178" s="1626">
        <v>0.11232677878138159</v>
      </c>
      <c r="AD178" s="1626">
        <v>0.11248567452910252</v>
      </c>
      <c r="AE178" s="1626">
        <v>0.11191219865816773</v>
      </c>
      <c r="AF178" s="1626">
        <v>0.11123877081790656</v>
      </c>
      <c r="AG178" s="1626">
        <v>0.11021567805455668</v>
      </c>
      <c r="AH178" s="1626">
        <v>0.10900565726983814</v>
      </c>
      <c r="AI178" s="1133"/>
      <c r="AJ178" s="1133"/>
      <c r="AK178" s="1133"/>
      <c r="AL178" s="1133"/>
      <c r="AM178" s="1133"/>
      <c r="AN178" s="1133"/>
    </row>
    <row r="179" spans="1:40" s="1209" customFormat="1">
      <c r="A179" s="1267" t="s">
        <v>1234</v>
      </c>
      <c r="B179" s="1530"/>
      <c r="C179" s="1530">
        <v>0.33347121469145202</v>
      </c>
      <c r="D179" s="1530">
        <v>0.30941124660718716</v>
      </c>
      <c r="E179" s="1530">
        <v>0.36399803037639328</v>
      </c>
      <c r="F179" s="1530">
        <v>0.32246417073560807</v>
      </c>
      <c r="G179" s="1530">
        <v>0.23413908556634691</v>
      </c>
      <c r="H179" s="1530">
        <v>0.29833991285980033</v>
      </c>
      <c r="I179" s="1530">
        <v>0.16946318514553602</v>
      </c>
      <c r="J179" s="1530">
        <v>0.1137103873560552</v>
      </c>
      <c r="K179" s="1530">
        <v>0.12242927172007949</v>
      </c>
      <c r="L179" s="1530">
        <v>0.14746690502899712</v>
      </c>
      <c r="M179" s="1530">
        <v>0.2063639419871246</v>
      </c>
      <c r="N179" s="1530">
        <v>0.19173831614810272</v>
      </c>
      <c r="O179" s="1530">
        <v>0.12274548135826327</v>
      </c>
      <c r="P179" s="1530">
        <v>0.12792247450464619</v>
      </c>
      <c r="Q179" s="1530">
        <v>0.13643205279978415</v>
      </c>
      <c r="R179" s="1530">
        <v>7.5593457981945236E-2</v>
      </c>
      <c r="S179" s="1530">
        <v>5.6631731934722575E-2</v>
      </c>
      <c r="T179" s="1530">
        <v>6.188529283106349E-2</v>
      </c>
      <c r="U179" s="1530">
        <v>-5.116039345085685E-2</v>
      </c>
      <c r="V179" s="1530">
        <v>5.0170930832998901E-2</v>
      </c>
      <c r="W179" s="1530">
        <v>8.1374383644524262E-2</v>
      </c>
      <c r="X179" s="1530">
        <v>0.1132229138572384</v>
      </c>
      <c r="Y179" s="1530">
        <v>0.11120161284489649</v>
      </c>
      <c r="Z179" s="1530">
        <v>0.1129248236255532</v>
      </c>
      <c r="AA179" s="1530">
        <v>0.122489066961031</v>
      </c>
      <c r="AB179" s="1530">
        <v>0.13240849482841854</v>
      </c>
      <c r="AC179" s="1530">
        <v>0.12724852606321269</v>
      </c>
      <c r="AD179" s="1530">
        <v>0.1243081738990138</v>
      </c>
      <c r="AE179" s="1530">
        <v>0.12153229907867207</v>
      </c>
      <c r="AF179" s="1530">
        <v>0.11919376661892059</v>
      </c>
      <c r="AG179" s="1530">
        <v>0.11692012575630027</v>
      </c>
      <c r="AH179" s="1530">
        <v>0.11482937808542169</v>
      </c>
      <c r="AI179" s="1243"/>
      <c r="AJ179" s="1243"/>
      <c r="AK179" s="1243"/>
      <c r="AL179" s="1243"/>
      <c r="AM179" s="1243"/>
      <c r="AN179" s="1243"/>
    </row>
    <row r="180" spans="1:40" ht="12.75" customHeight="1">
      <c r="A180" s="1267" t="s">
        <v>1369</v>
      </c>
      <c r="B180" s="1625"/>
      <c r="C180" s="1625">
        <v>0.17219714354928198</v>
      </c>
      <c r="D180" s="1625">
        <v>0.10869706581504736</v>
      </c>
      <c r="E180" s="1625">
        <v>0.18096334606281383</v>
      </c>
      <c r="F180" s="1625">
        <v>1.0982078494907606</v>
      </c>
      <c r="G180" s="1625">
        <v>0.49360407925442595</v>
      </c>
      <c r="H180" s="1625">
        <v>0.80194711471308544</v>
      </c>
      <c r="I180" s="1625">
        <v>1.7345559929733243</v>
      </c>
      <c r="J180" s="1625">
        <v>1.3278206343302987</v>
      </c>
      <c r="K180" s="1625">
        <v>1.6583172362964902</v>
      </c>
      <c r="L180" s="1625">
        <v>3.6386436883267375</v>
      </c>
      <c r="M180" s="1625">
        <v>1.538793518918701</v>
      </c>
      <c r="N180" s="1625">
        <v>2.4739111070562831</v>
      </c>
      <c r="O180" s="1625">
        <v>4.0239200856971413</v>
      </c>
      <c r="P180" s="1625">
        <v>2.8438195432580713</v>
      </c>
      <c r="Q180" s="1625">
        <v>2.878604052809977</v>
      </c>
      <c r="R180" s="1625">
        <v>2.7900951464250348</v>
      </c>
      <c r="S180" s="1625">
        <v>4.3874127949662913</v>
      </c>
      <c r="T180" s="1625">
        <v>3.6106070432198356</v>
      </c>
      <c r="U180" s="1625">
        <v>26.704967906555286</v>
      </c>
      <c r="V180" s="1625">
        <v>5.729331193688405</v>
      </c>
      <c r="W180" s="1625">
        <v>3.6999054677961585</v>
      </c>
      <c r="X180" s="1625">
        <v>2.9103473588578184</v>
      </c>
      <c r="Y180" s="1625">
        <v>3.1117585725336996</v>
      </c>
      <c r="Z180" s="1625">
        <v>3.1620703413741023</v>
      </c>
      <c r="AA180" s="1625">
        <v>3.2201563866129037</v>
      </c>
      <c r="AB180" s="1625">
        <v>3.2446387453849734</v>
      </c>
      <c r="AC180" s="1625">
        <v>3.2510434162674171</v>
      </c>
      <c r="AD180" s="1625">
        <v>3.118412370796829</v>
      </c>
      <c r="AE180" s="1625">
        <v>2.9948727272113098</v>
      </c>
      <c r="AF180" s="1625">
        <v>2.8801124385146752</v>
      </c>
      <c r="AG180" s="1625">
        <v>2.8303408793014038</v>
      </c>
      <c r="AH180" s="1625">
        <v>2.7315261450682375</v>
      </c>
      <c r="AI180" s="1133"/>
      <c r="AJ180" s="1133"/>
      <c r="AK180" s="1133"/>
      <c r="AL180" s="1133"/>
      <c r="AM180" s="1133"/>
      <c r="AN180" s="1133"/>
    </row>
    <row r="181" spans="1:40">
      <c r="A181" s="97" t="s">
        <v>603</v>
      </c>
      <c r="B181" s="1623"/>
      <c r="C181" s="1623"/>
      <c r="D181" s="1623"/>
      <c r="E181" s="1623"/>
      <c r="F181" s="1623"/>
      <c r="G181" s="1623"/>
      <c r="H181" s="1623"/>
      <c r="I181" s="1623"/>
      <c r="J181" s="1623">
        <v>6.4604141966286346E-2</v>
      </c>
      <c r="K181" s="1623">
        <v>8.4835727901093824E-2</v>
      </c>
      <c r="L181" s="1623">
        <v>0.11732889549707082</v>
      </c>
      <c r="M181" s="1623">
        <v>0.20348721141064771</v>
      </c>
      <c r="N181" s="1623">
        <v>0.20383244981039181</v>
      </c>
      <c r="O181" s="1623">
        <v>0.54431000881349789</v>
      </c>
      <c r="P181" s="1623">
        <v>0.10651486466832522</v>
      </c>
      <c r="Q181" s="1623">
        <v>0.13364295725726261</v>
      </c>
      <c r="R181" s="1623">
        <v>7.698997588029155E-2</v>
      </c>
      <c r="S181" s="1623">
        <v>0.37909485126403719</v>
      </c>
      <c r="T181" s="1623">
        <v>8.3035278762637929E-2</v>
      </c>
      <c r="U181" s="1623">
        <v>4.6237137982573978E-2</v>
      </c>
      <c r="V181" s="1623">
        <v>4.7617315189103886E-2</v>
      </c>
      <c r="W181" s="1623">
        <v>6.1359057481185336E-2</v>
      </c>
      <c r="X181" s="1623">
        <v>6.2173000691266911E-2</v>
      </c>
      <c r="Y181" s="1626">
        <v>7.0888648776647217E-2</v>
      </c>
      <c r="Z181" s="1626">
        <v>6.0661656801793591E-2</v>
      </c>
      <c r="AA181" s="1626">
        <v>5.558303781983006E-2</v>
      </c>
      <c r="AB181" s="1626">
        <v>5.3790582248577107E-2</v>
      </c>
      <c r="AC181" s="1626">
        <v>6.3413573690013395E-2</v>
      </c>
      <c r="AD181" s="1626">
        <v>6.5595090523177746E-2</v>
      </c>
      <c r="AE181" s="1626">
        <v>6.5931833495260245E-2</v>
      </c>
      <c r="AF181" s="1626">
        <v>6.8249308464999339E-2</v>
      </c>
      <c r="AG181" s="1626">
        <v>7.0597900018690304E-2</v>
      </c>
      <c r="AH181" s="1626">
        <v>7.2059953877777749E-2</v>
      </c>
      <c r="AI181" s="1133"/>
      <c r="AJ181" s="1133"/>
      <c r="AK181" s="1133"/>
      <c r="AL181" s="1133"/>
      <c r="AM181" s="1133"/>
      <c r="AN181" s="1133"/>
    </row>
    <row r="182" spans="1:40">
      <c r="A182" s="116" t="s">
        <v>522</v>
      </c>
      <c r="B182" s="1623">
        <v>4.0478386069325231E-3</v>
      </c>
      <c r="C182" s="1623">
        <v>-3.3843928040317883E-2</v>
      </c>
      <c r="D182" s="1623">
        <v>-3.9209595293873412E-3</v>
      </c>
      <c r="E182" s="1623">
        <v>-1.7267999678584381E-3</v>
      </c>
      <c r="F182" s="1623">
        <v>-3.3070327738837807E-2</v>
      </c>
      <c r="G182" s="1623">
        <v>-4.1261480236106082E-2</v>
      </c>
      <c r="H182" s="1623">
        <v>-5.2434054270025635E-2</v>
      </c>
      <c r="I182" s="1623">
        <v>-8.05741171357892E-2</v>
      </c>
      <c r="J182" s="1623">
        <v>-2.4444860832219914E-3</v>
      </c>
      <c r="K182" s="1623">
        <v>-3.2114003990451382E-3</v>
      </c>
      <c r="L182" s="1623">
        <v>-2.175626728134725E-2</v>
      </c>
      <c r="M182" s="1623">
        <v>-3.2018165151363096E-3</v>
      </c>
      <c r="N182" s="1623">
        <v>-8.7742594906720268E-3</v>
      </c>
      <c r="O182" s="1623">
        <v>-3.2600424863669278E-2</v>
      </c>
      <c r="P182" s="1623">
        <v>-2.2616715067986078E-2</v>
      </c>
      <c r="Q182" s="1623">
        <v>-3.641652547339367E-2</v>
      </c>
      <c r="R182" s="1623">
        <v>-1.6469632654763776E-2</v>
      </c>
      <c r="S182" s="1623">
        <v>-4.485927047775258E-2</v>
      </c>
      <c r="T182" s="1623">
        <v>-3.8237512999612297E-2</v>
      </c>
      <c r="U182" s="1623">
        <v>-7.2735927358005895E-3</v>
      </c>
      <c r="V182" s="1623">
        <v>-4.0924348647979293E-3</v>
      </c>
      <c r="W182" s="1623">
        <v>-1.0225710525174557E-2</v>
      </c>
      <c r="X182" s="1623">
        <v>-8.4610275855055862E-3</v>
      </c>
      <c r="Y182" s="1626">
        <v>-9.7380581868239269E-3</v>
      </c>
      <c r="Z182" s="1626">
        <v>-9.7508084988119203E-3</v>
      </c>
      <c r="AA182" s="1626">
        <v>-9.8445297454662472E-3</v>
      </c>
      <c r="AB182" s="1626">
        <v>-9.9724825174591376E-3</v>
      </c>
      <c r="AC182" s="1626">
        <v>-1.0595347694445164E-2</v>
      </c>
      <c r="AD182" s="1626">
        <v>-1.0605884202481578E-2</v>
      </c>
      <c r="AE182" s="1626">
        <v>-1.0607488252642988E-2</v>
      </c>
      <c r="AF182" s="1626">
        <v>-1.0617619747933285E-2</v>
      </c>
      <c r="AG182" s="1626">
        <v>-1.0627819891444561E-2</v>
      </c>
      <c r="AH182" s="1626">
        <v>-1.0633228499356957E-2</v>
      </c>
      <c r="AI182" s="1133"/>
      <c r="AJ182" s="1133"/>
      <c r="AK182" s="1133"/>
      <c r="AL182" s="1133"/>
      <c r="AM182" s="1133"/>
      <c r="AN182" s="1133"/>
    </row>
    <row r="183" spans="1:40">
      <c r="A183" s="98" t="s">
        <v>30</v>
      </c>
      <c r="B183" s="967">
        <v>10.016999999999996</v>
      </c>
      <c r="C183" s="967">
        <v>-88.939000000000021</v>
      </c>
      <c r="D183" s="967">
        <v>-11.258999999999986</v>
      </c>
      <c r="E183" s="967">
        <v>-6.4039999999999964</v>
      </c>
      <c r="F183" s="967">
        <v>-154.28300000000002</v>
      </c>
      <c r="G183" s="967">
        <v>-248.66000000000008</v>
      </c>
      <c r="H183" s="967">
        <v>-366.27299999999991</v>
      </c>
      <c r="I183" s="967">
        <v>-627.41800000000012</v>
      </c>
      <c r="J183" s="967">
        <v>-20.990999999999985</v>
      </c>
      <c r="K183" s="967">
        <v>-28.842999999999961</v>
      </c>
      <c r="L183" s="967">
        <v>-232.71600000000001</v>
      </c>
      <c r="M183" s="967">
        <v>-43.287000000000035</v>
      </c>
      <c r="N183" s="967">
        <v>-137.86700000000019</v>
      </c>
      <c r="O183" s="967">
        <v>-743.29799999999977</v>
      </c>
      <c r="P183" s="967">
        <v>-730.25700000000006</v>
      </c>
      <c r="Q183" s="967">
        <v>-1372.971</v>
      </c>
      <c r="R183" s="967">
        <v>-700.43899999999985</v>
      </c>
      <c r="S183" s="967">
        <v>-2070.5510000000004</v>
      </c>
      <c r="T183" s="967">
        <v>-2223.6880000000001</v>
      </c>
      <c r="U183" s="967">
        <v>-280</v>
      </c>
      <c r="V183" s="967">
        <v>-218.45200000000023</v>
      </c>
      <c r="W183" s="967">
        <v>-703.84900000000016</v>
      </c>
      <c r="X183" s="967">
        <v>-644.99300000000039</v>
      </c>
      <c r="Y183" s="1397">
        <v>-764.9150569514195</v>
      </c>
      <c r="Z183" s="1397">
        <v>-838.57912824765299</v>
      </c>
      <c r="AA183" s="1397">
        <v>-904.33843795629491</v>
      </c>
      <c r="AB183" s="1397">
        <v>-970.14922442829084</v>
      </c>
      <c r="AC183" s="1397">
        <v>-1085.0689403920733</v>
      </c>
      <c r="AD183" s="1397">
        <v>-1143.131188690928</v>
      </c>
      <c r="AE183" s="1397">
        <v>-1201.7819613367519</v>
      </c>
      <c r="AF183" s="1397">
        <v>-1262.8314839166687</v>
      </c>
      <c r="AG183" s="1397">
        <v>-1326.8583859201663</v>
      </c>
      <c r="AH183" s="1397">
        <v>-1393.1273889639688</v>
      </c>
      <c r="AI183" s="1133"/>
      <c r="AJ183" s="1133"/>
      <c r="AK183" s="1133"/>
      <c r="AL183" s="1133"/>
      <c r="AM183" s="1133"/>
      <c r="AN183" s="1133"/>
    </row>
    <row r="184" spans="1:40">
      <c r="A184" s="9" t="s">
        <v>38</v>
      </c>
      <c r="B184" s="967">
        <v>1.4572218984957084</v>
      </c>
      <c r="C184" s="967">
        <v>-12.183814094514439</v>
      </c>
      <c r="D184" s="967">
        <v>-1.4115454305794428</v>
      </c>
      <c r="E184" s="967">
        <v>-0.62164798842903768</v>
      </c>
      <c r="F184" s="967">
        <v>-11.905317985981611</v>
      </c>
      <c r="G184" s="967">
        <v>-14.85413288499819</v>
      </c>
      <c r="H184" s="967">
        <v>-18.876259537209229</v>
      </c>
      <c r="I184" s="967">
        <v>-29.006682168884112</v>
      </c>
      <c r="J184" s="967">
        <v>-0.88001498995991689</v>
      </c>
      <c r="K184" s="967">
        <v>-1.1561041436562498</v>
      </c>
      <c r="L184" s="967">
        <v>-7.83225622128501</v>
      </c>
      <c r="M184" s="967">
        <v>-1.1526539454490714</v>
      </c>
      <c r="N184" s="967">
        <v>-3.1587334166419296</v>
      </c>
      <c r="O184" s="967">
        <v>-11.736152950920941</v>
      </c>
      <c r="P184" s="967">
        <v>-8.1420174244749877</v>
      </c>
      <c r="Q184" s="967">
        <v>-13.109949170421721</v>
      </c>
      <c r="R184" s="967">
        <v>-5.9290677557149589</v>
      </c>
      <c r="S184" s="967">
        <v>-16.149337371990928</v>
      </c>
      <c r="T184" s="967">
        <v>-13.765504679860427</v>
      </c>
      <c r="U184" s="967">
        <v>-2.6184933848882124</v>
      </c>
      <c r="V184" s="967">
        <v>-1.4732765513272545</v>
      </c>
      <c r="W184" s="967">
        <v>-3.6812557890628406</v>
      </c>
      <c r="X184" s="967">
        <v>-3.0459699307820109</v>
      </c>
      <c r="Y184" s="1397">
        <v>-3.5057009472566136</v>
      </c>
      <c r="Z184" s="1397">
        <v>-3.5102910595722912</v>
      </c>
      <c r="AA184" s="1397">
        <v>-3.5440307083678491</v>
      </c>
      <c r="AB184" s="1397">
        <v>-3.5900937062852893</v>
      </c>
      <c r="AC184" s="1397">
        <v>-3.8143251700002589</v>
      </c>
      <c r="AD184" s="1397">
        <v>-3.8181183128933682</v>
      </c>
      <c r="AE184" s="1397">
        <v>-3.8186957709514759</v>
      </c>
      <c r="AF184" s="1397">
        <v>-3.8223431092559825</v>
      </c>
      <c r="AG184" s="1397">
        <v>-3.8260151609200417</v>
      </c>
      <c r="AH184" s="1397">
        <v>-3.8279622597685043</v>
      </c>
      <c r="AI184" s="1133"/>
      <c r="AJ184" s="1133"/>
      <c r="AK184" s="1133"/>
      <c r="AL184" s="1133"/>
      <c r="AM184" s="1133"/>
      <c r="AN184" s="1133"/>
    </row>
    <row r="185" spans="1:40">
      <c r="A185" s="126" t="s">
        <v>1549</v>
      </c>
      <c r="B185" s="12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535"/>
      <c r="R185" s="1627"/>
      <c r="S185" s="1627"/>
      <c r="T185" s="1627"/>
      <c r="U185" s="1627"/>
      <c r="V185" s="1627"/>
      <c r="W185" s="1627"/>
      <c r="X185" s="1627"/>
      <c r="Y185" s="127"/>
      <c r="Z185" s="127"/>
      <c r="AA185" s="127"/>
      <c r="AB185" s="127"/>
      <c r="AC185" s="127"/>
      <c r="AD185" s="127"/>
      <c r="AE185" s="127"/>
      <c r="AF185" s="127"/>
      <c r="AG185" s="127"/>
      <c r="AH185" s="127" t="s">
        <v>281</v>
      </c>
      <c r="AI185" s="1133"/>
      <c r="AJ185" s="1133"/>
      <c r="AK185" s="1133"/>
      <c r="AL185" s="1133"/>
      <c r="AM185" s="1133"/>
      <c r="AN185" s="1133"/>
    </row>
    <row r="186" spans="1:40">
      <c r="A186" s="103"/>
      <c r="B186" s="1628"/>
      <c r="C186" s="1628"/>
      <c r="D186" s="1628"/>
      <c r="E186" s="1628"/>
      <c r="F186" s="1628"/>
      <c r="G186" s="1628"/>
      <c r="H186" s="1628"/>
      <c r="I186" s="1628"/>
      <c r="J186" s="1628"/>
      <c r="K186" s="1628"/>
      <c r="L186" s="1628"/>
      <c r="M186" s="1628"/>
      <c r="N186" s="1628"/>
      <c r="O186" s="1628"/>
      <c r="P186" s="1628"/>
      <c r="Q186" s="1628"/>
      <c r="R186" s="1628"/>
      <c r="S186" s="1628"/>
      <c r="T186" s="1628"/>
      <c r="U186" s="1628"/>
      <c r="V186" s="1628"/>
      <c r="W186" s="1628"/>
      <c r="X186" s="1628"/>
      <c r="Y186" s="1628"/>
      <c r="Z186" s="1628"/>
      <c r="AA186" s="1628"/>
      <c r="AB186" s="1628"/>
      <c r="AC186" s="1628"/>
      <c r="AD186" s="1628"/>
      <c r="AE186" s="1628"/>
      <c r="AF186" s="1628"/>
      <c r="AG186" s="1628"/>
      <c r="AH186" s="1628"/>
      <c r="AI186" s="1133"/>
      <c r="AJ186" s="1133"/>
      <c r="AK186" s="1133"/>
      <c r="AL186" s="1133"/>
      <c r="AM186" s="1133"/>
      <c r="AN186" s="1133"/>
    </row>
    <row r="187" spans="1:40">
      <c r="A187" s="1126" t="s">
        <v>1123</v>
      </c>
      <c r="B187" s="1124">
        <v>2001</v>
      </c>
      <c r="C187" s="1124">
        <v>2002</v>
      </c>
      <c r="D187" s="1124">
        <v>2003</v>
      </c>
      <c r="E187" s="1124">
        <v>2004</v>
      </c>
      <c r="F187" s="1124">
        <v>2005</v>
      </c>
      <c r="G187" s="1124">
        <v>2006</v>
      </c>
      <c r="H187" s="1124">
        <v>2007</v>
      </c>
      <c r="I187" s="1124">
        <v>2008</v>
      </c>
      <c r="J187" s="1124">
        <v>2009</v>
      </c>
      <c r="K187" s="1124">
        <v>2010</v>
      </c>
      <c r="L187" s="1124">
        <v>2011</v>
      </c>
      <c r="M187" s="1124">
        <v>2012</v>
      </c>
      <c r="N187" s="1124">
        <v>2013</v>
      </c>
      <c r="O187" s="1124">
        <v>2014</v>
      </c>
      <c r="P187" s="1124">
        <v>2015</v>
      </c>
      <c r="Q187" s="1124">
        <v>2016</v>
      </c>
      <c r="R187" s="1124">
        <v>2017</v>
      </c>
      <c r="S187" s="1583">
        <v>2018</v>
      </c>
      <c r="T187" s="1583">
        <v>2019</v>
      </c>
      <c r="U187" s="1583">
        <v>2020</v>
      </c>
      <c r="V187" s="1583">
        <v>2021</v>
      </c>
      <c r="W187" s="1583">
        <v>2022</v>
      </c>
      <c r="X187" s="1583">
        <v>2023</v>
      </c>
      <c r="Y187" s="1445">
        <v>2024</v>
      </c>
      <c r="Z187" s="1445">
        <v>2025</v>
      </c>
      <c r="AA187" s="1445">
        <v>2026</v>
      </c>
      <c r="AB187" s="1445">
        <v>2027</v>
      </c>
      <c r="AC187" s="1445">
        <v>2028</v>
      </c>
      <c r="AD187" s="1445">
        <v>2029</v>
      </c>
      <c r="AE187" s="1445">
        <v>2030</v>
      </c>
      <c r="AF187" s="1445">
        <v>2031</v>
      </c>
      <c r="AG187" s="1445">
        <v>2032</v>
      </c>
      <c r="AH187" s="1445">
        <v>2033</v>
      </c>
      <c r="AI187" s="1133"/>
      <c r="AJ187" s="1133"/>
      <c r="AK187" s="1133"/>
      <c r="AL187" s="1133"/>
      <c r="AM187" s="1133"/>
      <c r="AN187" s="1133"/>
    </row>
    <row r="188" spans="1:40">
      <c r="A188" s="124" t="s">
        <v>515</v>
      </c>
      <c r="B188" s="716">
        <v>0.88</v>
      </c>
      <c r="C188" s="716">
        <v>1.72</v>
      </c>
      <c r="D188" s="716">
        <v>2.74</v>
      </c>
      <c r="E188" s="716">
        <v>5.63</v>
      </c>
      <c r="F188" s="716">
        <v>7.84</v>
      </c>
      <c r="G188" s="716">
        <v>16.2</v>
      </c>
      <c r="H188" s="716">
        <v>13.53</v>
      </c>
      <c r="I188" s="716">
        <v>4.84</v>
      </c>
      <c r="J188" s="716">
        <v>9.16</v>
      </c>
      <c r="K188" s="716">
        <v>12.1</v>
      </c>
      <c r="L188" s="716">
        <v>13.44</v>
      </c>
      <c r="M188" s="716">
        <v>25.15</v>
      </c>
      <c r="N188" s="716">
        <v>40.78</v>
      </c>
      <c r="O188" s="716">
        <v>40.770000000000003</v>
      </c>
      <c r="P188" s="716">
        <v>59.85</v>
      </c>
      <c r="Q188" s="716">
        <v>59.33</v>
      </c>
      <c r="R188" s="716">
        <v>64.37</v>
      </c>
      <c r="S188" s="716">
        <v>51.15</v>
      </c>
      <c r="T188" s="716">
        <v>49.83</v>
      </c>
      <c r="U188" s="716">
        <v>25.89</v>
      </c>
      <c r="V188" s="716">
        <v>37.950000000000003</v>
      </c>
      <c r="W188" s="716">
        <v>36.86</v>
      </c>
      <c r="X188" s="716">
        <v>64.16</v>
      </c>
      <c r="Y188" s="1629">
        <v>61.26</v>
      </c>
      <c r="Z188" s="1629">
        <v>61.26</v>
      </c>
      <c r="AA188" s="1629">
        <v>61.26</v>
      </c>
      <c r="AB188" s="1629">
        <v>61.26</v>
      </c>
      <c r="AC188" s="1629">
        <v>61.26</v>
      </c>
      <c r="AD188" s="1629">
        <v>61.26</v>
      </c>
      <c r="AE188" s="1629">
        <v>61.26</v>
      </c>
      <c r="AF188" s="1629">
        <v>61.26</v>
      </c>
      <c r="AG188" s="1629">
        <v>61.26</v>
      </c>
      <c r="AH188" s="1629">
        <v>61.26</v>
      </c>
      <c r="AI188" s="1133"/>
      <c r="AJ188" s="1133"/>
      <c r="AK188" s="1133"/>
      <c r="AL188" s="1133"/>
      <c r="AM188" s="1133"/>
      <c r="AN188" s="1133"/>
    </row>
    <row r="189" spans="1:40">
      <c r="A189" s="98" t="s">
        <v>88</v>
      </c>
      <c r="B189" s="438"/>
      <c r="C189" s="438"/>
      <c r="D189" s="438">
        <v>1280.1280000000002</v>
      </c>
      <c r="E189" s="438">
        <v>2796.9839999999999</v>
      </c>
      <c r="F189" s="438">
        <v>4283.7759999999998</v>
      </c>
      <c r="G189" s="438">
        <v>10095.84</v>
      </c>
      <c r="H189" s="438">
        <v>8372.3639999999996</v>
      </c>
      <c r="I189" s="438">
        <v>2991.12</v>
      </c>
      <c r="J189" s="438">
        <v>5512.4879999999994</v>
      </c>
      <c r="K189" s="438">
        <v>7322.92</v>
      </c>
      <c r="L189" s="438">
        <v>8144.6399999999994</v>
      </c>
      <c r="M189" s="438">
        <v>17298.169999999998</v>
      </c>
      <c r="N189" s="438">
        <v>28048.484</v>
      </c>
      <c r="O189" s="438">
        <v>34148.952000000005</v>
      </c>
      <c r="P189" s="438">
        <v>50124.375</v>
      </c>
      <c r="Q189" s="438">
        <v>49499.018999999993</v>
      </c>
      <c r="R189" s="438">
        <v>53607.336000000003</v>
      </c>
      <c r="S189" s="438">
        <v>42740.94</v>
      </c>
      <c r="T189" s="438">
        <v>41782.455000000002</v>
      </c>
      <c r="U189" s="438">
        <v>21708.764999999999</v>
      </c>
      <c r="V189" s="438">
        <v>31824.870000000003</v>
      </c>
      <c r="W189" s="438">
        <v>30225.200000000001</v>
      </c>
      <c r="X189" s="438">
        <v>51950.351999999999</v>
      </c>
      <c r="Y189" s="447">
        <v>49926.9</v>
      </c>
      <c r="Z189" s="447">
        <v>49926.9</v>
      </c>
      <c r="AA189" s="447">
        <v>49926.9</v>
      </c>
      <c r="AB189" s="447">
        <v>49926.9</v>
      </c>
      <c r="AC189" s="447">
        <v>49926.9</v>
      </c>
      <c r="AD189" s="447">
        <v>49926.9</v>
      </c>
      <c r="AE189" s="447">
        <v>49926.9</v>
      </c>
      <c r="AF189" s="447">
        <v>49926.9</v>
      </c>
      <c r="AG189" s="447">
        <v>49926.9</v>
      </c>
      <c r="AH189" s="447">
        <v>49926.9</v>
      </c>
      <c r="AI189" s="1133"/>
      <c r="AJ189" s="1133"/>
      <c r="AK189" s="1133"/>
      <c r="AL189" s="1133"/>
      <c r="AM189" s="1133"/>
      <c r="AN189" s="1133"/>
    </row>
    <row r="190" spans="1:40">
      <c r="A190" s="98" t="s">
        <v>89</v>
      </c>
      <c r="B190" s="438">
        <v>91.750000000000014</v>
      </c>
      <c r="C190" s="438">
        <v>-114.06300000000002</v>
      </c>
      <c r="D190" s="438">
        <v>1161.788</v>
      </c>
      <c r="E190" s="438">
        <v>2911.1210000000001</v>
      </c>
      <c r="F190" s="438">
        <v>4970.1949999999997</v>
      </c>
      <c r="G190" s="438">
        <v>10417.547999999999</v>
      </c>
      <c r="H190" s="438">
        <v>9331.0919999999987</v>
      </c>
      <c r="I190" s="438">
        <v>4352.1569999999992</v>
      </c>
      <c r="J190" s="438">
        <v>6601.1819999999998</v>
      </c>
      <c r="K190" s="438">
        <v>8584.4049999999988</v>
      </c>
      <c r="L190" s="438">
        <v>11760.655999999999</v>
      </c>
      <c r="M190" s="438">
        <v>19148.244999999995</v>
      </c>
      <c r="N190" s="438">
        <v>32668.334999999999</v>
      </c>
      <c r="O190" s="438">
        <v>45564.771000000001</v>
      </c>
      <c r="P190" s="438">
        <v>62518.099000000002</v>
      </c>
      <c r="Q190" s="438">
        <v>62804.513999999988</v>
      </c>
      <c r="R190" s="438">
        <v>71251.106</v>
      </c>
      <c r="S190" s="438">
        <v>70747.756999999998</v>
      </c>
      <c r="T190" s="438">
        <v>91367.233999999997</v>
      </c>
      <c r="U190" s="438">
        <v>82775.359999999986</v>
      </c>
      <c r="V190" s="438">
        <v>87178.186999999991</v>
      </c>
      <c r="W190" s="438">
        <v>79719.270999999993</v>
      </c>
      <c r="X190" s="438">
        <v>96227.362000000008</v>
      </c>
      <c r="Y190" s="447">
        <v>98397.359794778647</v>
      </c>
      <c r="Z190" s="447">
        <v>96582.841163459743</v>
      </c>
      <c r="AA190" s="447">
        <v>93931.959059927191</v>
      </c>
      <c r="AB190" s="447">
        <v>90270.70626842264</v>
      </c>
      <c r="AC190" s="447">
        <v>87399.624594359266</v>
      </c>
      <c r="AD190" s="447">
        <v>84464.268805704953</v>
      </c>
      <c r="AE190" s="447">
        <v>81022.483284689733</v>
      </c>
      <c r="AF190" s="447">
        <v>77290.572538597684</v>
      </c>
      <c r="AG190" s="447">
        <v>73268.813460382822</v>
      </c>
      <c r="AH190" s="447">
        <v>68831.564567407884</v>
      </c>
      <c r="AI190" s="1133"/>
      <c r="AJ190" s="1133"/>
      <c r="AK190" s="1133"/>
      <c r="AL190" s="1133"/>
      <c r="AM190" s="1133"/>
      <c r="AN190" s="1133"/>
    </row>
    <row r="191" spans="1:40" s="1209" customFormat="1">
      <c r="A191" s="1237" t="s">
        <v>1235</v>
      </c>
      <c r="B191" s="1518">
        <v>91.750000000000014</v>
      </c>
      <c r="C191" s="1518">
        <v>-114.06300000000002</v>
      </c>
      <c r="D191" s="1518">
        <v>1161.788</v>
      </c>
      <c r="E191" s="1518">
        <v>2911.1210000000001</v>
      </c>
      <c r="F191" s="1518">
        <v>4970.1949999999997</v>
      </c>
      <c r="G191" s="1518">
        <v>10417.547999999999</v>
      </c>
      <c r="H191" s="1518">
        <v>9331.0919999999987</v>
      </c>
      <c r="I191" s="1518">
        <v>4352.1569999999992</v>
      </c>
      <c r="J191" s="1518">
        <v>6601.1819999999998</v>
      </c>
      <c r="K191" s="1518">
        <v>8584.4049999999988</v>
      </c>
      <c r="L191" s="1518">
        <v>11760.655999999999</v>
      </c>
      <c r="M191" s="1518">
        <v>19148.244999999995</v>
      </c>
      <c r="N191" s="1518">
        <v>32668.334999999999</v>
      </c>
      <c r="O191" s="1518">
        <v>45564.771000000001</v>
      </c>
      <c r="P191" s="1518">
        <v>62518.099000000002</v>
      </c>
      <c r="Q191" s="1518">
        <v>62804.513999999988</v>
      </c>
      <c r="R191" s="1518">
        <v>71251.106</v>
      </c>
      <c r="S191" s="1518">
        <v>70747.756999999998</v>
      </c>
      <c r="T191" s="1518">
        <v>68805.373999999996</v>
      </c>
      <c r="U191" s="1518">
        <v>57475.360000000001</v>
      </c>
      <c r="V191" s="1518">
        <v>63414.913000000008</v>
      </c>
      <c r="W191" s="1518">
        <v>57737.46</v>
      </c>
      <c r="X191" s="1518">
        <v>77897.294999999998</v>
      </c>
      <c r="Y191" s="1518">
        <v>79548.993707330534</v>
      </c>
      <c r="Z191" s="1518">
        <v>77389.664848425382</v>
      </c>
      <c r="AA191" s="1518">
        <v>74329.764048946483</v>
      </c>
      <c r="AB191" s="1518">
        <v>70320.288751703425</v>
      </c>
      <c r="AC191" s="1518">
        <v>67157.174142725169</v>
      </c>
      <c r="AD191" s="1518">
        <v>63928.979654644325</v>
      </c>
      <c r="AE191" s="1518">
        <v>60242.246136367154</v>
      </c>
      <c r="AF191" s="1518">
        <v>56284.650817515678</v>
      </c>
      <c r="AG191" s="1518">
        <v>52040.963276907285</v>
      </c>
      <c r="AH191" s="1518">
        <v>47389.66544820377</v>
      </c>
      <c r="AI191" s="1243"/>
      <c r="AJ191" s="1243"/>
      <c r="AK191" s="1243"/>
      <c r="AL191" s="1243"/>
      <c r="AM191" s="1243"/>
      <c r="AN191" s="1243"/>
    </row>
    <row r="192" spans="1:40">
      <c r="A192" s="98" t="s">
        <v>638</v>
      </c>
      <c r="B192" s="1630">
        <v>3.7075890205256985E-2</v>
      </c>
      <c r="C192" s="1630">
        <v>-4.3404355390354948E-2</v>
      </c>
      <c r="D192" s="605">
        <v>0.40459398967296084</v>
      </c>
      <c r="E192" s="605">
        <v>0.78496621630731211</v>
      </c>
      <c r="F192" s="605">
        <v>1.0653537821790666</v>
      </c>
      <c r="G192" s="605">
        <v>1.7286393103462006</v>
      </c>
      <c r="H192" s="605">
        <v>1.3357986647298659</v>
      </c>
      <c r="I192" s="605">
        <v>0.55891161540049017</v>
      </c>
      <c r="J192" s="605">
        <v>0.76873410184438673</v>
      </c>
      <c r="K192" s="605">
        <v>0.95579383706844334</v>
      </c>
      <c r="L192" s="605">
        <v>1.0994859628903049</v>
      </c>
      <c r="M192" s="605">
        <v>1.4163413282712176</v>
      </c>
      <c r="N192" s="605">
        <v>2.0791084771424835</v>
      </c>
      <c r="O192" s="605">
        <v>1.9984325175310538</v>
      </c>
      <c r="P192" s="605">
        <v>1.9362416678993084</v>
      </c>
      <c r="Q192" s="605">
        <v>1.665819732481683</v>
      </c>
      <c r="R192" s="605">
        <v>1.6753486628609136</v>
      </c>
      <c r="S192" s="605">
        <v>1.5327769115357761</v>
      </c>
      <c r="T192" s="605">
        <v>1.5711088056479228</v>
      </c>
      <c r="U192" s="605">
        <v>2.1502652042831376</v>
      </c>
      <c r="V192" s="605">
        <v>1.6331782356246367</v>
      </c>
      <c r="W192" s="605">
        <v>1.158183344046724</v>
      </c>
      <c r="X192" s="605">
        <v>1.2623119388310129</v>
      </c>
      <c r="Y192" s="606">
        <v>1.2526870878059599</v>
      </c>
      <c r="Z192" s="606">
        <v>1.1230434394712718</v>
      </c>
      <c r="AA192" s="606">
        <v>1.0225330763393481</v>
      </c>
      <c r="AB192" s="606">
        <v>0.92792223859276435</v>
      </c>
      <c r="AC192" s="606">
        <v>0.85342910157082796</v>
      </c>
      <c r="AD192" s="606">
        <v>0.78365306017627079</v>
      </c>
      <c r="AE192" s="606">
        <v>0.71514223652212372</v>
      </c>
      <c r="AF192" s="606">
        <v>0.64984276981253741</v>
      </c>
      <c r="AG192" s="606">
        <v>0.58686575853140754</v>
      </c>
      <c r="AH192" s="606">
        <v>0.52536599295329733</v>
      </c>
      <c r="AI192" s="1133"/>
      <c r="AJ192" s="1133"/>
      <c r="AK192" s="1133"/>
      <c r="AL192" s="1133"/>
      <c r="AM192" s="1133"/>
      <c r="AN192" s="1133"/>
    </row>
    <row r="193" spans="1:40" s="1209" customFormat="1">
      <c r="A193" s="1237" t="s">
        <v>1237</v>
      </c>
      <c r="B193" s="1631">
        <v>3.7075890205256985E-2</v>
      </c>
      <c r="C193" s="1631">
        <v>-4.3404355390354948E-2</v>
      </c>
      <c r="D193" s="1268">
        <v>0.40459398967296084</v>
      </c>
      <c r="E193" s="1268">
        <v>0.78496621630731211</v>
      </c>
      <c r="F193" s="1268">
        <v>1.0653537821790666</v>
      </c>
      <c r="G193" s="1268">
        <v>1.7286393103462006</v>
      </c>
      <c r="H193" s="1268">
        <v>1.3357986647298659</v>
      </c>
      <c r="I193" s="1268">
        <v>0.55891161540049017</v>
      </c>
      <c r="J193" s="1268">
        <v>0.76873410184438673</v>
      </c>
      <c r="K193" s="1268">
        <v>0.95579383706844334</v>
      </c>
      <c r="L193" s="1268">
        <v>1.0994859628903049</v>
      </c>
      <c r="M193" s="1268">
        <v>1.4163413282712176</v>
      </c>
      <c r="N193" s="1268">
        <v>2.0791084771424835</v>
      </c>
      <c r="O193" s="1268">
        <v>1.9984325175310538</v>
      </c>
      <c r="P193" s="1268">
        <v>1.9362416678993084</v>
      </c>
      <c r="Q193" s="1268">
        <v>1.665819732481683</v>
      </c>
      <c r="R193" s="1268">
        <v>1.6753486628609136</v>
      </c>
      <c r="S193" s="1268">
        <v>1.5327769115357761</v>
      </c>
      <c r="T193" s="1268">
        <v>1.1831454694940053</v>
      </c>
      <c r="U193" s="1268">
        <v>1.4930441463697277</v>
      </c>
      <c r="V193" s="1268">
        <v>1.1880019450924102</v>
      </c>
      <c r="W193" s="1268">
        <v>0.83882558960635711</v>
      </c>
      <c r="X193" s="1268">
        <v>1.0218578524592763</v>
      </c>
      <c r="Y193" s="1268">
        <v>1.0127303971667982</v>
      </c>
      <c r="Z193" s="1268">
        <v>0.89986952489637562</v>
      </c>
      <c r="AA193" s="1268">
        <v>0.80914571629510357</v>
      </c>
      <c r="AB193" s="1268">
        <v>0.72284534434617331</v>
      </c>
      <c r="AC193" s="1268">
        <v>0.65576811180445949</v>
      </c>
      <c r="AD193" s="1268">
        <v>0.59312820969954116</v>
      </c>
      <c r="AE193" s="1268">
        <v>0.53172616894129121</v>
      </c>
      <c r="AF193" s="1268">
        <v>0.47322942739129442</v>
      </c>
      <c r="AG193" s="1268">
        <v>0.41683573058981194</v>
      </c>
      <c r="AH193" s="1268">
        <v>0.36170787051539671</v>
      </c>
      <c r="AI193" s="1243"/>
      <c r="AJ193" s="1243"/>
      <c r="AK193" s="1243"/>
      <c r="AL193" s="1243"/>
      <c r="AM193" s="1243"/>
      <c r="AN193" s="1243"/>
    </row>
    <row r="194" spans="1:40">
      <c r="A194" s="98" t="s">
        <v>90</v>
      </c>
      <c r="B194" s="605">
        <v>0.2775542554285681</v>
      </c>
      <c r="C194" s="605">
        <v>-0.29711411476336475</v>
      </c>
      <c r="D194" s="605">
        <v>2.7980800030827844</v>
      </c>
      <c r="E194" s="605">
        <v>5.3370702883658172</v>
      </c>
      <c r="F194" s="605">
        <v>7.094653524705409</v>
      </c>
      <c r="G194" s="605">
        <v>10.34062409733988</v>
      </c>
      <c r="H194" s="605">
        <v>7.2408363312422974</v>
      </c>
      <c r="I194" s="605">
        <v>4.2169326216224325</v>
      </c>
      <c r="J194" s="605">
        <v>6.5996244886206892</v>
      </c>
      <c r="K194" s="605">
        <v>8.5961731610574876</v>
      </c>
      <c r="L194" s="605">
        <v>10.549121090158556</v>
      </c>
      <c r="M194" s="605">
        <v>11.907631221374759</v>
      </c>
      <c r="N194" s="605">
        <v>16.023928225623699</v>
      </c>
      <c r="O194" s="605">
        <v>16.313379938791847</v>
      </c>
      <c r="P194" s="605">
        <v>14.533249072640325</v>
      </c>
      <c r="Q194" s="605">
        <v>12.182660431972296</v>
      </c>
      <c r="R194" s="605">
        <v>11.018932474555553</v>
      </c>
      <c r="S194" s="605">
        <v>11.039990218960767</v>
      </c>
      <c r="T194" s="605">
        <v>7.2412765416829048</v>
      </c>
      <c r="U194" s="605">
        <v>11.953576280741968</v>
      </c>
      <c r="V194" s="605">
        <v>7.0811698615309266</v>
      </c>
      <c r="W194" s="605">
        <v>5.6740526587080211</v>
      </c>
      <c r="X194" s="605">
        <v>6.0291363825781463</v>
      </c>
      <c r="Y194" s="606">
        <v>6.2337928843256618</v>
      </c>
      <c r="Z194" s="606">
        <v>5.7840999210287425</v>
      </c>
      <c r="AA194" s="606">
        <v>5.2666516668597021</v>
      </c>
      <c r="AB194" s="606">
        <v>4.7793311897748145</v>
      </c>
      <c r="AC194" s="606">
        <v>4.5357780701161889</v>
      </c>
      <c r="AD194" s="606">
        <v>4.1648964068895484</v>
      </c>
      <c r="AE194" s="606">
        <v>3.8007808197174371</v>
      </c>
      <c r="AF194" s="606">
        <v>3.4537016233344442</v>
      </c>
      <c r="AG194" s="606">
        <v>3.1189713230722855</v>
      </c>
      <c r="AH194" s="606">
        <v>2.79211094358006</v>
      </c>
      <c r="AI194" s="1133"/>
      <c r="AJ194" s="1133"/>
      <c r="AK194" s="1133"/>
      <c r="AL194" s="1133"/>
      <c r="AM194" s="1133"/>
      <c r="AN194" s="1133"/>
    </row>
    <row r="195" spans="1:40" s="1209" customFormat="1">
      <c r="A195" s="1237" t="s">
        <v>1238</v>
      </c>
      <c r="B195" s="1268">
        <v>0.2775542554285681</v>
      </c>
      <c r="C195" s="1268">
        <v>-0.29711411476336475</v>
      </c>
      <c r="D195" s="1268">
        <v>2.7980800030827844</v>
      </c>
      <c r="E195" s="1268">
        <v>5.3370702883658172</v>
      </c>
      <c r="F195" s="1268">
        <v>7.094653524705409</v>
      </c>
      <c r="G195" s="1268">
        <v>10.34062409733988</v>
      </c>
      <c r="H195" s="1268">
        <v>7.2408363312422974</v>
      </c>
      <c r="I195" s="1268">
        <v>4.2169326216224325</v>
      </c>
      <c r="J195" s="1268">
        <v>6.5996244886206892</v>
      </c>
      <c r="K195" s="1268">
        <v>8.5961731610574876</v>
      </c>
      <c r="L195" s="1268">
        <v>10.549121090158556</v>
      </c>
      <c r="M195" s="1268">
        <v>11.907631221374759</v>
      </c>
      <c r="N195" s="1268">
        <v>16.023928225623699</v>
      </c>
      <c r="O195" s="1268">
        <v>16.313379938791847</v>
      </c>
      <c r="P195" s="1268">
        <v>14.533249072640325</v>
      </c>
      <c r="Q195" s="1268">
        <v>12.182660431972296</v>
      </c>
      <c r="R195" s="1268">
        <v>11.018932474555553</v>
      </c>
      <c r="S195" s="1268">
        <v>11.039990218960767</v>
      </c>
      <c r="T195" s="1268">
        <v>8.9728557104049234</v>
      </c>
      <c r="U195" s="1268">
        <v>40.003953388987085</v>
      </c>
      <c r="V195" s="1268">
        <v>9.7019780496174679</v>
      </c>
      <c r="W195" s="1268">
        <v>6.5428546368487952</v>
      </c>
      <c r="X195" s="1268">
        <v>7.2163012735314958</v>
      </c>
      <c r="Y195" s="1268">
        <v>7.1697345349939141</v>
      </c>
      <c r="Z195" s="1268">
        <v>6.550105466988672</v>
      </c>
      <c r="AA195" s="1268">
        <v>5.845479707406926</v>
      </c>
      <c r="AB195" s="1268">
        <v>5.1730279304390647</v>
      </c>
      <c r="AC195" s="1268">
        <v>4.9086716725034458</v>
      </c>
      <c r="AD195" s="1268">
        <v>4.444563918087689</v>
      </c>
      <c r="AE195" s="1268">
        <v>3.988636710410209</v>
      </c>
      <c r="AF195" s="1268">
        <v>3.5537721866388252</v>
      </c>
      <c r="AG195" s="1268">
        <v>3.1336269499378822</v>
      </c>
      <c r="AH195" s="1268">
        <v>2.722101727322356</v>
      </c>
      <c r="AI195" s="1243"/>
      <c r="AJ195" s="1243"/>
      <c r="AK195" s="1243"/>
      <c r="AL195" s="1243"/>
      <c r="AM195" s="1243"/>
      <c r="AN195" s="1243"/>
    </row>
    <row r="196" spans="1:40">
      <c r="A196" s="9" t="s">
        <v>306</v>
      </c>
      <c r="B196" s="605"/>
      <c r="C196" s="605"/>
      <c r="D196" s="605">
        <v>9.9894496987857764</v>
      </c>
      <c r="E196" s="605">
        <v>18.090693297285412</v>
      </c>
      <c r="F196" s="605">
        <v>15.217784851046884</v>
      </c>
      <c r="G196" s="605">
        <v>45.440527147274295</v>
      </c>
      <c r="H196" s="605">
        <v>17.499480598200385</v>
      </c>
      <c r="I196" s="605">
        <v>23.226768339558468</v>
      </c>
      <c r="J196" s="605">
        <v>53.133438716891156</v>
      </c>
      <c r="K196" s="605">
        <v>48.423683758083961</v>
      </c>
      <c r="L196" s="605">
        <v>38.849859762263563</v>
      </c>
      <c r="M196" s="605">
        <v>47.189911748257529</v>
      </c>
      <c r="N196" s="605">
        <v>41.186414943620726</v>
      </c>
      <c r="O196" s="606">
        <v>51.223479223479032</v>
      </c>
      <c r="P196" s="606">
        <v>51.084456271160214</v>
      </c>
      <c r="Q196" s="606">
        <v>49.674269823938978</v>
      </c>
      <c r="R196" s="606">
        <v>49.205012717204497</v>
      </c>
      <c r="S196" s="606">
        <v>44.836932063156418</v>
      </c>
      <c r="T196" s="606">
        <v>45.08881802583457</v>
      </c>
      <c r="U196" s="606" t="s">
        <v>628</v>
      </c>
      <c r="V196" s="606">
        <v>38.107683833654647</v>
      </c>
      <c r="W196" s="606">
        <v>18.516542253887859</v>
      </c>
      <c r="X196" s="606">
        <v>17.726085216340394</v>
      </c>
      <c r="Y196" s="606">
        <v>44.436492145454878</v>
      </c>
      <c r="Z196" s="606">
        <v>26.260843856161348</v>
      </c>
      <c r="AA196" s="606">
        <v>17.793523109064139</v>
      </c>
      <c r="AB196" s="606">
        <v>12.99581214303681</v>
      </c>
      <c r="AC196" s="606">
        <v>12.295095804762443</v>
      </c>
      <c r="AD196" s="606">
        <v>11.392557354023829</v>
      </c>
      <c r="AE196" s="606">
        <v>10.670014177495112</v>
      </c>
      <c r="AF196" s="606">
        <v>10.021181014374404</v>
      </c>
      <c r="AG196" s="606">
        <v>9.4619149219163106</v>
      </c>
      <c r="AH196" s="606">
        <v>8.9730572565280227</v>
      </c>
      <c r="AI196" s="1133"/>
      <c r="AJ196" s="1133"/>
      <c r="AK196" s="1133"/>
      <c r="AL196" s="1133"/>
      <c r="AM196" s="1133"/>
      <c r="AN196" s="1133"/>
    </row>
    <row r="197" spans="1:40" s="1209" customFormat="1">
      <c r="A197" s="1209" t="s">
        <v>1239</v>
      </c>
      <c r="B197" s="1268"/>
      <c r="C197" s="1268"/>
      <c r="D197" s="1268">
        <v>9.9894496987857764</v>
      </c>
      <c r="E197" s="1268">
        <v>18.090693297285412</v>
      </c>
      <c r="F197" s="1268">
        <v>15.217784851046884</v>
      </c>
      <c r="G197" s="1268">
        <v>45.440527147274295</v>
      </c>
      <c r="H197" s="1268">
        <v>17.499480598200385</v>
      </c>
      <c r="I197" s="1268">
        <v>23.226768339558468</v>
      </c>
      <c r="J197" s="1268">
        <v>53.133438716891156</v>
      </c>
      <c r="K197" s="1268">
        <v>48.423683758083961</v>
      </c>
      <c r="L197" s="1268">
        <v>38.849859762263563</v>
      </c>
      <c r="M197" s="1268">
        <v>47.189911748257529</v>
      </c>
      <c r="N197" s="1268">
        <v>41.186414943620726</v>
      </c>
      <c r="O197" s="1268">
        <v>51.223479223479202</v>
      </c>
      <c r="P197" s="1268">
        <v>51.084456271160164</v>
      </c>
      <c r="Q197" s="1268">
        <v>49.674269823938886</v>
      </c>
      <c r="R197" s="1268">
        <v>49.205012717204461</v>
      </c>
      <c r="S197" s="1268">
        <v>44.836932063156418</v>
      </c>
      <c r="T197" s="1268">
        <v>54.659458094697506</v>
      </c>
      <c r="U197" s="1268" t="s">
        <v>628</v>
      </c>
      <c r="V197" s="1268">
        <v>65.230002029158314</v>
      </c>
      <c r="W197" s="1268">
        <v>18.187354080920425</v>
      </c>
      <c r="X197" s="1268">
        <v>18.620891961564169</v>
      </c>
      <c r="Y197" s="1268">
        <v>33.961347479488609</v>
      </c>
      <c r="Z197" s="1268">
        <v>22.627996586209822</v>
      </c>
      <c r="AA197" s="1268">
        <v>16.860637206011283</v>
      </c>
      <c r="AB197" s="1268">
        <v>12.71059684741512</v>
      </c>
      <c r="AC197" s="1268">
        <v>12.458278919902991</v>
      </c>
      <c r="AD197" s="1268">
        <v>11.858299154099358</v>
      </c>
      <c r="AE197" s="1268">
        <v>11.325962173597631</v>
      </c>
      <c r="AF197" s="1268">
        <v>10.805902381322817</v>
      </c>
      <c r="AG197" s="1268">
        <v>10.32761398195116</v>
      </c>
      <c r="AH197" s="1268">
        <v>9.8867726467574339</v>
      </c>
      <c r="AI197" s="1243"/>
      <c r="AJ197" s="1243"/>
      <c r="AK197" s="1243"/>
      <c r="AL197" s="1243"/>
      <c r="AM197" s="1243"/>
      <c r="AN197" s="1243"/>
    </row>
    <row r="198" spans="1:40">
      <c r="A198" s="98" t="s">
        <v>92</v>
      </c>
      <c r="B198" s="605"/>
      <c r="C198" s="605"/>
      <c r="D198" s="605">
        <v>1.0562565390594314</v>
      </c>
      <c r="E198" s="605">
        <v>1.9622642568399018</v>
      </c>
      <c r="F198" s="605">
        <v>2.4236383860123181</v>
      </c>
      <c r="G198" s="605">
        <v>3.8041867818993813</v>
      </c>
      <c r="H198" s="605">
        <v>2.793131437275874</v>
      </c>
      <c r="I198" s="605">
        <v>0.99801439472071241</v>
      </c>
      <c r="J198" s="605">
        <v>1.8952447389438658</v>
      </c>
      <c r="K198" s="605">
        <v>2.5557004294098262</v>
      </c>
      <c r="L198" s="605">
        <v>2.7204433065619193</v>
      </c>
      <c r="M198" s="605">
        <v>3.8264277071521948</v>
      </c>
      <c r="N198" s="605">
        <v>6.5665371315019545</v>
      </c>
      <c r="O198" s="605">
        <v>3.8805062835449671</v>
      </c>
      <c r="P198" s="605">
        <v>5.5268325137714962</v>
      </c>
      <c r="Q198" s="605">
        <v>5.5550570369770993</v>
      </c>
      <c r="R198" s="605">
        <v>5.6665044111822462</v>
      </c>
      <c r="S198" s="605">
        <v>3.8574577078865859</v>
      </c>
      <c r="T198" s="605">
        <v>4.360971059591078</v>
      </c>
      <c r="U198" s="605">
        <v>3.4443327824097074</v>
      </c>
      <c r="V198" s="605">
        <v>4.1660136721731158</v>
      </c>
      <c r="W198" s="605">
        <v>3.9676723156232576</v>
      </c>
      <c r="X198" s="605">
        <v>6.2029515580825159</v>
      </c>
      <c r="Y198" s="606">
        <v>6.6143822163239463</v>
      </c>
      <c r="Z198" s="606">
        <v>5.2835913038246778</v>
      </c>
      <c r="AA198" s="606">
        <v>4.073893394182206</v>
      </c>
      <c r="AB198" s="606">
        <v>3.1016090538944407</v>
      </c>
      <c r="AC198" s="606">
        <v>2.4768014206045756</v>
      </c>
      <c r="AD198" s="606">
        <v>2.0344921994795926</v>
      </c>
      <c r="AE198" s="606">
        <v>1.7086898119704634</v>
      </c>
      <c r="AF198" s="606">
        <v>1.4597850357154432</v>
      </c>
      <c r="AG198" s="606">
        <v>1.2646714216475454</v>
      </c>
      <c r="AH198" s="606">
        <v>1.1084459682282188</v>
      </c>
      <c r="AI198" s="1133"/>
      <c r="AJ198" s="1133"/>
      <c r="AK198" s="1133"/>
      <c r="AL198" s="1133"/>
      <c r="AM198" s="1133"/>
      <c r="AN198" s="1133"/>
    </row>
    <row r="199" spans="1:40">
      <c r="A199" s="90" t="s">
        <v>99</v>
      </c>
      <c r="B199" s="117"/>
      <c r="C199" s="117"/>
      <c r="D199" s="117"/>
      <c r="E199" s="117"/>
      <c r="F199" s="117"/>
      <c r="G199" s="117"/>
      <c r="H199" s="117"/>
      <c r="I199" s="117"/>
      <c r="J199" s="117"/>
      <c r="K199" s="117">
        <v>-1.3519197260109634E-3</v>
      </c>
      <c r="L199" s="117">
        <v>-4.0963136492220623E-2</v>
      </c>
      <c r="M199" s="117">
        <v>-0.10932503264796224</v>
      </c>
      <c r="N199" s="117">
        <v>-6.7958325305567308E-2</v>
      </c>
      <c r="O199" s="117">
        <v>-0.30371274644094493</v>
      </c>
      <c r="P199" s="117">
        <v>-1.1719707228269675E-2</v>
      </c>
      <c r="Q199" s="117">
        <v>-9.6904546734552406E-3</v>
      </c>
      <c r="R199" s="117">
        <v>6.6869392651781592E-3</v>
      </c>
      <c r="S199" s="117">
        <v>-0.29011528525109648</v>
      </c>
      <c r="T199" s="117">
        <v>0.111287931740727</v>
      </c>
      <c r="U199" s="117">
        <v>-0.15338698447378291</v>
      </c>
      <c r="V199" s="117">
        <v>9.94822916794319E-2</v>
      </c>
      <c r="W199" s="117">
        <v>7.6500337466749613E-2</v>
      </c>
      <c r="X199" s="117">
        <v>3.1254879658948208E-2</v>
      </c>
      <c r="Y199" s="589">
        <v>-7.4440406020212416E-2</v>
      </c>
      <c r="Z199" s="589">
        <v>2.6734462962954893E-2</v>
      </c>
      <c r="AA199" s="589">
        <v>6.1287618487807408E-2</v>
      </c>
      <c r="AB199" s="589">
        <v>8.030691465408521E-2</v>
      </c>
      <c r="AC199" s="589">
        <v>6.3354917068319153E-2</v>
      </c>
      <c r="AD199" s="589">
        <v>6.4658420372201056E-2</v>
      </c>
      <c r="AE199" s="589">
        <v>7.3842628288100606E-2</v>
      </c>
      <c r="AF199" s="589">
        <v>7.926779589462743E-2</v>
      </c>
      <c r="AG199" s="589">
        <v>8.4998017914358723E-2</v>
      </c>
      <c r="AH199" s="589">
        <v>9.3162159651480669E-2</v>
      </c>
      <c r="AI199" s="1133"/>
      <c r="AJ199" s="1133"/>
      <c r="AK199" s="1133"/>
      <c r="AL199" s="1133"/>
      <c r="AM199" s="1133"/>
      <c r="AN199" s="1133"/>
    </row>
    <row r="200" spans="1:40">
      <c r="A200" s="90" t="s">
        <v>247</v>
      </c>
      <c r="B200" s="117"/>
      <c r="C200" s="117"/>
      <c r="D200" s="117">
        <v>3.6390892160783915E-2</v>
      </c>
      <c r="E200" s="117">
        <v>2.7982641302202658E-2</v>
      </c>
      <c r="F200" s="117">
        <v>2.4307993695281919E-2</v>
      </c>
      <c r="G200" s="117">
        <v>1.6608523906876494E-2</v>
      </c>
      <c r="H200" s="117">
        <v>8.1028488489033688E-3</v>
      </c>
      <c r="I200" s="117">
        <v>0</v>
      </c>
      <c r="J200" s="117">
        <v>7.5889507605277342E-3</v>
      </c>
      <c r="K200" s="117">
        <v>3.358742141113108E-2</v>
      </c>
      <c r="L200" s="117">
        <v>1.505873801665881E-2</v>
      </c>
      <c r="M200" s="117">
        <v>0</v>
      </c>
      <c r="N200" s="117">
        <v>1.226012785575149E-2</v>
      </c>
      <c r="O200" s="117">
        <v>0</v>
      </c>
      <c r="P200" s="117">
        <v>8.3626578885023506E-3</v>
      </c>
      <c r="Q200" s="117">
        <v>1.3025934918023325E-2</v>
      </c>
      <c r="R200" s="117">
        <v>1.3419767772082538E-2</v>
      </c>
      <c r="S200" s="117">
        <v>1.684904449925528E-2</v>
      </c>
      <c r="T200" s="117">
        <v>0</v>
      </c>
      <c r="U200" s="117">
        <v>0</v>
      </c>
      <c r="V200" s="117">
        <v>0</v>
      </c>
      <c r="W200" s="117">
        <v>0</v>
      </c>
      <c r="X200" s="117">
        <v>0</v>
      </c>
      <c r="Y200" s="589">
        <v>1.9588979087425816E-2</v>
      </c>
      <c r="Z200" s="589">
        <v>0</v>
      </c>
      <c r="AA200" s="589">
        <v>0</v>
      </c>
      <c r="AB200" s="589">
        <v>0</v>
      </c>
      <c r="AC200" s="589">
        <v>0</v>
      </c>
      <c r="AD200" s="589">
        <v>0</v>
      </c>
      <c r="AE200" s="589">
        <v>0</v>
      </c>
      <c r="AF200" s="589">
        <v>0</v>
      </c>
      <c r="AG200" s="589">
        <v>0</v>
      </c>
      <c r="AH200" s="589">
        <v>0</v>
      </c>
      <c r="AI200" s="1133"/>
      <c r="AJ200" s="1133"/>
      <c r="AK200" s="1133"/>
      <c r="AL200" s="1133"/>
      <c r="AM200" s="1133"/>
      <c r="AN200" s="1133"/>
    </row>
    <row r="201" spans="1:40">
      <c r="A201" s="90"/>
      <c r="B201" s="117"/>
      <c r="C201" s="117"/>
      <c r="D201" s="117"/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33"/>
      <c r="AJ201" s="1133"/>
      <c r="AK201" s="1133"/>
      <c r="AL201" s="1133"/>
      <c r="AM201" s="1133"/>
      <c r="AN201" s="1133"/>
    </row>
    <row r="202" spans="1:40">
      <c r="A202" s="1126" t="s">
        <v>1124</v>
      </c>
      <c r="B202" s="1124">
        <v>2001</v>
      </c>
      <c r="C202" s="1124">
        <v>2002</v>
      </c>
      <c r="D202" s="1124">
        <v>2003</v>
      </c>
      <c r="E202" s="1124">
        <v>2004</v>
      </c>
      <c r="F202" s="1124">
        <v>2005</v>
      </c>
      <c r="G202" s="1124">
        <v>2006</v>
      </c>
      <c r="H202" s="1124">
        <v>2007</v>
      </c>
      <c r="I202" s="1124">
        <v>2008</v>
      </c>
      <c r="J202" s="1124">
        <v>2009</v>
      </c>
      <c r="K202" s="1124">
        <v>2010</v>
      </c>
      <c r="L202" s="1124">
        <v>2011</v>
      </c>
      <c r="M202" s="1124">
        <v>2012</v>
      </c>
      <c r="N202" s="1124">
        <v>2013</v>
      </c>
      <c r="O202" s="1124">
        <v>2014</v>
      </c>
      <c r="P202" s="1124">
        <v>2015</v>
      </c>
      <c r="Q202" s="1124">
        <v>2016</v>
      </c>
      <c r="R202" s="1124">
        <v>2017</v>
      </c>
      <c r="S202" s="1583">
        <v>2018</v>
      </c>
      <c r="T202" s="1583">
        <v>2019</v>
      </c>
      <c r="U202" s="1583">
        <v>2020</v>
      </c>
      <c r="V202" s="1583">
        <v>2021</v>
      </c>
      <c r="W202" s="1583">
        <v>2022</v>
      </c>
      <c r="X202" s="1583">
        <v>2023</v>
      </c>
      <c r="Y202" s="1445">
        <v>2024</v>
      </c>
      <c r="Z202" s="1445">
        <v>2025</v>
      </c>
      <c r="AA202" s="1445">
        <v>2026</v>
      </c>
      <c r="AB202" s="1445">
        <v>2027</v>
      </c>
      <c r="AC202" s="1445">
        <v>2028</v>
      </c>
      <c r="AD202" s="1445">
        <v>2029</v>
      </c>
      <c r="AE202" s="1445">
        <v>2030</v>
      </c>
      <c r="AF202" s="1445">
        <v>2031</v>
      </c>
      <c r="AG202" s="1445">
        <v>2032</v>
      </c>
      <c r="AH202" s="1445">
        <v>2033</v>
      </c>
      <c r="AI202" s="1133"/>
      <c r="AJ202" s="1133"/>
      <c r="AK202" s="1133"/>
      <c r="AL202" s="1133"/>
      <c r="AM202" s="1133"/>
      <c r="AN202" s="1133"/>
    </row>
    <row r="203" spans="1:40">
      <c r="A203" s="124" t="s">
        <v>594</v>
      </c>
      <c r="B203" s="1632">
        <v>0.88</v>
      </c>
      <c r="C203" s="1632">
        <v>1.72</v>
      </c>
      <c r="D203" s="1632">
        <v>2.74</v>
      </c>
      <c r="E203" s="1632">
        <v>5.63</v>
      </c>
      <c r="F203" s="1632">
        <v>7.84</v>
      </c>
      <c r="G203" s="1632">
        <v>16.2</v>
      </c>
      <c r="H203" s="1632">
        <v>13.53</v>
      </c>
      <c r="I203" s="1632">
        <v>4.84</v>
      </c>
      <c r="J203" s="1632">
        <v>9.16</v>
      </c>
      <c r="K203" s="1632">
        <v>12.1</v>
      </c>
      <c r="L203" s="1632">
        <v>13.44</v>
      </c>
      <c r="M203" s="1632">
        <v>25.15</v>
      </c>
      <c r="N203" s="1632">
        <v>40.78</v>
      </c>
      <c r="O203" s="1632">
        <v>40.770000000000003</v>
      </c>
      <c r="P203" s="1632">
        <v>59.85</v>
      </c>
      <c r="Q203" s="1632">
        <v>59.33</v>
      </c>
      <c r="R203" s="1632">
        <v>64.37</v>
      </c>
      <c r="S203" s="1632">
        <v>51.15</v>
      </c>
      <c r="T203" s="1632">
        <v>49.83</v>
      </c>
      <c r="U203" s="1632">
        <v>25.89</v>
      </c>
      <c r="V203" s="1632">
        <v>37.950000000000003</v>
      </c>
      <c r="W203" s="1632">
        <v>36.86</v>
      </c>
      <c r="X203" s="1632">
        <v>64.16</v>
      </c>
      <c r="Y203" s="1629">
        <v>45</v>
      </c>
      <c r="Z203" s="1629">
        <v>45</v>
      </c>
      <c r="AA203" s="1629">
        <v>45</v>
      </c>
      <c r="AB203" s="1629">
        <v>45</v>
      </c>
      <c r="AC203" s="1629">
        <v>45</v>
      </c>
      <c r="AD203" s="1629">
        <v>45</v>
      </c>
      <c r="AE203" s="1629">
        <v>45</v>
      </c>
      <c r="AF203" s="1629">
        <v>45</v>
      </c>
      <c r="AG203" s="1629">
        <v>45</v>
      </c>
      <c r="AH203" s="1629">
        <v>45</v>
      </c>
      <c r="AI203" s="1133"/>
      <c r="AJ203" s="1133"/>
      <c r="AK203" s="1133"/>
      <c r="AL203" s="1133"/>
      <c r="AM203" s="1133"/>
      <c r="AN203" s="1133"/>
    </row>
    <row r="204" spans="1:40">
      <c r="A204" s="98" t="s">
        <v>88</v>
      </c>
      <c r="B204" s="438"/>
      <c r="C204" s="438"/>
      <c r="D204" s="438">
        <v>1280.1280000000002</v>
      </c>
      <c r="E204" s="438">
        <v>2796.9839999999999</v>
      </c>
      <c r="F204" s="438">
        <v>4283.7759999999998</v>
      </c>
      <c r="G204" s="438">
        <v>10095.84</v>
      </c>
      <c r="H204" s="438">
        <v>8372.3639999999996</v>
      </c>
      <c r="I204" s="438">
        <v>2991.12</v>
      </c>
      <c r="J204" s="438">
        <v>5512.4879999999994</v>
      </c>
      <c r="K204" s="438">
        <v>7322.92</v>
      </c>
      <c r="L204" s="438">
        <v>8144.6399999999994</v>
      </c>
      <c r="M204" s="438">
        <v>17298.169999999998</v>
      </c>
      <c r="N204" s="438">
        <v>28048.484</v>
      </c>
      <c r="O204" s="438">
        <v>34148.952000000005</v>
      </c>
      <c r="P204" s="438">
        <v>50124.375</v>
      </c>
      <c r="Q204" s="438">
        <v>49499.018999999993</v>
      </c>
      <c r="R204" s="438">
        <v>53607.336000000003</v>
      </c>
      <c r="S204" s="438">
        <v>42740.94</v>
      </c>
      <c r="T204" s="438">
        <v>41782.455000000002</v>
      </c>
      <c r="U204" s="438">
        <v>21708.764999999999</v>
      </c>
      <c r="V204" s="438">
        <v>31824.870000000003</v>
      </c>
      <c r="W204" s="438">
        <v>30225.200000000001</v>
      </c>
      <c r="X204" s="438">
        <v>51950.351999999999</v>
      </c>
      <c r="Y204" s="447">
        <v>36675</v>
      </c>
      <c r="Z204" s="447">
        <v>36675</v>
      </c>
      <c r="AA204" s="447">
        <v>36675</v>
      </c>
      <c r="AB204" s="447">
        <v>36675</v>
      </c>
      <c r="AC204" s="447">
        <v>36675</v>
      </c>
      <c r="AD204" s="447">
        <v>36675</v>
      </c>
      <c r="AE204" s="447">
        <v>36675</v>
      </c>
      <c r="AF204" s="447">
        <v>36675</v>
      </c>
      <c r="AG204" s="447">
        <v>36675</v>
      </c>
      <c r="AH204" s="447">
        <v>36675</v>
      </c>
      <c r="AI204" s="1133"/>
      <c r="AJ204" s="1133"/>
      <c r="AK204" s="1133"/>
      <c r="AL204" s="1133"/>
      <c r="AM204" s="1133"/>
      <c r="AN204" s="1133"/>
    </row>
    <row r="205" spans="1:40">
      <c r="A205" s="98" t="s">
        <v>89</v>
      </c>
      <c r="B205" s="438">
        <v>91.750000000000014</v>
      </c>
      <c r="C205" s="438">
        <v>-114.06300000000002</v>
      </c>
      <c r="D205" s="438">
        <v>1161.788</v>
      </c>
      <c r="E205" s="438">
        <v>2911.1210000000001</v>
      </c>
      <c r="F205" s="438">
        <v>4970.1949999999997</v>
      </c>
      <c r="G205" s="438">
        <v>10417.547999999999</v>
      </c>
      <c r="H205" s="438">
        <v>9331.0919999999987</v>
      </c>
      <c r="I205" s="438">
        <v>4352.1569999999992</v>
      </c>
      <c r="J205" s="438">
        <v>6601.1819999999998</v>
      </c>
      <c r="K205" s="438">
        <v>8584.4049999999988</v>
      </c>
      <c r="L205" s="438">
        <v>11760.655999999999</v>
      </c>
      <c r="M205" s="438">
        <v>19148.244999999995</v>
      </c>
      <c r="N205" s="438">
        <v>32668.334999999999</v>
      </c>
      <c r="O205" s="438">
        <v>45564.771000000001</v>
      </c>
      <c r="P205" s="438">
        <v>62518.099000000002</v>
      </c>
      <c r="Q205" s="438">
        <v>62804.513999999988</v>
      </c>
      <c r="R205" s="438">
        <v>71251.106</v>
      </c>
      <c r="S205" s="438">
        <v>70747.756999999998</v>
      </c>
      <c r="T205" s="438">
        <v>91367.233999999997</v>
      </c>
      <c r="U205" s="438">
        <v>82775.359999999986</v>
      </c>
      <c r="V205" s="438">
        <v>87178.186999999991</v>
      </c>
      <c r="W205" s="438">
        <v>79719.270999999993</v>
      </c>
      <c r="X205" s="438">
        <v>96227.362000000008</v>
      </c>
      <c r="Y205" s="447">
        <v>85145.459794778653</v>
      </c>
      <c r="Z205" s="447">
        <v>83330.941163459749</v>
      </c>
      <c r="AA205" s="447">
        <v>80680.059059927196</v>
      </c>
      <c r="AB205" s="447">
        <v>77018.806268422646</v>
      </c>
      <c r="AC205" s="447">
        <v>74147.724594359257</v>
      </c>
      <c r="AD205" s="447">
        <v>71212.368805704944</v>
      </c>
      <c r="AE205" s="447">
        <v>67770.583284689739</v>
      </c>
      <c r="AF205" s="447">
        <v>64038.672538597682</v>
      </c>
      <c r="AG205" s="447">
        <v>60016.913460382813</v>
      </c>
      <c r="AH205" s="447">
        <v>55579.664567407875</v>
      </c>
      <c r="AI205" s="1133"/>
      <c r="AJ205" s="1133"/>
      <c r="AK205" s="1133"/>
      <c r="AL205" s="1133"/>
      <c r="AM205" s="1133"/>
      <c r="AN205" s="1133"/>
    </row>
    <row r="206" spans="1:40" s="1209" customFormat="1">
      <c r="A206" s="1237" t="s">
        <v>1240</v>
      </c>
      <c r="B206" s="1518">
        <v>142.17099999999994</v>
      </c>
      <c r="C206" s="1518">
        <v>40.818999999999988</v>
      </c>
      <c r="D206" s="1518">
        <v>1129.3580000000002</v>
      </c>
      <c r="E206" s="1518">
        <v>2639.1959999999999</v>
      </c>
      <c r="F206" s="1518">
        <v>4439.0540000000001</v>
      </c>
      <c r="G206" s="1518">
        <v>10318.414000000001</v>
      </c>
      <c r="H206" s="1518">
        <v>8977.64</v>
      </c>
      <c r="I206" s="1518">
        <v>3731.6489999999994</v>
      </c>
      <c r="J206" s="1518">
        <v>6929.6649999999991</v>
      </c>
      <c r="K206" s="1518">
        <v>8328.8639999999996</v>
      </c>
      <c r="L206" s="1518">
        <v>11128.162</v>
      </c>
      <c r="M206" s="1518">
        <v>16948.932999999997</v>
      </c>
      <c r="N206" s="1518">
        <v>30522.702999999998</v>
      </c>
      <c r="O206" s="1518">
        <v>33903.809000000001</v>
      </c>
      <c r="P206" s="1518">
        <v>60574.459000000003</v>
      </c>
      <c r="Q206" s="1518">
        <v>61311.397999999994</v>
      </c>
      <c r="R206" s="1518">
        <v>71251.106</v>
      </c>
      <c r="S206" s="1518">
        <v>70747.756999999998</v>
      </c>
      <c r="T206" s="1518">
        <v>68805.373999999996</v>
      </c>
      <c r="U206" s="1518">
        <v>57475.360000000001</v>
      </c>
      <c r="V206" s="1518">
        <v>63414.913000000008</v>
      </c>
      <c r="W206" s="1518">
        <v>57737.46</v>
      </c>
      <c r="X206" s="1518">
        <v>77897.294999999998</v>
      </c>
      <c r="Y206" s="1518">
        <v>66297.093707330539</v>
      </c>
      <c r="Z206" s="1518">
        <v>64137.764848425388</v>
      </c>
      <c r="AA206" s="1518">
        <v>61077.864048946474</v>
      </c>
      <c r="AB206" s="1518">
        <v>57068.388751703431</v>
      </c>
      <c r="AC206" s="1518">
        <v>53905.27414272516</v>
      </c>
      <c r="AD206" s="1518">
        <v>50677.079654644331</v>
      </c>
      <c r="AE206" s="1518">
        <v>46990.346136367152</v>
      </c>
      <c r="AF206" s="1518">
        <v>43032.750817515676</v>
      </c>
      <c r="AG206" s="1518">
        <v>38789.063276907284</v>
      </c>
      <c r="AH206" s="1518">
        <v>34137.765448203769</v>
      </c>
      <c r="AI206" s="1243"/>
      <c r="AJ206" s="1243"/>
      <c r="AK206" s="1243"/>
      <c r="AL206" s="1243"/>
      <c r="AM206" s="1243"/>
      <c r="AN206" s="1243"/>
    </row>
    <row r="207" spans="1:40">
      <c r="A207" s="98" t="s">
        <v>638</v>
      </c>
      <c r="B207" s="605">
        <v>3.7075890205256985E-2</v>
      </c>
      <c r="C207" s="605">
        <v>-4.3404355390354948E-2</v>
      </c>
      <c r="D207" s="605">
        <v>0.40459398967296084</v>
      </c>
      <c r="E207" s="605">
        <v>0.78496621630731211</v>
      </c>
      <c r="F207" s="605">
        <v>1.0653537821790666</v>
      </c>
      <c r="G207" s="605">
        <v>1.7286393103462006</v>
      </c>
      <c r="H207" s="605">
        <v>1.3357986647298659</v>
      </c>
      <c r="I207" s="605">
        <v>0.55891161540049017</v>
      </c>
      <c r="J207" s="605">
        <v>0.76873410184438673</v>
      </c>
      <c r="K207" s="605">
        <v>0.95579383706844334</v>
      </c>
      <c r="L207" s="605">
        <v>1.0994859628903049</v>
      </c>
      <c r="M207" s="605">
        <v>1.4163413282712176</v>
      </c>
      <c r="N207" s="605">
        <v>2.0791084771424835</v>
      </c>
      <c r="O207" s="605">
        <v>1.9984325175310538</v>
      </c>
      <c r="P207" s="605">
        <v>1.9362416678993084</v>
      </c>
      <c r="Q207" s="605">
        <v>1.665819732481683</v>
      </c>
      <c r="R207" s="605">
        <v>1.6753486628609136</v>
      </c>
      <c r="S207" s="605">
        <v>1.5327769115357761</v>
      </c>
      <c r="T207" s="605">
        <v>1.5711088056479228</v>
      </c>
      <c r="U207" s="605">
        <v>2.1502652042831376</v>
      </c>
      <c r="V207" s="605">
        <v>1.6331782356246367</v>
      </c>
      <c r="W207" s="605">
        <v>1.158183344046724</v>
      </c>
      <c r="X207" s="605">
        <v>1.2623119388310129</v>
      </c>
      <c r="Y207" s="606">
        <v>1.0839784552418505</v>
      </c>
      <c r="Z207" s="606">
        <v>0.96895334255289889</v>
      </c>
      <c r="AA207" s="606">
        <v>0.87827433618365325</v>
      </c>
      <c r="AB207" s="606">
        <v>0.79170160598751205</v>
      </c>
      <c r="AC207" s="606">
        <v>0.72402857881576366</v>
      </c>
      <c r="AD207" s="606">
        <v>0.66070294014340192</v>
      </c>
      <c r="AE207" s="606">
        <v>0.59817478477335295</v>
      </c>
      <c r="AF207" s="606">
        <v>0.53842360032743308</v>
      </c>
      <c r="AG207" s="606">
        <v>0.48072119335856617</v>
      </c>
      <c r="AH207" s="606">
        <v>0.42421911875723417</v>
      </c>
      <c r="AI207" s="1133"/>
      <c r="AJ207" s="1133"/>
      <c r="AK207" s="1133"/>
      <c r="AL207" s="1133"/>
      <c r="AM207" s="1133"/>
      <c r="AN207" s="1133"/>
    </row>
    <row r="208" spans="1:40" s="1209" customFormat="1">
      <c r="A208" s="1237" t="s">
        <v>1237</v>
      </c>
      <c r="B208" s="1268">
        <v>5.7450859796965528E-2</v>
      </c>
      <c r="C208" s="1268">
        <v>1.5532840471308819E-2</v>
      </c>
      <c r="D208" s="1268">
        <v>0.39330020536369442</v>
      </c>
      <c r="E208" s="1268">
        <v>0.71164328044536551</v>
      </c>
      <c r="F208" s="1268">
        <v>0.95150451203566755</v>
      </c>
      <c r="G208" s="1268">
        <v>1.7121894769120893</v>
      </c>
      <c r="H208" s="1268">
        <v>1.2852000092192246</v>
      </c>
      <c r="I208" s="1268">
        <v>0.47922489255273282</v>
      </c>
      <c r="J208" s="1268">
        <v>0.80698726377450003</v>
      </c>
      <c r="K208" s="1268">
        <v>0.92734171803185239</v>
      </c>
      <c r="L208" s="1268">
        <v>1.0403550543242914</v>
      </c>
      <c r="M208" s="1268">
        <v>1.253664462617847</v>
      </c>
      <c r="N208" s="1268">
        <v>1.9425541752465285</v>
      </c>
      <c r="O208" s="1268">
        <v>1.486992535829095</v>
      </c>
      <c r="P208" s="1268">
        <v>1.8760453916914248</v>
      </c>
      <c r="Q208" s="1268">
        <v>1.6262164947958677</v>
      </c>
      <c r="R208" s="1268">
        <v>1.6753486628609136</v>
      </c>
      <c r="S208" s="1268">
        <v>1.5327769115357761</v>
      </c>
      <c r="T208" s="1268">
        <v>1.1831454694940053</v>
      </c>
      <c r="U208" s="1268">
        <v>1.4930441463697277</v>
      </c>
      <c r="V208" s="1268">
        <v>1.1880019450924102</v>
      </c>
      <c r="W208" s="1268">
        <v>0.83882558960635711</v>
      </c>
      <c r="X208" s="1268">
        <v>1.0218578524592763</v>
      </c>
      <c r="Y208" s="1268">
        <v>0.84402176460268874</v>
      </c>
      <c r="Z208" s="1268">
        <v>0.74577942797800256</v>
      </c>
      <c r="AA208" s="1268">
        <v>0.6648869761394085</v>
      </c>
      <c r="AB208" s="1268">
        <v>0.58662471174092101</v>
      </c>
      <c r="AC208" s="1268">
        <v>0.52636758904939529</v>
      </c>
      <c r="AD208" s="1268">
        <v>0.47017808966667241</v>
      </c>
      <c r="AE208" s="1268">
        <v>0.41475871719252039</v>
      </c>
      <c r="AF208" s="1268">
        <v>0.36181025790619009</v>
      </c>
      <c r="AG208" s="1268">
        <v>0.31069116541697056</v>
      </c>
      <c r="AH208" s="1268">
        <v>0.2605609963193336</v>
      </c>
      <c r="AI208" s="1243"/>
      <c r="AJ208" s="1243"/>
      <c r="AK208" s="1243"/>
      <c r="AL208" s="1243"/>
      <c r="AM208" s="1243"/>
      <c r="AN208" s="1243"/>
    </row>
    <row r="209" spans="1:40">
      <c r="A209" s="98" t="s">
        <v>90</v>
      </c>
      <c r="B209" s="605">
        <v>0.2775542554285681</v>
      </c>
      <c r="C209" s="605">
        <v>-0.29711411476336475</v>
      </c>
      <c r="D209" s="605">
        <v>2.7980800030827844</v>
      </c>
      <c r="E209" s="605">
        <v>5.3370702883658172</v>
      </c>
      <c r="F209" s="605">
        <v>7.094653524705409</v>
      </c>
      <c r="G209" s="605">
        <v>10.34062409733988</v>
      </c>
      <c r="H209" s="605">
        <v>7.2408363312422974</v>
      </c>
      <c r="I209" s="605">
        <v>4.2169326216224325</v>
      </c>
      <c r="J209" s="605">
        <v>6.5996244886206892</v>
      </c>
      <c r="K209" s="605">
        <v>8.5961731610574876</v>
      </c>
      <c r="L209" s="605">
        <v>10.549121090158556</v>
      </c>
      <c r="M209" s="605">
        <v>11.907631221374759</v>
      </c>
      <c r="N209" s="605">
        <v>16.023928225623699</v>
      </c>
      <c r="O209" s="606">
        <v>16.313379938791847</v>
      </c>
      <c r="P209" s="606">
        <v>14.533249072640325</v>
      </c>
      <c r="Q209" s="606">
        <v>12.182660431972296</v>
      </c>
      <c r="R209" s="606">
        <v>11.018932474555553</v>
      </c>
      <c r="S209" s="606">
        <v>11.039990218960767</v>
      </c>
      <c r="T209" s="606">
        <v>7.2412765416829048</v>
      </c>
      <c r="U209" s="606">
        <v>11.953576280741968</v>
      </c>
      <c r="V209" s="606">
        <v>7.0811698615309266</v>
      </c>
      <c r="W209" s="606">
        <v>5.6740526587080211</v>
      </c>
      <c r="X209" s="606">
        <v>6.0291363825781463</v>
      </c>
      <c r="Y209" s="606">
        <v>5.394241903526086</v>
      </c>
      <c r="Z209" s="606">
        <v>4.990477442955692</v>
      </c>
      <c r="AA209" s="606">
        <v>4.5236336150427361</v>
      </c>
      <c r="AB209" s="606">
        <v>4.0777168830754995</v>
      </c>
      <c r="AC209" s="606">
        <v>3.8480442533367052</v>
      </c>
      <c r="AD209" s="606">
        <v>3.5114509739879645</v>
      </c>
      <c r="AE209" s="606">
        <v>3.1791315527129154</v>
      </c>
      <c r="AF209" s="606">
        <v>2.8615452058178077</v>
      </c>
      <c r="AG209" s="606">
        <v>2.5548527830802268</v>
      </c>
      <c r="AH209" s="606">
        <v>2.2545556047501085</v>
      </c>
      <c r="AI209" s="1133"/>
      <c r="AJ209" s="1133"/>
      <c r="AK209" s="1133"/>
      <c r="AL209" s="1133"/>
      <c r="AM209" s="1133"/>
      <c r="AN209" s="1133"/>
    </row>
    <row r="210" spans="1:40" s="1209" customFormat="1">
      <c r="A210" s="1237" t="s">
        <v>1238</v>
      </c>
      <c r="B210" s="1268">
        <v>0.2775542554285681</v>
      </c>
      <c r="C210" s="1268">
        <v>-0.29711411476336475</v>
      </c>
      <c r="D210" s="1268">
        <v>2.7980800030827844</v>
      </c>
      <c r="E210" s="1268">
        <v>5.3370702883658172</v>
      </c>
      <c r="F210" s="1268">
        <v>7.094653524705409</v>
      </c>
      <c r="G210" s="1268">
        <v>10.34062409733988</v>
      </c>
      <c r="H210" s="1268">
        <v>7.2408363312422974</v>
      </c>
      <c r="I210" s="1268">
        <v>4.2169326216224325</v>
      </c>
      <c r="J210" s="1268">
        <v>6.5996244886206892</v>
      </c>
      <c r="K210" s="1268">
        <v>8.5961731610574876</v>
      </c>
      <c r="L210" s="1268">
        <v>10.549121090158556</v>
      </c>
      <c r="M210" s="1268">
        <v>11.907631221374759</v>
      </c>
      <c r="N210" s="1268">
        <v>16.023928225623699</v>
      </c>
      <c r="O210" s="1268">
        <v>12.138450505747752</v>
      </c>
      <c r="P210" s="1268">
        <v>14.081421447050708</v>
      </c>
      <c r="Q210" s="1268">
        <v>11.893029574968217</v>
      </c>
      <c r="R210" s="1268">
        <v>11.018932474555553</v>
      </c>
      <c r="S210" s="1268">
        <v>11.039990218960767</v>
      </c>
      <c r="T210" s="1268">
        <v>8.9728557104049234</v>
      </c>
      <c r="U210" s="1268">
        <v>40.003953388987085</v>
      </c>
      <c r="V210" s="1268">
        <v>9.7019780496174679</v>
      </c>
      <c r="W210" s="1268">
        <v>6.5428546368487952</v>
      </c>
      <c r="X210" s="1268">
        <v>7.2163012735314958</v>
      </c>
      <c r="Y210" s="1268">
        <v>5.9753434980205542</v>
      </c>
      <c r="Z210" s="1268">
        <v>5.4284913237048711</v>
      </c>
      <c r="AA210" s="1268">
        <v>4.8033169409063392</v>
      </c>
      <c r="AB210" s="1268">
        <v>4.1981677578160568</v>
      </c>
      <c r="AC210" s="1268">
        <v>3.9400599498213214</v>
      </c>
      <c r="AD210" s="1268">
        <v>3.5232459664437146</v>
      </c>
      <c r="AE210" s="1268">
        <v>3.1112289407358271</v>
      </c>
      <c r="AF210" s="1268">
        <v>2.7170567952116582</v>
      </c>
      <c r="AG210" s="1268">
        <v>2.3356687961481186</v>
      </c>
      <c r="AH210" s="1268">
        <v>1.9609015892937298</v>
      </c>
      <c r="AI210" s="1243"/>
      <c r="AJ210" s="1243"/>
      <c r="AK210" s="1243"/>
      <c r="AL210" s="1243"/>
      <c r="AM210" s="1243"/>
      <c r="AN210" s="1243"/>
    </row>
    <row r="211" spans="1:40">
      <c r="A211" s="9" t="s">
        <v>306</v>
      </c>
      <c r="B211" s="605"/>
      <c r="C211" s="605"/>
      <c r="D211" s="605">
        <v>9.9894496987857764</v>
      </c>
      <c r="E211" s="605">
        <v>18.090693297285412</v>
      </c>
      <c r="F211" s="605">
        <v>15.217784851046884</v>
      </c>
      <c r="G211" s="605">
        <v>45.440527147274295</v>
      </c>
      <c r="H211" s="605">
        <v>17.499480598200385</v>
      </c>
      <c r="I211" s="605">
        <v>23.226768339558468</v>
      </c>
      <c r="J211" s="605">
        <v>53.13343871689046</v>
      </c>
      <c r="K211" s="605">
        <v>48.423683758084394</v>
      </c>
      <c r="L211" s="605">
        <v>38.84985976226352</v>
      </c>
      <c r="M211" s="605">
        <v>47.18991174825738</v>
      </c>
      <c r="N211" s="605">
        <v>41.186414943620647</v>
      </c>
      <c r="O211" s="605">
        <v>51.223479223479032</v>
      </c>
      <c r="P211" s="605">
        <v>51.084456271160214</v>
      </c>
      <c r="Q211" s="605">
        <v>49.674269823938978</v>
      </c>
      <c r="R211" s="605">
        <v>49.205012717204497</v>
      </c>
      <c r="S211" s="605">
        <v>44.836932063156418</v>
      </c>
      <c r="T211" s="605">
        <v>45.08881802583457</v>
      </c>
      <c r="U211" s="605" t="s">
        <v>628</v>
      </c>
      <c r="V211" s="605">
        <v>38.107683833654647</v>
      </c>
      <c r="W211" s="605">
        <v>18.516542253887859</v>
      </c>
      <c r="X211" s="605">
        <v>17.726085216340394</v>
      </c>
      <c r="Y211" s="606">
        <v>32.641889431039331</v>
      </c>
      <c r="Z211" s="606">
        <v>19.290531725877582</v>
      </c>
      <c r="AA211" s="606">
        <v>13.07065850323027</v>
      </c>
      <c r="AB211" s="606">
        <v>9.5463850218194004</v>
      </c>
      <c r="AC211" s="606">
        <v>9.0316570554082585</v>
      </c>
      <c r="AD211" s="606">
        <v>8.3686758232300402</v>
      </c>
      <c r="AE211" s="606">
        <v>7.8379144300894552</v>
      </c>
      <c r="AF211" s="606">
        <v>7.3612984924395723</v>
      </c>
      <c r="AG211" s="606">
        <v>6.9504761914174669</v>
      </c>
      <c r="AH211" s="606">
        <v>6.5913740865778818</v>
      </c>
      <c r="AI211" s="1133"/>
      <c r="AJ211" s="1133"/>
      <c r="AK211" s="1133"/>
      <c r="AL211" s="1133"/>
      <c r="AM211" s="1133"/>
      <c r="AN211" s="1133"/>
    </row>
    <row r="212" spans="1:40" s="1209" customFormat="1">
      <c r="A212" s="1209" t="s">
        <v>1239</v>
      </c>
      <c r="B212" s="1268"/>
      <c r="C212" s="1268"/>
      <c r="D212" s="1268">
        <v>9.9894496987857764</v>
      </c>
      <c r="E212" s="1268">
        <v>18.090693297285412</v>
      </c>
      <c r="F212" s="1268">
        <v>15.217784851046884</v>
      </c>
      <c r="G212" s="1268">
        <v>45.440527147274295</v>
      </c>
      <c r="H212" s="1268">
        <v>17.499480598200385</v>
      </c>
      <c r="I212" s="1268">
        <v>23.226768339558468</v>
      </c>
      <c r="J212" s="1268">
        <v>53.133438716891156</v>
      </c>
      <c r="K212" s="1268">
        <v>48.423683758083961</v>
      </c>
      <c r="L212" s="1268">
        <v>38.849859762263563</v>
      </c>
      <c r="M212" s="1268">
        <v>47.189911748257529</v>
      </c>
      <c r="N212" s="1268">
        <v>41.186414943620726</v>
      </c>
      <c r="O212" s="1268">
        <v>51.223479223479202</v>
      </c>
      <c r="P212" s="1268">
        <v>51.084456271160164</v>
      </c>
      <c r="Q212" s="1268">
        <v>49.674269823938886</v>
      </c>
      <c r="R212" s="1268">
        <v>49.205012717204461</v>
      </c>
      <c r="S212" s="1268">
        <v>44.836932063156418</v>
      </c>
      <c r="T212" s="1268">
        <v>54.659458094697506</v>
      </c>
      <c r="U212" s="1268" t="s">
        <v>628</v>
      </c>
      <c r="V212" s="1268">
        <v>65.230002029158314</v>
      </c>
      <c r="W212" s="1268">
        <v>18.187354080920425</v>
      </c>
      <c r="X212" s="1268">
        <v>18.620891961564169</v>
      </c>
      <c r="Y212" s="1268">
        <v>24.947121067205149</v>
      </c>
      <c r="Z212" s="1268">
        <v>16.621936767539047</v>
      </c>
      <c r="AA212" s="1268">
        <v>12.385384823220827</v>
      </c>
      <c r="AB212" s="1268">
        <v>9.3368732963382364</v>
      </c>
      <c r="AC212" s="1268">
        <v>9.1515271203988675</v>
      </c>
      <c r="AD212" s="1268">
        <v>8.7107976156459532</v>
      </c>
      <c r="AE212" s="1268">
        <v>8.31975673868582</v>
      </c>
      <c r="AF212" s="1268">
        <v>7.9377343643409528</v>
      </c>
      <c r="AG212" s="1268">
        <v>7.5863961669572673</v>
      </c>
      <c r="AH212" s="1268">
        <v>7.2625656073144711</v>
      </c>
      <c r="AI212" s="1243"/>
      <c r="AJ212" s="1243"/>
      <c r="AK212" s="1243"/>
      <c r="AL212" s="1243"/>
      <c r="AM212" s="1243"/>
      <c r="AN212" s="1243"/>
    </row>
    <row r="213" spans="1:40">
      <c r="A213" s="98" t="s">
        <v>92</v>
      </c>
      <c r="B213" s="605"/>
      <c r="C213" s="605"/>
      <c r="D213" s="605">
        <v>1.0562565390594314</v>
      </c>
      <c r="E213" s="605">
        <v>1.9622642568399018</v>
      </c>
      <c r="F213" s="605">
        <v>2.4236383860123181</v>
      </c>
      <c r="G213" s="605">
        <v>3.8041867818993813</v>
      </c>
      <c r="H213" s="605">
        <v>2.793131437275874</v>
      </c>
      <c r="I213" s="605">
        <v>0.99801439472071241</v>
      </c>
      <c r="J213" s="605">
        <v>1.8952447389438658</v>
      </c>
      <c r="K213" s="605">
        <v>2.5557004294098262</v>
      </c>
      <c r="L213" s="605">
        <v>2.7204433065619193</v>
      </c>
      <c r="M213" s="605">
        <v>3.8264277071521948</v>
      </c>
      <c r="N213" s="605">
        <v>6.5665371315019545</v>
      </c>
      <c r="O213" s="605">
        <v>3.8805062835449671</v>
      </c>
      <c r="P213" s="605">
        <v>5.5268325137714962</v>
      </c>
      <c r="Q213" s="605">
        <v>5.5550570369770993</v>
      </c>
      <c r="R213" s="605">
        <v>5.6665044111822462</v>
      </c>
      <c r="S213" s="605">
        <v>3.8574577078865859</v>
      </c>
      <c r="T213" s="605">
        <v>4.360971059591078</v>
      </c>
      <c r="U213" s="605">
        <v>3.4443327824097074</v>
      </c>
      <c r="V213" s="605">
        <v>4.1660136721731158</v>
      </c>
      <c r="W213" s="605">
        <v>3.9676723156232576</v>
      </c>
      <c r="X213" s="605">
        <v>6.2029515580825159</v>
      </c>
      <c r="Y213" s="606">
        <v>4.8587528523437413</v>
      </c>
      <c r="Z213" s="606">
        <v>3.8811885189701352</v>
      </c>
      <c r="AA213" s="606">
        <v>2.9925759506725313</v>
      </c>
      <c r="AB213" s="606">
        <v>2.2783612051134483</v>
      </c>
      <c r="AC213" s="606">
        <v>1.8193937957428323</v>
      </c>
      <c r="AD213" s="606">
        <v>1.4944849653376047</v>
      </c>
      <c r="AE213" s="606">
        <v>1.2551590195669418</v>
      </c>
      <c r="AF213" s="606">
        <v>1.0723200556185921</v>
      </c>
      <c r="AG213" s="606">
        <v>0.9289946779977073</v>
      </c>
      <c r="AH213" s="606">
        <v>0.81423553004031757</v>
      </c>
      <c r="AI213" s="1133"/>
      <c r="AJ213" s="1133"/>
      <c r="AK213" s="1133"/>
      <c r="AL213" s="1133"/>
      <c r="AM213" s="1133"/>
      <c r="AN213" s="1133"/>
    </row>
    <row r="214" spans="1:40">
      <c r="A214" s="90" t="s">
        <v>99</v>
      </c>
      <c r="B214" s="117"/>
      <c r="C214" s="117"/>
      <c r="D214" s="117"/>
      <c r="E214" s="117"/>
      <c r="F214" s="117"/>
      <c r="G214" s="117"/>
      <c r="H214" s="117"/>
      <c r="I214" s="117"/>
      <c r="J214" s="117"/>
      <c r="K214" s="117">
        <v>-1.3519197260109634E-3</v>
      </c>
      <c r="L214" s="117">
        <v>-4.0963136492220623E-2</v>
      </c>
      <c r="M214" s="117">
        <v>-0.10932503264796224</v>
      </c>
      <c r="N214" s="117">
        <v>-6.7958325305567308E-2</v>
      </c>
      <c r="O214" s="117">
        <v>-0.30371274644094493</v>
      </c>
      <c r="P214" s="117">
        <v>-1.1719707228269675E-2</v>
      </c>
      <c r="Q214" s="117">
        <v>-9.6904546734552406E-3</v>
      </c>
      <c r="R214" s="117">
        <v>6.6869392651781592E-3</v>
      </c>
      <c r="S214" s="117">
        <v>-0.29011528525109648</v>
      </c>
      <c r="T214" s="117">
        <v>0.111287931740727</v>
      </c>
      <c r="U214" s="117">
        <v>-0.15338698447378291</v>
      </c>
      <c r="V214" s="117">
        <v>9.94822916794319E-2</v>
      </c>
      <c r="W214" s="117">
        <v>7.6500337466749613E-2</v>
      </c>
      <c r="X214" s="117">
        <v>3.1254879658948208E-2</v>
      </c>
      <c r="Y214" s="589">
        <v>-0.1013382060621825</v>
      </c>
      <c r="Z214" s="589">
        <v>3.6394515580235931E-2</v>
      </c>
      <c r="AA214" s="589">
        <v>8.3432877968068489E-2</v>
      </c>
      <c r="AB214" s="589">
        <v>0.10932447981576134</v>
      </c>
      <c r="AC214" s="589">
        <v>8.6247160435671794E-2</v>
      </c>
      <c r="AD214" s="589">
        <v>8.8021662933356379E-2</v>
      </c>
      <c r="AE214" s="589">
        <v>0.1005244313095343</v>
      </c>
      <c r="AF214" s="589">
        <v>0.10790989281121947</v>
      </c>
      <c r="AG214" s="589">
        <v>0.11571063505408034</v>
      </c>
      <c r="AH214" s="589">
        <v>0.12682475333888235</v>
      </c>
      <c r="AI214" s="1133"/>
      <c r="AJ214" s="1133"/>
      <c r="AK214" s="1133"/>
      <c r="AL214" s="1133"/>
      <c r="AM214" s="1133"/>
      <c r="AN214" s="1133"/>
    </row>
    <row r="215" spans="1:40">
      <c r="A215" s="90" t="s">
        <v>247</v>
      </c>
      <c r="B215" s="117"/>
      <c r="C215" s="117"/>
      <c r="D215" s="117">
        <v>8.4061906309369043E-3</v>
      </c>
      <c r="E215" s="117">
        <v>1.665544028853937E-2</v>
      </c>
      <c r="F215" s="117">
        <v>1.8270563166701528E-2</v>
      </c>
      <c r="G215" s="117">
        <v>1.0314149194123519E-2</v>
      </c>
      <c r="H215" s="117">
        <v>2.0027437889704749E-2</v>
      </c>
      <c r="I215" s="117">
        <v>2.2680467517184201E-2</v>
      </c>
      <c r="J215" s="117">
        <v>0</v>
      </c>
      <c r="K215" s="117">
        <v>5.7127484664587355E-3</v>
      </c>
      <c r="L215" s="117">
        <v>3.0198756482791137E-2</v>
      </c>
      <c r="M215" s="117">
        <v>7.0902297757508455E-3</v>
      </c>
      <c r="N215" s="117">
        <v>0</v>
      </c>
      <c r="O215" s="117">
        <v>1.0069942995615208E-2</v>
      </c>
      <c r="P215" s="117">
        <v>0</v>
      </c>
      <c r="Q215" s="117">
        <v>8.4683092406336383E-3</v>
      </c>
      <c r="R215" s="117">
        <v>1.3419767772082538E-2</v>
      </c>
      <c r="S215" s="117">
        <v>1.684904449925528E-2</v>
      </c>
      <c r="T215" s="117">
        <v>0</v>
      </c>
      <c r="U215" s="117">
        <v>0</v>
      </c>
      <c r="V215" s="117">
        <v>0</v>
      </c>
      <c r="W215" s="117">
        <v>0</v>
      </c>
      <c r="X215" s="117">
        <v>0</v>
      </c>
      <c r="Y215" s="589">
        <v>2.6667130197682347E-2</v>
      </c>
      <c r="Z215" s="589">
        <v>0</v>
      </c>
      <c r="AA215" s="589">
        <v>0</v>
      </c>
      <c r="AB215" s="589">
        <v>0</v>
      </c>
      <c r="AC215" s="589">
        <v>0</v>
      </c>
      <c r="AD215" s="589">
        <v>0</v>
      </c>
      <c r="AE215" s="589">
        <v>0</v>
      </c>
      <c r="AF215" s="589">
        <v>0</v>
      </c>
      <c r="AG215" s="589">
        <v>0</v>
      </c>
      <c r="AH215" s="589">
        <v>0</v>
      </c>
      <c r="AI215" s="1133"/>
      <c r="AJ215" s="1133"/>
      <c r="AK215" s="1133"/>
      <c r="AL215" s="1133"/>
      <c r="AM215" s="1133"/>
      <c r="AN215" s="1133"/>
    </row>
    <row r="216" spans="1:40">
      <c r="A216" s="126" t="s">
        <v>1549</v>
      </c>
      <c r="B216" s="12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127"/>
      <c r="AD216" s="127"/>
      <c r="AE216" s="127"/>
      <c r="AF216" s="127"/>
      <c r="AG216" s="127"/>
      <c r="AH216" s="127" t="s">
        <v>281</v>
      </c>
      <c r="AI216" s="1133"/>
      <c r="AJ216" s="1133"/>
      <c r="AK216" s="1133"/>
      <c r="AL216" s="1133"/>
      <c r="AM216" s="1133"/>
      <c r="AN216" s="1133"/>
    </row>
    <row r="217" spans="1:40">
      <c r="A217" s="103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988"/>
      <c r="W217" s="988"/>
      <c r="X217" s="988"/>
      <c r="Y217" s="118"/>
      <c r="Z217" s="988"/>
      <c r="AA217" s="988"/>
      <c r="AB217" s="988"/>
      <c r="AC217" s="988"/>
      <c r="AD217" s="988"/>
      <c r="AE217" s="988"/>
      <c r="AF217" s="988"/>
      <c r="AG217" s="988"/>
      <c r="AH217" s="988"/>
      <c r="AI217" s="1133"/>
      <c r="AJ217" s="1133"/>
      <c r="AK217" s="1133"/>
      <c r="AL217" s="1133"/>
      <c r="AM217" s="1133"/>
      <c r="AN217" s="1133"/>
    </row>
    <row r="218" spans="1:40"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1133"/>
      <c r="AJ218" s="1133"/>
      <c r="AK218" s="1133"/>
      <c r="AL218" s="1133"/>
      <c r="AM218" s="1133"/>
      <c r="AN218" s="1133"/>
    </row>
    <row r="219" spans="1:40"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1133"/>
      <c r="AJ219" s="1133"/>
      <c r="AK219" s="1133"/>
      <c r="AL219" s="1133"/>
      <c r="AM219" s="1133"/>
      <c r="AN219" s="1133"/>
    </row>
    <row r="220" spans="1:40"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1133"/>
      <c r="AJ220" s="1133"/>
      <c r="AK220" s="1133"/>
      <c r="AL220" s="1133"/>
      <c r="AM220" s="1133"/>
      <c r="AN220" s="1133"/>
    </row>
    <row r="221" spans="1:40"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1133"/>
      <c r="AJ221" s="1133"/>
      <c r="AK221" s="1133"/>
      <c r="AL221" s="1133"/>
      <c r="AM221" s="1133"/>
      <c r="AN221" s="1133"/>
    </row>
    <row r="222" spans="1:40"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1133"/>
      <c r="AJ222" s="1133"/>
      <c r="AK222" s="1133"/>
      <c r="AL222" s="1133"/>
      <c r="AM222" s="1133"/>
      <c r="AN222" s="1133"/>
    </row>
    <row r="223" spans="1:40"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1133"/>
      <c r="AJ223" s="1133"/>
      <c r="AK223" s="1133"/>
      <c r="AL223" s="1133"/>
      <c r="AM223" s="1133"/>
      <c r="AN223" s="1133"/>
    </row>
    <row r="224" spans="1:40"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1133"/>
      <c r="AJ224" s="1133"/>
      <c r="AK224" s="1133"/>
      <c r="AL224" s="1133"/>
      <c r="AM224" s="1133"/>
      <c r="AN224" s="1133"/>
    </row>
    <row r="225" spans="2:40"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1133"/>
      <c r="AJ225" s="1133"/>
      <c r="AK225" s="1133"/>
      <c r="AL225" s="1133"/>
      <c r="AM225" s="1133"/>
      <c r="AN225" s="1133"/>
    </row>
    <row r="226" spans="2:40"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1133"/>
      <c r="AJ226" s="1133"/>
      <c r="AK226" s="1133"/>
      <c r="AL226" s="1133"/>
      <c r="AM226" s="1133"/>
      <c r="AN226" s="1133"/>
    </row>
    <row r="227" spans="2:40"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1133"/>
      <c r="AJ227" s="1133"/>
      <c r="AK227" s="1133"/>
      <c r="AL227" s="1133"/>
      <c r="AM227" s="1133"/>
      <c r="AN227" s="1133"/>
    </row>
    <row r="228" spans="2:40"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1133"/>
      <c r="AJ228" s="1133"/>
      <c r="AK228" s="1133"/>
      <c r="AL228" s="1133"/>
      <c r="AM228" s="1133"/>
      <c r="AN228" s="1133"/>
    </row>
    <row r="229" spans="2:40"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1133"/>
      <c r="AJ229" s="1133"/>
      <c r="AK229" s="1133"/>
      <c r="AL229" s="1133"/>
      <c r="AM229" s="1133"/>
      <c r="AN229" s="1133"/>
    </row>
    <row r="230" spans="2:40"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1133"/>
      <c r="AJ230" s="1133"/>
      <c r="AK230" s="1133"/>
      <c r="AL230" s="1133"/>
      <c r="AM230" s="1133"/>
      <c r="AN230" s="1133"/>
    </row>
    <row r="231" spans="2:40"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1133"/>
      <c r="AJ231" s="1133"/>
      <c r="AK231" s="1133"/>
      <c r="AL231" s="1133"/>
      <c r="AM231" s="1133"/>
      <c r="AN231" s="1133"/>
    </row>
    <row r="232" spans="2:40"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1133"/>
      <c r="AJ232" s="1133"/>
      <c r="AK232" s="1133"/>
      <c r="AL232" s="1133"/>
      <c r="AM232" s="1133"/>
      <c r="AN232" s="1133"/>
    </row>
    <row r="233" spans="2:40"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1133"/>
      <c r="AJ233" s="1133"/>
      <c r="AK233" s="1133"/>
      <c r="AL233" s="1133"/>
      <c r="AM233" s="1133"/>
      <c r="AN233" s="1133"/>
    </row>
    <row r="234" spans="2:40"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1133"/>
      <c r="AJ234" s="1133"/>
      <c r="AK234" s="1133"/>
      <c r="AL234" s="1133"/>
      <c r="AM234" s="1133"/>
      <c r="AN234" s="1133"/>
    </row>
    <row r="235" spans="2:40"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1133"/>
      <c r="AJ235" s="1133"/>
      <c r="AK235" s="1133"/>
      <c r="AL235" s="1133"/>
      <c r="AM235" s="1133"/>
      <c r="AN235" s="1133"/>
    </row>
    <row r="236" spans="2:40"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1133"/>
      <c r="AJ236" s="1133"/>
      <c r="AK236" s="1133"/>
      <c r="AL236" s="1133"/>
      <c r="AM236" s="1133"/>
      <c r="AN236" s="1133"/>
    </row>
    <row r="237" spans="2:40"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1133"/>
      <c r="AJ237" s="1133"/>
      <c r="AK237" s="1133"/>
      <c r="AL237" s="1133"/>
      <c r="AM237" s="1133"/>
      <c r="AN237" s="1133"/>
    </row>
    <row r="238" spans="2:40"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1133"/>
      <c r="AJ238" s="1133"/>
      <c r="AK238" s="1133"/>
      <c r="AL238" s="1133"/>
      <c r="AM238" s="1133"/>
      <c r="AN238" s="1133"/>
    </row>
    <row r="239" spans="2:40"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1133"/>
      <c r="AJ239" s="1133"/>
      <c r="AK239" s="1133"/>
      <c r="AL239" s="1133"/>
      <c r="AM239" s="1133"/>
      <c r="AN239" s="1133"/>
    </row>
    <row r="240" spans="2:40"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1133"/>
      <c r="AJ240" s="1133"/>
      <c r="AK240" s="1133"/>
      <c r="AL240" s="1133"/>
      <c r="AM240" s="1133"/>
      <c r="AN240" s="1133"/>
    </row>
    <row r="241" spans="2:40"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1133"/>
      <c r="AJ241" s="1133"/>
      <c r="AK241" s="1133"/>
      <c r="AL241" s="1133"/>
      <c r="AM241" s="1133"/>
      <c r="AN241" s="1133"/>
    </row>
    <row r="242" spans="2:40"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1133"/>
      <c r="AJ242" s="1133"/>
      <c r="AK242" s="1133"/>
      <c r="AL242" s="1133"/>
      <c r="AM242" s="1133"/>
      <c r="AN242" s="1133"/>
    </row>
    <row r="243" spans="2:40"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1133"/>
      <c r="AJ243" s="1133"/>
      <c r="AK243" s="1133"/>
      <c r="AL243" s="1133"/>
      <c r="AM243" s="1133"/>
      <c r="AN243" s="1133"/>
    </row>
    <row r="244" spans="2:40"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1133"/>
      <c r="AJ244" s="1133"/>
      <c r="AK244" s="1133"/>
      <c r="AL244" s="1133"/>
      <c r="AM244" s="1133"/>
      <c r="AN244" s="1133"/>
    </row>
    <row r="245" spans="2:40"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1133"/>
      <c r="AJ245" s="1133"/>
      <c r="AK245" s="1133"/>
      <c r="AL245" s="1133"/>
      <c r="AM245" s="1133"/>
      <c r="AN245" s="1133"/>
    </row>
    <row r="246" spans="2:40"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1133"/>
      <c r="AJ246" s="1133"/>
      <c r="AK246" s="1133"/>
      <c r="AL246" s="1133"/>
      <c r="AM246" s="1133"/>
      <c r="AN246" s="1133"/>
    </row>
    <row r="247" spans="2:40"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1133"/>
      <c r="AJ247" s="1133"/>
      <c r="AK247" s="1133"/>
      <c r="AL247" s="1133"/>
      <c r="AM247" s="1133"/>
      <c r="AN247" s="1133"/>
    </row>
    <row r="248" spans="2:40"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1133"/>
      <c r="AJ248" s="1133"/>
      <c r="AK248" s="1133"/>
      <c r="AL248" s="1133"/>
      <c r="AM248" s="1133"/>
      <c r="AN248" s="1133"/>
    </row>
    <row r="249" spans="2:40"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1133"/>
      <c r="AJ249" s="1133"/>
      <c r="AK249" s="1133"/>
      <c r="AL249" s="1133"/>
      <c r="AM249" s="1133"/>
      <c r="AN249" s="1133"/>
    </row>
    <row r="250" spans="2:40"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1133"/>
      <c r="AJ250" s="1133"/>
      <c r="AK250" s="1133"/>
      <c r="AL250" s="1133"/>
      <c r="AM250" s="1133"/>
      <c r="AN250" s="1133"/>
    </row>
    <row r="251" spans="2:40"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1133"/>
      <c r="AJ251" s="1133"/>
      <c r="AK251" s="1133"/>
      <c r="AL251" s="1133"/>
      <c r="AM251" s="1133"/>
      <c r="AN251" s="1133"/>
    </row>
    <row r="252" spans="2:40"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1133"/>
      <c r="AJ252" s="1133"/>
      <c r="AK252" s="1133"/>
      <c r="AL252" s="1133"/>
      <c r="AM252" s="1133"/>
      <c r="AN252" s="1133"/>
    </row>
    <row r="253" spans="2:40"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1133"/>
      <c r="AJ253" s="1133"/>
      <c r="AK253" s="1133"/>
      <c r="AL253" s="1133"/>
      <c r="AM253" s="1133"/>
      <c r="AN253" s="1133"/>
    </row>
    <row r="254" spans="2:40"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1133"/>
      <c r="AJ254" s="1133"/>
      <c r="AK254" s="1133"/>
      <c r="AL254" s="1133"/>
      <c r="AM254" s="1133"/>
      <c r="AN254" s="1133"/>
    </row>
    <row r="255" spans="2:40"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1133"/>
      <c r="AJ255" s="1133"/>
      <c r="AK255" s="1133"/>
      <c r="AL255" s="1133"/>
      <c r="AM255" s="1133"/>
      <c r="AN255" s="1133"/>
    </row>
    <row r="256" spans="2:40"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1133"/>
      <c r="AJ256" s="1133"/>
      <c r="AK256" s="1133"/>
      <c r="AL256" s="1133"/>
      <c r="AM256" s="1133"/>
      <c r="AN256" s="1133"/>
    </row>
    <row r="257" spans="2:40"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1133"/>
      <c r="AJ257" s="1133"/>
      <c r="AK257" s="1133"/>
      <c r="AL257" s="1133"/>
      <c r="AM257" s="1133"/>
      <c r="AN257" s="1133"/>
    </row>
    <row r="258" spans="2:40"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1133"/>
      <c r="AJ258" s="1133"/>
      <c r="AK258" s="1133"/>
      <c r="AL258" s="1133"/>
      <c r="AM258" s="1133"/>
      <c r="AN258" s="1133"/>
    </row>
    <row r="259" spans="2:40"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1133"/>
      <c r="AJ259" s="1133"/>
      <c r="AK259" s="1133"/>
      <c r="AL259" s="1133"/>
      <c r="AM259" s="1133"/>
      <c r="AN259" s="1133"/>
    </row>
    <row r="260" spans="2:40"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1133"/>
      <c r="AJ260" s="1133"/>
      <c r="AK260" s="1133"/>
      <c r="AL260" s="1133"/>
      <c r="AM260" s="1133"/>
      <c r="AN260" s="1133"/>
    </row>
    <row r="261" spans="2:40"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1133"/>
      <c r="AJ261" s="1133"/>
      <c r="AK261" s="1133"/>
      <c r="AL261" s="1133"/>
      <c r="AM261" s="1133"/>
      <c r="AN261" s="1133"/>
    </row>
    <row r="262" spans="2:40"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1133"/>
      <c r="AJ262" s="1133"/>
      <c r="AK262" s="1133"/>
      <c r="AL262" s="1133"/>
      <c r="AM262" s="1133"/>
      <c r="AN262" s="1133"/>
    </row>
    <row r="263" spans="2:40"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1133"/>
      <c r="AJ263" s="1133"/>
      <c r="AK263" s="1133"/>
      <c r="AL263" s="1133"/>
      <c r="AM263" s="1133"/>
      <c r="AN263" s="1133"/>
    </row>
    <row r="264" spans="2:40"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1133"/>
      <c r="AJ264" s="1133"/>
      <c r="AK264" s="1133"/>
      <c r="AL264" s="1133"/>
      <c r="AM264" s="1133"/>
      <c r="AN264" s="1133"/>
    </row>
    <row r="265" spans="2:40"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1133"/>
      <c r="AJ265" s="1133"/>
      <c r="AK265" s="1133"/>
      <c r="AL265" s="1133"/>
      <c r="AM265" s="1133"/>
      <c r="AN265" s="1133"/>
    </row>
    <row r="266" spans="2:40"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1133"/>
      <c r="AJ266" s="1133"/>
      <c r="AK266" s="1133"/>
      <c r="AL266" s="1133"/>
      <c r="AM266" s="1133"/>
      <c r="AN266" s="1133"/>
    </row>
    <row r="267" spans="2:40">
      <c r="R267" s="254"/>
      <c r="S267" s="254"/>
      <c r="T267" s="254"/>
      <c r="U267" s="254"/>
      <c r="V267" s="254"/>
      <c r="W267" s="254"/>
      <c r="X267" s="254"/>
      <c r="Y267" s="254"/>
      <c r="Z267" s="254"/>
      <c r="AA267" s="254"/>
      <c r="AB267" s="254"/>
      <c r="AC267" s="254"/>
      <c r="AD267" s="254"/>
      <c r="AE267" s="254"/>
      <c r="AF267" s="254"/>
      <c r="AG267" s="254"/>
      <c r="AH267" s="254"/>
    </row>
    <row r="268" spans="2:40">
      <c r="R268" s="254"/>
      <c r="S268" s="254"/>
      <c r="T268" s="254"/>
      <c r="U268" s="254"/>
      <c r="V268" s="254"/>
      <c r="W268" s="254"/>
      <c r="X268" s="254"/>
      <c r="Y268" s="254"/>
      <c r="Z268" s="254"/>
      <c r="AA268" s="254"/>
      <c r="AB268" s="254"/>
      <c r="AC268" s="254"/>
      <c r="AD268" s="254"/>
      <c r="AE268" s="254"/>
      <c r="AF268" s="254"/>
      <c r="AG268" s="254"/>
      <c r="AH268" s="254"/>
    </row>
    <row r="269" spans="2:40"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</row>
    <row r="270" spans="2:40"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</row>
  </sheetData>
  <phoneticPr fontId="18" type="noConversion"/>
  <pageMargins left="1" right="0.25" top="0.5" bottom="0.5" header="0.5" footer="0.5"/>
  <pageSetup scale="83" orientation="portrait" r:id="rId1"/>
  <headerFooter alignWithMargins="0"/>
  <rowBreaks count="1" manualBreakCount="1">
    <brk id="121" max="1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>
    <tabColor indexed="8"/>
    <pageSetUpPr fitToPage="1"/>
  </sheetPr>
  <dimension ref="A1:A103"/>
  <sheetViews>
    <sheetView showGridLines="0" zoomScaleNormal="100" workbookViewId="0"/>
  </sheetViews>
  <sheetFormatPr baseColWidth="10" defaultColWidth="9.42578125" defaultRowHeight="12.75"/>
  <sheetData>
    <row r="1" s="241" customFormat="1" ht="11.25"/>
    <row r="2" s="241" customFormat="1" ht="11.25"/>
    <row r="3" s="241" customFormat="1" ht="11.25"/>
    <row r="4" s="241" customFormat="1" ht="11.25"/>
    <row r="5" s="241" customFormat="1" ht="11.25"/>
    <row r="6" s="241" customFormat="1" ht="11.25"/>
    <row r="7" s="241" customFormat="1" ht="11.25"/>
    <row r="8" s="241" customFormat="1" ht="11.25"/>
    <row r="9" s="241" customFormat="1" ht="11.25"/>
    <row r="10" s="241" customFormat="1" ht="11.25"/>
    <row r="11" s="241" customFormat="1" ht="11.25"/>
    <row r="12" s="241" customFormat="1" ht="11.25"/>
    <row r="13" s="241" customFormat="1" ht="11.25"/>
    <row r="14" s="241" customFormat="1" ht="11.25"/>
    <row r="15" s="241" customFormat="1" ht="11.25"/>
    <row r="16" s="241" customFormat="1" ht="11.25"/>
    <row r="17" s="241" customFormat="1" ht="11.25"/>
    <row r="18" s="241" customFormat="1" ht="11.25"/>
    <row r="19" s="241" customFormat="1" ht="11.25"/>
    <row r="20" s="241" customFormat="1" ht="11.25"/>
    <row r="21" s="241" customFormat="1" ht="11.25"/>
    <row r="22" s="241" customFormat="1" ht="11.25"/>
    <row r="23" s="241" customFormat="1" ht="11.25"/>
    <row r="24" s="241" customFormat="1" ht="11.25"/>
    <row r="25" s="241" customFormat="1" ht="11.25"/>
    <row r="26" s="241" customFormat="1" ht="11.25"/>
    <row r="27" s="241" customFormat="1" ht="11.25"/>
    <row r="28" s="241" customFormat="1" ht="11.25"/>
    <row r="29" s="241" customFormat="1" ht="11.25"/>
    <row r="30" s="241" customFormat="1" ht="11.25"/>
    <row r="31" s="241" customFormat="1" ht="11.25"/>
    <row r="32" s="241" customFormat="1" ht="11.25"/>
    <row r="33" s="241" customFormat="1" ht="11.25"/>
    <row r="34" s="241" customFormat="1" ht="11.25"/>
    <row r="35" s="241" customFormat="1" ht="11.25"/>
    <row r="36" s="241" customFormat="1" ht="11.25"/>
    <row r="37" s="241" customFormat="1" ht="11.25"/>
    <row r="38" s="241" customFormat="1" ht="11.25"/>
    <row r="39" s="241" customFormat="1" ht="11.25"/>
    <row r="40" s="241" customFormat="1" ht="11.25"/>
    <row r="41" s="241" customFormat="1" ht="11.25"/>
    <row r="42" s="241" customFormat="1" ht="11.25"/>
    <row r="43" s="241" customFormat="1" ht="11.25"/>
    <row r="44" s="241" customFormat="1" ht="11.25"/>
    <row r="45" s="241" customFormat="1" ht="11.25"/>
    <row r="46" s="241" customFormat="1" ht="11.25"/>
    <row r="47" s="241" customFormat="1" ht="11.25"/>
    <row r="48" s="241" customFormat="1" ht="11.25"/>
    <row r="49" s="241" customFormat="1" ht="11.25"/>
    <row r="50" s="241" customFormat="1" ht="11.25"/>
    <row r="51" s="241" customFormat="1" ht="11.25"/>
    <row r="52" s="241" customFormat="1" ht="11.25"/>
    <row r="53" s="241" customFormat="1" ht="11.25"/>
    <row r="54" s="241" customFormat="1" ht="11.25"/>
    <row r="55" s="241" customFormat="1" ht="11.25"/>
    <row r="56" s="241" customFormat="1" ht="11.25"/>
    <row r="57" s="241" customFormat="1" ht="11.25"/>
    <row r="58" s="241" customFormat="1" ht="11.25"/>
    <row r="59" s="241" customFormat="1" ht="11.25"/>
    <row r="60" s="241" customFormat="1" ht="11.25"/>
    <row r="61" s="241" customFormat="1" ht="11.25"/>
    <row r="62" s="241" customFormat="1" ht="11.25"/>
    <row r="63" s="241" customFormat="1" ht="11.25"/>
    <row r="64" s="241" customFormat="1" ht="11.25"/>
    <row r="65" s="241" customFormat="1" ht="11.25"/>
    <row r="66" s="241" customFormat="1" ht="11.25"/>
    <row r="67" s="241" customFormat="1" ht="11.25"/>
    <row r="68" s="241" customFormat="1" ht="11.25"/>
    <row r="69" s="241" customFormat="1" ht="11.25"/>
    <row r="70" s="241" customFormat="1" ht="11.25"/>
    <row r="71" s="241" customFormat="1" ht="11.25"/>
    <row r="72" s="241" customFormat="1" ht="11.25"/>
    <row r="73" s="241" customFormat="1" ht="11.25"/>
    <row r="74" s="241" customFormat="1" ht="11.25"/>
    <row r="75" s="241" customFormat="1" ht="11.25"/>
    <row r="76" s="241" customFormat="1" ht="11.25"/>
    <row r="77" s="241" customFormat="1" ht="11.25"/>
    <row r="78" s="241" customFormat="1" ht="11.25"/>
    <row r="79" s="241" customFormat="1" ht="11.25"/>
    <row r="80" s="241" customFormat="1" ht="11.25"/>
    <row r="81" s="241" customFormat="1" ht="11.25"/>
    <row r="82" s="241" customFormat="1" ht="11.25"/>
    <row r="83" s="241" customFormat="1" ht="11.25"/>
    <row r="84" s="241" customFormat="1" ht="11.25"/>
    <row r="85" s="241" customFormat="1" ht="11.25"/>
    <row r="86" s="241" customFormat="1" ht="11.25"/>
    <row r="87" s="241" customFormat="1" ht="11.25"/>
    <row r="88" s="241" customFormat="1" ht="11.25"/>
    <row r="89" s="241" customFormat="1" ht="11.25"/>
    <row r="90" s="241" customFormat="1" ht="11.25"/>
    <row r="91" s="241" customFormat="1" ht="11.25"/>
    <row r="92" s="241" customFormat="1" ht="11.25"/>
    <row r="93" s="241" customFormat="1" ht="11.25"/>
    <row r="94" s="241" customFormat="1" ht="11.25"/>
    <row r="95" s="241" customFormat="1" ht="11.25"/>
    <row r="96" s="241" customFormat="1" ht="11.25"/>
    <row r="97" s="241" customFormat="1" ht="11.25"/>
    <row r="98" s="241" customFormat="1" ht="11.25"/>
    <row r="99" s="241" customFormat="1" ht="11.25"/>
    <row r="100" s="241" customFormat="1" ht="11.25"/>
    <row r="101" s="241" customFormat="1" ht="11.25"/>
    <row r="102" s="241" customFormat="1" ht="11.25"/>
    <row r="103" s="241" customFormat="1" ht="11.25"/>
  </sheetData>
  <phoneticPr fontId="18" type="noConversion"/>
  <pageMargins left="0.25" right="0.25" top="0.5" bottom="0.5" header="0.5" footer="0.5"/>
  <pageSetup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"/>
  <dimension ref="A1:CT922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baseColWidth="10" defaultColWidth="9.140625" defaultRowHeight="12.75" outlineLevelRow="1" outlineLevelCol="2"/>
  <cols>
    <col min="1" max="1" width="30" customWidth="1"/>
    <col min="20" max="20" width="10.28515625" bestFit="1" customWidth="1"/>
    <col min="25" max="26" width="8.5703125" customWidth="1"/>
    <col min="27" max="31" width="8.7109375" customWidth="1"/>
    <col min="58" max="73" width="9.42578125" customWidth="1"/>
    <col min="74" max="78" width="9.42578125" hidden="1" customWidth="1" outlineLevel="2"/>
    <col min="79" max="97" width="9.28515625" hidden="1" customWidth="1" outlineLevel="2"/>
    <col min="98" max="98" width="9.42578125" collapsed="1"/>
  </cols>
  <sheetData>
    <row r="1" spans="1:98" ht="18">
      <c r="A1" s="24" t="str">
        <f>Index!$G$12</f>
        <v>Alsea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409"/>
      <c r="T1" s="409"/>
      <c r="U1" s="409"/>
      <c r="V1" s="554"/>
      <c r="W1" s="554"/>
      <c r="X1" s="409"/>
      <c r="Y1" s="409"/>
      <c r="Z1" s="409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54"/>
      <c r="BB1" s="554"/>
      <c r="BC1" s="554"/>
      <c r="BD1" s="554"/>
      <c r="BE1" s="554"/>
      <c r="BF1" s="554"/>
      <c r="BG1" s="554"/>
      <c r="BH1" s="554"/>
      <c r="BI1" s="554"/>
      <c r="BJ1" s="554"/>
      <c r="BK1" s="554"/>
      <c r="BL1" s="554"/>
      <c r="BM1" s="554"/>
      <c r="BN1" s="554"/>
      <c r="BO1" s="554"/>
      <c r="BP1" s="554"/>
      <c r="BQ1" s="554"/>
      <c r="BR1" s="554"/>
      <c r="BS1" s="554"/>
      <c r="BT1" s="129"/>
      <c r="BU1" s="9"/>
      <c r="BV1" s="9"/>
      <c r="BW1" s="9"/>
      <c r="BX1" s="9"/>
      <c r="BY1" s="9"/>
      <c r="BZ1" s="9"/>
      <c r="CA1" s="9"/>
      <c r="CB1" s="9"/>
      <c r="CC1" s="9"/>
      <c r="CD1" s="9"/>
    </row>
    <row r="2" spans="1:98">
      <c r="A2" s="551" t="s">
        <v>431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409"/>
      <c r="T2" s="409"/>
      <c r="U2" s="131"/>
      <c r="V2" s="129"/>
      <c r="W2" s="555"/>
      <c r="X2" s="409"/>
      <c r="Y2" s="409"/>
      <c r="Z2" s="131" t="s">
        <v>317</v>
      </c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928">
        <f ca="1">$AN$594</f>
        <v>0</v>
      </c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9"/>
      <c r="BV2" s="9"/>
      <c r="BW2" s="9"/>
      <c r="BX2" s="9"/>
      <c r="BY2" s="9"/>
      <c r="BZ2" s="9"/>
      <c r="CA2" s="9"/>
      <c r="CB2" s="9"/>
      <c r="CC2" s="9"/>
      <c r="CD2" s="9"/>
    </row>
    <row r="4" spans="1:98" hidden="1" outlineLevel="1">
      <c r="W4" s="640" t="s">
        <v>644</v>
      </c>
      <c r="X4" s="641"/>
      <c r="Y4" s="641"/>
      <c r="Z4" s="641"/>
      <c r="AA4" s="641"/>
      <c r="AB4" s="641"/>
      <c r="AC4" s="641"/>
      <c r="AD4" s="1677" t="str">
        <f>LEFT(AD453,4)</f>
        <v>1Q14</v>
      </c>
      <c r="AE4" s="1677" t="str">
        <f t="shared" ref="AE4:CP4" si="0">LEFT(AE453,4)</f>
        <v>2Q14</v>
      </c>
      <c r="AF4" s="1677" t="str">
        <f t="shared" si="0"/>
        <v>3Q14</v>
      </c>
      <c r="AG4" s="1677" t="str">
        <f t="shared" si="0"/>
        <v>4Q14</v>
      </c>
      <c r="AH4" s="1677" t="str">
        <f t="shared" si="0"/>
        <v>1Q15</v>
      </c>
      <c r="AI4" s="1677" t="str">
        <f t="shared" si="0"/>
        <v>2Q15</v>
      </c>
      <c r="AJ4" s="1677" t="str">
        <f t="shared" si="0"/>
        <v>3Q15</v>
      </c>
      <c r="AK4" s="1677" t="str">
        <f t="shared" si="0"/>
        <v>4Q15</v>
      </c>
      <c r="AL4" s="1677" t="str">
        <f t="shared" si="0"/>
        <v>1Q16</v>
      </c>
      <c r="AM4" s="1677" t="str">
        <f t="shared" si="0"/>
        <v>2Q16</v>
      </c>
      <c r="AN4" s="1677" t="str">
        <f t="shared" si="0"/>
        <v>3Q16</v>
      </c>
      <c r="AO4" s="1677" t="str">
        <f t="shared" si="0"/>
        <v>4Q16</v>
      </c>
      <c r="AP4" s="1677" t="str">
        <f t="shared" si="0"/>
        <v>1Q17</v>
      </c>
      <c r="AQ4" s="1677" t="str">
        <f t="shared" si="0"/>
        <v>2Q17</v>
      </c>
      <c r="AR4" s="1677" t="str">
        <f t="shared" si="0"/>
        <v>3Q17</v>
      </c>
      <c r="AS4" s="1677" t="str">
        <f t="shared" si="0"/>
        <v>4Q17</v>
      </c>
      <c r="AT4" s="1677" t="str">
        <f t="shared" si="0"/>
        <v>1Q18</v>
      </c>
      <c r="AU4" s="1677" t="str">
        <f t="shared" si="0"/>
        <v>2Q18</v>
      </c>
      <c r="AV4" s="1677" t="str">
        <f t="shared" si="0"/>
        <v>3Q18</v>
      </c>
      <c r="AW4" s="1677" t="str">
        <f t="shared" si="0"/>
        <v>4Q18</v>
      </c>
      <c r="AX4" s="1677" t="str">
        <f t="shared" si="0"/>
        <v>1Q19</v>
      </c>
      <c r="AY4" s="1677" t="str">
        <f t="shared" si="0"/>
        <v>2Q19</v>
      </c>
      <c r="AZ4" s="1677" t="str">
        <f t="shared" si="0"/>
        <v>3Q19</v>
      </c>
      <c r="BA4" s="1677" t="str">
        <f t="shared" si="0"/>
        <v>4Q19</v>
      </c>
      <c r="BB4" s="1677" t="str">
        <f t="shared" si="0"/>
        <v>1Q20</v>
      </c>
      <c r="BC4" s="1677" t="str">
        <f t="shared" si="0"/>
        <v>2Q20</v>
      </c>
      <c r="BD4" s="1677" t="str">
        <f t="shared" si="0"/>
        <v>3Q20</v>
      </c>
      <c r="BE4" s="1677" t="str">
        <f t="shared" si="0"/>
        <v>4Q20</v>
      </c>
      <c r="BF4" s="1677" t="str">
        <f t="shared" si="0"/>
        <v>1Q21</v>
      </c>
      <c r="BG4" s="1677" t="str">
        <f t="shared" si="0"/>
        <v>2Q21</v>
      </c>
      <c r="BH4" s="1677" t="str">
        <f t="shared" si="0"/>
        <v>3Q21</v>
      </c>
      <c r="BI4" s="1677" t="str">
        <f t="shared" si="0"/>
        <v>4Q21</v>
      </c>
      <c r="BJ4" s="1677" t="str">
        <f t="shared" si="0"/>
        <v>1Q22</v>
      </c>
      <c r="BK4" s="1677" t="str">
        <f t="shared" si="0"/>
        <v>2Q22</v>
      </c>
      <c r="BL4" s="1677" t="str">
        <f t="shared" si="0"/>
        <v>3Q22</v>
      </c>
      <c r="BM4" s="1677" t="str">
        <f t="shared" si="0"/>
        <v>4Q22</v>
      </c>
      <c r="BN4" s="1677" t="str">
        <f t="shared" si="0"/>
        <v>1Q23</v>
      </c>
      <c r="BO4" s="1677" t="str">
        <f t="shared" si="0"/>
        <v>2Q23</v>
      </c>
      <c r="BP4" s="1677" t="str">
        <f>LEFT(BP453,4)</f>
        <v>3Q23</v>
      </c>
      <c r="BQ4" s="1677" t="str">
        <f t="shared" si="0"/>
        <v>4Q23</v>
      </c>
      <c r="BR4" s="1677" t="str">
        <f t="shared" si="0"/>
        <v>1Q24</v>
      </c>
      <c r="BS4" s="1677" t="str">
        <f t="shared" si="0"/>
        <v>2Q24</v>
      </c>
      <c r="BT4" s="1677" t="str">
        <f t="shared" si="0"/>
        <v>3Q24</v>
      </c>
      <c r="BU4" s="1677" t="str">
        <f t="shared" si="0"/>
        <v>4Q24</v>
      </c>
      <c r="BV4" s="1677" t="str">
        <f t="shared" si="0"/>
        <v>1Q25</v>
      </c>
      <c r="BW4" s="1677" t="str">
        <f t="shared" si="0"/>
        <v>2Q25</v>
      </c>
      <c r="BX4" s="1677" t="str">
        <f t="shared" si="0"/>
        <v>3Q25</v>
      </c>
      <c r="BY4" s="1677" t="str">
        <f t="shared" si="0"/>
        <v>4Q25</v>
      </c>
      <c r="BZ4" s="1677" t="str">
        <f t="shared" si="0"/>
        <v>1Q26</v>
      </c>
      <c r="CA4" s="1677" t="str">
        <f t="shared" si="0"/>
        <v>2Q26</v>
      </c>
      <c r="CB4" s="1677" t="str">
        <f t="shared" si="0"/>
        <v>3Q26</v>
      </c>
      <c r="CC4" s="1677" t="str">
        <f t="shared" si="0"/>
        <v>4Q26</v>
      </c>
      <c r="CD4" s="1677" t="str">
        <f t="shared" si="0"/>
        <v>1Q27</v>
      </c>
      <c r="CE4" s="1677" t="str">
        <f t="shared" si="0"/>
        <v>2Q27</v>
      </c>
      <c r="CF4" s="1677" t="str">
        <f t="shared" si="0"/>
        <v>3Q27</v>
      </c>
      <c r="CG4" s="1677" t="str">
        <f t="shared" si="0"/>
        <v>4Q27</v>
      </c>
      <c r="CH4" s="1677" t="str">
        <f t="shared" si="0"/>
        <v>1Q28</v>
      </c>
      <c r="CI4" s="1677" t="str">
        <f t="shared" si="0"/>
        <v>2Q28</v>
      </c>
      <c r="CJ4" s="1677" t="str">
        <f t="shared" si="0"/>
        <v>3Q28</v>
      </c>
      <c r="CK4" s="1677" t="str">
        <f t="shared" si="0"/>
        <v>4Q28</v>
      </c>
      <c r="CL4" s="1677" t="str">
        <f t="shared" si="0"/>
        <v>1Q29</v>
      </c>
      <c r="CM4" s="1677" t="str">
        <f t="shared" si="0"/>
        <v>2Q29</v>
      </c>
      <c r="CN4" s="1677" t="str">
        <f t="shared" si="0"/>
        <v>3Q29</v>
      </c>
      <c r="CO4" s="1677" t="str">
        <f t="shared" si="0"/>
        <v>4Q29</v>
      </c>
      <c r="CP4" s="1677" t="str">
        <f t="shared" si="0"/>
        <v>1Q30</v>
      </c>
      <c r="CQ4" s="1677" t="str">
        <f>LEFT(CQ453,4)</f>
        <v>2Q30</v>
      </c>
      <c r="CR4" s="1677" t="str">
        <f>LEFT(CR453,4)</f>
        <v>3Q30</v>
      </c>
      <c r="CS4" s="1677" t="str">
        <f>LEFT(CS453,4)</f>
        <v>4Q30</v>
      </c>
      <c r="CT4" s="1677"/>
    </row>
    <row r="5" spans="1:98" collapsed="1">
      <c r="A5" s="239" t="s">
        <v>483</v>
      </c>
      <c r="B5" s="470"/>
      <c r="C5" s="470"/>
      <c r="D5" s="470"/>
      <c r="E5" s="470"/>
      <c r="F5" s="470"/>
      <c r="G5" s="470"/>
      <c r="H5" s="470"/>
      <c r="I5" s="470"/>
      <c r="J5" s="470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</row>
    <row r="6" spans="1:98">
      <c r="A6" s="242" t="s">
        <v>838</v>
      </c>
      <c r="B6" s="264">
        <v>2001</v>
      </c>
      <c r="C6" s="264">
        <v>2002</v>
      </c>
      <c r="D6" s="264">
        <v>2003</v>
      </c>
      <c r="E6" s="264">
        <v>2004</v>
      </c>
      <c r="F6" s="264">
        <v>2005</v>
      </c>
      <c r="G6" s="264">
        <v>2006</v>
      </c>
      <c r="H6" s="264">
        <v>2007</v>
      </c>
      <c r="I6" s="264">
        <v>2008</v>
      </c>
      <c r="J6" s="264">
        <v>2009</v>
      </c>
      <c r="K6" s="264">
        <v>2010</v>
      </c>
      <c r="L6" s="264">
        <v>2011</v>
      </c>
      <c r="M6" s="264">
        <v>2012</v>
      </c>
      <c r="N6" s="264">
        <v>2013</v>
      </c>
      <c r="O6" s="264">
        <v>2014</v>
      </c>
      <c r="P6" s="264">
        <v>2015</v>
      </c>
      <c r="Q6" s="264">
        <v>2016</v>
      </c>
      <c r="R6" s="264">
        <v>2017</v>
      </c>
      <c r="S6" s="264">
        <v>2018</v>
      </c>
      <c r="T6" s="264">
        <v>2019</v>
      </c>
      <c r="U6" s="264">
        <v>2020</v>
      </c>
      <c r="V6" s="264">
        <v>2021</v>
      </c>
      <c r="W6" s="264">
        <v>2022</v>
      </c>
      <c r="X6" s="264">
        <v>2023</v>
      </c>
      <c r="Y6" s="594">
        <v>2024</v>
      </c>
      <c r="Z6" s="594">
        <v>2025</v>
      </c>
      <c r="AA6" s="594">
        <v>2026</v>
      </c>
      <c r="AB6" s="594">
        <v>2027</v>
      </c>
      <c r="AC6" s="594">
        <v>2028</v>
      </c>
      <c r="AD6" s="594">
        <v>2029</v>
      </c>
      <c r="AE6" s="594">
        <v>2030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</row>
    <row r="7" spans="1:98">
      <c r="A7" s="36" t="s">
        <v>731</v>
      </c>
      <c r="B7" s="92" t="e">
        <f>NA()</f>
        <v>#N/A</v>
      </c>
      <c r="C7" s="92" t="e">
        <f>NA()</f>
        <v>#N/A</v>
      </c>
      <c r="D7" s="92" t="e">
        <f>NA()</f>
        <v>#N/A</v>
      </c>
      <c r="E7" s="92" t="e">
        <f>NA()</f>
        <v>#N/A</v>
      </c>
      <c r="F7" s="92" t="e">
        <f>NA()</f>
        <v>#N/A</v>
      </c>
      <c r="G7" s="92" t="e">
        <f>NA()</f>
        <v>#N/A</v>
      </c>
      <c r="H7" s="92" t="e">
        <f>NA()</f>
        <v>#N/A</v>
      </c>
      <c r="I7" s="92" t="e">
        <f>NA()</f>
        <v>#N/A</v>
      </c>
      <c r="J7" s="92">
        <f>Financials!J6</f>
        <v>1001</v>
      </c>
      <c r="K7" s="92">
        <f>Financials!K6</f>
        <v>1037</v>
      </c>
      <c r="L7" s="92">
        <f>Financials!L6</f>
        <v>1075</v>
      </c>
      <c r="M7" s="92">
        <f>Financials!M6</f>
        <v>1186</v>
      </c>
      <c r="N7" s="92">
        <f>Financials!N6</f>
        <v>1575</v>
      </c>
      <c r="O7" s="92">
        <f>Financials!O6</f>
        <v>1999</v>
      </c>
      <c r="P7" s="92">
        <f>Financials!P6</f>
        <v>2092</v>
      </c>
      <c r="Q7" s="92">
        <f>Financials!Q6</f>
        <v>2215</v>
      </c>
      <c r="R7" s="92">
        <f>Financials!R6</f>
        <v>2346</v>
      </c>
      <c r="S7" s="92">
        <f>Financials!S6</f>
        <v>2467</v>
      </c>
      <c r="T7" s="329">
        <f>Financials!T6</f>
        <v>2272</v>
      </c>
      <c r="U7" s="329">
        <f>Financials!U6</f>
        <v>2184</v>
      </c>
      <c r="V7" s="329">
        <f>Financials!V6</f>
        <v>2174</v>
      </c>
      <c r="W7" s="329">
        <f>Financials!W6</f>
        <v>2248</v>
      </c>
      <c r="X7" s="329">
        <f>Financials!X6</f>
        <v>2313</v>
      </c>
      <c r="Y7" s="329">
        <f>Financials!Y6</f>
        <v>2388</v>
      </c>
      <c r="Z7" s="329">
        <f>Financials!Z6</f>
        <v>2471</v>
      </c>
      <c r="AA7" s="329">
        <f>Financials!AA6</f>
        <v>2541</v>
      </c>
      <c r="AB7" s="329">
        <f>Financials!AB6</f>
        <v>2600</v>
      </c>
      <c r="AC7" s="329">
        <f>Financials!AC6</f>
        <v>2659</v>
      </c>
      <c r="AD7" s="329">
        <f>Financials!AD6</f>
        <v>2718</v>
      </c>
      <c r="AE7" s="329">
        <f>Financials!AE6</f>
        <v>2767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</row>
    <row r="8" spans="1:98">
      <c r="A8" s="36" t="s">
        <v>733</v>
      </c>
      <c r="B8" s="92" t="e">
        <f>NA()</f>
        <v>#N/A</v>
      </c>
      <c r="C8" s="92" t="e">
        <f>NA()</f>
        <v>#N/A</v>
      </c>
      <c r="D8" s="92" t="e">
        <f>NA()</f>
        <v>#N/A</v>
      </c>
      <c r="E8" s="92" t="e">
        <f>NA()</f>
        <v>#N/A</v>
      </c>
      <c r="F8" s="92" t="e">
        <f>NA()</f>
        <v>#N/A</v>
      </c>
      <c r="G8" s="92" t="e">
        <f>NA()</f>
        <v>#N/A</v>
      </c>
      <c r="H8" s="92" t="e">
        <f>NA()</f>
        <v>#N/A</v>
      </c>
      <c r="I8" s="92" t="e">
        <f>NA()</f>
        <v>#N/A</v>
      </c>
      <c r="J8" s="92">
        <f>Financials!J8</f>
        <v>170</v>
      </c>
      <c r="K8" s="92">
        <f>Financials!K8</f>
        <v>169</v>
      </c>
      <c r="L8" s="92">
        <f>Financials!L8</f>
        <v>208</v>
      </c>
      <c r="M8" s="92">
        <f>Financials!M8</f>
        <v>249</v>
      </c>
      <c r="N8" s="92">
        <f>Financials!N8</f>
        <v>287</v>
      </c>
      <c r="O8" s="92">
        <f>Financials!O8</f>
        <v>343</v>
      </c>
      <c r="P8" s="92">
        <f>Financials!P8</f>
        <v>395</v>
      </c>
      <c r="Q8" s="92">
        <f>Financials!Q8</f>
        <v>481</v>
      </c>
      <c r="R8" s="92">
        <f>Financials!R8</f>
        <v>543</v>
      </c>
      <c r="S8" s="92">
        <f>Financials!S8</f>
        <v>628</v>
      </c>
      <c r="T8" s="329">
        <f>Financials!T8</f>
        <v>640</v>
      </c>
      <c r="U8" s="329">
        <f>Financials!U8</f>
        <v>633</v>
      </c>
      <c r="V8" s="329">
        <f>Financials!V8</f>
        <v>664</v>
      </c>
      <c r="W8" s="329">
        <f>Financials!W8</f>
        <v>723</v>
      </c>
      <c r="X8" s="329">
        <f>Financials!X8</f>
        <v>775</v>
      </c>
      <c r="Y8" s="329">
        <f>Financials!Y8</f>
        <v>799</v>
      </c>
      <c r="Z8" s="329">
        <f>Financials!Z8</f>
        <v>823</v>
      </c>
      <c r="AA8" s="329">
        <f>Financials!AA8</f>
        <v>841</v>
      </c>
      <c r="AB8" s="329">
        <f>Financials!AB8</f>
        <v>860</v>
      </c>
      <c r="AC8" s="329">
        <f>Financials!AC8</f>
        <v>876</v>
      </c>
      <c r="AD8" s="329">
        <f>Financials!AD8</f>
        <v>892</v>
      </c>
      <c r="AE8" s="329">
        <f>Financials!AE8</f>
        <v>906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</row>
    <row r="9" spans="1:98">
      <c r="A9" s="36" t="s">
        <v>949</v>
      </c>
      <c r="B9" s="92" t="e">
        <f>NA()</f>
        <v>#N/A</v>
      </c>
      <c r="C9" s="92" t="e">
        <f>NA()</f>
        <v>#N/A</v>
      </c>
      <c r="D9" s="92" t="e">
        <f>NA()</f>
        <v>#N/A</v>
      </c>
      <c r="E9" s="92" t="e">
        <f>NA()</f>
        <v>#N/A</v>
      </c>
      <c r="F9" s="92" t="e">
        <f>NA()</f>
        <v>#N/A</v>
      </c>
      <c r="G9" s="92" t="e">
        <f>NA()</f>
        <v>#N/A</v>
      </c>
      <c r="H9" s="92" t="e">
        <f>NA()</f>
        <v>#N/A</v>
      </c>
      <c r="I9" s="92" t="e">
        <f>NA()</f>
        <v>#N/A</v>
      </c>
      <c r="J9" s="92" t="e">
        <f>NA()</f>
        <v>#N/A</v>
      </c>
      <c r="K9" s="92" t="e">
        <f>NA()</f>
        <v>#N/A</v>
      </c>
      <c r="L9" s="92" t="e">
        <f>NA()</f>
        <v>#N/A</v>
      </c>
      <c r="M9" s="92" t="e">
        <f>NA()</f>
        <v>#N/A</v>
      </c>
      <c r="N9" s="92" t="e">
        <f>NA()</f>
        <v>#N/A</v>
      </c>
      <c r="O9" s="92">
        <f>Financials!O7</f>
        <v>442</v>
      </c>
      <c r="P9" s="92">
        <f>Financials!P7</f>
        <v>467</v>
      </c>
      <c r="Q9" s="92">
        <f>Financials!Q7</f>
        <v>499</v>
      </c>
      <c r="R9" s="92">
        <f>Financials!R7</f>
        <v>549</v>
      </c>
      <c r="S9" s="92">
        <f>Financials!S7</f>
        <v>593</v>
      </c>
      <c r="T9" s="329">
        <f>Financials!T7</f>
        <v>1398</v>
      </c>
      <c r="U9" s="329">
        <f>Financials!U7</f>
        <v>1376</v>
      </c>
      <c r="V9" s="329">
        <f>Financials!V7</f>
        <v>1424</v>
      </c>
      <c r="W9" s="329">
        <f>Financials!W7</f>
        <v>1476</v>
      </c>
      <c r="X9" s="329">
        <f>Financials!X7</f>
        <v>1534</v>
      </c>
      <c r="Y9" s="329">
        <f>Financials!Y7</f>
        <v>1598</v>
      </c>
      <c r="Z9" s="329">
        <f>Financials!Z7</f>
        <v>1634</v>
      </c>
      <c r="AA9" s="329">
        <f>Financials!AA7</f>
        <v>1662</v>
      </c>
      <c r="AB9" s="329">
        <f>Financials!AB7</f>
        <v>1686</v>
      </c>
      <c r="AC9" s="329">
        <f>Financials!AC7</f>
        <v>1710</v>
      </c>
      <c r="AD9" s="329">
        <f>Financials!AD7</f>
        <v>1734</v>
      </c>
      <c r="AE9" s="329">
        <f>Financials!AE7</f>
        <v>1756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</row>
    <row r="10" spans="1:98">
      <c r="A10" s="36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329"/>
      <c r="U10" s="329"/>
      <c r="V10" s="329"/>
      <c r="W10" s="329"/>
      <c r="X10" s="329"/>
      <c r="Y10" s="329"/>
      <c r="Z10" s="32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</row>
    <row r="11" spans="1:98">
      <c r="A11" s="242" t="s">
        <v>777</v>
      </c>
      <c r="B11" s="264">
        <v>2001</v>
      </c>
      <c r="C11" s="264">
        <v>2002</v>
      </c>
      <c r="D11" s="264">
        <v>2003</v>
      </c>
      <c r="E11" s="264">
        <v>2004</v>
      </c>
      <c r="F11" s="264">
        <v>2005</v>
      </c>
      <c r="G11" s="264">
        <v>2006</v>
      </c>
      <c r="H11" s="264">
        <v>2007</v>
      </c>
      <c r="I11" s="264">
        <v>2008</v>
      </c>
      <c r="J11" s="264">
        <v>2009</v>
      </c>
      <c r="K11" s="264">
        <v>2010</v>
      </c>
      <c r="L11" s="264">
        <v>2011</v>
      </c>
      <c r="M11" s="264">
        <v>2012</v>
      </c>
      <c r="N11" s="264">
        <v>2013</v>
      </c>
      <c r="O11" s="264">
        <v>2014</v>
      </c>
      <c r="P11" s="264">
        <v>2015</v>
      </c>
      <c r="Q11" s="264">
        <v>2016</v>
      </c>
      <c r="R11" s="264">
        <v>2017</v>
      </c>
      <c r="S11" s="264">
        <f t="shared" ref="S11:X11" si="1">S$6</f>
        <v>2018</v>
      </c>
      <c r="T11" s="264">
        <f t="shared" si="1"/>
        <v>2019</v>
      </c>
      <c r="U11" s="264">
        <f t="shared" si="1"/>
        <v>2020</v>
      </c>
      <c r="V11" s="264">
        <f t="shared" si="1"/>
        <v>2021</v>
      </c>
      <c r="W11" s="264">
        <f t="shared" si="1"/>
        <v>2022</v>
      </c>
      <c r="X11" s="264">
        <f t="shared" si="1"/>
        <v>2023</v>
      </c>
      <c r="Y11" s="594">
        <v>2024</v>
      </c>
      <c r="Z11" s="594">
        <v>2025</v>
      </c>
      <c r="AA11" s="594">
        <v>2026</v>
      </c>
      <c r="AB11" s="594">
        <v>2027</v>
      </c>
      <c r="AC11" s="594">
        <v>2028</v>
      </c>
      <c r="AD11" s="594">
        <v>2029</v>
      </c>
      <c r="AE11" s="594">
        <v>2030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</row>
    <row r="12" spans="1:98">
      <c r="A12" s="36" t="s">
        <v>246</v>
      </c>
      <c r="B12" s="41">
        <f>Financials!B9</f>
        <v>283</v>
      </c>
      <c r="C12" s="41">
        <f>Financials!C9</f>
        <v>342</v>
      </c>
      <c r="D12" s="41">
        <f>Financials!D9</f>
        <v>363</v>
      </c>
      <c r="E12" s="41">
        <f>Financials!E9</f>
        <v>425</v>
      </c>
      <c r="F12" s="41">
        <f>Financials!F9</f>
        <v>559</v>
      </c>
      <c r="G12" s="41">
        <f>Financials!G9</f>
        <v>689</v>
      </c>
      <c r="H12" s="41">
        <f>Financials!H9</f>
        <v>806</v>
      </c>
      <c r="I12" s="41">
        <f>Financials!I9</f>
        <v>929</v>
      </c>
      <c r="J12" s="41">
        <f>Financials!J9</f>
        <v>952</v>
      </c>
      <c r="K12" s="41">
        <f>Financials!K9</f>
        <v>1011</v>
      </c>
      <c r="L12" s="41">
        <f>Financials!L9</f>
        <v>1077</v>
      </c>
      <c r="M12" s="41">
        <f>Financials!M9</f>
        <v>1161</v>
      </c>
      <c r="N12" s="41">
        <f>Financials!N9</f>
        <v>1411</v>
      </c>
      <c r="O12" s="41">
        <f>Financials!O9</f>
        <v>2161</v>
      </c>
      <c r="P12" s="41">
        <f>Financials!P9</f>
        <v>2283</v>
      </c>
      <c r="Q12" s="41">
        <f>Financials!Q9</f>
        <v>2502</v>
      </c>
      <c r="R12" s="41">
        <f>Financials!R9</f>
        <v>2716</v>
      </c>
      <c r="S12" s="41">
        <f>Financials!S9</f>
        <v>2947</v>
      </c>
      <c r="T12" s="526">
        <f>Financials!T9</f>
        <v>3419</v>
      </c>
      <c r="U12" s="526">
        <f>Financials!U9</f>
        <v>3284</v>
      </c>
      <c r="V12" s="526">
        <f>Financials!V9</f>
        <v>3289</v>
      </c>
      <c r="W12" s="526">
        <f>Financials!W9</f>
        <v>3436</v>
      </c>
      <c r="X12" s="526">
        <f>Financials!X9</f>
        <v>3552</v>
      </c>
      <c r="Y12" s="526">
        <f>Financials!Y9</f>
        <v>3657</v>
      </c>
      <c r="Z12" s="526">
        <f>Financials!Z9</f>
        <v>3745</v>
      </c>
      <c r="AA12" s="526">
        <f>Financials!AA9</f>
        <v>3814</v>
      </c>
      <c r="AB12" s="526">
        <f>Financials!AB9</f>
        <v>3875</v>
      </c>
      <c r="AC12" s="526">
        <f>Financials!AC9</f>
        <v>3936</v>
      </c>
      <c r="AD12" s="526">
        <f>Financials!AD9</f>
        <v>3997</v>
      </c>
      <c r="AE12" s="526">
        <f>Financials!AE9</f>
        <v>4048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</row>
    <row r="13" spans="1:98">
      <c r="A13" s="36" t="s">
        <v>1121</v>
      </c>
      <c r="B13" s="41">
        <f>Financials!B13</f>
        <v>154</v>
      </c>
      <c r="C13" s="41">
        <f>Financials!C13</f>
        <v>176</v>
      </c>
      <c r="D13" s="41">
        <f>Financials!D13</f>
        <v>197</v>
      </c>
      <c r="E13" s="41">
        <f>Financials!E13</f>
        <v>201</v>
      </c>
      <c r="F13" s="41">
        <f>Financials!F13</f>
        <v>169</v>
      </c>
      <c r="G13" s="41">
        <f>Financials!G13</f>
        <v>176</v>
      </c>
      <c r="H13" s="41">
        <f>Financials!H13</f>
        <v>183</v>
      </c>
      <c r="I13" s="41">
        <f>Financials!I13</f>
        <v>206</v>
      </c>
      <c r="J13" s="41">
        <f>Financials!J13</f>
        <v>219</v>
      </c>
      <c r="K13" s="41">
        <f>Financials!K13</f>
        <v>195</v>
      </c>
      <c r="L13" s="41">
        <f>Financials!L13</f>
        <v>206</v>
      </c>
      <c r="M13" s="41">
        <f>Financials!M13</f>
        <v>274</v>
      </c>
      <c r="N13" s="41">
        <f>Financials!N13</f>
        <v>451</v>
      </c>
      <c r="O13" s="41">
        <f>Financials!O13</f>
        <v>623</v>
      </c>
      <c r="P13" s="41">
        <f>Financials!P13</f>
        <v>671</v>
      </c>
      <c r="Q13" s="41">
        <f>Financials!Q13</f>
        <v>693</v>
      </c>
      <c r="R13" s="41">
        <f>Financials!R13</f>
        <v>722</v>
      </c>
      <c r="S13" s="41">
        <f>Financials!S13</f>
        <v>741</v>
      </c>
      <c r="T13" s="526">
        <f>Financials!T13</f>
        <v>891</v>
      </c>
      <c r="U13" s="526">
        <f>Financials!U13</f>
        <v>909</v>
      </c>
      <c r="V13" s="526">
        <f>Financials!V13</f>
        <v>973</v>
      </c>
      <c r="W13" s="526">
        <f>Financials!W13</f>
        <v>1011</v>
      </c>
      <c r="X13" s="526">
        <f>Financials!X13</f>
        <v>1070</v>
      </c>
      <c r="Y13" s="526">
        <f>Financials!Y13</f>
        <v>1128</v>
      </c>
      <c r="Z13" s="526">
        <f>Financials!Z13</f>
        <v>1183</v>
      </c>
      <c r="AA13" s="526">
        <f>Financials!AA13</f>
        <v>1230</v>
      </c>
      <c r="AB13" s="526">
        <f>Financials!AB13</f>
        <v>1271</v>
      </c>
      <c r="AC13" s="526">
        <f>Financials!AC13</f>
        <v>1309</v>
      </c>
      <c r="AD13" s="526">
        <f>Financials!AD13</f>
        <v>1347</v>
      </c>
      <c r="AE13" s="526">
        <f>Financials!AE13</f>
        <v>1381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</row>
    <row r="14" spans="1:98">
      <c r="A14" s="36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329"/>
      <c r="U14" s="329"/>
      <c r="V14" s="329"/>
      <c r="W14" s="329"/>
      <c r="X14" s="329"/>
      <c r="Y14" s="329"/>
      <c r="Z14" s="32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</row>
    <row r="15" spans="1:98">
      <c r="A15" s="242" t="s">
        <v>1129</v>
      </c>
      <c r="B15" s="264">
        <v>2001</v>
      </c>
      <c r="C15" s="264">
        <v>2002</v>
      </c>
      <c r="D15" s="264">
        <v>2003</v>
      </c>
      <c r="E15" s="264">
        <v>2004</v>
      </c>
      <c r="F15" s="264">
        <v>2005</v>
      </c>
      <c r="G15" s="264">
        <v>2006</v>
      </c>
      <c r="H15" s="264">
        <v>2007</v>
      </c>
      <c r="I15" s="264">
        <v>2008</v>
      </c>
      <c r="J15" s="264">
        <v>2009</v>
      </c>
      <c r="K15" s="264">
        <v>2010</v>
      </c>
      <c r="L15" s="264">
        <v>2011</v>
      </c>
      <c r="M15" s="264">
        <v>2012</v>
      </c>
      <c r="N15" s="264">
        <v>2013</v>
      </c>
      <c r="O15" s="264">
        <v>2014</v>
      </c>
      <c r="P15" s="264">
        <v>2015</v>
      </c>
      <c r="Q15" s="264">
        <v>2016</v>
      </c>
      <c r="R15" s="264">
        <v>2017</v>
      </c>
      <c r="S15" s="264">
        <f t="shared" ref="S15:X15" si="2">S$6</f>
        <v>2018</v>
      </c>
      <c r="T15" s="264">
        <f t="shared" si="2"/>
        <v>2019</v>
      </c>
      <c r="U15" s="264">
        <f t="shared" si="2"/>
        <v>2020</v>
      </c>
      <c r="V15" s="264">
        <f t="shared" si="2"/>
        <v>2021</v>
      </c>
      <c r="W15" s="264">
        <f t="shared" si="2"/>
        <v>2022</v>
      </c>
      <c r="X15" s="264">
        <f t="shared" si="2"/>
        <v>2023</v>
      </c>
      <c r="Y15" s="594">
        <v>2024</v>
      </c>
      <c r="Z15" s="594">
        <v>2025</v>
      </c>
      <c r="AA15" s="594">
        <v>2026</v>
      </c>
      <c r="AB15" s="594">
        <v>2027</v>
      </c>
      <c r="AC15" s="594">
        <v>2028</v>
      </c>
      <c r="AD15" s="594">
        <v>2029</v>
      </c>
      <c r="AE15" s="594">
        <v>2030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</row>
    <row r="16" spans="1:98">
      <c r="A16" s="36" t="s">
        <v>731</v>
      </c>
      <c r="B16" s="92">
        <f>Financials!B10</f>
        <v>283</v>
      </c>
      <c r="C16" s="92">
        <f>Financials!C10</f>
        <v>342</v>
      </c>
      <c r="D16" s="92">
        <f>Financials!D10</f>
        <v>363</v>
      </c>
      <c r="E16" s="92">
        <f>Financials!E10</f>
        <v>425</v>
      </c>
      <c r="F16" s="92">
        <f>Financials!F10</f>
        <v>559</v>
      </c>
      <c r="G16" s="92">
        <f>Financials!G10</f>
        <v>639</v>
      </c>
      <c r="H16" s="92">
        <f>Financials!H10</f>
        <v>745</v>
      </c>
      <c r="I16" s="92">
        <f>Financials!I10</f>
        <v>831</v>
      </c>
      <c r="J16" s="92">
        <f>Financials!J10</f>
        <v>836</v>
      </c>
      <c r="K16" s="92">
        <f>Financials!K10</f>
        <v>873</v>
      </c>
      <c r="L16" s="92">
        <f>Financials!L10</f>
        <v>905</v>
      </c>
      <c r="M16" s="92">
        <f>Financials!M10</f>
        <v>953</v>
      </c>
      <c r="N16" s="92">
        <f>Financials!N10</f>
        <v>1128</v>
      </c>
      <c r="O16" s="92">
        <f>Financials!O10</f>
        <v>1532</v>
      </c>
      <c r="P16" s="92">
        <f>Financials!P10</f>
        <v>1594</v>
      </c>
      <c r="Q16" s="92">
        <f>Financials!Q10</f>
        <v>1698</v>
      </c>
      <c r="R16" s="92">
        <f>Financials!R10</f>
        <v>1813</v>
      </c>
      <c r="S16" s="92">
        <f>Financials!S10</f>
        <v>1917</v>
      </c>
      <c r="T16" s="329">
        <f>Financials!T10</f>
        <v>1916</v>
      </c>
      <c r="U16" s="329">
        <f>Financials!U10</f>
        <v>1821</v>
      </c>
      <c r="V16" s="329">
        <f>Financials!V10</f>
        <v>1789</v>
      </c>
      <c r="W16" s="329">
        <f>Financials!W10</f>
        <v>1833</v>
      </c>
      <c r="X16" s="329">
        <f>Financials!X10</f>
        <v>1851</v>
      </c>
      <c r="Y16" s="329">
        <f>Financials!Y10</f>
        <v>1900</v>
      </c>
      <c r="Z16" s="329">
        <f>Financials!Z10</f>
        <v>1951</v>
      </c>
      <c r="AA16" s="329">
        <f>Financials!AA10</f>
        <v>1993</v>
      </c>
      <c r="AB16" s="329">
        <f>Financials!AB10</f>
        <v>2028</v>
      </c>
      <c r="AC16" s="329">
        <f>Financials!AC10</f>
        <v>2063</v>
      </c>
      <c r="AD16" s="329">
        <f>Financials!AD10</f>
        <v>2098</v>
      </c>
      <c r="AE16" s="329">
        <f>Financials!AE10</f>
        <v>2127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</row>
    <row r="17" spans="1:82">
      <c r="A17" s="36" t="s">
        <v>733</v>
      </c>
      <c r="B17" s="92">
        <f>Financials!B12</f>
        <v>0</v>
      </c>
      <c r="C17" s="92">
        <f>Financials!C12</f>
        <v>0</v>
      </c>
      <c r="D17" s="92">
        <f>Financials!D12</f>
        <v>0</v>
      </c>
      <c r="E17" s="92">
        <f>Financials!E12</f>
        <v>0</v>
      </c>
      <c r="F17" s="92">
        <f>Financials!F12</f>
        <v>0</v>
      </c>
      <c r="G17" s="92">
        <f>Financials!G12</f>
        <v>50</v>
      </c>
      <c r="H17" s="92">
        <f>Financials!H12</f>
        <v>61</v>
      </c>
      <c r="I17" s="92">
        <f>Financials!I12</f>
        <v>98</v>
      </c>
      <c r="J17" s="92">
        <f>Financials!J12</f>
        <v>116</v>
      </c>
      <c r="K17" s="92">
        <f>Financials!K12</f>
        <v>138</v>
      </c>
      <c r="L17" s="92">
        <f>Financials!L12</f>
        <v>172</v>
      </c>
      <c r="M17" s="92">
        <f>Financials!M12</f>
        <v>208</v>
      </c>
      <c r="N17" s="92">
        <f>Financials!N12</f>
        <v>283</v>
      </c>
      <c r="O17" s="92">
        <f>Financials!O12</f>
        <v>327</v>
      </c>
      <c r="P17" s="92">
        <f>Financials!P12</f>
        <v>376</v>
      </c>
      <c r="Q17" s="92">
        <f>Financials!Q12</f>
        <v>460</v>
      </c>
      <c r="R17" s="92">
        <f>Financials!R12</f>
        <v>522</v>
      </c>
      <c r="S17" s="92">
        <f>Financials!S12</f>
        <v>610</v>
      </c>
      <c r="T17" s="329">
        <f>Financials!T12</f>
        <v>615</v>
      </c>
      <c r="U17" s="329">
        <f>Financials!U12</f>
        <v>601</v>
      </c>
      <c r="V17" s="329">
        <f>Financials!V12</f>
        <v>622</v>
      </c>
      <c r="W17" s="329">
        <f>Financials!W12</f>
        <v>675</v>
      </c>
      <c r="X17" s="329">
        <f>Financials!X12</f>
        <v>725</v>
      </c>
      <c r="Y17" s="329">
        <f>Financials!Y12</f>
        <v>750</v>
      </c>
      <c r="Z17" s="329">
        <f>Financials!Z12</f>
        <v>765</v>
      </c>
      <c r="AA17" s="329">
        <f>Financials!AA12</f>
        <v>775</v>
      </c>
      <c r="AB17" s="329">
        <f>Financials!AB12</f>
        <v>786</v>
      </c>
      <c r="AC17" s="329">
        <f>Financials!AC12</f>
        <v>797</v>
      </c>
      <c r="AD17" s="329">
        <f>Financials!AD12</f>
        <v>808</v>
      </c>
      <c r="AE17" s="329">
        <f>Financials!AE12</f>
        <v>818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</row>
    <row r="18" spans="1:82">
      <c r="A18" s="36" t="s">
        <v>949</v>
      </c>
      <c r="B18" s="92">
        <f>Financials!B11</f>
        <v>0</v>
      </c>
      <c r="C18" s="92">
        <f>Financials!C11</f>
        <v>0</v>
      </c>
      <c r="D18" s="92">
        <f>Financials!D11</f>
        <v>0</v>
      </c>
      <c r="E18" s="92">
        <f>Financials!E11</f>
        <v>0</v>
      </c>
      <c r="F18" s="92">
        <f>Financials!F11</f>
        <v>0</v>
      </c>
      <c r="G18" s="92">
        <f>Financials!G11</f>
        <v>0</v>
      </c>
      <c r="H18" s="92">
        <f>Financials!H11</f>
        <v>0</v>
      </c>
      <c r="I18" s="92">
        <f>Financials!I11</f>
        <v>0</v>
      </c>
      <c r="J18" s="92">
        <f>Financials!J11</f>
        <v>0</v>
      </c>
      <c r="K18" s="92">
        <f>Financials!K11</f>
        <v>0</v>
      </c>
      <c r="L18" s="92">
        <f>Financials!L11</f>
        <v>0</v>
      </c>
      <c r="M18" s="92">
        <f>Financials!M11</f>
        <v>0</v>
      </c>
      <c r="N18" s="92">
        <f>Financials!N11</f>
        <v>0</v>
      </c>
      <c r="O18" s="92">
        <f>Financials!O11</f>
        <v>302</v>
      </c>
      <c r="P18" s="92">
        <f>Financials!P11</f>
        <v>313</v>
      </c>
      <c r="Q18" s="92">
        <f>Financials!Q11</f>
        <v>344</v>
      </c>
      <c r="R18" s="92">
        <f>Financials!R11</f>
        <v>381</v>
      </c>
      <c r="S18" s="92">
        <f>Financials!S11</f>
        <v>420</v>
      </c>
      <c r="T18" s="329">
        <f>Financials!T11</f>
        <v>888</v>
      </c>
      <c r="U18" s="329">
        <f>Financials!U11</f>
        <v>862</v>
      </c>
      <c r="V18" s="329">
        <f>Financials!V11</f>
        <v>878</v>
      </c>
      <c r="W18" s="329">
        <f>Financials!W11</f>
        <v>928</v>
      </c>
      <c r="X18" s="329">
        <f>Financials!X11</f>
        <v>976</v>
      </c>
      <c r="Y18" s="329">
        <f>Financials!Y11</f>
        <v>1007</v>
      </c>
      <c r="Z18" s="329">
        <f>Financials!Z11</f>
        <v>1029</v>
      </c>
      <c r="AA18" s="329">
        <f>Financials!AA11</f>
        <v>1046</v>
      </c>
      <c r="AB18" s="329">
        <f>Financials!AB11</f>
        <v>1061</v>
      </c>
      <c r="AC18" s="329">
        <f>Financials!AC11</f>
        <v>1076</v>
      </c>
      <c r="AD18" s="329">
        <f>Financials!AD11</f>
        <v>1091</v>
      </c>
      <c r="AE18" s="329">
        <f>Financials!AE11</f>
        <v>1103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</row>
    <row r="19" spans="1:82">
      <c r="A19" s="36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329"/>
      <c r="U19" s="329"/>
      <c r="V19" s="329"/>
      <c r="W19" s="329"/>
      <c r="X19" s="329"/>
      <c r="Y19" s="329"/>
      <c r="Z19" s="32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</row>
    <row r="20" spans="1:82">
      <c r="A20" s="242" t="s">
        <v>1130</v>
      </c>
      <c r="B20" s="264">
        <v>2001</v>
      </c>
      <c r="C20" s="264">
        <v>2002</v>
      </c>
      <c r="D20" s="264">
        <v>2003</v>
      </c>
      <c r="E20" s="264">
        <v>2004</v>
      </c>
      <c r="F20" s="264">
        <v>2005</v>
      </c>
      <c r="G20" s="264">
        <v>2006</v>
      </c>
      <c r="H20" s="264">
        <v>2007</v>
      </c>
      <c r="I20" s="264">
        <v>2008</v>
      </c>
      <c r="J20" s="264">
        <v>2009</v>
      </c>
      <c r="K20" s="264">
        <v>2010</v>
      </c>
      <c r="L20" s="264">
        <v>2011</v>
      </c>
      <c r="M20" s="264">
        <v>2012</v>
      </c>
      <c r="N20" s="264">
        <v>2013</v>
      </c>
      <c r="O20" s="264">
        <v>2014</v>
      </c>
      <c r="P20" s="264">
        <v>2015</v>
      </c>
      <c r="Q20" s="264">
        <v>2016</v>
      </c>
      <c r="R20" s="264">
        <v>2017</v>
      </c>
      <c r="S20" s="264">
        <f t="shared" ref="S20:X20" si="3">S$6</f>
        <v>2018</v>
      </c>
      <c r="T20" s="264">
        <f t="shared" si="3"/>
        <v>2019</v>
      </c>
      <c r="U20" s="264">
        <f t="shared" si="3"/>
        <v>2020</v>
      </c>
      <c r="V20" s="264">
        <f t="shared" si="3"/>
        <v>2021</v>
      </c>
      <c r="W20" s="264">
        <f t="shared" si="3"/>
        <v>2022</v>
      </c>
      <c r="X20" s="264">
        <f t="shared" si="3"/>
        <v>2023</v>
      </c>
      <c r="Y20" s="594">
        <v>2024</v>
      </c>
      <c r="Z20" s="594">
        <v>2025</v>
      </c>
      <c r="AA20" s="594">
        <v>2026</v>
      </c>
      <c r="AB20" s="594">
        <v>2027</v>
      </c>
      <c r="AC20" s="594">
        <v>2028</v>
      </c>
      <c r="AD20" s="594">
        <v>2029</v>
      </c>
      <c r="AE20" s="594">
        <v>2030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</row>
    <row r="21" spans="1:82">
      <c r="A21" s="36" t="s">
        <v>731</v>
      </c>
      <c r="B21" s="92">
        <f>Financials!B14</f>
        <v>142</v>
      </c>
      <c r="C21" s="92">
        <f>Financials!C14</f>
        <v>153</v>
      </c>
      <c r="D21" s="92">
        <f>Financials!D14</f>
        <v>168</v>
      </c>
      <c r="E21" s="92">
        <f>Financials!E14</f>
        <v>172</v>
      </c>
      <c r="F21" s="92">
        <f>Financials!F14</f>
        <v>142</v>
      </c>
      <c r="G21" s="92">
        <f>Financials!G14</f>
        <v>151</v>
      </c>
      <c r="H21" s="92">
        <f>Financials!H14</f>
        <v>154</v>
      </c>
      <c r="I21" s="92">
        <f>Financials!I14</f>
        <v>159</v>
      </c>
      <c r="J21" s="92">
        <f>Financials!J14</f>
        <v>165</v>
      </c>
      <c r="K21" s="92">
        <f>Financials!K14</f>
        <v>164</v>
      </c>
      <c r="L21" s="92">
        <f>Financials!L14</f>
        <v>170</v>
      </c>
      <c r="M21" s="92">
        <f>Financials!M14</f>
        <v>233</v>
      </c>
      <c r="N21" s="92">
        <f>Financials!N14</f>
        <v>447</v>
      </c>
      <c r="O21" s="92">
        <f>Financials!O14</f>
        <v>467</v>
      </c>
      <c r="P21" s="92">
        <f>Financials!P14</f>
        <v>498</v>
      </c>
      <c r="Q21" s="92">
        <f>Financials!Q14</f>
        <v>517</v>
      </c>
      <c r="R21" s="92">
        <f>Financials!R14</f>
        <v>533</v>
      </c>
      <c r="S21" s="92">
        <f>Financials!S14</f>
        <v>550</v>
      </c>
      <c r="T21" s="329">
        <f>Financials!T14</f>
        <v>356</v>
      </c>
      <c r="U21" s="329">
        <f>Financials!U14</f>
        <v>363</v>
      </c>
      <c r="V21" s="329">
        <f>Financials!V14</f>
        <v>385</v>
      </c>
      <c r="W21" s="329">
        <f>Financials!W14</f>
        <v>415</v>
      </c>
      <c r="X21" s="329">
        <f>Financials!X14</f>
        <v>462</v>
      </c>
      <c r="Y21" s="329">
        <f>Financials!Y14</f>
        <v>488</v>
      </c>
      <c r="Z21" s="329">
        <f>Financials!Z14</f>
        <v>520</v>
      </c>
      <c r="AA21" s="329">
        <f>Financials!AA14</f>
        <v>548</v>
      </c>
      <c r="AB21" s="329">
        <f>Financials!AB14</f>
        <v>572</v>
      </c>
      <c r="AC21" s="329">
        <f>Financials!AC14</f>
        <v>596</v>
      </c>
      <c r="AD21" s="329">
        <f>Financials!AD14</f>
        <v>620</v>
      </c>
      <c r="AE21" s="329">
        <f>Financials!AE14</f>
        <v>640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</row>
    <row r="22" spans="1:82">
      <c r="A22" s="36" t="s">
        <v>733</v>
      </c>
      <c r="B22" s="92">
        <f>Financials!B16</f>
        <v>12</v>
      </c>
      <c r="C22" s="92">
        <f>Financials!C16</f>
        <v>23</v>
      </c>
      <c r="D22" s="92">
        <f>Financials!D16</f>
        <v>29</v>
      </c>
      <c r="E22" s="92">
        <f>Financials!E16</f>
        <v>29</v>
      </c>
      <c r="F22" s="92">
        <f>Financials!F16</f>
        <v>27</v>
      </c>
      <c r="G22" s="92">
        <f>Financials!G16</f>
        <v>25</v>
      </c>
      <c r="H22" s="92">
        <f>Financials!H16</f>
        <v>29</v>
      </c>
      <c r="I22" s="92">
        <f>Financials!I16</f>
        <v>47</v>
      </c>
      <c r="J22" s="92">
        <f>Financials!J16</f>
        <v>54</v>
      </c>
      <c r="K22" s="92">
        <f>Financials!K16</f>
        <v>31</v>
      </c>
      <c r="L22" s="92">
        <f>Financials!L16</f>
        <v>36</v>
      </c>
      <c r="M22" s="92">
        <f>Financials!M16</f>
        <v>41</v>
      </c>
      <c r="N22" s="92">
        <f>Financials!N16</f>
        <v>4</v>
      </c>
      <c r="O22" s="92">
        <f>Financials!O16</f>
        <v>16</v>
      </c>
      <c r="P22" s="92">
        <f>Financials!P16</f>
        <v>19</v>
      </c>
      <c r="Q22" s="92">
        <f>Financials!Q16</f>
        <v>21</v>
      </c>
      <c r="R22" s="92">
        <f>Financials!R16</f>
        <v>21</v>
      </c>
      <c r="S22" s="92">
        <f>Financials!S16</f>
        <v>18</v>
      </c>
      <c r="T22" s="329">
        <f>Financials!T16</f>
        <v>25</v>
      </c>
      <c r="U22" s="329">
        <f>Financials!U16</f>
        <v>32</v>
      </c>
      <c r="V22" s="329">
        <f>Financials!V16</f>
        <v>42</v>
      </c>
      <c r="W22" s="329">
        <f>Financials!W16</f>
        <v>48</v>
      </c>
      <c r="X22" s="329">
        <f>Financials!X16</f>
        <v>50</v>
      </c>
      <c r="Y22" s="329">
        <f>Financials!Y16</f>
        <v>49</v>
      </c>
      <c r="Z22" s="329">
        <f>Financials!Z16</f>
        <v>58</v>
      </c>
      <c r="AA22" s="329">
        <f>Financials!AA16</f>
        <v>66</v>
      </c>
      <c r="AB22" s="329">
        <f>Financials!AB16</f>
        <v>74</v>
      </c>
      <c r="AC22" s="329">
        <f>Financials!AC16</f>
        <v>79</v>
      </c>
      <c r="AD22" s="329">
        <f>Financials!AD16</f>
        <v>84</v>
      </c>
      <c r="AE22" s="329">
        <f>Financials!AE16</f>
        <v>88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</row>
    <row r="23" spans="1:82">
      <c r="A23" s="36" t="s">
        <v>949</v>
      </c>
      <c r="B23" s="92">
        <f>Financials!B15</f>
        <v>0</v>
      </c>
      <c r="C23" s="92">
        <f>Financials!C15</f>
        <v>0</v>
      </c>
      <c r="D23" s="92">
        <f>Financials!D15</f>
        <v>0</v>
      </c>
      <c r="E23" s="92">
        <f>Financials!E15</f>
        <v>0</v>
      </c>
      <c r="F23" s="92">
        <f>Financials!F15</f>
        <v>0</v>
      </c>
      <c r="G23" s="92">
        <f>Financials!G15</f>
        <v>0</v>
      </c>
      <c r="H23" s="92">
        <f>Financials!H15</f>
        <v>0</v>
      </c>
      <c r="I23" s="92">
        <f>Financials!I15</f>
        <v>0</v>
      </c>
      <c r="J23" s="92">
        <f>Financials!J15</f>
        <v>0</v>
      </c>
      <c r="K23" s="92">
        <f>Financials!K15</f>
        <v>0</v>
      </c>
      <c r="L23" s="92">
        <f>Financials!L15</f>
        <v>0</v>
      </c>
      <c r="M23" s="92">
        <f>Financials!M15</f>
        <v>0</v>
      </c>
      <c r="N23" s="92">
        <f>Financials!N15</f>
        <v>0</v>
      </c>
      <c r="O23" s="92">
        <f>Financials!O15</f>
        <v>140</v>
      </c>
      <c r="P23" s="92">
        <f>Financials!P15</f>
        <v>154</v>
      </c>
      <c r="Q23" s="92">
        <f>Financials!Q15</f>
        <v>155</v>
      </c>
      <c r="R23" s="92">
        <f>Financials!R15</f>
        <v>168</v>
      </c>
      <c r="S23" s="92">
        <f>Financials!S15</f>
        <v>173</v>
      </c>
      <c r="T23" s="329">
        <f>Financials!T15</f>
        <v>510</v>
      </c>
      <c r="U23" s="329">
        <f>Financials!U15</f>
        <v>514</v>
      </c>
      <c r="V23" s="329">
        <f>Financials!V15</f>
        <v>546</v>
      </c>
      <c r="W23" s="329">
        <f>Financials!W15</f>
        <v>548</v>
      </c>
      <c r="X23" s="329">
        <f>Financials!X15</f>
        <v>558</v>
      </c>
      <c r="Y23" s="329">
        <f>Financials!Y15</f>
        <v>591</v>
      </c>
      <c r="Z23" s="329">
        <f>Financials!Z15</f>
        <v>605</v>
      </c>
      <c r="AA23" s="329">
        <f>Financials!AA15</f>
        <v>616</v>
      </c>
      <c r="AB23" s="329">
        <f>Financials!AB15</f>
        <v>625</v>
      </c>
      <c r="AC23" s="329">
        <f>Financials!AC15</f>
        <v>634</v>
      </c>
      <c r="AD23" s="329">
        <f>Financials!AD15</f>
        <v>643</v>
      </c>
      <c r="AE23" s="329">
        <f>Financials!AE15</f>
        <v>653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</row>
    <row r="24" spans="1:82" s="36" customFormat="1" ht="11.25"/>
    <row r="25" spans="1:82" s="36" customFormat="1" ht="11.25"/>
    <row r="26" spans="1:82" s="36" customFormat="1" ht="11.25"/>
    <row r="27" spans="1:82" s="36" customFormat="1" ht="11.25"/>
    <row r="28" spans="1:82" s="36" customFormat="1" ht="11.25"/>
    <row r="29" spans="1:82">
      <c r="A29" s="36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329"/>
      <c r="U29" s="329"/>
      <c r="V29" s="329"/>
      <c r="W29" s="329"/>
      <c r="X29" s="329"/>
      <c r="Y29" s="329"/>
      <c r="Z29" s="32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</row>
    <row r="30" spans="1:82">
      <c r="A30" s="242" t="s">
        <v>819</v>
      </c>
      <c r="B30" s="264">
        <v>2001</v>
      </c>
      <c r="C30" s="264">
        <v>2002</v>
      </c>
      <c r="D30" s="264">
        <v>2003</v>
      </c>
      <c r="E30" s="264">
        <v>2004</v>
      </c>
      <c r="F30" s="264">
        <v>2005</v>
      </c>
      <c r="G30" s="264">
        <v>2006</v>
      </c>
      <c r="H30" s="264">
        <v>2007</v>
      </c>
      <c r="I30" s="264">
        <v>2008</v>
      </c>
      <c r="J30" s="264">
        <f t="shared" ref="J30:AE30" si="4">J$6</f>
        <v>2009</v>
      </c>
      <c r="K30" s="264">
        <f t="shared" si="4"/>
        <v>2010</v>
      </c>
      <c r="L30" s="264">
        <f t="shared" si="4"/>
        <v>2011</v>
      </c>
      <c r="M30" s="264">
        <f t="shared" si="4"/>
        <v>2012</v>
      </c>
      <c r="N30" s="264">
        <f t="shared" si="4"/>
        <v>2013</v>
      </c>
      <c r="O30" s="264">
        <f t="shared" si="4"/>
        <v>2014</v>
      </c>
      <c r="P30" s="264">
        <f t="shared" si="4"/>
        <v>2015</v>
      </c>
      <c r="Q30" s="264">
        <f t="shared" si="4"/>
        <v>2016</v>
      </c>
      <c r="R30" s="264">
        <f t="shared" si="4"/>
        <v>2017</v>
      </c>
      <c r="S30" s="264">
        <f t="shared" si="4"/>
        <v>2018</v>
      </c>
      <c r="T30" s="264">
        <f t="shared" si="4"/>
        <v>2019</v>
      </c>
      <c r="U30" s="264">
        <f t="shared" si="4"/>
        <v>2020</v>
      </c>
      <c r="V30" s="264">
        <f t="shared" si="4"/>
        <v>2021</v>
      </c>
      <c r="W30" s="264">
        <f t="shared" si="4"/>
        <v>2022</v>
      </c>
      <c r="X30" s="264">
        <f t="shared" si="4"/>
        <v>2023</v>
      </c>
      <c r="Y30" s="594">
        <f t="shared" si="4"/>
        <v>2024</v>
      </c>
      <c r="Z30" s="594">
        <f t="shared" si="4"/>
        <v>2025</v>
      </c>
      <c r="AA30" s="594">
        <f t="shared" si="4"/>
        <v>2026</v>
      </c>
      <c r="AB30" s="594">
        <f t="shared" si="4"/>
        <v>2027</v>
      </c>
      <c r="AC30" s="594">
        <f t="shared" si="4"/>
        <v>2028</v>
      </c>
      <c r="AD30" s="594">
        <f t="shared" si="4"/>
        <v>2029</v>
      </c>
      <c r="AE30" s="594">
        <f t="shared" si="4"/>
        <v>2030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</row>
    <row r="31" spans="1:82">
      <c r="A31" s="36" t="s">
        <v>200</v>
      </c>
      <c r="B31" s="92">
        <f>Base!B5</f>
        <v>437</v>
      </c>
      <c r="C31" s="92">
        <f>Base!C5</f>
        <v>518</v>
      </c>
      <c r="D31" s="92">
        <f>Base!D5</f>
        <v>560</v>
      </c>
      <c r="E31" s="92">
        <f>Base!E5</f>
        <v>626</v>
      </c>
      <c r="F31" s="92">
        <f>Base!F5</f>
        <v>728</v>
      </c>
      <c r="G31" s="92">
        <f>Base!G5</f>
        <v>865</v>
      </c>
      <c r="H31" s="92">
        <f>Base!H5</f>
        <v>989</v>
      </c>
      <c r="I31" s="92">
        <f>Base!I5</f>
        <v>1135</v>
      </c>
      <c r="J31" s="92">
        <f>Base!J5</f>
        <v>1171</v>
      </c>
      <c r="K31" s="92">
        <f>Base!K5</f>
        <v>1206</v>
      </c>
      <c r="L31" s="92">
        <f>Base!L5</f>
        <v>1283</v>
      </c>
      <c r="M31" s="92">
        <f>Base!M5</f>
        <v>1435</v>
      </c>
      <c r="N31" s="92">
        <f>Base!N5</f>
        <v>1862</v>
      </c>
      <c r="O31" s="92">
        <f>Base!O5</f>
        <v>2784</v>
      </c>
      <c r="P31" s="92">
        <f>Base!P5</f>
        <v>2954</v>
      </c>
      <c r="Q31" s="92">
        <f>Base!Q5</f>
        <v>3195</v>
      </c>
      <c r="R31" s="92">
        <f>Base!R5</f>
        <v>3438</v>
      </c>
      <c r="S31" s="92">
        <f>Base!S5</f>
        <v>3688</v>
      </c>
      <c r="T31" s="329">
        <f>Base!T5</f>
        <v>4310</v>
      </c>
      <c r="U31" s="329">
        <f>Base!U5</f>
        <v>4193</v>
      </c>
      <c r="V31" s="329">
        <f>Base!V5</f>
        <v>4262</v>
      </c>
      <c r="W31" s="329">
        <f>Base!W5</f>
        <v>4447</v>
      </c>
      <c r="X31" s="329">
        <f>Base!X5</f>
        <v>4622</v>
      </c>
      <c r="Y31" s="329">
        <f>Base!Y5</f>
        <v>4809</v>
      </c>
      <c r="Z31" s="329">
        <f>Base!Z5</f>
        <v>4990</v>
      </c>
      <c r="AA31" s="329">
        <f>Base!AA5</f>
        <v>5136</v>
      </c>
      <c r="AB31" s="329">
        <f>Base!AB5</f>
        <v>5262</v>
      </c>
      <c r="AC31" s="329">
        <f>Base!AC5</f>
        <v>5385</v>
      </c>
      <c r="AD31" s="329">
        <f>Base!AD5</f>
        <v>5508</v>
      </c>
      <c r="AE31" s="329">
        <f>Base!AE5</f>
        <v>5614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</row>
    <row r="32" spans="1:82">
      <c r="A32" s="36" t="s">
        <v>201</v>
      </c>
      <c r="B32" s="92">
        <f>Bull!B5</f>
        <v>437</v>
      </c>
      <c r="C32" s="92">
        <f>Bull!C5</f>
        <v>518</v>
      </c>
      <c r="D32" s="92">
        <f>Bull!D5</f>
        <v>560</v>
      </c>
      <c r="E32" s="92">
        <f>Bull!E5</f>
        <v>626</v>
      </c>
      <c r="F32" s="92">
        <f>Bull!F5</f>
        <v>728</v>
      </c>
      <c r="G32" s="92">
        <f>Bull!G5</f>
        <v>865</v>
      </c>
      <c r="H32" s="92">
        <f>Bull!H5</f>
        <v>989</v>
      </c>
      <c r="I32" s="92">
        <f>Bull!I5</f>
        <v>1135</v>
      </c>
      <c r="J32" s="92">
        <f>Bull!J5</f>
        <v>1171</v>
      </c>
      <c r="K32" s="92">
        <f>Bull!K5</f>
        <v>1206</v>
      </c>
      <c r="L32" s="92">
        <f>Bull!L5</f>
        <v>1283</v>
      </c>
      <c r="M32" s="92">
        <f>Bull!M5</f>
        <v>1435</v>
      </c>
      <c r="N32" s="92">
        <f>Bull!N5</f>
        <v>1862</v>
      </c>
      <c r="O32" s="92">
        <f>Bull!O5</f>
        <v>2784</v>
      </c>
      <c r="P32" s="92">
        <f>Bull!P5</f>
        <v>2954</v>
      </c>
      <c r="Q32" s="92">
        <f>Bull!Q5</f>
        <v>3195</v>
      </c>
      <c r="R32" s="92">
        <f>Bull!R5</f>
        <v>3438</v>
      </c>
      <c r="S32" s="92">
        <f>Bull!S5</f>
        <v>3688</v>
      </c>
      <c r="T32" s="329">
        <f>Bull!T5</f>
        <v>4310</v>
      </c>
      <c r="U32" s="329">
        <f>Bull!U5</f>
        <v>4193</v>
      </c>
      <c r="V32" s="329">
        <f>Bull!V5</f>
        <v>4262</v>
      </c>
      <c r="W32" s="329">
        <f>Bull!W5</f>
        <v>4447</v>
      </c>
      <c r="X32" s="329">
        <f>Bull!X5</f>
        <v>4622</v>
      </c>
      <c r="Y32" s="329">
        <f>Bull!Y5</f>
        <v>4809</v>
      </c>
      <c r="Z32" s="329">
        <f>Bull!Z5</f>
        <v>4990</v>
      </c>
      <c r="AA32" s="329">
        <f>Bull!AA5</f>
        <v>5136</v>
      </c>
      <c r="AB32" s="329">
        <f>Bull!AB5</f>
        <v>5262</v>
      </c>
      <c r="AC32" s="329">
        <f>Bull!AC5</f>
        <v>5385</v>
      </c>
      <c r="AD32" s="329">
        <f>Bull!AD5</f>
        <v>5508</v>
      </c>
      <c r="AE32" s="329">
        <f>Bull!AE5</f>
        <v>5614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</row>
    <row r="33" spans="1:82">
      <c r="A33" s="36" t="s">
        <v>202</v>
      </c>
      <c r="B33" s="92">
        <f>Bear!B5</f>
        <v>437</v>
      </c>
      <c r="C33" s="92">
        <f>Bear!C5</f>
        <v>518</v>
      </c>
      <c r="D33" s="92">
        <f>Bear!D5</f>
        <v>560</v>
      </c>
      <c r="E33" s="92">
        <f>Bear!E5</f>
        <v>626</v>
      </c>
      <c r="F33" s="92">
        <f>Bear!F5</f>
        <v>728</v>
      </c>
      <c r="G33" s="92">
        <f>Bear!G5</f>
        <v>865</v>
      </c>
      <c r="H33" s="92">
        <f>Bear!H5</f>
        <v>989</v>
      </c>
      <c r="I33" s="92">
        <f>Bear!I5</f>
        <v>1135</v>
      </c>
      <c r="J33" s="92">
        <f>Bear!J5</f>
        <v>1171</v>
      </c>
      <c r="K33" s="92">
        <f>Bear!K5</f>
        <v>1206</v>
      </c>
      <c r="L33" s="92">
        <f>Bear!L5</f>
        <v>1283</v>
      </c>
      <c r="M33" s="92">
        <f>Bear!M5</f>
        <v>1435</v>
      </c>
      <c r="N33" s="92">
        <f>Bear!N5</f>
        <v>1862</v>
      </c>
      <c r="O33" s="92">
        <f>Bear!O5</f>
        <v>2784</v>
      </c>
      <c r="P33" s="92">
        <f>Bear!P5</f>
        <v>2954</v>
      </c>
      <c r="Q33" s="92">
        <f>Bear!Q5</f>
        <v>3195</v>
      </c>
      <c r="R33" s="92">
        <f>Bear!R5</f>
        <v>3438</v>
      </c>
      <c r="S33" s="92">
        <f>Bear!S5</f>
        <v>3688</v>
      </c>
      <c r="T33" s="329">
        <f>Bear!T5</f>
        <v>4310</v>
      </c>
      <c r="U33" s="329">
        <f>Bear!U5</f>
        <v>4193</v>
      </c>
      <c r="V33" s="329">
        <f>Bear!V5</f>
        <v>4262</v>
      </c>
      <c r="W33" s="329">
        <f>Bear!W5</f>
        <v>4447</v>
      </c>
      <c r="X33" s="329">
        <f>Bear!X5</f>
        <v>4622</v>
      </c>
      <c r="Y33" s="329">
        <f>Bear!Y5</f>
        <v>4785</v>
      </c>
      <c r="Z33" s="329">
        <f>Bear!Z5</f>
        <v>4928</v>
      </c>
      <c r="AA33" s="329">
        <f>Bear!AA5</f>
        <v>5044</v>
      </c>
      <c r="AB33" s="329">
        <f>Bear!AB5</f>
        <v>5146</v>
      </c>
      <c r="AC33" s="329">
        <f>Bear!AC5</f>
        <v>5245</v>
      </c>
      <c r="AD33" s="329">
        <f>Bear!AD5</f>
        <v>5344</v>
      </c>
      <c r="AE33" s="329">
        <f>Bear!AE5</f>
        <v>5429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</row>
    <row r="34" spans="1:82">
      <c r="A34" s="36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329"/>
      <c r="U34" s="329"/>
      <c r="V34" s="329"/>
      <c r="W34" s="329"/>
      <c r="X34" s="329"/>
      <c r="Y34" s="329"/>
      <c r="Z34" s="32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</row>
    <row r="35" spans="1:82">
      <c r="A35" s="242" t="s">
        <v>821</v>
      </c>
      <c r="B35" s="264">
        <v>2001</v>
      </c>
      <c r="C35" s="264">
        <v>2002</v>
      </c>
      <c r="D35" s="264">
        <v>2003</v>
      </c>
      <c r="E35" s="264">
        <v>2004</v>
      </c>
      <c r="F35" s="264">
        <v>2005</v>
      </c>
      <c r="G35" s="264">
        <v>2006</v>
      </c>
      <c r="H35" s="264">
        <v>2007</v>
      </c>
      <c r="I35" s="264">
        <v>2008</v>
      </c>
      <c r="J35" s="264">
        <f t="shared" ref="J35:AE35" si="5">J$6</f>
        <v>2009</v>
      </c>
      <c r="K35" s="264">
        <f t="shared" si="5"/>
        <v>2010</v>
      </c>
      <c r="L35" s="264">
        <f t="shared" si="5"/>
        <v>2011</v>
      </c>
      <c r="M35" s="264">
        <f t="shared" si="5"/>
        <v>2012</v>
      </c>
      <c r="N35" s="264">
        <f t="shared" si="5"/>
        <v>2013</v>
      </c>
      <c r="O35" s="264">
        <f t="shared" si="5"/>
        <v>2014</v>
      </c>
      <c r="P35" s="264">
        <f t="shared" si="5"/>
        <v>2015</v>
      </c>
      <c r="Q35" s="264">
        <f t="shared" si="5"/>
        <v>2016</v>
      </c>
      <c r="R35" s="264">
        <f t="shared" si="5"/>
        <v>2017</v>
      </c>
      <c r="S35" s="264">
        <f t="shared" si="5"/>
        <v>2018</v>
      </c>
      <c r="T35" s="264">
        <f t="shared" si="5"/>
        <v>2019</v>
      </c>
      <c r="U35" s="264">
        <f t="shared" si="5"/>
        <v>2020</v>
      </c>
      <c r="V35" s="264">
        <f t="shared" si="5"/>
        <v>2021</v>
      </c>
      <c r="W35" s="264">
        <f t="shared" si="5"/>
        <v>2022</v>
      </c>
      <c r="X35" s="264">
        <f t="shared" si="5"/>
        <v>2023</v>
      </c>
      <c r="Y35" s="594">
        <f t="shared" si="5"/>
        <v>2024</v>
      </c>
      <c r="Z35" s="594">
        <f t="shared" si="5"/>
        <v>2025</v>
      </c>
      <c r="AA35" s="594">
        <f t="shared" si="5"/>
        <v>2026</v>
      </c>
      <c r="AB35" s="594">
        <f t="shared" si="5"/>
        <v>2027</v>
      </c>
      <c r="AC35" s="594">
        <f t="shared" si="5"/>
        <v>2028</v>
      </c>
      <c r="AD35" s="594">
        <f t="shared" si="5"/>
        <v>2029</v>
      </c>
      <c r="AE35" s="594">
        <f t="shared" si="5"/>
        <v>2030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</row>
    <row r="36" spans="1:82">
      <c r="A36" s="244" t="s">
        <v>200</v>
      </c>
      <c r="B36" s="245" t="e">
        <f>NA()</f>
        <v>#N/A</v>
      </c>
      <c r="C36" s="245">
        <f t="shared" ref="C36:Z36" si="6">C31/B31-1</f>
        <v>0.18535469107551483</v>
      </c>
      <c r="D36" s="245">
        <f t="shared" si="6"/>
        <v>8.1081081081081141E-2</v>
      </c>
      <c r="E36" s="245">
        <f t="shared" si="6"/>
        <v>0.11785714285714288</v>
      </c>
      <c r="F36" s="245">
        <f t="shared" si="6"/>
        <v>0.16293929712460065</v>
      </c>
      <c r="G36" s="245">
        <f t="shared" si="6"/>
        <v>0.18818681318681318</v>
      </c>
      <c r="H36" s="245">
        <f t="shared" si="6"/>
        <v>0.14335260115606929</v>
      </c>
      <c r="I36" s="245">
        <f t="shared" si="6"/>
        <v>0.14762386248736092</v>
      </c>
      <c r="J36" s="245">
        <f t="shared" si="6"/>
        <v>3.1718061674008702E-2</v>
      </c>
      <c r="K36" s="245">
        <f t="shared" si="6"/>
        <v>2.9888983774551736E-2</v>
      </c>
      <c r="L36" s="245">
        <f t="shared" si="6"/>
        <v>6.3847429519071408E-2</v>
      </c>
      <c r="M36" s="245">
        <f t="shared" si="6"/>
        <v>0.11847233047544825</v>
      </c>
      <c r="N36" s="245">
        <f t="shared" si="6"/>
        <v>0.29756097560975614</v>
      </c>
      <c r="O36" s="245">
        <f t="shared" si="6"/>
        <v>0.49516648764769067</v>
      </c>
      <c r="P36" s="245">
        <f t="shared" si="6"/>
        <v>6.1063218390804641E-2</v>
      </c>
      <c r="Q36" s="245">
        <f t="shared" si="6"/>
        <v>8.1584292484766507E-2</v>
      </c>
      <c r="R36" s="245">
        <f t="shared" si="6"/>
        <v>7.6056338028168913E-2</v>
      </c>
      <c r="S36" s="245">
        <f t="shared" si="6"/>
        <v>7.271669575334494E-2</v>
      </c>
      <c r="T36" s="452">
        <f t="shared" si="6"/>
        <v>0.16865509761388275</v>
      </c>
      <c r="U36" s="452">
        <f t="shared" si="6"/>
        <v>-2.7146171693735455E-2</v>
      </c>
      <c r="V36" s="452">
        <f t="shared" si="6"/>
        <v>1.6455998092058222E-2</v>
      </c>
      <c r="W36" s="452">
        <f t="shared" si="6"/>
        <v>4.3406851243547706E-2</v>
      </c>
      <c r="X36" s="452">
        <f t="shared" si="6"/>
        <v>3.9352372385878187E-2</v>
      </c>
      <c r="Y36" s="452">
        <f t="shared" si="6"/>
        <v>4.045867589787977E-2</v>
      </c>
      <c r="Z36" s="452">
        <f t="shared" si="6"/>
        <v>3.7637762528592189E-2</v>
      </c>
      <c r="AA36" s="452">
        <f t="shared" ref="AA36:AE38" si="7">AA31/Z31-1</f>
        <v>2.9258517034068232E-2</v>
      </c>
      <c r="AB36" s="452">
        <f t="shared" si="7"/>
        <v>2.4532710280373848E-2</v>
      </c>
      <c r="AC36" s="452">
        <f t="shared" si="7"/>
        <v>2.3375142531356863E-2</v>
      </c>
      <c r="AD36" s="452">
        <f t="shared" si="7"/>
        <v>2.2841225626740957E-2</v>
      </c>
      <c r="AE36" s="452">
        <f t="shared" si="7"/>
        <v>1.9244734931009422E-2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</row>
    <row r="37" spans="1:82">
      <c r="A37" s="244" t="s">
        <v>201</v>
      </c>
      <c r="B37" s="245" t="e">
        <f>NA()</f>
        <v>#N/A</v>
      </c>
      <c r="C37" s="245">
        <f t="shared" ref="C37:Z37" si="8">C32/B32-1</f>
        <v>0.18535469107551483</v>
      </c>
      <c r="D37" s="245">
        <f t="shared" si="8"/>
        <v>8.1081081081081141E-2</v>
      </c>
      <c r="E37" s="245">
        <f t="shared" si="8"/>
        <v>0.11785714285714288</v>
      </c>
      <c r="F37" s="245">
        <f t="shared" si="8"/>
        <v>0.16293929712460065</v>
      </c>
      <c r="G37" s="245">
        <f t="shared" si="8"/>
        <v>0.18818681318681318</v>
      </c>
      <c r="H37" s="245">
        <f t="shared" si="8"/>
        <v>0.14335260115606929</v>
      </c>
      <c r="I37" s="245">
        <f t="shared" si="8"/>
        <v>0.14762386248736092</v>
      </c>
      <c r="J37" s="245">
        <f t="shared" si="8"/>
        <v>3.1718061674008702E-2</v>
      </c>
      <c r="K37" s="245">
        <f t="shared" si="8"/>
        <v>2.9888983774551736E-2</v>
      </c>
      <c r="L37" s="245">
        <f t="shared" si="8"/>
        <v>6.3847429519071408E-2</v>
      </c>
      <c r="M37" s="245">
        <f t="shared" si="8"/>
        <v>0.11847233047544825</v>
      </c>
      <c r="N37" s="245">
        <f t="shared" si="8"/>
        <v>0.29756097560975614</v>
      </c>
      <c r="O37" s="245">
        <f t="shared" si="8"/>
        <v>0.49516648764769067</v>
      </c>
      <c r="P37" s="245">
        <f t="shared" si="8"/>
        <v>6.1063218390804641E-2</v>
      </c>
      <c r="Q37" s="245">
        <f t="shared" si="8"/>
        <v>8.1584292484766507E-2</v>
      </c>
      <c r="R37" s="245">
        <f t="shared" si="8"/>
        <v>7.6056338028168913E-2</v>
      </c>
      <c r="S37" s="245">
        <f t="shared" si="8"/>
        <v>7.271669575334494E-2</v>
      </c>
      <c r="T37" s="452">
        <f t="shared" si="8"/>
        <v>0.16865509761388275</v>
      </c>
      <c r="U37" s="452">
        <f t="shared" si="8"/>
        <v>-2.7146171693735455E-2</v>
      </c>
      <c r="V37" s="452">
        <f t="shared" si="8"/>
        <v>1.6455998092058222E-2</v>
      </c>
      <c r="W37" s="452">
        <f t="shared" si="8"/>
        <v>4.3406851243547706E-2</v>
      </c>
      <c r="X37" s="452">
        <f t="shared" si="8"/>
        <v>3.9352372385878187E-2</v>
      </c>
      <c r="Y37" s="452">
        <f t="shared" si="8"/>
        <v>4.045867589787977E-2</v>
      </c>
      <c r="Z37" s="452">
        <f t="shared" si="8"/>
        <v>3.7637762528592189E-2</v>
      </c>
      <c r="AA37" s="452">
        <f t="shared" si="7"/>
        <v>2.9258517034068232E-2</v>
      </c>
      <c r="AB37" s="452">
        <f t="shared" si="7"/>
        <v>2.4532710280373848E-2</v>
      </c>
      <c r="AC37" s="452">
        <f t="shared" si="7"/>
        <v>2.3375142531356863E-2</v>
      </c>
      <c r="AD37" s="452">
        <f t="shared" si="7"/>
        <v>2.2841225626740957E-2</v>
      </c>
      <c r="AE37" s="452">
        <f t="shared" si="7"/>
        <v>1.9244734931009422E-2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</row>
    <row r="38" spans="1:82">
      <c r="A38" s="244" t="s">
        <v>202</v>
      </c>
      <c r="B38" s="245" t="e">
        <f>NA()</f>
        <v>#N/A</v>
      </c>
      <c r="C38" s="245">
        <f t="shared" ref="C38:Z38" si="9">C33/B33-1</f>
        <v>0.18535469107551483</v>
      </c>
      <c r="D38" s="245">
        <f t="shared" si="9"/>
        <v>8.1081081081081141E-2</v>
      </c>
      <c r="E38" s="245">
        <f t="shared" si="9"/>
        <v>0.11785714285714288</v>
      </c>
      <c r="F38" s="245">
        <f t="shared" si="9"/>
        <v>0.16293929712460065</v>
      </c>
      <c r="G38" s="245">
        <f t="shared" si="9"/>
        <v>0.18818681318681318</v>
      </c>
      <c r="H38" s="245">
        <f t="shared" si="9"/>
        <v>0.14335260115606929</v>
      </c>
      <c r="I38" s="245">
        <f t="shared" si="9"/>
        <v>0.14762386248736092</v>
      </c>
      <c r="J38" s="245">
        <f t="shared" si="9"/>
        <v>3.1718061674008702E-2</v>
      </c>
      <c r="K38" s="245">
        <f t="shared" si="9"/>
        <v>2.9888983774551736E-2</v>
      </c>
      <c r="L38" s="245">
        <f t="shared" si="9"/>
        <v>6.3847429519071408E-2</v>
      </c>
      <c r="M38" s="245">
        <f t="shared" si="9"/>
        <v>0.11847233047544825</v>
      </c>
      <c r="N38" s="245">
        <f t="shared" si="9"/>
        <v>0.29756097560975614</v>
      </c>
      <c r="O38" s="245">
        <f t="shared" si="9"/>
        <v>0.49516648764769067</v>
      </c>
      <c r="P38" s="245">
        <f t="shared" si="9"/>
        <v>6.1063218390804641E-2</v>
      </c>
      <c r="Q38" s="245">
        <f t="shared" si="9"/>
        <v>8.1584292484766507E-2</v>
      </c>
      <c r="R38" s="245">
        <f t="shared" si="9"/>
        <v>7.6056338028168913E-2</v>
      </c>
      <c r="S38" s="245">
        <f t="shared" si="9"/>
        <v>7.271669575334494E-2</v>
      </c>
      <c r="T38" s="452">
        <f t="shared" si="9"/>
        <v>0.16865509761388275</v>
      </c>
      <c r="U38" s="452">
        <f t="shared" si="9"/>
        <v>-2.7146171693735455E-2</v>
      </c>
      <c r="V38" s="452">
        <f t="shared" si="9"/>
        <v>1.6455998092058222E-2</v>
      </c>
      <c r="W38" s="452">
        <f t="shared" si="9"/>
        <v>4.3406851243547706E-2</v>
      </c>
      <c r="X38" s="452">
        <f t="shared" si="9"/>
        <v>3.9352372385878187E-2</v>
      </c>
      <c r="Y38" s="452">
        <f t="shared" si="9"/>
        <v>3.5266118563392457E-2</v>
      </c>
      <c r="Z38" s="452">
        <f t="shared" si="9"/>
        <v>2.9885057471264354E-2</v>
      </c>
      <c r="AA38" s="452">
        <f t="shared" si="7"/>
        <v>2.3538961038961137E-2</v>
      </c>
      <c r="AB38" s="452">
        <f t="shared" si="7"/>
        <v>2.02220459952418E-2</v>
      </c>
      <c r="AC38" s="452">
        <f t="shared" si="7"/>
        <v>1.9238243295763624E-2</v>
      </c>
      <c r="AD38" s="452">
        <f t="shared" si="7"/>
        <v>1.8875119161105847E-2</v>
      </c>
      <c r="AE38" s="452">
        <f t="shared" si="7"/>
        <v>1.5905688622754433E-2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</row>
    <row r="39" spans="1:82">
      <c r="A39" s="244"/>
      <c r="B39" s="256"/>
      <c r="C39" s="256"/>
      <c r="D39" s="256"/>
      <c r="E39" s="256"/>
      <c r="F39" s="256"/>
      <c r="G39" s="256"/>
      <c r="H39" s="256"/>
      <c r="I39" s="256"/>
      <c r="J39" s="256"/>
      <c r="K39" s="245"/>
      <c r="L39" s="245"/>
      <c r="M39" s="245"/>
      <c r="N39" s="245"/>
      <c r="O39" s="245"/>
      <c r="P39" s="245"/>
      <c r="Q39" s="245"/>
      <c r="R39" s="245"/>
      <c r="S39" s="245"/>
      <c r="T39" s="452"/>
      <c r="U39" s="452"/>
      <c r="V39" s="452"/>
      <c r="W39" s="452"/>
      <c r="X39" s="452"/>
      <c r="Y39" s="452"/>
      <c r="Z39" s="452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</row>
    <row r="40" spans="1:82">
      <c r="A40" s="244"/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4"/>
      <c r="P40" s="244"/>
      <c r="Q40" s="244"/>
      <c r="R40" s="244"/>
      <c r="S40" s="244"/>
      <c r="T40" s="244"/>
      <c r="U40" s="244"/>
      <c r="V40" s="244"/>
      <c r="W40" s="244"/>
      <c r="X40" s="244"/>
      <c r="Y40" s="244"/>
      <c r="Z40" s="244"/>
      <c r="AA40" s="244"/>
      <c r="AB40" s="244"/>
      <c r="AC40" s="244"/>
      <c r="AD40" s="244"/>
      <c r="AE40" s="244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</row>
    <row r="41" spans="1:82">
      <c r="A41" s="244"/>
      <c r="B41" s="244"/>
      <c r="C41" s="244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44"/>
      <c r="P41" s="244"/>
      <c r="Q41" s="244"/>
      <c r="R41" s="244"/>
      <c r="S41" s="244"/>
      <c r="T41" s="244"/>
      <c r="U41" s="244"/>
      <c r="V41" s="244"/>
      <c r="W41" s="244"/>
      <c r="X41" s="244"/>
      <c r="Y41" s="244"/>
      <c r="Z41" s="244"/>
      <c r="AA41" s="244"/>
      <c r="AB41" s="244"/>
      <c r="AC41" s="244"/>
      <c r="AD41" s="244"/>
      <c r="AE41" s="244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</row>
    <row r="42" spans="1:82">
      <c r="A42" s="244"/>
      <c r="B42" s="244"/>
      <c r="C42" s="244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  <c r="Q42" s="244"/>
      <c r="R42" s="244"/>
      <c r="S42" s="244"/>
      <c r="T42" s="244"/>
      <c r="U42" s="244"/>
      <c r="V42" s="244"/>
      <c r="W42" s="244"/>
      <c r="X42" s="244"/>
      <c r="Y42" s="244"/>
      <c r="Z42" s="244"/>
      <c r="AA42" s="244"/>
      <c r="AB42" s="244"/>
      <c r="AC42" s="244"/>
      <c r="AD42" s="244"/>
      <c r="AE42" s="244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</row>
    <row r="43" spans="1:82">
      <c r="A43" s="244"/>
      <c r="B43" s="244"/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244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</row>
    <row r="44" spans="1:8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</row>
    <row r="45" spans="1:82">
      <c r="A45" s="242" t="s">
        <v>760</v>
      </c>
      <c r="B45" s="264">
        <v>2001</v>
      </c>
      <c r="C45" s="264">
        <v>2002</v>
      </c>
      <c r="D45" s="264">
        <v>2003</v>
      </c>
      <c r="E45" s="264">
        <v>2004</v>
      </c>
      <c r="F45" s="264">
        <v>2005</v>
      </c>
      <c r="G45" s="264">
        <v>2006</v>
      </c>
      <c r="H45" s="264">
        <v>2007</v>
      </c>
      <c r="I45" s="264">
        <v>2008</v>
      </c>
      <c r="J45" s="264">
        <f t="shared" ref="J45:AE45" si="10">J$6</f>
        <v>2009</v>
      </c>
      <c r="K45" s="264">
        <f t="shared" si="10"/>
        <v>2010</v>
      </c>
      <c r="L45" s="264">
        <f t="shared" si="10"/>
        <v>2011</v>
      </c>
      <c r="M45" s="264">
        <f t="shared" si="10"/>
        <v>2012</v>
      </c>
      <c r="N45" s="264">
        <f t="shared" si="10"/>
        <v>2013</v>
      </c>
      <c r="O45" s="264">
        <f t="shared" si="10"/>
        <v>2014</v>
      </c>
      <c r="P45" s="264">
        <f t="shared" si="10"/>
        <v>2015</v>
      </c>
      <c r="Q45" s="264">
        <f t="shared" si="10"/>
        <v>2016</v>
      </c>
      <c r="R45" s="264">
        <f t="shared" si="10"/>
        <v>2017</v>
      </c>
      <c r="S45" s="264">
        <f t="shared" si="10"/>
        <v>2018</v>
      </c>
      <c r="T45" s="264">
        <f t="shared" si="10"/>
        <v>2019</v>
      </c>
      <c r="U45" s="264">
        <f t="shared" si="10"/>
        <v>2020</v>
      </c>
      <c r="V45" s="264">
        <f t="shared" si="10"/>
        <v>2021</v>
      </c>
      <c r="W45" s="264">
        <f t="shared" si="10"/>
        <v>2022</v>
      </c>
      <c r="X45" s="264">
        <f t="shared" si="10"/>
        <v>2023</v>
      </c>
      <c r="Y45" s="594">
        <f t="shared" si="10"/>
        <v>2024</v>
      </c>
      <c r="Z45" s="594">
        <f t="shared" si="10"/>
        <v>2025</v>
      </c>
      <c r="AA45" s="594">
        <f t="shared" si="10"/>
        <v>2026</v>
      </c>
      <c r="AB45" s="594">
        <f t="shared" si="10"/>
        <v>2027</v>
      </c>
      <c r="AC45" s="594">
        <f t="shared" si="10"/>
        <v>2028</v>
      </c>
      <c r="AD45" s="594">
        <f t="shared" si="10"/>
        <v>2029</v>
      </c>
      <c r="AE45" s="594">
        <f t="shared" si="10"/>
        <v>2030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</row>
    <row r="46" spans="1:82">
      <c r="A46" s="36" t="s">
        <v>731</v>
      </c>
      <c r="B46" s="245" t="e">
        <f>NA()</f>
        <v>#N/A</v>
      </c>
      <c r="C46" s="245" t="e">
        <f>NA()</f>
        <v>#N/A</v>
      </c>
      <c r="D46" s="245" t="e">
        <f>NA()</f>
        <v>#N/A</v>
      </c>
      <c r="E46" s="245" t="e">
        <f>NA()</f>
        <v>#N/A</v>
      </c>
      <c r="F46" s="245" t="e">
        <f>NA()</f>
        <v>#N/A</v>
      </c>
      <c r="G46" s="245" t="e">
        <f>NA()</f>
        <v>#N/A</v>
      </c>
      <c r="H46" s="245" t="e">
        <f>NA()</f>
        <v>#N/A</v>
      </c>
      <c r="I46" s="245" t="e">
        <f>NA()</f>
        <v>#N/A</v>
      </c>
      <c r="J46" s="245" t="e">
        <f>NA()</f>
        <v>#N/A</v>
      </c>
      <c r="K46" s="92">
        <f>Financials!K22</f>
        <v>7.0002290950744568</v>
      </c>
      <c r="L46" s="92">
        <f>Financials!L22</f>
        <v>7.6131701657458564</v>
      </c>
      <c r="M46" s="92">
        <f>Financials!M22</f>
        <v>8.9584669464847835</v>
      </c>
      <c r="N46" s="92">
        <f>Financials!N22</f>
        <v>8.9112074468085112</v>
      </c>
      <c r="O46" s="92">
        <f>Financials!O22</f>
        <v>9.8949027415143611</v>
      </c>
      <c r="P46" s="92">
        <f>Financials!P22</f>
        <v>8.0820922208281054</v>
      </c>
      <c r="Q46" s="92">
        <f>Financials!Q22</f>
        <v>8.2098127208480562</v>
      </c>
      <c r="R46" s="92">
        <f>Financials!R22</f>
        <v>8.7364655267512408</v>
      </c>
      <c r="S46" s="92">
        <f>Financials!S22</f>
        <v>12.428149713093374</v>
      </c>
      <c r="T46" s="329">
        <f>Financials!T22</f>
        <v>13.615288622129434</v>
      </c>
      <c r="U46" s="329">
        <f>Financials!U22</f>
        <v>10.041501372872048</v>
      </c>
      <c r="V46" s="329">
        <f>Financials!V22</f>
        <v>14.185298490776971</v>
      </c>
      <c r="W46" s="329">
        <f>Financials!W22</f>
        <v>17.879829241680305</v>
      </c>
      <c r="X46" s="329">
        <f>Financials!X22</f>
        <v>20.264267963263102</v>
      </c>
      <c r="Y46" s="329">
        <f>Financials!Y22</f>
        <v>21.506897585490705</v>
      </c>
      <c r="Z46" s="329">
        <f>Financials!Z22</f>
        <v>22.11526459618462</v>
      </c>
      <c r="AA46" s="329">
        <f>Financials!AA22</f>
        <v>22.898670907243105</v>
      </c>
      <c r="AB46" s="329">
        <f>Financials!AB22</f>
        <v>23.722831645448004</v>
      </c>
      <c r="AC46" s="329">
        <f>Financials!AC22</f>
        <v>24.305225672167232</v>
      </c>
      <c r="AD46" s="329">
        <f>Financials!AD22</f>
        <v>24.903219248216953</v>
      </c>
      <c r="AE46" s="329">
        <f>Financials!AE22</f>
        <v>25.566886946723688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</row>
    <row r="47" spans="1:82">
      <c r="A47" s="36" t="s">
        <v>733</v>
      </c>
      <c r="B47" s="245" t="e">
        <f>NA()</f>
        <v>#N/A</v>
      </c>
      <c r="C47" s="245" t="e">
        <f>NA()</f>
        <v>#N/A</v>
      </c>
      <c r="D47" s="245" t="e">
        <f>NA()</f>
        <v>#N/A</v>
      </c>
      <c r="E47" s="245" t="e">
        <f>NA()</f>
        <v>#N/A</v>
      </c>
      <c r="F47" s="245" t="e">
        <f>NA()</f>
        <v>#N/A</v>
      </c>
      <c r="G47" s="245" t="e">
        <f>NA()</f>
        <v>#N/A</v>
      </c>
      <c r="H47" s="245" t="e">
        <f>NA()</f>
        <v>#N/A</v>
      </c>
      <c r="I47" s="245" t="e">
        <f>NA()</f>
        <v>#N/A</v>
      </c>
      <c r="J47" s="245" t="e">
        <f>NA()</f>
        <v>#N/A</v>
      </c>
      <c r="K47" s="92">
        <f>Financials!K24</f>
        <v>12.911599710069305</v>
      </c>
      <c r="L47" s="92">
        <f>Financials!L24</f>
        <v>13.827911166266013</v>
      </c>
      <c r="M47" s="92">
        <f>Financials!M24</f>
        <v>16.268668544978865</v>
      </c>
      <c r="N47" s="92">
        <f>Financials!N24</f>
        <v>14.831914646240275</v>
      </c>
      <c r="O47" s="92">
        <f>Financials!O24</f>
        <v>14.114728690337516</v>
      </c>
      <c r="P47" s="92">
        <f>Financials!P24</f>
        <v>17.827631110956158</v>
      </c>
      <c r="Q47" s="92">
        <f>Financials!Q24</f>
        <v>17.625241036320851</v>
      </c>
      <c r="R47" s="92">
        <f>Financials!R24</f>
        <v>19.662802795865222</v>
      </c>
      <c r="S47" s="92">
        <f>Financials!S24</f>
        <v>16.687195762203377</v>
      </c>
      <c r="T47" s="329">
        <f>Financials!T24</f>
        <v>15.800690047736646</v>
      </c>
      <c r="U47" s="329">
        <f>Financials!U24</f>
        <v>9.2787851126798078</v>
      </c>
      <c r="V47" s="329">
        <f>Financials!V24</f>
        <v>14.370728514241682</v>
      </c>
      <c r="W47" s="329">
        <f>Financials!W24</f>
        <v>19.772459494154706</v>
      </c>
      <c r="X47" s="329">
        <f>Financials!X24</f>
        <v>19.121633060550586</v>
      </c>
      <c r="Y47" s="329">
        <f>Financials!Y24</f>
        <v>15.232710860260394</v>
      </c>
      <c r="Z47" s="329">
        <f>Financials!Z24</f>
        <v>16.225849392371387</v>
      </c>
      <c r="AA47" s="329">
        <f>Financials!AA24</f>
        <v>16.757235119305488</v>
      </c>
      <c r="AB47" s="329">
        <f>Financials!AB24</f>
        <v>16.830903641208568</v>
      </c>
      <c r="AC47" s="329">
        <f>Financials!AC24</f>
        <v>17.022813916407564</v>
      </c>
      <c r="AD47" s="329">
        <f>Financials!AD24</f>
        <v>17.212581136192931</v>
      </c>
      <c r="AE47" s="329">
        <f>Financials!AE24</f>
        <v>17.419237011475754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</row>
    <row r="48" spans="1:82">
      <c r="A48" s="36" t="s">
        <v>949</v>
      </c>
      <c r="B48" s="245" t="e">
        <f>NA()</f>
        <v>#N/A</v>
      </c>
      <c r="C48" s="245" t="e">
        <f>NA()</f>
        <v>#N/A</v>
      </c>
      <c r="D48" s="245" t="e">
        <f>NA()</f>
        <v>#N/A</v>
      </c>
      <c r="E48" s="245" t="e">
        <f>NA()</f>
        <v>#N/A</v>
      </c>
      <c r="F48" s="245" t="e">
        <f>NA()</f>
        <v>#N/A</v>
      </c>
      <c r="G48" s="245" t="e">
        <f>NA()</f>
        <v>#N/A</v>
      </c>
      <c r="H48" s="245" t="e">
        <f>NA()</f>
        <v>#N/A</v>
      </c>
      <c r="I48" s="245" t="e">
        <f>NA()</f>
        <v>#N/A</v>
      </c>
      <c r="J48" s="245" t="e">
        <f>NA()</f>
        <v>#N/A</v>
      </c>
      <c r="K48" s="41" t="e">
        <f>IF(Financials!K23="NM",NA(),Financials!K23)</f>
        <v>#N/A</v>
      </c>
      <c r="L48" s="41" t="e">
        <f>IF(Financials!L23="NM",NA(),Financials!L23)</f>
        <v>#N/A</v>
      </c>
      <c r="M48" s="41" t="e">
        <f>IF(Financials!M23="NM",NA(),Financials!M23)</f>
        <v>#N/A</v>
      </c>
      <c r="N48" s="41" t="e">
        <f>IF(Financials!N23="NM",NA(),Financials!N23)</f>
        <v>#N/A</v>
      </c>
      <c r="O48" s="92">
        <f>Financials!O23</f>
        <v>4.7615958481998053</v>
      </c>
      <c r="P48" s="92">
        <f>Financials!P23</f>
        <v>17.741467954900582</v>
      </c>
      <c r="Q48" s="92">
        <f>Financials!Q23</f>
        <v>21.61944251530355</v>
      </c>
      <c r="R48" s="92">
        <f>Financials!R23</f>
        <v>22.050724993631402</v>
      </c>
      <c r="S48" s="92">
        <f>Financials!S23</f>
        <v>23.103154590079431</v>
      </c>
      <c r="T48" s="329">
        <f>Financials!T23</f>
        <v>23.308689842247077</v>
      </c>
      <c r="U48" s="329">
        <f>Financials!U23</f>
        <v>15.667476604444849</v>
      </c>
      <c r="V48" s="329">
        <f>Financials!V23</f>
        <v>20.415123119621477</v>
      </c>
      <c r="W48" s="329">
        <f>Financials!W23</f>
        <v>23.04809144753866</v>
      </c>
      <c r="X48" s="329">
        <f>Financials!X23</f>
        <v>22.930954127181923</v>
      </c>
      <c r="Y48" s="329">
        <f>Financials!Y23</f>
        <v>23.275597362125197</v>
      </c>
      <c r="Z48" s="329">
        <f>Financials!Z23</f>
        <v>26.475775431986204</v>
      </c>
      <c r="AA48" s="329">
        <f>Financials!AA23</f>
        <v>28.444483824040628</v>
      </c>
      <c r="AB48" s="329">
        <f>Financials!AB23</f>
        <v>30.298973899364444</v>
      </c>
      <c r="AC48" s="329">
        <f>Financials!AC23</f>
        <v>32.174378856650236</v>
      </c>
      <c r="AD48" s="329">
        <f>Financials!AD23</f>
        <v>34.138580096370951</v>
      </c>
      <c r="AE48" s="329">
        <f>Financials!AE23</f>
        <v>36.242580589052089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</row>
    <row r="49" spans="1:82">
      <c r="A49" s="36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329"/>
      <c r="U49" s="329"/>
      <c r="V49" s="329"/>
      <c r="W49" s="329"/>
      <c r="X49" s="329"/>
      <c r="Y49" s="329"/>
      <c r="Z49" s="329"/>
      <c r="AA49" s="329"/>
      <c r="AB49" s="329"/>
      <c r="AC49" s="329"/>
      <c r="AD49" s="329"/>
      <c r="AE49" s="32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</row>
    <row r="50" spans="1:82">
      <c r="A50" s="242" t="s">
        <v>307</v>
      </c>
      <c r="B50" s="264">
        <v>2001</v>
      </c>
      <c r="C50" s="264">
        <v>2002</v>
      </c>
      <c r="D50" s="264">
        <v>2003</v>
      </c>
      <c r="E50" s="264">
        <v>2004</v>
      </c>
      <c r="F50" s="264">
        <v>2005</v>
      </c>
      <c r="G50" s="264">
        <v>2006</v>
      </c>
      <c r="H50" s="264">
        <v>2007</v>
      </c>
      <c r="I50" s="264">
        <v>2008</v>
      </c>
      <c r="J50" s="264">
        <f t="shared" ref="J50:AE50" si="11">J$6</f>
        <v>2009</v>
      </c>
      <c r="K50" s="264">
        <f t="shared" si="11"/>
        <v>2010</v>
      </c>
      <c r="L50" s="264">
        <f t="shared" si="11"/>
        <v>2011</v>
      </c>
      <c r="M50" s="264">
        <f t="shared" si="11"/>
        <v>2012</v>
      </c>
      <c r="N50" s="264">
        <f t="shared" si="11"/>
        <v>2013</v>
      </c>
      <c r="O50" s="264">
        <f t="shared" si="11"/>
        <v>2014</v>
      </c>
      <c r="P50" s="264">
        <f t="shared" si="11"/>
        <v>2015</v>
      </c>
      <c r="Q50" s="264">
        <f t="shared" si="11"/>
        <v>2016</v>
      </c>
      <c r="R50" s="264">
        <f t="shared" si="11"/>
        <v>2017</v>
      </c>
      <c r="S50" s="264">
        <f t="shared" si="11"/>
        <v>2018</v>
      </c>
      <c r="T50" s="264">
        <f t="shared" si="11"/>
        <v>2019</v>
      </c>
      <c r="U50" s="264">
        <f t="shared" si="11"/>
        <v>2020</v>
      </c>
      <c r="V50" s="264">
        <f t="shared" si="11"/>
        <v>2021</v>
      </c>
      <c r="W50" s="264">
        <f t="shared" si="11"/>
        <v>2022</v>
      </c>
      <c r="X50" s="264">
        <f t="shared" si="11"/>
        <v>2023</v>
      </c>
      <c r="Y50" s="594">
        <f t="shared" si="11"/>
        <v>2024</v>
      </c>
      <c r="Z50" s="594">
        <f t="shared" si="11"/>
        <v>2025</v>
      </c>
      <c r="AA50" s="594">
        <f t="shared" si="11"/>
        <v>2026</v>
      </c>
      <c r="AB50" s="594">
        <f t="shared" si="11"/>
        <v>2027</v>
      </c>
      <c r="AC50" s="594">
        <f t="shared" si="11"/>
        <v>2028</v>
      </c>
      <c r="AD50" s="594">
        <f t="shared" si="11"/>
        <v>2029</v>
      </c>
      <c r="AE50" s="594">
        <f t="shared" si="11"/>
        <v>2030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</row>
    <row r="51" spans="1:82">
      <c r="A51" s="36" t="s">
        <v>200</v>
      </c>
      <c r="B51" s="92">
        <f>Base!B36</f>
        <v>2474.654</v>
      </c>
      <c r="C51" s="92">
        <f>Base!C36</f>
        <v>2627.9160000000002</v>
      </c>
      <c r="D51" s="92">
        <f>Base!D36</f>
        <v>2871.491</v>
      </c>
      <c r="E51" s="92">
        <f>Base!E36</f>
        <v>3708.5940000000001</v>
      </c>
      <c r="F51" s="92">
        <f>Base!F36</f>
        <v>4665.3</v>
      </c>
      <c r="G51" s="92">
        <f>Base!G36</f>
        <v>6026.4440000000004</v>
      </c>
      <c r="H51" s="92">
        <f>Base!H36</f>
        <v>6985.4030000000002</v>
      </c>
      <c r="I51" s="92">
        <f>Base!I36</f>
        <v>7786.8429999999998</v>
      </c>
      <c r="J51" s="92">
        <f>Base!J36</f>
        <v>8587.0810000000019</v>
      </c>
      <c r="K51" s="92">
        <f>Base!K36</f>
        <v>8981.4399999999987</v>
      </c>
      <c r="L51" s="92">
        <f>Base!L36</f>
        <v>10696.504000000001</v>
      </c>
      <c r="M51" s="92">
        <f>Base!M36</f>
        <v>13519.513000000001</v>
      </c>
      <c r="N51" s="92">
        <f>Base!N36</f>
        <v>15712.665000000001</v>
      </c>
      <c r="O51" s="92">
        <f>Base!O36</f>
        <v>22800.255000000001</v>
      </c>
      <c r="P51" s="92">
        <f>Base!P36</f>
        <v>32288.376</v>
      </c>
      <c r="Q51" s="92">
        <f>Base!Q36</f>
        <v>37701.866999999998</v>
      </c>
      <c r="R51" s="92">
        <f>Base!R36</f>
        <v>42529.120999999999</v>
      </c>
      <c r="S51" s="92">
        <f>Base!S36</f>
        <v>46156.591</v>
      </c>
      <c r="T51" s="329">
        <f>Base!T36</f>
        <v>58154.618999999999</v>
      </c>
      <c r="U51" s="329">
        <f>Base!U36</f>
        <v>38495.419000000002</v>
      </c>
      <c r="V51" s="329">
        <f>Base!V36</f>
        <v>53379.468999999997</v>
      </c>
      <c r="W51" s="329">
        <f>Base!W36</f>
        <v>68831.305000000008</v>
      </c>
      <c r="X51" s="329">
        <f>Base!X36</f>
        <v>76231.047999999995</v>
      </c>
      <c r="Y51" s="329">
        <f>Base!Y36</f>
        <v>79604.235698233228</v>
      </c>
      <c r="Z51" s="329">
        <f>Base!Z36</f>
        <v>88604.548944993992</v>
      </c>
      <c r="AA51" s="329">
        <f>Base!AA36</f>
        <v>96046.244130494029</v>
      </c>
      <c r="AB51" s="329">
        <f>Base!AB36</f>
        <v>102997.62486263641</v>
      </c>
      <c r="AC51" s="329">
        <f>Base!AC36</f>
        <v>109390.15741898434</v>
      </c>
      <c r="AD51" s="329">
        <f>Base!AD36</f>
        <v>116122.85198467033</v>
      </c>
      <c r="AE51" s="329">
        <f>Base!AE36</f>
        <v>123098.31423831571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</row>
    <row r="52" spans="1:82">
      <c r="A52" s="36" t="s">
        <v>201</v>
      </c>
      <c r="B52" s="92">
        <f>Bull!B36</f>
        <v>2474.654</v>
      </c>
      <c r="C52" s="92">
        <f>Bull!C36</f>
        <v>2627.9160000000002</v>
      </c>
      <c r="D52" s="92">
        <f>Bull!D36</f>
        <v>2871.491</v>
      </c>
      <c r="E52" s="92">
        <f>Bull!E36</f>
        <v>3708.5940000000001</v>
      </c>
      <c r="F52" s="92">
        <f>Bull!F36</f>
        <v>4665.3</v>
      </c>
      <c r="G52" s="92">
        <f>Bull!G36</f>
        <v>6026.4440000000004</v>
      </c>
      <c r="H52" s="92">
        <f>Bull!H36</f>
        <v>6985.4030000000002</v>
      </c>
      <c r="I52" s="92">
        <f>Bull!I36</f>
        <v>7786.8429999999998</v>
      </c>
      <c r="J52" s="92">
        <f>Bull!J36</f>
        <v>8587.0810000000019</v>
      </c>
      <c r="K52" s="92">
        <f>Bull!K36</f>
        <v>8981.4399999999987</v>
      </c>
      <c r="L52" s="92">
        <f>Bull!L36</f>
        <v>10696.504000000001</v>
      </c>
      <c r="M52" s="92">
        <f>Bull!M36</f>
        <v>13519.513000000001</v>
      </c>
      <c r="N52" s="92">
        <f>Bull!N36</f>
        <v>15712.665000000001</v>
      </c>
      <c r="O52" s="92">
        <f>Bull!O36</f>
        <v>22800.255000000001</v>
      </c>
      <c r="P52" s="92">
        <f>Bull!P36</f>
        <v>32288.376</v>
      </c>
      <c r="Q52" s="92">
        <f>Bull!Q36</f>
        <v>37701.866999999998</v>
      </c>
      <c r="R52" s="92">
        <f>Bull!R36</f>
        <v>42529.120999999999</v>
      </c>
      <c r="S52" s="92">
        <f>Bull!S36</f>
        <v>46156.591</v>
      </c>
      <c r="T52" s="329">
        <f>Bull!T36</f>
        <v>58154.618999999999</v>
      </c>
      <c r="U52" s="329">
        <f>Bull!U36</f>
        <v>38495.419000000002</v>
      </c>
      <c r="V52" s="329">
        <f>Bull!V36</f>
        <v>53379.468999999997</v>
      </c>
      <c r="W52" s="329">
        <f>Bull!W36</f>
        <v>68831.305000000008</v>
      </c>
      <c r="X52" s="329">
        <f>Bull!X36</f>
        <v>76231.047999999995</v>
      </c>
      <c r="Y52" s="329">
        <f>Bull!Y36</f>
        <v>80122.118587727149</v>
      </c>
      <c r="Z52" s="329">
        <f>Bull!Z36</f>
        <v>89777.109265819658</v>
      </c>
      <c r="AA52" s="329">
        <f>Bull!AA36</f>
        <v>97873.652161340535</v>
      </c>
      <c r="AB52" s="329">
        <f>Bull!AB36</f>
        <v>105498.08548757793</v>
      </c>
      <c r="AC52" s="329">
        <f>Bull!AC36</f>
        <v>112469.11900170101</v>
      </c>
      <c r="AD52" s="329">
        <f>Bull!AD36</f>
        <v>119833.16907300646</v>
      </c>
      <c r="AE52" s="329">
        <f>Bull!AE36</f>
        <v>127494.10472130327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</row>
    <row r="53" spans="1:82">
      <c r="A53" s="36" t="s">
        <v>202</v>
      </c>
      <c r="B53" s="92">
        <f>Bear!B36</f>
        <v>2474.654</v>
      </c>
      <c r="C53" s="92">
        <f>Bear!C36</f>
        <v>2627.9160000000002</v>
      </c>
      <c r="D53" s="92">
        <f>Bear!D36</f>
        <v>2871.491</v>
      </c>
      <c r="E53" s="92">
        <f>Bear!E36</f>
        <v>3708.5940000000001</v>
      </c>
      <c r="F53" s="92">
        <f>Bear!F36</f>
        <v>4665.3</v>
      </c>
      <c r="G53" s="92">
        <f>Bear!G36</f>
        <v>6026.4440000000004</v>
      </c>
      <c r="H53" s="92">
        <f>Bear!H36</f>
        <v>6985.4030000000002</v>
      </c>
      <c r="I53" s="92">
        <f>Bear!I36</f>
        <v>7786.8429999999998</v>
      </c>
      <c r="J53" s="92">
        <f>Bear!J36</f>
        <v>8587.0810000000019</v>
      </c>
      <c r="K53" s="92">
        <f>Bear!K36</f>
        <v>8981.4399999999987</v>
      </c>
      <c r="L53" s="92">
        <f>Bear!L36</f>
        <v>10696.504000000001</v>
      </c>
      <c r="M53" s="92">
        <f>Bear!M36</f>
        <v>13519.513000000001</v>
      </c>
      <c r="N53" s="92">
        <f>Bear!N36</f>
        <v>15712.665000000001</v>
      </c>
      <c r="O53" s="92">
        <f>Bear!O36</f>
        <v>22800.255000000001</v>
      </c>
      <c r="P53" s="92">
        <f>Bear!P36</f>
        <v>32288.376</v>
      </c>
      <c r="Q53" s="92">
        <f>Bear!Q36</f>
        <v>37701.866999999998</v>
      </c>
      <c r="R53" s="92">
        <f>Bear!R36</f>
        <v>42529.120999999999</v>
      </c>
      <c r="S53" s="92">
        <f>Bear!S36</f>
        <v>46156.591</v>
      </c>
      <c r="T53" s="329">
        <f>Bear!T36</f>
        <v>58154.618999999999</v>
      </c>
      <c r="U53" s="329">
        <f>Bear!U36</f>
        <v>38495.419000000002</v>
      </c>
      <c r="V53" s="329">
        <f>Bear!V36</f>
        <v>53379.468999999997</v>
      </c>
      <c r="W53" s="329">
        <f>Bear!W36</f>
        <v>68831.305000000008</v>
      </c>
      <c r="X53" s="329">
        <f>Bear!X36</f>
        <v>76231.047999999995</v>
      </c>
      <c r="Y53" s="329">
        <f>Bear!Y36</f>
        <v>78549.033316147907</v>
      </c>
      <c r="Z53" s="329">
        <f>Bear!Z36</f>
        <v>86000.984261954174</v>
      </c>
      <c r="AA53" s="329">
        <f>Bear!AA36</f>
        <v>91862.025037079569</v>
      </c>
      <c r="AB53" s="329">
        <f>Bear!AB36</f>
        <v>97282.619721801486</v>
      </c>
      <c r="AC53" s="329">
        <f>Bear!AC36</f>
        <v>102409.94176726675</v>
      </c>
      <c r="AD53" s="329">
        <f>Bear!AD36</f>
        <v>107782.73332679388</v>
      </c>
      <c r="AE53" s="329">
        <f>Bear!AE36</f>
        <v>113295.62029326905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</row>
    <row r="54" spans="1:82">
      <c r="A54" s="36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329"/>
      <c r="U54" s="329"/>
      <c r="V54" s="329"/>
      <c r="W54" s="329"/>
      <c r="X54" s="329"/>
      <c r="Y54" s="329"/>
      <c r="Z54" s="329"/>
      <c r="AA54" s="329"/>
      <c r="AB54" s="329"/>
      <c r="AC54" s="329"/>
      <c r="AD54" s="329"/>
      <c r="AE54" s="32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</row>
    <row r="55" spans="1:82">
      <c r="A55" s="242" t="s">
        <v>308</v>
      </c>
      <c r="B55" s="264">
        <v>2001</v>
      </c>
      <c r="C55" s="264">
        <v>2002</v>
      </c>
      <c r="D55" s="264">
        <v>2003</v>
      </c>
      <c r="E55" s="264">
        <v>2004</v>
      </c>
      <c r="F55" s="264">
        <v>2005</v>
      </c>
      <c r="G55" s="264">
        <v>2006</v>
      </c>
      <c r="H55" s="264">
        <v>2007</v>
      </c>
      <c r="I55" s="264">
        <v>2008</v>
      </c>
      <c r="J55" s="264">
        <f t="shared" ref="J55:AE55" si="12">J$6</f>
        <v>2009</v>
      </c>
      <c r="K55" s="264">
        <f t="shared" si="12"/>
        <v>2010</v>
      </c>
      <c r="L55" s="264">
        <f t="shared" si="12"/>
        <v>2011</v>
      </c>
      <c r="M55" s="264">
        <f t="shared" si="12"/>
        <v>2012</v>
      </c>
      <c r="N55" s="264">
        <f t="shared" si="12"/>
        <v>2013</v>
      </c>
      <c r="O55" s="264">
        <f t="shared" si="12"/>
        <v>2014</v>
      </c>
      <c r="P55" s="264">
        <f t="shared" si="12"/>
        <v>2015</v>
      </c>
      <c r="Q55" s="264">
        <f t="shared" si="12"/>
        <v>2016</v>
      </c>
      <c r="R55" s="264">
        <f t="shared" si="12"/>
        <v>2017</v>
      </c>
      <c r="S55" s="264">
        <f t="shared" si="12"/>
        <v>2018</v>
      </c>
      <c r="T55" s="264">
        <f t="shared" si="12"/>
        <v>2019</v>
      </c>
      <c r="U55" s="264">
        <f t="shared" si="12"/>
        <v>2020</v>
      </c>
      <c r="V55" s="264">
        <f t="shared" si="12"/>
        <v>2021</v>
      </c>
      <c r="W55" s="264">
        <f t="shared" si="12"/>
        <v>2022</v>
      </c>
      <c r="X55" s="264">
        <f t="shared" si="12"/>
        <v>2023</v>
      </c>
      <c r="Y55" s="594">
        <f t="shared" si="12"/>
        <v>2024</v>
      </c>
      <c r="Z55" s="594">
        <f t="shared" si="12"/>
        <v>2025</v>
      </c>
      <c r="AA55" s="594">
        <f t="shared" si="12"/>
        <v>2026</v>
      </c>
      <c r="AB55" s="594">
        <f t="shared" si="12"/>
        <v>2027</v>
      </c>
      <c r="AC55" s="594">
        <f t="shared" si="12"/>
        <v>2028</v>
      </c>
      <c r="AD55" s="594">
        <f t="shared" si="12"/>
        <v>2029</v>
      </c>
      <c r="AE55" s="594">
        <f t="shared" si="12"/>
        <v>2030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</row>
    <row r="56" spans="1:82">
      <c r="A56" s="244" t="s">
        <v>200</v>
      </c>
      <c r="B56" s="245" t="e">
        <f>NA()</f>
        <v>#N/A</v>
      </c>
      <c r="C56" s="245">
        <f t="shared" ref="C56:Z56" si="13">C51/B51-1</f>
        <v>6.1932698470170022E-2</v>
      </c>
      <c r="D56" s="245">
        <f t="shared" si="13"/>
        <v>9.2687513603935567E-2</v>
      </c>
      <c r="E56" s="245">
        <f t="shared" si="13"/>
        <v>0.29152206989330631</v>
      </c>
      <c r="F56" s="245">
        <f t="shared" si="13"/>
        <v>0.25797000156932803</v>
      </c>
      <c r="G56" s="245">
        <f t="shared" si="13"/>
        <v>0.2917591580391401</v>
      </c>
      <c r="H56" s="245">
        <f t="shared" si="13"/>
        <v>0.15912518227996464</v>
      </c>
      <c r="I56" s="245">
        <f t="shared" si="13"/>
        <v>0.11473067480859722</v>
      </c>
      <c r="J56" s="245">
        <f t="shared" si="13"/>
        <v>0.10276796385903797</v>
      </c>
      <c r="K56" s="245">
        <f t="shared" si="13"/>
        <v>4.5924686165181861E-2</v>
      </c>
      <c r="L56" s="245">
        <f t="shared" si="13"/>
        <v>0.19095646132468769</v>
      </c>
      <c r="M56" s="245">
        <f t="shared" si="13"/>
        <v>0.26391884675591193</v>
      </c>
      <c r="N56" s="245">
        <f t="shared" si="13"/>
        <v>0.16222122793920168</v>
      </c>
      <c r="O56" s="245">
        <f t="shared" si="13"/>
        <v>0.4510749767782869</v>
      </c>
      <c r="P56" s="245">
        <f t="shared" si="13"/>
        <v>0.41614100368614304</v>
      </c>
      <c r="Q56" s="245">
        <f t="shared" si="13"/>
        <v>0.16766067763829295</v>
      </c>
      <c r="R56" s="245">
        <f t="shared" si="13"/>
        <v>0.12803753193442646</v>
      </c>
      <c r="S56" s="245">
        <f t="shared" si="13"/>
        <v>8.5293791987847589E-2</v>
      </c>
      <c r="T56" s="452">
        <f t="shared" si="13"/>
        <v>0.25994181416040885</v>
      </c>
      <c r="U56" s="452">
        <f t="shared" si="13"/>
        <v>-0.3380505338707489</v>
      </c>
      <c r="V56" s="452">
        <f t="shared" si="13"/>
        <v>0.38664470699747411</v>
      </c>
      <c r="W56" s="452">
        <f t="shared" si="13"/>
        <v>0.28947151947127847</v>
      </c>
      <c r="X56" s="452">
        <f t="shared" si="13"/>
        <v>0.10750548751037026</v>
      </c>
      <c r="Y56" s="452">
        <f t="shared" si="13"/>
        <v>4.4249525445763771E-2</v>
      </c>
      <c r="Z56" s="452">
        <f t="shared" si="13"/>
        <v>0.11306324553984148</v>
      </c>
      <c r="AA56" s="452">
        <f t="shared" ref="AA56:AE58" si="14">AA51/Z51-1</f>
        <v>8.3987732843376461E-2</v>
      </c>
      <c r="AB56" s="452">
        <f t="shared" si="14"/>
        <v>7.2375352051224695E-2</v>
      </c>
      <c r="AC56" s="452">
        <f t="shared" si="14"/>
        <v>6.206485406700768E-2</v>
      </c>
      <c r="AD56" s="452">
        <f t="shared" si="14"/>
        <v>6.1547535212866933E-2</v>
      </c>
      <c r="AE56" s="452">
        <f t="shared" si="14"/>
        <v>6.0069677366916707E-2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</row>
    <row r="57" spans="1:82">
      <c r="A57" s="244" t="s">
        <v>201</v>
      </c>
      <c r="B57" s="245" t="e">
        <f>NA()</f>
        <v>#N/A</v>
      </c>
      <c r="C57" s="245">
        <f t="shared" ref="C57:Z57" si="15">C52/B52-1</f>
        <v>6.1932698470170022E-2</v>
      </c>
      <c r="D57" s="245">
        <f t="shared" si="15"/>
        <v>9.2687513603935567E-2</v>
      </c>
      <c r="E57" s="245">
        <f t="shared" si="15"/>
        <v>0.29152206989330631</v>
      </c>
      <c r="F57" s="245">
        <f t="shared" si="15"/>
        <v>0.25797000156932803</v>
      </c>
      <c r="G57" s="245">
        <f t="shared" si="15"/>
        <v>0.2917591580391401</v>
      </c>
      <c r="H57" s="245">
        <f t="shared" si="15"/>
        <v>0.15912518227996464</v>
      </c>
      <c r="I57" s="245">
        <f t="shared" si="15"/>
        <v>0.11473067480859722</v>
      </c>
      <c r="J57" s="245">
        <f t="shared" si="15"/>
        <v>0.10276796385903797</v>
      </c>
      <c r="K57" s="245">
        <f t="shared" si="15"/>
        <v>4.5924686165181861E-2</v>
      </c>
      <c r="L57" s="245">
        <f t="shared" si="15"/>
        <v>0.19095646132468769</v>
      </c>
      <c r="M57" s="245">
        <f t="shared" si="15"/>
        <v>0.26391884675591193</v>
      </c>
      <c r="N57" s="245">
        <f t="shared" si="15"/>
        <v>0.16222122793920168</v>
      </c>
      <c r="O57" s="245">
        <f t="shared" si="15"/>
        <v>0.4510749767782869</v>
      </c>
      <c r="P57" s="245">
        <f t="shared" si="15"/>
        <v>0.41614100368614304</v>
      </c>
      <c r="Q57" s="245">
        <f t="shared" si="15"/>
        <v>0.16766067763829295</v>
      </c>
      <c r="R57" s="245">
        <f t="shared" si="15"/>
        <v>0.12803753193442646</v>
      </c>
      <c r="S57" s="245">
        <f t="shared" si="15"/>
        <v>8.5293791987847589E-2</v>
      </c>
      <c r="T57" s="452">
        <f t="shared" si="15"/>
        <v>0.25994181416040885</v>
      </c>
      <c r="U57" s="452">
        <f t="shared" si="15"/>
        <v>-0.3380505338707489</v>
      </c>
      <c r="V57" s="452">
        <f t="shared" si="15"/>
        <v>0.38664470699747411</v>
      </c>
      <c r="W57" s="452">
        <f t="shared" si="15"/>
        <v>0.28947151947127847</v>
      </c>
      <c r="X57" s="452">
        <f t="shared" si="15"/>
        <v>0.10750548751037026</v>
      </c>
      <c r="Y57" s="452">
        <f t="shared" si="15"/>
        <v>5.1043120746905535E-2</v>
      </c>
      <c r="Z57" s="452">
        <f t="shared" si="15"/>
        <v>0.12050343710670952</v>
      </c>
      <c r="AA57" s="452">
        <f t="shared" si="14"/>
        <v>9.0184936469138721E-2</v>
      </c>
      <c r="AB57" s="452">
        <f t="shared" si="14"/>
        <v>7.7900774701539222E-2</v>
      </c>
      <c r="AC57" s="452">
        <f t="shared" si="14"/>
        <v>6.6077346161356632E-2</v>
      </c>
      <c r="AD57" s="452">
        <f t="shared" si="14"/>
        <v>6.5476195925337377E-2</v>
      </c>
      <c r="AE57" s="452">
        <f t="shared" si="14"/>
        <v>6.3930009592164883E-2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</row>
    <row r="58" spans="1:82">
      <c r="A58" s="244" t="s">
        <v>202</v>
      </c>
      <c r="B58" s="245" t="e">
        <f>NA()</f>
        <v>#N/A</v>
      </c>
      <c r="C58" s="245">
        <f t="shared" ref="C58:Z58" si="16">C53/B53-1</f>
        <v>6.1932698470170022E-2</v>
      </c>
      <c r="D58" s="245">
        <f t="shared" si="16"/>
        <v>9.2687513603935567E-2</v>
      </c>
      <c r="E58" s="245">
        <f t="shared" si="16"/>
        <v>0.29152206989330631</v>
      </c>
      <c r="F58" s="245">
        <f t="shared" si="16"/>
        <v>0.25797000156932803</v>
      </c>
      <c r="G58" s="245">
        <f t="shared" si="16"/>
        <v>0.2917591580391401</v>
      </c>
      <c r="H58" s="245">
        <f t="shared" si="16"/>
        <v>0.15912518227996464</v>
      </c>
      <c r="I58" s="245">
        <f t="shared" si="16"/>
        <v>0.11473067480859722</v>
      </c>
      <c r="J58" s="245">
        <f t="shared" si="16"/>
        <v>0.10276796385903797</v>
      </c>
      <c r="K58" s="245">
        <f t="shared" si="16"/>
        <v>4.5924686165181861E-2</v>
      </c>
      <c r="L58" s="245">
        <f t="shared" si="16"/>
        <v>0.19095646132468769</v>
      </c>
      <c r="M58" s="245">
        <f t="shared" si="16"/>
        <v>0.26391884675591193</v>
      </c>
      <c r="N58" s="245">
        <f t="shared" si="16"/>
        <v>0.16222122793920168</v>
      </c>
      <c r="O58" s="245">
        <f t="shared" si="16"/>
        <v>0.4510749767782869</v>
      </c>
      <c r="P58" s="245">
        <f t="shared" si="16"/>
        <v>0.41614100368614304</v>
      </c>
      <c r="Q58" s="245">
        <f t="shared" si="16"/>
        <v>0.16766067763829295</v>
      </c>
      <c r="R58" s="245">
        <f t="shared" si="16"/>
        <v>0.12803753193442646</v>
      </c>
      <c r="S58" s="245">
        <f t="shared" si="16"/>
        <v>8.5293791987847589E-2</v>
      </c>
      <c r="T58" s="452">
        <f t="shared" si="16"/>
        <v>0.25994181416040885</v>
      </c>
      <c r="U58" s="452">
        <f t="shared" si="16"/>
        <v>-0.3380505338707489</v>
      </c>
      <c r="V58" s="452">
        <f t="shared" si="16"/>
        <v>0.38664470699747411</v>
      </c>
      <c r="W58" s="452">
        <f t="shared" si="16"/>
        <v>0.28947151947127847</v>
      </c>
      <c r="X58" s="452">
        <f t="shared" si="16"/>
        <v>0.10750548751037026</v>
      </c>
      <c r="Y58" s="452">
        <f t="shared" si="16"/>
        <v>3.0407365200435299E-2</v>
      </c>
      <c r="Z58" s="452">
        <f t="shared" si="16"/>
        <v>9.4870052898210711E-2</v>
      </c>
      <c r="AA58" s="452">
        <f t="shared" si="14"/>
        <v>6.8150856939880988E-2</v>
      </c>
      <c r="AB58" s="452">
        <f t="shared" si="14"/>
        <v>5.9008003389147134E-2</v>
      </c>
      <c r="AC58" s="452">
        <f t="shared" si="14"/>
        <v>5.2705427342806255E-2</v>
      </c>
      <c r="AD58" s="452">
        <f t="shared" si="14"/>
        <v>5.2463574012542091E-2</v>
      </c>
      <c r="AE58" s="452">
        <f t="shared" si="14"/>
        <v>5.1148145870083539E-2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</row>
    <row r="59" spans="1:82">
      <c r="A59" s="244"/>
      <c r="B59" s="256"/>
      <c r="C59" s="256"/>
      <c r="D59" s="256"/>
      <c r="E59" s="256"/>
      <c r="F59" s="256"/>
      <c r="G59" s="256"/>
      <c r="H59" s="256"/>
      <c r="I59" s="256"/>
      <c r="J59" s="256"/>
      <c r="K59" s="245"/>
      <c r="L59" s="245"/>
      <c r="M59" s="245"/>
      <c r="N59" s="245"/>
      <c r="O59" s="245"/>
      <c r="P59" s="245"/>
      <c r="Q59" s="245"/>
      <c r="R59" s="245"/>
      <c r="S59" s="245"/>
      <c r="T59" s="452"/>
      <c r="U59" s="452"/>
      <c r="V59" s="452"/>
      <c r="W59" s="452"/>
      <c r="X59" s="452"/>
      <c r="Y59" s="452"/>
      <c r="Z59" s="452"/>
      <c r="AA59" s="452"/>
      <c r="AB59" s="452"/>
      <c r="AC59" s="452"/>
      <c r="AD59" s="452"/>
      <c r="AE59" s="452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</row>
    <row r="60" spans="1:82">
      <c r="A60" s="242" t="s">
        <v>1132</v>
      </c>
      <c r="B60" s="264">
        <v>2001</v>
      </c>
      <c r="C60" s="264">
        <v>2002</v>
      </c>
      <c r="D60" s="264">
        <v>2003</v>
      </c>
      <c r="E60" s="264">
        <v>2004</v>
      </c>
      <c r="F60" s="264">
        <v>2005</v>
      </c>
      <c r="G60" s="264">
        <v>2006</v>
      </c>
      <c r="H60" s="264">
        <v>2007</v>
      </c>
      <c r="I60" s="264">
        <v>2008</v>
      </c>
      <c r="J60" s="264">
        <f t="shared" ref="J60:AE60" si="17">J$6</f>
        <v>2009</v>
      </c>
      <c r="K60" s="264">
        <f t="shared" si="17"/>
        <v>2010</v>
      </c>
      <c r="L60" s="264">
        <f t="shared" si="17"/>
        <v>2011</v>
      </c>
      <c r="M60" s="264">
        <f t="shared" si="17"/>
        <v>2012</v>
      </c>
      <c r="N60" s="264">
        <f t="shared" si="17"/>
        <v>2013</v>
      </c>
      <c r="O60" s="264">
        <f t="shared" si="17"/>
        <v>2014</v>
      </c>
      <c r="P60" s="264">
        <f t="shared" si="17"/>
        <v>2015</v>
      </c>
      <c r="Q60" s="264">
        <f t="shared" si="17"/>
        <v>2016</v>
      </c>
      <c r="R60" s="264">
        <f t="shared" si="17"/>
        <v>2017</v>
      </c>
      <c r="S60" s="264">
        <f t="shared" si="17"/>
        <v>2018</v>
      </c>
      <c r="T60" s="264">
        <f t="shared" si="17"/>
        <v>2019</v>
      </c>
      <c r="U60" s="264">
        <f t="shared" si="17"/>
        <v>2020</v>
      </c>
      <c r="V60" s="264">
        <f t="shared" si="17"/>
        <v>2021</v>
      </c>
      <c r="W60" s="264">
        <f t="shared" si="17"/>
        <v>2022</v>
      </c>
      <c r="X60" s="264">
        <f t="shared" si="17"/>
        <v>2023</v>
      </c>
      <c r="Y60" s="594">
        <f t="shared" si="17"/>
        <v>2024</v>
      </c>
      <c r="Z60" s="594">
        <f t="shared" si="17"/>
        <v>2025</v>
      </c>
      <c r="AA60" s="594">
        <f t="shared" si="17"/>
        <v>2026</v>
      </c>
      <c r="AB60" s="594">
        <f t="shared" si="17"/>
        <v>2027</v>
      </c>
      <c r="AC60" s="594">
        <f t="shared" si="17"/>
        <v>2028</v>
      </c>
      <c r="AD60" s="594">
        <f t="shared" si="17"/>
        <v>2029</v>
      </c>
      <c r="AE60" s="594">
        <f t="shared" si="17"/>
        <v>2030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</row>
    <row r="61" spans="1:82">
      <c r="A61" s="36" t="s">
        <v>731</v>
      </c>
      <c r="B61" s="251">
        <f>Financials!B38</f>
        <v>2474.654</v>
      </c>
      <c r="C61" s="251">
        <f>Financials!C38</f>
        <v>2628</v>
      </c>
      <c r="D61" s="251">
        <f>Financials!D38</f>
        <v>2871</v>
      </c>
      <c r="E61" s="251">
        <f>Financials!E38</f>
        <v>4675</v>
      </c>
      <c r="F61" s="251">
        <f>Financials!F38</f>
        <v>5628</v>
      </c>
      <c r="G61" s="251">
        <f>Financials!G38</f>
        <v>7076</v>
      </c>
      <c r="H61" s="251">
        <f>Financials!H38</f>
        <v>8008</v>
      </c>
      <c r="I61" s="251">
        <f>Financials!I38</f>
        <v>8694.1</v>
      </c>
      <c r="J61" s="251">
        <f>Financials!J38</f>
        <v>9097.5</v>
      </c>
      <c r="K61" s="250">
        <f>Financials!K38</f>
        <v>9085.1</v>
      </c>
      <c r="L61" s="250">
        <f>Financials!L38</f>
        <v>10501</v>
      </c>
      <c r="M61" s="250">
        <f>Financials!M38</f>
        <v>12785.8</v>
      </c>
      <c r="N61" s="250">
        <f>Financials!N38</f>
        <v>14694.7</v>
      </c>
      <c r="O61" s="250">
        <f>Financials!O38</f>
        <v>20668</v>
      </c>
      <c r="P61" s="250">
        <f>Financials!P38</f>
        <v>19896</v>
      </c>
      <c r="Q61" s="250">
        <f>Financials!Q38</f>
        <v>21986</v>
      </c>
      <c r="R61" s="250">
        <f>Financials!R38</f>
        <v>23677</v>
      </c>
      <c r="S61" s="250">
        <f>Financials!S38</f>
        <v>25462</v>
      </c>
      <c r="T61" s="454">
        <f>Financials!T38</f>
        <v>27217</v>
      </c>
      <c r="U61" s="454">
        <f>Financials!U38</f>
        <v>19067</v>
      </c>
      <c r="V61" s="454">
        <f>Financials!V38</f>
        <v>26015</v>
      </c>
      <c r="W61" s="454">
        <f>Financials!W38</f>
        <v>33468</v>
      </c>
      <c r="X61" s="454">
        <f>Financials!X38</f>
        <v>39358</v>
      </c>
      <c r="Y61" s="454">
        <f>Financials!Y38</f>
        <v>43061.606390245215</v>
      </c>
      <c r="Z61" s="454">
        <f>Financials!Z38</f>
        <v>45599.366837764588</v>
      </c>
      <c r="AA61" s="454">
        <f>Financials!AA38</f>
        <v>48364.973472081801</v>
      </c>
      <c r="AB61" s="454">
        <f>Financials!AB38</f>
        <v>51104.132916101604</v>
      </c>
      <c r="AC61" s="454">
        <f>Financials!AC38</f>
        <v>53373.295293075018</v>
      </c>
      <c r="AD61" s="454">
        <f>Financials!AD38</f>
        <v>55728.868830958374</v>
      </c>
      <c r="AE61" s="454">
        <f>Financials!AE38</f>
        <v>58113.813698632242</v>
      </c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</row>
    <row r="62" spans="1:82">
      <c r="A62" s="36" t="s">
        <v>949</v>
      </c>
      <c r="B62" s="251">
        <f>Financials!B39</f>
        <v>0</v>
      </c>
      <c r="C62" s="251">
        <f>Financials!C39</f>
        <v>0</v>
      </c>
      <c r="D62" s="251">
        <f>Financials!D39</f>
        <v>0</v>
      </c>
      <c r="E62" s="251">
        <f>Financials!E39</f>
        <v>0</v>
      </c>
      <c r="F62" s="251">
        <f>Financials!F39</f>
        <v>0</v>
      </c>
      <c r="G62" s="251">
        <f>Financials!G39</f>
        <v>0</v>
      </c>
      <c r="H62" s="251">
        <f>Financials!H39</f>
        <v>0</v>
      </c>
      <c r="I62" s="251">
        <f>Financials!I39</f>
        <v>0</v>
      </c>
      <c r="J62" s="251">
        <f>Financials!J39</f>
        <v>0</v>
      </c>
      <c r="K62" s="250">
        <f>Financials!K39</f>
        <v>0</v>
      </c>
      <c r="L62" s="250">
        <f>Financials!L39</f>
        <v>0</v>
      </c>
      <c r="M62" s="250">
        <f>Financials!M39</f>
        <v>0</v>
      </c>
      <c r="N62" s="250">
        <f>Financials!N39</f>
        <v>0</v>
      </c>
      <c r="O62" s="250">
        <f>Financials!O39</f>
        <v>1468</v>
      </c>
      <c r="P62" s="250">
        <f>Financials!P39</f>
        <v>5673</v>
      </c>
      <c r="Q62" s="250">
        <f>Financials!Q39</f>
        <v>7591</v>
      </c>
      <c r="R62" s="250">
        <f>Financials!R39</f>
        <v>8570</v>
      </c>
      <c r="S62" s="250">
        <f>Financials!S39</f>
        <v>9887</v>
      </c>
      <c r="T62" s="454">
        <f>Financials!T39</f>
        <v>21207</v>
      </c>
      <c r="U62" s="454">
        <f>Financials!U39</f>
        <v>13860</v>
      </c>
      <c r="V62" s="454">
        <f>Financials!V39</f>
        <v>18414</v>
      </c>
      <c r="W62" s="454">
        <f>Financials!W39</f>
        <v>21976</v>
      </c>
      <c r="X62" s="454">
        <f>Financials!X39</f>
        <v>22966</v>
      </c>
      <c r="Y62" s="454">
        <f>Financials!Y39</f>
        <v>24034.949605353468</v>
      </c>
      <c r="Z62" s="454">
        <f>Financials!Z39</f>
        <v>27931.995653906328</v>
      </c>
      <c r="AA62" s="454">
        <f>Financials!AA39</f>
        <v>30430.845077785587</v>
      </c>
      <c r="AB62" s="454">
        <f>Financials!AB39</f>
        <v>32847.446319831914</v>
      </c>
      <c r="AC62" s="454">
        <f>Financials!AC39</f>
        <v>35344.199485813224</v>
      </c>
      <c r="AD62" s="454">
        <f>Financials!AD39</f>
        <v>37994.783729019713</v>
      </c>
      <c r="AE62" s="454">
        <f>Financials!AE39</f>
        <v>40751.057529097307</v>
      </c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</row>
    <row r="63" spans="1:82">
      <c r="A63" s="36" t="s">
        <v>733</v>
      </c>
      <c r="B63" s="251">
        <f>Financials!B40</f>
        <v>0</v>
      </c>
      <c r="C63" s="251">
        <f>Financials!C40</f>
        <v>0</v>
      </c>
      <c r="D63" s="251">
        <f>Financials!D40</f>
        <v>0</v>
      </c>
      <c r="E63" s="251">
        <f>Financials!E40</f>
        <v>0</v>
      </c>
      <c r="F63" s="251">
        <f>Financials!F40</f>
        <v>0</v>
      </c>
      <c r="G63" s="251">
        <f>Financials!G40</f>
        <v>347</v>
      </c>
      <c r="H63" s="251">
        <f>Financials!H40</f>
        <v>642</v>
      </c>
      <c r="I63" s="251">
        <f>Financials!I40</f>
        <v>972</v>
      </c>
      <c r="J63" s="251">
        <f>Financials!J40</f>
        <v>1407.7</v>
      </c>
      <c r="K63" s="250">
        <f>Financials!K40</f>
        <v>1810.6999999999998</v>
      </c>
      <c r="L63" s="250">
        <f>Financials!L40</f>
        <v>2402.1</v>
      </c>
      <c r="M63" s="250">
        <f>Financials!M40</f>
        <v>3416.5</v>
      </c>
      <c r="N63" s="250">
        <f>Financials!N40</f>
        <v>4219.5</v>
      </c>
      <c r="O63" s="250">
        <f>Financials!O40</f>
        <v>4621</v>
      </c>
      <c r="P63" s="250">
        <f>Financials!P40</f>
        <v>6718</v>
      </c>
      <c r="Q63" s="250">
        <f>Financials!Q40</f>
        <v>8124</v>
      </c>
      <c r="R63" s="250">
        <f>Financials!R40</f>
        <v>10283</v>
      </c>
      <c r="S63" s="250">
        <f>Financials!S40</f>
        <v>10194.977999999999</v>
      </c>
      <c r="T63" s="454">
        <f>Financials!T40</f>
        <v>9732.4130000000005</v>
      </c>
      <c r="U63" s="454">
        <f>Financials!U40</f>
        <v>5586.9660000000003</v>
      </c>
      <c r="V63" s="454">
        <f>Financials!V40</f>
        <v>8962.0789999999997</v>
      </c>
      <c r="W63" s="454">
        <f>Financials!W40</f>
        <v>13387.712</v>
      </c>
      <c r="X63" s="454">
        <f>Financials!X40</f>
        <v>13905.773000000001</v>
      </c>
      <c r="Y63" s="454">
        <f>Financials!Y40</f>
        <v>11451.235320549225</v>
      </c>
      <c r="Z63" s="454">
        <f>Financials!Z40</f>
        <v>12469.62177028326</v>
      </c>
      <c r="AA63" s="454">
        <f>Financials!AA40</f>
        <v>13066.206487212175</v>
      </c>
      <c r="AB63" s="454">
        <f>Financials!AB40</f>
        <v>13331.040485867961</v>
      </c>
      <c r="AC63" s="454">
        <f>Financials!AC40</f>
        <v>13692.446988378508</v>
      </c>
      <c r="AD63" s="454">
        <f>Financials!AD40</f>
        <v>14059.080766815794</v>
      </c>
      <c r="AE63" s="454">
        <f>Financials!AE40</f>
        <v>14430.749065539501</v>
      </c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</row>
    <row r="64" spans="1:82">
      <c r="A64" s="36" t="s">
        <v>755</v>
      </c>
      <c r="B64" s="251">
        <f>Financials!B41</f>
        <v>0</v>
      </c>
      <c r="C64" s="251">
        <f>Financials!C41</f>
        <v>0</v>
      </c>
      <c r="D64" s="251">
        <f>Financials!D41</f>
        <v>0</v>
      </c>
      <c r="E64" s="251">
        <f>Financials!E41</f>
        <v>-966</v>
      </c>
      <c r="F64" s="251">
        <f>Financials!F41</f>
        <v>-1132</v>
      </c>
      <c r="G64" s="251">
        <f>Financials!G41</f>
        <v>-1397</v>
      </c>
      <c r="H64" s="251">
        <f>Financials!H41</f>
        <v>-1665</v>
      </c>
      <c r="I64" s="251">
        <f>Financials!I41</f>
        <v>-1879</v>
      </c>
      <c r="J64" s="251">
        <f>Financials!J41</f>
        <v>-1918.1189999999997</v>
      </c>
      <c r="K64" s="250">
        <f>Financials!K41</f>
        <v>-1914.3600000000004</v>
      </c>
      <c r="L64" s="250">
        <f>Financials!L41</f>
        <v>-2206.5959999999995</v>
      </c>
      <c r="M64" s="250">
        <f>Financials!M41</f>
        <v>-2682.7869999999989</v>
      </c>
      <c r="N64" s="250">
        <f>Financials!N41</f>
        <v>-3201.5350000000003</v>
      </c>
      <c r="O64" s="250">
        <f>Financials!O41</f>
        <v>-3956.7449999999999</v>
      </c>
      <c r="P64" s="250">
        <f>Financials!P41</f>
        <v>1.3759999999992942</v>
      </c>
      <c r="Q64" s="250">
        <f>Financials!Q41</f>
        <v>0.86700000000018917</v>
      </c>
      <c r="R64" s="250">
        <f>Financials!R41</f>
        <v>-0.87900000000081491</v>
      </c>
      <c r="S64" s="250">
        <f>Financials!S41</f>
        <v>612.61300000000028</v>
      </c>
      <c r="T64" s="454">
        <f>Financials!T41</f>
        <v>-1.794000000001688</v>
      </c>
      <c r="U64" s="454">
        <f>Financials!U41</f>
        <v>-18.547000000000025</v>
      </c>
      <c r="V64" s="454">
        <f>Financials!V41</f>
        <v>-11.609999999999673</v>
      </c>
      <c r="W64" s="454">
        <f>Financials!W41</f>
        <v>-0.40699999999742431</v>
      </c>
      <c r="X64" s="454">
        <f>Financials!X41</f>
        <v>1.2749999999996362</v>
      </c>
      <c r="Y64" s="454">
        <f>Financials!Y41</f>
        <v>1.2420000000038272</v>
      </c>
      <c r="Z64" s="454">
        <f>Financials!Z41</f>
        <v>0</v>
      </c>
      <c r="AA64" s="454">
        <f>Financials!AA41</f>
        <v>0</v>
      </c>
      <c r="AB64" s="454">
        <f>Financials!AB41</f>
        <v>0</v>
      </c>
      <c r="AC64" s="454">
        <f>Financials!AC41</f>
        <v>0</v>
      </c>
      <c r="AD64" s="454">
        <f>Financials!AD41</f>
        <v>0</v>
      </c>
      <c r="AE64" s="454">
        <f>Financials!AE41</f>
        <v>0</v>
      </c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</row>
    <row r="65" spans="1:82">
      <c r="A65" s="36"/>
      <c r="B65" s="256"/>
      <c r="C65" s="256"/>
      <c r="D65" s="256"/>
      <c r="E65" s="256"/>
      <c r="F65" s="256"/>
      <c r="G65" s="256"/>
      <c r="H65" s="256"/>
      <c r="I65" s="256"/>
      <c r="J65" s="256"/>
      <c r="K65" s="245"/>
      <c r="L65" s="245"/>
      <c r="M65" s="245"/>
      <c r="N65" s="245"/>
      <c r="O65" s="245"/>
      <c r="P65" s="245"/>
      <c r="Q65" s="245"/>
      <c r="R65" s="245"/>
      <c r="S65" s="245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</row>
    <row r="66" spans="1:82">
      <c r="A66" s="242" t="s">
        <v>1133</v>
      </c>
      <c r="B66" s="264">
        <v>2001</v>
      </c>
      <c r="C66" s="264">
        <v>2002</v>
      </c>
      <c r="D66" s="264">
        <v>2003</v>
      </c>
      <c r="E66" s="264">
        <v>2004</v>
      </c>
      <c r="F66" s="264">
        <v>2005</v>
      </c>
      <c r="G66" s="264">
        <v>2006</v>
      </c>
      <c r="H66" s="264">
        <v>2007</v>
      </c>
      <c r="I66" s="264">
        <v>2008</v>
      </c>
      <c r="J66" s="264">
        <f t="shared" ref="J66:AE66" si="18">J$6</f>
        <v>2009</v>
      </c>
      <c r="K66" s="264">
        <f t="shared" si="18"/>
        <v>2010</v>
      </c>
      <c r="L66" s="264">
        <f t="shared" si="18"/>
        <v>2011</v>
      </c>
      <c r="M66" s="264">
        <f t="shared" si="18"/>
        <v>2012</v>
      </c>
      <c r="N66" s="264">
        <f t="shared" si="18"/>
        <v>2013</v>
      </c>
      <c r="O66" s="264">
        <f t="shared" si="18"/>
        <v>2014</v>
      </c>
      <c r="P66" s="264">
        <f t="shared" si="18"/>
        <v>2015</v>
      </c>
      <c r="Q66" s="264">
        <f t="shared" si="18"/>
        <v>2016</v>
      </c>
      <c r="R66" s="264">
        <f t="shared" si="18"/>
        <v>2017</v>
      </c>
      <c r="S66" s="264">
        <f t="shared" si="18"/>
        <v>2018</v>
      </c>
      <c r="T66" s="264">
        <f t="shared" si="18"/>
        <v>2019</v>
      </c>
      <c r="U66" s="264">
        <f t="shared" si="18"/>
        <v>2020</v>
      </c>
      <c r="V66" s="264">
        <f t="shared" si="18"/>
        <v>2021</v>
      </c>
      <c r="W66" s="264">
        <f t="shared" si="18"/>
        <v>2022</v>
      </c>
      <c r="X66" s="264">
        <f t="shared" si="18"/>
        <v>2023</v>
      </c>
      <c r="Y66" s="594">
        <f t="shared" si="18"/>
        <v>2024</v>
      </c>
      <c r="Z66" s="594">
        <f t="shared" si="18"/>
        <v>2025</v>
      </c>
      <c r="AA66" s="594">
        <f t="shared" si="18"/>
        <v>2026</v>
      </c>
      <c r="AB66" s="594">
        <f t="shared" si="18"/>
        <v>2027</v>
      </c>
      <c r="AC66" s="594">
        <f t="shared" si="18"/>
        <v>2028</v>
      </c>
      <c r="AD66" s="594">
        <f t="shared" si="18"/>
        <v>2029</v>
      </c>
      <c r="AE66" s="594">
        <f t="shared" si="18"/>
        <v>2030</v>
      </c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</row>
    <row r="67" spans="1:82">
      <c r="A67" s="247" t="s">
        <v>731</v>
      </c>
      <c r="B67" s="657" t="e">
        <f>NA()</f>
        <v>#N/A</v>
      </c>
      <c r="C67" s="657">
        <f t="shared" ref="C67:Z67" si="19">C61/B61-1</f>
        <v>6.196664260943141E-2</v>
      </c>
      <c r="D67" s="657">
        <f t="shared" si="19"/>
        <v>9.2465753424657571E-2</v>
      </c>
      <c r="E67" s="657">
        <f t="shared" si="19"/>
        <v>0.62835249042145591</v>
      </c>
      <c r="F67" s="657">
        <f t="shared" si="19"/>
        <v>0.20385026737967915</v>
      </c>
      <c r="G67" s="657">
        <f t="shared" si="19"/>
        <v>0.25728500355366024</v>
      </c>
      <c r="H67" s="657">
        <f t="shared" si="19"/>
        <v>0.1317128321085359</v>
      </c>
      <c r="I67" s="657">
        <f t="shared" si="19"/>
        <v>8.5676823176823236E-2</v>
      </c>
      <c r="J67" s="657">
        <f t="shared" si="19"/>
        <v>4.63992822718855E-2</v>
      </c>
      <c r="K67" s="446">
        <f t="shared" si="19"/>
        <v>-1.3630118164330574E-3</v>
      </c>
      <c r="L67" s="446">
        <f t="shared" si="19"/>
        <v>0.15584858724725104</v>
      </c>
      <c r="M67" s="446">
        <f t="shared" si="19"/>
        <v>0.21757927816398426</v>
      </c>
      <c r="N67" s="446">
        <f t="shared" si="19"/>
        <v>0.1492984404573825</v>
      </c>
      <c r="O67" s="446">
        <f t="shared" si="19"/>
        <v>0.40649349765561715</v>
      </c>
      <c r="P67" s="446">
        <f t="shared" si="19"/>
        <v>-3.7352428875556454E-2</v>
      </c>
      <c r="Q67" s="446">
        <f t="shared" si="19"/>
        <v>0.10504624045034183</v>
      </c>
      <c r="R67" s="446">
        <f t="shared" si="19"/>
        <v>7.6912580733193847E-2</v>
      </c>
      <c r="S67" s="446">
        <f t="shared" si="19"/>
        <v>7.5389618617223375E-2</v>
      </c>
      <c r="T67" s="1106">
        <f t="shared" si="19"/>
        <v>6.8926243028827328E-2</v>
      </c>
      <c r="U67" s="1106">
        <f t="shared" si="19"/>
        <v>-0.2994451996913694</v>
      </c>
      <c r="V67" s="1106">
        <f t="shared" si="19"/>
        <v>0.36439922378979395</v>
      </c>
      <c r="W67" s="1106">
        <f t="shared" si="19"/>
        <v>0.28648856428983271</v>
      </c>
      <c r="X67" s="1106">
        <f t="shared" si="19"/>
        <v>0.17598900442213461</v>
      </c>
      <c r="Y67" s="1106">
        <f t="shared" si="19"/>
        <v>9.4100472337141472E-2</v>
      </c>
      <c r="Z67" s="1106">
        <f t="shared" si="19"/>
        <v>5.8933250759875433E-2</v>
      </c>
      <c r="AA67" s="1106">
        <f t="shared" ref="AA67:AE69" si="20">AA61/Z61-1</f>
        <v>6.0650110431506921E-2</v>
      </c>
      <c r="AB67" s="1106">
        <f t="shared" si="20"/>
        <v>5.6635189629556049E-2</v>
      </c>
      <c r="AC67" s="1106">
        <f t="shared" si="20"/>
        <v>4.4402717500338529E-2</v>
      </c>
      <c r="AD67" s="1106">
        <f t="shared" si="20"/>
        <v>4.4133934862908619E-2</v>
      </c>
      <c r="AE67" s="1106">
        <f t="shared" si="20"/>
        <v>4.2795501105685307E-2</v>
      </c>
      <c r="AF67" s="259"/>
      <c r="AG67" s="153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3"/>
      <c r="AT67" s="173"/>
      <c r="AU67" s="173"/>
      <c r="AV67" s="173"/>
      <c r="AW67" s="173"/>
      <c r="AX67" s="173"/>
      <c r="AY67" s="173"/>
      <c r="AZ67" s="173"/>
      <c r="BA67" s="173"/>
      <c r="BB67" s="173"/>
      <c r="BC67" s="173"/>
      <c r="BD67" s="173"/>
      <c r="BE67" s="173"/>
      <c r="BF67" s="173"/>
      <c r="BG67" s="173"/>
      <c r="BH67" s="173"/>
      <c r="BI67" s="173"/>
      <c r="BJ67" s="173"/>
      <c r="BK67" s="173"/>
      <c r="BL67" s="173"/>
      <c r="BM67" s="173"/>
      <c r="BN67" s="173"/>
      <c r="BO67" s="173"/>
      <c r="BP67" s="173"/>
      <c r="BQ67" s="173"/>
      <c r="BR67" s="173"/>
      <c r="BS67" s="173"/>
      <c r="BT67" s="173"/>
      <c r="BU67" s="173"/>
      <c r="BV67" s="173"/>
      <c r="BW67" s="173"/>
      <c r="BX67" s="173"/>
      <c r="BY67" s="173"/>
      <c r="BZ67" s="173"/>
      <c r="CA67" s="173"/>
      <c r="CB67" s="173"/>
      <c r="CC67" s="173"/>
      <c r="CD67" s="173"/>
    </row>
    <row r="68" spans="1:82">
      <c r="A68" s="247" t="s">
        <v>949</v>
      </c>
      <c r="B68" s="657" t="e">
        <f>NA()</f>
        <v>#N/A</v>
      </c>
      <c r="C68" s="657" t="e">
        <f>NA()</f>
        <v>#N/A</v>
      </c>
      <c r="D68" s="657" t="e">
        <f>NA()</f>
        <v>#N/A</v>
      </c>
      <c r="E68" s="657" t="e">
        <f>NA()</f>
        <v>#N/A</v>
      </c>
      <c r="F68" s="657" t="e">
        <f>NA()</f>
        <v>#N/A</v>
      </c>
      <c r="G68" s="657" t="e">
        <f>NA()</f>
        <v>#N/A</v>
      </c>
      <c r="H68" s="657" t="e">
        <f>NA()</f>
        <v>#N/A</v>
      </c>
      <c r="I68" s="657" t="e">
        <f>NA()</f>
        <v>#N/A</v>
      </c>
      <c r="J68" s="657" t="e">
        <f>NA()</f>
        <v>#N/A</v>
      </c>
      <c r="K68" s="657" t="e">
        <f>NA()</f>
        <v>#N/A</v>
      </c>
      <c r="L68" s="657" t="e">
        <f>NA()</f>
        <v>#N/A</v>
      </c>
      <c r="M68" s="657" t="e">
        <f>NA()</f>
        <v>#N/A</v>
      </c>
      <c r="N68" s="657" t="e">
        <f>NA()</f>
        <v>#N/A</v>
      </c>
      <c r="O68" s="657" t="e">
        <f>NA()</f>
        <v>#N/A</v>
      </c>
      <c r="P68" s="446">
        <f t="shared" ref="P68:Z68" si="21">P62/O62-1</f>
        <v>2.8644414168937331</v>
      </c>
      <c r="Q68" s="446">
        <f t="shared" si="21"/>
        <v>0.33809271990128686</v>
      </c>
      <c r="R68" s="446">
        <f t="shared" si="21"/>
        <v>0.12896851534712162</v>
      </c>
      <c r="S68" s="446">
        <f t="shared" si="21"/>
        <v>0.15367561260210039</v>
      </c>
      <c r="T68" s="1106">
        <f t="shared" si="21"/>
        <v>1.1449377971073127</v>
      </c>
      <c r="U68" s="1106">
        <f t="shared" si="21"/>
        <v>-0.34644221247701235</v>
      </c>
      <c r="V68" s="1106">
        <f t="shared" si="21"/>
        <v>0.32857142857142851</v>
      </c>
      <c r="W68" s="1106">
        <f t="shared" si="21"/>
        <v>0.1934397740849354</v>
      </c>
      <c r="X68" s="1106">
        <f t="shared" si="21"/>
        <v>4.5049144521295936E-2</v>
      </c>
      <c r="Y68" s="1106">
        <f t="shared" si="21"/>
        <v>4.6544875265761121E-2</v>
      </c>
      <c r="Z68" s="1106">
        <f t="shared" si="21"/>
        <v>0.16214080381033313</v>
      </c>
      <c r="AA68" s="1106">
        <f t="shared" si="20"/>
        <v>8.9461900783655235E-2</v>
      </c>
      <c r="AB68" s="1106">
        <f t="shared" si="20"/>
        <v>7.9412886361491131E-2</v>
      </c>
      <c r="AC68" s="1106">
        <f t="shared" si="20"/>
        <v>7.6010571466369248E-2</v>
      </c>
      <c r="AD68" s="1106">
        <f t="shared" si="20"/>
        <v>7.4993472246284831E-2</v>
      </c>
      <c r="AE68" s="1106">
        <f t="shared" si="20"/>
        <v>7.2543479119014043E-2</v>
      </c>
      <c r="AF68" s="259"/>
      <c r="AG68" s="153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173"/>
      <c r="AU68" s="173"/>
      <c r="AV68" s="173"/>
      <c r="AW68" s="173"/>
      <c r="AX68" s="173"/>
      <c r="AY68" s="173"/>
      <c r="AZ68" s="173"/>
      <c r="BA68" s="173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3"/>
      <c r="BM68" s="173"/>
      <c r="BN68" s="173"/>
      <c r="BO68" s="173"/>
      <c r="BP68" s="173"/>
      <c r="BQ68" s="173"/>
      <c r="BR68" s="173"/>
      <c r="BS68" s="173"/>
      <c r="BT68" s="173"/>
      <c r="BU68" s="173"/>
      <c r="BV68" s="173"/>
      <c r="BW68" s="173"/>
      <c r="BX68" s="173"/>
      <c r="BY68" s="173"/>
      <c r="BZ68" s="173"/>
      <c r="CA68" s="173"/>
      <c r="CB68" s="173"/>
      <c r="CC68" s="173"/>
      <c r="CD68" s="173"/>
    </row>
    <row r="69" spans="1:82">
      <c r="A69" s="247" t="s">
        <v>733</v>
      </c>
      <c r="B69" s="657" t="e">
        <f>NA()</f>
        <v>#N/A</v>
      </c>
      <c r="C69" s="657" t="e">
        <f>NA()</f>
        <v>#N/A</v>
      </c>
      <c r="D69" s="657" t="e">
        <f>NA()</f>
        <v>#N/A</v>
      </c>
      <c r="E69" s="657" t="e">
        <f>NA()</f>
        <v>#N/A</v>
      </c>
      <c r="F69" s="657" t="e">
        <f>NA()</f>
        <v>#N/A</v>
      </c>
      <c r="G69" s="657" t="e">
        <f>NA()</f>
        <v>#N/A</v>
      </c>
      <c r="H69" s="657">
        <f t="shared" ref="H69:O70" si="22">H63/G63-1</f>
        <v>0.85014409221902021</v>
      </c>
      <c r="I69" s="657">
        <f t="shared" si="22"/>
        <v>0.51401869158878499</v>
      </c>
      <c r="J69" s="657">
        <f t="shared" si="22"/>
        <v>0.44825102880658441</v>
      </c>
      <c r="K69" s="446">
        <f t="shared" si="22"/>
        <v>0.28628258861973421</v>
      </c>
      <c r="L69" s="446">
        <f t="shared" si="22"/>
        <v>0.32661401667863266</v>
      </c>
      <c r="M69" s="446">
        <f t="shared" si="22"/>
        <v>0.42229715665459389</v>
      </c>
      <c r="N69" s="446">
        <f t="shared" si="22"/>
        <v>0.23503585540758087</v>
      </c>
      <c r="O69" s="446">
        <f t="shared" si="22"/>
        <v>9.5153454200734622E-2</v>
      </c>
      <c r="P69" s="446">
        <f t="shared" ref="P69:Z69" si="23">P63/O63-1</f>
        <v>0.45379787924691617</v>
      </c>
      <c r="Q69" s="446">
        <f t="shared" si="23"/>
        <v>0.20928847871390288</v>
      </c>
      <c r="R69" s="446">
        <f t="shared" si="23"/>
        <v>0.26575578532742483</v>
      </c>
      <c r="S69" s="446">
        <f t="shared" si="23"/>
        <v>-8.5599533210153345E-3</v>
      </c>
      <c r="T69" s="1106">
        <f t="shared" si="23"/>
        <v>-4.5371848767108536E-2</v>
      </c>
      <c r="U69" s="1106">
        <f t="shared" si="23"/>
        <v>-0.42594236393379525</v>
      </c>
      <c r="V69" s="1106">
        <f t="shared" si="23"/>
        <v>0.60410480393114963</v>
      </c>
      <c r="W69" s="1106">
        <f t="shared" si="23"/>
        <v>0.49381767333227033</v>
      </c>
      <c r="X69" s="1106">
        <f t="shared" si="23"/>
        <v>3.8696754157842683E-2</v>
      </c>
      <c r="Y69" s="1106">
        <f t="shared" si="23"/>
        <v>-0.17651213488461059</v>
      </c>
      <c r="Z69" s="1106">
        <f t="shared" si="23"/>
        <v>8.8932453244283671E-2</v>
      </c>
      <c r="AA69" s="1106">
        <f t="shared" si="20"/>
        <v>4.7843048323298332E-2</v>
      </c>
      <c r="AB69" s="1106">
        <f t="shared" si="20"/>
        <v>2.0268621876975423E-2</v>
      </c>
      <c r="AC69" s="1106">
        <f t="shared" si="20"/>
        <v>2.7110149646133674E-2</v>
      </c>
      <c r="AD69" s="1106">
        <f t="shared" si="20"/>
        <v>2.677635186380245E-2</v>
      </c>
      <c r="AE69" s="1106">
        <f t="shared" si="20"/>
        <v>2.6436173522878637E-2</v>
      </c>
      <c r="AF69" s="259"/>
      <c r="AG69" s="15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3"/>
      <c r="BD69" s="173"/>
      <c r="BE69" s="173"/>
      <c r="BF69" s="173"/>
      <c r="BG69" s="173"/>
      <c r="BH69" s="173"/>
      <c r="BI69" s="173"/>
      <c r="BJ69" s="173"/>
      <c r="BK69" s="173"/>
      <c r="BL69" s="173"/>
      <c r="BM69" s="173"/>
      <c r="BN69" s="173"/>
      <c r="BO69" s="173"/>
      <c r="BP69" s="173"/>
      <c r="BQ69" s="173"/>
      <c r="BR69" s="173"/>
      <c r="BS69" s="173"/>
      <c r="BT69" s="173"/>
      <c r="BU69" s="173"/>
      <c r="BV69" s="173"/>
      <c r="BW69" s="173"/>
      <c r="BX69" s="173"/>
      <c r="BY69" s="173"/>
      <c r="BZ69" s="173"/>
      <c r="CA69" s="173"/>
      <c r="CB69" s="173"/>
      <c r="CC69" s="173"/>
      <c r="CD69" s="173"/>
    </row>
    <row r="70" spans="1:82">
      <c r="A70" s="247" t="s">
        <v>755</v>
      </c>
      <c r="B70" s="657" t="e">
        <f>NA()</f>
        <v>#N/A</v>
      </c>
      <c r="C70" s="657" t="e">
        <f>NA()</f>
        <v>#N/A</v>
      </c>
      <c r="D70" s="657" t="e">
        <f>NA()</f>
        <v>#N/A</v>
      </c>
      <c r="E70" s="657" t="e">
        <f>NA()</f>
        <v>#N/A</v>
      </c>
      <c r="F70" s="657">
        <f>F64/E64-1</f>
        <v>0.17184265010351973</v>
      </c>
      <c r="G70" s="657">
        <f>G64/F64-1</f>
        <v>0.23409893992932873</v>
      </c>
      <c r="H70" s="657">
        <f t="shared" si="22"/>
        <v>0.19183965640658562</v>
      </c>
      <c r="I70" s="657">
        <f t="shared" si="22"/>
        <v>0.12852852852852847</v>
      </c>
      <c r="J70" s="657">
        <f t="shared" si="22"/>
        <v>2.0819052687599537E-2</v>
      </c>
      <c r="K70" s="446">
        <f t="shared" si="22"/>
        <v>-1.9597324253600723E-3</v>
      </c>
      <c r="L70" s="446">
        <f t="shared" si="22"/>
        <v>0.15265467310223735</v>
      </c>
      <c r="M70" s="446">
        <f t="shared" si="22"/>
        <v>0.21580343660552237</v>
      </c>
      <c r="N70" s="446">
        <f t="shared" si="22"/>
        <v>0.19336160492801024</v>
      </c>
      <c r="O70" s="446">
        <f t="shared" si="22"/>
        <v>0.23588997152928193</v>
      </c>
      <c r="P70" s="446">
        <f>P64/O64-1</f>
        <v>-1.0003477605961464</v>
      </c>
      <c r="Q70" s="446">
        <f>Q64/P64-1</f>
        <v>-0.36991279069721372</v>
      </c>
      <c r="R70" s="446">
        <f>R64/Q64-1</f>
        <v>-2.0138408304505457</v>
      </c>
      <c r="S70" s="446">
        <f>S64/R64-1</f>
        <v>-697.9431171779662</v>
      </c>
      <c r="T70" s="1106" t="e">
        <f>NA()</f>
        <v>#N/A</v>
      </c>
      <c r="U70" s="1106" t="e">
        <f>NA()</f>
        <v>#N/A</v>
      </c>
      <c r="V70" s="1106" t="e">
        <f>NA()</f>
        <v>#N/A</v>
      </c>
      <c r="W70" s="1106" t="e">
        <f>NA()</f>
        <v>#N/A</v>
      </c>
      <c r="X70" s="1106" t="e">
        <f>NA()</f>
        <v>#N/A</v>
      </c>
      <c r="Y70" s="1106" t="e">
        <f>NA()</f>
        <v>#N/A</v>
      </c>
      <c r="Z70" s="1106" t="e">
        <f>NA()</f>
        <v>#N/A</v>
      </c>
      <c r="AA70" s="1106" t="e">
        <f>NA()</f>
        <v>#N/A</v>
      </c>
      <c r="AB70" s="1106" t="e">
        <f>NA()</f>
        <v>#N/A</v>
      </c>
      <c r="AC70" s="1106" t="e">
        <f>NA()</f>
        <v>#N/A</v>
      </c>
      <c r="AD70" s="1106" t="e">
        <f>NA()</f>
        <v>#N/A</v>
      </c>
      <c r="AE70" s="1106" t="e">
        <f>NA()</f>
        <v>#N/A</v>
      </c>
      <c r="AF70" s="259"/>
      <c r="AG70" s="153"/>
      <c r="AH70" s="173"/>
      <c r="AI70" s="173"/>
      <c r="AJ70" s="173"/>
      <c r="AK70" s="173"/>
      <c r="AL70" s="173"/>
      <c r="AM70" s="173"/>
      <c r="AN70" s="173"/>
      <c r="AO70" s="173"/>
      <c r="AP70" s="173"/>
      <c r="AQ70" s="173"/>
      <c r="AR70" s="173"/>
      <c r="AS70" s="173"/>
      <c r="AT70" s="173"/>
      <c r="AU70" s="173"/>
      <c r="AV70" s="173"/>
      <c r="AW70" s="173"/>
      <c r="AX70" s="173"/>
      <c r="AY70" s="173"/>
      <c r="AZ70" s="173"/>
      <c r="BA70" s="173"/>
      <c r="BB70" s="173"/>
      <c r="BC70" s="173"/>
      <c r="BD70" s="173"/>
      <c r="BE70" s="173"/>
      <c r="BF70" s="173"/>
      <c r="BG70" s="173"/>
      <c r="BH70" s="173"/>
      <c r="BI70" s="173"/>
      <c r="BJ70" s="173"/>
      <c r="BK70" s="173"/>
      <c r="BL70" s="173"/>
      <c r="BM70" s="173"/>
      <c r="BN70" s="173"/>
      <c r="BO70" s="173"/>
      <c r="BP70" s="173"/>
      <c r="BQ70" s="173"/>
      <c r="BR70" s="173"/>
      <c r="BS70" s="173"/>
      <c r="BT70" s="173"/>
      <c r="BU70" s="173"/>
      <c r="BV70" s="173"/>
      <c r="BW70" s="173"/>
      <c r="BX70" s="173"/>
      <c r="BY70" s="173"/>
      <c r="BZ70" s="173"/>
      <c r="CA70" s="173"/>
      <c r="CB70" s="173"/>
      <c r="CC70" s="173"/>
      <c r="CD70" s="173"/>
    </row>
    <row r="71" spans="1:82" s="36" customFormat="1" ht="11.25"/>
    <row r="72" spans="1:82" s="36" customFormat="1" ht="11.25"/>
    <row r="73" spans="1:82" s="36" customFormat="1" ht="11.25"/>
    <row r="74" spans="1:82" s="36" customFormat="1" ht="11.25"/>
    <row r="75" spans="1:82" s="36" customFormat="1" ht="11.25"/>
    <row r="76" spans="1:82" s="36" customFormat="1" ht="11.25"/>
    <row r="77" spans="1:82" s="36" customFormat="1" ht="11.25"/>
    <row r="78" spans="1:82" s="36" customFormat="1" ht="11.25"/>
    <row r="79" spans="1:82" s="36" customFormat="1" ht="11.25"/>
    <row r="80" spans="1:82" s="36" customFormat="1" ht="11.25"/>
    <row r="81" spans="1:82" s="36" customFormat="1" ht="11.25"/>
    <row r="82" spans="1:82" s="36" customFormat="1" ht="11.25"/>
    <row r="83" spans="1:82" s="36" customFormat="1" ht="11.25"/>
    <row r="84" spans="1:82" s="36" customFormat="1" ht="11.25"/>
    <row r="85" spans="1:82" s="36" customFormat="1" ht="11.25"/>
    <row r="86" spans="1:82" s="36" customFormat="1" ht="11.25"/>
    <row r="87" spans="1:82" s="36" customFormat="1" ht="11.25"/>
    <row r="88" spans="1:82" s="36" customFormat="1" ht="11.25"/>
    <row r="89" spans="1:82" s="36" customFormat="1" ht="11.25"/>
    <row r="90" spans="1:82" s="36" customFormat="1" ht="11.25"/>
    <row r="91" spans="1:82" s="36" customFormat="1" ht="11.25"/>
    <row r="92" spans="1:82" s="36" customFormat="1" ht="11.25"/>
    <row r="93" spans="1:82" s="36" customFormat="1" ht="11.25"/>
    <row r="94" spans="1:82">
      <c r="A94" s="242" t="s">
        <v>845</v>
      </c>
      <c r="B94" s="264">
        <v>2001</v>
      </c>
      <c r="C94" s="264">
        <v>2002</v>
      </c>
      <c r="D94" s="264">
        <v>2003</v>
      </c>
      <c r="E94" s="264">
        <v>2004</v>
      </c>
      <c r="F94" s="264">
        <v>2005</v>
      </c>
      <c r="G94" s="264">
        <v>2006</v>
      </c>
      <c r="H94" s="264">
        <v>2007</v>
      </c>
      <c r="I94" s="264">
        <v>2008</v>
      </c>
      <c r="J94" s="264">
        <f t="shared" ref="J94:AE94" si="24">J$6</f>
        <v>2009</v>
      </c>
      <c r="K94" s="264">
        <f t="shared" si="24"/>
        <v>2010</v>
      </c>
      <c r="L94" s="264">
        <f t="shared" si="24"/>
        <v>2011</v>
      </c>
      <c r="M94" s="264">
        <f t="shared" si="24"/>
        <v>2012</v>
      </c>
      <c r="N94" s="264">
        <f t="shared" si="24"/>
        <v>2013</v>
      </c>
      <c r="O94" s="264">
        <f t="shared" si="24"/>
        <v>2014</v>
      </c>
      <c r="P94" s="264">
        <f t="shared" si="24"/>
        <v>2015</v>
      </c>
      <c r="Q94" s="264">
        <f t="shared" si="24"/>
        <v>2016</v>
      </c>
      <c r="R94" s="264">
        <f t="shared" si="24"/>
        <v>2017</v>
      </c>
      <c r="S94" s="264">
        <f t="shared" si="24"/>
        <v>2018</v>
      </c>
      <c r="T94" s="264">
        <f t="shared" si="24"/>
        <v>2019</v>
      </c>
      <c r="U94" s="264">
        <f t="shared" si="24"/>
        <v>2020</v>
      </c>
      <c r="V94" s="264">
        <f t="shared" si="24"/>
        <v>2021</v>
      </c>
      <c r="W94" s="264">
        <f t="shared" si="24"/>
        <v>2022</v>
      </c>
      <c r="X94" s="264">
        <f t="shared" si="24"/>
        <v>2023</v>
      </c>
      <c r="Y94" s="594">
        <f t="shared" si="24"/>
        <v>2024</v>
      </c>
      <c r="Z94" s="594">
        <f t="shared" si="24"/>
        <v>2025</v>
      </c>
      <c r="AA94" s="594">
        <f t="shared" si="24"/>
        <v>2026</v>
      </c>
      <c r="AB94" s="594">
        <f t="shared" si="24"/>
        <v>2027</v>
      </c>
      <c r="AC94" s="594">
        <f t="shared" si="24"/>
        <v>2028</v>
      </c>
      <c r="AD94" s="594">
        <f t="shared" si="24"/>
        <v>2029</v>
      </c>
      <c r="AE94" s="594">
        <f t="shared" si="24"/>
        <v>2030</v>
      </c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</row>
    <row r="95" spans="1:82">
      <c r="A95" s="244" t="s">
        <v>200</v>
      </c>
      <c r="B95" s="245" t="e">
        <f>NA()</f>
        <v>#N/A</v>
      </c>
      <c r="C95" s="245" t="e">
        <f>NA()</f>
        <v>#N/A</v>
      </c>
      <c r="D95" s="245" t="e">
        <f>NA()</f>
        <v>#N/A</v>
      </c>
      <c r="E95" s="245" t="e">
        <f>NA()</f>
        <v>#N/A</v>
      </c>
      <c r="F95" s="245" t="e">
        <f>NA()</f>
        <v>#N/A</v>
      </c>
      <c r="G95" s="245" t="e">
        <f>NA()</f>
        <v>#N/A</v>
      </c>
      <c r="H95" s="245" t="e">
        <f>NA()</f>
        <v>#N/A</v>
      </c>
      <c r="I95" s="245" t="e">
        <f>NA()</f>
        <v>#N/A</v>
      </c>
      <c r="J95" s="245">
        <f>IF(Base!J25="",NA(),Base!J25)</f>
        <v>-3.6999999999999998E-2</v>
      </c>
      <c r="K95" s="245">
        <f>IF(Base!K25="",NA(),Base!K25)</f>
        <v>3.7999999999999999E-2</v>
      </c>
      <c r="L95" s="245">
        <f>IF(Base!L25="",NA(),Base!L25)</f>
        <v>0.122</v>
      </c>
      <c r="M95" s="245">
        <f>IF(Base!M25="",NA(),Base!M25)</f>
        <v>0.105</v>
      </c>
      <c r="N95" s="245">
        <f>IF(Base!N25="",NA(),Base!N25)</f>
        <v>0.08</v>
      </c>
      <c r="O95" s="245">
        <f>IF(Base!O25="",NA(),Base!O25)</f>
        <v>4.4999999999999998E-2</v>
      </c>
      <c r="P95" s="245">
        <f>IF(Base!P25="",NA(),Base!P25)</f>
        <v>0.104</v>
      </c>
      <c r="Q95" s="245">
        <f>IF(Base!Q25="",NA(),Base!Q25)</f>
        <v>8.8999999999999996E-2</v>
      </c>
      <c r="R95" s="245">
        <f>IF(Base!R25="",NA(),Base!R25)</f>
        <v>6.6000000000000003E-2</v>
      </c>
      <c r="S95" s="245">
        <f>IF(Base!S25="",NA(),Base!S25)</f>
        <v>4.9000000000000002E-2</v>
      </c>
      <c r="T95" s="452">
        <f>IF(Base!T25="",NA(),Base!T25)</f>
        <v>5.0999999999999997E-2</v>
      </c>
      <c r="U95" s="452">
        <f>IF(Base!U25="",NA(),Base!U25)</f>
        <v>-0.23</v>
      </c>
      <c r="V95" s="452">
        <f>IF(Base!V25="",NA(),Base!V25)</f>
        <v>0.307</v>
      </c>
      <c r="W95" s="452">
        <f>IF(Base!W25="",NA(),Base!W25)</f>
        <v>0.35870779740410264</v>
      </c>
      <c r="X95" s="452">
        <f>IF(Base!X25="",NA(),Base!X25)</f>
        <v>0.18932600635373661</v>
      </c>
      <c r="Y95" s="452">
        <f>IF(Base!Y25="",NA(),Base!Y25)</f>
        <v>0.10821226165079655</v>
      </c>
      <c r="Z95" s="452">
        <f>IF(Base!Z25="",NA(),Base!Z25)</f>
        <v>6.8226675467136011E-2</v>
      </c>
      <c r="AA95" s="452">
        <f>IF(Base!AA25="",NA(),Base!AA25)</f>
        <v>5.9055224409396756E-2</v>
      </c>
      <c r="AB95" s="452">
        <f>IF(Base!AB25="",NA(),Base!AB25)</f>
        <v>5.3831284214149143E-2</v>
      </c>
      <c r="AC95" s="452">
        <f>IF(Base!AC25="",NA(),Base!AC25)</f>
        <v>4.5517599445134296E-2</v>
      </c>
      <c r="AD95" s="452">
        <f>IF(Base!AD25="",NA(),Base!AD25)</f>
        <v>4.4976964446341187E-2</v>
      </c>
      <c r="AE95" s="452">
        <f>IF(Base!AE25="",NA(),Base!AE25)</f>
        <v>4.4535096968639512E-2</v>
      </c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</row>
    <row r="96" spans="1:82">
      <c r="A96" s="244" t="s">
        <v>201</v>
      </c>
      <c r="B96" s="245" t="e">
        <f>NA()</f>
        <v>#N/A</v>
      </c>
      <c r="C96" s="245" t="e">
        <f>NA()</f>
        <v>#N/A</v>
      </c>
      <c r="D96" s="245" t="e">
        <f>NA()</f>
        <v>#N/A</v>
      </c>
      <c r="E96" s="245" t="e">
        <f>NA()</f>
        <v>#N/A</v>
      </c>
      <c r="F96" s="245" t="e">
        <f>NA()</f>
        <v>#N/A</v>
      </c>
      <c r="G96" s="245" t="e">
        <f>NA()</f>
        <v>#N/A</v>
      </c>
      <c r="H96" s="245" t="e">
        <f>NA()</f>
        <v>#N/A</v>
      </c>
      <c r="I96" s="245" t="e">
        <f>NA()</f>
        <v>#N/A</v>
      </c>
      <c r="J96" s="245">
        <f>IF(Bull!J25="",NA(),Bull!J25)</f>
        <v>-3.6999999999999998E-2</v>
      </c>
      <c r="K96" s="245">
        <f>IF(Bull!K25="",NA(),Bull!K25)</f>
        <v>3.7999999999999999E-2</v>
      </c>
      <c r="L96" s="245">
        <f>IF(Bull!L25="",NA(),Bull!L25)</f>
        <v>0.122</v>
      </c>
      <c r="M96" s="245">
        <f>IF(Bull!M25="",NA(),Bull!M25)</f>
        <v>0.105</v>
      </c>
      <c r="N96" s="245">
        <f>IF(Bull!N25="",NA(),Bull!N25)</f>
        <v>0.08</v>
      </c>
      <c r="O96" s="245">
        <f>IF(Bull!O25="",NA(),Bull!O25)</f>
        <v>4.4999999999999998E-2</v>
      </c>
      <c r="P96" s="245">
        <f>IF(Bull!P25="",NA(),Bull!P25)</f>
        <v>0.104</v>
      </c>
      <c r="Q96" s="245">
        <f>IF(Bull!Q25="",NA(),Bull!Q25)</f>
        <v>8.8999999999999996E-2</v>
      </c>
      <c r="R96" s="245">
        <f>IF(Bull!R25="",NA(),Bull!R25)</f>
        <v>6.6000000000000003E-2</v>
      </c>
      <c r="S96" s="245">
        <f>IF(Bull!S25="",NA(),Bull!S25)</f>
        <v>4.9000000000000002E-2</v>
      </c>
      <c r="T96" s="452">
        <f>IF(Bull!T25="",NA(),Bull!T25)</f>
        <v>5.0999999999999997E-2</v>
      </c>
      <c r="U96" s="452">
        <f>IF(Bull!U25="",NA(),Bull!U25)</f>
        <v>-0.23</v>
      </c>
      <c r="V96" s="452">
        <f>IF(Bull!V25="",NA(),Bull!V25)</f>
        <v>0.307</v>
      </c>
      <c r="W96" s="452">
        <f>IF(Bull!W25="",NA(),Bull!W25)</f>
        <v>0.35870779740410264</v>
      </c>
      <c r="X96" s="452">
        <f>IF(Bull!X25="",NA(),Bull!X25)</f>
        <v>0.18932600635373661</v>
      </c>
      <c r="Y96" s="452">
        <f>IF(Bull!Y25="",NA(),Bull!Y25)</f>
        <v>0.1159211772715807</v>
      </c>
      <c r="Z96" s="452">
        <f>IF(Bull!Z25="",NA(),Bull!Z25)</f>
        <v>7.6569721163340806E-2</v>
      </c>
      <c r="AA96" s="452">
        <f>IF(Bull!AA25="",NA(),Bull!AA25)</f>
        <v>6.6584022518558272E-2</v>
      </c>
      <c r="AB96" s="452">
        <f>IF(Bull!AB25="",NA(),Bull!AB25)</f>
        <v>6.0766839011253307E-2</v>
      </c>
      <c r="AC96" s="452">
        <f>IF(Bull!AC25="",NA(),Bull!AC25)</f>
        <v>5.1090038120319099E-2</v>
      </c>
      <c r="AD96" s="452">
        <f>IF(Bull!AD25="",NA(),Bull!AD25)</f>
        <v>5.0631135739548958E-2</v>
      </c>
      <c r="AE96" s="452">
        <f>IF(Bull!AE25="",NA(),Bull!AE25)</f>
        <v>5.0275116506088194E-2</v>
      </c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</row>
    <row r="97" spans="1:82">
      <c r="A97" s="244" t="s">
        <v>202</v>
      </c>
      <c r="B97" s="245" t="e">
        <f>NA()</f>
        <v>#N/A</v>
      </c>
      <c r="C97" s="245" t="e">
        <f>NA()</f>
        <v>#N/A</v>
      </c>
      <c r="D97" s="245" t="e">
        <f>NA()</f>
        <v>#N/A</v>
      </c>
      <c r="E97" s="245" t="e">
        <f>NA()</f>
        <v>#N/A</v>
      </c>
      <c r="F97" s="245" t="e">
        <f>NA()</f>
        <v>#N/A</v>
      </c>
      <c r="G97" s="245" t="e">
        <f>NA()</f>
        <v>#N/A</v>
      </c>
      <c r="H97" s="245" t="e">
        <f>NA()</f>
        <v>#N/A</v>
      </c>
      <c r="I97" s="245" t="e">
        <f>NA()</f>
        <v>#N/A</v>
      </c>
      <c r="J97" s="245">
        <f>IF(Bear!J25="",NA(),Bear!J25)</f>
        <v>-3.6999999999999998E-2</v>
      </c>
      <c r="K97" s="245">
        <f>IF(Bear!K25="",NA(),Bear!K25)</f>
        <v>3.7999999999999999E-2</v>
      </c>
      <c r="L97" s="245">
        <f>IF(Bear!L25="",NA(),Bear!L25)</f>
        <v>0.122</v>
      </c>
      <c r="M97" s="245">
        <f>IF(Bear!M25="",NA(),Bear!M25)</f>
        <v>0.105</v>
      </c>
      <c r="N97" s="245">
        <f>IF(Bear!N25="",NA(),Bear!N25)</f>
        <v>0.08</v>
      </c>
      <c r="O97" s="245">
        <f>IF(Bear!O25="",NA(),Bear!O25)</f>
        <v>4.4999999999999998E-2</v>
      </c>
      <c r="P97" s="245">
        <f>IF(Bear!P25="",NA(),Bear!P25)</f>
        <v>0.104</v>
      </c>
      <c r="Q97" s="245">
        <f>IF(Bear!Q25="",NA(),Bear!Q25)</f>
        <v>8.8999999999999996E-2</v>
      </c>
      <c r="R97" s="245">
        <f>IF(Bear!R25="",NA(),Bear!R25)</f>
        <v>6.6000000000000003E-2</v>
      </c>
      <c r="S97" s="245">
        <f>IF(Bear!S25="",NA(),Bear!S25)</f>
        <v>4.9000000000000002E-2</v>
      </c>
      <c r="T97" s="452">
        <f>IF(Bear!T25="",NA(),Bear!T25)</f>
        <v>5.0999999999999997E-2</v>
      </c>
      <c r="U97" s="452">
        <f>IF(Bear!U25="",NA(),Bear!U25)</f>
        <v>-0.23</v>
      </c>
      <c r="V97" s="452">
        <f>IF(Bear!V25="",NA(),Bear!V25)</f>
        <v>0.307</v>
      </c>
      <c r="W97" s="452">
        <f>IF(Bear!W25="",NA(),Bear!W25)</f>
        <v>0.35870779740410264</v>
      </c>
      <c r="X97" s="452">
        <f>IF(Bear!X25="",NA(),Bear!X25)</f>
        <v>0.18932600635373661</v>
      </c>
      <c r="Y97" s="452">
        <f>IF(Bear!Y25="",NA(),Bear!Y25)</f>
        <v>9.4324838023244179E-2</v>
      </c>
      <c r="Z97" s="452">
        <f>IF(Bear!Z25="",NA(),Bear!Z25)</f>
        <v>5.3256384283964037E-2</v>
      </c>
      <c r="AA97" s="452">
        <f>IF(Bear!AA25="",NA(),Bear!AA25)</f>
        <v>4.5537668816271394E-2</v>
      </c>
      <c r="AB97" s="452">
        <f>IF(Bear!AB25="",NA(),Bear!AB25)</f>
        <v>4.1543319079351881E-2</v>
      </c>
      <c r="AC97" s="452">
        <f>IF(Bear!AC25="",NA(),Bear!AC25)</f>
        <v>3.672410905885181E-2</v>
      </c>
      <c r="AD97" s="452">
        <f>IF(Bear!AD25="",NA(),Bear!AD25)</f>
        <v>3.6277820422093335E-2</v>
      </c>
      <c r="AE97" s="452">
        <f>IF(Bear!AE25="",NA(),Bear!AE25)</f>
        <v>3.5852893734396235E-2</v>
      </c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</row>
    <row r="98" spans="1:8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</row>
    <row r="99" spans="1:82">
      <c r="A99" s="242" t="s">
        <v>1252</v>
      </c>
      <c r="B99" s="264">
        <v>2001</v>
      </c>
      <c r="C99" s="264">
        <v>2002</v>
      </c>
      <c r="D99" s="264">
        <v>2003</v>
      </c>
      <c r="E99" s="264">
        <v>2004</v>
      </c>
      <c r="F99" s="264">
        <v>2005</v>
      </c>
      <c r="G99" s="264">
        <v>2006</v>
      </c>
      <c r="H99" s="264">
        <v>2007</v>
      </c>
      <c r="I99" s="264">
        <v>2008</v>
      </c>
      <c r="J99" s="264">
        <f t="shared" ref="J99:AE99" si="25">J$6</f>
        <v>2009</v>
      </c>
      <c r="K99" s="264">
        <f t="shared" si="25"/>
        <v>2010</v>
      </c>
      <c r="L99" s="264">
        <f t="shared" si="25"/>
        <v>2011</v>
      </c>
      <c r="M99" s="264">
        <f t="shared" si="25"/>
        <v>2012</v>
      </c>
      <c r="N99" s="264">
        <f t="shared" si="25"/>
        <v>2013</v>
      </c>
      <c r="O99" s="264">
        <f t="shared" si="25"/>
        <v>2014</v>
      </c>
      <c r="P99" s="264">
        <f t="shared" si="25"/>
        <v>2015</v>
      </c>
      <c r="Q99" s="264">
        <f t="shared" si="25"/>
        <v>2016</v>
      </c>
      <c r="R99" s="264">
        <f t="shared" si="25"/>
        <v>2017</v>
      </c>
      <c r="S99" s="264">
        <f t="shared" si="25"/>
        <v>2018</v>
      </c>
      <c r="T99" s="264">
        <f t="shared" si="25"/>
        <v>2019</v>
      </c>
      <c r="U99" s="264">
        <f t="shared" si="25"/>
        <v>2020</v>
      </c>
      <c r="V99" s="264">
        <f t="shared" si="25"/>
        <v>2021</v>
      </c>
      <c r="W99" s="264">
        <f t="shared" si="25"/>
        <v>2022</v>
      </c>
      <c r="X99" s="264">
        <f t="shared" si="25"/>
        <v>2023</v>
      </c>
      <c r="Y99" s="1148">
        <f t="shared" si="25"/>
        <v>2024</v>
      </c>
      <c r="Z99" s="1148">
        <f t="shared" si="25"/>
        <v>2025</v>
      </c>
      <c r="AA99" s="1148">
        <f t="shared" si="25"/>
        <v>2026</v>
      </c>
      <c r="AB99" s="1148">
        <f t="shared" si="25"/>
        <v>2027</v>
      </c>
      <c r="AC99" s="1148">
        <f t="shared" si="25"/>
        <v>2028</v>
      </c>
      <c r="AD99" s="1148">
        <f t="shared" si="25"/>
        <v>2029</v>
      </c>
      <c r="AE99" s="1148">
        <f t="shared" si="25"/>
        <v>2030</v>
      </c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</row>
    <row r="100" spans="1:82">
      <c r="A100" s="36" t="s">
        <v>731</v>
      </c>
      <c r="B100" s="1094" t="e">
        <f>IF(Financials!B18=0, NA(), Financials!B18)</f>
        <v>#N/A</v>
      </c>
      <c r="C100" s="1094">
        <f>IF(Financials!C18=0, NA(), Financials!C18)</f>
        <v>59</v>
      </c>
      <c r="D100" s="1094">
        <f>IF(Financials!D18=0, NA(), Financials!D18)</f>
        <v>21</v>
      </c>
      <c r="E100" s="1094">
        <f>IF(Financials!E18=0, NA(), Financials!E18)</f>
        <v>62</v>
      </c>
      <c r="F100" s="1094">
        <f>IF(Financials!F18=0, NA(), Financials!F18)</f>
        <v>134</v>
      </c>
      <c r="G100" s="1094">
        <f>IF(Financials!G18=0, NA(), Financials!G18)</f>
        <v>80</v>
      </c>
      <c r="H100" s="1094">
        <f>IF(Financials!H18=0, NA(), Financials!H18)</f>
        <v>106</v>
      </c>
      <c r="I100" s="1094">
        <f>IF(Financials!I18=0, NA(), Financials!I18)</f>
        <v>86</v>
      </c>
      <c r="J100" s="1094">
        <f>IF(Financials!J18=0, NA(), Financials!J18)</f>
        <v>5</v>
      </c>
      <c r="K100" s="1094">
        <f>IF(Financials!K18=0, NA(), Financials!K18)</f>
        <v>37</v>
      </c>
      <c r="L100" s="1094">
        <f>IF(Financials!L18=0, NA(), Financials!L18)</f>
        <v>32</v>
      </c>
      <c r="M100" s="1094">
        <f>IF(Financials!M18=0, NA(), Financials!M18)</f>
        <v>48</v>
      </c>
      <c r="N100" s="1094">
        <f>IF(Financials!N18=0, NA(), Financials!N18)</f>
        <v>175</v>
      </c>
      <c r="O100" s="1094">
        <f>IF(Financials!O18=0, NA(), Financials!O18)</f>
        <v>404</v>
      </c>
      <c r="P100" s="1094">
        <f>IF(Financials!P18=0, NA(), Financials!P18)</f>
        <v>62</v>
      </c>
      <c r="Q100" s="1094">
        <f>IF(Financials!Q18=0, NA(), Financials!Q18)</f>
        <v>104</v>
      </c>
      <c r="R100" s="1094">
        <f>IF(Financials!R18=0, NA(), Financials!R18)</f>
        <v>115</v>
      </c>
      <c r="S100" s="1094">
        <f>IF(Financials!S18=0, NA(), Financials!S18)</f>
        <v>104</v>
      </c>
      <c r="T100" s="1149">
        <f>IF(Financials!T18=0, NA(), Financials!T18)</f>
        <v>-1</v>
      </c>
      <c r="U100" s="1149">
        <f>IF(Financials!U18=0, NA(), Financials!U18)</f>
        <v>-95</v>
      </c>
      <c r="V100" s="1149">
        <f>IF(Financials!V18=0, NA(), Financials!V18)</f>
        <v>-32</v>
      </c>
      <c r="W100" s="1149">
        <f>IF(Financials!W18=0, NA(), Financials!W18)</f>
        <v>44</v>
      </c>
      <c r="X100" s="1149">
        <f>IF(Financials!X18=0, NA(), Financials!X18)</f>
        <v>18</v>
      </c>
      <c r="Y100" s="1149">
        <f>IF(Financials!Y18=0, NA(), Financials!Y18)</f>
        <v>49</v>
      </c>
      <c r="Z100" s="1149">
        <f>IF(Financials!Z18=0, NA(), Financials!Z18)</f>
        <v>51</v>
      </c>
      <c r="AA100" s="1149">
        <f>IF(Financials!AA18=0, NA(), Financials!AA18)</f>
        <v>42</v>
      </c>
      <c r="AB100" s="1149">
        <f>IF(Financials!AB18=0, NA(), Financials!AB18)</f>
        <v>35</v>
      </c>
      <c r="AC100" s="1149">
        <f>IF(Financials!AC18=0, NA(), Financials!AC18)</f>
        <v>35</v>
      </c>
      <c r="AD100" s="1149">
        <f>IF(Financials!AD18=0, NA(), Financials!AD18)</f>
        <v>35</v>
      </c>
      <c r="AE100" s="1149">
        <f>IF(Financials!AE18=0, NA(), Financials!AE18)</f>
        <v>29</v>
      </c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</row>
    <row r="101" spans="1:82">
      <c r="A101" s="36" t="s">
        <v>733</v>
      </c>
      <c r="B101" s="1094" t="e">
        <f>IF(Financials!B20=0, NA(), Financials!B20)</f>
        <v>#N/A</v>
      </c>
      <c r="C101" s="1094" t="e">
        <f>IF(Financials!C20=0, NA(), Financials!C20)</f>
        <v>#N/A</v>
      </c>
      <c r="D101" s="1094" t="e">
        <f>IF(Financials!D20=0, NA(), Financials!D20)</f>
        <v>#N/A</v>
      </c>
      <c r="E101" s="1094" t="e">
        <f>IF(Financials!E20=0, NA(), Financials!E20)</f>
        <v>#N/A</v>
      </c>
      <c r="F101" s="1094" t="e">
        <f>IF(Financials!F20=0, NA(), Financials!F20)</f>
        <v>#N/A</v>
      </c>
      <c r="G101" s="1094">
        <f>IF(Financials!G20=0, NA(), Financials!G20)</f>
        <v>50</v>
      </c>
      <c r="H101" s="1094">
        <f>IF(Financials!H20=0, NA(), Financials!H20)</f>
        <v>11</v>
      </c>
      <c r="I101" s="1094">
        <f>IF(Financials!I20=0, NA(), Financials!I20)</f>
        <v>37</v>
      </c>
      <c r="J101" s="1094">
        <f>IF(Financials!J20=0, NA(), Financials!J20)</f>
        <v>18</v>
      </c>
      <c r="K101" s="1094">
        <f>IF(Financials!K20=0, NA(), Financials!K20)</f>
        <v>22</v>
      </c>
      <c r="L101" s="1094">
        <f>IF(Financials!L20=0, NA(), Financials!L20)</f>
        <v>34</v>
      </c>
      <c r="M101" s="1094">
        <f>IF(Financials!M20=0, NA(), Financials!M20)</f>
        <v>36</v>
      </c>
      <c r="N101" s="1094">
        <f>IF(Financials!N20=0, NA(), Financials!N20)</f>
        <v>75</v>
      </c>
      <c r="O101" s="1094">
        <f>IF(Financials!O20=0, NA(), Financials!O20)</f>
        <v>44</v>
      </c>
      <c r="P101" s="1094">
        <f>IF(Financials!P20=0, NA(), Financials!P20)</f>
        <v>49</v>
      </c>
      <c r="Q101" s="1094">
        <f>IF(Financials!Q20=0, NA(), Financials!Q20)</f>
        <v>84</v>
      </c>
      <c r="R101" s="1094">
        <f>IF(Financials!R20=0, NA(), Financials!R20)</f>
        <v>62</v>
      </c>
      <c r="S101" s="1094">
        <f>IF(Financials!S20=0, NA(), Financials!S20)</f>
        <v>88</v>
      </c>
      <c r="T101" s="1149">
        <f>IF(Financials!T20=0, NA(), Financials!T20)</f>
        <v>5</v>
      </c>
      <c r="U101" s="1149">
        <f>IF(Financials!U20=0, NA(), Financials!U20)</f>
        <v>-14</v>
      </c>
      <c r="V101" s="1149">
        <f>IF(Financials!V20=0, NA(), Financials!V20)</f>
        <v>21</v>
      </c>
      <c r="W101" s="1149">
        <f>IF(Financials!W20=0, NA(), Financials!W20)</f>
        <v>53</v>
      </c>
      <c r="X101" s="1149">
        <f>IF(Financials!X20=0, NA(), Financials!X20)</f>
        <v>50</v>
      </c>
      <c r="Y101" s="1149">
        <f>IF(Financials!Y20=0, NA(), Financials!Y20)</f>
        <v>25</v>
      </c>
      <c r="Z101" s="1149">
        <f>IF(Financials!Z20=0, NA(), Financials!Z20)</f>
        <v>15</v>
      </c>
      <c r="AA101" s="1149">
        <f>IF(Financials!AA20=0, NA(), Financials!AA20)</f>
        <v>10</v>
      </c>
      <c r="AB101" s="1149">
        <f>IF(Financials!AB20=0, NA(), Financials!AB20)</f>
        <v>11</v>
      </c>
      <c r="AC101" s="1149">
        <f>IF(Financials!AC20=0, NA(), Financials!AC20)</f>
        <v>11</v>
      </c>
      <c r="AD101" s="1149">
        <f>IF(Financials!AD20=0, NA(), Financials!AD20)</f>
        <v>11</v>
      </c>
      <c r="AE101" s="1149">
        <f>IF(Financials!AE20=0, NA(), Financials!AE20)</f>
        <v>10</v>
      </c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</row>
    <row r="102" spans="1:82">
      <c r="A102" s="36" t="s">
        <v>949</v>
      </c>
      <c r="B102" s="1094" t="e">
        <f>IF(Financials!B19=0, NA(), Financials!B19)</f>
        <v>#N/A</v>
      </c>
      <c r="C102" s="1094" t="e">
        <f>IF(Financials!C19=0, NA(), Financials!C19)</f>
        <v>#N/A</v>
      </c>
      <c r="D102" s="1094" t="e">
        <f>IF(Financials!D19=0, NA(), Financials!D19)</f>
        <v>#N/A</v>
      </c>
      <c r="E102" s="1094" t="e">
        <f>IF(Financials!E19=0, NA(), Financials!E19)</f>
        <v>#N/A</v>
      </c>
      <c r="F102" s="1094" t="e">
        <f>IF(Financials!F19=0, NA(), Financials!F19)</f>
        <v>#N/A</v>
      </c>
      <c r="G102" s="1094" t="e">
        <f>IF(Financials!G19=0, NA(), Financials!G19)</f>
        <v>#N/A</v>
      </c>
      <c r="H102" s="1094" t="e">
        <f>IF(Financials!H19=0, NA(), Financials!H19)</f>
        <v>#N/A</v>
      </c>
      <c r="I102" s="1094" t="e">
        <f>IF(Financials!I19=0, NA(), Financials!I19)</f>
        <v>#N/A</v>
      </c>
      <c r="J102" s="1094" t="e">
        <f>IF(Financials!J19=0, NA(), Financials!J19)</f>
        <v>#N/A</v>
      </c>
      <c r="K102" s="1094" t="e">
        <f>IF(Financials!K19=0, NA(), Financials!K19)</f>
        <v>#N/A</v>
      </c>
      <c r="L102" s="1094" t="e">
        <f>IF(Financials!L19=0, NA(), Financials!L19)</f>
        <v>#N/A</v>
      </c>
      <c r="M102" s="1094" t="e">
        <f>IF(Financials!M19=0, NA(), Financials!M19)</f>
        <v>#N/A</v>
      </c>
      <c r="N102" s="1094" t="e">
        <f>IF(Financials!N19=0, NA(), Financials!N19)</f>
        <v>#N/A</v>
      </c>
      <c r="O102" s="1094">
        <f>IF(Financials!O19=0, NA(), Financials!O19)</f>
        <v>302</v>
      </c>
      <c r="P102" s="1094">
        <f>IF(Financials!P19=0, NA(), Financials!P19)</f>
        <v>11</v>
      </c>
      <c r="Q102" s="1094">
        <f>IF(Financials!Q19=0, NA(), Financials!Q19)</f>
        <v>31</v>
      </c>
      <c r="R102" s="1094">
        <f>IF(Financials!R19=0, NA(), Financials!R19)</f>
        <v>37</v>
      </c>
      <c r="S102" s="1094">
        <f>IF(Financials!S19=0, NA(), Financials!S19)</f>
        <v>39</v>
      </c>
      <c r="T102" s="1149">
        <f>IF(Financials!T19=0, NA(), Financials!T19)</f>
        <v>468</v>
      </c>
      <c r="U102" s="1149">
        <f>IF(Financials!U19=0, NA(), Financials!U19)</f>
        <v>-26</v>
      </c>
      <c r="V102" s="1149">
        <f>IF(Financials!V19=0, NA(), Financials!V19)</f>
        <v>16</v>
      </c>
      <c r="W102" s="1149">
        <f>IF(Financials!W19=0, NA(), Financials!W19)</f>
        <v>50</v>
      </c>
      <c r="X102" s="1149">
        <f>IF(Financials!X19=0, NA(), Financials!X19)</f>
        <v>48</v>
      </c>
      <c r="Y102" s="1149">
        <f>IF(Financials!Y19=0, NA(), Financials!Y19)</f>
        <v>31</v>
      </c>
      <c r="Z102" s="1149">
        <f>IF(Financials!Z19=0, NA(), Financials!Z19)</f>
        <v>22</v>
      </c>
      <c r="AA102" s="1149">
        <f>IF(Financials!AA19=0, NA(), Financials!AA19)</f>
        <v>17</v>
      </c>
      <c r="AB102" s="1149">
        <f>IF(Financials!AB19=0, NA(), Financials!AB19)</f>
        <v>15</v>
      </c>
      <c r="AC102" s="1149">
        <f>IF(Financials!AC19=0, NA(), Financials!AC19)</f>
        <v>15</v>
      </c>
      <c r="AD102" s="1149">
        <f>IF(Financials!AD19=0, NA(), Financials!AD19)</f>
        <v>15</v>
      </c>
      <c r="AE102" s="1149">
        <f>IF(Financials!AE19=0, NA(), Financials!AE19)</f>
        <v>12</v>
      </c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</row>
    <row r="103" spans="1:82" s="249" customFormat="1" ht="11.25"/>
    <row r="104" spans="1:82" s="249" customFormat="1" ht="11.25"/>
    <row r="105" spans="1:82" s="249" customFormat="1" ht="11.25"/>
    <row r="106" spans="1:82" s="249" customFormat="1" ht="11.25"/>
    <row r="107" spans="1:82" s="249" customFormat="1" ht="11.25"/>
    <row r="108" spans="1:82">
      <c r="A108" s="9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329"/>
      <c r="U108" s="329"/>
      <c r="V108" s="329"/>
      <c r="W108" s="329"/>
      <c r="X108" s="329"/>
      <c r="Y108" s="329"/>
      <c r="Z108" s="329"/>
      <c r="AA108" s="329"/>
      <c r="AB108" s="329"/>
      <c r="AC108" s="329"/>
      <c r="AD108" s="329"/>
      <c r="AE108" s="32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</row>
    <row r="109" spans="1:82">
      <c r="A109" s="242" t="s">
        <v>1141</v>
      </c>
      <c r="B109" s="264">
        <v>2001</v>
      </c>
      <c r="C109" s="264">
        <v>2002</v>
      </c>
      <c r="D109" s="264">
        <v>2003</v>
      </c>
      <c r="E109" s="264">
        <v>2004</v>
      </c>
      <c r="F109" s="264">
        <v>2005</v>
      </c>
      <c r="G109" s="264">
        <v>2006</v>
      </c>
      <c r="H109" s="264">
        <v>2007</v>
      </c>
      <c r="I109" s="264">
        <v>2008</v>
      </c>
      <c r="J109" s="264">
        <f t="shared" ref="J109:AE109" si="26">J$6</f>
        <v>2009</v>
      </c>
      <c r="K109" s="264">
        <f t="shared" si="26"/>
        <v>2010</v>
      </c>
      <c r="L109" s="264">
        <f t="shared" si="26"/>
        <v>2011</v>
      </c>
      <c r="M109" s="264">
        <f t="shared" si="26"/>
        <v>2012</v>
      </c>
      <c r="N109" s="264">
        <f t="shared" si="26"/>
        <v>2013</v>
      </c>
      <c r="O109" s="264">
        <f t="shared" si="26"/>
        <v>2014</v>
      </c>
      <c r="P109" s="264">
        <f t="shared" si="26"/>
        <v>2015</v>
      </c>
      <c r="Q109" s="264">
        <f t="shared" si="26"/>
        <v>2016</v>
      </c>
      <c r="R109" s="264">
        <f t="shared" si="26"/>
        <v>2017</v>
      </c>
      <c r="S109" s="264">
        <f t="shared" si="26"/>
        <v>2018</v>
      </c>
      <c r="T109" s="264">
        <f t="shared" si="26"/>
        <v>2019</v>
      </c>
      <c r="U109" s="264">
        <f t="shared" si="26"/>
        <v>2020</v>
      </c>
      <c r="V109" s="264">
        <f t="shared" si="26"/>
        <v>2021</v>
      </c>
      <c r="W109" s="264">
        <f t="shared" si="26"/>
        <v>2022</v>
      </c>
      <c r="X109" s="264">
        <f t="shared" si="26"/>
        <v>2023</v>
      </c>
      <c r="Y109" s="594">
        <f t="shared" si="26"/>
        <v>2024</v>
      </c>
      <c r="Z109" s="594">
        <f t="shared" si="26"/>
        <v>2025</v>
      </c>
      <c r="AA109" s="594">
        <f t="shared" si="26"/>
        <v>2026</v>
      </c>
      <c r="AB109" s="594">
        <f t="shared" si="26"/>
        <v>2027</v>
      </c>
      <c r="AC109" s="594">
        <f t="shared" si="26"/>
        <v>2028</v>
      </c>
      <c r="AD109" s="594">
        <f t="shared" si="26"/>
        <v>2029</v>
      </c>
      <c r="AE109" s="594">
        <f t="shared" si="26"/>
        <v>2030</v>
      </c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</row>
    <row r="110" spans="1:82">
      <c r="A110" s="244" t="s">
        <v>200</v>
      </c>
      <c r="B110" s="245" t="e">
        <f>NA()</f>
        <v>#N/A</v>
      </c>
      <c r="C110" s="245" t="e">
        <f>NA()</f>
        <v>#N/A</v>
      </c>
      <c r="D110" s="245" t="e">
        <f>NA()</f>
        <v>#N/A</v>
      </c>
      <c r="E110" s="245" t="e">
        <f>NA()</f>
        <v>#N/A</v>
      </c>
      <c r="F110" s="245" t="e">
        <f>NA()</f>
        <v>#N/A</v>
      </c>
      <c r="G110" s="245" t="e">
        <f>NA()</f>
        <v>#N/A</v>
      </c>
      <c r="H110" s="245" t="e">
        <f>NA()</f>
        <v>#N/A</v>
      </c>
      <c r="I110" s="245" t="e">
        <f>NA()</f>
        <v>#N/A</v>
      </c>
      <c r="J110" s="245" t="e">
        <f>NA()</f>
        <v>#N/A</v>
      </c>
      <c r="K110" s="245" t="e">
        <f>NA()</f>
        <v>#N/A</v>
      </c>
      <c r="L110" s="245" t="e">
        <f>NA()</f>
        <v>#N/A</v>
      </c>
      <c r="M110" s="245" t="e">
        <f>NA()</f>
        <v>#N/A</v>
      </c>
      <c r="N110" s="245">
        <f>IF(Base!N26="",NA(),Base!N26)</f>
        <v>0.04</v>
      </c>
      <c r="O110" s="245">
        <f>IF(Base!O26="",NA(),Base!O26)</f>
        <v>-4.0000000000000001E-3</v>
      </c>
      <c r="P110" s="245">
        <f>IF(Base!P26="",NA(),Base!P26)</f>
        <v>4.3999999999999997E-2</v>
      </c>
      <c r="Q110" s="245">
        <f>IF(Base!Q26="",NA(),Base!Q26)</f>
        <v>5.8999999999999997E-2</v>
      </c>
      <c r="R110" s="245">
        <f>IF(Base!R26="",NA(),Base!R26)</f>
        <v>3.1E-2</v>
      </c>
      <c r="S110" s="245">
        <f>IF(Base!S26="",NA(),Base!S26)</f>
        <v>0.04</v>
      </c>
      <c r="T110" s="452">
        <f>IF(Base!T26="",NA(),Base!T26)</f>
        <v>3.4000000000000002E-2</v>
      </c>
      <c r="U110" s="452">
        <f>IF(Base!U26="",NA(),Base!U26)</f>
        <v>-0.23</v>
      </c>
      <c r="V110" s="452">
        <f>IF(Base!V26="",NA(),Base!V26)</f>
        <v>0.34300000000000003</v>
      </c>
      <c r="W110" s="452">
        <f>IF(Base!W26="",NA(),Base!W26)</f>
        <v>0.27128725947173421</v>
      </c>
      <c r="X110" s="452">
        <f>IF(Base!X26="",NA(),Base!X26)</f>
        <v>0.15443653132781138</v>
      </c>
      <c r="Y110" s="452">
        <f>IF(Base!Y26="",NA(),Base!Y26)</f>
        <v>7.1081854772975919E-2</v>
      </c>
      <c r="Z110" s="452">
        <f>IF(Base!Z26="",NA(),Base!Z26)</f>
        <v>4.8074206670876696E-2</v>
      </c>
      <c r="AA110" s="452">
        <f>IF(Base!AA26="",NA(),Base!AA26)</f>
        <v>4.6874784217962644E-2</v>
      </c>
      <c r="AB110" s="452">
        <f>IF(Base!AB26="",NA(),Base!AB26)</f>
        <v>4.6874784217962644E-2</v>
      </c>
      <c r="AC110" s="452">
        <f>IF(Base!AC26="",NA(),Base!AC26)</f>
        <v>3.487478421796264E-2</v>
      </c>
      <c r="AD110" s="452">
        <f>IF(Base!AD26="",NA(),Base!AD26)</f>
        <v>3.487478421796264E-2</v>
      </c>
      <c r="AE110" s="452">
        <f>IF(Base!AE26="",NA(),Base!AE26)</f>
        <v>3.487478421796264E-2</v>
      </c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</row>
    <row r="111" spans="1:82">
      <c r="A111" s="244" t="s">
        <v>201</v>
      </c>
      <c r="B111" s="245" t="e">
        <f>NA()</f>
        <v>#N/A</v>
      </c>
      <c r="C111" s="245" t="e">
        <f>NA()</f>
        <v>#N/A</v>
      </c>
      <c r="D111" s="245" t="e">
        <f>NA()</f>
        <v>#N/A</v>
      </c>
      <c r="E111" s="245" t="e">
        <f>NA()</f>
        <v>#N/A</v>
      </c>
      <c r="F111" s="245" t="e">
        <f>NA()</f>
        <v>#N/A</v>
      </c>
      <c r="G111" s="245" t="e">
        <f>NA()</f>
        <v>#N/A</v>
      </c>
      <c r="H111" s="245" t="e">
        <f>NA()</f>
        <v>#N/A</v>
      </c>
      <c r="I111" s="245" t="e">
        <f>NA()</f>
        <v>#N/A</v>
      </c>
      <c r="J111" s="245" t="e">
        <f>NA()</f>
        <v>#N/A</v>
      </c>
      <c r="K111" s="245" t="e">
        <f>NA()</f>
        <v>#N/A</v>
      </c>
      <c r="L111" s="245" t="e">
        <f>NA()</f>
        <v>#N/A</v>
      </c>
      <c r="M111" s="245" t="e">
        <f>NA()</f>
        <v>#N/A</v>
      </c>
      <c r="N111" s="245">
        <f>IF(Bull!N26="",NA(),Bull!N26)</f>
        <v>0.04</v>
      </c>
      <c r="O111" s="245">
        <f>IF(Bull!O26="",NA(),Bull!O26)</f>
        <v>-4.0000000000000001E-3</v>
      </c>
      <c r="P111" s="245">
        <f>IF(Bull!P26="",NA(),Bull!P26)</f>
        <v>4.3999999999999997E-2</v>
      </c>
      <c r="Q111" s="245">
        <f>IF(Bull!Q26="",NA(),Bull!Q26)</f>
        <v>5.8999999999999997E-2</v>
      </c>
      <c r="R111" s="245">
        <f>IF(Bull!R26="",NA(),Bull!R26)</f>
        <v>3.1E-2</v>
      </c>
      <c r="S111" s="245">
        <f>IF(Bull!S26="",NA(),Bull!S26)</f>
        <v>0.04</v>
      </c>
      <c r="T111" s="452">
        <f>IF(Bull!T26="",NA(),Bull!T26)</f>
        <v>3.4000000000000002E-2</v>
      </c>
      <c r="U111" s="452">
        <f>IF(Bull!U26="",NA(),Bull!U26)</f>
        <v>-0.23</v>
      </c>
      <c r="V111" s="452">
        <f>IF(Bull!V26="",NA(),Bull!V26)</f>
        <v>0.34300000000000003</v>
      </c>
      <c r="W111" s="452">
        <f>IF(Bull!W26="",NA(),Bull!W26)</f>
        <v>0.27128725947173421</v>
      </c>
      <c r="X111" s="452">
        <f>IF(Bull!X26="",NA(),Bull!X26)</f>
        <v>0.15443653132781138</v>
      </c>
      <c r="Y111" s="452">
        <f>IF(Bull!Y26="",NA(),Bull!Y26)</f>
        <v>7.3996813480194851E-2</v>
      </c>
      <c r="Z111" s="452">
        <f>IF(Bull!Z26="",NA(),Bull!Z26)</f>
        <v>5.2878074821984762E-2</v>
      </c>
      <c r="AA111" s="452">
        <f>IF(Bull!AA26="",NA(),Bull!AA26)</f>
        <v>5.1562262639758903E-2</v>
      </c>
      <c r="AB111" s="452">
        <f>IF(Bull!AB26="",NA(),Bull!AB26)</f>
        <v>5.156226263975891E-2</v>
      </c>
      <c r="AC111" s="452">
        <f>IF(Bull!AC26="",NA(),Bull!AC26)</f>
        <v>3.8362262639758914E-2</v>
      </c>
      <c r="AD111" s="452">
        <f>IF(Bull!AD26="",NA(),Bull!AD26)</f>
        <v>3.8362262639758907E-2</v>
      </c>
      <c r="AE111" s="452">
        <f>IF(Bull!AE26="",NA(),Bull!AE26)</f>
        <v>3.8362262639758907E-2</v>
      </c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</row>
    <row r="112" spans="1:82">
      <c r="A112" s="244" t="s">
        <v>202</v>
      </c>
      <c r="B112" s="245" t="e">
        <f>NA()</f>
        <v>#N/A</v>
      </c>
      <c r="C112" s="245" t="e">
        <f>NA()</f>
        <v>#N/A</v>
      </c>
      <c r="D112" s="245" t="e">
        <f>NA()</f>
        <v>#N/A</v>
      </c>
      <c r="E112" s="245" t="e">
        <f>NA()</f>
        <v>#N/A</v>
      </c>
      <c r="F112" s="245" t="e">
        <f>NA()</f>
        <v>#N/A</v>
      </c>
      <c r="G112" s="245" t="e">
        <f>NA()</f>
        <v>#N/A</v>
      </c>
      <c r="H112" s="245" t="e">
        <f>NA()</f>
        <v>#N/A</v>
      </c>
      <c r="I112" s="245" t="e">
        <f>NA()</f>
        <v>#N/A</v>
      </c>
      <c r="J112" s="245" t="e">
        <f>NA()</f>
        <v>#N/A</v>
      </c>
      <c r="K112" s="245" t="e">
        <f>NA()</f>
        <v>#N/A</v>
      </c>
      <c r="L112" s="245" t="e">
        <f>NA()</f>
        <v>#N/A</v>
      </c>
      <c r="M112" s="245" t="e">
        <f>NA()</f>
        <v>#N/A</v>
      </c>
      <c r="N112" s="245">
        <f>IF(Bear!N26="",NA(),Bear!N26)</f>
        <v>0.04</v>
      </c>
      <c r="O112" s="245">
        <f>IF(Bear!O26="",NA(),Bear!O26)</f>
        <v>-4.0000000000000001E-3</v>
      </c>
      <c r="P112" s="245">
        <f>IF(Bear!P26="",NA(),Bear!P26)</f>
        <v>4.3999999999999997E-2</v>
      </c>
      <c r="Q112" s="245">
        <f>IF(Bear!Q26="",NA(),Bear!Q26)</f>
        <v>5.8999999999999997E-2</v>
      </c>
      <c r="R112" s="245">
        <f>IF(Bear!R26="",NA(),Bear!R26)</f>
        <v>3.1E-2</v>
      </c>
      <c r="S112" s="245">
        <f>IF(Bear!S26="",NA(),Bear!S26)</f>
        <v>0.04</v>
      </c>
      <c r="T112" s="452">
        <f>IF(Bear!T26="",NA(),Bear!T26)</f>
        <v>3.4000000000000002E-2</v>
      </c>
      <c r="U112" s="452">
        <f>IF(Bear!U26="",NA(),Bear!U26)</f>
        <v>-0.23</v>
      </c>
      <c r="V112" s="452">
        <f>IF(Bear!V26="",NA(),Bear!V26)</f>
        <v>0.34300000000000003</v>
      </c>
      <c r="W112" s="452">
        <f>IF(Bear!W26="",NA(),Bear!W26)</f>
        <v>0.27128725947173421</v>
      </c>
      <c r="X112" s="452">
        <f>IF(Bear!X26="",NA(),Bear!X26)</f>
        <v>0.15443653132781138</v>
      </c>
      <c r="Y112" s="452">
        <f>IF(Bear!Y26="",NA(),Bear!Y26)</f>
        <v>6.5306215313657767E-2</v>
      </c>
      <c r="Z112" s="452">
        <f>IF(Bear!Z26="",NA(),Bear!Z26)</f>
        <v>3.8466053076892298E-2</v>
      </c>
      <c r="AA112" s="452">
        <f>IF(Bear!AA26="",NA(),Bear!AA26)</f>
        <v>3.7499827374370118E-2</v>
      </c>
      <c r="AB112" s="452">
        <f>IF(Bear!AB26="",NA(),Bear!AB26)</f>
        <v>3.7499827374370125E-2</v>
      </c>
      <c r="AC112" s="452">
        <f>IF(Bear!AC26="",NA(),Bear!AC26)</f>
        <v>2.7899827374370113E-2</v>
      </c>
      <c r="AD112" s="452">
        <f>IF(Bear!AD26="",NA(),Bear!AD26)</f>
        <v>2.7899827374370113E-2</v>
      </c>
      <c r="AE112" s="452">
        <f>IF(Bear!AE26="",NA(),Bear!AE26)</f>
        <v>2.7899827374370113E-2</v>
      </c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</row>
    <row r="113" spans="1:82">
      <c r="A113" s="243" t="s">
        <v>1373</v>
      </c>
      <c r="B113" s="1648" t="e">
        <f>NA()</f>
        <v>#N/A</v>
      </c>
      <c r="C113" s="1648" t="e">
        <f>NA()</f>
        <v>#N/A</v>
      </c>
      <c r="D113" s="1648" t="e">
        <f>NA()</f>
        <v>#N/A</v>
      </c>
      <c r="E113" s="1648">
        <v>5.1999999999999998E-2</v>
      </c>
      <c r="F113" s="1648">
        <v>3.3000000000000002E-2</v>
      </c>
      <c r="G113" s="1648">
        <v>4.1000000000000002E-2</v>
      </c>
      <c r="H113" s="1648">
        <v>3.7999999999999999E-2</v>
      </c>
      <c r="I113" s="1648">
        <v>6.5000000000000002E-2</v>
      </c>
      <c r="J113" s="1649">
        <v>3.5999999999999997E-2</v>
      </c>
      <c r="K113" s="1649">
        <v>4.3999999999999997E-2</v>
      </c>
      <c r="L113" s="1649">
        <v>3.4000000000000002E-2</v>
      </c>
      <c r="M113" s="1649">
        <v>3.5682148898864119E-2</v>
      </c>
      <c r="N113" s="1649">
        <v>3.9741486095010048E-2</v>
      </c>
      <c r="O113" s="1649">
        <v>4.0812891473210433E-2</v>
      </c>
      <c r="P113" s="1649">
        <v>2.1307733773755944E-2</v>
      </c>
      <c r="Q113" s="1649">
        <v>3.3602555060934236E-2</v>
      </c>
      <c r="R113" s="1649">
        <v>6.7731070524451598E-2</v>
      </c>
      <c r="S113" s="1649">
        <v>4.8305280499506775E-2</v>
      </c>
      <c r="T113" s="1650">
        <v>2.8285769753445988E-2</v>
      </c>
      <c r="U113" s="1650">
        <v>3.1500745747352177E-2</v>
      </c>
      <c r="V113" s="1650">
        <v>7.3551079426380284E-2</v>
      </c>
      <c r="W113" s="1650">
        <v>7.8170286766460872E-2</v>
      </c>
      <c r="X113" s="1650">
        <v>4.6608896408861566E-2</v>
      </c>
      <c r="Y113" s="1650">
        <v>3.9895529877053804E-2</v>
      </c>
      <c r="Z113" s="1650">
        <v>3.6874784217962642E-2</v>
      </c>
      <c r="AA113" s="1650">
        <v>4.3866829932875023E-2</v>
      </c>
      <c r="AB113" s="1786">
        <f>+AA113</f>
        <v>4.3866829932875023E-2</v>
      </c>
      <c r="AC113" s="1786">
        <f>+AB113</f>
        <v>4.3866829932875023E-2</v>
      </c>
      <c r="AD113" s="1786">
        <f>+AC113</f>
        <v>4.3866829932875023E-2</v>
      </c>
      <c r="AE113" s="1786">
        <f>+AD113</f>
        <v>4.3866829932875023E-2</v>
      </c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</row>
    <row r="114" spans="1:82">
      <c r="A114" s="242" t="s">
        <v>1142</v>
      </c>
      <c r="B114" s="264">
        <v>2001</v>
      </c>
      <c r="C114" s="264">
        <v>2002</v>
      </c>
      <c r="D114" s="264">
        <v>2003</v>
      </c>
      <c r="E114" s="264">
        <v>2004</v>
      </c>
      <c r="F114" s="264">
        <v>2005</v>
      </c>
      <c r="G114" s="264">
        <v>2006</v>
      </c>
      <c r="H114" s="264">
        <v>2007</v>
      </c>
      <c r="I114" s="264">
        <v>2008</v>
      </c>
      <c r="J114" s="264">
        <f t="shared" ref="J114:AE114" si="27">J$6</f>
        <v>2009</v>
      </c>
      <c r="K114" s="264">
        <f t="shared" si="27"/>
        <v>2010</v>
      </c>
      <c r="L114" s="264">
        <f t="shared" si="27"/>
        <v>2011</v>
      </c>
      <c r="M114" s="264">
        <f t="shared" si="27"/>
        <v>2012</v>
      </c>
      <c r="N114" s="264">
        <f t="shared" si="27"/>
        <v>2013</v>
      </c>
      <c r="O114" s="264">
        <f t="shared" si="27"/>
        <v>2014</v>
      </c>
      <c r="P114" s="264">
        <f t="shared" si="27"/>
        <v>2015</v>
      </c>
      <c r="Q114" s="264">
        <f t="shared" si="27"/>
        <v>2016</v>
      </c>
      <c r="R114" s="264">
        <f t="shared" si="27"/>
        <v>2017</v>
      </c>
      <c r="S114" s="264">
        <f t="shared" si="27"/>
        <v>2018</v>
      </c>
      <c r="T114" s="264">
        <f t="shared" si="27"/>
        <v>2019</v>
      </c>
      <c r="U114" s="264">
        <f t="shared" si="27"/>
        <v>2020</v>
      </c>
      <c r="V114" s="264">
        <f t="shared" si="27"/>
        <v>2021</v>
      </c>
      <c r="W114" s="264">
        <f t="shared" si="27"/>
        <v>2022</v>
      </c>
      <c r="X114" s="264">
        <f t="shared" si="27"/>
        <v>2023</v>
      </c>
      <c r="Y114" s="594">
        <f t="shared" si="27"/>
        <v>2024</v>
      </c>
      <c r="Z114" s="594">
        <f t="shared" si="27"/>
        <v>2025</v>
      </c>
      <c r="AA114" s="594">
        <f t="shared" si="27"/>
        <v>2026</v>
      </c>
      <c r="AB114" s="594">
        <f t="shared" si="27"/>
        <v>2027</v>
      </c>
      <c r="AC114" s="594">
        <f t="shared" si="27"/>
        <v>2028</v>
      </c>
      <c r="AD114" s="594">
        <f t="shared" si="27"/>
        <v>2029</v>
      </c>
      <c r="AE114" s="594">
        <f t="shared" si="27"/>
        <v>2030</v>
      </c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</row>
    <row r="115" spans="1:82">
      <c r="A115" s="244" t="s">
        <v>200</v>
      </c>
      <c r="B115" s="245" t="e">
        <f>NA()</f>
        <v>#N/A</v>
      </c>
      <c r="C115" s="245" t="e">
        <f>NA()</f>
        <v>#N/A</v>
      </c>
      <c r="D115" s="245" t="e">
        <f>NA()</f>
        <v>#N/A</v>
      </c>
      <c r="E115" s="245" t="e">
        <f>NA()</f>
        <v>#N/A</v>
      </c>
      <c r="F115" s="245" t="e">
        <f>NA()</f>
        <v>#N/A</v>
      </c>
      <c r="G115" s="245" t="e">
        <f>NA()</f>
        <v>#N/A</v>
      </c>
      <c r="H115" s="245" t="e">
        <f>NA()</f>
        <v>#N/A</v>
      </c>
      <c r="I115" s="245" t="e">
        <f>NA()</f>
        <v>#N/A</v>
      </c>
      <c r="J115" s="245" t="e">
        <f>NA()</f>
        <v>#N/A</v>
      </c>
      <c r="K115" s="245" t="e">
        <f>NA()</f>
        <v>#N/A</v>
      </c>
      <c r="L115" s="245" t="e">
        <f>NA()</f>
        <v>#N/A</v>
      </c>
      <c r="M115" s="245" t="e">
        <f>NA()</f>
        <v>#N/A</v>
      </c>
      <c r="N115" s="245">
        <f>IF(Base!N28="",NA(),Base!N28)</f>
        <v>0.21099999999999999</v>
      </c>
      <c r="O115" s="245">
        <f>IF(Base!O28="",NA(),Base!O28)</f>
        <v>0.2</v>
      </c>
      <c r="P115" s="245">
        <f>IF(Base!P28="",NA(),Base!P28)</f>
        <v>0.255</v>
      </c>
      <c r="Q115" s="245">
        <f>IF(Base!Q28="",NA(),Base!Q28)</f>
        <v>0.23499999999999999</v>
      </c>
      <c r="R115" s="245">
        <f>IF(Base!R28="",NA(),Base!R28)</f>
        <v>0.19600000000000001</v>
      </c>
      <c r="S115" s="245">
        <f>IF(Base!S28="",NA(),Base!S28)</f>
        <v>0.115</v>
      </c>
      <c r="T115" s="452">
        <f>IF(Base!T28="",NA(),Base!T28)</f>
        <v>0.14599999999999999</v>
      </c>
      <c r="U115" s="452">
        <f>IF(Base!U28="",NA(),Base!U28)</f>
        <v>-0.20100000000000001</v>
      </c>
      <c r="V115" s="452">
        <f>IF(Base!V28="",NA(),Base!V28)</f>
        <v>0.63400000000000001</v>
      </c>
      <c r="W115" s="452">
        <f>IF(Base!W28="",NA(),Base!W28)</f>
        <v>0.71179330784827166</v>
      </c>
      <c r="X115" s="452">
        <f>IF(Base!X28="",NA(),Base!X28)</f>
        <v>0.43871130918072654</v>
      </c>
      <c r="Y115" s="452">
        <f>IF(Base!Y28="",NA(),Base!Y28)</f>
        <v>0.44221681681804537</v>
      </c>
      <c r="Z115" s="452">
        <f>IF(Base!Z28="",NA(),Base!Z28)</f>
        <v>0.23042643509430136</v>
      </c>
      <c r="AA115" s="452">
        <f>IF(Base!AA28="",NA(),Base!AA28)</f>
        <v>0.17762072527362735</v>
      </c>
      <c r="AB115" s="452">
        <f>IF(Base!AB28="",NA(),Base!AB28)</f>
        <v>0.14733212978486515</v>
      </c>
      <c r="AC115" s="452">
        <f>IF(Base!AC28="",NA(),Base!AC28)</f>
        <v>0.13873805895278069</v>
      </c>
      <c r="AD115" s="452">
        <f>IF(Base!AD28="",NA(),Base!AD28)</f>
        <v>0.137921671300164</v>
      </c>
      <c r="AE115" s="452">
        <f>IF(Base!AE28="",NA(),Base!AE28)</f>
        <v>0.13758847609642097</v>
      </c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</row>
    <row r="116" spans="1:82">
      <c r="A116" s="244" t="s">
        <v>201</v>
      </c>
      <c r="B116" s="245" t="e">
        <f>NA()</f>
        <v>#N/A</v>
      </c>
      <c r="C116" s="245" t="e">
        <f>NA()</f>
        <v>#N/A</v>
      </c>
      <c r="D116" s="245" t="e">
        <f>NA()</f>
        <v>#N/A</v>
      </c>
      <c r="E116" s="245" t="e">
        <f>NA()</f>
        <v>#N/A</v>
      </c>
      <c r="F116" s="245" t="e">
        <f>NA()</f>
        <v>#N/A</v>
      </c>
      <c r="G116" s="245" t="e">
        <f>NA()</f>
        <v>#N/A</v>
      </c>
      <c r="H116" s="245" t="e">
        <f>NA()</f>
        <v>#N/A</v>
      </c>
      <c r="I116" s="245" t="e">
        <f>NA()</f>
        <v>#N/A</v>
      </c>
      <c r="J116" s="245" t="e">
        <f>NA()</f>
        <v>#N/A</v>
      </c>
      <c r="K116" s="245" t="e">
        <f>NA()</f>
        <v>#N/A</v>
      </c>
      <c r="L116" s="245" t="e">
        <f>NA()</f>
        <v>#N/A</v>
      </c>
      <c r="M116" s="245" t="e">
        <f>NA()</f>
        <v>#N/A</v>
      </c>
      <c r="N116" s="245">
        <f>IF(Bull!N28="",NA(),Bull!N28)</f>
        <v>0.21099999999999999</v>
      </c>
      <c r="O116" s="245">
        <f>IF(Bull!O28="",NA(),Bull!O28)</f>
        <v>0.2</v>
      </c>
      <c r="P116" s="245">
        <f>IF(Bull!P28="",NA(),Bull!P28)</f>
        <v>0.255</v>
      </c>
      <c r="Q116" s="245">
        <f>IF(Bull!Q28="",NA(),Bull!Q28)</f>
        <v>0.23499999999999999</v>
      </c>
      <c r="R116" s="245">
        <f>IF(Bull!R28="",NA(),Bull!R28)</f>
        <v>0.19600000000000001</v>
      </c>
      <c r="S116" s="245">
        <f>IF(Bull!S28="",NA(),Bull!S28)</f>
        <v>0.115</v>
      </c>
      <c r="T116" s="452">
        <f>IF(Bull!T28="",NA(),Bull!T28)</f>
        <v>0.14599999999999999</v>
      </c>
      <c r="U116" s="452">
        <f>IF(Bull!U28="",NA(),Bull!U28)</f>
        <v>-0.20100000000000001</v>
      </c>
      <c r="V116" s="452">
        <f>IF(Bull!V28="",NA(),Bull!V28)</f>
        <v>0.63400000000000001</v>
      </c>
      <c r="W116" s="452">
        <f>IF(Bull!W28="",NA(),Bull!W28)</f>
        <v>0.71179330784827166</v>
      </c>
      <c r="X116" s="452">
        <f>IF(Bull!X28="",NA(),Bull!X28)</f>
        <v>0.43871130918072654</v>
      </c>
      <c r="Y116" s="452">
        <f>IF(Bull!Y28="",NA(),Bull!Y28)</f>
        <v>0.46904155060734176</v>
      </c>
      <c r="Z116" s="452">
        <f>IF(Bull!Z28="",NA(),Bull!Z28)</f>
        <v>0.25126697073807602</v>
      </c>
      <c r="AA116" s="452">
        <f>IF(Bull!AA28="",NA(),Bull!AA28)</f>
        <v>0.19451790149807996</v>
      </c>
      <c r="AB116" s="452">
        <f>IF(Bull!AB28="",NA(),Bull!AB28)</f>
        <v>0.1614039466857527</v>
      </c>
      <c r="AC116" s="452">
        <f>IF(Bull!AC28="",NA(),Bull!AC28)</f>
        <v>0.15210717616548086</v>
      </c>
      <c r="AD116" s="452">
        <f>IF(Bull!AD28="",NA(),Bull!AD28)</f>
        <v>0.15129108021521781</v>
      </c>
      <c r="AE116" s="452">
        <f>IF(Bull!AE28="",NA(),Bull!AE28)</f>
        <v>0.15096184472840629</v>
      </c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</row>
    <row r="117" spans="1:82">
      <c r="A117" s="244" t="s">
        <v>202</v>
      </c>
      <c r="B117" s="245" t="e">
        <f>NA()</f>
        <v>#N/A</v>
      </c>
      <c r="C117" s="245" t="e">
        <f>NA()</f>
        <v>#N/A</v>
      </c>
      <c r="D117" s="245" t="e">
        <f>NA()</f>
        <v>#N/A</v>
      </c>
      <c r="E117" s="245" t="e">
        <f>NA()</f>
        <v>#N/A</v>
      </c>
      <c r="F117" s="245" t="e">
        <f>NA()</f>
        <v>#N/A</v>
      </c>
      <c r="G117" s="245" t="e">
        <f>NA()</f>
        <v>#N/A</v>
      </c>
      <c r="H117" s="245" t="e">
        <f>NA()</f>
        <v>#N/A</v>
      </c>
      <c r="I117" s="245" t="e">
        <f>NA()</f>
        <v>#N/A</v>
      </c>
      <c r="J117" s="245" t="e">
        <f>NA()</f>
        <v>#N/A</v>
      </c>
      <c r="K117" s="245" t="e">
        <f>NA()</f>
        <v>#N/A</v>
      </c>
      <c r="L117" s="245" t="e">
        <f>NA()</f>
        <v>#N/A</v>
      </c>
      <c r="M117" s="245" t="e">
        <f>NA()</f>
        <v>#N/A</v>
      </c>
      <c r="N117" s="245">
        <f>IF(Bear!N28="",NA(),Bear!N28)</f>
        <v>0.21099999999999999</v>
      </c>
      <c r="O117" s="245">
        <f>IF(Bear!O28="",NA(),Bear!O28)</f>
        <v>0.2</v>
      </c>
      <c r="P117" s="245">
        <f>IF(Bear!P28="",NA(),Bear!P28)</f>
        <v>0.255</v>
      </c>
      <c r="Q117" s="245">
        <f>IF(Bear!Q28="",NA(),Bear!Q28)</f>
        <v>0.23499999999999999</v>
      </c>
      <c r="R117" s="245">
        <f>IF(Bear!R28="",NA(),Bear!R28)</f>
        <v>0.19600000000000001</v>
      </c>
      <c r="S117" s="245">
        <f>IF(Bear!S28="",NA(),Bear!S28)</f>
        <v>0.115</v>
      </c>
      <c r="T117" s="452">
        <f>IF(Bear!T28="",NA(),Bear!T28)</f>
        <v>0.14599999999999999</v>
      </c>
      <c r="U117" s="452">
        <f>IF(Bear!U28="",NA(),Bear!U28)</f>
        <v>-0.20100000000000001</v>
      </c>
      <c r="V117" s="452">
        <f>IF(Bear!V28="",NA(),Bear!V28)</f>
        <v>0.63400000000000001</v>
      </c>
      <c r="W117" s="452">
        <f>IF(Bear!W28="",NA(),Bear!W28)</f>
        <v>0.71179330784827166</v>
      </c>
      <c r="X117" s="452">
        <f>IF(Bear!X28="",NA(),Bear!X28)</f>
        <v>0.43871130918072654</v>
      </c>
      <c r="Y117" s="452">
        <f>IF(Bear!Y28="",NA(),Bear!Y28)</f>
        <v>0.39270172196184605</v>
      </c>
      <c r="Z117" s="452">
        <f>IF(Bear!Z28="",NA(),Bear!Z28)</f>
        <v>0.18817245562685256</v>
      </c>
      <c r="AA117" s="452">
        <f>IF(Bear!AA28="",NA(),Bear!AA28)</f>
        <v>0.14221925248719891</v>
      </c>
      <c r="AB117" s="452">
        <f>IF(Bear!AB28="",NA(),Bear!AB28)</f>
        <v>0.11801101744473239</v>
      </c>
      <c r="AC117" s="452">
        <f>IF(Bear!AC28="",NA(),Bear!AC28)</f>
        <v>0.12471946926283814</v>
      </c>
      <c r="AD117" s="452">
        <f>IF(Bear!AD28="",NA(),Bear!AD28)</f>
        <v>0.12439647404914214</v>
      </c>
      <c r="AE117" s="452">
        <f>IF(Bear!AE28="",NA(),Bear!AE28)</f>
        <v>0.12405617881607967</v>
      </c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</row>
    <row r="118" spans="1:82">
      <c r="A118" s="243" t="s">
        <v>1375</v>
      </c>
      <c r="B118" s="1648">
        <v>-1.5434278220518571E-2</v>
      </c>
      <c r="C118" s="1648">
        <v>0.40952868852459012</v>
      </c>
      <c r="D118" s="1648">
        <v>3.6563204186959464E-2</v>
      </c>
      <c r="E118" s="1648">
        <v>6.1009817671809463E-2</v>
      </c>
      <c r="F118" s="1648">
        <v>0.12326503635161923</v>
      </c>
      <c r="G118" s="1648">
        <v>9.8381877022653663E-2</v>
      </c>
      <c r="H118" s="1648">
        <v>8.5000000000000006E-2</v>
      </c>
      <c r="I118" s="1648">
        <v>7.1999999999999995E-2</v>
      </c>
      <c r="J118" s="1649">
        <v>7.6945328319352191E-2</v>
      </c>
      <c r="K118" s="1649">
        <v>0.10923090697466198</v>
      </c>
      <c r="L118" s="1649">
        <v>9.5000000000000001E-2</v>
      </c>
      <c r="M118" s="1649">
        <v>0.16139699672261298</v>
      </c>
      <c r="N118" s="1649">
        <v>0.26600261267145653</v>
      </c>
      <c r="O118" s="1649">
        <v>0.38036888946214353</v>
      </c>
      <c r="P118" s="1649">
        <v>0.26924873855354159</v>
      </c>
      <c r="Q118" s="1649">
        <v>0.39296870420172936</v>
      </c>
      <c r="R118" s="1649">
        <v>0.24795599999999962</v>
      </c>
      <c r="S118" s="1649">
        <v>0.47645590068880672</v>
      </c>
      <c r="T118" s="1650">
        <v>0.53832402016333813</v>
      </c>
      <c r="U118" s="1650">
        <v>0.36140587812345393</v>
      </c>
      <c r="V118" s="1650">
        <v>0.50941633543466391</v>
      </c>
      <c r="W118" s="1650">
        <v>0.94793182335191917</v>
      </c>
      <c r="X118" s="1650">
        <v>2.1140764374717671</v>
      </c>
      <c r="Y118" s="1650">
        <v>1.5392684959615153</v>
      </c>
      <c r="Z118" s="1650">
        <v>0.37044149547102956</v>
      </c>
      <c r="AA118" s="1650">
        <v>0.37044149547102956</v>
      </c>
      <c r="AB118" s="1786">
        <f>+AA118</f>
        <v>0.37044149547102956</v>
      </c>
      <c r="AC118" s="1786">
        <f>+AB118</f>
        <v>0.37044149547102956</v>
      </c>
      <c r="AD118" s="1786">
        <f>+AC118</f>
        <v>0.37044149547102956</v>
      </c>
      <c r="AE118" s="1786">
        <f>+AD118</f>
        <v>0.37044149547102956</v>
      </c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</row>
    <row r="119" spans="1:82">
      <c r="A119" s="1663" t="s">
        <v>999</v>
      </c>
      <c r="B119" s="1663"/>
      <c r="C119" s="1663"/>
      <c r="D119" s="1663"/>
      <c r="E119" s="1663"/>
      <c r="F119" s="1663" t="s">
        <v>1391</v>
      </c>
      <c r="G119" s="1663"/>
      <c r="H119" s="1663"/>
      <c r="I119" s="1663"/>
      <c r="J119" s="1663">
        <v>40178</v>
      </c>
      <c r="K119" s="1663">
        <v>40543</v>
      </c>
      <c r="L119" s="1663">
        <v>40908</v>
      </c>
      <c r="M119" s="1663">
        <v>41274</v>
      </c>
      <c r="N119" s="1663">
        <v>41639</v>
      </c>
      <c r="O119" s="1663">
        <v>42004</v>
      </c>
      <c r="P119" s="1663">
        <v>42369</v>
      </c>
      <c r="Q119" s="1663">
        <v>42735</v>
      </c>
      <c r="R119" s="1663">
        <v>43100</v>
      </c>
      <c r="S119" s="1663">
        <v>43465</v>
      </c>
      <c r="T119" s="1663">
        <v>43830</v>
      </c>
      <c r="U119" s="1663">
        <v>44196</v>
      </c>
      <c r="V119" s="1663">
        <v>44561</v>
      </c>
      <c r="W119" s="1663">
        <v>44926</v>
      </c>
      <c r="X119" s="1663">
        <v>45291</v>
      </c>
      <c r="Y119" s="1664">
        <v>45657</v>
      </c>
      <c r="Z119" s="1664">
        <v>46022</v>
      </c>
      <c r="AA119" s="1664">
        <v>46387</v>
      </c>
      <c r="AB119" s="1664">
        <v>46752</v>
      </c>
      <c r="AC119" s="1664">
        <v>47118</v>
      </c>
      <c r="AD119" s="1664">
        <v>47483</v>
      </c>
      <c r="AE119" s="1664">
        <v>47848</v>
      </c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</row>
    <row r="120" spans="1:82">
      <c r="A120" s="243" t="s">
        <v>987</v>
      </c>
      <c r="B120" s="1648" t="e">
        <f>NA()</f>
        <v>#N/A</v>
      </c>
      <c r="C120" s="1648" t="e">
        <f>NA()</f>
        <v>#N/A</v>
      </c>
      <c r="D120" s="1648" t="e">
        <f>NA()</f>
        <v>#N/A</v>
      </c>
      <c r="E120" s="1648" t="e">
        <f>NA()</f>
        <v>#N/A</v>
      </c>
      <c r="F120" s="1648" t="e">
        <f>NA()</f>
        <v>#N/A</v>
      </c>
      <c r="G120" s="1648" t="e">
        <f>NA()</f>
        <v>#N/A</v>
      </c>
      <c r="H120" s="1648" t="e">
        <f>NA()</f>
        <v>#N/A</v>
      </c>
      <c r="I120" s="1648" t="e">
        <f>NA()</f>
        <v>#N/A</v>
      </c>
      <c r="J120" s="1649">
        <f ca="1">+OFFSET(Q_IS!$A$4,MATCH(Charts_Support!$A$120,Q_IS!$A$5:$A$322,0),MATCH(Charts_Support!J$119,Q_IS!$B$4:$BQ$4,0))</f>
        <v>6.2145731593186933E-2</v>
      </c>
      <c r="K120" s="1649">
        <f ca="1">+OFFSET(Q_IS!$A$4,MATCH(Charts_Support!$A$120,Q_IS!$A$5:$A$322,0),MATCH(Charts_Support!K$119,Q_IS!$B$4:$BQ$4,0))</f>
        <v>9.5468659555903085E-2</v>
      </c>
      <c r="L120" s="1649">
        <f ca="1">+OFFSET(Q_IS!$A$4,MATCH(Charts_Support!$A$120,Q_IS!$A$5:$A$322,0),MATCH(Charts_Support!L$119,Q_IS!$B$4:$BQ$4,0))</f>
        <v>9.1332258144631973E-2</v>
      </c>
      <c r="M120" s="1649">
        <f ca="1">+OFFSET(Q_IS!$A$4,MATCH(Charts_Support!$A$120,Q_IS!$A$5:$A$322,0),MATCH(Charts_Support!M$119,Q_IS!$B$4:$BQ$4,0))</f>
        <v>0.10553815261044178</v>
      </c>
      <c r="N120" s="1649">
        <f ca="1">+OFFSET(Q_IS!$A$4,MATCH(Charts_Support!$A$120,Q_IS!$A$5:$A$322,0),MATCH(Charts_Support!N$119,Q_IS!$B$4:$BQ$4,0))</f>
        <v>0.1641254355400697</v>
      </c>
      <c r="O120" s="1649">
        <f ca="1">+OFFSET(Q_IS!$A$4,MATCH(Charts_Support!$A$120,Q_IS!$A$5:$A$322,0),MATCH(Charts_Support!O$119,Q_IS!$B$4:$BQ$4,0))</f>
        <v>0.21407434402332362</v>
      </c>
      <c r="P120" s="1649">
        <f ca="1">+OFFSET(Q_IS!$A$4,MATCH(Charts_Support!$A$120,Q_IS!$A$5:$A$322,0),MATCH(Charts_Support!P$119,Q_IS!$B$4:$BQ$4,0))</f>
        <v>0.1661126582278481</v>
      </c>
      <c r="Q120" s="1649">
        <f ca="1">+OFFSET(Q_IS!$A$4,MATCH(Charts_Support!$A$120,Q_IS!$A$5:$A$322,0),MATCH(Charts_Support!Q$119,Q_IS!$B$4:$BQ$4,0))</f>
        <v>0.20412577962577963</v>
      </c>
      <c r="R120" s="1649">
        <f ca="1">+OFFSET(Q_IS!$A$4,MATCH(Charts_Support!$A$120,Q_IS!$A$5:$A$322,0),MATCH(Charts_Support!R$119,Q_IS!$B$4:$BQ$4,0))</f>
        <v>0.12666666666666668</v>
      </c>
      <c r="S120" s="1649">
        <f ca="1">+OFFSET(Q_IS!$A$4,MATCH(Charts_Support!$A$120,Q_IS!$A$5:$A$322,0),MATCH(Charts_Support!S$119,Q_IS!$B$4:$BQ$4,0))</f>
        <v>0.20664490445859873</v>
      </c>
      <c r="T120" s="1650">
        <f ca="1">+OFFSET(Q_IS!$A$4,MATCH(Charts_Support!$A$120,Q_IS!$A$5:$A$322,0),MATCH(Charts_Support!T$119,Q_IS!$B$4:$BQ$4,0))</f>
        <v>1.3616999999999999</v>
      </c>
      <c r="U120" s="1650">
        <f ca="1">+OFFSET(Q_IS!$A$4,MATCH(Charts_Support!$A$120,Q_IS!$A$5:$A$322,0),MATCH(Charts_Support!U$119,Q_IS!$B$4:$BQ$4,0))</f>
        <v>0.15491461997275427</v>
      </c>
      <c r="V120" s="1650">
        <f ca="1">+OFFSET(Q_IS!$A$4,MATCH(Charts_Support!$A$120,Q_IS!$A$5:$A$322,0),MATCH(Charts_Support!V$119,Q_IS!$B$4:$BQ$4,0))</f>
        <v>0.22795090406981916</v>
      </c>
      <c r="W120" s="1650">
        <f ca="1">+OFFSET(Q_IS!$A$4,MATCH(Charts_Support!$A$120,Q_IS!$A$5:$A$322,0),MATCH(Charts_Support!W$119,Q_IS!$B$4:$BQ$4,0))</f>
        <v>0.40457933744847319</v>
      </c>
      <c r="X120" s="1650">
        <f ca="1">+OFFSET(Q_IS!$A$4,MATCH(Charts_Support!$A$120,Q_IS!$A$5:$A$322,0),MATCH(Charts_Support!X$119,Q_IS!$B$4:$BQ$4,0))</f>
        <v>0.72325144228756499</v>
      </c>
      <c r="Y120" s="1650">
        <f ca="1">+OFFSET(Q_IS!$A$4,MATCH(Charts_Support!$A$120,Q_IS!$A$5:$A$322,0),MATCH(Charts_Support!Y$119,Q_IS!$B$4:$BQ$4,0))</f>
        <v>0.52173394380036509</v>
      </c>
      <c r="Z120" s="1650">
        <f ca="1">+OFFSET(Q_IS!$A$4,MATCH(Charts_Support!$A$120,Q_IS!$A$5:$A$322,0),MATCH(Charts_Support!Z$119,Q_IS!$B$4:$BQ$4,0))</f>
        <v>0.1407749203523444</v>
      </c>
      <c r="AA120" s="1650">
        <f ca="1">+OFFSET(Q_IS!$A$4,MATCH(Charts_Support!$A$120,Q_IS!$A$5:$A$322,0),MATCH(Charts_Support!AA$119,Q_IS!$B$4:$CK$4,0))</f>
        <v>0.1407749203523444</v>
      </c>
      <c r="AB120" s="1650">
        <f ca="1">+OFFSET(Q_IS!$A$4,MATCH(Charts_Support!$A$120,Q_IS!$A$5:$A$322,0),MATCH(Charts_Support!AB$119,Q_IS!$B$4:$CK$4,0))</f>
        <v>0.1407749203523444</v>
      </c>
      <c r="AC120" s="1650">
        <f ca="1">+OFFSET(Q_IS!$A$4,MATCH(Charts_Support!$A$120,Q_IS!$A$5:$A$322,0),MATCH(Charts_Support!AC$119,Q_IS!$B$4:$CK$4,0))</f>
        <v>0.1407749203523444</v>
      </c>
      <c r="AD120" s="1650">
        <f ca="1">+OFFSET(Q_IS!$A$4,MATCH(Charts_Support!$A$120,Q_IS!$A$5:$A$322,0),MATCH(Charts_Support!AD$119,Q_IS!$B$4:$CK$4,0))</f>
        <v>0.1407749203523444</v>
      </c>
      <c r="AE120" s="1650">
        <f ca="1">+OFFSET(Q_IS!$A$4,MATCH(Charts_Support!$A$120,Q_IS!$A$5:$A$322,0),MATCH(Charts_Support!AE$119,Q_IS!$B$4:$CK$4,0))</f>
        <v>0.1407749203523444</v>
      </c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</row>
    <row r="121" spans="1:82">
      <c r="A121" s="242" t="s">
        <v>1175</v>
      </c>
      <c r="B121" s="264">
        <v>2001</v>
      </c>
      <c r="C121" s="264">
        <v>2002</v>
      </c>
      <c r="D121" s="264">
        <v>2003</v>
      </c>
      <c r="E121" s="264">
        <v>2004</v>
      </c>
      <c r="F121" s="264">
        <v>2005</v>
      </c>
      <c r="G121" s="264">
        <v>2006</v>
      </c>
      <c r="H121" s="264">
        <v>2007</v>
      </c>
      <c r="I121" s="264">
        <v>2008</v>
      </c>
      <c r="J121" s="264">
        <f t="shared" ref="J121:AE121" si="28">J$6</f>
        <v>2009</v>
      </c>
      <c r="K121" s="264">
        <f t="shared" si="28"/>
        <v>2010</v>
      </c>
      <c r="L121" s="264">
        <f t="shared" si="28"/>
        <v>2011</v>
      </c>
      <c r="M121" s="264">
        <f t="shared" si="28"/>
        <v>2012</v>
      </c>
      <c r="N121" s="264">
        <f t="shared" si="28"/>
        <v>2013</v>
      </c>
      <c r="O121" s="264">
        <f t="shared" si="28"/>
        <v>2014</v>
      </c>
      <c r="P121" s="264">
        <f t="shared" si="28"/>
        <v>2015</v>
      </c>
      <c r="Q121" s="264">
        <f t="shared" si="28"/>
        <v>2016</v>
      </c>
      <c r="R121" s="264">
        <f t="shared" si="28"/>
        <v>2017</v>
      </c>
      <c r="S121" s="264">
        <f t="shared" si="28"/>
        <v>2018</v>
      </c>
      <c r="T121" s="264">
        <f t="shared" si="28"/>
        <v>2019</v>
      </c>
      <c r="U121" s="264">
        <f t="shared" si="28"/>
        <v>2020</v>
      </c>
      <c r="V121" s="264">
        <f t="shared" si="28"/>
        <v>2021</v>
      </c>
      <c r="W121" s="264">
        <f t="shared" si="28"/>
        <v>2022</v>
      </c>
      <c r="X121" s="264">
        <f t="shared" si="28"/>
        <v>2023</v>
      </c>
      <c r="Y121" s="594">
        <f t="shared" si="28"/>
        <v>2024</v>
      </c>
      <c r="Z121" s="594">
        <f t="shared" si="28"/>
        <v>2025</v>
      </c>
      <c r="AA121" s="594">
        <f t="shared" si="28"/>
        <v>2026</v>
      </c>
      <c r="AB121" s="594">
        <f t="shared" si="28"/>
        <v>2027</v>
      </c>
      <c r="AC121" s="594">
        <f t="shared" si="28"/>
        <v>2028</v>
      </c>
      <c r="AD121" s="594">
        <f t="shared" si="28"/>
        <v>2029</v>
      </c>
      <c r="AE121" s="594">
        <f t="shared" si="28"/>
        <v>2030</v>
      </c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</row>
    <row r="122" spans="1:82">
      <c r="A122" s="244" t="s">
        <v>200</v>
      </c>
      <c r="B122" s="245" t="e">
        <f>NA()</f>
        <v>#N/A</v>
      </c>
      <c r="C122" s="245" t="e">
        <f>NA()</f>
        <v>#N/A</v>
      </c>
      <c r="D122" s="245" t="e">
        <f>NA()</f>
        <v>#N/A</v>
      </c>
      <c r="E122" s="245" t="e">
        <f>NA()</f>
        <v>#N/A</v>
      </c>
      <c r="F122" s="245" t="e">
        <f>NA()</f>
        <v>#N/A</v>
      </c>
      <c r="G122" s="245" t="e">
        <f>NA()</f>
        <v>#N/A</v>
      </c>
      <c r="H122" s="245" t="e">
        <f>NA()</f>
        <v>#N/A</v>
      </c>
      <c r="I122" s="245" t="e">
        <f>NA()</f>
        <v>#N/A</v>
      </c>
      <c r="J122" s="245" t="e">
        <f>NA()</f>
        <v>#N/A</v>
      </c>
      <c r="K122" s="245" t="e">
        <f>NA()</f>
        <v>#N/A</v>
      </c>
      <c r="L122" s="245" t="e">
        <f>NA()</f>
        <v>#N/A</v>
      </c>
      <c r="M122" s="245" t="e">
        <f>NA()</f>
        <v>#N/A</v>
      </c>
      <c r="N122" s="245" t="e">
        <f>NA()</f>
        <v>#N/A</v>
      </c>
      <c r="O122" s="245">
        <f>IF(Base!O27="",NA(),Base!O27)</f>
        <v>6.5000000000000002E-2</v>
      </c>
      <c r="P122" s="245">
        <f>IF(Base!P27="",NA(),Base!P27)</f>
        <v>7.1999999999999995E-2</v>
      </c>
      <c r="Q122" s="245">
        <f>IF(Base!Q27="",NA(),Base!Q27)</f>
        <v>4.2999999999999997E-2</v>
      </c>
      <c r="R122" s="245">
        <f>IF(Base!R27="",NA(),Base!R27)</f>
        <v>2.3E-2</v>
      </c>
      <c r="S122" s="245">
        <f>IF(Base!S27="",NA(),Base!S27)</f>
        <v>1.0999999999999999E-2</v>
      </c>
      <c r="T122" s="452">
        <f>IF(Base!T27="",NA(),Base!T27)</f>
        <v>0.02</v>
      </c>
      <c r="U122" s="452">
        <f>IF(Base!U27="",NA(),Base!U27)</f>
        <v>-0.24399999999999999</v>
      </c>
      <c r="V122" s="452">
        <f>IF(Base!V27="",NA(),Base!V27)</f>
        <v>0.127</v>
      </c>
      <c r="W122" s="452">
        <f>IF(Base!W27="",NA(),Base!W27)</f>
        <v>0.27673825991991263</v>
      </c>
      <c r="X122" s="452">
        <f>IF(Base!X27="",NA(),Base!X27)</f>
        <v>9.8127100931812261E-2</v>
      </c>
      <c r="Y122" s="452">
        <f>IF(Base!Y27="",NA(),Base!Y27)</f>
        <v>5.8095695062160566E-3</v>
      </c>
      <c r="Z122" s="452">
        <f>IF(Base!Z27="",NA(),Base!Z27)</f>
        <v>2.1463272532592469E-2</v>
      </c>
      <c r="AA122" s="452">
        <f>IF(Base!AA27="",NA(),Base!AA27)</f>
        <v>2.1000000000000005E-2</v>
      </c>
      <c r="AB122" s="452">
        <f>IF(Base!AB27="",NA(),Base!AB27)</f>
        <v>2.1000000000000001E-2</v>
      </c>
      <c r="AC122" s="452">
        <f>IF(Base!AC27="",NA(),Base!AC27)</f>
        <v>1.9949999999999999E-2</v>
      </c>
      <c r="AD122" s="452">
        <f>IF(Base!AD27="",NA(),Base!AD27)</f>
        <v>1.9949999999999999E-2</v>
      </c>
      <c r="AE122" s="452">
        <f>IF(Base!AE27="",NA(),Base!AE27)</f>
        <v>1.9949999999999999E-2</v>
      </c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</row>
    <row r="123" spans="1:82">
      <c r="A123" s="244" t="s">
        <v>201</v>
      </c>
      <c r="B123" s="245" t="e">
        <f>NA()</f>
        <v>#N/A</v>
      </c>
      <c r="C123" s="245" t="e">
        <f>NA()</f>
        <v>#N/A</v>
      </c>
      <c r="D123" s="245" t="e">
        <f>NA()</f>
        <v>#N/A</v>
      </c>
      <c r="E123" s="245" t="e">
        <f>NA()</f>
        <v>#N/A</v>
      </c>
      <c r="F123" s="245" t="e">
        <f>NA()</f>
        <v>#N/A</v>
      </c>
      <c r="G123" s="245" t="e">
        <f>NA()</f>
        <v>#N/A</v>
      </c>
      <c r="H123" s="245" t="e">
        <f>NA()</f>
        <v>#N/A</v>
      </c>
      <c r="I123" s="245" t="e">
        <f>NA()</f>
        <v>#N/A</v>
      </c>
      <c r="J123" s="245" t="e">
        <f>NA()</f>
        <v>#N/A</v>
      </c>
      <c r="K123" s="245" t="e">
        <f>NA()</f>
        <v>#N/A</v>
      </c>
      <c r="L123" s="245" t="e">
        <f>NA()</f>
        <v>#N/A</v>
      </c>
      <c r="M123" s="245" t="e">
        <f>NA()</f>
        <v>#N/A</v>
      </c>
      <c r="N123" s="245" t="e">
        <f>NA()</f>
        <v>#N/A</v>
      </c>
      <c r="O123" s="245">
        <f>IF(Bull!O27="",NA(),Bull!O27)</f>
        <v>6.5000000000000002E-2</v>
      </c>
      <c r="P123" s="245">
        <f>IF(Bull!P27="",NA(),Bull!P27)</f>
        <v>7.1999999999999995E-2</v>
      </c>
      <c r="Q123" s="245">
        <f>IF(Bull!Q27="",NA(),Bull!Q27)</f>
        <v>4.2999999999999997E-2</v>
      </c>
      <c r="R123" s="245">
        <f>IF(Bull!R27="",NA(),Bull!R27)</f>
        <v>2.3E-2</v>
      </c>
      <c r="S123" s="245">
        <f>IF(Bull!S27="",NA(),Bull!S27)</f>
        <v>1.0999999999999999E-2</v>
      </c>
      <c r="T123" s="452">
        <f>IF(Bull!T27="",NA(),Bull!T27)</f>
        <v>0.02</v>
      </c>
      <c r="U123" s="452">
        <f>IF(Bull!U27="",NA(),Bull!U27)</f>
        <v>-0.24399999999999999</v>
      </c>
      <c r="V123" s="452">
        <f>IF(Bull!V27="",NA(),Bull!V27)</f>
        <v>0.127</v>
      </c>
      <c r="W123" s="452">
        <f>IF(Bull!W27="",NA(),Bull!W27)</f>
        <v>0.27673825991991263</v>
      </c>
      <c r="X123" s="452">
        <f>IF(Bull!X27="",NA(),Bull!X27)</f>
        <v>9.8127100931812261E-2</v>
      </c>
      <c r="Y123" s="452">
        <f>IF(Bull!Y27="",NA(),Bull!Y27)</f>
        <v>7.4554799977728497E-3</v>
      </c>
      <c r="Z123" s="452">
        <f>IF(Bull!Z27="",NA(),Bull!Z27)</f>
        <v>2.5755152032509943E-2</v>
      </c>
      <c r="AA123" s="452">
        <f>IF(Bull!AA27="",NA(),Bull!AA27)</f>
        <v>2.5199999999999997E-2</v>
      </c>
      <c r="AB123" s="452">
        <f>IF(Bull!AB27="",NA(),Bull!AB27)</f>
        <v>2.52E-2</v>
      </c>
      <c r="AC123" s="452">
        <f>IF(Bull!AC27="",NA(),Bull!AC27)</f>
        <v>2.1944999999999999E-2</v>
      </c>
      <c r="AD123" s="452">
        <f>IF(Bull!AD27="",NA(),Bull!AD27)</f>
        <v>2.1944999999999999E-2</v>
      </c>
      <c r="AE123" s="452">
        <f>IF(Bull!AE27="",NA(),Bull!AE27)</f>
        <v>2.1944999999999996E-2</v>
      </c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</row>
    <row r="124" spans="1:82">
      <c r="A124" s="244" t="s">
        <v>202</v>
      </c>
      <c r="B124" s="245" t="e">
        <f>NA()</f>
        <v>#N/A</v>
      </c>
      <c r="C124" s="245" t="e">
        <f>NA()</f>
        <v>#N/A</v>
      </c>
      <c r="D124" s="245" t="e">
        <f>NA()</f>
        <v>#N/A</v>
      </c>
      <c r="E124" s="245" t="e">
        <f>NA()</f>
        <v>#N/A</v>
      </c>
      <c r="F124" s="245" t="e">
        <f>NA()</f>
        <v>#N/A</v>
      </c>
      <c r="G124" s="245" t="e">
        <f>NA()</f>
        <v>#N/A</v>
      </c>
      <c r="H124" s="245" t="e">
        <f>NA()</f>
        <v>#N/A</v>
      </c>
      <c r="I124" s="245" t="e">
        <f>NA()</f>
        <v>#N/A</v>
      </c>
      <c r="J124" s="245" t="e">
        <f>NA()</f>
        <v>#N/A</v>
      </c>
      <c r="K124" s="245" t="e">
        <f>NA()</f>
        <v>#N/A</v>
      </c>
      <c r="L124" s="245" t="e">
        <f>NA()</f>
        <v>#N/A</v>
      </c>
      <c r="M124" s="245" t="e">
        <f>NA()</f>
        <v>#N/A</v>
      </c>
      <c r="N124" s="245" t="e">
        <f>NA()</f>
        <v>#N/A</v>
      </c>
      <c r="O124" s="245">
        <f>IF(Bear!O27="",NA(),Bear!O27)</f>
        <v>6.5000000000000002E-2</v>
      </c>
      <c r="P124" s="245">
        <f>IF(Bear!P27="",NA(),Bear!P27)</f>
        <v>7.1999999999999995E-2</v>
      </c>
      <c r="Q124" s="245">
        <f>IF(Bear!Q27="",NA(),Bear!Q27)</f>
        <v>4.2999999999999997E-2</v>
      </c>
      <c r="R124" s="245">
        <f>IF(Bear!R27="",NA(),Bear!R27)</f>
        <v>2.3E-2</v>
      </c>
      <c r="S124" s="245">
        <f>IF(Bear!S27="",NA(),Bear!S27)</f>
        <v>1.0999999999999999E-2</v>
      </c>
      <c r="T124" s="452">
        <f>IF(Bear!T27="",NA(),Bear!T27)</f>
        <v>0.02</v>
      </c>
      <c r="U124" s="452">
        <f>IF(Bear!U27="",NA(),Bear!U27)</f>
        <v>-0.24399999999999999</v>
      </c>
      <c r="V124" s="452">
        <f>IF(Bear!V27="",NA(),Bear!V27)</f>
        <v>0.127</v>
      </c>
      <c r="W124" s="452">
        <f>IF(Bear!W27="",NA(),Bear!W27)</f>
        <v>0.27673825991991263</v>
      </c>
      <c r="X124" s="452">
        <f>IF(Bear!X27="",NA(),Bear!X27)</f>
        <v>9.8127100931812261E-2</v>
      </c>
      <c r="Y124" s="452">
        <f>IF(Bear!Y27="",NA(),Bear!Y27)</f>
        <v>4.1612101721427023E-3</v>
      </c>
      <c r="Z124" s="452">
        <f>IF(Bear!Z27="",NA(),Bear!Z27)</f>
        <v>1.7171506765586236E-2</v>
      </c>
      <c r="AA124" s="452">
        <f>IF(Bear!AA27="",NA(),Bear!AA27)</f>
        <v>1.6800000000000002E-2</v>
      </c>
      <c r="AB124" s="452">
        <f>IF(Bear!AB27="",NA(),Bear!AB27)</f>
        <v>1.6800000000000002E-2</v>
      </c>
      <c r="AC124" s="452">
        <f>IF(Bear!AC27="",NA(),Bear!AC27)</f>
        <v>1.5959999999999998E-2</v>
      </c>
      <c r="AD124" s="452">
        <f>IF(Bear!AD27="",NA(),Bear!AD27)</f>
        <v>1.5959999999999998E-2</v>
      </c>
      <c r="AE124" s="452">
        <f>IF(Bear!AE27="",NA(),Bear!AE27)</f>
        <v>1.5959999999999998E-2</v>
      </c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</row>
    <row r="125" spans="1:82">
      <c r="A125" s="243" t="s">
        <v>1374</v>
      </c>
      <c r="B125" s="1648" t="e">
        <f>NA()</f>
        <v>#N/A</v>
      </c>
      <c r="C125" s="1648" t="e">
        <f>NA()</f>
        <v>#N/A</v>
      </c>
      <c r="D125" s="1648" t="e">
        <f>NA()</f>
        <v>#N/A</v>
      </c>
      <c r="E125" s="1648" t="e">
        <f>NA()</f>
        <v>#N/A</v>
      </c>
      <c r="F125" s="1648" t="e">
        <f>NA()</f>
        <v>#N/A</v>
      </c>
      <c r="G125" s="1648" t="e">
        <f>NA()</f>
        <v>#N/A</v>
      </c>
      <c r="H125" s="1648">
        <v>2.1669479296597904E-2</v>
      </c>
      <c r="I125" s="1648">
        <v>3.3426695074170842E-2</v>
      </c>
      <c r="J125" s="1649">
        <v>3.1658275936621294E-3</v>
      </c>
      <c r="K125" s="1649">
        <v>1.6140950445665547E-2</v>
      </c>
      <c r="L125" s="1649">
        <v>2.7239328864144374E-2</v>
      </c>
      <c r="M125" s="1649">
        <v>2.4983224074743404E-2</v>
      </c>
      <c r="N125" s="1649">
        <v>1.346772278937225E-2</v>
      </c>
      <c r="O125" s="1649">
        <v>4.3302028096627865E-3</v>
      </c>
      <c r="P125" s="1649">
        <v>0</v>
      </c>
      <c r="Q125" s="1649">
        <v>2E-3</v>
      </c>
      <c r="R125" s="1649">
        <v>1.4999999999999999E-2</v>
      </c>
      <c r="S125" s="1649">
        <v>1.7999999999999999E-2</v>
      </c>
      <c r="T125" s="1650">
        <v>1.2E-2</v>
      </c>
      <c r="U125" s="1650">
        <v>3.0000000000000001E-3</v>
      </c>
      <c r="V125" s="1650">
        <v>2.5999999999999999E-2</v>
      </c>
      <c r="W125" s="1650">
        <v>8.4000000000000005E-2</v>
      </c>
      <c r="X125" s="1650">
        <v>5.5E-2</v>
      </c>
      <c r="Y125" s="1650">
        <v>2.4E-2</v>
      </c>
      <c r="Z125" s="1650">
        <v>2.2000000000000002E-2</v>
      </c>
      <c r="AA125" s="1650">
        <v>2.2000000000000002E-2</v>
      </c>
      <c r="AB125" s="1786">
        <f>+AA125</f>
        <v>2.2000000000000002E-2</v>
      </c>
      <c r="AC125" s="1786">
        <f>+AB125</f>
        <v>2.2000000000000002E-2</v>
      </c>
      <c r="AD125" s="1786">
        <f>+AC125</f>
        <v>2.2000000000000002E-2</v>
      </c>
      <c r="AE125" s="1786">
        <f>+AD125</f>
        <v>2.2000000000000002E-2</v>
      </c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</row>
    <row r="126" spans="1:82">
      <c r="A126" s="242" t="s">
        <v>310</v>
      </c>
      <c r="B126" s="264">
        <v>2001</v>
      </c>
      <c r="C126" s="264">
        <v>2002</v>
      </c>
      <c r="D126" s="264">
        <v>2003</v>
      </c>
      <c r="E126" s="264">
        <v>2004</v>
      </c>
      <c r="F126" s="264">
        <v>2005</v>
      </c>
      <c r="G126" s="264">
        <v>2006</v>
      </c>
      <c r="H126" s="264">
        <v>2007</v>
      </c>
      <c r="I126" s="264">
        <v>2008</v>
      </c>
      <c r="J126" s="264">
        <f t="shared" ref="J126:R126" si="29">J$50</f>
        <v>2009</v>
      </c>
      <c r="K126" s="264">
        <f t="shared" si="29"/>
        <v>2010</v>
      </c>
      <c r="L126" s="264">
        <f t="shared" si="29"/>
        <v>2011</v>
      </c>
      <c r="M126" s="264">
        <f t="shared" si="29"/>
        <v>2012</v>
      </c>
      <c r="N126" s="264">
        <f t="shared" si="29"/>
        <v>2013</v>
      </c>
      <c r="O126" s="264">
        <f t="shared" si="29"/>
        <v>2014</v>
      </c>
      <c r="P126" s="264">
        <f t="shared" si="29"/>
        <v>2015</v>
      </c>
      <c r="Q126" s="264">
        <f t="shared" si="29"/>
        <v>2016</v>
      </c>
      <c r="R126" s="264">
        <f t="shared" si="29"/>
        <v>2017</v>
      </c>
      <c r="S126" s="264">
        <f t="shared" ref="S126:X126" si="30">S$6</f>
        <v>2018</v>
      </c>
      <c r="T126" s="264">
        <f t="shared" si="30"/>
        <v>2019</v>
      </c>
      <c r="U126" s="264">
        <f t="shared" si="30"/>
        <v>2020</v>
      </c>
      <c r="V126" s="264">
        <f t="shared" si="30"/>
        <v>2021</v>
      </c>
      <c r="W126" s="264">
        <f t="shared" si="30"/>
        <v>2022</v>
      </c>
      <c r="X126" s="264">
        <f t="shared" si="30"/>
        <v>2023</v>
      </c>
      <c r="Y126" s="594">
        <f t="shared" ref="Y126:AE126" si="31">Y$50</f>
        <v>2024</v>
      </c>
      <c r="Z126" s="594">
        <f t="shared" si="31"/>
        <v>2025</v>
      </c>
      <c r="AA126" s="594">
        <f t="shared" si="31"/>
        <v>2026</v>
      </c>
      <c r="AB126" s="594">
        <f t="shared" si="31"/>
        <v>2027</v>
      </c>
      <c r="AC126" s="594">
        <f t="shared" si="31"/>
        <v>2028</v>
      </c>
      <c r="AD126" s="594">
        <f t="shared" si="31"/>
        <v>2029</v>
      </c>
      <c r="AE126" s="594">
        <f t="shared" si="31"/>
        <v>2030</v>
      </c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</row>
    <row r="127" spans="1:82">
      <c r="A127" s="249" t="s">
        <v>731</v>
      </c>
      <c r="B127" s="245" t="e">
        <f>NA()</f>
        <v>#N/A</v>
      </c>
      <c r="C127" s="245" t="e">
        <f>NA()</f>
        <v>#N/A</v>
      </c>
      <c r="D127" s="245" t="e">
        <f>NA()</f>
        <v>#N/A</v>
      </c>
      <c r="E127" s="245" t="e">
        <f>NA()</f>
        <v>#N/A</v>
      </c>
      <c r="F127" s="245" t="e">
        <f>NA()</f>
        <v>#N/A</v>
      </c>
      <c r="G127" s="245" t="e">
        <f>NA()</f>
        <v>#N/A</v>
      </c>
      <c r="H127" s="245" t="e">
        <f>NA()</f>
        <v>#N/A</v>
      </c>
      <c r="I127" s="245" t="e">
        <f>NA()</f>
        <v>#N/A</v>
      </c>
      <c r="J127" s="92">
        <f>Financials!J38</f>
        <v>9097.5</v>
      </c>
      <c r="K127" s="92">
        <f>Financials!K38</f>
        <v>9085.1</v>
      </c>
      <c r="L127" s="92">
        <f>Financials!L38</f>
        <v>10501</v>
      </c>
      <c r="M127" s="92">
        <f>Financials!M38</f>
        <v>12785.8</v>
      </c>
      <c r="N127" s="92">
        <f>Financials!N38</f>
        <v>14694.7</v>
      </c>
      <c r="O127" s="92">
        <f>Financials!O38</f>
        <v>20668</v>
      </c>
      <c r="P127" s="92">
        <f>Financials!P38</f>
        <v>19896</v>
      </c>
      <c r="Q127" s="92">
        <f>Financials!Q38</f>
        <v>21986</v>
      </c>
      <c r="R127" s="92">
        <f>Financials!R38</f>
        <v>23677</v>
      </c>
      <c r="S127" s="92">
        <f>Financials!S38</f>
        <v>25462</v>
      </c>
      <c r="T127" s="329">
        <f>Financials!T38</f>
        <v>27217</v>
      </c>
      <c r="U127" s="329">
        <f>Financials!U38</f>
        <v>19067</v>
      </c>
      <c r="V127" s="329">
        <f>Financials!V38</f>
        <v>26015</v>
      </c>
      <c r="W127" s="329">
        <f>Financials!W38</f>
        <v>33468</v>
      </c>
      <c r="X127" s="329">
        <f>Financials!X38</f>
        <v>39358</v>
      </c>
      <c r="Y127" s="329">
        <f>Financials!Y38</f>
        <v>43061.606390245215</v>
      </c>
      <c r="Z127" s="329">
        <f>Financials!Z38</f>
        <v>45599.366837764588</v>
      </c>
      <c r="AA127" s="329">
        <f>Financials!AA38</f>
        <v>48364.973472081801</v>
      </c>
      <c r="AB127" s="329">
        <f>Financials!AB38</f>
        <v>51104.132916101604</v>
      </c>
      <c r="AC127" s="329">
        <f>Financials!AC38</f>
        <v>53373.295293075018</v>
      </c>
      <c r="AD127" s="329">
        <f>Financials!AD38</f>
        <v>55728.868830958374</v>
      </c>
      <c r="AE127" s="329">
        <f>Financials!AE38</f>
        <v>58113.813698632242</v>
      </c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</row>
    <row r="128" spans="1:82">
      <c r="A128" s="249" t="s">
        <v>733</v>
      </c>
      <c r="B128" s="245" t="e">
        <f>NA()</f>
        <v>#N/A</v>
      </c>
      <c r="C128" s="245" t="e">
        <f>NA()</f>
        <v>#N/A</v>
      </c>
      <c r="D128" s="245" t="e">
        <f>NA()</f>
        <v>#N/A</v>
      </c>
      <c r="E128" s="245" t="e">
        <f>NA()</f>
        <v>#N/A</v>
      </c>
      <c r="F128" s="245" t="e">
        <f>NA()</f>
        <v>#N/A</v>
      </c>
      <c r="G128" s="245" t="e">
        <f>NA()</f>
        <v>#N/A</v>
      </c>
      <c r="H128" s="245" t="e">
        <f>NA()</f>
        <v>#N/A</v>
      </c>
      <c r="I128" s="245" t="e">
        <f>NA()</f>
        <v>#N/A</v>
      </c>
      <c r="J128" s="92">
        <f>Financials!J40</f>
        <v>1407.7</v>
      </c>
      <c r="K128" s="92">
        <f>Financials!K40</f>
        <v>1810.6999999999998</v>
      </c>
      <c r="L128" s="92">
        <f>Financials!L40</f>
        <v>2402.1</v>
      </c>
      <c r="M128" s="92">
        <f>Financials!M40</f>
        <v>3416.5</v>
      </c>
      <c r="N128" s="92">
        <f>Financials!N40</f>
        <v>4219.5</v>
      </c>
      <c r="O128" s="92">
        <f>Financials!O40</f>
        <v>4621</v>
      </c>
      <c r="P128" s="92">
        <f>Financials!P40</f>
        <v>6718</v>
      </c>
      <c r="Q128" s="92">
        <f>Financials!Q40</f>
        <v>8124</v>
      </c>
      <c r="R128" s="92">
        <f>Financials!R40</f>
        <v>10283</v>
      </c>
      <c r="S128" s="92">
        <f>Financials!S40</f>
        <v>10194.977999999999</v>
      </c>
      <c r="T128" s="329">
        <f>Financials!T40</f>
        <v>9732.4130000000005</v>
      </c>
      <c r="U128" s="329">
        <f>Financials!U40</f>
        <v>5586.9660000000003</v>
      </c>
      <c r="V128" s="329">
        <f>Financials!V40</f>
        <v>8962.0789999999997</v>
      </c>
      <c r="W128" s="329">
        <f>Financials!W40</f>
        <v>13387.712</v>
      </c>
      <c r="X128" s="329">
        <f>Financials!X40</f>
        <v>13905.773000000001</v>
      </c>
      <c r="Y128" s="329">
        <f>Financials!Y40</f>
        <v>11451.235320549225</v>
      </c>
      <c r="Z128" s="329">
        <f>Financials!Z40</f>
        <v>12469.62177028326</v>
      </c>
      <c r="AA128" s="329">
        <f>Financials!AA40</f>
        <v>13066.206487212175</v>
      </c>
      <c r="AB128" s="329">
        <f>Financials!AB40</f>
        <v>13331.040485867961</v>
      </c>
      <c r="AC128" s="329">
        <f>Financials!AC40</f>
        <v>13692.446988378508</v>
      </c>
      <c r="AD128" s="329">
        <f>Financials!AD40</f>
        <v>14059.080766815794</v>
      </c>
      <c r="AE128" s="329">
        <f>Financials!AE40</f>
        <v>14430.749065539501</v>
      </c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</row>
    <row r="129" spans="1:82">
      <c r="A129" s="249" t="s">
        <v>949</v>
      </c>
      <c r="B129" s="245" t="e">
        <f>NA()</f>
        <v>#N/A</v>
      </c>
      <c r="C129" s="245" t="e">
        <f>NA()</f>
        <v>#N/A</v>
      </c>
      <c r="D129" s="245" t="e">
        <f>NA()</f>
        <v>#N/A</v>
      </c>
      <c r="E129" s="245" t="e">
        <f>NA()</f>
        <v>#N/A</v>
      </c>
      <c r="F129" s="245" t="e">
        <f>NA()</f>
        <v>#N/A</v>
      </c>
      <c r="G129" s="245" t="e">
        <f>NA()</f>
        <v>#N/A</v>
      </c>
      <c r="H129" s="245" t="e">
        <f>NA()</f>
        <v>#N/A</v>
      </c>
      <c r="I129" s="245" t="e">
        <f>NA()</f>
        <v>#N/A</v>
      </c>
      <c r="J129" s="92">
        <f>Financials!J39</f>
        <v>0</v>
      </c>
      <c r="K129" s="92">
        <f>Financials!K39</f>
        <v>0</v>
      </c>
      <c r="L129" s="92">
        <f>Financials!L39</f>
        <v>0</v>
      </c>
      <c r="M129" s="92">
        <f>Financials!M39</f>
        <v>0</v>
      </c>
      <c r="N129" s="92">
        <f>Financials!N39</f>
        <v>0</v>
      </c>
      <c r="O129" s="92">
        <f>Financials!O39</f>
        <v>1468</v>
      </c>
      <c r="P129" s="92">
        <f>Financials!P39</f>
        <v>5673</v>
      </c>
      <c r="Q129" s="92">
        <f>Financials!Q39</f>
        <v>7591</v>
      </c>
      <c r="R129" s="92">
        <f>Financials!R39</f>
        <v>8570</v>
      </c>
      <c r="S129" s="92">
        <f>Financials!S39</f>
        <v>9887</v>
      </c>
      <c r="T129" s="329">
        <f>Financials!T39</f>
        <v>21207</v>
      </c>
      <c r="U129" s="329">
        <f>Financials!U39</f>
        <v>13860</v>
      </c>
      <c r="V129" s="329">
        <f>Financials!V39</f>
        <v>18414</v>
      </c>
      <c r="W129" s="329">
        <f>Financials!W39</f>
        <v>21976</v>
      </c>
      <c r="X129" s="329">
        <f>Financials!X39</f>
        <v>22966</v>
      </c>
      <c r="Y129" s="329">
        <f>Financials!Y39</f>
        <v>24034.949605353468</v>
      </c>
      <c r="Z129" s="329">
        <f>Financials!Z39</f>
        <v>27931.995653906328</v>
      </c>
      <c r="AA129" s="329">
        <f>Financials!AA39</f>
        <v>30430.845077785587</v>
      </c>
      <c r="AB129" s="329">
        <f>Financials!AB39</f>
        <v>32847.446319831914</v>
      </c>
      <c r="AC129" s="329">
        <f>Financials!AC39</f>
        <v>35344.199485813224</v>
      </c>
      <c r="AD129" s="329">
        <f>Financials!AD39</f>
        <v>37994.783729019713</v>
      </c>
      <c r="AE129" s="329">
        <f>Financials!AE39</f>
        <v>40751.057529097307</v>
      </c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</row>
    <row r="130" spans="1:82">
      <c r="A130" s="249" t="s">
        <v>755</v>
      </c>
      <c r="B130" s="245" t="e">
        <f>NA()</f>
        <v>#N/A</v>
      </c>
      <c r="C130" s="245" t="e">
        <f>NA()</f>
        <v>#N/A</v>
      </c>
      <c r="D130" s="245" t="e">
        <f>NA()</f>
        <v>#N/A</v>
      </c>
      <c r="E130" s="245" t="e">
        <f>NA()</f>
        <v>#N/A</v>
      </c>
      <c r="F130" s="245" t="e">
        <f>NA()</f>
        <v>#N/A</v>
      </c>
      <c r="G130" s="245" t="e">
        <f>NA()</f>
        <v>#N/A</v>
      </c>
      <c r="H130" s="245" t="e">
        <f>NA()</f>
        <v>#N/A</v>
      </c>
      <c r="I130" s="245" t="e">
        <f>NA()</f>
        <v>#N/A</v>
      </c>
      <c r="J130" s="92">
        <f>Financials!J41</f>
        <v>-1918.1189999999997</v>
      </c>
      <c r="K130" s="92">
        <f>Financials!K41</f>
        <v>-1914.3600000000004</v>
      </c>
      <c r="L130" s="92">
        <f>Financials!L41</f>
        <v>-2206.5959999999995</v>
      </c>
      <c r="M130" s="92">
        <f>Financials!M41</f>
        <v>-2682.7869999999989</v>
      </c>
      <c r="N130" s="92">
        <f>Financials!N41</f>
        <v>-3201.5350000000003</v>
      </c>
      <c r="O130" s="92">
        <f>Financials!O41</f>
        <v>-3956.7449999999999</v>
      </c>
      <c r="P130" s="92">
        <f>Financials!P41</f>
        <v>1.3759999999992942</v>
      </c>
      <c r="Q130" s="92">
        <f>Financials!Q41</f>
        <v>0.86700000000018917</v>
      </c>
      <c r="R130" s="92">
        <f>Financials!R41</f>
        <v>-0.87900000000081491</v>
      </c>
      <c r="S130" s="92">
        <f>Financials!S41</f>
        <v>612.61300000000028</v>
      </c>
      <c r="T130" s="329">
        <f>Financials!T41</f>
        <v>-1.794000000001688</v>
      </c>
      <c r="U130" s="329">
        <f>Financials!U41</f>
        <v>-18.547000000000025</v>
      </c>
      <c r="V130" s="329">
        <f>Financials!V41</f>
        <v>-11.609999999999673</v>
      </c>
      <c r="W130" s="329">
        <f>Financials!W41</f>
        <v>-0.40699999999742431</v>
      </c>
      <c r="X130" s="329">
        <f>Financials!X41</f>
        <v>1.2749999999996362</v>
      </c>
      <c r="Y130" s="329">
        <f>Financials!Y41</f>
        <v>1.2420000000038272</v>
      </c>
      <c r="Z130" s="329">
        <f>Financials!Z41</f>
        <v>0</v>
      </c>
      <c r="AA130" s="329">
        <f>Financials!AA41</f>
        <v>0</v>
      </c>
      <c r="AB130" s="329">
        <f>Financials!AB41</f>
        <v>0</v>
      </c>
      <c r="AC130" s="329">
        <f>Financials!AC41</f>
        <v>0</v>
      </c>
      <c r="AD130" s="329">
        <f>Financials!AD41</f>
        <v>0</v>
      </c>
      <c r="AE130" s="329">
        <f>Financials!AE41</f>
        <v>0</v>
      </c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</row>
    <row r="131" spans="1:82">
      <c r="A131" s="36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329"/>
      <c r="U131" s="329"/>
      <c r="V131" s="329"/>
      <c r="W131" s="329"/>
      <c r="X131" s="329"/>
      <c r="Y131" s="329"/>
      <c r="Z131" s="329"/>
      <c r="AA131" s="329"/>
      <c r="AB131" s="329"/>
      <c r="AC131" s="329"/>
      <c r="AD131" s="329"/>
      <c r="AE131" s="32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</row>
    <row r="132" spans="1:82">
      <c r="A132" s="242" t="s">
        <v>970</v>
      </c>
      <c r="B132" s="1651">
        <v>1</v>
      </c>
      <c r="C132" s="1651">
        <v>3.36</v>
      </c>
      <c r="D132" s="1651">
        <v>2.93</v>
      </c>
      <c r="E132" s="1651">
        <v>2.972</v>
      </c>
      <c r="F132" s="1651">
        <v>3.03</v>
      </c>
      <c r="G132" s="1651">
        <v>3.0590000000000002</v>
      </c>
      <c r="H132" s="1651">
        <v>3.1496</v>
      </c>
      <c r="I132" s="1651">
        <v>3.45</v>
      </c>
      <c r="J132" s="1652">
        <v>3.81</v>
      </c>
      <c r="K132" s="1652">
        <v>3.98</v>
      </c>
      <c r="L132" s="1652">
        <v>4.3089000000000004</v>
      </c>
      <c r="M132" s="1652">
        <v>4.9150999999999998</v>
      </c>
      <c r="N132" s="1652">
        <v>6.5186999999999999</v>
      </c>
      <c r="O132" s="1652">
        <v>8.4700000000000006</v>
      </c>
      <c r="P132" s="1652">
        <v>13.1</v>
      </c>
      <c r="Q132" s="1652">
        <v>15.9</v>
      </c>
      <c r="R132" s="1652">
        <v>18.600000000000001</v>
      </c>
      <c r="S132" s="1652">
        <v>37.646500000000003</v>
      </c>
      <c r="T132" s="1653">
        <v>59.89</v>
      </c>
      <c r="U132" s="1653">
        <v>84.1</v>
      </c>
      <c r="V132" s="1653">
        <v>95.092500000000001</v>
      </c>
      <c r="W132" s="1653">
        <v>130.73057947261049</v>
      </c>
      <c r="X132" s="1653">
        <v>295.58596153846173</v>
      </c>
      <c r="Y132" s="1653">
        <v>1155.7814615384614</v>
      </c>
      <c r="Z132" s="1653">
        <v>1549.8345152528973</v>
      </c>
      <c r="AA132" s="1653">
        <v>2078.2363315223079</v>
      </c>
      <c r="AB132" s="1787">
        <f>+AA132</f>
        <v>2078.2363315223079</v>
      </c>
      <c r="AC132" s="1787">
        <f>+AB132</f>
        <v>2078.2363315223079</v>
      </c>
      <c r="AD132" s="1787">
        <f>+AC132</f>
        <v>2078.2363315223079</v>
      </c>
      <c r="AE132" s="1787">
        <f>+AD132</f>
        <v>2078.2363315223079</v>
      </c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</row>
    <row r="133" spans="1:82">
      <c r="A133" s="36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329"/>
      <c r="U133" s="329"/>
      <c r="V133" s="329"/>
      <c r="W133" s="329"/>
      <c r="X133" s="329"/>
      <c r="Y133" s="329"/>
      <c r="Z133" s="329"/>
      <c r="AA133" s="329"/>
      <c r="AB133" s="329"/>
      <c r="AC133" s="329"/>
      <c r="AD133" s="329"/>
      <c r="AE133" s="32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</row>
    <row r="134" spans="1:82">
      <c r="A134" s="242" t="s">
        <v>844</v>
      </c>
      <c r="B134" s="264">
        <v>2001</v>
      </c>
      <c r="C134" s="264">
        <v>2002</v>
      </c>
      <c r="D134" s="264">
        <v>2003</v>
      </c>
      <c r="E134" s="264">
        <v>2004</v>
      </c>
      <c r="F134" s="264">
        <v>2005</v>
      </c>
      <c r="G134" s="264">
        <v>2006</v>
      </c>
      <c r="H134" s="264">
        <v>2007</v>
      </c>
      <c r="I134" s="264">
        <v>2008</v>
      </c>
      <c r="J134" s="264">
        <f t="shared" ref="J134:AE134" si="32">J$6</f>
        <v>2009</v>
      </c>
      <c r="K134" s="264">
        <f t="shared" si="32"/>
        <v>2010</v>
      </c>
      <c r="L134" s="264">
        <f t="shared" si="32"/>
        <v>2011</v>
      </c>
      <c r="M134" s="264">
        <f t="shared" si="32"/>
        <v>2012</v>
      </c>
      <c r="N134" s="264">
        <f t="shared" si="32"/>
        <v>2013</v>
      </c>
      <c r="O134" s="264">
        <f t="shared" si="32"/>
        <v>2014</v>
      </c>
      <c r="P134" s="264">
        <f t="shared" si="32"/>
        <v>2015</v>
      </c>
      <c r="Q134" s="264">
        <f t="shared" si="32"/>
        <v>2016</v>
      </c>
      <c r="R134" s="264">
        <f t="shared" si="32"/>
        <v>2017</v>
      </c>
      <c r="S134" s="264">
        <f t="shared" si="32"/>
        <v>2018</v>
      </c>
      <c r="T134" s="264">
        <f t="shared" si="32"/>
        <v>2019</v>
      </c>
      <c r="U134" s="264">
        <f t="shared" si="32"/>
        <v>2020</v>
      </c>
      <c r="V134" s="264">
        <f t="shared" si="32"/>
        <v>2021</v>
      </c>
      <c r="W134" s="264">
        <f t="shared" si="32"/>
        <v>2022</v>
      </c>
      <c r="X134" s="264">
        <f t="shared" si="32"/>
        <v>2023</v>
      </c>
      <c r="Y134" s="594">
        <f t="shared" si="32"/>
        <v>2024</v>
      </c>
      <c r="Z134" s="594">
        <f t="shared" si="32"/>
        <v>2025</v>
      </c>
      <c r="AA134" s="594">
        <f t="shared" si="32"/>
        <v>2026</v>
      </c>
      <c r="AB134" s="594">
        <f t="shared" si="32"/>
        <v>2027</v>
      </c>
      <c r="AC134" s="594">
        <f t="shared" si="32"/>
        <v>2028</v>
      </c>
      <c r="AD134" s="594">
        <f t="shared" si="32"/>
        <v>2029</v>
      </c>
      <c r="AE134" s="594">
        <f t="shared" si="32"/>
        <v>2030</v>
      </c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</row>
    <row r="135" spans="1:82">
      <c r="A135" s="36" t="s">
        <v>200</v>
      </c>
      <c r="B135" s="245" t="e">
        <f>NA()</f>
        <v>#N/A</v>
      </c>
      <c r="C135" s="245" t="e">
        <f>NA()</f>
        <v>#N/A</v>
      </c>
      <c r="D135" s="245" t="e">
        <f>NA()</f>
        <v>#N/A</v>
      </c>
      <c r="E135" s="245" t="e">
        <f>NA()</f>
        <v>#N/A</v>
      </c>
      <c r="F135" s="245" t="e">
        <f>NA()</f>
        <v>#N/A</v>
      </c>
      <c r="G135" s="245" t="e">
        <f>NA()</f>
        <v>#N/A</v>
      </c>
      <c r="H135" s="245" t="e">
        <f>NA()</f>
        <v>#N/A</v>
      </c>
      <c r="I135" s="245" t="e">
        <f>NA()</f>
        <v>#N/A</v>
      </c>
      <c r="J135" s="41">
        <f>IF(Base!J21="",NA(),Base!J21)</f>
        <v>7.7902450145758877</v>
      </c>
      <c r="K135" s="41">
        <f>IF(Base!K21="",NA(),Base!K21)</f>
        <v>7.8071224134417063</v>
      </c>
      <c r="L135" s="41">
        <f>IF(Base!L21="",NA(),Base!L21)</f>
        <v>8.6056821918270696</v>
      </c>
      <c r="M135" s="41">
        <f>IF(Base!M21="",NA(),Base!M21)</f>
        <v>10.268132693674076</v>
      </c>
      <c r="N135" s="92">
        <f>Base!N21</f>
        <v>10.098705772420976</v>
      </c>
      <c r="O135" s="92">
        <f>Base!O21</f>
        <v>9.8160616510396626</v>
      </c>
      <c r="P135" s="92">
        <f>Base!P21</f>
        <v>11.011442736576171</v>
      </c>
      <c r="Q135" s="92">
        <f>Base!Q21</f>
        <v>11.784556795352522</v>
      </c>
      <c r="R135" s="92">
        <f>Base!R21</f>
        <v>12.70416836598498</v>
      </c>
      <c r="S135" s="92">
        <f>Base!S21</f>
        <v>14.831108701315719</v>
      </c>
      <c r="T135" s="329">
        <f>Base!T21</f>
        <v>16.526011687415455</v>
      </c>
      <c r="U135" s="329">
        <f>Base!U21</f>
        <v>11.378650635125464</v>
      </c>
      <c r="V135" s="329">
        <f>Base!V21</f>
        <v>15.883420563966551</v>
      </c>
      <c r="W135" s="329">
        <f>Base!W21</f>
        <v>19.647487200777157</v>
      </c>
      <c r="X135" s="329">
        <f>Base!X21</f>
        <v>20.763782431595924</v>
      </c>
      <c r="Y135" s="329">
        <f>Base!Y21</f>
        <v>20.925431169087791</v>
      </c>
      <c r="Z135" s="329">
        <f>Base!Z21</f>
        <v>22.580188657910146</v>
      </c>
      <c r="AA135" s="329">
        <f>Base!AA21</f>
        <v>23.903793554868781</v>
      </c>
      <c r="AB135" s="329">
        <f>Base!AB21</f>
        <v>25.116271245001752</v>
      </c>
      <c r="AC135" s="329">
        <f>Base!AC21</f>
        <v>26.151445978526123</v>
      </c>
      <c r="AD135" s="329">
        <f>Base!AD21</f>
        <v>27.226696351041525</v>
      </c>
      <c r="AE135" s="329">
        <f>Base!AE21</f>
        <v>28.387498351462717</v>
      </c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</row>
    <row r="136" spans="1:82">
      <c r="A136" s="36" t="s">
        <v>201</v>
      </c>
      <c r="B136" s="245" t="e">
        <f>NA()</f>
        <v>#N/A</v>
      </c>
      <c r="C136" s="245" t="e">
        <f>NA()</f>
        <v>#N/A</v>
      </c>
      <c r="D136" s="245" t="e">
        <f>NA()</f>
        <v>#N/A</v>
      </c>
      <c r="E136" s="245" t="e">
        <f>NA()</f>
        <v>#N/A</v>
      </c>
      <c r="F136" s="245" t="e">
        <f>NA()</f>
        <v>#N/A</v>
      </c>
      <c r="G136" s="245" t="e">
        <f>NA()</f>
        <v>#N/A</v>
      </c>
      <c r="H136" s="245" t="e">
        <f>NA()</f>
        <v>#N/A</v>
      </c>
      <c r="I136" s="245" t="e">
        <f>NA()</f>
        <v>#N/A</v>
      </c>
      <c r="J136" s="41">
        <f>IF(Bull!J21="",NA(),Bull!J21)</f>
        <v>7.7902450145758877</v>
      </c>
      <c r="K136" s="41">
        <f>IF(Bull!K21="",NA(),Bull!K21)</f>
        <v>7.8071224134417063</v>
      </c>
      <c r="L136" s="41">
        <f>IF(Bull!L21="",NA(),Bull!L21)</f>
        <v>8.6056821918270696</v>
      </c>
      <c r="M136" s="41">
        <f>IF(Bull!M21="",NA(),Bull!M21)</f>
        <v>10.268132693674076</v>
      </c>
      <c r="N136" s="92">
        <f>Bull!N21</f>
        <v>10.098705772420976</v>
      </c>
      <c r="O136" s="92">
        <f>Bull!O21</f>
        <v>9.8160616510396626</v>
      </c>
      <c r="P136" s="92">
        <f>Bull!P21</f>
        <v>11.011442736576171</v>
      </c>
      <c r="Q136" s="92">
        <f>Bull!Q21</f>
        <v>11.784556795352522</v>
      </c>
      <c r="R136" s="92">
        <f>Bull!R21</f>
        <v>12.70416836598498</v>
      </c>
      <c r="S136" s="92">
        <f>Bull!S21</f>
        <v>14.831108701315719</v>
      </c>
      <c r="T136" s="329">
        <f>Bull!T21</f>
        <v>16.526011687415455</v>
      </c>
      <c r="U136" s="329">
        <f>Bull!U21</f>
        <v>11.378650635125464</v>
      </c>
      <c r="V136" s="329">
        <f>Bull!V21</f>
        <v>15.883420563966551</v>
      </c>
      <c r="W136" s="329">
        <f>Bull!W21</f>
        <v>19.647487200777157</v>
      </c>
      <c r="X136" s="329">
        <f>Bull!X21</f>
        <v>20.763782431595924</v>
      </c>
      <c r="Y136" s="329">
        <f>Bull!Y21</f>
        <v>21.066582133790419</v>
      </c>
      <c r="Z136" s="329">
        <f>Bull!Z21</f>
        <v>22.890389800985723</v>
      </c>
      <c r="AA136" s="329">
        <f>Bull!AA21</f>
        <v>24.376236168841505</v>
      </c>
      <c r="AB136" s="329">
        <f>Bull!AB21</f>
        <v>25.750262275666437</v>
      </c>
      <c r="AC136" s="329">
        <f>Bull!AC21</f>
        <v>26.917356819997934</v>
      </c>
      <c r="AD136" s="329">
        <f>Bull!AD21</f>
        <v>28.132535483936085</v>
      </c>
      <c r="AE136" s="329">
        <f>Bull!AE21</f>
        <v>29.443670980724498</v>
      </c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</row>
    <row r="137" spans="1:82">
      <c r="A137" s="36" t="s">
        <v>202</v>
      </c>
      <c r="B137" s="245" t="e">
        <f>NA()</f>
        <v>#N/A</v>
      </c>
      <c r="C137" s="245" t="e">
        <f>NA()</f>
        <v>#N/A</v>
      </c>
      <c r="D137" s="245" t="e">
        <f>NA()</f>
        <v>#N/A</v>
      </c>
      <c r="E137" s="245" t="e">
        <f>NA()</f>
        <v>#N/A</v>
      </c>
      <c r="F137" s="245" t="e">
        <f>NA()</f>
        <v>#N/A</v>
      </c>
      <c r="G137" s="245" t="e">
        <f>NA()</f>
        <v>#N/A</v>
      </c>
      <c r="H137" s="245" t="e">
        <f>NA()</f>
        <v>#N/A</v>
      </c>
      <c r="I137" s="245" t="e">
        <f>NA()</f>
        <v>#N/A</v>
      </c>
      <c r="J137" s="41">
        <f>IF(Bear!J21="",NA(),Bear!J21)</f>
        <v>7.7902450145758877</v>
      </c>
      <c r="K137" s="41">
        <f>IF(Bear!K21="",NA(),Bear!K21)</f>
        <v>7.8071224134417063</v>
      </c>
      <c r="L137" s="41">
        <f>IF(Bear!L21="",NA(),Bear!L21)</f>
        <v>8.6056821918270696</v>
      </c>
      <c r="M137" s="41">
        <f>IF(Bear!M21="",NA(),Bear!M21)</f>
        <v>10.268132693674076</v>
      </c>
      <c r="N137" s="92">
        <f>Bear!N21</f>
        <v>10.098705772420976</v>
      </c>
      <c r="O137" s="92">
        <f>Bear!O21</f>
        <v>9.8160616510396626</v>
      </c>
      <c r="P137" s="92">
        <f>Bear!P21</f>
        <v>11.011442736576171</v>
      </c>
      <c r="Q137" s="92">
        <f>Bear!Q21</f>
        <v>11.784556795352522</v>
      </c>
      <c r="R137" s="92">
        <f>Bear!R21</f>
        <v>12.70416836598498</v>
      </c>
      <c r="S137" s="92">
        <f>Bear!S21</f>
        <v>14.831108701315719</v>
      </c>
      <c r="T137" s="329">
        <f>Bear!T21</f>
        <v>16.526011687415455</v>
      </c>
      <c r="U137" s="329">
        <f>Bear!U21</f>
        <v>11.378650635125464</v>
      </c>
      <c r="V137" s="329">
        <f>Bear!V21</f>
        <v>15.883420563966551</v>
      </c>
      <c r="W137" s="329">
        <f>Bear!W21</f>
        <v>19.647487200777157</v>
      </c>
      <c r="X137" s="329">
        <f>Bear!X21</f>
        <v>20.763782431595924</v>
      </c>
      <c r="Y137" s="329">
        <f>Bear!Y21</f>
        <v>20.707182144185865</v>
      </c>
      <c r="Z137" s="329">
        <f>Bear!Z21</f>
        <v>22.110341503827534</v>
      </c>
      <c r="AA137" s="329">
        <f>Bear!AA21</f>
        <v>23.17169334440057</v>
      </c>
      <c r="AB137" s="329">
        <f>Bear!AB21</f>
        <v>24.125472037724947</v>
      </c>
      <c r="AC137" s="329">
        <f>Bear!AC21</f>
        <v>24.981833054576597</v>
      </c>
      <c r="AD137" s="329">
        <f>Bear!AD21</f>
        <v>25.869379641216852</v>
      </c>
      <c r="AE137" s="329">
        <f>Bear!AE21</f>
        <v>26.829365316401407</v>
      </c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</row>
    <row r="138" spans="1:82">
      <c r="A138" s="36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329"/>
      <c r="U138" s="329"/>
      <c r="V138" s="329"/>
      <c r="W138" s="329"/>
      <c r="X138" s="329"/>
      <c r="Y138" s="329"/>
      <c r="Z138" s="329"/>
      <c r="AA138" s="329"/>
      <c r="AB138" s="329"/>
      <c r="AC138" s="329"/>
      <c r="AD138" s="329"/>
      <c r="AE138" s="32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</row>
    <row r="139" spans="1:82">
      <c r="A139" s="242" t="s">
        <v>1253</v>
      </c>
      <c r="B139" s="264">
        <v>2001</v>
      </c>
      <c r="C139" s="264">
        <v>2002</v>
      </c>
      <c r="D139" s="264">
        <v>2003</v>
      </c>
      <c r="E139" s="264">
        <v>2004</v>
      </c>
      <c r="F139" s="264">
        <v>2005</v>
      </c>
      <c r="G139" s="264">
        <v>2006</v>
      </c>
      <c r="H139" s="264">
        <v>2007</v>
      </c>
      <c r="I139" s="264">
        <v>2008</v>
      </c>
      <c r="J139" s="264">
        <f t="shared" ref="J139:R139" si="33">J$50</f>
        <v>2009</v>
      </c>
      <c r="K139" s="264">
        <f t="shared" si="33"/>
        <v>2010</v>
      </c>
      <c r="L139" s="264">
        <f t="shared" si="33"/>
        <v>2011</v>
      </c>
      <c r="M139" s="264">
        <f t="shared" si="33"/>
        <v>2012</v>
      </c>
      <c r="N139" s="264">
        <f t="shared" si="33"/>
        <v>2013</v>
      </c>
      <c r="O139" s="264">
        <f t="shared" si="33"/>
        <v>2014</v>
      </c>
      <c r="P139" s="264">
        <f t="shared" si="33"/>
        <v>2015</v>
      </c>
      <c r="Q139" s="264">
        <f t="shared" si="33"/>
        <v>2016</v>
      </c>
      <c r="R139" s="264">
        <f t="shared" si="33"/>
        <v>2017</v>
      </c>
      <c r="S139" s="264">
        <f t="shared" ref="S139:X139" si="34">S$6</f>
        <v>2018</v>
      </c>
      <c r="T139" s="264">
        <f t="shared" si="34"/>
        <v>2019</v>
      </c>
      <c r="U139" s="264">
        <f t="shared" si="34"/>
        <v>2020</v>
      </c>
      <c r="V139" s="264">
        <f t="shared" si="34"/>
        <v>2021</v>
      </c>
      <c r="W139" s="264">
        <f t="shared" si="34"/>
        <v>2022</v>
      </c>
      <c r="X139" s="264">
        <f t="shared" si="34"/>
        <v>2023</v>
      </c>
      <c r="Y139" s="594">
        <f t="shared" ref="Y139:AE139" si="35">Y$50</f>
        <v>2024</v>
      </c>
      <c r="Z139" s="594">
        <f t="shared" si="35"/>
        <v>2025</v>
      </c>
      <c r="AA139" s="594">
        <f t="shared" si="35"/>
        <v>2026</v>
      </c>
      <c r="AB139" s="594">
        <f t="shared" si="35"/>
        <v>2027</v>
      </c>
      <c r="AC139" s="594">
        <f t="shared" si="35"/>
        <v>2028</v>
      </c>
      <c r="AD139" s="594">
        <f t="shared" si="35"/>
        <v>2029</v>
      </c>
      <c r="AE139" s="594">
        <f t="shared" si="35"/>
        <v>2030</v>
      </c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</row>
    <row r="140" spans="1:82">
      <c r="A140" s="249" t="s">
        <v>731</v>
      </c>
      <c r="B140" s="245" t="e">
        <f>NA()</f>
        <v>#N/A</v>
      </c>
      <c r="C140" s="245" t="e">
        <f>NA()</f>
        <v>#N/A</v>
      </c>
      <c r="D140" s="245" t="e">
        <f>NA()</f>
        <v>#N/A</v>
      </c>
      <c r="E140" s="245" t="e">
        <f>NA()</f>
        <v>#N/A</v>
      </c>
      <c r="F140" s="245" t="e">
        <f>NA()</f>
        <v>#N/A</v>
      </c>
      <c r="G140" s="245" t="e">
        <f>NA()</f>
        <v>#N/A</v>
      </c>
      <c r="H140" s="245" t="e">
        <f>NA()</f>
        <v>#N/A</v>
      </c>
      <c r="I140" s="245" t="e">
        <f>NA()</f>
        <v>#N/A</v>
      </c>
      <c r="J140" s="41">
        <f>IF(Financials!J18="",NA(),Financials!J18)</f>
        <v>5</v>
      </c>
      <c r="K140" s="41">
        <f>IF(Financials!K18="",NA(),Financials!K18)</f>
        <v>37</v>
      </c>
      <c r="L140" s="41">
        <f>IF(Financials!L18="",NA(),Financials!L18)</f>
        <v>32</v>
      </c>
      <c r="M140" s="41">
        <f>IF(Financials!M18="",NA(),Financials!M18)</f>
        <v>48</v>
      </c>
      <c r="N140" s="92">
        <f>Financials!N18</f>
        <v>175</v>
      </c>
      <c r="O140" s="92">
        <f>Financials!O18</f>
        <v>404</v>
      </c>
      <c r="P140" s="92">
        <f>Financials!P18</f>
        <v>62</v>
      </c>
      <c r="Q140" s="92">
        <f>Financials!Q18</f>
        <v>104</v>
      </c>
      <c r="R140" s="92">
        <f>Financials!R18</f>
        <v>115</v>
      </c>
      <c r="S140" s="92">
        <f>Financials!S18</f>
        <v>104</v>
      </c>
      <c r="T140" s="329">
        <f>Financials!T18</f>
        <v>-1</v>
      </c>
      <c r="U140" s="329">
        <f>Financials!U18</f>
        <v>-95</v>
      </c>
      <c r="V140" s="329">
        <f>Financials!V18</f>
        <v>-32</v>
      </c>
      <c r="W140" s="329">
        <f>Financials!W18</f>
        <v>44</v>
      </c>
      <c r="X140" s="329">
        <f>Financials!X18</f>
        <v>18</v>
      </c>
      <c r="Y140" s="329">
        <f>Financials!Y18</f>
        <v>49</v>
      </c>
      <c r="Z140" s="329">
        <f>Financials!Z18</f>
        <v>51</v>
      </c>
      <c r="AA140" s="329">
        <f>Financials!AA18</f>
        <v>42</v>
      </c>
      <c r="AB140" s="329">
        <f>Financials!AB18</f>
        <v>35</v>
      </c>
      <c r="AC140" s="329">
        <f>Financials!AC18</f>
        <v>35</v>
      </c>
      <c r="AD140" s="329">
        <f>Financials!AD18</f>
        <v>35</v>
      </c>
      <c r="AE140" s="329">
        <f>Financials!AE18</f>
        <v>29</v>
      </c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</row>
    <row r="141" spans="1:82">
      <c r="A141" s="249" t="s">
        <v>733</v>
      </c>
      <c r="B141" s="245" t="e">
        <f>NA()</f>
        <v>#N/A</v>
      </c>
      <c r="C141" s="245" t="e">
        <f>NA()</f>
        <v>#N/A</v>
      </c>
      <c r="D141" s="245" t="e">
        <f>NA()</f>
        <v>#N/A</v>
      </c>
      <c r="E141" s="245" t="e">
        <f>NA()</f>
        <v>#N/A</v>
      </c>
      <c r="F141" s="245" t="e">
        <f>NA()</f>
        <v>#N/A</v>
      </c>
      <c r="G141" s="245" t="e">
        <f>NA()</f>
        <v>#N/A</v>
      </c>
      <c r="H141" s="245" t="e">
        <f>NA()</f>
        <v>#N/A</v>
      </c>
      <c r="I141" s="245" t="e">
        <f>NA()</f>
        <v>#N/A</v>
      </c>
      <c r="J141" s="41">
        <f>IF(Financials!J20="",NA(),Financials!J20)</f>
        <v>18</v>
      </c>
      <c r="K141" s="41">
        <f>IF(Financials!K20="",NA(),Financials!K20)</f>
        <v>22</v>
      </c>
      <c r="L141" s="41">
        <f>IF(Financials!L20="",NA(),Financials!L20)</f>
        <v>34</v>
      </c>
      <c r="M141" s="41">
        <f>IF(Financials!M20="",NA(),Financials!M20)</f>
        <v>36</v>
      </c>
      <c r="N141" s="92">
        <f>Financials!N20</f>
        <v>75</v>
      </c>
      <c r="O141" s="92">
        <f>Financials!O20</f>
        <v>44</v>
      </c>
      <c r="P141" s="92">
        <f>Financials!P20</f>
        <v>49</v>
      </c>
      <c r="Q141" s="92">
        <f>Financials!Q20</f>
        <v>84</v>
      </c>
      <c r="R141" s="92">
        <f>Financials!R20</f>
        <v>62</v>
      </c>
      <c r="S141" s="92">
        <f>Financials!S20</f>
        <v>88</v>
      </c>
      <c r="T141" s="329">
        <f>Financials!T20</f>
        <v>5</v>
      </c>
      <c r="U141" s="329">
        <f>Financials!U20</f>
        <v>-14</v>
      </c>
      <c r="V141" s="329">
        <f>Financials!V20</f>
        <v>21</v>
      </c>
      <c r="W141" s="329">
        <f>Financials!W20</f>
        <v>53</v>
      </c>
      <c r="X141" s="329">
        <f>Financials!X20</f>
        <v>50</v>
      </c>
      <c r="Y141" s="329">
        <f>Financials!Y20</f>
        <v>25</v>
      </c>
      <c r="Z141" s="329">
        <f>Financials!Z20</f>
        <v>15</v>
      </c>
      <c r="AA141" s="329">
        <f>Financials!AA20</f>
        <v>10</v>
      </c>
      <c r="AB141" s="329">
        <f>Financials!AB20</f>
        <v>11</v>
      </c>
      <c r="AC141" s="329">
        <f>Financials!AC20</f>
        <v>11</v>
      </c>
      <c r="AD141" s="329">
        <f>Financials!AD20</f>
        <v>11</v>
      </c>
      <c r="AE141" s="329">
        <f>Financials!AE20</f>
        <v>10</v>
      </c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</row>
    <row r="142" spans="1:82">
      <c r="A142" s="249" t="s">
        <v>949</v>
      </c>
      <c r="B142" s="245" t="e">
        <f>NA()</f>
        <v>#N/A</v>
      </c>
      <c r="C142" s="245" t="e">
        <f>NA()</f>
        <v>#N/A</v>
      </c>
      <c r="D142" s="245" t="e">
        <f>NA()</f>
        <v>#N/A</v>
      </c>
      <c r="E142" s="245" t="e">
        <f>NA()</f>
        <v>#N/A</v>
      </c>
      <c r="F142" s="245" t="e">
        <f>NA()</f>
        <v>#N/A</v>
      </c>
      <c r="G142" s="245" t="e">
        <f>NA()</f>
        <v>#N/A</v>
      </c>
      <c r="H142" s="245" t="e">
        <f>NA()</f>
        <v>#N/A</v>
      </c>
      <c r="I142" s="245" t="e">
        <f>NA()</f>
        <v>#N/A</v>
      </c>
      <c r="J142" s="41">
        <f>IF(Financials!J19="",NA(),Financials!J19)</f>
        <v>0</v>
      </c>
      <c r="K142" s="41">
        <f>IF(Financials!K19="",NA(),Financials!K19)</f>
        <v>0</v>
      </c>
      <c r="L142" s="41">
        <f>IF(Financials!L19="",NA(),Financials!L19)</f>
        <v>0</v>
      </c>
      <c r="M142" s="41">
        <f>IF(Financials!M19="",NA(),Financials!M19)</f>
        <v>0</v>
      </c>
      <c r="N142" s="92">
        <f>Financials!N19</f>
        <v>0</v>
      </c>
      <c r="O142" s="92">
        <f>Financials!O19</f>
        <v>302</v>
      </c>
      <c r="P142" s="92">
        <f>Financials!P19</f>
        <v>11</v>
      </c>
      <c r="Q142" s="92">
        <f>Financials!Q19</f>
        <v>31</v>
      </c>
      <c r="R142" s="92">
        <f>Financials!R19</f>
        <v>37</v>
      </c>
      <c r="S142" s="92">
        <f>Financials!S19</f>
        <v>39</v>
      </c>
      <c r="T142" s="329">
        <f>Financials!T19</f>
        <v>468</v>
      </c>
      <c r="U142" s="329">
        <f>Financials!U19</f>
        <v>-26</v>
      </c>
      <c r="V142" s="329">
        <f>Financials!V19</f>
        <v>16</v>
      </c>
      <c r="W142" s="329">
        <f>Financials!W19</f>
        <v>50</v>
      </c>
      <c r="X142" s="329">
        <f>Financials!X19</f>
        <v>48</v>
      </c>
      <c r="Y142" s="329">
        <f>Financials!Y19</f>
        <v>31</v>
      </c>
      <c r="Z142" s="329">
        <f>Financials!Z19</f>
        <v>22</v>
      </c>
      <c r="AA142" s="329">
        <f>Financials!AA19</f>
        <v>17</v>
      </c>
      <c r="AB142" s="329">
        <f>Financials!AB19</f>
        <v>15</v>
      </c>
      <c r="AC142" s="329">
        <f>Financials!AC19</f>
        <v>15</v>
      </c>
      <c r="AD142" s="329">
        <f>Financials!AD19</f>
        <v>15</v>
      </c>
      <c r="AE142" s="329">
        <f>Financials!AE19</f>
        <v>12</v>
      </c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</row>
    <row r="143" spans="1:82">
      <c r="A143" s="36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329"/>
      <c r="U143" s="329"/>
      <c r="V143" s="329"/>
      <c r="W143" s="329"/>
      <c r="X143" s="329"/>
      <c r="Y143" s="329"/>
      <c r="Z143" s="329"/>
      <c r="AA143" s="329"/>
      <c r="AB143" s="329"/>
      <c r="AC143" s="329"/>
      <c r="AD143" s="329"/>
      <c r="AE143" s="32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</row>
    <row r="144" spans="1:82">
      <c r="A144" s="242" t="s">
        <v>230</v>
      </c>
      <c r="B144" s="264">
        <v>2001</v>
      </c>
      <c r="C144" s="264">
        <v>2002</v>
      </c>
      <c r="D144" s="264">
        <v>2003</v>
      </c>
      <c r="E144" s="264">
        <v>2004</v>
      </c>
      <c r="F144" s="264">
        <v>2005</v>
      </c>
      <c r="G144" s="264">
        <v>2006</v>
      </c>
      <c r="H144" s="264">
        <v>2007</v>
      </c>
      <c r="I144" s="264">
        <v>2008</v>
      </c>
      <c r="J144" s="264">
        <f t="shared" ref="J144:R144" si="36">J$50</f>
        <v>2009</v>
      </c>
      <c r="K144" s="264">
        <f t="shared" si="36"/>
        <v>2010</v>
      </c>
      <c r="L144" s="264">
        <f t="shared" si="36"/>
        <v>2011</v>
      </c>
      <c r="M144" s="264">
        <f t="shared" si="36"/>
        <v>2012</v>
      </c>
      <c r="N144" s="264">
        <f t="shared" si="36"/>
        <v>2013</v>
      </c>
      <c r="O144" s="264">
        <f t="shared" si="36"/>
        <v>2014</v>
      </c>
      <c r="P144" s="264">
        <f t="shared" si="36"/>
        <v>2015</v>
      </c>
      <c r="Q144" s="264">
        <f t="shared" si="36"/>
        <v>2016</v>
      </c>
      <c r="R144" s="264">
        <f t="shared" si="36"/>
        <v>2017</v>
      </c>
      <c r="S144" s="264">
        <f t="shared" ref="S144:X144" si="37">S$6</f>
        <v>2018</v>
      </c>
      <c r="T144" s="264">
        <f t="shared" si="37"/>
        <v>2019</v>
      </c>
      <c r="U144" s="264">
        <f t="shared" si="37"/>
        <v>2020</v>
      </c>
      <c r="V144" s="264">
        <f t="shared" si="37"/>
        <v>2021</v>
      </c>
      <c r="W144" s="264">
        <f t="shared" si="37"/>
        <v>2022</v>
      </c>
      <c r="X144" s="264">
        <f t="shared" si="37"/>
        <v>2023</v>
      </c>
      <c r="Y144" s="594">
        <f t="shared" ref="Y144:AE144" si="38">Y$50</f>
        <v>2024</v>
      </c>
      <c r="Z144" s="594">
        <f t="shared" si="38"/>
        <v>2025</v>
      </c>
      <c r="AA144" s="594">
        <f t="shared" si="38"/>
        <v>2026</v>
      </c>
      <c r="AB144" s="594">
        <f t="shared" si="38"/>
        <v>2027</v>
      </c>
      <c r="AC144" s="594">
        <f t="shared" si="38"/>
        <v>2028</v>
      </c>
      <c r="AD144" s="594">
        <f t="shared" si="38"/>
        <v>2029</v>
      </c>
      <c r="AE144" s="594">
        <f t="shared" si="38"/>
        <v>2030</v>
      </c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</row>
    <row r="145" spans="1:82">
      <c r="A145" s="244" t="s">
        <v>200</v>
      </c>
      <c r="B145" s="245">
        <f>Base!B62</f>
        <v>0.53259283924136458</v>
      </c>
      <c r="C145" s="245">
        <f>Base!C62</f>
        <v>0.55827241053367005</v>
      </c>
      <c r="D145" s="245">
        <f>Base!D62</f>
        <v>0.56253876470446884</v>
      </c>
      <c r="E145" s="245">
        <f>Base!E62</f>
        <v>0.57630088383899669</v>
      </c>
      <c r="F145" s="245">
        <f>Base!F62</f>
        <v>0.62080466422309388</v>
      </c>
      <c r="G145" s="245">
        <f>Base!G62</f>
        <v>0.65709214256367443</v>
      </c>
      <c r="H145" s="245">
        <f>Base!H62</f>
        <v>0.66734961461779652</v>
      </c>
      <c r="I145" s="245">
        <f>Base!I62</f>
        <v>0.64281750640150315</v>
      </c>
      <c r="J145" s="245">
        <f>Base!J62</f>
        <v>0.63125315808713112</v>
      </c>
      <c r="K145" s="245">
        <f>Base!K62</f>
        <v>0.64669997238750132</v>
      </c>
      <c r="L145" s="245">
        <f>Base!L62</f>
        <v>0.64590309132778334</v>
      </c>
      <c r="M145" s="245">
        <f>Base!M62</f>
        <v>0.64796305902438944</v>
      </c>
      <c r="N145" s="245">
        <f>Base!N62</f>
        <v>0.6674181623550175</v>
      </c>
      <c r="O145" s="245">
        <f>Base!O62</f>
        <v>0.68085861320410679</v>
      </c>
      <c r="P145" s="245">
        <f>Base!P62</f>
        <v>0.68566780813008366</v>
      </c>
      <c r="Q145" s="245">
        <f>Base!Q62</f>
        <v>0.68755841719986965</v>
      </c>
      <c r="R145" s="245">
        <f>Base!R62</f>
        <v>0.69613319776818328</v>
      </c>
      <c r="S145" s="245">
        <f>Base!S62</f>
        <v>0.69262227359901862</v>
      </c>
      <c r="T145" s="452">
        <f>Base!T62</f>
        <v>0.7048553959230649</v>
      </c>
      <c r="U145" s="452">
        <f>Base!U62</f>
        <v>0.7024351391005772</v>
      </c>
      <c r="V145" s="452">
        <f>Base!V62</f>
        <v>0.68615159884786414</v>
      </c>
      <c r="W145" s="452">
        <f>Base!W62</f>
        <v>0.67293842532841719</v>
      </c>
      <c r="X145" s="452">
        <f>Base!X62</f>
        <v>0.67200305313918807</v>
      </c>
      <c r="Y145" s="452">
        <f>Base!Y62</f>
        <v>0.68007611587266381</v>
      </c>
      <c r="Z145" s="452">
        <f>Base!Z62</f>
        <v>0.67909246911692589</v>
      </c>
      <c r="AA145" s="452">
        <f>Base!AA62</f>
        <v>0.67809448991164134</v>
      </c>
      <c r="AB145" s="452">
        <f>Base!AB62</f>
        <v>0.67709464870364977</v>
      </c>
      <c r="AC145" s="452">
        <f>Base!AC62</f>
        <v>0.67709394923044197</v>
      </c>
      <c r="AD145" s="452">
        <f>Base!AD62</f>
        <v>0.67709324030936113</v>
      </c>
      <c r="AE145" s="452">
        <f>Base!AE62</f>
        <v>0.67709316791860363</v>
      </c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</row>
    <row r="146" spans="1:82">
      <c r="A146" s="244" t="s">
        <v>201</v>
      </c>
      <c r="B146" s="248">
        <f>Bull!B62</f>
        <v>0.53259283924136458</v>
      </c>
      <c r="C146" s="248">
        <f>Bull!C62</f>
        <v>0.55827241053367005</v>
      </c>
      <c r="D146" s="248">
        <f>Bull!D62</f>
        <v>0.56253876470446884</v>
      </c>
      <c r="E146" s="248">
        <f>Bull!E62</f>
        <v>0.57630088383899669</v>
      </c>
      <c r="F146" s="248">
        <f>Bull!F62</f>
        <v>0.62080466422309388</v>
      </c>
      <c r="G146" s="248">
        <f>Bull!G62</f>
        <v>0.65709214256367443</v>
      </c>
      <c r="H146" s="248">
        <f>Bull!H62</f>
        <v>0.66734961461779652</v>
      </c>
      <c r="I146" s="248">
        <f>Bull!I62</f>
        <v>0.64281750640150315</v>
      </c>
      <c r="J146" s="248">
        <f>Bull!J62</f>
        <v>0.63125315808713112</v>
      </c>
      <c r="K146" s="248">
        <f>Bull!K62</f>
        <v>0.64669997238750132</v>
      </c>
      <c r="L146" s="248">
        <f>Bull!L62</f>
        <v>0.64590309132778334</v>
      </c>
      <c r="M146" s="248">
        <f>Bull!M62</f>
        <v>0.64796305902438944</v>
      </c>
      <c r="N146" s="248">
        <f>Bull!N62</f>
        <v>0.6674181623550175</v>
      </c>
      <c r="O146" s="248">
        <f>Bull!O62</f>
        <v>0.68085861320410679</v>
      </c>
      <c r="P146" s="248">
        <f>Bull!P62</f>
        <v>0.68566780813008366</v>
      </c>
      <c r="Q146" s="248">
        <f>Bull!Q62</f>
        <v>0.68755841719986965</v>
      </c>
      <c r="R146" s="248">
        <f>Bull!R62</f>
        <v>0.69613319776818328</v>
      </c>
      <c r="S146" s="248">
        <f>Bull!S62</f>
        <v>0.69262227359901862</v>
      </c>
      <c r="T146" s="453">
        <f>Bull!T62</f>
        <v>0.7048553959230649</v>
      </c>
      <c r="U146" s="453">
        <f>Bull!U62</f>
        <v>0.7024351391005772</v>
      </c>
      <c r="V146" s="453">
        <f>Bull!V62</f>
        <v>0.68615159884786414</v>
      </c>
      <c r="W146" s="453">
        <f>Bull!W62</f>
        <v>0.67293842532841719</v>
      </c>
      <c r="X146" s="453">
        <f>Bull!X62</f>
        <v>0.67200305313918807</v>
      </c>
      <c r="Y146" s="453">
        <f>Bull!Y62</f>
        <v>0.6811354498019393</v>
      </c>
      <c r="Z146" s="453">
        <f>Bull!Z62</f>
        <v>0.68108791662924983</v>
      </c>
      <c r="AA146" s="453">
        <f>Bull!AA62</f>
        <v>0.6800901779646461</v>
      </c>
      <c r="AB146" s="453">
        <f>Bull!AB62</f>
        <v>0.67909058097009467</v>
      </c>
      <c r="AC146" s="453">
        <f>Bull!AC62</f>
        <v>0.67609014324826955</v>
      </c>
      <c r="AD146" s="453">
        <f>Bull!AD62</f>
        <v>0.67608969284586251</v>
      </c>
      <c r="AE146" s="453">
        <f>Bull!AE62</f>
        <v>0.6760898660714395</v>
      </c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</row>
    <row r="147" spans="1:82">
      <c r="A147" s="244" t="s">
        <v>202</v>
      </c>
      <c r="B147" s="248">
        <f>Bear!B62</f>
        <v>0.53259283924136458</v>
      </c>
      <c r="C147" s="248">
        <f>Bear!C62</f>
        <v>0.55827241053367005</v>
      </c>
      <c r="D147" s="248">
        <f>Bear!D62</f>
        <v>0.56253876470446884</v>
      </c>
      <c r="E147" s="248">
        <f>Bear!E62</f>
        <v>0.57630088383899669</v>
      </c>
      <c r="F147" s="248">
        <f>Bear!F62</f>
        <v>0.62080466422309388</v>
      </c>
      <c r="G147" s="248">
        <f>Bear!G62</f>
        <v>0.65709214256367443</v>
      </c>
      <c r="H147" s="248">
        <f>Bear!H62</f>
        <v>0.66734961461779652</v>
      </c>
      <c r="I147" s="248">
        <f>Bear!I62</f>
        <v>0.64281750640150315</v>
      </c>
      <c r="J147" s="248">
        <f>Bear!J62</f>
        <v>0.63125315808713112</v>
      </c>
      <c r="K147" s="248">
        <f>Bear!K62</f>
        <v>0.64669997238750132</v>
      </c>
      <c r="L147" s="248">
        <f>Bear!L62</f>
        <v>0.64590309132778334</v>
      </c>
      <c r="M147" s="248">
        <f>Bear!M62</f>
        <v>0.64796305902438944</v>
      </c>
      <c r="N147" s="248">
        <f>Bear!N62</f>
        <v>0.6674181623550175</v>
      </c>
      <c r="O147" s="248">
        <f>Bear!O62</f>
        <v>0.68085861320410679</v>
      </c>
      <c r="P147" s="248">
        <f>Bear!P62</f>
        <v>0.68566780813008366</v>
      </c>
      <c r="Q147" s="248">
        <f>Bear!Q62</f>
        <v>0.68755841719986965</v>
      </c>
      <c r="R147" s="248">
        <f>Bear!R62</f>
        <v>0.69613319776818328</v>
      </c>
      <c r="S147" s="248">
        <f>Bear!S62</f>
        <v>0.69262227359901862</v>
      </c>
      <c r="T147" s="453">
        <f>Bear!T62</f>
        <v>0.7048553959230649</v>
      </c>
      <c r="U147" s="453">
        <f>Bear!U62</f>
        <v>0.7024351391005772</v>
      </c>
      <c r="V147" s="453">
        <f>Bear!V62</f>
        <v>0.68615159884786414</v>
      </c>
      <c r="W147" s="453">
        <f>Bear!W62</f>
        <v>0.67293842532841719</v>
      </c>
      <c r="X147" s="453">
        <f>Bear!X62</f>
        <v>0.67200305313918807</v>
      </c>
      <c r="Y147" s="453">
        <f>Bear!Y62</f>
        <v>0.67485660188200858</v>
      </c>
      <c r="Z147" s="453">
        <f>Bear!Z62</f>
        <v>0.66910245583646666</v>
      </c>
      <c r="AA147" s="453">
        <f>Bear!AA62</f>
        <v>0.66810342324133265</v>
      </c>
      <c r="AB147" s="453">
        <f>Bear!AB62</f>
        <v>0.66710272998857378</v>
      </c>
      <c r="AC147" s="453">
        <f>Bear!AC62</f>
        <v>0.66210167766123251</v>
      </c>
      <c r="AD147" s="453">
        <f>Bear!AD62</f>
        <v>0.66210065778264549</v>
      </c>
      <c r="AE147" s="453">
        <f>Bear!AE62</f>
        <v>0.66210032445444955</v>
      </c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</row>
    <row r="148" spans="1:82">
      <c r="A148" s="36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329"/>
      <c r="U148" s="329"/>
      <c r="V148" s="329"/>
      <c r="W148" s="329"/>
      <c r="X148" s="329"/>
      <c r="Y148" s="329"/>
      <c r="Z148" s="329"/>
      <c r="AA148" s="329"/>
      <c r="AB148" s="329"/>
      <c r="AC148" s="329"/>
      <c r="AD148" s="329"/>
      <c r="AE148" s="32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</row>
    <row r="149" spans="1:82">
      <c r="A149" s="242" t="s">
        <v>231</v>
      </c>
      <c r="B149" s="264">
        <v>2001</v>
      </c>
      <c r="C149" s="264">
        <v>2002</v>
      </c>
      <c r="D149" s="264">
        <v>2003</v>
      </c>
      <c r="E149" s="264">
        <v>2004</v>
      </c>
      <c r="F149" s="264">
        <v>2005</v>
      </c>
      <c r="G149" s="264">
        <v>2006</v>
      </c>
      <c r="H149" s="264">
        <v>2007</v>
      </c>
      <c r="I149" s="264">
        <v>2008</v>
      </c>
      <c r="J149" s="264">
        <f t="shared" ref="J149:R149" si="39">J$50</f>
        <v>2009</v>
      </c>
      <c r="K149" s="264">
        <f t="shared" si="39"/>
        <v>2010</v>
      </c>
      <c r="L149" s="264">
        <f t="shared" si="39"/>
        <v>2011</v>
      </c>
      <c r="M149" s="264">
        <f t="shared" si="39"/>
        <v>2012</v>
      </c>
      <c r="N149" s="264">
        <f t="shared" si="39"/>
        <v>2013</v>
      </c>
      <c r="O149" s="264">
        <f t="shared" si="39"/>
        <v>2014</v>
      </c>
      <c r="P149" s="264">
        <f t="shared" si="39"/>
        <v>2015</v>
      </c>
      <c r="Q149" s="264">
        <f t="shared" si="39"/>
        <v>2016</v>
      </c>
      <c r="R149" s="264">
        <f t="shared" si="39"/>
        <v>2017</v>
      </c>
      <c r="S149" s="264">
        <f t="shared" ref="S149:X149" si="40">S$6</f>
        <v>2018</v>
      </c>
      <c r="T149" s="264">
        <f t="shared" si="40"/>
        <v>2019</v>
      </c>
      <c r="U149" s="264">
        <f t="shared" si="40"/>
        <v>2020</v>
      </c>
      <c r="V149" s="264">
        <f t="shared" si="40"/>
        <v>2021</v>
      </c>
      <c r="W149" s="264">
        <f t="shared" si="40"/>
        <v>2022</v>
      </c>
      <c r="X149" s="264">
        <f t="shared" si="40"/>
        <v>2023</v>
      </c>
      <c r="Y149" s="594">
        <f t="shared" ref="Y149:AE149" si="41">Y$50</f>
        <v>2024</v>
      </c>
      <c r="Z149" s="594">
        <f t="shared" si="41"/>
        <v>2025</v>
      </c>
      <c r="AA149" s="594">
        <f t="shared" si="41"/>
        <v>2026</v>
      </c>
      <c r="AB149" s="594">
        <f t="shared" si="41"/>
        <v>2027</v>
      </c>
      <c r="AC149" s="594">
        <f t="shared" si="41"/>
        <v>2028</v>
      </c>
      <c r="AD149" s="594">
        <f t="shared" si="41"/>
        <v>2029</v>
      </c>
      <c r="AE149" s="594">
        <f t="shared" si="41"/>
        <v>2030</v>
      </c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</row>
    <row r="150" spans="1:82">
      <c r="A150" s="244" t="s">
        <v>200</v>
      </c>
      <c r="B150" s="452">
        <f>Base!B64</f>
        <v>0.39901214472811147</v>
      </c>
      <c r="C150" s="452">
        <f>Base!C64</f>
        <v>0.41218592983946212</v>
      </c>
      <c r="D150" s="452">
        <f>Base!D64</f>
        <v>0.41794175917667858</v>
      </c>
      <c r="E150" s="452">
        <f>Base!E64</f>
        <v>0.42922277283520388</v>
      </c>
      <c r="F150" s="452">
        <f>Base!F64</f>
        <v>0.47064175937238761</v>
      </c>
      <c r="G150" s="452">
        <f>Base!G64</f>
        <v>0.48992241527507757</v>
      </c>
      <c r="H150" s="452">
        <f>Base!H64</f>
        <v>0.4828683470373864</v>
      </c>
      <c r="I150" s="452">
        <f>Base!I64</f>
        <v>0.51027765681162451</v>
      </c>
      <c r="J150" s="452">
        <f>Base!J64</f>
        <v>0.51477166687958331</v>
      </c>
      <c r="K150" s="452">
        <f>Base!K64</f>
        <v>0.53551167741475769</v>
      </c>
      <c r="L150" s="452">
        <f>Base!L64</f>
        <v>0.54167772947123649</v>
      </c>
      <c r="M150" s="452">
        <f>Base!M64</f>
        <v>0.52901905564201901</v>
      </c>
      <c r="N150" s="452">
        <f>Base!N64</f>
        <v>0.53766792584198797</v>
      </c>
      <c r="O150" s="452">
        <f>Base!O64</f>
        <v>0.55835594821198264</v>
      </c>
      <c r="P150" s="452">
        <f>Base!P64</f>
        <v>0.55243939800502817</v>
      </c>
      <c r="Q150" s="452">
        <f>Base!Q64</f>
        <v>0.55082147523357394</v>
      </c>
      <c r="R150" s="452">
        <f>Base!R64</f>
        <v>0.54409045980517678</v>
      </c>
      <c r="S150" s="452">
        <f>Base!S64</f>
        <v>0.55378366222930109</v>
      </c>
      <c r="T150" s="452">
        <f>Base!T64</f>
        <v>0.48788967218579837</v>
      </c>
      <c r="U150" s="452">
        <f>Base!U64</f>
        <v>0.52255046243294556</v>
      </c>
      <c r="V150" s="452">
        <f>Base!V64</f>
        <v>0.45551481600538207</v>
      </c>
      <c r="W150" s="452">
        <f>Base!W64</f>
        <v>0.468819180458659</v>
      </c>
      <c r="X150" s="452">
        <f>Base!X64</f>
        <v>0.46263443734893955</v>
      </c>
      <c r="Y150" s="452">
        <f>Base!Y64</f>
        <v>0.4715223934434804</v>
      </c>
      <c r="Z150" s="452">
        <f>Base!Z64</f>
        <v>0.47042133911120149</v>
      </c>
      <c r="AA150" s="452">
        <f>Base!AA64</f>
        <v>0.46943360516827792</v>
      </c>
      <c r="AB150" s="452">
        <f>Base!AB64</f>
        <v>0.46843458709814634</v>
      </c>
      <c r="AC150" s="452">
        <f>Base!AC64</f>
        <v>0.46843259847529445</v>
      </c>
      <c r="AD150" s="452">
        <f>Base!AD64</f>
        <v>0.4684305707043333</v>
      </c>
      <c r="AE150" s="452">
        <f>Base!AE64</f>
        <v>0.46843080188204961</v>
      </c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</row>
    <row r="151" spans="1:82">
      <c r="A151" s="244" t="s">
        <v>201</v>
      </c>
      <c r="B151" s="452">
        <f>Bull!B64</f>
        <v>0.39901214472811147</v>
      </c>
      <c r="C151" s="452">
        <f>Bull!C64</f>
        <v>0.41218592983946212</v>
      </c>
      <c r="D151" s="452">
        <f>Bull!D64</f>
        <v>0.41794175917667858</v>
      </c>
      <c r="E151" s="452">
        <f>Bull!E64</f>
        <v>0.42922277283520388</v>
      </c>
      <c r="F151" s="452">
        <f>Bull!F64</f>
        <v>0.47064175937238761</v>
      </c>
      <c r="G151" s="452">
        <f>Bull!G64</f>
        <v>0.48992241527507757</v>
      </c>
      <c r="H151" s="452">
        <f>Bull!H64</f>
        <v>0.4828683470373864</v>
      </c>
      <c r="I151" s="452">
        <f>Bull!I64</f>
        <v>0.51027765681162451</v>
      </c>
      <c r="J151" s="452">
        <f>Bull!J64</f>
        <v>0.51477166687958331</v>
      </c>
      <c r="K151" s="452">
        <f>Bull!K64</f>
        <v>0.53551167741475769</v>
      </c>
      <c r="L151" s="452">
        <f>Bull!L64</f>
        <v>0.54167772947123649</v>
      </c>
      <c r="M151" s="452">
        <f>Bull!M64</f>
        <v>0.52901905564201901</v>
      </c>
      <c r="N151" s="452">
        <f>Bull!N64</f>
        <v>0.53766792584198797</v>
      </c>
      <c r="O151" s="452">
        <f>Bull!O64</f>
        <v>0.55835594821198264</v>
      </c>
      <c r="P151" s="452">
        <f>Bull!P64</f>
        <v>0.55243939800502817</v>
      </c>
      <c r="Q151" s="452">
        <f>Bull!Q64</f>
        <v>0.55082147523357394</v>
      </c>
      <c r="R151" s="452">
        <f>Bull!R64</f>
        <v>0.54409045980517678</v>
      </c>
      <c r="S151" s="452">
        <f>Bull!S64</f>
        <v>0.55378366222930109</v>
      </c>
      <c r="T151" s="452">
        <f>Bull!T64</f>
        <v>0.48788967218579837</v>
      </c>
      <c r="U151" s="452">
        <f>Bull!U64</f>
        <v>0.52255046243294556</v>
      </c>
      <c r="V151" s="452">
        <f>Bull!V64</f>
        <v>0.45551481600538207</v>
      </c>
      <c r="W151" s="452">
        <f>Bull!W64</f>
        <v>0.468819180458659</v>
      </c>
      <c r="X151" s="452">
        <f>Bull!X64</f>
        <v>0.46263443734893955</v>
      </c>
      <c r="Y151" s="452">
        <f>Bull!Y64</f>
        <v>0.47044363042928661</v>
      </c>
      <c r="Z151" s="452">
        <f>Bull!Z64</f>
        <v>0.46841265359153761</v>
      </c>
      <c r="AA151" s="452">
        <f>Bull!AA64</f>
        <v>0.46742571025399199</v>
      </c>
      <c r="AB151" s="452">
        <f>Bull!AB64</f>
        <v>0.46642740015458395</v>
      </c>
      <c r="AC151" s="452">
        <f>Bull!AC64</f>
        <v>0.46342618847937489</v>
      </c>
      <c r="AD151" s="452">
        <f>Bull!AD64</f>
        <v>0.46342492465032425</v>
      </c>
      <c r="AE151" s="452">
        <f>Bull!AE64</f>
        <v>0.46342588028103909</v>
      </c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</row>
    <row r="152" spans="1:82">
      <c r="A152" s="244" t="s">
        <v>202</v>
      </c>
      <c r="B152" s="452">
        <f>Bear!B64</f>
        <v>0.39901214472811147</v>
      </c>
      <c r="C152" s="452">
        <f>Bear!C64</f>
        <v>0.41218592983946212</v>
      </c>
      <c r="D152" s="452">
        <f>Bear!D64</f>
        <v>0.41794175917667858</v>
      </c>
      <c r="E152" s="452">
        <f>Bear!E64</f>
        <v>0.42922277283520388</v>
      </c>
      <c r="F152" s="452">
        <f>Bear!F64</f>
        <v>0.47064175937238761</v>
      </c>
      <c r="G152" s="452">
        <f>Bear!G64</f>
        <v>0.48992241527507757</v>
      </c>
      <c r="H152" s="452">
        <f>Bear!H64</f>
        <v>0.4828683470373864</v>
      </c>
      <c r="I152" s="452">
        <f>Bear!I64</f>
        <v>0.51027765681162451</v>
      </c>
      <c r="J152" s="452">
        <f>Bear!J64</f>
        <v>0.51477166687958331</v>
      </c>
      <c r="K152" s="452">
        <f>Bear!K64</f>
        <v>0.53551167741475769</v>
      </c>
      <c r="L152" s="452">
        <f>Bear!L64</f>
        <v>0.54167772947123649</v>
      </c>
      <c r="M152" s="452">
        <f>Bear!M64</f>
        <v>0.52901905564201901</v>
      </c>
      <c r="N152" s="452">
        <f>Bear!N64</f>
        <v>0.53766792584198797</v>
      </c>
      <c r="O152" s="452">
        <f>Bear!O64</f>
        <v>0.55835594821198264</v>
      </c>
      <c r="P152" s="452">
        <f>Bear!P64</f>
        <v>0.55243939800502817</v>
      </c>
      <c r="Q152" s="452">
        <f>Bear!Q64</f>
        <v>0.55082147523357394</v>
      </c>
      <c r="R152" s="452">
        <f>Bear!R64</f>
        <v>0.54409045980517678</v>
      </c>
      <c r="S152" s="452">
        <f>Bear!S64</f>
        <v>0.55378366222930109</v>
      </c>
      <c r="T152" s="452">
        <f>Bear!T64</f>
        <v>0.48788967218579837</v>
      </c>
      <c r="U152" s="452">
        <f>Bear!U64</f>
        <v>0.52255046243294556</v>
      </c>
      <c r="V152" s="452">
        <f>Bear!V64</f>
        <v>0.45551481600538207</v>
      </c>
      <c r="W152" s="452">
        <f>Bear!W64</f>
        <v>0.468819180458659</v>
      </c>
      <c r="X152" s="452">
        <f>Bear!X64</f>
        <v>0.46263443734893955</v>
      </c>
      <c r="Y152" s="452">
        <f>Bear!Y64</f>
        <v>0.4739055739844128</v>
      </c>
      <c r="Z152" s="452">
        <f>Bear!Z64</f>
        <v>0.47494200653504276</v>
      </c>
      <c r="AA152" s="452">
        <f>Bear!AA64</f>
        <v>0.47395102034489328</v>
      </c>
      <c r="AB152" s="452">
        <f>Bear!AB64</f>
        <v>0.47294957304100405</v>
      </c>
      <c r="AC152" s="452">
        <f>Bear!AC64</f>
        <v>0.47394672643167052</v>
      </c>
      <c r="AD152" s="452">
        <f>Bear!AD64</f>
        <v>0.47394398265383419</v>
      </c>
      <c r="AE152" s="452">
        <f>Bear!AE64</f>
        <v>0.47394366127299048</v>
      </c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</row>
    <row r="153" spans="1:82">
      <c r="A153" s="244"/>
      <c r="B153" s="245"/>
      <c r="C153" s="245"/>
      <c r="D153" s="245"/>
      <c r="E153" s="245"/>
      <c r="F153" s="245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452"/>
      <c r="U153" s="452"/>
      <c r="V153" s="452"/>
      <c r="W153" s="452"/>
      <c r="X153" s="452"/>
      <c r="Y153" s="452"/>
      <c r="Z153" s="452"/>
      <c r="AA153" s="452"/>
      <c r="AB153" s="452"/>
      <c r="AC153" s="452"/>
      <c r="AD153" s="452"/>
      <c r="AE153" s="452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</row>
    <row r="154" spans="1:82">
      <c r="A154" s="242" t="s">
        <v>191</v>
      </c>
      <c r="B154" s="264">
        <v>2001</v>
      </c>
      <c r="C154" s="264">
        <v>2002</v>
      </c>
      <c r="D154" s="264">
        <v>2003</v>
      </c>
      <c r="E154" s="264">
        <v>2004</v>
      </c>
      <c r="F154" s="264">
        <v>2005</v>
      </c>
      <c r="G154" s="264">
        <v>2006</v>
      </c>
      <c r="H154" s="264">
        <v>2007</v>
      </c>
      <c r="I154" s="264">
        <v>2008</v>
      </c>
      <c r="J154" s="264">
        <f t="shared" ref="J154:R154" si="42">J$50</f>
        <v>2009</v>
      </c>
      <c r="K154" s="264">
        <f t="shared" si="42"/>
        <v>2010</v>
      </c>
      <c r="L154" s="264">
        <f t="shared" si="42"/>
        <v>2011</v>
      </c>
      <c r="M154" s="264">
        <f t="shared" si="42"/>
        <v>2012</v>
      </c>
      <c r="N154" s="264">
        <f t="shared" si="42"/>
        <v>2013</v>
      </c>
      <c r="O154" s="264">
        <f t="shared" si="42"/>
        <v>2014</v>
      </c>
      <c r="P154" s="264">
        <f t="shared" si="42"/>
        <v>2015</v>
      </c>
      <c r="Q154" s="264">
        <f t="shared" si="42"/>
        <v>2016</v>
      </c>
      <c r="R154" s="264">
        <f t="shared" si="42"/>
        <v>2017</v>
      </c>
      <c r="S154" s="264">
        <f t="shared" ref="S154:X154" si="43">S$6</f>
        <v>2018</v>
      </c>
      <c r="T154" s="264">
        <f t="shared" si="43"/>
        <v>2019</v>
      </c>
      <c r="U154" s="264">
        <f t="shared" si="43"/>
        <v>2020</v>
      </c>
      <c r="V154" s="264">
        <f t="shared" si="43"/>
        <v>2021</v>
      </c>
      <c r="W154" s="264">
        <f t="shared" si="43"/>
        <v>2022</v>
      </c>
      <c r="X154" s="264">
        <f t="shared" si="43"/>
        <v>2023</v>
      </c>
      <c r="Y154" s="594">
        <f t="shared" ref="Y154:AE154" si="44">Y$50</f>
        <v>2024</v>
      </c>
      <c r="Z154" s="594">
        <f t="shared" si="44"/>
        <v>2025</v>
      </c>
      <c r="AA154" s="594">
        <f t="shared" si="44"/>
        <v>2026</v>
      </c>
      <c r="AB154" s="594">
        <f t="shared" si="44"/>
        <v>2027</v>
      </c>
      <c r="AC154" s="594">
        <f t="shared" si="44"/>
        <v>2028</v>
      </c>
      <c r="AD154" s="594">
        <f t="shared" si="44"/>
        <v>2029</v>
      </c>
      <c r="AE154" s="594">
        <f t="shared" si="44"/>
        <v>2030</v>
      </c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</row>
    <row r="155" spans="1:82">
      <c r="A155" s="36" t="s">
        <v>200</v>
      </c>
      <c r="B155" s="92">
        <f>Base!B72</f>
        <v>330.56599999999992</v>
      </c>
      <c r="C155" s="92">
        <f>Base!C72</f>
        <v>383.90300000000002</v>
      </c>
      <c r="D155" s="92">
        <f>Base!D72</f>
        <v>415.20900000000006</v>
      </c>
      <c r="E155" s="92">
        <f>Base!E72</f>
        <v>545.45299999999997</v>
      </c>
      <c r="F155" s="92">
        <f>Base!F72</f>
        <v>700.55500000000029</v>
      </c>
      <c r="G155" s="92">
        <f>Base!G72</f>
        <v>1007.4390000000008</v>
      </c>
      <c r="H155" s="92">
        <f>Base!H72</f>
        <v>1288.6759999999999</v>
      </c>
      <c r="I155" s="92">
        <f>Base!I72</f>
        <v>1032.067</v>
      </c>
      <c r="J155" s="92">
        <f>Base!J72</f>
        <v>1000.2359999999994</v>
      </c>
      <c r="K155" s="92">
        <f>Base!K72</f>
        <v>998.63099999999986</v>
      </c>
      <c r="L155" s="92">
        <f>Base!L72</f>
        <v>1114.8470000000004</v>
      </c>
      <c r="M155" s="92">
        <f>Base!M72</f>
        <v>1608.0649999999994</v>
      </c>
      <c r="N155" s="92">
        <f>Base!N72</f>
        <v>2336.4059999999999</v>
      </c>
      <c r="O155" s="92">
        <f>Base!O72</f>
        <v>4988</v>
      </c>
      <c r="P155" s="92">
        <f>Base!P72</f>
        <v>6778</v>
      </c>
      <c r="Q155" s="92">
        <f>Base!Q72</f>
        <v>7942</v>
      </c>
      <c r="R155" s="92">
        <f>Base!R72</f>
        <v>8896</v>
      </c>
      <c r="S155" s="92">
        <f>Base!S72</f>
        <v>9225</v>
      </c>
      <c r="T155" s="329">
        <f>Base!T72</f>
        <v>11214</v>
      </c>
      <c r="U155" s="329">
        <f>Base!U72</f>
        <v>4351</v>
      </c>
      <c r="V155" s="329">
        <f>Base!V72</f>
        <v>10631</v>
      </c>
      <c r="W155" s="329">
        <f>Base!W72</f>
        <v>12759</v>
      </c>
      <c r="X155" s="329">
        <f>Base!X72</f>
        <v>14757</v>
      </c>
      <c r="Y155" s="329">
        <f>Base!Y72</f>
        <v>15644.673477139804</v>
      </c>
      <c r="Z155" s="329">
        <f>Base!Z72</f>
        <v>17278.245951658158</v>
      </c>
      <c r="AA155" s="329">
        <f>Base!AA72</f>
        <v>18729.8844615411</v>
      </c>
      <c r="AB155" s="329">
        <f>Base!AB72</f>
        <v>20117.440577964619</v>
      </c>
      <c r="AC155" s="329">
        <f>Base!AC72</f>
        <v>21361.102957540999</v>
      </c>
      <c r="AD155" s="329">
        <f>Base!AD72</f>
        <v>22671.480781331808</v>
      </c>
      <c r="AE155" s="329">
        <f>Base!AE72</f>
        <v>24028.849413535194</v>
      </c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</row>
    <row r="156" spans="1:82">
      <c r="A156" s="36" t="s">
        <v>201</v>
      </c>
      <c r="B156" s="92">
        <f>Bull!B72</f>
        <v>330.56599999999992</v>
      </c>
      <c r="C156" s="92">
        <f>Bull!C72</f>
        <v>383.90300000000002</v>
      </c>
      <c r="D156" s="92">
        <f>Bull!D72</f>
        <v>415.20900000000006</v>
      </c>
      <c r="E156" s="92">
        <f>Bull!E72</f>
        <v>545.45299999999997</v>
      </c>
      <c r="F156" s="92">
        <f>Bull!F72</f>
        <v>700.55500000000029</v>
      </c>
      <c r="G156" s="92">
        <f>Bull!G72</f>
        <v>1007.4390000000008</v>
      </c>
      <c r="H156" s="92">
        <f>Bull!H72</f>
        <v>1288.6759999999999</v>
      </c>
      <c r="I156" s="92">
        <f>Bull!I72</f>
        <v>1032.067</v>
      </c>
      <c r="J156" s="92">
        <f>Bull!J72</f>
        <v>1000.2359999999994</v>
      </c>
      <c r="K156" s="92">
        <f>Bull!K72</f>
        <v>998.63099999999986</v>
      </c>
      <c r="L156" s="92">
        <f>Bull!L72</f>
        <v>1114.8470000000004</v>
      </c>
      <c r="M156" s="92">
        <f>Bull!M72</f>
        <v>1608.0649999999994</v>
      </c>
      <c r="N156" s="92">
        <f>Bull!N72</f>
        <v>2336.4059999999999</v>
      </c>
      <c r="O156" s="92">
        <f>Bull!O72</f>
        <v>4988</v>
      </c>
      <c r="P156" s="92">
        <f>Bull!P72</f>
        <v>6778</v>
      </c>
      <c r="Q156" s="92">
        <f>Bull!Q72</f>
        <v>7942</v>
      </c>
      <c r="R156" s="92">
        <f>Bull!R72</f>
        <v>8896</v>
      </c>
      <c r="S156" s="92">
        <f>Bull!S72</f>
        <v>9225</v>
      </c>
      <c r="T156" s="329">
        <f>Bull!T72</f>
        <v>11214</v>
      </c>
      <c r="U156" s="329">
        <f>Bull!U72</f>
        <v>4351</v>
      </c>
      <c r="V156" s="329">
        <f>Bull!V72</f>
        <v>10631</v>
      </c>
      <c r="W156" s="329">
        <f>Bull!W72</f>
        <v>12759</v>
      </c>
      <c r="X156" s="329">
        <f>Bull!X72</f>
        <v>14757</v>
      </c>
      <c r="Y156" s="329">
        <f>Bull!Y72</f>
        <v>15829.326387253946</v>
      </c>
      <c r="Z156" s="329">
        <f>Bull!Z72</f>
        <v>17687.974065702838</v>
      </c>
      <c r="AA156" s="329">
        <f>Bull!AA72</f>
        <v>19277.022117376604</v>
      </c>
      <c r="AB156" s="329">
        <f>Bull!AB72</f>
        <v>20805.71730797421</v>
      </c>
      <c r="AC156" s="329">
        <f>Bull!AC72</f>
        <v>22043.988902857654</v>
      </c>
      <c r="AD156" s="329">
        <f>Bull!AD72</f>
        <v>23478.942725516041</v>
      </c>
      <c r="AE156" s="329">
        <f>Bull!AE72</f>
        <v>24971.526343166959</v>
      </c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</row>
    <row r="157" spans="1:82">
      <c r="A157" s="36" t="s">
        <v>202</v>
      </c>
      <c r="B157" s="92">
        <f>Bear!B72</f>
        <v>330.56599999999992</v>
      </c>
      <c r="C157" s="92">
        <f>Bear!C72</f>
        <v>383.90300000000002</v>
      </c>
      <c r="D157" s="92">
        <f>Bear!D72</f>
        <v>415.20900000000006</v>
      </c>
      <c r="E157" s="92">
        <f>Bear!E72</f>
        <v>545.45299999999997</v>
      </c>
      <c r="F157" s="92">
        <f>Bear!F72</f>
        <v>700.55500000000029</v>
      </c>
      <c r="G157" s="92">
        <f>Bear!G72</f>
        <v>1007.4390000000008</v>
      </c>
      <c r="H157" s="92">
        <f>Bear!H72</f>
        <v>1288.6759999999999</v>
      </c>
      <c r="I157" s="92">
        <f>Bear!I72</f>
        <v>1032.067</v>
      </c>
      <c r="J157" s="92">
        <f>Bear!J72</f>
        <v>1000.2359999999994</v>
      </c>
      <c r="K157" s="92">
        <f>Bear!K72</f>
        <v>998.63099999999986</v>
      </c>
      <c r="L157" s="92">
        <f>Bear!L72</f>
        <v>1114.8470000000004</v>
      </c>
      <c r="M157" s="92">
        <f>Bear!M72</f>
        <v>1608.0649999999994</v>
      </c>
      <c r="N157" s="92">
        <f>Bear!N72</f>
        <v>2336.4059999999999</v>
      </c>
      <c r="O157" s="92">
        <f>Bear!O72</f>
        <v>4988</v>
      </c>
      <c r="P157" s="92">
        <f>Bear!P72</f>
        <v>6778</v>
      </c>
      <c r="Q157" s="92">
        <f>Bear!Q72</f>
        <v>7942</v>
      </c>
      <c r="R157" s="92">
        <f>Bear!R72</f>
        <v>8896</v>
      </c>
      <c r="S157" s="92">
        <f>Bear!S72</f>
        <v>9225</v>
      </c>
      <c r="T157" s="329">
        <f>Bear!T72</f>
        <v>11214</v>
      </c>
      <c r="U157" s="329">
        <f>Bear!U72</f>
        <v>4351</v>
      </c>
      <c r="V157" s="329">
        <f>Bear!V72</f>
        <v>10631</v>
      </c>
      <c r="W157" s="329">
        <f>Bear!W72</f>
        <v>12759</v>
      </c>
      <c r="X157" s="329">
        <f>Bear!X72</f>
        <v>14757</v>
      </c>
      <c r="Y157" s="329">
        <f>Bear!Y72</f>
        <v>15251.113402670067</v>
      </c>
      <c r="Z157" s="329">
        <f>Bear!Z72</f>
        <v>16362.969838781037</v>
      </c>
      <c r="AA157" s="329">
        <f>Bear!AA72</f>
        <v>17482.47821919655</v>
      </c>
      <c r="AB157" s="329">
        <f>Bear!AB72</f>
        <v>18544.319864911431</v>
      </c>
      <c r="AC157" s="329">
        <f>Bear!AC72</f>
        <v>18995.226720771618</v>
      </c>
      <c r="AD157" s="329">
        <f>Bear!AD72</f>
        <v>19976.189405266399</v>
      </c>
      <c r="AE157" s="329">
        <f>Bear!AE72</f>
        <v>20982.098347488231</v>
      </c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</row>
    <row r="158" spans="1:82">
      <c r="A158" s="36" t="s">
        <v>1272</v>
      </c>
      <c r="B158" s="92">
        <f>Base!B69</f>
        <v>330.56599999999992</v>
      </c>
      <c r="C158" s="92">
        <f>Base!C69</f>
        <v>383.90300000000002</v>
      </c>
      <c r="D158" s="92">
        <f>Base!D69</f>
        <v>415.20900000000006</v>
      </c>
      <c r="E158" s="92">
        <f>Base!E69</f>
        <v>545.45299999999997</v>
      </c>
      <c r="F158" s="92">
        <f>Base!F69</f>
        <v>700.55500000000029</v>
      </c>
      <c r="G158" s="92">
        <f>Base!G69</f>
        <v>1007.4390000000008</v>
      </c>
      <c r="H158" s="92">
        <f>Base!H69</f>
        <v>1288.6759999999999</v>
      </c>
      <c r="I158" s="92">
        <f>Base!I69</f>
        <v>1032.067</v>
      </c>
      <c r="J158" s="92">
        <f>Base!J69</f>
        <v>1000.2359999999994</v>
      </c>
      <c r="K158" s="92">
        <f>Base!K69</f>
        <v>998.63099999999986</v>
      </c>
      <c r="L158" s="92">
        <f>Base!L69</f>
        <v>1114.8470000000004</v>
      </c>
      <c r="M158" s="92">
        <f>Base!M69</f>
        <v>1608.0649999999994</v>
      </c>
      <c r="N158" s="92">
        <f>Base!N69</f>
        <v>2038.7220000000002</v>
      </c>
      <c r="O158" s="92">
        <f>Base!O69</f>
        <v>2793.0920000000001</v>
      </c>
      <c r="P158" s="92">
        <f>Base!P69</f>
        <v>4301.7290000000003</v>
      </c>
      <c r="Q158" s="92">
        <f>Base!Q69</f>
        <v>5155.2379999999994</v>
      </c>
      <c r="R158" s="92">
        <f>Base!R69</f>
        <v>6466.2439999999997</v>
      </c>
      <c r="S158" s="92">
        <f>Base!S69</f>
        <v>6408.3169999999991</v>
      </c>
      <c r="T158" s="329">
        <f>Base!T69</f>
        <v>7668.168999999999</v>
      </c>
      <c r="U158" s="329">
        <f>Base!U69</f>
        <v>1436.7419999999979</v>
      </c>
      <c r="V158" s="329">
        <f>Base!V69</f>
        <v>6536.2869999999994</v>
      </c>
      <c r="W158" s="329">
        <f>Base!W69</f>
        <v>8824.5059999999976</v>
      </c>
      <c r="X158" s="329">
        <f>Base!X69</f>
        <v>10794.628999999997</v>
      </c>
      <c r="Y158" s="329">
        <f>Base!Y69</f>
        <v>11518.521109294194</v>
      </c>
      <c r="Z158" s="329">
        <f>Base!Z69</f>
        <v>12772.219792718926</v>
      </c>
      <c r="AA158" s="329">
        <f>Base!AA69</f>
        <v>13940.600218066955</v>
      </c>
      <c r="AB158" s="329">
        <f>Base!AB69</f>
        <v>15084.407031131532</v>
      </c>
      <c r="AC158" s="329">
        <f>Base!AC69</f>
        <v>16015.74590748998</v>
      </c>
      <c r="AD158" s="329">
        <f>Base!AD69</f>
        <v>16997.188167359251</v>
      </c>
      <c r="AE158" s="329">
        <f>Base!AE69</f>
        <v>18013.608477226437</v>
      </c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</row>
    <row r="159" spans="1:82">
      <c r="A159" s="36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329"/>
      <c r="U159" s="329"/>
      <c r="V159" s="329"/>
      <c r="W159" s="329"/>
      <c r="X159" s="329"/>
      <c r="Y159" s="329"/>
      <c r="Z159" s="32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</row>
    <row r="160" spans="1:82">
      <c r="A160" s="1654" t="s">
        <v>1404</v>
      </c>
      <c r="B160" s="264">
        <v>2001</v>
      </c>
      <c r="C160" s="264">
        <v>2002</v>
      </c>
      <c r="D160" s="264">
        <v>2003</v>
      </c>
      <c r="E160" s="264">
        <v>2004</v>
      </c>
      <c r="F160" s="264">
        <v>2005</v>
      </c>
      <c r="G160" s="264">
        <v>2006</v>
      </c>
      <c r="H160" s="264">
        <v>2007</v>
      </c>
      <c r="I160" s="264">
        <v>2008</v>
      </c>
      <c r="J160" s="264">
        <f t="shared" ref="J160:R160" si="45">J$50</f>
        <v>2009</v>
      </c>
      <c r="K160" s="264">
        <f t="shared" si="45"/>
        <v>2010</v>
      </c>
      <c r="L160" s="264">
        <f t="shared" si="45"/>
        <v>2011</v>
      </c>
      <c r="M160" s="264">
        <f t="shared" si="45"/>
        <v>2012</v>
      </c>
      <c r="N160" s="264">
        <f t="shared" si="45"/>
        <v>2013</v>
      </c>
      <c r="O160" s="264">
        <f t="shared" si="45"/>
        <v>2014</v>
      </c>
      <c r="P160" s="264">
        <f t="shared" si="45"/>
        <v>2015</v>
      </c>
      <c r="Q160" s="264">
        <f t="shared" si="45"/>
        <v>2016</v>
      </c>
      <c r="R160" s="264">
        <f t="shared" si="45"/>
        <v>2017</v>
      </c>
      <c r="S160" s="264">
        <f t="shared" ref="S160:X160" si="46">S$6</f>
        <v>2018</v>
      </c>
      <c r="T160" s="264">
        <f t="shared" si="46"/>
        <v>2019</v>
      </c>
      <c r="U160" s="264">
        <f t="shared" si="46"/>
        <v>2020</v>
      </c>
      <c r="V160" s="264">
        <f t="shared" si="46"/>
        <v>2021</v>
      </c>
      <c r="W160" s="264">
        <f t="shared" si="46"/>
        <v>2022</v>
      </c>
      <c r="X160" s="264">
        <f t="shared" si="46"/>
        <v>2023</v>
      </c>
      <c r="Y160" s="594">
        <f t="shared" ref="Y160:AE160" si="47">Y$50</f>
        <v>2024</v>
      </c>
      <c r="Z160" s="594">
        <f t="shared" si="47"/>
        <v>2025</v>
      </c>
      <c r="AA160" s="594">
        <f t="shared" si="47"/>
        <v>2026</v>
      </c>
      <c r="AB160" s="594">
        <f t="shared" si="47"/>
        <v>2027</v>
      </c>
      <c r="AC160" s="594">
        <f t="shared" si="47"/>
        <v>2028</v>
      </c>
      <c r="AD160" s="594">
        <f t="shared" si="47"/>
        <v>2029</v>
      </c>
      <c r="AE160" s="594">
        <f t="shared" si="47"/>
        <v>2030</v>
      </c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</row>
    <row r="161" spans="1:82">
      <c r="A161" s="36" t="s">
        <v>200</v>
      </c>
      <c r="B161" s="92">
        <f>Base!B78</f>
        <v>0</v>
      </c>
      <c r="C161" s="92">
        <f>Base!C78</f>
        <v>0</v>
      </c>
      <c r="D161" s="92">
        <f>Base!D78</f>
        <v>0</v>
      </c>
      <c r="E161" s="92">
        <f>Base!E78</f>
        <v>0</v>
      </c>
      <c r="F161" s="92">
        <f>Base!F78</f>
        <v>0</v>
      </c>
      <c r="G161" s="92">
        <f>Base!G78</f>
        <v>0</v>
      </c>
      <c r="H161" s="92">
        <f>Base!H78</f>
        <v>0</v>
      </c>
      <c r="I161" s="92">
        <f>Base!I78</f>
        <v>0</v>
      </c>
      <c r="J161" s="92">
        <f>Base!J78</f>
        <v>0</v>
      </c>
      <c r="K161" s="92">
        <f>Base!K69</f>
        <v>998.63099999999986</v>
      </c>
      <c r="L161" s="92">
        <f>Base!L69</f>
        <v>1114.8470000000004</v>
      </c>
      <c r="M161" s="92">
        <f>Base!M69</f>
        <v>1608.0649999999994</v>
      </c>
      <c r="N161" s="92">
        <f>Base!N69</f>
        <v>2038.7220000000002</v>
      </c>
      <c r="O161" s="92">
        <f>Base!O69</f>
        <v>2793.0920000000001</v>
      </c>
      <c r="P161" s="92">
        <f>Base!P69</f>
        <v>4301.7290000000003</v>
      </c>
      <c r="Q161" s="92">
        <f>Base!Q69</f>
        <v>5155.2379999999994</v>
      </c>
      <c r="R161" s="92">
        <f>Base!R69</f>
        <v>6466.2439999999997</v>
      </c>
      <c r="S161" s="92">
        <f>Base!S69</f>
        <v>6408.3169999999991</v>
      </c>
      <c r="T161" s="329">
        <f>Base!T69</f>
        <v>7668.168999999999</v>
      </c>
      <c r="U161" s="329">
        <f>Base!U69</f>
        <v>1436.7419999999979</v>
      </c>
      <c r="V161" s="329">
        <f>Base!V69</f>
        <v>6536.2869999999994</v>
      </c>
      <c r="W161" s="329">
        <f>Base!W69</f>
        <v>8824.5059999999976</v>
      </c>
      <c r="X161" s="329">
        <f>Base!X69</f>
        <v>10794.628999999997</v>
      </c>
      <c r="Y161" s="329">
        <f>Base!Y69</f>
        <v>11518.521109294194</v>
      </c>
      <c r="Z161" s="329">
        <f>Base!Z69</f>
        <v>12772.219792718926</v>
      </c>
      <c r="AA161" s="329">
        <f>Base!AA69</f>
        <v>13940.600218066955</v>
      </c>
      <c r="AB161" s="329">
        <f>Base!AB69</f>
        <v>15084.407031131532</v>
      </c>
      <c r="AC161" s="329">
        <f>Base!AC69</f>
        <v>16015.74590748998</v>
      </c>
      <c r="AD161" s="329">
        <f>Base!AD69</f>
        <v>16997.188167359251</v>
      </c>
      <c r="AE161" s="329">
        <f>Base!AE69</f>
        <v>18013.608477226437</v>
      </c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</row>
    <row r="162" spans="1:82">
      <c r="A162" s="36" t="s">
        <v>201</v>
      </c>
      <c r="B162" s="92">
        <f>Bull!B78</f>
        <v>0</v>
      </c>
      <c r="C162" s="92">
        <f>Bull!C78</f>
        <v>0</v>
      </c>
      <c r="D162" s="92">
        <f>Bull!D78</f>
        <v>0</v>
      </c>
      <c r="E162" s="92">
        <f>Bull!E78</f>
        <v>0</v>
      </c>
      <c r="F162" s="92">
        <f>Bull!F78</f>
        <v>0</v>
      </c>
      <c r="G162" s="92">
        <f>Bull!G78</f>
        <v>0</v>
      </c>
      <c r="H162" s="92">
        <f>Bull!H78</f>
        <v>0</v>
      </c>
      <c r="I162" s="92">
        <f>Bull!I78</f>
        <v>0</v>
      </c>
      <c r="J162" s="92">
        <f>Bull!J78</f>
        <v>0</v>
      </c>
      <c r="K162" s="92">
        <f>Bull!K69</f>
        <v>998.63099999999986</v>
      </c>
      <c r="L162" s="92">
        <f>Bull!L69</f>
        <v>1114.8470000000004</v>
      </c>
      <c r="M162" s="92">
        <f>Bull!M69</f>
        <v>1608.0649999999994</v>
      </c>
      <c r="N162" s="92">
        <f>Bull!N69</f>
        <v>2038.7220000000002</v>
      </c>
      <c r="O162" s="92">
        <f>Bull!O69</f>
        <v>2793.0920000000001</v>
      </c>
      <c r="P162" s="92">
        <f>Bull!P69</f>
        <v>4301.7290000000003</v>
      </c>
      <c r="Q162" s="92">
        <f>Bull!Q69</f>
        <v>5155.2379999999994</v>
      </c>
      <c r="R162" s="92">
        <f>Bull!R69</f>
        <v>6466.2439999999997</v>
      </c>
      <c r="S162" s="92">
        <f>Bull!S69</f>
        <v>6408.3169999999991</v>
      </c>
      <c r="T162" s="329">
        <f>Bull!T69</f>
        <v>7668.168999999999</v>
      </c>
      <c r="U162" s="329">
        <f>Bull!U69</f>
        <v>1436.7419999999979</v>
      </c>
      <c r="V162" s="329">
        <f>Bull!V69</f>
        <v>6536.2869999999994</v>
      </c>
      <c r="W162" s="329">
        <f>Bull!W69</f>
        <v>8824.5059999999976</v>
      </c>
      <c r="X162" s="329">
        <f>Bull!X69</f>
        <v>10794.628999999997</v>
      </c>
      <c r="Y162" s="329">
        <f>Bull!Y69</f>
        <v>11720.152625202352</v>
      </c>
      <c r="Z162" s="329">
        <f>Bull!Z69</f>
        <v>13213.205279459673</v>
      </c>
      <c r="AA162" s="329">
        <f>Bull!AA69</f>
        <v>14495.690285397648</v>
      </c>
      <c r="AB162" s="329">
        <f>Bull!AB69</f>
        <v>15757.260541707772</v>
      </c>
      <c r="AC162" s="329">
        <f>Bull!AC69</f>
        <v>17111.840852969559</v>
      </c>
      <c r="AD162" s="329">
        <f>Bull!AD69</f>
        <v>18223.882471210476</v>
      </c>
      <c r="AE162" s="329">
        <f>Bull!AE69</f>
        <v>19380.378942867406</v>
      </c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</row>
    <row r="163" spans="1:82">
      <c r="A163" s="36" t="s">
        <v>202</v>
      </c>
      <c r="B163" s="92">
        <f>Bear!B78</f>
        <v>0</v>
      </c>
      <c r="C163" s="92">
        <f>Bear!C78</f>
        <v>0</v>
      </c>
      <c r="D163" s="92">
        <f>Bear!D78</f>
        <v>0</v>
      </c>
      <c r="E163" s="92">
        <f>Bear!E78</f>
        <v>0</v>
      </c>
      <c r="F163" s="92">
        <f>Bear!F78</f>
        <v>0</v>
      </c>
      <c r="G163" s="92">
        <f>Bear!G78</f>
        <v>0</v>
      </c>
      <c r="H163" s="92">
        <f>Bear!H78</f>
        <v>0</v>
      </c>
      <c r="I163" s="92">
        <f>Bear!I78</f>
        <v>0</v>
      </c>
      <c r="J163" s="92">
        <f>Bear!J78</f>
        <v>0</v>
      </c>
      <c r="K163" s="92">
        <f>Bear!K69</f>
        <v>998.63099999999986</v>
      </c>
      <c r="L163" s="92">
        <f>Bear!L69</f>
        <v>1114.8470000000004</v>
      </c>
      <c r="M163" s="92">
        <f>Bear!M69</f>
        <v>1608.0649999999994</v>
      </c>
      <c r="N163" s="92">
        <f>Bear!N69</f>
        <v>2038.7220000000002</v>
      </c>
      <c r="O163" s="92">
        <f>Bear!O69</f>
        <v>2793.0920000000001</v>
      </c>
      <c r="P163" s="92">
        <f>Bear!P69</f>
        <v>4301.7290000000003</v>
      </c>
      <c r="Q163" s="92">
        <f>Bear!Q69</f>
        <v>5155.2379999999994</v>
      </c>
      <c r="R163" s="92">
        <f>Bear!R69</f>
        <v>6466.2439999999997</v>
      </c>
      <c r="S163" s="92">
        <f>Bear!S69</f>
        <v>6408.3169999999991</v>
      </c>
      <c r="T163" s="329">
        <f>Bear!T69</f>
        <v>7668.168999999999</v>
      </c>
      <c r="U163" s="329">
        <f>Bear!U69</f>
        <v>1436.7419999999979</v>
      </c>
      <c r="V163" s="329">
        <f>Bear!V69</f>
        <v>6536.2869999999994</v>
      </c>
      <c r="W163" s="329">
        <f>Bear!W69</f>
        <v>8824.5059999999976</v>
      </c>
      <c r="X163" s="329">
        <f>Bear!X69</f>
        <v>10794.628999999997</v>
      </c>
      <c r="Y163" s="329">
        <f>Bear!Y69</f>
        <v>11095.110051713798</v>
      </c>
      <c r="Z163" s="329">
        <f>Bear!Z69</f>
        <v>11815.025763852975</v>
      </c>
      <c r="AA163" s="329">
        <f>Bear!AA69</f>
        <v>12715.768041203142</v>
      </c>
      <c r="AB163" s="329">
        <f>Bear!AB69</f>
        <v>13593.641808490087</v>
      </c>
      <c r="AC163" s="329">
        <f>Bear!AC69</f>
        <v>13681.333489651528</v>
      </c>
      <c r="AD163" s="329">
        <f>Bear!AD69</f>
        <v>14383.633767640877</v>
      </c>
      <c r="AE163" s="329">
        <f>Bear!AE69</f>
        <v>15103.467803707692</v>
      </c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</row>
    <row r="164" spans="1:82">
      <c r="A164" s="36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329"/>
      <c r="U164" s="329"/>
      <c r="V164" s="329"/>
      <c r="W164" s="329"/>
      <c r="X164" s="329"/>
      <c r="Y164" s="329"/>
      <c r="Z164" s="329"/>
      <c r="AA164" s="329"/>
      <c r="AB164" s="329"/>
      <c r="AC164" s="329"/>
      <c r="AD164" s="329"/>
      <c r="AE164" s="32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</row>
    <row r="165" spans="1:82">
      <c r="A165" s="1654" t="s">
        <v>1408</v>
      </c>
      <c r="B165" s="264">
        <v>2001</v>
      </c>
      <c r="C165" s="264">
        <v>2002</v>
      </c>
      <c r="D165" s="264">
        <v>2003</v>
      </c>
      <c r="E165" s="264">
        <v>2004</v>
      </c>
      <c r="F165" s="264">
        <v>2005</v>
      </c>
      <c r="G165" s="264">
        <v>2006</v>
      </c>
      <c r="H165" s="264">
        <v>2007</v>
      </c>
      <c r="I165" s="264">
        <v>2008</v>
      </c>
      <c r="J165" s="264">
        <f t="shared" ref="J165:R165" si="48">J$50</f>
        <v>2009</v>
      </c>
      <c r="K165" s="264">
        <f t="shared" si="48"/>
        <v>2010</v>
      </c>
      <c r="L165" s="264">
        <f t="shared" si="48"/>
        <v>2011</v>
      </c>
      <c r="M165" s="264">
        <f t="shared" si="48"/>
        <v>2012</v>
      </c>
      <c r="N165" s="264">
        <f t="shared" si="48"/>
        <v>2013</v>
      </c>
      <c r="O165" s="264">
        <f t="shared" si="48"/>
        <v>2014</v>
      </c>
      <c r="P165" s="264">
        <f t="shared" si="48"/>
        <v>2015</v>
      </c>
      <c r="Q165" s="264">
        <f t="shared" si="48"/>
        <v>2016</v>
      </c>
      <c r="R165" s="264">
        <f t="shared" si="48"/>
        <v>2017</v>
      </c>
      <c r="S165" s="264">
        <f t="shared" ref="S165:X165" si="49">S$6</f>
        <v>2018</v>
      </c>
      <c r="T165" s="264">
        <f t="shared" si="49"/>
        <v>2019</v>
      </c>
      <c r="U165" s="264">
        <f t="shared" si="49"/>
        <v>2020</v>
      </c>
      <c r="V165" s="264">
        <f t="shared" si="49"/>
        <v>2021</v>
      </c>
      <c r="W165" s="264">
        <f t="shared" si="49"/>
        <v>2022</v>
      </c>
      <c r="X165" s="264">
        <f t="shared" si="49"/>
        <v>2023</v>
      </c>
      <c r="Y165" s="594">
        <f t="shared" ref="Y165:AE165" si="50">Y$50</f>
        <v>2024</v>
      </c>
      <c r="Z165" s="594">
        <f t="shared" si="50"/>
        <v>2025</v>
      </c>
      <c r="AA165" s="594">
        <f t="shared" si="50"/>
        <v>2026</v>
      </c>
      <c r="AB165" s="594">
        <f t="shared" si="50"/>
        <v>2027</v>
      </c>
      <c r="AC165" s="594">
        <f t="shared" si="50"/>
        <v>2028</v>
      </c>
      <c r="AD165" s="594">
        <f t="shared" si="50"/>
        <v>2029</v>
      </c>
      <c r="AE165" s="594">
        <f t="shared" si="50"/>
        <v>2030</v>
      </c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</row>
    <row r="166" spans="1:82">
      <c r="A166" s="244" t="s">
        <v>200</v>
      </c>
      <c r="B166" s="245">
        <f>Base!B70</f>
        <v>0.13358069451325313</v>
      </c>
      <c r="C166" s="245">
        <f>Base!C70</f>
        <v>0.14608648069420788</v>
      </c>
      <c r="D166" s="245">
        <f>Base!D70</f>
        <v>0.14459700552779028</v>
      </c>
      <c r="E166" s="245">
        <f>Base!E70</f>
        <v>0.14707811100379281</v>
      </c>
      <c r="F166" s="245">
        <f>Base!F70</f>
        <v>0.15016290485070632</v>
      </c>
      <c r="G166" s="245">
        <f>Base!G70</f>
        <v>0.16716972728859683</v>
      </c>
      <c r="H166" s="245">
        <f>Base!H70</f>
        <v>0.18448126758041017</v>
      </c>
      <c r="I166" s="245">
        <f>Base!I70</f>
        <v>0.13253984958987872</v>
      </c>
      <c r="J166" s="245">
        <f>Base!J70</f>
        <v>0.11648149120754761</v>
      </c>
      <c r="K166" s="245">
        <f>Base!K70</f>
        <v>0.1111882949727438</v>
      </c>
      <c r="L166" s="245">
        <f>Base!L70</f>
        <v>0.10422536185654681</v>
      </c>
      <c r="M166" s="245">
        <f>Base!M70</f>
        <v>0.11894400338237031</v>
      </c>
      <c r="N166" s="245">
        <f>Base!N70</f>
        <v>0.12975023651302947</v>
      </c>
      <c r="O166" s="245">
        <f>Base!O70</f>
        <v>0.12250266499212399</v>
      </c>
      <c r="P166" s="245">
        <f>Base!P70</f>
        <v>0.13322841012505554</v>
      </c>
      <c r="Q166" s="245">
        <f>Base!Q70</f>
        <v>0.13673694196629571</v>
      </c>
      <c r="R166" s="245">
        <f>Base!R70</f>
        <v>0.15204273796300657</v>
      </c>
      <c r="S166" s="245">
        <f>Base!S70</f>
        <v>0.13883861136971748</v>
      </c>
      <c r="T166" s="452">
        <f>Base!T70</f>
        <v>0.13185829658689707</v>
      </c>
      <c r="U166" s="452">
        <f>Base!U70</f>
        <v>3.732241490864141E-2</v>
      </c>
      <c r="V166" s="452">
        <f>Base!V70</f>
        <v>0.12244945711243399</v>
      </c>
      <c r="W166" s="452">
        <f>Base!W70</f>
        <v>0.12820483354194717</v>
      </c>
      <c r="X166" s="452">
        <f>Base!X70</f>
        <v>0.14160410073333896</v>
      </c>
      <c r="Y166" s="452">
        <f>Base!Y70</f>
        <v>0.14469733938479157</v>
      </c>
      <c r="Z166" s="452">
        <f>Base!Z70</f>
        <v>0.14414857865421746</v>
      </c>
      <c r="AA166" s="452">
        <f>Base!AA70</f>
        <v>0.1451446680114471</v>
      </c>
      <c r="AB166" s="452">
        <f>Base!AB70</f>
        <v>0.14645393086732794</v>
      </c>
      <c r="AC166" s="452">
        <f>Base!AC70</f>
        <v>0.1464093871457442</v>
      </c>
      <c r="AD166" s="452">
        <f>Base!AD70</f>
        <v>0.1463724656849032</v>
      </c>
      <c r="AE166" s="452">
        <f>Base!AE70</f>
        <v>0.14633513536466855</v>
      </c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</row>
    <row r="167" spans="1:82">
      <c r="A167" s="244" t="s">
        <v>201</v>
      </c>
      <c r="B167" s="248">
        <f>Bull!B70</f>
        <v>0.13358069451325313</v>
      </c>
      <c r="C167" s="248">
        <f>Bull!C70</f>
        <v>0.14608648069420788</v>
      </c>
      <c r="D167" s="248">
        <f>Bull!D70</f>
        <v>0.14459700552779028</v>
      </c>
      <c r="E167" s="248">
        <f>Bull!E70</f>
        <v>0.14707811100379281</v>
      </c>
      <c r="F167" s="248">
        <f>Bull!F70</f>
        <v>0.15016290485070632</v>
      </c>
      <c r="G167" s="248">
        <f>Bull!G70</f>
        <v>0.16716972728859683</v>
      </c>
      <c r="H167" s="248">
        <f>Bull!H70</f>
        <v>0.18448126758041017</v>
      </c>
      <c r="I167" s="248">
        <f>Bull!I70</f>
        <v>0.13253984958987872</v>
      </c>
      <c r="J167" s="248">
        <f>Bull!J70</f>
        <v>0.11648149120754761</v>
      </c>
      <c r="K167" s="248">
        <f>Bull!K70</f>
        <v>0.1111882949727438</v>
      </c>
      <c r="L167" s="248">
        <f>Bull!L70</f>
        <v>0.10422536185654681</v>
      </c>
      <c r="M167" s="248">
        <f>Bull!M70</f>
        <v>0.11894400338237031</v>
      </c>
      <c r="N167" s="248">
        <f>Bull!N70</f>
        <v>0.12975023651302947</v>
      </c>
      <c r="O167" s="248">
        <f>Bull!O70</f>
        <v>0.12250266499212399</v>
      </c>
      <c r="P167" s="248">
        <f>Bull!P70</f>
        <v>0.13322841012505554</v>
      </c>
      <c r="Q167" s="248">
        <f>Bull!Q70</f>
        <v>0.13673694196629571</v>
      </c>
      <c r="R167" s="248">
        <f>Bull!R70</f>
        <v>0.15204273796300657</v>
      </c>
      <c r="S167" s="248">
        <f>Bull!S70</f>
        <v>0.13883861136971748</v>
      </c>
      <c r="T167" s="453">
        <f>Bull!T70</f>
        <v>0.13185829658689707</v>
      </c>
      <c r="U167" s="453">
        <f>Bull!U70</f>
        <v>3.732241490864141E-2</v>
      </c>
      <c r="V167" s="453">
        <f>Bull!V70</f>
        <v>0.12244945711243399</v>
      </c>
      <c r="W167" s="453">
        <f>Bull!W70</f>
        <v>0.12820483354194717</v>
      </c>
      <c r="X167" s="453">
        <f>Bull!X70</f>
        <v>0.14160410073333896</v>
      </c>
      <c r="Y167" s="453">
        <f>Bull!Y70</f>
        <v>0.14627861608988468</v>
      </c>
      <c r="Z167" s="453">
        <f>Bull!Z70</f>
        <v>0.14717788740932722</v>
      </c>
      <c r="AA167" s="453">
        <f>Bull!AA70</f>
        <v>0.14810615487712794</v>
      </c>
      <c r="AB167" s="453">
        <f>Bull!AB70</f>
        <v>0.14936063027952426</v>
      </c>
      <c r="AC167" s="453">
        <f>Bull!AC70</f>
        <v>0.15214701604189462</v>
      </c>
      <c r="AD167" s="453">
        <f>Bull!AD70</f>
        <v>0.15207711364211576</v>
      </c>
      <c r="AE167" s="453">
        <f>Bull!AE70</f>
        <v>0.15201000066028225</v>
      </c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</row>
    <row r="168" spans="1:82">
      <c r="A168" s="244" t="s">
        <v>202</v>
      </c>
      <c r="B168" s="248">
        <f>Bear!B70</f>
        <v>0.13358069451325313</v>
      </c>
      <c r="C168" s="248">
        <f>Bear!C70</f>
        <v>0.14608648069420788</v>
      </c>
      <c r="D168" s="248">
        <f>Bear!D70</f>
        <v>0.14459700552779028</v>
      </c>
      <c r="E168" s="248">
        <f>Bear!E70</f>
        <v>0.14707811100379281</v>
      </c>
      <c r="F168" s="248">
        <f>Bear!F70</f>
        <v>0.15016290485070632</v>
      </c>
      <c r="G168" s="248">
        <f>Bear!G70</f>
        <v>0.16716972728859683</v>
      </c>
      <c r="H168" s="248">
        <f>Bear!H70</f>
        <v>0.18448126758041017</v>
      </c>
      <c r="I168" s="248">
        <f>Bear!I70</f>
        <v>0.13253984958987872</v>
      </c>
      <c r="J168" s="248">
        <f>Bear!J70</f>
        <v>0.11648149120754761</v>
      </c>
      <c r="K168" s="248">
        <f>Bear!K70</f>
        <v>0.1111882949727438</v>
      </c>
      <c r="L168" s="248">
        <f>Bear!L70</f>
        <v>0.10422536185654681</v>
      </c>
      <c r="M168" s="248">
        <f>Bear!M70</f>
        <v>0.11894400338237031</v>
      </c>
      <c r="N168" s="248">
        <f>Bear!N70</f>
        <v>0.12975023651302947</v>
      </c>
      <c r="O168" s="248">
        <f>Bear!O70</f>
        <v>0.12250266499212399</v>
      </c>
      <c r="P168" s="248">
        <f>Bear!P70</f>
        <v>0.13322841012505554</v>
      </c>
      <c r="Q168" s="248">
        <f>Bear!Q70</f>
        <v>0.13673694196629571</v>
      </c>
      <c r="R168" s="248">
        <f>Bear!R70</f>
        <v>0.15204273796300657</v>
      </c>
      <c r="S168" s="248">
        <f>Bear!S70</f>
        <v>0.13883861136971748</v>
      </c>
      <c r="T168" s="453">
        <f>Bear!T70</f>
        <v>0.13185829658689707</v>
      </c>
      <c r="U168" s="453">
        <f>Bear!U70</f>
        <v>3.732241490864141E-2</v>
      </c>
      <c r="V168" s="453">
        <f>Bear!V70</f>
        <v>0.12244945711243399</v>
      </c>
      <c r="W168" s="453">
        <f>Bear!W70</f>
        <v>0.12820483354194717</v>
      </c>
      <c r="X168" s="453">
        <f>Bear!X70</f>
        <v>0.14160410073333896</v>
      </c>
      <c r="Y168" s="453">
        <f>Bear!Y70</f>
        <v>0.14125075234290496</v>
      </c>
      <c r="Z168" s="453">
        <f>Bear!Z70</f>
        <v>0.13738244818065184</v>
      </c>
      <c r="AA168" s="453">
        <f>Bear!AA70</f>
        <v>0.13842246604154979</v>
      </c>
      <c r="AB168" s="453">
        <f>Bear!AB70</f>
        <v>0.13973350889772235</v>
      </c>
      <c r="AC168" s="453">
        <f>Bear!AC70</f>
        <v>0.13359380206214011</v>
      </c>
      <c r="AD168" s="453">
        <f>Bear!AD70</f>
        <v>0.13345025982993164</v>
      </c>
      <c r="AE168" s="453">
        <f>Bear!AE70</f>
        <v>0.13331025298782001</v>
      </c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</row>
    <row r="169" spans="1:82">
      <c r="A169" s="36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329"/>
      <c r="U169" s="329"/>
      <c r="V169" s="329"/>
      <c r="W169" s="329"/>
      <c r="X169" s="329"/>
      <c r="Y169" s="329"/>
      <c r="Z169" s="329"/>
      <c r="AA169" s="329"/>
      <c r="AB169" s="329"/>
      <c r="AC169" s="329"/>
      <c r="AD169" s="329"/>
      <c r="AE169" s="32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</row>
    <row r="170" spans="1:82">
      <c r="A170" s="242" t="s">
        <v>1339</v>
      </c>
      <c r="B170" s="264">
        <v>2001</v>
      </c>
      <c r="C170" s="264">
        <v>2002</v>
      </c>
      <c r="D170" s="264">
        <v>2003</v>
      </c>
      <c r="E170" s="264">
        <v>2004</v>
      </c>
      <c r="F170" s="264">
        <v>2005</v>
      </c>
      <c r="G170" s="264">
        <v>2006</v>
      </c>
      <c r="H170" s="264">
        <v>2007</v>
      </c>
      <c r="I170" s="264">
        <v>2008</v>
      </c>
      <c r="J170" s="264">
        <f t="shared" ref="J170:R170" si="51">J$50</f>
        <v>2009</v>
      </c>
      <c r="K170" s="264">
        <f t="shared" si="51"/>
        <v>2010</v>
      </c>
      <c r="L170" s="264">
        <f t="shared" si="51"/>
        <v>2011</v>
      </c>
      <c r="M170" s="264">
        <f t="shared" si="51"/>
        <v>2012</v>
      </c>
      <c r="N170" s="264">
        <f t="shared" si="51"/>
        <v>2013</v>
      </c>
      <c r="O170" s="264">
        <f t="shared" si="51"/>
        <v>2014</v>
      </c>
      <c r="P170" s="264">
        <f t="shared" si="51"/>
        <v>2015</v>
      </c>
      <c r="Q170" s="264">
        <f t="shared" si="51"/>
        <v>2016</v>
      </c>
      <c r="R170" s="264">
        <f t="shared" si="51"/>
        <v>2017</v>
      </c>
      <c r="S170" s="264">
        <f t="shared" ref="S170:X170" si="52">S$6</f>
        <v>2018</v>
      </c>
      <c r="T170" s="264">
        <f t="shared" si="52"/>
        <v>2019</v>
      </c>
      <c r="U170" s="264">
        <f t="shared" si="52"/>
        <v>2020</v>
      </c>
      <c r="V170" s="264">
        <f t="shared" si="52"/>
        <v>2021</v>
      </c>
      <c r="W170" s="264">
        <f t="shared" si="52"/>
        <v>2022</v>
      </c>
      <c r="X170" s="264">
        <f t="shared" si="52"/>
        <v>2023</v>
      </c>
      <c r="Y170" s="594">
        <f t="shared" ref="Y170:AE170" si="53">Y$50</f>
        <v>2024</v>
      </c>
      <c r="Z170" s="594">
        <f t="shared" si="53"/>
        <v>2025</v>
      </c>
      <c r="AA170" s="594">
        <f t="shared" si="53"/>
        <v>2026</v>
      </c>
      <c r="AB170" s="594">
        <f t="shared" si="53"/>
        <v>2027</v>
      </c>
      <c r="AC170" s="594">
        <f t="shared" si="53"/>
        <v>2028</v>
      </c>
      <c r="AD170" s="594">
        <f t="shared" si="53"/>
        <v>2029</v>
      </c>
      <c r="AE170" s="594">
        <f t="shared" si="53"/>
        <v>2030</v>
      </c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</row>
    <row r="171" spans="1:82">
      <c r="A171" s="244" t="s">
        <v>200</v>
      </c>
      <c r="B171" s="245">
        <f>Base!B70</f>
        <v>0.13358069451325313</v>
      </c>
      <c r="C171" s="245">
        <f>Base!C70</f>
        <v>0.14608648069420788</v>
      </c>
      <c r="D171" s="245">
        <f>Base!D70</f>
        <v>0.14459700552779028</v>
      </c>
      <c r="E171" s="245">
        <f>Base!E70</f>
        <v>0.14707811100379281</v>
      </c>
      <c r="F171" s="245">
        <f>Base!F70</f>
        <v>0.15016290485070632</v>
      </c>
      <c r="G171" s="245">
        <f>Base!G70</f>
        <v>0.16716972728859683</v>
      </c>
      <c r="H171" s="245">
        <f>Base!H70</f>
        <v>0.18448126758041017</v>
      </c>
      <c r="I171" s="245">
        <f>Base!I70</f>
        <v>0.13253984958987872</v>
      </c>
      <c r="J171" s="245">
        <f>Base!J70</f>
        <v>0.11648149120754761</v>
      </c>
      <c r="K171" s="245">
        <f>Base!K70</f>
        <v>0.1111882949727438</v>
      </c>
      <c r="L171" s="245">
        <f>Base!L70</f>
        <v>0.10422536185654681</v>
      </c>
      <c r="M171" s="245">
        <f>Base!M70</f>
        <v>0.11894400338237031</v>
      </c>
      <c r="N171" s="245">
        <f>Base!N70</f>
        <v>0.12975023651302947</v>
      </c>
      <c r="O171" s="245">
        <f>Base!O70</f>
        <v>0.12250266499212399</v>
      </c>
      <c r="P171" s="245">
        <f>Base!P70</f>
        <v>0.13322841012505554</v>
      </c>
      <c r="Q171" s="245">
        <f>Base!Q70</f>
        <v>0.13673694196629571</v>
      </c>
      <c r="R171" s="245">
        <f>Base!R70</f>
        <v>0.15204273796300657</v>
      </c>
      <c r="S171" s="245">
        <f>Base!S70</f>
        <v>0.13883861136971748</v>
      </c>
      <c r="T171" s="452">
        <f>Base!T70</f>
        <v>0.13185829658689707</v>
      </c>
      <c r="U171" s="452">
        <f>Base!U70</f>
        <v>3.732241490864141E-2</v>
      </c>
      <c r="V171" s="452">
        <f>Base!V70</f>
        <v>0.12244945711243399</v>
      </c>
      <c r="W171" s="452">
        <f>Base!W70</f>
        <v>0.12820483354194717</v>
      </c>
      <c r="X171" s="452">
        <f>Base!X70</f>
        <v>0.14160410073333896</v>
      </c>
      <c r="Y171" s="452">
        <f>Base!Y70</f>
        <v>0.14469733938479157</v>
      </c>
      <c r="Z171" s="452">
        <f>Base!Z70</f>
        <v>0.14414857865421746</v>
      </c>
      <c r="AA171" s="452">
        <f>Base!AA70</f>
        <v>0.1451446680114471</v>
      </c>
      <c r="AB171" s="452">
        <f>Base!AB70</f>
        <v>0.14645393086732794</v>
      </c>
      <c r="AC171" s="452">
        <f>Base!AC70</f>
        <v>0.1464093871457442</v>
      </c>
      <c r="AD171" s="452">
        <f>Base!AD70</f>
        <v>0.1463724656849032</v>
      </c>
      <c r="AE171" s="452">
        <f>Base!AE70</f>
        <v>0.14633513536466855</v>
      </c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</row>
    <row r="172" spans="1:82">
      <c r="A172" s="244" t="s">
        <v>201</v>
      </c>
      <c r="B172" s="248">
        <f>Bull!B70</f>
        <v>0.13358069451325313</v>
      </c>
      <c r="C172" s="248">
        <f>Bull!C70</f>
        <v>0.14608648069420788</v>
      </c>
      <c r="D172" s="248">
        <f>Bull!D70</f>
        <v>0.14459700552779028</v>
      </c>
      <c r="E172" s="248">
        <f>Bull!E70</f>
        <v>0.14707811100379281</v>
      </c>
      <c r="F172" s="248">
        <f>Bull!F70</f>
        <v>0.15016290485070632</v>
      </c>
      <c r="G172" s="248">
        <f>Bull!G70</f>
        <v>0.16716972728859683</v>
      </c>
      <c r="H172" s="248">
        <f>Bull!H70</f>
        <v>0.18448126758041017</v>
      </c>
      <c r="I172" s="248">
        <f>Bull!I70</f>
        <v>0.13253984958987872</v>
      </c>
      <c r="J172" s="248">
        <f>Bull!J70</f>
        <v>0.11648149120754761</v>
      </c>
      <c r="K172" s="248">
        <f>Bull!K70</f>
        <v>0.1111882949727438</v>
      </c>
      <c r="L172" s="248">
        <f>Bull!L70</f>
        <v>0.10422536185654681</v>
      </c>
      <c r="M172" s="248">
        <f>Bull!M70</f>
        <v>0.11894400338237031</v>
      </c>
      <c r="N172" s="248">
        <f>Bull!N70</f>
        <v>0.12975023651302947</v>
      </c>
      <c r="O172" s="248">
        <f>Bull!O70</f>
        <v>0.12250266499212399</v>
      </c>
      <c r="P172" s="248">
        <f>Bull!P70</f>
        <v>0.13322841012505554</v>
      </c>
      <c r="Q172" s="248">
        <f>Bull!Q70</f>
        <v>0.13673694196629571</v>
      </c>
      <c r="R172" s="248">
        <f>Bull!R70</f>
        <v>0.15204273796300657</v>
      </c>
      <c r="S172" s="248">
        <f>Bull!S70</f>
        <v>0.13883861136971748</v>
      </c>
      <c r="T172" s="453">
        <f>Bull!T70</f>
        <v>0.13185829658689707</v>
      </c>
      <c r="U172" s="453">
        <f>Bull!U70</f>
        <v>3.732241490864141E-2</v>
      </c>
      <c r="V172" s="453">
        <f>Bull!V70</f>
        <v>0.12244945711243399</v>
      </c>
      <c r="W172" s="453">
        <f>Bull!W70</f>
        <v>0.12820483354194717</v>
      </c>
      <c r="X172" s="453">
        <f>Bull!X70</f>
        <v>0.14160410073333896</v>
      </c>
      <c r="Y172" s="453">
        <f>Bull!Y70</f>
        <v>0.14627861608988468</v>
      </c>
      <c r="Z172" s="453">
        <f>Bull!Z70</f>
        <v>0.14717788740932722</v>
      </c>
      <c r="AA172" s="453">
        <f>Bull!AA70</f>
        <v>0.14810615487712794</v>
      </c>
      <c r="AB172" s="453">
        <f>Bull!AB70</f>
        <v>0.14936063027952426</v>
      </c>
      <c r="AC172" s="453">
        <f>Bull!AC70</f>
        <v>0.15214701604189462</v>
      </c>
      <c r="AD172" s="453">
        <f>Bull!AD70</f>
        <v>0.15207711364211576</v>
      </c>
      <c r="AE172" s="453">
        <f>Bull!AE70</f>
        <v>0.15201000066028225</v>
      </c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</row>
    <row r="173" spans="1:82">
      <c r="A173" s="244" t="s">
        <v>202</v>
      </c>
      <c r="B173" s="248">
        <f>Bear!B70</f>
        <v>0.13358069451325313</v>
      </c>
      <c r="C173" s="248">
        <f>Bear!C70</f>
        <v>0.14608648069420788</v>
      </c>
      <c r="D173" s="248">
        <f>Bear!D70</f>
        <v>0.14459700552779028</v>
      </c>
      <c r="E173" s="248">
        <f>Bear!E70</f>
        <v>0.14707811100379281</v>
      </c>
      <c r="F173" s="248">
        <f>Bear!F70</f>
        <v>0.15016290485070632</v>
      </c>
      <c r="G173" s="248">
        <f>Bear!G70</f>
        <v>0.16716972728859683</v>
      </c>
      <c r="H173" s="248">
        <f>Bear!H70</f>
        <v>0.18448126758041017</v>
      </c>
      <c r="I173" s="248">
        <f>Bear!I70</f>
        <v>0.13253984958987872</v>
      </c>
      <c r="J173" s="248">
        <f>Bear!J70</f>
        <v>0.11648149120754761</v>
      </c>
      <c r="K173" s="248">
        <f>Bear!K70</f>
        <v>0.1111882949727438</v>
      </c>
      <c r="L173" s="248">
        <f>Bear!L70</f>
        <v>0.10422536185654681</v>
      </c>
      <c r="M173" s="248">
        <f>Bear!M70</f>
        <v>0.11894400338237031</v>
      </c>
      <c r="N173" s="248">
        <f>Bear!N70</f>
        <v>0.12975023651302947</v>
      </c>
      <c r="O173" s="248">
        <f>Bear!O70</f>
        <v>0.12250266499212399</v>
      </c>
      <c r="P173" s="248">
        <f>Bear!P70</f>
        <v>0.13322841012505554</v>
      </c>
      <c r="Q173" s="248">
        <f>Bear!Q70</f>
        <v>0.13673694196629571</v>
      </c>
      <c r="R173" s="248">
        <f>Bear!R70</f>
        <v>0.15204273796300657</v>
      </c>
      <c r="S173" s="248">
        <f>Bear!S70</f>
        <v>0.13883861136971748</v>
      </c>
      <c r="T173" s="453">
        <f>Bear!T70</f>
        <v>0.13185829658689707</v>
      </c>
      <c r="U173" s="453">
        <f>Bear!U70</f>
        <v>3.732241490864141E-2</v>
      </c>
      <c r="V173" s="453">
        <f>Bear!V70</f>
        <v>0.12244945711243399</v>
      </c>
      <c r="W173" s="453">
        <f>Bear!W70</f>
        <v>0.12820483354194717</v>
      </c>
      <c r="X173" s="453">
        <f>Bear!X70</f>
        <v>0.14160410073333896</v>
      </c>
      <c r="Y173" s="453">
        <f>Bear!Y70</f>
        <v>0.14125075234290496</v>
      </c>
      <c r="Z173" s="453">
        <f>Bear!Z70</f>
        <v>0.13738244818065184</v>
      </c>
      <c r="AA173" s="453">
        <f>Bear!AA70</f>
        <v>0.13842246604154979</v>
      </c>
      <c r="AB173" s="453">
        <f>Bear!AB70</f>
        <v>0.13973350889772235</v>
      </c>
      <c r="AC173" s="453">
        <f>Bear!AC70</f>
        <v>0.13359380206214011</v>
      </c>
      <c r="AD173" s="453">
        <f>Bear!AD70</f>
        <v>0.13345025982993164</v>
      </c>
      <c r="AE173" s="453">
        <f>Bear!AE70</f>
        <v>0.13331025298782001</v>
      </c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</row>
    <row r="174" spans="1:82">
      <c r="A174" s="36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329"/>
      <c r="U174" s="329"/>
      <c r="V174" s="329"/>
      <c r="W174" s="329"/>
      <c r="X174" s="329"/>
      <c r="Y174" s="329"/>
      <c r="Z174" s="329"/>
      <c r="AA174" s="329"/>
      <c r="AB174" s="329"/>
      <c r="AC174" s="329"/>
      <c r="AD174" s="329"/>
      <c r="AE174" s="32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</row>
    <row r="175" spans="1:82">
      <c r="A175" s="242" t="s">
        <v>318</v>
      </c>
      <c r="B175" s="264">
        <v>2001</v>
      </c>
      <c r="C175" s="264">
        <v>2002</v>
      </c>
      <c r="D175" s="264">
        <v>2003</v>
      </c>
      <c r="E175" s="264">
        <v>2004</v>
      </c>
      <c r="F175" s="264">
        <v>2005</v>
      </c>
      <c r="G175" s="264">
        <v>2006</v>
      </c>
      <c r="H175" s="264">
        <v>2007</v>
      </c>
      <c r="I175" s="264">
        <v>2008</v>
      </c>
      <c r="J175" s="264">
        <f t="shared" ref="J175:R175" si="54">J$50</f>
        <v>2009</v>
      </c>
      <c r="K175" s="264">
        <f t="shared" si="54"/>
        <v>2010</v>
      </c>
      <c r="L175" s="264">
        <f t="shared" si="54"/>
        <v>2011</v>
      </c>
      <c r="M175" s="264">
        <f t="shared" si="54"/>
        <v>2012</v>
      </c>
      <c r="N175" s="264">
        <f t="shared" si="54"/>
        <v>2013</v>
      </c>
      <c r="O175" s="264">
        <f t="shared" si="54"/>
        <v>2014</v>
      </c>
      <c r="P175" s="264">
        <f t="shared" si="54"/>
        <v>2015</v>
      </c>
      <c r="Q175" s="264">
        <f t="shared" si="54"/>
        <v>2016</v>
      </c>
      <c r="R175" s="264">
        <f t="shared" si="54"/>
        <v>2017</v>
      </c>
      <c r="S175" s="264">
        <f t="shared" ref="S175:X175" si="55">S$6</f>
        <v>2018</v>
      </c>
      <c r="T175" s="264">
        <f t="shared" si="55"/>
        <v>2019</v>
      </c>
      <c r="U175" s="264">
        <f t="shared" si="55"/>
        <v>2020</v>
      </c>
      <c r="V175" s="264">
        <f t="shared" si="55"/>
        <v>2021</v>
      </c>
      <c r="W175" s="264">
        <f t="shared" si="55"/>
        <v>2022</v>
      </c>
      <c r="X175" s="264">
        <f t="shared" si="55"/>
        <v>2023</v>
      </c>
      <c r="Y175" s="594">
        <f t="shared" ref="Y175:AE175" si="56">Y$50</f>
        <v>2024</v>
      </c>
      <c r="Z175" s="594">
        <f t="shared" si="56"/>
        <v>2025</v>
      </c>
      <c r="AA175" s="594">
        <f t="shared" si="56"/>
        <v>2026</v>
      </c>
      <c r="AB175" s="594">
        <f t="shared" si="56"/>
        <v>2027</v>
      </c>
      <c r="AC175" s="594">
        <f t="shared" si="56"/>
        <v>2028</v>
      </c>
      <c r="AD175" s="594">
        <f t="shared" si="56"/>
        <v>2029</v>
      </c>
      <c r="AE175" s="594">
        <f t="shared" si="56"/>
        <v>2030</v>
      </c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</row>
    <row r="176" spans="1:82">
      <c r="A176" s="244" t="s">
        <v>200</v>
      </c>
      <c r="B176" s="245" t="e">
        <f>NA()</f>
        <v>#N/A</v>
      </c>
      <c r="C176" s="245" t="e">
        <f>NA()</f>
        <v>#N/A</v>
      </c>
      <c r="D176" s="245" t="e">
        <f>NA()</f>
        <v>#N/A</v>
      </c>
      <c r="E176" s="245" t="e">
        <f>NA()</f>
        <v>#N/A</v>
      </c>
      <c r="F176" s="245" t="e">
        <f>NA()</f>
        <v>#N/A</v>
      </c>
      <c r="G176" s="245" t="e">
        <f>NA()</f>
        <v>#N/A</v>
      </c>
      <c r="H176" s="245" t="e">
        <f>NA()</f>
        <v>#N/A</v>
      </c>
      <c r="I176" s="245" t="e">
        <f>NA()</f>
        <v>#N/A</v>
      </c>
      <c r="J176" s="245" t="e">
        <f>NA()</f>
        <v>#N/A</v>
      </c>
      <c r="K176" s="245" t="e">
        <f>NA()</f>
        <v>#N/A</v>
      </c>
      <c r="L176" s="245" t="e">
        <f>NA()</f>
        <v>#N/A</v>
      </c>
      <c r="M176" s="245" t="e">
        <f>NA()</f>
        <v>#N/A</v>
      </c>
      <c r="N176" s="245">
        <f>Base!N80</f>
        <v>0.14869571775379922</v>
      </c>
      <c r="O176" s="245">
        <f>Base!O80</f>
        <v>0.21876948306060612</v>
      </c>
      <c r="P176" s="245">
        <f>Base!P80</f>
        <v>0.20992074671082869</v>
      </c>
      <c r="Q176" s="245">
        <f>Base!Q80</f>
        <v>0.21065269791546398</v>
      </c>
      <c r="R176" s="245">
        <f>Base!R80</f>
        <v>0.20917432081420165</v>
      </c>
      <c r="S176" s="245">
        <f>Base!S80</f>
        <v>0.19986311380751667</v>
      </c>
      <c r="T176" s="452">
        <f>Base!T80</f>
        <v>0.19283077067360721</v>
      </c>
      <c r="U176" s="452">
        <f>Base!U80</f>
        <v>0.11302643569095844</v>
      </c>
      <c r="V176" s="452">
        <f>Base!V80</f>
        <v>0.19915896877880146</v>
      </c>
      <c r="W176" s="452">
        <f>Base!W80</f>
        <v>0.18536623706320834</v>
      </c>
      <c r="X176" s="452">
        <f>Base!X80</f>
        <v>0.19358254132882971</v>
      </c>
      <c r="Y176" s="452">
        <f>Base!Y80</f>
        <v>0.19653066623799051</v>
      </c>
      <c r="Z176" s="452">
        <f>Base!Z80</f>
        <v>0.19500405066544105</v>
      </c>
      <c r="AA176" s="452">
        <f>Base!AA80</f>
        <v>0.19500902540336285</v>
      </c>
      <c r="AB176" s="452">
        <f>Base!AB80</f>
        <v>0.1953194610535379</v>
      </c>
      <c r="AC176" s="452">
        <f>Base!AC80</f>
        <v>0.1952744512079278</v>
      </c>
      <c r="AD176" s="452">
        <f>Base!AD80</f>
        <v>0.19523703038506776</v>
      </c>
      <c r="AE176" s="452">
        <f>Base!AE80</f>
        <v>0.19520047502044466</v>
      </c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</row>
    <row r="177" spans="1:82">
      <c r="A177" s="244" t="s">
        <v>201</v>
      </c>
      <c r="B177" s="248" t="e">
        <f>NA()</f>
        <v>#N/A</v>
      </c>
      <c r="C177" s="248" t="e">
        <f>NA()</f>
        <v>#N/A</v>
      </c>
      <c r="D177" s="248" t="e">
        <f>NA()</f>
        <v>#N/A</v>
      </c>
      <c r="E177" s="248" t="e">
        <f>NA()</f>
        <v>#N/A</v>
      </c>
      <c r="F177" s="248" t="e">
        <f>NA()</f>
        <v>#N/A</v>
      </c>
      <c r="G177" s="248" t="e">
        <f>NA()</f>
        <v>#N/A</v>
      </c>
      <c r="H177" s="248" t="e">
        <f>NA()</f>
        <v>#N/A</v>
      </c>
      <c r="I177" s="248" t="e">
        <f>NA()</f>
        <v>#N/A</v>
      </c>
      <c r="J177" s="248" t="e">
        <f>NA()</f>
        <v>#N/A</v>
      </c>
      <c r="K177" s="248" t="e">
        <f>NA()</f>
        <v>#N/A</v>
      </c>
      <c r="L177" s="248" t="e">
        <f>NA()</f>
        <v>#N/A</v>
      </c>
      <c r="M177" s="248" t="e">
        <f>NA()</f>
        <v>#N/A</v>
      </c>
      <c r="N177" s="248">
        <f>Bull!N80</f>
        <v>0.14869571775379922</v>
      </c>
      <c r="O177" s="248">
        <f>Bull!O80</f>
        <v>0.21876948306060612</v>
      </c>
      <c r="P177" s="248">
        <f>Bull!P80</f>
        <v>0.20992074671082869</v>
      </c>
      <c r="Q177" s="248">
        <f>Bull!Q80</f>
        <v>0.21065269791546398</v>
      </c>
      <c r="R177" s="248">
        <f>Bull!R80</f>
        <v>0.20917432081420165</v>
      </c>
      <c r="S177" s="248">
        <f>Bull!S80</f>
        <v>0.19986311380751667</v>
      </c>
      <c r="T177" s="453">
        <f>Bull!T80</f>
        <v>0.19283077067360721</v>
      </c>
      <c r="U177" s="453">
        <f>Bull!U80</f>
        <v>0.11302643569095844</v>
      </c>
      <c r="V177" s="453">
        <f>Bull!V80</f>
        <v>0.19915896877880146</v>
      </c>
      <c r="W177" s="453">
        <f>Bull!W80</f>
        <v>0.18536623706320834</v>
      </c>
      <c r="X177" s="453">
        <f>Bull!X80</f>
        <v>0.19358254132882971</v>
      </c>
      <c r="Y177" s="453">
        <f>Bull!Y80</f>
        <v>0.19756500035532801</v>
      </c>
      <c r="Z177" s="453">
        <f>Bull!Z80</f>
        <v>0.1970209801847238</v>
      </c>
      <c r="AA177" s="453">
        <f>Bull!AA80</f>
        <v>0.19695823841945997</v>
      </c>
      <c r="AB177" s="453">
        <f>Bull!AB80</f>
        <v>0.19721416944977657</v>
      </c>
      <c r="AC177" s="453">
        <f>Bull!AC80</f>
        <v>0.1960003696883609</v>
      </c>
      <c r="AD177" s="453">
        <f>Bull!AD80</f>
        <v>0.19593024958900876</v>
      </c>
      <c r="AE177" s="453">
        <f>Bull!AE80</f>
        <v>0.19586416483925795</v>
      </c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</row>
    <row r="178" spans="1:82">
      <c r="A178" s="244" t="s">
        <v>202</v>
      </c>
      <c r="B178" s="248" t="e">
        <f>NA()</f>
        <v>#N/A</v>
      </c>
      <c r="C178" s="248" t="e">
        <f>NA()</f>
        <v>#N/A</v>
      </c>
      <c r="D178" s="248" t="e">
        <f>NA()</f>
        <v>#N/A</v>
      </c>
      <c r="E178" s="248" t="e">
        <f>NA()</f>
        <v>#N/A</v>
      </c>
      <c r="F178" s="248" t="e">
        <f>NA()</f>
        <v>#N/A</v>
      </c>
      <c r="G178" s="248" t="e">
        <f>NA()</f>
        <v>#N/A</v>
      </c>
      <c r="H178" s="248" t="e">
        <f>NA()</f>
        <v>#N/A</v>
      </c>
      <c r="I178" s="248" t="e">
        <f>NA()</f>
        <v>#N/A</v>
      </c>
      <c r="J178" s="248" t="e">
        <f>NA()</f>
        <v>#N/A</v>
      </c>
      <c r="K178" s="248" t="e">
        <f>NA()</f>
        <v>#N/A</v>
      </c>
      <c r="L178" s="248" t="e">
        <f>NA()</f>
        <v>#N/A</v>
      </c>
      <c r="M178" s="248" t="e">
        <f>NA()</f>
        <v>#N/A</v>
      </c>
      <c r="N178" s="248">
        <f>Bear!N80</f>
        <v>0.14869571775379922</v>
      </c>
      <c r="O178" s="248">
        <f>Bear!O80</f>
        <v>0.21876948306060612</v>
      </c>
      <c r="P178" s="248">
        <f>Bear!P80</f>
        <v>0.20992074671082869</v>
      </c>
      <c r="Q178" s="248">
        <f>Bear!Q80</f>
        <v>0.21065269791546398</v>
      </c>
      <c r="R178" s="248">
        <f>Bear!R80</f>
        <v>0.20917432081420165</v>
      </c>
      <c r="S178" s="248">
        <f>Bear!S80</f>
        <v>0.19986311380751667</v>
      </c>
      <c r="T178" s="453">
        <f>Bear!T80</f>
        <v>0.19283077067360721</v>
      </c>
      <c r="U178" s="453">
        <f>Bear!U80</f>
        <v>0.11302643569095844</v>
      </c>
      <c r="V178" s="453">
        <f>Bear!V80</f>
        <v>0.19915896877880146</v>
      </c>
      <c r="W178" s="453">
        <f>Bear!W80</f>
        <v>0.18536623706320834</v>
      </c>
      <c r="X178" s="453">
        <f>Bear!X80</f>
        <v>0.19358254132882971</v>
      </c>
      <c r="Y178" s="453">
        <f>Bear!Y80</f>
        <v>0.19416042131653813</v>
      </c>
      <c r="Z178" s="453">
        <f>Bear!Z80</f>
        <v>0.19026491358448117</v>
      </c>
      <c r="AA178" s="453">
        <f>Bear!AA80</f>
        <v>0.1903123539040191</v>
      </c>
      <c r="AB178" s="453">
        <f>Bear!AB80</f>
        <v>0.19062315465951174</v>
      </c>
      <c r="AC178" s="453">
        <f>Bear!AC80</f>
        <v>0.18548225292364198</v>
      </c>
      <c r="AD178" s="453">
        <f>Bear!AD80</f>
        <v>0.18533756556998066</v>
      </c>
      <c r="AE178" s="453">
        <f>Bear!AE80</f>
        <v>0.18519778869805781</v>
      </c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</row>
    <row r="179" spans="1:82">
      <c r="A179" s="244" t="str">
        <f>A158</f>
        <v>Consolidated EBITDA (IAS17)</v>
      </c>
      <c r="B179" s="248" t="e">
        <f>NA()</f>
        <v>#N/A</v>
      </c>
      <c r="C179" s="248" t="e">
        <f>NA()</f>
        <v>#N/A</v>
      </c>
      <c r="D179" s="248" t="e">
        <f>NA()</f>
        <v>#N/A</v>
      </c>
      <c r="E179" s="248" t="e">
        <f>NA()</f>
        <v>#N/A</v>
      </c>
      <c r="F179" s="248" t="e">
        <f>NA()</f>
        <v>#N/A</v>
      </c>
      <c r="G179" s="248" t="e">
        <f>NA()</f>
        <v>#N/A</v>
      </c>
      <c r="H179" s="248" t="e">
        <f>NA()</f>
        <v>#N/A</v>
      </c>
      <c r="I179" s="248" t="e">
        <f>NA()</f>
        <v>#N/A</v>
      </c>
      <c r="J179" s="248" t="e">
        <f>NA()</f>
        <v>#N/A</v>
      </c>
      <c r="K179" s="248" t="e">
        <f>NA()</f>
        <v>#N/A</v>
      </c>
      <c r="L179" s="248" t="e">
        <f>NA()</f>
        <v>#N/A</v>
      </c>
      <c r="M179" s="248" t="e">
        <f>NA()</f>
        <v>#N/A</v>
      </c>
      <c r="N179" s="248">
        <f>Base!N70</f>
        <v>0.12975023651302947</v>
      </c>
      <c r="O179" s="248">
        <f>Base!O70</f>
        <v>0.12250266499212399</v>
      </c>
      <c r="P179" s="248">
        <f>Base!P70</f>
        <v>0.13322841012505554</v>
      </c>
      <c r="Q179" s="248">
        <f>Base!Q70</f>
        <v>0.13673694196629571</v>
      </c>
      <c r="R179" s="248">
        <f>Base!R70</f>
        <v>0.15204273796300657</v>
      </c>
      <c r="S179" s="248">
        <f>Base!S70</f>
        <v>0.13883861136971748</v>
      </c>
      <c r="T179" s="453">
        <f>Base!T70</f>
        <v>0.13185829658689707</v>
      </c>
      <c r="U179" s="453">
        <f>Base!U70</f>
        <v>3.732241490864141E-2</v>
      </c>
      <c r="V179" s="453">
        <f>Base!V70</f>
        <v>0.12244945711243399</v>
      </c>
      <c r="W179" s="453">
        <f>Base!W70</f>
        <v>0.12820483354194717</v>
      </c>
      <c r="X179" s="453">
        <f>Base!X70</f>
        <v>0.14160410073333896</v>
      </c>
      <c r="Y179" s="453">
        <f>Base!Y70</f>
        <v>0.14469733938479157</v>
      </c>
      <c r="Z179" s="453">
        <f>Base!Z70</f>
        <v>0.14414857865421746</v>
      </c>
      <c r="AA179" s="453">
        <f>Base!AA70</f>
        <v>0.1451446680114471</v>
      </c>
      <c r="AB179" s="453">
        <f>Base!AB70</f>
        <v>0.14645393086732794</v>
      </c>
      <c r="AC179" s="453">
        <f>Base!AC70</f>
        <v>0.1464093871457442</v>
      </c>
      <c r="AD179" s="453">
        <f>Base!AD70</f>
        <v>0.1463724656849032</v>
      </c>
      <c r="AE179" s="453">
        <f>Base!AE70</f>
        <v>0.14633513536466855</v>
      </c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</row>
    <row r="180" spans="1:82">
      <c r="A180" s="36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329"/>
      <c r="U180" s="329"/>
      <c r="V180" s="329"/>
      <c r="W180" s="329"/>
      <c r="X180" s="329"/>
      <c r="Y180" s="329"/>
      <c r="Z180" s="329"/>
      <c r="AA180" s="329"/>
      <c r="AB180" s="329"/>
      <c r="AC180" s="329"/>
      <c r="AD180" s="329"/>
      <c r="AE180" s="32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</row>
    <row r="181" spans="1:82">
      <c r="A181" s="242" t="s">
        <v>1305</v>
      </c>
      <c r="B181" s="264">
        <v>2001</v>
      </c>
      <c r="C181" s="264">
        <v>2002</v>
      </c>
      <c r="D181" s="264">
        <v>2003</v>
      </c>
      <c r="E181" s="264">
        <v>2004</v>
      </c>
      <c r="F181" s="264">
        <v>2005</v>
      </c>
      <c r="G181" s="264">
        <v>2006</v>
      </c>
      <c r="H181" s="264">
        <v>2007</v>
      </c>
      <c r="I181" s="264">
        <v>2008</v>
      </c>
      <c r="J181" s="264">
        <f t="shared" ref="J181:R181" si="57">J$50</f>
        <v>2009</v>
      </c>
      <c r="K181" s="264">
        <f t="shared" si="57"/>
        <v>2010</v>
      </c>
      <c r="L181" s="264">
        <f t="shared" si="57"/>
        <v>2011</v>
      </c>
      <c r="M181" s="264">
        <f t="shared" si="57"/>
        <v>2012</v>
      </c>
      <c r="N181" s="264">
        <f t="shared" si="57"/>
        <v>2013</v>
      </c>
      <c r="O181" s="264">
        <f t="shared" si="57"/>
        <v>2014</v>
      </c>
      <c r="P181" s="264">
        <f t="shared" si="57"/>
        <v>2015</v>
      </c>
      <c r="Q181" s="264">
        <f t="shared" si="57"/>
        <v>2016</v>
      </c>
      <c r="R181" s="264">
        <f t="shared" si="57"/>
        <v>2017</v>
      </c>
      <c r="S181" s="264">
        <f t="shared" ref="S181:X181" si="58">S$6</f>
        <v>2018</v>
      </c>
      <c r="T181" s="264">
        <f t="shared" si="58"/>
        <v>2019</v>
      </c>
      <c r="U181" s="264">
        <f t="shared" si="58"/>
        <v>2020</v>
      </c>
      <c r="V181" s="264">
        <f t="shared" si="58"/>
        <v>2021</v>
      </c>
      <c r="W181" s="264">
        <f t="shared" si="58"/>
        <v>2022</v>
      </c>
      <c r="X181" s="264">
        <f t="shared" si="58"/>
        <v>2023</v>
      </c>
      <c r="Y181" s="594">
        <f t="shared" ref="Y181:AE181" si="59">Y$50</f>
        <v>2024</v>
      </c>
      <c r="Z181" s="594">
        <f t="shared" si="59"/>
        <v>2025</v>
      </c>
      <c r="AA181" s="594">
        <f t="shared" si="59"/>
        <v>2026</v>
      </c>
      <c r="AB181" s="594">
        <f t="shared" si="59"/>
        <v>2027</v>
      </c>
      <c r="AC181" s="594">
        <f t="shared" si="59"/>
        <v>2028</v>
      </c>
      <c r="AD181" s="594">
        <f t="shared" si="59"/>
        <v>2029</v>
      </c>
      <c r="AE181" s="594">
        <f t="shared" si="59"/>
        <v>2030</v>
      </c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</row>
    <row r="182" spans="1:82">
      <c r="A182" s="244" t="s">
        <v>200</v>
      </c>
      <c r="B182" s="245" t="e">
        <f>NA()</f>
        <v>#N/A</v>
      </c>
      <c r="C182" s="1094" t="e">
        <f t="shared" ref="C182:Z182" si="60">+(C176-B176)*10000</f>
        <v>#N/A</v>
      </c>
      <c r="D182" s="1094" t="e">
        <f t="shared" si="60"/>
        <v>#N/A</v>
      </c>
      <c r="E182" s="1094" t="e">
        <f t="shared" si="60"/>
        <v>#N/A</v>
      </c>
      <c r="F182" s="1094" t="e">
        <f t="shared" si="60"/>
        <v>#N/A</v>
      </c>
      <c r="G182" s="1094" t="e">
        <f t="shared" si="60"/>
        <v>#N/A</v>
      </c>
      <c r="H182" s="1094" t="e">
        <f t="shared" si="60"/>
        <v>#N/A</v>
      </c>
      <c r="I182" s="1094" t="e">
        <f t="shared" si="60"/>
        <v>#N/A</v>
      </c>
      <c r="J182" s="1094" t="e">
        <f t="shared" si="60"/>
        <v>#N/A</v>
      </c>
      <c r="K182" s="1094" t="e">
        <f t="shared" si="60"/>
        <v>#N/A</v>
      </c>
      <c r="L182" s="1094" t="e">
        <f t="shared" si="60"/>
        <v>#N/A</v>
      </c>
      <c r="M182" s="1094" t="e">
        <f t="shared" si="60"/>
        <v>#N/A</v>
      </c>
      <c r="N182" s="1094" t="e">
        <f t="shared" si="60"/>
        <v>#N/A</v>
      </c>
      <c r="O182" s="1094">
        <f t="shared" si="60"/>
        <v>700.73765306806899</v>
      </c>
      <c r="P182" s="1094">
        <f t="shared" si="60"/>
        <v>-88.487363497774254</v>
      </c>
      <c r="Q182" s="1094">
        <f t="shared" si="60"/>
        <v>7.3195120463528944</v>
      </c>
      <c r="R182" s="1094">
        <f t="shared" si="60"/>
        <v>-14.783771012623347</v>
      </c>
      <c r="S182" s="1094">
        <f t="shared" si="60"/>
        <v>-93.112070066849739</v>
      </c>
      <c r="T182" s="1149">
        <f t="shared" si="60"/>
        <v>-70.32343133909464</v>
      </c>
      <c r="U182" s="1149">
        <f t="shared" si="60"/>
        <v>-798.04334982648777</v>
      </c>
      <c r="V182" s="1149">
        <f t="shared" si="60"/>
        <v>861.32533087843024</v>
      </c>
      <c r="W182" s="1149">
        <f t="shared" si="60"/>
        <v>-137.92731715593115</v>
      </c>
      <c r="X182" s="1149">
        <f t="shared" si="60"/>
        <v>82.163042656213662</v>
      </c>
      <c r="Y182" s="1149">
        <f t="shared" si="60"/>
        <v>29.481249091607985</v>
      </c>
      <c r="Z182" s="1149">
        <f t="shared" si="60"/>
        <v>-15.266155725494613</v>
      </c>
      <c r="AA182" s="1149">
        <f t="shared" ref="AA182:AE185" si="61">+(AA176-Z176)*10000</f>
        <v>4.9747379217979226E-2</v>
      </c>
      <c r="AB182" s="1149">
        <f t="shared" si="61"/>
        <v>3.1043565017505048</v>
      </c>
      <c r="AC182" s="1149">
        <f t="shared" si="61"/>
        <v>-0.45009845610094468</v>
      </c>
      <c r="AD182" s="1149">
        <f t="shared" si="61"/>
        <v>-0.37420822860040337</v>
      </c>
      <c r="AE182" s="1149">
        <f t="shared" si="61"/>
        <v>-0.36555364623103159</v>
      </c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</row>
    <row r="183" spans="1:82">
      <c r="A183" s="244" t="s">
        <v>201</v>
      </c>
      <c r="B183" s="245" t="e">
        <f>NA()</f>
        <v>#N/A</v>
      </c>
      <c r="C183" s="1094" t="e">
        <f t="shared" ref="C183:Z183" si="62">+(C177-B177)*10000</f>
        <v>#N/A</v>
      </c>
      <c r="D183" s="1094" t="e">
        <f t="shared" si="62"/>
        <v>#N/A</v>
      </c>
      <c r="E183" s="1094" t="e">
        <f t="shared" si="62"/>
        <v>#N/A</v>
      </c>
      <c r="F183" s="1094" t="e">
        <f t="shared" si="62"/>
        <v>#N/A</v>
      </c>
      <c r="G183" s="1094" t="e">
        <f t="shared" si="62"/>
        <v>#N/A</v>
      </c>
      <c r="H183" s="1094" t="e">
        <f t="shared" si="62"/>
        <v>#N/A</v>
      </c>
      <c r="I183" s="1094" t="e">
        <f t="shared" si="62"/>
        <v>#N/A</v>
      </c>
      <c r="J183" s="1094" t="e">
        <f t="shared" si="62"/>
        <v>#N/A</v>
      </c>
      <c r="K183" s="1094" t="e">
        <f t="shared" si="62"/>
        <v>#N/A</v>
      </c>
      <c r="L183" s="1094" t="e">
        <f t="shared" si="62"/>
        <v>#N/A</v>
      </c>
      <c r="M183" s="1094" t="e">
        <f t="shared" si="62"/>
        <v>#N/A</v>
      </c>
      <c r="N183" s="1094" t="e">
        <f t="shared" si="62"/>
        <v>#N/A</v>
      </c>
      <c r="O183" s="1094">
        <f t="shared" si="62"/>
        <v>700.73765306806899</v>
      </c>
      <c r="P183" s="1094">
        <f t="shared" si="62"/>
        <v>-88.487363497774254</v>
      </c>
      <c r="Q183" s="1094">
        <f t="shared" si="62"/>
        <v>7.3195120463528944</v>
      </c>
      <c r="R183" s="1094">
        <f t="shared" si="62"/>
        <v>-14.783771012623347</v>
      </c>
      <c r="S183" s="1094">
        <f t="shared" si="62"/>
        <v>-93.112070066849739</v>
      </c>
      <c r="T183" s="1149">
        <f t="shared" si="62"/>
        <v>-70.32343133909464</v>
      </c>
      <c r="U183" s="1149">
        <f t="shared" si="62"/>
        <v>-798.04334982648777</v>
      </c>
      <c r="V183" s="1149">
        <f t="shared" si="62"/>
        <v>861.32533087843024</v>
      </c>
      <c r="W183" s="1149">
        <f t="shared" si="62"/>
        <v>-137.92731715593115</v>
      </c>
      <c r="X183" s="1149">
        <f t="shared" si="62"/>
        <v>82.163042656213662</v>
      </c>
      <c r="Y183" s="1149">
        <f t="shared" si="62"/>
        <v>39.824590264982973</v>
      </c>
      <c r="Z183" s="1149">
        <f t="shared" si="62"/>
        <v>-5.4402017060420356</v>
      </c>
      <c r="AA183" s="1149">
        <f t="shared" si="61"/>
        <v>-0.62741765263829574</v>
      </c>
      <c r="AB183" s="1149">
        <f t="shared" si="61"/>
        <v>2.5593103031659736</v>
      </c>
      <c r="AC183" s="1149">
        <f t="shared" si="61"/>
        <v>-12.137997614156681</v>
      </c>
      <c r="AD183" s="1149">
        <f t="shared" si="61"/>
        <v>-0.70120099352144472</v>
      </c>
      <c r="AE183" s="1149">
        <f t="shared" si="61"/>
        <v>-0.66084749750811023</v>
      </c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</row>
    <row r="184" spans="1:82">
      <c r="A184" s="244" t="s">
        <v>202</v>
      </c>
      <c r="B184" s="245" t="e">
        <f>NA()</f>
        <v>#N/A</v>
      </c>
      <c r="C184" s="1094" t="e">
        <f t="shared" ref="C184:Z184" si="63">+(C178-B178)*10000</f>
        <v>#N/A</v>
      </c>
      <c r="D184" s="1094" t="e">
        <f t="shared" si="63"/>
        <v>#N/A</v>
      </c>
      <c r="E184" s="1094" t="e">
        <f t="shared" si="63"/>
        <v>#N/A</v>
      </c>
      <c r="F184" s="1094" t="e">
        <f t="shared" si="63"/>
        <v>#N/A</v>
      </c>
      <c r="G184" s="1094" t="e">
        <f t="shared" si="63"/>
        <v>#N/A</v>
      </c>
      <c r="H184" s="1094" t="e">
        <f t="shared" si="63"/>
        <v>#N/A</v>
      </c>
      <c r="I184" s="1094" t="e">
        <f t="shared" si="63"/>
        <v>#N/A</v>
      </c>
      <c r="J184" s="1094" t="e">
        <f t="shared" si="63"/>
        <v>#N/A</v>
      </c>
      <c r="K184" s="1094" t="e">
        <f t="shared" si="63"/>
        <v>#N/A</v>
      </c>
      <c r="L184" s="1094" t="e">
        <f t="shared" si="63"/>
        <v>#N/A</v>
      </c>
      <c r="M184" s="1094" t="e">
        <f t="shared" si="63"/>
        <v>#N/A</v>
      </c>
      <c r="N184" s="1094" t="e">
        <f t="shared" si="63"/>
        <v>#N/A</v>
      </c>
      <c r="O184" s="1094">
        <f t="shared" si="63"/>
        <v>700.73765306806899</v>
      </c>
      <c r="P184" s="1094">
        <f t="shared" si="63"/>
        <v>-88.487363497774254</v>
      </c>
      <c r="Q184" s="1094">
        <f t="shared" si="63"/>
        <v>7.3195120463528944</v>
      </c>
      <c r="R184" s="1094">
        <f t="shared" si="63"/>
        <v>-14.783771012623347</v>
      </c>
      <c r="S184" s="1094">
        <f t="shared" si="63"/>
        <v>-93.112070066849739</v>
      </c>
      <c r="T184" s="1149">
        <f t="shared" si="63"/>
        <v>-70.32343133909464</v>
      </c>
      <c r="U184" s="1149">
        <f t="shared" si="63"/>
        <v>-798.04334982648777</v>
      </c>
      <c r="V184" s="1149">
        <f t="shared" si="63"/>
        <v>861.32533087843024</v>
      </c>
      <c r="W184" s="1149">
        <f t="shared" si="63"/>
        <v>-137.92731715593115</v>
      </c>
      <c r="X184" s="1149">
        <f t="shared" si="63"/>
        <v>82.163042656213662</v>
      </c>
      <c r="Y184" s="1149">
        <f t="shared" si="63"/>
        <v>5.7787998770841842</v>
      </c>
      <c r="Z184" s="1149">
        <f t="shared" si="63"/>
        <v>-38.955077320569629</v>
      </c>
      <c r="AA184" s="1149">
        <f t="shared" si="61"/>
        <v>0.47440319537933595</v>
      </c>
      <c r="AB184" s="1149">
        <f t="shared" si="61"/>
        <v>3.1080075549264063</v>
      </c>
      <c r="AC184" s="1149">
        <f t="shared" si="61"/>
        <v>-51.409017358697575</v>
      </c>
      <c r="AD184" s="1149">
        <f t="shared" si="61"/>
        <v>-1.446873536613269</v>
      </c>
      <c r="AE184" s="1149">
        <f t="shared" si="61"/>
        <v>-1.397768719228476</v>
      </c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</row>
    <row r="185" spans="1:82">
      <c r="A185" s="244" t="str">
        <f>A179</f>
        <v>Consolidated EBITDA (IAS17)</v>
      </c>
      <c r="B185" s="245" t="e">
        <f>NA()</f>
        <v>#N/A</v>
      </c>
      <c r="C185" s="1094" t="e">
        <f t="shared" ref="C185:Z185" si="64">+(C179-B179)*10000</f>
        <v>#N/A</v>
      </c>
      <c r="D185" s="1094" t="e">
        <f t="shared" si="64"/>
        <v>#N/A</v>
      </c>
      <c r="E185" s="1094" t="e">
        <f t="shared" si="64"/>
        <v>#N/A</v>
      </c>
      <c r="F185" s="1094" t="e">
        <f t="shared" si="64"/>
        <v>#N/A</v>
      </c>
      <c r="G185" s="1094" t="e">
        <f t="shared" si="64"/>
        <v>#N/A</v>
      </c>
      <c r="H185" s="1094" t="e">
        <f t="shared" si="64"/>
        <v>#N/A</v>
      </c>
      <c r="I185" s="1094" t="e">
        <f t="shared" si="64"/>
        <v>#N/A</v>
      </c>
      <c r="J185" s="1094" t="e">
        <f t="shared" si="64"/>
        <v>#N/A</v>
      </c>
      <c r="K185" s="1094" t="e">
        <f t="shared" si="64"/>
        <v>#N/A</v>
      </c>
      <c r="L185" s="1094" t="e">
        <f t="shared" si="64"/>
        <v>#N/A</v>
      </c>
      <c r="M185" s="1094" t="e">
        <f t="shared" si="64"/>
        <v>#N/A</v>
      </c>
      <c r="N185" s="1094" t="e">
        <f t="shared" si="64"/>
        <v>#N/A</v>
      </c>
      <c r="O185" s="1094">
        <f t="shared" si="64"/>
        <v>-72.475715209054798</v>
      </c>
      <c r="P185" s="1094">
        <f t="shared" si="64"/>
        <v>107.2574513293155</v>
      </c>
      <c r="Q185" s="1094">
        <f t="shared" si="64"/>
        <v>35.085318412401698</v>
      </c>
      <c r="R185" s="1094">
        <f t="shared" si="64"/>
        <v>153.05795996710864</v>
      </c>
      <c r="S185" s="1094">
        <f t="shared" si="64"/>
        <v>-132.04126593289095</v>
      </c>
      <c r="T185" s="1149">
        <f t="shared" si="64"/>
        <v>-69.803147828204075</v>
      </c>
      <c r="U185" s="1149">
        <f t="shared" si="64"/>
        <v>-945.35881678255657</v>
      </c>
      <c r="V185" s="1149">
        <f t="shared" si="64"/>
        <v>851.27042203792575</v>
      </c>
      <c r="W185" s="1149">
        <f t="shared" si="64"/>
        <v>57.553764295131813</v>
      </c>
      <c r="X185" s="1149">
        <f t="shared" si="64"/>
        <v>133.99267191391783</v>
      </c>
      <c r="Y185" s="1149">
        <f t="shared" si="64"/>
        <v>30.932386514526122</v>
      </c>
      <c r="Z185" s="1149">
        <f t="shared" si="64"/>
        <v>-5.4876073057411041</v>
      </c>
      <c r="AA185" s="1149">
        <f t="shared" si="61"/>
        <v>9.9608935722964027</v>
      </c>
      <c r="AB185" s="1149">
        <f t="shared" si="61"/>
        <v>13.092628558808439</v>
      </c>
      <c r="AC185" s="1149">
        <f t="shared" si="61"/>
        <v>-0.44543721583745199</v>
      </c>
      <c r="AD185" s="1149">
        <f t="shared" si="61"/>
        <v>-0.36921460840999565</v>
      </c>
      <c r="AE185" s="1149">
        <f t="shared" si="61"/>
        <v>-0.37330320234646441</v>
      </c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</row>
    <row r="186" spans="1:82">
      <c r="A186" s="36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329"/>
      <c r="U186" s="329"/>
      <c r="V186" s="329"/>
      <c r="W186" s="329"/>
      <c r="X186" s="329"/>
      <c r="Y186" s="329"/>
      <c r="Z186" s="329"/>
      <c r="AA186" s="329"/>
      <c r="AB186" s="329"/>
      <c r="AC186" s="329"/>
      <c r="AD186" s="329"/>
      <c r="AE186" s="32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</row>
    <row r="187" spans="1:82">
      <c r="A187" s="242" t="s">
        <v>613</v>
      </c>
      <c r="B187" s="264">
        <v>2001</v>
      </c>
      <c r="C187" s="264">
        <v>2002</v>
      </c>
      <c r="D187" s="264">
        <v>2003</v>
      </c>
      <c r="E187" s="264">
        <v>2004</v>
      </c>
      <c r="F187" s="264">
        <v>2005</v>
      </c>
      <c r="G187" s="264">
        <v>2006</v>
      </c>
      <c r="H187" s="264">
        <v>2007</v>
      </c>
      <c r="I187" s="264">
        <v>2008</v>
      </c>
      <c r="J187" s="264">
        <f t="shared" ref="J187:R187" si="65">J$50</f>
        <v>2009</v>
      </c>
      <c r="K187" s="264">
        <f t="shared" si="65"/>
        <v>2010</v>
      </c>
      <c r="L187" s="264">
        <f t="shared" si="65"/>
        <v>2011</v>
      </c>
      <c r="M187" s="264">
        <f t="shared" si="65"/>
        <v>2012</v>
      </c>
      <c r="N187" s="264">
        <f t="shared" si="65"/>
        <v>2013</v>
      </c>
      <c r="O187" s="264">
        <f t="shared" si="65"/>
        <v>2014</v>
      </c>
      <c r="P187" s="264">
        <f t="shared" si="65"/>
        <v>2015</v>
      </c>
      <c r="Q187" s="264">
        <f t="shared" si="65"/>
        <v>2016</v>
      </c>
      <c r="R187" s="264">
        <f t="shared" si="65"/>
        <v>2017</v>
      </c>
      <c r="S187" s="264">
        <f t="shared" ref="S187:X187" si="66">S$6</f>
        <v>2018</v>
      </c>
      <c r="T187" s="264">
        <f t="shared" si="66"/>
        <v>2019</v>
      </c>
      <c r="U187" s="264">
        <f t="shared" si="66"/>
        <v>2020</v>
      </c>
      <c r="V187" s="264">
        <f t="shared" si="66"/>
        <v>2021</v>
      </c>
      <c r="W187" s="264">
        <f t="shared" si="66"/>
        <v>2022</v>
      </c>
      <c r="X187" s="264">
        <f t="shared" si="66"/>
        <v>2023</v>
      </c>
      <c r="Y187" s="594">
        <f t="shared" ref="Y187:AE187" si="67">Y$50</f>
        <v>2024</v>
      </c>
      <c r="Z187" s="594">
        <f t="shared" si="67"/>
        <v>2025</v>
      </c>
      <c r="AA187" s="594">
        <f t="shared" si="67"/>
        <v>2026</v>
      </c>
      <c r="AB187" s="594">
        <f t="shared" si="67"/>
        <v>2027</v>
      </c>
      <c r="AC187" s="594">
        <f t="shared" si="67"/>
        <v>2028</v>
      </c>
      <c r="AD187" s="594">
        <f t="shared" si="67"/>
        <v>2029</v>
      </c>
      <c r="AE187" s="594">
        <f t="shared" si="67"/>
        <v>2030</v>
      </c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</row>
    <row r="188" spans="1:82">
      <c r="A188" s="244" t="s">
        <v>200</v>
      </c>
      <c r="B188" s="245" t="e">
        <f>NA()</f>
        <v>#N/A</v>
      </c>
      <c r="C188" s="245">
        <f t="shared" ref="C188:Z188" si="68">C155/B155-1</f>
        <v>0.16135053211764094</v>
      </c>
      <c r="D188" s="245">
        <f t="shared" si="68"/>
        <v>8.1546640687882199E-2</v>
      </c>
      <c r="E188" s="245">
        <f t="shared" si="68"/>
        <v>0.31368298856720322</v>
      </c>
      <c r="F188" s="245">
        <f t="shared" si="68"/>
        <v>0.2843544723376723</v>
      </c>
      <c r="G188" s="245">
        <f t="shared" si="68"/>
        <v>0.43805839655701595</v>
      </c>
      <c r="H188" s="245">
        <f t="shared" si="68"/>
        <v>0.27916032633241206</v>
      </c>
      <c r="I188" s="245">
        <f t="shared" si="68"/>
        <v>-0.19912607979042052</v>
      </c>
      <c r="J188" s="245">
        <f t="shared" si="68"/>
        <v>-3.0841989909570433E-2</v>
      </c>
      <c r="K188" s="245">
        <f t="shared" si="68"/>
        <v>-1.6046213093705575E-3</v>
      </c>
      <c r="L188" s="245">
        <f t="shared" si="68"/>
        <v>0.11637531781008259</v>
      </c>
      <c r="M188" s="245">
        <f t="shared" si="68"/>
        <v>0.44240868926408616</v>
      </c>
      <c r="N188" s="245">
        <f t="shared" si="68"/>
        <v>0.45293007434401034</v>
      </c>
      <c r="O188" s="245">
        <f t="shared" si="68"/>
        <v>1.134902923550102</v>
      </c>
      <c r="P188" s="245">
        <f t="shared" si="68"/>
        <v>0.35886126704089816</v>
      </c>
      <c r="Q188" s="245">
        <f t="shared" si="68"/>
        <v>0.1717320743582178</v>
      </c>
      <c r="R188" s="245">
        <f t="shared" si="68"/>
        <v>0.12012087635356328</v>
      </c>
      <c r="S188" s="245">
        <f t="shared" si="68"/>
        <v>3.6982913669064699E-2</v>
      </c>
      <c r="T188" s="452">
        <f t="shared" si="68"/>
        <v>0.21560975609756095</v>
      </c>
      <c r="U188" s="452">
        <f t="shared" si="68"/>
        <v>-0.61200285357588724</v>
      </c>
      <c r="V188" s="452">
        <f t="shared" si="68"/>
        <v>1.4433463571592737</v>
      </c>
      <c r="W188" s="452">
        <f t="shared" si="68"/>
        <v>0.20016931615087952</v>
      </c>
      <c r="X188" s="452">
        <f t="shared" si="68"/>
        <v>0.15659534446273216</v>
      </c>
      <c r="Y188" s="452">
        <f t="shared" si="68"/>
        <v>6.0152705640699633E-2</v>
      </c>
      <c r="Z188" s="452">
        <f t="shared" si="68"/>
        <v>0.10441716644999666</v>
      </c>
      <c r="AA188" s="452">
        <f t="shared" ref="AA188:AE191" si="69">AA155/Z155-1</f>
        <v>8.4015386396535829E-2</v>
      </c>
      <c r="AB188" s="452">
        <f t="shared" si="69"/>
        <v>7.4082470677950374E-2</v>
      </c>
      <c r="AC188" s="452">
        <f t="shared" si="69"/>
        <v>6.1820109509288734E-2</v>
      </c>
      <c r="AD188" s="452">
        <f t="shared" si="69"/>
        <v>6.1344108794167518E-2</v>
      </c>
      <c r="AE188" s="452">
        <f t="shared" si="69"/>
        <v>5.9871194356262425E-2</v>
      </c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</row>
    <row r="189" spans="1:82">
      <c r="A189" s="244" t="s">
        <v>201</v>
      </c>
      <c r="B189" s="245" t="e">
        <f>NA()</f>
        <v>#N/A</v>
      </c>
      <c r="C189" s="245">
        <f t="shared" ref="C189:Z189" si="70">C156/B156-1</f>
        <v>0.16135053211764094</v>
      </c>
      <c r="D189" s="245">
        <f t="shared" si="70"/>
        <v>8.1546640687882199E-2</v>
      </c>
      <c r="E189" s="245">
        <f t="shared" si="70"/>
        <v>0.31368298856720322</v>
      </c>
      <c r="F189" s="245">
        <f t="shared" si="70"/>
        <v>0.2843544723376723</v>
      </c>
      <c r="G189" s="245">
        <f t="shared" si="70"/>
        <v>0.43805839655701595</v>
      </c>
      <c r="H189" s="245">
        <f t="shared" si="70"/>
        <v>0.27916032633241206</v>
      </c>
      <c r="I189" s="245">
        <f t="shared" si="70"/>
        <v>-0.19912607979042052</v>
      </c>
      <c r="J189" s="245">
        <f t="shared" si="70"/>
        <v>-3.0841989909570433E-2</v>
      </c>
      <c r="K189" s="245">
        <f t="shared" si="70"/>
        <v>-1.6046213093705575E-3</v>
      </c>
      <c r="L189" s="245">
        <f t="shared" si="70"/>
        <v>0.11637531781008259</v>
      </c>
      <c r="M189" s="245">
        <f t="shared" si="70"/>
        <v>0.44240868926408616</v>
      </c>
      <c r="N189" s="245">
        <f t="shared" si="70"/>
        <v>0.45293007434401034</v>
      </c>
      <c r="O189" s="245">
        <f t="shared" si="70"/>
        <v>1.134902923550102</v>
      </c>
      <c r="P189" s="245">
        <f t="shared" si="70"/>
        <v>0.35886126704089816</v>
      </c>
      <c r="Q189" s="245">
        <f t="shared" si="70"/>
        <v>0.1717320743582178</v>
      </c>
      <c r="R189" s="245">
        <f t="shared" si="70"/>
        <v>0.12012087635356328</v>
      </c>
      <c r="S189" s="245">
        <f t="shared" si="70"/>
        <v>3.6982913669064699E-2</v>
      </c>
      <c r="T189" s="452">
        <f t="shared" si="70"/>
        <v>0.21560975609756095</v>
      </c>
      <c r="U189" s="452">
        <f t="shared" si="70"/>
        <v>-0.61200285357588724</v>
      </c>
      <c r="V189" s="452">
        <f t="shared" si="70"/>
        <v>1.4433463571592737</v>
      </c>
      <c r="W189" s="452">
        <f t="shared" si="70"/>
        <v>0.20016931615087952</v>
      </c>
      <c r="X189" s="452">
        <f t="shared" si="70"/>
        <v>0.15659534446273216</v>
      </c>
      <c r="Y189" s="452">
        <f t="shared" si="70"/>
        <v>7.2665608677505267E-2</v>
      </c>
      <c r="Z189" s="452">
        <f t="shared" si="70"/>
        <v>0.11741798943166071</v>
      </c>
      <c r="AA189" s="452">
        <f t="shared" si="69"/>
        <v>8.9837764673962761E-2</v>
      </c>
      <c r="AB189" s="452">
        <f t="shared" si="69"/>
        <v>7.9301418097124987E-2</v>
      </c>
      <c r="AC189" s="452">
        <f t="shared" si="69"/>
        <v>5.9515929037873283E-2</v>
      </c>
      <c r="AD189" s="452">
        <f t="shared" si="69"/>
        <v>6.5095016559020724E-2</v>
      </c>
      <c r="AE189" s="452">
        <f t="shared" si="69"/>
        <v>6.357115970255478E-2</v>
      </c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</row>
    <row r="190" spans="1:82">
      <c r="A190" s="244" t="s">
        <v>202</v>
      </c>
      <c r="B190" s="245" t="e">
        <f>NA()</f>
        <v>#N/A</v>
      </c>
      <c r="C190" s="245">
        <f t="shared" ref="C190:Z190" si="71">C157/B157-1</f>
        <v>0.16135053211764094</v>
      </c>
      <c r="D190" s="245">
        <f t="shared" si="71"/>
        <v>8.1546640687882199E-2</v>
      </c>
      <c r="E190" s="245">
        <f t="shared" si="71"/>
        <v>0.31368298856720322</v>
      </c>
      <c r="F190" s="245">
        <f t="shared" si="71"/>
        <v>0.2843544723376723</v>
      </c>
      <c r="G190" s="245">
        <f t="shared" si="71"/>
        <v>0.43805839655701595</v>
      </c>
      <c r="H190" s="245">
        <f t="shared" si="71"/>
        <v>0.27916032633241206</v>
      </c>
      <c r="I190" s="245">
        <f t="shared" si="71"/>
        <v>-0.19912607979042052</v>
      </c>
      <c r="J190" s="245">
        <f t="shared" si="71"/>
        <v>-3.0841989909570433E-2</v>
      </c>
      <c r="K190" s="245">
        <f t="shared" si="71"/>
        <v>-1.6046213093705575E-3</v>
      </c>
      <c r="L190" s="245">
        <f t="shared" si="71"/>
        <v>0.11637531781008259</v>
      </c>
      <c r="M190" s="245">
        <f t="shared" si="71"/>
        <v>0.44240868926408616</v>
      </c>
      <c r="N190" s="245">
        <f t="shared" si="71"/>
        <v>0.45293007434401034</v>
      </c>
      <c r="O190" s="245">
        <f t="shared" si="71"/>
        <v>1.134902923550102</v>
      </c>
      <c r="P190" s="245">
        <f t="shared" si="71"/>
        <v>0.35886126704089816</v>
      </c>
      <c r="Q190" s="245">
        <f t="shared" si="71"/>
        <v>0.1717320743582178</v>
      </c>
      <c r="R190" s="245">
        <f t="shared" si="71"/>
        <v>0.12012087635356328</v>
      </c>
      <c r="S190" s="245">
        <f t="shared" si="71"/>
        <v>3.6982913669064699E-2</v>
      </c>
      <c r="T190" s="452">
        <f t="shared" si="71"/>
        <v>0.21560975609756095</v>
      </c>
      <c r="U190" s="452">
        <f t="shared" si="71"/>
        <v>-0.61200285357588724</v>
      </c>
      <c r="V190" s="452">
        <f t="shared" si="71"/>
        <v>1.4433463571592737</v>
      </c>
      <c r="W190" s="452">
        <f t="shared" si="71"/>
        <v>0.20016931615087952</v>
      </c>
      <c r="X190" s="452">
        <f t="shared" si="71"/>
        <v>0.15659534446273216</v>
      </c>
      <c r="Y190" s="452">
        <f t="shared" si="71"/>
        <v>3.3483323349601468E-2</v>
      </c>
      <c r="Z190" s="452">
        <f t="shared" si="71"/>
        <v>7.2903296090914393E-2</v>
      </c>
      <c r="AA190" s="452">
        <f t="shared" si="69"/>
        <v>6.841718779938244E-2</v>
      </c>
      <c r="AB190" s="452">
        <f t="shared" si="69"/>
        <v>6.0737478542883583E-2</v>
      </c>
      <c r="AC190" s="452">
        <f t="shared" si="69"/>
        <v>2.4315092661519877E-2</v>
      </c>
      <c r="AD190" s="452">
        <f t="shared" si="69"/>
        <v>5.1642588894297292E-2</v>
      </c>
      <c r="AE190" s="452">
        <f t="shared" si="69"/>
        <v>5.0355396708275046E-2</v>
      </c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</row>
    <row r="191" spans="1:82">
      <c r="A191" s="244" t="str">
        <f>A158</f>
        <v>Consolidated EBITDA (IAS17)</v>
      </c>
      <c r="B191" s="245" t="e">
        <f>NA()</f>
        <v>#N/A</v>
      </c>
      <c r="C191" s="245">
        <f t="shared" ref="C191:Z191" si="72">C158/B158-1</f>
        <v>0.16135053211764094</v>
      </c>
      <c r="D191" s="245">
        <f t="shared" si="72"/>
        <v>8.1546640687882199E-2</v>
      </c>
      <c r="E191" s="245">
        <f t="shared" si="72"/>
        <v>0.31368298856720322</v>
      </c>
      <c r="F191" s="245">
        <f t="shared" si="72"/>
        <v>0.2843544723376723</v>
      </c>
      <c r="G191" s="245">
        <f t="shared" si="72"/>
        <v>0.43805839655701595</v>
      </c>
      <c r="H191" s="245">
        <f t="shared" si="72"/>
        <v>0.27916032633241206</v>
      </c>
      <c r="I191" s="245">
        <f t="shared" si="72"/>
        <v>-0.19912607979042052</v>
      </c>
      <c r="J191" s="245">
        <f t="shared" si="72"/>
        <v>-3.0841989909570433E-2</v>
      </c>
      <c r="K191" s="245">
        <f t="shared" si="72"/>
        <v>-1.6046213093705575E-3</v>
      </c>
      <c r="L191" s="245">
        <f t="shared" si="72"/>
        <v>0.11637531781008259</v>
      </c>
      <c r="M191" s="245">
        <f t="shared" si="72"/>
        <v>0.44240868926408616</v>
      </c>
      <c r="N191" s="245">
        <f t="shared" si="72"/>
        <v>0.26781069173198913</v>
      </c>
      <c r="O191" s="245">
        <f t="shared" si="72"/>
        <v>0.37002102297419648</v>
      </c>
      <c r="P191" s="245">
        <f t="shared" si="72"/>
        <v>0.54013151016865901</v>
      </c>
      <c r="Q191" s="245">
        <f t="shared" si="72"/>
        <v>0.19841068556387431</v>
      </c>
      <c r="R191" s="245">
        <f t="shared" si="72"/>
        <v>0.2543056208074197</v>
      </c>
      <c r="S191" s="245">
        <f t="shared" si="72"/>
        <v>-8.958369031543012E-3</v>
      </c>
      <c r="T191" s="452">
        <f t="shared" si="72"/>
        <v>0.19659639184515987</v>
      </c>
      <c r="U191" s="452">
        <f t="shared" si="72"/>
        <v>-0.8126355848443092</v>
      </c>
      <c r="V191" s="452">
        <f t="shared" si="72"/>
        <v>3.5493811693400827</v>
      </c>
      <c r="W191" s="452">
        <f t="shared" si="72"/>
        <v>0.35007933403169078</v>
      </c>
      <c r="X191" s="452">
        <f t="shared" si="72"/>
        <v>0.22325589670401946</v>
      </c>
      <c r="Y191" s="452">
        <f t="shared" si="72"/>
        <v>6.7060397285927609E-2</v>
      </c>
      <c r="Z191" s="452">
        <f t="shared" si="72"/>
        <v>0.1088419834047214</v>
      </c>
      <c r="AA191" s="452">
        <f t="shared" si="69"/>
        <v>9.1478258619859254E-2</v>
      </c>
      <c r="AB191" s="452">
        <f t="shared" si="69"/>
        <v>8.2048605882995451E-2</v>
      </c>
      <c r="AC191" s="452">
        <f t="shared" si="69"/>
        <v>6.1741828792893916E-2</v>
      </c>
      <c r="AD191" s="452">
        <f t="shared" si="69"/>
        <v>6.1279834578936931E-2</v>
      </c>
      <c r="AE191" s="452">
        <f t="shared" si="69"/>
        <v>5.9799320914684095E-2</v>
      </c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</row>
    <row r="192" spans="1:82">
      <c r="A192" s="244"/>
      <c r="B192" s="256"/>
      <c r="C192" s="256"/>
      <c r="D192" s="256"/>
      <c r="E192" s="256"/>
      <c r="F192" s="256"/>
      <c r="G192" s="256"/>
      <c r="H192" s="256"/>
      <c r="I192" s="256"/>
      <c r="J192" s="256"/>
      <c r="K192" s="245"/>
      <c r="L192" s="245"/>
      <c r="M192" s="245"/>
      <c r="N192" s="245"/>
      <c r="O192" s="245"/>
      <c r="P192" s="245"/>
      <c r="Q192" s="245"/>
      <c r="R192" s="245"/>
      <c r="S192" s="245"/>
      <c r="T192" s="452"/>
      <c r="U192" s="452"/>
      <c r="V192" s="452"/>
      <c r="W192" s="452"/>
      <c r="X192" s="452"/>
      <c r="Y192" s="452"/>
      <c r="Z192" s="452"/>
      <c r="AA192" s="452"/>
      <c r="AB192" s="452"/>
      <c r="AC192" s="452"/>
      <c r="AD192" s="452"/>
      <c r="AE192" s="452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</row>
    <row r="193" spans="1:82">
      <c r="A193" s="242" t="s">
        <v>879</v>
      </c>
      <c r="B193" s="264">
        <v>2001</v>
      </c>
      <c r="C193" s="264">
        <v>2002</v>
      </c>
      <c r="D193" s="264">
        <v>2003</v>
      </c>
      <c r="E193" s="264">
        <v>2004</v>
      </c>
      <c r="F193" s="264">
        <v>2005</v>
      </c>
      <c r="G193" s="264">
        <v>2006</v>
      </c>
      <c r="H193" s="264">
        <v>2007</v>
      </c>
      <c r="I193" s="264">
        <v>2008</v>
      </c>
      <c r="J193" s="264">
        <f t="shared" ref="J193:R193" si="73">J$50</f>
        <v>2009</v>
      </c>
      <c r="K193" s="264">
        <f t="shared" si="73"/>
        <v>2010</v>
      </c>
      <c r="L193" s="264">
        <f t="shared" si="73"/>
        <v>2011</v>
      </c>
      <c r="M193" s="264">
        <f t="shared" si="73"/>
        <v>2012</v>
      </c>
      <c r="N193" s="264">
        <f t="shared" si="73"/>
        <v>2013</v>
      </c>
      <c r="O193" s="264">
        <f t="shared" si="73"/>
        <v>2014</v>
      </c>
      <c r="P193" s="264">
        <f t="shared" si="73"/>
        <v>2015</v>
      </c>
      <c r="Q193" s="264">
        <f t="shared" si="73"/>
        <v>2016</v>
      </c>
      <c r="R193" s="264">
        <f t="shared" si="73"/>
        <v>2017</v>
      </c>
      <c r="S193" s="264">
        <f t="shared" ref="S193:X193" si="74">S$6</f>
        <v>2018</v>
      </c>
      <c r="T193" s="264">
        <f t="shared" si="74"/>
        <v>2019</v>
      </c>
      <c r="U193" s="264">
        <f t="shared" si="74"/>
        <v>2020</v>
      </c>
      <c r="V193" s="264">
        <f t="shared" si="74"/>
        <v>2021</v>
      </c>
      <c r="W193" s="264">
        <f t="shared" si="74"/>
        <v>2022</v>
      </c>
      <c r="X193" s="264">
        <f t="shared" si="74"/>
        <v>2023</v>
      </c>
      <c r="Y193" s="594">
        <f t="shared" ref="Y193:AE193" si="75">Y$50</f>
        <v>2024</v>
      </c>
      <c r="Z193" s="594">
        <f t="shared" si="75"/>
        <v>2025</v>
      </c>
      <c r="AA193" s="594">
        <f t="shared" si="75"/>
        <v>2026</v>
      </c>
      <c r="AB193" s="594">
        <f t="shared" si="75"/>
        <v>2027</v>
      </c>
      <c r="AC193" s="594">
        <f t="shared" si="75"/>
        <v>2028</v>
      </c>
      <c r="AD193" s="594">
        <f t="shared" si="75"/>
        <v>2029</v>
      </c>
      <c r="AE193" s="594">
        <f t="shared" si="75"/>
        <v>2030</v>
      </c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</row>
    <row r="194" spans="1:82">
      <c r="A194" s="36" t="s">
        <v>731</v>
      </c>
      <c r="B194" s="256" t="e">
        <f>NA()</f>
        <v>#N/A</v>
      </c>
      <c r="C194" s="256" t="e">
        <f>NA()</f>
        <v>#N/A</v>
      </c>
      <c r="D194" s="256" t="e">
        <f>NA()</f>
        <v>#N/A</v>
      </c>
      <c r="E194" s="256" t="e">
        <f>NA()</f>
        <v>#N/A</v>
      </c>
      <c r="F194" s="256" t="e">
        <f>NA()</f>
        <v>#N/A</v>
      </c>
      <c r="G194" s="256" t="e">
        <f>NA()</f>
        <v>#N/A</v>
      </c>
      <c r="H194" s="256" t="e">
        <f>NA()</f>
        <v>#N/A</v>
      </c>
      <c r="I194" s="256" t="e">
        <f>NA()</f>
        <v>#N/A</v>
      </c>
      <c r="J194" s="256" t="e">
        <f>NA()</f>
        <v>#N/A</v>
      </c>
      <c r="K194" s="256" t="e">
        <f>NA()</f>
        <v>#N/A</v>
      </c>
      <c r="L194" s="256" t="e">
        <f>NA()</f>
        <v>#N/A</v>
      </c>
      <c r="M194" s="256" t="e">
        <f>NA()</f>
        <v>#N/A</v>
      </c>
      <c r="N194" s="256" t="e">
        <f>NA()</f>
        <v>#N/A</v>
      </c>
      <c r="O194" s="250">
        <f>Financials!O73</f>
        <v>4019</v>
      </c>
      <c r="P194" s="250">
        <f>Financials!P73</f>
        <v>4675</v>
      </c>
      <c r="Q194" s="250">
        <f>Financials!Q73</f>
        <v>5215</v>
      </c>
      <c r="R194" s="250">
        <f>Financials!R73</f>
        <v>5608</v>
      </c>
      <c r="S194" s="250">
        <f>Financials!S73</f>
        <v>5901</v>
      </c>
      <c r="T194" s="454">
        <f>Financials!T73</f>
        <v>6200</v>
      </c>
      <c r="U194" s="454">
        <f>Financials!U73</f>
        <v>2867</v>
      </c>
      <c r="V194" s="454">
        <f>Financials!V73</f>
        <v>5951</v>
      </c>
      <c r="W194" s="454">
        <f>Financials!W73</f>
        <v>7567</v>
      </c>
      <c r="X194" s="454">
        <f>Financials!X73</f>
        <v>9005</v>
      </c>
      <c r="Y194" s="454">
        <f>Financials!Y73</f>
        <v>10132.023750099506</v>
      </c>
      <c r="Z194" s="454">
        <f>Financials!Z73</f>
        <v>10619.119697261831</v>
      </c>
      <c r="AA194" s="454">
        <f>Financials!AA73</f>
        <v>11263.353681451592</v>
      </c>
      <c r="AB194" s="454">
        <f>Financials!AB73</f>
        <v>11901.390263749405</v>
      </c>
      <c r="AC194" s="454">
        <f>Financials!AC73</f>
        <v>12162.917468312797</v>
      </c>
      <c r="AD194" s="454">
        <f>Financials!AD73</f>
        <v>12699.65216024129</v>
      </c>
      <c r="AE194" s="454">
        <f>Financials!AE73</f>
        <v>13243.268736241422</v>
      </c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</row>
    <row r="195" spans="1:82">
      <c r="A195" s="36" t="s">
        <v>733</v>
      </c>
      <c r="B195" s="256" t="e">
        <f>NA()</f>
        <v>#N/A</v>
      </c>
      <c r="C195" s="256" t="e">
        <f>NA()</f>
        <v>#N/A</v>
      </c>
      <c r="D195" s="256" t="e">
        <f>NA()</f>
        <v>#N/A</v>
      </c>
      <c r="E195" s="256" t="e">
        <f>NA()</f>
        <v>#N/A</v>
      </c>
      <c r="F195" s="256" t="e">
        <f>NA()</f>
        <v>#N/A</v>
      </c>
      <c r="G195" s="256" t="e">
        <f>NA()</f>
        <v>#N/A</v>
      </c>
      <c r="H195" s="256" t="e">
        <f>NA()</f>
        <v>#N/A</v>
      </c>
      <c r="I195" s="256" t="e">
        <f>NA()</f>
        <v>#N/A</v>
      </c>
      <c r="J195" s="256" t="e">
        <f>NA()</f>
        <v>#N/A</v>
      </c>
      <c r="K195" s="256" t="e">
        <f>NA()</f>
        <v>#N/A</v>
      </c>
      <c r="L195" s="256" t="e">
        <f>NA()</f>
        <v>#N/A</v>
      </c>
      <c r="M195" s="256" t="e">
        <f>NA()</f>
        <v>#N/A</v>
      </c>
      <c r="N195" s="256" t="e">
        <f>NA()</f>
        <v>#N/A</v>
      </c>
      <c r="O195" s="250">
        <f>Financials!O75</f>
        <v>679</v>
      </c>
      <c r="P195" s="250">
        <f>Financials!P75</f>
        <v>1021</v>
      </c>
      <c r="Q195" s="250">
        <f>Financials!Q75</f>
        <v>1227</v>
      </c>
      <c r="R195" s="250">
        <f>Financials!R75</f>
        <v>1562</v>
      </c>
      <c r="S195" s="250">
        <f>Financials!S75</f>
        <v>1408</v>
      </c>
      <c r="T195" s="454">
        <f>Financials!T75</f>
        <v>1263</v>
      </c>
      <c r="U195" s="454">
        <f>Financials!U75</f>
        <v>297</v>
      </c>
      <c r="V195" s="454">
        <f>Financials!V75</f>
        <v>1258</v>
      </c>
      <c r="W195" s="454">
        <f>Financials!W75</f>
        <v>1968</v>
      </c>
      <c r="X195" s="454">
        <f>Financials!X75</f>
        <v>2211</v>
      </c>
      <c r="Y195" s="454">
        <f>Financials!Y75</f>
        <v>1639.6796454502253</v>
      </c>
      <c r="Z195" s="454">
        <f>Financials!Z75</f>
        <v>1757.0739897976418</v>
      </c>
      <c r="AA195" s="454">
        <f>Financials!AA75</f>
        <v>1847.9250699331251</v>
      </c>
      <c r="AB195" s="454">
        <f>Financials!AB75</f>
        <v>1892.0566094950441</v>
      </c>
      <c r="AC195" s="454">
        <f>Financials!AC75</f>
        <v>1950.2038603537776</v>
      </c>
      <c r="AD195" s="454">
        <f>Financials!AD75</f>
        <v>2009.4580301518099</v>
      </c>
      <c r="AE195" s="454">
        <f>Financials!AE75</f>
        <v>2069.774057094819</v>
      </c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</row>
    <row r="196" spans="1:82">
      <c r="A196" s="36" t="s">
        <v>949</v>
      </c>
      <c r="B196" s="256" t="e">
        <f>NA()</f>
        <v>#N/A</v>
      </c>
      <c r="C196" s="256" t="e">
        <f>NA()</f>
        <v>#N/A</v>
      </c>
      <c r="D196" s="256" t="e">
        <f>NA()</f>
        <v>#N/A</v>
      </c>
      <c r="E196" s="256" t="e">
        <f>NA()</f>
        <v>#N/A</v>
      </c>
      <c r="F196" s="256" t="e">
        <f>NA()</f>
        <v>#N/A</v>
      </c>
      <c r="G196" s="256" t="e">
        <f>NA()</f>
        <v>#N/A</v>
      </c>
      <c r="H196" s="256" t="e">
        <f>NA()</f>
        <v>#N/A</v>
      </c>
      <c r="I196" s="256" t="e">
        <f>NA()</f>
        <v>#N/A</v>
      </c>
      <c r="J196" s="256" t="e">
        <f>NA()</f>
        <v>#N/A</v>
      </c>
      <c r="K196" s="256" t="e">
        <f>NA()</f>
        <v>#N/A</v>
      </c>
      <c r="L196" s="256" t="e">
        <f>NA()</f>
        <v>#N/A</v>
      </c>
      <c r="M196" s="256" t="e">
        <f>NA()</f>
        <v>#N/A</v>
      </c>
      <c r="N196" s="256" t="e">
        <f>NA()</f>
        <v>#N/A</v>
      </c>
      <c r="O196" s="250">
        <f>Financials!O74</f>
        <v>290</v>
      </c>
      <c r="P196" s="250">
        <f>Financials!P74</f>
        <v>1082</v>
      </c>
      <c r="Q196" s="250">
        <f>Financials!Q74</f>
        <v>1500</v>
      </c>
      <c r="R196" s="250">
        <f>Financials!R74</f>
        <v>1726</v>
      </c>
      <c r="S196" s="250">
        <f>Financials!S74</f>
        <v>1916</v>
      </c>
      <c r="T196" s="454">
        <f>Financials!T74</f>
        <v>3751</v>
      </c>
      <c r="U196" s="454">
        <f>Financials!U74</f>
        <v>1187</v>
      </c>
      <c r="V196" s="454">
        <f>Financials!V74</f>
        <v>3422</v>
      </c>
      <c r="W196" s="454">
        <f>Financials!W74</f>
        <v>3224</v>
      </c>
      <c r="X196" s="454">
        <f>Financials!X74</f>
        <v>3541</v>
      </c>
      <c r="Y196" s="454">
        <f>Financials!Y74</f>
        <v>3479.4100071203366</v>
      </c>
      <c r="Z196" s="454">
        <f>Financials!Z74</f>
        <v>3986.7761517215631</v>
      </c>
      <c r="AA196" s="454">
        <f>Financials!AA74</f>
        <v>4371.1994678118299</v>
      </c>
      <c r="AB196" s="454">
        <f>Financials!AB74</f>
        <v>4750.872991666979</v>
      </c>
      <c r="AC196" s="454">
        <f>Financials!AC74</f>
        <v>4882.1053921050388</v>
      </c>
      <c r="AD196" s="454">
        <f>Financials!AD74</f>
        <v>5267.0792148732935</v>
      </c>
      <c r="AE196" s="454">
        <f>Financials!AE74</f>
        <v>5669.0555541519943</v>
      </c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</row>
    <row r="197" spans="1:82">
      <c r="A197" s="36"/>
      <c r="B197" s="256"/>
      <c r="C197" s="256"/>
      <c r="D197" s="256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0"/>
      <c r="P197" s="250"/>
      <c r="Q197" s="250"/>
      <c r="R197" s="250"/>
      <c r="S197" s="250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</row>
    <row r="198" spans="1:82">
      <c r="A198" s="242" t="s">
        <v>1048</v>
      </c>
      <c r="B198" s="264">
        <f t="shared" ref="B198:R198" si="76">B193</f>
        <v>2001</v>
      </c>
      <c r="C198" s="264">
        <f t="shared" si="76"/>
        <v>2002</v>
      </c>
      <c r="D198" s="264">
        <f t="shared" si="76"/>
        <v>2003</v>
      </c>
      <c r="E198" s="264">
        <f t="shared" si="76"/>
        <v>2004</v>
      </c>
      <c r="F198" s="264">
        <f t="shared" si="76"/>
        <v>2005</v>
      </c>
      <c r="G198" s="264">
        <f t="shared" si="76"/>
        <v>2006</v>
      </c>
      <c r="H198" s="264">
        <f t="shared" si="76"/>
        <v>2007</v>
      </c>
      <c r="I198" s="264">
        <f t="shared" si="76"/>
        <v>2008</v>
      </c>
      <c r="J198" s="264">
        <f t="shared" si="76"/>
        <v>2009</v>
      </c>
      <c r="K198" s="264">
        <f t="shared" si="76"/>
        <v>2010</v>
      </c>
      <c r="L198" s="264">
        <f t="shared" si="76"/>
        <v>2011</v>
      </c>
      <c r="M198" s="264">
        <f t="shared" si="76"/>
        <v>2012</v>
      </c>
      <c r="N198" s="264">
        <f t="shared" si="76"/>
        <v>2013</v>
      </c>
      <c r="O198" s="264">
        <f t="shared" si="76"/>
        <v>2014</v>
      </c>
      <c r="P198" s="264">
        <f t="shared" si="76"/>
        <v>2015</v>
      </c>
      <c r="Q198" s="264">
        <f t="shared" si="76"/>
        <v>2016</v>
      </c>
      <c r="R198" s="264">
        <f t="shared" si="76"/>
        <v>2017</v>
      </c>
      <c r="S198" s="264">
        <f t="shared" ref="S198:X198" si="77">S$6</f>
        <v>2018</v>
      </c>
      <c r="T198" s="264">
        <f t="shared" si="77"/>
        <v>2019</v>
      </c>
      <c r="U198" s="264">
        <f t="shared" si="77"/>
        <v>2020</v>
      </c>
      <c r="V198" s="264">
        <f t="shared" si="77"/>
        <v>2021</v>
      </c>
      <c r="W198" s="264">
        <f t="shared" si="77"/>
        <v>2022</v>
      </c>
      <c r="X198" s="264">
        <f t="shared" si="77"/>
        <v>2023</v>
      </c>
      <c r="Y198" s="594">
        <f t="shared" ref="Y198:AE198" si="78">Y193</f>
        <v>2024</v>
      </c>
      <c r="Z198" s="594">
        <f t="shared" si="78"/>
        <v>2025</v>
      </c>
      <c r="AA198" s="594">
        <f t="shared" si="78"/>
        <v>2026</v>
      </c>
      <c r="AB198" s="594">
        <f t="shared" si="78"/>
        <v>2027</v>
      </c>
      <c r="AC198" s="594">
        <f t="shared" si="78"/>
        <v>2028</v>
      </c>
      <c r="AD198" s="594">
        <f t="shared" si="78"/>
        <v>2029</v>
      </c>
      <c r="AE198" s="594">
        <f t="shared" si="78"/>
        <v>2030</v>
      </c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</row>
    <row r="199" spans="1:82">
      <c r="A199" s="36" t="str">
        <f>A194</f>
        <v>Mexico</v>
      </c>
      <c r="B199" s="1151" t="e">
        <f t="shared" ref="B199:Z199" si="79">B194/SUM(B$194:B$196)</f>
        <v>#N/A</v>
      </c>
      <c r="C199" s="1150" t="e">
        <f t="shared" si="79"/>
        <v>#N/A</v>
      </c>
      <c r="D199" s="1150" t="e">
        <f t="shared" si="79"/>
        <v>#N/A</v>
      </c>
      <c r="E199" s="1150" t="e">
        <f t="shared" si="79"/>
        <v>#N/A</v>
      </c>
      <c r="F199" s="1150" t="e">
        <f t="shared" si="79"/>
        <v>#N/A</v>
      </c>
      <c r="G199" s="1150" t="e">
        <f t="shared" si="79"/>
        <v>#N/A</v>
      </c>
      <c r="H199" s="1150" t="e">
        <f t="shared" si="79"/>
        <v>#N/A</v>
      </c>
      <c r="I199" s="1150" t="e">
        <f t="shared" si="79"/>
        <v>#N/A</v>
      </c>
      <c r="J199" s="1150" t="e">
        <f t="shared" si="79"/>
        <v>#N/A</v>
      </c>
      <c r="K199" s="1150" t="e">
        <f t="shared" si="79"/>
        <v>#N/A</v>
      </c>
      <c r="L199" s="1150" t="e">
        <f t="shared" si="79"/>
        <v>#N/A</v>
      </c>
      <c r="M199" s="1150" t="e">
        <f t="shared" si="79"/>
        <v>#N/A</v>
      </c>
      <c r="N199" s="1150" t="e">
        <f t="shared" si="79"/>
        <v>#N/A</v>
      </c>
      <c r="O199" s="259">
        <f t="shared" si="79"/>
        <v>0.80573376102646355</v>
      </c>
      <c r="P199" s="259">
        <f t="shared" si="79"/>
        <v>0.6897314842136324</v>
      </c>
      <c r="Q199" s="259">
        <f t="shared" si="79"/>
        <v>0.65663560815915389</v>
      </c>
      <c r="R199" s="259">
        <f t="shared" si="79"/>
        <v>0.63039568345323738</v>
      </c>
      <c r="S199" s="259">
        <f t="shared" si="79"/>
        <v>0.63967479674796746</v>
      </c>
      <c r="T199" s="697">
        <f t="shared" si="79"/>
        <v>0.55288032816122701</v>
      </c>
      <c r="U199" s="697">
        <f t="shared" si="79"/>
        <v>0.65892898184325444</v>
      </c>
      <c r="V199" s="697">
        <f t="shared" si="79"/>
        <v>0.55977800771329134</v>
      </c>
      <c r="W199" s="697">
        <f t="shared" si="79"/>
        <v>0.59307155733207928</v>
      </c>
      <c r="X199" s="697">
        <f t="shared" si="79"/>
        <v>0.61021887917598427</v>
      </c>
      <c r="Y199" s="697">
        <f t="shared" si="79"/>
        <v>0.66434649606143881</v>
      </c>
      <c r="Z199" s="697">
        <f t="shared" si="79"/>
        <v>0.64897263772337954</v>
      </c>
      <c r="AA199" s="697">
        <f t="shared" ref="AA199:AE201" si="80">AA194/SUM(AA$194:AA$196)</f>
        <v>0.64426527750990825</v>
      </c>
      <c r="AB199" s="697">
        <f t="shared" si="80"/>
        <v>0.64178089843395014</v>
      </c>
      <c r="AC199" s="697">
        <f t="shared" si="80"/>
        <v>0.64031441409501222</v>
      </c>
      <c r="AD199" s="697">
        <f t="shared" si="80"/>
        <v>0.63573947476154957</v>
      </c>
      <c r="AE199" s="697">
        <f t="shared" si="80"/>
        <v>0.63116989144352065</v>
      </c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</row>
    <row r="200" spans="1:82">
      <c r="A200" s="36" t="str">
        <f>A195</f>
        <v>South America</v>
      </c>
      <c r="B200" s="1151" t="e">
        <f t="shared" ref="B200:Z200" si="81">B195/SUM(B$194:B$196)</f>
        <v>#N/A</v>
      </c>
      <c r="C200" s="1150" t="e">
        <f t="shared" si="81"/>
        <v>#N/A</v>
      </c>
      <c r="D200" s="1150" t="e">
        <f t="shared" si="81"/>
        <v>#N/A</v>
      </c>
      <c r="E200" s="1150" t="e">
        <f t="shared" si="81"/>
        <v>#N/A</v>
      </c>
      <c r="F200" s="1150" t="e">
        <f t="shared" si="81"/>
        <v>#N/A</v>
      </c>
      <c r="G200" s="1150" t="e">
        <f t="shared" si="81"/>
        <v>#N/A</v>
      </c>
      <c r="H200" s="1150" t="e">
        <f t="shared" si="81"/>
        <v>#N/A</v>
      </c>
      <c r="I200" s="1150" t="e">
        <f t="shared" si="81"/>
        <v>#N/A</v>
      </c>
      <c r="J200" s="1150" t="e">
        <f t="shared" si="81"/>
        <v>#N/A</v>
      </c>
      <c r="K200" s="1150" t="e">
        <f t="shared" si="81"/>
        <v>#N/A</v>
      </c>
      <c r="L200" s="1150" t="e">
        <f t="shared" si="81"/>
        <v>#N/A</v>
      </c>
      <c r="M200" s="1150" t="e">
        <f t="shared" si="81"/>
        <v>#N/A</v>
      </c>
      <c r="N200" s="1150" t="e">
        <f t="shared" si="81"/>
        <v>#N/A</v>
      </c>
      <c r="O200" s="259">
        <f t="shared" si="81"/>
        <v>0.13612670408981556</v>
      </c>
      <c r="P200" s="259">
        <f t="shared" si="81"/>
        <v>0.15063440542933018</v>
      </c>
      <c r="Q200" s="259">
        <f t="shared" si="81"/>
        <v>0.1544950893981365</v>
      </c>
      <c r="R200" s="259">
        <f t="shared" si="81"/>
        <v>0.17558453237410071</v>
      </c>
      <c r="S200" s="259">
        <f t="shared" si="81"/>
        <v>0.15262872628726287</v>
      </c>
      <c r="T200" s="697">
        <f t="shared" si="81"/>
        <v>0.1126270733012306</v>
      </c>
      <c r="U200" s="697">
        <f t="shared" si="81"/>
        <v>6.8260170075844631E-2</v>
      </c>
      <c r="V200" s="697">
        <f t="shared" si="81"/>
        <v>0.11833317655911955</v>
      </c>
      <c r="W200" s="697">
        <f t="shared" si="81"/>
        <v>0.15424406301434282</v>
      </c>
      <c r="X200" s="697">
        <f t="shared" si="81"/>
        <v>0.14982720065053873</v>
      </c>
      <c r="Y200" s="697">
        <f t="shared" si="81"/>
        <v>0.10751212728922209</v>
      </c>
      <c r="Z200" s="697">
        <f t="shared" si="81"/>
        <v>0.10738111767665127</v>
      </c>
      <c r="AA200" s="697">
        <f t="shared" si="80"/>
        <v>0.10570155139126786</v>
      </c>
      <c r="AB200" s="697">
        <f t="shared" si="80"/>
        <v>0.10202890282727989</v>
      </c>
      <c r="AC200" s="697">
        <f t="shared" si="80"/>
        <v>0.10266810125625905</v>
      </c>
      <c r="AD200" s="697">
        <f t="shared" si="80"/>
        <v>0.1005926600606845</v>
      </c>
      <c r="AE200" s="697">
        <f t="shared" si="80"/>
        <v>9.8644760062455414E-2</v>
      </c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</row>
    <row r="201" spans="1:82">
      <c r="A201" s="36" t="str">
        <f>A196</f>
        <v>Europe</v>
      </c>
      <c r="B201" s="1151" t="e">
        <f t="shared" ref="B201:Z201" si="82">B196/SUM(B$194:B$196)</f>
        <v>#N/A</v>
      </c>
      <c r="C201" s="1150" t="e">
        <f t="shared" si="82"/>
        <v>#N/A</v>
      </c>
      <c r="D201" s="1150" t="e">
        <f t="shared" si="82"/>
        <v>#N/A</v>
      </c>
      <c r="E201" s="1150" t="e">
        <f t="shared" si="82"/>
        <v>#N/A</v>
      </c>
      <c r="F201" s="1150" t="e">
        <f t="shared" si="82"/>
        <v>#N/A</v>
      </c>
      <c r="G201" s="1150" t="e">
        <f t="shared" si="82"/>
        <v>#N/A</v>
      </c>
      <c r="H201" s="1150" t="e">
        <f t="shared" si="82"/>
        <v>#N/A</v>
      </c>
      <c r="I201" s="1150" t="e">
        <f t="shared" si="82"/>
        <v>#N/A</v>
      </c>
      <c r="J201" s="1150" t="e">
        <f t="shared" si="82"/>
        <v>#N/A</v>
      </c>
      <c r="K201" s="1150" t="e">
        <f t="shared" si="82"/>
        <v>#N/A</v>
      </c>
      <c r="L201" s="1150" t="e">
        <f t="shared" si="82"/>
        <v>#N/A</v>
      </c>
      <c r="M201" s="1150" t="e">
        <f t="shared" si="82"/>
        <v>#N/A</v>
      </c>
      <c r="N201" s="1150" t="e">
        <f t="shared" si="82"/>
        <v>#N/A</v>
      </c>
      <c r="O201" s="259">
        <f t="shared" si="82"/>
        <v>5.8139534883720929E-2</v>
      </c>
      <c r="P201" s="259">
        <f t="shared" si="82"/>
        <v>0.15963411035703748</v>
      </c>
      <c r="Q201" s="259">
        <f t="shared" si="82"/>
        <v>0.18886930244270964</v>
      </c>
      <c r="R201" s="259">
        <f t="shared" si="82"/>
        <v>0.19401978417266186</v>
      </c>
      <c r="S201" s="259">
        <f t="shared" si="82"/>
        <v>0.20769647696476964</v>
      </c>
      <c r="T201" s="697">
        <f t="shared" si="82"/>
        <v>0.33449259853754237</v>
      </c>
      <c r="U201" s="697">
        <f t="shared" si="82"/>
        <v>0.27281084808090095</v>
      </c>
      <c r="V201" s="697">
        <f t="shared" si="82"/>
        <v>0.32188881572758915</v>
      </c>
      <c r="W201" s="697">
        <f t="shared" si="82"/>
        <v>0.25268437965357787</v>
      </c>
      <c r="X201" s="697">
        <f t="shared" si="82"/>
        <v>0.239953920173477</v>
      </c>
      <c r="Y201" s="697">
        <f t="shared" si="82"/>
        <v>0.22814137664933917</v>
      </c>
      <c r="Z201" s="697">
        <f t="shared" si="82"/>
        <v>0.24364624459996923</v>
      </c>
      <c r="AA201" s="697">
        <f t="shared" si="80"/>
        <v>0.25003317109882373</v>
      </c>
      <c r="AB201" s="697">
        <f t="shared" si="80"/>
        <v>0.25619019873877003</v>
      </c>
      <c r="AC201" s="697">
        <f t="shared" si="80"/>
        <v>0.25701748464872864</v>
      </c>
      <c r="AD201" s="697">
        <f t="shared" si="80"/>
        <v>0.2636678651777658</v>
      </c>
      <c r="AE201" s="697">
        <f t="shared" si="80"/>
        <v>0.27018534849402404</v>
      </c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</row>
    <row r="202" spans="1:82">
      <c r="A202" s="36"/>
      <c r="B202" s="256"/>
      <c r="C202" s="256"/>
      <c r="D202" s="256"/>
      <c r="E202" s="256"/>
      <c r="F202" s="256"/>
      <c r="G202" s="256"/>
      <c r="H202" s="256"/>
      <c r="I202" s="256"/>
      <c r="J202" s="256"/>
      <c r="K202" s="256"/>
      <c r="L202" s="256"/>
      <c r="M202" s="256"/>
      <c r="N202" s="256"/>
      <c r="O202" s="250"/>
      <c r="P202" s="250"/>
      <c r="Q202" s="250"/>
      <c r="R202" s="250"/>
      <c r="S202" s="250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</row>
    <row r="203" spans="1:82">
      <c r="A203" s="242" t="s">
        <v>885</v>
      </c>
      <c r="B203" s="264">
        <v>2001</v>
      </c>
      <c r="C203" s="264">
        <v>2002</v>
      </c>
      <c r="D203" s="264">
        <v>2003</v>
      </c>
      <c r="E203" s="264">
        <v>2004</v>
      </c>
      <c r="F203" s="264">
        <v>2005</v>
      </c>
      <c r="G203" s="264">
        <v>2006</v>
      </c>
      <c r="H203" s="264">
        <v>2007</v>
      </c>
      <c r="I203" s="264">
        <v>2008</v>
      </c>
      <c r="J203" s="264">
        <f t="shared" ref="J203:R203" si="83">J$50</f>
        <v>2009</v>
      </c>
      <c r="K203" s="264">
        <f t="shared" si="83"/>
        <v>2010</v>
      </c>
      <c r="L203" s="264">
        <f t="shared" si="83"/>
        <v>2011</v>
      </c>
      <c r="M203" s="264">
        <f t="shared" si="83"/>
        <v>2012</v>
      </c>
      <c r="N203" s="264">
        <f t="shared" si="83"/>
        <v>2013</v>
      </c>
      <c r="O203" s="264">
        <f t="shared" si="83"/>
        <v>2014</v>
      </c>
      <c r="P203" s="264">
        <f t="shared" si="83"/>
        <v>2015</v>
      </c>
      <c r="Q203" s="264">
        <f t="shared" si="83"/>
        <v>2016</v>
      </c>
      <c r="R203" s="264">
        <f t="shared" si="83"/>
        <v>2017</v>
      </c>
      <c r="S203" s="264">
        <f t="shared" ref="S203:X203" si="84">S$6</f>
        <v>2018</v>
      </c>
      <c r="T203" s="264">
        <f t="shared" si="84"/>
        <v>2019</v>
      </c>
      <c r="U203" s="264">
        <f t="shared" si="84"/>
        <v>2020</v>
      </c>
      <c r="V203" s="264">
        <f t="shared" si="84"/>
        <v>2021</v>
      </c>
      <c r="W203" s="264">
        <f t="shared" si="84"/>
        <v>2022</v>
      </c>
      <c r="X203" s="264">
        <f t="shared" si="84"/>
        <v>2023</v>
      </c>
      <c r="Y203" s="594">
        <f t="shared" ref="Y203:AE203" si="85">Y$50</f>
        <v>2024</v>
      </c>
      <c r="Z203" s="594">
        <f t="shared" si="85"/>
        <v>2025</v>
      </c>
      <c r="AA203" s="594">
        <f t="shared" si="85"/>
        <v>2026</v>
      </c>
      <c r="AB203" s="594">
        <f t="shared" si="85"/>
        <v>2027</v>
      </c>
      <c r="AC203" s="594">
        <f t="shared" si="85"/>
        <v>2028</v>
      </c>
      <c r="AD203" s="594">
        <f t="shared" si="85"/>
        <v>2029</v>
      </c>
      <c r="AE203" s="594">
        <f t="shared" si="85"/>
        <v>2030</v>
      </c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</row>
    <row r="204" spans="1:82">
      <c r="A204" s="36" t="s">
        <v>731</v>
      </c>
      <c r="B204" s="256" t="e">
        <f>NA()</f>
        <v>#N/A</v>
      </c>
      <c r="C204" s="256" t="e">
        <f>NA()</f>
        <v>#N/A</v>
      </c>
      <c r="D204" s="256" t="e">
        <f>NA()</f>
        <v>#N/A</v>
      </c>
      <c r="E204" s="256" t="e">
        <f>NA()</f>
        <v>#N/A</v>
      </c>
      <c r="F204" s="256" t="e">
        <f>NA()</f>
        <v>#N/A</v>
      </c>
      <c r="G204" s="256" t="e">
        <f>NA()</f>
        <v>#N/A</v>
      </c>
      <c r="H204" s="256" t="e">
        <f>NA()</f>
        <v>#N/A</v>
      </c>
      <c r="I204" s="256" t="e">
        <f>NA()</f>
        <v>#N/A</v>
      </c>
      <c r="J204" s="256" t="e">
        <f>NA()</f>
        <v>#N/A</v>
      </c>
      <c r="K204" s="256" t="e">
        <f>NA()</f>
        <v>#N/A</v>
      </c>
      <c r="L204" s="256" t="e">
        <f>NA()</f>
        <v>#N/A</v>
      </c>
      <c r="M204" s="256" t="e">
        <f>NA()</f>
        <v>#N/A</v>
      </c>
      <c r="N204" s="256" t="e">
        <f>NA()</f>
        <v>#N/A</v>
      </c>
      <c r="O204" s="245">
        <f>Financials!O81</f>
        <v>0.19445519643893941</v>
      </c>
      <c r="P204" s="245">
        <f>Financials!P81</f>
        <v>0.2349718536389224</v>
      </c>
      <c r="Q204" s="245">
        <f>Financials!Q81</f>
        <v>0.23719639770763212</v>
      </c>
      <c r="R204" s="245">
        <f>Financials!R81</f>
        <v>0.23685433120750096</v>
      </c>
      <c r="S204" s="245">
        <f>Financials!S81</f>
        <v>0.2317571282695782</v>
      </c>
      <c r="T204" s="452">
        <f>Financials!T81</f>
        <v>0.22779880221920124</v>
      </c>
      <c r="U204" s="452">
        <f>Financials!U81</f>
        <v>0.1503645041170609</v>
      </c>
      <c r="V204" s="452">
        <f>Financials!V81</f>
        <v>0.22875264270613108</v>
      </c>
      <c r="W204" s="452">
        <f>Financials!W81</f>
        <v>0.2260965698577746</v>
      </c>
      <c r="X204" s="452">
        <f>Financials!X81</f>
        <v>0.22879719497941969</v>
      </c>
      <c r="Y204" s="452">
        <f>Financials!Y81</f>
        <v>0.23529135579100743</v>
      </c>
      <c r="Z204" s="452">
        <f>Financials!Z81</f>
        <v>0.23287866550961106</v>
      </c>
      <c r="AA204" s="452">
        <f>Financials!AA81</f>
        <v>0.23288245341338293</v>
      </c>
      <c r="AB204" s="452">
        <f>Financials!AB81</f>
        <v>0.23288508354672782</v>
      </c>
      <c r="AC204" s="452">
        <f>Financials!AC81</f>
        <v>0.22788395210611792</v>
      </c>
      <c r="AD204" s="452">
        <f>Financials!AD81</f>
        <v>0.22788282674035559</v>
      </c>
      <c r="AE204" s="452">
        <f>Financials!AE81</f>
        <v>0.22788503960381304</v>
      </c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</row>
    <row r="205" spans="1:82">
      <c r="A205" s="36" t="s">
        <v>733</v>
      </c>
      <c r="B205" s="256" t="e">
        <f>NA()</f>
        <v>#N/A</v>
      </c>
      <c r="C205" s="256" t="e">
        <f>NA()</f>
        <v>#N/A</v>
      </c>
      <c r="D205" s="256" t="e">
        <f>NA()</f>
        <v>#N/A</v>
      </c>
      <c r="E205" s="256" t="e">
        <f>NA()</f>
        <v>#N/A</v>
      </c>
      <c r="F205" s="256" t="e">
        <f>NA()</f>
        <v>#N/A</v>
      </c>
      <c r="G205" s="256" t="e">
        <f>NA()</f>
        <v>#N/A</v>
      </c>
      <c r="H205" s="256" t="e">
        <f>NA()</f>
        <v>#N/A</v>
      </c>
      <c r="I205" s="256" t="e">
        <f>NA()</f>
        <v>#N/A</v>
      </c>
      <c r="J205" s="256" t="e">
        <f>NA()</f>
        <v>#N/A</v>
      </c>
      <c r="K205" s="256" t="e">
        <f>NA()</f>
        <v>#N/A</v>
      </c>
      <c r="L205" s="256" t="e">
        <f>NA()</f>
        <v>#N/A</v>
      </c>
      <c r="M205" s="256" t="e">
        <f>NA()</f>
        <v>#N/A</v>
      </c>
      <c r="N205" s="256" t="e">
        <f>NA()</f>
        <v>#N/A</v>
      </c>
      <c r="O205" s="245">
        <f>Financials!O83</f>
        <v>0.14693789223111881</v>
      </c>
      <c r="P205" s="245">
        <f>Financials!P83</f>
        <v>0.15197975587972612</v>
      </c>
      <c r="Q205" s="245">
        <f>Financials!Q83</f>
        <v>0.15103397341211225</v>
      </c>
      <c r="R205" s="245">
        <f>Financials!R83</f>
        <v>0.15190119614898376</v>
      </c>
      <c r="S205" s="245">
        <f>Financials!S83</f>
        <v>0.13810721317888083</v>
      </c>
      <c r="T205" s="452">
        <f>Financials!T83</f>
        <v>0.12977254458889073</v>
      </c>
      <c r="U205" s="452">
        <f>Financials!U83</f>
        <v>5.3159442889038518E-2</v>
      </c>
      <c r="V205" s="452">
        <f>Financials!V83</f>
        <v>0.14036921566971236</v>
      </c>
      <c r="W205" s="452">
        <f>Financials!W83</f>
        <v>0.14700047326981638</v>
      </c>
      <c r="X205" s="452">
        <f>Financials!X83</f>
        <v>0.15899871226144707</v>
      </c>
      <c r="Y205" s="452">
        <f>Financials!Y83</f>
        <v>0.14318801417938049</v>
      </c>
      <c r="Z205" s="452">
        <f>Financials!Z83</f>
        <v>0.14090836291321834</v>
      </c>
      <c r="AA205" s="452">
        <f>Financials!AA83</f>
        <v>0.14142781776345562</v>
      </c>
      <c r="AB205" s="452">
        <f>Financials!AB83</f>
        <v>0.1419286522684246</v>
      </c>
      <c r="AC205" s="452">
        <f>Financials!AC83</f>
        <v>0.14242917003870945</v>
      </c>
      <c r="AD205" s="452">
        <f>Financials!AD83</f>
        <v>0.14292954592698645</v>
      </c>
      <c r="AE205" s="452">
        <f>Financials!AE83</f>
        <v>0.14342804020045091</v>
      </c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</row>
    <row r="206" spans="1:82">
      <c r="A206" s="36" t="s">
        <v>949</v>
      </c>
      <c r="B206" s="256" t="e">
        <f>NA()</f>
        <v>#N/A</v>
      </c>
      <c r="C206" s="256" t="e">
        <f>NA()</f>
        <v>#N/A</v>
      </c>
      <c r="D206" s="256" t="e">
        <f>NA()</f>
        <v>#N/A</v>
      </c>
      <c r="E206" s="256" t="e">
        <f>NA()</f>
        <v>#N/A</v>
      </c>
      <c r="F206" s="256" t="e">
        <f>NA()</f>
        <v>#N/A</v>
      </c>
      <c r="G206" s="256" t="e">
        <f>NA()</f>
        <v>#N/A</v>
      </c>
      <c r="H206" s="256" t="e">
        <f>NA()</f>
        <v>#N/A</v>
      </c>
      <c r="I206" s="256" t="e">
        <f>NA()</f>
        <v>#N/A</v>
      </c>
      <c r="J206" s="256" t="e">
        <f>NA()</f>
        <v>#N/A</v>
      </c>
      <c r="K206" s="256" t="e">
        <f>NA()</f>
        <v>#N/A</v>
      </c>
      <c r="L206" s="256" t="e">
        <f>NA()</f>
        <v>#N/A</v>
      </c>
      <c r="M206" s="256" t="e">
        <f>NA()</f>
        <v>#N/A</v>
      </c>
      <c r="N206" s="256" t="e">
        <f>NA()</f>
        <v>#N/A</v>
      </c>
      <c r="O206" s="245">
        <f>Financials!O82</f>
        <v>0.19754768392370572</v>
      </c>
      <c r="P206" s="245">
        <f>Financials!P82</f>
        <v>0.1907280098713203</v>
      </c>
      <c r="Q206" s="245">
        <f>Financials!Q82</f>
        <v>0.19760242392306679</v>
      </c>
      <c r="R206" s="245">
        <f>Financials!R82</f>
        <v>0.2014002333722287</v>
      </c>
      <c r="S206" s="245">
        <f>Financials!S82</f>
        <v>0.19378982502275716</v>
      </c>
      <c r="T206" s="452">
        <f>Financials!T82</f>
        <v>0.17687555995661811</v>
      </c>
      <c r="U206" s="452">
        <f>Financials!U82</f>
        <v>8.5642135642135644E-2</v>
      </c>
      <c r="V206" s="452">
        <f>Financials!V82</f>
        <v>0.18583686325621809</v>
      </c>
      <c r="W206" s="452">
        <f>Financials!W82</f>
        <v>0.14670549690571533</v>
      </c>
      <c r="X206" s="452">
        <f>Financials!X82</f>
        <v>0.15418444657319516</v>
      </c>
      <c r="Y206" s="452">
        <f>Financials!Y82</f>
        <v>0.14476460588647724</v>
      </c>
      <c r="Z206" s="452">
        <f>Financials!Z82</f>
        <v>0.14273151840348389</v>
      </c>
      <c r="AA206" s="452">
        <f>Financials!AA82</f>
        <v>0.14364370942175347</v>
      </c>
      <c r="AB206" s="452">
        <f>Financials!AB82</f>
        <v>0.14463447007137967</v>
      </c>
      <c r="AC206" s="452">
        <f>Financials!AC82</f>
        <v>0.13813031453901403</v>
      </c>
      <c r="AD206" s="452">
        <f>Financials!AD82</f>
        <v>0.13862637704265693</v>
      </c>
      <c r="AE206" s="452">
        <f>Financials!AE82</f>
        <v>0.13911431746536007</v>
      </c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</row>
    <row r="207" spans="1:82">
      <c r="A207" s="36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329"/>
      <c r="U207" s="329"/>
      <c r="V207" s="329"/>
      <c r="W207" s="329"/>
      <c r="X207" s="329"/>
      <c r="Y207" s="329"/>
      <c r="Z207" s="329"/>
      <c r="AA207" s="329"/>
      <c r="AB207" s="329"/>
      <c r="AC207" s="329"/>
      <c r="AD207" s="329"/>
      <c r="AE207" s="32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</row>
    <row r="208" spans="1:82">
      <c r="A208" s="242" t="s">
        <v>1305</v>
      </c>
      <c r="B208" s="264">
        <v>2001</v>
      </c>
      <c r="C208" s="264">
        <v>2002</v>
      </c>
      <c r="D208" s="264">
        <v>2003</v>
      </c>
      <c r="E208" s="264">
        <v>2004</v>
      </c>
      <c r="F208" s="264">
        <v>2005</v>
      </c>
      <c r="G208" s="264">
        <v>2006</v>
      </c>
      <c r="H208" s="264">
        <v>2007</v>
      </c>
      <c r="I208" s="264">
        <v>2008</v>
      </c>
      <c r="J208" s="264">
        <f t="shared" ref="J208:R208" si="86">J$50</f>
        <v>2009</v>
      </c>
      <c r="K208" s="264">
        <f t="shared" si="86"/>
        <v>2010</v>
      </c>
      <c r="L208" s="264">
        <f t="shared" si="86"/>
        <v>2011</v>
      </c>
      <c r="M208" s="264">
        <f t="shared" si="86"/>
        <v>2012</v>
      </c>
      <c r="N208" s="264">
        <f t="shared" si="86"/>
        <v>2013</v>
      </c>
      <c r="O208" s="264">
        <f t="shared" si="86"/>
        <v>2014</v>
      </c>
      <c r="P208" s="264">
        <f t="shared" si="86"/>
        <v>2015</v>
      </c>
      <c r="Q208" s="264">
        <f t="shared" si="86"/>
        <v>2016</v>
      </c>
      <c r="R208" s="264">
        <f t="shared" si="86"/>
        <v>2017</v>
      </c>
      <c r="S208" s="264">
        <f t="shared" ref="S208:X208" si="87">S$6</f>
        <v>2018</v>
      </c>
      <c r="T208" s="264">
        <f t="shared" si="87"/>
        <v>2019</v>
      </c>
      <c r="U208" s="264">
        <f t="shared" si="87"/>
        <v>2020</v>
      </c>
      <c r="V208" s="264">
        <f t="shared" si="87"/>
        <v>2021</v>
      </c>
      <c r="W208" s="264">
        <f t="shared" si="87"/>
        <v>2022</v>
      </c>
      <c r="X208" s="264">
        <f t="shared" si="87"/>
        <v>2023</v>
      </c>
      <c r="Y208" s="594">
        <f t="shared" ref="Y208:AE208" si="88">Y$50</f>
        <v>2024</v>
      </c>
      <c r="Z208" s="594">
        <f t="shared" si="88"/>
        <v>2025</v>
      </c>
      <c r="AA208" s="594">
        <f t="shared" si="88"/>
        <v>2026</v>
      </c>
      <c r="AB208" s="594">
        <f t="shared" si="88"/>
        <v>2027</v>
      </c>
      <c r="AC208" s="594">
        <f t="shared" si="88"/>
        <v>2028</v>
      </c>
      <c r="AD208" s="594">
        <f t="shared" si="88"/>
        <v>2029</v>
      </c>
      <c r="AE208" s="594">
        <f t="shared" si="88"/>
        <v>2030</v>
      </c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</row>
    <row r="209" spans="1:82">
      <c r="A209" s="36" t="s">
        <v>731</v>
      </c>
      <c r="B209" s="245" t="e">
        <f>NA()</f>
        <v>#N/A</v>
      </c>
      <c r="C209" s="1094" t="e">
        <f t="shared" ref="C209:Z209" si="89">+(C204-B204)*10000</f>
        <v>#N/A</v>
      </c>
      <c r="D209" s="1094" t="e">
        <f t="shared" si="89"/>
        <v>#N/A</v>
      </c>
      <c r="E209" s="1094" t="e">
        <f t="shared" si="89"/>
        <v>#N/A</v>
      </c>
      <c r="F209" s="1094" t="e">
        <f t="shared" si="89"/>
        <v>#N/A</v>
      </c>
      <c r="G209" s="1094" t="e">
        <f t="shared" si="89"/>
        <v>#N/A</v>
      </c>
      <c r="H209" s="1094" t="e">
        <f t="shared" si="89"/>
        <v>#N/A</v>
      </c>
      <c r="I209" s="1094" t="e">
        <f t="shared" si="89"/>
        <v>#N/A</v>
      </c>
      <c r="J209" s="1094" t="e">
        <f t="shared" si="89"/>
        <v>#N/A</v>
      </c>
      <c r="K209" s="1094" t="e">
        <f t="shared" si="89"/>
        <v>#N/A</v>
      </c>
      <c r="L209" s="1094" t="e">
        <f t="shared" si="89"/>
        <v>#N/A</v>
      </c>
      <c r="M209" s="1094" t="e">
        <f t="shared" si="89"/>
        <v>#N/A</v>
      </c>
      <c r="N209" s="1094" t="e">
        <f t="shared" si="89"/>
        <v>#N/A</v>
      </c>
      <c r="O209" s="1094" t="e">
        <f t="shared" si="89"/>
        <v>#N/A</v>
      </c>
      <c r="P209" s="1094">
        <f t="shared" si="89"/>
        <v>405.16657199982984</v>
      </c>
      <c r="Q209" s="1094">
        <f t="shared" si="89"/>
        <v>22.245440687097272</v>
      </c>
      <c r="R209" s="1094">
        <f t="shared" si="89"/>
        <v>-3.4206650013116069</v>
      </c>
      <c r="S209" s="1094">
        <f t="shared" si="89"/>
        <v>-50.972029379227621</v>
      </c>
      <c r="T209" s="1149">
        <f t="shared" si="89"/>
        <v>-39.583260503769644</v>
      </c>
      <c r="U209" s="1149">
        <f t="shared" si="89"/>
        <v>-774.34298102140338</v>
      </c>
      <c r="V209" s="1149">
        <f t="shared" si="89"/>
        <v>783.88138589070172</v>
      </c>
      <c r="W209" s="1149">
        <f t="shared" si="89"/>
        <v>-26.560728483564777</v>
      </c>
      <c r="X209" s="1149">
        <f t="shared" si="89"/>
        <v>27.006251216450949</v>
      </c>
      <c r="Y209" s="1149">
        <f t="shared" si="89"/>
        <v>64.941608115877401</v>
      </c>
      <c r="Z209" s="1149">
        <f t="shared" si="89"/>
        <v>-24.126902813963735</v>
      </c>
      <c r="AA209" s="1149">
        <f t="shared" ref="AA209:AE211" si="90">+(AA204-Z204)*10000</f>
        <v>3.7879037718679953E-2</v>
      </c>
      <c r="AB209" s="1149">
        <f t="shared" si="90"/>
        <v>2.6301333448941477E-2</v>
      </c>
      <c r="AC209" s="1149">
        <f t="shared" si="90"/>
        <v>-50.011314406099018</v>
      </c>
      <c r="AD209" s="1149">
        <f t="shared" si="90"/>
        <v>-1.1253657623278013E-2</v>
      </c>
      <c r="AE209" s="1149">
        <f t="shared" si="90"/>
        <v>2.2128634574458683E-2</v>
      </c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</row>
    <row r="210" spans="1:82">
      <c r="A210" s="36" t="s">
        <v>733</v>
      </c>
      <c r="B210" s="245" t="e">
        <f>NA()</f>
        <v>#N/A</v>
      </c>
      <c r="C210" s="1094" t="e">
        <f t="shared" ref="C210:Z210" si="91">+(C205-B205)*10000</f>
        <v>#N/A</v>
      </c>
      <c r="D210" s="1094" t="e">
        <f t="shared" si="91"/>
        <v>#N/A</v>
      </c>
      <c r="E210" s="1094" t="e">
        <f t="shared" si="91"/>
        <v>#N/A</v>
      </c>
      <c r="F210" s="1094" t="e">
        <f t="shared" si="91"/>
        <v>#N/A</v>
      </c>
      <c r="G210" s="1094" t="e">
        <f t="shared" si="91"/>
        <v>#N/A</v>
      </c>
      <c r="H210" s="1094" t="e">
        <f t="shared" si="91"/>
        <v>#N/A</v>
      </c>
      <c r="I210" s="1094" t="e">
        <f t="shared" si="91"/>
        <v>#N/A</v>
      </c>
      <c r="J210" s="1094" t="e">
        <f t="shared" si="91"/>
        <v>#N/A</v>
      </c>
      <c r="K210" s="1094" t="e">
        <f t="shared" si="91"/>
        <v>#N/A</v>
      </c>
      <c r="L210" s="1094" t="e">
        <f t="shared" si="91"/>
        <v>#N/A</v>
      </c>
      <c r="M210" s="1094" t="e">
        <f t="shared" si="91"/>
        <v>#N/A</v>
      </c>
      <c r="N210" s="1094" t="e">
        <f t="shared" si="91"/>
        <v>#N/A</v>
      </c>
      <c r="O210" s="1094" t="e">
        <f t="shared" si="91"/>
        <v>#N/A</v>
      </c>
      <c r="P210" s="1094">
        <f t="shared" si="91"/>
        <v>50.41863648607314</v>
      </c>
      <c r="Q210" s="1094">
        <f t="shared" si="91"/>
        <v>-9.4578246761387046</v>
      </c>
      <c r="R210" s="1094">
        <f t="shared" si="91"/>
        <v>8.6722273687150917</v>
      </c>
      <c r="S210" s="1094">
        <f t="shared" si="91"/>
        <v>-137.93982970102925</v>
      </c>
      <c r="T210" s="1149">
        <f t="shared" si="91"/>
        <v>-83.346685899901019</v>
      </c>
      <c r="U210" s="1149">
        <f t="shared" si="91"/>
        <v>-766.13101699852223</v>
      </c>
      <c r="V210" s="1149">
        <f t="shared" si="91"/>
        <v>872.09772780673848</v>
      </c>
      <c r="W210" s="1149">
        <f t="shared" si="91"/>
        <v>66.312576001040242</v>
      </c>
      <c r="X210" s="1149">
        <f t="shared" si="91"/>
        <v>119.98238991630689</v>
      </c>
      <c r="Y210" s="1149">
        <f t="shared" si="91"/>
        <v>-158.10698082066588</v>
      </c>
      <c r="Z210" s="1149">
        <f t="shared" si="91"/>
        <v>-22.796512661621414</v>
      </c>
      <c r="AA210" s="1149">
        <f t="shared" si="90"/>
        <v>5.1945485023727205</v>
      </c>
      <c r="AB210" s="1149">
        <f t="shared" si="90"/>
        <v>5.008345049689888</v>
      </c>
      <c r="AC210" s="1149">
        <f t="shared" si="90"/>
        <v>5.0051777028484175</v>
      </c>
      <c r="AD210" s="1149">
        <f t="shared" si="90"/>
        <v>5.0037588827700485</v>
      </c>
      <c r="AE210" s="1149">
        <f t="shared" si="90"/>
        <v>4.9849427346446156</v>
      </c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</row>
    <row r="211" spans="1:82">
      <c r="A211" s="36" t="s">
        <v>949</v>
      </c>
      <c r="B211" s="245" t="e">
        <f>NA()</f>
        <v>#N/A</v>
      </c>
      <c r="C211" s="1094" t="e">
        <f t="shared" ref="C211:Z211" si="92">+(C206-B206)*10000</f>
        <v>#N/A</v>
      </c>
      <c r="D211" s="1094" t="e">
        <f t="shared" si="92"/>
        <v>#N/A</v>
      </c>
      <c r="E211" s="1094" t="e">
        <f t="shared" si="92"/>
        <v>#N/A</v>
      </c>
      <c r="F211" s="1094" t="e">
        <f t="shared" si="92"/>
        <v>#N/A</v>
      </c>
      <c r="G211" s="1094" t="e">
        <f t="shared" si="92"/>
        <v>#N/A</v>
      </c>
      <c r="H211" s="1094" t="e">
        <f t="shared" si="92"/>
        <v>#N/A</v>
      </c>
      <c r="I211" s="1094" t="e">
        <f t="shared" si="92"/>
        <v>#N/A</v>
      </c>
      <c r="J211" s="1094" t="e">
        <f t="shared" si="92"/>
        <v>#N/A</v>
      </c>
      <c r="K211" s="1094" t="e">
        <f t="shared" si="92"/>
        <v>#N/A</v>
      </c>
      <c r="L211" s="1094" t="e">
        <f t="shared" si="92"/>
        <v>#N/A</v>
      </c>
      <c r="M211" s="1094" t="e">
        <f t="shared" si="92"/>
        <v>#N/A</v>
      </c>
      <c r="N211" s="1094" t="e">
        <f t="shared" si="92"/>
        <v>#N/A</v>
      </c>
      <c r="O211" s="1094" t="e">
        <f t="shared" si="92"/>
        <v>#N/A</v>
      </c>
      <c r="P211" s="1094">
        <f t="shared" si="92"/>
        <v>-68.196740523854274</v>
      </c>
      <c r="Q211" s="1094">
        <f t="shared" si="92"/>
        <v>68.744140517464913</v>
      </c>
      <c r="R211" s="1094">
        <f t="shared" si="92"/>
        <v>37.978094491619153</v>
      </c>
      <c r="S211" s="1094">
        <f t="shared" si="92"/>
        <v>-76.104083494715482</v>
      </c>
      <c r="T211" s="1149">
        <f t="shared" si="92"/>
        <v>-169.14265066139049</v>
      </c>
      <c r="U211" s="1149">
        <f t="shared" si="92"/>
        <v>-912.33424314482465</v>
      </c>
      <c r="V211" s="1149">
        <f t="shared" si="92"/>
        <v>1001.9472761408244</v>
      </c>
      <c r="W211" s="1149">
        <f t="shared" si="92"/>
        <v>-391.31366350502765</v>
      </c>
      <c r="X211" s="1149">
        <f t="shared" si="92"/>
        <v>74.789496674798343</v>
      </c>
      <c r="Y211" s="1149">
        <f t="shared" si="92"/>
        <v>-94.198406867179173</v>
      </c>
      <c r="Z211" s="1149">
        <f t="shared" si="92"/>
        <v>-20.330874829933563</v>
      </c>
      <c r="AA211" s="1149">
        <f t="shared" si="90"/>
        <v>9.1219101826958688</v>
      </c>
      <c r="AB211" s="1149">
        <f t="shared" si="90"/>
        <v>9.9076064962619341</v>
      </c>
      <c r="AC211" s="1149">
        <f t="shared" si="90"/>
        <v>-65.041555323656354</v>
      </c>
      <c r="AD211" s="1149">
        <f t="shared" si="90"/>
        <v>4.9606250364289668</v>
      </c>
      <c r="AE211" s="1149">
        <f t="shared" si="90"/>
        <v>4.8794042270314257</v>
      </c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</row>
    <row r="212" spans="1:82">
      <c r="A212" s="36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329"/>
      <c r="U212" s="329"/>
      <c r="V212" s="329"/>
      <c r="W212" s="329"/>
      <c r="X212" s="329"/>
      <c r="Y212" s="329"/>
      <c r="Z212" s="329"/>
      <c r="AA212" s="329"/>
      <c r="AB212" s="329"/>
      <c r="AC212" s="329"/>
      <c r="AD212" s="329"/>
      <c r="AE212" s="32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</row>
    <row r="213" spans="1:82">
      <c r="A213" s="242" t="s">
        <v>1153</v>
      </c>
      <c r="B213" s="264">
        <v>2001</v>
      </c>
      <c r="C213" s="264">
        <v>2002</v>
      </c>
      <c r="D213" s="264">
        <v>2003</v>
      </c>
      <c r="E213" s="264">
        <v>2004</v>
      </c>
      <c r="F213" s="264">
        <v>2005</v>
      </c>
      <c r="G213" s="264">
        <v>2006</v>
      </c>
      <c r="H213" s="264">
        <v>2007</v>
      </c>
      <c r="I213" s="264">
        <v>2008</v>
      </c>
      <c r="J213" s="264">
        <f t="shared" ref="J213:R213" si="93">J$50</f>
        <v>2009</v>
      </c>
      <c r="K213" s="264">
        <f t="shared" si="93"/>
        <v>2010</v>
      </c>
      <c r="L213" s="264">
        <f t="shared" si="93"/>
        <v>2011</v>
      </c>
      <c r="M213" s="264">
        <f t="shared" si="93"/>
        <v>2012</v>
      </c>
      <c r="N213" s="264">
        <f t="shared" si="93"/>
        <v>2013</v>
      </c>
      <c r="O213" s="264">
        <f t="shared" si="93"/>
        <v>2014</v>
      </c>
      <c r="P213" s="264">
        <f t="shared" si="93"/>
        <v>2015</v>
      </c>
      <c r="Q213" s="264">
        <f t="shared" si="93"/>
        <v>2016</v>
      </c>
      <c r="R213" s="264">
        <f t="shared" si="93"/>
        <v>2017</v>
      </c>
      <c r="S213" s="264">
        <f t="shared" ref="S213:X213" si="94">S$6</f>
        <v>2018</v>
      </c>
      <c r="T213" s="264">
        <f t="shared" si="94"/>
        <v>2019</v>
      </c>
      <c r="U213" s="264">
        <f t="shared" si="94"/>
        <v>2020</v>
      </c>
      <c r="V213" s="264">
        <f t="shared" si="94"/>
        <v>2021</v>
      </c>
      <c r="W213" s="264">
        <f t="shared" si="94"/>
        <v>2022</v>
      </c>
      <c r="X213" s="264">
        <f t="shared" si="94"/>
        <v>2023</v>
      </c>
      <c r="Y213" s="1148">
        <f t="shared" ref="Y213:AE213" si="95">Y$50</f>
        <v>2024</v>
      </c>
      <c r="Z213" s="1148">
        <f t="shared" si="95"/>
        <v>2025</v>
      </c>
      <c r="AA213" s="1148">
        <f t="shared" si="95"/>
        <v>2026</v>
      </c>
      <c r="AB213" s="1148">
        <f t="shared" si="95"/>
        <v>2027</v>
      </c>
      <c r="AC213" s="1148">
        <f t="shared" si="95"/>
        <v>2028</v>
      </c>
      <c r="AD213" s="1148">
        <f t="shared" si="95"/>
        <v>2029</v>
      </c>
      <c r="AE213" s="1148">
        <f t="shared" si="95"/>
        <v>2030</v>
      </c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</row>
    <row r="214" spans="1:82">
      <c r="A214" s="36" t="s">
        <v>731</v>
      </c>
      <c r="B214" s="256" t="e">
        <f>NA()</f>
        <v>#N/A</v>
      </c>
      <c r="C214" s="256" t="e">
        <f>NA()</f>
        <v>#N/A</v>
      </c>
      <c r="D214" s="256" t="e">
        <f>NA()</f>
        <v>#N/A</v>
      </c>
      <c r="E214" s="256" t="e">
        <f>NA()</f>
        <v>#N/A</v>
      </c>
      <c r="F214" s="256" t="e">
        <f>NA()</f>
        <v>#N/A</v>
      </c>
      <c r="G214" s="256" t="e">
        <f>NA()</f>
        <v>#N/A</v>
      </c>
      <c r="H214" s="256" t="e">
        <f>NA()</f>
        <v>#N/A</v>
      </c>
      <c r="I214" s="256" t="e">
        <f>NA()</f>
        <v>#N/A</v>
      </c>
      <c r="J214" s="256" t="e">
        <f>NA()</f>
        <v>#N/A</v>
      </c>
      <c r="K214" s="256" t="e">
        <f>NA()</f>
        <v>#N/A</v>
      </c>
      <c r="L214" s="256" t="e">
        <f>NA()</f>
        <v>#N/A</v>
      </c>
      <c r="M214" s="256" t="e">
        <f>NA()</f>
        <v>#N/A</v>
      </c>
      <c r="N214" s="256" t="e">
        <f>NA()</f>
        <v>#N/A</v>
      </c>
      <c r="O214" s="256" t="e">
        <f>NA()</f>
        <v>#N/A</v>
      </c>
      <c r="P214" s="245">
        <f t="shared" ref="P214:Z214" si="96">P194/O194-1</f>
        <v>0.1632246827569046</v>
      </c>
      <c r="Q214" s="245">
        <f t="shared" si="96"/>
        <v>0.1155080213903743</v>
      </c>
      <c r="R214" s="245">
        <f t="shared" si="96"/>
        <v>7.5359539789070062E-2</v>
      </c>
      <c r="S214" s="245">
        <f t="shared" si="96"/>
        <v>5.2246790299572021E-2</v>
      </c>
      <c r="T214" s="452">
        <f t="shared" si="96"/>
        <v>5.0669378071513282E-2</v>
      </c>
      <c r="U214" s="452">
        <f t="shared" si="96"/>
        <v>-0.53758064516129034</v>
      </c>
      <c r="V214" s="452">
        <f t="shared" si="96"/>
        <v>1.0756888733868153</v>
      </c>
      <c r="W214" s="452">
        <f t="shared" si="96"/>
        <v>0.27155099983196096</v>
      </c>
      <c r="X214" s="452">
        <f t="shared" si="96"/>
        <v>0.19003568124752213</v>
      </c>
      <c r="Y214" s="452">
        <f t="shared" si="96"/>
        <v>0.1251553303830657</v>
      </c>
      <c r="Z214" s="452">
        <f t="shared" si="96"/>
        <v>4.8074891963961308E-2</v>
      </c>
      <c r="AA214" s="452">
        <f t="shared" ref="AA214:AE216" si="97">AA194/Z194-1</f>
        <v>6.0667362508012745E-2</v>
      </c>
      <c r="AB214" s="452">
        <f t="shared" si="97"/>
        <v>5.6647123080981299E-2</v>
      </c>
      <c r="AC214" s="452">
        <f t="shared" si="97"/>
        <v>2.1974508756340994E-2</v>
      </c>
      <c r="AD214" s="452">
        <f t="shared" si="97"/>
        <v>4.4128778586783213E-2</v>
      </c>
      <c r="AE214" s="452">
        <f t="shared" si="97"/>
        <v>4.280562720465908E-2</v>
      </c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</row>
    <row r="215" spans="1:82">
      <c r="A215" s="36" t="s">
        <v>733</v>
      </c>
      <c r="B215" s="256" t="e">
        <f>NA()</f>
        <v>#N/A</v>
      </c>
      <c r="C215" s="256" t="e">
        <f>NA()</f>
        <v>#N/A</v>
      </c>
      <c r="D215" s="256" t="e">
        <f>NA()</f>
        <v>#N/A</v>
      </c>
      <c r="E215" s="256" t="e">
        <f>NA()</f>
        <v>#N/A</v>
      </c>
      <c r="F215" s="256" t="e">
        <f>NA()</f>
        <v>#N/A</v>
      </c>
      <c r="G215" s="256" t="e">
        <f>NA()</f>
        <v>#N/A</v>
      </c>
      <c r="H215" s="256" t="e">
        <f>NA()</f>
        <v>#N/A</v>
      </c>
      <c r="I215" s="256" t="e">
        <f>NA()</f>
        <v>#N/A</v>
      </c>
      <c r="J215" s="256" t="e">
        <f>NA()</f>
        <v>#N/A</v>
      </c>
      <c r="K215" s="256" t="e">
        <f>NA()</f>
        <v>#N/A</v>
      </c>
      <c r="L215" s="256" t="e">
        <f>NA()</f>
        <v>#N/A</v>
      </c>
      <c r="M215" s="256" t="e">
        <f>NA()</f>
        <v>#N/A</v>
      </c>
      <c r="N215" s="256" t="e">
        <f>NA()</f>
        <v>#N/A</v>
      </c>
      <c r="O215" s="256" t="e">
        <f>NA()</f>
        <v>#N/A</v>
      </c>
      <c r="P215" s="245">
        <f t="shared" ref="P215:Z215" si="98">P195/O195-1</f>
        <v>0.50368188512518408</v>
      </c>
      <c r="Q215" s="245">
        <f t="shared" si="98"/>
        <v>0.2017629774730656</v>
      </c>
      <c r="R215" s="245">
        <f t="shared" si="98"/>
        <v>0.27302363488182557</v>
      </c>
      <c r="S215" s="245">
        <f t="shared" si="98"/>
        <v>-9.8591549295774628E-2</v>
      </c>
      <c r="T215" s="452">
        <f t="shared" si="98"/>
        <v>-0.10298295454545459</v>
      </c>
      <c r="U215" s="452">
        <f t="shared" si="98"/>
        <v>-0.76484560570071258</v>
      </c>
      <c r="V215" s="452">
        <f t="shared" si="98"/>
        <v>3.2356902356902353</v>
      </c>
      <c r="W215" s="452">
        <f t="shared" si="98"/>
        <v>0.56438791732909377</v>
      </c>
      <c r="X215" s="452">
        <f t="shared" si="98"/>
        <v>0.12347560975609762</v>
      </c>
      <c r="Y215" s="452">
        <f t="shared" si="98"/>
        <v>-0.25839907487552005</v>
      </c>
      <c r="Z215" s="452">
        <f t="shared" si="98"/>
        <v>7.1595902695481994E-2</v>
      </c>
      <c r="AA215" s="452">
        <f t="shared" si="97"/>
        <v>5.1705893242404821E-2</v>
      </c>
      <c r="AB215" s="452">
        <f t="shared" si="97"/>
        <v>2.3881671546085004E-2</v>
      </c>
      <c r="AC215" s="452">
        <f t="shared" si="97"/>
        <v>3.0732299745646507E-2</v>
      </c>
      <c r="AD215" s="452">
        <f t="shared" si="97"/>
        <v>3.038357732882524E-2</v>
      </c>
      <c r="AE215" s="452">
        <f t="shared" si="97"/>
        <v>3.0016067037962557E-2</v>
      </c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</row>
    <row r="216" spans="1:82">
      <c r="A216" s="36" t="s">
        <v>949</v>
      </c>
      <c r="B216" s="256" t="e">
        <f>NA()</f>
        <v>#N/A</v>
      </c>
      <c r="C216" s="256" t="e">
        <f>NA()</f>
        <v>#N/A</v>
      </c>
      <c r="D216" s="256" t="e">
        <f>NA()</f>
        <v>#N/A</v>
      </c>
      <c r="E216" s="256" t="e">
        <f>NA()</f>
        <v>#N/A</v>
      </c>
      <c r="F216" s="256" t="e">
        <f>NA()</f>
        <v>#N/A</v>
      </c>
      <c r="G216" s="256" t="e">
        <f>NA()</f>
        <v>#N/A</v>
      </c>
      <c r="H216" s="256" t="e">
        <f>NA()</f>
        <v>#N/A</v>
      </c>
      <c r="I216" s="256" t="e">
        <f>NA()</f>
        <v>#N/A</v>
      </c>
      <c r="J216" s="256" t="e">
        <f>NA()</f>
        <v>#N/A</v>
      </c>
      <c r="K216" s="256" t="e">
        <f>NA()</f>
        <v>#N/A</v>
      </c>
      <c r="L216" s="256" t="e">
        <f>NA()</f>
        <v>#N/A</v>
      </c>
      <c r="M216" s="256" t="e">
        <f>NA()</f>
        <v>#N/A</v>
      </c>
      <c r="N216" s="256" t="e">
        <f>NA()</f>
        <v>#N/A</v>
      </c>
      <c r="O216" s="256" t="e">
        <f>NA()</f>
        <v>#N/A</v>
      </c>
      <c r="P216" s="245">
        <f t="shared" ref="P216:Z216" si="99">P196/O196-1</f>
        <v>2.7310344827586208</v>
      </c>
      <c r="Q216" s="245">
        <f t="shared" si="99"/>
        <v>0.38632162661737524</v>
      </c>
      <c r="R216" s="245">
        <f t="shared" si="99"/>
        <v>0.15066666666666673</v>
      </c>
      <c r="S216" s="245">
        <f t="shared" si="99"/>
        <v>0.1100811123986094</v>
      </c>
      <c r="T216" s="452">
        <f t="shared" si="99"/>
        <v>0.95772442588726503</v>
      </c>
      <c r="U216" s="452">
        <f t="shared" si="99"/>
        <v>-0.68355105305251929</v>
      </c>
      <c r="V216" s="452">
        <f t="shared" si="99"/>
        <v>1.8828980623420386</v>
      </c>
      <c r="W216" s="452">
        <f t="shared" si="99"/>
        <v>-5.7860900058445353E-2</v>
      </c>
      <c r="X216" s="452">
        <f t="shared" si="99"/>
        <v>9.8325062034739563E-2</v>
      </c>
      <c r="Y216" s="452">
        <f t="shared" si="99"/>
        <v>-1.7393389686434224E-2</v>
      </c>
      <c r="Z216" s="452">
        <f t="shared" si="99"/>
        <v>0.14581959112692733</v>
      </c>
      <c r="AA216" s="452">
        <f t="shared" si="97"/>
        <v>9.6424605109636241E-2</v>
      </c>
      <c r="AB216" s="452">
        <f t="shared" si="97"/>
        <v>8.6857972657378824E-2</v>
      </c>
      <c r="AC216" s="452">
        <f t="shared" si="97"/>
        <v>2.7622797045562253E-2</v>
      </c>
      <c r="AD216" s="452">
        <f t="shared" si="97"/>
        <v>7.8854058208330358E-2</v>
      </c>
      <c r="AE216" s="452">
        <f t="shared" si="97"/>
        <v>7.6318643194807301E-2</v>
      </c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</row>
    <row r="217" spans="1:82">
      <c r="A217" s="36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329"/>
      <c r="U217" s="329"/>
      <c r="V217" s="329"/>
      <c r="W217" s="329"/>
      <c r="X217" s="329"/>
      <c r="Y217" s="329"/>
      <c r="Z217" s="32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</row>
    <row r="218" spans="1:82">
      <c r="A218" s="242" t="s">
        <v>875</v>
      </c>
      <c r="B218" s="264">
        <v>2001</v>
      </c>
      <c r="C218" s="264">
        <v>2002</v>
      </c>
      <c r="D218" s="264">
        <v>2003</v>
      </c>
      <c r="E218" s="264">
        <v>2004</v>
      </c>
      <c r="F218" s="264">
        <v>2005</v>
      </c>
      <c r="G218" s="264">
        <v>2006</v>
      </c>
      <c r="H218" s="264">
        <v>2007</v>
      </c>
      <c r="I218" s="264">
        <v>2008</v>
      </c>
      <c r="J218" s="264">
        <f t="shared" ref="J218:R218" si="100">J$50</f>
        <v>2009</v>
      </c>
      <c r="K218" s="264">
        <f t="shared" si="100"/>
        <v>2010</v>
      </c>
      <c r="L218" s="264">
        <f t="shared" si="100"/>
        <v>2011</v>
      </c>
      <c r="M218" s="264">
        <f t="shared" si="100"/>
        <v>2012</v>
      </c>
      <c r="N218" s="264">
        <f t="shared" si="100"/>
        <v>2013</v>
      </c>
      <c r="O218" s="264">
        <f t="shared" si="100"/>
        <v>2014</v>
      </c>
      <c r="P218" s="264">
        <f t="shared" si="100"/>
        <v>2015</v>
      </c>
      <c r="Q218" s="264">
        <f t="shared" si="100"/>
        <v>2016</v>
      </c>
      <c r="R218" s="264">
        <f t="shared" si="100"/>
        <v>2017</v>
      </c>
      <c r="S218" s="264">
        <f t="shared" ref="S218:X218" si="101">S$6</f>
        <v>2018</v>
      </c>
      <c r="T218" s="264">
        <f t="shared" si="101"/>
        <v>2019</v>
      </c>
      <c r="U218" s="264">
        <f t="shared" si="101"/>
        <v>2020</v>
      </c>
      <c r="V218" s="264">
        <f t="shared" si="101"/>
        <v>2021</v>
      </c>
      <c r="W218" s="264">
        <f t="shared" si="101"/>
        <v>2022</v>
      </c>
      <c r="X218" s="264">
        <f t="shared" si="101"/>
        <v>2023</v>
      </c>
      <c r="Y218" s="594">
        <f t="shared" ref="Y218:AE218" si="102">Y$50</f>
        <v>2024</v>
      </c>
      <c r="Z218" s="594">
        <f t="shared" si="102"/>
        <v>2025</v>
      </c>
      <c r="AA218" s="594">
        <f t="shared" si="102"/>
        <v>2026</v>
      </c>
      <c r="AB218" s="594">
        <f t="shared" si="102"/>
        <v>2027</v>
      </c>
      <c r="AC218" s="594">
        <f t="shared" si="102"/>
        <v>2028</v>
      </c>
      <c r="AD218" s="594">
        <f t="shared" si="102"/>
        <v>2029</v>
      </c>
      <c r="AE218" s="594">
        <f t="shared" si="102"/>
        <v>2030</v>
      </c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</row>
    <row r="219" spans="1:82">
      <c r="A219" s="244" t="s">
        <v>200</v>
      </c>
      <c r="B219" s="92" t="e">
        <f>NA()</f>
        <v>#N/A</v>
      </c>
      <c r="C219" s="92" t="e">
        <f>NA()</f>
        <v>#N/A</v>
      </c>
      <c r="D219" s="92" t="e">
        <f>NA()</f>
        <v>#N/A</v>
      </c>
      <c r="E219" s="92" t="e">
        <f>NA()</f>
        <v>#N/A</v>
      </c>
      <c r="F219" s="92" t="e">
        <f>NA()</f>
        <v>#N/A</v>
      </c>
      <c r="G219" s="92" t="e">
        <f>NA()</f>
        <v>#N/A</v>
      </c>
      <c r="H219" s="92" t="e">
        <f>NA()</f>
        <v>#N/A</v>
      </c>
      <c r="I219" s="92" t="e">
        <f>NA()</f>
        <v>#N/A</v>
      </c>
      <c r="J219" s="92" t="e">
        <f>NA()</f>
        <v>#N/A</v>
      </c>
      <c r="K219" s="92" t="e">
        <f>NA()</f>
        <v>#N/A</v>
      </c>
      <c r="L219" s="92" t="e">
        <f>NA()</f>
        <v>#N/A</v>
      </c>
      <c r="M219" s="92" t="e">
        <f>NA()</f>
        <v>#N/A</v>
      </c>
      <c r="N219" s="92" t="e">
        <f>NA()</f>
        <v>#N/A</v>
      </c>
      <c r="O219" s="92">
        <f>Base!O73</f>
        <v>4019</v>
      </c>
      <c r="P219" s="92">
        <f>Base!P73</f>
        <v>4675</v>
      </c>
      <c r="Q219" s="92">
        <f>Base!Q73</f>
        <v>5215</v>
      </c>
      <c r="R219" s="92">
        <f>Base!R73</f>
        <v>5608</v>
      </c>
      <c r="S219" s="92">
        <f>Base!S73</f>
        <v>5901</v>
      </c>
      <c r="T219" s="329">
        <f>Base!T73</f>
        <v>6200</v>
      </c>
      <c r="U219" s="329">
        <f>Base!U73</f>
        <v>2867</v>
      </c>
      <c r="V219" s="329">
        <f>Base!V73</f>
        <v>5951</v>
      </c>
      <c r="W219" s="329">
        <f>Base!W73</f>
        <v>7567</v>
      </c>
      <c r="X219" s="329">
        <f>Base!X73</f>
        <v>9005</v>
      </c>
      <c r="Y219" s="329">
        <f>Base!Y73</f>
        <v>10301.314301112398</v>
      </c>
      <c r="Z219" s="329">
        <f>Base!Z73</f>
        <v>11048.977753002166</v>
      </c>
      <c r="AA219" s="329">
        <f>Base!AA73</f>
        <v>11881.386195030213</v>
      </c>
      <c r="AB219" s="329">
        <f>Base!AB73</f>
        <v>12712.769677410242</v>
      </c>
      <c r="AC219" s="329">
        <f>Base!AC73</f>
        <v>13412.992439925425</v>
      </c>
      <c r="AD219" s="329">
        <f>Base!AD73</f>
        <v>14145.615937331679</v>
      </c>
      <c r="AE219" s="329">
        <f>Base!AE73</f>
        <v>14896.687975484305</v>
      </c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</row>
    <row r="220" spans="1:82">
      <c r="A220" s="244" t="s">
        <v>201</v>
      </c>
      <c r="B220" s="92" t="e">
        <f>NA()</f>
        <v>#N/A</v>
      </c>
      <c r="C220" s="92" t="e">
        <f>NA()</f>
        <v>#N/A</v>
      </c>
      <c r="D220" s="92" t="e">
        <f>NA()</f>
        <v>#N/A</v>
      </c>
      <c r="E220" s="92" t="e">
        <f>NA()</f>
        <v>#N/A</v>
      </c>
      <c r="F220" s="92" t="e">
        <f>NA()</f>
        <v>#N/A</v>
      </c>
      <c r="G220" s="92" t="e">
        <f>NA()</f>
        <v>#N/A</v>
      </c>
      <c r="H220" s="92" t="e">
        <f>NA()</f>
        <v>#N/A</v>
      </c>
      <c r="I220" s="92" t="e">
        <f>NA()</f>
        <v>#N/A</v>
      </c>
      <c r="J220" s="92" t="e">
        <f>NA()</f>
        <v>#N/A</v>
      </c>
      <c r="K220" s="92" t="e">
        <f>NA()</f>
        <v>#N/A</v>
      </c>
      <c r="L220" s="92" t="e">
        <f>NA()</f>
        <v>#N/A</v>
      </c>
      <c r="M220" s="92" t="e">
        <f>NA()</f>
        <v>#N/A</v>
      </c>
      <c r="N220" s="92" t="e">
        <f>NA()</f>
        <v>#N/A</v>
      </c>
      <c r="O220" s="92">
        <f>Bull!O73</f>
        <v>4019</v>
      </c>
      <c r="P220" s="92">
        <f>Bull!P73</f>
        <v>4675</v>
      </c>
      <c r="Q220" s="92">
        <f>Bull!Q73</f>
        <v>5215</v>
      </c>
      <c r="R220" s="92">
        <f>Bull!R73</f>
        <v>5608</v>
      </c>
      <c r="S220" s="92">
        <f>Bull!S73</f>
        <v>5901</v>
      </c>
      <c r="T220" s="329">
        <f>Bull!T73</f>
        <v>6200</v>
      </c>
      <c r="U220" s="329">
        <f>Bull!U73</f>
        <v>2867</v>
      </c>
      <c r="V220" s="329">
        <f>Bull!V73</f>
        <v>5951</v>
      </c>
      <c r="W220" s="329">
        <f>Bull!W73</f>
        <v>7567</v>
      </c>
      <c r="X220" s="329">
        <f>Bull!X73</f>
        <v>9005</v>
      </c>
      <c r="Y220" s="329">
        <f>Bull!Y73</f>
        <v>10373.045949291278</v>
      </c>
      <c r="Z220" s="329">
        <f>Bull!Z73</f>
        <v>11218.978322246139</v>
      </c>
      <c r="AA220" s="329">
        <f>Bull!AA73</f>
        <v>12114.929600251369</v>
      </c>
      <c r="AB220" s="329">
        <f>Bull!AB73</f>
        <v>13017.043292589549</v>
      </c>
      <c r="AC220" s="329">
        <f>Bull!AC73</f>
        <v>13777.196519839732</v>
      </c>
      <c r="AD220" s="329">
        <f>Bull!AD73</f>
        <v>14575.247800070147</v>
      </c>
      <c r="AE220" s="329">
        <f>Bull!AE73</f>
        <v>15397.131640054633</v>
      </c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</row>
    <row r="221" spans="1:82">
      <c r="A221" s="244" t="s">
        <v>202</v>
      </c>
      <c r="B221" s="92" t="e">
        <f>NA()</f>
        <v>#N/A</v>
      </c>
      <c r="C221" s="92" t="e">
        <f>NA()</f>
        <v>#N/A</v>
      </c>
      <c r="D221" s="92" t="e">
        <f>NA()</f>
        <v>#N/A</v>
      </c>
      <c r="E221" s="92" t="e">
        <f>NA()</f>
        <v>#N/A</v>
      </c>
      <c r="F221" s="92" t="e">
        <f>NA()</f>
        <v>#N/A</v>
      </c>
      <c r="G221" s="92" t="e">
        <f>NA()</f>
        <v>#N/A</v>
      </c>
      <c r="H221" s="92" t="e">
        <f>NA()</f>
        <v>#N/A</v>
      </c>
      <c r="I221" s="92" t="e">
        <f>NA()</f>
        <v>#N/A</v>
      </c>
      <c r="J221" s="92" t="e">
        <f>NA()</f>
        <v>#N/A</v>
      </c>
      <c r="K221" s="92" t="e">
        <f>NA()</f>
        <v>#N/A</v>
      </c>
      <c r="L221" s="92" t="e">
        <f>NA()</f>
        <v>#N/A</v>
      </c>
      <c r="M221" s="92" t="e">
        <f>NA()</f>
        <v>#N/A</v>
      </c>
      <c r="N221" s="92" t="e">
        <f>NA()</f>
        <v>#N/A</v>
      </c>
      <c r="O221" s="92">
        <f>Bear!O73</f>
        <v>4019</v>
      </c>
      <c r="P221" s="92">
        <f>Bear!P73</f>
        <v>4675</v>
      </c>
      <c r="Q221" s="92">
        <f>Bear!Q73</f>
        <v>5215</v>
      </c>
      <c r="R221" s="92">
        <f>Bear!R73</f>
        <v>5608</v>
      </c>
      <c r="S221" s="92">
        <f>Bear!S73</f>
        <v>5901</v>
      </c>
      <c r="T221" s="329">
        <f>Bear!T73</f>
        <v>6200</v>
      </c>
      <c r="U221" s="329">
        <f>Bear!U73</f>
        <v>2867</v>
      </c>
      <c r="V221" s="329">
        <f>Bear!V73</f>
        <v>5951</v>
      </c>
      <c r="W221" s="329">
        <f>Bear!W73</f>
        <v>7567</v>
      </c>
      <c r="X221" s="329">
        <f>Bear!X73</f>
        <v>9005</v>
      </c>
      <c r="Y221" s="329">
        <f>Bear!Y73</f>
        <v>10132.023750099506</v>
      </c>
      <c r="Z221" s="329">
        <f>Bear!Z73</f>
        <v>10619.119697261831</v>
      </c>
      <c r="AA221" s="329">
        <f>Bear!AA73</f>
        <v>11263.353681451592</v>
      </c>
      <c r="AB221" s="329">
        <f>Bear!AB73</f>
        <v>11901.390263749405</v>
      </c>
      <c r="AC221" s="329">
        <f>Bear!AC73</f>
        <v>12162.917468312797</v>
      </c>
      <c r="AD221" s="329">
        <f>Bear!AD73</f>
        <v>12699.65216024129</v>
      </c>
      <c r="AE221" s="329">
        <f>Bear!AE73</f>
        <v>13243.268736241422</v>
      </c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</row>
    <row r="222" spans="1:82">
      <c r="A222" s="244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329"/>
      <c r="U222" s="329"/>
      <c r="V222" s="329"/>
      <c r="W222" s="329"/>
      <c r="X222" s="329"/>
      <c r="Y222" s="329"/>
      <c r="Z222" s="329"/>
      <c r="AA222" s="329"/>
      <c r="AB222" s="329"/>
      <c r="AC222" s="329"/>
      <c r="AD222" s="329"/>
      <c r="AE222" s="32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</row>
    <row r="223" spans="1:82">
      <c r="A223" s="242" t="s">
        <v>877</v>
      </c>
      <c r="B223" s="264">
        <v>2001</v>
      </c>
      <c r="C223" s="264">
        <v>2002</v>
      </c>
      <c r="D223" s="264">
        <v>2003</v>
      </c>
      <c r="E223" s="264">
        <v>2004</v>
      </c>
      <c r="F223" s="264">
        <v>2005</v>
      </c>
      <c r="G223" s="264">
        <v>2006</v>
      </c>
      <c r="H223" s="264">
        <v>2007</v>
      </c>
      <c r="I223" s="264">
        <v>2008</v>
      </c>
      <c r="J223" s="264">
        <f t="shared" ref="J223:R223" si="103">J$50</f>
        <v>2009</v>
      </c>
      <c r="K223" s="264">
        <f t="shared" si="103"/>
        <v>2010</v>
      </c>
      <c r="L223" s="264">
        <f t="shared" si="103"/>
        <v>2011</v>
      </c>
      <c r="M223" s="264">
        <f t="shared" si="103"/>
        <v>2012</v>
      </c>
      <c r="N223" s="264">
        <f t="shared" si="103"/>
        <v>2013</v>
      </c>
      <c r="O223" s="264">
        <f t="shared" si="103"/>
        <v>2014</v>
      </c>
      <c r="P223" s="264">
        <f t="shared" si="103"/>
        <v>2015</v>
      </c>
      <c r="Q223" s="264">
        <f t="shared" si="103"/>
        <v>2016</v>
      </c>
      <c r="R223" s="264">
        <f t="shared" si="103"/>
        <v>2017</v>
      </c>
      <c r="S223" s="264">
        <f t="shared" ref="S223:X223" si="104">S$6</f>
        <v>2018</v>
      </c>
      <c r="T223" s="264">
        <f t="shared" si="104"/>
        <v>2019</v>
      </c>
      <c r="U223" s="264">
        <f t="shared" si="104"/>
        <v>2020</v>
      </c>
      <c r="V223" s="264">
        <f t="shared" si="104"/>
        <v>2021</v>
      </c>
      <c r="W223" s="264">
        <f t="shared" si="104"/>
        <v>2022</v>
      </c>
      <c r="X223" s="264">
        <f t="shared" si="104"/>
        <v>2023</v>
      </c>
      <c r="Y223" s="594">
        <f t="shared" ref="Y223:AE223" si="105">Y$50</f>
        <v>2024</v>
      </c>
      <c r="Z223" s="594">
        <f t="shared" si="105"/>
        <v>2025</v>
      </c>
      <c r="AA223" s="594">
        <f t="shared" si="105"/>
        <v>2026</v>
      </c>
      <c r="AB223" s="594">
        <f t="shared" si="105"/>
        <v>2027</v>
      </c>
      <c r="AC223" s="594">
        <f t="shared" si="105"/>
        <v>2028</v>
      </c>
      <c r="AD223" s="594">
        <f t="shared" si="105"/>
        <v>2029</v>
      </c>
      <c r="AE223" s="594">
        <f t="shared" si="105"/>
        <v>2030</v>
      </c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</row>
    <row r="224" spans="1:82">
      <c r="A224" s="244" t="s">
        <v>200</v>
      </c>
      <c r="B224" s="92" t="e">
        <f>NA()</f>
        <v>#N/A</v>
      </c>
      <c r="C224" s="92" t="e">
        <f>NA()</f>
        <v>#N/A</v>
      </c>
      <c r="D224" s="92" t="e">
        <f>NA()</f>
        <v>#N/A</v>
      </c>
      <c r="E224" s="92" t="e">
        <f>NA()</f>
        <v>#N/A</v>
      </c>
      <c r="F224" s="92" t="e">
        <f>NA()</f>
        <v>#N/A</v>
      </c>
      <c r="G224" s="92" t="e">
        <f>NA()</f>
        <v>#N/A</v>
      </c>
      <c r="H224" s="92" t="e">
        <f>NA()</f>
        <v>#N/A</v>
      </c>
      <c r="I224" s="92" t="e">
        <f>NA()</f>
        <v>#N/A</v>
      </c>
      <c r="J224" s="92" t="e">
        <f>NA()</f>
        <v>#N/A</v>
      </c>
      <c r="K224" s="92" t="e">
        <f>NA()</f>
        <v>#N/A</v>
      </c>
      <c r="L224" s="92" t="e">
        <f>NA()</f>
        <v>#N/A</v>
      </c>
      <c r="M224" s="92" t="e">
        <f>NA()</f>
        <v>#N/A</v>
      </c>
      <c r="N224" s="92" t="e">
        <f>NA()</f>
        <v>#N/A</v>
      </c>
      <c r="O224" s="257">
        <f>Base!O81</f>
        <v>0.19445519643893941</v>
      </c>
      <c r="P224" s="257">
        <f>Base!P81</f>
        <v>0.2349718536389224</v>
      </c>
      <c r="Q224" s="257">
        <f>Base!Q81</f>
        <v>0.23719639770763212</v>
      </c>
      <c r="R224" s="257">
        <f>Base!R81</f>
        <v>0.23685433120750096</v>
      </c>
      <c r="S224" s="257">
        <f>Base!S81</f>
        <v>0.2317571282695782</v>
      </c>
      <c r="T224" s="452">
        <f>Base!T81</f>
        <v>0.22779880221920124</v>
      </c>
      <c r="U224" s="452">
        <f>Base!U81</f>
        <v>0.1503645041170609</v>
      </c>
      <c r="V224" s="452">
        <f>Base!V81</f>
        <v>0.22875264270613108</v>
      </c>
      <c r="W224" s="452">
        <f>Base!W81</f>
        <v>0.2260965698577746</v>
      </c>
      <c r="X224" s="452">
        <f>Base!X81</f>
        <v>0.22879719497941969</v>
      </c>
      <c r="Y224" s="452">
        <f>Base!Y81</f>
        <v>0.23784280180607983</v>
      </c>
      <c r="Z224" s="452">
        <f>Base!Z81</f>
        <v>0.23784343211492265</v>
      </c>
      <c r="AA224" s="452">
        <f>Base!AA81</f>
        <v>0.23785037355315886</v>
      </c>
      <c r="AB224" s="452">
        <f>Base!AB81</f>
        <v>0.23785355394819771</v>
      </c>
      <c r="AC224" s="452">
        <f>Base!AC81</f>
        <v>0.23785286430443711</v>
      </c>
      <c r="AD224" s="452">
        <f>Base!AD81</f>
        <v>0.23785219347587619</v>
      </c>
      <c r="AE224" s="452">
        <f>Base!AE81</f>
        <v>0.23785510389458306</v>
      </c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</row>
    <row r="225" spans="1:82">
      <c r="A225" s="244" t="s">
        <v>201</v>
      </c>
      <c r="B225" s="92" t="e">
        <f>NA()</f>
        <v>#N/A</v>
      </c>
      <c r="C225" s="92" t="e">
        <f>NA()</f>
        <v>#N/A</v>
      </c>
      <c r="D225" s="92" t="e">
        <f>NA()</f>
        <v>#N/A</v>
      </c>
      <c r="E225" s="92" t="e">
        <f>NA()</f>
        <v>#N/A</v>
      </c>
      <c r="F225" s="92" t="e">
        <f>NA()</f>
        <v>#N/A</v>
      </c>
      <c r="G225" s="92" t="e">
        <f>NA()</f>
        <v>#N/A</v>
      </c>
      <c r="H225" s="92" t="e">
        <f>NA()</f>
        <v>#N/A</v>
      </c>
      <c r="I225" s="92" t="e">
        <f>NA()</f>
        <v>#N/A</v>
      </c>
      <c r="J225" s="92" t="e">
        <f>NA()</f>
        <v>#N/A</v>
      </c>
      <c r="K225" s="92" t="e">
        <f>NA()</f>
        <v>#N/A</v>
      </c>
      <c r="L225" s="92" t="e">
        <f>NA()</f>
        <v>#N/A</v>
      </c>
      <c r="M225" s="92" t="e">
        <f>NA()</f>
        <v>#N/A</v>
      </c>
      <c r="N225" s="92" t="e">
        <f>NA()</f>
        <v>#N/A</v>
      </c>
      <c r="O225" s="257">
        <f>Bull!O81</f>
        <v>0.19445519643893941</v>
      </c>
      <c r="P225" s="257">
        <f>Bull!P81</f>
        <v>0.2349718536389224</v>
      </c>
      <c r="Q225" s="257">
        <f>Bull!Q81</f>
        <v>0.23719639770763212</v>
      </c>
      <c r="R225" s="257">
        <f>Bull!R81</f>
        <v>0.23685433120750096</v>
      </c>
      <c r="S225" s="257">
        <f>Bull!S81</f>
        <v>0.2317571282695782</v>
      </c>
      <c r="T225" s="453">
        <f>Bull!T81</f>
        <v>0.22779880221920124</v>
      </c>
      <c r="U225" s="453">
        <f>Bull!U81</f>
        <v>0.1503645041170609</v>
      </c>
      <c r="V225" s="453">
        <f>Bull!V81</f>
        <v>0.22875264270613108</v>
      </c>
      <c r="W225" s="453">
        <f>Bull!W81</f>
        <v>0.2260965698577746</v>
      </c>
      <c r="X225" s="453">
        <f>Bull!X81</f>
        <v>0.22879719497941969</v>
      </c>
      <c r="Y225" s="453">
        <f>Bull!Y81</f>
        <v>0.23887009047031696</v>
      </c>
      <c r="Z225" s="453">
        <f>Bull!Z81</f>
        <v>0.23983039641460743</v>
      </c>
      <c r="AA225" s="453">
        <f>Bull!AA81</f>
        <v>0.23983756667644332</v>
      </c>
      <c r="AB225" s="453">
        <f>Bull!AB81</f>
        <v>0.23984096920099787</v>
      </c>
      <c r="AC225" s="453">
        <f>Bull!AC81</f>
        <v>0.23984046255155733</v>
      </c>
      <c r="AD225" s="453">
        <f>Bull!AD81</f>
        <v>0.23983997928700967</v>
      </c>
      <c r="AE225" s="453">
        <f>Bull!AE81</f>
        <v>0.23984307074503716</v>
      </c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</row>
    <row r="226" spans="1:82">
      <c r="A226" s="244" t="s">
        <v>202</v>
      </c>
      <c r="B226" s="92" t="e">
        <f>NA()</f>
        <v>#N/A</v>
      </c>
      <c r="C226" s="92" t="e">
        <f>NA()</f>
        <v>#N/A</v>
      </c>
      <c r="D226" s="92" t="e">
        <f>NA()</f>
        <v>#N/A</v>
      </c>
      <c r="E226" s="92" t="e">
        <f>NA()</f>
        <v>#N/A</v>
      </c>
      <c r="F226" s="92" t="e">
        <f>NA()</f>
        <v>#N/A</v>
      </c>
      <c r="G226" s="92" t="e">
        <f>NA()</f>
        <v>#N/A</v>
      </c>
      <c r="H226" s="92" t="e">
        <f>NA()</f>
        <v>#N/A</v>
      </c>
      <c r="I226" s="92" t="e">
        <f>NA()</f>
        <v>#N/A</v>
      </c>
      <c r="J226" s="92" t="e">
        <f>NA()</f>
        <v>#N/A</v>
      </c>
      <c r="K226" s="92" t="e">
        <f>NA()</f>
        <v>#N/A</v>
      </c>
      <c r="L226" s="92" t="e">
        <f>NA()</f>
        <v>#N/A</v>
      </c>
      <c r="M226" s="92" t="e">
        <f>NA()</f>
        <v>#N/A</v>
      </c>
      <c r="N226" s="92" t="e">
        <f>NA()</f>
        <v>#N/A</v>
      </c>
      <c r="O226" s="257">
        <f>Bear!O81</f>
        <v>0.19445519643893941</v>
      </c>
      <c r="P226" s="257">
        <f>Bear!P81</f>
        <v>0.2349718536389224</v>
      </c>
      <c r="Q226" s="257">
        <f>Bear!Q81</f>
        <v>0.23719639770763212</v>
      </c>
      <c r="R226" s="257">
        <f>Bear!R81</f>
        <v>0.23685433120750096</v>
      </c>
      <c r="S226" s="257">
        <f>Bear!S81</f>
        <v>0.2317571282695782</v>
      </c>
      <c r="T226" s="453">
        <f>Bear!T81</f>
        <v>0.22779880221920124</v>
      </c>
      <c r="U226" s="453">
        <f>Bear!U81</f>
        <v>0.1503645041170609</v>
      </c>
      <c r="V226" s="453">
        <f>Bear!V81</f>
        <v>0.22875264270613108</v>
      </c>
      <c r="W226" s="453">
        <f>Bear!W81</f>
        <v>0.2260965698577746</v>
      </c>
      <c r="X226" s="453">
        <f>Bear!X81</f>
        <v>0.22879719497941969</v>
      </c>
      <c r="Y226" s="453">
        <f>Bear!Y81</f>
        <v>0.23529135579100743</v>
      </c>
      <c r="Z226" s="453">
        <f>Bear!Z81</f>
        <v>0.23287866550961106</v>
      </c>
      <c r="AA226" s="453">
        <f>Bear!AA81</f>
        <v>0.23288245341338293</v>
      </c>
      <c r="AB226" s="453">
        <f>Bear!AB81</f>
        <v>0.23288508354672782</v>
      </c>
      <c r="AC226" s="453">
        <f>Bear!AC81</f>
        <v>0.22788395210611792</v>
      </c>
      <c r="AD226" s="453">
        <f>Bear!AD81</f>
        <v>0.22788282674035559</v>
      </c>
      <c r="AE226" s="453">
        <f>Bear!AE81</f>
        <v>0.22788503960381304</v>
      </c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</row>
    <row r="227" spans="1:82">
      <c r="A227" s="36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329"/>
      <c r="U227" s="329"/>
      <c r="V227" s="329"/>
      <c r="W227" s="329"/>
      <c r="X227" s="329"/>
      <c r="Y227" s="329"/>
      <c r="Z227" s="329"/>
      <c r="AA227" s="329"/>
      <c r="AB227" s="329"/>
      <c r="AC227" s="329"/>
      <c r="AD227" s="329"/>
      <c r="AE227" s="32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</row>
    <row r="228" spans="1:82">
      <c r="A228" s="242" t="s">
        <v>876</v>
      </c>
      <c r="B228" s="264">
        <v>2001</v>
      </c>
      <c r="C228" s="264">
        <v>2002</v>
      </c>
      <c r="D228" s="264">
        <v>2003</v>
      </c>
      <c r="E228" s="264">
        <v>2004</v>
      </c>
      <c r="F228" s="264">
        <v>2005</v>
      </c>
      <c r="G228" s="264">
        <v>2006</v>
      </c>
      <c r="H228" s="264">
        <v>2007</v>
      </c>
      <c r="I228" s="264">
        <v>2008</v>
      </c>
      <c r="J228" s="264">
        <f t="shared" ref="J228:R228" si="106">J$50</f>
        <v>2009</v>
      </c>
      <c r="K228" s="264">
        <f t="shared" si="106"/>
        <v>2010</v>
      </c>
      <c r="L228" s="264">
        <f t="shared" si="106"/>
        <v>2011</v>
      </c>
      <c r="M228" s="264">
        <f t="shared" si="106"/>
        <v>2012</v>
      </c>
      <c r="N228" s="264">
        <f t="shared" si="106"/>
        <v>2013</v>
      </c>
      <c r="O228" s="264">
        <f t="shared" si="106"/>
        <v>2014</v>
      </c>
      <c r="P228" s="264">
        <f t="shared" si="106"/>
        <v>2015</v>
      </c>
      <c r="Q228" s="264">
        <f t="shared" si="106"/>
        <v>2016</v>
      </c>
      <c r="R228" s="264">
        <f t="shared" si="106"/>
        <v>2017</v>
      </c>
      <c r="S228" s="264">
        <f t="shared" ref="S228:X228" si="107">S$6</f>
        <v>2018</v>
      </c>
      <c r="T228" s="264">
        <f t="shared" si="107"/>
        <v>2019</v>
      </c>
      <c r="U228" s="264">
        <f t="shared" si="107"/>
        <v>2020</v>
      </c>
      <c r="V228" s="264">
        <f t="shared" si="107"/>
        <v>2021</v>
      </c>
      <c r="W228" s="264">
        <f t="shared" si="107"/>
        <v>2022</v>
      </c>
      <c r="X228" s="264">
        <f t="shared" si="107"/>
        <v>2023</v>
      </c>
      <c r="Y228" s="594">
        <f t="shared" ref="Y228:AE228" si="108">Y$50</f>
        <v>2024</v>
      </c>
      <c r="Z228" s="594">
        <f t="shared" si="108"/>
        <v>2025</v>
      </c>
      <c r="AA228" s="594">
        <f t="shared" si="108"/>
        <v>2026</v>
      </c>
      <c r="AB228" s="594">
        <f t="shared" si="108"/>
        <v>2027</v>
      </c>
      <c r="AC228" s="594">
        <f t="shared" si="108"/>
        <v>2028</v>
      </c>
      <c r="AD228" s="594">
        <f t="shared" si="108"/>
        <v>2029</v>
      </c>
      <c r="AE228" s="594">
        <f t="shared" si="108"/>
        <v>2030</v>
      </c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</row>
    <row r="229" spans="1:82">
      <c r="A229" s="244" t="s">
        <v>200</v>
      </c>
      <c r="B229" s="92" t="e">
        <f>NA()</f>
        <v>#N/A</v>
      </c>
      <c r="C229" s="92" t="e">
        <f>NA()</f>
        <v>#N/A</v>
      </c>
      <c r="D229" s="92" t="e">
        <f>NA()</f>
        <v>#N/A</v>
      </c>
      <c r="E229" s="92" t="e">
        <f>NA()</f>
        <v>#N/A</v>
      </c>
      <c r="F229" s="92" t="e">
        <f>NA()</f>
        <v>#N/A</v>
      </c>
      <c r="G229" s="92" t="e">
        <f>NA()</f>
        <v>#N/A</v>
      </c>
      <c r="H229" s="92" t="e">
        <f>NA()</f>
        <v>#N/A</v>
      </c>
      <c r="I229" s="92" t="e">
        <f>NA()</f>
        <v>#N/A</v>
      </c>
      <c r="J229" s="92" t="e">
        <f>NA()</f>
        <v>#N/A</v>
      </c>
      <c r="K229" s="92" t="e">
        <f>NA()</f>
        <v>#N/A</v>
      </c>
      <c r="L229" s="92" t="e">
        <f>NA()</f>
        <v>#N/A</v>
      </c>
      <c r="M229" s="92" t="e">
        <f>NA()</f>
        <v>#N/A</v>
      </c>
      <c r="N229" s="92" t="e">
        <f>NA()</f>
        <v>#N/A</v>
      </c>
      <c r="O229" s="92">
        <f>Base!O75</f>
        <v>679</v>
      </c>
      <c r="P229" s="92">
        <f>Base!P75</f>
        <v>1021</v>
      </c>
      <c r="Q229" s="92">
        <f>Base!Q75</f>
        <v>1227</v>
      </c>
      <c r="R229" s="92">
        <f>Base!R75</f>
        <v>1562</v>
      </c>
      <c r="S229" s="92">
        <f>Base!S75</f>
        <v>1408</v>
      </c>
      <c r="T229" s="329">
        <f>Base!T75</f>
        <v>1263</v>
      </c>
      <c r="U229" s="329">
        <f>Base!U75</f>
        <v>297</v>
      </c>
      <c r="V229" s="329">
        <f>Base!V75</f>
        <v>1258</v>
      </c>
      <c r="W229" s="329">
        <f>Base!W75</f>
        <v>1968</v>
      </c>
      <c r="X229" s="329">
        <f>Base!X75</f>
        <v>2211</v>
      </c>
      <c r="Y229" s="329">
        <f>Base!Y75</f>
        <v>1776.3185900538731</v>
      </c>
      <c r="Z229" s="329">
        <f>Base!Z75</f>
        <v>2028.5291556667562</v>
      </c>
      <c r="AA229" s="329">
        <f>Base!AA75</f>
        <v>2207.1720108766503</v>
      </c>
      <c r="AB229" s="329">
        <f>Base!AB75</f>
        <v>2322.755027355101</v>
      </c>
      <c r="AC229" s="329">
        <f>Base!AC75</f>
        <v>2424.8801730773166</v>
      </c>
      <c r="AD229" s="329">
        <f>Base!AD75</f>
        <v>2529.3787151583501</v>
      </c>
      <c r="AE229" s="329">
        <f>Base!AE75</f>
        <v>2637.2195067039661</v>
      </c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</row>
    <row r="230" spans="1:82">
      <c r="A230" s="244" t="s">
        <v>201</v>
      </c>
      <c r="B230" s="92" t="e">
        <f>NA()</f>
        <v>#N/A</v>
      </c>
      <c r="C230" s="92" t="e">
        <f>NA()</f>
        <v>#N/A</v>
      </c>
      <c r="D230" s="92" t="e">
        <f>NA()</f>
        <v>#N/A</v>
      </c>
      <c r="E230" s="92" t="e">
        <f>NA()</f>
        <v>#N/A</v>
      </c>
      <c r="F230" s="92" t="e">
        <f>NA()</f>
        <v>#N/A</v>
      </c>
      <c r="G230" s="92" t="e">
        <f>NA()</f>
        <v>#N/A</v>
      </c>
      <c r="H230" s="92" t="e">
        <f>NA()</f>
        <v>#N/A</v>
      </c>
      <c r="I230" s="92" t="e">
        <f>NA()</f>
        <v>#N/A</v>
      </c>
      <c r="J230" s="92" t="e">
        <f>NA()</f>
        <v>#N/A</v>
      </c>
      <c r="K230" s="92" t="e">
        <f>NA()</f>
        <v>#N/A</v>
      </c>
      <c r="L230" s="92" t="e">
        <f>NA()</f>
        <v>#N/A</v>
      </c>
      <c r="M230" s="92" t="e">
        <f>NA()</f>
        <v>#N/A</v>
      </c>
      <c r="N230" s="92" t="e">
        <f>NA()</f>
        <v>#N/A</v>
      </c>
      <c r="O230" s="92">
        <f>Bull!O75</f>
        <v>679</v>
      </c>
      <c r="P230" s="92">
        <f>Bull!P75</f>
        <v>1021</v>
      </c>
      <c r="Q230" s="92">
        <f>Bull!Q75</f>
        <v>1227</v>
      </c>
      <c r="R230" s="92">
        <f>Bull!R75</f>
        <v>1562</v>
      </c>
      <c r="S230" s="92">
        <f>Bull!S75</f>
        <v>1408</v>
      </c>
      <c r="T230" s="329">
        <f>Bull!T75</f>
        <v>1263</v>
      </c>
      <c r="U230" s="329">
        <f>Bull!U75</f>
        <v>297</v>
      </c>
      <c r="V230" s="329">
        <f>Bull!V75</f>
        <v>1258</v>
      </c>
      <c r="W230" s="329">
        <f>Bull!W75</f>
        <v>1968</v>
      </c>
      <c r="X230" s="329">
        <f>Bull!X75</f>
        <v>2211</v>
      </c>
      <c r="Y230" s="329">
        <f>Bull!Y75</f>
        <v>1863.3511845056923</v>
      </c>
      <c r="Z230" s="329">
        <f>Bull!Z75</f>
        <v>2201.562194435478</v>
      </c>
      <c r="AA230" s="329">
        <f>Bull!AA75</f>
        <v>2429.0506208506504</v>
      </c>
      <c r="AB230" s="329">
        <f>Bull!AB75</f>
        <v>2586.8759986446494</v>
      </c>
      <c r="AC230" s="329">
        <f>Bull!AC75</f>
        <v>2659.799297425569</v>
      </c>
      <c r="AD230" s="329">
        <f>Bull!AD75</f>
        <v>2806.3920725240182</v>
      </c>
      <c r="AE230" s="329">
        <f>Bull!AE75</f>
        <v>2959.6575397762936</v>
      </c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</row>
    <row r="231" spans="1:82">
      <c r="A231" s="244" t="s">
        <v>202</v>
      </c>
      <c r="B231" s="92" t="e">
        <f>NA()</f>
        <v>#N/A</v>
      </c>
      <c r="C231" s="92" t="e">
        <f>NA()</f>
        <v>#N/A</v>
      </c>
      <c r="D231" s="92" t="e">
        <f>NA()</f>
        <v>#N/A</v>
      </c>
      <c r="E231" s="92" t="e">
        <f>NA()</f>
        <v>#N/A</v>
      </c>
      <c r="F231" s="92" t="e">
        <f>NA()</f>
        <v>#N/A</v>
      </c>
      <c r="G231" s="92" t="e">
        <f>NA()</f>
        <v>#N/A</v>
      </c>
      <c r="H231" s="92" t="e">
        <f>NA()</f>
        <v>#N/A</v>
      </c>
      <c r="I231" s="92" t="e">
        <f>NA()</f>
        <v>#N/A</v>
      </c>
      <c r="J231" s="92" t="e">
        <f>NA()</f>
        <v>#N/A</v>
      </c>
      <c r="K231" s="92" t="e">
        <f>NA()</f>
        <v>#N/A</v>
      </c>
      <c r="L231" s="92" t="e">
        <f>NA()</f>
        <v>#N/A</v>
      </c>
      <c r="M231" s="92" t="e">
        <f>NA()</f>
        <v>#N/A</v>
      </c>
      <c r="N231" s="92" t="e">
        <f>NA()</f>
        <v>#N/A</v>
      </c>
      <c r="O231" s="92">
        <f>Bear!O75</f>
        <v>679</v>
      </c>
      <c r="P231" s="92">
        <f>Bear!P75</f>
        <v>1021</v>
      </c>
      <c r="Q231" s="92">
        <f>Bear!Q75</f>
        <v>1227</v>
      </c>
      <c r="R231" s="92">
        <f>Bear!R75</f>
        <v>1562</v>
      </c>
      <c r="S231" s="92">
        <f>Bear!S75</f>
        <v>1408</v>
      </c>
      <c r="T231" s="329">
        <f>Bear!T75</f>
        <v>1263</v>
      </c>
      <c r="U231" s="329">
        <f>Bear!U75</f>
        <v>297</v>
      </c>
      <c r="V231" s="329">
        <f>Bear!V75</f>
        <v>1258</v>
      </c>
      <c r="W231" s="329">
        <f>Bear!W75</f>
        <v>1968</v>
      </c>
      <c r="X231" s="329">
        <f>Bear!X75</f>
        <v>2211</v>
      </c>
      <c r="Y231" s="329">
        <f>Bear!Y75</f>
        <v>1639.6796454502253</v>
      </c>
      <c r="Z231" s="329">
        <f>Bear!Z75</f>
        <v>1757.0739897976418</v>
      </c>
      <c r="AA231" s="329">
        <f>Bear!AA75</f>
        <v>1847.9250699331251</v>
      </c>
      <c r="AB231" s="329">
        <f>Bear!AB75</f>
        <v>1892.0566094950441</v>
      </c>
      <c r="AC231" s="329">
        <f>Bear!AC75</f>
        <v>1950.2038603537776</v>
      </c>
      <c r="AD231" s="329">
        <f>Bear!AD75</f>
        <v>2009.4580301518099</v>
      </c>
      <c r="AE231" s="329">
        <f>Bear!AE75</f>
        <v>2069.774057094819</v>
      </c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</row>
    <row r="232" spans="1:82">
      <c r="A232" s="244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329"/>
      <c r="U232" s="329"/>
      <c r="V232" s="329"/>
      <c r="W232" s="329"/>
      <c r="X232" s="329"/>
      <c r="Y232" s="329"/>
      <c r="Z232" s="329"/>
      <c r="AA232" s="329"/>
      <c r="AB232" s="329"/>
      <c r="AC232" s="329"/>
      <c r="AD232" s="329"/>
      <c r="AE232" s="32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</row>
    <row r="233" spans="1:82">
      <c r="A233" s="242" t="s">
        <v>878</v>
      </c>
      <c r="B233" s="264">
        <v>2001</v>
      </c>
      <c r="C233" s="264">
        <v>2002</v>
      </c>
      <c r="D233" s="264">
        <v>2003</v>
      </c>
      <c r="E233" s="264">
        <v>2004</v>
      </c>
      <c r="F233" s="264">
        <v>2005</v>
      </c>
      <c r="G233" s="264">
        <v>2006</v>
      </c>
      <c r="H233" s="264">
        <v>2007</v>
      </c>
      <c r="I233" s="264">
        <v>2008</v>
      </c>
      <c r="J233" s="264">
        <f t="shared" ref="J233:R233" si="109">J$50</f>
        <v>2009</v>
      </c>
      <c r="K233" s="264">
        <f t="shared" si="109"/>
        <v>2010</v>
      </c>
      <c r="L233" s="264">
        <f t="shared" si="109"/>
        <v>2011</v>
      </c>
      <c r="M233" s="264">
        <f t="shared" si="109"/>
        <v>2012</v>
      </c>
      <c r="N233" s="264">
        <f t="shared" si="109"/>
        <v>2013</v>
      </c>
      <c r="O233" s="264">
        <f t="shared" si="109"/>
        <v>2014</v>
      </c>
      <c r="P233" s="264">
        <f t="shared" si="109"/>
        <v>2015</v>
      </c>
      <c r="Q233" s="264">
        <f t="shared" si="109"/>
        <v>2016</v>
      </c>
      <c r="R233" s="264">
        <f t="shared" si="109"/>
        <v>2017</v>
      </c>
      <c r="S233" s="264">
        <f t="shared" ref="S233:X233" si="110">S$6</f>
        <v>2018</v>
      </c>
      <c r="T233" s="264">
        <f t="shared" si="110"/>
        <v>2019</v>
      </c>
      <c r="U233" s="264">
        <f t="shared" si="110"/>
        <v>2020</v>
      </c>
      <c r="V233" s="264">
        <f t="shared" si="110"/>
        <v>2021</v>
      </c>
      <c r="W233" s="264">
        <f t="shared" si="110"/>
        <v>2022</v>
      </c>
      <c r="X233" s="264">
        <f t="shared" si="110"/>
        <v>2023</v>
      </c>
      <c r="Y233" s="594">
        <f t="shared" ref="Y233:AE233" si="111">Y$50</f>
        <v>2024</v>
      </c>
      <c r="Z233" s="594">
        <f t="shared" si="111"/>
        <v>2025</v>
      </c>
      <c r="AA233" s="594">
        <f t="shared" si="111"/>
        <v>2026</v>
      </c>
      <c r="AB233" s="594">
        <f t="shared" si="111"/>
        <v>2027</v>
      </c>
      <c r="AC233" s="594">
        <f t="shared" si="111"/>
        <v>2028</v>
      </c>
      <c r="AD233" s="594">
        <f t="shared" si="111"/>
        <v>2029</v>
      </c>
      <c r="AE233" s="594">
        <f t="shared" si="111"/>
        <v>2030</v>
      </c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</row>
    <row r="234" spans="1:82">
      <c r="A234" s="244" t="s">
        <v>200</v>
      </c>
      <c r="B234" s="92" t="e">
        <f>NA()</f>
        <v>#N/A</v>
      </c>
      <c r="C234" s="92" t="e">
        <f>NA()</f>
        <v>#N/A</v>
      </c>
      <c r="D234" s="92" t="e">
        <f>NA()</f>
        <v>#N/A</v>
      </c>
      <c r="E234" s="92" t="e">
        <f>NA()</f>
        <v>#N/A</v>
      </c>
      <c r="F234" s="92" t="e">
        <f>NA()</f>
        <v>#N/A</v>
      </c>
      <c r="G234" s="92" t="e">
        <f>NA()</f>
        <v>#N/A</v>
      </c>
      <c r="H234" s="92" t="e">
        <f>NA()</f>
        <v>#N/A</v>
      </c>
      <c r="I234" s="92" t="e">
        <f>NA()</f>
        <v>#N/A</v>
      </c>
      <c r="J234" s="92" t="e">
        <f>NA()</f>
        <v>#N/A</v>
      </c>
      <c r="K234" s="92" t="e">
        <f>NA()</f>
        <v>#N/A</v>
      </c>
      <c r="L234" s="92" t="e">
        <f>NA()</f>
        <v>#N/A</v>
      </c>
      <c r="M234" s="92" t="e">
        <f>NA()</f>
        <v>#N/A</v>
      </c>
      <c r="N234" s="92" t="e">
        <f>NA()</f>
        <v>#N/A</v>
      </c>
      <c r="O234" s="257">
        <f>Base!O83</f>
        <v>0.14693789223111881</v>
      </c>
      <c r="P234" s="257">
        <f>Base!P83</f>
        <v>0.15197975587972612</v>
      </c>
      <c r="Q234" s="257">
        <f>Base!Q83</f>
        <v>0.15103397341211225</v>
      </c>
      <c r="R234" s="257">
        <f>Base!R83</f>
        <v>0.15190119614898376</v>
      </c>
      <c r="S234" s="257">
        <f>Base!S83</f>
        <v>0.13810721317888083</v>
      </c>
      <c r="T234" s="452">
        <f>Base!T83</f>
        <v>0.12977254458889073</v>
      </c>
      <c r="U234" s="452">
        <f>Base!U83</f>
        <v>5.3159442889038518E-2</v>
      </c>
      <c r="V234" s="452">
        <f>Base!V83</f>
        <v>0.14036921566971236</v>
      </c>
      <c r="W234" s="452">
        <f>Base!W83</f>
        <v>0.14700047326981638</v>
      </c>
      <c r="X234" s="452">
        <f>Base!X83</f>
        <v>0.15899871226144707</v>
      </c>
      <c r="Y234" s="452">
        <f>Base!Y83</f>
        <v>0.14558648137980121</v>
      </c>
      <c r="Z234" s="452">
        <f>Base!Z83</f>
        <v>0.14580404043864195</v>
      </c>
      <c r="AA234" s="452">
        <f>Base!AA83</f>
        <v>0.14632127838762551</v>
      </c>
      <c r="AB234" s="452">
        <f>Base!AB83</f>
        <v>0.14682267457041054</v>
      </c>
      <c r="AC234" s="452">
        <f>Base!AC83</f>
        <v>0.14732302095188748</v>
      </c>
      <c r="AD234" s="452">
        <f>Base!AD83</f>
        <v>0.14782340179761524</v>
      </c>
      <c r="AE234" s="452">
        <f>Base!AE83</f>
        <v>0.14832195281673682</v>
      </c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</row>
    <row r="235" spans="1:82">
      <c r="A235" s="244" t="s">
        <v>201</v>
      </c>
      <c r="B235" s="92" t="e">
        <f>NA()</f>
        <v>#N/A</v>
      </c>
      <c r="C235" s="92" t="e">
        <f>NA()</f>
        <v>#N/A</v>
      </c>
      <c r="D235" s="92" t="e">
        <f>NA()</f>
        <v>#N/A</v>
      </c>
      <c r="E235" s="92" t="e">
        <f>NA()</f>
        <v>#N/A</v>
      </c>
      <c r="F235" s="92" t="e">
        <f>NA()</f>
        <v>#N/A</v>
      </c>
      <c r="G235" s="92" t="e">
        <f>NA()</f>
        <v>#N/A</v>
      </c>
      <c r="H235" s="92" t="e">
        <f>NA()</f>
        <v>#N/A</v>
      </c>
      <c r="I235" s="92" t="e">
        <f>NA()</f>
        <v>#N/A</v>
      </c>
      <c r="J235" s="92" t="e">
        <f>NA()</f>
        <v>#N/A</v>
      </c>
      <c r="K235" s="92" t="e">
        <f>NA()</f>
        <v>#N/A</v>
      </c>
      <c r="L235" s="92" t="e">
        <f>NA()</f>
        <v>#N/A</v>
      </c>
      <c r="M235" s="92" t="e">
        <f>NA()</f>
        <v>#N/A</v>
      </c>
      <c r="N235" s="92" t="e">
        <f>NA()</f>
        <v>#N/A</v>
      </c>
      <c r="O235" s="257">
        <f>Bull!O83</f>
        <v>0.14693789223111881</v>
      </c>
      <c r="P235" s="257">
        <f>Bull!P83</f>
        <v>0.15197975587972612</v>
      </c>
      <c r="Q235" s="257">
        <f>Bull!Q83</f>
        <v>0.15103397341211225</v>
      </c>
      <c r="R235" s="257">
        <f>Bull!R83</f>
        <v>0.15190119614898376</v>
      </c>
      <c r="S235" s="257">
        <f>Bull!S83</f>
        <v>0.13810721317888083</v>
      </c>
      <c r="T235" s="453">
        <f>Bull!T83</f>
        <v>0.12977254458889073</v>
      </c>
      <c r="U235" s="453">
        <f>Bull!U83</f>
        <v>5.3159442889038518E-2</v>
      </c>
      <c r="V235" s="453">
        <f>Bull!V83</f>
        <v>0.14036921566971236</v>
      </c>
      <c r="W235" s="453">
        <f>Bull!W83</f>
        <v>0.14700047326981638</v>
      </c>
      <c r="X235" s="453">
        <f>Bull!X83</f>
        <v>0.15899871226144707</v>
      </c>
      <c r="Y235" s="453">
        <f>Bull!Y83</f>
        <v>0.14826900720019973</v>
      </c>
      <c r="Z235" s="453">
        <f>Bull!Z83</f>
        <v>0.15075828682741088</v>
      </c>
      <c r="AA235" s="453">
        <f>Bull!AA83</f>
        <v>0.15127510990676343</v>
      </c>
      <c r="AB235" s="453">
        <f>Bull!AB83</f>
        <v>0.15177651955797111</v>
      </c>
      <c r="AC235" s="453">
        <f>Bull!AC83</f>
        <v>0.14827685068753518</v>
      </c>
      <c r="AD235" s="453">
        <f>Bull!AD83</f>
        <v>0.14877720827657417</v>
      </c>
      <c r="AE235" s="453">
        <f>Bull!AE83</f>
        <v>0.14927573692933505</v>
      </c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</row>
    <row r="236" spans="1:82">
      <c r="A236" s="244" t="s">
        <v>202</v>
      </c>
      <c r="B236" s="92" t="e">
        <f>NA()</f>
        <v>#N/A</v>
      </c>
      <c r="C236" s="92" t="e">
        <f>NA()</f>
        <v>#N/A</v>
      </c>
      <c r="D236" s="92" t="e">
        <f>NA()</f>
        <v>#N/A</v>
      </c>
      <c r="E236" s="92" t="e">
        <f>NA()</f>
        <v>#N/A</v>
      </c>
      <c r="F236" s="92" t="e">
        <f>NA()</f>
        <v>#N/A</v>
      </c>
      <c r="G236" s="92" t="e">
        <f>NA()</f>
        <v>#N/A</v>
      </c>
      <c r="H236" s="92" t="e">
        <f>NA()</f>
        <v>#N/A</v>
      </c>
      <c r="I236" s="92" t="e">
        <f>NA()</f>
        <v>#N/A</v>
      </c>
      <c r="J236" s="92" t="e">
        <f>NA()</f>
        <v>#N/A</v>
      </c>
      <c r="K236" s="92" t="e">
        <f>NA()</f>
        <v>#N/A</v>
      </c>
      <c r="L236" s="92" t="e">
        <f>NA()</f>
        <v>#N/A</v>
      </c>
      <c r="M236" s="92" t="e">
        <f>NA()</f>
        <v>#N/A</v>
      </c>
      <c r="N236" s="92" t="e">
        <f>NA()</f>
        <v>#N/A</v>
      </c>
      <c r="O236" s="257">
        <f>Bear!O83</f>
        <v>0.14693789223111881</v>
      </c>
      <c r="P236" s="257">
        <f>Bear!P83</f>
        <v>0.15197975587972612</v>
      </c>
      <c r="Q236" s="257">
        <f>Bear!Q83</f>
        <v>0.15103397341211225</v>
      </c>
      <c r="R236" s="257">
        <f>Bear!R83</f>
        <v>0.15190119614898376</v>
      </c>
      <c r="S236" s="257">
        <f>Bear!S83</f>
        <v>0.13810721317888083</v>
      </c>
      <c r="T236" s="453">
        <f>Bear!T83</f>
        <v>0.12977254458889073</v>
      </c>
      <c r="U236" s="453">
        <f>Bear!U83</f>
        <v>5.3159442889038518E-2</v>
      </c>
      <c r="V236" s="453">
        <f>Bear!V83</f>
        <v>0.14036921566971236</v>
      </c>
      <c r="W236" s="453">
        <f>Bear!W83</f>
        <v>0.14700047326981638</v>
      </c>
      <c r="X236" s="453">
        <f>Bear!X83</f>
        <v>0.15899871226144707</v>
      </c>
      <c r="Y236" s="453">
        <f>Bear!Y83</f>
        <v>0.14318801417938049</v>
      </c>
      <c r="Z236" s="453">
        <f>Bear!Z83</f>
        <v>0.14090836291321834</v>
      </c>
      <c r="AA236" s="453">
        <f>Bear!AA83</f>
        <v>0.14142781776345562</v>
      </c>
      <c r="AB236" s="453">
        <f>Bear!AB83</f>
        <v>0.1419286522684246</v>
      </c>
      <c r="AC236" s="453">
        <f>Bear!AC83</f>
        <v>0.14242917003870945</v>
      </c>
      <c r="AD236" s="453">
        <f>Bear!AD83</f>
        <v>0.14292954592698645</v>
      </c>
      <c r="AE236" s="453">
        <f>Bear!AE83</f>
        <v>0.14342804020045091</v>
      </c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</row>
    <row r="237" spans="1:82">
      <c r="A237" s="244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329"/>
      <c r="U237" s="329"/>
      <c r="V237" s="329"/>
      <c r="W237" s="329"/>
      <c r="X237" s="329"/>
      <c r="Y237" s="329"/>
      <c r="Z237" s="329"/>
      <c r="AA237" s="329"/>
      <c r="AB237" s="329"/>
      <c r="AC237" s="329"/>
      <c r="AD237" s="329"/>
      <c r="AE237" s="32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</row>
    <row r="238" spans="1:82">
      <c r="A238" s="242" t="s">
        <v>1176</v>
      </c>
      <c r="B238" s="264">
        <v>2001</v>
      </c>
      <c r="C238" s="264">
        <v>2002</v>
      </c>
      <c r="D238" s="264">
        <v>2003</v>
      </c>
      <c r="E238" s="264">
        <v>2004</v>
      </c>
      <c r="F238" s="264">
        <v>2005</v>
      </c>
      <c r="G238" s="264">
        <v>2006</v>
      </c>
      <c r="H238" s="264">
        <v>2007</v>
      </c>
      <c r="I238" s="264">
        <v>2008</v>
      </c>
      <c r="J238" s="264">
        <f t="shared" ref="J238:R238" si="112">J$50</f>
        <v>2009</v>
      </c>
      <c r="K238" s="264">
        <f t="shared" si="112"/>
        <v>2010</v>
      </c>
      <c r="L238" s="264">
        <f t="shared" si="112"/>
        <v>2011</v>
      </c>
      <c r="M238" s="264">
        <f t="shared" si="112"/>
        <v>2012</v>
      </c>
      <c r="N238" s="264">
        <f t="shared" si="112"/>
        <v>2013</v>
      </c>
      <c r="O238" s="264">
        <f t="shared" si="112"/>
        <v>2014</v>
      </c>
      <c r="P238" s="264">
        <f t="shared" si="112"/>
        <v>2015</v>
      </c>
      <c r="Q238" s="264">
        <f t="shared" si="112"/>
        <v>2016</v>
      </c>
      <c r="R238" s="264">
        <f t="shared" si="112"/>
        <v>2017</v>
      </c>
      <c r="S238" s="264">
        <f t="shared" ref="S238:X238" si="113">S$6</f>
        <v>2018</v>
      </c>
      <c r="T238" s="264">
        <f t="shared" si="113"/>
        <v>2019</v>
      </c>
      <c r="U238" s="264">
        <f t="shared" si="113"/>
        <v>2020</v>
      </c>
      <c r="V238" s="264">
        <f t="shared" si="113"/>
        <v>2021</v>
      </c>
      <c r="W238" s="264">
        <f t="shared" si="113"/>
        <v>2022</v>
      </c>
      <c r="X238" s="264">
        <f t="shared" si="113"/>
        <v>2023</v>
      </c>
      <c r="Y238" s="594">
        <f t="shared" ref="Y238:AE238" si="114">Y$50</f>
        <v>2024</v>
      </c>
      <c r="Z238" s="594">
        <f t="shared" si="114"/>
        <v>2025</v>
      </c>
      <c r="AA238" s="594">
        <f t="shared" si="114"/>
        <v>2026</v>
      </c>
      <c r="AB238" s="594">
        <f t="shared" si="114"/>
        <v>2027</v>
      </c>
      <c r="AC238" s="594">
        <f t="shared" si="114"/>
        <v>2028</v>
      </c>
      <c r="AD238" s="594">
        <f t="shared" si="114"/>
        <v>2029</v>
      </c>
      <c r="AE238" s="594">
        <f t="shared" si="114"/>
        <v>2030</v>
      </c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</row>
    <row r="239" spans="1:82">
      <c r="A239" s="244" t="s">
        <v>200</v>
      </c>
      <c r="B239" s="92" t="e">
        <f>NA()</f>
        <v>#N/A</v>
      </c>
      <c r="C239" s="92" t="e">
        <f>NA()</f>
        <v>#N/A</v>
      </c>
      <c r="D239" s="92" t="e">
        <f>NA()</f>
        <v>#N/A</v>
      </c>
      <c r="E239" s="92" t="e">
        <f>NA()</f>
        <v>#N/A</v>
      </c>
      <c r="F239" s="92" t="e">
        <f>NA()</f>
        <v>#N/A</v>
      </c>
      <c r="G239" s="92" t="e">
        <f>NA()</f>
        <v>#N/A</v>
      </c>
      <c r="H239" s="92" t="e">
        <f>NA()</f>
        <v>#N/A</v>
      </c>
      <c r="I239" s="92" t="e">
        <f>NA()</f>
        <v>#N/A</v>
      </c>
      <c r="J239" s="92" t="e">
        <f>NA()</f>
        <v>#N/A</v>
      </c>
      <c r="K239" s="92" t="e">
        <f>NA()</f>
        <v>#N/A</v>
      </c>
      <c r="L239" s="92" t="e">
        <f>NA()</f>
        <v>#N/A</v>
      </c>
      <c r="M239" s="92" t="e">
        <f>NA()</f>
        <v>#N/A</v>
      </c>
      <c r="N239" s="92" t="e">
        <f>NA()</f>
        <v>#N/A</v>
      </c>
      <c r="O239" s="92">
        <f>Base!O74</f>
        <v>290</v>
      </c>
      <c r="P239" s="92">
        <f>Base!P74</f>
        <v>1082</v>
      </c>
      <c r="Q239" s="92">
        <f>Base!Q74</f>
        <v>1500</v>
      </c>
      <c r="R239" s="92">
        <f>Base!R74</f>
        <v>1726</v>
      </c>
      <c r="S239" s="92">
        <f>Base!S74</f>
        <v>1916</v>
      </c>
      <c r="T239" s="329">
        <f>Base!T74</f>
        <v>3751</v>
      </c>
      <c r="U239" s="329">
        <f>Base!U74</f>
        <v>1187</v>
      </c>
      <c r="V239" s="329">
        <f>Base!V74</f>
        <v>3422</v>
      </c>
      <c r="W239" s="329">
        <f>Base!W74</f>
        <v>3224</v>
      </c>
      <c r="X239" s="329">
        <f>Base!X74</f>
        <v>3541</v>
      </c>
      <c r="Y239" s="329">
        <f>Base!Y74</f>
        <v>3567.0405859735301</v>
      </c>
      <c r="Z239" s="329">
        <f>Base!Z74</f>
        <v>4200.7390429892321</v>
      </c>
      <c r="AA239" s="329">
        <f>Base!AA74</f>
        <v>4641.3262556342415</v>
      </c>
      <c r="AB239" s="329">
        <f>Base!AB74</f>
        <v>5081.9158731992793</v>
      </c>
      <c r="AC239" s="329">
        <f>Base!AC74</f>
        <v>5523.2303445382631</v>
      </c>
      <c r="AD239" s="329">
        <f>Base!AD74</f>
        <v>5996.4861288417769</v>
      </c>
      <c r="AE239" s="329">
        <f>Base!AE74</f>
        <v>6494.9419313469234</v>
      </c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</row>
    <row r="240" spans="1:82">
      <c r="A240" s="244" t="s">
        <v>201</v>
      </c>
      <c r="B240" s="92" t="e">
        <f>NA()</f>
        <v>#N/A</v>
      </c>
      <c r="C240" s="92" t="e">
        <f>NA()</f>
        <v>#N/A</v>
      </c>
      <c r="D240" s="92" t="e">
        <f>NA()</f>
        <v>#N/A</v>
      </c>
      <c r="E240" s="92" t="e">
        <f>NA()</f>
        <v>#N/A</v>
      </c>
      <c r="F240" s="92" t="e">
        <f>NA()</f>
        <v>#N/A</v>
      </c>
      <c r="G240" s="92" t="e">
        <f>NA()</f>
        <v>#N/A</v>
      </c>
      <c r="H240" s="92" t="e">
        <f>NA()</f>
        <v>#N/A</v>
      </c>
      <c r="I240" s="92" t="e">
        <f>NA()</f>
        <v>#N/A</v>
      </c>
      <c r="J240" s="92" t="e">
        <f>NA()</f>
        <v>#N/A</v>
      </c>
      <c r="K240" s="92" t="e">
        <f>NA()</f>
        <v>#N/A</v>
      </c>
      <c r="L240" s="92" t="e">
        <f>NA()</f>
        <v>#N/A</v>
      </c>
      <c r="M240" s="92" t="e">
        <f>NA()</f>
        <v>#N/A</v>
      </c>
      <c r="N240" s="92" t="e">
        <f>NA()</f>
        <v>#N/A</v>
      </c>
      <c r="O240" s="92">
        <f>Bull!O74</f>
        <v>290</v>
      </c>
      <c r="P240" s="92">
        <f>Bull!P74</f>
        <v>1082</v>
      </c>
      <c r="Q240" s="92">
        <f>Bull!Q74</f>
        <v>1500</v>
      </c>
      <c r="R240" s="92">
        <f>Bull!R74</f>
        <v>1726</v>
      </c>
      <c r="S240" s="92">
        <f>Bull!S74</f>
        <v>1916</v>
      </c>
      <c r="T240" s="329">
        <f>Bull!T74</f>
        <v>3751</v>
      </c>
      <c r="U240" s="329">
        <f>Bull!U74</f>
        <v>1187</v>
      </c>
      <c r="V240" s="329">
        <f>Bull!V74</f>
        <v>3422</v>
      </c>
      <c r="W240" s="329">
        <f>Bull!W74</f>
        <v>3224</v>
      </c>
      <c r="X240" s="329">
        <f>Bull!X74</f>
        <v>3541</v>
      </c>
      <c r="Y240" s="329">
        <f>Bull!Y74</f>
        <v>3592.9292534569786</v>
      </c>
      <c r="Z240" s="329">
        <f>Bull!Z74</f>
        <v>4267.4335490212216</v>
      </c>
      <c r="AA240" s="329">
        <f>Bull!AA74</f>
        <v>4733.0418962745898</v>
      </c>
      <c r="AB240" s="329">
        <f>Bull!AB74</f>
        <v>5201.7980167400074</v>
      </c>
      <c r="AC240" s="329">
        <f>Bull!AC74</f>
        <v>5606.9930855923576</v>
      </c>
      <c r="AD240" s="329">
        <f>Bull!AD74</f>
        <v>6097.3028529218782</v>
      </c>
      <c r="AE240" s="329">
        <f>Bull!AE74</f>
        <v>6614.7371633360353</v>
      </c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</row>
    <row r="241" spans="1:82">
      <c r="A241" s="244" t="s">
        <v>202</v>
      </c>
      <c r="B241" s="92" t="e">
        <f>NA()</f>
        <v>#N/A</v>
      </c>
      <c r="C241" s="92" t="e">
        <f>NA()</f>
        <v>#N/A</v>
      </c>
      <c r="D241" s="92" t="e">
        <f>NA()</f>
        <v>#N/A</v>
      </c>
      <c r="E241" s="92" t="e">
        <f>NA()</f>
        <v>#N/A</v>
      </c>
      <c r="F241" s="92" t="e">
        <f>NA()</f>
        <v>#N/A</v>
      </c>
      <c r="G241" s="92" t="e">
        <f>NA()</f>
        <v>#N/A</v>
      </c>
      <c r="H241" s="92" t="e">
        <f>NA()</f>
        <v>#N/A</v>
      </c>
      <c r="I241" s="92" t="e">
        <f>NA()</f>
        <v>#N/A</v>
      </c>
      <c r="J241" s="92" t="e">
        <f>NA()</f>
        <v>#N/A</v>
      </c>
      <c r="K241" s="92" t="e">
        <f>NA()</f>
        <v>#N/A</v>
      </c>
      <c r="L241" s="92" t="e">
        <f>NA()</f>
        <v>#N/A</v>
      </c>
      <c r="M241" s="92" t="e">
        <f>NA()</f>
        <v>#N/A</v>
      </c>
      <c r="N241" s="92" t="e">
        <f>NA()</f>
        <v>#N/A</v>
      </c>
      <c r="O241" s="92">
        <f>Bear!O74</f>
        <v>290</v>
      </c>
      <c r="P241" s="92">
        <f>Bear!P74</f>
        <v>1082</v>
      </c>
      <c r="Q241" s="92">
        <f>Bear!Q74</f>
        <v>1500</v>
      </c>
      <c r="R241" s="92">
        <f>Bear!R74</f>
        <v>1726</v>
      </c>
      <c r="S241" s="92">
        <f>Bear!S74</f>
        <v>1916</v>
      </c>
      <c r="T241" s="329">
        <f>Bear!T74</f>
        <v>3751</v>
      </c>
      <c r="U241" s="329">
        <f>Bear!U74</f>
        <v>1187</v>
      </c>
      <c r="V241" s="329">
        <f>Bear!V74</f>
        <v>3422</v>
      </c>
      <c r="W241" s="329">
        <f>Bear!W74</f>
        <v>3224</v>
      </c>
      <c r="X241" s="329">
        <f>Bear!X74</f>
        <v>3541</v>
      </c>
      <c r="Y241" s="329">
        <f>Bear!Y74</f>
        <v>3479.4100071203366</v>
      </c>
      <c r="Z241" s="329">
        <f>Bear!Z74</f>
        <v>3986.7761517215631</v>
      </c>
      <c r="AA241" s="329">
        <f>Bear!AA74</f>
        <v>4371.1994678118299</v>
      </c>
      <c r="AB241" s="329">
        <f>Bear!AB74</f>
        <v>4750.872991666979</v>
      </c>
      <c r="AC241" s="329">
        <f>Bear!AC74</f>
        <v>4882.1053921050388</v>
      </c>
      <c r="AD241" s="329">
        <f>Bear!AD74</f>
        <v>5267.0792148732935</v>
      </c>
      <c r="AE241" s="329">
        <f>Bear!AE74</f>
        <v>5669.0555541519943</v>
      </c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</row>
    <row r="242" spans="1:82">
      <c r="A242" s="244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329"/>
      <c r="U242" s="329"/>
      <c r="V242" s="329"/>
      <c r="W242" s="329"/>
      <c r="X242" s="329"/>
      <c r="Y242" s="329"/>
      <c r="Z242" s="329"/>
      <c r="AA242" s="329"/>
      <c r="AB242" s="329"/>
      <c r="AC242" s="329"/>
      <c r="AD242" s="329"/>
      <c r="AE242" s="32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</row>
    <row r="243" spans="1:82">
      <c r="A243" s="242" t="s">
        <v>1177</v>
      </c>
      <c r="B243" s="264">
        <v>2001</v>
      </c>
      <c r="C243" s="264">
        <v>2002</v>
      </c>
      <c r="D243" s="264">
        <v>2003</v>
      </c>
      <c r="E243" s="264">
        <v>2004</v>
      </c>
      <c r="F243" s="264">
        <v>2005</v>
      </c>
      <c r="G243" s="264">
        <v>2006</v>
      </c>
      <c r="H243" s="264">
        <v>2007</v>
      </c>
      <c r="I243" s="264">
        <v>2008</v>
      </c>
      <c r="J243" s="264">
        <f t="shared" ref="J243:R243" si="115">J$50</f>
        <v>2009</v>
      </c>
      <c r="K243" s="264">
        <f t="shared" si="115"/>
        <v>2010</v>
      </c>
      <c r="L243" s="264">
        <f t="shared" si="115"/>
        <v>2011</v>
      </c>
      <c r="M243" s="264">
        <f t="shared" si="115"/>
        <v>2012</v>
      </c>
      <c r="N243" s="264">
        <f t="shared" si="115"/>
        <v>2013</v>
      </c>
      <c r="O243" s="264">
        <f t="shared" si="115"/>
        <v>2014</v>
      </c>
      <c r="P243" s="264">
        <f t="shared" si="115"/>
        <v>2015</v>
      </c>
      <c r="Q243" s="264">
        <f t="shared" si="115"/>
        <v>2016</v>
      </c>
      <c r="R243" s="264">
        <f t="shared" si="115"/>
        <v>2017</v>
      </c>
      <c r="S243" s="264">
        <f t="shared" ref="S243:X243" si="116">S$6</f>
        <v>2018</v>
      </c>
      <c r="T243" s="264">
        <f t="shared" si="116"/>
        <v>2019</v>
      </c>
      <c r="U243" s="264">
        <f t="shared" si="116"/>
        <v>2020</v>
      </c>
      <c r="V243" s="264">
        <f t="shared" si="116"/>
        <v>2021</v>
      </c>
      <c r="W243" s="264">
        <f t="shared" si="116"/>
        <v>2022</v>
      </c>
      <c r="X243" s="264">
        <f t="shared" si="116"/>
        <v>2023</v>
      </c>
      <c r="Y243" s="594">
        <f t="shared" ref="Y243:AE243" si="117">Y$50</f>
        <v>2024</v>
      </c>
      <c r="Z243" s="594">
        <f t="shared" si="117"/>
        <v>2025</v>
      </c>
      <c r="AA243" s="594">
        <f t="shared" si="117"/>
        <v>2026</v>
      </c>
      <c r="AB243" s="594">
        <f t="shared" si="117"/>
        <v>2027</v>
      </c>
      <c r="AC243" s="594">
        <f t="shared" si="117"/>
        <v>2028</v>
      </c>
      <c r="AD243" s="594">
        <f t="shared" si="117"/>
        <v>2029</v>
      </c>
      <c r="AE243" s="594">
        <f t="shared" si="117"/>
        <v>2030</v>
      </c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</row>
    <row r="244" spans="1:82">
      <c r="A244" s="244" t="s">
        <v>200</v>
      </c>
      <c r="B244" s="92" t="e">
        <f>NA()</f>
        <v>#N/A</v>
      </c>
      <c r="C244" s="92" t="e">
        <f>NA()</f>
        <v>#N/A</v>
      </c>
      <c r="D244" s="92" t="e">
        <f>NA()</f>
        <v>#N/A</v>
      </c>
      <c r="E244" s="92" t="e">
        <f>NA()</f>
        <v>#N/A</v>
      </c>
      <c r="F244" s="92" t="e">
        <f>NA()</f>
        <v>#N/A</v>
      </c>
      <c r="G244" s="92" t="e">
        <f>NA()</f>
        <v>#N/A</v>
      </c>
      <c r="H244" s="92" t="e">
        <f>NA()</f>
        <v>#N/A</v>
      </c>
      <c r="I244" s="92" t="e">
        <f>NA()</f>
        <v>#N/A</v>
      </c>
      <c r="J244" s="92" t="e">
        <f>NA()</f>
        <v>#N/A</v>
      </c>
      <c r="K244" s="92" t="e">
        <f>NA()</f>
        <v>#N/A</v>
      </c>
      <c r="L244" s="92" t="e">
        <f>NA()</f>
        <v>#N/A</v>
      </c>
      <c r="M244" s="92" t="e">
        <f>NA()</f>
        <v>#N/A</v>
      </c>
      <c r="N244" s="92" t="e">
        <f>NA()</f>
        <v>#N/A</v>
      </c>
      <c r="O244" s="257">
        <f>Base!O82</f>
        <v>0.19754768392370572</v>
      </c>
      <c r="P244" s="257">
        <f>Base!P82</f>
        <v>0.1907280098713203</v>
      </c>
      <c r="Q244" s="257">
        <f>Base!Q82</f>
        <v>0.19760242392306679</v>
      </c>
      <c r="R244" s="257">
        <f>Base!R82</f>
        <v>0.2014002333722287</v>
      </c>
      <c r="S244" s="257">
        <f>Base!S82</f>
        <v>0.19378982502275716</v>
      </c>
      <c r="T244" s="452">
        <f>Base!T82</f>
        <v>0.17687555995661811</v>
      </c>
      <c r="U244" s="452">
        <f>Base!U82</f>
        <v>8.5642135642135644E-2</v>
      </c>
      <c r="V244" s="452">
        <f>Base!V82</f>
        <v>0.18583686325621809</v>
      </c>
      <c r="W244" s="452">
        <f>Base!W82</f>
        <v>0.14670549690571533</v>
      </c>
      <c r="X244" s="452">
        <f>Base!X82</f>
        <v>0.15418444657319516</v>
      </c>
      <c r="Y244" s="452">
        <f>Base!Y82</f>
        <v>0.1480687785451015</v>
      </c>
      <c r="Z244" s="452">
        <f>Base!Z82</f>
        <v>0.14876716722168598</v>
      </c>
      <c r="AA244" s="452">
        <f>Base!AA82</f>
        <v>0.14967855248834114</v>
      </c>
      <c r="AB244" s="452">
        <f>Base!AB82</f>
        <v>0.15066635314157684</v>
      </c>
      <c r="AC244" s="452">
        <f>Base!AC82</f>
        <v>0.1511616488236161</v>
      </c>
      <c r="AD244" s="452">
        <f>Base!AD82</f>
        <v>0.15165718678828413</v>
      </c>
      <c r="AE244" s="452">
        <f>Base!AE82</f>
        <v>0.15214667807391741</v>
      </c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</row>
    <row r="245" spans="1:82">
      <c r="A245" s="244" t="s">
        <v>201</v>
      </c>
      <c r="B245" s="92" t="e">
        <f>NA()</f>
        <v>#N/A</v>
      </c>
      <c r="C245" s="92" t="e">
        <f>NA()</f>
        <v>#N/A</v>
      </c>
      <c r="D245" s="92" t="e">
        <f>NA()</f>
        <v>#N/A</v>
      </c>
      <c r="E245" s="92" t="e">
        <f>NA()</f>
        <v>#N/A</v>
      </c>
      <c r="F245" s="92" t="e">
        <f>NA()</f>
        <v>#N/A</v>
      </c>
      <c r="G245" s="92" t="e">
        <f>NA()</f>
        <v>#N/A</v>
      </c>
      <c r="H245" s="92" t="e">
        <f>NA()</f>
        <v>#N/A</v>
      </c>
      <c r="I245" s="92" t="e">
        <f>NA()</f>
        <v>#N/A</v>
      </c>
      <c r="J245" s="92" t="e">
        <f>NA()</f>
        <v>#N/A</v>
      </c>
      <c r="K245" s="92" t="e">
        <f>NA()</f>
        <v>#N/A</v>
      </c>
      <c r="L245" s="92" t="e">
        <f>NA()</f>
        <v>#N/A</v>
      </c>
      <c r="M245" s="92" t="e">
        <f>NA()</f>
        <v>#N/A</v>
      </c>
      <c r="N245" s="92" t="e">
        <f>NA()</f>
        <v>#N/A</v>
      </c>
      <c r="O245" s="257">
        <f>Bull!O82</f>
        <v>0.19754768392370572</v>
      </c>
      <c r="P245" s="257">
        <f>Bull!P82</f>
        <v>0.1907280098713203</v>
      </c>
      <c r="Q245" s="257">
        <f>Bull!Q82</f>
        <v>0.19760242392306679</v>
      </c>
      <c r="R245" s="257">
        <f>Bull!R82</f>
        <v>0.2014002333722287</v>
      </c>
      <c r="S245" s="257">
        <f>Bull!S82</f>
        <v>0.19378982502275716</v>
      </c>
      <c r="T245" s="453">
        <f>Bull!T82</f>
        <v>0.17687555995661811</v>
      </c>
      <c r="U245" s="453">
        <f>Bull!U82</f>
        <v>8.5642135642135644E-2</v>
      </c>
      <c r="V245" s="453">
        <f>Bull!V82</f>
        <v>0.18583686325621809</v>
      </c>
      <c r="W245" s="453">
        <f>Bull!W82</f>
        <v>0.14670549690571533</v>
      </c>
      <c r="X245" s="453">
        <f>Bull!X82</f>
        <v>0.15418444657319516</v>
      </c>
      <c r="Y245" s="453">
        <f>Bull!Y82</f>
        <v>0.14891095475907293</v>
      </c>
      <c r="Z245" s="453">
        <f>Bull!Z82</f>
        <v>0.1502879376596653</v>
      </c>
      <c r="AA245" s="453">
        <f>Bull!AA82</f>
        <v>0.15119888377883081</v>
      </c>
      <c r="AB245" s="453">
        <f>Bull!AB82</f>
        <v>0.15218630089896468</v>
      </c>
      <c r="AC245" s="453">
        <f>Bull!AC82</f>
        <v>0.15118124892901849</v>
      </c>
      <c r="AD245" s="453">
        <f>Bull!AD82</f>
        <v>0.15167646484949177</v>
      </c>
      <c r="AE245" s="453">
        <f>Bull!AE82</f>
        <v>0.1521656584282283</v>
      </c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</row>
    <row r="246" spans="1:82">
      <c r="A246" s="244" t="s">
        <v>202</v>
      </c>
      <c r="B246" s="92" t="e">
        <f>NA()</f>
        <v>#N/A</v>
      </c>
      <c r="C246" s="92" t="e">
        <f>NA()</f>
        <v>#N/A</v>
      </c>
      <c r="D246" s="92" t="e">
        <f>NA()</f>
        <v>#N/A</v>
      </c>
      <c r="E246" s="92" t="e">
        <f>NA()</f>
        <v>#N/A</v>
      </c>
      <c r="F246" s="92" t="e">
        <f>NA()</f>
        <v>#N/A</v>
      </c>
      <c r="G246" s="92" t="e">
        <f>NA()</f>
        <v>#N/A</v>
      </c>
      <c r="H246" s="92" t="e">
        <f>NA()</f>
        <v>#N/A</v>
      </c>
      <c r="I246" s="92" t="e">
        <f>NA()</f>
        <v>#N/A</v>
      </c>
      <c r="J246" s="92" t="e">
        <f>NA()</f>
        <v>#N/A</v>
      </c>
      <c r="K246" s="92" t="e">
        <f>NA()</f>
        <v>#N/A</v>
      </c>
      <c r="L246" s="92" t="e">
        <f>NA()</f>
        <v>#N/A</v>
      </c>
      <c r="M246" s="92" t="e">
        <f>NA()</f>
        <v>#N/A</v>
      </c>
      <c r="N246" s="92" t="e">
        <f>NA()</f>
        <v>#N/A</v>
      </c>
      <c r="O246" s="257">
        <f>Bear!O82</f>
        <v>0.19754768392370572</v>
      </c>
      <c r="P246" s="257">
        <f>Bear!P82</f>
        <v>0.1907280098713203</v>
      </c>
      <c r="Q246" s="257">
        <f>Bear!Q82</f>
        <v>0.19760242392306679</v>
      </c>
      <c r="R246" s="257">
        <f>Bear!R82</f>
        <v>0.2014002333722287</v>
      </c>
      <c r="S246" s="257">
        <f>Bear!S82</f>
        <v>0.19378982502275716</v>
      </c>
      <c r="T246" s="453">
        <f>Bear!T82</f>
        <v>0.17687555995661811</v>
      </c>
      <c r="U246" s="453">
        <f>Bear!U82</f>
        <v>8.5642135642135644E-2</v>
      </c>
      <c r="V246" s="453">
        <f>Bear!V82</f>
        <v>0.18583686325621809</v>
      </c>
      <c r="W246" s="453">
        <f>Bear!W82</f>
        <v>0.14670549690571533</v>
      </c>
      <c r="X246" s="453">
        <f>Bear!X82</f>
        <v>0.15418444657319516</v>
      </c>
      <c r="Y246" s="453">
        <f>Bear!Y82</f>
        <v>0.14476460588647724</v>
      </c>
      <c r="Z246" s="453">
        <f>Bear!Z82</f>
        <v>0.14273151840348389</v>
      </c>
      <c r="AA246" s="453">
        <f>Bear!AA82</f>
        <v>0.14364370942175347</v>
      </c>
      <c r="AB246" s="453">
        <f>Bear!AB82</f>
        <v>0.14463447007137967</v>
      </c>
      <c r="AC246" s="453">
        <f>Bear!AC82</f>
        <v>0.13813031453901403</v>
      </c>
      <c r="AD246" s="453">
        <f>Bear!AD82</f>
        <v>0.13862637704265693</v>
      </c>
      <c r="AE246" s="453">
        <f>Bear!AE82</f>
        <v>0.13911431746536007</v>
      </c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</row>
    <row r="247" spans="1:82">
      <c r="A247" s="247"/>
      <c r="B247" s="245"/>
      <c r="C247" s="245"/>
      <c r="D247" s="245"/>
      <c r="E247" s="245"/>
      <c r="F247" s="245"/>
      <c r="G247" s="245"/>
      <c r="H247" s="245"/>
      <c r="I247" s="245"/>
      <c r="J247" s="245"/>
      <c r="K247" s="245"/>
      <c r="L247" s="245"/>
      <c r="M247" s="245"/>
      <c r="N247" s="245"/>
      <c r="O247" s="245"/>
      <c r="P247" s="245"/>
      <c r="Q247" s="245"/>
      <c r="R247" s="245"/>
      <c r="S247" s="245"/>
      <c r="T247" s="452"/>
      <c r="U247" s="452"/>
      <c r="V247" s="452"/>
      <c r="W247" s="452"/>
      <c r="X247" s="452"/>
      <c r="Y247" s="452"/>
      <c r="Z247" s="452"/>
      <c r="AA247" s="452"/>
      <c r="AB247" s="452"/>
      <c r="AC247" s="452"/>
      <c r="AD247" s="452"/>
      <c r="AE247" s="452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</row>
    <row r="248" spans="1:82">
      <c r="A248" s="242" t="s">
        <v>298</v>
      </c>
      <c r="B248" s="264">
        <v>2001</v>
      </c>
      <c r="C248" s="264">
        <v>2002</v>
      </c>
      <c r="D248" s="264">
        <v>2003</v>
      </c>
      <c r="E248" s="264">
        <v>2004</v>
      </c>
      <c r="F248" s="264">
        <v>2005</v>
      </c>
      <c r="G248" s="264">
        <v>2006</v>
      </c>
      <c r="H248" s="264">
        <v>2007</v>
      </c>
      <c r="I248" s="264">
        <v>2008</v>
      </c>
      <c r="J248" s="264">
        <f t="shared" ref="J248:R248" si="118">J$50</f>
        <v>2009</v>
      </c>
      <c r="K248" s="264">
        <f t="shared" si="118"/>
        <v>2010</v>
      </c>
      <c r="L248" s="264">
        <f t="shared" si="118"/>
        <v>2011</v>
      </c>
      <c r="M248" s="264">
        <f t="shared" si="118"/>
        <v>2012</v>
      </c>
      <c r="N248" s="264">
        <f t="shared" si="118"/>
        <v>2013</v>
      </c>
      <c r="O248" s="264">
        <f t="shared" si="118"/>
        <v>2014</v>
      </c>
      <c r="P248" s="264">
        <f t="shared" si="118"/>
        <v>2015</v>
      </c>
      <c r="Q248" s="264">
        <f t="shared" si="118"/>
        <v>2016</v>
      </c>
      <c r="R248" s="264">
        <f t="shared" si="118"/>
        <v>2017</v>
      </c>
      <c r="S248" s="264">
        <f t="shared" ref="S248:X248" si="119">S$6</f>
        <v>2018</v>
      </c>
      <c r="T248" s="264">
        <f t="shared" si="119"/>
        <v>2019</v>
      </c>
      <c r="U248" s="264">
        <f t="shared" si="119"/>
        <v>2020</v>
      </c>
      <c r="V248" s="264">
        <f t="shared" si="119"/>
        <v>2021</v>
      </c>
      <c r="W248" s="264">
        <f t="shared" si="119"/>
        <v>2022</v>
      </c>
      <c r="X248" s="264">
        <f t="shared" si="119"/>
        <v>2023</v>
      </c>
      <c r="Y248" s="594">
        <f t="shared" ref="Y248:AE248" si="120">Y$50</f>
        <v>2024</v>
      </c>
      <c r="Z248" s="594">
        <f t="shared" si="120"/>
        <v>2025</v>
      </c>
      <c r="AA248" s="594">
        <f t="shared" si="120"/>
        <v>2026</v>
      </c>
      <c r="AB248" s="594">
        <f t="shared" si="120"/>
        <v>2027</v>
      </c>
      <c r="AC248" s="594">
        <f t="shared" si="120"/>
        <v>2028</v>
      </c>
      <c r="AD248" s="594">
        <f t="shared" si="120"/>
        <v>2029</v>
      </c>
      <c r="AE248" s="594">
        <f t="shared" si="120"/>
        <v>2030</v>
      </c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</row>
    <row r="249" spans="1:82">
      <c r="A249" s="247" t="s">
        <v>315</v>
      </c>
      <c r="B249" s="245">
        <f>Financials!B62</f>
        <v>0.53259283924136458</v>
      </c>
      <c r="C249" s="245">
        <f>Financials!C62</f>
        <v>0.55827241053367005</v>
      </c>
      <c r="D249" s="245">
        <f>Financials!D62</f>
        <v>0.56253876470446884</v>
      </c>
      <c r="E249" s="245">
        <f>Financials!E62</f>
        <v>0.57630088383899669</v>
      </c>
      <c r="F249" s="245">
        <f>Financials!F62</f>
        <v>0.62080466422309388</v>
      </c>
      <c r="G249" s="245">
        <f>Financials!G62</f>
        <v>0.65709214256367443</v>
      </c>
      <c r="H249" s="245">
        <f>Financials!H62</f>
        <v>0.66734961461779652</v>
      </c>
      <c r="I249" s="245">
        <f>Financials!I62</f>
        <v>0.64281750640150315</v>
      </c>
      <c r="J249" s="245">
        <f>Financials!J62</f>
        <v>0.63125315808713112</v>
      </c>
      <c r="K249" s="245">
        <f>Financials!K62</f>
        <v>0.64669997238750132</v>
      </c>
      <c r="L249" s="245">
        <f>Financials!L62</f>
        <v>0.64590309132778334</v>
      </c>
      <c r="M249" s="245">
        <f>Financials!M62</f>
        <v>0.64796305902438944</v>
      </c>
      <c r="N249" s="245">
        <f>Financials!N62</f>
        <v>0.6674181623550175</v>
      </c>
      <c r="O249" s="245">
        <f>Financials!O62</f>
        <v>0.68085861320410679</v>
      </c>
      <c r="P249" s="245">
        <f>Financials!P62</f>
        <v>0.68566780813008366</v>
      </c>
      <c r="Q249" s="245">
        <f>Financials!Q62</f>
        <v>0.68755841719986965</v>
      </c>
      <c r="R249" s="245">
        <f>Financials!R62</f>
        <v>0.69613319776818328</v>
      </c>
      <c r="S249" s="245">
        <f>Financials!S62</f>
        <v>0.69262227359901862</v>
      </c>
      <c r="T249" s="452">
        <f>Financials!T62</f>
        <v>0.7048553959230649</v>
      </c>
      <c r="U249" s="452">
        <f>Financials!U62</f>
        <v>0.7024351391005772</v>
      </c>
      <c r="V249" s="452">
        <f>Financials!V62</f>
        <v>0.68615159884786414</v>
      </c>
      <c r="W249" s="452">
        <f>Financials!W62</f>
        <v>0.67293842532841719</v>
      </c>
      <c r="X249" s="452">
        <f>Financials!X62</f>
        <v>0.67200305313918807</v>
      </c>
      <c r="Y249" s="452">
        <f>Financials!Y62</f>
        <v>0.67485660188200858</v>
      </c>
      <c r="Z249" s="452">
        <f>Financials!Z62</f>
        <v>0.66910245583646666</v>
      </c>
      <c r="AA249" s="452">
        <f>Financials!AA62</f>
        <v>0.66810342324133265</v>
      </c>
      <c r="AB249" s="452">
        <f>Financials!AB62</f>
        <v>0.66710272998857378</v>
      </c>
      <c r="AC249" s="452">
        <f>Financials!AC62</f>
        <v>0.66210167766123251</v>
      </c>
      <c r="AD249" s="452">
        <f>Financials!AD62</f>
        <v>0.66210065778264549</v>
      </c>
      <c r="AE249" s="452">
        <f>Financials!AE62</f>
        <v>0.66210032445444955</v>
      </c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</row>
    <row r="250" spans="1:82">
      <c r="A250" s="244" t="s">
        <v>318</v>
      </c>
      <c r="B250" s="245">
        <f>Financials!B80</f>
        <v>0.13358069451325313</v>
      </c>
      <c r="C250" s="245">
        <f>Financials!C80</f>
        <v>0.14608648069420788</v>
      </c>
      <c r="D250" s="245">
        <f>Financials!D80</f>
        <v>0.14459700552779028</v>
      </c>
      <c r="E250" s="245">
        <f>Financials!E80</f>
        <v>0.14707811100379281</v>
      </c>
      <c r="F250" s="245">
        <f>Financials!F80</f>
        <v>0.15016290485070632</v>
      </c>
      <c r="G250" s="245">
        <f>Financials!G80</f>
        <v>0.16716972728859683</v>
      </c>
      <c r="H250" s="245">
        <f>Financials!H80</f>
        <v>0.18448126758041017</v>
      </c>
      <c r="I250" s="245">
        <f>Financials!I80</f>
        <v>0.13253984958987872</v>
      </c>
      <c r="J250" s="245">
        <f>Financials!J80</f>
        <v>0.11648149120754761</v>
      </c>
      <c r="K250" s="245">
        <f>Financials!K80</f>
        <v>0.1111882949727438</v>
      </c>
      <c r="L250" s="245">
        <f>Financials!L80</f>
        <v>0.10422536185654681</v>
      </c>
      <c r="M250" s="245">
        <f>Financials!M80</f>
        <v>0.11894400338237031</v>
      </c>
      <c r="N250" s="245">
        <f>Financials!N80</f>
        <v>0.14869571775379922</v>
      </c>
      <c r="O250" s="245">
        <f>Financials!O80</f>
        <v>0.21876948306060612</v>
      </c>
      <c r="P250" s="245">
        <f>Financials!P80</f>
        <v>0.20992074671082869</v>
      </c>
      <c r="Q250" s="245">
        <f>Financials!Q80</f>
        <v>0.21065269791546398</v>
      </c>
      <c r="R250" s="245">
        <f>Financials!R80</f>
        <v>0.20917432081420165</v>
      </c>
      <c r="S250" s="245">
        <f>Financials!S80</f>
        <v>0.19986311380751667</v>
      </c>
      <c r="T250" s="452">
        <f>Financials!T80</f>
        <v>0.19283077067360721</v>
      </c>
      <c r="U250" s="452">
        <f>Financials!U80</f>
        <v>0.11302643569095844</v>
      </c>
      <c r="V250" s="452">
        <f>Financials!V80</f>
        <v>0.19915896877880146</v>
      </c>
      <c r="W250" s="452">
        <f>Financials!W80</f>
        <v>0.18536623706320834</v>
      </c>
      <c r="X250" s="452">
        <f>Financials!X80</f>
        <v>0.19358254132882971</v>
      </c>
      <c r="Y250" s="452">
        <f>Financials!Y80</f>
        <v>0.19416042131653813</v>
      </c>
      <c r="Z250" s="452">
        <f>Financials!Z80</f>
        <v>0.19026491358448117</v>
      </c>
      <c r="AA250" s="452">
        <f>Financials!AA80</f>
        <v>0.1903123539040191</v>
      </c>
      <c r="AB250" s="452">
        <f>Financials!AB80</f>
        <v>0.19062315465951174</v>
      </c>
      <c r="AC250" s="452">
        <f>Financials!AC80</f>
        <v>0.18548225292364198</v>
      </c>
      <c r="AD250" s="452">
        <f>Financials!AD80</f>
        <v>0.18533756556998066</v>
      </c>
      <c r="AE250" s="452">
        <f>Financials!AE80</f>
        <v>0.18519778869805781</v>
      </c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</row>
    <row r="251" spans="1:82">
      <c r="A251" s="247" t="s">
        <v>1092</v>
      </c>
      <c r="B251" s="245">
        <f>Financials!B91</f>
        <v>8.8654009813088991E-2</v>
      </c>
      <c r="C251" s="245">
        <f>Financials!C91</f>
        <v>0.10270876238053271</v>
      </c>
      <c r="D251" s="245">
        <f>Financials!D91</f>
        <v>8.8368377264633619E-2</v>
      </c>
      <c r="E251" s="245">
        <f>Financials!E91</f>
        <v>9.7730568511948182E-2</v>
      </c>
      <c r="F251" s="245">
        <f>Financials!F91</f>
        <v>0.10495037832508097</v>
      </c>
      <c r="G251" s="245">
        <f>Financials!G91</f>
        <v>7.2361246532781323E-2</v>
      </c>
      <c r="H251" s="245">
        <f>Financials!H91</f>
        <v>0.1024559356131636</v>
      </c>
      <c r="I251" s="245">
        <f>Financials!I91</f>
        <v>5.8956755645387993E-2</v>
      </c>
      <c r="J251" s="245">
        <f>Financials!J91</f>
        <v>3.9020128027207474E-2</v>
      </c>
      <c r="K251" s="245">
        <f>Financials!K91</f>
        <v>3.6531447073074985E-2</v>
      </c>
      <c r="L251" s="245">
        <f>Financials!L91</f>
        <v>4.2356642880702018E-2</v>
      </c>
      <c r="M251" s="245">
        <f>Financials!M91</f>
        <v>5.9341190766265067E-2</v>
      </c>
      <c r="N251" s="245">
        <f>Financials!N91</f>
        <v>7.1066747747756454E-2</v>
      </c>
      <c r="O251" s="245">
        <f>Financials!O91</f>
        <v>6.3903276520372351E-2</v>
      </c>
      <c r="P251" s="245">
        <f>Financials!P91</f>
        <v>7.2900321775241958E-2</v>
      </c>
      <c r="Q251" s="245">
        <f>Financials!Q91</f>
        <v>7.3391643973493348E-2</v>
      </c>
      <c r="R251" s="245">
        <f>Financials!R91</f>
        <v>8.7341753430549368E-2</v>
      </c>
      <c r="S251" s="245">
        <f>Financials!S91</f>
        <v>7.1356851289125722E-2</v>
      </c>
      <c r="T251" s="452">
        <f>Financials!T91</f>
        <v>7.859898454497645E-2</v>
      </c>
      <c r="U251" s="452">
        <f>Financials!U91</f>
        <v>-3.7765480614719252E-2</v>
      </c>
      <c r="V251" s="452">
        <f>Financials!V91</f>
        <v>7.7425667160533201E-2</v>
      </c>
      <c r="W251" s="452">
        <f>Financials!W91</f>
        <v>9.2131000567256538E-2</v>
      </c>
      <c r="X251" s="452">
        <f>Financials!X91</f>
        <v>0.1036370246411934</v>
      </c>
      <c r="Y251" s="452">
        <f>Financials!Y91</f>
        <v>9.4545697441826573E-2</v>
      </c>
      <c r="Z251" s="452">
        <f>Financials!Z91</f>
        <v>9.1538990698522879E-2</v>
      </c>
      <c r="AA251" s="452">
        <f>Financials!AA91</f>
        <v>9.5923842333473619E-2</v>
      </c>
      <c r="AB251" s="452">
        <f>Financials!AB91</f>
        <v>9.9326546631911122E-2</v>
      </c>
      <c r="AC251" s="452">
        <f>Financials!AC91</f>
        <v>9.4785996348751053E-2</v>
      </c>
      <c r="AD251" s="452">
        <f>Financials!AD91</f>
        <v>9.2273122095038226E-2</v>
      </c>
      <c r="AE251" s="452">
        <f>Financials!AE91</f>
        <v>8.9344480396009479E-2</v>
      </c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</row>
    <row r="252" spans="1:82">
      <c r="A252" s="247" t="s">
        <v>60</v>
      </c>
      <c r="B252" s="245">
        <f>Financials!B109</f>
        <v>1.2532661131616754E-2</v>
      </c>
      <c r="C252" s="245">
        <f>Financials!C109</f>
        <v>5.6671141695548884E-2</v>
      </c>
      <c r="D252" s="245">
        <f>Financials!D109</f>
        <v>4.4627686452787092E-2</v>
      </c>
      <c r="E252" s="245">
        <f>Financials!E109</f>
        <v>4.1689384170928399E-2</v>
      </c>
      <c r="F252" s="245">
        <f>Financials!F109</f>
        <v>6.03386706106789E-2</v>
      </c>
      <c r="G252" s="245">
        <f>Financials!G109</f>
        <v>3.6867014776873534E-2</v>
      </c>
      <c r="H252" s="245">
        <f>Financials!H109</f>
        <v>6.8490679778961908E-2</v>
      </c>
      <c r="I252" s="245">
        <f>Financials!I109</f>
        <v>1.6538024459976913E-2</v>
      </c>
      <c r="J252" s="245">
        <f>Financials!J109</f>
        <v>1.2081870428379667E-2</v>
      </c>
      <c r="K252" s="245">
        <f>Financials!K109</f>
        <v>1.6837611786083142E-2</v>
      </c>
      <c r="L252" s="245">
        <f>Financials!L109</f>
        <v>1.9599300855681501E-2</v>
      </c>
      <c r="M252" s="245">
        <f>Financials!M109</f>
        <v>2.7113772515326595E-2</v>
      </c>
      <c r="N252" s="245">
        <f>Financials!N109</f>
        <v>4.3341661010401593E-2</v>
      </c>
      <c r="O252" s="245">
        <f>Financials!O109</f>
        <v>2.9239409822390254E-2</v>
      </c>
      <c r="P252" s="245">
        <f>Financials!P109</f>
        <v>3.0388830952662326E-2</v>
      </c>
      <c r="Q252" s="245">
        <f>Financials!Q109</f>
        <v>2.643030914092391E-2</v>
      </c>
      <c r="R252" s="245">
        <f>Financials!R109</f>
        <v>2.5617011929308361E-2</v>
      </c>
      <c r="S252" s="245">
        <f>Financials!S109</f>
        <v>2.0652586756244606E-2</v>
      </c>
      <c r="T252" s="452">
        <f>Financials!T109</f>
        <v>1.3144510498813485E-2</v>
      </c>
      <c r="U252" s="452">
        <f>Financials!U109</f>
        <v>-9.632870861855021E-2</v>
      </c>
      <c r="V252" s="452">
        <f>Financials!V109</f>
        <v>9.1399747719483806E-3</v>
      </c>
      <c r="W252" s="452">
        <f>Financials!W109</f>
        <v>2.4144246575014051E-2</v>
      </c>
      <c r="X252" s="452">
        <f>Financials!X109</f>
        <v>3.6597896437157711E-2</v>
      </c>
      <c r="Y252" s="452">
        <f>Financials!Y109</f>
        <v>2.0935992691653284E-2</v>
      </c>
      <c r="Z252" s="452">
        <f>Financials!Z109</f>
        <v>2.7484117825933033E-2</v>
      </c>
      <c r="AA252" s="452">
        <f>Financials!AA109</f>
        <v>3.3105387034681882E-2</v>
      </c>
      <c r="AB252" s="452">
        <f>Financials!AB109</f>
        <v>4.0833436597827642E-2</v>
      </c>
      <c r="AC252" s="452">
        <f>Financials!AC109</f>
        <v>3.8864660335382092E-2</v>
      </c>
      <c r="AD252" s="452">
        <f>Financials!AD109</f>
        <v>3.8240104224651621E-2</v>
      </c>
      <c r="AE252" s="452">
        <f>Financials!AE109</f>
        <v>3.767645589898861E-2</v>
      </c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</row>
    <row r="253" spans="1:82">
      <c r="A253" s="36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329"/>
      <c r="U253" s="329"/>
      <c r="V253" s="329"/>
      <c r="W253" s="329"/>
      <c r="X253" s="329"/>
      <c r="Y253" s="329"/>
      <c r="Z253" s="329"/>
      <c r="AA253" s="329"/>
      <c r="AB253" s="329"/>
      <c r="AC253" s="329"/>
      <c r="AD253" s="329"/>
      <c r="AE253" s="32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</row>
    <row r="254" spans="1:82">
      <c r="A254" s="242" t="s">
        <v>1385</v>
      </c>
      <c r="B254" s="264">
        <v>2001</v>
      </c>
      <c r="C254" s="264">
        <v>2002</v>
      </c>
      <c r="D254" s="264">
        <v>2003</v>
      </c>
      <c r="E254" s="264">
        <v>2004</v>
      </c>
      <c r="F254" s="264">
        <v>2005</v>
      </c>
      <c r="G254" s="264">
        <v>2006</v>
      </c>
      <c r="H254" s="264">
        <v>2007</v>
      </c>
      <c r="I254" s="264">
        <v>2008</v>
      </c>
      <c r="J254" s="264">
        <f t="shared" ref="J254:R254" si="121">J$50</f>
        <v>2009</v>
      </c>
      <c r="K254" s="264">
        <f t="shared" si="121"/>
        <v>2010</v>
      </c>
      <c r="L254" s="264">
        <f t="shared" si="121"/>
        <v>2011</v>
      </c>
      <c r="M254" s="264">
        <f t="shared" si="121"/>
        <v>2012</v>
      </c>
      <c r="N254" s="264">
        <f t="shared" si="121"/>
        <v>2013</v>
      </c>
      <c r="O254" s="264">
        <f t="shared" si="121"/>
        <v>2014</v>
      </c>
      <c r="P254" s="264">
        <f t="shared" si="121"/>
        <v>2015</v>
      </c>
      <c r="Q254" s="264">
        <f t="shared" si="121"/>
        <v>2016</v>
      </c>
      <c r="R254" s="264">
        <f t="shared" si="121"/>
        <v>2017</v>
      </c>
      <c r="S254" s="264">
        <f t="shared" ref="S254:X254" si="122">S$6</f>
        <v>2018</v>
      </c>
      <c r="T254" s="264">
        <f t="shared" si="122"/>
        <v>2019</v>
      </c>
      <c r="U254" s="264">
        <f t="shared" si="122"/>
        <v>2020</v>
      </c>
      <c r="V254" s="264">
        <f t="shared" si="122"/>
        <v>2021</v>
      </c>
      <c r="W254" s="264">
        <f t="shared" si="122"/>
        <v>2022</v>
      </c>
      <c r="X254" s="264">
        <f t="shared" si="122"/>
        <v>2023</v>
      </c>
      <c r="Y254" s="594">
        <f t="shared" ref="Y254:AE254" si="123">Y$50</f>
        <v>2024</v>
      </c>
      <c r="Z254" s="594">
        <f t="shared" si="123"/>
        <v>2025</v>
      </c>
      <c r="AA254" s="594">
        <f t="shared" si="123"/>
        <v>2026</v>
      </c>
      <c r="AB254" s="594">
        <f t="shared" si="123"/>
        <v>2027</v>
      </c>
      <c r="AC254" s="594">
        <f t="shared" si="123"/>
        <v>2028</v>
      </c>
      <c r="AD254" s="594">
        <f t="shared" si="123"/>
        <v>2029</v>
      </c>
      <c r="AE254" s="594">
        <f t="shared" si="123"/>
        <v>2030</v>
      </c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</row>
    <row r="255" spans="1:82">
      <c r="A255" s="244" t="s">
        <v>200</v>
      </c>
      <c r="B255" s="92">
        <f>Base!B$93</f>
        <v>-43.086999999999996</v>
      </c>
      <c r="C255" s="92">
        <f>Base!C$93</f>
        <v>-18.219000000000001</v>
      </c>
      <c r="D255" s="92">
        <f>Base!D$93</f>
        <v>-4.6790000000000003</v>
      </c>
      <c r="E255" s="92">
        <f>Base!E$93</f>
        <v>-2.0659999999999998</v>
      </c>
      <c r="F255" s="92">
        <f>Base!F$93</f>
        <v>-31.681000000000001</v>
      </c>
      <c r="G255" s="92">
        <f>Base!G$93</f>
        <v>-49.722000000000001</v>
      </c>
      <c r="H255" s="92">
        <f>Base!H$93</f>
        <v>-37.064999999999998</v>
      </c>
      <c r="I255" s="92">
        <f>Base!I$93</f>
        <v>-194.4</v>
      </c>
      <c r="J255" s="92">
        <f>Base!J$93</f>
        <v>-127.83699999999999</v>
      </c>
      <c r="K255" s="92">
        <f>Base!K$93</f>
        <v>-79.625</v>
      </c>
      <c r="L255" s="92">
        <f>Base!L$93</f>
        <v>-118.09400000000001</v>
      </c>
      <c r="M255" s="92">
        <f>Base!M$93</f>
        <v>-189.33699999999999</v>
      </c>
      <c r="N255" s="92">
        <f>Base!N$93</f>
        <v>-210.471</v>
      </c>
      <c r="O255" s="92">
        <f>Base!O$93</f>
        <v>-493.46300000000002</v>
      </c>
      <c r="P255" s="92">
        <f>Base!P$93</f>
        <v>-858.86599999999999</v>
      </c>
      <c r="Q255" s="92">
        <f>Base!Q$93</f>
        <v>-1179.1569999999999</v>
      </c>
      <c r="R255" s="92">
        <f>Base!R$93</f>
        <v>-1626.5820000000001</v>
      </c>
      <c r="S255" s="92">
        <f>Base!S$93</f>
        <v>-1455.97</v>
      </c>
      <c r="T255" s="329">
        <f>Base!T$93</f>
        <v>-1852.0450000000003</v>
      </c>
      <c r="U255" s="329">
        <f>Base!U$93</f>
        <v>-2626.9479999999994</v>
      </c>
      <c r="V255" s="329">
        <f>Base!V$93</f>
        <v>-2145.9099999999994</v>
      </c>
      <c r="W255" s="329">
        <f>Base!W$93</f>
        <v>-2879.3719999999998</v>
      </c>
      <c r="X255" s="329">
        <f>Base!X$93</f>
        <v>-2577.3910000000001</v>
      </c>
      <c r="Y255" s="329">
        <f>Base!Y$93</f>
        <v>-4760.0969888418449</v>
      </c>
      <c r="Z255" s="329">
        <f>Base!Z$93</f>
        <v>-4072.5802231644857</v>
      </c>
      <c r="AA255" s="329">
        <f>Base!AA$93</f>
        <v>-3761.2166162217263</v>
      </c>
      <c r="AB255" s="329">
        <f>Base!AB$93</f>
        <v>-3161.291243937083</v>
      </c>
      <c r="AC255" s="329">
        <f>Base!AC$93</f>
        <v>-3001.620411950772</v>
      </c>
      <c r="AD255" s="329">
        <f>Base!AD$93</f>
        <v>-2837.6166701476104</v>
      </c>
      <c r="AE255" s="329">
        <f>Base!AE$93</f>
        <v>-2649.5603149104263</v>
      </c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</row>
    <row r="256" spans="1:82">
      <c r="A256" s="244" t="s">
        <v>201</v>
      </c>
      <c r="B256" s="92">
        <f>Bull!B$93</f>
        <v>-43.086999999999996</v>
      </c>
      <c r="C256" s="92">
        <f>Bull!C$93</f>
        <v>-18.219000000000001</v>
      </c>
      <c r="D256" s="92">
        <f>Bull!D$93</f>
        <v>-4.6790000000000003</v>
      </c>
      <c r="E256" s="92">
        <f>Bull!E$93</f>
        <v>-2.0659999999999998</v>
      </c>
      <c r="F256" s="92">
        <f>Bull!F$93</f>
        <v>-31.681000000000001</v>
      </c>
      <c r="G256" s="92">
        <f>Bull!G$93</f>
        <v>-49.722000000000001</v>
      </c>
      <c r="H256" s="92">
        <f>Bull!H$93</f>
        <v>-37.064999999999998</v>
      </c>
      <c r="I256" s="92">
        <f>Bull!I$93</f>
        <v>-194.4</v>
      </c>
      <c r="J256" s="92">
        <f>Bull!J$93</f>
        <v>-127.83699999999999</v>
      </c>
      <c r="K256" s="92">
        <f>Bull!K$93</f>
        <v>-79.625</v>
      </c>
      <c r="L256" s="92">
        <f>Bull!L$93</f>
        <v>-118.09400000000001</v>
      </c>
      <c r="M256" s="92">
        <f>Bull!M$93</f>
        <v>-189.33699999999999</v>
      </c>
      <c r="N256" s="92">
        <f>Bull!N$93</f>
        <v>-210.471</v>
      </c>
      <c r="O256" s="92">
        <f>Bull!O$93</f>
        <v>-493.46300000000002</v>
      </c>
      <c r="P256" s="92">
        <f>Bull!P$93</f>
        <v>-858.86599999999999</v>
      </c>
      <c r="Q256" s="92">
        <f>Bull!Q$93</f>
        <v>-1179.1569999999999</v>
      </c>
      <c r="R256" s="92">
        <f>Bull!R$93</f>
        <v>-1626.5820000000001</v>
      </c>
      <c r="S256" s="92">
        <f>Bull!S$93</f>
        <v>-1455.97</v>
      </c>
      <c r="T256" s="329">
        <f>Bull!T$93</f>
        <v>-1852.0450000000003</v>
      </c>
      <c r="U256" s="329">
        <f>Bull!U$93</f>
        <v>-2626.9479999999994</v>
      </c>
      <c r="V256" s="329">
        <f>Bull!V$93</f>
        <v>-2145.9099999999994</v>
      </c>
      <c r="W256" s="329">
        <f>Bull!W$93</f>
        <v>-2879.3719999999998</v>
      </c>
      <c r="X256" s="329">
        <f>Bull!X$93</f>
        <v>-2577.3910000000001</v>
      </c>
      <c r="Y256" s="329">
        <f>Bull!Y$93</f>
        <v>-4756.5388144832978</v>
      </c>
      <c r="Z256" s="329">
        <f>Bull!Z$93</f>
        <v>-4042.0501677297325</v>
      </c>
      <c r="AA256" s="329">
        <f>Bull!AA$93</f>
        <v>-3701.5968571570902</v>
      </c>
      <c r="AB256" s="329">
        <f>Bull!AB$93</f>
        <v>-3072.0558170179565</v>
      </c>
      <c r="AC256" s="329">
        <f>Bull!AC$93</f>
        <v>-2854.7677969001411</v>
      </c>
      <c r="AD256" s="329">
        <f>Bull!AD$93</f>
        <v>-2599.7343946470851</v>
      </c>
      <c r="AE256" s="329">
        <f>Bull!AE$93</f>
        <v>-2320.3052562466455</v>
      </c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</row>
    <row r="257" spans="1:82">
      <c r="A257" s="244" t="s">
        <v>202</v>
      </c>
      <c r="B257" s="92">
        <f>Bear!B$93</f>
        <v>-43.086999999999996</v>
      </c>
      <c r="C257" s="92">
        <f>Bear!C$93</f>
        <v>-18.219000000000001</v>
      </c>
      <c r="D257" s="92">
        <f>Bear!D$93</f>
        <v>-4.6790000000000003</v>
      </c>
      <c r="E257" s="92">
        <f>Bear!E$93</f>
        <v>-2.0659999999999998</v>
      </c>
      <c r="F257" s="92">
        <f>Bear!F$93</f>
        <v>-31.681000000000001</v>
      </c>
      <c r="G257" s="92">
        <f>Bear!G$93</f>
        <v>-49.722000000000001</v>
      </c>
      <c r="H257" s="92">
        <f>Bear!H$93</f>
        <v>-37.064999999999998</v>
      </c>
      <c r="I257" s="92">
        <f>Bear!I$93</f>
        <v>-194.4</v>
      </c>
      <c r="J257" s="92">
        <f>Bear!J$93</f>
        <v>-127.83699999999999</v>
      </c>
      <c r="K257" s="92">
        <f>Bear!K$93</f>
        <v>-79.625</v>
      </c>
      <c r="L257" s="92">
        <f>Bear!L$93</f>
        <v>-118.09400000000001</v>
      </c>
      <c r="M257" s="92">
        <f>Bear!M$93</f>
        <v>-189.33699999999999</v>
      </c>
      <c r="N257" s="92">
        <f>Bear!N$93</f>
        <v>-210.471</v>
      </c>
      <c r="O257" s="92">
        <f>Bear!O$93</f>
        <v>-493.46300000000002</v>
      </c>
      <c r="P257" s="92">
        <f>Bear!P$93</f>
        <v>-858.86599999999999</v>
      </c>
      <c r="Q257" s="92">
        <f>Bear!Q$93</f>
        <v>-1179.1569999999999</v>
      </c>
      <c r="R257" s="92">
        <f>Bear!R$93</f>
        <v>-1626.5820000000001</v>
      </c>
      <c r="S257" s="92">
        <f>Bear!S$93</f>
        <v>-1455.97</v>
      </c>
      <c r="T257" s="329">
        <f>Bear!T$93</f>
        <v>-1852.0450000000003</v>
      </c>
      <c r="U257" s="329">
        <f>Bear!U$93</f>
        <v>-2626.9479999999994</v>
      </c>
      <c r="V257" s="329">
        <f>Bear!V$93</f>
        <v>-2145.9099999999994</v>
      </c>
      <c r="W257" s="329">
        <f>Bear!W$93</f>
        <v>-2879.3719999999998</v>
      </c>
      <c r="X257" s="329">
        <f>Bear!X$93</f>
        <v>-2577.3910000000001</v>
      </c>
      <c r="Y257" s="329">
        <f>Bear!Y$93</f>
        <v>-4757.9871125950858</v>
      </c>
      <c r="Z257" s="329">
        <f>Bear!Z$93</f>
        <v>-3995.0096716532789</v>
      </c>
      <c r="AA257" s="329">
        <f>Bear!AA$93</f>
        <v>-3570.1918316964347</v>
      </c>
      <c r="AB257" s="329">
        <f>Bear!AB$93</f>
        <v>-2831.7851220824296</v>
      </c>
      <c r="AC257" s="329">
        <f>Bear!AC$93</f>
        <v>-2528.5234400668865</v>
      </c>
      <c r="AD257" s="329">
        <f>Bear!AD$93</f>
        <v>-2264.6590732681193</v>
      </c>
      <c r="AE257" s="329">
        <f>Bear!AE$93</f>
        <v>-1977.7333921047139</v>
      </c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</row>
    <row r="258" spans="1:82">
      <c r="A258" s="36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329"/>
      <c r="U258" s="329"/>
      <c r="V258" s="329"/>
      <c r="W258" s="329"/>
      <c r="X258" s="329"/>
      <c r="Y258" s="329"/>
      <c r="Z258" s="329"/>
      <c r="AA258" s="329"/>
      <c r="AB258" s="329"/>
      <c r="AC258" s="329"/>
      <c r="AD258" s="329"/>
      <c r="AE258" s="32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</row>
    <row r="259" spans="1:82">
      <c r="A259" s="242" t="s">
        <v>524</v>
      </c>
      <c r="B259" s="264">
        <v>2001</v>
      </c>
      <c r="C259" s="264">
        <v>2002</v>
      </c>
      <c r="D259" s="264">
        <v>2003</v>
      </c>
      <c r="E259" s="264">
        <v>2004</v>
      </c>
      <c r="F259" s="264">
        <v>2005</v>
      </c>
      <c r="G259" s="264">
        <v>2006</v>
      </c>
      <c r="H259" s="264">
        <v>2007</v>
      </c>
      <c r="I259" s="264">
        <v>2008</v>
      </c>
      <c r="J259" s="264">
        <f t="shared" ref="J259:R259" si="124">J$50</f>
        <v>2009</v>
      </c>
      <c r="K259" s="264">
        <f t="shared" si="124"/>
        <v>2010</v>
      </c>
      <c r="L259" s="264">
        <f t="shared" si="124"/>
        <v>2011</v>
      </c>
      <c r="M259" s="264">
        <f t="shared" si="124"/>
        <v>2012</v>
      </c>
      <c r="N259" s="264">
        <f t="shared" si="124"/>
        <v>2013</v>
      </c>
      <c r="O259" s="264">
        <f t="shared" si="124"/>
        <v>2014</v>
      </c>
      <c r="P259" s="264">
        <f t="shared" si="124"/>
        <v>2015</v>
      </c>
      <c r="Q259" s="264">
        <f t="shared" si="124"/>
        <v>2016</v>
      </c>
      <c r="R259" s="264">
        <f t="shared" si="124"/>
        <v>2017</v>
      </c>
      <c r="S259" s="264">
        <f t="shared" ref="S259:X259" si="125">S$6</f>
        <v>2018</v>
      </c>
      <c r="T259" s="264">
        <f t="shared" si="125"/>
        <v>2019</v>
      </c>
      <c r="U259" s="264">
        <f t="shared" si="125"/>
        <v>2020</v>
      </c>
      <c r="V259" s="264">
        <f t="shared" si="125"/>
        <v>2021</v>
      </c>
      <c r="W259" s="264">
        <f t="shared" si="125"/>
        <v>2022</v>
      </c>
      <c r="X259" s="264">
        <f t="shared" si="125"/>
        <v>2023</v>
      </c>
      <c r="Y259" s="594">
        <f t="shared" ref="Y259:AE259" si="126">Y$50</f>
        <v>2024</v>
      </c>
      <c r="Z259" s="594">
        <f t="shared" si="126"/>
        <v>2025</v>
      </c>
      <c r="AA259" s="594">
        <f t="shared" si="126"/>
        <v>2026</v>
      </c>
      <c r="AB259" s="594">
        <f t="shared" si="126"/>
        <v>2027</v>
      </c>
      <c r="AC259" s="594">
        <f t="shared" si="126"/>
        <v>2028</v>
      </c>
      <c r="AD259" s="594">
        <f t="shared" si="126"/>
        <v>2029</v>
      </c>
      <c r="AE259" s="594">
        <f t="shared" si="126"/>
        <v>2030</v>
      </c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</row>
    <row r="260" spans="1:82">
      <c r="A260" s="244" t="s">
        <v>304</v>
      </c>
      <c r="B260" s="245">
        <f>-Base!B98</f>
        <v>0.67172976412781593</v>
      </c>
      <c r="C260" s="245">
        <f>-Base!C98</f>
        <v>0.31601101910465706</v>
      </c>
      <c r="D260" s="245">
        <f>-Base!D98</f>
        <v>0.37863708343285818</v>
      </c>
      <c r="E260" s="245">
        <f>-Base!E98</f>
        <v>0.42813159899669156</v>
      </c>
      <c r="F260" s="245">
        <f>-Base!F98</f>
        <v>0.28761515768310308</v>
      </c>
      <c r="G260" s="245">
        <f>-Base!G98</f>
        <v>0.34672108723226019</v>
      </c>
      <c r="H260" s="245">
        <f>-Base!H98</f>
        <v>0.24748632578863686</v>
      </c>
      <c r="I260" s="245">
        <f>-Base!I98</f>
        <v>0.23342571161287207</v>
      </c>
      <c r="J260" s="245">
        <f>-Base!J98</f>
        <v>0.24510310259156246</v>
      </c>
      <c r="K260" s="245">
        <f>-Base!K98</f>
        <v>0.44552362950279045</v>
      </c>
      <c r="L260" s="245">
        <f>-Base!L98</f>
        <v>0.31129682527677688</v>
      </c>
      <c r="M260" s="245">
        <f>-Base!M98</f>
        <v>0.35542397740235715</v>
      </c>
      <c r="N260" s="245">
        <f>-Base!N98</f>
        <v>0.29993745775239533</v>
      </c>
      <c r="O260" s="245">
        <f>-Base!O98</f>
        <v>0.36613038147179916</v>
      </c>
      <c r="P260" s="245">
        <f>-Base!P98</f>
        <v>0.3217492956451497</v>
      </c>
      <c r="Q260" s="245">
        <f>-Base!Q98</f>
        <v>0.31963820013263144</v>
      </c>
      <c r="R260" s="245">
        <f>-Base!R98</f>
        <v>0.4001958278324621</v>
      </c>
      <c r="S260" s="245">
        <f>-Base!S98</f>
        <v>0.37999988027986237</v>
      </c>
      <c r="T260" s="452">
        <f>-Base!T98</f>
        <v>0.23378991032066654</v>
      </c>
      <c r="U260" s="452">
        <f>-Base!U98</f>
        <v>0.23449130377665717</v>
      </c>
      <c r="V260" s="452">
        <f>-Base!V98</f>
        <v>0.2150716018154602</v>
      </c>
      <c r="W260" s="452">
        <f>-Base!W98</f>
        <v>0.371563474747858</v>
      </c>
      <c r="X260" s="452">
        <f>-Base!X98</f>
        <v>0.3277687971995587</v>
      </c>
      <c r="Y260" s="452">
        <f>-Base!Y98</f>
        <v>0.33476473605099821</v>
      </c>
      <c r="Z260" s="452">
        <f>-Base!Z98</f>
        <v>0.33999999999999864</v>
      </c>
      <c r="AA260" s="452">
        <f>-Base!AA98</f>
        <v>0.33999999999999991</v>
      </c>
      <c r="AB260" s="452">
        <f>-Base!AB98</f>
        <v>0.33999999999999991</v>
      </c>
      <c r="AC260" s="452">
        <f>-Base!AC98</f>
        <v>0.33999999999999986</v>
      </c>
      <c r="AD260" s="452">
        <f>-Base!AD98</f>
        <v>0.33999999999999997</v>
      </c>
      <c r="AE260" s="452">
        <f>-Base!AE98</f>
        <v>0.34000000000000014</v>
      </c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</row>
    <row r="261" spans="1:82">
      <c r="A261" s="36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329"/>
      <c r="U261" s="329"/>
      <c r="V261" s="329"/>
      <c r="W261" s="329"/>
      <c r="X261" s="329"/>
      <c r="Y261" s="329"/>
      <c r="Z261" s="329"/>
      <c r="AA261" s="329"/>
      <c r="AB261" s="329"/>
      <c r="AC261" s="329"/>
      <c r="AD261" s="329"/>
      <c r="AE261" s="32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</row>
    <row r="262" spans="1:82">
      <c r="A262" s="242" t="s">
        <v>619</v>
      </c>
      <c r="B262" s="264">
        <v>2001</v>
      </c>
      <c r="C262" s="264">
        <v>2002</v>
      </c>
      <c r="D262" s="264">
        <v>2003</v>
      </c>
      <c r="E262" s="264">
        <v>2004</v>
      </c>
      <c r="F262" s="264">
        <v>2005</v>
      </c>
      <c r="G262" s="264">
        <v>2006</v>
      </c>
      <c r="H262" s="264">
        <v>2007</v>
      </c>
      <c r="I262" s="264">
        <v>2008</v>
      </c>
      <c r="J262" s="264">
        <f t="shared" ref="J262:R262" si="127">J$50</f>
        <v>2009</v>
      </c>
      <c r="K262" s="264">
        <f t="shared" si="127"/>
        <v>2010</v>
      </c>
      <c r="L262" s="264">
        <f t="shared" si="127"/>
        <v>2011</v>
      </c>
      <c r="M262" s="264">
        <f t="shared" si="127"/>
        <v>2012</v>
      </c>
      <c r="N262" s="264">
        <f t="shared" si="127"/>
        <v>2013</v>
      </c>
      <c r="O262" s="264">
        <f t="shared" si="127"/>
        <v>2014</v>
      </c>
      <c r="P262" s="264">
        <f t="shared" si="127"/>
        <v>2015</v>
      </c>
      <c r="Q262" s="264">
        <f t="shared" si="127"/>
        <v>2016</v>
      </c>
      <c r="R262" s="264">
        <f t="shared" si="127"/>
        <v>2017</v>
      </c>
      <c r="S262" s="264">
        <f t="shared" ref="S262:X262" si="128">S$6</f>
        <v>2018</v>
      </c>
      <c r="T262" s="264">
        <f t="shared" si="128"/>
        <v>2019</v>
      </c>
      <c r="U262" s="264">
        <f t="shared" si="128"/>
        <v>2020</v>
      </c>
      <c r="V262" s="264">
        <f t="shared" si="128"/>
        <v>2021</v>
      </c>
      <c r="W262" s="264">
        <f t="shared" si="128"/>
        <v>2022</v>
      </c>
      <c r="X262" s="264">
        <f t="shared" si="128"/>
        <v>2023</v>
      </c>
      <c r="Y262" s="594">
        <f t="shared" ref="Y262:AE262" si="129">Y$50</f>
        <v>2024</v>
      </c>
      <c r="Z262" s="594">
        <f t="shared" si="129"/>
        <v>2025</v>
      </c>
      <c r="AA262" s="594">
        <f t="shared" si="129"/>
        <v>2026</v>
      </c>
      <c r="AB262" s="594">
        <f t="shared" si="129"/>
        <v>2027</v>
      </c>
      <c r="AC262" s="594">
        <f t="shared" si="129"/>
        <v>2028</v>
      </c>
      <c r="AD262" s="594">
        <f t="shared" si="129"/>
        <v>2029</v>
      </c>
      <c r="AE262" s="594">
        <f t="shared" si="129"/>
        <v>2030</v>
      </c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</row>
    <row r="263" spans="1:82">
      <c r="A263" s="36" t="s">
        <v>200</v>
      </c>
      <c r="B263" s="92">
        <f>Base!B106</f>
        <v>31.013999999999928</v>
      </c>
      <c r="C263" s="92">
        <f>Base!C106</f>
        <v>148.92700000000005</v>
      </c>
      <c r="D263" s="92">
        <f>Base!D106</f>
        <v>128.14800000000005</v>
      </c>
      <c r="E263" s="92">
        <f>Base!E106</f>
        <v>154.60900000000004</v>
      </c>
      <c r="F263" s="92">
        <f>Base!F106</f>
        <v>281.49800000000027</v>
      </c>
      <c r="G263" s="92">
        <f>Base!G106</f>
        <v>222.17700000000085</v>
      </c>
      <c r="H263" s="92">
        <f>Base!H106</f>
        <v>478.43499999999983</v>
      </c>
      <c r="I263" s="92">
        <f>Base!I106</f>
        <v>128.779</v>
      </c>
      <c r="J263" s="92">
        <f>Base!J106</f>
        <v>103.74800000000091</v>
      </c>
      <c r="K263" s="92">
        <f>Base!K106</f>
        <v>151.22599999999855</v>
      </c>
      <c r="L263" s="92">
        <f>Base!L106</f>
        <v>209.64400000000063</v>
      </c>
      <c r="M263" s="92">
        <f>Base!M106</f>
        <v>366.56500000000062</v>
      </c>
      <c r="N263" s="92">
        <f>Base!N106</f>
        <v>681.01300000000174</v>
      </c>
      <c r="O263" s="92">
        <f>Base!O106</f>
        <v>666.66600000000255</v>
      </c>
      <c r="P263" s="92">
        <f>Base!P106</f>
        <v>981.20599999999945</v>
      </c>
      <c r="Q263" s="92">
        <f>Base!Q106</f>
        <v>996.47199999999748</v>
      </c>
      <c r="R263" s="92">
        <f>Base!R106</f>
        <v>1089.4689999999987</v>
      </c>
      <c r="S263" s="92">
        <f>Base!S106</f>
        <v>953.25299999999891</v>
      </c>
      <c r="T263" s="329">
        <f>Base!T106</f>
        <v>926.66999999999723</v>
      </c>
      <c r="U263" s="329">
        <f>Base!U106</f>
        <v>-3186.0470000000023</v>
      </c>
      <c r="V263" s="329">
        <f>Base!V106</f>
        <v>835.13</v>
      </c>
      <c r="W263" s="329">
        <f>Base!W106</f>
        <v>1632.3349999999978</v>
      </c>
      <c r="X263" s="329">
        <f>Base!X106</f>
        <v>2930.7289999999962</v>
      </c>
      <c r="Y263" s="329">
        <f>Base!Y106</f>
        <v>1660.0654959731608</v>
      </c>
      <c r="Z263" s="329">
        <f>Base!Z106</f>
        <v>2875.5533098732913</v>
      </c>
      <c r="AA263" s="329">
        <f>Base!AA106</f>
        <v>3765.6210517009854</v>
      </c>
      <c r="AB263" s="329">
        <f>Base!AB106</f>
        <v>4774.4737705758234</v>
      </c>
      <c r="AC263" s="329">
        <f>Base!AC106</f>
        <v>5332.0472933043065</v>
      </c>
      <c r="AD263" s="329">
        <f>Base!AD106</f>
        <v>5679.9003121099704</v>
      </c>
      <c r="AE263" s="329">
        <f>Base!AE106</f>
        <v>6018.5170778318061</v>
      </c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</row>
    <row r="264" spans="1:82">
      <c r="A264" s="36" t="s">
        <v>201</v>
      </c>
      <c r="B264" s="92">
        <f>Bull!B106</f>
        <v>31.013999999999928</v>
      </c>
      <c r="C264" s="92">
        <f>Bull!C106</f>
        <v>148.92700000000005</v>
      </c>
      <c r="D264" s="92">
        <f>Bull!D106</f>
        <v>128.14800000000005</v>
      </c>
      <c r="E264" s="92">
        <f>Bull!E106</f>
        <v>154.60900000000004</v>
      </c>
      <c r="F264" s="92">
        <f>Bull!F106</f>
        <v>281.49800000000027</v>
      </c>
      <c r="G264" s="92">
        <f>Bull!G106</f>
        <v>222.17700000000085</v>
      </c>
      <c r="H264" s="92">
        <f>Bull!H106</f>
        <v>478.43499999999983</v>
      </c>
      <c r="I264" s="92">
        <f>Bull!I106</f>
        <v>128.779</v>
      </c>
      <c r="J264" s="92">
        <f>Bull!J106</f>
        <v>103.74800000000091</v>
      </c>
      <c r="K264" s="92">
        <f>Bull!K106</f>
        <v>151.22599999999855</v>
      </c>
      <c r="L264" s="92">
        <f>Bull!L106</f>
        <v>209.64400000000063</v>
      </c>
      <c r="M264" s="92">
        <f>Bull!M106</f>
        <v>366.56500000000062</v>
      </c>
      <c r="N264" s="92">
        <f>Bull!N106</f>
        <v>681.01300000000174</v>
      </c>
      <c r="O264" s="92">
        <f>Bull!O106</f>
        <v>666.66600000000255</v>
      </c>
      <c r="P264" s="92">
        <f>Bull!P106</f>
        <v>981.20599999999945</v>
      </c>
      <c r="Q264" s="92">
        <f>Bull!Q106</f>
        <v>996.47199999999748</v>
      </c>
      <c r="R264" s="92">
        <f>Bull!R106</f>
        <v>1089.4689999999987</v>
      </c>
      <c r="S264" s="92">
        <f>Bull!S106</f>
        <v>953.25299999999891</v>
      </c>
      <c r="T264" s="329">
        <f>Bull!T106</f>
        <v>926.66999999999723</v>
      </c>
      <c r="U264" s="329">
        <f>Bull!U106</f>
        <v>-3186.0470000000023</v>
      </c>
      <c r="V264" s="329">
        <f>Bull!V106</f>
        <v>835.13</v>
      </c>
      <c r="W264" s="329">
        <f>Bull!W106</f>
        <v>1632.3349999999978</v>
      </c>
      <c r="X264" s="329">
        <f>Bull!X106</f>
        <v>2930.7289999999962</v>
      </c>
      <c r="Y264" s="329">
        <f>Bull!Y106</f>
        <v>1849.0240059977878</v>
      </c>
      <c r="Z264" s="329">
        <f>Bull!Z106</f>
        <v>3294.5881362709633</v>
      </c>
      <c r="AA264" s="329">
        <f>Bull!AA106</f>
        <v>4304.3811835827928</v>
      </c>
      <c r="AB264" s="329">
        <f>Bull!AB106</f>
        <v>5424.3461349487834</v>
      </c>
      <c r="AC264" s="329">
        <f>Bull!AC106</f>
        <v>6110.9042548005673</v>
      </c>
      <c r="AD264" s="329">
        <f>Bull!AD106</f>
        <v>6670.7883791866443</v>
      </c>
      <c r="AE264" s="329">
        <f>Bull!AE106</f>
        <v>7221.752619986677</v>
      </c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</row>
    <row r="265" spans="1:82">
      <c r="A265" s="36" t="s">
        <v>202</v>
      </c>
      <c r="B265" s="92">
        <f>Bear!B106</f>
        <v>31.013999999999928</v>
      </c>
      <c r="C265" s="92">
        <f>Bear!C106</f>
        <v>148.92700000000005</v>
      </c>
      <c r="D265" s="92">
        <f>Bear!D106</f>
        <v>128.14800000000005</v>
      </c>
      <c r="E265" s="92">
        <f>Bear!E106</f>
        <v>154.60900000000004</v>
      </c>
      <c r="F265" s="92">
        <f>Bear!F106</f>
        <v>281.49800000000027</v>
      </c>
      <c r="G265" s="92">
        <f>Bear!G106</f>
        <v>222.17700000000085</v>
      </c>
      <c r="H265" s="92">
        <f>Bear!H106</f>
        <v>478.43499999999983</v>
      </c>
      <c r="I265" s="92">
        <f>Bear!I106</f>
        <v>128.779</v>
      </c>
      <c r="J265" s="92">
        <f>Bear!J106</f>
        <v>103.74800000000091</v>
      </c>
      <c r="K265" s="92">
        <f>Bear!K106</f>
        <v>151.22599999999855</v>
      </c>
      <c r="L265" s="92">
        <f>Bear!L106</f>
        <v>209.64400000000063</v>
      </c>
      <c r="M265" s="92">
        <f>Bear!M106</f>
        <v>366.56500000000062</v>
      </c>
      <c r="N265" s="92">
        <f>Bear!N106</f>
        <v>681.01300000000174</v>
      </c>
      <c r="O265" s="92">
        <f>Bear!O106</f>
        <v>666.66600000000255</v>
      </c>
      <c r="P265" s="92">
        <f>Bear!P106</f>
        <v>981.20599999999945</v>
      </c>
      <c r="Q265" s="92">
        <f>Bear!Q106</f>
        <v>996.47199999999748</v>
      </c>
      <c r="R265" s="92">
        <f>Bear!R106</f>
        <v>1089.4689999999987</v>
      </c>
      <c r="S265" s="92">
        <f>Bear!S106</f>
        <v>953.25299999999891</v>
      </c>
      <c r="T265" s="329">
        <f>Bear!T106</f>
        <v>926.66999999999723</v>
      </c>
      <c r="U265" s="329">
        <f>Bear!U106</f>
        <v>-3186.0470000000023</v>
      </c>
      <c r="V265" s="329">
        <f>Bear!V106</f>
        <v>835.13</v>
      </c>
      <c r="W265" s="329">
        <f>Bear!W106</f>
        <v>1632.3349999999978</v>
      </c>
      <c r="X265" s="329">
        <f>Bear!X106</f>
        <v>2930.7289999999962</v>
      </c>
      <c r="Y265" s="329">
        <f>Bear!Y106</f>
        <v>1123.5562842488389</v>
      </c>
      <c r="Z265" s="329">
        <f>Bear!Z106</f>
        <v>1901.1917619047149</v>
      </c>
      <c r="AA265" s="329">
        <f>Bear!AA106</f>
        <v>2805.9030071771958</v>
      </c>
      <c r="AB265" s="329">
        <f>Bear!AB106</f>
        <v>3841.7683674160339</v>
      </c>
      <c r="AC265" s="329">
        <f>Bear!AC106</f>
        <v>4060.716629850177</v>
      </c>
      <c r="AD265" s="329">
        <f>Bear!AD106</f>
        <v>4382.4137503565798</v>
      </c>
      <c r="AE265" s="329">
        <f>Bear!AE106</f>
        <v>4679.1784124621299</v>
      </c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</row>
    <row r="266" spans="1:82">
      <c r="A266" s="36" t="s">
        <v>620</v>
      </c>
      <c r="B266" s="92">
        <f>Base!B102</f>
        <v>31.013999999999928</v>
      </c>
      <c r="C266" s="92">
        <f>Base!C102</f>
        <v>148.92700000000005</v>
      </c>
      <c r="D266" s="92">
        <f>Base!D102</f>
        <v>128.14800000000005</v>
      </c>
      <c r="E266" s="92">
        <f>Base!E102</f>
        <v>154.60899999999998</v>
      </c>
      <c r="F266" s="92">
        <f>Base!F102</f>
        <v>281.49800000000027</v>
      </c>
      <c r="G266" s="92">
        <f>Base!G102</f>
        <v>222.17700000000085</v>
      </c>
      <c r="H266" s="92">
        <f>Base!H102</f>
        <v>478.43499999999983</v>
      </c>
      <c r="I266" s="92">
        <f>Base!I102</f>
        <v>128.779</v>
      </c>
      <c r="J266" s="92">
        <f>Base!J102</f>
        <v>103.74800000000091</v>
      </c>
      <c r="K266" s="92">
        <f>Base!K102</f>
        <v>151.22599999999855</v>
      </c>
      <c r="L266" s="92">
        <f>Base!L102</f>
        <v>209.64400000000066</v>
      </c>
      <c r="M266" s="92">
        <f>Base!M102</f>
        <v>366.56500000000062</v>
      </c>
      <c r="N266" s="92">
        <f>Base!N102</f>
        <v>681.01300000000174</v>
      </c>
      <c r="O266" s="92">
        <f>Base!O102</f>
        <v>666.66600000000255</v>
      </c>
      <c r="P266" s="92">
        <f>Base!P102</f>
        <v>981.20599999999945</v>
      </c>
      <c r="Q266" s="92">
        <f>Base!Q102</f>
        <v>996.47199999999748</v>
      </c>
      <c r="R266" s="92">
        <f>Base!R102</f>
        <v>1089.4689999999987</v>
      </c>
      <c r="S266" s="92">
        <f>Base!S102</f>
        <v>953.25299999999891</v>
      </c>
      <c r="T266" s="329">
        <f>Base!T102</f>
        <v>926.66999999999723</v>
      </c>
      <c r="U266" s="329">
        <f>Base!U102</f>
        <v>-3186.0470000000023</v>
      </c>
      <c r="V266" s="329">
        <f>Base!V102</f>
        <v>835.13</v>
      </c>
      <c r="W266" s="329">
        <f>Base!W102</f>
        <v>1632.3349999999978</v>
      </c>
      <c r="X266" s="329">
        <f>Base!X102</f>
        <v>2930.7289999999962</v>
      </c>
      <c r="Y266" s="329">
        <f>Base!Y102</f>
        <v>1660.0654959731608</v>
      </c>
      <c r="Z266" s="329">
        <f>Base!Z102</f>
        <v>2875.5533098732913</v>
      </c>
      <c r="AA266" s="329">
        <f>Base!AA102</f>
        <v>3765.6210517009854</v>
      </c>
      <c r="AB266" s="329">
        <f>Base!AB102</f>
        <v>4774.4737705758234</v>
      </c>
      <c r="AC266" s="329">
        <f>Base!AC102</f>
        <v>5332.0472933043065</v>
      </c>
      <c r="AD266" s="329">
        <f>Base!AD102</f>
        <v>5679.9003121099704</v>
      </c>
      <c r="AE266" s="329">
        <f>Base!AE102</f>
        <v>6018.5170778318061</v>
      </c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</row>
    <row r="267" spans="1:82">
      <c r="A267" s="36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329"/>
      <c r="U267" s="329"/>
      <c r="V267" s="329"/>
      <c r="W267" s="329"/>
      <c r="X267" s="329"/>
      <c r="Y267" s="329"/>
      <c r="Z267" s="329"/>
      <c r="AA267" s="329"/>
      <c r="AB267" s="329"/>
      <c r="AC267" s="329"/>
      <c r="AD267" s="329"/>
      <c r="AE267" s="32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</row>
    <row r="268" spans="1:82">
      <c r="A268" s="242" t="s">
        <v>476</v>
      </c>
      <c r="B268" s="264">
        <v>2001</v>
      </c>
      <c r="C268" s="264">
        <v>2002</v>
      </c>
      <c r="D268" s="264">
        <v>2003</v>
      </c>
      <c r="E268" s="264">
        <v>2004</v>
      </c>
      <c r="F268" s="264">
        <v>2005</v>
      </c>
      <c r="G268" s="264">
        <v>2006</v>
      </c>
      <c r="H268" s="264">
        <v>2007</v>
      </c>
      <c r="I268" s="264">
        <v>2008</v>
      </c>
      <c r="J268" s="264">
        <f t="shared" ref="J268:R268" si="130">J$50</f>
        <v>2009</v>
      </c>
      <c r="K268" s="264">
        <f t="shared" si="130"/>
        <v>2010</v>
      </c>
      <c r="L268" s="264">
        <f t="shared" si="130"/>
        <v>2011</v>
      </c>
      <c r="M268" s="264">
        <f t="shared" si="130"/>
        <v>2012</v>
      </c>
      <c r="N268" s="264">
        <f t="shared" si="130"/>
        <v>2013</v>
      </c>
      <c r="O268" s="264">
        <f t="shared" si="130"/>
        <v>2014</v>
      </c>
      <c r="P268" s="264">
        <f t="shared" si="130"/>
        <v>2015</v>
      </c>
      <c r="Q268" s="264">
        <f t="shared" si="130"/>
        <v>2016</v>
      </c>
      <c r="R268" s="264">
        <f t="shared" si="130"/>
        <v>2017</v>
      </c>
      <c r="S268" s="264">
        <f t="shared" ref="S268:X268" si="131">S$6</f>
        <v>2018</v>
      </c>
      <c r="T268" s="264">
        <f t="shared" si="131"/>
        <v>2019</v>
      </c>
      <c r="U268" s="264">
        <f t="shared" si="131"/>
        <v>2020</v>
      </c>
      <c r="V268" s="264">
        <f t="shared" si="131"/>
        <v>2021</v>
      </c>
      <c r="W268" s="264">
        <f t="shared" si="131"/>
        <v>2022</v>
      </c>
      <c r="X268" s="264">
        <f t="shared" si="131"/>
        <v>2023</v>
      </c>
      <c r="Y268" s="594">
        <f t="shared" ref="Y268:AE268" si="132">Y$50</f>
        <v>2024</v>
      </c>
      <c r="Z268" s="594">
        <f t="shared" si="132"/>
        <v>2025</v>
      </c>
      <c r="AA268" s="594">
        <f t="shared" si="132"/>
        <v>2026</v>
      </c>
      <c r="AB268" s="594">
        <f t="shared" si="132"/>
        <v>2027</v>
      </c>
      <c r="AC268" s="594">
        <f t="shared" si="132"/>
        <v>2028</v>
      </c>
      <c r="AD268" s="594">
        <f t="shared" si="132"/>
        <v>2029</v>
      </c>
      <c r="AE268" s="594">
        <f t="shared" si="132"/>
        <v>2030</v>
      </c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</row>
    <row r="269" spans="1:82">
      <c r="A269" s="36" t="s">
        <v>200</v>
      </c>
      <c r="B269" s="250">
        <f>-Base!B157</f>
        <v>123.169</v>
      </c>
      <c r="C269" s="250">
        <f>-Base!C157</f>
        <v>234.94300000000004</v>
      </c>
      <c r="D269" s="250">
        <f>-Base!D157</f>
        <v>164.846</v>
      </c>
      <c r="E269" s="250">
        <f>-Base!E157</f>
        <v>526.36199999999997</v>
      </c>
      <c r="F269" s="250">
        <f>-Base!F157</f>
        <v>874.95</v>
      </c>
      <c r="G269" s="250">
        <f>-Base!G157</f>
        <v>1117.8700000000001</v>
      </c>
      <c r="H269" s="250">
        <f>-Base!H157</f>
        <v>1091.8439999999998</v>
      </c>
      <c r="I269" s="250">
        <f>-Base!I157</f>
        <v>1094.98</v>
      </c>
      <c r="J269" s="250">
        <f>-Base!J157</f>
        <v>554.76100000000019</v>
      </c>
      <c r="K269" s="251">
        <f>-Base!K157</f>
        <v>761.947</v>
      </c>
      <c r="L269" s="250">
        <f>-Base!L157</f>
        <v>1255.009</v>
      </c>
      <c r="M269" s="250">
        <f>-Base!M157</f>
        <v>2751.0480000000002</v>
      </c>
      <c r="N269" s="250">
        <f>-Base!N157</f>
        <v>3202.7510000000002</v>
      </c>
      <c r="O269" s="250">
        <f>-Base!O157</f>
        <v>12410.406999999999</v>
      </c>
      <c r="P269" s="250">
        <f>-Base!P157</f>
        <v>3439.192</v>
      </c>
      <c r="Q269" s="250">
        <f>-Base!Q157</f>
        <v>5038.588999999999</v>
      </c>
      <c r="R269" s="250">
        <f>-Base!R157</f>
        <v>3274.3160000000007</v>
      </c>
      <c r="S269" s="250">
        <f>-Base!S157</f>
        <v>17497.725999999999</v>
      </c>
      <c r="T269" s="454">
        <f>-Base!T157</f>
        <v>4828.8850000000002</v>
      </c>
      <c r="U269" s="454">
        <f>-Base!U157</f>
        <v>1779.9180000000001</v>
      </c>
      <c r="V269" s="454">
        <f>-Base!V157</f>
        <v>2541.7869999999998</v>
      </c>
      <c r="W269" s="454">
        <f>-Base!W157</f>
        <v>4223.424</v>
      </c>
      <c r="X269" s="454">
        <f>-Base!X157</f>
        <v>4739.5130000000008</v>
      </c>
      <c r="Y269" s="454">
        <f>-Base!Y157</f>
        <v>6051.5874705091046</v>
      </c>
      <c r="Z269" s="454">
        <f>-Base!Z157</f>
        <v>6206.89505920378</v>
      </c>
      <c r="AA269" s="454">
        <f>-Base!AA157</f>
        <v>6195.3866040332841</v>
      </c>
      <c r="AB269" s="454">
        <f>-Base!AB157</f>
        <v>6382.3033586856191</v>
      </c>
      <c r="AC269" s="454">
        <f>-Base!AC157</f>
        <v>7284.0839017145245</v>
      </c>
      <c r="AD269" s="454">
        <f>-Base!AD157</f>
        <v>7963.0775370078054</v>
      </c>
      <c r="AE269" s="454">
        <f>-Base!AE157</f>
        <v>8455.5855188113237</v>
      </c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</row>
    <row r="270" spans="1:82">
      <c r="A270" s="36" t="s">
        <v>201</v>
      </c>
      <c r="B270" s="250">
        <f>-Bull!B157</f>
        <v>123.169</v>
      </c>
      <c r="C270" s="250">
        <f>-Bull!C157</f>
        <v>234.94300000000004</v>
      </c>
      <c r="D270" s="250">
        <f>-Bull!D157</f>
        <v>164.846</v>
      </c>
      <c r="E270" s="250">
        <f>-Bull!E157</f>
        <v>526.36199999999997</v>
      </c>
      <c r="F270" s="250">
        <f>-Bull!F157</f>
        <v>874.95</v>
      </c>
      <c r="G270" s="250">
        <f>-Bull!G157</f>
        <v>1117.8700000000001</v>
      </c>
      <c r="H270" s="250">
        <f>-Bull!H157</f>
        <v>1091.8439999999998</v>
      </c>
      <c r="I270" s="250">
        <f>-Bull!I157</f>
        <v>1094.98</v>
      </c>
      <c r="J270" s="250">
        <f>-Bull!J157</f>
        <v>554.76100000000019</v>
      </c>
      <c r="K270" s="251">
        <f>-Bull!K157</f>
        <v>761.947</v>
      </c>
      <c r="L270" s="250">
        <f>-Bull!L157</f>
        <v>1255.009</v>
      </c>
      <c r="M270" s="250">
        <f>-Bull!M157</f>
        <v>2751.0480000000002</v>
      </c>
      <c r="N270" s="250">
        <f>-Bull!N157</f>
        <v>3202.7510000000002</v>
      </c>
      <c r="O270" s="250">
        <f>-Bull!O157</f>
        <v>12410.406999999999</v>
      </c>
      <c r="P270" s="250">
        <f>-Bull!P157</f>
        <v>3439.192</v>
      </c>
      <c r="Q270" s="250">
        <f>-Bull!Q157</f>
        <v>5038.588999999999</v>
      </c>
      <c r="R270" s="250">
        <f>-Bull!R157</f>
        <v>3274.3160000000007</v>
      </c>
      <c r="S270" s="250">
        <f>-Bull!S157</f>
        <v>17497.725999999999</v>
      </c>
      <c r="T270" s="454">
        <f>-Bull!T157</f>
        <v>4828.8850000000002</v>
      </c>
      <c r="U270" s="454">
        <f>-Bull!U157</f>
        <v>1779.9180000000001</v>
      </c>
      <c r="V270" s="454">
        <f>-Bull!V157</f>
        <v>2541.7869999999998</v>
      </c>
      <c r="W270" s="454">
        <f>-Bull!W157</f>
        <v>4223.424</v>
      </c>
      <c r="X270" s="454">
        <f>-Bull!X157</f>
        <v>4739.5130000000008</v>
      </c>
      <c r="Y270" s="454">
        <f>-Bull!Y157</f>
        <v>5951.9994978732948</v>
      </c>
      <c r="Z270" s="454">
        <f>-Bull!Z157</f>
        <v>6032.5934403559986</v>
      </c>
      <c r="AA270" s="454">
        <f>-Bull!AA157</f>
        <v>6089.3202823513848</v>
      </c>
      <c r="AB270" s="454">
        <f>-Bull!AB157</f>
        <v>6326.138927601075</v>
      </c>
      <c r="AC270" s="454">
        <f>-Bull!AC157</f>
        <v>6963.0164365082765</v>
      </c>
      <c r="AD270" s="454">
        <f>-Bull!AD157</f>
        <v>7655.9727423404211</v>
      </c>
      <c r="AE270" s="454">
        <f>-Bull!AE157</f>
        <v>8191.7363875535302</v>
      </c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</row>
    <row r="271" spans="1:82">
      <c r="A271" s="36" t="s">
        <v>202</v>
      </c>
      <c r="B271" s="251">
        <f>-Bear!B157</f>
        <v>123.169</v>
      </c>
      <c r="C271" s="251">
        <f>-Bear!C157</f>
        <v>234.94300000000004</v>
      </c>
      <c r="D271" s="251">
        <f>-Bear!D157</f>
        <v>164.846</v>
      </c>
      <c r="E271" s="251">
        <f>-Bear!E157</f>
        <v>526.36199999999997</v>
      </c>
      <c r="F271" s="251">
        <f>-Bear!F157</f>
        <v>874.95</v>
      </c>
      <c r="G271" s="251">
        <f>-Bear!G157</f>
        <v>1117.8700000000001</v>
      </c>
      <c r="H271" s="251">
        <f>-Bear!H157</f>
        <v>1091.8439999999998</v>
      </c>
      <c r="I271" s="251">
        <f>-Bear!I157</f>
        <v>1094.98</v>
      </c>
      <c r="J271" s="251">
        <f>-Bear!J157</f>
        <v>554.76100000000019</v>
      </c>
      <c r="K271" s="251">
        <f>-Bear!K157</f>
        <v>761.947</v>
      </c>
      <c r="L271" s="251">
        <f>-Bear!L157</f>
        <v>1255.009</v>
      </c>
      <c r="M271" s="251">
        <f>-Bear!M157</f>
        <v>2751.0480000000002</v>
      </c>
      <c r="N271" s="251">
        <f>-Bear!N157</f>
        <v>3202.7510000000002</v>
      </c>
      <c r="O271" s="251">
        <f>-Bear!O157</f>
        <v>12410.406999999999</v>
      </c>
      <c r="P271" s="251">
        <f>-Bear!P157</f>
        <v>3439.192</v>
      </c>
      <c r="Q271" s="251">
        <f>-Bear!Q157</f>
        <v>5038.588999999999</v>
      </c>
      <c r="R271" s="251">
        <f>-Bear!R157</f>
        <v>3274.3160000000007</v>
      </c>
      <c r="S271" s="251">
        <f>-Bear!S157</f>
        <v>17497.725999999999</v>
      </c>
      <c r="T271" s="336">
        <f>-Bear!T157</f>
        <v>4828.8850000000002</v>
      </c>
      <c r="U271" s="336">
        <f>-Bear!U157</f>
        <v>1779.9180000000001</v>
      </c>
      <c r="V271" s="336">
        <f>-Bear!V157</f>
        <v>2541.7869999999998</v>
      </c>
      <c r="W271" s="336">
        <f>-Bear!W157</f>
        <v>4223.424</v>
      </c>
      <c r="X271" s="336">
        <f>-Bear!X157</f>
        <v>4739.5130000000008</v>
      </c>
      <c r="Y271" s="336">
        <f>-Bear!Y157</f>
        <v>5568.2348344935699</v>
      </c>
      <c r="Z271" s="336">
        <f>-Bear!Z157</f>
        <v>5216.9621919151159</v>
      </c>
      <c r="AA271" s="336">
        <f>-Bear!AA157</f>
        <v>5105.9704118421696</v>
      </c>
      <c r="AB271" s="336">
        <f>-Bear!AB157</f>
        <v>5232.888757502612</v>
      </c>
      <c r="AC271" s="336">
        <f>-Bear!AC157</f>
        <v>6494.1803888485501</v>
      </c>
      <c r="AD271" s="336">
        <f>-Bear!AD157</f>
        <v>7070.018149406571</v>
      </c>
      <c r="AE271" s="336">
        <f>-Bear!AE157</f>
        <v>7469.7879729180422</v>
      </c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</row>
    <row r="272" spans="1:82">
      <c r="A272" s="36" t="s">
        <v>1384</v>
      </c>
      <c r="B272" s="92">
        <f t="shared" ref="B272:Z272" si="133">-B269</f>
        <v>-123.169</v>
      </c>
      <c r="C272" s="92">
        <f t="shared" si="133"/>
        <v>-234.94300000000004</v>
      </c>
      <c r="D272" s="92">
        <f t="shared" si="133"/>
        <v>-164.846</v>
      </c>
      <c r="E272" s="92">
        <f t="shared" si="133"/>
        <v>-526.36199999999997</v>
      </c>
      <c r="F272" s="92">
        <f t="shared" si="133"/>
        <v>-874.95</v>
      </c>
      <c r="G272" s="92">
        <f t="shared" si="133"/>
        <v>-1117.8700000000001</v>
      </c>
      <c r="H272" s="92">
        <f t="shared" si="133"/>
        <v>-1091.8439999999998</v>
      </c>
      <c r="I272" s="92">
        <f t="shared" si="133"/>
        <v>-1094.98</v>
      </c>
      <c r="J272" s="92">
        <f t="shared" si="133"/>
        <v>-554.76100000000019</v>
      </c>
      <c r="K272" s="92">
        <f t="shared" si="133"/>
        <v>-761.947</v>
      </c>
      <c r="L272" s="92">
        <f t="shared" si="133"/>
        <v>-1255.009</v>
      </c>
      <c r="M272" s="92">
        <f t="shared" si="133"/>
        <v>-2751.0480000000002</v>
      </c>
      <c r="N272" s="92">
        <f t="shared" si="133"/>
        <v>-3202.7510000000002</v>
      </c>
      <c r="O272" s="92">
        <f t="shared" si="133"/>
        <v>-12410.406999999999</v>
      </c>
      <c r="P272" s="92">
        <f t="shared" si="133"/>
        <v>-3439.192</v>
      </c>
      <c r="Q272" s="92">
        <f t="shared" si="133"/>
        <v>-5038.588999999999</v>
      </c>
      <c r="R272" s="92">
        <f t="shared" si="133"/>
        <v>-3274.3160000000007</v>
      </c>
      <c r="S272" s="92">
        <f t="shared" si="133"/>
        <v>-17497.725999999999</v>
      </c>
      <c r="T272" s="329">
        <f t="shared" si="133"/>
        <v>-4828.8850000000002</v>
      </c>
      <c r="U272" s="329">
        <f t="shared" si="133"/>
        <v>-1779.9180000000001</v>
      </c>
      <c r="V272" s="329">
        <f t="shared" si="133"/>
        <v>-2541.7869999999998</v>
      </c>
      <c r="W272" s="329">
        <f t="shared" si="133"/>
        <v>-4223.424</v>
      </c>
      <c r="X272" s="329">
        <f t="shared" si="133"/>
        <v>-4739.5130000000008</v>
      </c>
      <c r="Y272" s="329">
        <f t="shared" si="133"/>
        <v>-6051.5874705091046</v>
      </c>
      <c r="Z272" s="329">
        <f t="shared" si="133"/>
        <v>-6206.89505920378</v>
      </c>
      <c r="AA272" s="329">
        <f>-AA269</f>
        <v>-6195.3866040332841</v>
      </c>
      <c r="AB272" s="329">
        <f>-AB269</f>
        <v>-6382.3033586856191</v>
      </c>
      <c r="AC272" s="329">
        <f>-AC269</f>
        <v>-7284.0839017145245</v>
      </c>
      <c r="AD272" s="329">
        <f>-AD269</f>
        <v>-7963.0775370078054</v>
      </c>
      <c r="AE272" s="329">
        <f>-AE269</f>
        <v>-8455.5855188113237</v>
      </c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</row>
    <row r="273" spans="1:82">
      <c r="A273" s="242" t="s">
        <v>523</v>
      </c>
      <c r="B273" s="264">
        <v>2001</v>
      </c>
      <c r="C273" s="264">
        <v>2002</v>
      </c>
      <c r="D273" s="264">
        <v>2003</v>
      </c>
      <c r="E273" s="264">
        <v>2004</v>
      </c>
      <c r="F273" s="264">
        <v>2005</v>
      </c>
      <c r="G273" s="264">
        <v>2006</v>
      </c>
      <c r="H273" s="264">
        <v>2007</v>
      </c>
      <c r="I273" s="264">
        <v>2008</v>
      </c>
      <c r="J273" s="264">
        <f t="shared" ref="J273:R273" si="134">J$50</f>
        <v>2009</v>
      </c>
      <c r="K273" s="264">
        <f t="shared" si="134"/>
        <v>2010</v>
      </c>
      <c r="L273" s="264">
        <f t="shared" si="134"/>
        <v>2011</v>
      </c>
      <c r="M273" s="264">
        <f t="shared" si="134"/>
        <v>2012</v>
      </c>
      <c r="N273" s="264">
        <f t="shared" si="134"/>
        <v>2013</v>
      </c>
      <c r="O273" s="264">
        <f t="shared" si="134"/>
        <v>2014</v>
      </c>
      <c r="P273" s="264">
        <f t="shared" si="134"/>
        <v>2015</v>
      </c>
      <c r="Q273" s="264">
        <f t="shared" si="134"/>
        <v>2016</v>
      </c>
      <c r="R273" s="264">
        <f t="shared" si="134"/>
        <v>2017</v>
      </c>
      <c r="S273" s="264">
        <f t="shared" ref="S273:X273" si="135">S$6</f>
        <v>2018</v>
      </c>
      <c r="T273" s="264">
        <f t="shared" si="135"/>
        <v>2019</v>
      </c>
      <c r="U273" s="264">
        <f t="shared" si="135"/>
        <v>2020</v>
      </c>
      <c r="V273" s="264">
        <f t="shared" si="135"/>
        <v>2021</v>
      </c>
      <c r="W273" s="264">
        <f t="shared" si="135"/>
        <v>2022</v>
      </c>
      <c r="X273" s="264">
        <f t="shared" si="135"/>
        <v>2023</v>
      </c>
      <c r="Y273" s="594">
        <f t="shared" ref="Y273:AE273" si="136">Y$50</f>
        <v>2024</v>
      </c>
      <c r="Z273" s="594">
        <f t="shared" si="136"/>
        <v>2025</v>
      </c>
      <c r="AA273" s="594">
        <f t="shared" si="136"/>
        <v>2026</v>
      </c>
      <c r="AB273" s="594">
        <f t="shared" si="136"/>
        <v>2027</v>
      </c>
      <c r="AC273" s="594">
        <f t="shared" si="136"/>
        <v>2028</v>
      </c>
      <c r="AD273" s="594">
        <f t="shared" si="136"/>
        <v>2029</v>
      </c>
      <c r="AE273" s="594">
        <f t="shared" si="136"/>
        <v>2030</v>
      </c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</row>
    <row r="274" spans="1:82">
      <c r="A274" s="244" t="s">
        <v>605</v>
      </c>
      <c r="B274" s="245">
        <f t="shared" ref="B274:Z274" si="137">B269/B$51</f>
        <v>4.9772210579741655E-2</v>
      </c>
      <c r="C274" s="245">
        <f t="shared" si="137"/>
        <v>8.9402781519652849E-2</v>
      </c>
      <c r="D274" s="245">
        <f t="shared" si="137"/>
        <v>5.7407806606393684E-2</v>
      </c>
      <c r="E274" s="245">
        <f t="shared" si="137"/>
        <v>0.14193033802028476</v>
      </c>
      <c r="F274" s="245">
        <f t="shared" si="137"/>
        <v>0.18754420937560284</v>
      </c>
      <c r="G274" s="245">
        <f t="shared" si="137"/>
        <v>0.1854941321947072</v>
      </c>
      <c r="H274" s="245">
        <f t="shared" si="137"/>
        <v>0.1563036520584424</v>
      </c>
      <c r="I274" s="245">
        <f t="shared" si="137"/>
        <v>0.14061924710694695</v>
      </c>
      <c r="J274" s="245">
        <f t="shared" si="137"/>
        <v>6.4604141966286346E-2</v>
      </c>
      <c r="K274" s="245">
        <f t="shared" si="137"/>
        <v>8.4835727901093824E-2</v>
      </c>
      <c r="L274" s="245">
        <f t="shared" si="137"/>
        <v>0.11732889549707082</v>
      </c>
      <c r="M274" s="245">
        <f t="shared" si="137"/>
        <v>0.20348721141064771</v>
      </c>
      <c r="N274" s="245">
        <f t="shared" si="137"/>
        <v>0.20383244981039181</v>
      </c>
      <c r="O274" s="245">
        <f t="shared" si="137"/>
        <v>0.54431000881349789</v>
      </c>
      <c r="P274" s="245">
        <f t="shared" si="137"/>
        <v>0.10651486466832522</v>
      </c>
      <c r="Q274" s="245">
        <f t="shared" si="137"/>
        <v>0.13364295725726261</v>
      </c>
      <c r="R274" s="245">
        <f t="shared" si="137"/>
        <v>7.698997588029155E-2</v>
      </c>
      <c r="S274" s="245">
        <f t="shared" si="137"/>
        <v>0.37909485126403719</v>
      </c>
      <c r="T274" s="452">
        <f t="shared" si="137"/>
        <v>8.3035278762637929E-2</v>
      </c>
      <c r="U274" s="452">
        <f t="shared" si="137"/>
        <v>4.6237137982573978E-2</v>
      </c>
      <c r="V274" s="452">
        <f t="shared" si="137"/>
        <v>4.7617315189103886E-2</v>
      </c>
      <c r="W274" s="452">
        <f t="shared" si="137"/>
        <v>6.1359057481185336E-2</v>
      </c>
      <c r="X274" s="452">
        <f t="shared" si="137"/>
        <v>6.2173000691266911E-2</v>
      </c>
      <c r="Y274" s="452">
        <f t="shared" si="137"/>
        <v>7.6020922975125263E-2</v>
      </c>
      <c r="Z274" s="452">
        <f t="shared" si="137"/>
        <v>7.0051652348651322E-2</v>
      </c>
      <c r="AA274" s="452">
        <f>AA269/AA$51</f>
        <v>6.4504204824666234E-2</v>
      </c>
      <c r="AB274" s="452">
        <f>AB269/AB$51</f>
        <v>6.1965539178184231E-2</v>
      </c>
      <c r="AC274" s="452">
        <f>AC269/AC$51</f>
        <v>6.6588110608664264E-2</v>
      </c>
      <c r="AD274" s="452">
        <f>AD269/AD$51</f>
        <v>6.8574594930367633E-2</v>
      </c>
      <c r="AE274" s="452">
        <f>AE269/AE$51</f>
        <v>6.8689693852683392E-2</v>
      </c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</row>
    <row r="275" spans="1:82">
      <c r="A275" s="36" t="s">
        <v>79</v>
      </c>
      <c r="B275" s="92">
        <f>Financials!B89</f>
        <v>-111.178</v>
      </c>
      <c r="C275" s="92">
        <f>Financials!C89</f>
        <v>-113.99299999999999</v>
      </c>
      <c r="D275" s="92">
        <f>Financials!D89</f>
        <v>-161.46</v>
      </c>
      <c r="E275" s="92">
        <f>Financials!E89</f>
        <v>-183.01</v>
      </c>
      <c r="F275" s="92">
        <f>Financials!F89</f>
        <v>-210.93</v>
      </c>
      <c r="G275" s="92">
        <f>Financials!G89</f>
        <v>-571.35799999999995</v>
      </c>
      <c r="H275" s="92">
        <f>Financials!H89</f>
        <v>-572.98</v>
      </c>
      <c r="I275" s="92">
        <f>Financials!I89</f>
        <v>-572.98</v>
      </c>
      <c r="J275" s="92">
        <f>Financials!J89</f>
        <v>-665.16699999999992</v>
      </c>
      <c r="K275" s="92">
        <f>Financials!K89</f>
        <v>-670.52599999999995</v>
      </c>
      <c r="L275" s="92">
        <f>Financials!L89</f>
        <v>-661.779</v>
      </c>
      <c r="M275" s="92">
        <f>Financials!M89</f>
        <v>-805.80099999999993</v>
      </c>
      <c r="N275" s="92">
        <f>Financials!N89</f>
        <v>-922.07399999999984</v>
      </c>
      <c r="O275" s="92">
        <f>Financials!O89</f>
        <v>-1336.0809999999999</v>
      </c>
      <c r="P275" s="92">
        <f>Financials!P89</f>
        <v>-1947.8959999999997</v>
      </c>
      <c r="Q275" s="92">
        <f>Financials!Q89</f>
        <v>-2388.2359999999999</v>
      </c>
      <c r="R275" s="92">
        <f>Financials!R89</f>
        <v>-2751.6759999999999</v>
      </c>
      <c r="S275" s="92">
        <f>Financials!S89</f>
        <v>-3114.7280000000001</v>
      </c>
      <c r="T275" s="329">
        <f>Financials!T89</f>
        <v>-4257.2840000000006</v>
      </c>
      <c r="U275" s="329">
        <f>Financials!U89</f>
        <v>-4353.3640000000005</v>
      </c>
      <c r="V275" s="329">
        <f>Financials!V89</f>
        <v>-3740.0439999999994</v>
      </c>
      <c r="W275" s="329">
        <f>Financials!W89</f>
        <v>-3350.9949999999999</v>
      </c>
      <c r="X275" s="329">
        <f>Financials!X89</f>
        <v>-3913.605</v>
      </c>
      <c r="Y275" s="329">
        <f>Financials!Y89</f>
        <v>-4127.3273107005243</v>
      </c>
      <c r="Z275" s="329">
        <f>Financials!Z89</f>
        <v>-4476.9530908591423</v>
      </c>
      <c r="AA275" s="329">
        <f>Financials!AA89</f>
        <v>-4658.9831313490258</v>
      </c>
      <c r="AB275" s="329">
        <f>Financials!AB89</f>
        <v>-4810.3802065913678</v>
      </c>
      <c r="AC275" s="329">
        <f>Financials!AC89</f>
        <v>-5080.7981233652863</v>
      </c>
      <c r="AD275" s="329">
        <f>Financials!AD89</f>
        <v>-5739.744654821302</v>
      </c>
      <c r="AE275" s="329">
        <f>Financials!AE89</f>
        <v>-6446.6711212309401</v>
      </c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</row>
    <row r="276" spans="1:82">
      <c r="A276" s="244" t="s">
        <v>606</v>
      </c>
      <c r="B276" s="245">
        <f t="shared" ref="B276:Z276" si="138">-B269/B275</f>
        <v>1.1078540718487471</v>
      </c>
      <c r="C276" s="245">
        <f t="shared" si="138"/>
        <v>2.0610300632494982</v>
      </c>
      <c r="D276" s="245">
        <f t="shared" si="138"/>
        <v>1.0209711383624427</v>
      </c>
      <c r="E276" s="245">
        <f t="shared" si="138"/>
        <v>2.8761379159608764</v>
      </c>
      <c r="F276" s="245">
        <f t="shared" si="138"/>
        <v>4.148058597639027</v>
      </c>
      <c r="G276" s="245">
        <f t="shared" si="138"/>
        <v>1.956514129494993</v>
      </c>
      <c r="H276" s="245">
        <f t="shared" si="138"/>
        <v>1.9055534224580262</v>
      </c>
      <c r="I276" s="245">
        <f t="shared" si="138"/>
        <v>1.911026562881776</v>
      </c>
      <c r="J276" s="245">
        <f t="shared" si="138"/>
        <v>0.83401762264213386</v>
      </c>
      <c r="K276" s="245">
        <f t="shared" si="138"/>
        <v>1.1363422149178406</v>
      </c>
      <c r="L276" s="245">
        <f t="shared" si="138"/>
        <v>1.8964170818354769</v>
      </c>
      <c r="M276" s="245">
        <f t="shared" si="138"/>
        <v>3.4140538420776352</v>
      </c>
      <c r="N276" s="245">
        <f t="shared" si="138"/>
        <v>3.4734207883532133</v>
      </c>
      <c r="O276" s="245">
        <f t="shared" si="138"/>
        <v>9.2886636364112665</v>
      </c>
      <c r="P276" s="245">
        <f t="shared" si="138"/>
        <v>1.7655932349571026</v>
      </c>
      <c r="Q276" s="245">
        <f t="shared" si="138"/>
        <v>2.1097533912058939</v>
      </c>
      <c r="R276" s="245">
        <f t="shared" si="138"/>
        <v>1.1899351522490296</v>
      </c>
      <c r="S276" s="245">
        <f t="shared" si="138"/>
        <v>5.6177380496788158</v>
      </c>
      <c r="T276" s="452">
        <f t="shared" si="138"/>
        <v>1.1342642398299008</v>
      </c>
      <c r="U276" s="452">
        <f t="shared" si="138"/>
        <v>0.40886036637414191</v>
      </c>
      <c r="V276" s="452">
        <f t="shared" si="138"/>
        <v>0.67961419705222725</v>
      </c>
      <c r="W276" s="452">
        <f t="shared" si="138"/>
        <v>1.260349239554222</v>
      </c>
      <c r="X276" s="452">
        <f t="shared" si="138"/>
        <v>1.2110350942417543</v>
      </c>
      <c r="Y276" s="452">
        <f t="shared" si="138"/>
        <v>1.4662242693521632</v>
      </c>
      <c r="Z276" s="452">
        <f t="shared" si="138"/>
        <v>1.3864105638892581</v>
      </c>
      <c r="AA276" s="452">
        <f>-AA269/AA275</f>
        <v>1.3297722763463595</v>
      </c>
      <c r="AB276" s="452">
        <f>-AB269/AB275</f>
        <v>1.3267773200006814</v>
      </c>
      <c r="AC276" s="452">
        <f>-AC269/AC275</f>
        <v>1.4336495418341644</v>
      </c>
      <c r="AD276" s="452">
        <f>-AD269/AD275</f>
        <v>1.3873574550601195</v>
      </c>
      <c r="AE276" s="452">
        <f>-AE269/AE275</f>
        <v>1.3116204254571617</v>
      </c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</row>
    <row r="277" spans="1:82">
      <c r="A277" s="243"/>
      <c r="B277" s="260"/>
      <c r="C277" s="260"/>
      <c r="D277" s="260"/>
      <c r="E277" s="260"/>
      <c r="F277" s="260"/>
      <c r="G277" s="260"/>
      <c r="H277" s="260"/>
      <c r="I277" s="260"/>
      <c r="J277" s="260"/>
      <c r="K277" s="260"/>
      <c r="L277" s="260"/>
      <c r="M277" s="260"/>
      <c r="N277" s="260"/>
      <c r="O277" s="260"/>
      <c r="P277" s="260"/>
      <c r="Q277" s="260"/>
      <c r="R277" s="260"/>
      <c r="S277" s="260"/>
      <c r="T277" s="260"/>
      <c r="U277" s="260"/>
      <c r="V277" s="260"/>
      <c r="W277" s="260"/>
      <c r="X277" s="260"/>
      <c r="Y277" s="260"/>
      <c r="Z277" s="260"/>
      <c r="AA277" s="260"/>
      <c r="AB277" s="260"/>
      <c r="AC277" s="260"/>
      <c r="AD277" s="260"/>
      <c r="AE277" s="260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</row>
    <row r="278" spans="1:82">
      <c r="A278" s="244" t="s">
        <v>314</v>
      </c>
      <c r="B278" s="245">
        <f>-Base!B88/(Base!B123+Base!B124)</f>
        <v>0.11065856867862255</v>
      </c>
      <c r="C278" s="245">
        <f>-Base!C88/(Base!C123+Base!C124)</f>
        <v>0.10327146026658356</v>
      </c>
      <c r="D278" s="245">
        <f>-Base!D88/(Base!D123+Base!D124)</f>
        <v>0.14211689567972033</v>
      </c>
      <c r="E278" s="245">
        <f>-Base!E88/(Base!E123+Base!E124)</f>
        <v>0.11108319008633666</v>
      </c>
      <c r="F278" s="245">
        <f>-Base!F88/(Base!F123+Base!F124)</f>
        <v>8.7312366168020725E-2</v>
      </c>
      <c r="G278" s="245">
        <f>-Base!G88/(Base!G123+Base!G124)</f>
        <v>0.19069281248185213</v>
      </c>
      <c r="H278" s="245">
        <f>-Base!H88/(Base!H123+Base!H124)</f>
        <v>0.16015845339114521</v>
      </c>
      <c r="I278" s="245">
        <f>-Base!I88/(Base!I123+Base!I124)</f>
        <v>0.14157389711196464</v>
      </c>
      <c r="J278" s="245">
        <f>-Base!J88/(Base!J123+Base!J124)</f>
        <v>0.17098186813384544</v>
      </c>
      <c r="K278" s="245">
        <f>-Base!K88/(Base!K123+Base!K124)</f>
        <v>0.16977778835594881</v>
      </c>
      <c r="L278" s="245">
        <f>-Base!L88/(Base!L123+Base!L124)</f>
        <v>0.15036624818171038</v>
      </c>
      <c r="M278" s="245">
        <f>-Base!M88/(Base!M123+Base!M124)</f>
        <v>0.12703907873606834</v>
      </c>
      <c r="N278" s="245">
        <f>-Base!N88/(Base!N123+Base!N124)</f>
        <v>0.11313182026146074</v>
      </c>
      <c r="O278" s="245">
        <f>-Base!O88/(Base!O123+Base!O124)</f>
        <v>5.6746655771063206E-2</v>
      </c>
      <c r="P278" s="245">
        <f>-Base!P88/(Base!P123+Base!P124)</f>
        <v>7.8488153639657346E-2</v>
      </c>
      <c r="Q278" s="245">
        <f>-Base!Q88/(Base!Q123+Base!Q124)</f>
        <v>8.2670016433022908E-2</v>
      </c>
      <c r="R278" s="245">
        <f>-Base!R88/(Base!R123+Base!R124)</f>
        <v>8.8391684228498205E-2</v>
      </c>
      <c r="S278" s="245">
        <f>-Base!S88/(Base!S123+Base!S124)</f>
        <v>7.1206544697530821E-2</v>
      </c>
      <c r="T278" s="452">
        <f>-Base!T88/(Base!T123+Base!T124++Base!T126)</f>
        <v>0.1233003774953698</v>
      </c>
      <c r="U278" s="452">
        <f>-Base!U88/(Base!U123+Base!U124++Base!U126)</f>
        <v>0.12299668232530828</v>
      </c>
      <c r="V278" s="452">
        <f>-Base!V88/(Base!V123+Base!V124++Base!V126)</f>
        <v>0.12514895655771602</v>
      </c>
      <c r="W278" s="452">
        <f>-Base!W88/(Base!W123+Base!W124++Base!W126)</f>
        <v>0.12293007045991475</v>
      </c>
      <c r="X278" s="452">
        <f>-Base!X88/(Base!X123+Base!X124++Base!X126)</f>
        <v>0.13947603099485045</v>
      </c>
      <c r="Y278" s="452">
        <f>-Base!Y88/(Base!Y123+Base!Y124++Base!Y126)</f>
        <v>0.1372234304339775</v>
      </c>
      <c r="Z278" s="452">
        <f>-Base!Z88/(Base!Z123+Base!Z124++Base!Z126)</f>
        <v>0.14332908584331921</v>
      </c>
      <c r="AA278" s="452">
        <f>-Base!AA88/(Base!AA123+Base!AA124++Base!AA126)</f>
        <v>0.14642082293065362</v>
      </c>
      <c r="AB278" s="452">
        <f>-Base!AB88/(Base!AB123+Base!AB124++Base!AB126)</f>
        <v>0.14921038710280579</v>
      </c>
      <c r="AC278" s="452">
        <f>-Base!AC88/(Base!AC123+Base!AC124++Base!AC126)</f>
        <v>0.15238167044303444</v>
      </c>
      <c r="AD278" s="452">
        <f>-Base!AD88/(Base!AD123+Base!AD124++Base!AD126)</f>
        <v>0.1605882934355328</v>
      </c>
      <c r="AE278" s="452">
        <f>-Base!AE88/(Base!AE123+Base!AE124++Base!AE126)</f>
        <v>0.16994006429050335</v>
      </c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</row>
    <row r="279" spans="1:82">
      <c r="A279" s="244" t="s">
        <v>316</v>
      </c>
      <c r="B279" s="245">
        <f t="shared" ref="B279:Z279" si="139">-B275/B51</f>
        <v>4.4926684700164143E-2</v>
      </c>
      <c r="C279" s="245">
        <f t="shared" si="139"/>
        <v>4.3377718313675165E-2</v>
      </c>
      <c r="D279" s="245">
        <f t="shared" si="139"/>
        <v>5.6228628263156673E-2</v>
      </c>
      <c r="E279" s="245">
        <f t="shared" si="139"/>
        <v>4.9347542491844615E-2</v>
      </c>
      <c r="F279" s="245">
        <f t="shared" si="139"/>
        <v>4.5212526525625359E-2</v>
      </c>
      <c r="G279" s="245">
        <f t="shared" si="139"/>
        <v>9.4808480755815522E-2</v>
      </c>
      <c r="H279" s="245">
        <f t="shared" si="139"/>
        <v>8.2025331967246554E-2</v>
      </c>
      <c r="I279" s="245">
        <f t="shared" si="139"/>
        <v>7.3583093944490724E-2</v>
      </c>
      <c r="J279" s="245">
        <f t="shared" si="139"/>
        <v>7.7461363180340304E-2</v>
      </c>
      <c r="K279" s="245">
        <f t="shared" si="139"/>
        <v>7.4656847899668657E-2</v>
      </c>
      <c r="L279" s="245">
        <f t="shared" si="139"/>
        <v>6.1868718975844811E-2</v>
      </c>
      <c r="M279" s="245">
        <f t="shared" si="139"/>
        <v>5.9602812616105318E-2</v>
      </c>
      <c r="N279" s="245">
        <f t="shared" si="139"/>
        <v>5.8683488765273094E-2</v>
      </c>
      <c r="O279" s="245">
        <f t="shared" si="139"/>
        <v>5.8599388471751737E-2</v>
      </c>
      <c r="P279" s="245">
        <f t="shared" si="139"/>
        <v>6.0328088349813562E-2</v>
      </c>
      <c r="Q279" s="245">
        <f t="shared" si="139"/>
        <v>6.3345297992802321E-2</v>
      </c>
      <c r="R279" s="245">
        <f t="shared" si="139"/>
        <v>6.4700984532457179E-2</v>
      </c>
      <c r="S279" s="245">
        <f t="shared" si="139"/>
        <v>6.7481760080591743E-2</v>
      </c>
      <c r="T279" s="452">
        <f t="shared" si="139"/>
        <v>7.3206291661888467E-2</v>
      </c>
      <c r="U279" s="452">
        <f t="shared" si="139"/>
        <v>0.11308784559534214</v>
      </c>
      <c r="V279" s="452">
        <f t="shared" si="139"/>
        <v>7.0065215523219232E-2</v>
      </c>
      <c r="W279" s="452">
        <f t="shared" si="139"/>
        <v>4.8684170669145377E-2</v>
      </c>
      <c r="X279" s="452">
        <f t="shared" si="139"/>
        <v>5.1338727495914789E-2</v>
      </c>
      <c r="Y279" s="452">
        <f t="shared" si="139"/>
        <v>5.1848086656425596E-2</v>
      </c>
      <c r="Z279" s="452">
        <f t="shared" si="139"/>
        <v>5.0527350391890713E-2</v>
      </c>
      <c r="AA279" s="452">
        <f>-AA275/AA51</f>
        <v>4.8507707651941699E-2</v>
      </c>
      <c r="AB279" s="452">
        <f>-AB275/AB51</f>
        <v>4.6703797422579102E-2</v>
      </c>
      <c r="AC279" s="452">
        <f>-AC275/AC51</f>
        <v>4.6446574748995918E-2</v>
      </c>
      <c r="AD279" s="452">
        <f>-AD275/AD51</f>
        <v>4.9428209492986104E-2</v>
      </c>
      <c r="AE279" s="452">
        <f>-AE275/AE51</f>
        <v>5.2370100769619982E-2</v>
      </c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</row>
    <row r="280" spans="1:82">
      <c r="A280" s="244"/>
      <c r="B280" s="245"/>
      <c r="C280" s="245"/>
      <c r="D280" s="245"/>
      <c r="E280" s="245"/>
      <c r="F280" s="245"/>
      <c r="G280" s="245"/>
      <c r="H280" s="245"/>
      <c r="I280" s="245"/>
      <c r="J280" s="245"/>
      <c r="K280" s="245"/>
      <c r="L280" s="245"/>
      <c r="M280" s="245"/>
      <c r="N280" s="245"/>
      <c r="O280" s="245"/>
      <c r="P280" s="245"/>
      <c r="Q280" s="245"/>
      <c r="R280" s="245"/>
      <c r="S280" s="245"/>
      <c r="T280" s="452"/>
      <c r="U280" s="452"/>
      <c r="V280" s="452"/>
      <c r="W280" s="452"/>
      <c r="X280" s="452"/>
      <c r="Y280" s="452"/>
      <c r="Z280" s="452"/>
      <c r="AA280" s="452"/>
      <c r="AB280" s="452"/>
      <c r="AC280" s="452"/>
      <c r="AD280" s="452"/>
      <c r="AE280" s="452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</row>
    <row r="281" spans="1:82">
      <c r="A281" s="36" t="s">
        <v>915</v>
      </c>
      <c r="B281" s="245" t="e">
        <f>NA()</f>
        <v>#N/A</v>
      </c>
      <c r="C281" s="245" t="e">
        <f>NA()</f>
        <v>#N/A</v>
      </c>
      <c r="D281" s="245" t="e">
        <f>NA()</f>
        <v>#N/A</v>
      </c>
      <c r="E281" s="245" t="e">
        <f>NA()</f>
        <v>#N/A</v>
      </c>
      <c r="F281" s="245" t="e">
        <f>NA()</f>
        <v>#N/A</v>
      </c>
      <c r="G281" s="245" t="e">
        <f>NA()</f>
        <v>#N/A</v>
      </c>
      <c r="H281" s="245" t="e">
        <f>NA()</f>
        <v>#N/A</v>
      </c>
      <c r="I281" s="245" t="e">
        <f>NA()</f>
        <v>#N/A</v>
      </c>
      <c r="J281" s="245" t="e">
        <f>NA()</f>
        <v>#N/A</v>
      </c>
      <c r="K281" s="250">
        <f>SUM(Q_BS!$F$32,Q_BS!$G$32,Q_BS!$H$32,Q_BS!$I$32)</f>
        <v>468.738765</v>
      </c>
      <c r="L281" s="250">
        <f>SUM(Q_BS!$J$32,Q_BS!$K$32,Q_BS!$L$32,Q_BS!$M$32)</f>
        <v>789.82871999999998</v>
      </c>
      <c r="M281" s="250">
        <f>SUM(Q_BS!$N$32,Q_BS!$O$32,Q_BS!$P$32,Q_BS!$Q$32)</f>
        <v>760.05414999999994</v>
      </c>
      <c r="N281" s="250">
        <f>SUM(Q_BS!$R$32,Q_BS!$S$32,Q_BS!$T$32,Q_BS!$U$32)</f>
        <v>915.09929799999998</v>
      </c>
      <c r="O281" s="250">
        <f>SUM(Q_BS!$V$32,Q_BS!$W$32,Q_BS!$X$32,Q_BS!$Y$32)</f>
        <v>1690.8754499999998</v>
      </c>
      <c r="P281" s="250">
        <f>SUM(Q_BS!$Z$32,Q_BS!$AA$32,Q_BS!$AB$32,Q_BS!$AC$32)</f>
        <v>1999.8280600000003</v>
      </c>
      <c r="Q281" s="850">
        <f>SUM(Q_BS!$AD$32,Q_BS!$AE$32,Q_BS!$AF$32,Q_BS!$AG$32)</f>
        <v>2620.74496</v>
      </c>
      <c r="R281" s="250">
        <f>SUM(Q_BS!$AH$32,Q_BS!$AI$32,Q_BS!$AJ$32,Q_BS!$AK$32)</f>
        <v>2718.9337400000004</v>
      </c>
      <c r="S281" s="250">
        <f>SUM(Q_BS!$AL$32,Q_BS!$AM$32,Q_BS!$AN$32,Q_BS!$AO$32)</f>
        <v>2901.2410500000001</v>
      </c>
      <c r="T281" s="454">
        <f>SUM(Q_BS!$AP$32,Q_BS!$AQ$32,Q_BS!$AR$32,Q_BS!$AS$32)</f>
        <v>2077.5160759999999</v>
      </c>
      <c r="U281" s="454">
        <f>SUM(Q_BS!$AT$32,Q_BS!$AU$32,Q_BS!$AV$32,Q_BS!$AW$32)</f>
        <v>542.62327200000004</v>
      </c>
      <c r="V281" s="454">
        <f>SUM(Q_BS!$AX$32,Q_BS!$AY$32,Q_BS!$AZ$32,Q_BS!$BA$32)</f>
        <v>710.24787700000002</v>
      </c>
      <c r="W281" s="454">
        <f>SUM(Q_BS!$BB$32,Q_BS!$BC$32,Q_BS!$BD$32,Q_BS!$BE$32)</f>
        <v>1956.1452900000002</v>
      </c>
      <c r="X281" s="454">
        <f>SUM(Q_BS!$BF$32,Q_BS!$BG$32,Q_BS!$BH$32,Q_BS!$BI$32)</f>
        <v>2290.7221200000004</v>
      </c>
      <c r="Y281" s="454">
        <f>SUM(Q_BS!$BJ$32,Q_BS!$BK$32,Q_BS!$BL$32,Q_BS!$BM$32)</f>
        <v>2438.5323199999998</v>
      </c>
      <c r="Z281" s="454">
        <f>SUM(Q_BS!$BN$32,Q_BS!$BO$32,Q_BS!$BP$32,Q_BS!$BQ$32)</f>
        <v>2024</v>
      </c>
      <c r="AA281" s="454">
        <f>SUM(Q_BS!$BR$32,Q_BS!$BS$32,Q_BS!$BT$32,Q_BS!$BU$32)</f>
        <v>1645.5202825539068</v>
      </c>
      <c r="AB281" s="454">
        <f>SUM(Q_BS!$BV$32,Q_BS!$BW$32,Q_BS!$BX$32,Q_BS!$BY$32)</f>
        <v>1508.3783733603063</v>
      </c>
      <c r="AC281" s="454">
        <f>SUM(Q_BS!$BZ$32,Q_BS!$CA$32,Q_BS!$CB$32,Q_BS!$CC$32)</f>
        <v>1223.9996090063551</v>
      </c>
      <c r="AD281" s="454">
        <f>SUM(Q_BS!$CD$32,Q_BS!$CE$32,Q_BS!$CF$32,Q_BS!$CG$32)</f>
        <v>1269.134330471335</v>
      </c>
      <c r="AE281" s="454">
        <f>SUM(Q_BS!$CH$32,Q_BS!$CI$32,Q_BS!$CJ$32,Q_BS!$CK$32)</f>
        <v>1100.2066006164719</v>
      </c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</row>
    <row r="282" spans="1:82">
      <c r="A282" s="36" t="s">
        <v>914</v>
      </c>
      <c r="B282" s="245" t="e">
        <f>NA()</f>
        <v>#N/A</v>
      </c>
      <c r="C282" s="245" t="e">
        <f>NA()</f>
        <v>#N/A</v>
      </c>
      <c r="D282" s="245" t="e">
        <f>NA()</f>
        <v>#N/A</v>
      </c>
      <c r="E282" s="245" t="e">
        <f>NA()</f>
        <v>#N/A</v>
      </c>
      <c r="F282" s="245" t="e">
        <f>NA()</f>
        <v>#N/A</v>
      </c>
      <c r="G282" s="245" t="e">
        <f>NA()</f>
        <v>#N/A</v>
      </c>
      <c r="H282" s="245" t="e">
        <f>NA()</f>
        <v>#N/A</v>
      </c>
      <c r="I282" s="245" t="e">
        <f>NA()</f>
        <v>#N/A</v>
      </c>
      <c r="J282" s="245" t="e">
        <f>NA()</f>
        <v>#N/A</v>
      </c>
      <c r="K282" s="250">
        <f>SUM(Q_BS!$F$35,Q_BS!$G$35,Q_BS!$H$35,Q_BS!$I$35)</f>
        <v>44.666235</v>
      </c>
      <c r="L282" s="250">
        <f>SUM(Q_BS!$J$35,Q_BS!$K$35,Q_BS!$L$35,Q_BS!$M$35)</f>
        <v>168.70128</v>
      </c>
      <c r="M282" s="250">
        <f>SUM(Q_BS!$N$35,Q_BS!$O$35,Q_BS!$P$35,Q_BS!$Q$35)</f>
        <v>40.002850000000109</v>
      </c>
      <c r="N282" s="250">
        <f>SUM(Q_BS!$R$35,Q_BS!$S$35,Q_BS!$T$35,Q_BS!$U$35)</f>
        <v>24.427701999999996</v>
      </c>
      <c r="O282" s="250">
        <f>SUM(Q_BS!$V$35,Q_BS!$W$35,Q_BS!$X$35,Q_BS!$Y$35)</f>
        <v>358.67054999999988</v>
      </c>
      <c r="P282" s="250">
        <f>SUM(Q_BS!$Z$35,Q_BS!$AA$35,Q_BS!$AB$35,Q_BS!$AC$35)</f>
        <v>984.98993999999993</v>
      </c>
      <c r="Q282" s="850">
        <f>SUM(Q_BS!$AD$35,Q_BS!$AE$35,Q_BS!$AF$35,Q_BS!$AG$35)</f>
        <v>1474.1690400000002</v>
      </c>
      <c r="R282" s="250">
        <f>SUM(Q_BS!$AH$35,Q_BS!$AI$35,Q_BS!$AJ$35,Q_BS!$AK$35)</f>
        <v>1666.4432600000002</v>
      </c>
      <c r="S282" s="250">
        <f>SUM(Q_BS!$AL$35,Q_BS!$AM$35,Q_BS!$AN$35,Q_BS!$AO$35)</f>
        <v>1185.01395</v>
      </c>
      <c r="T282" s="454">
        <f>SUM(Q_BS!$AP$35,Q_BS!$AQ$35,Q_BS!$AR$35,Q_BS!$AS$35)</f>
        <v>1262.5419240000001</v>
      </c>
      <c r="U282" s="454">
        <f>SUM(Q_BS!$AT$35,Q_BS!$AU$35,Q_BS!$AV$35,Q_BS!$AW$35)</f>
        <v>787.33572800000002</v>
      </c>
      <c r="V282" s="454">
        <f>SUM(Q_BS!$AX$35,Q_BS!$AY$35,Q_BS!$AZ$35,Q_BS!$BA$35)</f>
        <v>1603.2631229999997</v>
      </c>
      <c r="W282" s="454">
        <f>SUM(Q_BS!$BB$35,Q_BS!$BC$35,Q_BS!$BD$35,Q_BS!$BE$35)</f>
        <v>1879.43371</v>
      </c>
      <c r="X282" s="454">
        <f>SUM(Q_BS!$BF$35,Q_BS!$BG$35,Q_BS!$BH$35,Q_BS!$BI$35)</f>
        <v>1951.3558800000001</v>
      </c>
      <c r="Y282" s="454">
        <f>SUM(Q_BS!$BJ$35,Q_BS!$BK$35,Q_BS!$BL$35,Q_BS!$BM$35)</f>
        <v>2772.1527455943597</v>
      </c>
      <c r="Z282" s="454">
        <f>SUM(Q_BS!$BN$35,Q_BS!$BO$35,Q_BS!$BP$35,Q_BS!$BQ$35)</f>
        <v>2851.5894529741131</v>
      </c>
      <c r="AA282" s="454">
        <f>SUM(Q_BS!$BR$35,Q_BS!$BS$35,Q_BS!$BT$35,Q_BS!$BU$35)</f>
        <v>3138.7305733219396</v>
      </c>
      <c r="AB282" s="454">
        <f>SUM(Q_BS!$BV$35,Q_BS!$BW$35,Q_BS!$BX$35,Q_BS!$BY$35)</f>
        <v>3421.3125570039906</v>
      </c>
      <c r="AC282" s="454">
        <f>SUM(Q_BS!$BZ$35,Q_BS!$CA$35,Q_BS!$CB$35,Q_BS!$CC$35)</f>
        <v>4707.6744650288629</v>
      </c>
      <c r="AD282" s="454">
        <f>SUM(Q_BS!$CD$35,Q_BS!$CE$35,Q_BS!$CF$35,Q_BS!$CG$35)</f>
        <v>5256.4629827993112</v>
      </c>
      <c r="AE282" s="454">
        <f>SUM(Q_BS!$CH$35,Q_BS!$CI$35,Q_BS!$CJ$35,Q_BS!$CK$35)</f>
        <v>5842.6645377460372</v>
      </c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</row>
    <row r="283" spans="1:82">
      <c r="A283" s="36"/>
      <c r="B283" s="245"/>
      <c r="C283" s="245"/>
      <c r="D283" s="245"/>
      <c r="E283" s="245"/>
      <c r="F283" s="245"/>
      <c r="G283" s="245"/>
      <c r="H283" s="245"/>
      <c r="I283" s="245"/>
      <c r="J283" s="245"/>
      <c r="K283" s="250"/>
      <c r="L283" s="250"/>
      <c r="M283" s="250"/>
      <c r="N283" s="250"/>
      <c r="O283" s="250"/>
      <c r="P283" s="250"/>
      <c r="Q283" s="850"/>
      <c r="R283" s="250"/>
      <c r="S283" s="250"/>
      <c r="T283" s="454"/>
      <c r="U283" s="454"/>
      <c r="V283" s="454"/>
      <c r="W283" s="454"/>
      <c r="X283" s="454"/>
      <c r="Y283" s="454"/>
      <c r="Z283" s="454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</row>
    <row r="284" spans="1:82">
      <c r="A284" s="36" t="s">
        <v>929</v>
      </c>
      <c r="B284" s="245" t="e">
        <f t="shared" ref="B284:Z284" si="140">B281/B51</f>
        <v>#N/A</v>
      </c>
      <c r="C284" s="245" t="e">
        <f t="shared" si="140"/>
        <v>#N/A</v>
      </c>
      <c r="D284" s="245" t="e">
        <f t="shared" si="140"/>
        <v>#N/A</v>
      </c>
      <c r="E284" s="245" t="e">
        <f t="shared" si="140"/>
        <v>#N/A</v>
      </c>
      <c r="F284" s="245" t="e">
        <f t="shared" si="140"/>
        <v>#N/A</v>
      </c>
      <c r="G284" s="245" t="e">
        <f t="shared" si="140"/>
        <v>#N/A</v>
      </c>
      <c r="H284" s="245" t="e">
        <f t="shared" si="140"/>
        <v>#N/A</v>
      </c>
      <c r="I284" s="245" t="e">
        <f t="shared" si="140"/>
        <v>#N/A</v>
      </c>
      <c r="J284" s="245" t="e">
        <f t="shared" si="140"/>
        <v>#N/A</v>
      </c>
      <c r="K284" s="245">
        <f t="shared" si="140"/>
        <v>5.2189711783411134E-2</v>
      </c>
      <c r="L284" s="245">
        <f t="shared" si="140"/>
        <v>7.3839893856908756E-2</v>
      </c>
      <c r="M284" s="245">
        <f t="shared" si="140"/>
        <v>5.6219047979021129E-2</v>
      </c>
      <c r="N284" s="245">
        <f t="shared" si="140"/>
        <v>5.8239598311298553E-2</v>
      </c>
      <c r="O284" s="245">
        <f t="shared" si="140"/>
        <v>7.4160374522127037E-2</v>
      </c>
      <c r="P284" s="245">
        <f t="shared" si="140"/>
        <v>6.193647088351549E-2</v>
      </c>
      <c r="Q284" s="245">
        <f t="shared" si="140"/>
        <v>6.9512339004325699E-2</v>
      </c>
      <c r="R284" s="245">
        <f t="shared" si="140"/>
        <v>6.3931105935624691E-2</v>
      </c>
      <c r="S284" s="245">
        <f t="shared" si="140"/>
        <v>6.2856484570101803E-2</v>
      </c>
      <c r="T284" s="452">
        <f t="shared" si="140"/>
        <v>3.5724008027634056E-2</v>
      </c>
      <c r="U284" s="452">
        <f t="shared" si="140"/>
        <v>1.4095788176769814E-2</v>
      </c>
      <c r="V284" s="452">
        <f t="shared" si="140"/>
        <v>1.3305637734987585E-2</v>
      </c>
      <c r="W284" s="452">
        <f t="shared" si="140"/>
        <v>2.841941308536864E-2</v>
      </c>
      <c r="X284" s="452">
        <f t="shared" si="140"/>
        <v>3.0049726195552243E-2</v>
      </c>
      <c r="Y284" s="452">
        <f t="shared" si="140"/>
        <v>3.0633198078103295E-2</v>
      </c>
      <c r="Z284" s="452">
        <f t="shared" si="140"/>
        <v>2.2843070972084132E-2</v>
      </c>
      <c r="AA284" s="452">
        <f>AA281/AA51</f>
        <v>1.7132583345145769E-2</v>
      </c>
      <c r="AB284" s="452">
        <f>AB281/AB51</f>
        <v>1.4644787929546599E-2</v>
      </c>
      <c r="AC284" s="452">
        <f>AC281/AC51</f>
        <v>1.11893029307766E-2</v>
      </c>
      <c r="AD284" s="452">
        <f>AD281/AD51</f>
        <v>1.0929238377979872E-2</v>
      </c>
      <c r="AE284" s="452">
        <f>AE281/AE51</f>
        <v>8.9376252422636374E-3</v>
      </c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</row>
    <row r="285" spans="1:82">
      <c r="A285" s="36" t="s">
        <v>930</v>
      </c>
      <c r="B285" s="245" t="e">
        <f t="shared" ref="B285:Z285" si="141">B282/B51</f>
        <v>#N/A</v>
      </c>
      <c r="C285" s="245" t="e">
        <f t="shared" si="141"/>
        <v>#N/A</v>
      </c>
      <c r="D285" s="245" t="e">
        <f t="shared" si="141"/>
        <v>#N/A</v>
      </c>
      <c r="E285" s="245" t="e">
        <f t="shared" si="141"/>
        <v>#N/A</v>
      </c>
      <c r="F285" s="245" t="e">
        <f t="shared" si="141"/>
        <v>#N/A</v>
      </c>
      <c r="G285" s="245" t="e">
        <f t="shared" si="141"/>
        <v>#N/A</v>
      </c>
      <c r="H285" s="245" t="e">
        <f t="shared" si="141"/>
        <v>#N/A</v>
      </c>
      <c r="I285" s="245" t="e">
        <f t="shared" si="141"/>
        <v>#N/A</v>
      </c>
      <c r="J285" s="245" t="e">
        <f t="shared" si="141"/>
        <v>#N/A</v>
      </c>
      <c r="K285" s="245">
        <f t="shared" si="141"/>
        <v>4.9731707833042373E-3</v>
      </c>
      <c r="L285" s="245">
        <f t="shared" si="141"/>
        <v>1.5771627814097015E-2</v>
      </c>
      <c r="M285" s="245">
        <f t="shared" si="141"/>
        <v>2.9588972620537518E-3</v>
      </c>
      <c r="N285" s="245">
        <f t="shared" si="141"/>
        <v>1.5546504682687498E-3</v>
      </c>
      <c r="O285" s="245">
        <f t="shared" si="141"/>
        <v>1.5730988534996642E-2</v>
      </c>
      <c r="P285" s="245">
        <f t="shared" si="141"/>
        <v>3.0506022972477773E-2</v>
      </c>
      <c r="Q285" s="245">
        <f t="shared" si="141"/>
        <v>3.9100690689933215E-2</v>
      </c>
      <c r="R285" s="245">
        <f t="shared" si="141"/>
        <v>3.9183581057318354E-2</v>
      </c>
      <c r="S285" s="245">
        <f t="shared" si="141"/>
        <v>2.5673775387788061E-2</v>
      </c>
      <c r="T285" s="452">
        <f t="shared" si="141"/>
        <v>2.1710088479816196E-2</v>
      </c>
      <c r="U285" s="452">
        <f t="shared" si="141"/>
        <v>2.0452712256489532E-2</v>
      </c>
      <c r="V285" s="452">
        <f t="shared" si="141"/>
        <v>3.0035201792659269E-2</v>
      </c>
      <c r="W285" s="452">
        <f t="shared" si="141"/>
        <v>2.7304926297707123E-2</v>
      </c>
      <c r="X285" s="452">
        <f t="shared" si="141"/>
        <v>2.5597914907322279E-2</v>
      </c>
      <c r="Y285" s="452">
        <f t="shared" si="141"/>
        <v>3.4824186442831286E-2</v>
      </c>
      <c r="Z285" s="452">
        <f t="shared" si="141"/>
        <v>3.2183330166765924E-2</v>
      </c>
      <c r="AA285" s="452">
        <f>AA282/AA51</f>
        <v>3.2679368170372987E-2</v>
      </c>
      <c r="AB285" s="452">
        <f>AB282/AB51</f>
        <v>3.3217392746355566E-2</v>
      </c>
      <c r="AC285" s="452">
        <f>AC282/AC51</f>
        <v>4.3035631139990115E-2</v>
      </c>
      <c r="AD285" s="452">
        <f>AD282/AD51</f>
        <v>4.5266395829592875E-2</v>
      </c>
      <c r="AE285" s="452">
        <f>AE282/AE51</f>
        <v>4.7463400079019467E-2</v>
      </c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</row>
    <row r="286" spans="1:82">
      <c r="A286" s="9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329"/>
      <c r="U286" s="329"/>
      <c r="V286" s="329"/>
      <c r="W286" s="329"/>
      <c r="X286" s="329"/>
      <c r="Y286" s="329"/>
      <c r="Z286" s="329"/>
      <c r="AA286" s="329"/>
      <c r="AB286" s="329"/>
      <c r="AC286" s="329"/>
      <c r="AD286" s="329"/>
      <c r="AE286" s="32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</row>
    <row r="287" spans="1:82">
      <c r="A287" s="242" t="s">
        <v>311</v>
      </c>
      <c r="B287" s="264">
        <v>2001</v>
      </c>
      <c r="C287" s="264">
        <v>2002</v>
      </c>
      <c r="D287" s="264">
        <v>2003</v>
      </c>
      <c r="E287" s="264">
        <v>2004</v>
      </c>
      <c r="F287" s="264">
        <v>2005</v>
      </c>
      <c r="G287" s="264">
        <v>2006</v>
      </c>
      <c r="H287" s="264">
        <v>2007</v>
      </c>
      <c r="I287" s="264">
        <v>2008</v>
      </c>
      <c r="J287" s="264">
        <f t="shared" ref="J287:R287" si="142">J$50</f>
        <v>2009</v>
      </c>
      <c r="K287" s="264">
        <f t="shared" si="142"/>
        <v>2010</v>
      </c>
      <c r="L287" s="264">
        <f t="shared" si="142"/>
        <v>2011</v>
      </c>
      <c r="M287" s="264">
        <f t="shared" si="142"/>
        <v>2012</v>
      </c>
      <c r="N287" s="264">
        <f t="shared" si="142"/>
        <v>2013</v>
      </c>
      <c r="O287" s="264">
        <f t="shared" si="142"/>
        <v>2014</v>
      </c>
      <c r="P287" s="264">
        <f t="shared" si="142"/>
        <v>2015</v>
      </c>
      <c r="Q287" s="264">
        <f t="shared" si="142"/>
        <v>2016</v>
      </c>
      <c r="R287" s="264">
        <f t="shared" si="142"/>
        <v>2017</v>
      </c>
      <c r="S287" s="264">
        <f t="shared" ref="S287:X287" si="143">S$6</f>
        <v>2018</v>
      </c>
      <c r="T287" s="264">
        <f t="shared" si="143"/>
        <v>2019</v>
      </c>
      <c r="U287" s="264">
        <f t="shared" si="143"/>
        <v>2020</v>
      </c>
      <c r="V287" s="264">
        <f t="shared" si="143"/>
        <v>2021</v>
      </c>
      <c r="W287" s="264">
        <f t="shared" si="143"/>
        <v>2022</v>
      </c>
      <c r="X287" s="264">
        <f t="shared" si="143"/>
        <v>2023</v>
      </c>
      <c r="Y287" s="594">
        <f t="shared" ref="Y287:AE287" si="144">Y$50</f>
        <v>2024</v>
      </c>
      <c r="Z287" s="594">
        <f t="shared" si="144"/>
        <v>2025</v>
      </c>
      <c r="AA287" s="594">
        <f t="shared" si="144"/>
        <v>2026</v>
      </c>
      <c r="AB287" s="594">
        <f t="shared" si="144"/>
        <v>2027</v>
      </c>
      <c r="AC287" s="594">
        <f t="shared" si="144"/>
        <v>2028</v>
      </c>
      <c r="AD287" s="594">
        <f t="shared" si="144"/>
        <v>2029</v>
      </c>
      <c r="AE287" s="594">
        <f t="shared" si="144"/>
        <v>2030</v>
      </c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</row>
    <row r="288" spans="1:82">
      <c r="A288" s="36" t="s">
        <v>312</v>
      </c>
      <c r="B288" s="250">
        <f>Financials!B155</f>
        <v>221.619</v>
      </c>
      <c r="C288" s="250">
        <f>Financials!C155</f>
        <v>398.23700000000002</v>
      </c>
      <c r="D288" s="250">
        <f>Financials!D155</f>
        <v>225.81599999999997</v>
      </c>
      <c r="E288" s="250">
        <f>Financials!E155</f>
        <v>435.30999999999995</v>
      </c>
      <c r="F288" s="250">
        <f>Financials!F155</f>
        <v>337.07600000000002</v>
      </c>
      <c r="G288" s="250">
        <f>Financials!G155</f>
        <v>949.56</v>
      </c>
      <c r="H288" s="250">
        <f>Financials!H155</f>
        <v>604.93000000000006</v>
      </c>
      <c r="I288" s="250">
        <f>Financials!I155</f>
        <v>979.6690000000001</v>
      </c>
      <c r="J288" s="250">
        <f>Financials!J155</f>
        <v>1165.5060000000003</v>
      </c>
      <c r="K288" s="250">
        <f>Financials!K155</f>
        <v>884.80899999999997</v>
      </c>
      <c r="L288" s="250">
        <f>Financials!L155</f>
        <v>-938.91100000000029</v>
      </c>
      <c r="M288" s="250">
        <f>Financials!M155</f>
        <v>3683.663</v>
      </c>
      <c r="N288" s="250">
        <f>Financials!N155</f>
        <v>1557.8140000000003</v>
      </c>
      <c r="O288" s="250">
        <f>Financials!O155</f>
        <v>2441.8119999999999</v>
      </c>
      <c r="P288" s="250">
        <f>Financials!P155</f>
        <v>3580.9739999999997</v>
      </c>
      <c r="Q288" s="250">
        <f>Financials!Q155</f>
        <v>4994.3130000000001</v>
      </c>
      <c r="R288" s="250">
        <f>Financials!R155</f>
        <v>3273.5160000000001</v>
      </c>
      <c r="S288" s="250">
        <f>Financials!S155</f>
        <v>5916.8649999999998</v>
      </c>
      <c r="T288" s="454">
        <f>Financials!T155</f>
        <v>6587.8899999999994</v>
      </c>
      <c r="U288" s="454">
        <f>Financials!U155</f>
        <v>3476.6569999999983</v>
      </c>
      <c r="V288" s="454">
        <f>Financials!V155</f>
        <v>11496.914000000001</v>
      </c>
      <c r="W288" s="454">
        <f>Financials!W155</f>
        <v>10971.870999999999</v>
      </c>
      <c r="X288" s="454">
        <f>Financials!X155</f>
        <v>11433.946000000002</v>
      </c>
      <c r="Y288" s="454">
        <f>Financials!Y155</f>
        <v>8683.2629602539855</v>
      </c>
      <c r="Z288" s="454">
        <f>Financials!Z155</f>
        <v>11262.414983510953</v>
      </c>
      <c r="AA288" s="454">
        <f>Financials!AA155</f>
        <v>12295.137684298537</v>
      </c>
      <c r="AB288" s="454">
        <f>Financials!AB155</f>
        <v>13526.349601935235</v>
      </c>
      <c r="AC288" s="454">
        <f>Financials!AC155</f>
        <v>14218.995134775021</v>
      </c>
      <c r="AD288" s="454">
        <f>Financials!AD155</f>
        <v>15153.850204052929</v>
      </c>
      <c r="AE288" s="454">
        <f>Financials!AE155</f>
        <v>16315.438882107876</v>
      </c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</row>
    <row r="289" spans="1:82">
      <c r="A289" s="36" t="s">
        <v>95</v>
      </c>
      <c r="B289" s="251">
        <f>Financials!B173</f>
        <v>99.024999999999935</v>
      </c>
      <c r="C289" s="251">
        <f>Financials!C173</f>
        <v>181.798</v>
      </c>
      <c r="D289" s="251">
        <f>Financials!D173</f>
        <v>9.8980000000000814</v>
      </c>
      <c r="E289" s="251">
        <f>Financials!E173</f>
        <v>-109.30000000000007</v>
      </c>
      <c r="F289" s="251">
        <f>Financials!F173</f>
        <v>-449.02199999999988</v>
      </c>
      <c r="G289" s="251">
        <f>Financials!G173</f>
        <v>-30.439999999999372</v>
      </c>
      <c r="H289" s="251">
        <f>Financials!H173</f>
        <v>-218.84699999999987</v>
      </c>
      <c r="I289" s="251">
        <f>Financials!I173</f>
        <v>-387.78600000000006</v>
      </c>
      <c r="J289" s="251">
        <f>Financials!J173</f>
        <v>552.25699999999938</v>
      </c>
      <c r="K289" s="251">
        <f>Financials!K173</f>
        <v>-9.9000000000002046</v>
      </c>
      <c r="L289" s="251">
        <f>Financials!L173</f>
        <v>-333.62999999999977</v>
      </c>
      <c r="M289" s="251">
        <f>Financials!M173</f>
        <v>-1891.1230000000007</v>
      </c>
      <c r="N289" s="251">
        <f>Financials!N173</f>
        <v>-1906.1279999999999</v>
      </c>
      <c r="O289" s="251">
        <f>Financials!O173</f>
        <v>-10371.472</v>
      </c>
      <c r="P289" s="251">
        <f>Financials!P173</f>
        <v>-587.44299999999976</v>
      </c>
      <c r="Q289" s="251">
        <f>Financials!Q173</f>
        <v>-479.66799999999967</v>
      </c>
      <c r="R289" s="251">
        <f>Financials!R173</f>
        <v>358.46899999999869</v>
      </c>
      <c r="S289" s="251">
        <f>Financials!S173</f>
        <v>-12399.8</v>
      </c>
      <c r="T289" s="336">
        <f>Financials!T173</f>
        <v>4649.882999999998</v>
      </c>
      <c r="U289" s="336">
        <f>Financials!U173</f>
        <v>-3329.8420000000019</v>
      </c>
      <c r="V289" s="336">
        <f>Financials!V173</f>
        <v>3166.0110000000022</v>
      </c>
      <c r="W289" s="336">
        <f>Financials!W173</f>
        <v>2312.2380000000003</v>
      </c>
      <c r="X289" s="336">
        <f>Financials!X173</f>
        <v>1623.7019999999993</v>
      </c>
      <c r="Y289" s="336">
        <f>Financials!Y173</f>
        <v>-3716.5787073305432</v>
      </c>
      <c r="Z289" s="336">
        <f>Financials!Z173</f>
        <v>1334.7688589051527</v>
      </c>
      <c r="AA289" s="336">
        <f>Financials!AA173</f>
        <v>3059.9007994789117</v>
      </c>
      <c r="AB289" s="336">
        <f>Financials!AB173</f>
        <v>4009.4752972430506</v>
      </c>
      <c r="AC289" s="336">
        <f>Financials!AC173</f>
        <v>3163.1146089782633</v>
      </c>
      <c r="AD289" s="336">
        <f>Financials!AD173</f>
        <v>3228.1944880808451</v>
      </c>
      <c r="AE289" s="336">
        <f>Financials!AE173</f>
        <v>3686.7335182771685</v>
      </c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</row>
    <row r="290" spans="1:82">
      <c r="A290" s="36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329"/>
      <c r="U290" s="329"/>
      <c r="V290" s="329"/>
      <c r="W290" s="329"/>
      <c r="X290" s="329"/>
      <c r="Y290" s="329"/>
      <c r="Z290" s="329"/>
      <c r="AA290" s="329"/>
      <c r="AB290" s="329"/>
      <c r="AC290" s="329"/>
      <c r="AD290" s="329"/>
      <c r="AE290" s="32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</row>
    <row r="291" spans="1:82">
      <c r="A291" s="242" t="s">
        <v>312</v>
      </c>
      <c r="B291" s="264">
        <v>2001</v>
      </c>
      <c r="C291" s="264">
        <v>2002</v>
      </c>
      <c r="D291" s="264">
        <v>2003</v>
      </c>
      <c r="E291" s="264">
        <v>2004</v>
      </c>
      <c r="F291" s="264">
        <v>2005</v>
      </c>
      <c r="G291" s="264">
        <v>2006</v>
      </c>
      <c r="H291" s="264">
        <v>2007</v>
      </c>
      <c r="I291" s="264">
        <v>2008</v>
      </c>
      <c r="J291" s="264">
        <f t="shared" ref="J291:R291" si="145">J$50</f>
        <v>2009</v>
      </c>
      <c r="K291" s="264">
        <f t="shared" si="145"/>
        <v>2010</v>
      </c>
      <c r="L291" s="264">
        <f t="shared" si="145"/>
        <v>2011</v>
      </c>
      <c r="M291" s="264">
        <f t="shared" si="145"/>
        <v>2012</v>
      </c>
      <c r="N291" s="264">
        <f t="shared" si="145"/>
        <v>2013</v>
      </c>
      <c r="O291" s="264">
        <f t="shared" si="145"/>
        <v>2014</v>
      </c>
      <c r="P291" s="264">
        <f t="shared" si="145"/>
        <v>2015</v>
      </c>
      <c r="Q291" s="264">
        <f t="shared" si="145"/>
        <v>2016</v>
      </c>
      <c r="R291" s="264">
        <f t="shared" si="145"/>
        <v>2017</v>
      </c>
      <c r="S291" s="264">
        <f t="shared" ref="S291:X291" si="146">S$6</f>
        <v>2018</v>
      </c>
      <c r="T291" s="264">
        <f t="shared" si="146"/>
        <v>2019</v>
      </c>
      <c r="U291" s="264">
        <f t="shared" si="146"/>
        <v>2020</v>
      </c>
      <c r="V291" s="264">
        <f t="shared" si="146"/>
        <v>2021</v>
      </c>
      <c r="W291" s="264">
        <f t="shared" si="146"/>
        <v>2022</v>
      </c>
      <c r="X291" s="264">
        <f t="shared" si="146"/>
        <v>2023</v>
      </c>
      <c r="Y291" s="594">
        <f t="shared" ref="Y291:AE291" si="147">Y$50</f>
        <v>2024</v>
      </c>
      <c r="Z291" s="594">
        <f t="shared" si="147"/>
        <v>2025</v>
      </c>
      <c r="AA291" s="594">
        <f t="shared" si="147"/>
        <v>2026</v>
      </c>
      <c r="AB291" s="594">
        <f t="shared" si="147"/>
        <v>2027</v>
      </c>
      <c r="AC291" s="594">
        <f t="shared" si="147"/>
        <v>2028</v>
      </c>
      <c r="AD291" s="594">
        <f t="shared" si="147"/>
        <v>2029</v>
      </c>
      <c r="AE291" s="594">
        <f t="shared" si="147"/>
        <v>2030</v>
      </c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</row>
    <row r="292" spans="1:82">
      <c r="A292" s="36" t="s">
        <v>200</v>
      </c>
      <c r="B292" s="92">
        <f>Base!B155</f>
        <v>221.619</v>
      </c>
      <c r="C292" s="92">
        <f>Base!C155</f>
        <v>398.23700000000002</v>
      </c>
      <c r="D292" s="92">
        <f>Base!D155</f>
        <v>225.81599999999997</v>
      </c>
      <c r="E292" s="92">
        <f>Base!E155</f>
        <v>435.30999999999995</v>
      </c>
      <c r="F292" s="92">
        <f>Base!F155</f>
        <v>337.07600000000002</v>
      </c>
      <c r="G292" s="92">
        <f>Base!G155</f>
        <v>949.56</v>
      </c>
      <c r="H292" s="92">
        <f>Base!H155</f>
        <v>604.93000000000006</v>
      </c>
      <c r="I292" s="92">
        <f>Base!I155</f>
        <v>979.6690000000001</v>
      </c>
      <c r="J292" s="92">
        <f>Base!J155</f>
        <v>1165.5060000000003</v>
      </c>
      <c r="K292" s="92">
        <f>Base!K155</f>
        <v>884.80899999999997</v>
      </c>
      <c r="L292" s="92">
        <f>Base!L155</f>
        <v>-938.91100000000029</v>
      </c>
      <c r="M292" s="92">
        <f>Base!M155</f>
        <v>3683.663</v>
      </c>
      <c r="N292" s="92">
        <f>Base!N155</f>
        <v>1557.8140000000003</v>
      </c>
      <c r="O292" s="92">
        <f>Base!O155</f>
        <v>2441.8119999999999</v>
      </c>
      <c r="P292" s="92">
        <f>Base!P155</f>
        <v>3580.9739999999997</v>
      </c>
      <c r="Q292" s="92">
        <f>Base!Q155</f>
        <v>4994.3130000000001</v>
      </c>
      <c r="R292" s="92">
        <f>Base!R155</f>
        <v>3273.5160000000001</v>
      </c>
      <c r="S292" s="92">
        <f>Base!S155</f>
        <v>5916.8649999999998</v>
      </c>
      <c r="T292" s="329">
        <f>Base!T155</f>
        <v>6587.8899999999994</v>
      </c>
      <c r="U292" s="329">
        <f>Base!U155</f>
        <v>3476.6569999999983</v>
      </c>
      <c r="V292" s="329">
        <f>Base!V155</f>
        <v>11496.914000000001</v>
      </c>
      <c r="W292" s="329">
        <f>Base!W155</f>
        <v>10971.870999999999</v>
      </c>
      <c r="X292" s="329">
        <f>Base!X155</f>
        <v>11433.946000000002</v>
      </c>
      <c r="Y292" s="329">
        <f>Base!Y155</f>
        <v>9253.208848068316</v>
      </c>
      <c r="Z292" s="329">
        <f>Base!Z155</f>
        <v>12578.060624208831</v>
      </c>
      <c r="AA292" s="329">
        <f>Base!AA155</f>
        <v>13926.619289114504</v>
      </c>
      <c r="AB292" s="329">
        <f>Base!AB155</f>
        <v>15427.190160930029</v>
      </c>
      <c r="AC292" s="329">
        <f>Base!AC155</f>
        <v>16543.193153049982</v>
      </c>
      <c r="AD292" s="329">
        <f>Base!AD155</f>
        <v>17941.187860616308</v>
      </c>
      <c r="AE292" s="329">
        <f>Base!AE155</f>
        <v>19404.342829557107</v>
      </c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</row>
    <row r="293" spans="1:82">
      <c r="A293" s="36" t="s">
        <v>201</v>
      </c>
      <c r="B293" s="92">
        <f>Bull!B155</f>
        <v>221.619</v>
      </c>
      <c r="C293" s="92">
        <f>Bull!C155</f>
        <v>398.23700000000002</v>
      </c>
      <c r="D293" s="92">
        <f>Bull!D155</f>
        <v>225.81599999999997</v>
      </c>
      <c r="E293" s="92">
        <f>Bull!E155</f>
        <v>435.30999999999995</v>
      </c>
      <c r="F293" s="92">
        <f>Bull!F155</f>
        <v>337.07600000000002</v>
      </c>
      <c r="G293" s="92">
        <f>Bull!G155</f>
        <v>949.56</v>
      </c>
      <c r="H293" s="92">
        <f>Bull!H155</f>
        <v>604.93000000000006</v>
      </c>
      <c r="I293" s="92">
        <f>Bull!I155</f>
        <v>979.6690000000001</v>
      </c>
      <c r="J293" s="92">
        <f>Bull!J155</f>
        <v>1165.5060000000003</v>
      </c>
      <c r="K293" s="92">
        <f>Bull!K155</f>
        <v>884.80899999999997</v>
      </c>
      <c r="L293" s="92">
        <f>Bull!L155</f>
        <v>-938.91100000000029</v>
      </c>
      <c r="M293" s="92">
        <f>Bull!M155</f>
        <v>3683.663</v>
      </c>
      <c r="N293" s="92">
        <f>Bull!N155</f>
        <v>1557.8140000000003</v>
      </c>
      <c r="O293" s="92">
        <f>Bull!O155</f>
        <v>2441.8119999999999</v>
      </c>
      <c r="P293" s="92">
        <f>Bull!P155</f>
        <v>3580.9739999999997</v>
      </c>
      <c r="Q293" s="92">
        <f>Bull!Q155</f>
        <v>4994.3130000000001</v>
      </c>
      <c r="R293" s="92">
        <f>Bull!R155</f>
        <v>3273.5160000000001</v>
      </c>
      <c r="S293" s="92">
        <f>Bull!S155</f>
        <v>5916.8649999999998</v>
      </c>
      <c r="T293" s="329">
        <f>Bull!T155</f>
        <v>6587.8899999999994</v>
      </c>
      <c r="U293" s="329">
        <f>Bull!U155</f>
        <v>3476.6569999999983</v>
      </c>
      <c r="V293" s="329">
        <f>Bull!V155</f>
        <v>11496.914000000001</v>
      </c>
      <c r="W293" s="329">
        <f>Bull!W155</f>
        <v>10971.870999999999</v>
      </c>
      <c r="X293" s="329">
        <f>Bull!X155</f>
        <v>11433.946000000002</v>
      </c>
      <c r="Y293" s="329">
        <f>Bull!Y155</f>
        <v>9480.3383106143247</v>
      </c>
      <c r="Z293" s="329">
        <f>Bull!Z155</f>
        <v>13038.383560000362</v>
      </c>
      <c r="AA293" s="329">
        <f>Bull!AA155</f>
        <v>14531.614500268244</v>
      </c>
      <c r="AB293" s="329">
        <f>Bull!AB155</f>
        <v>16178.499165046476</v>
      </c>
      <c r="AC293" s="329">
        <f>Bull!AC155</f>
        <v>17551.691424887442</v>
      </c>
      <c r="AD293" s="329">
        <f>Bull!AD155</f>
        <v>18975.952694132135</v>
      </c>
      <c r="AE293" s="329">
        <f>Bull!AE155</f>
        <v>20599.116699276718</v>
      </c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</row>
    <row r="294" spans="1:82">
      <c r="A294" s="36" t="s">
        <v>202</v>
      </c>
      <c r="B294" s="92">
        <f>Bear!B155</f>
        <v>221.619</v>
      </c>
      <c r="C294" s="92">
        <f>Bear!C155</f>
        <v>398.23700000000002</v>
      </c>
      <c r="D294" s="92">
        <f>Bear!D155</f>
        <v>225.81599999999997</v>
      </c>
      <c r="E294" s="92">
        <f>Bear!E155</f>
        <v>435.30999999999995</v>
      </c>
      <c r="F294" s="92">
        <f>Bear!F155</f>
        <v>337.07600000000002</v>
      </c>
      <c r="G294" s="92">
        <f>Bear!G155</f>
        <v>949.56</v>
      </c>
      <c r="H294" s="92">
        <f>Bear!H155</f>
        <v>604.93000000000006</v>
      </c>
      <c r="I294" s="92">
        <f>Bear!I155</f>
        <v>979.6690000000001</v>
      </c>
      <c r="J294" s="92">
        <f>Bear!J155</f>
        <v>1165.5060000000003</v>
      </c>
      <c r="K294" s="92">
        <f>Bear!K155</f>
        <v>884.80899999999997</v>
      </c>
      <c r="L294" s="92">
        <f>Bear!L155</f>
        <v>-938.91100000000029</v>
      </c>
      <c r="M294" s="92">
        <f>Bear!M155</f>
        <v>3683.663</v>
      </c>
      <c r="N294" s="92">
        <f>Bear!N155</f>
        <v>1557.8140000000003</v>
      </c>
      <c r="O294" s="92">
        <f>Bear!O155</f>
        <v>2441.8119999999999</v>
      </c>
      <c r="P294" s="92">
        <f>Bear!P155</f>
        <v>3580.9739999999997</v>
      </c>
      <c r="Q294" s="92">
        <f>Bear!Q155</f>
        <v>4994.3130000000001</v>
      </c>
      <c r="R294" s="92">
        <f>Bear!R155</f>
        <v>3273.5160000000001</v>
      </c>
      <c r="S294" s="92">
        <f>Bear!S155</f>
        <v>5916.8649999999998</v>
      </c>
      <c r="T294" s="329">
        <f>Bear!T155</f>
        <v>6587.8899999999994</v>
      </c>
      <c r="U294" s="329">
        <f>Bear!U155</f>
        <v>3476.6569999999983</v>
      </c>
      <c r="V294" s="329">
        <f>Bear!V155</f>
        <v>11496.914000000001</v>
      </c>
      <c r="W294" s="329">
        <f>Bear!W155</f>
        <v>10971.870999999999</v>
      </c>
      <c r="X294" s="329">
        <f>Bear!X155</f>
        <v>11433.946000000002</v>
      </c>
      <c r="Y294" s="329">
        <f>Bear!Y155</f>
        <v>8683.2629602539855</v>
      </c>
      <c r="Z294" s="329">
        <f>Bear!Z155</f>
        <v>11262.414983510953</v>
      </c>
      <c r="AA294" s="329">
        <f>Bear!AA155</f>
        <v>12295.137684298537</v>
      </c>
      <c r="AB294" s="329">
        <f>Bear!AB155</f>
        <v>13526.349601935233</v>
      </c>
      <c r="AC294" s="329">
        <f>Bear!AC155</f>
        <v>14218.995134775021</v>
      </c>
      <c r="AD294" s="329">
        <f>Bear!AD155</f>
        <v>15153.850204052929</v>
      </c>
      <c r="AE294" s="329">
        <f>Bear!AE155</f>
        <v>16315.438882107877</v>
      </c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</row>
    <row r="295" spans="1:82">
      <c r="A295" s="36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329"/>
      <c r="U295" s="329"/>
      <c r="V295" s="329"/>
      <c r="W295" s="329"/>
      <c r="X295" s="329"/>
      <c r="Y295" s="329"/>
      <c r="Z295" s="329"/>
      <c r="AA295" s="329"/>
      <c r="AB295" s="329"/>
      <c r="AC295" s="329"/>
      <c r="AD295" s="329"/>
      <c r="AE295" s="32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</row>
    <row r="296" spans="1:82">
      <c r="A296" s="242" t="s">
        <v>95</v>
      </c>
      <c r="B296" s="264">
        <v>2001</v>
      </c>
      <c r="C296" s="264">
        <v>2002</v>
      </c>
      <c r="D296" s="264">
        <v>2003</v>
      </c>
      <c r="E296" s="264">
        <v>2004</v>
      </c>
      <c r="F296" s="264">
        <v>2005</v>
      </c>
      <c r="G296" s="264">
        <v>2006</v>
      </c>
      <c r="H296" s="264">
        <v>2007</v>
      </c>
      <c r="I296" s="264">
        <v>2008</v>
      </c>
      <c r="J296" s="264">
        <f t="shared" ref="J296:R296" si="148">J$50</f>
        <v>2009</v>
      </c>
      <c r="K296" s="264">
        <f t="shared" si="148"/>
        <v>2010</v>
      </c>
      <c r="L296" s="264">
        <f t="shared" si="148"/>
        <v>2011</v>
      </c>
      <c r="M296" s="264">
        <f t="shared" si="148"/>
        <v>2012</v>
      </c>
      <c r="N296" s="264">
        <f t="shared" si="148"/>
        <v>2013</v>
      </c>
      <c r="O296" s="264">
        <f t="shared" si="148"/>
        <v>2014</v>
      </c>
      <c r="P296" s="264">
        <f t="shared" si="148"/>
        <v>2015</v>
      </c>
      <c r="Q296" s="264">
        <f t="shared" si="148"/>
        <v>2016</v>
      </c>
      <c r="R296" s="264">
        <f t="shared" si="148"/>
        <v>2017</v>
      </c>
      <c r="S296" s="264">
        <f t="shared" ref="S296:X296" si="149">S$6</f>
        <v>2018</v>
      </c>
      <c r="T296" s="264">
        <f t="shared" si="149"/>
        <v>2019</v>
      </c>
      <c r="U296" s="264">
        <f t="shared" si="149"/>
        <v>2020</v>
      </c>
      <c r="V296" s="264">
        <f t="shared" si="149"/>
        <v>2021</v>
      </c>
      <c r="W296" s="264">
        <f t="shared" si="149"/>
        <v>2022</v>
      </c>
      <c r="X296" s="264">
        <f t="shared" si="149"/>
        <v>2023</v>
      </c>
      <c r="Y296" s="594">
        <f t="shared" ref="Y296:AE296" si="150">Y$50</f>
        <v>2024</v>
      </c>
      <c r="Z296" s="594">
        <f t="shared" si="150"/>
        <v>2025</v>
      </c>
      <c r="AA296" s="594">
        <f t="shared" si="150"/>
        <v>2026</v>
      </c>
      <c r="AB296" s="594">
        <f t="shared" si="150"/>
        <v>2027</v>
      </c>
      <c r="AC296" s="594">
        <f t="shared" si="150"/>
        <v>2028</v>
      </c>
      <c r="AD296" s="594">
        <f t="shared" si="150"/>
        <v>2029</v>
      </c>
      <c r="AE296" s="594">
        <f t="shared" si="150"/>
        <v>2030</v>
      </c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</row>
    <row r="297" spans="1:82">
      <c r="A297" s="36" t="s">
        <v>200</v>
      </c>
      <c r="B297" s="92">
        <f>B292+Base!B$157</f>
        <v>98.45</v>
      </c>
      <c r="C297" s="92">
        <f>C292+Base!C$157</f>
        <v>163.29399999999998</v>
      </c>
      <c r="D297" s="92">
        <f>D292+Base!D$157</f>
        <v>60.96999999999997</v>
      </c>
      <c r="E297" s="92">
        <f>E292+Base!E$157</f>
        <v>-91.052000000000021</v>
      </c>
      <c r="F297" s="92">
        <f>F292+Base!F$157</f>
        <v>-537.87400000000002</v>
      </c>
      <c r="G297" s="92">
        <f>G292+Base!G$157</f>
        <v>-168.31000000000017</v>
      </c>
      <c r="H297" s="92">
        <f>H292+Base!H$157</f>
        <v>-486.91399999999976</v>
      </c>
      <c r="I297" s="92">
        <f>I292+Base!I$157</f>
        <v>-115.31099999999992</v>
      </c>
      <c r="J297" s="92">
        <f>J292+Base!J$157</f>
        <v>610.74500000000012</v>
      </c>
      <c r="K297" s="92">
        <f>K292+Base!K$157</f>
        <v>122.86199999999997</v>
      </c>
      <c r="L297" s="92">
        <f>L292+Base!L$157</f>
        <v>-2193.92</v>
      </c>
      <c r="M297" s="92">
        <f>M292+Base!M$157</f>
        <v>932.61499999999978</v>
      </c>
      <c r="N297" s="92">
        <f>N292+Base!N$157</f>
        <v>-1644.9369999999999</v>
      </c>
      <c r="O297" s="92">
        <f>O292+Base!O$157</f>
        <v>-9968.5949999999993</v>
      </c>
      <c r="P297" s="92">
        <f>P292+Base!P$157</f>
        <v>141.7819999999997</v>
      </c>
      <c r="Q297" s="92">
        <f>Q292+Base!Q$157</f>
        <v>-44.27599999999893</v>
      </c>
      <c r="R297" s="92">
        <f>R292+Base!R$157</f>
        <v>-0.80000000000063665</v>
      </c>
      <c r="S297" s="92">
        <f>S292+Base!S$157</f>
        <v>-11580.860999999999</v>
      </c>
      <c r="T297" s="329">
        <f>T292+Base!T$157</f>
        <v>1759.0049999999992</v>
      </c>
      <c r="U297" s="329">
        <f>U292+Base!U$157</f>
        <v>1696.7389999999982</v>
      </c>
      <c r="V297" s="329">
        <f>V292+Base!V$157</f>
        <v>8955.1270000000004</v>
      </c>
      <c r="W297" s="329">
        <f>W292+Base!W$157</f>
        <v>6748.4469999999992</v>
      </c>
      <c r="X297" s="329">
        <f>X292+Base!X$157</f>
        <v>6694.4330000000009</v>
      </c>
      <c r="Y297" s="329">
        <f>Y292+Base!Y$157</f>
        <v>3201.6213775592114</v>
      </c>
      <c r="Z297" s="329">
        <f>Z292+Base!Z$157</f>
        <v>6371.1655650050507</v>
      </c>
      <c r="AA297" s="329">
        <f>AA292+Base!AA$157</f>
        <v>7731.2326850812196</v>
      </c>
      <c r="AB297" s="329">
        <f>AB292+Base!AB$157</f>
        <v>9044.8868022444112</v>
      </c>
      <c r="AC297" s="329">
        <f>AC292+Base!AC$157</f>
        <v>9259.1092513354579</v>
      </c>
      <c r="AD297" s="329">
        <f>AD292+Base!AD$157</f>
        <v>9978.1103236085037</v>
      </c>
      <c r="AE297" s="329">
        <f>AE292+Base!AE$157</f>
        <v>10948.757310745783</v>
      </c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</row>
    <row r="298" spans="1:82">
      <c r="A298" s="36" t="s">
        <v>201</v>
      </c>
      <c r="B298" s="92">
        <f>B293+Bull!B$157</f>
        <v>98.45</v>
      </c>
      <c r="C298" s="92">
        <f>C293+Bull!C$157</f>
        <v>163.29399999999998</v>
      </c>
      <c r="D298" s="92">
        <f>D293+Bull!D$157</f>
        <v>60.96999999999997</v>
      </c>
      <c r="E298" s="92">
        <f>E293+Bull!E$157</f>
        <v>-91.052000000000021</v>
      </c>
      <c r="F298" s="92">
        <f>F293+Bull!F$157</f>
        <v>-537.87400000000002</v>
      </c>
      <c r="G298" s="92">
        <f>G293+Bull!G$157</f>
        <v>-168.31000000000017</v>
      </c>
      <c r="H298" s="92">
        <f>H293+Bull!H$157</f>
        <v>-486.91399999999976</v>
      </c>
      <c r="I298" s="92">
        <f>I293+Bull!I$157</f>
        <v>-115.31099999999992</v>
      </c>
      <c r="J298" s="92">
        <f>J293+Bull!J$157</f>
        <v>610.74500000000012</v>
      </c>
      <c r="K298" s="92">
        <f>K293+Bull!K$157</f>
        <v>122.86199999999997</v>
      </c>
      <c r="L298" s="92">
        <f>L293+Bull!L$157</f>
        <v>-2193.92</v>
      </c>
      <c r="M298" s="92">
        <f>M293+Bull!M$157</f>
        <v>932.61499999999978</v>
      </c>
      <c r="N298" s="92">
        <f>N293+Bull!N$157</f>
        <v>-1644.9369999999999</v>
      </c>
      <c r="O298" s="92">
        <f>O293+Bull!O$157</f>
        <v>-9968.5949999999993</v>
      </c>
      <c r="P298" s="92">
        <f>P293+Bull!P$157</f>
        <v>141.7819999999997</v>
      </c>
      <c r="Q298" s="92">
        <f>Q293+Bull!Q$157</f>
        <v>-44.27599999999893</v>
      </c>
      <c r="R298" s="92">
        <f>R293+Bull!R$157</f>
        <v>-0.80000000000063665</v>
      </c>
      <c r="S298" s="92">
        <f>S293+Bull!S$157</f>
        <v>-11580.860999999999</v>
      </c>
      <c r="T298" s="329">
        <f>T293+Bull!T$157</f>
        <v>1759.0049999999992</v>
      </c>
      <c r="U298" s="329">
        <f>U293+Bull!U$157</f>
        <v>1696.7389999999982</v>
      </c>
      <c r="V298" s="329">
        <f>V293+Bull!V$157</f>
        <v>8955.1270000000004</v>
      </c>
      <c r="W298" s="329">
        <f>W293+Bull!W$157</f>
        <v>6748.4469999999992</v>
      </c>
      <c r="X298" s="329">
        <f>X293+Bull!X$157</f>
        <v>6694.4330000000009</v>
      </c>
      <c r="Y298" s="329">
        <f>Y293+Bull!Y$157</f>
        <v>3528.3388127410299</v>
      </c>
      <c r="Z298" s="329">
        <f>Z293+Bull!Z$157</f>
        <v>7005.7901196443636</v>
      </c>
      <c r="AA298" s="329">
        <f>AA293+Bull!AA$157</f>
        <v>8442.2942179168604</v>
      </c>
      <c r="AB298" s="329">
        <f>AB293+Bull!AB$157</f>
        <v>9852.3602374454022</v>
      </c>
      <c r="AC298" s="329">
        <f>AC293+Bull!AC$157</f>
        <v>10588.674988379165</v>
      </c>
      <c r="AD298" s="329">
        <f>AD293+Bull!AD$157</f>
        <v>11319.979951791713</v>
      </c>
      <c r="AE298" s="329">
        <f>AE293+Bull!AE$157</f>
        <v>12407.380311723187</v>
      </c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</row>
    <row r="299" spans="1:82">
      <c r="A299" s="36" t="s">
        <v>202</v>
      </c>
      <c r="B299" s="92">
        <f>B294+Bear!B$157</f>
        <v>98.45</v>
      </c>
      <c r="C299" s="92">
        <f>C294+Bear!C$157</f>
        <v>163.29399999999998</v>
      </c>
      <c r="D299" s="92">
        <f>D294+Bear!D$157</f>
        <v>60.96999999999997</v>
      </c>
      <c r="E299" s="92">
        <f>E294+Bear!E$157</f>
        <v>-91.052000000000021</v>
      </c>
      <c r="F299" s="92">
        <f>F294+Bear!F$157</f>
        <v>-537.87400000000002</v>
      </c>
      <c r="G299" s="92">
        <f>G294+Bear!G$157</f>
        <v>-168.31000000000017</v>
      </c>
      <c r="H299" s="92">
        <f>H294+Bear!H$157</f>
        <v>-486.91399999999976</v>
      </c>
      <c r="I299" s="92">
        <f>I294+Bear!I$157</f>
        <v>-115.31099999999992</v>
      </c>
      <c r="J299" s="92">
        <f>J294+Bear!J$157</f>
        <v>610.74500000000012</v>
      </c>
      <c r="K299" s="92">
        <f>K294+Bear!K$157</f>
        <v>122.86199999999997</v>
      </c>
      <c r="L299" s="92">
        <f>L294+Bear!L$157</f>
        <v>-2193.92</v>
      </c>
      <c r="M299" s="92">
        <f>M294+Bear!M$157</f>
        <v>932.61499999999978</v>
      </c>
      <c r="N299" s="92">
        <f>N294+Bear!N$157</f>
        <v>-1644.9369999999999</v>
      </c>
      <c r="O299" s="92">
        <f>O294+Bear!O$157</f>
        <v>-9968.5949999999993</v>
      </c>
      <c r="P299" s="92">
        <f>P294+Bear!P$157</f>
        <v>141.7819999999997</v>
      </c>
      <c r="Q299" s="92">
        <f>Q294+Bear!Q$157</f>
        <v>-44.27599999999893</v>
      </c>
      <c r="R299" s="92">
        <f>R294+Bear!R$157</f>
        <v>-0.80000000000063665</v>
      </c>
      <c r="S299" s="92">
        <f>S294+Bear!S$157</f>
        <v>-11580.860999999999</v>
      </c>
      <c r="T299" s="329">
        <f>T294+Bear!T$157</f>
        <v>1759.0049999999992</v>
      </c>
      <c r="U299" s="329">
        <f>U294+Bear!U$157</f>
        <v>1696.7389999999982</v>
      </c>
      <c r="V299" s="329">
        <f>V294+Bear!V$157</f>
        <v>8955.1270000000004</v>
      </c>
      <c r="W299" s="329">
        <f>W294+Bear!W$157</f>
        <v>6748.4469999999992</v>
      </c>
      <c r="X299" s="329">
        <f>X294+Bear!X$157</f>
        <v>6694.4330000000009</v>
      </c>
      <c r="Y299" s="329">
        <f>Y294+Bear!Y$157</f>
        <v>3115.0281257604156</v>
      </c>
      <c r="Z299" s="329">
        <f>Z294+Bear!Z$157</f>
        <v>6045.452791595837</v>
      </c>
      <c r="AA299" s="329">
        <f>AA294+Bear!AA$157</f>
        <v>7189.1672724563678</v>
      </c>
      <c r="AB299" s="329">
        <f>AB294+Bear!AB$157</f>
        <v>8293.4608444326223</v>
      </c>
      <c r="AC299" s="329">
        <f>AC294+Bear!AC$157</f>
        <v>7724.814745926471</v>
      </c>
      <c r="AD299" s="329">
        <f>AD294+Bear!AD$157</f>
        <v>8083.8320546463583</v>
      </c>
      <c r="AE299" s="329">
        <f>AE294+Bear!AE$157</f>
        <v>8845.6509091898351</v>
      </c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</row>
    <row r="300" spans="1:82">
      <c r="A300" s="36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329"/>
      <c r="U300" s="329"/>
      <c r="V300" s="329"/>
      <c r="W300" s="329"/>
      <c r="X300" s="329"/>
      <c r="Y300" s="329"/>
      <c r="Z300" s="329"/>
      <c r="AA300" s="329"/>
      <c r="AB300" s="329"/>
      <c r="AC300" s="329"/>
      <c r="AD300" s="329"/>
      <c r="AE300" s="32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</row>
    <row r="301" spans="1:82">
      <c r="A301" s="242" t="s">
        <v>1161</v>
      </c>
      <c r="B301" s="264">
        <f t="shared" ref="B301:R301" si="151">B296</f>
        <v>2001</v>
      </c>
      <c r="C301" s="264">
        <f t="shared" si="151"/>
        <v>2002</v>
      </c>
      <c r="D301" s="264">
        <f t="shared" si="151"/>
        <v>2003</v>
      </c>
      <c r="E301" s="264">
        <f t="shared" si="151"/>
        <v>2004</v>
      </c>
      <c r="F301" s="264">
        <f t="shared" si="151"/>
        <v>2005</v>
      </c>
      <c r="G301" s="264">
        <f t="shared" si="151"/>
        <v>2006</v>
      </c>
      <c r="H301" s="264">
        <f t="shared" si="151"/>
        <v>2007</v>
      </c>
      <c r="I301" s="264">
        <f t="shared" si="151"/>
        <v>2008</v>
      </c>
      <c r="J301" s="264">
        <f t="shared" si="151"/>
        <v>2009</v>
      </c>
      <c r="K301" s="264">
        <f t="shared" si="151"/>
        <v>2010</v>
      </c>
      <c r="L301" s="264">
        <f t="shared" si="151"/>
        <v>2011</v>
      </c>
      <c r="M301" s="264">
        <f t="shared" si="151"/>
        <v>2012</v>
      </c>
      <c r="N301" s="264">
        <f t="shared" si="151"/>
        <v>2013</v>
      </c>
      <c r="O301" s="264">
        <f t="shared" si="151"/>
        <v>2014</v>
      </c>
      <c r="P301" s="264">
        <f t="shared" si="151"/>
        <v>2015</v>
      </c>
      <c r="Q301" s="264">
        <f t="shared" si="151"/>
        <v>2016</v>
      </c>
      <c r="R301" s="264">
        <f t="shared" si="151"/>
        <v>2017</v>
      </c>
      <c r="S301" s="264">
        <f t="shared" ref="S301:X301" si="152">S$6</f>
        <v>2018</v>
      </c>
      <c r="T301" s="264">
        <f t="shared" si="152"/>
        <v>2019</v>
      </c>
      <c r="U301" s="264">
        <f t="shared" si="152"/>
        <v>2020</v>
      </c>
      <c r="V301" s="264">
        <f t="shared" si="152"/>
        <v>2021</v>
      </c>
      <c r="W301" s="264">
        <f t="shared" si="152"/>
        <v>2022</v>
      </c>
      <c r="X301" s="264">
        <f t="shared" si="152"/>
        <v>2023</v>
      </c>
      <c r="Y301" s="594">
        <f t="shared" ref="Y301:AE301" si="153">Y296</f>
        <v>2024</v>
      </c>
      <c r="Z301" s="594">
        <f t="shared" si="153"/>
        <v>2025</v>
      </c>
      <c r="AA301" s="594">
        <f t="shared" si="153"/>
        <v>2026</v>
      </c>
      <c r="AB301" s="594">
        <f t="shared" si="153"/>
        <v>2027</v>
      </c>
      <c r="AC301" s="594">
        <f t="shared" si="153"/>
        <v>2028</v>
      </c>
      <c r="AD301" s="594">
        <f t="shared" si="153"/>
        <v>2029</v>
      </c>
      <c r="AE301" s="594">
        <f t="shared" si="153"/>
        <v>2030</v>
      </c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</row>
    <row r="302" spans="1:82">
      <c r="A302" s="36" t="s">
        <v>244</v>
      </c>
      <c r="B302" s="262" t="e">
        <f>NA()</f>
        <v>#N/A</v>
      </c>
      <c r="C302" s="262" t="e">
        <f>NA()</f>
        <v>#N/A</v>
      </c>
      <c r="D302" s="262">
        <f>Financials!D118</f>
        <v>9.2771832191780826E-2</v>
      </c>
      <c r="E302" s="262">
        <f>Financials!E118</f>
        <v>0.15754227053140096</v>
      </c>
      <c r="F302" s="262">
        <f>Financials!F118</f>
        <v>0.19057467057101024</v>
      </c>
      <c r="G302" s="262">
        <f>Financials!G118</f>
        <v>0.26905808729139918</v>
      </c>
      <c r="H302" s="262">
        <f>Financials!H118</f>
        <v>0.10963154492566259</v>
      </c>
      <c r="I302" s="262">
        <f>Financials!I118</f>
        <v>0</v>
      </c>
      <c r="J302" s="262">
        <f>Financials!J118</f>
        <v>6.9514788966434038E-2</v>
      </c>
      <c r="K302" s="262">
        <f>Financials!K118</f>
        <v>0.40640779907468599</v>
      </c>
      <c r="L302" s="262">
        <f>Financials!L118</f>
        <v>0.20238943894389438</v>
      </c>
      <c r="M302" s="262">
        <f>Financials!M118</f>
        <v>0</v>
      </c>
      <c r="N302" s="262">
        <f>Financials!N118</f>
        <v>0.49996801395754581</v>
      </c>
      <c r="O302" s="262">
        <f>Financials!O118</f>
        <v>0</v>
      </c>
      <c r="P302" s="262">
        <f>Financials!P118</f>
        <v>0.50050507462686566</v>
      </c>
      <c r="Q302" s="262">
        <f>Financials!Q118</f>
        <v>0.77282871868632386</v>
      </c>
      <c r="R302" s="262">
        <f>Financials!R118</f>
        <v>0.86383045148895299</v>
      </c>
      <c r="S302" s="262">
        <f>Financials!S118</f>
        <v>0.86182862613690758</v>
      </c>
      <c r="T302" s="459">
        <f>Financials!T118</f>
        <v>0</v>
      </c>
      <c r="U302" s="459">
        <f>Financials!U118</f>
        <v>0</v>
      </c>
      <c r="V302" s="459">
        <f>Financials!V118</f>
        <v>0</v>
      </c>
      <c r="W302" s="459">
        <f>Financials!W118</f>
        <v>0</v>
      </c>
      <c r="X302" s="459">
        <f>Financials!X118</f>
        <v>0</v>
      </c>
      <c r="Y302" s="459">
        <f>Financials!Y118</f>
        <v>1.2000208588957055</v>
      </c>
      <c r="Z302" s="459">
        <f>Financials!Z118</f>
        <v>0</v>
      </c>
      <c r="AA302" s="459">
        <f>Financials!AA118</f>
        <v>0</v>
      </c>
      <c r="AB302" s="459">
        <f>Financials!AB118</f>
        <v>0</v>
      </c>
      <c r="AC302" s="459">
        <f>Financials!AC118</f>
        <v>0</v>
      </c>
      <c r="AD302" s="459">
        <f>Financials!AD118</f>
        <v>0</v>
      </c>
      <c r="AE302" s="459">
        <f>Financials!AE118</f>
        <v>0</v>
      </c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</row>
    <row r="303" spans="1:82">
      <c r="A303" s="36" t="s">
        <v>344</v>
      </c>
      <c r="B303" s="262" t="e">
        <f>NA()</f>
        <v>#N/A</v>
      </c>
      <c r="C303" s="262" t="e">
        <f>NA()</f>
        <v>#N/A</v>
      </c>
      <c r="D303" s="262">
        <f>Financials!D114</f>
        <v>0.27428938356164395</v>
      </c>
      <c r="E303" s="262">
        <f>Financials!E114</f>
        <v>0.31120974235104665</v>
      </c>
      <c r="F303" s="262">
        <f>Financials!F114</f>
        <v>0.51518667642752614</v>
      </c>
      <c r="G303" s="262">
        <f>Financials!G114</f>
        <v>0.35650994865211943</v>
      </c>
      <c r="H303" s="262">
        <f>Financials!H114</f>
        <v>0.77316580478345165</v>
      </c>
      <c r="I303" s="262">
        <f>Financials!I114</f>
        <v>0.20838025889967637</v>
      </c>
      <c r="J303" s="262">
        <f>Financials!J114</f>
        <v>0.17239614489863669</v>
      </c>
      <c r="K303" s="262">
        <f>Financials!K114</f>
        <v>0.24987772637144728</v>
      </c>
      <c r="L303" s="262">
        <f>Financials!L114</f>
        <v>0.34594719471947266</v>
      </c>
      <c r="M303" s="262">
        <f>Financials!M114</f>
        <v>0.53295289328293038</v>
      </c>
      <c r="N303" s="262">
        <f>Financials!N114</f>
        <v>0.99013230590287937</v>
      </c>
      <c r="O303" s="262">
        <f>Financials!O114</f>
        <v>0.79592406876790867</v>
      </c>
      <c r="P303" s="262">
        <f>Financials!P114</f>
        <v>1.1715892537313437</v>
      </c>
      <c r="Q303" s="262">
        <f>Financials!Q114</f>
        <v>1.1943809181349627</v>
      </c>
      <c r="R303" s="262">
        <f>Financials!R114</f>
        <v>1.3082000480307392</v>
      </c>
      <c r="S303" s="262">
        <f>Financials!S114</f>
        <v>1.1408006223073228</v>
      </c>
      <c r="T303" s="459">
        <f>Financials!T114</f>
        <v>0.9116446034585548</v>
      </c>
      <c r="U303" s="459">
        <f>Financials!U114</f>
        <v>-4.4224376863446651</v>
      </c>
      <c r="V303" s="459">
        <f>Financials!V114</f>
        <v>0.58178750298115978</v>
      </c>
      <c r="W303" s="459">
        <f>Financials!W114</f>
        <v>2.0266829268292659</v>
      </c>
      <c r="X303" s="459">
        <f>Financials!X114</f>
        <v>3.4455921946399881</v>
      </c>
      <c r="Y303" s="459">
        <f>Financials!Y114</f>
        <v>1.8038153532335182</v>
      </c>
      <c r="Z303" s="459">
        <f>Financials!Z114</f>
        <v>2.7072657434168819</v>
      </c>
      <c r="AA303" s="459">
        <f>Financials!AA114</f>
        <v>3.6333146399804575</v>
      </c>
      <c r="AB303" s="459">
        <f>Financials!AB114</f>
        <v>4.8196005848819041</v>
      </c>
      <c r="AC303" s="459">
        <f>Financials!AC114</f>
        <v>4.9172121120304002</v>
      </c>
      <c r="AD303" s="459">
        <f>Financials!AD114</f>
        <v>5.1660022406183526</v>
      </c>
      <c r="AE303" s="459">
        <f>Financials!AE114</f>
        <v>5.4088119897491316</v>
      </c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</row>
    <row r="304" spans="1:82">
      <c r="A304" s="36" t="s">
        <v>95</v>
      </c>
      <c r="B304" s="262" t="e">
        <f>NA()</f>
        <v>#N/A</v>
      </c>
      <c r="C304" s="262" t="e">
        <f>NA()</f>
        <v>#N/A</v>
      </c>
      <c r="D304" s="262">
        <f>Financials!D173/Financials!D111</f>
        <v>2.1185787671233053E-2</v>
      </c>
      <c r="E304" s="262">
        <f>Financials!E173/Financials!E111</f>
        <v>-0.2200080515297908</v>
      </c>
      <c r="F304" s="262">
        <f>Financials!F173/Financials!F111</f>
        <v>-0.82178257686676404</v>
      </c>
      <c r="G304" s="262">
        <f>Financials!G173/Financials!G111</f>
        <v>-4.8844672657251877E-2</v>
      </c>
      <c r="H304" s="262">
        <f>Financials!H173/Financials!H111</f>
        <v>-0.35366354234001274</v>
      </c>
      <c r="I304" s="262">
        <f>Financials!I173/Financials!I111</f>
        <v>-0.62748543689320402</v>
      </c>
      <c r="J304" s="262">
        <f>Financials!J173/Financials!J111</f>
        <v>0.91767530741109904</v>
      </c>
      <c r="K304" s="262">
        <f>Financials!K173/Financials!K111</f>
        <v>-1.6358228684732658E-2</v>
      </c>
      <c r="L304" s="262">
        <f>Financials!L173/Financials!L111</f>
        <v>-0.55054455445544515</v>
      </c>
      <c r="M304" s="262">
        <f>Financials!M173/Financials!M111</f>
        <v>-2.7495245710962504</v>
      </c>
      <c r="N304" s="262">
        <f>Financials!N173/Financials!N111</f>
        <v>-2.7713405059610352</v>
      </c>
      <c r="O304" s="262">
        <f>Financials!O173/Financials!O111</f>
        <v>-12.382368672397325</v>
      </c>
      <c r="P304" s="262">
        <f>Financials!P173/Financials!P111</f>
        <v>-0.70142447761194004</v>
      </c>
      <c r="Q304" s="262">
        <f>Financials!Q173/Financials!Q111</f>
        <v>-0.57493467577609936</v>
      </c>
      <c r="R304" s="262">
        <f>Financials!R173/Financials!R111</f>
        <v>0.43043828049951816</v>
      </c>
      <c r="S304" s="262">
        <f>Financials!S173/Financials!S111</f>
        <v>-14.839396840593585</v>
      </c>
      <c r="T304" s="459">
        <f>Financials!T173/Financials!T111</f>
        <v>5.5454776386404268</v>
      </c>
      <c r="U304" s="459">
        <f>Financials!U173/Financials!U111</f>
        <v>-3.9711890280262394</v>
      </c>
      <c r="V304" s="459">
        <f>Financials!V173/Financials!V111</f>
        <v>3.775352969234441</v>
      </c>
      <c r="W304" s="459">
        <f>Financials!W173/Financials!W111</f>
        <v>2.8198024390243908</v>
      </c>
      <c r="X304" s="459">
        <f>Financials!X173/Financials!X111</f>
        <v>2.0053130789181171</v>
      </c>
      <c r="Y304" s="459">
        <f>Financials!Y173/Financials!Y111</f>
        <v>-4.5602192727982125</v>
      </c>
      <c r="Z304" s="459">
        <f>Financials!Z173/Financials!Z111</f>
        <v>1.6377532011106168</v>
      </c>
      <c r="AA304" s="459">
        <f>Financials!AA173/Financials!AA111</f>
        <v>3.7544795085630818</v>
      </c>
      <c r="AB304" s="459">
        <f>Financials!AB173/Financials!AB111</f>
        <v>4.9196015917092648</v>
      </c>
      <c r="AC304" s="459">
        <f>Financials!AC173/Financials!AC111</f>
        <v>3.8811222196052308</v>
      </c>
      <c r="AD304" s="459">
        <f>Financials!AD173/Financials!AD111</f>
        <v>3.9609748320010367</v>
      </c>
      <c r="AE304" s="459">
        <f>Financials!AE173/Financials!AE111</f>
        <v>4.5235994089290408</v>
      </c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</row>
    <row r="305" spans="1:82">
      <c r="A305" s="36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329"/>
      <c r="U305" s="329"/>
      <c r="V305" s="329"/>
      <c r="W305" s="329"/>
      <c r="X305" s="329"/>
      <c r="Y305" s="329"/>
      <c r="Z305" s="329"/>
      <c r="AA305" s="329"/>
      <c r="AB305" s="329"/>
      <c r="AC305" s="329"/>
      <c r="AD305" s="329"/>
      <c r="AE305" s="32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</row>
    <row r="306" spans="1:82">
      <c r="A306" s="242" t="s">
        <v>30</v>
      </c>
      <c r="B306" s="264">
        <v>2001</v>
      </c>
      <c r="C306" s="264">
        <v>2002</v>
      </c>
      <c r="D306" s="264">
        <v>2003</v>
      </c>
      <c r="E306" s="264">
        <v>2004</v>
      </c>
      <c r="F306" s="264">
        <v>2005</v>
      </c>
      <c r="G306" s="264">
        <v>2006</v>
      </c>
      <c r="H306" s="264">
        <v>2007</v>
      </c>
      <c r="I306" s="264">
        <v>2008</v>
      </c>
      <c r="J306" s="264">
        <f t="shared" ref="J306:R306" si="154">J$50</f>
        <v>2009</v>
      </c>
      <c r="K306" s="264">
        <f t="shared" si="154"/>
        <v>2010</v>
      </c>
      <c r="L306" s="264">
        <f t="shared" si="154"/>
        <v>2011</v>
      </c>
      <c r="M306" s="264">
        <f t="shared" si="154"/>
        <v>2012</v>
      </c>
      <c r="N306" s="264">
        <f t="shared" si="154"/>
        <v>2013</v>
      </c>
      <c r="O306" s="264">
        <f t="shared" si="154"/>
        <v>2014</v>
      </c>
      <c r="P306" s="264">
        <f t="shared" si="154"/>
        <v>2015</v>
      </c>
      <c r="Q306" s="264">
        <f t="shared" si="154"/>
        <v>2016</v>
      </c>
      <c r="R306" s="264">
        <f t="shared" si="154"/>
        <v>2017</v>
      </c>
      <c r="S306" s="264">
        <f t="shared" ref="S306:X306" si="155">S$6</f>
        <v>2018</v>
      </c>
      <c r="T306" s="264">
        <f t="shared" si="155"/>
        <v>2019</v>
      </c>
      <c r="U306" s="264">
        <f t="shared" si="155"/>
        <v>2020</v>
      </c>
      <c r="V306" s="264">
        <f t="shared" si="155"/>
        <v>2021</v>
      </c>
      <c r="W306" s="264">
        <f t="shared" si="155"/>
        <v>2022</v>
      </c>
      <c r="X306" s="264">
        <f t="shared" si="155"/>
        <v>2023</v>
      </c>
      <c r="Y306" s="594">
        <f t="shared" ref="Y306:AE306" si="156">Y$50</f>
        <v>2024</v>
      </c>
      <c r="Z306" s="594">
        <f t="shared" si="156"/>
        <v>2025</v>
      </c>
      <c r="AA306" s="594">
        <f t="shared" si="156"/>
        <v>2026</v>
      </c>
      <c r="AB306" s="594">
        <f t="shared" si="156"/>
        <v>2027</v>
      </c>
      <c r="AC306" s="594">
        <f t="shared" si="156"/>
        <v>2028</v>
      </c>
      <c r="AD306" s="594">
        <f t="shared" si="156"/>
        <v>2029</v>
      </c>
      <c r="AE306" s="594">
        <f t="shared" si="156"/>
        <v>2030</v>
      </c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</row>
    <row r="307" spans="1:82">
      <c r="A307" s="36" t="s">
        <v>200</v>
      </c>
      <c r="B307" s="92">
        <f>Base!B183</f>
        <v>10.016999999999996</v>
      </c>
      <c r="C307" s="92">
        <f>Base!C183</f>
        <v>-88.939000000000021</v>
      </c>
      <c r="D307" s="92">
        <f>Base!D183</f>
        <v>-11.258999999999986</v>
      </c>
      <c r="E307" s="92">
        <f>Base!E183</f>
        <v>-6.4039999999999964</v>
      </c>
      <c r="F307" s="92">
        <f>Base!F183</f>
        <v>-154.28300000000002</v>
      </c>
      <c r="G307" s="92">
        <f>Base!G183</f>
        <v>-248.66000000000008</v>
      </c>
      <c r="H307" s="92">
        <f>Base!H183</f>
        <v>-366.27299999999991</v>
      </c>
      <c r="I307" s="92">
        <f>Base!I183</f>
        <v>-627.41800000000012</v>
      </c>
      <c r="J307" s="92">
        <f>Base!J183</f>
        <v>-20.990999999999985</v>
      </c>
      <c r="K307" s="92">
        <f>Base!K183</f>
        <v>-28.842999999999961</v>
      </c>
      <c r="L307" s="92">
        <f>Base!L183</f>
        <v>-232.71600000000001</v>
      </c>
      <c r="M307" s="92">
        <f>Base!M183</f>
        <v>-43.287000000000035</v>
      </c>
      <c r="N307" s="92">
        <f>Base!N183</f>
        <v>-137.86700000000019</v>
      </c>
      <c r="O307" s="92">
        <f>Base!O183</f>
        <v>-743.29799999999977</v>
      </c>
      <c r="P307" s="92">
        <f>Base!P183</f>
        <v>-730.25700000000006</v>
      </c>
      <c r="Q307" s="92">
        <f>Base!Q183</f>
        <v>-1372.971</v>
      </c>
      <c r="R307" s="92">
        <f>Base!R183</f>
        <v>-700.43899999999985</v>
      </c>
      <c r="S307" s="92">
        <f>Base!S183</f>
        <v>-2070.5510000000004</v>
      </c>
      <c r="T307" s="329">
        <f>Base!T183</f>
        <v>-2223.6880000000001</v>
      </c>
      <c r="U307" s="329">
        <f>Base!U183</f>
        <v>-280</v>
      </c>
      <c r="V307" s="329">
        <f>Base!V183</f>
        <v>-218.45200000000023</v>
      </c>
      <c r="W307" s="329">
        <f>Base!W183</f>
        <v>-703.84900000000016</v>
      </c>
      <c r="X307" s="329">
        <f>Base!X183</f>
        <v>-644.99300000000039</v>
      </c>
      <c r="Y307" s="329">
        <f>Base!Y183</f>
        <v>-681.02663997404852</v>
      </c>
      <c r="Z307" s="329">
        <f>Base!Z183</f>
        <v>-758.70635323755414</v>
      </c>
      <c r="AA307" s="329">
        <f>Base!AA183</f>
        <v>-830.85303749398463</v>
      </c>
      <c r="AB307" s="329">
        <f>Base!AB183</f>
        <v>-903.39201087090532</v>
      </c>
      <c r="AC307" s="329">
        <f>Base!AC183</f>
        <v>-960.20649505893471</v>
      </c>
      <c r="AD307" s="329">
        <f>Base!AD183</f>
        <v>-1020.1086615484592</v>
      </c>
      <c r="AE307" s="329">
        <f>Base!AE183</f>
        <v>-1081.38920302105</v>
      </c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</row>
    <row r="308" spans="1:82">
      <c r="A308" s="36" t="s">
        <v>201</v>
      </c>
      <c r="B308" s="92">
        <f>Bull!B183</f>
        <v>10.016999999999996</v>
      </c>
      <c r="C308" s="92">
        <f>Bull!C183</f>
        <v>-88.939000000000021</v>
      </c>
      <c r="D308" s="92">
        <f>Bull!D183</f>
        <v>-11.258999999999986</v>
      </c>
      <c r="E308" s="92">
        <f>Bull!E183</f>
        <v>-6.4039999999999964</v>
      </c>
      <c r="F308" s="92">
        <f>Bull!F183</f>
        <v>-154.28300000000002</v>
      </c>
      <c r="G308" s="92">
        <f>Bull!G183</f>
        <v>-248.66000000000008</v>
      </c>
      <c r="H308" s="92">
        <f>Bull!H183</f>
        <v>-366.27299999999991</v>
      </c>
      <c r="I308" s="92">
        <f>Bull!I183</f>
        <v>-627.41800000000012</v>
      </c>
      <c r="J308" s="92">
        <f>Bull!J183</f>
        <v>-20.990999999999985</v>
      </c>
      <c r="K308" s="92">
        <f>Bull!K183</f>
        <v>-28.842999999999961</v>
      </c>
      <c r="L308" s="92">
        <f>Bull!L183</f>
        <v>-232.71600000000001</v>
      </c>
      <c r="M308" s="92">
        <f>Bull!M183</f>
        <v>-43.287000000000035</v>
      </c>
      <c r="N308" s="92">
        <f>Bull!N183</f>
        <v>-137.86700000000019</v>
      </c>
      <c r="O308" s="92">
        <f>Bull!O183</f>
        <v>-743.29799999999977</v>
      </c>
      <c r="P308" s="92">
        <f>Bull!P183</f>
        <v>-730.25700000000006</v>
      </c>
      <c r="Q308" s="92">
        <f>Bull!Q183</f>
        <v>-1372.971</v>
      </c>
      <c r="R308" s="92">
        <f>Bull!R183</f>
        <v>-700.43899999999985</v>
      </c>
      <c r="S308" s="92">
        <f>Bull!S183</f>
        <v>-2070.5510000000004</v>
      </c>
      <c r="T308" s="329">
        <f>Bull!T183</f>
        <v>-2223.6880000000001</v>
      </c>
      <c r="U308" s="329">
        <f>Bull!U183</f>
        <v>-280</v>
      </c>
      <c r="V308" s="329">
        <f>Bull!V183</f>
        <v>-218.45200000000023</v>
      </c>
      <c r="W308" s="329">
        <f>Bull!W183</f>
        <v>-703.84900000000016</v>
      </c>
      <c r="X308" s="329">
        <f>Bull!X183</f>
        <v>-644.99300000000039</v>
      </c>
      <c r="Y308" s="329">
        <f>Bull!Y183</f>
        <v>-667.54491025614698</v>
      </c>
      <c r="Z308" s="329">
        <f>Bull!Z183</f>
        <v>-747.90372681682129</v>
      </c>
      <c r="AA308" s="329">
        <f>Bull!AA183</f>
        <v>-823.79115786080638</v>
      </c>
      <c r="AB308" s="329">
        <f>Bull!AB183</f>
        <v>-900.46327280443893</v>
      </c>
      <c r="AC308" s="329">
        <f>Bull!AC183</f>
        <v>-1001.8983004337133</v>
      </c>
      <c r="AD308" s="329">
        <f>Bull!AD183</f>
        <v>-1068.0369744345571</v>
      </c>
      <c r="AE308" s="329">
        <f>Bull!AE183</f>
        <v>-1136.0117704555432</v>
      </c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</row>
    <row r="309" spans="1:82">
      <c r="A309" s="36" t="s">
        <v>202</v>
      </c>
      <c r="B309" s="92">
        <f>Bear!B183</f>
        <v>10.016999999999996</v>
      </c>
      <c r="C309" s="92">
        <f>Bear!C183</f>
        <v>-88.939000000000021</v>
      </c>
      <c r="D309" s="92">
        <f>Bear!D183</f>
        <v>-11.258999999999986</v>
      </c>
      <c r="E309" s="92">
        <f>Bear!E183</f>
        <v>-6.4039999999999964</v>
      </c>
      <c r="F309" s="92">
        <f>Bear!F183</f>
        <v>-154.28300000000002</v>
      </c>
      <c r="G309" s="92">
        <f>Bear!G183</f>
        <v>-248.66000000000008</v>
      </c>
      <c r="H309" s="92">
        <f>Bear!H183</f>
        <v>-366.27299999999991</v>
      </c>
      <c r="I309" s="92">
        <f>Bear!I183</f>
        <v>-627.41800000000012</v>
      </c>
      <c r="J309" s="92">
        <f>Bear!J183</f>
        <v>-20.990999999999985</v>
      </c>
      <c r="K309" s="92">
        <f>Bear!K183</f>
        <v>-28.842999999999961</v>
      </c>
      <c r="L309" s="92">
        <f>Bear!L183</f>
        <v>-232.71600000000001</v>
      </c>
      <c r="M309" s="92">
        <f>Bear!M183</f>
        <v>-43.287000000000035</v>
      </c>
      <c r="N309" s="92">
        <f>Bear!N183</f>
        <v>-137.86700000000019</v>
      </c>
      <c r="O309" s="92">
        <f>Bear!O183</f>
        <v>-743.29799999999977</v>
      </c>
      <c r="P309" s="92">
        <f>Bear!P183</f>
        <v>-730.25700000000006</v>
      </c>
      <c r="Q309" s="92">
        <f>Bear!Q183</f>
        <v>-1372.971</v>
      </c>
      <c r="R309" s="92">
        <f>Bear!R183</f>
        <v>-700.43899999999985</v>
      </c>
      <c r="S309" s="92">
        <f>Bear!S183</f>
        <v>-2070.5510000000004</v>
      </c>
      <c r="T309" s="329">
        <f>Bear!T183</f>
        <v>-2223.6880000000001</v>
      </c>
      <c r="U309" s="329">
        <f>Bear!U183</f>
        <v>-280</v>
      </c>
      <c r="V309" s="329">
        <f>Bear!V183</f>
        <v>-218.45200000000023</v>
      </c>
      <c r="W309" s="329">
        <f>Bear!W183</f>
        <v>-703.84900000000016</v>
      </c>
      <c r="X309" s="329">
        <f>Bear!X183</f>
        <v>-644.99300000000039</v>
      </c>
      <c r="Y309" s="329">
        <f>Bear!Y183</f>
        <v>-764.9150569514195</v>
      </c>
      <c r="Z309" s="329">
        <f>Bear!Z183</f>
        <v>-838.57912824765299</v>
      </c>
      <c r="AA309" s="329">
        <f>Bear!AA183</f>
        <v>-904.33843795629491</v>
      </c>
      <c r="AB309" s="329">
        <f>Bear!AB183</f>
        <v>-970.14922442829084</v>
      </c>
      <c r="AC309" s="329">
        <f>Bear!AC183</f>
        <v>-1085.0689403920733</v>
      </c>
      <c r="AD309" s="329">
        <f>Bear!AD183</f>
        <v>-1143.131188690928</v>
      </c>
      <c r="AE309" s="329">
        <f>Bear!AE183</f>
        <v>-1201.7819613367519</v>
      </c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</row>
    <row r="310" spans="1:82">
      <c r="A310" s="36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329"/>
      <c r="U310" s="329"/>
      <c r="V310" s="329"/>
      <c r="W310" s="329"/>
      <c r="X310" s="329"/>
      <c r="Y310" s="329"/>
      <c r="Z310" s="329"/>
      <c r="AA310" s="329"/>
      <c r="AB310" s="329"/>
      <c r="AC310" s="329"/>
      <c r="AD310" s="329"/>
      <c r="AE310" s="32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</row>
    <row r="311" spans="1:82">
      <c r="A311" s="242" t="s">
        <v>233</v>
      </c>
      <c r="B311" s="264">
        <v>2001</v>
      </c>
      <c r="C311" s="264">
        <v>2002</v>
      </c>
      <c r="D311" s="264">
        <v>2003</v>
      </c>
      <c r="E311" s="264">
        <v>2004</v>
      </c>
      <c r="F311" s="264">
        <v>2005</v>
      </c>
      <c r="G311" s="264">
        <v>2006</v>
      </c>
      <c r="H311" s="264">
        <v>2007</v>
      </c>
      <c r="I311" s="264">
        <v>2008</v>
      </c>
      <c r="J311" s="264">
        <f t="shared" ref="J311:R311" si="157">J$50</f>
        <v>2009</v>
      </c>
      <c r="K311" s="264">
        <f t="shared" si="157"/>
        <v>2010</v>
      </c>
      <c r="L311" s="264">
        <f t="shared" si="157"/>
        <v>2011</v>
      </c>
      <c r="M311" s="264">
        <f t="shared" si="157"/>
        <v>2012</v>
      </c>
      <c r="N311" s="264">
        <f t="shared" si="157"/>
        <v>2013</v>
      </c>
      <c r="O311" s="264">
        <f t="shared" si="157"/>
        <v>2014</v>
      </c>
      <c r="P311" s="264">
        <f t="shared" si="157"/>
        <v>2015</v>
      </c>
      <c r="Q311" s="264">
        <f t="shared" si="157"/>
        <v>2016</v>
      </c>
      <c r="R311" s="264">
        <f t="shared" si="157"/>
        <v>2017</v>
      </c>
      <c r="S311" s="264">
        <f t="shared" ref="S311:X311" si="158">S$6</f>
        <v>2018</v>
      </c>
      <c r="T311" s="264">
        <f t="shared" si="158"/>
        <v>2019</v>
      </c>
      <c r="U311" s="264">
        <f t="shared" si="158"/>
        <v>2020</v>
      </c>
      <c r="V311" s="264">
        <f t="shared" si="158"/>
        <v>2021</v>
      </c>
      <c r="W311" s="264">
        <f t="shared" si="158"/>
        <v>2022</v>
      </c>
      <c r="X311" s="264">
        <f t="shared" si="158"/>
        <v>2023</v>
      </c>
      <c r="Y311" s="594">
        <f t="shared" ref="Y311:AE311" si="159">Y$50</f>
        <v>2024</v>
      </c>
      <c r="Z311" s="594">
        <f t="shared" si="159"/>
        <v>2025</v>
      </c>
      <c r="AA311" s="594">
        <f t="shared" si="159"/>
        <v>2026</v>
      </c>
      <c r="AB311" s="594">
        <f t="shared" si="159"/>
        <v>2027</v>
      </c>
      <c r="AC311" s="594">
        <f t="shared" si="159"/>
        <v>2028</v>
      </c>
      <c r="AD311" s="594">
        <f t="shared" si="159"/>
        <v>2029</v>
      </c>
      <c r="AE311" s="594">
        <f t="shared" si="159"/>
        <v>2030</v>
      </c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</row>
    <row r="312" spans="1:82">
      <c r="A312" s="244" t="s">
        <v>200</v>
      </c>
      <c r="B312" s="245">
        <f>Base!B$182</f>
        <v>4.0478386069325231E-3</v>
      </c>
      <c r="C312" s="245">
        <f>Base!C$182</f>
        <v>-3.3843928040317883E-2</v>
      </c>
      <c r="D312" s="245">
        <f>Base!D$182</f>
        <v>-3.9209595293873412E-3</v>
      </c>
      <c r="E312" s="245">
        <f>Base!E$182</f>
        <v>-1.7267999678584381E-3</v>
      </c>
      <c r="F312" s="245">
        <f>Base!F$182</f>
        <v>-3.3070327738837807E-2</v>
      </c>
      <c r="G312" s="245">
        <f>Base!G$182</f>
        <v>-4.1261480236106082E-2</v>
      </c>
      <c r="H312" s="245">
        <f>Base!H$182</f>
        <v>-5.2434054270025635E-2</v>
      </c>
      <c r="I312" s="245">
        <f>Base!I$182</f>
        <v>-8.05741171357892E-2</v>
      </c>
      <c r="J312" s="245">
        <f>Base!J$182</f>
        <v>-2.4444860832219914E-3</v>
      </c>
      <c r="K312" s="245">
        <f>Base!K$182</f>
        <v>-3.2114003990451382E-3</v>
      </c>
      <c r="L312" s="245">
        <f>Base!L$182</f>
        <v>-2.175626728134725E-2</v>
      </c>
      <c r="M312" s="245">
        <f>Base!M$182</f>
        <v>-3.2018165151363096E-3</v>
      </c>
      <c r="N312" s="245">
        <f>Base!N$182</f>
        <v>-8.7742594906720268E-3</v>
      </c>
      <c r="O312" s="245">
        <f>Base!O$182</f>
        <v>-3.2600424863669278E-2</v>
      </c>
      <c r="P312" s="245">
        <f>Base!P$182</f>
        <v>-2.2616715067986078E-2</v>
      </c>
      <c r="Q312" s="245">
        <f>Base!Q$182</f>
        <v>-3.641652547339367E-2</v>
      </c>
      <c r="R312" s="245">
        <f>Base!R$182</f>
        <v>-1.6469632654763776E-2</v>
      </c>
      <c r="S312" s="245">
        <f>Base!S$182</f>
        <v>-4.485927047775258E-2</v>
      </c>
      <c r="T312" s="452">
        <f>Base!T$182</f>
        <v>-3.8237512999612297E-2</v>
      </c>
      <c r="U312" s="452">
        <f>Base!U$182</f>
        <v>-7.2735927358005895E-3</v>
      </c>
      <c r="V312" s="452">
        <f>Base!V$182</f>
        <v>-4.0924348647979293E-3</v>
      </c>
      <c r="W312" s="452">
        <f>Base!W$182</f>
        <v>-1.0225710525174557E-2</v>
      </c>
      <c r="X312" s="452">
        <f>Base!X$182</f>
        <v>-8.4610275855055862E-3</v>
      </c>
      <c r="Y312" s="452">
        <f>Base!Y$182</f>
        <v>-8.5551558155235637E-3</v>
      </c>
      <c r="Z312" s="452">
        <f>Base!Z$182</f>
        <v>-8.56283748714258E-3</v>
      </c>
      <c r="AA312" s="452">
        <f>Base!AA$182</f>
        <v>-8.6505520857758818E-3</v>
      </c>
      <c r="AB312" s="452">
        <f>Base!AB$182</f>
        <v>-8.7709984776418014E-3</v>
      </c>
      <c r="AC312" s="452">
        <f>Base!AC$182</f>
        <v>-8.7778143638752425E-3</v>
      </c>
      <c r="AD312" s="452">
        <f>Base!AD$182</f>
        <v>-8.7847365450783657E-3</v>
      </c>
      <c r="AE312" s="452">
        <f>Base!AE$182</f>
        <v>-8.7847604551879038E-3</v>
      </c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</row>
    <row r="313" spans="1:82">
      <c r="A313" s="244" t="s">
        <v>201</v>
      </c>
      <c r="B313" s="245">
        <f>Bull!B$182</f>
        <v>4.0478386069325231E-3</v>
      </c>
      <c r="C313" s="245">
        <f>Bull!C$182</f>
        <v>-3.3843928040317883E-2</v>
      </c>
      <c r="D313" s="245">
        <f>Bull!D$182</f>
        <v>-3.9209595293873412E-3</v>
      </c>
      <c r="E313" s="245">
        <f>Bull!E$182</f>
        <v>-1.7267999678584381E-3</v>
      </c>
      <c r="F313" s="245">
        <f>Bull!F$182</f>
        <v>-3.3070327738837807E-2</v>
      </c>
      <c r="G313" s="245">
        <f>Bull!G$182</f>
        <v>-4.1261480236106082E-2</v>
      </c>
      <c r="H313" s="245">
        <f>Bull!H$182</f>
        <v>-5.2434054270025635E-2</v>
      </c>
      <c r="I313" s="245">
        <f>Bull!I$182</f>
        <v>-8.05741171357892E-2</v>
      </c>
      <c r="J313" s="245">
        <f>Bull!J$182</f>
        <v>-2.4444860832219914E-3</v>
      </c>
      <c r="K313" s="245">
        <f>Bull!K$182</f>
        <v>-3.2114003990451382E-3</v>
      </c>
      <c r="L313" s="245">
        <f>Bull!L$182</f>
        <v>-2.175626728134725E-2</v>
      </c>
      <c r="M313" s="245">
        <f>Bull!M$182</f>
        <v>-3.2018165151363096E-3</v>
      </c>
      <c r="N313" s="245">
        <f>Bull!N$182</f>
        <v>-8.7742594906720268E-3</v>
      </c>
      <c r="O313" s="245">
        <f>Bull!O$182</f>
        <v>-3.2600424863669278E-2</v>
      </c>
      <c r="P313" s="245">
        <f>Bull!P$182</f>
        <v>-2.2616715067986078E-2</v>
      </c>
      <c r="Q313" s="245">
        <f>Bull!Q$182</f>
        <v>-3.641652547339367E-2</v>
      </c>
      <c r="R313" s="245">
        <f>Bull!R$182</f>
        <v>-1.6469632654763776E-2</v>
      </c>
      <c r="S313" s="245">
        <f>Bull!S$182</f>
        <v>-4.485927047775258E-2</v>
      </c>
      <c r="T313" s="452">
        <f>Bull!T$182</f>
        <v>-3.8237512999612297E-2</v>
      </c>
      <c r="U313" s="452">
        <f>Bull!U$182</f>
        <v>-7.2735927358005895E-3</v>
      </c>
      <c r="V313" s="452">
        <f>Bull!V$182</f>
        <v>-4.0924348647979293E-3</v>
      </c>
      <c r="W313" s="452">
        <f>Bull!W$182</f>
        <v>-1.0225710525174557E-2</v>
      </c>
      <c r="X313" s="452">
        <f>Bull!X$182</f>
        <v>-8.4610275855055862E-3</v>
      </c>
      <c r="Y313" s="452">
        <f>Bull!Y$182</f>
        <v>-8.3315933480370974E-3</v>
      </c>
      <c r="Z313" s="452">
        <f>Bull!Z$182</f>
        <v>-8.3306728511648182E-3</v>
      </c>
      <c r="AA313" s="452">
        <f>Bull!AA$182</f>
        <v>-8.4168838054885474E-3</v>
      </c>
      <c r="AB313" s="452">
        <f>Bull!AB$182</f>
        <v>-8.5353517899665176E-3</v>
      </c>
      <c r="AC313" s="452">
        <f>Bull!AC$182</f>
        <v>-8.9082079536744688E-3</v>
      </c>
      <c r="AD313" s="452">
        <f>Bull!AD$182</f>
        <v>-8.9126990690188007E-3</v>
      </c>
      <c r="AE313" s="452">
        <f>Bull!AE$182</f>
        <v>-8.9103082290653123E-3</v>
      </c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</row>
    <row r="314" spans="1:82">
      <c r="A314" s="244" t="s">
        <v>202</v>
      </c>
      <c r="B314" s="245">
        <f>Bear!B$182</f>
        <v>4.0478386069325231E-3</v>
      </c>
      <c r="C314" s="245">
        <f>Bear!C$182</f>
        <v>-3.3843928040317883E-2</v>
      </c>
      <c r="D314" s="245">
        <f>Bear!D$182</f>
        <v>-3.9209595293873412E-3</v>
      </c>
      <c r="E314" s="245">
        <f>Bear!E$182</f>
        <v>-1.7267999678584381E-3</v>
      </c>
      <c r="F314" s="245">
        <f>Bear!F$182</f>
        <v>-3.3070327738837807E-2</v>
      </c>
      <c r="G314" s="245">
        <f>Bear!G$182</f>
        <v>-4.1261480236106082E-2</v>
      </c>
      <c r="H314" s="245">
        <f>Bear!H$182</f>
        <v>-5.2434054270025635E-2</v>
      </c>
      <c r="I314" s="245">
        <f>Bear!I$182</f>
        <v>-8.05741171357892E-2</v>
      </c>
      <c r="J314" s="245">
        <f>Bear!J$182</f>
        <v>-2.4444860832219914E-3</v>
      </c>
      <c r="K314" s="245">
        <f>Bear!K$182</f>
        <v>-3.2114003990451382E-3</v>
      </c>
      <c r="L314" s="245">
        <f>Bear!L$182</f>
        <v>-2.175626728134725E-2</v>
      </c>
      <c r="M314" s="245">
        <f>Bear!M$182</f>
        <v>-3.2018165151363096E-3</v>
      </c>
      <c r="N314" s="245">
        <f>Bear!N$182</f>
        <v>-8.7742594906720268E-3</v>
      </c>
      <c r="O314" s="245">
        <f>Bear!O$182</f>
        <v>-3.2600424863669278E-2</v>
      </c>
      <c r="P314" s="245">
        <f>Bear!P$182</f>
        <v>-2.2616715067986078E-2</v>
      </c>
      <c r="Q314" s="245">
        <f>Bear!Q$182</f>
        <v>-3.641652547339367E-2</v>
      </c>
      <c r="R314" s="245">
        <f>Bear!R$182</f>
        <v>-1.6469632654763776E-2</v>
      </c>
      <c r="S314" s="245">
        <f>Bear!S$182</f>
        <v>-4.485927047775258E-2</v>
      </c>
      <c r="T314" s="452">
        <f>Bear!T$182</f>
        <v>-3.8237512999612297E-2</v>
      </c>
      <c r="U314" s="452">
        <f>Bear!U$182</f>
        <v>-7.2735927358005895E-3</v>
      </c>
      <c r="V314" s="452">
        <f>Bear!V$182</f>
        <v>-4.0924348647979293E-3</v>
      </c>
      <c r="W314" s="452">
        <f>Bear!W$182</f>
        <v>-1.0225710525174557E-2</v>
      </c>
      <c r="X314" s="452">
        <f>Bear!X$182</f>
        <v>-8.4610275855055862E-3</v>
      </c>
      <c r="Y314" s="452">
        <f>Bear!Y$182</f>
        <v>-9.7380581868239269E-3</v>
      </c>
      <c r="Z314" s="452">
        <f>Bear!Z$182</f>
        <v>-9.7508084988119203E-3</v>
      </c>
      <c r="AA314" s="452">
        <f>Bear!AA$182</f>
        <v>-9.8445297454662472E-3</v>
      </c>
      <c r="AB314" s="452">
        <f>Bear!AB$182</f>
        <v>-9.9724825174591376E-3</v>
      </c>
      <c r="AC314" s="452">
        <f>Bear!AC$182</f>
        <v>-1.0595347694445164E-2</v>
      </c>
      <c r="AD314" s="452">
        <f>Bear!AD$182</f>
        <v>-1.0605884202481578E-2</v>
      </c>
      <c r="AE314" s="452">
        <f>Bear!AE$182</f>
        <v>-1.0607488252642988E-2</v>
      </c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</row>
    <row r="315" spans="1:82">
      <c r="A315" s="36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329"/>
      <c r="U315" s="329"/>
      <c r="V315" s="329"/>
      <c r="W315" s="329"/>
      <c r="X315" s="329"/>
      <c r="Y315" s="329"/>
      <c r="Z315" s="329"/>
      <c r="AA315" s="329"/>
      <c r="AB315" s="329"/>
      <c r="AC315" s="329"/>
      <c r="AD315" s="329"/>
      <c r="AE315" s="32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</row>
    <row r="316" spans="1:82">
      <c r="A316" s="242" t="s">
        <v>294</v>
      </c>
      <c r="B316" s="264">
        <v>2001</v>
      </c>
      <c r="C316" s="264">
        <v>2002</v>
      </c>
      <c r="D316" s="264">
        <v>2003</v>
      </c>
      <c r="E316" s="264">
        <v>2004</v>
      </c>
      <c r="F316" s="264">
        <v>2005</v>
      </c>
      <c r="G316" s="264">
        <v>2006</v>
      </c>
      <c r="H316" s="264">
        <v>2007</v>
      </c>
      <c r="I316" s="264">
        <v>2008</v>
      </c>
      <c r="J316" s="264">
        <f t="shared" ref="J316:R316" si="160">J$50</f>
        <v>2009</v>
      </c>
      <c r="K316" s="264">
        <f t="shared" si="160"/>
        <v>2010</v>
      </c>
      <c r="L316" s="264">
        <f t="shared" si="160"/>
        <v>2011</v>
      </c>
      <c r="M316" s="264">
        <f t="shared" si="160"/>
        <v>2012</v>
      </c>
      <c r="N316" s="264">
        <f t="shared" si="160"/>
        <v>2013</v>
      </c>
      <c r="O316" s="264">
        <f t="shared" si="160"/>
        <v>2014</v>
      </c>
      <c r="P316" s="264">
        <f t="shared" si="160"/>
        <v>2015</v>
      </c>
      <c r="Q316" s="264">
        <f t="shared" si="160"/>
        <v>2016</v>
      </c>
      <c r="R316" s="264">
        <f t="shared" si="160"/>
        <v>2017</v>
      </c>
      <c r="S316" s="264">
        <f t="shared" ref="S316:X316" si="161">S$6</f>
        <v>2018</v>
      </c>
      <c r="T316" s="264">
        <f t="shared" si="161"/>
        <v>2019</v>
      </c>
      <c r="U316" s="264">
        <f t="shared" si="161"/>
        <v>2020</v>
      </c>
      <c r="V316" s="264">
        <f t="shared" si="161"/>
        <v>2021</v>
      </c>
      <c r="W316" s="264">
        <f t="shared" si="161"/>
        <v>2022</v>
      </c>
      <c r="X316" s="264">
        <f t="shared" si="161"/>
        <v>2023</v>
      </c>
      <c r="Y316" s="594">
        <f t="shared" ref="Y316:AE316" si="162">Y$50</f>
        <v>2024</v>
      </c>
      <c r="Z316" s="594">
        <f t="shared" si="162"/>
        <v>2025</v>
      </c>
      <c r="AA316" s="594">
        <f t="shared" si="162"/>
        <v>2026</v>
      </c>
      <c r="AB316" s="594">
        <f t="shared" si="162"/>
        <v>2027</v>
      </c>
      <c r="AC316" s="594">
        <f t="shared" si="162"/>
        <v>2028</v>
      </c>
      <c r="AD316" s="594">
        <f t="shared" si="162"/>
        <v>2029</v>
      </c>
      <c r="AE316" s="594">
        <f t="shared" si="162"/>
        <v>2030</v>
      </c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</row>
    <row r="317" spans="1:82">
      <c r="A317" s="36" t="s">
        <v>200</v>
      </c>
      <c r="B317" s="92">
        <f>Base!B154</f>
        <v>79.549000000000007</v>
      </c>
      <c r="C317" s="92">
        <f>Base!C154</f>
        <v>134.40600000000001</v>
      </c>
      <c r="D317" s="92">
        <f>Base!D154</f>
        <v>-127.19</v>
      </c>
      <c r="E317" s="92">
        <f>Base!E154</f>
        <v>69.669000000000011</v>
      </c>
      <c r="F317" s="92">
        <f>Base!F154</f>
        <v>-99.646000000000001</v>
      </c>
      <c r="G317" s="92">
        <f>Base!G154</f>
        <v>279.66800000000001</v>
      </c>
      <c r="H317" s="92">
        <f>Base!H154</f>
        <v>-212.05200000000005</v>
      </c>
      <c r="I317" s="92">
        <f>Base!I154</f>
        <v>-40.324999999999989</v>
      </c>
      <c r="J317" s="92">
        <f>Base!J154</f>
        <v>302.99300000000005</v>
      </c>
      <c r="K317" s="92">
        <f>Base!K154</f>
        <v>-77.469000000000008</v>
      </c>
      <c r="L317" s="92">
        <f>Base!L154</f>
        <v>22.838999999999942</v>
      </c>
      <c r="M317" s="92">
        <f>Base!M154</f>
        <v>-349.32</v>
      </c>
      <c r="N317" s="92">
        <f>Base!N154</f>
        <v>-290.34099999999995</v>
      </c>
      <c r="O317" s="92">
        <f>Base!O154</f>
        <v>71.646000000000043</v>
      </c>
      <c r="P317" s="92">
        <f>Base!P154</f>
        <v>-128.899</v>
      </c>
      <c r="Q317" s="92">
        <f>Base!Q154</f>
        <v>1044.1950000000002</v>
      </c>
      <c r="R317" s="92">
        <f>Base!R154</f>
        <v>-371.01099999999997</v>
      </c>
      <c r="S317" s="92">
        <f>Base!S154</f>
        <v>843.87400000000002</v>
      </c>
      <c r="T317" s="329">
        <f>Base!T154</f>
        <v>347.36900000000003</v>
      </c>
      <c r="U317" s="329">
        <f>Base!U154</f>
        <v>-1772.485999999999</v>
      </c>
      <c r="V317" s="329">
        <f>Base!V154</f>
        <v>2483.4550000000013</v>
      </c>
      <c r="W317" s="329">
        <f>Base!W154</f>
        <v>1631.2390000000016</v>
      </c>
      <c r="X317" s="329">
        <f>Base!X154</f>
        <v>443.18800000000329</v>
      </c>
      <c r="Y317" s="329">
        <f>Base!Y154</f>
        <v>-773.58491165174962</v>
      </c>
      <c r="Z317" s="329">
        <f>Base!Z154</f>
        <v>634.66077947221629</v>
      </c>
      <c r="AA317" s="329">
        <f>Base!AA154</f>
        <v>574.55869989775329</v>
      </c>
      <c r="AB317" s="329">
        <f>Base!AB154</f>
        <v>568.13509567178198</v>
      </c>
      <c r="AC317" s="329">
        <f>Base!AC154</f>
        <v>497.36481170680008</v>
      </c>
      <c r="AD317" s="329">
        <f>Base!AD154</f>
        <v>524.39497044962081</v>
      </c>
      <c r="AE317" s="329">
        <f>Base!AE154</f>
        <v>536.46152748542272</v>
      </c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</row>
    <row r="318" spans="1:82">
      <c r="A318" s="36" t="s">
        <v>201</v>
      </c>
      <c r="B318" s="92">
        <f>Bull!B154</f>
        <v>79.549000000000007</v>
      </c>
      <c r="C318" s="92">
        <f>Bull!C154</f>
        <v>134.40600000000001</v>
      </c>
      <c r="D318" s="92">
        <f>Bull!D154</f>
        <v>-127.19</v>
      </c>
      <c r="E318" s="92">
        <f>Bull!E154</f>
        <v>69.669000000000011</v>
      </c>
      <c r="F318" s="92">
        <f>Bull!F154</f>
        <v>-99.646000000000001</v>
      </c>
      <c r="G318" s="92">
        <f>Bull!G154</f>
        <v>279.66800000000001</v>
      </c>
      <c r="H318" s="92">
        <f>Bull!H154</f>
        <v>-212.05200000000005</v>
      </c>
      <c r="I318" s="92">
        <f>Bull!I154</f>
        <v>-40.324999999999989</v>
      </c>
      <c r="J318" s="92">
        <f>Bull!J154</f>
        <v>302.99300000000005</v>
      </c>
      <c r="K318" s="92">
        <f>Bull!K154</f>
        <v>-77.469000000000008</v>
      </c>
      <c r="L318" s="92">
        <f>Bull!L154</f>
        <v>22.838999999999942</v>
      </c>
      <c r="M318" s="92">
        <f>Bull!M154</f>
        <v>-349.32</v>
      </c>
      <c r="N318" s="92">
        <f>Bull!N154</f>
        <v>-290.34099999999995</v>
      </c>
      <c r="O318" s="92">
        <f>Bull!O154</f>
        <v>71.646000000000043</v>
      </c>
      <c r="P318" s="92">
        <f>Bull!P154</f>
        <v>-128.899</v>
      </c>
      <c r="Q318" s="92">
        <f>Bull!Q154</f>
        <v>1044.1950000000002</v>
      </c>
      <c r="R318" s="92">
        <f>Bull!R154</f>
        <v>-371.01099999999997</v>
      </c>
      <c r="S318" s="92">
        <f>Bull!S154</f>
        <v>843.87400000000002</v>
      </c>
      <c r="T318" s="329">
        <f>Bull!T154</f>
        <v>347.36900000000003</v>
      </c>
      <c r="U318" s="329">
        <f>Bull!U154</f>
        <v>-1772.485999999999</v>
      </c>
      <c r="V318" s="329">
        <f>Bull!V154</f>
        <v>2483.4550000000013</v>
      </c>
      <c r="W318" s="329">
        <f>Bull!W154</f>
        <v>1631.2390000000016</v>
      </c>
      <c r="X318" s="329">
        <f>Bull!X154</f>
        <v>443.18800000000329</v>
      </c>
      <c r="Y318" s="329">
        <f>Bull!Y154</f>
        <v>-734.24809137255431</v>
      </c>
      <c r="Z318" s="329">
        <f>Bull!Z154</f>
        <v>674.6335650040005</v>
      </c>
      <c r="AA318" s="329">
        <f>Bull!AA154</f>
        <v>621.66246352631197</v>
      </c>
      <c r="AB318" s="329">
        <f>Bull!AB154</f>
        <v>617.57000948664336</v>
      </c>
      <c r="AC318" s="329">
        <f>Bull!AC154</f>
        <v>666.65249986869867</v>
      </c>
      <c r="AD318" s="329">
        <f>Bull!AD154</f>
        <v>577.68070546453646</v>
      </c>
      <c r="AE318" s="329">
        <f>Bull!AE154</f>
        <v>593.71810385417302</v>
      </c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</row>
    <row r="319" spans="1:82">
      <c r="A319" s="36" t="s">
        <v>202</v>
      </c>
      <c r="B319" s="92">
        <f>Bear!B154</f>
        <v>79.549000000000007</v>
      </c>
      <c r="C319" s="92">
        <f>Bear!C154</f>
        <v>134.40600000000001</v>
      </c>
      <c r="D319" s="92">
        <f>Bear!D154</f>
        <v>-127.19</v>
      </c>
      <c r="E319" s="92">
        <f>Bear!E154</f>
        <v>69.669000000000011</v>
      </c>
      <c r="F319" s="92">
        <f>Bear!F154</f>
        <v>-99.646000000000001</v>
      </c>
      <c r="G319" s="92">
        <f>Bear!G154</f>
        <v>279.66800000000001</v>
      </c>
      <c r="H319" s="92">
        <f>Bear!H154</f>
        <v>-212.05200000000005</v>
      </c>
      <c r="I319" s="92">
        <f>Bear!I154</f>
        <v>-40.324999999999989</v>
      </c>
      <c r="J319" s="92">
        <f>Bear!J154</f>
        <v>302.99300000000005</v>
      </c>
      <c r="K319" s="92">
        <f>Bear!K154</f>
        <v>-77.469000000000008</v>
      </c>
      <c r="L319" s="92">
        <f>Bear!L154</f>
        <v>22.838999999999942</v>
      </c>
      <c r="M319" s="92">
        <f>Bear!M154</f>
        <v>-349.32</v>
      </c>
      <c r="N319" s="92">
        <f>Bear!N154</f>
        <v>-290.34099999999995</v>
      </c>
      <c r="O319" s="92">
        <f>Bear!O154</f>
        <v>71.646000000000043</v>
      </c>
      <c r="P319" s="92">
        <f>Bear!P154</f>
        <v>-128.899</v>
      </c>
      <c r="Q319" s="92">
        <f>Bear!Q154</f>
        <v>1044.1950000000002</v>
      </c>
      <c r="R319" s="92">
        <f>Bear!R154</f>
        <v>-371.01099999999997</v>
      </c>
      <c r="S319" s="92">
        <f>Bear!S154</f>
        <v>843.87400000000002</v>
      </c>
      <c r="T319" s="329">
        <f>Bear!T154</f>
        <v>347.36900000000003</v>
      </c>
      <c r="U319" s="329">
        <f>Bear!U154</f>
        <v>-1772.485999999999</v>
      </c>
      <c r="V319" s="329">
        <f>Bear!V154</f>
        <v>2483.4550000000013</v>
      </c>
      <c r="W319" s="329">
        <f>Bear!W154</f>
        <v>1631.2390000000016</v>
      </c>
      <c r="X319" s="329">
        <f>Bear!X154</f>
        <v>443.18800000000329</v>
      </c>
      <c r="Y319" s="329">
        <f>Bear!Y154</f>
        <v>-798.33017098079961</v>
      </c>
      <c r="Z319" s="329">
        <f>Bear!Z154</f>
        <v>535.67677535936718</v>
      </c>
      <c r="AA319" s="329">
        <f>Bear!AA154</f>
        <v>465.76018732989814</v>
      </c>
      <c r="AB319" s="329">
        <f>Bear!AB154</f>
        <v>459.60016367353319</v>
      </c>
      <c r="AC319" s="329">
        <f>Bear!AC154</f>
        <v>596.36927271044487</v>
      </c>
      <c r="AD319" s="329">
        <f>Bear!AD154</f>
        <v>436.8450266316845</v>
      </c>
      <c r="AE319" s="329">
        <f>Bear!AE154</f>
        <v>441.27292843636133</v>
      </c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</row>
    <row r="320" spans="1:82">
      <c r="A320" s="36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329"/>
      <c r="U320" s="329"/>
      <c r="V320" s="329"/>
      <c r="W320" s="329"/>
      <c r="X320" s="329"/>
      <c r="Y320" s="329"/>
      <c r="Z320" s="329"/>
      <c r="AA320" s="329"/>
      <c r="AB320" s="329"/>
      <c r="AC320" s="329"/>
      <c r="AD320" s="329"/>
      <c r="AE320" s="32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</row>
    <row r="321" spans="1:82">
      <c r="A321" s="242" t="s">
        <v>910</v>
      </c>
      <c r="B321" s="264">
        <v>2001</v>
      </c>
      <c r="C321" s="264">
        <v>2002</v>
      </c>
      <c r="D321" s="264">
        <v>2003</v>
      </c>
      <c r="E321" s="264">
        <v>2004</v>
      </c>
      <c r="F321" s="264">
        <v>2005</v>
      </c>
      <c r="G321" s="264">
        <v>2006</v>
      </c>
      <c r="H321" s="264">
        <v>2007</v>
      </c>
      <c r="I321" s="264">
        <v>2008</v>
      </c>
      <c r="J321" s="264">
        <f t="shared" ref="J321:R321" si="163">J$50</f>
        <v>2009</v>
      </c>
      <c r="K321" s="264">
        <f t="shared" si="163"/>
        <v>2010</v>
      </c>
      <c r="L321" s="264">
        <f t="shared" si="163"/>
        <v>2011</v>
      </c>
      <c r="M321" s="264">
        <f t="shared" si="163"/>
        <v>2012</v>
      </c>
      <c r="N321" s="264">
        <f t="shared" si="163"/>
        <v>2013</v>
      </c>
      <c r="O321" s="264">
        <f t="shared" si="163"/>
        <v>2014</v>
      </c>
      <c r="P321" s="264">
        <f t="shared" si="163"/>
        <v>2015</v>
      </c>
      <c r="Q321" s="264">
        <f t="shared" si="163"/>
        <v>2016</v>
      </c>
      <c r="R321" s="264">
        <f t="shared" si="163"/>
        <v>2017</v>
      </c>
      <c r="S321" s="264">
        <f t="shared" ref="S321:X321" si="164">S$6</f>
        <v>2018</v>
      </c>
      <c r="T321" s="264">
        <f t="shared" si="164"/>
        <v>2019</v>
      </c>
      <c r="U321" s="264">
        <f t="shared" si="164"/>
        <v>2020</v>
      </c>
      <c r="V321" s="264">
        <f t="shared" si="164"/>
        <v>2021</v>
      </c>
      <c r="W321" s="264">
        <f t="shared" si="164"/>
        <v>2022</v>
      </c>
      <c r="X321" s="264">
        <f t="shared" si="164"/>
        <v>2023</v>
      </c>
      <c r="Y321" s="594">
        <f t="shared" ref="Y321:AE321" si="165">Y$50</f>
        <v>2024</v>
      </c>
      <c r="Z321" s="594">
        <f t="shared" si="165"/>
        <v>2025</v>
      </c>
      <c r="AA321" s="594">
        <f t="shared" si="165"/>
        <v>2026</v>
      </c>
      <c r="AB321" s="594">
        <f t="shared" si="165"/>
        <v>2027</v>
      </c>
      <c r="AC321" s="594">
        <f t="shared" si="165"/>
        <v>2028</v>
      </c>
      <c r="AD321" s="594">
        <f t="shared" si="165"/>
        <v>2029</v>
      </c>
      <c r="AE321" s="594">
        <f t="shared" si="165"/>
        <v>2030</v>
      </c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</row>
    <row r="322" spans="1:82">
      <c r="A322" s="36" t="s">
        <v>546</v>
      </c>
      <c r="B322" s="92" t="e">
        <f t="shared" ref="B322:Z322" si="166">B336</f>
        <v>#N/A</v>
      </c>
      <c r="C322" s="92" t="e">
        <f t="shared" si="166"/>
        <v>#N/A</v>
      </c>
      <c r="D322" s="92" t="e">
        <f t="shared" si="166"/>
        <v>#N/A</v>
      </c>
      <c r="E322" s="92" t="e">
        <f t="shared" si="166"/>
        <v>#N/A</v>
      </c>
      <c r="F322" s="92" t="e">
        <f t="shared" si="166"/>
        <v>#N/A</v>
      </c>
      <c r="G322" s="92" t="e">
        <f t="shared" si="166"/>
        <v>#N/A</v>
      </c>
      <c r="H322" s="92" t="e">
        <f t="shared" si="166"/>
        <v>#N/A</v>
      </c>
      <c r="I322" s="92" t="e">
        <f t="shared" si="166"/>
        <v>#N/A</v>
      </c>
      <c r="J322" s="92">
        <f t="shared" si="166"/>
        <v>8.2202182489532625</v>
      </c>
      <c r="K322" s="92">
        <f t="shared" si="166"/>
        <v>9.0849293186530105</v>
      </c>
      <c r="L322" s="92">
        <f t="shared" si="166"/>
        <v>11.820165459058964</v>
      </c>
      <c r="M322" s="92">
        <f t="shared" si="166"/>
        <v>13.293232614393983</v>
      </c>
      <c r="N322" s="92">
        <f t="shared" si="166"/>
        <v>12.830253611976191</v>
      </c>
      <c r="O322" s="92">
        <f t="shared" si="166"/>
        <v>10.197813790876598</v>
      </c>
      <c r="P322" s="92">
        <f t="shared" si="166"/>
        <v>9.0911310400536927</v>
      </c>
      <c r="Q322" s="92">
        <f t="shared" si="166"/>
        <v>8.1743864382823848</v>
      </c>
      <c r="R322" s="92">
        <f t="shared" si="166"/>
        <v>9.689369707141557</v>
      </c>
      <c r="S322" s="92">
        <f t="shared" si="166"/>
        <v>7.4549084497175215</v>
      </c>
      <c r="T322" s="329">
        <f t="shared" si="166"/>
        <v>8.4616329100824235</v>
      </c>
      <c r="U322" s="329">
        <f t="shared" si="166"/>
        <v>13.591178003005037</v>
      </c>
      <c r="V322" s="329">
        <f t="shared" si="166"/>
        <v>9.4212511845486091</v>
      </c>
      <c r="W322" s="329">
        <f t="shared" si="166"/>
        <v>9.5398224615827516</v>
      </c>
      <c r="X322" s="329">
        <f t="shared" si="166"/>
        <v>10.59735659842536</v>
      </c>
      <c r="Y322" s="329">
        <f t="shared" si="166"/>
        <v>10.59735659842536</v>
      </c>
      <c r="Z322" s="329">
        <f t="shared" si="166"/>
        <v>10.59735659842536</v>
      </c>
      <c r="AA322" s="329">
        <f>AA336</f>
        <v>10.645177771278176</v>
      </c>
      <c r="AB322" s="329">
        <f>AB336</f>
        <v>9.292510595567963</v>
      </c>
      <c r="AC322" s="329">
        <f>AC336</f>
        <v>11.047235091325753</v>
      </c>
      <c r="AD322" s="329">
        <f>AD336</f>
        <v>10.59735659842536</v>
      </c>
      <c r="AE322" s="329">
        <f>AE336</f>
        <v>10.645177771278176</v>
      </c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</row>
    <row r="323" spans="1:82">
      <c r="A323" s="36" t="s">
        <v>345</v>
      </c>
      <c r="B323" s="92" t="e">
        <f t="shared" ref="B323:Z323" si="167">B341</f>
        <v>#N/A</v>
      </c>
      <c r="C323" s="92" t="e">
        <f t="shared" si="167"/>
        <v>#N/A</v>
      </c>
      <c r="D323" s="92" t="e">
        <f t="shared" si="167"/>
        <v>#N/A</v>
      </c>
      <c r="E323" s="92" t="e">
        <f t="shared" si="167"/>
        <v>#N/A</v>
      </c>
      <c r="F323" s="92" t="e">
        <f t="shared" si="167"/>
        <v>#N/A</v>
      </c>
      <c r="G323" s="92" t="e">
        <f t="shared" si="167"/>
        <v>#N/A</v>
      </c>
      <c r="H323" s="92" t="e">
        <f t="shared" si="167"/>
        <v>#N/A</v>
      </c>
      <c r="I323" s="92" t="e">
        <f t="shared" si="167"/>
        <v>#N/A</v>
      </c>
      <c r="J323" s="92" t="e">
        <f t="shared" si="167"/>
        <v>#N/A</v>
      </c>
      <c r="K323" s="92">
        <f t="shared" si="167"/>
        <v>35.907521507087118</v>
      </c>
      <c r="L323" s="92">
        <f t="shared" si="167"/>
        <v>34.227243911458608</v>
      </c>
      <c r="M323" s="92">
        <f t="shared" si="167"/>
        <v>39.830772051255664</v>
      </c>
      <c r="N323" s="92">
        <f t="shared" si="167"/>
        <v>40.042420461634435</v>
      </c>
      <c r="O323" s="92">
        <f t="shared" si="167"/>
        <v>38.613988441703711</v>
      </c>
      <c r="P323" s="92">
        <f t="shared" si="167"/>
        <v>44.543919574165464</v>
      </c>
      <c r="Q323" s="92">
        <f t="shared" si="167"/>
        <v>43.622900083656674</v>
      </c>
      <c r="R323" s="92">
        <f t="shared" si="167"/>
        <v>51.448674090994807</v>
      </c>
      <c r="S323" s="92">
        <f t="shared" si="167"/>
        <v>49.329405636391606</v>
      </c>
      <c r="T323" s="329">
        <f t="shared" si="167"/>
        <v>35.748529376316277</v>
      </c>
      <c r="U323" s="329">
        <f t="shared" si="167"/>
        <v>44.372978008225544</v>
      </c>
      <c r="V323" s="329">
        <f t="shared" si="167"/>
        <v>35.163561219928091</v>
      </c>
      <c r="W323" s="329">
        <f t="shared" si="167"/>
        <v>40.930760114319909</v>
      </c>
      <c r="X323" s="329">
        <f t="shared" si="167"/>
        <v>38.108210079870894</v>
      </c>
      <c r="Y323" s="329">
        <f t="shared" si="167"/>
        <v>38.108210079870894</v>
      </c>
      <c r="Z323" s="329">
        <f t="shared" si="167"/>
        <v>38.108210079870894</v>
      </c>
      <c r="AA323" s="329">
        <f>AA341</f>
        <v>38.909099752709913</v>
      </c>
      <c r="AB323" s="329">
        <f>AB341</f>
        <v>43.203978265250043</v>
      </c>
      <c r="AC323" s="329">
        <f>AC341</f>
        <v>41.391077513027689</v>
      </c>
      <c r="AD323" s="329">
        <f>AD341</f>
        <v>38.108210079870894</v>
      </c>
      <c r="AE323" s="329">
        <f>AE341</f>
        <v>38.909099752709913</v>
      </c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</row>
    <row r="324" spans="1:82">
      <c r="A324" s="36" t="s">
        <v>544</v>
      </c>
      <c r="B324" s="92" t="e">
        <f t="shared" ref="B324:Z324" si="168">B346</f>
        <v>#N/A</v>
      </c>
      <c r="C324" s="92" t="e">
        <f t="shared" si="168"/>
        <v>#N/A</v>
      </c>
      <c r="D324" s="92" t="e">
        <f t="shared" si="168"/>
        <v>#N/A</v>
      </c>
      <c r="E324" s="92" t="e">
        <f t="shared" si="168"/>
        <v>#N/A</v>
      </c>
      <c r="F324" s="92" t="e">
        <f t="shared" si="168"/>
        <v>#N/A</v>
      </c>
      <c r="G324" s="92" t="e">
        <f t="shared" si="168"/>
        <v>#N/A</v>
      </c>
      <c r="H324" s="92" t="e">
        <f t="shared" si="168"/>
        <v>#N/A</v>
      </c>
      <c r="I324" s="92" t="e">
        <f t="shared" si="168"/>
        <v>#N/A</v>
      </c>
      <c r="J324" s="92" t="e">
        <f t="shared" si="168"/>
        <v>#N/A</v>
      </c>
      <c r="K324" s="92">
        <f t="shared" si="168"/>
        <v>72.416143026517389</v>
      </c>
      <c r="L324" s="92">
        <f t="shared" si="168"/>
        <v>86.722715712097084</v>
      </c>
      <c r="M324" s="92">
        <f t="shared" si="168"/>
        <v>81.747471953478808</v>
      </c>
      <c r="N324" s="92">
        <f t="shared" si="168"/>
        <v>87.870555208983149</v>
      </c>
      <c r="O324" s="92">
        <f t="shared" si="168"/>
        <v>98.587213172212756</v>
      </c>
      <c r="P324" s="92">
        <f t="shared" si="168"/>
        <v>97.399661659806483</v>
      </c>
      <c r="Q324" s="92">
        <f t="shared" si="168"/>
        <v>108.04832580505318</v>
      </c>
      <c r="R324" s="92">
        <f t="shared" si="168"/>
        <v>101.39334575177509</v>
      </c>
      <c r="S324" s="92">
        <f t="shared" si="168"/>
        <v>121.35418425103828</v>
      </c>
      <c r="T324" s="329">
        <f t="shared" si="168"/>
        <v>109.4876877394311</v>
      </c>
      <c r="U324" s="329">
        <f t="shared" si="168"/>
        <v>98.838203177778041</v>
      </c>
      <c r="V324" s="329">
        <f t="shared" si="168"/>
        <v>69.639709712790989</v>
      </c>
      <c r="W324" s="329">
        <f t="shared" si="168"/>
        <v>79.570546365300657</v>
      </c>
      <c r="X324" s="329">
        <f t="shared" si="168"/>
        <v>79.909515266845375</v>
      </c>
      <c r="Y324" s="329">
        <f t="shared" si="168"/>
        <v>79.909515266845375</v>
      </c>
      <c r="Z324" s="329">
        <f t="shared" si="168"/>
        <v>79.909515266845375</v>
      </c>
      <c r="AA324" s="329">
        <f>AA346</f>
        <v>81.023400778375972</v>
      </c>
      <c r="AB324" s="329">
        <f>AB346</f>
        <v>75.447591611049361</v>
      </c>
      <c r="AC324" s="329">
        <f>AC346</f>
        <v>76.858747787095623</v>
      </c>
      <c r="AD324" s="329">
        <f>AD346</f>
        <v>79.909515266845375</v>
      </c>
      <c r="AE324" s="329">
        <f>AE346</f>
        <v>81.023400778375972</v>
      </c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</row>
    <row r="325" spans="1:82">
      <c r="A325" s="36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329"/>
      <c r="U325" s="329"/>
      <c r="V325" s="329"/>
      <c r="W325" s="329"/>
      <c r="X325" s="329"/>
      <c r="Y325" s="329"/>
      <c r="Z325" s="329"/>
      <c r="AA325" s="329"/>
      <c r="AB325" s="329"/>
      <c r="AC325" s="329"/>
      <c r="AD325" s="329"/>
      <c r="AE325" s="32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</row>
    <row r="326" spans="1:82">
      <c r="A326" s="242" t="s">
        <v>522</v>
      </c>
      <c r="B326" s="264">
        <v>2001</v>
      </c>
      <c r="C326" s="264">
        <v>2002</v>
      </c>
      <c r="D326" s="264">
        <v>2003</v>
      </c>
      <c r="E326" s="264">
        <v>2004</v>
      </c>
      <c r="F326" s="264">
        <v>2005</v>
      </c>
      <c r="G326" s="264">
        <v>2006</v>
      </c>
      <c r="H326" s="264">
        <v>2007</v>
      </c>
      <c r="I326" s="264">
        <v>2008</v>
      </c>
      <c r="J326" s="264">
        <f t="shared" ref="J326:R326" si="169">J$50</f>
        <v>2009</v>
      </c>
      <c r="K326" s="264">
        <f t="shared" si="169"/>
        <v>2010</v>
      </c>
      <c r="L326" s="264">
        <f t="shared" si="169"/>
        <v>2011</v>
      </c>
      <c r="M326" s="264">
        <f t="shared" si="169"/>
        <v>2012</v>
      </c>
      <c r="N326" s="264">
        <f t="shared" si="169"/>
        <v>2013</v>
      </c>
      <c r="O326" s="264">
        <f t="shared" si="169"/>
        <v>2014</v>
      </c>
      <c r="P326" s="264">
        <f t="shared" si="169"/>
        <v>2015</v>
      </c>
      <c r="Q326" s="264">
        <f t="shared" si="169"/>
        <v>2016</v>
      </c>
      <c r="R326" s="264">
        <f t="shared" si="169"/>
        <v>2017</v>
      </c>
      <c r="S326" s="264">
        <f t="shared" ref="S326:X326" si="170">S$6</f>
        <v>2018</v>
      </c>
      <c r="T326" s="264">
        <f t="shared" si="170"/>
        <v>2019</v>
      </c>
      <c r="U326" s="264">
        <f t="shared" si="170"/>
        <v>2020</v>
      </c>
      <c r="V326" s="264">
        <f t="shared" si="170"/>
        <v>2021</v>
      </c>
      <c r="W326" s="264">
        <f t="shared" si="170"/>
        <v>2022</v>
      </c>
      <c r="X326" s="264">
        <f t="shared" si="170"/>
        <v>2023</v>
      </c>
      <c r="Y326" s="594">
        <f t="shared" ref="Y326:AE326" si="171">Y$50</f>
        <v>2024</v>
      </c>
      <c r="Z326" s="594">
        <f t="shared" si="171"/>
        <v>2025</v>
      </c>
      <c r="AA326" s="594">
        <f t="shared" si="171"/>
        <v>2026</v>
      </c>
      <c r="AB326" s="594">
        <f t="shared" si="171"/>
        <v>2027</v>
      </c>
      <c r="AC326" s="594">
        <f t="shared" si="171"/>
        <v>2028</v>
      </c>
      <c r="AD326" s="594">
        <f t="shared" si="171"/>
        <v>2029</v>
      </c>
      <c r="AE326" s="594">
        <f t="shared" si="171"/>
        <v>2030</v>
      </c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</row>
    <row r="327" spans="1:82">
      <c r="A327" s="244" t="s">
        <v>200</v>
      </c>
      <c r="B327" s="245">
        <f t="shared" ref="B327:Z327" si="172">B307/B51</f>
        <v>4.0478386069325231E-3</v>
      </c>
      <c r="C327" s="245">
        <f t="shared" si="172"/>
        <v>-3.3843928040317883E-2</v>
      </c>
      <c r="D327" s="245">
        <f t="shared" si="172"/>
        <v>-3.9209595293873412E-3</v>
      </c>
      <c r="E327" s="245">
        <f t="shared" si="172"/>
        <v>-1.7267999678584381E-3</v>
      </c>
      <c r="F327" s="245">
        <f t="shared" si="172"/>
        <v>-3.3070327738837807E-2</v>
      </c>
      <c r="G327" s="245">
        <f t="shared" si="172"/>
        <v>-4.1261480236106082E-2</v>
      </c>
      <c r="H327" s="245">
        <f t="shared" si="172"/>
        <v>-5.2434054270025635E-2</v>
      </c>
      <c r="I327" s="245">
        <f t="shared" si="172"/>
        <v>-8.05741171357892E-2</v>
      </c>
      <c r="J327" s="245">
        <f t="shared" si="172"/>
        <v>-2.4444860832219914E-3</v>
      </c>
      <c r="K327" s="245">
        <f t="shared" si="172"/>
        <v>-3.2114003990451382E-3</v>
      </c>
      <c r="L327" s="245">
        <f t="shared" si="172"/>
        <v>-2.175626728134725E-2</v>
      </c>
      <c r="M327" s="245">
        <f t="shared" si="172"/>
        <v>-3.2018165151363096E-3</v>
      </c>
      <c r="N327" s="245">
        <f t="shared" si="172"/>
        <v>-8.7742594906720268E-3</v>
      </c>
      <c r="O327" s="245">
        <f t="shared" si="172"/>
        <v>-3.2600424863669278E-2</v>
      </c>
      <c r="P327" s="245">
        <f t="shared" si="172"/>
        <v>-2.2616715067986078E-2</v>
      </c>
      <c r="Q327" s="245">
        <f t="shared" si="172"/>
        <v>-3.641652547339367E-2</v>
      </c>
      <c r="R327" s="245">
        <f t="shared" si="172"/>
        <v>-1.6469632654763776E-2</v>
      </c>
      <c r="S327" s="245">
        <f t="shared" si="172"/>
        <v>-4.485927047775258E-2</v>
      </c>
      <c r="T327" s="452">
        <f t="shared" si="172"/>
        <v>-3.8237512999612297E-2</v>
      </c>
      <c r="U327" s="452">
        <f t="shared" si="172"/>
        <v>-7.2735927358005895E-3</v>
      </c>
      <c r="V327" s="452">
        <f t="shared" si="172"/>
        <v>-4.0924348647979293E-3</v>
      </c>
      <c r="W327" s="452">
        <f t="shared" si="172"/>
        <v>-1.0225710525174557E-2</v>
      </c>
      <c r="X327" s="452">
        <f t="shared" si="172"/>
        <v>-8.4610275855055862E-3</v>
      </c>
      <c r="Y327" s="452">
        <f t="shared" si="172"/>
        <v>-8.5551558155235637E-3</v>
      </c>
      <c r="Z327" s="452">
        <f t="shared" si="172"/>
        <v>-8.56283748714258E-3</v>
      </c>
      <c r="AA327" s="452">
        <f t="shared" ref="AA327:AE329" si="173">AA307/AA51</f>
        <v>-8.6505520857758818E-3</v>
      </c>
      <c r="AB327" s="452">
        <f t="shared" si="173"/>
        <v>-8.7709984776418014E-3</v>
      </c>
      <c r="AC327" s="452">
        <f t="shared" si="173"/>
        <v>-8.7778143638752425E-3</v>
      </c>
      <c r="AD327" s="452">
        <f t="shared" si="173"/>
        <v>-8.7847365450783657E-3</v>
      </c>
      <c r="AE327" s="452">
        <f t="shared" si="173"/>
        <v>-8.7847604551879038E-3</v>
      </c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</row>
    <row r="328" spans="1:82">
      <c r="A328" s="244" t="s">
        <v>201</v>
      </c>
      <c r="B328" s="245">
        <f t="shared" ref="B328:Z328" si="174">B308/B52</f>
        <v>4.0478386069325231E-3</v>
      </c>
      <c r="C328" s="245">
        <f t="shared" si="174"/>
        <v>-3.3843928040317883E-2</v>
      </c>
      <c r="D328" s="245">
        <f t="shared" si="174"/>
        <v>-3.9209595293873412E-3</v>
      </c>
      <c r="E328" s="245">
        <f t="shared" si="174"/>
        <v>-1.7267999678584381E-3</v>
      </c>
      <c r="F328" s="245">
        <f t="shared" si="174"/>
        <v>-3.3070327738837807E-2</v>
      </c>
      <c r="G328" s="245">
        <f t="shared" si="174"/>
        <v>-4.1261480236106082E-2</v>
      </c>
      <c r="H328" s="245">
        <f t="shared" si="174"/>
        <v>-5.2434054270025635E-2</v>
      </c>
      <c r="I328" s="245">
        <f t="shared" si="174"/>
        <v>-8.05741171357892E-2</v>
      </c>
      <c r="J328" s="245">
        <f t="shared" si="174"/>
        <v>-2.4444860832219914E-3</v>
      </c>
      <c r="K328" s="245">
        <f t="shared" si="174"/>
        <v>-3.2114003990451382E-3</v>
      </c>
      <c r="L328" s="245">
        <f t="shared" si="174"/>
        <v>-2.175626728134725E-2</v>
      </c>
      <c r="M328" s="245">
        <f t="shared" si="174"/>
        <v>-3.2018165151363096E-3</v>
      </c>
      <c r="N328" s="245">
        <f t="shared" si="174"/>
        <v>-8.7742594906720268E-3</v>
      </c>
      <c r="O328" s="245">
        <f t="shared" si="174"/>
        <v>-3.2600424863669278E-2</v>
      </c>
      <c r="P328" s="245">
        <f t="shared" si="174"/>
        <v>-2.2616715067986078E-2</v>
      </c>
      <c r="Q328" s="245">
        <f t="shared" si="174"/>
        <v>-3.641652547339367E-2</v>
      </c>
      <c r="R328" s="245">
        <f t="shared" si="174"/>
        <v>-1.6469632654763776E-2</v>
      </c>
      <c r="S328" s="245">
        <f t="shared" si="174"/>
        <v>-4.485927047775258E-2</v>
      </c>
      <c r="T328" s="452">
        <f t="shared" si="174"/>
        <v>-3.8237512999612297E-2</v>
      </c>
      <c r="U328" s="452">
        <f t="shared" si="174"/>
        <v>-7.2735927358005895E-3</v>
      </c>
      <c r="V328" s="452">
        <f t="shared" si="174"/>
        <v>-4.0924348647979293E-3</v>
      </c>
      <c r="W328" s="452">
        <f t="shared" si="174"/>
        <v>-1.0225710525174557E-2</v>
      </c>
      <c r="X328" s="452">
        <f t="shared" si="174"/>
        <v>-8.4610275855055862E-3</v>
      </c>
      <c r="Y328" s="452">
        <f t="shared" si="174"/>
        <v>-8.3315933480370974E-3</v>
      </c>
      <c r="Z328" s="452">
        <f t="shared" si="174"/>
        <v>-8.3306728511648182E-3</v>
      </c>
      <c r="AA328" s="452">
        <f t="shared" si="173"/>
        <v>-8.4168838054885474E-3</v>
      </c>
      <c r="AB328" s="452">
        <f t="shared" si="173"/>
        <v>-8.5353517899665176E-3</v>
      </c>
      <c r="AC328" s="452">
        <f t="shared" si="173"/>
        <v>-8.9082079536744688E-3</v>
      </c>
      <c r="AD328" s="452">
        <f t="shared" si="173"/>
        <v>-8.9126990690188007E-3</v>
      </c>
      <c r="AE328" s="452">
        <f t="shared" si="173"/>
        <v>-8.9103082290653123E-3</v>
      </c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</row>
    <row r="329" spans="1:82">
      <c r="A329" s="244" t="s">
        <v>202</v>
      </c>
      <c r="B329" s="245">
        <f t="shared" ref="B329:Z329" si="175">B309/B53</f>
        <v>4.0478386069325231E-3</v>
      </c>
      <c r="C329" s="245">
        <f t="shared" si="175"/>
        <v>-3.3843928040317883E-2</v>
      </c>
      <c r="D329" s="245">
        <f t="shared" si="175"/>
        <v>-3.9209595293873412E-3</v>
      </c>
      <c r="E329" s="245">
        <f t="shared" si="175"/>
        <v>-1.7267999678584381E-3</v>
      </c>
      <c r="F329" s="245">
        <f t="shared" si="175"/>
        <v>-3.3070327738837807E-2</v>
      </c>
      <c r="G329" s="245">
        <f t="shared" si="175"/>
        <v>-4.1261480236106082E-2</v>
      </c>
      <c r="H329" s="245">
        <f t="shared" si="175"/>
        <v>-5.2434054270025635E-2</v>
      </c>
      <c r="I329" s="245">
        <f t="shared" si="175"/>
        <v>-8.05741171357892E-2</v>
      </c>
      <c r="J329" s="245">
        <f t="shared" si="175"/>
        <v>-2.4444860832219914E-3</v>
      </c>
      <c r="K329" s="245">
        <f t="shared" si="175"/>
        <v>-3.2114003990451382E-3</v>
      </c>
      <c r="L329" s="245">
        <f t="shared" si="175"/>
        <v>-2.175626728134725E-2</v>
      </c>
      <c r="M329" s="245">
        <f t="shared" si="175"/>
        <v>-3.2018165151363096E-3</v>
      </c>
      <c r="N329" s="245">
        <f t="shared" si="175"/>
        <v>-8.7742594906720268E-3</v>
      </c>
      <c r="O329" s="245">
        <f t="shared" si="175"/>
        <v>-3.2600424863669278E-2</v>
      </c>
      <c r="P329" s="245">
        <f t="shared" si="175"/>
        <v>-2.2616715067986078E-2</v>
      </c>
      <c r="Q329" s="245">
        <f t="shared" si="175"/>
        <v>-3.641652547339367E-2</v>
      </c>
      <c r="R329" s="245">
        <f t="shared" si="175"/>
        <v>-1.6469632654763776E-2</v>
      </c>
      <c r="S329" s="245">
        <f t="shared" si="175"/>
        <v>-4.485927047775258E-2</v>
      </c>
      <c r="T329" s="452">
        <f t="shared" si="175"/>
        <v>-3.8237512999612297E-2</v>
      </c>
      <c r="U329" s="452">
        <f t="shared" si="175"/>
        <v>-7.2735927358005895E-3</v>
      </c>
      <c r="V329" s="452">
        <f t="shared" si="175"/>
        <v>-4.0924348647979293E-3</v>
      </c>
      <c r="W329" s="452">
        <f t="shared" si="175"/>
        <v>-1.0225710525174557E-2</v>
      </c>
      <c r="X329" s="452">
        <f t="shared" si="175"/>
        <v>-8.4610275855055862E-3</v>
      </c>
      <c r="Y329" s="452">
        <f t="shared" si="175"/>
        <v>-9.7380581868239269E-3</v>
      </c>
      <c r="Z329" s="452">
        <f t="shared" si="175"/>
        <v>-9.7508084988119203E-3</v>
      </c>
      <c r="AA329" s="452">
        <f t="shared" si="173"/>
        <v>-9.8445297454662472E-3</v>
      </c>
      <c r="AB329" s="452">
        <f t="shared" si="173"/>
        <v>-9.9724825174591376E-3</v>
      </c>
      <c r="AC329" s="452">
        <f t="shared" si="173"/>
        <v>-1.0595347694445164E-2</v>
      </c>
      <c r="AD329" s="452">
        <f t="shared" si="173"/>
        <v>-1.0605884202481578E-2</v>
      </c>
      <c r="AE329" s="452">
        <f t="shared" si="173"/>
        <v>-1.0607488252642988E-2</v>
      </c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</row>
    <row r="330" spans="1:82">
      <c r="A330" s="36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329"/>
      <c r="U330" s="329"/>
      <c r="V330" s="329"/>
      <c r="W330" s="329"/>
      <c r="X330" s="329"/>
      <c r="Y330" s="329"/>
      <c r="Z330" s="329"/>
      <c r="AA330" s="329"/>
      <c r="AB330" s="329"/>
      <c r="AC330" s="329"/>
      <c r="AD330" s="329"/>
      <c r="AE330" s="32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</row>
    <row r="331" spans="1:82">
      <c r="A331" s="242" t="s">
        <v>270</v>
      </c>
      <c r="B331" s="264">
        <v>2001</v>
      </c>
      <c r="C331" s="264">
        <v>2002</v>
      </c>
      <c r="D331" s="264">
        <v>2003</v>
      </c>
      <c r="E331" s="264">
        <v>2004</v>
      </c>
      <c r="F331" s="264">
        <v>2005</v>
      </c>
      <c r="G331" s="264">
        <v>2006</v>
      </c>
      <c r="H331" s="264">
        <v>2007</v>
      </c>
      <c r="I331" s="264">
        <v>2008</v>
      </c>
      <c r="J331" s="264">
        <f t="shared" ref="J331:R331" si="176">J$50</f>
        <v>2009</v>
      </c>
      <c r="K331" s="264">
        <f t="shared" si="176"/>
        <v>2010</v>
      </c>
      <c r="L331" s="264">
        <f t="shared" si="176"/>
        <v>2011</v>
      </c>
      <c r="M331" s="264">
        <f t="shared" si="176"/>
        <v>2012</v>
      </c>
      <c r="N331" s="264">
        <f t="shared" si="176"/>
        <v>2013</v>
      </c>
      <c r="O331" s="264">
        <f t="shared" si="176"/>
        <v>2014</v>
      </c>
      <c r="P331" s="264">
        <f t="shared" si="176"/>
        <v>2015</v>
      </c>
      <c r="Q331" s="264">
        <f t="shared" si="176"/>
        <v>2016</v>
      </c>
      <c r="R331" s="264">
        <f t="shared" si="176"/>
        <v>2017</v>
      </c>
      <c r="S331" s="264">
        <f t="shared" ref="S331:X331" si="177">S$6</f>
        <v>2018</v>
      </c>
      <c r="T331" s="264">
        <f t="shared" si="177"/>
        <v>2019</v>
      </c>
      <c r="U331" s="264">
        <f t="shared" si="177"/>
        <v>2020</v>
      </c>
      <c r="V331" s="264">
        <f t="shared" si="177"/>
        <v>2021</v>
      </c>
      <c r="W331" s="264">
        <f t="shared" si="177"/>
        <v>2022</v>
      </c>
      <c r="X331" s="264">
        <f t="shared" si="177"/>
        <v>2023</v>
      </c>
      <c r="Y331" s="594">
        <f t="shared" ref="Y331:AE331" si="178">Y$50</f>
        <v>2024</v>
      </c>
      <c r="Z331" s="594">
        <f t="shared" si="178"/>
        <v>2025</v>
      </c>
      <c r="AA331" s="594">
        <f t="shared" si="178"/>
        <v>2026</v>
      </c>
      <c r="AB331" s="594">
        <f t="shared" si="178"/>
        <v>2027</v>
      </c>
      <c r="AC331" s="594">
        <f t="shared" si="178"/>
        <v>2028</v>
      </c>
      <c r="AD331" s="594">
        <f t="shared" si="178"/>
        <v>2029</v>
      </c>
      <c r="AE331" s="594">
        <f t="shared" si="178"/>
        <v>2030</v>
      </c>
      <c r="AF331" s="255"/>
      <c r="AG331" s="255"/>
      <c r="AH331" s="255"/>
      <c r="AI331" s="255"/>
      <c r="AJ331" s="255"/>
      <c r="AK331" s="255"/>
      <c r="AL331" s="255"/>
      <c r="AM331" s="255"/>
      <c r="AN331" s="255"/>
      <c r="AO331" s="255"/>
      <c r="AP331" s="255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</row>
    <row r="332" spans="1:82">
      <c r="A332" s="36" t="s">
        <v>647</v>
      </c>
      <c r="B332" s="92">
        <f>(Financials!B130/Financials!B36)*365</f>
        <v>16.267411525005112</v>
      </c>
      <c r="C332" s="92">
        <f>(Financials!C130/Financials!C36)*365</f>
        <v>16.883873000506863</v>
      </c>
      <c r="D332" s="92">
        <f>(Financials!D130/Financials!D36)*365</f>
        <v>16.94118839306827</v>
      </c>
      <c r="E332" s="92">
        <f>(Financials!E130/Financials!E36)*365</f>
        <v>14.024561599355444</v>
      </c>
      <c r="F332" s="92">
        <f>(Financials!F130/Financials!F36)*365</f>
        <v>14.811709857886951</v>
      </c>
      <c r="G332" s="92">
        <f>(Financials!G130/Financials!G36)*365</f>
        <v>12.750256204156216</v>
      </c>
      <c r="H332" s="92">
        <f>(Financials!H130/Financials!H36)*365</f>
        <v>16.186881415431579</v>
      </c>
      <c r="I332" s="92">
        <f>(Financials!I130/Financials!I36)*365</f>
        <v>8.5719777578666978</v>
      </c>
      <c r="J332" s="92">
        <f>(Financials!J130/Financials!J36)*365</f>
        <v>8.3373680765326394</v>
      </c>
      <c r="K332" s="92">
        <f>(Financials!K130/Financials!K36)*365</f>
        <v>10.02597467666655</v>
      </c>
      <c r="L332" s="92">
        <f>(Financials!L130/Financials!L36)*365</f>
        <v>13.157193228740903</v>
      </c>
      <c r="M332" s="92">
        <f>(Financials!M130/Financials!M36)*365</f>
        <v>14.46907259159409</v>
      </c>
      <c r="N332" s="92">
        <f>(Financials!N130/Financials!N36)*365</f>
        <v>14.607233718786722</v>
      </c>
      <c r="O332" s="92">
        <f>(Financials!O130/Financials!O36)*365</f>
        <v>14.336383299221872</v>
      </c>
      <c r="P332" s="92">
        <f>(Financials!P130/Financials!P36)*365</f>
        <v>10.228800141574169</v>
      </c>
      <c r="Q332" s="92">
        <f>(Financials!Q130/Financials!Q36)*365</f>
        <v>9.2323775371654673</v>
      </c>
      <c r="R332" s="92">
        <f>(Financials!R130/Financials!R36)*365</f>
        <v>10.732989755419586</v>
      </c>
      <c r="S332" s="92">
        <f>(Financials!S130/Financials!S36)*365</f>
        <v>8.106492743365731</v>
      </c>
      <c r="T332" s="329">
        <f>(Financials!T130/Financials!T36)*365</f>
        <v>9.0832968057103081</v>
      </c>
      <c r="U332" s="329">
        <f>(Financials!U130/Financials!U36)*365</f>
        <v>16.175690930913103</v>
      </c>
      <c r="V332" s="329">
        <f>(Financials!V130/Financials!V36)*365</f>
        <v>11.976652577791661</v>
      </c>
      <c r="W332" s="329">
        <f>(Financials!W130/Financials!W36)*365</f>
        <v>10.761648351720195</v>
      </c>
      <c r="X332" s="329">
        <f>(Financials!X130/Financials!X36)*365</f>
        <v>11.358468599303528</v>
      </c>
      <c r="Y332" s="329">
        <f>(Financials!Y130/Financials!Y36)*365</f>
        <v>11.481518788451801</v>
      </c>
      <c r="Z332" s="329">
        <f>(Financials!Z130/Financials!Z36)*365</f>
        <v>11.351909559407069</v>
      </c>
      <c r="AA332" s="329">
        <f>(Financials!AA130/Financials!AA36)*365</f>
        <v>11.318616379003004</v>
      </c>
      <c r="AB332" s="329">
        <f>(Financials!AB130/Financials!AB36)*365</f>
        <v>11.325014607771454</v>
      </c>
      <c r="AC332" s="329">
        <f>(Financials!AC130/Financials!AC36)*365</f>
        <v>11.336705181823513</v>
      </c>
      <c r="AD332" s="329">
        <f>(Financials!AD130/Financials!AD36)*365</f>
        <v>11.347978930330813</v>
      </c>
      <c r="AE332" s="329">
        <f>(Financials!AE130/Financials!AE36)*365</f>
        <v>11.34969521603481</v>
      </c>
      <c r="AF332" s="253"/>
      <c r="AG332" s="253"/>
      <c r="AH332" s="253"/>
      <c r="AI332" s="253"/>
      <c r="AJ332" s="253"/>
      <c r="AK332" s="253"/>
      <c r="AL332" s="253"/>
      <c r="AM332" s="253"/>
      <c r="AN332" s="253"/>
      <c r="AO332" s="253"/>
      <c r="AP332" s="253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</row>
    <row r="333" spans="1:82">
      <c r="A333" s="36" t="s">
        <v>346</v>
      </c>
      <c r="B333" s="259">
        <f>(Financials!B130/Financials!B36)</f>
        <v>4.4568250753438662E-2</v>
      </c>
      <c r="C333" s="259">
        <f>(Financials!C130/Financials!C36)</f>
        <v>4.6257186302758532E-2</v>
      </c>
      <c r="D333" s="259">
        <f>(Financials!D130/Financials!D36)</f>
        <v>4.6414214775529504E-2</v>
      </c>
      <c r="E333" s="259">
        <f>(Financials!E130/Financials!E36)</f>
        <v>3.8423456436590259E-2</v>
      </c>
      <c r="F333" s="259">
        <f>(Financials!F130/Financials!F36)</f>
        <v>4.0580027007909455E-2</v>
      </c>
      <c r="G333" s="259">
        <f>(Financials!G130/Financials!G36)</f>
        <v>3.4932208778510179E-2</v>
      </c>
      <c r="H333" s="259">
        <f>(Financials!H130/Financials!H36)</f>
        <v>4.4347620316250898E-2</v>
      </c>
      <c r="I333" s="259">
        <f>(Financials!I130/Financials!I36)</f>
        <v>2.3484870569497805E-2</v>
      </c>
      <c r="J333" s="259">
        <f>(Financials!J130/Financials!J36)</f>
        <v>2.2842104319267507E-2</v>
      </c>
      <c r="K333" s="259">
        <f>(Financials!K130/Financials!K36)</f>
        <v>2.7468423771689177E-2</v>
      </c>
      <c r="L333" s="259">
        <f>(Financials!L130/Financials!L36)</f>
        <v>3.6047104736276446E-2</v>
      </c>
      <c r="M333" s="259">
        <f>(Financials!M130/Financials!M36)</f>
        <v>3.9641294771490657E-2</v>
      </c>
      <c r="N333" s="259">
        <f>(Financials!N130/Financials!N36)</f>
        <v>4.0019818407634855E-2</v>
      </c>
      <c r="O333" s="259">
        <f>(Financials!O130/Financials!O36)</f>
        <v>3.9277762463621566E-2</v>
      </c>
      <c r="P333" s="259">
        <f>(Financials!P130/Financials!P36)</f>
        <v>2.802410997691553E-2</v>
      </c>
      <c r="Q333" s="259">
        <f>(Financials!Q130/Financials!Q36)</f>
        <v>2.5294185033330047E-2</v>
      </c>
      <c r="R333" s="259">
        <f>(Financials!R130/Financials!R36)</f>
        <v>2.9405451384711196E-2</v>
      </c>
      <c r="S333" s="259">
        <f>(Financials!S130/Financials!S36)</f>
        <v>2.2209569159906111E-2</v>
      </c>
      <c r="T333" s="697">
        <f>(Financials!T130/Financials!T36)</f>
        <v>2.4885744673178927E-2</v>
      </c>
      <c r="U333" s="697">
        <f>(Financials!U130/Financials!U36)</f>
        <v>4.431696145455645E-2</v>
      </c>
      <c r="V333" s="697">
        <f>(Financials!V130/Financials!V36)</f>
        <v>3.2812746788470307E-2</v>
      </c>
      <c r="W333" s="697">
        <f>(Financials!W130/Financials!W36)</f>
        <v>2.9483968086904642E-2</v>
      </c>
      <c r="X333" s="697">
        <f>(Financials!X130/Financials!X36)</f>
        <v>3.111909205288638E-2</v>
      </c>
      <c r="Y333" s="697">
        <f>(Financials!Y130/Financials!Y36)</f>
        <v>3.1456215858772056E-2</v>
      </c>
      <c r="Z333" s="697">
        <f>(Financials!Z130/Financials!Z36)</f>
        <v>3.1101122080567315E-2</v>
      </c>
      <c r="AA333" s="697">
        <f>(Financials!AA130/Financials!AA36)</f>
        <v>3.1009907887679464E-2</v>
      </c>
      <c r="AB333" s="697">
        <f>(Financials!AB130/Financials!AB36)</f>
        <v>3.1027437281565626E-2</v>
      </c>
      <c r="AC333" s="697">
        <f>(Financials!AC130/Financials!AC36)</f>
        <v>3.1059466251571268E-2</v>
      </c>
      <c r="AD333" s="697">
        <f>(Financials!AD130/Financials!AD36)</f>
        <v>3.109035323378305E-2</v>
      </c>
      <c r="AE333" s="697">
        <f>(Financials!AE130/Financials!AE36)</f>
        <v>3.1095055386396741E-2</v>
      </c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</row>
    <row r="334" spans="1:82">
      <c r="A334" s="36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329"/>
      <c r="U334" s="329"/>
      <c r="V334" s="329"/>
      <c r="W334" s="329"/>
      <c r="X334" s="329"/>
      <c r="Y334" s="329"/>
      <c r="Z334" s="32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</row>
    <row r="335" spans="1:82">
      <c r="A335" s="242" t="s">
        <v>234</v>
      </c>
      <c r="B335" s="264">
        <v>2001</v>
      </c>
      <c r="C335" s="264">
        <v>2002</v>
      </c>
      <c r="D335" s="264">
        <v>2003</v>
      </c>
      <c r="E335" s="264">
        <v>2004</v>
      </c>
      <c r="F335" s="264">
        <v>2005</v>
      </c>
      <c r="G335" s="264">
        <v>2006</v>
      </c>
      <c r="H335" s="264">
        <v>2007</v>
      </c>
      <c r="I335" s="264">
        <v>2008</v>
      </c>
      <c r="J335" s="264">
        <f t="shared" ref="J335:R335" si="179">J$50</f>
        <v>2009</v>
      </c>
      <c r="K335" s="264">
        <f t="shared" si="179"/>
        <v>2010</v>
      </c>
      <c r="L335" s="264">
        <f t="shared" si="179"/>
        <v>2011</v>
      </c>
      <c r="M335" s="264">
        <f t="shared" si="179"/>
        <v>2012</v>
      </c>
      <c r="N335" s="264">
        <f t="shared" si="179"/>
        <v>2013</v>
      </c>
      <c r="O335" s="264">
        <f t="shared" si="179"/>
        <v>2014</v>
      </c>
      <c r="P335" s="264">
        <f t="shared" si="179"/>
        <v>2015</v>
      </c>
      <c r="Q335" s="264">
        <f t="shared" si="179"/>
        <v>2016</v>
      </c>
      <c r="R335" s="264">
        <f t="shared" si="179"/>
        <v>2017</v>
      </c>
      <c r="S335" s="264">
        <f t="shared" ref="S335:X335" si="180">S$6</f>
        <v>2018</v>
      </c>
      <c r="T335" s="264">
        <f t="shared" si="180"/>
        <v>2019</v>
      </c>
      <c r="U335" s="264">
        <f t="shared" si="180"/>
        <v>2020</v>
      </c>
      <c r="V335" s="264">
        <f t="shared" si="180"/>
        <v>2021</v>
      </c>
      <c r="W335" s="264">
        <f t="shared" si="180"/>
        <v>2022</v>
      </c>
      <c r="X335" s="264">
        <f t="shared" si="180"/>
        <v>2023</v>
      </c>
      <c r="Y335" s="594">
        <f t="shared" ref="Y335:AE335" si="181">Y$50</f>
        <v>2024</v>
      </c>
      <c r="Z335" s="594">
        <f t="shared" si="181"/>
        <v>2025</v>
      </c>
      <c r="AA335" s="594">
        <f t="shared" si="181"/>
        <v>2026</v>
      </c>
      <c r="AB335" s="594">
        <f t="shared" si="181"/>
        <v>2027</v>
      </c>
      <c r="AC335" s="594">
        <f t="shared" si="181"/>
        <v>2028</v>
      </c>
      <c r="AD335" s="594">
        <f t="shared" si="181"/>
        <v>2029</v>
      </c>
      <c r="AE335" s="594">
        <f t="shared" si="181"/>
        <v>2030</v>
      </c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</row>
    <row r="336" spans="1:82">
      <c r="A336" s="36" t="s">
        <v>200</v>
      </c>
      <c r="B336" s="250" t="e">
        <f>NA()</f>
        <v>#N/A</v>
      </c>
      <c r="C336" s="250" t="e">
        <f>NA()</f>
        <v>#N/A</v>
      </c>
      <c r="D336" s="250" t="e">
        <f>NA()</f>
        <v>#N/A</v>
      </c>
      <c r="E336" s="250" t="e">
        <f>NA()</f>
        <v>#N/A</v>
      </c>
      <c r="F336" s="250" t="e">
        <f>NA()</f>
        <v>#N/A</v>
      </c>
      <c r="G336" s="250" t="e">
        <f>NA()</f>
        <v>#N/A</v>
      </c>
      <c r="H336" s="250" t="e">
        <f>NA()</f>
        <v>#N/A</v>
      </c>
      <c r="I336" s="250" t="e">
        <f>NA()</f>
        <v>#N/A</v>
      </c>
      <c r="J336" s="250">
        <f>Inputs!H256</f>
        <v>8.2202182489532625</v>
      </c>
      <c r="K336" s="250">
        <f>Inputs!I256</f>
        <v>9.0849293186530105</v>
      </c>
      <c r="L336" s="250">
        <f>Inputs!M256</f>
        <v>11.820165459058964</v>
      </c>
      <c r="M336" s="250">
        <f>Inputs!Q256</f>
        <v>13.293232614393983</v>
      </c>
      <c r="N336" s="250">
        <f>Inputs!U256</f>
        <v>12.830253611976191</v>
      </c>
      <c r="O336" s="250">
        <f>Inputs!Y256</f>
        <v>10.197813790876598</v>
      </c>
      <c r="P336" s="250">
        <f>Inputs!AC256</f>
        <v>9.0911310400536927</v>
      </c>
      <c r="Q336" s="250">
        <f>Inputs!AG256</f>
        <v>8.1743864382823848</v>
      </c>
      <c r="R336" s="250">
        <f>Inputs!AK256</f>
        <v>9.689369707141557</v>
      </c>
      <c r="S336" s="250">
        <f>Inputs!AO256</f>
        <v>7.4549084497175215</v>
      </c>
      <c r="T336" s="454">
        <f>Inputs!AS256</f>
        <v>8.4616329100824235</v>
      </c>
      <c r="U336" s="454">
        <f>Inputs!AW256</f>
        <v>13.591178003005037</v>
      </c>
      <c r="V336" s="454">
        <f>Inputs!BA256</f>
        <v>9.4212511845486091</v>
      </c>
      <c r="W336" s="454">
        <f>Inputs!BE256</f>
        <v>9.5398224615827516</v>
      </c>
      <c r="X336" s="454">
        <f>Inputs!BI256</f>
        <v>10.59735659842536</v>
      </c>
      <c r="Y336" s="454">
        <f>Inputs!BM256</f>
        <v>10.59735659842536</v>
      </c>
      <c r="Z336" s="454">
        <f>Inputs!BQ256</f>
        <v>10.59735659842536</v>
      </c>
      <c r="AA336" s="454">
        <f>Inputs!BR256</f>
        <v>10.645177771278176</v>
      </c>
      <c r="AB336" s="454">
        <f>Inputs!BS256</f>
        <v>9.292510595567963</v>
      </c>
      <c r="AC336" s="454">
        <f>Inputs!BT256</f>
        <v>11.047235091325753</v>
      </c>
      <c r="AD336" s="454">
        <f>Inputs!BU256</f>
        <v>10.59735659842536</v>
      </c>
      <c r="AE336" s="454">
        <f>Inputs!BV256</f>
        <v>10.645177771278176</v>
      </c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</row>
    <row r="337" spans="1:82">
      <c r="A337" s="36" t="s">
        <v>201</v>
      </c>
      <c r="B337" s="250" t="e">
        <f>NA()</f>
        <v>#N/A</v>
      </c>
      <c r="C337" s="250" t="e">
        <f>NA()</f>
        <v>#N/A</v>
      </c>
      <c r="D337" s="250" t="e">
        <f>NA()</f>
        <v>#N/A</v>
      </c>
      <c r="E337" s="250" t="e">
        <f>NA()</f>
        <v>#N/A</v>
      </c>
      <c r="F337" s="250" t="e">
        <f>NA()</f>
        <v>#N/A</v>
      </c>
      <c r="G337" s="250" t="e">
        <f>NA()</f>
        <v>#N/A</v>
      </c>
      <c r="H337" s="250" t="e">
        <f>NA()</f>
        <v>#N/A</v>
      </c>
      <c r="I337" s="250" t="e">
        <f>NA()</f>
        <v>#N/A</v>
      </c>
      <c r="J337" s="250">
        <f>Inputs!H255</f>
        <v>8.2202182489532625</v>
      </c>
      <c r="K337" s="250">
        <f>Inputs!I255</f>
        <v>9.0849293186530105</v>
      </c>
      <c r="L337" s="250">
        <f>Inputs!M255</f>
        <v>11.820165459058964</v>
      </c>
      <c r="M337" s="250">
        <f>Inputs!Q255</f>
        <v>13.293232614393983</v>
      </c>
      <c r="N337" s="250">
        <f>Inputs!U255</f>
        <v>12.830253611976191</v>
      </c>
      <c r="O337" s="250">
        <f>Inputs!Y255</f>
        <v>10.197813790876598</v>
      </c>
      <c r="P337" s="250">
        <f>Inputs!AC255</f>
        <v>9.0911310400536927</v>
      </c>
      <c r="Q337" s="250">
        <f>Inputs!AG255</f>
        <v>8.1743864382823848</v>
      </c>
      <c r="R337" s="250">
        <f>Inputs!AK255</f>
        <v>9.689369707141557</v>
      </c>
      <c r="S337" s="250">
        <f>Inputs!AO255</f>
        <v>7.4549084497175215</v>
      </c>
      <c r="T337" s="454">
        <f>Inputs!AS255</f>
        <v>8.4616329100824235</v>
      </c>
      <c r="U337" s="454">
        <f>Inputs!AW255</f>
        <v>13.591178003005037</v>
      </c>
      <c r="V337" s="454">
        <f>Inputs!BA255</f>
        <v>9.4212511845486091</v>
      </c>
      <c r="W337" s="454">
        <f>Inputs!BE255</f>
        <v>9.5398224615827516</v>
      </c>
      <c r="X337" s="454">
        <f>Inputs!BI255</f>
        <v>10.59735659842536</v>
      </c>
      <c r="Y337" s="454">
        <f>Inputs!BM255</f>
        <v>10.59735659842536</v>
      </c>
      <c r="Z337" s="454">
        <f>Inputs!BQ255</f>
        <v>10.59735659842536</v>
      </c>
      <c r="AA337" s="454">
        <f>Inputs!BR255</f>
        <v>10.645177771278176</v>
      </c>
      <c r="AB337" s="454">
        <f>Inputs!BS255</f>
        <v>9.292510595567963</v>
      </c>
      <c r="AC337" s="454">
        <f>Inputs!BT255</f>
        <v>11.047235091325753</v>
      </c>
      <c r="AD337" s="454">
        <f>Inputs!BU255</f>
        <v>10.59735659842536</v>
      </c>
      <c r="AE337" s="454">
        <f>Inputs!BV255</f>
        <v>10.645177771278176</v>
      </c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</row>
    <row r="338" spans="1:82">
      <c r="A338" s="36" t="s">
        <v>202</v>
      </c>
      <c r="B338" s="250" t="e">
        <f>NA()</f>
        <v>#N/A</v>
      </c>
      <c r="C338" s="250" t="e">
        <f>NA()</f>
        <v>#N/A</v>
      </c>
      <c r="D338" s="250" t="e">
        <f>NA()</f>
        <v>#N/A</v>
      </c>
      <c r="E338" s="250" t="e">
        <f>NA()</f>
        <v>#N/A</v>
      </c>
      <c r="F338" s="250" t="e">
        <f>NA()</f>
        <v>#N/A</v>
      </c>
      <c r="G338" s="250" t="e">
        <f>NA()</f>
        <v>#N/A</v>
      </c>
      <c r="H338" s="250" t="e">
        <f>NA()</f>
        <v>#N/A</v>
      </c>
      <c r="I338" s="250" t="e">
        <f>NA()</f>
        <v>#N/A</v>
      </c>
      <c r="J338" s="250">
        <f>Inputs!H257</f>
        <v>8.2202182489532625</v>
      </c>
      <c r="K338" s="250">
        <f>Inputs!I257</f>
        <v>9.0849293186530105</v>
      </c>
      <c r="L338" s="250">
        <f>Inputs!M257</f>
        <v>11.820165459058964</v>
      </c>
      <c r="M338" s="250">
        <f>Inputs!Q257</f>
        <v>13.293232614393983</v>
      </c>
      <c r="N338" s="250">
        <f>Inputs!U257</f>
        <v>12.830253611976191</v>
      </c>
      <c r="O338" s="250">
        <f>Inputs!Y257</f>
        <v>10.197813790876598</v>
      </c>
      <c r="P338" s="250">
        <f>Inputs!AC257</f>
        <v>9.0911310400536927</v>
      </c>
      <c r="Q338" s="250">
        <f>Inputs!AG257</f>
        <v>8.1743864382823848</v>
      </c>
      <c r="R338" s="250">
        <f>Inputs!AK257</f>
        <v>9.689369707141557</v>
      </c>
      <c r="S338" s="250">
        <f>Inputs!AO257</f>
        <v>7.4549084497175215</v>
      </c>
      <c r="T338" s="454">
        <f>Inputs!AS257</f>
        <v>8.4616329100824235</v>
      </c>
      <c r="U338" s="454">
        <f>Inputs!AW257</f>
        <v>13.591178003005037</v>
      </c>
      <c r="V338" s="454">
        <f>Inputs!BA257</f>
        <v>9.4212511845486091</v>
      </c>
      <c r="W338" s="454">
        <f>Inputs!BE257</f>
        <v>9.5398224615827516</v>
      </c>
      <c r="X338" s="454">
        <f>Inputs!BI257</f>
        <v>10.59735659842536</v>
      </c>
      <c r="Y338" s="454">
        <f>Inputs!BM257</f>
        <v>10.59735659842536</v>
      </c>
      <c r="Z338" s="454">
        <f>Inputs!BQ257</f>
        <v>10.59735659842536</v>
      </c>
      <c r="AA338" s="454">
        <f>Inputs!BR257</f>
        <v>10.645177771278176</v>
      </c>
      <c r="AB338" s="454">
        <f>Inputs!BS257</f>
        <v>9.292510595567963</v>
      </c>
      <c r="AC338" s="454">
        <f>Inputs!BT257</f>
        <v>11.047235091325753</v>
      </c>
      <c r="AD338" s="454">
        <f>Inputs!BU257</f>
        <v>10.59735659842536</v>
      </c>
      <c r="AE338" s="454">
        <f>Inputs!BV257</f>
        <v>10.645177771278176</v>
      </c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</row>
    <row r="339" spans="1:82">
      <c r="A339" s="36"/>
      <c r="B339" s="251"/>
      <c r="C339" s="251"/>
      <c r="D339" s="251"/>
      <c r="E339" s="251"/>
      <c r="F339" s="251"/>
      <c r="G339" s="251"/>
      <c r="H339" s="251"/>
      <c r="I339" s="251"/>
      <c r="J339" s="251"/>
      <c r="K339" s="250"/>
      <c r="L339" s="250"/>
      <c r="M339" s="250"/>
      <c r="N339" s="250"/>
      <c r="O339" s="250"/>
      <c r="P339" s="250"/>
      <c r="Q339" s="250"/>
      <c r="R339" s="250"/>
      <c r="S339" s="250"/>
      <c r="T339" s="454"/>
      <c r="U339" s="454"/>
      <c r="V339" s="454"/>
      <c r="W339" s="454"/>
      <c r="X339" s="454"/>
      <c r="Y339" s="454"/>
      <c r="Z339" s="454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</row>
    <row r="340" spans="1:82">
      <c r="A340" s="242" t="s">
        <v>908</v>
      </c>
      <c r="B340" s="264">
        <v>2001</v>
      </c>
      <c r="C340" s="264">
        <v>2002</v>
      </c>
      <c r="D340" s="264">
        <v>2003</v>
      </c>
      <c r="E340" s="264">
        <v>2004</v>
      </c>
      <c r="F340" s="264">
        <v>2005</v>
      </c>
      <c r="G340" s="264">
        <v>2006</v>
      </c>
      <c r="H340" s="264">
        <v>2007</v>
      </c>
      <c r="I340" s="264">
        <v>2008</v>
      </c>
      <c r="J340" s="264">
        <f t="shared" ref="J340:R340" si="182">J$50</f>
        <v>2009</v>
      </c>
      <c r="K340" s="264">
        <f t="shared" si="182"/>
        <v>2010</v>
      </c>
      <c r="L340" s="264">
        <f t="shared" si="182"/>
        <v>2011</v>
      </c>
      <c r="M340" s="264">
        <f t="shared" si="182"/>
        <v>2012</v>
      </c>
      <c r="N340" s="264">
        <f t="shared" si="182"/>
        <v>2013</v>
      </c>
      <c r="O340" s="264">
        <f t="shared" si="182"/>
        <v>2014</v>
      </c>
      <c r="P340" s="264">
        <f t="shared" si="182"/>
        <v>2015</v>
      </c>
      <c r="Q340" s="264">
        <f t="shared" si="182"/>
        <v>2016</v>
      </c>
      <c r="R340" s="264">
        <f t="shared" si="182"/>
        <v>2017</v>
      </c>
      <c r="S340" s="264">
        <f t="shared" ref="S340:X340" si="183">S$6</f>
        <v>2018</v>
      </c>
      <c r="T340" s="264">
        <f t="shared" si="183"/>
        <v>2019</v>
      </c>
      <c r="U340" s="264">
        <f t="shared" si="183"/>
        <v>2020</v>
      </c>
      <c r="V340" s="264">
        <f t="shared" si="183"/>
        <v>2021</v>
      </c>
      <c r="W340" s="264">
        <f t="shared" si="183"/>
        <v>2022</v>
      </c>
      <c r="X340" s="264">
        <f t="shared" si="183"/>
        <v>2023</v>
      </c>
      <c r="Y340" s="594">
        <f t="shared" ref="Y340:AE340" si="184">Y$50</f>
        <v>2024</v>
      </c>
      <c r="Z340" s="594">
        <f t="shared" si="184"/>
        <v>2025</v>
      </c>
      <c r="AA340" s="594">
        <f t="shared" si="184"/>
        <v>2026</v>
      </c>
      <c r="AB340" s="594">
        <f t="shared" si="184"/>
        <v>2027</v>
      </c>
      <c r="AC340" s="594">
        <f t="shared" si="184"/>
        <v>2028</v>
      </c>
      <c r="AD340" s="594">
        <f t="shared" si="184"/>
        <v>2029</v>
      </c>
      <c r="AE340" s="594">
        <f t="shared" si="184"/>
        <v>2030</v>
      </c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</row>
    <row r="341" spans="1:82">
      <c r="A341" s="36" t="s">
        <v>200</v>
      </c>
      <c r="B341" s="250" t="e">
        <f>NA()</f>
        <v>#N/A</v>
      </c>
      <c r="C341" s="250" t="e">
        <f>NA()</f>
        <v>#N/A</v>
      </c>
      <c r="D341" s="250" t="e">
        <f>NA()</f>
        <v>#N/A</v>
      </c>
      <c r="E341" s="250" t="e">
        <f>NA()</f>
        <v>#N/A</v>
      </c>
      <c r="F341" s="250" t="e">
        <f>NA()</f>
        <v>#N/A</v>
      </c>
      <c r="G341" s="250" t="e">
        <f>NA()</f>
        <v>#N/A</v>
      </c>
      <c r="H341" s="250" t="e">
        <f>NA()</f>
        <v>#N/A</v>
      </c>
      <c r="I341" s="250" t="e">
        <f>NA()</f>
        <v>#N/A</v>
      </c>
      <c r="J341" s="250" t="e">
        <f>NA()</f>
        <v>#N/A</v>
      </c>
      <c r="K341" s="250">
        <f>Inputs!I261</f>
        <v>35.907521507087118</v>
      </c>
      <c r="L341" s="250">
        <f>Inputs!M261</f>
        <v>34.227243911458608</v>
      </c>
      <c r="M341" s="250">
        <f>Inputs!Q261</f>
        <v>39.830772051255664</v>
      </c>
      <c r="N341" s="250">
        <f>Inputs!U261</f>
        <v>40.042420461634435</v>
      </c>
      <c r="O341" s="250">
        <f>Inputs!Y261</f>
        <v>38.613988441703711</v>
      </c>
      <c r="P341" s="250">
        <f>Inputs!AC261</f>
        <v>44.543919574165464</v>
      </c>
      <c r="Q341" s="250">
        <f>Inputs!AG261</f>
        <v>43.622900083656674</v>
      </c>
      <c r="R341" s="250">
        <f>Inputs!AK261</f>
        <v>51.448674090994807</v>
      </c>
      <c r="S341" s="250">
        <f>Inputs!AO261</f>
        <v>49.329405636391606</v>
      </c>
      <c r="T341" s="250">
        <f>Inputs!AS261</f>
        <v>35.748529376316277</v>
      </c>
      <c r="U341" s="250">
        <f>Inputs!AW261</f>
        <v>44.372978008225544</v>
      </c>
      <c r="V341" s="250">
        <f>Inputs!BA261</f>
        <v>35.163561219928091</v>
      </c>
      <c r="W341" s="250">
        <f>Inputs!BE261</f>
        <v>40.930760114319909</v>
      </c>
      <c r="X341" s="250">
        <f>Inputs!BI261</f>
        <v>38.108210079870894</v>
      </c>
      <c r="Y341" s="250">
        <f>Inputs!BM261</f>
        <v>38.108210079870894</v>
      </c>
      <c r="Z341" s="250">
        <f>Inputs!BQ261</f>
        <v>38.108210079870894</v>
      </c>
      <c r="AA341" s="250">
        <f>Inputs!BR261</f>
        <v>38.909099752709913</v>
      </c>
      <c r="AB341" s="250">
        <f>Inputs!BS261</f>
        <v>43.203978265250043</v>
      </c>
      <c r="AC341" s="250">
        <f>Inputs!BT261</f>
        <v>41.391077513027689</v>
      </c>
      <c r="AD341" s="250">
        <f>Inputs!BU261</f>
        <v>38.108210079870894</v>
      </c>
      <c r="AE341" s="250">
        <f>Inputs!BV261</f>
        <v>38.909099752709913</v>
      </c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</row>
    <row r="342" spans="1:82">
      <c r="A342" s="36" t="s">
        <v>201</v>
      </c>
      <c r="B342" s="250" t="e">
        <f>NA()</f>
        <v>#N/A</v>
      </c>
      <c r="C342" s="250" t="e">
        <f>NA()</f>
        <v>#N/A</v>
      </c>
      <c r="D342" s="250" t="e">
        <f>NA()</f>
        <v>#N/A</v>
      </c>
      <c r="E342" s="250" t="e">
        <f>NA()</f>
        <v>#N/A</v>
      </c>
      <c r="F342" s="250" t="e">
        <f>NA()</f>
        <v>#N/A</v>
      </c>
      <c r="G342" s="250" t="e">
        <f>NA()</f>
        <v>#N/A</v>
      </c>
      <c r="H342" s="250" t="e">
        <f>NA()</f>
        <v>#N/A</v>
      </c>
      <c r="I342" s="250" t="e">
        <f>NA()</f>
        <v>#N/A</v>
      </c>
      <c r="J342" s="250" t="e">
        <f>NA()</f>
        <v>#N/A</v>
      </c>
      <c r="K342" s="250">
        <f>Inputs!I260</f>
        <v>35.907521507087118</v>
      </c>
      <c r="L342" s="250">
        <f>Inputs!M260</f>
        <v>34.227243911458608</v>
      </c>
      <c r="M342" s="250">
        <f>Inputs!Q260</f>
        <v>39.830772051255664</v>
      </c>
      <c r="N342" s="250">
        <f>Inputs!U260</f>
        <v>40.042420461634435</v>
      </c>
      <c r="O342" s="250">
        <f>Inputs!Y260</f>
        <v>38.613988441703711</v>
      </c>
      <c r="P342" s="250">
        <f>Inputs!AC260</f>
        <v>44.543919574165464</v>
      </c>
      <c r="Q342" s="250">
        <f>Inputs!AG260</f>
        <v>43.622900083656674</v>
      </c>
      <c r="R342" s="250">
        <f>Inputs!AK260</f>
        <v>51.448674090994807</v>
      </c>
      <c r="S342" s="250">
        <f>Inputs!AO260</f>
        <v>49.329405636391606</v>
      </c>
      <c r="T342" s="250">
        <f>Inputs!AS260</f>
        <v>35.748529376316277</v>
      </c>
      <c r="U342" s="250">
        <f>Inputs!AW260</f>
        <v>44.372978008225544</v>
      </c>
      <c r="V342" s="250">
        <f>Inputs!BA260</f>
        <v>35.163561219928091</v>
      </c>
      <c r="W342" s="250">
        <f>Inputs!BE260</f>
        <v>40.930760114319909</v>
      </c>
      <c r="X342" s="250">
        <f>Inputs!BI260</f>
        <v>38.108210079870894</v>
      </c>
      <c r="Y342" s="250">
        <f>Inputs!BM260</f>
        <v>38.108210079870894</v>
      </c>
      <c r="Z342" s="250">
        <f>Inputs!BQ260</f>
        <v>38.108210079870894</v>
      </c>
      <c r="AA342" s="250">
        <f>Inputs!BR260</f>
        <v>38.909099752709913</v>
      </c>
      <c r="AB342" s="250">
        <f>Inputs!BS260</f>
        <v>43.203978265250043</v>
      </c>
      <c r="AC342" s="250">
        <f>Inputs!BT260</f>
        <v>41.391077513027689</v>
      </c>
      <c r="AD342" s="250">
        <f>Inputs!BU260</f>
        <v>38.108210079870894</v>
      </c>
      <c r="AE342" s="250">
        <f>Inputs!BV260</f>
        <v>38.909099752709913</v>
      </c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</row>
    <row r="343" spans="1:82">
      <c r="A343" s="36" t="s">
        <v>202</v>
      </c>
      <c r="B343" s="250" t="e">
        <f>NA()</f>
        <v>#N/A</v>
      </c>
      <c r="C343" s="250" t="e">
        <f>NA()</f>
        <v>#N/A</v>
      </c>
      <c r="D343" s="250" t="e">
        <f>NA()</f>
        <v>#N/A</v>
      </c>
      <c r="E343" s="250" t="e">
        <f>NA()</f>
        <v>#N/A</v>
      </c>
      <c r="F343" s="250" t="e">
        <f>NA()</f>
        <v>#N/A</v>
      </c>
      <c r="G343" s="250" t="e">
        <f>NA()</f>
        <v>#N/A</v>
      </c>
      <c r="H343" s="250" t="e">
        <f>NA()</f>
        <v>#N/A</v>
      </c>
      <c r="I343" s="250" t="e">
        <f>NA()</f>
        <v>#N/A</v>
      </c>
      <c r="J343" s="250" t="e">
        <f>NA()</f>
        <v>#N/A</v>
      </c>
      <c r="K343" s="250">
        <f>Inputs!I262</f>
        <v>35.907521507087118</v>
      </c>
      <c r="L343" s="250">
        <f>Inputs!M262</f>
        <v>34.227243911458608</v>
      </c>
      <c r="M343" s="250">
        <f>Inputs!Q262</f>
        <v>39.830772051255664</v>
      </c>
      <c r="N343" s="250">
        <f>Inputs!U262</f>
        <v>40.042420461634435</v>
      </c>
      <c r="O343" s="250">
        <f>Inputs!Y262</f>
        <v>38.613988441703711</v>
      </c>
      <c r="P343" s="250">
        <f>Inputs!AC262</f>
        <v>44.543919574165464</v>
      </c>
      <c r="Q343" s="250">
        <f>Inputs!AG262</f>
        <v>43.622900083656674</v>
      </c>
      <c r="R343" s="250">
        <f>Inputs!AK262</f>
        <v>51.448674090994807</v>
      </c>
      <c r="S343" s="250">
        <f>Inputs!AO262</f>
        <v>49.329405636391606</v>
      </c>
      <c r="T343" s="250">
        <f>Inputs!AS262</f>
        <v>35.748529376316277</v>
      </c>
      <c r="U343" s="250">
        <f>Inputs!AW262</f>
        <v>44.372978008225544</v>
      </c>
      <c r="V343" s="250">
        <f>Inputs!BA262</f>
        <v>35.163561219928091</v>
      </c>
      <c r="W343" s="250">
        <f>Inputs!BE262</f>
        <v>40.930760114319909</v>
      </c>
      <c r="X343" s="250">
        <f>Inputs!BI262</f>
        <v>38.108210079870894</v>
      </c>
      <c r="Y343" s="250">
        <f>Inputs!BM262</f>
        <v>38.108210079870894</v>
      </c>
      <c r="Z343" s="250">
        <f>Inputs!BQ262</f>
        <v>38.108210079870894</v>
      </c>
      <c r="AA343" s="250">
        <f>Inputs!BR262</f>
        <v>38.909099752709913</v>
      </c>
      <c r="AB343" s="250">
        <f>Inputs!BS262</f>
        <v>43.203978265250043</v>
      </c>
      <c r="AC343" s="250">
        <f>Inputs!BT262</f>
        <v>41.391077513027689</v>
      </c>
      <c r="AD343" s="250">
        <f>Inputs!BU262</f>
        <v>38.108210079870894</v>
      </c>
      <c r="AE343" s="250">
        <f>Inputs!BV262</f>
        <v>38.909099752709913</v>
      </c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</row>
    <row r="344" spans="1:82">
      <c r="A344" s="36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329"/>
      <c r="U344" s="329"/>
      <c r="V344" s="329"/>
      <c r="W344" s="329"/>
      <c r="X344" s="329"/>
      <c r="Y344" s="329"/>
      <c r="Z344" s="32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</row>
    <row r="345" spans="1:82">
      <c r="A345" s="242" t="s">
        <v>909</v>
      </c>
      <c r="B345" s="264">
        <v>2001</v>
      </c>
      <c r="C345" s="264">
        <v>2002</v>
      </c>
      <c r="D345" s="264">
        <v>2003</v>
      </c>
      <c r="E345" s="264">
        <v>2004</v>
      </c>
      <c r="F345" s="264">
        <v>2005</v>
      </c>
      <c r="G345" s="264">
        <v>2006</v>
      </c>
      <c r="H345" s="264">
        <v>2007</v>
      </c>
      <c r="I345" s="264">
        <v>2008</v>
      </c>
      <c r="J345" s="264">
        <f t="shared" ref="J345:R345" si="185">J$50</f>
        <v>2009</v>
      </c>
      <c r="K345" s="264">
        <f t="shared" si="185"/>
        <v>2010</v>
      </c>
      <c r="L345" s="264">
        <f t="shared" si="185"/>
        <v>2011</v>
      </c>
      <c r="M345" s="264">
        <f t="shared" si="185"/>
        <v>2012</v>
      </c>
      <c r="N345" s="264">
        <f t="shared" si="185"/>
        <v>2013</v>
      </c>
      <c r="O345" s="264">
        <f t="shared" si="185"/>
        <v>2014</v>
      </c>
      <c r="P345" s="264">
        <f t="shared" si="185"/>
        <v>2015</v>
      </c>
      <c r="Q345" s="264">
        <f t="shared" si="185"/>
        <v>2016</v>
      </c>
      <c r="R345" s="264">
        <f t="shared" si="185"/>
        <v>2017</v>
      </c>
      <c r="S345" s="264">
        <f t="shared" ref="S345:X345" si="186">S$6</f>
        <v>2018</v>
      </c>
      <c r="T345" s="264">
        <f t="shared" si="186"/>
        <v>2019</v>
      </c>
      <c r="U345" s="264">
        <f t="shared" si="186"/>
        <v>2020</v>
      </c>
      <c r="V345" s="264">
        <f t="shared" si="186"/>
        <v>2021</v>
      </c>
      <c r="W345" s="264">
        <f t="shared" si="186"/>
        <v>2022</v>
      </c>
      <c r="X345" s="264">
        <f t="shared" si="186"/>
        <v>2023</v>
      </c>
      <c r="Y345" s="594">
        <f t="shared" ref="Y345:AE345" si="187">Y$50</f>
        <v>2024</v>
      </c>
      <c r="Z345" s="594">
        <f t="shared" si="187"/>
        <v>2025</v>
      </c>
      <c r="AA345" s="594">
        <f t="shared" si="187"/>
        <v>2026</v>
      </c>
      <c r="AB345" s="594">
        <f t="shared" si="187"/>
        <v>2027</v>
      </c>
      <c r="AC345" s="594">
        <f t="shared" si="187"/>
        <v>2028</v>
      </c>
      <c r="AD345" s="594">
        <f t="shared" si="187"/>
        <v>2029</v>
      </c>
      <c r="AE345" s="594">
        <f t="shared" si="187"/>
        <v>2030</v>
      </c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</row>
    <row r="346" spans="1:82">
      <c r="A346" s="36" t="s">
        <v>200</v>
      </c>
      <c r="B346" s="250" t="e">
        <f>NA()</f>
        <v>#N/A</v>
      </c>
      <c r="C346" s="250" t="e">
        <f>NA()</f>
        <v>#N/A</v>
      </c>
      <c r="D346" s="250" t="e">
        <f>NA()</f>
        <v>#N/A</v>
      </c>
      <c r="E346" s="250" t="e">
        <f>NA()</f>
        <v>#N/A</v>
      </c>
      <c r="F346" s="250" t="e">
        <f>NA()</f>
        <v>#N/A</v>
      </c>
      <c r="G346" s="250" t="e">
        <f>NA()</f>
        <v>#N/A</v>
      </c>
      <c r="H346" s="250" t="e">
        <f>NA()</f>
        <v>#N/A</v>
      </c>
      <c r="I346" s="250" t="e">
        <f>NA()</f>
        <v>#N/A</v>
      </c>
      <c r="J346" s="250" t="e">
        <f>NA()</f>
        <v>#N/A</v>
      </c>
      <c r="K346" s="250">
        <f>Inputs!I266</f>
        <v>72.416143026517389</v>
      </c>
      <c r="L346" s="250">
        <f>Inputs!M266</f>
        <v>86.722715712097084</v>
      </c>
      <c r="M346" s="250">
        <f>Inputs!Q266</f>
        <v>81.747471953478808</v>
      </c>
      <c r="N346" s="250">
        <f>Inputs!U266</f>
        <v>87.870555208983149</v>
      </c>
      <c r="O346" s="250">
        <f>Inputs!Y266</f>
        <v>98.587213172212756</v>
      </c>
      <c r="P346" s="250">
        <f>Inputs!AC266</f>
        <v>97.399661659806483</v>
      </c>
      <c r="Q346" s="250">
        <f>Inputs!AG266</f>
        <v>108.04832580505318</v>
      </c>
      <c r="R346" s="250">
        <f>Inputs!AK266</f>
        <v>101.39334575177509</v>
      </c>
      <c r="S346" s="250">
        <f>Inputs!AO266</f>
        <v>121.35418425103828</v>
      </c>
      <c r="T346" s="250">
        <f>Inputs!AS266</f>
        <v>109.4876877394311</v>
      </c>
      <c r="U346" s="250">
        <f>Inputs!AW266</f>
        <v>98.838203177778041</v>
      </c>
      <c r="V346" s="250">
        <f>Inputs!BA266</f>
        <v>69.639709712790989</v>
      </c>
      <c r="W346" s="250">
        <f>Inputs!BE266</f>
        <v>79.570546365300657</v>
      </c>
      <c r="X346" s="250">
        <f>Inputs!BI266</f>
        <v>79.909515266845375</v>
      </c>
      <c r="Y346" s="250">
        <f>Inputs!BM266</f>
        <v>79.909515266845375</v>
      </c>
      <c r="Z346" s="250">
        <f>Inputs!BQ266</f>
        <v>79.909515266845375</v>
      </c>
      <c r="AA346" s="250">
        <f>Inputs!BR266</f>
        <v>81.023400778375972</v>
      </c>
      <c r="AB346" s="250">
        <f>Inputs!BS266</f>
        <v>75.447591611049361</v>
      </c>
      <c r="AC346" s="250">
        <f>Inputs!BT266</f>
        <v>76.858747787095623</v>
      </c>
      <c r="AD346" s="250">
        <f>Inputs!BU266</f>
        <v>79.909515266845375</v>
      </c>
      <c r="AE346" s="250">
        <f>Inputs!BV266</f>
        <v>81.023400778375972</v>
      </c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</row>
    <row r="347" spans="1:82">
      <c r="A347" s="36" t="s">
        <v>201</v>
      </c>
      <c r="B347" s="250" t="e">
        <f>NA()</f>
        <v>#N/A</v>
      </c>
      <c r="C347" s="250" t="e">
        <f>NA()</f>
        <v>#N/A</v>
      </c>
      <c r="D347" s="250" t="e">
        <f>NA()</f>
        <v>#N/A</v>
      </c>
      <c r="E347" s="250" t="e">
        <f>NA()</f>
        <v>#N/A</v>
      </c>
      <c r="F347" s="250" t="e">
        <f>NA()</f>
        <v>#N/A</v>
      </c>
      <c r="G347" s="250" t="e">
        <f>NA()</f>
        <v>#N/A</v>
      </c>
      <c r="H347" s="250" t="e">
        <f>NA()</f>
        <v>#N/A</v>
      </c>
      <c r="I347" s="250" t="e">
        <f>NA()</f>
        <v>#N/A</v>
      </c>
      <c r="J347" s="250" t="e">
        <f>NA()</f>
        <v>#N/A</v>
      </c>
      <c r="K347" s="250">
        <f>Inputs!I265</f>
        <v>72.416143026517389</v>
      </c>
      <c r="L347" s="250">
        <f>Inputs!M265</f>
        <v>86.722715712097084</v>
      </c>
      <c r="M347" s="250">
        <f>Inputs!Q265</f>
        <v>81.747471953478808</v>
      </c>
      <c r="N347" s="250">
        <f>Inputs!U265</f>
        <v>87.870555208983149</v>
      </c>
      <c r="O347" s="250">
        <f>Inputs!Y265</f>
        <v>98.587213172212756</v>
      </c>
      <c r="P347" s="250">
        <f>Inputs!AC265</f>
        <v>97.399661659806483</v>
      </c>
      <c r="Q347" s="250">
        <f>Inputs!AG265</f>
        <v>108.04832580505318</v>
      </c>
      <c r="R347" s="250">
        <f>Inputs!AK265</f>
        <v>101.39334575177509</v>
      </c>
      <c r="S347" s="250">
        <f>Inputs!AO265</f>
        <v>121.35418425103828</v>
      </c>
      <c r="T347" s="250">
        <f>Inputs!AS265</f>
        <v>109.4876877394311</v>
      </c>
      <c r="U347" s="250">
        <f>Inputs!AW265</f>
        <v>98.838203177778041</v>
      </c>
      <c r="V347" s="250">
        <f>Inputs!BA265</f>
        <v>69.639709712790989</v>
      </c>
      <c r="W347" s="250">
        <f>Inputs!BE265</f>
        <v>79.570546365300657</v>
      </c>
      <c r="X347" s="250">
        <f>Inputs!BI265</f>
        <v>79.909515266845375</v>
      </c>
      <c r="Y347" s="250">
        <f>Inputs!BM265</f>
        <v>79.909515266845375</v>
      </c>
      <c r="Z347" s="250">
        <f>Inputs!BQ265</f>
        <v>79.909515266845375</v>
      </c>
      <c r="AA347" s="250">
        <f>Inputs!BR265</f>
        <v>81.023400778375972</v>
      </c>
      <c r="AB347" s="250">
        <f>Inputs!BS265</f>
        <v>75.447591611049361</v>
      </c>
      <c r="AC347" s="250">
        <f>Inputs!BT265</f>
        <v>76.858747787095623</v>
      </c>
      <c r="AD347" s="250">
        <f>Inputs!BU265</f>
        <v>79.909515266845375</v>
      </c>
      <c r="AE347" s="250">
        <f>Inputs!BV265</f>
        <v>81.023400778375972</v>
      </c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</row>
    <row r="348" spans="1:82">
      <c r="A348" s="36" t="s">
        <v>202</v>
      </c>
      <c r="B348" s="250" t="e">
        <f>NA()</f>
        <v>#N/A</v>
      </c>
      <c r="C348" s="250" t="e">
        <f>NA()</f>
        <v>#N/A</v>
      </c>
      <c r="D348" s="250" t="e">
        <f>NA()</f>
        <v>#N/A</v>
      </c>
      <c r="E348" s="250" t="e">
        <f>NA()</f>
        <v>#N/A</v>
      </c>
      <c r="F348" s="250" t="e">
        <f>NA()</f>
        <v>#N/A</v>
      </c>
      <c r="G348" s="250" t="e">
        <f>NA()</f>
        <v>#N/A</v>
      </c>
      <c r="H348" s="250" t="e">
        <f>NA()</f>
        <v>#N/A</v>
      </c>
      <c r="I348" s="250" t="e">
        <f>NA()</f>
        <v>#N/A</v>
      </c>
      <c r="J348" s="250" t="e">
        <f>NA()</f>
        <v>#N/A</v>
      </c>
      <c r="K348" s="250">
        <f>Inputs!I267</f>
        <v>72.416143026517389</v>
      </c>
      <c r="L348" s="250">
        <f>Inputs!M267</f>
        <v>86.722715712097084</v>
      </c>
      <c r="M348" s="250">
        <f>Inputs!Q267</f>
        <v>81.747471953478808</v>
      </c>
      <c r="N348" s="250">
        <f>Inputs!U267</f>
        <v>87.870555208983149</v>
      </c>
      <c r="O348" s="250">
        <f>Inputs!Y267</f>
        <v>98.587213172212756</v>
      </c>
      <c r="P348" s="250">
        <f>Inputs!AC267</f>
        <v>97.399661659806483</v>
      </c>
      <c r="Q348" s="250">
        <f>Inputs!AG267</f>
        <v>108.04832580505318</v>
      </c>
      <c r="R348" s="250">
        <f>Inputs!AK267</f>
        <v>101.39334575177509</v>
      </c>
      <c r="S348" s="250">
        <f>Inputs!AO267</f>
        <v>121.35418425103828</v>
      </c>
      <c r="T348" s="250">
        <f>Inputs!AS267</f>
        <v>109.4876877394311</v>
      </c>
      <c r="U348" s="250">
        <f>Inputs!AW267</f>
        <v>98.838203177778041</v>
      </c>
      <c r="V348" s="250">
        <f>Inputs!BA267</f>
        <v>69.639709712790989</v>
      </c>
      <c r="W348" s="250">
        <f>Inputs!BE267</f>
        <v>79.570546365300657</v>
      </c>
      <c r="X348" s="250">
        <f>Inputs!BI267</f>
        <v>79.909515266845375</v>
      </c>
      <c r="Y348" s="250">
        <f>Inputs!BM267</f>
        <v>79.909515266845375</v>
      </c>
      <c r="Z348" s="250">
        <f>Inputs!BQ267</f>
        <v>79.909515266845375</v>
      </c>
      <c r="AA348" s="250">
        <f>Inputs!BR267</f>
        <v>81.023400778375972</v>
      </c>
      <c r="AB348" s="250">
        <f>Inputs!BS267</f>
        <v>75.447591611049361</v>
      </c>
      <c r="AC348" s="250">
        <f>Inputs!BT267</f>
        <v>76.858747787095623</v>
      </c>
      <c r="AD348" s="250">
        <f>Inputs!BU267</f>
        <v>79.909515266845375</v>
      </c>
      <c r="AE348" s="250">
        <f>Inputs!BV267</f>
        <v>81.023400778375972</v>
      </c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</row>
    <row r="349" spans="1:82">
      <c r="A349" s="36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329"/>
      <c r="U349" s="329"/>
      <c r="V349" s="329"/>
      <c r="W349" s="329"/>
      <c r="X349" s="329"/>
      <c r="Y349" s="329"/>
      <c r="Z349" s="329"/>
      <c r="AA349" s="329"/>
      <c r="AB349" s="329"/>
      <c r="AC349" s="329"/>
      <c r="AD349" s="329"/>
      <c r="AE349" s="32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</row>
    <row r="350" spans="1:82">
      <c r="A350" s="242" t="s">
        <v>38</v>
      </c>
      <c r="B350" s="264">
        <v>2001</v>
      </c>
      <c r="C350" s="264">
        <v>2002</v>
      </c>
      <c r="D350" s="264">
        <v>2003</v>
      </c>
      <c r="E350" s="264">
        <v>2004</v>
      </c>
      <c r="F350" s="264">
        <v>2005</v>
      </c>
      <c r="G350" s="264">
        <v>2006</v>
      </c>
      <c r="H350" s="264">
        <v>2007</v>
      </c>
      <c r="I350" s="264">
        <v>2008</v>
      </c>
      <c r="J350" s="264">
        <f t="shared" ref="J350:R350" si="188">J$50</f>
        <v>2009</v>
      </c>
      <c r="K350" s="264">
        <f t="shared" si="188"/>
        <v>2010</v>
      </c>
      <c r="L350" s="264">
        <f t="shared" si="188"/>
        <v>2011</v>
      </c>
      <c r="M350" s="264">
        <f t="shared" si="188"/>
        <v>2012</v>
      </c>
      <c r="N350" s="264">
        <f t="shared" si="188"/>
        <v>2013</v>
      </c>
      <c r="O350" s="264">
        <f t="shared" si="188"/>
        <v>2014</v>
      </c>
      <c r="P350" s="264">
        <f t="shared" si="188"/>
        <v>2015</v>
      </c>
      <c r="Q350" s="264">
        <f t="shared" si="188"/>
        <v>2016</v>
      </c>
      <c r="R350" s="264">
        <f t="shared" si="188"/>
        <v>2017</v>
      </c>
      <c r="S350" s="264">
        <f t="shared" ref="S350:X350" si="189">S$6</f>
        <v>2018</v>
      </c>
      <c r="T350" s="264">
        <f t="shared" si="189"/>
        <v>2019</v>
      </c>
      <c r="U350" s="264">
        <f t="shared" si="189"/>
        <v>2020</v>
      </c>
      <c r="V350" s="264">
        <f t="shared" si="189"/>
        <v>2021</v>
      </c>
      <c r="W350" s="264">
        <f t="shared" si="189"/>
        <v>2022</v>
      </c>
      <c r="X350" s="264">
        <f t="shared" si="189"/>
        <v>2023</v>
      </c>
      <c r="Y350" s="594">
        <f t="shared" ref="Y350:AE350" si="190">Y$50</f>
        <v>2024</v>
      </c>
      <c r="Z350" s="594">
        <f t="shared" si="190"/>
        <v>2025</v>
      </c>
      <c r="AA350" s="594">
        <f t="shared" si="190"/>
        <v>2026</v>
      </c>
      <c r="AB350" s="594">
        <f t="shared" si="190"/>
        <v>2027</v>
      </c>
      <c r="AC350" s="594">
        <f t="shared" si="190"/>
        <v>2028</v>
      </c>
      <c r="AD350" s="594">
        <f t="shared" si="190"/>
        <v>2029</v>
      </c>
      <c r="AE350" s="594">
        <f t="shared" si="190"/>
        <v>2030</v>
      </c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</row>
    <row r="351" spans="1:82">
      <c r="A351" s="36" t="s">
        <v>200</v>
      </c>
      <c r="B351" s="92">
        <f>Base!B184</f>
        <v>1.4572218984957084</v>
      </c>
      <c r="C351" s="92">
        <f>Base!C184</f>
        <v>-12.183814094514439</v>
      </c>
      <c r="D351" s="92">
        <f>Base!D184</f>
        <v>-1.4115454305794428</v>
      </c>
      <c r="E351" s="92">
        <f>Base!E184</f>
        <v>-0.62164798842903768</v>
      </c>
      <c r="F351" s="92">
        <f>Base!F184</f>
        <v>-11.905317985981611</v>
      </c>
      <c r="G351" s="92">
        <f>Base!G184</f>
        <v>-14.85413288499819</v>
      </c>
      <c r="H351" s="92">
        <f>Base!H184</f>
        <v>-18.876259537209229</v>
      </c>
      <c r="I351" s="92">
        <f>Base!I184</f>
        <v>-29.006682168884112</v>
      </c>
      <c r="J351" s="92">
        <f>Base!J184</f>
        <v>-0.88001498995991689</v>
      </c>
      <c r="K351" s="92">
        <f>Base!K184</f>
        <v>-1.1561041436562498</v>
      </c>
      <c r="L351" s="92">
        <f>Base!L184</f>
        <v>-7.83225622128501</v>
      </c>
      <c r="M351" s="92">
        <f>Base!M184</f>
        <v>-1.1526539454490714</v>
      </c>
      <c r="N351" s="92">
        <f>Base!N184</f>
        <v>-3.1587334166419296</v>
      </c>
      <c r="O351" s="92">
        <f>Base!O184</f>
        <v>-11.736152950920941</v>
      </c>
      <c r="P351" s="92">
        <f>Base!P184</f>
        <v>-8.1420174244749877</v>
      </c>
      <c r="Q351" s="92">
        <f>Base!Q184</f>
        <v>-13.109949170421721</v>
      </c>
      <c r="R351" s="92">
        <f>Base!R184</f>
        <v>-5.9290677557149589</v>
      </c>
      <c r="S351" s="92">
        <f>Base!S184</f>
        <v>-16.149337371990928</v>
      </c>
      <c r="T351" s="329">
        <f>Base!T184</f>
        <v>-13.765504679860427</v>
      </c>
      <c r="U351" s="329">
        <f>Base!U184</f>
        <v>-2.6184933848882124</v>
      </c>
      <c r="V351" s="329">
        <f>Base!V184</f>
        <v>-1.4732765513272545</v>
      </c>
      <c r="W351" s="329">
        <f>Base!W184</f>
        <v>-3.6812557890628406</v>
      </c>
      <c r="X351" s="329">
        <f>Base!X184</f>
        <v>-3.0459699307820109</v>
      </c>
      <c r="Y351" s="329">
        <f>Base!Y184</f>
        <v>-3.0798560935884831</v>
      </c>
      <c r="Z351" s="329">
        <f>Base!Z184</f>
        <v>-3.0826214953713289</v>
      </c>
      <c r="AA351" s="329">
        <f>Base!AA184</f>
        <v>-3.1141987508793174</v>
      </c>
      <c r="AB351" s="329">
        <f>Base!AB184</f>
        <v>-3.1575594519510486</v>
      </c>
      <c r="AC351" s="329">
        <f>Base!AC184</f>
        <v>-3.1600131709950872</v>
      </c>
      <c r="AD351" s="329">
        <f>Base!AD184</f>
        <v>-3.1625051562282116</v>
      </c>
      <c r="AE351" s="329">
        <f>Base!AE184</f>
        <v>-3.1625137638676453</v>
      </c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</row>
    <row r="352" spans="1:82">
      <c r="A352" s="36" t="s">
        <v>201</v>
      </c>
      <c r="B352" s="92">
        <f>Bull!B184</f>
        <v>1.4572218984957084</v>
      </c>
      <c r="C352" s="92">
        <f>Bull!C184</f>
        <v>-12.183814094514439</v>
      </c>
      <c r="D352" s="92">
        <f>Bull!D184</f>
        <v>-1.4115454305794428</v>
      </c>
      <c r="E352" s="92">
        <f>Bull!E184</f>
        <v>-0.62164798842903768</v>
      </c>
      <c r="F352" s="92">
        <f>Bull!F184</f>
        <v>-11.905317985981611</v>
      </c>
      <c r="G352" s="92">
        <f>Bull!G184</f>
        <v>-14.85413288499819</v>
      </c>
      <c r="H352" s="92">
        <f>Bull!H184</f>
        <v>-18.876259537209229</v>
      </c>
      <c r="I352" s="92">
        <f>Bull!I184</f>
        <v>-29.006682168884112</v>
      </c>
      <c r="J352" s="92">
        <f>Bull!J184</f>
        <v>-0.88001498995991689</v>
      </c>
      <c r="K352" s="92">
        <f>Bull!K184</f>
        <v>-1.1561041436562498</v>
      </c>
      <c r="L352" s="92">
        <f>Bull!L184</f>
        <v>-7.83225622128501</v>
      </c>
      <c r="M352" s="92">
        <f>Bull!M184</f>
        <v>-1.1526539454490714</v>
      </c>
      <c r="N352" s="92">
        <f>Bull!N184</f>
        <v>-3.1587334166419296</v>
      </c>
      <c r="O352" s="92">
        <f>Bull!O184</f>
        <v>-11.736152950920941</v>
      </c>
      <c r="P352" s="92">
        <f>Bull!P184</f>
        <v>-8.1420174244749877</v>
      </c>
      <c r="Q352" s="92">
        <f>Bull!Q184</f>
        <v>-13.109949170421721</v>
      </c>
      <c r="R352" s="92">
        <f>Bull!R184</f>
        <v>-5.9290677557149589</v>
      </c>
      <c r="S352" s="92">
        <f>Bull!S184</f>
        <v>-16.149337371990928</v>
      </c>
      <c r="T352" s="329">
        <f>Bull!T184</f>
        <v>-13.765504679860427</v>
      </c>
      <c r="U352" s="329">
        <f>Bull!U184</f>
        <v>-2.6184933848882124</v>
      </c>
      <c r="V352" s="329">
        <f>Bull!V184</f>
        <v>-1.4732765513272545</v>
      </c>
      <c r="W352" s="329">
        <f>Bull!W184</f>
        <v>-3.6812557890628406</v>
      </c>
      <c r="X352" s="329">
        <f>Bull!X184</f>
        <v>-3.0459699307820109</v>
      </c>
      <c r="Y352" s="329">
        <f>Bull!Y184</f>
        <v>-2.9993736052933553</v>
      </c>
      <c r="Z352" s="329">
        <f>Bull!Z184</f>
        <v>-2.9990422264193346</v>
      </c>
      <c r="AA352" s="329">
        <f>Bull!AA184</f>
        <v>-3.030078169975877</v>
      </c>
      <c r="AB352" s="329">
        <f>Bull!AB184</f>
        <v>-3.0727266443879464</v>
      </c>
      <c r="AC352" s="329">
        <f>Bull!AC184</f>
        <v>-3.2069548633228089</v>
      </c>
      <c r="AD352" s="329">
        <f>Bull!AD184</f>
        <v>-3.2085716648467684</v>
      </c>
      <c r="AE352" s="329">
        <f>Bull!AE184</f>
        <v>-3.2077109624635125</v>
      </c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</row>
    <row r="353" spans="1:82">
      <c r="A353" s="36" t="s">
        <v>202</v>
      </c>
      <c r="B353" s="92">
        <f>Bear!B184</f>
        <v>1.4572218984957084</v>
      </c>
      <c r="C353" s="92">
        <f>Bear!C184</f>
        <v>-12.183814094514439</v>
      </c>
      <c r="D353" s="92">
        <f>Bear!D184</f>
        <v>-1.4115454305794428</v>
      </c>
      <c r="E353" s="92">
        <f>Bear!E184</f>
        <v>-0.62164798842903768</v>
      </c>
      <c r="F353" s="92">
        <f>Bear!F184</f>
        <v>-11.905317985981611</v>
      </c>
      <c r="G353" s="92">
        <f>Bear!G184</f>
        <v>-14.85413288499819</v>
      </c>
      <c r="H353" s="92">
        <f>Bear!H184</f>
        <v>-18.876259537209229</v>
      </c>
      <c r="I353" s="92">
        <f>Bear!I184</f>
        <v>-29.006682168884112</v>
      </c>
      <c r="J353" s="92">
        <f>Bear!J184</f>
        <v>-0.88001498995991689</v>
      </c>
      <c r="K353" s="92">
        <f>Bear!K184</f>
        <v>-1.1561041436562498</v>
      </c>
      <c r="L353" s="92">
        <f>Bear!L184</f>
        <v>-7.83225622128501</v>
      </c>
      <c r="M353" s="92">
        <f>Bear!M184</f>
        <v>-1.1526539454490714</v>
      </c>
      <c r="N353" s="92">
        <f>Bear!N184</f>
        <v>-3.1587334166419296</v>
      </c>
      <c r="O353" s="92">
        <f>Bear!O184</f>
        <v>-11.736152950920941</v>
      </c>
      <c r="P353" s="92">
        <f>Bear!P184</f>
        <v>-8.1420174244749877</v>
      </c>
      <c r="Q353" s="92">
        <f>Bear!Q184</f>
        <v>-13.109949170421721</v>
      </c>
      <c r="R353" s="92">
        <f>Bear!R184</f>
        <v>-5.9290677557149589</v>
      </c>
      <c r="S353" s="92">
        <f>Bear!S184</f>
        <v>-16.149337371990928</v>
      </c>
      <c r="T353" s="329">
        <f>Bear!T184</f>
        <v>-13.765504679860427</v>
      </c>
      <c r="U353" s="329">
        <f>Bear!U184</f>
        <v>-2.6184933848882124</v>
      </c>
      <c r="V353" s="329">
        <f>Bear!V184</f>
        <v>-1.4732765513272545</v>
      </c>
      <c r="W353" s="329">
        <f>Bear!W184</f>
        <v>-3.6812557890628406</v>
      </c>
      <c r="X353" s="329">
        <f>Bear!X184</f>
        <v>-3.0459699307820109</v>
      </c>
      <c r="Y353" s="329">
        <f>Bear!Y184</f>
        <v>-3.5057009472566136</v>
      </c>
      <c r="Z353" s="329">
        <f>Bear!Z184</f>
        <v>-3.5102910595722912</v>
      </c>
      <c r="AA353" s="329">
        <f>Bear!AA184</f>
        <v>-3.5440307083678491</v>
      </c>
      <c r="AB353" s="329">
        <f>Bear!AB184</f>
        <v>-3.5900937062852893</v>
      </c>
      <c r="AC353" s="329">
        <f>Bear!AC184</f>
        <v>-3.8143251700002589</v>
      </c>
      <c r="AD353" s="329">
        <f>Bear!AD184</f>
        <v>-3.8181183128933682</v>
      </c>
      <c r="AE353" s="329">
        <f>Bear!AE184</f>
        <v>-3.8186957709514759</v>
      </c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</row>
    <row r="354" spans="1:82">
      <c r="A354" s="36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329"/>
      <c r="U354" s="329"/>
      <c r="V354" s="329"/>
      <c r="W354" s="329"/>
      <c r="X354" s="329"/>
      <c r="Y354" s="329"/>
      <c r="Z354" s="329"/>
      <c r="AA354" s="329"/>
      <c r="AB354" s="329"/>
      <c r="AC354" s="329"/>
      <c r="AD354" s="329"/>
      <c r="AE354" s="32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</row>
    <row r="355" spans="1:82">
      <c r="A355" s="242" t="s">
        <v>98</v>
      </c>
      <c r="B355" s="264">
        <v>2001</v>
      </c>
      <c r="C355" s="264">
        <v>2002</v>
      </c>
      <c r="D355" s="264">
        <v>2003</v>
      </c>
      <c r="E355" s="264">
        <v>2004</v>
      </c>
      <c r="F355" s="264">
        <v>2005</v>
      </c>
      <c r="G355" s="264">
        <v>2006</v>
      </c>
      <c r="H355" s="264">
        <v>2007</v>
      </c>
      <c r="I355" s="264">
        <v>2008</v>
      </c>
      <c r="J355" s="264">
        <f t="shared" ref="J355:R355" si="191">J$50</f>
        <v>2009</v>
      </c>
      <c r="K355" s="264">
        <f t="shared" si="191"/>
        <v>2010</v>
      </c>
      <c r="L355" s="264">
        <f t="shared" si="191"/>
        <v>2011</v>
      </c>
      <c r="M355" s="264">
        <f t="shared" si="191"/>
        <v>2012</v>
      </c>
      <c r="N355" s="264">
        <f t="shared" si="191"/>
        <v>2013</v>
      </c>
      <c r="O355" s="264">
        <f t="shared" si="191"/>
        <v>2014</v>
      </c>
      <c r="P355" s="264">
        <f t="shared" si="191"/>
        <v>2015</v>
      </c>
      <c r="Q355" s="264">
        <f t="shared" si="191"/>
        <v>2016</v>
      </c>
      <c r="R355" s="264">
        <f t="shared" si="191"/>
        <v>2017</v>
      </c>
      <c r="S355" s="264">
        <f t="shared" ref="S355:X355" si="192">S$6</f>
        <v>2018</v>
      </c>
      <c r="T355" s="264">
        <f t="shared" si="192"/>
        <v>2019</v>
      </c>
      <c r="U355" s="264">
        <f t="shared" si="192"/>
        <v>2020</v>
      </c>
      <c r="V355" s="264">
        <f t="shared" si="192"/>
        <v>2021</v>
      </c>
      <c r="W355" s="264">
        <f t="shared" si="192"/>
        <v>2022</v>
      </c>
      <c r="X355" s="264">
        <f t="shared" si="192"/>
        <v>2023</v>
      </c>
      <c r="Y355" s="594">
        <f t="shared" ref="Y355:AE355" si="193">Y$50</f>
        <v>2024</v>
      </c>
      <c r="Z355" s="594">
        <f t="shared" si="193"/>
        <v>2025</v>
      </c>
      <c r="AA355" s="594">
        <f t="shared" si="193"/>
        <v>2026</v>
      </c>
      <c r="AB355" s="594">
        <f t="shared" si="193"/>
        <v>2027</v>
      </c>
      <c r="AC355" s="594">
        <f t="shared" si="193"/>
        <v>2028</v>
      </c>
      <c r="AD355" s="594">
        <f t="shared" si="193"/>
        <v>2029</v>
      </c>
      <c r="AE355" s="594">
        <f t="shared" si="193"/>
        <v>2030</v>
      </c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</row>
    <row r="356" spans="1:82">
      <c r="A356" s="36" t="s">
        <v>200</v>
      </c>
      <c r="B356" s="92">
        <f>Base!B166</f>
        <v>43.146000000000015</v>
      </c>
      <c r="C356" s="92">
        <f>Base!C166</f>
        <v>-140.97900000000001</v>
      </c>
      <c r="D356" s="92">
        <f>Base!D166</f>
        <v>-160.66800000000001</v>
      </c>
      <c r="E356" s="92">
        <f>Base!E166</f>
        <v>-48.488</v>
      </c>
      <c r="F356" s="92">
        <f>Base!F166</f>
        <v>604.29999999999995</v>
      </c>
      <c r="G356" s="92">
        <f>Base!G166</f>
        <v>253.01400000000001</v>
      </c>
      <c r="H356" s="92">
        <f>Base!H166</f>
        <v>824.12300000000005</v>
      </c>
      <c r="I356" s="92">
        <f>Base!I166</f>
        <v>1128.3149999999998</v>
      </c>
      <c r="J356" s="92">
        <f>Base!J166</f>
        <v>864.92000000000007</v>
      </c>
      <c r="K356" s="92">
        <f>Base!K166</f>
        <v>1015.8440000000001</v>
      </c>
      <c r="L356" s="92">
        <f>Base!L166</f>
        <v>3317.152</v>
      </c>
      <c r="M356" s="92">
        <f>Base!M166</f>
        <v>1541.886</v>
      </c>
      <c r="N356" s="92">
        <f>Base!N166</f>
        <v>4380.3469999999998</v>
      </c>
      <c r="O356" s="92">
        <f>Base!O166</f>
        <v>10126.329</v>
      </c>
      <c r="P356" s="92">
        <f>Base!P166</f>
        <v>11037.527</v>
      </c>
      <c r="Q356" s="92">
        <f>Base!Q166</f>
        <v>12292.046999999999</v>
      </c>
      <c r="R356" s="92">
        <f>Base!R166</f>
        <v>16501.033000000003</v>
      </c>
      <c r="S356" s="92">
        <f>Base!S166</f>
        <v>26128.074999999997</v>
      </c>
      <c r="T356" s="329">
        <f>Base!T166</f>
        <v>47623.216</v>
      </c>
      <c r="U356" s="329">
        <f>Base!U166</f>
        <v>59736.148999999998</v>
      </c>
      <c r="V356" s="329">
        <f>Base!V166</f>
        <v>54318.394</v>
      </c>
      <c r="W356" s="329">
        <f>Base!W166</f>
        <v>48531.94</v>
      </c>
      <c r="X356" s="329">
        <f>Base!X166</f>
        <v>43336.389000000003</v>
      </c>
      <c r="Y356" s="329">
        <f>Base!Y166</f>
        <v>48496.485091525967</v>
      </c>
      <c r="Z356" s="329">
        <f>Base!Z166</f>
        <v>47988.07409030549</v>
      </c>
      <c r="AA356" s="329">
        <f>Base!AA166</f>
        <v>46823.545876291428</v>
      </c>
      <c r="AB356" s="329">
        <f>Base!AB166</f>
        <v>44986.378747360388</v>
      </c>
      <c r="AC356" s="329">
        <f>Base!AC166</f>
        <v>43420.517876097816</v>
      </c>
      <c r="AD356" s="329">
        <f>Base!AD166</f>
        <v>41655.351400899148</v>
      </c>
      <c r="AE356" s="329">
        <f>Base!AE166</f>
        <v>39388.03098519177</v>
      </c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</row>
    <row r="357" spans="1:82">
      <c r="A357" s="36" t="s">
        <v>201</v>
      </c>
      <c r="B357" s="92">
        <f>Bull!B166</f>
        <v>43.146000000000015</v>
      </c>
      <c r="C357" s="92">
        <f>Bull!C166</f>
        <v>-140.97900000000001</v>
      </c>
      <c r="D357" s="92">
        <f>Bull!D166</f>
        <v>-160.66800000000001</v>
      </c>
      <c r="E357" s="92">
        <f>Bull!E166</f>
        <v>-48.488</v>
      </c>
      <c r="F357" s="92">
        <f>Bull!F166</f>
        <v>604.29999999999995</v>
      </c>
      <c r="G357" s="92">
        <f>Bull!G166</f>
        <v>253.01400000000001</v>
      </c>
      <c r="H357" s="92">
        <f>Bull!H166</f>
        <v>824.12300000000005</v>
      </c>
      <c r="I357" s="92">
        <f>Bull!I166</f>
        <v>1128.3149999999998</v>
      </c>
      <c r="J357" s="92">
        <f>Bull!J166</f>
        <v>864.92000000000007</v>
      </c>
      <c r="K357" s="92">
        <f>Bull!K166</f>
        <v>1015.8440000000001</v>
      </c>
      <c r="L357" s="92">
        <f>Bull!L166</f>
        <v>3317.152</v>
      </c>
      <c r="M357" s="92">
        <f>Bull!M166</f>
        <v>1541.886</v>
      </c>
      <c r="N357" s="92">
        <f>Bull!N166</f>
        <v>4380.3469999999998</v>
      </c>
      <c r="O357" s="92">
        <f>Bull!O166</f>
        <v>10126.329</v>
      </c>
      <c r="P357" s="92">
        <f>Bull!P166</f>
        <v>11037.527</v>
      </c>
      <c r="Q357" s="92">
        <f>Bull!Q166</f>
        <v>12292.046999999999</v>
      </c>
      <c r="R357" s="92">
        <f>Bull!R166</f>
        <v>16501.033000000003</v>
      </c>
      <c r="S357" s="92">
        <f>Bull!S166</f>
        <v>26128.074999999997</v>
      </c>
      <c r="T357" s="329">
        <f>Bull!T166</f>
        <v>47623.216</v>
      </c>
      <c r="U357" s="329">
        <f>Bull!U166</f>
        <v>59736.148999999998</v>
      </c>
      <c r="V357" s="329">
        <f>Bull!V166</f>
        <v>54318.394</v>
      </c>
      <c r="W357" s="329">
        <f>Bull!W166</f>
        <v>48531.94</v>
      </c>
      <c r="X357" s="329">
        <f>Bull!X166</f>
        <v>43336.389000000003</v>
      </c>
      <c r="Y357" s="329">
        <f>Bull!Y166</f>
        <v>48213.875079783946</v>
      </c>
      <c r="Z357" s="329">
        <f>Bull!Z166</f>
        <v>47330.147150530043</v>
      </c>
      <c r="AA357" s="329">
        <f>Bull!AA166</f>
        <v>45809.919686949768</v>
      </c>
      <c r="AB357" s="329">
        <f>Bull!AB166</f>
        <v>43608.868432576215</v>
      </c>
      <c r="AC357" s="329">
        <f>Bull!AC166</f>
        <v>41004.310614880538</v>
      </c>
      <c r="AD357" s="329">
        <f>Bull!AD166</f>
        <v>38190.649169812386</v>
      </c>
      <c r="AE357" s="329">
        <f>Bull!AE166</f>
        <v>34855.392576328508</v>
      </c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</row>
    <row r="358" spans="1:82">
      <c r="A358" s="36" t="s">
        <v>202</v>
      </c>
      <c r="B358" s="92">
        <f>Bear!B166</f>
        <v>43.146000000000015</v>
      </c>
      <c r="C358" s="92">
        <f>Bear!C166</f>
        <v>-140.97900000000001</v>
      </c>
      <c r="D358" s="92">
        <f>Bear!D166</f>
        <v>-160.66800000000001</v>
      </c>
      <c r="E358" s="92">
        <f>Bear!E166</f>
        <v>-48.488</v>
      </c>
      <c r="F358" s="92">
        <f>Bear!F166</f>
        <v>604.29999999999995</v>
      </c>
      <c r="G358" s="92">
        <f>Bear!G166</f>
        <v>253.01400000000001</v>
      </c>
      <c r="H358" s="92">
        <f>Bear!H166</f>
        <v>824.12300000000005</v>
      </c>
      <c r="I358" s="92">
        <f>Bear!I166</f>
        <v>1128.3149999999998</v>
      </c>
      <c r="J358" s="92">
        <f>Bear!J166</f>
        <v>864.92000000000007</v>
      </c>
      <c r="K358" s="92">
        <f>Bear!K166</f>
        <v>1015.8440000000001</v>
      </c>
      <c r="L358" s="92">
        <f>Bear!L166</f>
        <v>3317.152</v>
      </c>
      <c r="M358" s="92">
        <f>Bear!M166</f>
        <v>1541.886</v>
      </c>
      <c r="N358" s="92">
        <f>Bear!N166</f>
        <v>4380.3469999999998</v>
      </c>
      <c r="O358" s="92">
        <f>Bear!O166</f>
        <v>10126.329</v>
      </c>
      <c r="P358" s="92">
        <f>Bear!P166</f>
        <v>11037.527</v>
      </c>
      <c r="Q358" s="92">
        <f>Bear!Q166</f>
        <v>12292.046999999999</v>
      </c>
      <c r="R358" s="92">
        <f>Bear!R166</f>
        <v>16501.033000000003</v>
      </c>
      <c r="S358" s="92">
        <f>Bear!S166</f>
        <v>26128.074999999997</v>
      </c>
      <c r="T358" s="329">
        <f>Bear!T166</f>
        <v>47623.216</v>
      </c>
      <c r="U358" s="329">
        <f>Bear!U166</f>
        <v>59736.148999999998</v>
      </c>
      <c r="V358" s="329">
        <f>Bear!V166</f>
        <v>54318.394</v>
      </c>
      <c r="W358" s="329">
        <f>Bear!W166</f>
        <v>48531.94</v>
      </c>
      <c r="X358" s="329">
        <f>Bear!X166</f>
        <v>43336.389000000003</v>
      </c>
      <c r="Y358" s="329">
        <f>Bear!Y166</f>
        <v>48346.069794778654</v>
      </c>
      <c r="Z358" s="329">
        <f>Bear!Z166</f>
        <v>46531.55116345975</v>
      </c>
      <c r="AA358" s="329">
        <f>Bear!AA166</f>
        <v>43880.669059927197</v>
      </c>
      <c r="AB358" s="329">
        <f>Bear!AB166</f>
        <v>40219.416268422639</v>
      </c>
      <c r="AC358" s="329">
        <f>Bear!AC166</f>
        <v>37348.334594359258</v>
      </c>
      <c r="AD358" s="329">
        <f>Bear!AD166</f>
        <v>34412.978805704952</v>
      </c>
      <c r="AE358" s="329">
        <f>Bear!AE166</f>
        <v>30971.19328468974</v>
      </c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</row>
    <row r="359" spans="1:82">
      <c r="A359" s="36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329"/>
      <c r="U359" s="329"/>
      <c r="V359" s="329"/>
      <c r="W359" s="329"/>
      <c r="X359" s="329"/>
      <c r="Y359" s="329"/>
      <c r="Z359" s="329"/>
      <c r="AA359" s="329"/>
      <c r="AB359" s="329"/>
      <c r="AC359" s="329"/>
      <c r="AD359" s="329"/>
      <c r="AE359" s="32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</row>
    <row r="360" spans="1:82">
      <c r="A360" s="1654" t="s">
        <v>1376</v>
      </c>
      <c r="B360" s="264">
        <v>2001</v>
      </c>
      <c r="C360" s="264">
        <v>2002</v>
      </c>
      <c r="D360" s="264">
        <v>2003</v>
      </c>
      <c r="E360" s="264">
        <v>2004</v>
      </c>
      <c r="F360" s="264">
        <v>2005</v>
      </c>
      <c r="G360" s="264">
        <v>2006</v>
      </c>
      <c r="H360" s="264">
        <v>2007</v>
      </c>
      <c r="I360" s="264">
        <v>2008</v>
      </c>
      <c r="J360" s="264">
        <f t="shared" ref="J360:R360" si="194">J$50</f>
        <v>2009</v>
      </c>
      <c r="K360" s="264">
        <f t="shared" si="194"/>
        <v>2010</v>
      </c>
      <c r="L360" s="264">
        <f t="shared" si="194"/>
        <v>2011</v>
      </c>
      <c r="M360" s="264">
        <f t="shared" si="194"/>
        <v>2012</v>
      </c>
      <c r="N360" s="264">
        <f t="shared" si="194"/>
        <v>2013</v>
      </c>
      <c r="O360" s="264">
        <f t="shared" si="194"/>
        <v>2014</v>
      </c>
      <c r="P360" s="264">
        <f t="shared" si="194"/>
        <v>2015</v>
      </c>
      <c r="Q360" s="264">
        <f t="shared" si="194"/>
        <v>2016</v>
      </c>
      <c r="R360" s="264">
        <f t="shared" si="194"/>
        <v>2017</v>
      </c>
      <c r="S360" s="264">
        <f t="shared" ref="S360:X360" si="195">S$6</f>
        <v>2018</v>
      </c>
      <c r="T360" s="264">
        <f t="shared" si="195"/>
        <v>2019</v>
      </c>
      <c r="U360" s="264">
        <f t="shared" si="195"/>
        <v>2020</v>
      </c>
      <c r="V360" s="264">
        <f t="shared" si="195"/>
        <v>2021</v>
      </c>
      <c r="W360" s="264">
        <f t="shared" si="195"/>
        <v>2022</v>
      </c>
      <c r="X360" s="264">
        <f t="shared" si="195"/>
        <v>2023</v>
      </c>
      <c r="Y360" s="594">
        <f t="shared" ref="Y360:AE360" si="196">Y$50</f>
        <v>2024</v>
      </c>
      <c r="Z360" s="594">
        <f t="shared" si="196"/>
        <v>2025</v>
      </c>
      <c r="AA360" s="594">
        <f t="shared" si="196"/>
        <v>2026</v>
      </c>
      <c r="AB360" s="594">
        <f t="shared" si="196"/>
        <v>2027</v>
      </c>
      <c r="AC360" s="594">
        <f t="shared" si="196"/>
        <v>2028</v>
      </c>
      <c r="AD360" s="594">
        <f t="shared" si="196"/>
        <v>2029</v>
      </c>
      <c r="AE360" s="594">
        <f t="shared" si="196"/>
        <v>2030</v>
      </c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</row>
    <row r="361" spans="1:82">
      <c r="A361" s="36" t="s">
        <v>200</v>
      </c>
      <c r="B361" s="92">
        <f>Base!B169</f>
        <v>43.146000000000015</v>
      </c>
      <c r="C361" s="92">
        <f>Base!C169</f>
        <v>-140.97900000000001</v>
      </c>
      <c r="D361" s="92">
        <f>Base!D169</f>
        <v>-160.66800000000001</v>
      </c>
      <c r="E361" s="92">
        <f>Base!E169</f>
        <v>-48.488</v>
      </c>
      <c r="F361" s="92">
        <f>Base!F169</f>
        <v>604.29999999999995</v>
      </c>
      <c r="G361" s="92">
        <f>Base!G169</f>
        <v>253.01400000000001</v>
      </c>
      <c r="H361" s="92">
        <f>Base!H169</f>
        <v>824.12300000000005</v>
      </c>
      <c r="I361" s="92">
        <f>Base!I169</f>
        <v>1128.3149999999998</v>
      </c>
      <c r="J361" s="92">
        <f>Base!J169</f>
        <v>864.92000000000007</v>
      </c>
      <c r="K361" s="92">
        <f>Base!K169</f>
        <v>1015.8440000000001</v>
      </c>
      <c r="L361" s="92">
        <f>Base!L169</f>
        <v>3317.152</v>
      </c>
      <c r="M361" s="92">
        <f>Base!M169</f>
        <v>1541.886</v>
      </c>
      <c r="N361" s="92">
        <f>Base!N169</f>
        <v>4380.3469999999998</v>
      </c>
      <c r="O361" s="92">
        <f>Base!O169</f>
        <v>10126.329</v>
      </c>
      <c r="P361" s="92">
        <f>Base!P169</f>
        <v>11037.527</v>
      </c>
      <c r="Q361" s="92">
        <f>Base!Q169</f>
        <v>12292.046999999999</v>
      </c>
      <c r="R361" s="92">
        <f>Base!R169</f>
        <v>16501.033000000003</v>
      </c>
      <c r="S361" s="92">
        <f>Base!S169</f>
        <v>26128.074999999997</v>
      </c>
      <c r="T361" s="329">
        <f>Base!T169</f>
        <v>25061.356</v>
      </c>
      <c r="U361" s="329">
        <f>Base!U169</f>
        <v>34436.148999999998</v>
      </c>
      <c r="V361" s="329">
        <f>Base!V169</f>
        <v>30555.119999999999</v>
      </c>
      <c r="W361" s="329">
        <f>Base!W169</f>
        <v>26550.129000000001</v>
      </c>
      <c r="X361" s="329">
        <f>Base!X169</f>
        <v>25006.322000000004</v>
      </c>
      <c r="Y361" s="329">
        <f>Base!Y169</f>
        <v>29805.004794502551</v>
      </c>
      <c r="Z361" s="329">
        <f>Base!Z169</f>
        <v>28866.392520840924</v>
      </c>
      <c r="AA361" s="329">
        <f>Base!AA169</f>
        <v>27217.442025136697</v>
      </c>
      <c r="AB361" s="329">
        <f>Base!AB169</f>
        <v>24959.023577735155</v>
      </c>
      <c r="AC361" s="329">
        <f>Base!AC169</f>
        <v>23019.44601103332</v>
      </c>
      <c r="AD361" s="329">
        <f>Base!AD169</f>
        <v>20885.701553602106</v>
      </c>
      <c r="AE361" s="329">
        <f>Base!AE169</f>
        <v>18304.581030766731</v>
      </c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</row>
    <row r="362" spans="1:82">
      <c r="A362" s="36" t="s">
        <v>201</v>
      </c>
      <c r="B362" s="92">
        <f>Bull!B169</f>
        <v>43.146000000000015</v>
      </c>
      <c r="C362" s="92">
        <f>Bull!C169</f>
        <v>-140.97900000000001</v>
      </c>
      <c r="D362" s="92">
        <f>Bull!D169</f>
        <v>-160.66800000000001</v>
      </c>
      <c r="E362" s="92">
        <f>Bull!E169</f>
        <v>-48.488</v>
      </c>
      <c r="F362" s="92">
        <f>Bull!F169</f>
        <v>604.29999999999995</v>
      </c>
      <c r="G362" s="92">
        <f>Bull!G169</f>
        <v>253.01400000000001</v>
      </c>
      <c r="H362" s="92">
        <f>Bull!H169</f>
        <v>824.12300000000005</v>
      </c>
      <c r="I362" s="92">
        <f>Bull!I169</f>
        <v>1128.3149999999998</v>
      </c>
      <c r="J362" s="92">
        <f>Bull!J169</f>
        <v>864.92000000000007</v>
      </c>
      <c r="K362" s="92">
        <f>Bull!K169</f>
        <v>1015.8440000000001</v>
      </c>
      <c r="L362" s="92">
        <f>Bull!L169</f>
        <v>3317.152</v>
      </c>
      <c r="M362" s="92">
        <f>Bull!M169</f>
        <v>1541.886</v>
      </c>
      <c r="N362" s="92">
        <f>Bull!N169</f>
        <v>4380.3469999999998</v>
      </c>
      <c r="O362" s="92">
        <f>Bull!O169</f>
        <v>10126.329</v>
      </c>
      <c r="P362" s="92">
        <f>Bull!P169</f>
        <v>11037.527</v>
      </c>
      <c r="Q362" s="92">
        <f>Bull!Q169</f>
        <v>12292.046999999999</v>
      </c>
      <c r="R362" s="92">
        <f>Bull!R169</f>
        <v>16501.033000000003</v>
      </c>
      <c r="S362" s="92">
        <f>Bull!S169</f>
        <v>26128.074999999997</v>
      </c>
      <c r="T362" s="329">
        <f>Bull!T169</f>
        <v>25061.356</v>
      </c>
      <c r="U362" s="329">
        <f>Bull!U169</f>
        <v>34436.148999999998</v>
      </c>
      <c r="V362" s="329">
        <f>Bull!V169</f>
        <v>30555.119999999999</v>
      </c>
      <c r="W362" s="329">
        <f>Bull!W169</f>
        <v>26550.129000000001</v>
      </c>
      <c r="X362" s="329">
        <f>Bull!X169</f>
        <v>25006.322000000004</v>
      </c>
      <c r="Y362" s="329">
        <f>Bull!Y169</f>
        <v>29555.983540052861</v>
      </c>
      <c r="Z362" s="329">
        <f>Bull!Z169</f>
        <v>28254.747659412751</v>
      </c>
      <c r="AA362" s="329">
        <f>Bull!AA169</f>
        <v>26263.152295934149</v>
      </c>
      <c r="AB362" s="329">
        <f>Bull!AB169</f>
        <v>23653.67866129391</v>
      </c>
      <c r="AC362" s="329">
        <f>Bull!AC169</f>
        <v>20598.154699311617</v>
      </c>
      <c r="AD362" s="329">
        <f>Bull!AD169</f>
        <v>17422.555543185579</v>
      </c>
      <c r="AE362" s="329">
        <f>Bull!AE169</f>
        <v>13780.842089412807</v>
      </c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</row>
    <row r="363" spans="1:82">
      <c r="A363" s="36" t="s">
        <v>202</v>
      </c>
      <c r="B363" s="92">
        <f>Bear!B169</f>
        <v>43.146000000000015</v>
      </c>
      <c r="C363" s="92">
        <f>Bear!C169</f>
        <v>-140.97900000000001</v>
      </c>
      <c r="D363" s="92">
        <f>Bear!D169</f>
        <v>-160.66800000000001</v>
      </c>
      <c r="E363" s="92">
        <f>Bear!E169</f>
        <v>-48.488</v>
      </c>
      <c r="F363" s="92">
        <f>Bear!F169</f>
        <v>604.29999999999995</v>
      </c>
      <c r="G363" s="92">
        <f>Bear!G169</f>
        <v>253.01400000000001</v>
      </c>
      <c r="H363" s="92">
        <f>Bear!H169</f>
        <v>824.12300000000005</v>
      </c>
      <c r="I363" s="92">
        <f>Bear!I169</f>
        <v>1128.3149999999998</v>
      </c>
      <c r="J363" s="92">
        <f>Bear!J169</f>
        <v>864.92000000000007</v>
      </c>
      <c r="K363" s="92">
        <f>Bear!K169</f>
        <v>1015.8440000000001</v>
      </c>
      <c r="L363" s="92">
        <f>Bear!L169</f>
        <v>3317.152</v>
      </c>
      <c r="M363" s="92">
        <f>Bear!M169</f>
        <v>1541.886</v>
      </c>
      <c r="N363" s="92">
        <f>Bear!N169</f>
        <v>4380.3469999999998</v>
      </c>
      <c r="O363" s="92">
        <f>Bear!O169</f>
        <v>10126.329</v>
      </c>
      <c r="P363" s="92">
        <f>Bear!P169</f>
        <v>11037.527</v>
      </c>
      <c r="Q363" s="92">
        <f>Bear!Q169</f>
        <v>12292.046999999999</v>
      </c>
      <c r="R363" s="92">
        <f>Bear!R169</f>
        <v>16501.033000000003</v>
      </c>
      <c r="S363" s="92">
        <f>Bear!S169</f>
        <v>26128.074999999997</v>
      </c>
      <c r="T363" s="329">
        <f>Bear!T169</f>
        <v>25061.356</v>
      </c>
      <c r="U363" s="329">
        <f>Bear!U169</f>
        <v>34436.148999999998</v>
      </c>
      <c r="V363" s="329">
        <f>Bear!V169</f>
        <v>30555.119999999999</v>
      </c>
      <c r="W363" s="329">
        <f>Bear!W169</f>
        <v>26550.129000000001</v>
      </c>
      <c r="X363" s="329">
        <f>Bear!X169</f>
        <v>25006.322000000004</v>
      </c>
      <c r="Y363" s="329">
        <f>Bear!Y169</f>
        <v>29497.70370733054</v>
      </c>
      <c r="Z363" s="329">
        <f>Bear!Z169</f>
        <v>27338.374848425388</v>
      </c>
      <c r="AA363" s="329">
        <f>Bear!AA169</f>
        <v>24278.474048946475</v>
      </c>
      <c r="AB363" s="329">
        <f>Bear!AB169</f>
        <v>20268.998751703428</v>
      </c>
      <c r="AC363" s="329">
        <f>Bear!AC169</f>
        <v>17105.884142725161</v>
      </c>
      <c r="AD363" s="329">
        <f>Bear!AD169</f>
        <v>13877.689654644328</v>
      </c>
      <c r="AE363" s="329">
        <f>Bear!AE169</f>
        <v>10190.956136367153</v>
      </c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</row>
    <row r="364" spans="1:82">
      <c r="A364" s="36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329"/>
      <c r="U364" s="329"/>
      <c r="V364" s="329"/>
      <c r="W364" s="329"/>
      <c r="X364" s="329"/>
      <c r="Y364" s="329"/>
      <c r="Z364" s="329"/>
      <c r="AA364" s="329"/>
      <c r="AB364" s="329"/>
      <c r="AC364" s="329"/>
      <c r="AD364" s="329"/>
      <c r="AE364" s="32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</row>
    <row r="365" spans="1:82">
      <c r="A365" s="242" t="s">
        <v>95</v>
      </c>
      <c r="B365" s="264">
        <v>2001</v>
      </c>
      <c r="C365" s="264">
        <v>2002</v>
      </c>
      <c r="D365" s="264">
        <v>2003</v>
      </c>
      <c r="E365" s="264">
        <v>2004</v>
      </c>
      <c r="F365" s="264">
        <v>2005</v>
      </c>
      <c r="G365" s="264">
        <v>2006</v>
      </c>
      <c r="H365" s="264">
        <v>2007</v>
      </c>
      <c r="I365" s="264">
        <v>2008</v>
      </c>
      <c r="J365" s="264">
        <f t="shared" ref="J365:R365" si="197">J$50</f>
        <v>2009</v>
      </c>
      <c r="K365" s="264">
        <f t="shared" si="197"/>
        <v>2010</v>
      </c>
      <c r="L365" s="264">
        <f t="shared" si="197"/>
        <v>2011</v>
      </c>
      <c r="M365" s="264">
        <f t="shared" si="197"/>
        <v>2012</v>
      </c>
      <c r="N365" s="264">
        <f t="shared" si="197"/>
        <v>2013</v>
      </c>
      <c r="O365" s="264">
        <f t="shared" si="197"/>
        <v>2014</v>
      </c>
      <c r="P365" s="264">
        <f t="shared" si="197"/>
        <v>2015</v>
      </c>
      <c r="Q365" s="264">
        <f t="shared" si="197"/>
        <v>2016</v>
      </c>
      <c r="R365" s="264">
        <f t="shared" si="197"/>
        <v>2017</v>
      </c>
      <c r="S365" s="264">
        <f t="shared" ref="S365:X365" si="198">S$6</f>
        <v>2018</v>
      </c>
      <c r="T365" s="264">
        <f t="shared" si="198"/>
        <v>2019</v>
      </c>
      <c r="U365" s="264">
        <f t="shared" si="198"/>
        <v>2020</v>
      </c>
      <c r="V365" s="264">
        <f t="shared" si="198"/>
        <v>2021</v>
      </c>
      <c r="W365" s="264">
        <f t="shared" si="198"/>
        <v>2022</v>
      </c>
      <c r="X365" s="264">
        <f t="shared" si="198"/>
        <v>2023</v>
      </c>
      <c r="Y365" s="594">
        <f t="shared" ref="Y365:AE365" si="199">Y$50</f>
        <v>2024</v>
      </c>
      <c r="Z365" s="594">
        <f t="shared" si="199"/>
        <v>2025</v>
      </c>
      <c r="AA365" s="594">
        <f t="shared" si="199"/>
        <v>2026</v>
      </c>
      <c r="AB365" s="594">
        <f t="shared" si="199"/>
        <v>2027</v>
      </c>
      <c r="AC365" s="594">
        <f t="shared" si="199"/>
        <v>2028</v>
      </c>
      <c r="AD365" s="594">
        <f t="shared" si="199"/>
        <v>2029</v>
      </c>
      <c r="AE365" s="594">
        <f t="shared" si="199"/>
        <v>2030</v>
      </c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</row>
    <row r="366" spans="1:82">
      <c r="A366" s="36" t="s">
        <v>200</v>
      </c>
      <c r="B366" s="92">
        <f>Base!B173</f>
        <v>99.024999999999935</v>
      </c>
      <c r="C366" s="92">
        <f>Base!C173</f>
        <v>181.798</v>
      </c>
      <c r="D366" s="92">
        <f>Base!D173</f>
        <v>9.8980000000000814</v>
      </c>
      <c r="E366" s="92">
        <f>Base!E173</f>
        <v>-109.30000000000007</v>
      </c>
      <c r="F366" s="92">
        <f>Base!F173</f>
        <v>-449.02199999999988</v>
      </c>
      <c r="G366" s="92">
        <f>Base!G173</f>
        <v>-30.439999999999372</v>
      </c>
      <c r="H366" s="92">
        <f>Base!H173</f>
        <v>-218.84699999999987</v>
      </c>
      <c r="I366" s="92">
        <f>Base!I173</f>
        <v>-387.78600000000006</v>
      </c>
      <c r="J366" s="92">
        <f>Base!J173</f>
        <v>552.25699999999938</v>
      </c>
      <c r="K366" s="92">
        <f>Base!K173</f>
        <v>-9.9000000000002046</v>
      </c>
      <c r="L366" s="92">
        <f>Base!L173</f>
        <v>-333.62999999999977</v>
      </c>
      <c r="M366" s="92">
        <f>Base!M173</f>
        <v>-1891.1230000000007</v>
      </c>
      <c r="N366" s="92">
        <f>Base!N173</f>
        <v>-1906.1279999999999</v>
      </c>
      <c r="O366" s="92">
        <f>Base!O173</f>
        <v>-10371.472</v>
      </c>
      <c r="P366" s="92">
        <f>Base!P173</f>
        <v>-587.44299999999976</v>
      </c>
      <c r="Q366" s="92">
        <f>Base!Q173</f>
        <v>-479.66799999999967</v>
      </c>
      <c r="R366" s="92">
        <f>Base!R173</f>
        <v>358.46899999999869</v>
      </c>
      <c r="S366" s="92">
        <f>Base!S173</f>
        <v>-12399.8</v>
      </c>
      <c r="T366" s="329">
        <f>Base!T173</f>
        <v>4649.882999999998</v>
      </c>
      <c r="U366" s="329">
        <f>Base!U173</f>
        <v>-3329.8420000000019</v>
      </c>
      <c r="V366" s="329">
        <f>Base!V173</f>
        <v>3166.0110000000022</v>
      </c>
      <c r="W366" s="329">
        <f>Base!W173</f>
        <v>2312.2380000000003</v>
      </c>
      <c r="X366" s="329">
        <f>Base!X173</f>
        <v>1623.7019999999993</v>
      </c>
      <c r="Y366" s="329">
        <f>Base!Y173</f>
        <v>-4023.8797945025558</v>
      </c>
      <c r="Z366" s="329">
        <f>Base!Z173</f>
        <v>821.49964534270066</v>
      </c>
      <c r="AA366" s="329">
        <f>Base!AA173</f>
        <v>2618.6903074394913</v>
      </c>
      <c r="AB366" s="329">
        <f>Base!AB173</f>
        <v>3649.3701272173048</v>
      </c>
      <c r="AC366" s="329">
        <f>Base!AC173</f>
        <v>3480.5941635262425</v>
      </c>
      <c r="AD366" s="329">
        <f>Base!AD173</f>
        <v>3794.8796789604394</v>
      </c>
      <c r="AE366" s="329">
        <f>Base!AE173</f>
        <v>4344.4759793797848</v>
      </c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</row>
    <row r="367" spans="1:82">
      <c r="A367" s="36" t="s">
        <v>201</v>
      </c>
      <c r="B367" s="92">
        <f>Bull!B173</f>
        <v>99.024999999999935</v>
      </c>
      <c r="C367" s="92">
        <f>Bull!C173</f>
        <v>181.798</v>
      </c>
      <c r="D367" s="92">
        <f>Bull!D173</f>
        <v>9.8980000000000814</v>
      </c>
      <c r="E367" s="92">
        <f>Bull!E173</f>
        <v>-109.30000000000007</v>
      </c>
      <c r="F367" s="92">
        <f>Bull!F173</f>
        <v>-449.02199999999988</v>
      </c>
      <c r="G367" s="92">
        <f>Bull!G173</f>
        <v>-30.439999999999372</v>
      </c>
      <c r="H367" s="92">
        <f>Bull!H173</f>
        <v>-218.84699999999987</v>
      </c>
      <c r="I367" s="92">
        <f>Bull!I173</f>
        <v>-387.78600000000006</v>
      </c>
      <c r="J367" s="92">
        <f>Bull!J173</f>
        <v>552.25699999999938</v>
      </c>
      <c r="K367" s="92">
        <f>Bull!K173</f>
        <v>-9.9000000000002046</v>
      </c>
      <c r="L367" s="92">
        <f>Bull!L173</f>
        <v>-333.62999999999977</v>
      </c>
      <c r="M367" s="92">
        <f>Bull!M173</f>
        <v>-1891.1230000000007</v>
      </c>
      <c r="N367" s="92">
        <f>Bull!N173</f>
        <v>-1906.1279999999999</v>
      </c>
      <c r="O367" s="92">
        <f>Bull!O173</f>
        <v>-10371.472</v>
      </c>
      <c r="P367" s="92">
        <f>Bull!P173</f>
        <v>-587.44299999999976</v>
      </c>
      <c r="Q367" s="92">
        <f>Bull!Q173</f>
        <v>-479.66799999999967</v>
      </c>
      <c r="R367" s="92">
        <f>Bull!R173</f>
        <v>358.46899999999869</v>
      </c>
      <c r="S367" s="92">
        <f>Bull!S173</f>
        <v>-12399.8</v>
      </c>
      <c r="T367" s="329">
        <f>Bull!T173</f>
        <v>4649.882999999998</v>
      </c>
      <c r="U367" s="329">
        <f>Bull!U173</f>
        <v>-3329.8420000000019</v>
      </c>
      <c r="V367" s="329">
        <f>Bull!V173</f>
        <v>3166.0110000000022</v>
      </c>
      <c r="W367" s="329">
        <f>Bull!W173</f>
        <v>2312.2380000000003</v>
      </c>
      <c r="X367" s="329">
        <f>Bull!X173</f>
        <v>1623.7019999999993</v>
      </c>
      <c r="Y367" s="329">
        <f>Bull!Y173</f>
        <v>-3774.8585400528623</v>
      </c>
      <c r="Z367" s="329">
        <f>Bull!Z173</f>
        <v>1291.423166177748</v>
      </c>
      <c r="AA367" s="329">
        <f>Bull!AA173</f>
        <v>3109.0271209031353</v>
      </c>
      <c r="AB367" s="329">
        <f>Bull!AB173</f>
        <v>4182.2756764502574</v>
      </c>
      <c r="AC367" s="329">
        <f>Bull!AC173</f>
        <v>4812.6675336234839</v>
      </c>
      <c r="AD367" s="329">
        <f>Bull!AD173</f>
        <v>5109.3892988943917</v>
      </c>
      <c r="AE367" s="329">
        <f>Bull!AE173</f>
        <v>5741.758598685843</v>
      </c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</row>
    <row r="368" spans="1:82">
      <c r="A368" s="36" t="s">
        <v>202</v>
      </c>
      <c r="B368" s="92">
        <f>Bear!B173</f>
        <v>99.024999999999935</v>
      </c>
      <c r="C368" s="92">
        <f>Bear!C173</f>
        <v>181.798</v>
      </c>
      <c r="D368" s="92">
        <f>Bear!D173</f>
        <v>9.8980000000000814</v>
      </c>
      <c r="E368" s="92">
        <f>Bear!E173</f>
        <v>-109.30000000000007</v>
      </c>
      <c r="F368" s="92">
        <f>Bear!F173</f>
        <v>-449.02199999999988</v>
      </c>
      <c r="G368" s="92">
        <f>Bear!G173</f>
        <v>-30.439999999999372</v>
      </c>
      <c r="H368" s="92">
        <f>Bear!H173</f>
        <v>-218.84699999999987</v>
      </c>
      <c r="I368" s="92">
        <f>Bear!I173</f>
        <v>-387.78600000000006</v>
      </c>
      <c r="J368" s="92">
        <f>Bear!J173</f>
        <v>552.25699999999938</v>
      </c>
      <c r="K368" s="92">
        <f>Bear!K173</f>
        <v>-9.9000000000002046</v>
      </c>
      <c r="L368" s="92">
        <f>Bear!L173</f>
        <v>-333.62999999999977</v>
      </c>
      <c r="M368" s="92">
        <f>Bear!M173</f>
        <v>-1891.1230000000007</v>
      </c>
      <c r="N368" s="92">
        <f>Bear!N173</f>
        <v>-1906.1279999999999</v>
      </c>
      <c r="O368" s="92">
        <f>Bear!O173</f>
        <v>-10371.472</v>
      </c>
      <c r="P368" s="92">
        <f>Bear!P173</f>
        <v>-587.44299999999976</v>
      </c>
      <c r="Q368" s="92">
        <f>Bear!Q173</f>
        <v>-479.66799999999967</v>
      </c>
      <c r="R368" s="92">
        <f>Bear!R173</f>
        <v>358.46899999999869</v>
      </c>
      <c r="S368" s="92">
        <f>Bear!S173</f>
        <v>-12399.8</v>
      </c>
      <c r="T368" s="329">
        <f>Bear!T173</f>
        <v>4649.882999999998</v>
      </c>
      <c r="U368" s="329">
        <f>Bear!U173</f>
        <v>-3329.8420000000019</v>
      </c>
      <c r="V368" s="329">
        <f>Bear!V173</f>
        <v>3166.0110000000022</v>
      </c>
      <c r="W368" s="329">
        <f>Bear!W173</f>
        <v>2312.2380000000003</v>
      </c>
      <c r="X368" s="329">
        <f>Bear!X173</f>
        <v>1623.7019999999993</v>
      </c>
      <c r="Y368" s="329">
        <f>Bear!Y173</f>
        <v>-3716.5787073305432</v>
      </c>
      <c r="Z368" s="329">
        <f>Bear!Z173</f>
        <v>1334.7688589051527</v>
      </c>
      <c r="AA368" s="329">
        <f>Bear!AA173</f>
        <v>3059.9007994789117</v>
      </c>
      <c r="AB368" s="329">
        <f>Bear!AB173</f>
        <v>4009.475297243047</v>
      </c>
      <c r="AC368" s="329">
        <f>Bear!AC173</f>
        <v>3163.1146089782633</v>
      </c>
      <c r="AD368" s="329">
        <f>Bear!AD173</f>
        <v>3228.1944880808451</v>
      </c>
      <c r="AE368" s="329">
        <f>Bear!AE173</f>
        <v>3686.7335182771703</v>
      </c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</row>
    <row r="369" spans="1:82">
      <c r="A369" s="36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329"/>
      <c r="U369" s="329"/>
      <c r="V369" s="329"/>
      <c r="W369" s="329"/>
      <c r="X369" s="329"/>
      <c r="Y369" s="329"/>
      <c r="Z369" s="329"/>
      <c r="AA369" s="329"/>
      <c r="AB369" s="329"/>
      <c r="AC369" s="329"/>
      <c r="AD369" s="329"/>
      <c r="AE369" s="32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</row>
    <row r="370" spans="1:82">
      <c r="A370" s="1654" t="s">
        <v>1380</v>
      </c>
      <c r="B370" s="264">
        <v>2001</v>
      </c>
      <c r="C370" s="264">
        <v>2002</v>
      </c>
      <c r="D370" s="264">
        <v>2003</v>
      </c>
      <c r="E370" s="264">
        <v>2004</v>
      </c>
      <c r="F370" s="264">
        <v>2005</v>
      </c>
      <c r="G370" s="264">
        <v>2006</v>
      </c>
      <c r="H370" s="264">
        <v>2007</v>
      </c>
      <c r="I370" s="264">
        <v>2008</v>
      </c>
      <c r="J370" s="264">
        <f t="shared" ref="J370:R370" si="200">J$50</f>
        <v>2009</v>
      </c>
      <c r="K370" s="264">
        <f t="shared" si="200"/>
        <v>2010</v>
      </c>
      <c r="L370" s="264">
        <f t="shared" si="200"/>
        <v>2011</v>
      </c>
      <c r="M370" s="264">
        <f t="shared" si="200"/>
        <v>2012</v>
      </c>
      <c r="N370" s="264">
        <f t="shared" si="200"/>
        <v>2013</v>
      </c>
      <c r="O370" s="264">
        <f t="shared" si="200"/>
        <v>2014</v>
      </c>
      <c r="P370" s="264">
        <f t="shared" si="200"/>
        <v>2015</v>
      </c>
      <c r="Q370" s="264">
        <f t="shared" si="200"/>
        <v>2016</v>
      </c>
      <c r="R370" s="264">
        <f t="shared" si="200"/>
        <v>2017</v>
      </c>
      <c r="S370" s="264">
        <f t="shared" ref="S370:X370" si="201">S$6</f>
        <v>2018</v>
      </c>
      <c r="T370" s="264">
        <f t="shared" si="201"/>
        <v>2019</v>
      </c>
      <c r="U370" s="264">
        <f t="shared" si="201"/>
        <v>2020</v>
      </c>
      <c r="V370" s="264">
        <f t="shared" si="201"/>
        <v>2021</v>
      </c>
      <c r="W370" s="264">
        <f t="shared" si="201"/>
        <v>2022</v>
      </c>
      <c r="X370" s="264">
        <f t="shared" si="201"/>
        <v>2023</v>
      </c>
      <c r="Y370" s="594">
        <f t="shared" ref="Y370:AE370" si="202">Y$50</f>
        <v>2024</v>
      </c>
      <c r="Z370" s="594">
        <f t="shared" si="202"/>
        <v>2025</v>
      </c>
      <c r="AA370" s="594">
        <f t="shared" si="202"/>
        <v>2026</v>
      </c>
      <c r="AB370" s="594">
        <f t="shared" si="202"/>
        <v>2027</v>
      </c>
      <c r="AC370" s="594">
        <f t="shared" si="202"/>
        <v>2028</v>
      </c>
      <c r="AD370" s="594">
        <f t="shared" si="202"/>
        <v>2029</v>
      </c>
      <c r="AE370" s="594">
        <f t="shared" si="202"/>
        <v>2030</v>
      </c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</row>
    <row r="371" spans="1:82">
      <c r="A371" s="244" t="s">
        <v>200</v>
      </c>
      <c r="B371" s="1672">
        <f>B361/Base!B140</f>
        <v>4.6749801985669304E-2</v>
      </c>
      <c r="C371" s="1672">
        <f>C361/Base!C140</f>
        <v>-0.13048138142057086</v>
      </c>
      <c r="D371" s="1672">
        <f>D361/Base!D140</f>
        <v>-0.13257004425932462</v>
      </c>
      <c r="E371" s="1672">
        <f>E361/Base!E140</f>
        <v>-3.401745211472542E-2</v>
      </c>
      <c r="F371" s="1672">
        <f>F361/Base!F140</f>
        <v>0.34189571925965406</v>
      </c>
      <c r="G371" s="1672">
        <f>G361/Base!G140</f>
        <v>9.5337536493792494E-2</v>
      </c>
      <c r="H371" s="1672">
        <f>H361/Base!H140</f>
        <v>0.27493833993387118</v>
      </c>
      <c r="I371" s="1672">
        <f>I361/Base!I140</f>
        <v>0.37647256271206114</v>
      </c>
      <c r="J371" s="1672">
        <f>J361/Base!J140</f>
        <v>0.29736755519600744</v>
      </c>
      <c r="K371" s="1672">
        <f>K361/Base!K140</f>
        <v>0.35452974319170438</v>
      </c>
      <c r="L371" s="1672">
        <f>L361/Base!L140</f>
        <v>1.1079831588932703</v>
      </c>
      <c r="M371" s="1672">
        <f>M361/Base!M140</f>
        <v>0.34107164582554511</v>
      </c>
      <c r="N371" s="1672">
        <f>N361/Base!N140</f>
        <v>1.0254996749329908</v>
      </c>
      <c r="O371" s="1672">
        <f>O361/Base!O140</f>
        <v>1.1507024670550245</v>
      </c>
      <c r="P371" s="1672">
        <f>P361/Base!P140</f>
        <v>1.2170239149162609</v>
      </c>
      <c r="Q371" s="1672">
        <f>Q361/Base!Q140</f>
        <v>1.379482332492352</v>
      </c>
      <c r="R371" s="1672">
        <f>R361/Base!R140</f>
        <v>1.7442235197728129</v>
      </c>
      <c r="S371" s="1672">
        <f>S361/Base!S140</f>
        <v>2.3581124865524434</v>
      </c>
      <c r="T371" s="1673">
        <f>T361/Base!T140</f>
        <v>2.6157354379992563</v>
      </c>
      <c r="U371" s="1673">
        <f>U361/Base!U140</f>
        <v>5.4636713281775933</v>
      </c>
      <c r="V371" s="1673">
        <f>V361/Base!V140</f>
        <v>3.9997978836956811</v>
      </c>
      <c r="W371" s="1673">
        <f>W361/Base!W140</f>
        <v>3.4852444916667622</v>
      </c>
      <c r="X371" s="1673">
        <f>X361/Base!X140</f>
        <v>2.9857931282508563</v>
      </c>
      <c r="Y371" s="1673">
        <f>Y361/Base!Y140</f>
        <v>3.6865744096794422</v>
      </c>
      <c r="Z371" s="1673">
        <f>Z361/Base!Z140</f>
        <v>2.8154510140469808</v>
      </c>
      <c r="AA371" s="1673">
        <f>AA361/Base!AA140</f>
        <v>2.0858307823707043</v>
      </c>
      <c r="AB371" s="1673">
        <f>AB361/Base!AB140</f>
        <v>1.5189046476918115</v>
      </c>
      <c r="AC371" s="1673">
        <f>AC361/Base!AC140</f>
        <v>1.1382645747545326</v>
      </c>
      <c r="AD371" s="1673">
        <f>AD361/Base!AD140</f>
        <v>0.86154857624312053</v>
      </c>
      <c r="AE371" s="1673">
        <f>AE361/Base!AE140</f>
        <v>0.64232890033161438</v>
      </c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</row>
    <row r="372" spans="1:82">
      <c r="A372" s="244" t="s">
        <v>201</v>
      </c>
      <c r="B372" s="1672">
        <f>B362/Bull!B140</f>
        <v>4.6749801985669304E-2</v>
      </c>
      <c r="C372" s="1672">
        <f>C362/Bull!C140</f>
        <v>-0.13048138142057086</v>
      </c>
      <c r="D372" s="1672">
        <f>D362/Bull!D140</f>
        <v>-0.13257004425932462</v>
      </c>
      <c r="E372" s="1672">
        <f>E362/Bull!E140</f>
        <v>-3.401745211472542E-2</v>
      </c>
      <c r="F372" s="1672">
        <f>F362/Bull!F140</f>
        <v>0.34189571925965406</v>
      </c>
      <c r="G372" s="1672">
        <f>G362/Bull!G140</f>
        <v>9.5337536493792494E-2</v>
      </c>
      <c r="H372" s="1672">
        <f>H362/Bull!H140</f>
        <v>0.27493833993387118</v>
      </c>
      <c r="I372" s="1672">
        <f>I362/Bull!I140</f>
        <v>0.37647256271206114</v>
      </c>
      <c r="J372" s="1672">
        <f>J362/Bull!J140</f>
        <v>0.29736755519600744</v>
      </c>
      <c r="K372" s="1672">
        <f>K362/Bull!K140</f>
        <v>0.35452974319170438</v>
      </c>
      <c r="L372" s="1672">
        <f>L362/Bull!L140</f>
        <v>1.1079831588932703</v>
      </c>
      <c r="M372" s="1672">
        <f>M362/Bull!M140</f>
        <v>0.34107164582554511</v>
      </c>
      <c r="N372" s="1672">
        <f>N362/Bull!N140</f>
        <v>1.0254996749329908</v>
      </c>
      <c r="O372" s="1672">
        <f>O362/Bull!O140</f>
        <v>1.1507024670550245</v>
      </c>
      <c r="P372" s="1672">
        <f>P362/Bull!P140</f>
        <v>1.2170239149162609</v>
      </c>
      <c r="Q372" s="1672">
        <f>Q362/Bull!Q140</f>
        <v>1.379482332492352</v>
      </c>
      <c r="R372" s="1672">
        <f>R362/Bull!R140</f>
        <v>1.7442235197728129</v>
      </c>
      <c r="S372" s="1672">
        <f>S362/Bull!S140</f>
        <v>2.3581124865524434</v>
      </c>
      <c r="T372" s="1673">
        <f>T362/Bull!T140</f>
        <v>2.6157354379992563</v>
      </c>
      <c r="U372" s="1673">
        <f>U362/Bull!U140</f>
        <v>5.4636713281775933</v>
      </c>
      <c r="V372" s="1673">
        <f>V362/Bull!V140</f>
        <v>3.9997978836956811</v>
      </c>
      <c r="W372" s="1673">
        <f>W362/Bull!W140</f>
        <v>3.4852444916667622</v>
      </c>
      <c r="X372" s="1673">
        <f>X362/Bull!X140</f>
        <v>2.9857931282508563</v>
      </c>
      <c r="Y372" s="1673">
        <f>Y362/Bull!Y140</f>
        <v>3.5722808352183728</v>
      </c>
      <c r="Z372" s="1673">
        <f>Z362/Bull!Z140</f>
        <v>2.6274829294244908</v>
      </c>
      <c r="AA372" s="1673">
        <f>AA362/Bull!AA140</f>
        <v>1.8839473991974498</v>
      </c>
      <c r="AB372" s="1673">
        <f>AB362/Bull!AB140</f>
        <v>1.3294532166434079</v>
      </c>
      <c r="AC372" s="1673">
        <f>AC362/Bull!AC140</f>
        <v>0.93011579463029337</v>
      </c>
      <c r="AD372" s="1673">
        <f>AD362/Bull!AD140</f>
        <v>0.64809317631215957</v>
      </c>
      <c r="AE372" s="1673">
        <f>AE362/Bull!AE140</f>
        <v>0.43059073964519512</v>
      </c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</row>
    <row r="373" spans="1:82">
      <c r="A373" s="244" t="s">
        <v>202</v>
      </c>
      <c r="B373" s="1672">
        <f>B363/Bear!B140</f>
        <v>4.6749801985669304E-2</v>
      </c>
      <c r="C373" s="1672">
        <f>C363/Bear!C140</f>
        <v>-0.13048138142057086</v>
      </c>
      <c r="D373" s="1672">
        <f>D363/Bear!D140</f>
        <v>-0.13257004425932462</v>
      </c>
      <c r="E373" s="1672">
        <f>E363/Bear!E140</f>
        <v>-3.401745211472542E-2</v>
      </c>
      <c r="F373" s="1672">
        <f>F363/Bear!F140</f>
        <v>0.34189571925965406</v>
      </c>
      <c r="G373" s="1672">
        <f>G363/Bear!G140</f>
        <v>9.5337536493792494E-2</v>
      </c>
      <c r="H373" s="1672">
        <f>H363/Bear!H140</f>
        <v>0.27493833993387118</v>
      </c>
      <c r="I373" s="1672">
        <f>I363/Bear!I140</f>
        <v>0.37647256271206114</v>
      </c>
      <c r="J373" s="1672">
        <f>J363/Bear!J140</f>
        <v>0.29736755519600744</v>
      </c>
      <c r="K373" s="1672">
        <f>K363/Bear!K140</f>
        <v>0.35452974319170438</v>
      </c>
      <c r="L373" s="1672">
        <f>L363/Bear!L140</f>
        <v>1.1079831588932703</v>
      </c>
      <c r="M373" s="1672">
        <f>M363/Bear!M140</f>
        <v>0.34107164582554511</v>
      </c>
      <c r="N373" s="1672">
        <f>N363/Bear!N140</f>
        <v>1.0254996749329908</v>
      </c>
      <c r="O373" s="1672">
        <f>O363/Bear!O140</f>
        <v>1.1507024670550245</v>
      </c>
      <c r="P373" s="1672">
        <f>P363/Bear!P140</f>
        <v>1.2170239149162609</v>
      </c>
      <c r="Q373" s="1672">
        <f>Q363/Bear!Q140</f>
        <v>1.379482332492352</v>
      </c>
      <c r="R373" s="1672">
        <f>R363/Bear!R140</f>
        <v>1.7442235197728129</v>
      </c>
      <c r="S373" s="1672">
        <f>S363/Bear!S140</f>
        <v>2.3581124865524434</v>
      </c>
      <c r="T373" s="1673">
        <f>T363/Bear!T140</f>
        <v>2.6157354379992563</v>
      </c>
      <c r="U373" s="1673">
        <f>U363/Bear!U140</f>
        <v>5.4636713281775933</v>
      </c>
      <c r="V373" s="1673">
        <f>V363/Bear!V140</f>
        <v>3.9997978836956811</v>
      </c>
      <c r="W373" s="1673">
        <f>W363/Bear!W140</f>
        <v>3.4852444916667622</v>
      </c>
      <c r="X373" s="1673">
        <f>X363/Bear!X140</f>
        <v>2.9857931282508563</v>
      </c>
      <c r="Y373" s="1673">
        <f>Y363/Bear!Y140</f>
        <v>3.9078950790888296</v>
      </c>
      <c r="Z373" s="1673">
        <f>Z363/Bear!Z140</f>
        <v>2.8931257420316436</v>
      </c>
      <c r="AA373" s="1673">
        <f>AA363/Bear!AA140</f>
        <v>1.9810546028058453</v>
      </c>
      <c r="AB373" s="1673">
        <f>AB363/Bear!AB140</f>
        <v>1.2591711089945192</v>
      </c>
      <c r="AC373" s="1673">
        <f>AC363/Bear!AC140</f>
        <v>0.84859821349611064</v>
      </c>
      <c r="AD373" s="1673">
        <f>AD363/Bear!AD140</f>
        <v>0.56550779938615303</v>
      </c>
      <c r="AE373" s="1673">
        <f>AE363/Bear!AE140</f>
        <v>0.34877356544164434</v>
      </c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</row>
    <row r="374" spans="1:82">
      <c r="A374" s="36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329"/>
      <c r="U374" s="329"/>
      <c r="V374" s="329"/>
      <c r="W374" s="329"/>
      <c r="X374" s="329"/>
      <c r="Y374" s="329"/>
      <c r="Z374" s="32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</row>
    <row r="375" spans="1:82">
      <c r="A375" s="1654" t="s">
        <v>1379</v>
      </c>
      <c r="B375" s="264">
        <v>2001</v>
      </c>
      <c r="C375" s="264">
        <v>2002</v>
      </c>
      <c r="D375" s="264">
        <v>2003</v>
      </c>
      <c r="E375" s="264">
        <v>2004</v>
      </c>
      <c r="F375" s="264">
        <v>2005</v>
      </c>
      <c r="G375" s="264">
        <v>2006</v>
      </c>
      <c r="H375" s="264">
        <v>2007</v>
      </c>
      <c r="I375" s="264">
        <v>2008</v>
      </c>
      <c r="J375" s="264">
        <f t="shared" ref="J375:R375" si="203">J$50</f>
        <v>2009</v>
      </c>
      <c r="K375" s="264">
        <f t="shared" si="203"/>
        <v>2010</v>
      </c>
      <c r="L375" s="264">
        <f t="shared" si="203"/>
        <v>2011</v>
      </c>
      <c r="M375" s="264">
        <f t="shared" si="203"/>
        <v>2012</v>
      </c>
      <c r="N375" s="264">
        <f t="shared" si="203"/>
        <v>2013</v>
      </c>
      <c r="O375" s="264">
        <f t="shared" si="203"/>
        <v>2014</v>
      </c>
      <c r="P375" s="264">
        <f t="shared" si="203"/>
        <v>2015</v>
      </c>
      <c r="Q375" s="264">
        <f t="shared" si="203"/>
        <v>2016</v>
      </c>
      <c r="R375" s="264">
        <f t="shared" si="203"/>
        <v>2017</v>
      </c>
      <c r="S375" s="264">
        <f t="shared" ref="S375:X375" si="204">S$6</f>
        <v>2018</v>
      </c>
      <c r="T375" s="264">
        <f t="shared" si="204"/>
        <v>2019</v>
      </c>
      <c r="U375" s="264">
        <f t="shared" si="204"/>
        <v>2020</v>
      </c>
      <c r="V375" s="264">
        <f t="shared" si="204"/>
        <v>2021</v>
      </c>
      <c r="W375" s="264">
        <f t="shared" si="204"/>
        <v>2022</v>
      </c>
      <c r="X375" s="264">
        <f t="shared" si="204"/>
        <v>2023</v>
      </c>
      <c r="Y375" s="594">
        <f t="shared" ref="Y375:AE375" si="205">Y$50</f>
        <v>2024</v>
      </c>
      <c r="Z375" s="594">
        <f t="shared" si="205"/>
        <v>2025</v>
      </c>
      <c r="AA375" s="594">
        <f t="shared" si="205"/>
        <v>2026</v>
      </c>
      <c r="AB375" s="594">
        <f t="shared" si="205"/>
        <v>2027</v>
      </c>
      <c r="AC375" s="594">
        <f t="shared" si="205"/>
        <v>2028</v>
      </c>
      <c r="AD375" s="594">
        <f t="shared" si="205"/>
        <v>2029</v>
      </c>
      <c r="AE375" s="594">
        <f t="shared" si="205"/>
        <v>2030</v>
      </c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</row>
    <row r="376" spans="1:82">
      <c r="A376" s="36" t="s">
        <v>200</v>
      </c>
      <c r="B376" s="1656">
        <f t="shared" ref="B376:Z376" si="206">B361/B155</f>
        <v>0.13052159024219073</v>
      </c>
      <c r="C376" s="1656">
        <f t="shared" si="206"/>
        <v>-0.36722557521040472</v>
      </c>
      <c r="D376" s="1656">
        <f t="shared" si="206"/>
        <v>-0.38695693012434695</v>
      </c>
      <c r="E376" s="1656">
        <f t="shared" si="206"/>
        <v>-8.8894918535602524E-2</v>
      </c>
      <c r="F376" s="1656">
        <f t="shared" si="206"/>
        <v>0.86260179429166828</v>
      </c>
      <c r="G376" s="1656">
        <f t="shared" si="206"/>
        <v>0.25114572693731313</v>
      </c>
      <c r="H376" s="1656">
        <f t="shared" si="206"/>
        <v>0.63951140550456442</v>
      </c>
      <c r="I376" s="1656">
        <f t="shared" si="206"/>
        <v>1.0932575113824974</v>
      </c>
      <c r="J376" s="1656">
        <f t="shared" si="206"/>
        <v>0.8647159270412188</v>
      </c>
      <c r="K376" s="1656">
        <f t="shared" si="206"/>
        <v>1.0172365969011579</v>
      </c>
      <c r="L376" s="1656">
        <f t="shared" si="206"/>
        <v>2.9754325032941731</v>
      </c>
      <c r="M376" s="1656">
        <f t="shared" si="206"/>
        <v>0.95884556905349005</v>
      </c>
      <c r="N376" s="1656">
        <f t="shared" si="206"/>
        <v>1.8748226977674256</v>
      </c>
      <c r="O376" s="1656">
        <f t="shared" si="206"/>
        <v>2.0301381315156375</v>
      </c>
      <c r="P376" s="1656">
        <f t="shared" si="206"/>
        <v>1.6284341988787252</v>
      </c>
      <c r="Q376" s="1656">
        <f t="shared" si="206"/>
        <v>1.5477268949886678</v>
      </c>
      <c r="R376" s="1656">
        <f t="shared" si="206"/>
        <v>1.8548823066546767</v>
      </c>
      <c r="S376" s="1656">
        <f t="shared" si="206"/>
        <v>2.8323116531165309</v>
      </c>
      <c r="T376" s="1657">
        <f t="shared" si="206"/>
        <v>2.2348275370073121</v>
      </c>
      <c r="U376" s="1657">
        <f t="shared" si="206"/>
        <v>7.9145366582394843</v>
      </c>
      <c r="V376" s="1657">
        <f t="shared" si="206"/>
        <v>2.8741529489229611</v>
      </c>
      <c r="W376" s="1657">
        <f t="shared" si="206"/>
        <v>2.0808941923348225</v>
      </c>
      <c r="X376" s="1657">
        <f t="shared" si="206"/>
        <v>1.6945396760859255</v>
      </c>
      <c r="Y376" s="1657">
        <f t="shared" si="206"/>
        <v>1.9051215634544245</v>
      </c>
      <c r="Z376" s="1657">
        <f t="shared" si="206"/>
        <v>1.6706784127048888</v>
      </c>
      <c r="AA376" s="1657">
        <f t="shared" ref="AA376:AE378" si="207">AA361/AA155</f>
        <v>1.4531558953833097</v>
      </c>
      <c r="AB376" s="1657">
        <f t="shared" si="207"/>
        <v>1.2406659525602726</v>
      </c>
      <c r="AC376" s="1657">
        <f t="shared" si="207"/>
        <v>1.0776337746598841</v>
      </c>
      <c r="AD376" s="1657">
        <f t="shared" si="207"/>
        <v>0.92123235156301964</v>
      </c>
      <c r="AE376" s="1657">
        <f t="shared" si="207"/>
        <v>0.7617751776519085</v>
      </c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</row>
    <row r="377" spans="1:82">
      <c r="A377" s="36" t="s">
        <v>201</v>
      </c>
      <c r="B377" s="1656">
        <f t="shared" ref="B377:Z377" si="208">B362/B156</f>
        <v>0.13052159024219073</v>
      </c>
      <c r="C377" s="1656">
        <f t="shared" si="208"/>
        <v>-0.36722557521040472</v>
      </c>
      <c r="D377" s="1656">
        <f t="shared" si="208"/>
        <v>-0.38695693012434695</v>
      </c>
      <c r="E377" s="1656">
        <f t="shared" si="208"/>
        <v>-8.8894918535602524E-2</v>
      </c>
      <c r="F377" s="1656">
        <f t="shared" si="208"/>
        <v>0.86260179429166828</v>
      </c>
      <c r="G377" s="1656">
        <f t="shared" si="208"/>
        <v>0.25114572693731313</v>
      </c>
      <c r="H377" s="1656">
        <f t="shared" si="208"/>
        <v>0.63951140550456442</v>
      </c>
      <c r="I377" s="1656">
        <f t="shared" si="208"/>
        <v>1.0932575113824974</v>
      </c>
      <c r="J377" s="1656">
        <f t="shared" si="208"/>
        <v>0.8647159270412188</v>
      </c>
      <c r="K377" s="1656">
        <f t="shared" si="208"/>
        <v>1.0172365969011579</v>
      </c>
      <c r="L377" s="1656">
        <f t="shared" si="208"/>
        <v>2.9754325032941731</v>
      </c>
      <c r="M377" s="1656">
        <f t="shared" si="208"/>
        <v>0.95884556905349005</v>
      </c>
      <c r="N377" s="1656">
        <f t="shared" si="208"/>
        <v>1.8748226977674256</v>
      </c>
      <c r="O377" s="1656">
        <f t="shared" si="208"/>
        <v>2.0301381315156375</v>
      </c>
      <c r="P377" s="1656">
        <f t="shared" si="208"/>
        <v>1.6284341988787252</v>
      </c>
      <c r="Q377" s="1656">
        <f t="shared" si="208"/>
        <v>1.5477268949886678</v>
      </c>
      <c r="R377" s="1656">
        <f t="shared" si="208"/>
        <v>1.8548823066546767</v>
      </c>
      <c r="S377" s="1656">
        <f t="shared" si="208"/>
        <v>2.8323116531165309</v>
      </c>
      <c r="T377" s="1657">
        <f t="shared" si="208"/>
        <v>2.2348275370073121</v>
      </c>
      <c r="U377" s="1657">
        <f t="shared" si="208"/>
        <v>7.9145366582394843</v>
      </c>
      <c r="V377" s="1657">
        <f t="shared" si="208"/>
        <v>2.8741529489229611</v>
      </c>
      <c r="W377" s="1657">
        <f t="shared" si="208"/>
        <v>2.0808941923348225</v>
      </c>
      <c r="X377" s="1657">
        <f t="shared" si="208"/>
        <v>1.6945396760859255</v>
      </c>
      <c r="Y377" s="1657">
        <f t="shared" si="208"/>
        <v>1.867166221542558</v>
      </c>
      <c r="Z377" s="1657">
        <f t="shared" si="208"/>
        <v>1.597398749820591</v>
      </c>
      <c r="AA377" s="1657">
        <f t="shared" si="207"/>
        <v>1.3624071257489578</v>
      </c>
      <c r="AB377" s="1657">
        <f t="shared" si="207"/>
        <v>1.1368835936374162</v>
      </c>
      <c r="AC377" s="1657">
        <f t="shared" si="207"/>
        <v>0.93441140757612118</v>
      </c>
      <c r="AD377" s="1657">
        <f t="shared" si="207"/>
        <v>0.74205025953964254</v>
      </c>
      <c r="AE377" s="1657">
        <f t="shared" si="207"/>
        <v>0.55186222500106419</v>
      </c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</row>
    <row r="378" spans="1:82">
      <c r="A378" s="36" t="s">
        <v>202</v>
      </c>
      <c r="B378" s="1656">
        <f t="shared" ref="B378:Z378" si="209">B363/B157</f>
        <v>0.13052159024219073</v>
      </c>
      <c r="C378" s="1656">
        <f t="shared" si="209"/>
        <v>-0.36722557521040472</v>
      </c>
      <c r="D378" s="1656">
        <f t="shared" si="209"/>
        <v>-0.38695693012434695</v>
      </c>
      <c r="E378" s="1656">
        <f t="shared" si="209"/>
        <v>-8.8894918535602524E-2</v>
      </c>
      <c r="F378" s="1656">
        <f t="shared" si="209"/>
        <v>0.86260179429166828</v>
      </c>
      <c r="G378" s="1656">
        <f t="shared" si="209"/>
        <v>0.25114572693731313</v>
      </c>
      <c r="H378" s="1656">
        <f t="shared" si="209"/>
        <v>0.63951140550456442</v>
      </c>
      <c r="I378" s="1656">
        <f t="shared" si="209"/>
        <v>1.0932575113824974</v>
      </c>
      <c r="J378" s="1656">
        <f t="shared" si="209"/>
        <v>0.8647159270412188</v>
      </c>
      <c r="K378" s="1656">
        <f t="shared" si="209"/>
        <v>1.0172365969011579</v>
      </c>
      <c r="L378" s="1656">
        <f t="shared" si="209"/>
        <v>2.9754325032941731</v>
      </c>
      <c r="M378" s="1656">
        <f t="shared" si="209"/>
        <v>0.95884556905349005</v>
      </c>
      <c r="N378" s="1656">
        <f t="shared" si="209"/>
        <v>1.8748226977674256</v>
      </c>
      <c r="O378" s="1656">
        <f t="shared" si="209"/>
        <v>2.0301381315156375</v>
      </c>
      <c r="P378" s="1656">
        <f t="shared" si="209"/>
        <v>1.6284341988787252</v>
      </c>
      <c r="Q378" s="1656">
        <f t="shared" si="209"/>
        <v>1.5477268949886678</v>
      </c>
      <c r="R378" s="1656">
        <f t="shared" si="209"/>
        <v>1.8548823066546767</v>
      </c>
      <c r="S378" s="1656">
        <f t="shared" si="209"/>
        <v>2.8323116531165309</v>
      </c>
      <c r="T378" s="1657">
        <f t="shared" si="209"/>
        <v>2.2348275370073121</v>
      </c>
      <c r="U378" s="1657">
        <f t="shared" si="209"/>
        <v>7.9145366582394843</v>
      </c>
      <c r="V378" s="1657">
        <f t="shared" si="209"/>
        <v>2.8741529489229611</v>
      </c>
      <c r="W378" s="1657">
        <f t="shared" si="209"/>
        <v>2.0808941923348225</v>
      </c>
      <c r="X378" s="1657">
        <f t="shared" si="209"/>
        <v>1.6945396760859255</v>
      </c>
      <c r="Y378" s="1657">
        <f t="shared" si="209"/>
        <v>1.934134441762545</v>
      </c>
      <c r="Z378" s="1657">
        <f t="shared" si="209"/>
        <v>1.6707465159308739</v>
      </c>
      <c r="AA378" s="1657">
        <f t="shared" si="207"/>
        <v>1.3887318344997344</v>
      </c>
      <c r="AB378" s="1657">
        <f t="shared" si="207"/>
        <v>1.0930030812321858</v>
      </c>
      <c r="AC378" s="1657">
        <f t="shared" si="207"/>
        <v>0.90053592906156643</v>
      </c>
      <c r="AD378" s="1657">
        <f t="shared" si="207"/>
        <v>0.69471155749983526</v>
      </c>
      <c r="AE378" s="1657">
        <f t="shared" si="207"/>
        <v>0.48569766319807156</v>
      </c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</row>
    <row r="379" spans="1:82">
      <c r="A379" s="36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329"/>
      <c r="U379" s="329"/>
      <c r="V379" s="329"/>
      <c r="W379" s="329"/>
      <c r="X379" s="329"/>
      <c r="Y379" s="329"/>
      <c r="Z379" s="329"/>
      <c r="AA379" s="329"/>
      <c r="AB379" s="329"/>
      <c r="AC379" s="329"/>
      <c r="AD379" s="329"/>
      <c r="AE379" s="32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</row>
    <row r="380" spans="1:82">
      <c r="A380" s="242" t="s">
        <v>655</v>
      </c>
      <c r="B380" s="264">
        <v>2001</v>
      </c>
      <c r="C380" s="264">
        <v>2002</v>
      </c>
      <c r="D380" s="264">
        <v>2003</v>
      </c>
      <c r="E380" s="264">
        <v>2004</v>
      </c>
      <c r="F380" s="264">
        <v>2005</v>
      </c>
      <c r="G380" s="264">
        <v>2006</v>
      </c>
      <c r="H380" s="264">
        <v>2007</v>
      </c>
      <c r="I380" s="264">
        <v>2008</v>
      </c>
      <c r="J380" s="264">
        <f t="shared" ref="J380:R380" si="210">J$50</f>
        <v>2009</v>
      </c>
      <c r="K380" s="264">
        <f t="shared" si="210"/>
        <v>2010</v>
      </c>
      <c r="L380" s="264">
        <f t="shared" si="210"/>
        <v>2011</v>
      </c>
      <c r="M380" s="264">
        <f t="shared" si="210"/>
        <v>2012</v>
      </c>
      <c r="N380" s="264">
        <f t="shared" si="210"/>
        <v>2013</v>
      </c>
      <c r="O380" s="264">
        <f t="shared" si="210"/>
        <v>2014</v>
      </c>
      <c r="P380" s="264">
        <f t="shared" si="210"/>
        <v>2015</v>
      </c>
      <c r="Q380" s="264">
        <f t="shared" si="210"/>
        <v>2016</v>
      </c>
      <c r="R380" s="264">
        <f t="shared" si="210"/>
        <v>2017</v>
      </c>
      <c r="S380" s="264">
        <f t="shared" ref="S380:X380" si="211">S$6</f>
        <v>2018</v>
      </c>
      <c r="T380" s="264">
        <f t="shared" si="211"/>
        <v>2019</v>
      </c>
      <c r="U380" s="264">
        <f t="shared" si="211"/>
        <v>2020</v>
      </c>
      <c r="V380" s="264">
        <f t="shared" si="211"/>
        <v>2021</v>
      </c>
      <c r="W380" s="264">
        <f t="shared" si="211"/>
        <v>2022</v>
      </c>
      <c r="X380" s="264">
        <f t="shared" si="211"/>
        <v>2023</v>
      </c>
      <c r="Y380" s="594">
        <f t="shared" ref="Y380:AE380" si="212">Y$50</f>
        <v>2024</v>
      </c>
      <c r="Z380" s="594">
        <f t="shared" si="212"/>
        <v>2025</v>
      </c>
      <c r="AA380" s="594">
        <f t="shared" si="212"/>
        <v>2026</v>
      </c>
      <c r="AB380" s="594">
        <f t="shared" si="212"/>
        <v>2027</v>
      </c>
      <c r="AC380" s="594">
        <f t="shared" si="212"/>
        <v>2028</v>
      </c>
      <c r="AD380" s="594">
        <f t="shared" si="212"/>
        <v>2029</v>
      </c>
      <c r="AE380" s="594">
        <f t="shared" si="212"/>
        <v>2030</v>
      </c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</row>
    <row r="381" spans="1:82">
      <c r="A381" s="36" t="str">
        <f>Financials!A129</f>
        <v>Cash and Cash Equivalents</v>
      </c>
      <c r="B381" s="252">
        <f>Financials!B129</f>
        <v>99.13</v>
      </c>
      <c r="C381" s="252">
        <f>Financials!C129</f>
        <v>207.08600000000001</v>
      </c>
      <c r="D381" s="252">
        <f>Financials!D129</f>
        <v>205.8</v>
      </c>
      <c r="E381" s="252">
        <f>Financials!E129</f>
        <v>147.19499999999999</v>
      </c>
      <c r="F381" s="252">
        <f>Financials!F129</f>
        <v>165.05500000000001</v>
      </c>
      <c r="G381" s="252">
        <f>Financials!G129</f>
        <v>244.262</v>
      </c>
      <c r="H381" s="252">
        <f>Financials!H129</f>
        <v>209.327</v>
      </c>
      <c r="I381" s="252">
        <f>Financials!I129</f>
        <v>661.86300000000006</v>
      </c>
      <c r="J381" s="252">
        <f>Financials!J129</f>
        <v>463.214</v>
      </c>
      <c r="K381" s="252">
        <f>Financials!K129</f>
        <v>640.20299999999997</v>
      </c>
      <c r="L381" s="252">
        <f>Financials!L129</f>
        <v>739.37900000000002</v>
      </c>
      <c r="M381" s="252">
        <f>Financials!M129</f>
        <v>932.59400000000005</v>
      </c>
      <c r="N381" s="252">
        <f>Financials!N129</f>
        <v>663.27</v>
      </c>
      <c r="O381" s="252">
        <f>Financials!O129</f>
        <v>1112.8499999999999</v>
      </c>
      <c r="P381" s="252">
        <f>Financials!P129</f>
        <v>1195.8139999999999</v>
      </c>
      <c r="Q381" s="252">
        <f>Financials!Q129</f>
        <v>2547.8420000000001</v>
      </c>
      <c r="R381" s="252">
        <f>Financials!R129</f>
        <v>1540.403</v>
      </c>
      <c r="S381" s="252">
        <f>Financials!S129</f>
        <v>1987.857</v>
      </c>
      <c r="T381" s="456">
        <f>Financials!T129</f>
        <v>2625.3890000000001</v>
      </c>
      <c r="U381" s="456">
        <f>Financials!U129</f>
        <v>3932</v>
      </c>
      <c r="V381" s="456">
        <f>Financials!V129</f>
        <v>6893.433</v>
      </c>
      <c r="W381" s="456">
        <f>Financials!W129</f>
        <v>6099.7089999999998</v>
      </c>
      <c r="X381" s="456">
        <f>Financials!X129</f>
        <v>6409.7979999999998</v>
      </c>
      <c r="Y381" s="456">
        <f>Financials!Y129</f>
        <v>5027.6001092946917</v>
      </c>
      <c r="Z381" s="456">
        <f>Financials!Z129</f>
        <v>10021.567702024999</v>
      </c>
      <c r="AA381" s="456">
        <f>Financials!AA129</f>
        <v>16668.287619622075</v>
      </c>
      <c r="AB381" s="456">
        <f>Financials!AB129</f>
        <v>23837.458151008566</v>
      </c>
      <c r="AC381" s="456">
        <f>Financials!AC129</f>
        <v>27372.725024565363</v>
      </c>
      <c r="AD381" s="456">
        <f>Financials!AD129</f>
        <v>30976.411823377985</v>
      </c>
      <c r="AE381" s="456">
        <f>Financials!AE129</f>
        <v>35042.007675271117</v>
      </c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</row>
    <row r="382" spans="1:82">
      <c r="A382" s="36" t="str">
        <f>Financials!A130</f>
        <v>Accounts Receivable</v>
      </c>
      <c r="B382" s="252">
        <f>Financials!B130</f>
        <v>110.291</v>
      </c>
      <c r="C382" s="252">
        <f>Financials!C130</f>
        <v>121.56</v>
      </c>
      <c r="D382" s="252">
        <f>Financials!D130</f>
        <v>133.27799999999999</v>
      </c>
      <c r="E382" s="252">
        <f>Financials!E130</f>
        <v>142.49700000000001</v>
      </c>
      <c r="F382" s="252">
        <f>Financials!F130</f>
        <v>189.31799999999998</v>
      </c>
      <c r="G382" s="252">
        <f>Financials!G130</f>
        <v>210.517</v>
      </c>
      <c r="H382" s="252">
        <f>Financials!H130</f>
        <v>309.786</v>
      </c>
      <c r="I382" s="252">
        <f>Financials!I130</f>
        <v>182.87299999999999</v>
      </c>
      <c r="J382" s="252">
        <f>Financials!J130</f>
        <v>196.14699999999999</v>
      </c>
      <c r="K382" s="252">
        <f>Financials!K130</f>
        <v>246.70599999999999</v>
      </c>
      <c r="L382" s="252">
        <f>Financials!L130</f>
        <v>385.57799999999997</v>
      </c>
      <c r="M382" s="252">
        <f>Financials!M130</f>
        <v>535.93100000000004</v>
      </c>
      <c r="N382" s="252">
        <f>Financials!N130</f>
        <v>628.81799999999998</v>
      </c>
      <c r="O382" s="252">
        <f>Financials!O130</f>
        <v>895.54300000000001</v>
      </c>
      <c r="P382" s="252">
        <f>Financials!P130</f>
        <v>904.85299999999995</v>
      </c>
      <c r="Q382" s="252">
        <f>Financials!Q130</f>
        <v>953.63800000000003</v>
      </c>
      <c r="R382" s="252">
        <f>Financials!R130</f>
        <v>1250.588</v>
      </c>
      <c r="S382" s="252">
        <f>Financials!S130</f>
        <v>1025.1179999999999</v>
      </c>
      <c r="T382" s="456">
        <f>Financials!T130</f>
        <v>1447.221</v>
      </c>
      <c r="U382" s="456">
        <f>Financials!U130</f>
        <v>1706</v>
      </c>
      <c r="V382" s="456">
        <f>Financials!V130</f>
        <v>1751.527</v>
      </c>
      <c r="W382" s="456">
        <f>Financials!W130</f>
        <v>2029.42</v>
      </c>
      <c r="X382" s="456">
        <f>Financials!X130</f>
        <v>2372.241</v>
      </c>
      <c r="Y382" s="456">
        <f>Financials!Y130</f>
        <v>2470.8553474906266</v>
      </c>
      <c r="Z382" s="456">
        <f>Financials!Z130</f>
        <v>2674.727110579985</v>
      </c>
      <c r="AA382" s="456">
        <f>Financials!AA130</f>
        <v>2848.6329347755423</v>
      </c>
      <c r="AB382" s="456">
        <f>Financials!AB130</f>
        <v>3018.4303820045948</v>
      </c>
      <c r="AC382" s="456">
        <f>Financials!AC130</f>
        <v>3180.7981301458003</v>
      </c>
      <c r="AD382" s="456">
        <f>Financials!AD130</f>
        <v>3351.0032516326623</v>
      </c>
      <c r="AE382" s="456">
        <f>Financials!AE130</f>
        <v>3522.9335880553758</v>
      </c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</row>
    <row r="383" spans="1:82">
      <c r="A383" s="36" t="s">
        <v>622</v>
      </c>
      <c r="B383" s="252">
        <f>Financials!B128</f>
        <v>1068.8120000000001</v>
      </c>
      <c r="C383" s="252">
        <f>Financials!C128</f>
        <v>1188.6669999999999</v>
      </c>
      <c r="D383" s="252">
        <f>Financials!D128</f>
        <v>1241.338</v>
      </c>
      <c r="E383" s="252">
        <f>Financials!E128</f>
        <v>1655.3</v>
      </c>
      <c r="F383" s="252">
        <f>Financials!F128</f>
        <v>2431.7550000000001</v>
      </c>
      <c r="G383" s="252">
        <f>Financials!G128</f>
        <v>3099.3919999999998</v>
      </c>
      <c r="H383" s="252">
        <f>Financials!H128</f>
        <v>3868.8169999999996</v>
      </c>
      <c r="I383" s="252">
        <f>Financials!I128</f>
        <v>4418.05</v>
      </c>
      <c r="J383" s="252">
        <f>Financials!J128</f>
        <v>4373.451</v>
      </c>
      <c r="K383" s="252">
        <f>Financials!K128</f>
        <v>4505.3909999999996</v>
      </c>
      <c r="L383" s="252">
        <f>Financials!L128</f>
        <v>5123.9279999999999</v>
      </c>
      <c r="M383" s="252">
        <f>Financials!M128</f>
        <v>7212.1990000000005</v>
      </c>
      <c r="N383" s="252">
        <f>Financials!N128</f>
        <v>9680.3859999999986</v>
      </c>
      <c r="O383" s="252">
        <f>Financials!O128</f>
        <v>25695.370000000003</v>
      </c>
      <c r="P383" s="252">
        <f>Financials!P128</f>
        <v>27451.612000000001</v>
      </c>
      <c r="Q383" s="252">
        <f>Financials!Q128</f>
        <v>31790.37</v>
      </c>
      <c r="R383" s="252">
        <f>Financials!R128</f>
        <v>33586.557000000001</v>
      </c>
      <c r="S383" s="252">
        <f>Financials!S128</f>
        <v>46487.01</v>
      </c>
      <c r="T383" s="456">
        <f>Financials!T128</f>
        <v>69181.731999999989</v>
      </c>
      <c r="U383" s="456">
        <f>Financials!U128</f>
        <v>74908</v>
      </c>
      <c r="V383" s="456">
        <f>Financials!V128</f>
        <v>71232.444999999992</v>
      </c>
      <c r="W383" s="456">
        <f>Financials!W128</f>
        <v>68095.490999999995</v>
      </c>
      <c r="X383" s="456">
        <f>Financials!X128</f>
        <v>64324.724999999999</v>
      </c>
      <c r="Y383" s="456">
        <f>Financials!Y128</f>
        <v>66870.844908046696</v>
      </c>
      <c r="Z383" s="456">
        <f>Financials!Z128</f>
        <v>67493.194813991868</v>
      </c>
      <c r="AA383" s="456">
        <f>Financials!AA128</f>
        <v>68113.975904966399</v>
      </c>
      <c r="AB383" s="456">
        <f>Financials!AB128</f>
        <v>68754.091644551416</v>
      </c>
      <c r="AC383" s="456">
        <f>Financials!AC128</f>
        <v>70540.09587304866</v>
      </c>
      <c r="AD383" s="456">
        <f>Financials!AD128</f>
        <v>72423.998861382614</v>
      </c>
      <c r="AE383" s="456">
        <f>Financials!AE128</f>
        <v>74102.664681265902</v>
      </c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</row>
    <row r="384" spans="1:82">
      <c r="A384" s="36" t="s">
        <v>121</v>
      </c>
      <c r="B384" s="252">
        <f>Financials!B131+Financials!B132</f>
        <v>194.755</v>
      </c>
      <c r="C384" s="252">
        <f>Financials!C131+Financials!C132</f>
        <v>134.12700000000001</v>
      </c>
      <c r="D384" s="252">
        <f>Financials!D131+Financials!D132</f>
        <v>217.81099999999998</v>
      </c>
      <c r="E384" s="252">
        <f>Financials!E131+Financials!E132</f>
        <v>261.03199999999998</v>
      </c>
      <c r="F384" s="252">
        <f>Financials!F131+Financials!F132</f>
        <v>457.78600000000006</v>
      </c>
      <c r="G384" s="252">
        <f>Financials!G131+Financials!G132</f>
        <v>486.29499999999996</v>
      </c>
      <c r="H384" s="252">
        <f>Financials!H131+Financials!H132</f>
        <v>907.79099999999994</v>
      </c>
      <c r="I384" s="252">
        <f>Financials!I131+Financials!I132</f>
        <v>1247.8539999999998</v>
      </c>
      <c r="J384" s="252">
        <f>Financials!J131+Financials!J132</f>
        <v>775.99700000000007</v>
      </c>
      <c r="K384" s="252">
        <f>Financials!K131+Financials!K132</f>
        <v>748.92900000000009</v>
      </c>
      <c r="L384" s="252">
        <f>Financials!L131+Financials!L132</f>
        <v>3125.288</v>
      </c>
      <c r="M384" s="252">
        <f>Financials!M131+Financials!M132</f>
        <v>1116.8690000000001</v>
      </c>
      <c r="N384" s="252">
        <f>Financials!N131+Financials!N132</f>
        <v>1443.6610000000001</v>
      </c>
      <c r="O384" s="252">
        <f>Financials!O131+Financials!O132</f>
        <v>2067.8329999999996</v>
      </c>
      <c r="P384" s="252">
        <f>Financials!P131+Financials!P132</f>
        <v>2290.1480000000001</v>
      </c>
      <c r="Q384" s="252">
        <f>Financials!Q131+Financials!Q132</f>
        <v>2703.2910000000002</v>
      </c>
      <c r="R384" s="252">
        <f>Financials!R131+Financials!R132</f>
        <v>3281.7089999999998</v>
      </c>
      <c r="S384" s="252">
        <f>Financials!S131+Financials!S132</f>
        <v>3560.1370000000002</v>
      </c>
      <c r="T384" s="456">
        <f>Financials!T131+Financials!T132</f>
        <v>3157.9059999999999</v>
      </c>
      <c r="U384" s="456">
        <f>Financials!U131+Financials!U132</f>
        <v>2892</v>
      </c>
      <c r="V384" s="456">
        <f>Financials!V131+Financials!V132</f>
        <v>3100.1570000000002</v>
      </c>
      <c r="W384" s="456">
        <f>Financials!W131+Financials!W132</f>
        <v>4244.7029999999995</v>
      </c>
      <c r="X384" s="456">
        <f>Financials!X131+Financials!X132</f>
        <v>3890.2570000000001</v>
      </c>
      <c r="Y384" s="456">
        <f>Financials!Y131+Financials!Y132</f>
        <v>4136.8589539160203</v>
      </c>
      <c r="Z384" s="456">
        <f>Financials!Z131+Financials!Z132</f>
        <v>4487.8120260262367</v>
      </c>
      <c r="AA384" s="456">
        <f>Financials!AA131+Financials!AA132</f>
        <v>4789.8450030149725</v>
      </c>
      <c r="AB384" s="456">
        <f>Financials!AB131+Financials!AB132</f>
        <v>5086.2058941837822</v>
      </c>
      <c r="AC384" s="456">
        <f>Financials!AC131+Financials!AC132</f>
        <v>5416.9945803951814</v>
      </c>
      <c r="AD384" s="456">
        <f>Financials!AD131+Financials!AD132</f>
        <v>5706.8590052738436</v>
      </c>
      <c r="AE384" s="456">
        <f>Financials!AE131+Financials!AE132</f>
        <v>5999.6615229126064</v>
      </c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</row>
    <row r="385" spans="1:82">
      <c r="A385" s="36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329"/>
      <c r="U385" s="329"/>
      <c r="V385" s="329"/>
      <c r="W385" s="329"/>
      <c r="X385" s="329"/>
      <c r="Y385" s="329"/>
      <c r="Z385" s="329"/>
      <c r="AA385" s="329"/>
      <c r="AB385" s="329"/>
      <c r="AC385" s="329"/>
      <c r="AD385" s="329"/>
      <c r="AE385" s="32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</row>
    <row r="386" spans="1:82">
      <c r="A386" s="242" t="s">
        <v>656</v>
      </c>
      <c r="B386" s="264">
        <v>2001</v>
      </c>
      <c r="C386" s="264">
        <v>2002</v>
      </c>
      <c r="D386" s="264">
        <v>2003</v>
      </c>
      <c r="E386" s="264">
        <v>2004</v>
      </c>
      <c r="F386" s="264">
        <v>2005</v>
      </c>
      <c r="G386" s="264">
        <v>2006</v>
      </c>
      <c r="H386" s="264">
        <v>2007</v>
      </c>
      <c r="I386" s="264">
        <v>2008</v>
      </c>
      <c r="J386" s="264">
        <f t="shared" ref="J386:R386" si="213">J$50</f>
        <v>2009</v>
      </c>
      <c r="K386" s="264">
        <f t="shared" si="213"/>
        <v>2010</v>
      </c>
      <c r="L386" s="264">
        <f t="shared" si="213"/>
        <v>2011</v>
      </c>
      <c r="M386" s="264">
        <f t="shared" si="213"/>
        <v>2012</v>
      </c>
      <c r="N386" s="264">
        <f t="shared" si="213"/>
        <v>2013</v>
      </c>
      <c r="O386" s="264">
        <f t="shared" si="213"/>
        <v>2014</v>
      </c>
      <c r="P386" s="264">
        <f t="shared" si="213"/>
        <v>2015</v>
      </c>
      <c r="Q386" s="264">
        <f t="shared" si="213"/>
        <v>2016</v>
      </c>
      <c r="R386" s="264">
        <f t="shared" si="213"/>
        <v>2017</v>
      </c>
      <c r="S386" s="264">
        <f t="shared" ref="S386:X386" si="214">S$6</f>
        <v>2018</v>
      </c>
      <c r="T386" s="264">
        <f t="shared" si="214"/>
        <v>2019</v>
      </c>
      <c r="U386" s="264">
        <f t="shared" si="214"/>
        <v>2020</v>
      </c>
      <c r="V386" s="264">
        <f t="shared" si="214"/>
        <v>2021</v>
      </c>
      <c r="W386" s="264">
        <f t="shared" si="214"/>
        <v>2022</v>
      </c>
      <c r="X386" s="264">
        <f t="shared" si="214"/>
        <v>2023</v>
      </c>
      <c r="Y386" s="594">
        <f t="shared" ref="Y386:AE386" si="215">Y$50</f>
        <v>2024</v>
      </c>
      <c r="Z386" s="594">
        <f t="shared" si="215"/>
        <v>2025</v>
      </c>
      <c r="AA386" s="594">
        <f t="shared" si="215"/>
        <v>2026</v>
      </c>
      <c r="AB386" s="594">
        <f t="shared" si="215"/>
        <v>2027</v>
      </c>
      <c r="AC386" s="594">
        <f t="shared" si="215"/>
        <v>2028</v>
      </c>
      <c r="AD386" s="594">
        <f t="shared" si="215"/>
        <v>2029</v>
      </c>
      <c r="AE386" s="594">
        <f t="shared" si="215"/>
        <v>2030</v>
      </c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</row>
    <row r="387" spans="1:82">
      <c r="A387" s="36" t="s">
        <v>623</v>
      </c>
      <c r="B387" s="252">
        <f>Financials!B135</f>
        <v>142.27600000000001</v>
      </c>
      <c r="C387" s="252">
        <f>Financials!C135</f>
        <v>66.106999999999999</v>
      </c>
      <c r="D387" s="252">
        <f>Financials!D135</f>
        <v>45.132000000000005</v>
      </c>
      <c r="E387" s="252">
        <f>Financials!E135</f>
        <v>98.706999999999994</v>
      </c>
      <c r="F387" s="252">
        <f>Financials!F135</f>
        <v>769.35500000000002</v>
      </c>
      <c r="G387" s="252">
        <f>Financials!G135</f>
        <v>497.27600000000001</v>
      </c>
      <c r="H387" s="252">
        <f>Financials!H135</f>
        <v>1033.45</v>
      </c>
      <c r="I387" s="252">
        <f>Financials!I135</f>
        <v>1790.1779999999999</v>
      </c>
      <c r="J387" s="252">
        <f>Financials!J135</f>
        <v>1328.134</v>
      </c>
      <c r="K387" s="252">
        <f>Financials!K135</f>
        <v>1656.047</v>
      </c>
      <c r="L387" s="252">
        <f>Financials!L135</f>
        <v>4056.5309999999999</v>
      </c>
      <c r="M387" s="252">
        <f>Financials!M135</f>
        <v>2474.48</v>
      </c>
      <c r="N387" s="252">
        <f>Financials!N135</f>
        <v>5043.6170000000002</v>
      </c>
      <c r="O387" s="252">
        <f>Financials!O135</f>
        <v>11239.179</v>
      </c>
      <c r="P387" s="252">
        <f>Financials!P135</f>
        <v>12233.341</v>
      </c>
      <c r="Q387" s="252">
        <f>Financials!Q135</f>
        <v>14839.888999999999</v>
      </c>
      <c r="R387" s="252">
        <f>Financials!R135</f>
        <v>18041.436000000002</v>
      </c>
      <c r="S387" s="252">
        <f>Financials!S135</f>
        <v>28115.931999999997</v>
      </c>
      <c r="T387" s="456">
        <f>Financials!T135</f>
        <v>27686.744999999999</v>
      </c>
      <c r="U387" s="456">
        <f>Financials!U135</f>
        <v>38368.148999999998</v>
      </c>
      <c r="V387" s="456">
        <f>Financials!V135</f>
        <v>37448.553</v>
      </c>
      <c r="W387" s="456">
        <f>Financials!W135</f>
        <v>32649.838</v>
      </c>
      <c r="X387" s="456">
        <f>Financials!X135</f>
        <v>31416.120000000003</v>
      </c>
      <c r="Y387" s="456">
        <f>Financials!Y135</f>
        <v>34525.30381662523</v>
      </c>
      <c r="Z387" s="456">
        <f>Financials!Z135</f>
        <v>37359.942550450389</v>
      </c>
      <c r="AA387" s="456">
        <f>Financials!AA135</f>
        <v>40946.76166856855</v>
      </c>
      <c r="AB387" s="456">
        <f>Financials!AB135</f>
        <v>44106.456902711994</v>
      </c>
      <c r="AC387" s="456">
        <f>Financials!AC135</f>
        <v>44478.609167290524</v>
      </c>
      <c r="AD387" s="456">
        <f>Financials!AD135</f>
        <v>44854.101478022312</v>
      </c>
      <c r="AE387" s="456">
        <f>Financials!AE135</f>
        <v>45232.96381163827</v>
      </c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</row>
    <row r="388" spans="1:82">
      <c r="A388" s="36" t="s">
        <v>624</v>
      </c>
      <c r="B388" s="252">
        <f>Financials!B140</f>
        <v>922.91300000000001</v>
      </c>
      <c r="C388" s="252">
        <f>Financials!C140</f>
        <v>1080.4529999999997</v>
      </c>
      <c r="D388" s="252">
        <f>Financials!D140</f>
        <v>1211.9480000000003</v>
      </c>
      <c r="E388" s="252">
        <f>Financials!E140</f>
        <v>1425.3859999999997</v>
      </c>
      <c r="F388" s="252">
        <f>Financials!F140</f>
        <v>1767.4979999999998</v>
      </c>
      <c r="G388" s="252">
        <f>Financials!G140</f>
        <v>2653.8759999999997</v>
      </c>
      <c r="H388" s="252">
        <f>Financials!H140</f>
        <v>2997.4830000000002</v>
      </c>
      <c r="I388" s="252">
        <f>Financials!I140</f>
        <v>2997.0709999999999</v>
      </c>
      <c r="J388" s="252">
        <f>Financials!J140</f>
        <v>2908.5889999999999</v>
      </c>
      <c r="K388" s="252">
        <f>Financials!K140</f>
        <v>2865.3280000000004</v>
      </c>
      <c r="L388" s="252">
        <f>Financials!L140</f>
        <v>2993.8649999999998</v>
      </c>
      <c r="M388" s="252">
        <f>Financials!M140</f>
        <v>4520.71</v>
      </c>
      <c r="N388" s="252">
        <f>Financials!N140</f>
        <v>4271.4269999999997</v>
      </c>
      <c r="O388" s="252">
        <f>Financials!O140</f>
        <v>8800.1280000000006</v>
      </c>
      <c r="P388" s="252">
        <f>Financials!P140</f>
        <v>9069.2769999999982</v>
      </c>
      <c r="Q388" s="252">
        <f>Financials!Q140</f>
        <v>8910.6229999999996</v>
      </c>
      <c r="R388" s="252">
        <f>Financials!R140</f>
        <v>9460.389000000001</v>
      </c>
      <c r="S388" s="252">
        <f>Financials!S140</f>
        <v>11080.08</v>
      </c>
      <c r="T388" s="456">
        <f>Financials!T140</f>
        <v>9580.9979999999996</v>
      </c>
      <c r="U388" s="456">
        <f>Financials!U140</f>
        <v>6302.7489999999998</v>
      </c>
      <c r="V388" s="456">
        <f>Financials!V140</f>
        <v>7639.1659999999993</v>
      </c>
      <c r="W388" s="456">
        <f>Financials!W140</f>
        <v>7617.8669999999993</v>
      </c>
      <c r="X388" s="456">
        <f>Financials!X140</f>
        <v>8375.1020000000008</v>
      </c>
      <c r="Y388" s="456">
        <f>Financials!Y140</f>
        <v>7548.2332842488358</v>
      </c>
      <c r="Z388" s="456">
        <f>Financials!Z140</f>
        <v>9449.4250461535503</v>
      </c>
      <c r="AA388" s="456">
        <f>Financials!AA140</f>
        <v>12255.328053330746</v>
      </c>
      <c r="AB388" s="456">
        <f>Financials!AB140</f>
        <v>16097.096420746779</v>
      </c>
      <c r="AC388" s="456">
        <f>Financials!AC140</f>
        <v>20157.813050596957</v>
      </c>
      <c r="AD388" s="456">
        <f>Financials!AD140</f>
        <v>24540.226800953533</v>
      </c>
      <c r="AE388" s="456">
        <f>Financials!AE140</f>
        <v>29219.405213415666</v>
      </c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</row>
    <row r="389" spans="1:82">
      <c r="A389" s="36" t="s">
        <v>73</v>
      </c>
      <c r="B389" s="252">
        <f>Financials!B142-B388-B387</f>
        <v>407.79900000000004</v>
      </c>
      <c r="C389" s="252">
        <f>Financials!C142-C388-C387</f>
        <v>504.88000000000011</v>
      </c>
      <c r="D389" s="252">
        <f>Financials!D142-D388-D387</f>
        <v>541.14699999999993</v>
      </c>
      <c r="E389" s="252">
        <f>Financials!E142-E388-E387</f>
        <v>681.93100000000015</v>
      </c>
      <c r="F389" s="252">
        <f>Financials!F142-F388-F387</f>
        <v>707.06100000000038</v>
      </c>
      <c r="G389" s="252">
        <f>Financials!G142-G388-G387</f>
        <v>889.31400000000008</v>
      </c>
      <c r="H389" s="252">
        <f>Financials!H142-H388-H387</f>
        <v>1264.7879999999993</v>
      </c>
      <c r="I389" s="252">
        <f>Financials!I142-I388-I387</f>
        <v>1723.3909999999996</v>
      </c>
      <c r="J389" s="252">
        <f>Financials!J142-J388-J387</f>
        <v>1572.0860000000002</v>
      </c>
      <c r="K389" s="252">
        <f>Financials!K142-K388-K387</f>
        <v>1619.3899999999999</v>
      </c>
      <c r="L389" s="252">
        <f>Financials!L142-L388-L387</f>
        <v>2323.7779999999993</v>
      </c>
      <c r="M389" s="252">
        <f>Financials!M142-M388-M387</f>
        <v>2802.4029999999989</v>
      </c>
      <c r="N389" s="252">
        <f>Financials!N142-N388-N387</f>
        <v>3101.090000000002</v>
      </c>
      <c r="O389" s="252">
        <f>Financials!O142-O388-O387</f>
        <v>9732.2890000000007</v>
      </c>
      <c r="P389" s="252">
        <f>Financials!P142-P388-P387</f>
        <v>10539.809000000001</v>
      </c>
      <c r="Q389" s="252">
        <f>Financials!Q142-Q388-Q387</f>
        <v>14244.628999999997</v>
      </c>
      <c r="R389" s="252">
        <f>Financials!R142-R388-R387</f>
        <v>12157.432000000001</v>
      </c>
      <c r="S389" s="252">
        <f>Financials!S142-S388-S387</f>
        <v>13864.109999999997</v>
      </c>
      <c r="T389" s="456">
        <f>Financials!T142-T388-T387</f>
        <v>39144.505000000005</v>
      </c>
      <c r="U389" s="456">
        <f>Financials!U142-U388-U387</f>
        <v>38766.446000000004</v>
      </c>
      <c r="V389" s="456">
        <f>Financials!V142-V388-V387</f>
        <v>37889.842999999993</v>
      </c>
      <c r="W389" s="456">
        <f>Financials!W142-W388-W387</f>
        <v>40201.617999999988</v>
      </c>
      <c r="X389" s="456">
        <f>Financials!X142-X388-X387</f>
        <v>37205.798999999992</v>
      </c>
      <c r="Y389" s="456">
        <f>Financials!Y142-Y388-Y387</f>
        <v>36432.621217873959</v>
      </c>
      <c r="Z389" s="456">
        <f>Financials!Z142-Z388-Z387</f>
        <v>37867.933056019159</v>
      </c>
      <c r="AA389" s="456">
        <f>Financials!AA142-AA388-AA387</f>
        <v>39218.650740479716</v>
      </c>
      <c r="AB389" s="456">
        <f>Financials!AB142-AB388-AB387</f>
        <v>40492.631748289605</v>
      </c>
      <c r="AC389" s="456">
        <f>Financials!AC142-AC388-AC387</f>
        <v>41874.190390267533</v>
      </c>
      <c r="AD389" s="456">
        <f>Financials!AD142-AD388-AD387</f>
        <v>43063.943662691272</v>
      </c>
      <c r="AE389" s="456">
        <f>Financials!AE142-AE388-AE387</f>
        <v>44214.897442451067</v>
      </c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</row>
    <row r="390" spans="1:82">
      <c r="A390" s="36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329"/>
      <c r="U390" s="329"/>
      <c r="V390" s="329"/>
      <c r="W390" s="329"/>
      <c r="X390" s="329"/>
      <c r="Y390" s="329"/>
      <c r="Z390" s="329"/>
      <c r="AA390" s="329"/>
      <c r="AB390" s="329"/>
      <c r="AC390" s="329"/>
      <c r="AD390" s="329"/>
      <c r="AE390" s="32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</row>
    <row r="391" spans="1:82">
      <c r="A391" s="242" t="s">
        <v>313</v>
      </c>
      <c r="B391" s="264">
        <v>2001</v>
      </c>
      <c r="C391" s="264">
        <v>2002</v>
      </c>
      <c r="D391" s="264">
        <v>2003</v>
      </c>
      <c r="E391" s="264">
        <v>2004</v>
      </c>
      <c r="F391" s="264">
        <v>2005</v>
      </c>
      <c r="G391" s="264">
        <v>2006</v>
      </c>
      <c r="H391" s="264">
        <v>2007</v>
      </c>
      <c r="I391" s="264">
        <v>2008</v>
      </c>
      <c r="J391" s="264">
        <f t="shared" ref="J391:R391" si="216">J$50</f>
        <v>2009</v>
      </c>
      <c r="K391" s="264">
        <f t="shared" si="216"/>
        <v>2010</v>
      </c>
      <c r="L391" s="264">
        <f t="shared" si="216"/>
        <v>2011</v>
      </c>
      <c r="M391" s="264">
        <f t="shared" si="216"/>
        <v>2012</v>
      </c>
      <c r="N391" s="264">
        <f t="shared" si="216"/>
        <v>2013</v>
      </c>
      <c r="O391" s="264">
        <f t="shared" si="216"/>
        <v>2014</v>
      </c>
      <c r="P391" s="264">
        <f t="shared" si="216"/>
        <v>2015</v>
      </c>
      <c r="Q391" s="264">
        <f t="shared" si="216"/>
        <v>2016</v>
      </c>
      <c r="R391" s="264">
        <f t="shared" si="216"/>
        <v>2017</v>
      </c>
      <c r="S391" s="264">
        <f t="shared" ref="S391:X391" si="217">S$6</f>
        <v>2018</v>
      </c>
      <c r="T391" s="264">
        <f t="shared" si="217"/>
        <v>2019</v>
      </c>
      <c r="U391" s="264">
        <f t="shared" si="217"/>
        <v>2020</v>
      </c>
      <c r="V391" s="264">
        <f t="shared" si="217"/>
        <v>2021</v>
      </c>
      <c r="W391" s="264">
        <f t="shared" si="217"/>
        <v>2022</v>
      </c>
      <c r="X391" s="264">
        <f t="shared" si="217"/>
        <v>2023</v>
      </c>
      <c r="Y391" s="594">
        <f t="shared" ref="Y391:AE391" si="218">Y$50</f>
        <v>2024</v>
      </c>
      <c r="Z391" s="594">
        <f t="shared" si="218"/>
        <v>2025</v>
      </c>
      <c r="AA391" s="594">
        <f t="shared" si="218"/>
        <v>2026</v>
      </c>
      <c r="AB391" s="594">
        <f t="shared" si="218"/>
        <v>2027</v>
      </c>
      <c r="AC391" s="594">
        <f t="shared" si="218"/>
        <v>2028</v>
      </c>
      <c r="AD391" s="594">
        <f t="shared" si="218"/>
        <v>2029</v>
      </c>
      <c r="AE391" s="594">
        <f t="shared" si="218"/>
        <v>2030</v>
      </c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</row>
    <row r="392" spans="1:82">
      <c r="A392" s="244" t="s">
        <v>85</v>
      </c>
      <c r="B392" s="446">
        <f>Financials!B175</f>
        <v>2.1055161345509898E-2</v>
      </c>
      <c r="C392" s="446">
        <f>Financials!C175</f>
        <v>9.0180085258925582E-2</v>
      </c>
      <c r="D392" s="446">
        <f>Financials!D175</f>
        <v>7.1263527908323063E-2</v>
      </c>
      <c r="E392" s="446">
        <f>Financials!E175</f>
        <v>7.0084912947456598E-2</v>
      </c>
      <c r="F392" s="446">
        <f>Financials!F175</f>
        <v>8.6777269681008892E-2</v>
      </c>
      <c r="G392" s="446">
        <f>Financials!G175</f>
        <v>5.4987964259568291E-2</v>
      </c>
      <c r="H392" s="446">
        <f>Financials!H175</f>
        <v>9.0343694465777155E-2</v>
      </c>
      <c r="I392" s="446">
        <f>Financials!I175</f>
        <v>1.9779775874568396E-2</v>
      </c>
      <c r="J392" s="446">
        <f>Financials!J175</f>
        <v>1.7860459863631176E-2</v>
      </c>
      <c r="K392" s="446">
        <f>Financials!K175</f>
        <v>2.4624712740723385E-2</v>
      </c>
      <c r="L392" s="446">
        <f>Financials!L175</f>
        <v>2.2363999469606589E-2</v>
      </c>
      <c r="M392" s="446">
        <f>Financials!M175</f>
        <v>3.7413781119505524E-2</v>
      </c>
      <c r="N392" s="446">
        <f>Financials!N175</f>
        <v>5.4849033133096609E-2</v>
      </c>
      <c r="O392" s="446">
        <f>Financials!O175</f>
        <v>2.2392685968196002E-2</v>
      </c>
      <c r="P392" s="446">
        <f>Financials!P175</f>
        <v>3.0814422531297642E-2</v>
      </c>
      <c r="Q392" s="446">
        <f>Financials!Q175</f>
        <v>2.6226300884105137E-2</v>
      </c>
      <c r="R392" s="446">
        <f>Financials!R175</f>
        <v>2.7470736529431185E-2</v>
      </c>
      <c r="S392" s="446">
        <f>Financials!S175</f>
        <v>1.7965525974478515E-2</v>
      </c>
      <c r="T392" s="1106">
        <f>Financials!T175</f>
        <v>1.0003815095192572E-2</v>
      </c>
      <c r="U392" s="1106">
        <f>Financials!U175</f>
        <v>-4.4442747908626783E-2</v>
      </c>
      <c r="V392" s="1106">
        <f>Financials!V175</f>
        <v>5.8797461414930533E-3</v>
      </c>
      <c r="W392" s="1106">
        <f>Financials!W175</f>
        <v>2.0652342259670782E-2</v>
      </c>
      <c r="X392" s="1106">
        <f>Financials!X175</f>
        <v>3.6233817409637166E-2</v>
      </c>
      <c r="Y392" s="1106">
        <f>Financials!Y175</f>
        <v>1.8726040423356197E-2</v>
      </c>
      <c r="Z392" s="1106">
        <f>Financials!Z175</f>
        <v>2.6056824412477125E-2</v>
      </c>
      <c r="AA392" s="1106">
        <f>Financials!AA175</f>
        <v>3.2039901268152524E-2</v>
      </c>
      <c r="AB392" s="1106">
        <f>Financials!AB175</f>
        <v>3.9008175283619773E-2</v>
      </c>
      <c r="AC392" s="1106">
        <f>Financials!AC175</f>
        <v>3.7625619978570279E-2</v>
      </c>
      <c r="AD392" s="1106">
        <f>Financials!AD175</f>
        <v>3.7438702515802155E-2</v>
      </c>
      <c r="AE392" s="1106">
        <f>Financials!AE175</f>
        <v>3.7147411124576944E-2</v>
      </c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</row>
    <row r="393" spans="1:82">
      <c r="A393" s="244" t="s">
        <v>86</v>
      </c>
      <c r="B393" s="446" t="e">
        <f>IF(Financials!B176="",NA(),Financials!B176)</f>
        <v>#N/A</v>
      </c>
      <c r="C393" s="446">
        <f>IF(Financials!C177="",NA(),Financials!C177)</f>
        <v>0.14867677698433543</v>
      </c>
      <c r="D393" s="446">
        <f>IF(Financials!D177="",NA(),Financials!D177)</f>
        <v>0.11180242898166601</v>
      </c>
      <c r="E393" s="446">
        <f>IF(Financials!E177="",NA(),Financials!E177)</f>
        <v>0.11724643143416798</v>
      </c>
      <c r="F393" s="446">
        <f>IF(Financials!F177="",NA(),Financials!F177)</f>
        <v>0.17632836019097486</v>
      </c>
      <c r="G393" s="446">
        <f>IF(Financials!G177="",NA(),Financials!G177)</f>
        <v>0.10050133736707226</v>
      </c>
      <c r="H393" s="446">
        <f>IF(Financials!H177="",NA(),Financials!H177)</f>
        <v>0.16931679619008447</v>
      </c>
      <c r="I393" s="446">
        <f>IF(Financials!I177="",NA(),Financials!I177)</f>
        <v>4.296533153258774E-2</v>
      </c>
      <c r="J393" s="446">
        <f>IF(Financials!J177="",NA(),Financials!J177)</f>
        <v>3.5135107676364553E-2</v>
      </c>
      <c r="K393" s="446">
        <f>IF(Financials!K177="",NA(),Financials!K177)</f>
        <v>5.2382464105389777E-2</v>
      </c>
      <c r="L393" s="446">
        <f>IF(Financials!L177="",NA(),Financials!L177)</f>
        <v>7.1560708104341481E-2</v>
      </c>
      <c r="M393" s="446">
        <f>IF(Financials!M177="",NA(),Financials!M177)</f>
        <v>9.7561072981505806E-2</v>
      </c>
      <c r="N393" s="446">
        <f>IF(Financials!N177="",NA(),Financials!N177)</f>
        <v>0.15491410108827933</v>
      </c>
      <c r="O393" s="446">
        <f>IF(Financials!O177="",NA(),Financials!O177)</f>
        <v>0.10200255440152305</v>
      </c>
      <c r="P393" s="446">
        <f>IF(Financials!P177="",NA(),Financials!P177)</f>
        <v>0.10981966103516043</v>
      </c>
      <c r="Q393" s="446">
        <f>IF(Financials!Q177="",NA(),Financials!Q177)</f>
        <v>0.11084288566677228</v>
      </c>
      <c r="R393" s="446">
        <f>IF(Financials!R177="",NA(),Financials!R177)</f>
        <v>0.11860740170438074</v>
      </c>
      <c r="S393" s="446">
        <f>IF(Financials!S177="",NA(),Financials!S177)</f>
        <v>9.2817062745743431E-2</v>
      </c>
      <c r="T393" s="1106">
        <f>IF(Financials!T177="",NA(),Financials!T177)</f>
        <v>7.3995558218210897E-2</v>
      </c>
      <c r="U393" s="1106">
        <f>IF(Financials!U177="",NA(),Financials!U177)</f>
        <v>-0.4669192980724261</v>
      </c>
      <c r="V393" s="1106">
        <f>IF(Financials!V177="",NA(),Financials!V177)</f>
        <v>6.9988520228390527E-2</v>
      </c>
      <c r="W393" s="1106">
        <f>IF(Financials!W177="",NA(),Financials!W177)</f>
        <v>0.2178510068110881</v>
      </c>
      <c r="X393" s="1106">
        <f>IF(Financials!X177="",NA(),Financials!X177)</f>
        <v>0.34889031548801203</v>
      </c>
      <c r="Y393" s="1106">
        <f>IF(Financials!Y177="",NA(),Financials!Y177)</f>
        <v>0.18464844037285721</v>
      </c>
      <c r="Z393" s="1106">
        <f>IF(Financials!Z177="",NA(),Financials!Z177)</f>
        <v>0.25961477022259055</v>
      </c>
      <c r="AA393" s="1106">
        <f>IF(Financials!AA177="",NA(),Financials!AA177)</f>
        <v>0.27285741680742082</v>
      </c>
      <c r="AB393" s="1106">
        <f>IF(Financials!AB177="",NA(),Financials!AB177)</f>
        <v>0.2770820873022749</v>
      </c>
      <c r="AC393" s="1106">
        <f>IF(Financials!AC177="",NA(),Financials!AC177)</f>
        <v>0.22107504499341635</v>
      </c>
      <c r="AD393" s="1106">
        <f>IF(Financials!AD177="",NA(),Financials!AD177)</f>
        <v>0.18838820852489396</v>
      </c>
      <c r="AE393" s="1106">
        <f>IF(Financials!AE177="",NA(),Financials!AE177)</f>
        <v>0.16399598012379613</v>
      </c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</row>
    <row r="394" spans="1:82">
      <c r="A394" s="244" t="s">
        <v>87</v>
      </c>
      <c r="B394" s="446" t="e">
        <f>IF(Financials!B178="",NA(),Financials!B178)</f>
        <v>#N/A</v>
      </c>
      <c r="C394" s="446">
        <f>IF(Financials!C179="",NA(),Financials!C179)</f>
        <v>0.33347121469145202</v>
      </c>
      <c r="D394" s="446">
        <f>IF(Financials!D179="",NA(),Financials!D179)</f>
        <v>0.30941124660718716</v>
      </c>
      <c r="E394" s="446">
        <f>IF(Financials!E179="",NA(),Financials!E179)</f>
        <v>0.36399803037639328</v>
      </c>
      <c r="F394" s="446">
        <f>IF(Financials!F179="",NA(),Financials!F179)</f>
        <v>0.32246417073560807</v>
      </c>
      <c r="G394" s="446">
        <f>IF(Financials!G179="",NA(),Financials!G179)</f>
        <v>0.23413908556634691</v>
      </c>
      <c r="H394" s="446">
        <f>IF(Financials!H179="",NA(),Financials!H179)</f>
        <v>0.29833991285980033</v>
      </c>
      <c r="I394" s="446">
        <f>IF(Financials!I179="",NA(),Financials!I179)</f>
        <v>0.16946318514553602</v>
      </c>
      <c r="J394" s="446">
        <f>IF(Financials!J179="",NA(),Financials!J179)</f>
        <v>0.1137103873560552</v>
      </c>
      <c r="K394" s="446">
        <f>IF(Financials!K179="",NA(),Financials!K179)</f>
        <v>0.12242927172007949</v>
      </c>
      <c r="L394" s="446">
        <f>IF(Financials!L179="",NA(),Financials!L179)</f>
        <v>0.14746690502899712</v>
      </c>
      <c r="M394" s="446">
        <f>IF(Financials!M179="",NA(),Financials!M179)</f>
        <v>0.2063639419871246</v>
      </c>
      <c r="N394" s="446">
        <f>IF(Financials!N179="",NA(),Financials!N179)</f>
        <v>0.19173831614810272</v>
      </c>
      <c r="O394" s="446">
        <f>IF(Financials!O179="",NA(),Financials!O179)</f>
        <v>0.12274548135826327</v>
      </c>
      <c r="P394" s="446">
        <f>IF(Financials!P179="",NA(),Financials!P179)</f>
        <v>0.12792247450464619</v>
      </c>
      <c r="Q394" s="446">
        <f>IF(Financials!Q179="",NA(),Financials!Q179)</f>
        <v>0.13643205279978415</v>
      </c>
      <c r="R394" s="446">
        <f>IF(Financials!R179="",NA(),Financials!R179)</f>
        <v>7.5593457981945236E-2</v>
      </c>
      <c r="S394" s="446">
        <f>IF(Financials!S179="",NA(),Financials!S179)</f>
        <v>5.6631731934722575E-2</v>
      </c>
      <c r="T394" s="1106">
        <f>IF(Financials!T179="",NA(),Financials!T179)</f>
        <v>6.188529283106349E-2</v>
      </c>
      <c r="U394" s="1106">
        <f>IF(Financials!U179="",NA(),Financials!U179)</f>
        <v>-5.116039345085685E-2</v>
      </c>
      <c r="V394" s="1106">
        <f>IF(Financials!V179="",NA(),Financials!V179)</f>
        <v>5.0170930832998901E-2</v>
      </c>
      <c r="W394" s="1106">
        <f>IF(Financials!W179="",NA(),Financials!W179)</f>
        <v>8.1374383644524262E-2</v>
      </c>
      <c r="X394" s="1106">
        <f>IF(Financials!X179="",NA(),Financials!X179)</f>
        <v>0.1132229138572384</v>
      </c>
      <c r="Y394" s="1106">
        <f>IF(Financials!Y179="",NA(),Financials!Y179)</f>
        <v>0.11120161284489649</v>
      </c>
      <c r="Z394" s="1106">
        <f>IF(Financials!Z179="",NA(),Financials!Z179)</f>
        <v>0.1129248236255532</v>
      </c>
      <c r="AA394" s="1106">
        <f>IF(Financials!AA179="",NA(),Financials!AA179)</f>
        <v>0.122489066961031</v>
      </c>
      <c r="AB394" s="1106">
        <f>IF(Financials!AB179="",NA(),Financials!AB179)</f>
        <v>0.13240849482841854</v>
      </c>
      <c r="AC394" s="1106">
        <f>IF(Financials!AC179="",NA(),Financials!AC179)</f>
        <v>0.12724852606321269</v>
      </c>
      <c r="AD394" s="1106">
        <f>IF(Financials!AD179="",NA(),Financials!AD179)</f>
        <v>0.1243081738990138</v>
      </c>
      <c r="AE394" s="1106">
        <f>IF(Financials!AE179="",NA(),Financials!AE179)</f>
        <v>0.12153229907867207</v>
      </c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</row>
    <row r="395" spans="1:82">
      <c r="A395" s="36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329"/>
      <c r="U395" s="329"/>
      <c r="V395" s="329"/>
      <c r="W395" s="329"/>
      <c r="X395" s="329"/>
      <c r="Y395" s="329"/>
      <c r="Z395" s="329"/>
      <c r="AA395" s="329"/>
      <c r="AB395" s="329"/>
      <c r="AC395" s="329"/>
      <c r="AD395" s="329"/>
      <c r="AE395" s="32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</row>
    <row r="396" spans="1:82">
      <c r="A396" s="1654" t="s">
        <v>1392</v>
      </c>
      <c r="B396" s="264">
        <v>2001</v>
      </c>
      <c r="C396" s="264">
        <v>2002</v>
      </c>
      <c r="D396" s="264">
        <v>2003</v>
      </c>
      <c r="E396" s="264">
        <v>2004</v>
      </c>
      <c r="F396" s="264">
        <v>2005</v>
      </c>
      <c r="G396" s="264">
        <v>2006</v>
      </c>
      <c r="H396" s="264">
        <v>2007</v>
      </c>
      <c r="I396" s="264">
        <v>2008</v>
      </c>
      <c r="J396" s="264">
        <f t="shared" ref="J396:R396" si="219">J$50</f>
        <v>2009</v>
      </c>
      <c r="K396" s="264">
        <f t="shared" si="219"/>
        <v>2010</v>
      </c>
      <c r="L396" s="264">
        <f t="shared" si="219"/>
        <v>2011</v>
      </c>
      <c r="M396" s="264">
        <f t="shared" si="219"/>
        <v>2012</v>
      </c>
      <c r="N396" s="264">
        <f t="shared" si="219"/>
        <v>2013</v>
      </c>
      <c r="O396" s="264">
        <f t="shared" si="219"/>
        <v>2014</v>
      </c>
      <c r="P396" s="264">
        <f t="shared" si="219"/>
        <v>2015</v>
      </c>
      <c r="Q396" s="264">
        <f t="shared" si="219"/>
        <v>2016</v>
      </c>
      <c r="R396" s="264">
        <f t="shared" si="219"/>
        <v>2017</v>
      </c>
      <c r="S396" s="264">
        <f t="shared" ref="S396:X396" si="220">S$6</f>
        <v>2018</v>
      </c>
      <c r="T396" s="264">
        <f t="shared" si="220"/>
        <v>2019</v>
      </c>
      <c r="U396" s="264">
        <f t="shared" si="220"/>
        <v>2020</v>
      </c>
      <c r="V396" s="264">
        <f t="shared" si="220"/>
        <v>2021</v>
      </c>
      <c r="W396" s="264">
        <f t="shared" si="220"/>
        <v>2022</v>
      </c>
      <c r="X396" s="264">
        <f t="shared" si="220"/>
        <v>2023</v>
      </c>
      <c r="Y396" s="594">
        <f t="shared" ref="Y396:AE396" si="221">Y$50</f>
        <v>2024</v>
      </c>
      <c r="Z396" s="594">
        <f t="shared" si="221"/>
        <v>2025</v>
      </c>
      <c r="AA396" s="594">
        <f t="shared" si="221"/>
        <v>2026</v>
      </c>
      <c r="AB396" s="594">
        <f t="shared" si="221"/>
        <v>2027</v>
      </c>
      <c r="AC396" s="594">
        <f t="shared" si="221"/>
        <v>2028</v>
      </c>
      <c r="AD396" s="594">
        <f t="shared" si="221"/>
        <v>2029</v>
      </c>
      <c r="AE396" s="594">
        <f t="shared" si="221"/>
        <v>2030</v>
      </c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</row>
    <row r="397" spans="1:82">
      <c r="A397" s="244" t="s">
        <v>200</v>
      </c>
      <c r="B397" s="446">
        <f>Base!B$175</f>
        <v>2.1055161345509898E-2</v>
      </c>
      <c r="C397" s="446">
        <f>Base!C$175</f>
        <v>9.0180085258925582E-2</v>
      </c>
      <c r="D397" s="446">
        <f>Base!D$175</f>
        <v>7.1263527908323063E-2</v>
      </c>
      <c r="E397" s="446">
        <f>Base!E$175</f>
        <v>7.0084912947456598E-2</v>
      </c>
      <c r="F397" s="446">
        <f>Base!F$175</f>
        <v>8.6777269681008892E-2</v>
      </c>
      <c r="G397" s="446">
        <f>Base!G$175</f>
        <v>5.4987964259568291E-2</v>
      </c>
      <c r="H397" s="446">
        <f>Base!H$175</f>
        <v>9.0343694465777155E-2</v>
      </c>
      <c r="I397" s="446">
        <f>Base!I$175</f>
        <v>1.9779775874568396E-2</v>
      </c>
      <c r="J397" s="446">
        <f>Base!J$175</f>
        <v>1.7860459863631176E-2</v>
      </c>
      <c r="K397" s="446">
        <f>Base!K$175</f>
        <v>2.4624712740723385E-2</v>
      </c>
      <c r="L397" s="446">
        <f>Base!L$175</f>
        <v>2.2363999469606589E-2</v>
      </c>
      <c r="M397" s="446">
        <f>Base!M$175</f>
        <v>3.7413781119505524E-2</v>
      </c>
      <c r="N397" s="446">
        <f>Base!N$175</f>
        <v>5.4849033133096609E-2</v>
      </c>
      <c r="O397" s="446">
        <f>Base!O$175</f>
        <v>2.2392685968196002E-2</v>
      </c>
      <c r="P397" s="446">
        <f>Base!P$175</f>
        <v>3.0814422531297642E-2</v>
      </c>
      <c r="Q397" s="446">
        <f>Base!Q$175</f>
        <v>2.6226300884105137E-2</v>
      </c>
      <c r="R397" s="446">
        <f>Base!R$175</f>
        <v>2.7470736529431185E-2</v>
      </c>
      <c r="S397" s="446">
        <f>Base!S$175</f>
        <v>1.7965525974478515E-2</v>
      </c>
      <c r="T397" s="1106">
        <f>Base!T$175</f>
        <v>1.0003815095192572E-2</v>
      </c>
      <c r="U397" s="1106">
        <f>Base!U$175</f>
        <v>-4.4442747908626783E-2</v>
      </c>
      <c r="V397" s="1106">
        <f>Base!V$175</f>
        <v>5.8797461414930533E-3</v>
      </c>
      <c r="W397" s="1106">
        <f>Base!W$175</f>
        <v>2.0652342259670782E-2</v>
      </c>
      <c r="X397" s="1106">
        <f>Base!X$175</f>
        <v>3.6233817409637166E-2</v>
      </c>
      <c r="Y397" s="1106">
        <f>Base!Y$175</f>
        <v>2.2102885368401604E-2</v>
      </c>
      <c r="Z397" s="1106">
        <f>Base!Z$175</f>
        <v>3.1667702412941659E-2</v>
      </c>
      <c r="AA397" s="1106">
        <f>Base!AA$175</f>
        <v>3.7237818056468176E-2</v>
      </c>
      <c r="AB397" s="1106">
        <f>Base!AB$175</f>
        <v>4.3838797131996843E-2</v>
      </c>
      <c r="AC397" s="1106">
        <f>Base!AC$175</f>
        <v>4.5840606660549794E-2</v>
      </c>
      <c r="AD397" s="1106">
        <f>Base!AD$175</f>
        <v>4.5742376851967144E-2</v>
      </c>
      <c r="AE397" s="1106">
        <f>Base!AE$175</f>
        <v>4.5570688537380083E-2</v>
      </c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</row>
    <row r="398" spans="1:82">
      <c r="A398" s="244" t="s">
        <v>201</v>
      </c>
      <c r="B398" s="446">
        <f>Bull!B$175</f>
        <v>2.1055161345509898E-2</v>
      </c>
      <c r="C398" s="446">
        <f>Bull!C$175</f>
        <v>9.0180085258925582E-2</v>
      </c>
      <c r="D398" s="446">
        <f>Bull!D$175</f>
        <v>7.1263527908323063E-2</v>
      </c>
      <c r="E398" s="446">
        <f>Bull!E$175</f>
        <v>7.0084912947456598E-2</v>
      </c>
      <c r="F398" s="446">
        <f>Bull!F$175</f>
        <v>8.6777269681008892E-2</v>
      </c>
      <c r="G398" s="446">
        <f>Bull!G$175</f>
        <v>5.4987964259568291E-2</v>
      </c>
      <c r="H398" s="446">
        <f>Bull!H$175</f>
        <v>9.0343694465777155E-2</v>
      </c>
      <c r="I398" s="446">
        <f>Bull!I$175</f>
        <v>1.9779775874568396E-2</v>
      </c>
      <c r="J398" s="446">
        <f>Bull!J$175</f>
        <v>1.7860459863631176E-2</v>
      </c>
      <c r="K398" s="446">
        <f>Bull!K$175</f>
        <v>2.4624712740723385E-2</v>
      </c>
      <c r="L398" s="446">
        <f>Bull!L$175</f>
        <v>2.2363999469606589E-2</v>
      </c>
      <c r="M398" s="446">
        <f>Bull!M$175</f>
        <v>3.7413781119505524E-2</v>
      </c>
      <c r="N398" s="446">
        <f>Bull!N$175</f>
        <v>5.4849033133096609E-2</v>
      </c>
      <c r="O398" s="446">
        <f>Bull!O$175</f>
        <v>2.2392685968196002E-2</v>
      </c>
      <c r="P398" s="446">
        <f>Bull!P$175</f>
        <v>3.0814422531297642E-2</v>
      </c>
      <c r="Q398" s="446">
        <f>Bull!Q$175</f>
        <v>2.6226300884105137E-2</v>
      </c>
      <c r="R398" s="446">
        <f>Bull!R$175</f>
        <v>2.7470736529431185E-2</v>
      </c>
      <c r="S398" s="446">
        <f>Bull!S$175</f>
        <v>1.7965525974478515E-2</v>
      </c>
      <c r="T398" s="1106">
        <f>Bull!T$175</f>
        <v>1.0003815095192572E-2</v>
      </c>
      <c r="U398" s="1106">
        <f>Bull!U$175</f>
        <v>-4.4442747908626783E-2</v>
      </c>
      <c r="V398" s="1106">
        <f>Bull!V$175</f>
        <v>5.8797461414930533E-3</v>
      </c>
      <c r="W398" s="1106">
        <f>Bull!W$175</f>
        <v>2.0652342259670782E-2</v>
      </c>
      <c r="X398" s="1106">
        <f>Bull!X$175</f>
        <v>3.6233817409637166E-2</v>
      </c>
      <c r="Y398" s="1106">
        <f>Bull!Y$175</f>
        <v>2.3769004711078758E-2</v>
      </c>
      <c r="Z398" s="1106">
        <f>Bull!Z$175</f>
        <v>3.5199564855820355E-2</v>
      </c>
      <c r="AA398" s="1106">
        <f>Bull!AA$175</f>
        <v>4.1346198141260296E-2</v>
      </c>
      <c r="AB398" s="1106">
        <f>Bull!AB$175</f>
        <v>4.8281205241583573E-2</v>
      </c>
      <c r="AC398" s="1106">
        <f>Bull!AC$175</f>
        <v>5.2627037178173436E-2</v>
      </c>
      <c r="AD398" s="1106">
        <f>Bull!AD$175</f>
        <v>5.3333488045511239E-2</v>
      </c>
      <c r="AE398" s="1106">
        <f>Bull!AE$175</f>
        <v>5.3827378020028821E-2</v>
      </c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</row>
    <row r="399" spans="1:82">
      <c r="A399" s="244" t="s">
        <v>202</v>
      </c>
      <c r="B399" s="446">
        <f>Bear!B$175</f>
        <v>2.1055161345509898E-2</v>
      </c>
      <c r="C399" s="446">
        <f>Bear!C$175</f>
        <v>9.0180085258925582E-2</v>
      </c>
      <c r="D399" s="446">
        <f>Bear!D$175</f>
        <v>7.1263527908323063E-2</v>
      </c>
      <c r="E399" s="446">
        <f>Bear!E$175</f>
        <v>7.0084912947456598E-2</v>
      </c>
      <c r="F399" s="446">
        <f>Bear!F$175</f>
        <v>8.6777269681008892E-2</v>
      </c>
      <c r="G399" s="446">
        <f>Bear!G$175</f>
        <v>5.4987964259568291E-2</v>
      </c>
      <c r="H399" s="446">
        <f>Bear!H$175</f>
        <v>9.0343694465777155E-2</v>
      </c>
      <c r="I399" s="446">
        <f>Bear!I$175</f>
        <v>1.9779775874568396E-2</v>
      </c>
      <c r="J399" s="446">
        <f>Bear!J$175</f>
        <v>1.7860459863631176E-2</v>
      </c>
      <c r="K399" s="446">
        <f>Bear!K$175</f>
        <v>2.4624712740723385E-2</v>
      </c>
      <c r="L399" s="446">
        <f>Bear!L$175</f>
        <v>2.2363999469606589E-2</v>
      </c>
      <c r="M399" s="446">
        <f>Bear!M$175</f>
        <v>3.7413781119505524E-2</v>
      </c>
      <c r="N399" s="446">
        <f>Bear!N$175</f>
        <v>5.4849033133096609E-2</v>
      </c>
      <c r="O399" s="446">
        <f>Bear!O$175</f>
        <v>2.2392685968196002E-2</v>
      </c>
      <c r="P399" s="446">
        <f>Bear!P$175</f>
        <v>3.0814422531297642E-2</v>
      </c>
      <c r="Q399" s="446">
        <f>Bear!Q$175</f>
        <v>2.6226300884105137E-2</v>
      </c>
      <c r="R399" s="446">
        <f>Bear!R$175</f>
        <v>2.7470736529431185E-2</v>
      </c>
      <c r="S399" s="446">
        <f>Bear!S$175</f>
        <v>1.7965525974478515E-2</v>
      </c>
      <c r="T399" s="1106">
        <f>Bear!T$175</f>
        <v>1.0003815095192572E-2</v>
      </c>
      <c r="U399" s="1106">
        <f>Bear!U$175</f>
        <v>-4.4442747908626783E-2</v>
      </c>
      <c r="V399" s="1106">
        <f>Bear!V$175</f>
        <v>5.8797461414930533E-3</v>
      </c>
      <c r="W399" s="1106">
        <f>Bear!W$175</f>
        <v>2.0652342259670782E-2</v>
      </c>
      <c r="X399" s="1106">
        <f>Bear!X$175</f>
        <v>3.6233817409637166E-2</v>
      </c>
      <c r="Y399" s="1106">
        <f>Bear!Y$175</f>
        <v>1.8726040423356197E-2</v>
      </c>
      <c r="Z399" s="1106">
        <f>Bear!Z$175</f>
        <v>2.6056824412477125E-2</v>
      </c>
      <c r="AA399" s="1106">
        <f>Bear!AA$175</f>
        <v>3.2039901268152524E-2</v>
      </c>
      <c r="AB399" s="1106">
        <f>Bear!AB$175</f>
        <v>3.9008175283619773E-2</v>
      </c>
      <c r="AC399" s="1106">
        <f>Bear!AC$175</f>
        <v>3.7625619978570279E-2</v>
      </c>
      <c r="AD399" s="1106">
        <f>Bear!AD$175</f>
        <v>3.7438702515802155E-2</v>
      </c>
      <c r="AE399" s="1106">
        <f>Bear!AE$175</f>
        <v>3.7147411124576944E-2</v>
      </c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</row>
    <row r="400" spans="1:82">
      <c r="A400" s="36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329"/>
      <c r="U400" s="329"/>
      <c r="V400" s="329"/>
      <c r="W400" s="329"/>
      <c r="X400" s="329"/>
      <c r="Y400" s="329"/>
      <c r="Z400" s="32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</row>
    <row r="401" spans="1:82">
      <c r="A401" s="1654" t="s">
        <v>1393</v>
      </c>
      <c r="B401" s="264">
        <v>2001</v>
      </c>
      <c r="C401" s="264">
        <v>2002</v>
      </c>
      <c r="D401" s="264">
        <v>2003</v>
      </c>
      <c r="E401" s="264">
        <v>2004</v>
      </c>
      <c r="F401" s="264">
        <v>2005</v>
      </c>
      <c r="G401" s="264">
        <v>2006</v>
      </c>
      <c r="H401" s="264">
        <v>2007</v>
      </c>
      <c r="I401" s="264">
        <v>2008</v>
      </c>
      <c r="J401" s="264">
        <f t="shared" ref="J401:R401" si="222">J$50</f>
        <v>2009</v>
      </c>
      <c r="K401" s="264">
        <f t="shared" si="222"/>
        <v>2010</v>
      </c>
      <c r="L401" s="264">
        <f t="shared" si="222"/>
        <v>2011</v>
      </c>
      <c r="M401" s="264">
        <f t="shared" si="222"/>
        <v>2012</v>
      </c>
      <c r="N401" s="264">
        <f t="shared" si="222"/>
        <v>2013</v>
      </c>
      <c r="O401" s="264">
        <f t="shared" si="222"/>
        <v>2014</v>
      </c>
      <c r="P401" s="264">
        <f t="shared" si="222"/>
        <v>2015</v>
      </c>
      <c r="Q401" s="264">
        <f t="shared" si="222"/>
        <v>2016</v>
      </c>
      <c r="R401" s="264">
        <f t="shared" si="222"/>
        <v>2017</v>
      </c>
      <c r="S401" s="264">
        <f t="shared" ref="S401:X401" si="223">S$6</f>
        <v>2018</v>
      </c>
      <c r="T401" s="264">
        <f t="shared" si="223"/>
        <v>2019</v>
      </c>
      <c r="U401" s="264">
        <f t="shared" si="223"/>
        <v>2020</v>
      </c>
      <c r="V401" s="264">
        <f t="shared" si="223"/>
        <v>2021</v>
      </c>
      <c r="W401" s="264">
        <f t="shared" si="223"/>
        <v>2022</v>
      </c>
      <c r="X401" s="264">
        <f t="shared" si="223"/>
        <v>2023</v>
      </c>
      <c r="Y401" s="594">
        <f t="shared" ref="Y401:AE401" si="224">Y$50</f>
        <v>2024</v>
      </c>
      <c r="Z401" s="594">
        <f t="shared" si="224"/>
        <v>2025</v>
      </c>
      <c r="AA401" s="594">
        <f t="shared" si="224"/>
        <v>2026</v>
      </c>
      <c r="AB401" s="594">
        <f t="shared" si="224"/>
        <v>2027</v>
      </c>
      <c r="AC401" s="594">
        <f t="shared" si="224"/>
        <v>2028</v>
      </c>
      <c r="AD401" s="594">
        <f t="shared" si="224"/>
        <v>2029</v>
      </c>
      <c r="AE401" s="594">
        <f t="shared" si="224"/>
        <v>2030</v>
      </c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</row>
    <row r="402" spans="1:82">
      <c r="A402" s="244" t="s">
        <v>200</v>
      </c>
      <c r="B402" s="446" t="e">
        <f>IF(Base!B$176="",NA(),Base!B$176)</f>
        <v>#N/A</v>
      </c>
      <c r="C402" s="446">
        <f>IF(Base!C$176="",NA(),Base!C$176)</f>
        <v>0.14867677698433543</v>
      </c>
      <c r="D402" s="446">
        <f>IF(Base!D$176="",NA(),Base!D$176)</f>
        <v>0.11180242898166601</v>
      </c>
      <c r="E402" s="446">
        <f>IF(Base!E$176="",NA(),Base!E$176)</f>
        <v>0.11724643143416798</v>
      </c>
      <c r="F402" s="446">
        <f>IF(Base!F$176="",NA(),Base!F$176)</f>
        <v>0.17632836019097486</v>
      </c>
      <c r="G402" s="446">
        <f>IF(Base!G$176="",NA(),Base!G$176)</f>
        <v>0.10050133736707226</v>
      </c>
      <c r="H402" s="446">
        <f>IF(Base!H$176="",NA(),Base!H$176)</f>
        <v>0.16931679619008447</v>
      </c>
      <c r="I402" s="446">
        <f>IF(Base!I$176="",NA(),Base!I$176)</f>
        <v>4.296533153258774E-2</v>
      </c>
      <c r="J402" s="446">
        <f>IF(Base!J$176="",NA(),Base!J$176)</f>
        <v>3.5135107676364553E-2</v>
      </c>
      <c r="K402" s="245">
        <f>IF(Base!K$177="",NA(),Base!K$177)</f>
        <v>5.2382464105389777E-2</v>
      </c>
      <c r="L402" s="245">
        <f>IF(Base!L$177="",NA(),Base!L$177)</f>
        <v>7.1560708104341481E-2</v>
      </c>
      <c r="M402" s="245">
        <f>IF(Base!M$177="",NA(),Base!M$177)</f>
        <v>9.7561072981505806E-2</v>
      </c>
      <c r="N402" s="245">
        <f>IF(Base!N$177="",NA(),Base!N$177)</f>
        <v>0.15491410108827933</v>
      </c>
      <c r="O402" s="245">
        <f>IF(Base!O$177="",NA(),Base!O$177)</f>
        <v>0.10200255440152305</v>
      </c>
      <c r="P402" s="245">
        <f>IF(Base!P$177="",NA(),Base!P$177)</f>
        <v>0.10981966103516043</v>
      </c>
      <c r="Q402" s="245">
        <f>IF(Base!Q$177="",NA(),Base!Q$177)</f>
        <v>0.11084288566677228</v>
      </c>
      <c r="R402" s="245">
        <f>IF(Base!R$177="",NA(),Base!R$177)</f>
        <v>0.11860740170438074</v>
      </c>
      <c r="S402" s="245">
        <f>IF(Base!S$177="",NA(),Base!S$177)</f>
        <v>9.2817062745743431E-2</v>
      </c>
      <c r="T402" s="452">
        <f>IF(Base!T$177="",NA(),Base!T$177)</f>
        <v>7.3995558218210897E-2</v>
      </c>
      <c r="U402" s="452">
        <f>IF(Base!U$177="",NA(),Base!U$177)</f>
        <v>-0.4669192980724261</v>
      </c>
      <c r="V402" s="452">
        <f>IF(Base!V$177="",NA(),Base!V$177)</f>
        <v>6.9988520228390527E-2</v>
      </c>
      <c r="W402" s="452">
        <f>IF(Base!W$177="",NA(),Base!W$177)</f>
        <v>0.2178510068110881</v>
      </c>
      <c r="X402" s="452">
        <f>IF(Base!X$177="",NA(),Base!X$177)</f>
        <v>0.34889031548801203</v>
      </c>
      <c r="Y402" s="452">
        <f>IF(Base!Y$177="",NA(),Base!Y$177)</f>
        <v>0.2120453639159903</v>
      </c>
      <c r="Z402" s="452">
        <f>IF(Base!Z$177="",NA(),Base!Z$177)</f>
        <v>0.29593971230837535</v>
      </c>
      <c r="AA402" s="452">
        <f>IF(Base!AA$177="",NA(),Base!AA$177)</f>
        <v>0.2995382892162507</v>
      </c>
      <c r="AB402" s="452">
        <f>IF(Base!AB$177="",NA(),Base!AB$177)</f>
        <v>0.30285298622062107</v>
      </c>
      <c r="AC402" s="452">
        <f>IF(Base!AC$177="",NA(),Base!AC$177)</f>
        <v>0.26862480637750891</v>
      </c>
      <c r="AD402" s="452">
        <f>IF(Base!AD$177="",NA(),Base!AD$177)</f>
        <v>0.23300566162354797</v>
      </c>
      <c r="AE402" s="452">
        <f>IF(Base!AE$177="",NA(),Base!AE$177)</f>
        <v>0.20618616746186713</v>
      </c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</row>
    <row r="403" spans="1:82">
      <c r="A403" s="244" t="s">
        <v>201</v>
      </c>
      <c r="B403" s="446" t="e">
        <f>IF(Bull!B$176="",NA(),Bull!B$176)</f>
        <v>#N/A</v>
      </c>
      <c r="C403" s="446">
        <f>IF(Bull!C$176="",NA(),Bull!C$176)</f>
        <v>0.14867677698433543</v>
      </c>
      <c r="D403" s="446">
        <f>IF(Bull!D$176="",NA(),Bull!D$176)</f>
        <v>0.11180242898166601</v>
      </c>
      <c r="E403" s="446">
        <f>IF(Bull!E$176="",NA(),Bull!E$176)</f>
        <v>0.11724643143416798</v>
      </c>
      <c r="F403" s="446">
        <f>IF(Bull!F$176="",NA(),Bull!F$176)</f>
        <v>0.17632836019097486</v>
      </c>
      <c r="G403" s="446">
        <f>IF(Bull!G$176="",NA(),Bull!G$176)</f>
        <v>0.10050133736707226</v>
      </c>
      <c r="H403" s="446">
        <f>IF(Bull!H$176="",NA(),Bull!H$176)</f>
        <v>0.16931679619008447</v>
      </c>
      <c r="I403" s="446">
        <f>IF(Bull!I$176="",NA(),Bull!I$176)</f>
        <v>4.296533153258774E-2</v>
      </c>
      <c r="J403" s="446">
        <f>IF(Bull!J$176="",NA(),Bull!J$176)</f>
        <v>3.5135107676364553E-2</v>
      </c>
      <c r="K403" s="245">
        <f>IF(Bull!K$177="",NA(),Bull!K$177)</f>
        <v>5.2382464105389777E-2</v>
      </c>
      <c r="L403" s="245">
        <f>IF(Bull!L$177="",NA(),Bull!L$177)</f>
        <v>7.1560708104341481E-2</v>
      </c>
      <c r="M403" s="245">
        <f>IF(Bull!M$177="",NA(),Bull!M$177)</f>
        <v>9.7561072981505806E-2</v>
      </c>
      <c r="N403" s="245">
        <f>IF(Bull!N$177="",NA(),Bull!N$177)</f>
        <v>0.15491410108827933</v>
      </c>
      <c r="O403" s="245">
        <f>IF(Bull!O$177="",NA(),Bull!O$177)</f>
        <v>0.10200255440152305</v>
      </c>
      <c r="P403" s="245">
        <f>IF(Bull!P$177="",NA(),Bull!P$177)</f>
        <v>0.10981966103516043</v>
      </c>
      <c r="Q403" s="245">
        <f>IF(Bull!Q$177="",NA(),Bull!Q$177)</f>
        <v>0.11084288566677228</v>
      </c>
      <c r="R403" s="245">
        <f>IF(Bull!R$177="",NA(),Bull!R$177)</f>
        <v>0.11860740170438074</v>
      </c>
      <c r="S403" s="245">
        <f>IF(Bull!S$177="",NA(),Bull!S$177)</f>
        <v>9.2817062745743431E-2</v>
      </c>
      <c r="T403" s="452">
        <f>IF(Bull!T$177="",NA(),Bull!T$177)</f>
        <v>7.3995558218210897E-2</v>
      </c>
      <c r="U403" s="452">
        <f>IF(Bull!U$177="",NA(),Bull!U$177)</f>
        <v>-0.4669192980724261</v>
      </c>
      <c r="V403" s="452">
        <f>IF(Bull!V$177="",NA(),Bull!V$177)</f>
        <v>6.9988520228390527E-2</v>
      </c>
      <c r="W403" s="452">
        <f>IF(Bull!W$177="",NA(),Bull!W$177)</f>
        <v>0.2178510068110881</v>
      </c>
      <c r="X403" s="452">
        <f>IF(Bull!X$177="",NA(),Bull!X$177)</f>
        <v>0.34889031548801203</v>
      </c>
      <c r="Y403" s="452">
        <f>IF(Bull!Y$177="",NA(),Bull!Y$177)</f>
        <v>0.22612905912569595</v>
      </c>
      <c r="Z403" s="452">
        <f>IF(Bull!Z$177="",NA(),Bull!Z$177)</f>
        <v>0.31932795263485242</v>
      </c>
      <c r="AA403" s="452">
        <f>IF(Bull!AA$177="",NA(),Bull!AA$177)</f>
        <v>0.31751082471878384</v>
      </c>
      <c r="AB403" s="452">
        <f>IF(Bull!AB$177="",NA(),Bull!AB$177)</f>
        <v>0.31491520625723357</v>
      </c>
      <c r="AC403" s="452">
        <f>IF(Bull!AC$177="",NA(),Bull!AC$177)</f>
        <v>0.28976071527826197</v>
      </c>
      <c r="AD403" s="452">
        <f>IF(Bull!AD$177="",NA(),Bull!AD$177)</f>
        <v>0.2537045204034557</v>
      </c>
      <c r="AE403" s="452">
        <f>IF(Bull!AE$177="",NA(),Bull!AE$177)</f>
        <v>0.22604076117296182</v>
      </c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</row>
    <row r="404" spans="1:82">
      <c r="A404" s="244" t="s">
        <v>202</v>
      </c>
      <c r="B404" s="446" t="e">
        <f>IF(Bear!B$176="",NA(),Bear!B$176)</f>
        <v>#N/A</v>
      </c>
      <c r="C404" s="446">
        <f>IF(Bear!C$176="",NA(),Bear!C$176)</f>
        <v>0.14867677698433543</v>
      </c>
      <c r="D404" s="446">
        <f>IF(Bear!D$176="",NA(),Bear!D$176)</f>
        <v>0.11180242898166601</v>
      </c>
      <c r="E404" s="446">
        <f>IF(Bear!E$176="",NA(),Bear!E$176)</f>
        <v>0.11724643143416798</v>
      </c>
      <c r="F404" s="446">
        <f>IF(Bear!F$176="",NA(),Bear!F$176)</f>
        <v>0.17632836019097486</v>
      </c>
      <c r="G404" s="446">
        <f>IF(Bear!G$176="",NA(),Bear!G$176)</f>
        <v>0.10050133736707226</v>
      </c>
      <c r="H404" s="446">
        <f>IF(Bear!H$176="",NA(),Bear!H$176)</f>
        <v>0.16931679619008447</v>
      </c>
      <c r="I404" s="446">
        <f>IF(Bear!I$176="",NA(),Bear!I$176)</f>
        <v>4.296533153258774E-2</v>
      </c>
      <c r="J404" s="446">
        <f>IF(Bear!J$176="",NA(),Bear!J$176)</f>
        <v>3.5135107676364553E-2</v>
      </c>
      <c r="K404" s="245">
        <f>IF(Bear!K$177="",NA(),Bear!K$177)</f>
        <v>5.2382464105389777E-2</v>
      </c>
      <c r="L404" s="245">
        <f>IF(Bear!L$177="",NA(),Bear!L$177)</f>
        <v>7.1560708104341481E-2</v>
      </c>
      <c r="M404" s="245">
        <f>IF(Bear!M$177="",NA(),Bear!M$177)</f>
        <v>9.7561072981505806E-2</v>
      </c>
      <c r="N404" s="245">
        <f>IF(Bear!N$177="",NA(),Bear!N$177)</f>
        <v>0.15491410108827933</v>
      </c>
      <c r="O404" s="245">
        <f>IF(Bear!O$177="",NA(),Bear!O$177)</f>
        <v>0.10200255440152305</v>
      </c>
      <c r="P404" s="245">
        <f>IF(Bear!P$177="",NA(),Bear!P$177)</f>
        <v>0.10981966103516043</v>
      </c>
      <c r="Q404" s="245">
        <f>IF(Bear!Q$177="",NA(),Bear!Q$177)</f>
        <v>0.11084288566677228</v>
      </c>
      <c r="R404" s="245">
        <f>IF(Bear!R$177="",NA(),Bear!R$177)</f>
        <v>0.11860740170438074</v>
      </c>
      <c r="S404" s="245">
        <f>IF(Bear!S$177="",NA(),Bear!S$177)</f>
        <v>9.2817062745743431E-2</v>
      </c>
      <c r="T404" s="452">
        <f>IF(Bear!T$177="",NA(),Bear!T$177)</f>
        <v>7.3995558218210897E-2</v>
      </c>
      <c r="U404" s="452">
        <f>IF(Bear!U$177="",NA(),Bear!U$177)</f>
        <v>-0.4669192980724261</v>
      </c>
      <c r="V404" s="452">
        <f>IF(Bear!V$177="",NA(),Bear!V$177)</f>
        <v>6.9988520228390527E-2</v>
      </c>
      <c r="W404" s="452">
        <f>IF(Bear!W$177="",NA(),Bear!W$177)</f>
        <v>0.2178510068110881</v>
      </c>
      <c r="X404" s="452">
        <f>IF(Bear!X$177="",NA(),Bear!X$177)</f>
        <v>0.34889031548801203</v>
      </c>
      <c r="Y404" s="452">
        <f>IF(Bear!Y$177="",NA(),Bear!Y$177)</f>
        <v>0.18464844037285721</v>
      </c>
      <c r="Z404" s="452">
        <f>IF(Bear!Z$177="",NA(),Bear!Z$177)</f>
        <v>0.25961477022259055</v>
      </c>
      <c r="AA404" s="452">
        <f>IF(Bear!AA$177="",NA(),Bear!AA$177)</f>
        <v>0.27285741680742082</v>
      </c>
      <c r="AB404" s="452">
        <f>IF(Bear!AB$177="",NA(),Bear!AB$177)</f>
        <v>0.2770820873022749</v>
      </c>
      <c r="AC404" s="452">
        <f>IF(Bear!AC$177="",NA(),Bear!AC$177)</f>
        <v>0.22107504499341635</v>
      </c>
      <c r="AD404" s="452">
        <f>IF(Bear!AD$177="",NA(),Bear!AD$177)</f>
        <v>0.18838820852489396</v>
      </c>
      <c r="AE404" s="452">
        <f>IF(Bear!AE$177="",NA(),Bear!AE$177)</f>
        <v>0.16399598012379613</v>
      </c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</row>
    <row r="405" spans="1:82">
      <c r="A405" s="36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329"/>
      <c r="U405" s="329"/>
      <c r="V405" s="329"/>
      <c r="W405" s="329"/>
      <c r="X405" s="329"/>
      <c r="Y405" s="329"/>
      <c r="Z405" s="329"/>
      <c r="AA405" s="329"/>
      <c r="AB405" s="329"/>
      <c r="AC405" s="329"/>
      <c r="AD405" s="329"/>
      <c r="AE405" s="32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</row>
    <row r="406" spans="1:82">
      <c r="A406" s="1654" t="s">
        <v>1394</v>
      </c>
      <c r="B406" s="264">
        <v>2001</v>
      </c>
      <c r="C406" s="264">
        <v>2002</v>
      </c>
      <c r="D406" s="264">
        <v>2003</v>
      </c>
      <c r="E406" s="264">
        <v>2004</v>
      </c>
      <c r="F406" s="264">
        <v>2005</v>
      </c>
      <c r="G406" s="264">
        <v>2006</v>
      </c>
      <c r="H406" s="264">
        <v>2007</v>
      </c>
      <c r="I406" s="264">
        <v>2008</v>
      </c>
      <c r="J406" s="264">
        <f t="shared" ref="J406:R406" si="225">J$50</f>
        <v>2009</v>
      </c>
      <c r="K406" s="264">
        <f t="shared" si="225"/>
        <v>2010</v>
      </c>
      <c r="L406" s="264">
        <f t="shared" si="225"/>
        <v>2011</v>
      </c>
      <c r="M406" s="264">
        <f t="shared" si="225"/>
        <v>2012</v>
      </c>
      <c r="N406" s="264">
        <f t="shared" si="225"/>
        <v>2013</v>
      </c>
      <c r="O406" s="264">
        <f t="shared" si="225"/>
        <v>2014</v>
      </c>
      <c r="P406" s="264">
        <f t="shared" si="225"/>
        <v>2015</v>
      </c>
      <c r="Q406" s="264">
        <f t="shared" si="225"/>
        <v>2016</v>
      </c>
      <c r="R406" s="264">
        <f t="shared" si="225"/>
        <v>2017</v>
      </c>
      <c r="S406" s="264">
        <f t="shared" ref="S406:X406" si="226">S$6</f>
        <v>2018</v>
      </c>
      <c r="T406" s="264">
        <f t="shared" si="226"/>
        <v>2019</v>
      </c>
      <c r="U406" s="264">
        <f t="shared" si="226"/>
        <v>2020</v>
      </c>
      <c r="V406" s="264">
        <f t="shared" si="226"/>
        <v>2021</v>
      </c>
      <c r="W406" s="264">
        <f t="shared" si="226"/>
        <v>2022</v>
      </c>
      <c r="X406" s="264">
        <f t="shared" si="226"/>
        <v>2023</v>
      </c>
      <c r="Y406" s="594">
        <f t="shared" ref="Y406:AE406" si="227">Y$50</f>
        <v>2024</v>
      </c>
      <c r="Z406" s="594">
        <f t="shared" si="227"/>
        <v>2025</v>
      </c>
      <c r="AA406" s="594">
        <f t="shared" si="227"/>
        <v>2026</v>
      </c>
      <c r="AB406" s="594">
        <f t="shared" si="227"/>
        <v>2027</v>
      </c>
      <c r="AC406" s="594">
        <f t="shared" si="227"/>
        <v>2028</v>
      </c>
      <c r="AD406" s="594">
        <f t="shared" si="227"/>
        <v>2029</v>
      </c>
      <c r="AE406" s="594">
        <f t="shared" si="227"/>
        <v>2030</v>
      </c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</row>
    <row r="407" spans="1:82">
      <c r="A407" s="244" t="s">
        <v>200</v>
      </c>
      <c r="B407" s="446" t="e">
        <f>IF(Base!B$179="",NA(),Base!B$179)</f>
        <v>#N/A</v>
      </c>
      <c r="C407" s="245">
        <f>IF(Base!C$179="",NA(),Base!C$179)</f>
        <v>0.33347121469145202</v>
      </c>
      <c r="D407" s="245">
        <f>IF(Base!D$179="",NA(),Base!D$179)</f>
        <v>0.30941124660718716</v>
      </c>
      <c r="E407" s="245">
        <f>IF(Base!E$179="",NA(),Base!E$179)</f>
        <v>0.36399803037639328</v>
      </c>
      <c r="F407" s="245">
        <f>IF(Base!F$179="",NA(),Base!F$179)</f>
        <v>0.32246417073560807</v>
      </c>
      <c r="G407" s="245">
        <f>IF(Base!G$179="",NA(),Base!G$179)</f>
        <v>0.23413908556634691</v>
      </c>
      <c r="H407" s="245">
        <f>IF(Base!H$179="",NA(),Base!H$179)</f>
        <v>0.29833991285980033</v>
      </c>
      <c r="I407" s="245">
        <f>IF(Base!I$179="",NA(),Base!I$179)</f>
        <v>0.16946318514553602</v>
      </c>
      <c r="J407" s="245">
        <f>IF(Base!J$179="",NA(),Base!J$179)</f>
        <v>0.1137103873560552</v>
      </c>
      <c r="K407" s="245">
        <f>IF(Base!K$179="",NA(),Base!K$179)</f>
        <v>0.12242927172007949</v>
      </c>
      <c r="L407" s="245">
        <f>IF(Base!L$179="",NA(),Base!L$179)</f>
        <v>0.14746690502899712</v>
      </c>
      <c r="M407" s="245">
        <f>IF(Base!M$179="",NA(),Base!M$179)</f>
        <v>0.2063639419871246</v>
      </c>
      <c r="N407" s="245">
        <f>IF(Base!N$179="",NA(),Base!N$179)</f>
        <v>0.19173831614810272</v>
      </c>
      <c r="O407" s="245">
        <f>IF(Base!O$179="",NA(),Base!O$179)</f>
        <v>0.12274548135826327</v>
      </c>
      <c r="P407" s="245">
        <f>IF(Base!P$179="",NA(),Base!P$179)</f>
        <v>0.12792247450464619</v>
      </c>
      <c r="Q407" s="245">
        <f>IF(Base!Q$179="",NA(),Base!Q$179)</f>
        <v>0.13643205279978415</v>
      </c>
      <c r="R407" s="245">
        <f>IF(Base!R$179="",NA(),Base!R$179)</f>
        <v>7.5593457981945236E-2</v>
      </c>
      <c r="S407" s="245">
        <f>IF(Base!S$179="",NA(),Base!S$179)</f>
        <v>5.6631731934722575E-2</v>
      </c>
      <c r="T407" s="452">
        <f>IF(Base!T$179="",NA(),Base!T$179)</f>
        <v>6.188529283106349E-2</v>
      </c>
      <c r="U407" s="452">
        <f>IF(Base!U$179="",NA(),Base!U$179)</f>
        <v>-5.116039345085685E-2</v>
      </c>
      <c r="V407" s="452">
        <f>IF(Base!V$179="",NA(),Base!V$179)</f>
        <v>5.0170930832998901E-2</v>
      </c>
      <c r="W407" s="452">
        <f>IF(Base!W$179="",NA(),Base!W$179)</f>
        <v>8.1374383644524262E-2</v>
      </c>
      <c r="X407" s="452">
        <f>IF(Base!X$179="",NA(),Base!X$179)</f>
        <v>0.1132229138572384</v>
      </c>
      <c r="Y407" s="452">
        <f>IF(Base!Y$179="",NA(),Base!Y$179)</f>
        <v>0.11704153130184565</v>
      </c>
      <c r="Z407" s="452">
        <f>IF(Base!Z$179="",NA(),Base!Z$179)</f>
        <v>0.1230797892730917</v>
      </c>
      <c r="AA407" s="452">
        <f>IF(Base!AA$179="",NA(),Base!AA$179)</f>
        <v>0.13192297645177506</v>
      </c>
      <c r="AB407" s="452">
        <f>IF(Base!AB$179="",NA(),Base!AB$179)</f>
        <v>0.14098989511002483</v>
      </c>
      <c r="AC407" s="452">
        <f>IF(Base!AC$179="",NA(),Base!AC$179)</f>
        <v>0.14422095817762537</v>
      </c>
      <c r="AD407" s="452">
        <f>IF(Base!AD$179="",NA(),Base!AD$179)</f>
        <v>0.14247048284654443</v>
      </c>
      <c r="AE407" s="452">
        <f>IF(Base!AE$179="",NA(),Base!AE$179)</f>
        <v>0.14107281831741164</v>
      </c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</row>
    <row r="408" spans="1:82">
      <c r="A408" s="244" t="s">
        <v>201</v>
      </c>
      <c r="B408" s="446" t="e">
        <f>IF(Bull!B$179="",NA(),Bull!B$179)</f>
        <v>#N/A</v>
      </c>
      <c r="C408" s="245">
        <f>IF(Bull!C$179="",NA(),Bull!C$179)</f>
        <v>0.33347121469145202</v>
      </c>
      <c r="D408" s="245">
        <f>IF(Bull!D$179="",NA(),Bull!D$179)</f>
        <v>0.30941124660718716</v>
      </c>
      <c r="E408" s="245">
        <f>IF(Bull!E$179="",NA(),Bull!E$179)</f>
        <v>0.36399803037639328</v>
      </c>
      <c r="F408" s="245">
        <f>IF(Bull!F$179="",NA(),Bull!F$179)</f>
        <v>0.32246417073560807</v>
      </c>
      <c r="G408" s="245">
        <f>IF(Bull!G$179="",NA(),Bull!G$179)</f>
        <v>0.23413908556634691</v>
      </c>
      <c r="H408" s="245">
        <f>IF(Bull!H$179="",NA(),Bull!H$179)</f>
        <v>0.29833991285980033</v>
      </c>
      <c r="I408" s="245">
        <f>IF(Bull!I$179="",NA(),Bull!I$179)</f>
        <v>0.16946318514553602</v>
      </c>
      <c r="J408" s="245">
        <f>IF(Bull!J$179="",NA(),Bull!J$179)</f>
        <v>0.1137103873560552</v>
      </c>
      <c r="K408" s="245">
        <f>IF(Bull!K$179="",NA(),Bull!K$179)</f>
        <v>0.12242927172007949</v>
      </c>
      <c r="L408" s="245">
        <f>IF(Bull!L$179="",NA(),Bull!L$179)</f>
        <v>0.14746690502899712</v>
      </c>
      <c r="M408" s="245">
        <f>IF(Bull!M$179="",NA(),Bull!M$179)</f>
        <v>0.2063639419871246</v>
      </c>
      <c r="N408" s="245">
        <f>IF(Bull!N$179="",NA(),Bull!N$179)</f>
        <v>0.19173831614810272</v>
      </c>
      <c r="O408" s="245">
        <f>IF(Bull!O$179="",NA(),Bull!O$179)</f>
        <v>0.12274548135826327</v>
      </c>
      <c r="P408" s="245">
        <f>IF(Bull!P$179="",NA(),Bull!P$179)</f>
        <v>0.12792247450464619</v>
      </c>
      <c r="Q408" s="245">
        <f>IF(Bull!Q$179="",NA(),Bull!Q$179)</f>
        <v>0.13643205279978415</v>
      </c>
      <c r="R408" s="245">
        <f>IF(Bull!R$179="",NA(),Bull!R$179)</f>
        <v>7.5593457981945236E-2</v>
      </c>
      <c r="S408" s="245">
        <f>IF(Bull!S$179="",NA(),Bull!S$179)</f>
        <v>5.6631731934722575E-2</v>
      </c>
      <c r="T408" s="452">
        <f>IF(Bull!T$179="",NA(),Bull!T$179)</f>
        <v>6.188529283106349E-2</v>
      </c>
      <c r="U408" s="452">
        <f>IF(Bull!U$179="",NA(),Bull!U$179)</f>
        <v>-5.116039345085685E-2</v>
      </c>
      <c r="V408" s="452">
        <f>IF(Bull!V$179="",NA(),Bull!V$179)</f>
        <v>5.0170930832998901E-2</v>
      </c>
      <c r="W408" s="452">
        <f>IF(Bull!W$179="",NA(),Bull!W$179)</f>
        <v>8.1374383644524262E-2</v>
      </c>
      <c r="X408" s="452">
        <f>IF(Bull!X$179="",NA(),Bull!X$179)</f>
        <v>0.1132229138572384</v>
      </c>
      <c r="Y408" s="452">
        <f>IF(Bull!Y$179="",NA(),Bull!Y$179)</f>
        <v>0.12037910940604005</v>
      </c>
      <c r="Z408" s="452">
        <f>IF(Bull!Z$179="",NA(),Bull!Z$179)</f>
        <v>0.13050191715305504</v>
      </c>
      <c r="AA408" s="452">
        <f>IF(Bull!AA$179="",NA(),Bull!AA$179)</f>
        <v>0.1414302173256432</v>
      </c>
      <c r="AB408" s="452">
        <f>IF(Bull!AB$179="",NA(),Bull!AB$179)</f>
        <v>0.15223432949411714</v>
      </c>
      <c r="AC408" s="452">
        <f>IF(Bull!AC$179="",NA(),Bull!AC$179)</f>
        <v>0.16184546295388119</v>
      </c>
      <c r="AD408" s="452">
        <f>IF(Bull!AD$179="",NA(),Bull!AD$179)</f>
        <v>0.16269575988090479</v>
      </c>
      <c r="AE408" s="452">
        <f>IF(Bull!AE$179="",NA(),Bull!AE$179)</f>
        <v>0.16360093794057678</v>
      </c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</row>
    <row r="409" spans="1:82">
      <c r="A409" s="244" t="s">
        <v>202</v>
      </c>
      <c r="B409" s="446" t="e">
        <f>IF(Bear!B$179="",NA(),Bear!B$179)</f>
        <v>#N/A</v>
      </c>
      <c r="C409" s="245">
        <f>IF(Bear!C$179="",NA(),Bear!C$179)</f>
        <v>0.33347121469145202</v>
      </c>
      <c r="D409" s="245">
        <f>IF(Bear!D$179="",NA(),Bear!D$179)</f>
        <v>0.30941124660718716</v>
      </c>
      <c r="E409" s="245">
        <f>IF(Bear!E$179="",NA(),Bear!E$179)</f>
        <v>0.36399803037639328</v>
      </c>
      <c r="F409" s="245">
        <f>IF(Bear!F$179="",NA(),Bear!F$179)</f>
        <v>0.32246417073560807</v>
      </c>
      <c r="G409" s="245">
        <f>IF(Bear!G$179="",NA(),Bear!G$179)</f>
        <v>0.23413908556634691</v>
      </c>
      <c r="H409" s="245">
        <f>IF(Bear!H$179="",NA(),Bear!H$179)</f>
        <v>0.29833991285980033</v>
      </c>
      <c r="I409" s="245">
        <f>IF(Bear!I$179="",NA(),Bear!I$179)</f>
        <v>0.16946318514553602</v>
      </c>
      <c r="J409" s="245">
        <f>IF(Bear!J$179="",NA(),Bear!J$179)</f>
        <v>0.1137103873560552</v>
      </c>
      <c r="K409" s="245">
        <f>IF(Bear!K$179="",NA(),Bear!K$179)</f>
        <v>0.12242927172007949</v>
      </c>
      <c r="L409" s="245">
        <f>IF(Bear!L$179="",NA(),Bear!L$179)</f>
        <v>0.14746690502899712</v>
      </c>
      <c r="M409" s="245">
        <f>IF(Bear!M$179="",NA(),Bear!M$179)</f>
        <v>0.2063639419871246</v>
      </c>
      <c r="N409" s="245">
        <f>IF(Bear!N$179="",NA(),Bear!N$179)</f>
        <v>0.19173831614810272</v>
      </c>
      <c r="O409" s="245">
        <f>IF(Bear!O$179="",NA(),Bear!O$179)</f>
        <v>0.12274548135826327</v>
      </c>
      <c r="P409" s="245">
        <f>IF(Bear!P$179="",NA(),Bear!P$179)</f>
        <v>0.12792247450464619</v>
      </c>
      <c r="Q409" s="245">
        <f>IF(Bear!Q$179="",NA(),Bear!Q$179)</f>
        <v>0.13643205279978415</v>
      </c>
      <c r="R409" s="245">
        <f>IF(Bear!R$179="",NA(),Bear!R$179)</f>
        <v>7.5593457981945236E-2</v>
      </c>
      <c r="S409" s="245">
        <f>IF(Bear!S$179="",NA(),Bear!S$179)</f>
        <v>5.6631731934722575E-2</v>
      </c>
      <c r="T409" s="452">
        <f>IF(Bear!T$179="",NA(),Bear!T$179)</f>
        <v>6.188529283106349E-2</v>
      </c>
      <c r="U409" s="452">
        <f>IF(Bear!U$179="",NA(),Bear!U$179)</f>
        <v>-5.116039345085685E-2</v>
      </c>
      <c r="V409" s="452">
        <f>IF(Bear!V$179="",NA(),Bear!V$179)</f>
        <v>5.0170930832998901E-2</v>
      </c>
      <c r="W409" s="452">
        <f>IF(Bear!W$179="",NA(),Bear!W$179)</f>
        <v>8.1374383644524262E-2</v>
      </c>
      <c r="X409" s="452">
        <f>IF(Bear!X$179="",NA(),Bear!X$179)</f>
        <v>0.1132229138572384</v>
      </c>
      <c r="Y409" s="452">
        <f>IF(Bear!Y$179="",NA(),Bear!Y$179)</f>
        <v>0.11120161284489649</v>
      </c>
      <c r="Z409" s="452">
        <f>IF(Bear!Z$179="",NA(),Bear!Z$179)</f>
        <v>0.1129248236255532</v>
      </c>
      <c r="AA409" s="452">
        <f>IF(Bear!AA$179="",NA(),Bear!AA$179)</f>
        <v>0.122489066961031</v>
      </c>
      <c r="AB409" s="452">
        <f>IF(Bear!AB$179="",NA(),Bear!AB$179)</f>
        <v>0.13240849482841854</v>
      </c>
      <c r="AC409" s="452">
        <f>IF(Bear!AC$179="",NA(),Bear!AC$179)</f>
        <v>0.12724852606321269</v>
      </c>
      <c r="AD409" s="452">
        <f>IF(Bear!AD$179="",NA(),Bear!AD$179)</f>
        <v>0.1243081738990138</v>
      </c>
      <c r="AE409" s="452">
        <f>IF(Bear!AE$179="",NA(),Bear!AE$179)</f>
        <v>0.12153229907867207</v>
      </c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</row>
    <row r="410" spans="1:82">
      <c r="A410" s="36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329"/>
      <c r="U410" s="329"/>
      <c r="V410" s="329"/>
      <c r="W410" s="329"/>
      <c r="X410" s="329"/>
      <c r="Y410" s="329"/>
      <c r="Z410" s="329"/>
      <c r="AA410" s="329"/>
      <c r="AB410" s="329"/>
      <c r="AC410" s="329"/>
      <c r="AD410" s="329"/>
      <c r="AE410" s="32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</row>
    <row r="411" spans="1:82">
      <c r="A411" s="242" t="s">
        <v>1501</v>
      </c>
      <c r="B411" s="264">
        <v>2001</v>
      </c>
      <c r="C411" s="264">
        <v>2002</v>
      </c>
      <c r="D411" s="264">
        <v>2003</v>
      </c>
      <c r="E411" s="264">
        <v>2004</v>
      </c>
      <c r="F411" s="264">
        <v>2005</v>
      </c>
      <c r="G411" s="264">
        <v>2006</v>
      </c>
      <c r="H411" s="264">
        <v>2007</v>
      </c>
      <c r="I411" s="264">
        <v>2008</v>
      </c>
      <c r="J411" s="264">
        <f t="shared" ref="J411:R411" si="228">J$50</f>
        <v>2009</v>
      </c>
      <c r="K411" s="264">
        <f t="shared" si="228"/>
        <v>2010</v>
      </c>
      <c r="L411" s="264">
        <f t="shared" si="228"/>
        <v>2011</v>
      </c>
      <c r="M411" s="264">
        <f t="shared" si="228"/>
        <v>2012</v>
      </c>
      <c r="N411" s="264">
        <f t="shared" si="228"/>
        <v>2013</v>
      </c>
      <c r="O411" s="264">
        <f t="shared" si="228"/>
        <v>2014</v>
      </c>
      <c r="P411" s="264">
        <f t="shared" si="228"/>
        <v>2015</v>
      </c>
      <c r="Q411" s="264">
        <f t="shared" si="228"/>
        <v>2016</v>
      </c>
      <c r="R411" s="264">
        <f t="shared" si="228"/>
        <v>2017</v>
      </c>
      <c r="S411" s="264">
        <f t="shared" ref="S411:X411" si="229">S$6</f>
        <v>2018</v>
      </c>
      <c r="T411" s="264">
        <f t="shared" si="229"/>
        <v>2019</v>
      </c>
      <c r="U411" s="264">
        <f t="shared" si="229"/>
        <v>2020</v>
      </c>
      <c r="V411" s="264">
        <f t="shared" si="229"/>
        <v>2021</v>
      </c>
      <c r="W411" s="264">
        <f t="shared" si="229"/>
        <v>2022</v>
      </c>
      <c r="X411" s="264">
        <f t="shared" si="229"/>
        <v>2023</v>
      </c>
      <c r="Y411" s="594">
        <f t="shared" ref="Y411:AE411" si="230">Y$50</f>
        <v>2024</v>
      </c>
      <c r="Z411" s="594">
        <f t="shared" si="230"/>
        <v>2025</v>
      </c>
      <c r="AA411" s="594">
        <f t="shared" si="230"/>
        <v>2026</v>
      </c>
      <c r="AB411" s="594">
        <f t="shared" si="230"/>
        <v>2027</v>
      </c>
      <c r="AC411" s="594">
        <f t="shared" si="230"/>
        <v>2028</v>
      </c>
      <c r="AD411" s="594">
        <f t="shared" si="230"/>
        <v>2029</v>
      </c>
      <c r="AE411" s="594">
        <f t="shared" si="230"/>
        <v>2030</v>
      </c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</row>
    <row r="412" spans="1:82">
      <c r="A412" s="36" t="s">
        <v>200</v>
      </c>
      <c r="B412" s="263">
        <f>Base!B$194</f>
        <v>0.2775542554285681</v>
      </c>
      <c r="C412" s="263">
        <f>Base!C$194</f>
        <v>-0.29711411476336475</v>
      </c>
      <c r="D412" s="263">
        <f>Base!D$194</f>
        <v>2.7980800030827844</v>
      </c>
      <c r="E412" s="263">
        <f>Base!E$194</f>
        <v>5.3370702883658172</v>
      </c>
      <c r="F412" s="263">
        <f>Base!F$194</f>
        <v>7.094653524705409</v>
      </c>
      <c r="G412" s="263">
        <f>Base!G$194</f>
        <v>10.34062409733988</v>
      </c>
      <c r="H412" s="263">
        <f>Base!H$194</f>
        <v>7.2408363312422974</v>
      </c>
      <c r="I412" s="263">
        <f>Base!I$194</f>
        <v>4.2169326216224325</v>
      </c>
      <c r="J412" s="263">
        <f>Base!J$194</f>
        <v>6.5996244886206892</v>
      </c>
      <c r="K412" s="263">
        <f>Base!K$194</f>
        <v>8.5961731610574876</v>
      </c>
      <c r="L412" s="263">
        <f>Base!L$194</f>
        <v>10.549121090158556</v>
      </c>
      <c r="M412" s="263">
        <f>Base!M$194</f>
        <v>11.907631221374759</v>
      </c>
      <c r="N412" s="263">
        <f>Base!N$194</f>
        <v>16.023928225623699</v>
      </c>
      <c r="O412" s="263">
        <f>Base!O$194</f>
        <v>16.313379938791847</v>
      </c>
      <c r="P412" s="263">
        <f>Base!P$194</f>
        <v>14.533249072640325</v>
      </c>
      <c r="Q412" s="263">
        <f>Base!Q$194</f>
        <v>12.182660431972296</v>
      </c>
      <c r="R412" s="263">
        <f>Base!R$194</f>
        <v>11.018932474555553</v>
      </c>
      <c r="S412" s="263">
        <f>Base!S$194</f>
        <v>11.039990218960767</v>
      </c>
      <c r="T412" s="458">
        <f>Base!T$194</f>
        <v>7.2412765416829048</v>
      </c>
      <c r="U412" s="458">
        <f>Base!U$194</f>
        <v>11.953576280741968</v>
      </c>
      <c r="V412" s="458">
        <f>Base!V$194</f>
        <v>7.0811698615309266</v>
      </c>
      <c r="W412" s="458">
        <f>Base!W$194</f>
        <v>5.6740526587080211</v>
      </c>
      <c r="X412" s="458">
        <f>Base!X$194</f>
        <v>6.0291363825781463</v>
      </c>
      <c r="Y412" s="458">
        <f>Base!Y$194</f>
        <v>5.9359837158713731</v>
      </c>
      <c r="Z412" s="458">
        <f>Base!Z$194</f>
        <v>5.3025173558689227</v>
      </c>
      <c r="AA412" s="458">
        <f>Base!AA$194</f>
        <v>4.8338096981891772</v>
      </c>
      <c r="AB412" s="458">
        <f>Base!AB$194</f>
        <v>4.4221068634582723</v>
      </c>
      <c r="AC412" s="458">
        <f>Base!AC$194</f>
        <v>4.0950610519007693</v>
      </c>
      <c r="AD412" s="458">
        <f>Base!AD$194</f>
        <v>3.7847599156749059</v>
      </c>
      <c r="AE412" s="458">
        <f>Base!AE$194</f>
        <v>3.4820280098262693</v>
      </c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</row>
    <row r="413" spans="1:82">
      <c r="A413" s="36" t="s">
        <v>201</v>
      </c>
      <c r="B413" s="263">
        <f>Bull!B$194</f>
        <v>0.2775542554285681</v>
      </c>
      <c r="C413" s="263">
        <f>Bull!C$194</f>
        <v>-0.29711411476336475</v>
      </c>
      <c r="D413" s="263">
        <f>Bull!D$194</f>
        <v>2.7980800030827844</v>
      </c>
      <c r="E413" s="263">
        <f>Bull!E$194</f>
        <v>5.3370702883658172</v>
      </c>
      <c r="F413" s="263">
        <f>Bull!F$194</f>
        <v>7.094653524705409</v>
      </c>
      <c r="G413" s="263">
        <f>Bull!G$194</f>
        <v>10.34062409733988</v>
      </c>
      <c r="H413" s="263">
        <f>Bull!H$194</f>
        <v>7.2408363312422974</v>
      </c>
      <c r="I413" s="263">
        <f>Bull!I$194</f>
        <v>4.2169326216224325</v>
      </c>
      <c r="J413" s="263">
        <f>Bull!J$194</f>
        <v>6.5996244886206892</v>
      </c>
      <c r="K413" s="263">
        <f>Bull!K$194</f>
        <v>8.5961731610574876</v>
      </c>
      <c r="L413" s="263">
        <f>Bull!L$194</f>
        <v>10.549121090158556</v>
      </c>
      <c r="M413" s="263">
        <f>Bull!M$194</f>
        <v>11.907631221374759</v>
      </c>
      <c r="N413" s="263">
        <f>Bull!N$194</f>
        <v>16.023928225623699</v>
      </c>
      <c r="O413" s="263">
        <f>Bull!O$194</f>
        <v>16.313379938791847</v>
      </c>
      <c r="P413" s="263">
        <f>Bull!P$194</f>
        <v>14.533249072640325</v>
      </c>
      <c r="Q413" s="263">
        <f>Bull!Q$194</f>
        <v>12.182660431972296</v>
      </c>
      <c r="R413" s="263">
        <f>Bull!R$194</f>
        <v>11.018932474555553</v>
      </c>
      <c r="S413" s="263">
        <f>Bull!S$194</f>
        <v>11.039990218960767</v>
      </c>
      <c r="T413" s="458">
        <f>Bull!T$194</f>
        <v>7.2412765416829048</v>
      </c>
      <c r="U413" s="458">
        <f>Bull!U$194</f>
        <v>11.953576280741968</v>
      </c>
      <c r="V413" s="458">
        <f>Bull!V$194</f>
        <v>7.0811698615309266</v>
      </c>
      <c r="W413" s="458">
        <f>Bull!W$194</f>
        <v>5.6740526587080211</v>
      </c>
      <c r="X413" s="458">
        <f>Bull!X$194</f>
        <v>6.0291363825781463</v>
      </c>
      <c r="Y413" s="458">
        <f>Bull!Y$194</f>
        <v>5.8210253461413695</v>
      </c>
      <c r="Z413" s="458">
        <f>Bull!Z$194</f>
        <v>5.1002748848571224</v>
      </c>
      <c r="AA413" s="458">
        <f>Bull!AA$194</f>
        <v>4.6055571665689152</v>
      </c>
      <c r="AB413" s="458">
        <f>Bull!AB$194</f>
        <v>4.174630140181562</v>
      </c>
      <c r="AC413" s="458">
        <f>Bull!AC$194</f>
        <v>3.8069702611997935</v>
      </c>
      <c r="AD413" s="458">
        <f>Bull!AD$194</f>
        <v>3.4626010124647149</v>
      </c>
      <c r="AE413" s="458">
        <f>Bull!AE$194</f>
        <v>3.1315389646183562</v>
      </c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</row>
    <row r="414" spans="1:82">
      <c r="A414" s="36" t="s">
        <v>202</v>
      </c>
      <c r="B414" s="263">
        <f>Bear!B$194</f>
        <v>0.2775542554285681</v>
      </c>
      <c r="C414" s="263">
        <f>Bear!C$194</f>
        <v>-0.29711411476336475</v>
      </c>
      <c r="D414" s="263">
        <f>Bear!D$194</f>
        <v>2.7980800030827844</v>
      </c>
      <c r="E414" s="263">
        <f>Bear!E$194</f>
        <v>5.3370702883658172</v>
      </c>
      <c r="F414" s="263">
        <f>Bear!F$194</f>
        <v>7.094653524705409</v>
      </c>
      <c r="G414" s="263">
        <f>Bear!G$194</f>
        <v>10.34062409733988</v>
      </c>
      <c r="H414" s="263">
        <f>Bear!H$194</f>
        <v>7.2408363312422974</v>
      </c>
      <c r="I414" s="263">
        <f>Bear!I$194</f>
        <v>4.2169326216224325</v>
      </c>
      <c r="J414" s="263">
        <f>Bear!J$194</f>
        <v>6.5996244886206892</v>
      </c>
      <c r="K414" s="263">
        <f>Bear!K$194</f>
        <v>8.5961731610574876</v>
      </c>
      <c r="L414" s="263">
        <f>Bear!L$194</f>
        <v>10.549121090158556</v>
      </c>
      <c r="M414" s="263">
        <f>Bear!M$194</f>
        <v>11.907631221374759</v>
      </c>
      <c r="N414" s="263">
        <f>Bear!N$194</f>
        <v>16.023928225623699</v>
      </c>
      <c r="O414" s="263">
        <f>Bear!O$194</f>
        <v>16.313379938791847</v>
      </c>
      <c r="P414" s="263">
        <f>Bear!P$194</f>
        <v>14.533249072640325</v>
      </c>
      <c r="Q414" s="263">
        <f>Bear!Q$194</f>
        <v>12.182660431972296</v>
      </c>
      <c r="R414" s="263">
        <f>Bear!R$194</f>
        <v>11.018932474555553</v>
      </c>
      <c r="S414" s="263">
        <f>Bear!S$194</f>
        <v>11.039990218960767</v>
      </c>
      <c r="T414" s="458">
        <f>Bear!T$194</f>
        <v>7.2412765416829048</v>
      </c>
      <c r="U414" s="458">
        <f>Bear!U$194</f>
        <v>11.953576280741968</v>
      </c>
      <c r="V414" s="458">
        <f>Bear!V$194</f>
        <v>7.0811698615309266</v>
      </c>
      <c r="W414" s="458">
        <f>Bear!W$194</f>
        <v>5.6740526587080211</v>
      </c>
      <c r="X414" s="458">
        <f>Bear!X$194</f>
        <v>6.0291363825781463</v>
      </c>
      <c r="Y414" s="458">
        <f>Bear!Y$194</f>
        <v>6.2337928843256618</v>
      </c>
      <c r="Z414" s="458">
        <f>Bear!Z$194</f>
        <v>5.7840999210287425</v>
      </c>
      <c r="AA414" s="458">
        <f>Bear!AA$194</f>
        <v>5.2666516668597021</v>
      </c>
      <c r="AB414" s="458">
        <f>Bear!AB$194</f>
        <v>4.7793311897748145</v>
      </c>
      <c r="AC414" s="458">
        <f>Bear!AC$194</f>
        <v>4.5357780701161889</v>
      </c>
      <c r="AD414" s="458">
        <f>Bear!AD$194</f>
        <v>4.1648964068895484</v>
      </c>
      <c r="AE414" s="458">
        <f>Bear!AE$194</f>
        <v>3.8007808197174371</v>
      </c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</row>
    <row r="415" spans="1:82">
      <c r="A415" s="36" t="s">
        <v>1162</v>
      </c>
      <c r="B415" s="41" t="e">
        <v>#N/A</v>
      </c>
      <c r="C415" s="41" t="e">
        <v>#N/A</v>
      </c>
      <c r="D415" s="41" t="e">
        <v>#N/A</v>
      </c>
      <c r="E415" s="41" t="e">
        <v>#N/A</v>
      </c>
      <c r="F415" s="41" t="e">
        <v>#N/A</v>
      </c>
      <c r="G415" s="41" t="e">
        <v>#N/A</v>
      </c>
      <c r="H415" s="41" t="e">
        <v>#N/A</v>
      </c>
      <c r="I415" s="41" t="e">
        <v>#N/A</v>
      </c>
      <c r="J415" s="41" t="e">
        <v>#N/A</v>
      </c>
      <c r="K415" s="41" t="e">
        <v>#N/A</v>
      </c>
      <c r="L415" s="41" t="e">
        <v>#N/A</v>
      </c>
      <c r="M415" s="41" t="e">
        <v>#N/A</v>
      </c>
      <c r="N415" s="41" t="e">
        <v>#N/A</v>
      </c>
      <c r="O415" s="41" t="e">
        <v>#N/A</v>
      </c>
      <c r="P415" s="41" t="e">
        <v>#N/A</v>
      </c>
      <c r="Q415" s="41" t="e">
        <v>#N/A</v>
      </c>
      <c r="R415" s="41" t="e">
        <v>#N/A</v>
      </c>
      <c r="S415" s="41">
        <f>Financials!S209</f>
        <v>11.039990218960767</v>
      </c>
      <c r="T415" s="458">
        <f>Financials!T209</f>
        <v>7.2412765416829048</v>
      </c>
      <c r="U415" s="458">
        <f>Financials!U209</f>
        <v>11.953576280741968</v>
      </c>
      <c r="V415" s="458">
        <f>Financials!V209</f>
        <v>7.0811698615309266</v>
      </c>
      <c r="W415" s="458">
        <f>Financials!W209</f>
        <v>5.6740526587080211</v>
      </c>
      <c r="X415" s="458">
        <f>Financials!X209</f>
        <v>6.0291363825781463</v>
      </c>
      <c r="Y415" s="458">
        <f ca="1">Financials!Y209</f>
        <v>5.394241903526086</v>
      </c>
      <c r="Z415" s="458">
        <f ca="1">Financials!Z209</f>
        <v>4.990477442955692</v>
      </c>
      <c r="AA415" s="458">
        <f ca="1">Financials!AA209</f>
        <v>4.5236336150427361</v>
      </c>
      <c r="AB415" s="458">
        <f ca="1">Financials!AB209</f>
        <v>4.0777168830754995</v>
      </c>
      <c r="AC415" s="458">
        <f ca="1">Financials!AC209</f>
        <v>3.8480442533367052</v>
      </c>
      <c r="AD415" s="458">
        <f ca="1">Financials!AD209</f>
        <v>3.5114509739879645</v>
      </c>
      <c r="AE415" s="458">
        <f ca="1">Financials!AE209</f>
        <v>3.1791315527129154</v>
      </c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</row>
    <row r="416" spans="1:82">
      <c r="A416" s="242" t="s">
        <v>1502</v>
      </c>
      <c r="B416" s="264">
        <v>2001</v>
      </c>
      <c r="C416" s="264">
        <v>2002</v>
      </c>
      <c r="D416" s="264">
        <v>2003</v>
      </c>
      <c r="E416" s="264">
        <v>2004</v>
      </c>
      <c r="F416" s="264">
        <v>2005</v>
      </c>
      <c r="G416" s="264">
        <v>2006</v>
      </c>
      <c r="H416" s="264">
        <v>2007</v>
      </c>
      <c r="I416" s="264">
        <v>2008</v>
      </c>
      <c r="J416" s="264">
        <f t="shared" ref="J416:R416" si="231">J$50</f>
        <v>2009</v>
      </c>
      <c r="K416" s="264">
        <f t="shared" si="231"/>
        <v>2010</v>
      </c>
      <c r="L416" s="264">
        <f t="shared" si="231"/>
        <v>2011</v>
      </c>
      <c r="M416" s="264">
        <f t="shared" si="231"/>
        <v>2012</v>
      </c>
      <c r="N416" s="264">
        <f t="shared" si="231"/>
        <v>2013</v>
      </c>
      <c r="O416" s="264">
        <f t="shared" si="231"/>
        <v>2014</v>
      </c>
      <c r="P416" s="264">
        <f t="shared" si="231"/>
        <v>2015</v>
      </c>
      <c r="Q416" s="264">
        <f t="shared" si="231"/>
        <v>2016</v>
      </c>
      <c r="R416" s="264">
        <f t="shared" si="231"/>
        <v>2017</v>
      </c>
      <c r="S416" s="264">
        <f t="shared" ref="S416:X416" si="232">S$6</f>
        <v>2018</v>
      </c>
      <c r="T416" s="264">
        <f t="shared" si="232"/>
        <v>2019</v>
      </c>
      <c r="U416" s="264">
        <f t="shared" si="232"/>
        <v>2020</v>
      </c>
      <c r="V416" s="264">
        <f t="shared" si="232"/>
        <v>2021</v>
      </c>
      <c r="W416" s="264">
        <f t="shared" si="232"/>
        <v>2022</v>
      </c>
      <c r="X416" s="264">
        <f t="shared" si="232"/>
        <v>2023</v>
      </c>
      <c r="Y416" s="594">
        <f t="shared" ref="Y416:AE416" si="233">Y$50</f>
        <v>2024</v>
      </c>
      <c r="Z416" s="594">
        <f t="shared" si="233"/>
        <v>2025</v>
      </c>
      <c r="AA416" s="594">
        <f t="shared" si="233"/>
        <v>2026</v>
      </c>
      <c r="AB416" s="594">
        <f t="shared" si="233"/>
        <v>2027</v>
      </c>
      <c r="AC416" s="594">
        <f t="shared" si="233"/>
        <v>2028</v>
      </c>
      <c r="AD416" s="594">
        <f t="shared" si="233"/>
        <v>2029</v>
      </c>
      <c r="AE416" s="594">
        <f t="shared" si="233"/>
        <v>2030</v>
      </c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</row>
    <row r="417" spans="1:97">
      <c r="A417" s="36" t="s">
        <v>200</v>
      </c>
      <c r="B417" s="263" t="e">
        <f>NA()</f>
        <v>#N/A</v>
      </c>
      <c r="C417" s="263" t="e">
        <f>NA()</f>
        <v>#N/A</v>
      </c>
      <c r="D417" s="263">
        <f>Base!D$196</f>
        <v>9.9894496987857764</v>
      </c>
      <c r="E417" s="263">
        <f>Base!E$196</f>
        <v>18.090693297285412</v>
      </c>
      <c r="F417" s="263">
        <f>Base!F$196</f>
        <v>15.217784851046884</v>
      </c>
      <c r="G417" s="263">
        <f>Base!G$196</f>
        <v>45.440527147274295</v>
      </c>
      <c r="H417" s="263">
        <f>Base!H$196</f>
        <v>17.499480598200385</v>
      </c>
      <c r="I417" s="263">
        <f>Base!I$196</f>
        <v>23.226768339558468</v>
      </c>
      <c r="J417" s="263">
        <f>Base!J$196</f>
        <v>53.133438716891156</v>
      </c>
      <c r="K417" s="263">
        <f>Base!K$196</f>
        <v>48.423683758083961</v>
      </c>
      <c r="L417" s="263">
        <f>Base!L$196</f>
        <v>38.849859762263563</v>
      </c>
      <c r="M417" s="263">
        <f>Base!M$196</f>
        <v>47.189911748257529</v>
      </c>
      <c r="N417" s="263">
        <f>Base!N$196</f>
        <v>41.186414943620726</v>
      </c>
      <c r="O417" s="263">
        <f>Base!O$196</f>
        <v>51.223479223479032</v>
      </c>
      <c r="P417" s="263">
        <f>Base!P$196</f>
        <v>51.084456271160214</v>
      </c>
      <c r="Q417" s="263">
        <f>Base!Q$196</f>
        <v>49.674269823938978</v>
      </c>
      <c r="R417" s="263">
        <f>Base!R$196</f>
        <v>49.205012717204497</v>
      </c>
      <c r="S417" s="263">
        <f>Base!S$196</f>
        <v>44.836932063156418</v>
      </c>
      <c r="T417" s="458">
        <f>Base!T$196</f>
        <v>45.08881802583457</v>
      </c>
      <c r="U417" s="458" t="str">
        <f>Base!U$196</f>
        <v>NM</v>
      </c>
      <c r="V417" s="458">
        <f>Base!V$196</f>
        <v>38.107683833654647</v>
      </c>
      <c r="W417" s="458">
        <f>Base!W$196</f>
        <v>18.516542253887859</v>
      </c>
      <c r="X417" s="458">
        <f>Base!X$196</f>
        <v>17.726085216340394</v>
      </c>
      <c r="Y417" s="458">
        <f>Base!Y$196</f>
        <v>30.075259151586625</v>
      </c>
      <c r="Z417" s="458">
        <f>Base!Z$196</f>
        <v>17.362536743302453</v>
      </c>
      <c r="AA417" s="458">
        <f>Base!AA$196</f>
        <v>13.258609752419803</v>
      </c>
      <c r="AB417" s="458">
        <f>Base!AB$196</f>
        <v>10.45704770810346</v>
      </c>
      <c r="AC417" s="458">
        <f>Base!AC$196</f>
        <v>9.3635516066587527</v>
      </c>
      <c r="AD417" s="458">
        <f>Base!AD$196</f>
        <v>8.7901014553991601</v>
      </c>
      <c r="AE417" s="458">
        <f>Base!AE$196</f>
        <v>8.2955484472906669</v>
      </c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</row>
    <row r="418" spans="1:97">
      <c r="A418" s="36" t="s">
        <v>201</v>
      </c>
      <c r="B418" s="263" t="e">
        <f>NA()</f>
        <v>#N/A</v>
      </c>
      <c r="C418" s="263" t="e">
        <f>NA()</f>
        <v>#N/A</v>
      </c>
      <c r="D418" s="263">
        <f>Bull!D$196</f>
        <v>9.9894496987857764</v>
      </c>
      <c r="E418" s="263">
        <f>Bull!E$196</f>
        <v>18.090693297285412</v>
      </c>
      <c r="F418" s="263">
        <f>Bull!F$196</f>
        <v>15.217784851046884</v>
      </c>
      <c r="G418" s="263">
        <f>Bull!G$196</f>
        <v>45.440527147274295</v>
      </c>
      <c r="H418" s="263">
        <f>Bull!H$196</f>
        <v>17.499480598200385</v>
      </c>
      <c r="I418" s="263">
        <f>Bull!I$196</f>
        <v>23.226768339558468</v>
      </c>
      <c r="J418" s="263">
        <f>Bull!J$196</f>
        <v>53.133438716891156</v>
      </c>
      <c r="K418" s="263">
        <f>Bull!K$196</f>
        <v>48.423683758083961</v>
      </c>
      <c r="L418" s="263">
        <f>Bull!L$196</f>
        <v>38.849859762263563</v>
      </c>
      <c r="M418" s="263">
        <f>Bull!M$196</f>
        <v>47.189911748257529</v>
      </c>
      <c r="N418" s="263">
        <f>Bull!N$196</f>
        <v>41.186414943620726</v>
      </c>
      <c r="O418" s="263">
        <f>Bull!O$196</f>
        <v>51.223479223479032</v>
      </c>
      <c r="P418" s="263">
        <f>Bull!P$196</f>
        <v>51.084456271160214</v>
      </c>
      <c r="Q418" s="263">
        <f>Bull!Q$196</f>
        <v>49.674269823938978</v>
      </c>
      <c r="R418" s="263">
        <f>Bull!R$196</f>
        <v>49.205012717204497</v>
      </c>
      <c r="S418" s="263">
        <f>Bull!S$196</f>
        <v>44.836932063156418</v>
      </c>
      <c r="T418" s="458">
        <f>Bull!T$196</f>
        <v>45.08881802583457</v>
      </c>
      <c r="U418" s="458" t="str">
        <f>Bull!U$196</f>
        <v>NM</v>
      </c>
      <c r="V418" s="458">
        <f>Bull!V$196</f>
        <v>38.107683833654647</v>
      </c>
      <c r="W418" s="458">
        <f>Bull!W$196</f>
        <v>18.516542253887859</v>
      </c>
      <c r="X418" s="458">
        <f>Bull!X$196</f>
        <v>17.726085216340394</v>
      </c>
      <c r="Y418" s="458">
        <f>Bull!Y$196</f>
        <v>27.001758678118389</v>
      </c>
      <c r="Z418" s="458">
        <f>Bull!Z$196</f>
        <v>15.154215924698445</v>
      </c>
      <c r="AA418" s="458">
        <f>Bull!AA$196</f>
        <v>11.599088898173015</v>
      </c>
      <c r="AB418" s="458">
        <f>Bull!AB$196</f>
        <v>9.2042245752577525</v>
      </c>
      <c r="AC418" s="458">
        <f>Bull!AC$196</f>
        <v>8.1701329162175504</v>
      </c>
      <c r="AD418" s="458">
        <f>Bull!AD$196</f>
        <v>7.4844077134534253</v>
      </c>
      <c r="AE418" s="458">
        <f>Bull!AE$196</f>
        <v>6.9134049069783989</v>
      </c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</row>
    <row r="419" spans="1:97">
      <c r="A419" s="36" t="s">
        <v>202</v>
      </c>
      <c r="B419" s="263" t="e">
        <f>NA()</f>
        <v>#N/A</v>
      </c>
      <c r="C419" s="263" t="e">
        <f>NA()</f>
        <v>#N/A</v>
      </c>
      <c r="D419" s="263">
        <f>Bear!D$196</f>
        <v>9.9894496987857764</v>
      </c>
      <c r="E419" s="263">
        <f>Bear!E$196</f>
        <v>18.090693297285412</v>
      </c>
      <c r="F419" s="263">
        <f>Bear!F$196</f>
        <v>15.217784851046884</v>
      </c>
      <c r="G419" s="263">
        <f>Bear!G$196</f>
        <v>45.440527147274295</v>
      </c>
      <c r="H419" s="263">
        <f>Bear!H$196</f>
        <v>17.499480598200385</v>
      </c>
      <c r="I419" s="263">
        <f>Bear!I$196</f>
        <v>23.226768339558468</v>
      </c>
      <c r="J419" s="263">
        <f>Bear!J$196</f>
        <v>53.133438716891156</v>
      </c>
      <c r="K419" s="263">
        <f>Bear!K$196</f>
        <v>48.423683758083961</v>
      </c>
      <c r="L419" s="263">
        <f>Bear!L$196</f>
        <v>38.849859762263563</v>
      </c>
      <c r="M419" s="263">
        <f>Bear!M$196</f>
        <v>47.189911748257529</v>
      </c>
      <c r="N419" s="263">
        <f>Bear!N$196</f>
        <v>41.186414943620726</v>
      </c>
      <c r="O419" s="263">
        <f>Bear!O$196</f>
        <v>51.223479223479032</v>
      </c>
      <c r="P419" s="263">
        <f>Bear!P$196</f>
        <v>51.084456271160214</v>
      </c>
      <c r="Q419" s="263">
        <f>Bear!Q$196</f>
        <v>49.674269823938978</v>
      </c>
      <c r="R419" s="263">
        <f>Bear!R$196</f>
        <v>49.205012717204497</v>
      </c>
      <c r="S419" s="263">
        <f>Bear!S$196</f>
        <v>44.836932063156418</v>
      </c>
      <c r="T419" s="1160">
        <f>Bear!T$196</f>
        <v>45.08881802583457</v>
      </c>
      <c r="U419" s="1160" t="str">
        <f>Bear!U$196</f>
        <v>NM</v>
      </c>
      <c r="V419" s="1160">
        <f>Bear!V$196</f>
        <v>38.107683833654647</v>
      </c>
      <c r="W419" s="1160">
        <f>Bear!W$196</f>
        <v>18.516542253887859</v>
      </c>
      <c r="X419" s="1160">
        <f>Bear!X$196</f>
        <v>17.726085216340394</v>
      </c>
      <c r="Y419" s="1160">
        <f>Bear!Y$196</f>
        <v>44.436492145454878</v>
      </c>
      <c r="Z419" s="1160">
        <f>Bear!Z$196</f>
        <v>26.260843856161348</v>
      </c>
      <c r="AA419" s="1160">
        <f>Bear!AA$196</f>
        <v>17.793523109064139</v>
      </c>
      <c r="AB419" s="1160">
        <f>Bear!AB$196</f>
        <v>12.99581214303681</v>
      </c>
      <c r="AC419" s="1160">
        <f>Bear!AC$196</f>
        <v>12.295095804762443</v>
      </c>
      <c r="AD419" s="1160">
        <f>Bear!AD$196</f>
        <v>11.392557354023829</v>
      </c>
      <c r="AE419" s="1160">
        <f>Bear!AE$196</f>
        <v>10.670014177495112</v>
      </c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</row>
    <row r="420" spans="1:97">
      <c r="A420" s="36" t="s">
        <v>1162</v>
      </c>
      <c r="B420" s="41" t="e">
        <v>#N/A</v>
      </c>
      <c r="C420" s="41" t="e">
        <v>#N/A</v>
      </c>
      <c r="D420" s="41" t="e">
        <v>#N/A</v>
      </c>
      <c r="E420" s="41" t="e">
        <v>#N/A</v>
      </c>
      <c r="F420" s="41" t="e">
        <v>#N/A</v>
      </c>
      <c r="G420" s="41" t="e">
        <v>#N/A</v>
      </c>
      <c r="H420" s="41" t="e">
        <v>#N/A</v>
      </c>
      <c r="I420" s="41" t="e">
        <v>#N/A</v>
      </c>
      <c r="J420" s="41" t="e">
        <v>#N/A</v>
      </c>
      <c r="K420" s="41" t="e">
        <v>#N/A</v>
      </c>
      <c r="L420" s="41" t="e">
        <v>#N/A</v>
      </c>
      <c r="M420" s="41" t="e">
        <v>#N/A</v>
      </c>
      <c r="N420" s="41" t="e">
        <v>#N/A</v>
      </c>
      <c r="O420" s="41" t="e">
        <v>#N/A</v>
      </c>
      <c r="P420" s="41" t="e">
        <v>#N/A</v>
      </c>
      <c r="Q420" s="41" t="e">
        <v>#N/A</v>
      </c>
      <c r="R420" s="41" t="e">
        <v>#N/A</v>
      </c>
      <c r="S420" s="41">
        <f>Financials!S211</f>
        <v>44.836932063156418</v>
      </c>
      <c r="T420" s="458">
        <f>Financials!T211</f>
        <v>45.08881802583457</v>
      </c>
      <c r="U420" s="458" t="str">
        <f>Financials!U211</f>
        <v>NM</v>
      </c>
      <c r="V420" s="458">
        <f>Financials!V211</f>
        <v>38.107683833654647</v>
      </c>
      <c r="W420" s="458">
        <f>Financials!W211</f>
        <v>18.516542253887859</v>
      </c>
      <c r="X420" s="458">
        <f>Financials!X211</f>
        <v>17.726085216340394</v>
      </c>
      <c r="Y420" s="458">
        <f ca="1">Financials!Y211</f>
        <v>32.641889431039331</v>
      </c>
      <c r="Z420" s="458">
        <f ca="1">Financials!Z211</f>
        <v>19.290531725877582</v>
      </c>
      <c r="AA420" s="458">
        <f ca="1">Financials!AA211</f>
        <v>13.07065850323027</v>
      </c>
      <c r="AB420" s="458">
        <f ca="1">Financials!AB211</f>
        <v>9.5463850218194004</v>
      </c>
      <c r="AC420" s="458">
        <f ca="1">Financials!AC211</f>
        <v>9.0316570554082585</v>
      </c>
      <c r="AD420" s="458">
        <f ca="1">Financials!AD211</f>
        <v>8.3686758232300402</v>
      </c>
      <c r="AE420" s="458">
        <f ca="1">Financials!AE211</f>
        <v>7.8379144300894552</v>
      </c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</row>
    <row r="421" spans="1:97">
      <c r="A421" s="242" t="s">
        <v>92</v>
      </c>
      <c r="B421" s="264">
        <v>2001</v>
      </c>
      <c r="C421" s="264">
        <v>2002</v>
      </c>
      <c r="D421" s="264">
        <v>2003</v>
      </c>
      <c r="E421" s="264">
        <v>2004</v>
      </c>
      <c r="F421" s="264">
        <v>2005</v>
      </c>
      <c r="G421" s="264">
        <v>2006</v>
      </c>
      <c r="H421" s="264">
        <v>2007</v>
      </c>
      <c r="I421" s="264">
        <v>2008</v>
      </c>
      <c r="J421" s="264">
        <f t="shared" ref="J421:R421" si="234">J$50</f>
        <v>2009</v>
      </c>
      <c r="K421" s="264">
        <f t="shared" si="234"/>
        <v>2010</v>
      </c>
      <c r="L421" s="264">
        <f t="shared" si="234"/>
        <v>2011</v>
      </c>
      <c r="M421" s="264">
        <f t="shared" si="234"/>
        <v>2012</v>
      </c>
      <c r="N421" s="264">
        <f t="shared" si="234"/>
        <v>2013</v>
      </c>
      <c r="O421" s="264">
        <f t="shared" si="234"/>
        <v>2014</v>
      </c>
      <c r="P421" s="264">
        <f t="shared" si="234"/>
        <v>2015</v>
      </c>
      <c r="Q421" s="264">
        <f t="shared" si="234"/>
        <v>2016</v>
      </c>
      <c r="R421" s="264">
        <f t="shared" si="234"/>
        <v>2017</v>
      </c>
      <c r="S421" s="264">
        <f t="shared" ref="S421:X421" si="235">S$6</f>
        <v>2018</v>
      </c>
      <c r="T421" s="264">
        <f t="shared" si="235"/>
        <v>2019</v>
      </c>
      <c r="U421" s="264">
        <f t="shared" si="235"/>
        <v>2020</v>
      </c>
      <c r="V421" s="264">
        <f t="shared" si="235"/>
        <v>2021</v>
      </c>
      <c r="W421" s="264">
        <f t="shared" si="235"/>
        <v>2022</v>
      </c>
      <c r="X421" s="264">
        <f t="shared" si="235"/>
        <v>2023</v>
      </c>
      <c r="Y421" s="594">
        <f t="shared" ref="Y421:AE421" si="236">Y$50</f>
        <v>2024</v>
      </c>
      <c r="Z421" s="594">
        <f t="shared" si="236"/>
        <v>2025</v>
      </c>
      <c r="AA421" s="594">
        <f t="shared" si="236"/>
        <v>2026</v>
      </c>
      <c r="AB421" s="594">
        <f t="shared" si="236"/>
        <v>2027</v>
      </c>
      <c r="AC421" s="594">
        <f t="shared" si="236"/>
        <v>2028</v>
      </c>
      <c r="AD421" s="594">
        <f t="shared" si="236"/>
        <v>2029</v>
      </c>
      <c r="AE421" s="594">
        <f t="shared" si="236"/>
        <v>2030</v>
      </c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</row>
    <row r="422" spans="1:97">
      <c r="A422" s="36" t="s">
        <v>200</v>
      </c>
      <c r="B422" s="263" t="e">
        <f>NA()</f>
        <v>#N/A</v>
      </c>
      <c r="C422" s="263" t="e">
        <f>NA()</f>
        <v>#N/A</v>
      </c>
      <c r="D422" s="263">
        <f>Base!D$198</f>
        <v>1.0562565390594314</v>
      </c>
      <c r="E422" s="263">
        <f>Base!E$198</f>
        <v>1.9622642568399018</v>
      </c>
      <c r="F422" s="263">
        <f>Base!F$198</f>
        <v>2.4236383860123181</v>
      </c>
      <c r="G422" s="263">
        <f>Base!G$198</f>
        <v>3.8041867818993813</v>
      </c>
      <c r="H422" s="263">
        <f>Base!H$198</f>
        <v>2.793131437275874</v>
      </c>
      <c r="I422" s="263">
        <f>Base!I$198</f>
        <v>0.99801439472071241</v>
      </c>
      <c r="J422" s="263">
        <f>Base!J$198</f>
        <v>1.8952447389438658</v>
      </c>
      <c r="K422" s="263">
        <f>Base!K$198</f>
        <v>2.5557004294098262</v>
      </c>
      <c r="L422" s="263">
        <f>Base!L$198</f>
        <v>2.7204433065619193</v>
      </c>
      <c r="M422" s="263">
        <f>Base!M$198</f>
        <v>3.8264277071521948</v>
      </c>
      <c r="N422" s="263">
        <f>Base!N$198</f>
        <v>6.5665371315019545</v>
      </c>
      <c r="O422" s="263">
        <f>Base!O$198</f>
        <v>3.8805062835449671</v>
      </c>
      <c r="P422" s="263">
        <f>Base!P$198</f>
        <v>5.5268325137714962</v>
      </c>
      <c r="Q422" s="263">
        <f>Base!Q$198</f>
        <v>5.5550570369770993</v>
      </c>
      <c r="R422" s="263">
        <f>Base!R$198</f>
        <v>5.6665044111822462</v>
      </c>
      <c r="S422" s="263">
        <f>Base!S$198</f>
        <v>3.8574577078865859</v>
      </c>
      <c r="T422" s="458">
        <f>Base!T$198</f>
        <v>4.360971059591078</v>
      </c>
      <c r="U422" s="458">
        <f>Base!U$198</f>
        <v>3.4443327824097074</v>
      </c>
      <c r="V422" s="458">
        <f>Base!V$198</f>
        <v>4.1660136721731158</v>
      </c>
      <c r="W422" s="458">
        <f>Base!W$198</f>
        <v>3.9676723156232576</v>
      </c>
      <c r="X422" s="458">
        <f>Base!X$198</f>
        <v>6.2029515580825159</v>
      </c>
      <c r="Y422" s="458">
        <f>Base!Y$198</f>
        <v>6.1754471493517</v>
      </c>
      <c r="Z422" s="458">
        <f>Base!Z$198</f>
        <v>4.8695638407790653</v>
      </c>
      <c r="AA422" s="458">
        <f>Base!AA$198</f>
        <v>3.8261885445430974</v>
      </c>
      <c r="AB422" s="458">
        <f>Base!AB$198</f>
        <v>3.038348043490477</v>
      </c>
      <c r="AC422" s="458">
        <f>Base!AC$198</f>
        <v>2.4687832005198209</v>
      </c>
      <c r="AD422" s="458">
        <f>Base!AD$198</f>
        <v>2.0595166267620089</v>
      </c>
      <c r="AE422" s="458">
        <f>Base!AE$198</f>
        <v>1.7519926143113242</v>
      </c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</row>
    <row r="423" spans="1:97">
      <c r="A423" s="36" t="s">
        <v>201</v>
      </c>
      <c r="B423" s="263" t="e">
        <f>NA()</f>
        <v>#N/A</v>
      </c>
      <c r="C423" s="263" t="e">
        <f>NA()</f>
        <v>#N/A</v>
      </c>
      <c r="D423" s="263">
        <f>Bull!D$198</f>
        <v>1.0562565390594314</v>
      </c>
      <c r="E423" s="263">
        <f>Bull!E$198</f>
        <v>1.9622642568399018</v>
      </c>
      <c r="F423" s="263">
        <f>Bull!F$198</f>
        <v>2.4236383860123181</v>
      </c>
      <c r="G423" s="263">
        <f>Bull!G$198</f>
        <v>3.8041867818993813</v>
      </c>
      <c r="H423" s="263">
        <f>Bull!H$198</f>
        <v>2.793131437275874</v>
      </c>
      <c r="I423" s="263">
        <f>Bull!I$198</f>
        <v>0.99801439472071241</v>
      </c>
      <c r="J423" s="263">
        <f>Bull!J$198</f>
        <v>1.8952447389438658</v>
      </c>
      <c r="K423" s="263">
        <f>Bull!K$198</f>
        <v>2.5557004294098262</v>
      </c>
      <c r="L423" s="263">
        <f>Bull!L$198</f>
        <v>2.7204433065619193</v>
      </c>
      <c r="M423" s="263">
        <f>Bull!M$198</f>
        <v>3.8264277071521948</v>
      </c>
      <c r="N423" s="263">
        <f>Bull!N$198</f>
        <v>6.5665371315019545</v>
      </c>
      <c r="O423" s="263">
        <f>Bull!O$198</f>
        <v>3.8805062835449671</v>
      </c>
      <c r="P423" s="263">
        <f>Bull!P$198</f>
        <v>5.5268325137714962</v>
      </c>
      <c r="Q423" s="263">
        <f>Bull!Q$198</f>
        <v>5.5550570369770993</v>
      </c>
      <c r="R423" s="263">
        <f>Bull!R$198</f>
        <v>5.6665044111822462</v>
      </c>
      <c r="S423" s="263">
        <f>Bull!S$198</f>
        <v>3.8574577078865859</v>
      </c>
      <c r="T423" s="458">
        <f>Bull!T$198</f>
        <v>4.360971059591078</v>
      </c>
      <c r="U423" s="458">
        <f>Bull!U$198</f>
        <v>3.4443327824097074</v>
      </c>
      <c r="V423" s="458">
        <f>Bull!V$198</f>
        <v>4.1660136721731158</v>
      </c>
      <c r="W423" s="458">
        <f>Bull!W$198</f>
        <v>3.9676723156232576</v>
      </c>
      <c r="X423" s="458">
        <f>Bull!X$198</f>
        <v>6.2029515580825159</v>
      </c>
      <c r="Y423" s="458">
        <f>Bull!Y$198</f>
        <v>6.034409505952282</v>
      </c>
      <c r="Z423" s="458">
        <f>Bull!Z$198</f>
        <v>4.6428330930565496</v>
      </c>
      <c r="AA423" s="458">
        <f>Bull!AA$198</f>
        <v>3.5814304522596361</v>
      </c>
      <c r="AB423" s="458">
        <f>Bull!AB$198</f>
        <v>2.806137630957521</v>
      </c>
      <c r="AC423" s="458">
        <f>Bull!AC$198</f>
        <v>2.254464001500053</v>
      </c>
      <c r="AD423" s="458">
        <f>Bull!AD$198</f>
        <v>1.8572064886930637</v>
      </c>
      <c r="AE423" s="458">
        <f>Bull!AE$198</f>
        <v>1.5599961642189974</v>
      </c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</row>
    <row r="424" spans="1:97">
      <c r="A424" s="36" t="s">
        <v>202</v>
      </c>
      <c r="B424" s="263" t="e">
        <f>NA()</f>
        <v>#N/A</v>
      </c>
      <c r="C424" s="263" t="e">
        <f>NA()</f>
        <v>#N/A</v>
      </c>
      <c r="D424" s="263">
        <f>Bear!D$198</f>
        <v>1.0562565390594314</v>
      </c>
      <c r="E424" s="263">
        <f>Bear!E$198</f>
        <v>1.9622642568399018</v>
      </c>
      <c r="F424" s="263">
        <f>Bear!F$198</f>
        <v>2.4236383860123181</v>
      </c>
      <c r="G424" s="263">
        <f>Bear!G$198</f>
        <v>3.8041867818993813</v>
      </c>
      <c r="H424" s="263">
        <f>Bear!H$198</f>
        <v>2.793131437275874</v>
      </c>
      <c r="I424" s="263">
        <f>Bear!I$198</f>
        <v>0.99801439472071241</v>
      </c>
      <c r="J424" s="263">
        <f>Bear!J$198</f>
        <v>1.8952447389438658</v>
      </c>
      <c r="K424" s="263">
        <f>Bear!K$198</f>
        <v>2.5557004294098262</v>
      </c>
      <c r="L424" s="263">
        <f>Bear!L$198</f>
        <v>2.7204433065619193</v>
      </c>
      <c r="M424" s="263">
        <f>Bear!M$198</f>
        <v>3.8264277071521948</v>
      </c>
      <c r="N424" s="263">
        <f>Bear!N$198</f>
        <v>6.5665371315019545</v>
      </c>
      <c r="O424" s="263">
        <f>Bear!O$198</f>
        <v>3.8805062835449671</v>
      </c>
      <c r="P424" s="263">
        <f>Bear!P$198</f>
        <v>5.5268325137714962</v>
      </c>
      <c r="Q424" s="263">
        <f>Bear!Q$198</f>
        <v>5.5550570369770993</v>
      </c>
      <c r="R424" s="263">
        <f>Bear!R$198</f>
        <v>5.6665044111822462</v>
      </c>
      <c r="S424" s="263">
        <f>Bear!S$198</f>
        <v>3.8574577078865859</v>
      </c>
      <c r="T424" s="458">
        <f>Bear!T$198</f>
        <v>4.360971059591078</v>
      </c>
      <c r="U424" s="458">
        <f>Bear!U$198</f>
        <v>3.4443327824097074</v>
      </c>
      <c r="V424" s="458">
        <f>Bear!V$198</f>
        <v>4.1660136721731158</v>
      </c>
      <c r="W424" s="458">
        <f>Bear!W$198</f>
        <v>3.9676723156232576</v>
      </c>
      <c r="X424" s="458">
        <f>Bear!X$198</f>
        <v>6.2029515580825159</v>
      </c>
      <c r="Y424" s="458">
        <f>Bear!Y$198</f>
        <v>6.6143822163239463</v>
      </c>
      <c r="Z424" s="458">
        <f>Bear!Z$198</f>
        <v>5.2835913038246778</v>
      </c>
      <c r="AA424" s="458">
        <f>Bear!AA$198</f>
        <v>4.073893394182206</v>
      </c>
      <c r="AB424" s="458">
        <f>Bear!AB$198</f>
        <v>3.1016090538944407</v>
      </c>
      <c r="AC424" s="458">
        <f>Bear!AC$198</f>
        <v>2.4768014206045756</v>
      </c>
      <c r="AD424" s="458">
        <f>Bear!AD$198</f>
        <v>2.0344921994795926</v>
      </c>
      <c r="AE424" s="458">
        <f>Bear!AE$198</f>
        <v>1.7086898119704634</v>
      </c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</row>
    <row r="425" spans="1:97">
      <c r="A425" s="36" t="s">
        <v>1162</v>
      </c>
      <c r="B425" s="41" t="e">
        <v>#N/A</v>
      </c>
      <c r="C425" s="41" t="e">
        <v>#N/A</v>
      </c>
      <c r="D425" s="41" t="e">
        <v>#N/A</v>
      </c>
      <c r="E425" s="41" t="e">
        <v>#N/A</v>
      </c>
      <c r="F425" s="41" t="e">
        <v>#N/A</v>
      </c>
      <c r="G425" s="41" t="e">
        <v>#N/A</v>
      </c>
      <c r="H425" s="41" t="e">
        <v>#N/A</v>
      </c>
      <c r="I425" s="41" t="e">
        <v>#N/A</v>
      </c>
      <c r="J425" s="41" t="e">
        <v>#N/A</v>
      </c>
      <c r="K425" s="41" t="e">
        <v>#N/A</v>
      </c>
      <c r="L425" s="41" t="e">
        <v>#N/A</v>
      </c>
      <c r="M425" s="41" t="e">
        <v>#N/A</v>
      </c>
      <c r="N425" s="41" t="e">
        <v>#N/A</v>
      </c>
      <c r="O425" s="41" t="e">
        <v>#N/A</v>
      </c>
      <c r="P425" s="41" t="e">
        <v>#N/A</v>
      </c>
      <c r="Q425" s="41" t="e">
        <v>#N/A</v>
      </c>
      <c r="R425" s="41" t="e">
        <v>#N/A</v>
      </c>
      <c r="S425" s="41">
        <f>Financials!S213</f>
        <v>3.8574577078865859</v>
      </c>
      <c r="T425" s="458">
        <f>Financials!T213</f>
        <v>4.360971059591078</v>
      </c>
      <c r="U425" s="458">
        <f>Financials!U213</f>
        <v>3.4443327824097074</v>
      </c>
      <c r="V425" s="458">
        <f>Financials!V213</f>
        <v>4.1660136721731158</v>
      </c>
      <c r="W425" s="458">
        <f>Financials!W213</f>
        <v>3.9676723156232576</v>
      </c>
      <c r="X425" s="458">
        <f>Financials!X213</f>
        <v>6.2029515580825159</v>
      </c>
      <c r="Y425" s="458">
        <f ca="1">Financials!Y213</f>
        <v>4.8587528523437413</v>
      </c>
      <c r="Z425" s="458">
        <f ca="1">Financials!Z213</f>
        <v>3.8811885189701352</v>
      </c>
      <c r="AA425" s="458">
        <f ca="1">Financials!AA213</f>
        <v>2.9925759506725313</v>
      </c>
      <c r="AB425" s="458">
        <f ca="1">Financials!AB213</f>
        <v>2.2783612051134483</v>
      </c>
      <c r="AC425" s="458">
        <f ca="1">Financials!AC213</f>
        <v>1.8193937957428323</v>
      </c>
      <c r="AD425" s="458">
        <f ca="1">Financials!AD213</f>
        <v>1.4944849653376047</v>
      </c>
      <c r="AE425" s="458">
        <f ca="1">Financials!AE213</f>
        <v>1.2551590195669418</v>
      </c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</row>
    <row r="426" spans="1:97">
      <c r="A426" s="239" t="s">
        <v>482</v>
      </c>
      <c r="B426" s="470"/>
      <c r="C426" s="470"/>
      <c r="D426" s="470"/>
      <c r="E426" s="470"/>
      <c r="F426" s="470"/>
      <c r="G426" s="470"/>
      <c r="H426" s="470"/>
      <c r="I426" s="470"/>
      <c r="J426" s="470"/>
      <c r="K426" s="129"/>
      <c r="L426" s="129"/>
      <c r="M426" s="129"/>
      <c r="N426" s="129"/>
      <c r="O426" s="129"/>
      <c r="P426" s="129"/>
      <c r="Q426" s="129"/>
      <c r="R426" s="129"/>
      <c r="S426" s="129"/>
      <c r="T426" s="129"/>
      <c r="U426" s="129"/>
      <c r="V426" s="129"/>
      <c r="W426" s="129"/>
      <c r="X426" s="129"/>
      <c r="Y426" s="129"/>
      <c r="Z426" s="129"/>
      <c r="AA426" s="129"/>
      <c r="AB426" s="129"/>
      <c r="AC426" s="129"/>
      <c r="AD426" s="129"/>
      <c r="AE426" s="129"/>
      <c r="AF426" s="129"/>
      <c r="AG426" s="129"/>
      <c r="AH426" s="129"/>
      <c r="AI426" s="129"/>
      <c r="AJ426" s="129"/>
      <c r="AK426" s="129"/>
      <c r="AL426" s="129"/>
      <c r="AM426" s="129"/>
      <c r="AN426" s="129"/>
      <c r="AO426" s="129"/>
      <c r="AP426" s="129"/>
      <c r="AQ426" s="129"/>
      <c r="AR426" s="129"/>
      <c r="AS426" s="129"/>
      <c r="AT426" s="129"/>
      <c r="AU426" s="129"/>
      <c r="AV426" s="129"/>
      <c r="AW426" s="129"/>
      <c r="AX426" s="129"/>
      <c r="AY426" s="129"/>
      <c r="AZ426" s="129"/>
      <c r="BA426" s="129"/>
      <c r="BB426" s="129"/>
      <c r="BC426" s="129"/>
      <c r="BD426" s="129"/>
      <c r="BE426" s="129"/>
      <c r="BF426" s="129"/>
      <c r="BG426" s="129"/>
      <c r="BH426" s="129"/>
      <c r="BI426" s="129"/>
      <c r="BJ426" s="129"/>
      <c r="BK426" s="129"/>
      <c r="BL426" s="129"/>
      <c r="BM426" s="129"/>
      <c r="BN426" s="129"/>
      <c r="BO426" s="129"/>
      <c r="BP426" s="129"/>
      <c r="BQ426" s="129"/>
      <c r="BR426" s="129"/>
      <c r="BS426" s="129"/>
      <c r="BT426" s="129"/>
      <c r="BU426" s="129"/>
      <c r="BV426" s="129"/>
      <c r="BW426" s="129"/>
      <c r="BX426" s="129"/>
      <c r="BY426" s="129"/>
      <c r="BZ426" s="129"/>
      <c r="CA426" s="129"/>
      <c r="CB426" s="129"/>
      <c r="CC426" s="129"/>
      <c r="CD426" s="129"/>
      <c r="CE426" s="129"/>
      <c r="CF426" s="129"/>
      <c r="CG426" s="129"/>
      <c r="CH426" s="129"/>
      <c r="CI426" s="129"/>
      <c r="CJ426" s="129"/>
      <c r="CK426" s="129"/>
      <c r="CL426" s="129"/>
      <c r="CM426" s="129"/>
      <c r="CN426" s="129"/>
      <c r="CO426" s="129"/>
      <c r="CP426" s="129"/>
      <c r="CQ426" s="129"/>
      <c r="CR426" s="129"/>
      <c r="CS426" s="129"/>
    </row>
    <row r="427" spans="1:97">
      <c r="A427" s="242" t="s">
        <v>892</v>
      </c>
      <c r="B427" s="595"/>
      <c r="C427" s="595"/>
      <c r="D427" s="595"/>
      <c r="E427" s="595"/>
      <c r="F427" s="595"/>
      <c r="G427" s="595"/>
      <c r="H427" s="595"/>
      <c r="I427" s="595"/>
      <c r="J427" s="595" t="str">
        <f t="shared" ref="J427:AO427" si="237">J$453</f>
        <v>1Q09</v>
      </c>
      <c r="K427" s="595" t="str">
        <f t="shared" si="237"/>
        <v>2Q09</v>
      </c>
      <c r="L427" s="595" t="str">
        <f t="shared" si="237"/>
        <v>3Q09</v>
      </c>
      <c r="M427" s="595" t="str">
        <f t="shared" si="237"/>
        <v>4Q09</v>
      </c>
      <c r="N427" s="595" t="str">
        <f t="shared" si="237"/>
        <v>1Q10</v>
      </c>
      <c r="O427" s="595" t="str">
        <f t="shared" si="237"/>
        <v>2Q10</v>
      </c>
      <c r="P427" s="595" t="str">
        <f t="shared" si="237"/>
        <v>3Q10</v>
      </c>
      <c r="Q427" s="595" t="str">
        <f t="shared" si="237"/>
        <v>4Q10</v>
      </c>
      <c r="R427" s="595" t="str">
        <f t="shared" si="237"/>
        <v>1Q11</v>
      </c>
      <c r="S427" s="595" t="str">
        <f t="shared" si="237"/>
        <v>2Q11</v>
      </c>
      <c r="T427" s="595" t="str">
        <f t="shared" si="237"/>
        <v>3Q11</v>
      </c>
      <c r="U427" s="595" t="str">
        <f t="shared" si="237"/>
        <v>4Q11</v>
      </c>
      <c r="V427" s="595" t="str">
        <f t="shared" si="237"/>
        <v>1Q12</v>
      </c>
      <c r="W427" s="595" t="str">
        <f t="shared" si="237"/>
        <v>2Q12</v>
      </c>
      <c r="X427" s="595" t="str">
        <f t="shared" si="237"/>
        <v>3Q12</v>
      </c>
      <c r="Y427" s="595" t="str">
        <f t="shared" si="237"/>
        <v>4Q12</v>
      </c>
      <c r="Z427" s="595" t="str">
        <f t="shared" si="237"/>
        <v>1Q13</v>
      </c>
      <c r="AA427" s="595" t="str">
        <f t="shared" si="237"/>
        <v>2Q13</v>
      </c>
      <c r="AB427" s="595" t="str">
        <f t="shared" si="237"/>
        <v>3Q13</v>
      </c>
      <c r="AC427" s="595" t="str">
        <f t="shared" si="237"/>
        <v>4Q13</v>
      </c>
      <c r="AD427" s="595" t="str">
        <f t="shared" si="237"/>
        <v>1Q14</v>
      </c>
      <c r="AE427" s="595" t="str">
        <f t="shared" si="237"/>
        <v>2Q14</v>
      </c>
      <c r="AF427" s="595" t="str">
        <f t="shared" si="237"/>
        <v>3Q14</v>
      </c>
      <c r="AG427" s="595" t="str">
        <f t="shared" si="237"/>
        <v>4Q14</v>
      </c>
      <c r="AH427" s="595" t="str">
        <f t="shared" si="237"/>
        <v>1Q15</v>
      </c>
      <c r="AI427" s="595" t="str">
        <f t="shared" si="237"/>
        <v>2Q15</v>
      </c>
      <c r="AJ427" s="595" t="str">
        <f t="shared" si="237"/>
        <v>3Q15</v>
      </c>
      <c r="AK427" s="595" t="str">
        <f t="shared" si="237"/>
        <v>4Q15</v>
      </c>
      <c r="AL427" s="595" t="str">
        <f t="shared" si="237"/>
        <v>1Q16</v>
      </c>
      <c r="AM427" s="595" t="str">
        <f t="shared" si="237"/>
        <v>2Q16</v>
      </c>
      <c r="AN427" s="595" t="str">
        <f t="shared" si="237"/>
        <v>3Q16</v>
      </c>
      <c r="AO427" s="595" t="str">
        <f t="shared" si="237"/>
        <v>4Q16</v>
      </c>
      <c r="AP427" s="595" t="str">
        <f t="shared" ref="AP427:CS427" si="238">AP$453</f>
        <v>1Q17</v>
      </c>
      <c r="AQ427" s="595" t="str">
        <f t="shared" si="238"/>
        <v>2Q17</v>
      </c>
      <c r="AR427" s="595" t="str">
        <f t="shared" si="238"/>
        <v>3Q17</v>
      </c>
      <c r="AS427" s="595" t="str">
        <f t="shared" si="238"/>
        <v>4Q17</v>
      </c>
      <c r="AT427" s="595" t="str">
        <f t="shared" si="238"/>
        <v>1Q18</v>
      </c>
      <c r="AU427" s="595" t="str">
        <f t="shared" si="238"/>
        <v>2Q18</v>
      </c>
      <c r="AV427" s="595" t="str">
        <f t="shared" si="238"/>
        <v>3Q18</v>
      </c>
      <c r="AW427" s="595" t="str">
        <f t="shared" si="238"/>
        <v>4Q18</v>
      </c>
      <c r="AX427" s="595" t="str">
        <f t="shared" si="238"/>
        <v>1Q19</v>
      </c>
      <c r="AY427" s="595" t="str">
        <f t="shared" si="238"/>
        <v>2Q19</v>
      </c>
      <c r="AZ427" s="595" t="str">
        <f t="shared" si="238"/>
        <v>3Q19</v>
      </c>
      <c r="BA427" s="595" t="str">
        <f t="shared" si="238"/>
        <v>4Q19</v>
      </c>
      <c r="BB427" s="595" t="str">
        <f t="shared" si="238"/>
        <v>1Q20</v>
      </c>
      <c r="BC427" s="595" t="str">
        <f t="shared" si="238"/>
        <v>2Q20</v>
      </c>
      <c r="BD427" s="595" t="str">
        <f t="shared" si="238"/>
        <v>3Q20</v>
      </c>
      <c r="BE427" s="595" t="str">
        <f t="shared" si="238"/>
        <v>4Q20</v>
      </c>
      <c r="BF427" s="595" t="str">
        <f t="shared" si="238"/>
        <v>1Q21</v>
      </c>
      <c r="BG427" s="595" t="str">
        <f t="shared" si="238"/>
        <v>2Q21</v>
      </c>
      <c r="BH427" s="595" t="str">
        <f t="shared" si="238"/>
        <v>3Q21</v>
      </c>
      <c r="BI427" s="595" t="str">
        <f t="shared" si="238"/>
        <v>4Q21</v>
      </c>
      <c r="BJ427" s="595" t="str">
        <f t="shared" si="238"/>
        <v>1Q22</v>
      </c>
      <c r="BK427" s="595" t="str">
        <f t="shared" si="238"/>
        <v>2Q22</v>
      </c>
      <c r="BL427" s="595" t="str">
        <f t="shared" si="238"/>
        <v>3Q22</v>
      </c>
      <c r="BM427" s="595" t="str">
        <f t="shared" si="238"/>
        <v>4Q22</v>
      </c>
      <c r="BN427" s="595" t="str">
        <f t="shared" si="238"/>
        <v>1Q23</v>
      </c>
      <c r="BO427" s="595" t="str">
        <f t="shared" si="238"/>
        <v>2Q23</v>
      </c>
      <c r="BP427" s="595" t="str">
        <f t="shared" si="238"/>
        <v>3Q23</v>
      </c>
      <c r="BQ427" s="595" t="str">
        <f t="shared" si="238"/>
        <v>4Q23</v>
      </c>
      <c r="BR427" s="596" t="str">
        <f t="shared" si="238"/>
        <v>1Q24</v>
      </c>
      <c r="BS427" s="596" t="str">
        <f t="shared" si="238"/>
        <v>2Q24e</v>
      </c>
      <c r="BT427" s="596" t="str">
        <f t="shared" si="238"/>
        <v>3Q24e</v>
      </c>
      <c r="BU427" s="596" t="str">
        <f t="shared" si="238"/>
        <v>4Q24e</v>
      </c>
      <c r="BV427" s="596" t="str">
        <f t="shared" si="238"/>
        <v>1Q25e</v>
      </c>
      <c r="BW427" s="596" t="str">
        <f t="shared" si="238"/>
        <v>2Q25e</v>
      </c>
      <c r="BX427" s="596" t="str">
        <f t="shared" si="238"/>
        <v>3Q25e</v>
      </c>
      <c r="BY427" s="596" t="str">
        <f t="shared" si="238"/>
        <v>4Q25e</v>
      </c>
      <c r="BZ427" s="596" t="str">
        <f t="shared" si="238"/>
        <v>1Q26e</v>
      </c>
      <c r="CA427" s="596" t="str">
        <f t="shared" si="238"/>
        <v>2Q26e</v>
      </c>
      <c r="CB427" s="596" t="str">
        <f t="shared" si="238"/>
        <v>3Q26e</v>
      </c>
      <c r="CC427" s="596" t="str">
        <f t="shared" si="238"/>
        <v>4Q26e</v>
      </c>
      <c r="CD427" s="596" t="str">
        <f t="shared" si="238"/>
        <v>1Q27e</v>
      </c>
      <c r="CE427" s="596" t="str">
        <f t="shared" si="238"/>
        <v>2Q27e</v>
      </c>
      <c r="CF427" s="596" t="str">
        <f t="shared" si="238"/>
        <v>3Q27e</v>
      </c>
      <c r="CG427" s="596" t="str">
        <f t="shared" si="238"/>
        <v>4Q27e</v>
      </c>
      <c r="CH427" s="596" t="str">
        <f t="shared" si="238"/>
        <v>1Q28e</v>
      </c>
      <c r="CI427" s="596" t="str">
        <f t="shared" si="238"/>
        <v>2Q28e</v>
      </c>
      <c r="CJ427" s="596" t="str">
        <f t="shared" si="238"/>
        <v>3Q28e</v>
      </c>
      <c r="CK427" s="596" t="str">
        <f t="shared" si="238"/>
        <v>4Q28e</v>
      </c>
      <c r="CL427" s="596" t="str">
        <f t="shared" si="238"/>
        <v>1Q29e</v>
      </c>
      <c r="CM427" s="596" t="str">
        <f t="shared" si="238"/>
        <v>2Q29e</v>
      </c>
      <c r="CN427" s="596" t="str">
        <f t="shared" si="238"/>
        <v>3Q29e</v>
      </c>
      <c r="CO427" s="596" t="str">
        <f t="shared" si="238"/>
        <v>4Q29e</v>
      </c>
      <c r="CP427" s="596" t="str">
        <f t="shared" si="238"/>
        <v>1Q30e</v>
      </c>
      <c r="CQ427" s="596" t="str">
        <f t="shared" si="238"/>
        <v>2Q30e</v>
      </c>
      <c r="CR427" s="596" t="str">
        <f t="shared" si="238"/>
        <v>3Q30e</v>
      </c>
      <c r="CS427" s="596" t="str">
        <f t="shared" si="238"/>
        <v>4Q30e</v>
      </c>
    </row>
    <row r="428" spans="1:97">
      <c r="A428" s="36" t="s">
        <v>325</v>
      </c>
      <c r="B428" s="258"/>
      <c r="C428" s="258"/>
      <c r="D428" s="258"/>
      <c r="E428" s="258"/>
      <c r="F428" s="258"/>
      <c r="G428" s="258"/>
      <c r="H428" s="258"/>
      <c r="I428" s="258"/>
      <c r="J428" s="258">
        <f>Q_IS!B225</f>
        <v>1149</v>
      </c>
      <c r="K428" s="258">
        <f>Q_IS!C225</f>
        <v>1155</v>
      </c>
      <c r="L428" s="258">
        <f>Q_IS!D225</f>
        <v>1155</v>
      </c>
      <c r="M428" s="258">
        <f>Q_IS!E225</f>
        <v>1171</v>
      </c>
      <c r="N428" s="258">
        <f>Q_IS!F225</f>
        <v>1171</v>
      </c>
      <c r="O428" s="258">
        <f>Q_IS!G225</f>
        <v>1188</v>
      </c>
      <c r="P428" s="258">
        <f>Q_IS!H225</f>
        <v>1174</v>
      </c>
      <c r="Q428" s="258">
        <f>Q_IS!I225</f>
        <v>1206</v>
      </c>
      <c r="R428" s="258">
        <f>Q_IS!J225</f>
        <v>1211</v>
      </c>
      <c r="S428" s="258">
        <f>Q_IS!K225</f>
        <v>1227</v>
      </c>
      <c r="T428" s="258">
        <f>Q_IS!L225</f>
        <v>1242</v>
      </c>
      <c r="U428" s="258">
        <f>Q_IS!M225</f>
        <v>1283</v>
      </c>
      <c r="V428" s="258">
        <f>Q_IS!N225</f>
        <v>1341</v>
      </c>
      <c r="W428" s="258">
        <f>Q_IS!O225</f>
        <v>1363</v>
      </c>
      <c r="X428" s="258">
        <f>Q_IS!P225</f>
        <v>1388</v>
      </c>
      <c r="Y428" s="258">
        <f>Q_IS!Q225</f>
        <v>1435</v>
      </c>
      <c r="Z428" s="258">
        <f>Q_IS!R225</f>
        <v>1431</v>
      </c>
      <c r="AA428" s="258">
        <f>Q_IS!S225</f>
        <v>1768</v>
      </c>
      <c r="AB428" s="258">
        <f>Q_IS!T225</f>
        <v>1811</v>
      </c>
      <c r="AC428" s="258">
        <f>Q_IS!U225</f>
        <v>1862</v>
      </c>
      <c r="AD428" s="258">
        <f>Q_IS!V225</f>
        <v>1881</v>
      </c>
      <c r="AE428" s="258">
        <f>Q_IS!W225</f>
        <v>2241</v>
      </c>
      <c r="AF428" s="258">
        <f>Q_IS!X225</f>
        <v>2277</v>
      </c>
      <c r="AG428" s="258">
        <f>Q_IS!Y225</f>
        <v>2784</v>
      </c>
      <c r="AH428" s="258">
        <f>Q_IS!Z225</f>
        <v>2788</v>
      </c>
      <c r="AI428" s="258">
        <f>Q_IS!AA225</f>
        <v>2830</v>
      </c>
      <c r="AJ428" s="258">
        <f>Q_IS!AB225</f>
        <v>2905</v>
      </c>
      <c r="AK428" s="258">
        <f>Q_IS!AC225</f>
        <v>2954</v>
      </c>
      <c r="AL428" s="258">
        <f>Q_IS!AD225</f>
        <v>3002</v>
      </c>
      <c r="AM428" s="258">
        <f>Q_IS!AE225</f>
        <v>3037</v>
      </c>
      <c r="AN428" s="258">
        <f>Q_IS!AF225</f>
        <v>3093</v>
      </c>
      <c r="AO428" s="258">
        <f>Q_IS!AG225</f>
        <v>3195</v>
      </c>
      <c r="AP428" s="258">
        <f>Q_IS!AH225</f>
        <v>3235</v>
      </c>
      <c r="AQ428" s="258">
        <f>Q_IS!AI225</f>
        <v>3291</v>
      </c>
      <c r="AR428" s="258">
        <f>Q_IS!AJ225</f>
        <v>3353</v>
      </c>
      <c r="AS428" s="258">
        <f>Q_IS!AK225</f>
        <v>3438</v>
      </c>
      <c r="AT428" s="258">
        <f>Q_IS!AL225</f>
        <v>3468</v>
      </c>
      <c r="AU428" s="258">
        <f>Q_IS!AM225</f>
        <v>3521</v>
      </c>
      <c r="AV428" s="258">
        <f>Q_IS!AN225</f>
        <v>3588</v>
      </c>
      <c r="AW428" s="258">
        <f>Q_IS!AO225</f>
        <v>3688</v>
      </c>
      <c r="AX428" s="258">
        <f>Q_IS!AP225</f>
        <v>4461</v>
      </c>
      <c r="AY428" s="258">
        <f>Q_IS!AQ225</f>
        <v>4474</v>
      </c>
      <c r="AZ428" s="258">
        <f>Q_IS!AR225</f>
        <v>4495</v>
      </c>
      <c r="BA428" s="258">
        <f>Q_IS!AS225</f>
        <v>4310</v>
      </c>
      <c r="BB428" s="258">
        <f>Q_IS!AT225</f>
        <v>4311</v>
      </c>
      <c r="BC428" s="460">
        <f>Q_IS!AU225</f>
        <v>4256</v>
      </c>
      <c r="BD428" s="460">
        <f>Q_IS!AV225</f>
        <v>4236</v>
      </c>
      <c r="BE428" s="460">
        <f>Q_IS!AW225</f>
        <v>4193</v>
      </c>
      <c r="BF428" s="460">
        <f>Q_IS!AX225</f>
        <v>4185</v>
      </c>
      <c r="BG428" s="460">
        <f>Q_IS!AY225</f>
        <v>4204</v>
      </c>
      <c r="BH428" s="460">
        <f>Q_IS!AZ225</f>
        <v>4219</v>
      </c>
      <c r="BI428" s="460">
        <f>Q_IS!BA225</f>
        <v>4262</v>
      </c>
      <c r="BJ428" s="460">
        <f>Q_IS!BB225</f>
        <v>4299</v>
      </c>
      <c r="BK428" s="460">
        <f>Q_IS!BC225</f>
        <v>4336</v>
      </c>
      <c r="BL428" s="460">
        <f>Q_IS!BD225</f>
        <v>4361</v>
      </c>
      <c r="BM428" s="460">
        <f>Q_IS!BE225</f>
        <v>4447</v>
      </c>
      <c r="BN428" s="460">
        <f>Q_IS!BF225</f>
        <v>4449</v>
      </c>
      <c r="BO428" s="460">
        <f>Q_IS!BG225</f>
        <v>4477</v>
      </c>
      <c r="BP428" s="460">
        <f>Q_IS!BH225</f>
        <v>4516</v>
      </c>
      <c r="BQ428" s="460">
        <f>Q_IS!BI225</f>
        <v>4622</v>
      </c>
      <c r="BR428" s="460">
        <f>Q_IS!BJ225</f>
        <v>4641</v>
      </c>
      <c r="BS428" s="460">
        <f>Q_IS!BK225</f>
        <v>4686</v>
      </c>
      <c r="BT428" s="460">
        <f>Q_IS!BL225</f>
        <v>4716</v>
      </c>
      <c r="BU428" s="460">
        <f>Q_IS!BM225</f>
        <v>4785</v>
      </c>
      <c r="BV428" s="460">
        <f>Q_IS!BN225</f>
        <v>4813</v>
      </c>
      <c r="BW428" s="460">
        <f>Q_IS!BO225</f>
        <v>4841</v>
      </c>
      <c r="BX428" s="460">
        <f>Q_IS!BP225</f>
        <v>4869</v>
      </c>
      <c r="BY428" s="460">
        <f>Q_IS!BQ225</f>
        <v>4928</v>
      </c>
      <c r="BZ428" s="460">
        <f>Q_IS!BR225</f>
        <v>4951</v>
      </c>
      <c r="CA428" s="460">
        <f>Q_IS!BS225</f>
        <v>4974</v>
      </c>
      <c r="CB428" s="460">
        <f>Q_IS!BT225</f>
        <v>4997</v>
      </c>
      <c r="CC428" s="460">
        <f>Q_IS!BU225</f>
        <v>5044</v>
      </c>
      <c r="CD428" s="460">
        <f>Q_IS!BV225</f>
        <v>5065</v>
      </c>
      <c r="CE428" s="460">
        <f>Q_IS!BW225</f>
        <v>5086</v>
      </c>
      <c r="CF428" s="460">
        <f>Q_IS!BX225</f>
        <v>5107</v>
      </c>
      <c r="CG428" s="460">
        <f>Q_IS!BY225</f>
        <v>5146</v>
      </c>
      <c r="CH428" s="460">
        <f>Q_IS!BZ225</f>
        <v>5166</v>
      </c>
      <c r="CI428" s="460">
        <f>Q_IS!CA225</f>
        <v>5186</v>
      </c>
      <c r="CJ428" s="460">
        <f>Q_IS!CB225</f>
        <v>5206</v>
      </c>
      <c r="CK428" s="460">
        <f>Q_IS!CC225</f>
        <v>5245</v>
      </c>
      <c r="CL428" s="460">
        <f>Q_IS!CD225</f>
        <v>5265</v>
      </c>
      <c r="CM428" s="460">
        <f>Q_IS!CE225</f>
        <v>5285</v>
      </c>
      <c r="CN428" s="460">
        <f>Q_IS!CF225</f>
        <v>5305</v>
      </c>
      <c r="CO428" s="460">
        <f>Q_IS!CG225</f>
        <v>5344</v>
      </c>
      <c r="CP428" s="460">
        <f>Q_IS!CH225</f>
        <v>5361</v>
      </c>
      <c r="CQ428" s="460">
        <f>Q_IS!CI225</f>
        <v>5378</v>
      </c>
      <c r="CR428" s="460">
        <f>Q_IS!CJ225</f>
        <v>5395</v>
      </c>
      <c r="CS428" s="460">
        <f>Q_IS!CK225</f>
        <v>5429</v>
      </c>
    </row>
    <row r="429" spans="1:97">
      <c r="A429" s="312" t="s">
        <v>229</v>
      </c>
      <c r="B429" s="257"/>
      <c r="C429" s="257"/>
      <c r="D429" s="257"/>
      <c r="E429" s="257"/>
      <c r="F429" s="257"/>
      <c r="G429" s="257"/>
      <c r="H429" s="257"/>
      <c r="I429" s="257"/>
      <c r="J429" s="257"/>
      <c r="K429" s="257"/>
      <c r="L429" s="257"/>
      <c r="M429" s="257"/>
      <c r="N429" s="257">
        <f t="shared" ref="N429:AS429" si="239">N428/J428-1</f>
        <v>1.9147084421235805E-2</v>
      </c>
      <c r="O429" s="257">
        <f t="shared" si="239"/>
        <v>2.857142857142847E-2</v>
      </c>
      <c r="P429" s="257">
        <f t="shared" si="239"/>
        <v>1.6450216450216493E-2</v>
      </c>
      <c r="Q429" s="257">
        <f t="shared" si="239"/>
        <v>2.9888983774551736E-2</v>
      </c>
      <c r="R429" s="257">
        <f t="shared" si="239"/>
        <v>3.415883859948754E-2</v>
      </c>
      <c r="S429" s="257">
        <f t="shared" si="239"/>
        <v>3.2828282828282873E-2</v>
      </c>
      <c r="T429" s="257">
        <f t="shared" si="239"/>
        <v>5.7921635434412311E-2</v>
      </c>
      <c r="U429" s="257">
        <f t="shared" si="239"/>
        <v>6.3847429519071408E-2</v>
      </c>
      <c r="V429" s="257">
        <f t="shared" si="239"/>
        <v>0.10734929810074312</v>
      </c>
      <c r="W429" s="257">
        <f t="shared" si="239"/>
        <v>0.11083944580277105</v>
      </c>
      <c r="X429" s="257">
        <f t="shared" si="239"/>
        <v>0.11755233494363937</v>
      </c>
      <c r="Y429" s="257">
        <f t="shared" si="239"/>
        <v>0.11847233047544825</v>
      </c>
      <c r="Z429" s="257">
        <f t="shared" si="239"/>
        <v>6.7114093959731447E-2</v>
      </c>
      <c r="AA429" s="257">
        <f t="shared" si="239"/>
        <v>0.29713866471019812</v>
      </c>
      <c r="AB429" s="257">
        <f t="shared" si="239"/>
        <v>0.30475504322766578</v>
      </c>
      <c r="AC429" s="257">
        <f t="shared" si="239"/>
        <v>0.29756097560975614</v>
      </c>
      <c r="AD429" s="257">
        <f t="shared" si="239"/>
        <v>0.31446540880503138</v>
      </c>
      <c r="AE429" s="257">
        <f t="shared" si="239"/>
        <v>0.26753393665158365</v>
      </c>
      <c r="AF429" s="257">
        <f t="shared" si="239"/>
        <v>0.25731639977912746</v>
      </c>
      <c r="AG429" s="257">
        <f t="shared" si="239"/>
        <v>0.49516648764769067</v>
      </c>
      <c r="AH429" s="257">
        <f t="shared" si="239"/>
        <v>0.48219032429558739</v>
      </c>
      <c r="AI429" s="257">
        <f t="shared" si="239"/>
        <v>0.26282909415439537</v>
      </c>
      <c r="AJ429" s="257">
        <f t="shared" si="239"/>
        <v>0.27580149319279745</v>
      </c>
      <c r="AK429" s="257">
        <f t="shared" si="239"/>
        <v>6.1063218390804641E-2</v>
      </c>
      <c r="AL429" s="257">
        <f t="shared" si="239"/>
        <v>7.6757532281205076E-2</v>
      </c>
      <c r="AM429" s="257">
        <f t="shared" si="239"/>
        <v>7.314487632508837E-2</v>
      </c>
      <c r="AN429" s="257">
        <f t="shared" si="239"/>
        <v>6.4716006884681487E-2</v>
      </c>
      <c r="AO429" s="257">
        <f t="shared" si="239"/>
        <v>8.1584292484766507E-2</v>
      </c>
      <c r="AP429" s="257">
        <f t="shared" si="239"/>
        <v>7.7614923384410339E-2</v>
      </c>
      <c r="AQ429" s="257">
        <f t="shared" si="239"/>
        <v>8.3635166282515661E-2</v>
      </c>
      <c r="AR429" s="257">
        <f t="shared" si="239"/>
        <v>8.4060782411897739E-2</v>
      </c>
      <c r="AS429" s="257">
        <f t="shared" si="239"/>
        <v>7.6056338028168913E-2</v>
      </c>
      <c r="AT429" s="257">
        <f t="shared" ref="AT429:BY429" si="240">AT428/AP428-1</f>
        <v>7.2024729520865582E-2</v>
      </c>
      <c r="AU429" s="257">
        <f t="shared" si="240"/>
        <v>6.9887572166514644E-2</v>
      </c>
      <c r="AV429" s="257">
        <f t="shared" si="240"/>
        <v>7.0086489710706745E-2</v>
      </c>
      <c r="AW429" s="257">
        <f t="shared" si="240"/>
        <v>7.271669575334494E-2</v>
      </c>
      <c r="AX429" s="257">
        <f t="shared" si="240"/>
        <v>0.28633217993079585</v>
      </c>
      <c r="AY429" s="257">
        <f t="shared" si="240"/>
        <v>0.27066174382277763</v>
      </c>
      <c r="AZ429" s="257">
        <f t="shared" si="240"/>
        <v>0.25278706800445927</v>
      </c>
      <c r="BA429" s="257">
        <f t="shared" si="240"/>
        <v>0.16865509761388275</v>
      </c>
      <c r="BB429" s="257">
        <f t="shared" si="240"/>
        <v>-3.3624747814391398E-2</v>
      </c>
      <c r="BC429" s="461">
        <f t="shared" si="240"/>
        <v>-4.8725972284309305E-2</v>
      </c>
      <c r="BD429" s="461">
        <f t="shared" si="240"/>
        <v>-5.7619577308120173E-2</v>
      </c>
      <c r="BE429" s="461">
        <f t="shared" si="240"/>
        <v>-2.7146171693735455E-2</v>
      </c>
      <c r="BF429" s="461">
        <f t="shared" si="240"/>
        <v>-2.9227557411273475E-2</v>
      </c>
      <c r="BG429" s="461">
        <f t="shared" si="240"/>
        <v>-1.2218045112781906E-2</v>
      </c>
      <c r="BH429" s="461">
        <f t="shared" si="240"/>
        <v>-4.0132200188857103E-3</v>
      </c>
      <c r="BI429" s="461">
        <f t="shared" si="240"/>
        <v>1.6455998092058222E-2</v>
      </c>
      <c r="BJ429" s="461">
        <f t="shared" si="240"/>
        <v>2.7240143369175573E-2</v>
      </c>
      <c r="BK429" s="461">
        <f t="shared" si="240"/>
        <v>3.1398667935299773E-2</v>
      </c>
      <c r="BL429" s="461">
        <f t="shared" si="240"/>
        <v>3.3657264754681115E-2</v>
      </c>
      <c r="BM429" s="461">
        <f t="shared" si="240"/>
        <v>4.3406851243547706E-2</v>
      </c>
      <c r="BN429" s="461">
        <f>BN428/BJ428-1</f>
        <v>3.4891835310537411E-2</v>
      </c>
      <c r="BO429" s="461">
        <f>BO428/BK428-1</f>
        <v>3.2518450184501946E-2</v>
      </c>
      <c r="BP429" s="461">
        <f>BP428/BL428-1</f>
        <v>3.5542306810364632E-2</v>
      </c>
      <c r="BQ429" s="461">
        <f>BQ428/BM428-1</f>
        <v>3.9352372385878187E-2</v>
      </c>
      <c r="BR429" s="461">
        <f t="shared" si="240"/>
        <v>4.3155765340525898E-2</v>
      </c>
      <c r="BS429" s="461">
        <f t="shared" si="240"/>
        <v>4.6683046683046792E-2</v>
      </c>
      <c r="BT429" s="461">
        <f t="shared" si="240"/>
        <v>4.4286979627989442E-2</v>
      </c>
      <c r="BU429" s="461">
        <f t="shared" si="240"/>
        <v>3.5266118563392457E-2</v>
      </c>
      <c r="BV429" s="461">
        <f t="shared" si="240"/>
        <v>3.7060978237448916E-2</v>
      </c>
      <c r="BW429" s="461">
        <f t="shared" si="240"/>
        <v>3.3077251387110485E-2</v>
      </c>
      <c r="BX429" s="461">
        <f t="shared" si="240"/>
        <v>3.2442748091602969E-2</v>
      </c>
      <c r="BY429" s="461">
        <f t="shared" si="240"/>
        <v>2.9885057471264354E-2</v>
      </c>
      <c r="BZ429" s="461">
        <f t="shared" ref="BZ429:CS429" si="241">BZ428/BV428-1</f>
        <v>2.8672345730313742E-2</v>
      </c>
      <c r="CA429" s="461">
        <f t="shared" si="241"/>
        <v>2.7473662466432458E-2</v>
      </c>
      <c r="CB429" s="461">
        <f t="shared" si="241"/>
        <v>2.6288765660299918E-2</v>
      </c>
      <c r="CC429" s="461">
        <f t="shared" si="241"/>
        <v>2.3538961038961137E-2</v>
      </c>
      <c r="CD429" s="461">
        <f t="shared" si="241"/>
        <v>2.3025651383558943E-2</v>
      </c>
      <c r="CE429" s="461">
        <f t="shared" si="241"/>
        <v>2.2517088862082923E-2</v>
      </c>
      <c r="CF429" s="461">
        <f t="shared" si="241"/>
        <v>2.2013207924754807E-2</v>
      </c>
      <c r="CG429" s="461">
        <f t="shared" si="241"/>
        <v>2.02220459952418E-2</v>
      </c>
      <c r="CH429" s="461">
        <f t="shared" si="241"/>
        <v>1.9940769990128393E-2</v>
      </c>
      <c r="CI429" s="461">
        <f t="shared" si="241"/>
        <v>1.9661816751867844E-2</v>
      </c>
      <c r="CJ429" s="461">
        <f t="shared" si="241"/>
        <v>1.938515762678672E-2</v>
      </c>
      <c r="CK429" s="461">
        <f t="shared" si="241"/>
        <v>1.9238243295763624E-2</v>
      </c>
      <c r="CL429" s="461">
        <f t="shared" si="241"/>
        <v>1.9163763066202044E-2</v>
      </c>
      <c r="CM429" s="461">
        <f t="shared" si="241"/>
        <v>1.9089857308137281E-2</v>
      </c>
      <c r="CN429" s="461">
        <f t="shared" si="241"/>
        <v>1.9016519400691489E-2</v>
      </c>
      <c r="CO429" s="461">
        <f t="shared" si="241"/>
        <v>1.8875119161105847E-2</v>
      </c>
      <c r="CP429" s="461">
        <f t="shared" si="241"/>
        <v>1.8233618233618243E-2</v>
      </c>
      <c r="CQ429" s="461">
        <f t="shared" si="241"/>
        <v>1.7596972563860058E-2</v>
      </c>
      <c r="CR429" s="461">
        <f t="shared" si="241"/>
        <v>1.6965127238454336E-2</v>
      </c>
      <c r="CS429" s="461">
        <f t="shared" si="241"/>
        <v>1.5905688622754433E-2</v>
      </c>
    </row>
    <row r="430" spans="1:97">
      <c r="A430" s="342" t="s">
        <v>731</v>
      </c>
      <c r="B430" s="258"/>
      <c r="C430" s="258"/>
      <c r="D430" s="258"/>
      <c r="E430" s="258"/>
      <c r="F430" s="258"/>
      <c r="G430" s="258"/>
      <c r="H430" s="258"/>
      <c r="I430" s="258"/>
      <c r="J430" s="258">
        <f>Q_IS!B9</f>
        <v>994</v>
      </c>
      <c r="K430" s="258">
        <f>Q_IS!C9</f>
        <v>993</v>
      </c>
      <c r="L430" s="258">
        <f>Q_IS!D9</f>
        <v>990</v>
      </c>
      <c r="M430" s="258">
        <f>Q_IS!E9</f>
        <v>1001</v>
      </c>
      <c r="N430" s="258">
        <f>Q_IS!F9</f>
        <v>1000</v>
      </c>
      <c r="O430" s="258">
        <f>Q_IS!G9</f>
        <v>1010</v>
      </c>
      <c r="P430" s="258">
        <f>Q_IS!H9</f>
        <v>1017</v>
      </c>
      <c r="Q430" s="258">
        <f>Q_IS!I9</f>
        <v>1037</v>
      </c>
      <c r="R430" s="258">
        <f>Q_IS!J9</f>
        <v>1039</v>
      </c>
      <c r="S430" s="258">
        <f>Q_IS!K9</f>
        <v>1051</v>
      </c>
      <c r="T430" s="258">
        <f>Q_IS!L9</f>
        <v>1053</v>
      </c>
      <c r="U430" s="258">
        <f>Q_IS!M9</f>
        <v>1075</v>
      </c>
      <c r="V430" s="258">
        <f>Q_IS!N9</f>
        <v>1129</v>
      </c>
      <c r="W430" s="258">
        <f>Q_IS!O9</f>
        <v>1139</v>
      </c>
      <c r="X430" s="258">
        <f>Q_IS!P9</f>
        <v>1152</v>
      </c>
      <c r="Y430" s="258">
        <f>Q_IS!Q9</f>
        <v>1186</v>
      </c>
      <c r="Z430" s="258">
        <f>Q_IS!R9</f>
        <v>1178</v>
      </c>
      <c r="AA430" s="258">
        <f>Q_IS!S9</f>
        <v>1505</v>
      </c>
      <c r="AB430" s="258">
        <f>Q_IS!T9</f>
        <v>1536</v>
      </c>
      <c r="AC430" s="258">
        <f>Q_IS!U9</f>
        <v>1575</v>
      </c>
      <c r="AD430" s="258">
        <f>Q_IS!V9</f>
        <v>1587</v>
      </c>
      <c r="AE430" s="258">
        <f>Q_IS!W9</f>
        <v>1943</v>
      </c>
      <c r="AF430" s="258">
        <f>Q_IS!X9</f>
        <v>1960</v>
      </c>
      <c r="AG430" s="258">
        <f>Q_IS!Y9</f>
        <v>1999</v>
      </c>
      <c r="AH430" s="258">
        <f>Q_IS!Z9</f>
        <v>1996</v>
      </c>
      <c r="AI430" s="258">
        <f>Q_IS!AA9</f>
        <v>2020</v>
      </c>
      <c r="AJ430" s="258">
        <f>Q_IS!AB9</f>
        <v>2068</v>
      </c>
      <c r="AK430" s="258">
        <f>Q_IS!AC9</f>
        <v>2092</v>
      </c>
      <c r="AL430" s="258">
        <f>Q_IS!AD9</f>
        <v>2090</v>
      </c>
      <c r="AM430" s="258">
        <f>Q_IS!AE9</f>
        <v>2106</v>
      </c>
      <c r="AN430" s="258">
        <f>Q_IS!AF9</f>
        <v>2140</v>
      </c>
      <c r="AO430" s="258">
        <f>Q_IS!AG9</f>
        <v>2215</v>
      </c>
      <c r="AP430" s="258">
        <f>Q_IS!AH9</f>
        <v>2236</v>
      </c>
      <c r="AQ430" s="258">
        <f>Q_IS!AI9</f>
        <v>2257</v>
      </c>
      <c r="AR430" s="258">
        <f>Q_IS!AJ9</f>
        <v>2295</v>
      </c>
      <c r="AS430" s="258">
        <f>Q_IS!AK9</f>
        <v>2346</v>
      </c>
      <c r="AT430" s="258">
        <f>Q_IS!AL9</f>
        <v>2358</v>
      </c>
      <c r="AU430" s="258">
        <f>Q_IS!AM9</f>
        <v>2387</v>
      </c>
      <c r="AV430" s="258">
        <f>Q_IS!AN9</f>
        <v>2410</v>
      </c>
      <c r="AW430" s="258">
        <f>Q_IS!AO9</f>
        <v>2467</v>
      </c>
      <c r="AX430" s="258">
        <f>Q_IS!AP9</f>
        <v>2477</v>
      </c>
      <c r="AY430" s="258">
        <f>Q_IS!AQ9</f>
        <v>2463</v>
      </c>
      <c r="AZ430" s="258">
        <f>Q_IS!AR9</f>
        <v>2469</v>
      </c>
      <c r="BA430" s="258">
        <f>Q_IS!AS9</f>
        <v>2272</v>
      </c>
      <c r="BB430" s="258">
        <f>Q_IS!AT9</f>
        <v>2263</v>
      </c>
      <c r="BC430" s="460">
        <f>Q_IS!AU9</f>
        <v>2236</v>
      </c>
      <c r="BD430" s="460">
        <f>Q_IS!AV9</f>
        <v>2219</v>
      </c>
      <c r="BE430" s="460">
        <f>Q_IS!AW9</f>
        <v>2184</v>
      </c>
      <c r="BF430" s="460">
        <f>Q_IS!AX9</f>
        <v>2171</v>
      </c>
      <c r="BG430" s="460">
        <f>Q_IS!AY9</f>
        <v>2169</v>
      </c>
      <c r="BH430" s="460">
        <f>Q_IS!AZ9</f>
        <v>2159</v>
      </c>
      <c r="BI430" s="460">
        <f>Q_IS!BA9</f>
        <v>2174</v>
      </c>
      <c r="BJ430" s="460">
        <f>Q_IS!BB9</f>
        <v>2181</v>
      </c>
      <c r="BK430" s="460">
        <f>Q_IS!BC9</f>
        <v>2192</v>
      </c>
      <c r="BL430" s="460">
        <f>Q_IS!BD9</f>
        <v>2204</v>
      </c>
      <c r="BM430" s="460">
        <f>Q_IS!BE9</f>
        <v>2248</v>
      </c>
      <c r="BN430" s="460">
        <f>Q_IS!BF9</f>
        <v>2244</v>
      </c>
      <c r="BO430" s="460">
        <f>Q_IS!BG9</f>
        <v>2237</v>
      </c>
      <c r="BP430" s="460">
        <f>Q_IS!BH9</f>
        <v>2248</v>
      </c>
      <c r="BQ430" s="460">
        <f>Q_IS!BI9</f>
        <v>2313</v>
      </c>
      <c r="BR430" s="460">
        <f>Q_IS!BJ9</f>
        <v>2331</v>
      </c>
      <c r="BS430" s="460">
        <f>Q_IS!BK9</f>
        <v>2358</v>
      </c>
      <c r="BT430" s="460">
        <f>Q_IS!BL9</f>
        <v>2371</v>
      </c>
      <c r="BU430" s="460">
        <f>Q_IS!BM9</f>
        <v>2388</v>
      </c>
      <c r="BV430" s="460">
        <f>Q_IS!BN9</f>
        <v>2404</v>
      </c>
      <c r="BW430" s="460">
        <f>Q_IS!BO9</f>
        <v>2420</v>
      </c>
      <c r="BX430" s="460">
        <f>Q_IS!BP9</f>
        <v>2436</v>
      </c>
      <c r="BY430" s="460">
        <f>Q_IS!BQ9</f>
        <v>2471</v>
      </c>
      <c r="BZ430" s="460">
        <f>Q_IS!BR9</f>
        <v>2485</v>
      </c>
      <c r="CA430" s="460">
        <f>Q_IS!BS9</f>
        <v>2499</v>
      </c>
      <c r="CB430" s="460">
        <f>Q_IS!BT9</f>
        <v>2513</v>
      </c>
      <c r="CC430" s="460">
        <f>Q_IS!BU9</f>
        <v>2541</v>
      </c>
      <c r="CD430" s="460">
        <f>Q_IS!BV9</f>
        <v>2553</v>
      </c>
      <c r="CE430" s="460">
        <f>Q_IS!BW9</f>
        <v>2565</v>
      </c>
      <c r="CF430" s="460">
        <f>Q_IS!BX9</f>
        <v>2577</v>
      </c>
      <c r="CG430" s="460">
        <f>Q_IS!BY9</f>
        <v>2600</v>
      </c>
      <c r="CH430" s="460">
        <f>Q_IS!BZ9</f>
        <v>2612</v>
      </c>
      <c r="CI430" s="460">
        <f>Q_IS!CA9</f>
        <v>2624</v>
      </c>
      <c r="CJ430" s="460">
        <f>Q_IS!CB9</f>
        <v>2636</v>
      </c>
      <c r="CK430" s="460">
        <f>Q_IS!CC9</f>
        <v>2659</v>
      </c>
      <c r="CL430" s="460">
        <f>Q_IS!CD9</f>
        <v>2671</v>
      </c>
      <c r="CM430" s="460">
        <f>Q_IS!CE9</f>
        <v>2683</v>
      </c>
      <c r="CN430" s="460">
        <f>Q_IS!CF9</f>
        <v>2695</v>
      </c>
      <c r="CO430" s="460">
        <f>Q_IS!CG9</f>
        <v>2718</v>
      </c>
      <c r="CP430" s="460">
        <f>Q_IS!CH9</f>
        <v>2728</v>
      </c>
      <c r="CQ430" s="460">
        <f>Q_IS!CI9</f>
        <v>2738</v>
      </c>
      <c r="CR430" s="460">
        <f>Q_IS!CJ9</f>
        <v>2748</v>
      </c>
      <c r="CS430" s="460">
        <f>Q_IS!CK9</f>
        <v>2767</v>
      </c>
    </row>
    <row r="431" spans="1:97">
      <c r="A431" s="665" t="s">
        <v>229</v>
      </c>
      <c r="B431" s="257"/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>
        <f t="shared" ref="N431:AS431" si="242">N430/J430-1</f>
        <v>6.0362173038228661E-3</v>
      </c>
      <c r="O431" s="257">
        <f t="shared" si="242"/>
        <v>1.7119838872104776E-2</v>
      </c>
      <c r="P431" s="257">
        <f t="shared" si="242"/>
        <v>2.7272727272727337E-2</v>
      </c>
      <c r="Q431" s="257">
        <f t="shared" si="242"/>
        <v>3.5964035964035856E-2</v>
      </c>
      <c r="R431" s="257">
        <f t="shared" si="242"/>
        <v>3.8999999999999924E-2</v>
      </c>
      <c r="S431" s="257">
        <f t="shared" si="242"/>
        <v>4.059405940594063E-2</v>
      </c>
      <c r="T431" s="257">
        <f t="shared" si="242"/>
        <v>3.539823008849563E-2</v>
      </c>
      <c r="U431" s="257">
        <f t="shared" si="242"/>
        <v>3.6644165863066513E-2</v>
      </c>
      <c r="V431" s="257">
        <f t="shared" si="242"/>
        <v>8.6621751684311743E-2</v>
      </c>
      <c r="W431" s="257">
        <f t="shared" si="242"/>
        <v>8.3729781160799321E-2</v>
      </c>
      <c r="X431" s="257">
        <f t="shared" si="242"/>
        <v>9.4017094017094127E-2</v>
      </c>
      <c r="Y431" s="257">
        <f t="shared" si="242"/>
        <v>0.10325581395348826</v>
      </c>
      <c r="Z431" s="257">
        <f t="shared" si="242"/>
        <v>4.3401240035429556E-2</v>
      </c>
      <c r="AA431" s="257">
        <f t="shared" si="242"/>
        <v>0.32133450395083396</v>
      </c>
      <c r="AB431" s="257">
        <f t="shared" si="242"/>
        <v>0.33333333333333326</v>
      </c>
      <c r="AC431" s="257">
        <f t="shared" si="242"/>
        <v>0.32799325463743667</v>
      </c>
      <c r="AD431" s="257">
        <f t="shared" si="242"/>
        <v>0.34719864176570447</v>
      </c>
      <c r="AE431" s="257">
        <f t="shared" si="242"/>
        <v>0.29102990033222587</v>
      </c>
      <c r="AF431" s="257">
        <f t="shared" si="242"/>
        <v>0.27604166666666674</v>
      </c>
      <c r="AG431" s="257">
        <f t="shared" si="242"/>
        <v>0.26920634920634923</v>
      </c>
      <c r="AH431" s="257">
        <f t="shared" si="242"/>
        <v>0.25771896660365479</v>
      </c>
      <c r="AI431" s="257">
        <f t="shared" si="242"/>
        <v>3.9629439011837464E-2</v>
      </c>
      <c r="AJ431" s="257">
        <f t="shared" si="242"/>
        <v>5.5102040816326525E-2</v>
      </c>
      <c r="AK431" s="257">
        <f t="shared" si="242"/>
        <v>4.6523261630815327E-2</v>
      </c>
      <c r="AL431" s="257">
        <f t="shared" si="242"/>
        <v>4.7094188376753499E-2</v>
      </c>
      <c r="AM431" s="257">
        <f t="shared" si="242"/>
        <v>4.2574257425742612E-2</v>
      </c>
      <c r="AN431" s="257">
        <f t="shared" si="242"/>
        <v>3.481624758220514E-2</v>
      </c>
      <c r="AO431" s="257">
        <f t="shared" si="242"/>
        <v>5.8795411089866079E-2</v>
      </c>
      <c r="AP431" s="257">
        <f t="shared" si="242"/>
        <v>6.9856459330143617E-2</v>
      </c>
      <c r="AQ431" s="257">
        <f t="shared" si="242"/>
        <v>7.1699905033238309E-2</v>
      </c>
      <c r="AR431" s="257">
        <f t="shared" si="242"/>
        <v>7.2429906542056166E-2</v>
      </c>
      <c r="AS431" s="257">
        <f t="shared" si="242"/>
        <v>5.914221218961635E-2</v>
      </c>
      <c r="AT431" s="257">
        <f t="shared" ref="AT431:BY431" si="243">AT430/AP430-1</f>
        <v>5.4561717352415107E-2</v>
      </c>
      <c r="AU431" s="257">
        <f t="shared" si="243"/>
        <v>5.7598582188746139E-2</v>
      </c>
      <c r="AV431" s="257">
        <f t="shared" si="243"/>
        <v>5.0108932461873534E-2</v>
      </c>
      <c r="AW431" s="257">
        <f t="shared" si="243"/>
        <v>5.1577152600170484E-2</v>
      </c>
      <c r="AX431" s="257">
        <f t="shared" si="243"/>
        <v>5.0466497031382618E-2</v>
      </c>
      <c r="AY431" s="257">
        <f t="shared" si="243"/>
        <v>3.1839128613322165E-2</v>
      </c>
      <c r="AZ431" s="257">
        <f t="shared" si="243"/>
        <v>2.4481327800829789E-2</v>
      </c>
      <c r="BA431" s="257">
        <f t="shared" si="243"/>
        <v>-7.9043372517227373E-2</v>
      </c>
      <c r="BB431" s="257">
        <f t="shared" si="243"/>
        <v>-8.6394832458619342E-2</v>
      </c>
      <c r="BC431" s="461">
        <f t="shared" si="243"/>
        <v>-9.2164027608607424E-2</v>
      </c>
      <c r="BD431" s="461">
        <f t="shared" si="243"/>
        <v>-0.10125556905629807</v>
      </c>
      <c r="BE431" s="461">
        <f t="shared" si="243"/>
        <v>-3.8732394366197131E-2</v>
      </c>
      <c r="BF431" s="461">
        <f t="shared" si="243"/>
        <v>-4.0653999116217365E-2</v>
      </c>
      <c r="BG431" s="461">
        <f t="shared" si="243"/>
        <v>-2.9964221824686943E-2</v>
      </c>
      <c r="BH431" s="461">
        <f t="shared" si="243"/>
        <v>-2.703920684993244E-2</v>
      </c>
      <c r="BI431" s="461">
        <f t="shared" si="243"/>
        <v>-4.5787545787545625E-3</v>
      </c>
      <c r="BJ431" s="461">
        <f t="shared" si="243"/>
        <v>4.6061722708430342E-3</v>
      </c>
      <c r="BK431" s="461">
        <f t="shared" si="243"/>
        <v>1.0603964960811396E-2</v>
      </c>
      <c r="BL431" s="461">
        <f t="shared" si="243"/>
        <v>2.0842982862436354E-2</v>
      </c>
      <c r="BM431" s="461">
        <f t="shared" si="243"/>
        <v>3.4038638454461756E-2</v>
      </c>
      <c r="BN431" s="461">
        <f>BN430/BJ430-1</f>
        <v>2.8885832187070193E-2</v>
      </c>
      <c r="BO431" s="461">
        <f>BO430/BK430-1</f>
        <v>2.0529197080291883E-2</v>
      </c>
      <c r="BP431" s="461">
        <f>BP430/BL430-1</f>
        <v>1.9963702359346636E-2</v>
      </c>
      <c r="BQ431" s="461">
        <f>BQ430/BM430-1</f>
        <v>2.8914590747330937E-2</v>
      </c>
      <c r="BR431" s="461">
        <f t="shared" si="243"/>
        <v>3.8770053475935873E-2</v>
      </c>
      <c r="BS431" s="461">
        <f t="shared" si="243"/>
        <v>5.4090299508269934E-2</v>
      </c>
      <c r="BT431" s="461">
        <f t="shared" si="243"/>
        <v>5.4715302491103124E-2</v>
      </c>
      <c r="BU431" s="461">
        <f t="shared" si="243"/>
        <v>3.2425421530480003E-2</v>
      </c>
      <c r="BV431" s="461">
        <f t="shared" si="243"/>
        <v>3.131703131703123E-2</v>
      </c>
      <c r="BW431" s="461">
        <f t="shared" si="243"/>
        <v>2.6293469041560602E-2</v>
      </c>
      <c r="BX431" s="461">
        <f t="shared" si="243"/>
        <v>2.741459299873461E-2</v>
      </c>
      <c r="BY431" s="461">
        <f t="shared" si="243"/>
        <v>3.4757118927973174E-2</v>
      </c>
      <c r="BZ431" s="461">
        <f t="shared" ref="BZ431:CS431" si="244">BZ430/BV430-1</f>
        <v>3.3693843594009953E-2</v>
      </c>
      <c r="CA431" s="461">
        <f t="shared" si="244"/>
        <v>3.2644628099173456E-2</v>
      </c>
      <c r="CB431" s="461">
        <f t="shared" si="244"/>
        <v>3.1609195402298784E-2</v>
      </c>
      <c r="CC431" s="461">
        <f t="shared" si="244"/>
        <v>2.8328611898017053E-2</v>
      </c>
      <c r="CD431" s="461">
        <f t="shared" si="244"/>
        <v>2.7364185110664074E-2</v>
      </c>
      <c r="CE431" s="461">
        <f t="shared" si="244"/>
        <v>2.6410564225690214E-2</v>
      </c>
      <c r="CF431" s="461">
        <f t="shared" si="244"/>
        <v>2.5467568643056104E-2</v>
      </c>
      <c r="CG431" s="461">
        <f t="shared" si="244"/>
        <v>2.3219205037386947E-2</v>
      </c>
      <c r="CH431" s="461">
        <f t="shared" si="244"/>
        <v>2.3110066588327483E-2</v>
      </c>
      <c r="CI431" s="461">
        <f t="shared" si="244"/>
        <v>2.300194931773869E-2</v>
      </c>
      <c r="CJ431" s="461">
        <f t="shared" si="244"/>
        <v>2.2894838960030972E-2</v>
      </c>
      <c r="CK431" s="461">
        <f t="shared" si="244"/>
        <v>2.2692307692307789E-2</v>
      </c>
      <c r="CL431" s="461">
        <f t="shared" si="244"/>
        <v>2.2588055130168483E-2</v>
      </c>
      <c r="CM431" s="461">
        <f t="shared" si="244"/>
        <v>2.2484756097560954E-2</v>
      </c>
      <c r="CN431" s="461">
        <f t="shared" si="244"/>
        <v>2.2382397572078938E-2</v>
      </c>
      <c r="CO431" s="461">
        <f t="shared" si="244"/>
        <v>2.2188792779240352E-2</v>
      </c>
      <c r="CP431" s="461">
        <f t="shared" si="244"/>
        <v>2.1340321976787813E-2</v>
      </c>
      <c r="CQ431" s="461">
        <f t="shared" si="244"/>
        <v>2.0499440924338419E-2</v>
      </c>
      <c r="CR431" s="461">
        <f t="shared" si="244"/>
        <v>1.9666048237476863E-2</v>
      </c>
      <c r="CS431" s="461">
        <f t="shared" si="244"/>
        <v>1.8027961736571063E-2</v>
      </c>
    </row>
    <row r="432" spans="1:97">
      <c r="A432" s="342" t="s">
        <v>733</v>
      </c>
      <c r="B432" s="258"/>
      <c r="C432" s="258"/>
      <c r="D432" s="258"/>
      <c r="E432" s="258"/>
      <c r="F432" s="258"/>
      <c r="G432" s="258"/>
      <c r="H432" s="258"/>
      <c r="I432" s="258"/>
      <c r="J432" s="258">
        <f>Q_IS!B141</f>
        <v>155</v>
      </c>
      <c r="K432" s="258">
        <f>Q_IS!C141</f>
        <v>162</v>
      </c>
      <c r="L432" s="258">
        <f>Q_IS!D141</f>
        <v>165</v>
      </c>
      <c r="M432" s="258">
        <f>Q_IS!E141</f>
        <v>170</v>
      </c>
      <c r="N432" s="258">
        <f>Q_IS!F141</f>
        <v>171</v>
      </c>
      <c r="O432" s="258">
        <f>Q_IS!G141</f>
        <v>178</v>
      </c>
      <c r="P432" s="258">
        <f>Q_IS!H141</f>
        <v>157</v>
      </c>
      <c r="Q432" s="258">
        <f>Q_IS!I141</f>
        <v>169</v>
      </c>
      <c r="R432" s="258">
        <f>Q_IS!J141</f>
        <v>172</v>
      </c>
      <c r="S432" s="258">
        <f>Q_IS!K141</f>
        <v>176</v>
      </c>
      <c r="T432" s="258">
        <f>Q_IS!L141</f>
        <v>189</v>
      </c>
      <c r="U432" s="258">
        <f>Q_IS!M141</f>
        <v>208</v>
      </c>
      <c r="V432" s="258">
        <f>Q_IS!N141</f>
        <v>212</v>
      </c>
      <c r="W432" s="258">
        <f>Q_IS!O141</f>
        <v>224</v>
      </c>
      <c r="X432" s="258">
        <f>Q_IS!P141</f>
        <v>236</v>
      </c>
      <c r="Y432" s="258">
        <f>Q_IS!Q141</f>
        <v>249</v>
      </c>
      <c r="Z432" s="258">
        <f>Q_IS!R141</f>
        <v>253</v>
      </c>
      <c r="AA432" s="258">
        <f>Q_IS!S141</f>
        <v>263</v>
      </c>
      <c r="AB432" s="258">
        <f>Q_IS!T141</f>
        <v>275</v>
      </c>
      <c r="AC432" s="258">
        <f>Q_IS!U141</f>
        <v>287</v>
      </c>
      <c r="AD432" s="258">
        <f>Q_IS!V141</f>
        <v>294</v>
      </c>
      <c r="AE432" s="258">
        <f>Q_IS!W141</f>
        <v>298</v>
      </c>
      <c r="AF432" s="258">
        <f>Q_IS!X141</f>
        <v>317</v>
      </c>
      <c r="AG432" s="258">
        <f>Q_IS!Y141</f>
        <v>343</v>
      </c>
      <c r="AH432" s="258">
        <f>Q_IS!Z141</f>
        <v>350</v>
      </c>
      <c r="AI432" s="258">
        <f>Q_IS!AA141</f>
        <v>365</v>
      </c>
      <c r="AJ432" s="258">
        <f>Q_IS!AB141</f>
        <v>382</v>
      </c>
      <c r="AK432" s="258">
        <f>Q_IS!AC141</f>
        <v>395</v>
      </c>
      <c r="AL432" s="258">
        <f>Q_IS!AD141</f>
        <v>444</v>
      </c>
      <c r="AM432" s="258">
        <f>Q_IS!AE141</f>
        <v>456</v>
      </c>
      <c r="AN432" s="258">
        <f>Q_IS!AF141</f>
        <v>470</v>
      </c>
      <c r="AO432" s="258">
        <f>Q_IS!AG141</f>
        <v>481</v>
      </c>
      <c r="AP432" s="258">
        <f>Q_IS!AH141</f>
        <v>493</v>
      </c>
      <c r="AQ432" s="258">
        <f>Q_IS!AI141</f>
        <v>515</v>
      </c>
      <c r="AR432" s="258">
        <f>Q_IS!AJ141</f>
        <v>528</v>
      </c>
      <c r="AS432" s="258">
        <f>Q_IS!AK141</f>
        <v>543</v>
      </c>
      <c r="AT432" s="258">
        <f>Q_IS!AL141</f>
        <v>555</v>
      </c>
      <c r="AU432" s="258">
        <f>Q_IS!AM141</f>
        <v>573</v>
      </c>
      <c r="AV432" s="258">
        <f>Q_IS!AN141</f>
        <v>607</v>
      </c>
      <c r="AW432" s="258">
        <f>Q_IS!AO141</f>
        <v>628</v>
      </c>
      <c r="AX432" s="258">
        <f>Q_IS!AP141</f>
        <v>631</v>
      </c>
      <c r="AY432" s="258">
        <f>Q_IS!AQ141</f>
        <v>639</v>
      </c>
      <c r="AZ432" s="258">
        <f>Q_IS!AR141</f>
        <v>632</v>
      </c>
      <c r="BA432" s="258">
        <f>Q_IS!AS141</f>
        <v>640</v>
      </c>
      <c r="BB432" s="258">
        <f>Q_IS!AT141</f>
        <v>643</v>
      </c>
      <c r="BC432" s="460">
        <f>Q_IS!AU141</f>
        <v>630</v>
      </c>
      <c r="BD432" s="460">
        <f>Q_IS!AV141</f>
        <v>625</v>
      </c>
      <c r="BE432" s="460">
        <f>Q_IS!AW141</f>
        <v>633</v>
      </c>
      <c r="BF432" s="460">
        <f>Q_IS!AX141</f>
        <v>639</v>
      </c>
      <c r="BG432" s="460">
        <f>Q_IS!AY141</f>
        <v>647</v>
      </c>
      <c r="BH432" s="460">
        <f>Q_IS!AZ141</f>
        <v>656</v>
      </c>
      <c r="BI432" s="460">
        <f>Q_IS!BA141</f>
        <v>664</v>
      </c>
      <c r="BJ432" s="460">
        <f>Q_IS!BB141</f>
        <v>677</v>
      </c>
      <c r="BK432" s="460">
        <f>Q_IS!BC141</f>
        <v>692</v>
      </c>
      <c r="BL432" s="460">
        <f>Q_IS!BD141</f>
        <v>697</v>
      </c>
      <c r="BM432" s="460">
        <f>Q_IS!BE141</f>
        <v>723</v>
      </c>
      <c r="BN432" s="460">
        <f>Q_IS!BF141</f>
        <v>728</v>
      </c>
      <c r="BO432" s="460">
        <f>Q_IS!BG141</f>
        <v>745</v>
      </c>
      <c r="BP432" s="460">
        <f>Q_IS!BH141</f>
        <v>754</v>
      </c>
      <c r="BQ432" s="460">
        <f>Q_IS!BI141</f>
        <v>775</v>
      </c>
      <c r="BR432" s="460">
        <f>Q_IS!BJ141</f>
        <v>776</v>
      </c>
      <c r="BS432" s="460">
        <f>Q_IS!BK141</f>
        <v>780</v>
      </c>
      <c r="BT432" s="460">
        <f>Q_IS!BL141</f>
        <v>785</v>
      </c>
      <c r="BU432" s="460">
        <f>Q_IS!BM141</f>
        <v>799</v>
      </c>
      <c r="BV432" s="460">
        <f>Q_IS!BN141</f>
        <v>804</v>
      </c>
      <c r="BW432" s="460">
        <f>Q_IS!BO141</f>
        <v>809</v>
      </c>
      <c r="BX432" s="460">
        <f>Q_IS!BP141</f>
        <v>814</v>
      </c>
      <c r="BY432" s="460">
        <f>Q_IS!BQ141</f>
        <v>823</v>
      </c>
      <c r="BZ432" s="460">
        <f>Q_IS!BR141</f>
        <v>827</v>
      </c>
      <c r="CA432" s="460">
        <f>Q_IS!BS141</f>
        <v>831</v>
      </c>
      <c r="CB432" s="460">
        <f>Q_IS!BT141</f>
        <v>835</v>
      </c>
      <c r="CC432" s="460">
        <f>Q_IS!BU141</f>
        <v>841</v>
      </c>
      <c r="CD432" s="460">
        <f>Q_IS!BV141</f>
        <v>845</v>
      </c>
      <c r="CE432" s="460">
        <f>Q_IS!BW141</f>
        <v>849</v>
      </c>
      <c r="CF432" s="460">
        <f>Q_IS!BX141</f>
        <v>853</v>
      </c>
      <c r="CG432" s="460">
        <f>Q_IS!BY141</f>
        <v>860</v>
      </c>
      <c r="CH432" s="460">
        <f>Q_IS!BZ141</f>
        <v>863</v>
      </c>
      <c r="CI432" s="460">
        <f>Q_IS!CA141</f>
        <v>866</v>
      </c>
      <c r="CJ432" s="460">
        <f>Q_IS!CB141</f>
        <v>869</v>
      </c>
      <c r="CK432" s="460">
        <f>Q_IS!CC141</f>
        <v>876</v>
      </c>
      <c r="CL432" s="460">
        <f>Q_IS!CD141</f>
        <v>879</v>
      </c>
      <c r="CM432" s="460">
        <f>Q_IS!CE141</f>
        <v>882</v>
      </c>
      <c r="CN432" s="460">
        <f>Q_IS!CF141</f>
        <v>885</v>
      </c>
      <c r="CO432" s="460">
        <f>Q_IS!CG141</f>
        <v>892</v>
      </c>
      <c r="CP432" s="460">
        <f>Q_IS!CH141</f>
        <v>895</v>
      </c>
      <c r="CQ432" s="460">
        <f>Q_IS!CI141</f>
        <v>898</v>
      </c>
      <c r="CR432" s="460">
        <f>Q_IS!CJ141</f>
        <v>901</v>
      </c>
      <c r="CS432" s="460">
        <f>Q_IS!CK141</f>
        <v>906</v>
      </c>
    </row>
    <row r="433" spans="1:97">
      <c r="A433" s="665" t="s">
        <v>229</v>
      </c>
      <c r="B433" s="257"/>
      <c r="C433" s="257"/>
      <c r="D433" s="257"/>
      <c r="E433" s="257"/>
      <c r="F433" s="257"/>
      <c r="G433" s="257"/>
      <c r="H433" s="257"/>
      <c r="I433" s="257"/>
      <c r="J433" s="257"/>
      <c r="K433" s="257"/>
      <c r="L433" s="257"/>
      <c r="M433" s="257"/>
      <c r="N433" s="257">
        <f t="shared" ref="N433:AS433" si="245">N432/J432-1</f>
        <v>0.10322580645161294</v>
      </c>
      <c r="O433" s="257">
        <f t="shared" si="245"/>
        <v>9.8765432098765427E-2</v>
      </c>
      <c r="P433" s="257">
        <f t="shared" si="245"/>
        <v>-4.8484848484848464E-2</v>
      </c>
      <c r="Q433" s="257">
        <f t="shared" si="245"/>
        <v>-5.8823529411764497E-3</v>
      </c>
      <c r="R433" s="257">
        <f t="shared" si="245"/>
        <v>5.8479532163742132E-3</v>
      </c>
      <c r="S433" s="257">
        <f t="shared" si="245"/>
        <v>-1.1235955056179803E-2</v>
      </c>
      <c r="T433" s="257">
        <f t="shared" si="245"/>
        <v>0.20382165605095537</v>
      </c>
      <c r="U433" s="257">
        <f t="shared" si="245"/>
        <v>0.23076923076923084</v>
      </c>
      <c r="V433" s="257">
        <f t="shared" si="245"/>
        <v>0.23255813953488369</v>
      </c>
      <c r="W433" s="257">
        <f t="shared" si="245"/>
        <v>0.27272727272727271</v>
      </c>
      <c r="X433" s="257">
        <f t="shared" si="245"/>
        <v>0.24867724867724861</v>
      </c>
      <c r="Y433" s="257">
        <f t="shared" si="245"/>
        <v>0.19711538461538458</v>
      </c>
      <c r="Z433" s="257">
        <f t="shared" si="245"/>
        <v>0.19339622641509435</v>
      </c>
      <c r="AA433" s="257">
        <f t="shared" si="245"/>
        <v>0.17410714285714279</v>
      </c>
      <c r="AB433" s="257">
        <f t="shared" si="245"/>
        <v>0.1652542372881356</v>
      </c>
      <c r="AC433" s="257">
        <f t="shared" si="245"/>
        <v>0.15261044176706817</v>
      </c>
      <c r="AD433" s="257">
        <f t="shared" si="245"/>
        <v>0.1620553359683794</v>
      </c>
      <c r="AE433" s="257">
        <f t="shared" si="245"/>
        <v>0.13307984790874516</v>
      </c>
      <c r="AF433" s="257">
        <f t="shared" si="245"/>
        <v>0.15272727272727282</v>
      </c>
      <c r="AG433" s="257">
        <f t="shared" si="245"/>
        <v>0.19512195121951215</v>
      </c>
      <c r="AH433" s="257">
        <f t="shared" si="245"/>
        <v>0.19047619047619047</v>
      </c>
      <c r="AI433" s="257">
        <f t="shared" si="245"/>
        <v>0.22483221476510074</v>
      </c>
      <c r="AJ433" s="257">
        <f t="shared" si="245"/>
        <v>0.20504731861198744</v>
      </c>
      <c r="AK433" s="257">
        <f t="shared" si="245"/>
        <v>0.15160349854227406</v>
      </c>
      <c r="AL433" s="257">
        <f t="shared" si="245"/>
        <v>0.26857142857142846</v>
      </c>
      <c r="AM433" s="257">
        <f t="shared" si="245"/>
        <v>0.24931506849315066</v>
      </c>
      <c r="AN433" s="257">
        <f t="shared" si="245"/>
        <v>0.23036649214659688</v>
      </c>
      <c r="AO433" s="257">
        <f t="shared" si="245"/>
        <v>0.21772151898734182</v>
      </c>
      <c r="AP433" s="257">
        <f t="shared" si="245"/>
        <v>0.11036036036036045</v>
      </c>
      <c r="AQ433" s="257">
        <f t="shared" si="245"/>
        <v>0.1293859649122806</v>
      </c>
      <c r="AR433" s="257">
        <f t="shared" si="245"/>
        <v>0.123404255319149</v>
      </c>
      <c r="AS433" s="257">
        <f t="shared" si="245"/>
        <v>0.12889812889812879</v>
      </c>
      <c r="AT433" s="257">
        <f t="shared" ref="AT433:BY433" si="246">AT432/AP432-1</f>
        <v>0.12576064908722118</v>
      </c>
      <c r="AU433" s="257">
        <f t="shared" si="246"/>
        <v>0.11262135922330097</v>
      </c>
      <c r="AV433" s="257">
        <f t="shared" si="246"/>
        <v>0.14962121212121215</v>
      </c>
      <c r="AW433" s="257">
        <f t="shared" si="246"/>
        <v>0.15653775322283603</v>
      </c>
      <c r="AX433" s="257">
        <f t="shared" si="246"/>
        <v>0.13693693693693687</v>
      </c>
      <c r="AY433" s="257">
        <f t="shared" si="246"/>
        <v>0.11518324607329844</v>
      </c>
      <c r="AZ433" s="257">
        <f t="shared" si="246"/>
        <v>4.1186161449752845E-2</v>
      </c>
      <c r="BA433" s="257">
        <f t="shared" si="246"/>
        <v>1.9108280254777066E-2</v>
      </c>
      <c r="BB433" s="257">
        <f t="shared" si="246"/>
        <v>1.9017432646592614E-2</v>
      </c>
      <c r="BC433" s="461">
        <f t="shared" si="246"/>
        <v>-1.4084507042253502E-2</v>
      </c>
      <c r="BD433" s="461">
        <f t="shared" si="246"/>
        <v>-1.1075949367088556E-2</v>
      </c>
      <c r="BE433" s="461">
        <f t="shared" si="246"/>
        <v>-1.0937500000000044E-2</v>
      </c>
      <c r="BF433" s="461">
        <f t="shared" si="246"/>
        <v>-6.2208398133748455E-3</v>
      </c>
      <c r="BG433" s="461">
        <f t="shared" si="246"/>
        <v>2.6984126984126888E-2</v>
      </c>
      <c r="BH433" s="461">
        <f t="shared" si="246"/>
        <v>4.9600000000000088E-2</v>
      </c>
      <c r="BI433" s="461">
        <f t="shared" si="246"/>
        <v>4.8973143759873716E-2</v>
      </c>
      <c r="BJ433" s="461">
        <f t="shared" si="246"/>
        <v>5.946791862284817E-2</v>
      </c>
      <c r="BK433" s="461">
        <f t="shared" si="246"/>
        <v>6.9551777434312179E-2</v>
      </c>
      <c r="BL433" s="461">
        <f t="shared" si="246"/>
        <v>6.25E-2</v>
      </c>
      <c r="BM433" s="461">
        <f t="shared" si="246"/>
        <v>8.8855421686746983E-2</v>
      </c>
      <c r="BN433" s="461">
        <f>BN432/BJ432-1</f>
        <v>7.5332348596750309E-2</v>
      </c>
      <c r="BO433" s="461">
        <f>BO432/BK432-1</f>
        <v>7.6589595375722519E-2</v>
      </c>
      <c r="BP433" s="461">
        <f>BP432/BL432-1</f>
        <v>8.1779053084648501E-2</v>
      </c>
      <c r="BQ433" s="461">
        <f>BQ432/BM432-1</f>
        <v>7.1922544951590561E-2</v>
      </c>
      <c r="BR433" s="461">
        <f t="shared" si="246"/>
        <v>6.5934065934065922E-2</v>
      </c>
      <c r="BS433" s="461">
        <f t="shared" si="246"/>
        <v>4.6979865771812124E-2</v>
      </c>
      <c r="BT433" s="461">
        <f t="shared" si="246"/>
        <v>4.1114058355437688E-2</v>
      </c>
      <c r="BU433" s="461">
        <f t="shared" si="246"/>
        <v>3.0967741935483906E-2</v>
      </c>
      <c r="BV433" s="461">
        <f t="shared" si="246"/>
        <v>3.6082474226804218E-2</v>
      </c>
      <c r="BW433" s="461">
        <f t="shared" si="246"/>
        <v>3.7179487179487269E-2</v>
      </c>
      <c r="BX433" s="461">
        <f t="shared" si="246"/>
        <v>3.6942675159235661E-2</v>
      </c>
      <c r="BY433" s="461">
        <f t="shared" si="246"/>
        <v>3.0037546933667114E-2</v>
      </c>
      <c r="BZ433" s="461">
        <f t="shared" ref="BZ433:CS433" si="247">BZ432/BV432-1</f>
        <v>2.8606965174129417E-2</v>
      </c>
      <c r="CA433" s="461">
        <f t="shared" si="247"/>
        <v>2.7194066749072876E-2</v>
      </c>
      <c r="CB433" s="461">
        <f t="shared" si="247"/>
        <v>2.5798525798525818E-2</v>
      </c>
      <c r="CC433" s="461">
        <f t="shared" si="247"/>
        <v>2.1871202916160293E-2</v>
      </c>
      <c r="CD433" s="461">
        <f t="shared" si="247"/>
        <v>2.1765417170495738E-2</v>
      </c>
      <c r="CE433" s="461">
        <f t="shared" si="247"/>
        <v>2.1660649819494671E-2</v>
      </c>
      <c r="CF433" s="461">
        <f t="shared" si="247"/>
        <v>2.1556886227544814E-2</v>
      </c>
      <c r="CG433" s="461">
        <f t="shared" si="247"/>
        <v>2.2592152199762294E-2</v>
      </c>
      <c r="CH433" s="461">
        <f t="shared" si="247"/>
        <v>2.130177514792897E-2</v>
      </c>
      <c r="CI433" s="461">
        <f t="shared" si="247"/>
        <v>2.0023557126030544E-2</v>
      </c>
      <c r="CJ433" s="461">
        <f t="shared" si="247"/>
        <v>1.8757327080890951E-2</v>
      </c>
      <c r="CK433" s="461">
        <f t="shared" si="247"/>
        <v>1.8604651162790642E-2</v>
      </c>
      <c r="CL433" s="461">
        <f t="shared" si="247"/>
        <v>1.8539976825028948E-2</v>
      </c>
      <c r="CM433" s="461">
        <f t="shared" si="247"/>
        <v>1.8475750577367167E-2</v>
      </c>
      <c r="CN433" s="461">
        <f t="shared" si="247"/>
        <v>1.8411967779056404E-2</v>
      </c>
      <c r="CO433" s="461">
        <f t="shared" si="247"/>
        <v>1.8264840182648401E-2</v>
      </c>
      <c r="CP433" s="461">
        <f t="shared" si="247"/>
        <v>1.8202502844141044E-2</v>
      </c>
      <c r="CQ433" s="461">
        <f t="shared" si="247"/>
        <v>1.8140589569161092E-2</v>
      </c>
      <c r="CR433" s="461">
        <f t="shared" si="247"/>
        <v>1.8079096045197751E-2</v>
      </c>
      <c r="CS433" s="461">
        <f t="shared" si="247"/>
        <v>1.5695067264573925E-2</v>
      </c>
    </row>
    <row r="434" spans="1:97">
      <c r="A434" s="531" t="s">
        <v>949</v>
      </c>
      <c r="B434" s="698"/>
      <c r="C434" s="698"/>
      <c r="D434" s="698"/>
      <c r="E434" s="698"/>
      <c r="F434" s="698"/>
      <c r="G434" s="698"/>
      <c r="H434" s="698"/>
      <c r="I434" s="698"/>
      <c r="J434" s="698">
        <f>Q_IS!B76</f>
        <v>0</v>
      </c>
      <c r="K434" s="698">
        <f>Q_IS!C76</f>
        <v>0</v>
      </c>
      <c r="L434" s="698">
        <f>Q_IS!D76</f>
        <v>0</v>
      </c>
      <c r="M434" s="698">
        <f>Q_IS!E76</f>
        <v>0</v>
      </c>
      <c r="N434" s="698">
        <f>Q_IS!F76</f>
        <v>0</v>
      </c>
      <c r="O434" s="698">
        <f>Q_IS!G76</f>
        <v>0</v>
      </c>
      <c r="P434" s="698">
        <f>Q_IS!H76</f>
        <v>0</v>
      </c>
      <c r="Q434" s="698">
        <f>Q_IS!I76</f>
        <v>0</v>
      </c>
      <c r="R434" s="698">
        <f>Q_IS!J76</f>
        <v>0</v>
      </c>
      <c r="S434" s="698">
        <f>Q_IS!K76</f>
        <v>0</v>
      </c>
      <c r="T434" s="698">
        <f>Q_IS!L76</f>
        <v>0</v>
      </c>
      <c r="U434" s="698">
        <f>Q_IS!M76</f>
        <v>0</v>
      </c>
      <c r="V434" s="698">
        <f>Q_IS!N76</f>
        <v>0</v>
      </c>
      <c r="W434" s="698">
        <f>Q_IS!O76</f>
        <v>0</v>
      </c>
      <c r="X434" s="698">
        <f>Q_IS!P76</f>
        <v>0</v>
      </c>
      <c r="Y434" s="698">
        <f>Q_IS!Q76</f>
        <v>0</v>
      </c>
      <c r="Z434" s="698">
        <f>Q_IS!R76</f>
        <v>0</v>
      </c>
      <c r="AA434" s="698">
        <f>Q_IS!S76</f>
        <v>0</v>
      </c>
      <c r="AB434" s="698">
        <f>Q_IS!T76</f>
        <v>0</v>
      </c>
      <c r="AC434" s="698">
        <f>Q_IS!U76</f>
        <v>0</v>
      </c>
      <c r="AD434" s="698">
        <f>Q_IS!V76</f>
        <v>0</v>
      </c>
      <c r="AE434" s="698">
        <f>Q_IS!W76</f>
        <v>0</v>
      </c>
      <c r="AF434" s="698">
        <f>Q_IS!X76</f>
        <v>0</v>
      </c>
      <c r="AG434" s="258">
        <f>Q_IS!Y76</f>
        <v>442</v>
      </c>
      <c r="AH434" s="258">
        <f>Q_IS!Z76</f>
        <v>442</v>
      </c>
      <c r="AI434" s="258">
        <f>Q_IS!AA76</f>
        <v>445</v>
      </c>
      <c r="AJ434" s="258">
        <f>Q_IS!AB76</f>
        <v>455</v>
      </c>
      <c r="AK434" s="258">
        <f>Q_IS!AC76</f>
        <v>467</v>
      </c>
      <c r="AL434" s="258">
        <f>Q_IS!AD76</f>
        <v>468</v>
      </c>
      <c r="AM434" s="698">
        <f>Q_IS!AE76</f>
        <v>475</v>
      </c>
      <c r="AN434" s="258">
        <f>Q_IS!AF76</f>
        <v>483</v>
      </c>
      <c r="AO434" s="258">
        <f>Q_IS!AG76</f>
        <v>499</v>
      </c>
      <c r="AP434" s="258">
        <f>Q_IS!AH76</f>
        <v>506</v>
      </c>
      <c r="AQ434" s="258">
        <f>Q_IS!AI76</f>
        <v>519</v>
      </c>
      <c r="AR434" s="258">
        <f>Q_IS!AJ76</f>
        <v>530</v>
      </c>
      <c r="AS434" s="258">
        <f>Q_IS!AK76</f>
        <v>549</v>
      </c>
      <c r="AT434" s="258">
        <f>Q_IS!AL76</f>
        <v>555</v>
      </c>
      <c r="AU434" s="258">
        <f>Q_IS!AM76</f>
        <v>561</v>
      </c>
      <c r="AV434" s="258">
        <f>Q_IS!AN76</f>
        <v>571</v>
      </c>
      <c r="AW434" s="258">
        <f>Q_IS!AO76</f>
        <v>593</v>
      </c>
      <c r="AX434" s="258">
        <f>Q_IS!AP76</f>
        <v>1353</v>
      </c>
      <c r="AY434" s="258">
        <f>Q_IS!AQ76</f>
        <v>1372</v>
      </c>
      <c r="AZ434" s="258">
        <f>Q_IS!AR76</f>
        <v>1394</v>
      </c>
      <c r="BA434" s="258">
        <f>Q_IS!AS76</f>
        <v>1398</v>
      </c>
      <c r="BB434" s="258">
        <f>Q_IS!AT76</f>
        <v>1405</v>
      </c>
      <c r="BC434" s="460">
        <f>Q_IS!AU76</f>
        <v>1390</v>
      </c>
      <c r="BD434" s="460">
        <f>Q_IS!AV76</f>
        <v>1392</v>
      </c>
      <c r="BE434" s="460">
        <f>Q_IS!AW76</f>
        <v>1376</v>
      </c>
      <c r="BF434" s="460">
        <f>Q_IS!AX76</f>
        <v>1375</v>
      </c>
      <c r="BG434" s="460">
        <f>Q_IS!AY76</f>
        <v>1388</v>
      </c>
      <c r="BH434" s="460">
        <f>Q_IS!AZ76</f>
        <v>1404</v>
      </c>
      <c r="BI434" s="460">
        <f>Q_IS!BA76</f>
        <v>1424</v>
      </c>
      <c r="BJ434" s="460">
        <f>Q_IS!BB76</f>
        <v>1441</v>
      </c>
      <c r="BK434" s="460">
        <f>Q_IS!BC76</f>
        <v>1452</v>
      </c>
      <c r="BL434" s="460">
        <f>Q_IS!BD76</f>
        <v>1460</v>
      </c>
      <c r="BM434" s="460">
        <f>Q_IS!BE76</f>
        <v>1476</v>
      </c>
      <c r="BN434" s="460">
        <f>Q_IS!BF76</f>
        <v>1477</v>
      </c>
      <c r="BO434" s="460">
        <f>Q_IS!BG76</f>
        <v>1494</v>
      </c>
      <c r="BP434" s="460">
        <f>Q_IS!BH76</f>
        <v>1514</v>
      </c>
      <c r="BQ434" s="460">
        <f>Q_IS!BI76</f>
        <v>1534</v>
      </c>
      <c r="BR434" s="460">
        <f>Q_IS!BJ76</f>
        <v>1534</v>
      </c>
      <c r="BS434" s="460">
        <f>Q_IS!BK76</f>
        <v>1548</v>
      </c>
      <c r="BT434" s="460">
        <f>Q_IS!BL76</f>
        <v>1560</v>
      </c>
      <c r="BU434" s="460">
        <f>Q_IS!BM76</f>
        <v>1598</v>
      </c>
      <c r="BV434" s="460">
        <f>Q_IS!BN76</f>
        <v>1605</v>
      </c>
      <c r="BW434" s="460">
        <f>Q_IS!BO76</f>
        <v>1612</v>
      </c>
      <c r="BX434" s="460">
        <f>Q_IS!BP76</f>
        <v>1619</v>
      </c>
      <c r="BY434" s="460">
        <f>Q_IS!BQ76</f>
        <v>1634</v>
      </c>
      <c r="BZ434" s="460">
        <f>Q_IS!BR76</f>
        <v>1639</v>
      </c>
      <c r="CA434" s="460">
        <f>Q_IS!BS76</f>
        <v>1644</v>
      </c>
      <c r="CB434" s="460">
        <f>Q_IS!BT76</f>
        <v>1649</v>
      </c>
      <c r="CC434" s="460">
        <f>Q_IS!BU76</f>
        <v>1662</v>
      </c>
      <c r="CD434" s="460">
        <f>Q_IS!BV76</f>
        <v>1667</v>
      </c>
      <c r="CE434" s="460">
        <f>Q_IS!BW76</f>
        <v>1672</v>
      </c>
      <c r="CF434" s="460">
        <f>Q_IS!BX76</f>
        <v>1677</v>
      </c>
      <c r="CG434" s="460">
        <f>Q_IS!BY76</f>
        <v>1686</v>
      </c>
      <c r="CH434" s="460">
        <f>Q_IS!BZ76</f>
        <v>1691</v>
      </c>
      <c r="CI434" s="460">
        <f>Q_IS!CA76</f>
        <v>1696</v>
      </c>
      <c r="CJ434" s="460">
        <f>Q_IS!CB76</f>
        <v>1701</v>
      </c>
      <c r="CK434" s="460">
        <f>Q_IS!CC76</f>
        <v>1710</v>
      </c>
      <c r="CL434" s="460">
        <f>Q_IS!CD76</f>
        <v>1715</v>
      </c>
      <c r="CM434" s="460">
        <f>Q_IS!CE76</f>
        <v>1720</v>
      </c>
      <c r="CN434" s="460">
        <f>Q_IS!CF76</f>
        <v>1725</v>
      </c>
      <c r="CO434" s="460">
        <f>Q_IS!CG76</f>
        <v>1734</v>
      </c>
      <c r="CP434" s="460">
        <f>Q_IS!CH76</f>
        <v>1738</v>
      </c>
      <c r="CQ434" s="460">
        <f>Q_IS!CI76</f>
        <v>1742</v>
      </c>
      <c r="CR434" s="460">
        <f>Q_IS!CJ76</f>
        <v>1746</v>
      </c>
      <c r="CS434" s="460">
        <f>Q_IS!CK76</f>
        <v>1756</v>
      </c>
    </row>
    <row r="435" spans="1:97">
      <c r="A435" s="665" t="s">
        <v>229</v>
      </c>
      <c r="B435" s="257"/>
      <c r="C435" s="257"/>
      <c r="D435" s="257"/>
      <c r="E435" s="257"/>
      <c r="F435" s="257"/>
      <c r="G435" s="257"/>
      <c r="H435" s="257"/>
      <c r="I435" s="257"/>
      <c r="J435" s="257"/>
      <c r="K435" s="257"/>
      <c r="L435" s="257"/>
      <c r="M435" s="257"/>
      <c r="N435" s="715" t="e">
        <v>#N/A</v>
      </c>
      <c r="O435" s="715" t="e">
        <v>#N/A</v>
      </c>
      <c r="P435" s="715" t="e">
        <v>#N/A</v>
      </c>
      <c r="Q435" s="715" t="e">
        <v>#N/A</v>
      </c>
      <c r="R435" s="715" t="e">
        <v>#N/A</v>
      </c>
      <c r="S435" s="715" t="e">
        <v>#N/A</v>
      </c>
      <c r="T435" s="715" t="e">
        <v>#N/A</v>
      </c>
      <c r="U435" s="715" t="e">
        <v>#N/A</v>
      </c>
      <c r="V435" s="715" t="e">
        <v>#N/A</v>
      </c>
      <c r="W435" s="715" t="e">
        <v>#N/A</v>
      </c>
      <c r="X435" s="715" t="e">
        <v>#N/A</v>
      </c>
      <c r="Y435" s="715" t="e">
        <v>#N/A</v>
      </c>
      <c r="Z435" s="715" t="e">
        <v>#N/A</v>
      </c>
      <c r="AA435" s="715" t="e">
        <v>#N/A</v>
      </c>
      <c r="AB435" s="715" t="e">
        <v>#N/A</v>
      </c>
      <c r="AC435" s="715" t="e">
        <v>#N/A</v>
      </c>
      <c r="AD435" s="715" t="e">
        <v>#N/A</v>
      </c>
      <c r="AE435" s="715" t="e">
        <v>#N/A</v>
      </c>
      <c r="AF435" s="715" t="e">
        <v>#N/A</v>
      </c>
      <c r="AG435" s="715" t="e">
        <v>#N/A</v>
      </c>
      <c r="AH435" s="715" t="e">
        <v>#N/A</v>
      </c>
      <c r="AI435" s="715" t="e">
        <v>#N/A</v>
      </c>
      <c r="AJ435" s="715" t="e">
        <v>#N/A</v>
      </c>
      <c r="AK435" s="715" t="e">
        <v>#N/A</v>
      </c>
      <c r="AL435" s="715" t="e">
        <v>#N/A</v>
      </c>
      <c r="AM435" s="715">
        <f t="shared" ref="AM435:BY435" si="248">AM434/AI434-1</f>
        <v>6.7415730337078594E-2</v>
      </c>
      <c r="AN435" s="715">
        <f t="shared" si="248"/>
        <v>6.1538461538461542E-2</v>
      </c>
      <c r="AO435" s="715">
        <f t="shared" si="248"/>
        <v>6.85224839400429E-2</v>
      </c>
      <c r="AP435" s="715">
        <f t="shared" si="248"/>
        <v>8.119658119658113E-2</v>
      </c>
      <c r="AQ435" s="715">
        <f t="shared" si="248"/>
        <v>9.2631578947368398E-2</v>
      </c>
      <c r="AR435" s="715">
        <f t="shared" si="248"/>
        <v>9.7308488612836364E-2</v>
      </c>
      <c r="AS435" s="715">
        <f t="shared" si="248"/>
        <v>0.10020040080160331</v>
      </c>
      <c r="AT435" s="715">
        <f t="shared" si="248"/>
        <v>9.6837944664031728E-2</v>
      </c>
      <c r="AU435" s="715">
        <f t="shared" si="248"/>
        <v>8.092485549132955E-2</v>
      </c>
      <c r="AV435" s="715">
        <f t="shared" si="248"/>
        <v>7.735849056603783E-2</v>
      </c>
      <c r="AW435" s="715">
        <f t="shared" si="248"/>
        <v>8.0145719489981726E-2</v>
      </c>
      <c r="AX435" s="715">
        <f t="shared" si="248"/>
        <v>1.4378378378378378</v>
      </c>
      <c r="AY435" s="715">
        <f t="shared" si="248"/>
        <v>1.4456327985739752</v>
      </c>
      <c r="AZ435" s="715">
        <f t="shared" si="248"/>
        <v>1.4413309982486866</v>
      </c>
      <c r="BA435" s="715">
        <f t="shared" si="248"/>
        <v>1.357504215851602</v>
      </c>
      <c r="BB435" s="715">
        <f t="shared" si="248"/>
        <v>3.8433111603843217E-2</v>
      </c>
      <c r="BC435" s="461">
        <f t="shared" si="248"/>
        <v>1.3119533527696792E-2</v>
      </c>
      <c r="BD435" s="461">
        <f t="shared" si="248"/>
        <v>-1.4347202295552641E-3</v>
      </c>
      <c r="BE435" s="461">
        <f t="shared" si="248"/>
        <v>-1.5736766809728131E-2</v>
      </c>
      <c r="BF435" s="461">
        <f t="shared" si="248"/>
        <v>-2.1352313167259829E-2</v>
      </c>
      <c r="BG435" s="461">
        <f t="shared" si="248"/>
        <v>-1.4388489208633226E-3</v>
      </c>
      <c r="BH435" s="461">
        <f t="shared" si="248"/>
        <v>8.6206896551723755E-3</v>
      </c>
      <c r="BI435" s="461">
        <f t="shared" si="248"/>
        <v>3.488372093023262E-2</v>
      </c>
      <c r="BJ435" s="461">
        <f t="shared" si="248"/>
        <v>4.8000000000000043E-2</v>
      </c>
      <c r="BK435" s="461">
        <f t="shared" si="248"/>
        <v>4.6109510086455252E-2</v>
      </c>
      <c r="BL435" s="461">
        <f t="shared" si="248"/>
        <v>3.9886039886039892E-2</v>
      </c>
      <c r="BM435" s="461">
        <f t="shared" si="248"/>
        <v>3.6516853932584192E-2</v>
      </c>
      <c r="BN435" s="461">
        <f>BN434/BJ434-1</f>
        <v>2.4982650936849371E-2</v>
      </c>
      <c r="BO435" s="461">
        <f>BO434/BK434-1</f>
        <v>2.8925619834710758E-2</v>
      </c>
      <c r="BP435" s="461">
        <f>BP434/BL434-1</f>
        <v>3.6986301369863028E-2</v>
      </c>
      <c r="BQ435" s="461">
        <f>BQ434/BM434-1</f>
        <v>3.9295392953929476E-2</v>
      </c>
      <c r="BR435" s="461">
        <f t="shared" si="248"/>
        <v>3.8591740013540932E-2</v>
      </c>
      <c r="BS435" s="461">
        <f t="shared" si="248"/>
        <v>3.6144578313253017E-2</v>
      </c>
      <c r="BT435" s="461">
        <f t="shared" si="248"/>
        <v>3.0383091149273511E-2</v>
      </c>
      <c r="BU435" s="461">
        <f t="shared" si="248"/>
        <v>4.1720990873533204E-2</v>
      </c>
      <c r="BV435" s="461">
        <f t="shared" si="248"/>
        <v>4.6284224250325856E-2</v>
      </c>
      <c r="BW435" s="461">
        <f t="shared" si="248"/>
        <v>4.134366925064592E-2</v>
      </c>
      <c r="BX435" s="461">
        <f t="shared" si="248"/>
        <v>3.7820512820512908E-2</v>
      </c>
      <c r="BY435" s="461">
        <f t="shared" si="248"/>
        <v>2.252816020025028E-2</v>
      </c>
      <c r="BZ435" s="461">
        <f t="shared" ref="BZ435:CS435" si="249">BZ434/BV434-1</f>
        <v>2.1183800623052917E-2</v>
      </c>
      <c r="CA435" s="461">
        <f t="shared" si="249"/>
        <v>1.9851116625310139E-2</v>
      </c>
      <c r="CB435" s="461">
        <f t="shared" si="249"/>
        <v>1.8529956763434274E-2</v>
      </c>
      <c r="CC435" s="461">
        <f t="shared" si="249"/>
        <v>1.7135862913096656E-2</v>
      </c>
      <c r="CD435" s="461">
        <f t="shared" si="249"/>
        <v>1.7083587553386126E-2</v>
      </c>
      <c r="CE435" s="461">
        <f t="shared" si="249"/>
        <v>1.7031630170316392E-2</v>
      </c>
      <c r="CF435" s="461">
        <f t="shared" si="249"/>
        <v>1.6979987871437174E-2</v>
      </c>
      <c r="CG435" s="461">
        <f t="shared" si="249"/>
        <v>1.4440433212996373E-2</v>
      </c>
      <c r="CH435" s="461">
        <f t="shared" si="249"/>
        <v>1.4397120575884825E-2</v>
      </c>
      <c r="CI435" s="461">
        <f t="shared" si="249"/>
        <v>1.4354066985645897E-2</v>
      </c>
      <c r="CJ435" s="461">
        <f t="shared" si="249"/>
        <v>1.4311270125223707E-2</v>
      </c>
      <c r="CK435" s="461">
        <f t="shared" si="249"/>
        <v>1.4234875444839812E-2</v>
      </c>
      <c r="CL435" s="461">
        <f t="shared" si="249"/>
        <v>1.4192785334121716E-2</v>
      </c>
      <c r="CM435" s="461">
        <f t="shared" si="249"/>
        <v>1.4150943396226356E-2</v>
      </c>
      <c r="CN435" s="461">
        <f t="shared" si="249"/>
        <v>1.4109347442680775E-2</v>
      </c>
      <c r="CO435" s="461">
        <f t="shared" si="249"/>
        <v>1.4035087719298289E-2</v>
      </c>
      <c r="CP435" s="461">
        <f t="shared" si="249"/>
        <v>1.3411078717201264E-2</v>
      </c>
      <c r="CQ435" s="461">
        <f t="shared" si="249"/>
        <v>1.2790697674418539E-2</v>
      </c>
      <c r="CR435" s="461">
        <f t="shared" si="249"/>
        <v>1.2173913043478368E-2</v>
      </c>
      <c r="CS435" s="461">
        <f t="shared" si="249"/>
        <v>1.2687427912341454E-2</v>
      </c>
    </row>
    <row r="437" spans="1:97">
      <c r="A437" s="242" t="s">
        <v>754</v>
      </c>
      <c r="B437" s="595"/>
      <c r="C437" s="595"/>
      <c r="D437" s="595"/>
      <c r="E437" s="595"/>
      <c r="F437" s="595"/>
      <c r="G437" s="595"/>
      <c r="H437" s="595"/>
      <c r="I437" s="595"/>
      <c r="J437" s="595" t="str">
        <f t="shared" ref="J437:AO437" si="250">J$453</f>
        <v>1Q09</v>
      </c>
      <c r="K437" s="595" t="str">
        <f t="shared" si="250"/>
        <v>2Q09</v>
      </c>
      <c r="L437" s="595" t="str">
        <f t="shared" si="250"/>
        <v>3Q09</v>
      </c>
      <c r="M437" s="595" t="str">
        <f t="shared" si="250"/>
        <v>4Q09</v>
      </c>
      <c r="N437" s="595" t="str">
        <f t="shared" si="250"/>
        <v>1Q10</v>
      </c>
      <c r="O437" s="595" t="str">
        <f t="shared" si="250"/>
        <v>2Q10</v>
      </c>
      <c r="P437" s="595" t="str">
        <f t="shared" si="250"/>
        <v>3Q10</v>
      </c>
      <c r="Q437" s="595" t="str">
        <f t="shared" si="250"/>
        <v>4Q10</v>
      </c>
      <c r="R437" s="595" t="str">
        <f t="shared" si="250"/>
        <v>1Q11</v>
      </c>
      <c r="S437" s="595" t="str">
        <f t="shared" si="250"/>
        <v>2Q11</v>
      </c>
      <c r="T437" s="595" t="str">
        <f t="shared" si="250"/>
        <v>3Q11</v>
      </c>
      <c r="U437" s="595" t="str">
        <f t="shared" si="250"/>
        <v>4Q11</v>
      </c>
      <c r="V437" s="595" t="str">
        <f t="shared" si="250"/>
        <v>1Q12</v>
      </c>
      <c r="W437" s="595" t="str">
        <f t="shared" si="250"/>
        <v>2Q12</v>
      </c>
      <c r="X437" s="595" t="str">
        <f t="shared" si="250"/>
        <v>3Q12</v>
      </c>
      <c r="Y437" s="595" t="str">
        <f t="shared" si="250"/>
        <v>4Q12</v>
      </c>
      <c r="Z437" s="595" t="str">
        <f t="shared" si="250"/>
        <v>1Q13</v>
      </c>
      <c r="AA437" s="595" t="str">
        <f t="shared" si="250"/>
        <v>2Q13</v>
      </c>
      <c r="AB437" s="595" t="str">
        <f t="shared" si="250"/>
        <v>3Q13</v>
      </c>
      <c r="AC437" s="595" t="str">
        <f t="shared" si="250"/>
        <v>4Q13</v>
      </c>
      <c r="AD437" s="595" t="str">
        <f t="shared" si="250"/>
        <v>1Q14</v>
      </c>
      <c r="AE437" s="595" t="str">
        <f t="shared" si="250"/>
        <v>2Q14</v>
      </c>
      <c r="AF437" s="595" t="str">
        <f t="shared" si="250"/>
        <v>3Q14</v>
      </c>
      <c r="AG437" s="595" t="str">
        <f t="shared" si="250"/>
        <v>4Q14</v>
      </c>
      <c r="AH437" s="595" t="str">
        <f t="shared" si="250"/>
        <v>1Q15</v>
      </c>
      <c r="AI437" s="595" t="str">
        <f t="shared" si="250"/>
        <v>2Q15</v>
      </c>
      <c r="AJ437" s="595" t="str">
        <f t="shared" si="250"/>
        <v>3Q15</v>
      </c>
      <c r="AK437" s="595" t="str">
        <f t="shared" si="250"/>
        <v>4Q15</v>
      </c>
      <c r="AL437" s="595" t="str">
        <f t="shared" si="250"/>
        <v>1Q16</v>
      </c>
      <c r="AM437" s="595" t="str">
        <f t="shared" si="250"/>
        <v>2Q16</v>
      </c>
      <c r="AN437" s="595" t="str">
        <f t="shared" si="250"/>
        <v>3Q16</v>
      </c>
      <c r="AO437" s="595" t="str">
        <f t="shared" si="250"/>
        <v>4Q16</v>
      </c>
      <c r="AP437" s="595" t="str">
        <f t="shared" ref="AP437:CS437" si="251">AP$453</f>
        <v>1Q17</v>
      </c>
      <c r="AQ437" s="595" t="str">
        <f t="shared" si="251"/>
        <v>2Q17</v>
      </c>
      <c r="AR437" s="595" t="str">
        <f t="shared" si="251"/>
        <v>3Q17</v>
      </c>
      <c r="AS437" s="595" t="str">
        <f t="shared" si="251"/>
        <v>4Q17</v>
      </c>
      <c r="AT437" s="595" t="str">
        <f t="shared" si="251"/>
        <v>1Q18</v>
      </c>
      <c r="AU437" s="595" t="str">
        <f t="shared" si="251"/>
        <v>2Q18</v>
      </c>
      <c r="AV437" s="595" t="str">
        <f t="shared" si="251"/>
        <v>3Q18</v>
      </c>
      <c r="AW437" s="595" t="str">
        <f t="shared" si="251"/>
        <v>4Q18</v>
      </c>
      <c r="AX437" s="595" t="str">
        <f t="shared" si="251"/>
        <v>1Q19</v>
      </c>
      <c r="AY437" s="595" t="str">
        <f t="shared" si="251"/>
        <v>2Q19</v>
      </c>
      <c r="AZ437" s="595" t="str">
        <f t="shared" si="251"/>
        <v>3Q19</v>
      </c>
      <c r="BA437" s="595" t="str">
        <f t="shared" si="251"/>
        <v>4Q19</v>
      </c>
      <c r="BB437" s="595" t="str">
        <f t="shared" si="251"/>
        <v>1Q20</v>
      </c>
      <c r="BC437" s="595" t="str">
        <f t="shared" si="251"/>
        <v>2Q20</v>
      </c>
      <c r="BD437" s="595" t="str">
        <f t="shared" si="251"/>
        <v>3Q20</v>
      </c>
      <c r="BE437" s="595" t="str">
        <f t="shared" si="251"/>
        <v>4Q20</v>
      </c>
      <c r="BF437" s="595" t="str">
        <f t="shared" si="251"/>
        <v>1Q21</v>
      </c>
      <c r="BG437" s="595" t="str">
        <f t="shared" si="251"/>
        <v>2Q21</v>
      </c>
      <c r="BH437" s="595" t="str">
        <f t="shared" si="251"/>
        <v>3Q21</v>
      </c>
      <c r="BI437" s="595" t="str">
        <f t="shared" si="251"/>
        <v>4Q21</v>
      </c>
      <c r="BJ437" s="595" t="str">
        <f t="shared" si="251"/>
        <v>1Q22</v>
      </c>
      <c r="BK437" s="595" t="str">
        <f t="shared" si="251"/>
        <v>2Q22</v>
      </c>
      <c r="BL437" s="595" t="str">
        <f t="shared" si="251"/>
        <v>3Q22</v>
      </c>
      <c r="BM437" s="595" t="str">
        <f t="shared" si="251"/>
        <v>4Q22</v>
      </c>
      <c r="BN437" s="595" t="str">
        <f t="shared" si="251"/>
        <v>1Q23</v>
      </c>
      <c r="BO437" s="595" t="str">
        <f t="shared" si="251"/>
        <v>2Q23</v>
      </c>
      <c r="BP437" s="595" t="str">
        <f t="shared" si="251"/>
        <v>3Q23</v>
      </c>
      <c r="BQ437" s="595" t="str">
        <f t="shared" si="251"/>
        <v>4Q23</v>
      </c>
      <c r="BR437" s="596" t="str">
        <f t="shared" si="251"/>
        <v>1Q24</v>
      </c>
      <c r="BS437" s="596" t="str">
        <f t="shared" si="251"/>
        <v>2Q24e</v>
      </c>
      <c r="BT437" s="596" t="str">
        <f t="shared" si="251"/>
        <v>3Q24e</v>
      </c>
      <c r="BU437" s="596" t="str">
        <f t="shared" si="251"/>
        <v>4Q24e</v>
      </c>
      <c r="BV437" s="596" t="str">
        <f t="shared" si="251"/>
        <v>1Q25e</v>
      </c>
      <c r="BW437" s="596" t="str">
        <f t="shared" si="251"/>
        <v>2Q25e</v>
      </c>
      <c r="BX437" s="596" t="str">
        <f t="shared" si="251"/>
        <v>3Q25e</v>
      </c>
      <c r="BY437" s="596" t="str">
        <f t="shared" si="251"/>
        <v>4Q25e</v>
      </c>
      <c r="BZ437" s="596" t="str">
        <f t="shared" si="251"/>
        <v>1Q26e</v>
      </c>
      <c r="CA437" s="596" t="str">
        <f t="shared" si="251"/>
        <v>2Q26e</v>
      </c>
      <c r="CB437" s="596" t="str">
        <f t="shared" si="251"/>
        <v>3Q26e</v>
      </c>
      <c r="CC437" s="596" t="str">
        <f t="shared" si="251"/>
        <v>4Q26e</v>
      </c>
      <c r="CD437" s="596" t="str">
        <f t="shared" si="251"/>
        <v>1Q27e</v>
      </c>
      <c r="CE437" s="596" t="str">
        <f t="shared" si="251"/>
        <v>2Q27e</v>
      </c>
      <c r="CF437" s="596" t="str">
        <f t="shared" si="251"/>
        <v>3Q27e</v>
      </c>
      <c r="CG437" s="596" t="str">
        <f t="shared" si="251"/>
        <v>4Q27e</v>
      </c>
      <c r="CH437" s="596" t="str">
        <f t="shared" si="251"/>
        <v>1Q28e</v>
      </c>
      <c r="CI437" s="596" t="str">
        <f t="shared" si="251"/>
        <v>2Q28e</v>
      </c>
      <c r="CJ437" s="596" t="str">
        <f t="shared" si="251"/>
        <v>3Q28e</v>
      </c>
      <c r="CK437" s="596" t="str">
        <f t="shared" si="251"/>
        <v>4Q28e</v>
      </c>
      <c r="CL437" s="596" t="str">
        <f t="shared" si="251"/>
        <v>1Q29e</v>
      </c>
      <c r="CM437" s="596" t="str">
        <f t="shared" si="251"/>
        <v>2Q29e</v>
      </c>
      <c r="CN437" s="596" t="str">
        <f t="shared" si="251"/>
        <v>3Q29e</v>
      </c>
      <c r="CO437" s="596" t="str">
        <f t="shared" si="251"/>
        <v>4Q29e</v>
      </c>
      <c r="CP437" s="596" t="str">
        <f t="shared" si="251"/>
        <v>1Q30e</v>
      </c>
      <c r="CQ437" s="596" t="str">
        <f t="shared" si="251"/>
        <v>2Q30e</v>
      </c>
      <c r="CR437" s="596" t="str">
        <f t="shared" si="251"/>
        <v>3Q30e</v>
      </c>
      <c r="CS437" s="596" t="str">
        <f t="shared" si="251"/>
        <v>4Q30e</v>
      </c>
    </row>
    <row r="438" spans="1:97">
      <c r="A438" s="36" t="str">
        <f>A428</f>
        <v>Total</v>
      </c>
      <c r="B438" s="258"/>
      <c r="C438" s="258"/>
      <c r="D438" s="258"/>
      <c r="E438" s="258"/>
      <c r="F438" s="258"/>
      <c r="G438" s="258"/>
      <c r="H438" s="258"/>
      <c r="I438" s="258"/>
      <c r="J438" s="258">
        <f>Q_IS!B238</f>
        <v>1.813840731070496</v>
      </c>
      <c r="K438" s="258">
        <f>Q_IS!C238</f>
        <v>1.7945653679653679</v>
      </c>
      <c r="L438" s="258">
        <f>Q_IS!D238</f>
        <v>1.8351454545454544</v>
      </c>
      <c r="M438" s="258">
        <f>Q_IS!E238</f>
        <v>1.9732382578992314</v>
      </c>
      <c r="N438" s="258">
        <f>Q_IS!F238</f>
        <v>1.7897677198975237</v>
      </c>
      <c r="O438" s="258">
        <f>Q_IS!G238</f>
        <v>1.8238215488215486</v>
      </c>
      <c r="P438" s="258">
        <f>Q_IS!H238</f>
        <v>1.9377555366269166</v>
      </c>
      <c r="Q438" s="258">
        <f>Q_IS!I238</f>
        <v>2.0265315091210612</v>
      </c>
      <c r="R438" s="258">
        <f>Q_IS!J238</f>
        <v>1.9791445086705204</v>
      </c>
      <c r="S438" s="258">
        <f>Q_IS!K238</f>
        <v>2.1150350448247761</v>
      </c>
      <c r="T438" s="258">
        <f>Q_IS!L238</f>
        <v>2.2292914653784219</v>
      </c>
      <c r="U438" s="258">
        <f>Q_IS!M238</f>
        <v>2.2882556508183942</v>
      </c>
      <c r="V438" s="258">
        <f>Q_IS!N238</f>
        <v>2.208835197613721</v>
      </c>
      <c r="W438" s="258">
        <f>Q_IS!O238</f>
        <v>2.5139882611885547</v>
      </c>
      <c r="X438" s="258">
        <f>Q_IS!P238</f>
        <v>2.5233804034582135</v>
      </c>
      <c r="Y438" s="258">
        <f>Q_IS!Q238</f>
        <v>2.5285344947735191</v>
      </c>
      <c r="Z438" s="258">
        <f>Q_IS!R238</f>
        <v>2.3750845562543677</v>
      </c>
      <c r="AA438" s="258">
        <f>Q_IS!S238</f>
        <v>2.1609881221719456</v>
      </c>
      <c r="AB438" s="258">
        <f>Q_IS!T238</f>
        <v>2.2541916068470456</v>
      </c>
      <c r="AC438" s="258">
        <f>Q_IS!U238</f>
        <v>2.3689317937701397</v>
      </c>
      <c r="AD438" s="258">
        <f>Q_IS!V238</f>
        <v>2.122294524189261</v>
      </c>
      <c r="AE438" s="258">
        <f>Q_IS!W238</f>
        <v>2.3218768406961177</v>
      </c>
      <c r="AF438" s="258">
        <f>Q_IS!X238</f>
        <v>2.5038862538427757</v>
      </c>
      <c r="AG438" s="258">
        <f>Q_IS!Y238</f>
        <v>2.8389166666666665</v>
      </c>
      <c r="AH438" s="258">
        <f>Q_IS!Z238</f>
        <v>2.6342302725968438</v>
      </c>
      <c r="AI438" s="258">
        <f>Q_IS!AA238</f>
        <v>2.7427356890459365</v>
      </c>
      <c r="AJ438" s="258">
        <f>Q_IS!AB238</f>
        <v>2.8311098106712564</v>
      </c>
      <c r="AK438" s="258">
        <f>Q_IS!AC238</f>
        <v>3.0324394041976976</v>
      </c>
      <c r="AL438" s="258">
        <f>Q_IS!AD238</f>
        <v>2.8430246502331777</v>
      </c>
      <c r="AM438" s="258">
        <f>Q_IS!AE238</f>
        <v>2.9850405004939082</v>
      </c>
      <c r="AN438" s="258">
        <f>Q_IS!AF238</f>
        <v>3.1044241836404787</v>
      </c>
      <c r="AO438" s="258">
        <f>Q_IS!AG238</f>
        <v>3.2862456964006261</v>
      </c>
      <c r="AP438" s="258">
        <f>Q_IS!AH238</f>
        <v>3.1200123647604325</v>
      </c>
      <c r="AQ438" s="258">
        <f>Q_IS!AI238</f>
        <v>3.1432400486174417</v>
      </c>
      <c r="AR438" s="258">
        <f>Q_IS!AJ238</f>
        <v>3.1241735759021769</v>
      </c>
      <c r="AS438" s="258">
        <f>Q_IS!AK238</f>
        <v>3.3787446189645141</v>
      </c>
      <c r="AT438" s="258">
        <f>Q_IS!AL238</f>
        <v>3.1948861014994234</v>
      </c>
      <c r="AU438" s="258">
        <f>Q_IS!AM238</f>
        <v>3.2165600681624538</v>
      </c>
      <c r="AV438" s="258">
        <f>Q_IS!AN238</f>
        <v>3.1704002229654407</v>
      </c>
      <c r="AW438" s="258">
        <f>Q_IS!AO238</f>
        <v>3.3557001084598701</v>
      </c>
      <c r="AX438" s="258">
        <f>Q_IS!AP238</f>
        <v>3.06895045953822</v>
      </c>
      <c r="AY438" s="258">
        <f>Q_IS!AQ238</f>
        <v>3.258948815377738</v>
      </c>
      <c r="AZ438" s="258">
        <f>Q_IS!AR238</f>
        <v>3.2236923248053393</v>
      </c>
      <c r="BA438" s="258">
        <f>Q_IS!AS238</f>
        <v>3.5714610208816704</v>
      </c>
      <c r="BB438" s="258">
        <f>Q_IS!AT238</f>
        <v>2.8079540709812107</v>
      </c>
      <c r="BC438" s="460">
        <f>Q_IS!AU238</f>
        <v>1.221282189849624</v>
      </c>
      <c r="BD438" s="460">
        <f>Q_IS!AV238</f>
        <v>2.3360524079320113</v>
      </c>
      <c r="BE438" s="460">
        <f>Q_IS!AW238</f>
        <v>2.6942604340567611</v>
      </c>
      <c r="BF438" s="460">
        <f>Q_IS!AX238</f>
        <v>2.440075029868578</v>
      </c>
      <c r="BG438" s="460">
        <f>Q_IS!AY238</f>
        <v>2.9679752616555661</v>
      </c>
      <c r="BH438" s="460">
        <f>Q_IS!AZ238</f>
        <v>3.3084320929130127</v>
      </c>
      <c r="BI438" s="460">
        <f>Q_IS!BA238</f>
        <v>3.9258826841858285</v>
      </c>
      <c r="BJ438" s="460">
        <f>Q_IS!BB238</f>
        <v>3.5422593626424752</v>
      </c>
      <c r="BK438" s="460">
        <f>Q_IS!BC238</f>
        <v>3.9066254612546127</v>
      </c>
      <c r="BL438" s="460">
        <f>Q_IS!BD238</f>
        <v>4.0170089429030034</v>
      </c>
      <c r="BM438" s="460">
        <f>Q_IS!BE238</f>
        <v>4.305335731954127</v>
      </c>
      <c r="BN438" s="460">
        <f>Q_IS!BF238</f>
        <v>3.9707006068779505</v>
      </c>
      <c r="BO438" s="460">
        <f>Q_IS!BG238</f>
        <v>4.2324623631896356</v>
      </c>
      <c r="BP438" s="460">
        <f>Q_IS!BH238</f>
        <v>4.3113317094774128</v>
      </c>
      <c r="BQ438" s="460">
        <f>Q_IS!BI238</f>
        <v>4.3588691042838592</v>
      </c>
      <c r="BR438" s="460">
        <f>Q_IS!BJ238</f>
        <v>3.9221779788838615</v>
      </c>
      <c r="BS438" s="460">
        <f>Q_IS!BK238</f>
        <v>4.1088435766111822</v>
      </c>
      <c r="BT438" s="460">
        <f>Q_IS!BL238</f>
        <v>4.26377668208817</v>
      </c>
      <c r="BU438" s="460">
        <f>Q_IS!BM238</f>
        <v>4.3854113862946908</v>
      </c>
      <c r="BV438" s="460">
        <f>Q_IS!BN238</f>
        <v>4.1370436979671634</v>
      </c>
      <c r="BW438" s="460">
        <f>Q_IS!BO238</f>
        <v>4.4234075970482731</v>
      </c>
      <c r="BX438" s="460">
        <f>Q_IS!BP238</f>
        <v>4.510179675159633</v>
      </c>
      <c r="BY438" s="460">
        <f>Q_IS!BQ238</f>
        <v>4.6094991736962818</v>
      </c>
      <c r="BZ438" s="460">
        <f>Q_IS!BR238</f>
        <v>4.3338213329959263</v>
      </c>
      <c r="CA438" s="460">
        <f>Q_IS!BS238</f>
        <v>4.5873433321685777</v>
      </c>
      <c r="CB438" s="460">
        <f>Q_IS!BT238</f>
        <v>4.681867271989832</v>
      </c>
      <c r="CC438" s="460">
        <f>Q_IS!BU238</f>
        <v>4.7963003816568266</v>
      </c>
      <c r="CD438" s="460">
        <f>Q_IS!BV238</f>
        <v>4.4897724170874556</v>
      </c>
      <c r="CE438" s="460">
        <f>Q_IS!BW238</f>
        <v>4.7470228578856464</v>
      </c>
      <c r="CF438" s="460">
        <f>Q_IS!BX238</f>
        <v>4.8490285879924846</v>
      </c>
      <c r="CG438" s="460">
        <f>Q_IS!BY238</f>
        <v>4.9814565050854078</v>
      </c>
      <c r="CH438" s="460">
        <f>Q_IS!BZ238</f>
        <v>4.6344976328034395</v>
      </c>
      <c r="CI438" s="460">
        <f>Q_IS!CA238</f>
        <v>4.8961999917810264</v>
      </c>
      <c r="CJ438" s="460">
        <f>Q_IS!CB238</f>
        <v>5.0063236072906339</v>
      </c>
      <c r="CK438" s="460">
        <f>Q_IS!CC238</f>
        <v>5.1503361562007104</v>
      </c>
      <c r="CL438" s="460">
        <f>Q_IS!CD238</f>
        <v>4.7865100263598279</v>
      </c>
      <c r="CM438" s="460">
        <f>Q_IS!CE238</f>
        <v>5.0518428939148565</v>
      </c>
      <c r="CN438" s="460">
        <f>Q_IS!CF238</f>
        <v>5.1694169473495615</v>
      </c>
      <c r="CO438" s="460">
        <f>Q_IS!CG238</f>
        <v>5.3254138169872656</v>
      </c>
      <c r="CP438" s="460">
        <f>Q_IS!CH238</f>
        <v>4.9455428078820232</v>
      </c>
      <c r="CQ438" s="460">
        <f>Q_IS!CI238</f>
        <v>5.2152597802484415</v>
      </c>
      <c r="CR438" s="460">
        <f>Q_IS!CJ238</f>
        <v>5.3411930973498425</v>
      </c>
      <c r="CS438" s="460">
        <f>Q_IS!CK238</f>
        <v>5.5109893980171316</v>
      </c>
    </row>
    <row r="439" spans="1:97">
      <c r="A439" s="312" t="str">
        <f>A429</f>
        <v>Growth</v>
      </c>
      <c r="B439" s="257"/>
      <c r="C439" s="257"/>
      <c r="D439" s="257"/>
      <c r="E439" s="257"/>
      <c r="F439" s="257"/>
      <c r="G439" s="257"/>
      <c r="H439" s="257"/>
      <c r="I439" s="257"/>
      <c r="J439" s="257"/>
      <c r="K439" s="257"/>
      <c r="L439" s="257"/>
      <c r="M439" s="257"/>
      <c r="N439" s="257">
        <f t="shared" ref="N439:AS439" si="252">N438/J438-1</f>
        <v>-1.3271843972080699E-2</v>
      </c>
      <c r="O439" s="257">
        <f t="shared" si="252"/>
        <v>1.630265543870979E-2</v>
      </c>
      <c r="P439" s="257">
        <f t="shared" si="252"/>
        <v>5.5913868749372542E-2</v>
      </c>
      <c r="Q439" s="257">
        <f t="shared" si="252"/>
        <v>2.700801639563144E-2</v>
      </c>
      <c r="R439" s="257">
        <f t="shared" si="252"/>
        <v>0.10581081928544323</v>
      </c>
      <c r="S439" s="257">
        <f t="shared" si="252"/>
        <v>0.15967214346787029</v>
      </c>
      <c r="T439" s="257">
        <f t="shared" si="252"/>
        <v>0.1504503139023341</v>
      </c>
      <c r="U439" s="257">
        <f t="shared" si="252"/>
        <v>0.12914881437537917</v>
      </c>
      <c r="V439" s="257">
        <f t="shared" si="252"/>
        <v>0.11605554214810421</v>
      </c>
      <c r="W439" s="257">
        <f t="shared" si="252"/>
        <v>0.18862723685830485</v>
      </c>
      <c r="X439" s="257">
        <f t="shared" si="252"/>
        <v>0.13192036243222693</v>
      </c>
      <c r="Y439" s="257">
        <f t="shared" si="252"/>
        <v>0.10500524443988124</v>
      </c>
      <c r="Z439" s="257">
        <f t="shared" si="252"/>
        <v>7.5265623628349987E-2</v>
      </c>
      <c r="AA439" s="257">
        <f t="shared" si="252"/>
        <v>-0.14041439431770408</v>
      </c>
      <c r="AB439" s="257">
        <f t="shared" si="252"/>
        <v>-0.10667785017362152</v>
      </c>
      <c r="AC439" s="257">
        <f t="shared" si="252"/>
        <v>-6.3120634238242768E-2</v>
      </c>
      <c r="AD439" s="257">
        <f t="shared" si="252"/>
        <v>-0.10643411890302112</v>
      </c>
      <c r="AE439" s="257">
        <f t="shared" si="252"/>
        <v>7.4451458975381746E-2</v>
      </c>
      <c r="AF439" s="257">
        <f t="shared" si="252"/>
        <v>0.11076904298520573</v>
      </c>
      <c r="AG439" s="257">
        <f t="shared" si="252"/>
        <v>0.19839527424660419</v>
      </c>
      <c r="AH439" s="257">
        <f t="shared" si="252"/>
        <v>0.24121805082786407</v>
      </c>
      <c r="AI439" s="257">
        <f t="shared" si="252"/>
        <v>0.18125804132817058</v>
      </c>
      <c r="AJ439" s="257">
        <f t="shared" si="252"/>
        <v>0.13068627072267458</v>
      </c>
      <c r="AK439" s="257">
        <f t="shared" si="252"/>
        <v>6.8167811969717773E-2</v>
      </c>
      <c r="AL439" s="257">
        <f t="shared" si="252"/>
        <v>7.9262006745713487E-2</v>
      </c>
      <c r="AM439" s="257">
        <f t="shared" si="252"/>
        <v>8.8344207725046253E-2</v>
      </c>
      <c r="AN439" s="257">
        <f t="shared" si="252"/>
        <v>9.6539658030579734E-2</v>
      </c>
      <c r="AO439" s="257">
        <f t="shared" si="252"/>
        <v>8.3697069709486538E-2</v>
      </c>
      <c r="AP439" s="257">
        <f t="shared" si="252"/>
        <v>9.7427123786822278E-2</v>
      </c>
      <c r="AQ439" s="257">
        <f t="shared" si="252"/>
        <v>5.2997454506013453E-2</v>
      </c>
      <c r="AR439" s="257">
        <f t="shared" si="252"/>
        <v>6.3616925695182402E-3</v>
      </c>
      <c r="AS439" s="257">
        <f t="shared" si="252"/>
        <v>2.8147293632122761E-2</v>
      </c>
      <c r="AT439" s="257">
        <f t="shared" ref="AT439:BY439" si="253">AT438/AP438-1</f>
        <v>2.3997897439339111E-2</v>
      </c>
      <c r="AU439" s="257">
        <f t="shared" si="253"/>
        <v>2.3326255205122548E-2</v>
      </c>
      <c r="AV439" s="257">
        <f t="shared" si="253"/>
        <v>1.4796440063326033E-2</v>
      </c>
      <c r="AW439" s="257">
        <f t="shared" si="253"/>
        <v>-6.8204357249428416E-3</v>
      </c>
      <c r="AX439" s="257">
        <f t="shared" si="253"/>
        <v>-3.9417881564572599E-2</v>
      </c>
      <c r="AY439" s="257">
        <f t="shared" si="253"/>
        <v>1.3178285596108896E-2</v>
      </c>
      <c r="AZ439" s="257">
        <f t="shared" si="253"/>
        <v>1.6809266367654896E-2</v>
      </c>
      <c r="BA439" s="257">
        <f t="shared" si="253"/>
        <v>6.4296839839131481E-2</v>
      </c>
      <c r="BB439" s="257">
        <f t="shared" si="253"/>
        <v>-8.5044184322310978E-2</v>
      </c>
      <c r="BC439" s="461">
        <f t="shared" si="253"/>
        <v>-0.62525272441013535</v>
      </c>
      <c r="BD439" s="461">
        <f t="shared" si="253"/>
        <v>-0.27534883215845596</v>
      </c>
      <c r="BE439" s="461">
        <f t="shared" si="253"/>
        <v>-0.24561393270039356</v>
      </c>
      <c r="BF439" s="461">
        <f t="shared" si="253"/>
        <v>-0.13101319744310536</v>
      </c>
      <c r="BG439" s="461">
        <f t="shared" si="253"/>
        <v>1.4302125146204023</v>
      </c>
      <c r="BH439" s="461">
        <f t="shared" si="253"/>
        <v>0.41624908828214169</v>
      </c>
      <c r="BI439" s="461">
        <f t="shared" si="253"/>
        <v>0.45712813600376712</v>
      </c>
      <c r="BJ439" s="461">
        <f t="shared" si="253"/>
        <v>0.45170100069966312</v>
      </c>
      <c r="BK439" s="461">
        <f t="shared" si="253"/>
        <v>0.31625944182414045</v>
      </c>
      <c r="BL439" s="461">
        <f t="shared" si="253"/>
        <v>0.2141730070590937</v>
      </c>
      <c r="BM439" s="461">
        <f t="shared" si="253"/>
        <v>9.6654199397451235E-2</v>
      </c>
      <c r="BN439" s="461">
        <f>BN438/BJ438-1</f>
        <v>0.12095140427996887</v>
      </c>
      <c r="BO439" s="461">
        <f>BO438/BK438-1</f>
        <v>8.340623004857517E-2</v>
      </c>
      <c r="BP439" s="461">
        <f>BP438/BL438-1</f>
        <v>7.3269134014351645E-2</v>
      </c>
      <c r="BQ439" s="461">
        <f>BQ438/BM438-1</f>
        <v>1.243419228201148E-2</v>
      </c>
      <c r="BR439" s="461">
        <f t="shared" si="253"/>
        <v>-1.2220167874162913E-2</v>
      </c>
      <c r="BS439" s="461">
        <f t="shared" si="253"/>
        <v>-2.9207297306075186E-2</v>
      </c>
      <c r="BT439" s="461">
        <f t="shared" si="253"/>
        <v>-1.1030240907862532E-2</v>
      </c>
      <c r="BU439" s="461">
        <f t="shared" si="253"/>
        <v>6.0892587907139806E-3</v>
      </c>
      <c r="BV439" s="461">
        <f t="shared" si="253"/>
        <v>5.4782246048009853E-2</v>
      </c>
      <c r="BW439" s="461">
        <f t="shared" si="253"/>
        <v>7.6557798945593225E-2</v>
      </c>
      <c r="BX439" s="461">
        <f t="shared" si="253"/>
        <v>5.7789844882492281E-2</v>
      </c>
      <c r="BY439" s="461">
        <f t="shared" si="253"/>
        <v>5.1098464354315976E-2</v>
      </c>
      <c r="BZ439" s="461">
        <f t="shared" ref="BZ439:CS439" si="254">BZ438/BV438-1</f>
        <v>4.75647949103013E-2</v>
      </c>
      <c r="CA439" s="461">
        <f t="shared" si="254"/>
        <v>3.7060960701360335E-2</v>
      </c>
      <c r="CB439" s="461">
        <f t="shared" si="254"/>
        <v>3.8066686738843059E-2</v>
      </c>
      <c r="CC439" s="461">
        <f t="shared" si="254"/>
        <v>4.0525272035302651E-2</v>
      </c>
      <c r="CD439" s="461">
        <f t="shared" si="254"/>
        <v>3.598465928998551E-2</v>
      </c>
      <c r="CE439" s="461">
        <f t="shared" si="254"/>
        <v>3.4808714795189211E-2</v>
      </c>
      <c r="CF439" s="461">
        <f t="shared" si="254"/>
        <v>3.5703984391596721E-2</v>
      </c>
      <c r="CG439" s="461">
        <f t="shared" si="254"/>
        <v>3.8603946520259669E-2</v>
      </c>
      <c r="CH439" s="461">
        <f t="shared" si="254"/>
        <v>3.2234421318367845E-2</v>
      </c>
      <c r="CI439" s="461">
        <f t="shared" si="254"/>
        <v>3.1425408800711763E-2</v>
      </c>
      <c r="CJ439" s="461">
        <f t="shared" si="254"/>
        <v>3.2438459877851544E-2</v>
      </c>
      <c r="CK439" s="461">
        <f t="shared" si="254"/>
        <v>3.3901661279768014E-2</v>
      </c>
      <c r="CL439" s="461">
        <f t="shared" si="254"/>
        <v>3.2800187981633533E-2</v>
      </c>
      <c r="CM439" s="461">
        <f t="shared" si="254"/>
        <v>3.1788509945488208E-2</v>
      </c>
      <c r="CN439" s="461">
        <f t="shared" si="254"/>
        <v>3.2577466590736792E-2</v>
      </c>
      <c r="CO439" s="461">
        <f t="shared" si="254"/>
        <v>3.3993443432963399E-2</v>
      </c>
      <c r="CP439" s="461">
        <f t="shared" si="254"/>
        <v>3.3225205973952843E-2</v>
      </c>
      <c r="CQ439" s="461">
        <f t="shared" si="254"/>
        <v>3.2347974742133578E-2</v>
      </c>
      <c r="CR439" s="461">
        <f t="shared" si="254"/>
        <v>3.3229308401666602E-2</v>
      </c>
      <c r="CS439" s="461">
        <f t="shared" si="254"/>
        <v>3.48471663249732E-2</v>
      </c>
    </row>
    <row r="440" spans="1:97">
      <c r="A440" s="342" t="s">
        <v>731</v>
      </c>
      <c r="B440" s="258"/>
      <c r="C440" s="258"/>
      <c r="D440" s="258"/>
      <c r="E440" s="258"/>
      <c r="F440" s="258"/>
      <c r="G440" s="258"/>
      <c r="H440" s="258"/>
      <c r="I440" s="258"/>
      <c r="J440" s="258"/>
      <c r="K440" s="258">
        <f>Q_IS!C25</f>
        <v>1.7534772182254201</v>
      </c>
      <c r="L440" s="258">
        <f>Q_IS!D25</f>
        <v>1.7574954846478024</v>
      </c>
      <c r="M440" s="258">
        <f>Q_IS!E25</f>
        <v>1.9426682692307684</v>
      </c>
      <c r="N440" s="258">
        <f>Q_IS!F25</f>
        <v>1.762104004781829</v>
      </c>
      <c r="O440" s="258">
        <f>Q_IS!G25</f>
        <v>1.761094586555622</v>
      </c>
      <c r="P440" s="258">
        <f>Q_IS!H25</f>
        <v>1.7719858156028367</v>
      </c>
      <c r="Q440" s="258">
        <f>Q_IS!I25</f>
        <v>1.9266705403834983</v>
      </c>
      <c r="R440" s="258">
        <f>Q_IS!J25</f>
        <v>1.8631315789473686</v>
      </c>
      <c r="S440" s="258">
        <f>Q_IS!K25</f>
        <v>1.9494344122657581</v>
      </c>
      <c r="T440" s="258">
        <f>Q_IS!L25</f>
        <v>1.9684841986455981</v>
      </c>
      <c r="U440" s="258">
        <f>Q_IS!M25</f>
        <v>2.0111535455053042</v>
      </c>
      <c r="V440" s="258">
        <f>Q_IS!N25</f>
        <v>2.0798887688984879</v>
      </c>
      <c r="W440" s="258">
        <f>Q_IS!O25</f>
        <v>2.3057080679405519</v>
      </c>
      <c r="X440" s="258">
        <f>Q_IS!P25</f>
        <v>2.2970578249336864</v>
      </c>
      <c r="Y440" s="258">
        <f>Q_IS!Q25</f>
        <v>2.3929384534455549</v>
      </c>
      <c r="Z440" s="258">
        <f>Q_IS!R25</f>
        <v>2.3329027196652721</v>
      </c>
      <c r="AA440" s="258">
        <f>Q_IS!S25</f>
        <v>2.4662161895360315</v>
      </c>
      <c r="AB440" s="258">
        <f>Q_IS!T25</f>
        <v>2.3568933025404162</v>
      </c>
      <c r="AC440" s="258">
        <f>Q_IS!U25</f>
        <v>2.4905417789757411</v>
      </c>
      <c r="AD440" s="258">
        <f>Q_IS!V25</f>
        <v>2.3444616063548103</v>
      </c>
      <c r="AE440" s="258">
        <f>Q_IS!W25</f>
        <v>2.8251111957349582</v>
      </c>
      <c r="AF440" s="258">
        <f>Q_IS!X25</f>
        <v>2.7431662216288384</v>
      </c>
      <c r="AG440" s="258">
        <f>Q_IS!Y25</f>
        <v>3.0816328947368423</v>
      </c>
      <c r="AH440" s="258">
        <f>Q_IS!Z25</f>
        <v>2.0102406801831263</v>
      </c>
      <c r="AI440" s="258">
        <f>Q_IS!AA25</f>
        <v>1.9759785226163358</v>
      </c>
      <c r="AJ440" s="258">
        <f>Q_IS!AB25</f>
        <v>2.1198231162196679</v>
      </c>
      <c r="AK440" s="258">
        <f>Q_IS!AC25</f>
        <v>2.1726725385341306</v>
      </c>
      <c r="AL440" s="258">
        <f>Q_IS!AD25</f>
        <v>2.0972668972021378</v>
      </c>
      <c r="AM440" s="258">
        <f>Q_IS!AE25</f>
        <v>2.1661744587386256</v>
      </c>
      <c r="AN440" s="258">
        <f>Q_IS!AF25</f>
        <v>2.1379654747225647</v>
      </c>
      <c r="AO440" s="258">
        <f>Q_IS!AG25</f>
        <v>2.20525433871933</v>
      </c>
      <c r="AP440" s="258">
        <f>Q_IS!AH25</f>
        <v>2.1583985993580392</v>
      </c>
      <c r="AQ440" s="258">
        <f>Q_IS!AI25</f>
        <v>2.2835480713874499</v>
      </c>
      <c r="AR440" s="258">
        <f>Q_IS!AJ25</f>
        <v>2.2430255536626915</v>
      </c>
      <c r="AS440" s="258">
        <f>Q_IS!AK25</f>
        <v>2.3533732590529248</v>
      </c>
      <c r="AT440" s="258">
        <f>Q_IS!AL25</f>
        <v>3.0933024538185827</v>
      </c>
      <c r="AU440" s="258">
        <f>Q_IS!AM25</f>
        <v>3.1818162428219852</v>
      </c>
      <c r="AV440" s="258">
        <f>Q_IS!AN25</f>
        <v>3.1926157582298971</v>
      </c>
      <c r="AW440" s="258">
        <f>Q_IS!AO25</f>
        <v>3.4292015873015873</v>
      </c>
      <c r="AX440" s="258">
        <f>Q_IS!AP25</f>
        <v>3.0829927159209154</v>
      </c>
      <c r="AY440" s="258">
        <f>Q_IS!AQ25</f>
        <v>3.3214488680718186</v>
      </c>
      <c r="AZ440" s="258">
        <f>Q_IS!AR25</f>
        <v>3.6276185755283068</v>
      </c>
      <c r="BA440" s="258">
        <f>Q_IS!AS25</f>
        <v>3.5621633185494392</v>
      </c>
      <c r="BB440" s="258">
        <f>Q_IS!AT25</f>
        <v>3.1275989515072085</v>
      </c>
      <c r="BC440" s="460">
        <f>Q_IS!AU25</f>
        <v>1.390707284768212</v>
      </c>
      <c r="BD440" s="460">
        <f>Q_IS!AV25</f>
        <v>2.3431311563169164</v>
      </c>
      <c r="BE440" s="460">
        <f>Q_IS!AW25</f>
        <v>2.8892963868513992</v>
      </c>
      <c r="BF440" s="460">
        <f>Q_IS!AX25</f>
        <v>2.6701229666390955</v>
      </c>
      <c r="BG440" s="460">
        <f>Q_IS!AY25</f>
        <v>3.5122207432057682</v>
      </c>
      <c r="BH440" s="460">
        <f>Q_IS!AZ25</f>
        <v>3.634882862734135</v>
      </c>
      <c r="BI440" s="460">
        <f>Q_IS!BA25</f>
        <v>4.3195227145260793</v>
      </c>
      <c r="BJ440" s="460">
        <f>Q_IS!BB25</f>
        <v>4.0183293262510489</v>
      </c>
      <c r="BK440" s="460">
        <f>Q_IS!BC25</f>
        <v>4.5788029034059186</v>
      </c>
      <c r="BL440" s="460">
        <f>Q_IS!BD25</f>
        <v>4.56582298914556</v>
      </c>
      <c r="BM440" s="460">
        <f>Q_IS!BE25</f>
        <v>5.0571629955947133</v>
      </c>
      <c r="BN440" s="460">
        <f>Q_IS!BF25</f>
        <v>4.6874543965046422</v>
      </c>
      <c r="BO440" s="460">
        <f>Q_IS!BG25</f>
        <v>5.1735693911135501</v>
      </c>
      <c r="BP440" s="460">
        <f>Q_IS!BH25</f>
        <v>5.1887339752407158</v>
      </c>
      <c r="BQ440" s="460">
        <f>Q_IS!BI25</f>
        <v>5.4862305805396563</v>
      </c>
      <c r="BR440" s="460">
        <f>Q_IS!BJ25</f>
        <v>5.1810228679042227</v>
      </c>
      <c r="BS440" s="460">
        <f>Q_IS!BK25</f>
        <v>5.4505363515312917</v>
      </c>
      <c r="BT440" s="460">
        <f>Q_IS!BL25</f>
        <v>5.3888405141952749</v>
      </c>
      <c r="BU440" s="460">
        <f>Q_IS!BM25</f>
        <v>5.688552709539473</v>
      </c>
      <c r="BV440" s="460">
        <f>Q_IS!BN25</f>
        <v>5.3569530842699242</v>
      </c>
      <c r="BW440" s="460">
        <f>Q_IS!BO25</f>
        <v>5.6470469173220996</v>
      </c>
      <c r="BX440" s="460">
        <f>Q_IS!BP25</f>
        <v>5.5713158370249465</v>
      </c>
      <c r="BY440" s="460">
        <f>Q_IS!BQ25</f>
        <v>5.8763245393852834</v>
      </c>
      <c r="BZ440" s="460">
        <f>Q_IS!BR25</f>
        <v>5.5294090618185399</v>
      </c>
      <c r="CA440" s="460">
        <f>Q_IS!BS25</f>
        <v>5.8301578443122306</v>
      </c>
      <c r="CB440" s="460">
        <f>Q_IS!BT25</f>
        <v>5.7532589041861906</v>
      </c>
      <c r="CC440" s="460">
        <f>Q_IS!BU25</f>
        <v>6.0699512367663173</v>
      </c>
      <c r="CD440" s="460">
        <f>Q_IS!BV25</f>
        <v>5.7129116529236272</v>
      </c>
      <c r="CE440" s="460">
        <f>Q_IS!BW25</f>
        <v>6.0243329625136797</v>
      </c>
      <c r="CF440" s="460">
        <f>Q_IS!BX25</f>
        <v>5.9455506854903195</v>
      </c>
      <c r="CG440" s="460">
        <f>Q_IS!BY25</f>
        <v>6.2745144573637281</v>
      </c>
      <c r="CH440" s="460">
        <f>Q_IS!BZ25</f>
        <v>5.8520665398895666</v>
      </c>
      <c r="CI440" s="460">
        <f>Q_IS!CA25</f>
        <v>6.1711467083697844</v>
      </c>
      <c r="CJ440" s="460">
        <f>Q_IS!CB25</f>
        <v>6.0905163146749866</v>
      </c>
      <c r="CK440" s="460">
        <f>Q_IS!CC25</f>
        <v>6.427613666933782</v>
      </c>
      <c r="CL440" s="460">
        <f>Q_IS!CD25</f>
        <v>5.9949620103298846</v>
      </c>
      <c r="CM440" s="460">
        <f>Q_IS!CE25</f>
        <v>6.3219060018230371</v>
      </c>
      <c r="CN440" s="460">
        <f>Q_IS!CF25</f>
        <v>6.2393769411599775</v>
      </c>
      <c r="CO440" s="460">
        <f>Q_IS!CG25</f>
        <v>6.5848250442606719</v>
      </c>
      <c r="CP440" s="460">
        <f>Q_IS!CH25</f>
        <v>6.141982756863273</v>
      </c>
      <c r="CQ440" s="460">
        <f>Q_IS!CI25</f>
        <v>6.4776223400679926</v>
      </c>
      <c r="CR440" s="460">
        <f>Q_IS!CJ25</f>
        <v>6.393725444241813</v>
      </c>
      <c r="CS440" s="460">
        <f>Q_IS!CK25</f>
        <v>6.7490787788382498</v>
      </c>
    </row>
    <row r="441" spans="1:97">
      <c r="A441" s="665" t="str">
        <f>A431</f>
        <v>Growth</v>
      </c>
      <c r="B441" s="257"/>
      <c r="C441" s="257"/>
      <c r="D441" s="257"/>
      <c r="E441" s="257"/>
      <c r="F441" s="257"/>
      <c r="G441" s="257"/>
      <c r="H441" s="257"/>
      <c r="I441" s="257"/>
      <c r="J441" s="257"/>
      <c r="K441" s="257"/>
      <c r="L441" s="257"/>
      <c r="M441" s="257"/>
      <c r="N441" s="257"/>
      <c r="O441" s="257">
        <f t="shared" ref="O441:AT441" si="255">O440/K440-1</f>
        <v>4.3441501554899453E-3</v>
      </c>
      <c r="P441" s="257">
        <f t="shared" si="255"/>
        <v>8.2448752111237145E-3</v>
      </c>
      <c r="Q441" s="257">
        <f t="shared" si="255"/>
        <v>-8.234925695062012E-3</v>
      </c>
      <c r="R441" s="257">
        <f t="shared" si="255"/>
        <v>5.7333491037634854E-2</v>
      </c>
      <c r="S441" s="257">
        <f t="shared" si="255"/>
        <v>0.10694475308023876</v>
      </c>
      <c r="T441" s="257">
        <f t="shared" si="255"/>
        <v>0.11089162300992328</v>
      </c>
      <c r="U441" s="257">
        <f t="shared" si="255"/>
        <v>4.3849222454499071E-2</v>
      </c>
      <c r="V441" s="257">
        <f t="shared" si="255"/>
        <v>0.11634024799986631</v>
      </c>
      <c r="W441" s="257">
        <f t="shared" si="255"/>
        <v>0.18275744668973481</v>
      </c>
      <c r="X441" s="257">
        <f t="shared" si="255"/>
        <v>0.16691707584656301</v>
      </c>
      <c r="Y441" s="257">
        <f t="shared" si="255"/>
        <v>0.18983379403999057</v>
      </c>
      <c r="Z441" s="257">
        <f t="shared" si="255"/>
        <v>0.12164782778301197</v>
      </c>
      <c r="AA441" s="257">
        <f t="shared" si="255"/>
        <v>6.9613375529732568E-2</v>
      </c>
      <c r="AB441" s="257">
        <f t="shared" si="255"/>
        <v>2.6048746773911668E-2</v>
      </c>
      <c r="AC441" s="257">
        <f t="shared" si="255"/>
        <v>4.0788063474699321E-2</v>
      </c>
      <c r="AD441" s="257">
        <f t="shared" si="255"/>
        <v>4.9547229689872463E-3</v>
      </c>
      <c r="AE441" s="257">
        <f t="shared" si="255"/>
        <v>0.14552455203306636</v>
      </c>
      <c r="AF441" s="257">
        <f t="shared" si="255"/>
        <v>0.16389071099318397</v>
      </c>
      <c r="AG441" s="257">
        <f t="shared" si="255"/>
        <v>0.23733435060229868</v>
      </c>
      <c r="AH441" s="257">
        <f t="shared" si="255"/>
        <v>-0.14255764533134485</v>
      </c>
      <c r="AI441" s="257">
        <f t="shared" si="255"/>
        <v>-0.30056610670778172</v>
      </c>
      <c r="AJ441" s="257">
        <f t="shared" si="255"/>
        <v>-0.22723490122266143</v>
      </c>
      <c r="AK441" s="257">
        <f t="shared" si="255"/>
        <v>-0.29496062225813335</v>
      </c>
      <c r="AL441" s="257">
        <f t="shared" si="255"/>
        <v>4.3291441605431968E-2</v>
      </c>
      <c r="AM441" s="257">
        <f t="shared" si="255"/>
        <v>9.6254050307417849E-2</v>
      </c>
      <c r="AN441" s="257">
        <f t="shared" si="255"/>
        <v>8.5584303539676387E-3</v>
      </c>
      <c r="AO441" s="257">
        <f t="shared" si="255"/>
        <v>1.4996185392568195E-2</v>
      </c>
      <c r="AP441" s="257">
        <f t="shared" si="255"/>
        <v>2.9148270178418478E-2</v>
      </c>
      <c r="AQ441" s="257">
        <f t="shared" si="255"/>
        <v>5.4184745912465138E-2</v>
      </c>
      <c r="AR441" s="257">
        <f t="shared" si="255"/>
        <v>4.9140213058753934E-2</v>
      </c>
      <c r="AS441" s="257">
        <f t="shared" si="255"/>
        <v>6.7166366134263189E-2</v>
      </c>
      <c r="AT441" s="257">
        <f t="shared" si="255"/>
        <v>0.43314698904021109</v>
      </c>
      <c r="AU441" s="257">
        <f t="shared" ref="AU441:BY441" si="256">AU440/AQ440-1</f>
        <v>0.39336512451378391</v>
      </c>
      <c r="AV441" s="257">
        <f t="shared" si="256"/>
        <v>0.42335237911872925</v>
      </c>
      <c r="AW441" s="257">
        <f t="shared" si="256"/>
        <v>0.45714309198941572</v>
      </c>
      <c r="AX441" s="257">
        <f t="shared" si="256"/>
        <v>-3.3329226778132659E-3</v>
      </c>
      <c r="AY441" s="257">
        <f t="shared" si="256"/>
        <v>4.3884566107435408E-2</v>
      </c>
      <c r="AZ441" s="257">
        <f t="shared" si="256"/>
        <v>0.13625279402228818</v>
      </c>
      <c r="BA441" s="257">
        <f t="shared" si="256"/>
        <v>3.8773378543918824E-2</v>
      </c>
      <c r="BB441" s="257">
        <f t="shared" si="256"/>
        <v>1.4468485558185584E-2</v>
      </c>
      <c r="BC441" s="461">
        <f t="shared" si="256"/>
        <v>-0.58129498902220011</v>
      </c>
      <c r="BD441" s="461">
        <f t="shared" si="256"/>
        <v>-0.35408557776070071</v>
      </c>
      <c r="BE441" s="461">
        <f t="shared" si="256"/>
        <v>-0.18889277989983921</v>
      </c>
      <c r="BF441" s="461">
        <f t="shared" si="256"/>
        <v>-0.14627066703921632</v>
      </c>
      <c r="BG441" s="461">
        <f t="shared" si="256"/>
        <v>1.5254924466661919</v>
      </c>
      <c r="BH441" s="461">
        <f t="shared" si="256"/>
        <v>0.55129295811493395</v>
      </c>
      <c r="BI441" s="461">
        <f t="shared" si="256"/>
        <v>0.49500851978473004</v>
      </c>
      <c r="BJ441" s="461">
        <f t="shared" si="256"/>
        <v>0.50492294791537295</v>
      </c>
      <c r="BK441" s="461">
        <f t="shared" si="256"/>
        <v>0.30367742752599058</v>
      </c>
      <c r="BL441" s="461">
        <f t="shared" si="256"/>
        <v>0.25611282717132133</v>
      </c>
      <c r="BM441" s="461">
        <f t="shared" si="256"/>
        <v>0.17076893208317467</v>
      </c>
      <c r="BN441" s="461">
        <f>BN440/BJ440-1</f>
        <v>0.16651822584135045</v>
      </c>
      <c r="BO441" s="461">
        <f>BO440/BK440-1</f>
        <v>0.12989562998337778</v>
      </c>
      <c r="BP441" s="461">
        <f>BP440/BL440-1</f>
        <v>0.13642907041644348</v>
      </c>
      <c r="BQ441" s="461">
        <f>BQ440/BM440-1</f>
        <v>8.484353486702001E-2</v>
      </c>
      <c r="BR441" s="461">
        <f t="shared" si="256"/>
        <v>0.10529563162633138</v>
      </c>
      <c r="BS441" s="461">
        <f t="shared" si="256"/>
        <v>5.353498512912136E-2</v>
      </c>
      <c r="BT441" s="461">
        <f t="shared" si="256"/>
        <v>3.8565580719577275E-2</v>
      </c>
      <c r="BU441" s="461">
        <f t="shared" si="256"/>
        <v>3.6878167264328798E-2</v>
      </c>
      <c r="BV441" s="461">
        <f t="shared" si="256"/>
        <v>3.395665698670558E-2</v>
      </c>
      <c r="BW441" s="461">
        <f t="shared" si="256"/>
        <v>3.6053436417426976E-2</v>
      </c>
      <c r="BX441" s="461">
        <f t="shared" si="256"/>
        <v>3.386170408068212E-2</v>
      </c>
      <c r="BY441" s="461">
        <f t="shared" si="256"/>
        <v>3.300871758310775E-2</v>
      </c>
      <c r="BZ441" s="461">
        <f t="shared" ref="BZ441:CS441" si="257">BZ440/BV440-1</f>
        <v>3.2192922886521647E-2</v>
      </c>
      <c r="CA441" s="461">
        <f t="shared" si="257"/>
        <v>3.2425961687770899E-2</v>
      </c>
      <c r="CB441" s="461">
        <f t="shared" si="257"/>
        <v>3.2657108748370689E-2</v>
      </c>
      <c r="CC441" s="461">
        <f t="shared" si="257"/>
        <v>3.2950306961992526E-2</v>
      </c>
      <c r="CD441" s="461">
        <f t="shared" si="257"/>
        <v>3.3186655039179946E-2</v>
      </c>
      <c r="CE441" s="461">
        <f t="shared" si="257"/>
        <v>3.330529350777045E-2</v>
      </c>
      <c r="CF441" s="461">
        <f t="shared" si="257"/>
        <v>3.3423105844274437E-2</v>
      </c>
      <c r="CG441" s="461">
        <f t="shared" si="257"/>
        <v>3.3700966056918302E-2</v>
      </c>
      <c r="CH441" s="461">
        <f t="shared" si="257"/>
        <v>2.4357962352651752E-2</v>
      </c>
      <c r="CI441" s="461">
        <f t="shared" si="257"/>
        <v>2.437012475400202E-2</v>
      </c>
      <c r="CJ441" s="461">
        <f t="shared" si="257"/>
        <v>2.4382203912321376E-2</v>
      </c>
      <c r="CK441" s="461">
        <f t="shared" si="257"/>
        <v>2.4400168429029145E-2</v>
      </c>
      <c r="CL441" s="461">
        <f t="shared" si="257"/>
        <v>2.4417950388345044E-2</v>
      </c>
      <c r="CM441" s="461">
        <f t="shared" si="257"/>
        <v>2.4429704976675071E-2</v>
      </c>
      <c r="CN441" s="461">
        <f t="shared" si="257"/>
        <v>2.4441380466597495E-2</v>
      </c>
      <c r="CO441" s="461">
        <f t="shared" si="257"/>
        <v>2.4458747129692648E-2</v>
      </c>
      <c r="CP441" s="461">
        <f t="shared" si="257"/>
        <v>2.4524049740441756E-2</v>
      </c>
      <c r="CQ441" s="461">
        <f t="shared" si="257"/>
        <v>2.4631232764304345E-2</v>
      </c>
      <c r="CR441" s="461">
        <f t="shared" si="257"/>
        <v>2.4737807081926411E-2</v>
      </c>
      <c r="CS441" s="461">
        <f t="shared" si="257"/>
        <v>2.4944282266199602E-2</v>
      </c>
    </row>
    <row r="442" spans="1:97">
      <c r="A442" s="342" t="s">
        <v>733</v>
      </c>
      <c r="B442" s="258"/>
      <c r="C442" s="258"/>
      <c r="D442" s="258"/>
      <c r="E442" s="258"/>
      <c r="F442" s="258"/>
      <c r="G442" s="258"/>
      <c r="H442" s="258"/>
      <c r="I442" s="258"/>
      <c r="J442" s="258"/>
      <c r="K442" s="258">
        <f>Q_IS!C170</f>
        <v>2.9750995348837206</v>
      </c>
      <c r="L442" s="258">
        <f>Q_IS!D170</f>
        <v>3.3152909666423178</v>
      </c>
      <c r="M442" s="258">
        <f>Q_IS!E170</f>
        <v>3.4183575138504159</v>
      </c>
      <c r="N442" s="258">
        <f>Q_IS!F170</f>
        <v>3.0323974285766915</v>
      </c>
      <c r="O442" s="258">
        <f>Q_IS!G170</f>
        <v>3.4830117478314326</v>
      </c>
      <c r="P442" s="258">
        <f>Q_IS!H170</f>
        <v>3.9477512755102038</v>
      </c>
      <c r="Q442" s="258">
        <f>Q_IS!I170</f>
        <v>3.8465311498754002</v>
      </c>
      <c r="R442" s="258">
        <f>Q_IS!J170</f>
        <v>3.3383225806451611</v>
      </c>
      <c r="S442" s="258">
        <f>Q_IS!K170</f>
        <v>3.7158415081422076</v>
      </c>
      <c r="T442" s="258">
        <f>Q_IS!L170</f>
        <v>4.3874201630854239</v>
      </c>
      <c r="U442" s="258">
        <f>Q_IS!M170</f>
        <v>4.45042988068802</v>
      </c>
      <c r="V442" s="258">
        <f>Q_IS!N170</f>
        <v>3.9632743897881388</v>
      </c>
      <c r="W442" s="258">
        <f>Q_IS!O170</f>
        <v>4.6731193116130383</v>
      </c>
      <c r="X442" s="258">
        <f>Q_IS!P170</f>
        <v>4.9679564121945079</v>
      </c>
      <c r="Y442" s="258">
        <f>Q_IS!Q170</f>
        <v>4.5695834447167156</v>
      </c>
      <c r="Z442" s="258">
        <f>Q_IS!R170</f>
        <v>3.9069307021359401</v>
      </c>
      <c r="AA442" s="258">
        <f>Q_IS!S170</f>
        <v>4.4815127958773697</v>
      </c>
      <c r="AB442" s="258">
        <f>Q_IS!T170</f>
        <v>4.7558003409642398</v>
      </c>
      <c r="AC442" s="258">
        <f>Q_IS!U170</f>
        <v>4.5118367126442731</v>
      </c>
      <c r="AD442" s="258">
        <f>Q_IS!V170</f>
        <v>3.4835457418455671</v>
      </c>
      <c r="AE442" s="258">
        <f>Q_IS!W170</f>
        <v>3.7585663495838286</v>
      </c>
      <c r="AF442" s="258">
        <f>Q_IS!X170</f>
        <v>4.115247839331551</v>
      </c>
      <c r="AG442" s="258">
        <f>Q_IS!Y170</f>
        <v>4.0841613553178764</v>
      </c>
      <c r="AH442" s="258">
        <f>Q_IS!Z170</f>
        <v>4.0971238651337654</v>
      </c>
      <c r="AI442" s="258">
        <f>Q_IS!AA170</f>
        <v>4.6901273065631619</v>
      </c>
      <c r="AJ442" s="258">
        <f>Q_IS!AB170</f>
        <v>5.189490272041299</v>
      </c>
      <c r="AK442" s="258">
        <f>Q_IS!AC170</f>
        <v>5.1559555376444575</v>
      </c>
      <c r="AL442" s="258">
        <f>Q_IS!AD170</f>
        <v>3.946467701290719</v>
      </c>
      <c r="AM442" s="258">
        <f>Q_IS!AE170</f>
        <v>4.4718415069051236</v>
      </c>
      <c r="AN442" s="258">
        <f>Q_IS!AF170</f>
        <v>5.0701450029480144</v>
      </c>
      <c r="AO442" s="258">
        <f>Q_IS!AG170</f>
        <v>5.1764543267279208</v>
      </c>
      <c r="AP442" s="258">
        <f>Q_IS!AH170</f>
        <v>5.2684221185365709</v>
      </c>
      <c r="AQ442" s="258">
        <f>Q_IS!AI170</f>
        <v>5.0556258847252753</v>
      </c>
      <c r="AR442" s="258">
        <f>Q_IS!AJ170</f>
        <v>5.242953384581778</v>
      </c>
      <c r="AS442" s="258">
        <f>Q_IS!AK170</f>
        <v>5.310994397225576</v>
      </c>
      <c r="AT442" s="258">
        <f>Q_IS!AL170</f>
        <v>4.9170218221329849</v>
      </c>
      <c r="AU442" s="258">
        <f>Q_IS!AM170</f>
        <v>5.0013847164651297</v>
      </c>
      <c r="AV442" s="258">
        <f>Q_IS!AN170</f>
        <v>4.3035143593993084</v>
      </c>
      <c r="AW442" s="258">
        <f>Q_IS!AO170</f>
        <v>4.0079902430427179</v>
      </c>
      <c r="AX442" s="258">
        <f>Q_IS!AP170</f>
        <v>3.7183533101586126</v>
      </c>
      <c r="AY442" s="258">
        <f>Q_IS!AQ170</f>
        <v>3.9715810393540196</v>
      </c>
      <c r="AZ442" s="258">
        <f>Q_IS!AR170</f>
        <v>4.1822677205128249</v>
      </c>
      <c r="BA442" s="258">
        <f>Q_IS!AS170</f>
        <v>3.9948451362987329</v>
      </c>
      <c r="BB442" s="258">
        <f>Q_IS!AT170</f>
        <v>2.8575623006313018</v>
      </c>
      <c r="BC442" s="460">
        <f>Q_IS!AU170</f>
        <v>1.2759675416156071</v>
      </c>
      <c r="BD442" s="460">
        <f>Q_IS!AV170</f>
        <v>2.0963914114333284</v>
      </c>
      <c r="BE442" s="460">
        <f>Q_IS!AW170</f>
        <v>2.9500961153952416</v>
      </c>
      <c r="BF442" s="460">
        <f>Q_IS!AX170</f>
        <v>2.9067375930906336</v>
      </c>
      <c r="BG442" s="460">
        <f>Q_IS!AY170</f>
        <v>2.8426079353377776</v>
      </c>
      <c r="BH442" s="460">
        <f>Q_IS!AZ170</f>
        <v>3.9365306969609977</v>
      </c>
      <c r="BI442" s="460">
        <f>Q_IS!BA170</f>
        <v>4.9063164493111611</v>
      </c>
      <c r="BJ442" s="460">
        <f>Q_IS!BB170</f>
        <v>4.3032590360087033</v>
      </c>
      <c r="BK442" s="460">
        <f>Q_IS!BC170</f>
        <v>4.9326898579392937</v>
      </c>
      <c r="BL442" s="460">
        <f>Q_IS!BD170</f>
        <v>5.6654198649897838</v>
      </c>
      <c r="BM442" s="460">
        <f>Q_IS!BE170</f>
        <v>5.7747425383469775</v>
      </c>
      <c r="BN442" s="460">
        <f>Q_IS!BF170</f>
        <v>4.6138545789538696</v>
      </c>
      <c r="BO442" s="460">
        <f>Q_IS!BG170</f>
        <v>5.0107172714372306</v>
      </c>
      <c r="BP442" s="460">
        <f>Q_IS!BH170</f>
        <v>5.5956010955712774</v>
      </c>
      <c r="BQ442" s="460">
        <f>Q_IS!BI170</f>
        <v>4.7133661061241643</v>
      </c>
      <c r="BR442" s="460">
        <f>Q_IS!BJ170</f>
        <v>3.6268011782618976</v>
      </c>
      <c r="BS442" s="460">
        <f>Q_IS!BK170</f>
        <v>4.1831657191769596</v>
      </c>
      <c r="BT442" s="460">
        <f>Q_IS!BL170</f>
        <v>4.4064305215116439</v>
      </c>
      <c r="BU442" s="460">
        <f>Q_IS!BM170</f>
        <v>3.383224598138737</v>
      </c>
      <c r="BV442" s="460">
        <f>Q_IS!BN170</f>
        <v>3.7053516526352643</v>
      </c>
      <c r="BW442" s="460">
        <f>Q_IS!BO170</f>
        <v>4.598129050236702</v>
      </c>
      <c r="BX442" s="460">
        <f>Q_IS!BP170</f>
        <v>4.6344566526841549</v>
      </c>
      <c r="BY442" s="460">
        <f>Q_IS!BQ170</f>
        <v>3.4754773430405153</v>
      </c>
      <c r="BZ442" s="460">
        <f>Q_IS!BR170</f>
        <v>3.8376067615493721</v>
      </c>
      <c r="CA442" s="460">
        <f>Q_IS!BS170</f>
        <v>4.7199267229600999</v>
      </c>
      <c r="CB442" s="460">
        <f>Q_IS!BT170</f>
        <v>4.7588569762665935</v>
      </c>
      <c r="CC442" s="460">
        <f>Q_IS!BU170</f>
        <v>3.5679519316381629</v>
      </c>
      <c r="CD442" s="460">
        <f>Q_IS!BV170</f>
        <v>3.860184945343879</v>
      </c>
      <c r="CE442" s="460">
        <f>Q_IS!BW170</f>
        <v>4.7465205249208076</v>
      </c>
      <c r="CF442" s="460">
        <f>Q_IS!BX170</f>
        <v>4.7844998224812221</v>
      </c>
      <c r="CG442" s="460">
        <f>Q_IS!BY170</f>
        <v>3.5850464766807195</v>
      </c>
      <c r="CH442" s="460">
        <f>Q_IS!BZ170</f>
        <v>3.9037125739517751</v>
      </c>
      <c r="CI442" s="460">
        <f>Q_IS!CA170</f>
        <v>4.7999867662972759</v>
      </c>
      <c r="CJ442" s="460">
        <f>Q_IS!CB170</f>
        <v>4.8383383735270877</v>
      </c>
      <c r="CK442" s="460">
        <f>Q_IS!CC170</f>
        <v>3.6257340259387099</v>
      </c>
      <c r="CL442" s="460">
        <f>Q_IS!CD170</f>
        <v>3.9479729006942423</v>
      </c>
      <c r="CM442" s="460">
        <f>Q_IS!CE170</f>
        <v>4.8533340174260191</v>
      </c>
      <c r="CN442" s="460">
        <f>Q_IS!CF170</f>
        <v>4.8910385572116271</v>
      </c>
      <c r="CO442" s="460">
        <f>Q_IS!CG170</f>
        <v>3.6648082513536191</v>
      </c>
      <c r="CP442" s="460">
        <f>Q_IS!CH170</f>
        <v>3.9904901705273361</v>
      </c>
      <c r="CQ442" s="460">
        <f>Q_IS!CI170</f>
        <v>4.9055782110992032</v>
      </c>
      <c r="CR442" s="460">
        <f>Q_IS!CJ170</f>
        <v>4.9436654067614763</v>
      </c>
      <c r="CS442" s="460">
        <f>Q_IS!CK170</f>
        <v>3.7046635080049235</v>
      </c>
    </row>
    <row r="443" spans="1:97">
      <c r="A443" s="665" t="str">
        <f>A433</f>
        <v>Growth</v>
      </c>
      <c r="B443" s="257"/>
      <c r="C443" s="257"/>
      <c r="D443" s="257"/>
      <c r="E443" s="257"/>
      <c r="F443" s="257"/>
      <c r="G443" s="257"/>
      <c r="H443" s="257"/>
      <c r="I443" s="257"/>
      <c r="J443" s="257"/>
      <c r="K443" s="257"/>
      <c r="L443" s="257"/>
      <c r="M443" s="257"/>
      <c r="N443" s="257"/>
      <c r="O443" s="257">
        <f t="shared" ref="O443:AT443" si="258">O442/K442-1</f>
        <v>0.17072108243516748</v>
      </c>
      <c r="P443" s="257">
        <f t="shared" si="258"/>
        <v>0.19077067902381839</v>
      </c>
      <c r="Q443" s="257">
        <f t="shared" si="258"/>
        <v>0.12525712547330725</v>
      </c>
      <c r="R443" s="257">
        <f t="shared" si="258"/>
        <v>0.10088557297453615</v>
      </c>
      <c r="S443" s="257">
        <f t="shared" si="258"/>
        <v>6.6847250933258495E-2</v>
      </c>
      <c r="T443" s="257">
        <f t="shared" si="258"/>
        <v>0.11137198290649608</v>
      </c>
      <c r="U443" s="257">
        <f t="shared" si="258"/>
        <v>0.15699826864321165</v>
      </c>
      <c r="V443" s="257">
        <f t="shared" si="258"/>
        <v>0.18720533862314781</v>
      </c>
      <c r="W443" s="257">
        <f t="shared" si="258"/>
        <v>0.25762073042491962</v>
      </c>
      <c r="X443" s="257">
        <f t="shared" si="258"/>
        <v>0.13231836193705826</v>
      </c>
      <c r="Y443" s="257">
        <f t="shared" si="258"/>
        <v>2.6773495420238991E-2</v>
      </c>
      <c r="Z443" s="257">
        <f t="shared" si="258"/>
        <v>-1.4216448852841235E-2</v>
      </c>
      <c r="AA443" s="257">
        <f t="shared" si="258"/>
        <v>-4.1001845439621598E-2</v>
      </c>
      <c r="AB443" s="257">
        <f t="shared" si="258"/>
        <v>-4.2704897875010084E-2</v>
      </c>
      <c r="AC443" s="257">
        <f t="shared" si="258"/>
        <v>-1.2637198285372908E-2</v>
      </c>
      <c r="AD443" s="257">
        <f t="shared" si="258"/>
        <v>-0.10836766571234702</v>
      </c>
      <c r="AE443" s="257">
        <f t="shared" si="258"/>
        <v>-0.16131750130415634</v>
      </c>
      <c r="AF443" s="257">
        <f t="shared" si="258"/>
        <v>-0.13468868659503408</v>
      </c>
      <c r="AG443" s="257">
        <f t="shared" si="258"/>
        <v>-9.4789635477687151E-2</v>
      </c>
      <c r="AH443" s="257">
        <f t="shared" si="258"/>
        <v>0.17613608913403489</v>
      </c>
      <c r="AI443" s="257">
        <f t="shared" si="258"/>
        <v>0.24785007642142109</v>
      </c>
      <c r="AJ443" s="257">
        <f t="shared" si="258"/>
        <v>0.26103954722791123</v>
      </c>
      <c r="AK443" s="257">
        <f t="shared" si="258"/>
        <v>0.2624269927364713</v>
      </c>
      <c r="AL443" s="257">
        <f t="shared" si="258"/>
        <v>-3.6771200676923521E-2</v>
      </c>
      <c r="AM443" s="257">
        <f t="shared" si="258"/>
        <v>-4.6541551090218514E-2</v>
      </c>
      <c r="AN443" s="257">
        <f t="shared" si="258"/>
        <v>-2.2997493556595416E-2</v>
      </c>
      <c r="AO443" s="257">
        <f t="shared" si="258"/>
        <v>3.9757497778634132E-3</v>
      </c>
      <c r="AP443" s="257">
        <f t="shared" si="258"/>
        <v>0.33497155362845055</v>
      </c>
      <c r="AQ443" s="257">
        <f t="shared" si="258"/>
        <v>0.13054675057662712</v>
      </c>
      <c r="AR443" s="257">
        <f t="shared" si="258"/>
        <v>3.4083518623882592E-2</v>
      </c>
      <c r="AS443" s="257">
        <f t="shared" si="258"/>
        <v>2.5990777085190375E-2</v>
      </c>
      <c r="AT443" s="257">
        <f t="shared" si="258"/>
        <v>-6.6699343465135175E-2</v>
      </c>
      <c r="AU443" s="257">
        <f t="shared" ref="AU443:BY443" si="259">AU442/AQ442-1</f>
        <v>-1.0728873041026654E-2</v>
      </c>
      <c r="AV443" s="257">
        <f t="shared" si="259"/>
        <v>-0.17918126602939599</v>
      </c>
      <c r="AW443" s="257">
        <f t="shared" si="259"/>
        <v>-0.24534090167060574</v>
      </c>
      <c r="AX443" s="257">
        <f t="shared" si="259"/>
        <v>-0.24377937608061995</v>
      </c>
      <c r="AY443" s="257">
        <f t="shared" si="259"/>
        <v>-0.20590371177023814</v>
      </c>
      <c r="AZ443" s="257">
        <f t="shared" si="259"/>
        <v>-2.817386646373532E-2</v>
      </c>
      <c r="BA443" s="257">
        <f t="shared" si="259"/>
        <v>-3.2797252355598605E-3</v>
      </c>
      <c r="BB443" s="257">
        <f t="shared" si="259"/>
        <v>-0.23149790719876273</v>
      </c>
      <c r="BC443" s="461">
        <f t="shared" si="259"/>
        <v>-0.67872554305900701</v>
      </c>
      <c r="BD443" s="461">
        <f t="shared" si="259"/>
        <v>-0.49874289463796662</v>
      </c>
      <c r="BE443" s="461">
        <f t="shared" si="259"/>
        <v>-0.26152428573776021</v>
      </c>
      <c r="BF443" s="461">
        <f t="shared" si="259"/>
        <v>1.7208826015260525E-2</v>
      </c>
      <c r="BG443" s="461">
        <f t="shared" si="259"/>
        <v>1.2278058356708028</v>
      </c>
      <c r="BH443" s="461">
        <f t="shared" si="259"/>
        <v>0.87776513273804313</v>
      </c>
      <c r="BI443" s="461">
        <f t="shared" si="259"/>
        <v>0.66310393200657902</v>
      </c>
      <c r="BJ443" s="461">
        <f t="shared" si="259"/>
        <v>0.48044290142929502</v>
      </c>
      <c r="BK443" s="461">
        <f t="shared" si="259"/>
        <v>0.73526915077480037</v>
      </c>
      <c r="BL443" s="461">
        <f t="shared" si="259"/>
        <v>0.43919107994343576</v>
      </c>
      <c r="BM443" s="461">
        <f t="shared" si="259"/>
        <v>0.17700164634870674</v>
      </c>
      <c r="BN443" s="461">
        <f>BN442/BJ442-1</f>
        <v>7.2176817697046092E-2</v>
      </c>
      <c r="BO443" s="461">
        <f>BO442/BK442-1</f>
        <v>1.5818430865331967E-2</v>
      </c>
      <c r="BP443" s="461">
        <f>BP442/BL442-1</f>
        <v>-1.2323670810342024E-2</v>
      </c>
      <c r="BQ443" s="461">
        <f>BQ442/BM442-1</f>
        <v>-0.18379632081859576</v>
      </c>
      <c r="BR443" s="461">
        <f t="shared" si="259"/>
        <v>-0.21393249045915386</v>
      </c>
      <c r="BS443" s="461">
        <f t="shared" si="259"/>
        <v>-0.16515630546101501</v>
      </c>
      <c r="BT443" s="461">
        <f t="shared" si="259"/>
        <v>-0.21251882572559011</v>
      </c>
      <c r="BU443" s="461">
        <f t="shared" si="259"/>
        <v>-0.2822062784932301</v>
      </c>
      <c r="BV443" s="461">
        <f t="shared" si="259"/>
        <v>2.1658334855568562E-2</v>
      </c>
      <c r="BW443" s="461">
        <f t="shared" si="259"/>
        <v>9.9198396362214059E-2</v>
      </c>
      <c r="BX443" s="461">
        <f t="shared" si="259"/>
        <v>5.1748491224204107E-2</v>
      </c>
      <c r="BY443" s="461">
        <f t="shared" si="259"/>
        <v>2.7267697495617194E-2</v>
      </c>
      <c r="BZ443" s="461">
        <f t="shared" ref="BZ443:CS443" si="260">BZ442/BV442-1</f>
        <v>3.5692997942596616E-2</v>
      </c>
      <c r="CA443" s="461">
        <f t="shared" si="260"/>
        <v>2.6488528571664949E-2</v>
      </c>
      <c r="CB443" s="461">
        <f t="shared" si="260"/>
        <v>2.6842482928476574E-2</v>
      </c>
      <c r="CC443" s="461">
        <f t="shared" si="260"/>
        <v>2.6607737432909451E-2</v>
      </c>
      <c r="CD443" s="461">
        <f t="shared" si="260"/>
        <v>5.8834021298710404E-3</v>
      </c>
      <c r="CE443" s="461">
        <f t="shared" si="260"/>
        <v>5.6343675488312872E-3</v>
      </c>
      <c r="CF443" s="461">
        <f t="shared" si="260"/>
        <v>5.3884464993410042E-3</v>
      </c>
      <c r="CG443" s="461">
        <f t="shared" si="260"/>
        <v>4.7911365876243117E-3</v>
      </c>
      <c r="CH443" s="461">
        <f t="shared" si="260"/>
        <v>1.1276047449591431E-2</v>
      </c>
      <c r="CI443" s="461">
        <f t="shared" si="260"/>
        <v>1.1264302154758044E-2</v>
      </c>
      <c r="CJ443" s="461">
        <f t="shared" si="260"/>
        <v>1.1252702067808817E-2</v>
      </c>
      <c r="CK443" s="461">
        <f t="shared" si="260"/>
        <v>1.1349238991083199E-2</v>
      </c>
      <c r="CL443" s="461">
        <f t="shared" si="260"/>
        <v>1.1338008601812E-2</v>
      </c>
      <c r="CM443" s="461">
        <f t="shared" si="260"/>
        <v>1.1114041293471155E-2</v>
      </c>
      <c r="CN443" s="461">
        <f t="shared" si="260"/>
        <v>1.0892207120710706E-2</v>
      </c>
      <c r="CO443" s="461">
        <f t="shared" si="260"/>
        <v>1.0776914449700303E-2</v>
      </c>
      <c r="CP443" s="461">
        <f t="shared" si="260"/>
        <v>1.0769392521822407E-2</v>
      </c>
      <c r="CQ443" s="461">
        <f t="shared" si="260"/>
        <v>1.0764598827445182E-2</v>
      </c>
      <c r="CR443" s="461">
        <f t="shared" si="260"/>
        <v>1.0759851703121992E-2</v>
      </c>
      <c r="CS443" s="461">
        <f t="shared" si="260"/>
        <v>1.0875127405801877E-2</v>
      </c>
    </row>
    <row r="444" spans="1:97">
      <c r="A444" s="531" t="s">
        <v>949</v>
      </c>
      <c r="B444" s="715"/>
      <c r="C444" s="715"/>
      <c r="D444" s="715"/>
      <c r="E444" s="715"/>
      <c r="F444" s="715"/>
      <c r="G444" s="715"/>
      <c r="H444" s="715"/>
      <c r="I444" s="715"/>
      <c r="J444" s="715"/>
      <c r="K444" s="715" t="e">
        <v>#N/A</v>
      </c>
      <c r="L444" s="715" t="e">
        <v>#N/A</v>
      </c>
      <c r="M444" s="715" t="e">
        <v>#N/A</v>
      </c>
      <c r="N444" s="715" t="e">
        <v>#N/A</v>
      </c>
      <c r="O444" s="715" t="e">
        <v>#N/A</v>
      </c>
      <c r="P444" s="715" t="e">
        <v>#N/A</v>
      </c>
      <c r="Q444" s="715" t="e">
        <v>#N/A</v>
      </c>
      <c r="R444" s="715" t="e">
        <v>#N/A</v>
      </c>
      <c r="S444" s="715" t="e">
        <v>#N/A</v>
      </c>
      <c r="T444" s="715" t="e">
        <v>#N/A</v>
      </c>
      <c r="U444" s="715" t="e">
        <v>#N/A</v>
      </c>
      <c r="V444" s="715" t="e">
        <v>#N/A</v>
      </c>
      <c r="W444" s="715" t="e">
        <v>#N/A</v>
      </c>
      <c r="X444" s="715" t="e">
        <v>#N/A</v>
      </c>
      <c r="Y444" s="715" t="e">
        <v>#N/A</v>
      </c>
      <c r="Z444" s="715" t="e">
        <v>#N/A</v>
      </c>
      <c r="AA444" s="715" t="e">
        <v>#N/A</v>
      </c>
      <c r="AB444" s="715" t="e">
        <v>#N/A</v>
      </c>
      <c r="AC444" s="715" t="e">
        <v>#N/A</v>
      </c>
      <c r="AD444" s="715" t="e">
        <v>#N/A</v>
      </c>
      <c r="AE444" s="715" t="e">
        <v>#N/A</v>
      </c>
      <c r="AF444" s="715" t="e">
        <v>#N/A</v>
      </c>
      <c r="AG444" s="715" t="e">
        <v>#N/A</v>
      </c>
      <c r="AH444" s="258">
        <f>Q_IS!Z92</f>
        <v>4.411960132890365</v>
      </c>
      <c r="AI444" s="258">
        <f>Q_IS!AA92</f>
        <v>4.3388704318936879</v>
      </c>
      <c r="AJ444" s="258">
        <f>Q_IS!AB92</f>
        <v>4.5864909390444808</v>
      </c>
      <c r="AK444" s="258">
        <f>Q_IS!AC92</f>
        <v>5.3300970873786406</v>
      </c>
      <c r="AL444" s="258">
        <f>Q_IS!AD92</f>
        <v>5.6629921259842524</v>
      </c>
      <c r="AM444" s="715">
        <f>Q_IS!AE92</f>
        <v>5.5216049382716053</v>
      </c>
      <c r="AN444" s="258">
        <f>Q_IS!AF92</f>
        <v>5.576864535768645</v>
      </c>
      <c r="AO444" s="258">
        <f>Q_IS!AG92</f>
        <v>6.4355555555555553</v>
      </c>
      <c r="AP444" s="258">
        <f>Q_IS!AH92</f>
        <v>5.9195402298850572</v>
      </c>
      <c r="AQ444" s="258">
        <f>Q_IS!AI92</f>
        <v>5.5684062059238366</v>
      </c>
      <c r="AR444" s="258">
        <f>Q_IS!AJ92</f>
        <v>5.6514522821576767</v>
      </c>
      <c r="AS444" s="258">
        <f>Q_IS!AK92</f>
        <v>6.6746987951807233</v>
      </c>
      <c r="AT444" s="258">
        <f>Q_IS!AL92</f>
        <v>6.4441558441558442</v>
      </c>
      <c r="AU444" s="258">
        <f>Q_IS!AM92</f>
        <v>6.0076433121019113</v>
      </c>
      <c r="AV444" s="258">
        <f>Q_IS!AN92</f>
        <v>5.8949999999999996</v>
      </c>
      <c r="AW444" s="258">
        <f>Q_IS!AO92</f>
        <v>6.5291262135922334</v>
      </c>
      <c r="AX444" s="258">
        <f>Q_IS!AP92</f>
        <v>7.7910216718266252</v>
      </c>
      <c r="AY444" s="258">
        <f>Q_IS!AQ92</f>
        <v>5.9771949828962372</v>
      </c>
      <c r="AZ444" s="258">
        <f>Q_IS!AR92</f>
        <v>5.898705683736635</v>
      </c>
      <c r="BA444" s="258">
        <f>Q_IS!AS92</f>
        <v>6.3836231071228271</v>
      </c>
      <c r="BB444" s="258">
        <f>Q_IS!AT92</f>
        <v>4.655075715086932</v>
      </c>
      <c r="BC444" s="460">
        <f>Q_IS!AU92</f>
        <v>1.8600451467268624</v>
      </c>
      <c r="BD444" s="460">
        <f>Q_IS!AV92</f>
        <v>4.634703196347032</v>
      </c>
      <c r="BE444" s="460">
        <f>Q_IS!AW92</f>
        <v>4.6079447322970637</v>
      </c>
      <c r="BF444" s="460">
        <f>Q_IS!AX92</f>
        <v>4.0486956521739135</v>
      </c>
      <c r="BG444" s="460">
        <f>Q_IS!AY92</f>
        <v>4.9508386350491618</v>
      </c>
      <c r="BH444" s="460">
        <f>Q_IS!AZ92</f>
        <v>5.5677233429394812</v>
      </c>
      <c r="BI444" s="460">
        <f>Q_IS!BA92</f>
        <v>6.6536920435031481</v>
      </c>
      <c r="BJ444" s="460">
        <f>Q_IS!BB92</f>
        <v>5.87202718006795</v>
      </c>
      <c r="BK444" s="460">
        <f>Q_IS!BC92</f>
        <v>6.0671516508114154</v>
      </c>
      <c r="BL444" s="460">
        <f>Q_IS!BD92</f>
        <v>5.9988962472406184</v>
      </c>
      <c r="BM444" s="460">
        <f>Q_IS!BE92</f>
        <v>6.4475828354155347</v>
      </c>
      <c r="BN444" s="460">
        <f>Q_IS!BF92</f>
        <v>5.9967741935483874</v>
      </c>
      <c r="BO444" s="460">
        <f>Q_IS!BG92</f>
        <v>6.0255591054313102</v>
      </c>
      <c r="BP444" s="460">
        <f>Q_IS!BH92</f>
        <v>5.9212184873949578</v>
      </c>
      <c r="BQ444" s="460">
        <f>Q_IS!BI92</f>
        <v>6.3019648397104451</v>
      </c>
      <c r="BR444" s="460">
        <f>Q_IS!BJ92</f>
        <v>5.5662404092071611</v>
      </c>
      <c r="BS444" s="460">
        <f>Q_IS!BK92</f>
        <v>5.5924796747967482</v>
      </c>
      <c r="BT444" s="460">
        <f>Q_IS!BL92</f>
        <v>6.16898628614448</v>
      </c>
      <c r="BU444" s="460">
        <f>Q_IS!BM92</f>
        <v>6.9643508586395031</v>
      </c>
      <c r="BV444" s="460">
        <f>Q_IS!BN92</f>
        <v>6.3094702246536221</v>
      </c>
      <c r="BW444" s="460">
        <f>Q_IS!BO92</f>
        <v>6.5201394328863973</v>
      </c>
      <c r="BX444" s="460">
        <f>Q_IS!BP92</f>
        <v>6.9688133954482012</v>
      </c>
      <c r="BY444" s="460">
        <f>Q_IS!BQ92</f>
        <v>7.6890192661582812</v>
      </c>
      <c r="BZ444" s="460">
        <f>Q_IS!BR92</f>
        <v>6.873607976345502</v>
      </c>
      <c r="CA444" s="460">
        <f>Q_IS!BS92</f>
        <v>6.9276185468752685</v>
      </c>
      <c r="CB444" s="460">
        <f>Q_IS!BT92</f>
        <v>7.4057066709721324</v>
      </c>
      <c r="CC444" s="460">
        <f>Q_IS!BU92</f>
        <v>8.1687939784101182</v>
      </c>
      <c r="CD444" s="460">
        <f>Q_IS!BV92</f>
        <v>7.3026480384119843</v>
      </c>
      <c r="CE444" s="460">
        <f>Q_IS!BW92</f>
        <v>7.3596846693579696</v>
      </c>
      <c r="CF444" s="460">
        <f>Q_IS!BX92</f>
        <v>7.8675140886998589</v>
      </c>
      <c r="CG444" s="460">
        <f>Q_IS!BY92</f>
        <v>8.6749977901602158</v>
      </c>
      <c r="CH444" s="460">
        <f>Q_IS!BZ92</f>
        <v>7.748776556024727</v>
      </c>
      <c r="CI444" s="460">
        <f>Q_IS!CA92</f>
        <v>7.8089446912971985</v>
      </c>
      <c r="CJ444" s="460">
        <f>Q_IS!CB92</f>
        <v>8.3476885966933239</v>
      </c>
      <c r="CK444" s="460">
        <f>Q_IS!CC92</f>
        <v>9.1996165525563534</v>
      </c>
      <c r="CL444" s="460">
        <f>Q_IS!CD92</f>
        <v>8.2159208480646182</v>
      </c>
      <c r="CM444" s="460">
        <f>Q_IS!CE92</f>
        <v>8.2793633972380789</v>
      </c>
      <c r="CN444" s="460">
        <f>Q_IS!CF92</f>
        <v>8.8504764346555262</v>
      </c>
      <c r="CO444" s="460">
        <f>Q_IS!CG92</f>
        <v>9.748883867247315</v>
      </c>
      <c r="CP444" s="460">
        <f>Q_IS!CH92</f>
        <v>8.7058463122008529</v>
      </c>
      <c r="CQ444" s="460">
        <f>Q_IS!CI92</f>
        <v>8.7744262279603404</v>
      </c>
      <c r="CR444" s="460">
        <f>Q_IS!CJ92</f>
        <v>9.3814216599658273</v>
      </c>
      <c r="CS444" s="460">
        <f>Q_IS!CK92</f>
        <v>10.330011748602555</v>
      </c>
    </row>
    <row r="445" spans="1:97">
      <c r="A445" s="665" t="str">
        <f>A435</f>
        <v>Growth</v>
      </c>
      <c r="B445" s="257"/>
      <c r="C445" s="257"/>
      <c r="D445" s="257"/>
      <c r="E445" s="257"/>
      <c r="F445" s="257"/>
      <c r="G445" s="257"/>
      <c r="H445" s="257"/>
      <c r="I445" s="257"/>
      <c r="J445" s="257"/>
      <c r="K445" s="257"/>
      <c r="L445" s="257"/>
      <c r="M445" s="257"/>
      <c r="N445" s="715"/>
      <c r="O445" s="715"/>
      <c r="P445" s="715"/>
      <c r="Q445" s="715"/>
      <c r="R445" s="715"/>
      <c r="S445" s="715"/>
      <c r="T445" s="715"/>
      <c r="U445" s="715"/>
      <c r="V445" s="715"/>
      <c r="W445" s="715"/>
      <c r="X445" s="715"/>
      <c r="Y445" s="715"/>
      <c r="Z445" s="715"/>
      <c r="AA445" s="715"/>
      <c r="AB445" s="715"/>
      <c r="AC445" s="715"/>
      <c r="AD445" s="715"/>
      <c r="AE445" s="715"/>
      <c r="AF445" s="715"/>
      <c r="AG445" s="715"/>
      <c r="AH445" s="715"/>
      <c r="AI445" s="715"/>
      <c r="AJ445" s="715"/>
      <c r="AK445" s="715" t="e">
        <f t="shared" ref="AK445:BY445" si="261">AK444/AG444-1</f>
        <v>#N/A</v>
      </c>
      <c r="AL445" s="715">
        <f t="shared" si="261"/>
        <v>0.28355469120576826</v>
      </c>
      <c r="AM445" s="715">
        <f t="shared" si="261"/>
        <v>0.27259041839184772</v>
      </c>
      <c r="AN445" s="715">
        <f t="shared" si="261"/>
        <v>0.21593274899840798</v>
      </c>
      <c r="AO445" s="715">
        <f t="shared" si="261"/>
        <v>0.20739931188018623</v>
      </c>
      <c r="AP445" s="715">
        <f t="shared" si="261"/>
        <v>4.5302571183818419E-2</v>
      </c>
      <c r="AQ445" s="715">
        <f t="shared" si="261"/>
        <v>8.4760261147696081E-3</v>
      </c>
      <c r="AR445" s="715">
        <f t="shared" si="261"/>
        <v>1.3374494917465451E-2</v>
      </c>
      <c r="AS445" s="715">
        <f t="shared" si="261"/>
        <v>3.7159688477667707E-2</v>
      </c>
      <c r="AT445" s="715">
        <f t="shared" si="261"/>
        <v>8.8624385323414545E-2</v>
      </c>
      <c r="AU445" s="715">
        <f t="shared" si="261"/>
        <v>7.8880219929142514E-2</v>
      </c>
      <c r="AV445" s="715">
        <f t="shared" si="261"/>
        <v>4.3094713656387507E-2</v>
      </c>
      <c r="AW445" s="715">
        <f t="shared" si="261"/>
        <v>-2.1809610598997553E-2</v>
      </c>
      <c r="AX445" s="715">
        <f t="shared" si="261"/>
        <v>0.20900578139993975</v>
      </c>
      <c r="AY445" s="715">
        <f t="shared" si="261"/>
        <v>-5.0682651455585814E-3</v>
      </c>
      <c r="AZ445" s="715">
        <f t="shared" si="261"/>
        <v>6.2861471359387799E-4</v>
      </c>
      <c r="BA445" s="715">
        <f t="shared" si="261"/>
        <v>-2.2285234150704603E-2</v>
      </c>
      <c r="BB445" s="715">
        <f t="shared" si="261"/>
        <v>-0.40250766700851215</v>
      </c>
      <c r="BC445" s="461">
        <f t="shared" si="261"/>
        <v>-0.68880969216339971</v>
      </c>
      <c r="BD445" s="461">
        <f t="shared" si="261"/>
        <v>-0.21428471857387177</v>
      </c>
      <c r="BE445" s="461">
        <f t="shared" si="261"/>
        <v>-0.27816153069006644</v>
      </c>
      <c r="BF445" s="461">
        <f t="shared" si="261"/>
        <v>-0.13026212676794124</v>
      </c>
      <c r="BG445" s="461">
        <f t="shared" si="261"/>
        <v>1.6616765962703623</v>
      </c>
      <c r="BH445" s="461">
        <f t="shared" si="261"/>
        <v>0.20131173606280428</v>
      </c>
      <c r="BI445" s="461">
        <f t="shared" si="261"/>
        <v>0.44396090449337433</v>
      </c>
      <c r="BJ445" s="461">
        <f t="shared" si="261"/>
        <v>0.45035035590166284</v>
      </c>
      <c r="BK445" s="461">
        <f t="shared" si="261"/>
        <v>0.22547957993609069</v>
      </c>
      <c r="BL445" s="461">
        <f t="shared" si="261"/>
        <v>7.7441510244562473E-2</v>
      </c>
      <c r="BM445" s="461">
        <f t="shared" si="261"/>
        <v>-3.0976667801880686E-2</v>
      </c>
      <c r="BN445" s="461">
        <f>BN444/BJ444-1</f>
        <v>2.1244284070053299E-2</v>
      </c>
      <c r="BO445" s="461">
        <f>BO444/BK444-1</f>
        <v>-6.8553660389455429E-3</v>
      </c>
      <c r="BP445" s="461">
        <f>BP444/BL444-1</f>
        <v>-1.2948675330297754E-2</v>
      </c>
      <c r="BQ445" s="461">
        <f>BQ444/BM444-1</f>
        <v>-2.2584897227722833E-2</v>
      </c>
      <c r="BR445" s="461">
        <f t="shared" si="261"/>
        <v>-7.1794229771802165E-2</v>
      </c>
      <c r="BS445" s="461">
        <f t="shared" si="261"/>
        <v>-7.1873733716128263E-2</v>
      </c>
      <c r="BT445" s="461">
        <f t="shared" si="261"/>
        <v>4.1844056130839968E-2</v>
      </c>
      <c r="BU445" s="461">
        <f t="shared" si="261"/>
        <v>0.1051078569583852</v>
      </c>
      <c r="BV445" s="461">
        <f t="shared" si="261"/>
        <v>0.13352456250669276</v>
      </c>
      <c r="BW445" s="461">
        <f t="shared" si="261"/>
        <v>0.16587628601857429</v>
      </c>
      <c r="BX445" s="461">
        <f t="shared" si="261"/>
        <v>0.12965292386856664</v>
      </c>
      <c r="BY445" s="461">
        <f t="shared" si="261"/>
        <v>0.10405397749595036</v>
      </c>
      <c r="BZ445" s="461">
        <f t="shared" ref="BZ445:CS445" si="262">BZ444/BV444-1</f>
        <v>8.9411270931681219E-2</v>
      </c>
      <c r="CA445" s="461">
        <f t="shared" si="262"/>
        <v>6.2495460132895309E-2</v>
      </c>
      <c r="CB445" s="461">
        <f t="shared" si="262"/>
        <v>6.2692635134884656E-2</v>
      </c>
      <c r="CC445" s="461">
        <f t="shared" si="262"/>
        <v>6.2397387188698028E-2</v>
      </c>
      <c r="CD445" s="461">
        <f t="shared" si="262"/>
        <v>6.2418465461364647E-2</v>
      </c>
      <c r="CE445" s="461">
        <f t="shared" si="262"/>
        <v>6.2368636430997881E-2</v>
      </c>
      <c r="CF445" s="461">
        <f t="shared" si="262"/>
        <v>6.2358318827000714E-2</v>
      </c>
      <c r="CG445" s="461">
        <f t="shared" si="262"/>
        <v>6.1967998346877051E-2</v>
      </c>
      <c r="CH445" s="461">
        <f t="shared" si="262"/>
        <v>6.1091334987815937E-2</v>
      </c>
      <c r="CI445" s="461">
        <f t="shared" si="262"/>
        <v>6.104337918304048E-2</v>
      </c>
      <c r="CJ445" s="461">
        <f t="shared" si="262"/>
        <v>6.1032557753298633E-2</v>
      </c>
      <c r="CK445" s="461">
        <f t="shared" si="262"/>
        <v>6.0474800695764719E-2</v>
      </c>
      <c r="CL445" s="461">
        <f t="shared" si="262"/>
        <v>6.0286199848759825E-2</v>
      </c>
      <c r="CM445" s="461">
        <f t="shared" si="262"/>
        <v>6.0241008809442054E-2</v>
      </c>
      <c r="CN445" s="461">
        <f t="shared" si="262"/>
        <v>6.0230785101562878E-2</v>
      </c>
      <c r="CO445" s="461">
        <f t="shared" si="262"/>
        <v>5.9705457456086464E-2</v>
      </c>
      <c r="CP445" s="461">
        <f t="shared" si="262"/>
        <v>5.9631229803247754E-2</v>
      </c>
      <c r="CQ445" s="461">
        <f t="shared" si="262"/>
        <v>5.9794794233504645E-2</v>
      </c>
      <c r="CR445" s="461">
        <f t="shared" si="262"/>
        <v>5.9990581211119443E-2</v>
      </c>
      <c r="CS445" s="461">
        <f t="shared" si="262"/>
        <v>5.960968345387907E-2</v>
      </c>
    </row>
    <row r="447" spans="1:97">
      <c r="A447" s="242" t="s">
        <v>767</v>
      </c>
      <c r="B447" s="595"/>
      <c r="C447" s="595"/>
      <c r="D447" s="595"/>
      <c r="E447" s="595"/>
      <c r="F447" s="595"/>
      <c r="G447" s="595"/>
      <c r="H447" s="595"/>
      <c r="I447" s="595"/>
      <c r="J447" s="595" t="str">
        <f t="shared" ref="J447:AO447" si="263">J$453</f>
        <v>1Q09</v>
      </c>
      <c r="K447" s="595" t="str">
        <f t="shared" si="263"/>
        <v>2Q09</v>
      </c>
      <c r="L447" s="595" t="str">
        <f t="shared" si="263"/>
        <v>3Q09</v>
      </c>
      <c r="M447" s="595" t="str">
        <f t="shared" si="263"/>
        <v>4Q09</v>
      </c>
      <c r="N447" s="595" t="str">
        <f t="shared" si="263"/>
        <v>1Q10</v>
      </c>
      <c r="O447" s="595" t="str">
        <f t="shared" si="263"/>
        <v>2Q10</v>
      </c>
      <c r="P447" s="595" t="str">
        <f t="shared" si="263"/>
        <v>3Q10</v>
      </c>
      <c r="Q447" s="595" t="str">
        <f t="shared" si="263"/>
        <v>4Q10</v>
      </c>
      <c r="R447" s="595" t="str">
        <f t="shared" si="263"/>
        <v>1Q11</v>
      </c>
      <c r="S447" s="595" t="str">
        <f t="shared" si="263"/>
        <v>2Q11</v>
      </c>
      <c r="T447" s="595" t="str">
        <f t="shared" si="263"/>
        <v>3Q11</v>
      </c>
      <c r="U447" s="595" t="str">
        <f t="shared" si="263"/>
        <v>4Q11</v>
      </c>
      <c r="V447" s="595" t="str">
        <f t="shared" si="263"/>
        <v>1Q12</v>
      </c>
      <c r="W447" s="595" t="str">
        <f t="shared" si="263"/>
        <v>2Q12</v>
      </c>
      <c r="X447" s="595" t="str">
        <f t="shared" si="263"/>
        <v>3Q12</v>
      </c>
      <c r="Y447" s="595" t="str">
        <f t="shared" si="263"/>
        <v>4Q12</v>
      </c>
      <c r="Z447" s="595" t="str">
        <f t="shared" si="263"/>
        <v>1Q13</v>
      </c>
      <c r="AA447" s="595" t="str">
        <f t="shared" si="263"/>
        <v>2Q13</v>
      </c>
      <c r="AB447" s="595" t="str">
        <f t="shared" si="263"/>
        <v>3Q13</v>
      </c>
      <c r="AC447" s="595" t="str">
        <f t="shared" si="263"/>
        <v>4Q13</v>
      </c>
      <c r="AD447" s="595" t="str">
        <f t="shared" si="263"/>
        <v>1Q14</v>
      </c>
      <c r="AE447" s="595" t="str">
        <f t="shared" si="263"/>
        <v>2Q14</v>
      </c>
      <c r="AF447" s="595" t="str">
        <f t="shared" si="263"/>
        <v>3Q14</v>
      </c>
      <c r="AG447" s="595" t="str">
        <f t="shared" si="263"/>
        <v>4Q14</v>
      </c>
      <c r="AH447" s="595" t="str">
        <f t="shared" si="263"/>
        <v>1Q15</v>
      </c>
      <c r="AI447" s="595" t="str">
        <f t="shared" si="263"/>
        <v>2Q15</v>
      </c>
      <c r="AJ447" s="595" t="str">
        <f t="shared" si="263"/>
        <v>3Q15</v>
      </c>
      <c r="AK447" s="595" t="str">
        <f t="shared" si="263"/>
        <v>4Q15</v>
      </c>
      <c r="AL447" s="595" t="str">
        <f t="shared" si="263"/>
        <v>1Q16</v>
      </c>
      <c r="AM447" s="595" t="str">
        <f t="shared" si="263"/>
        <v>2Q16</v>
      </c>
      <c r="AN447" s="595" t="str">
        <f t="shared" si="263"/>
        <v>3Q16</v>
      </c>
      <c r="AO447" s="595" t="str">
        <f t="shared" si="263"/>
        <v>4Q16</v>
      </c>
      <c r="AP447" s="595" t="s">
        <v>167</v>
      </c>
      <c r="AQ447" s="595" t="s">
        <v>168</v>
      </c>
      <c r="AR447" s="595" t="s">
        <v>169</v>
      </c>
      <c r="AS447" s="595" t="s">
        <v>170</v>
      </c>
      <c r="AT447" s="595" t="s">
        <v>171</v>
      </c>
      <c r="AU447" s="595" t="s">
        <v>172</v>
      </c>
      <c r="AV447" s="595" t="s">
        <v>173</v>
      </c>
      <c r="AW447" s="595" t="s">
        <v>174</v>
      </c>
      <c r="AX447" s="595" t="s">
        <v>175</v>
      </c>
      <c r="AY447" s="595" t="s">
        <v>176</v>
      </c>
      <c r="AZ447" s="595" t="s">
        <v>177</v>
      </c>
      <c r="BA447" s="595" t="s">
        <v>178</v>
      </c>
      <c r="BB447" s="595" t="s">
        <v>179</v>
      </c>
      <c r="BC447" s="595" t="s">
        <v>180</v>
      </c>
      <c r="BD447" s="595" t="s">
        <v>181</v>
      </c>
      <c r="BE447" s="595" t="s">
        <v>182</v>
      </c>
      <c r="BF447" s="595" t="s">
        <v>183</v>
      </c>
      <c r="BG447" s="595" t="s">
        <v>184</v>
      </c>
      <c r="BH447" s="595" t="s">
        <v>185</v>
      </c>
      <c r="BI447" s="595" t="s">
        <v>186</v>
      </c>
      <c r="BJ447" s="595" t="s">
        <v>452</v>
      </c>
      <c r="BK447" s="595" t="s">
        <v>453</v>
      </c>
      <c r="BL447" s="595" t="s">
        <v>454</v>
      </c>
      <c r="BM447" s="595" t="s">
        <v>455</v>
      </c>
      <c r="BN447" s="595" t="s">
        <v>456</v>
      </c>
      <c r="BO447" s="595" t="s">
        <v>457</v>
      </c>
      <c r="BP447" s="595" t="s">
        <v>458</v>
      </c>
      <c r="BQ447" s="595" t="s">
        <v>459</v>
      </c>
      <c r="BR447" s="595" t="s">
        <v>460</v>
      </c>
      <c r="BS447" s="596" t="str">
        <f t="shared" ref="BS447:CS447" si="264">BS$453</f>
        <v>2Q24e</v>
      </c>
      <c r="BT447" s="596" t="str">
        <f t="shared" si="264"/>
        <v>3Q24e</v>
      </c>
      <c r="BU447" s="596" t="str">
        <f t="shared" si="264"/>
        <v>4Q24e</v>
      </c>
      <c r="BV447" s="596" t="str">
        <f t="shared" si="264"/>
        <v>1Q25e</v>
      </c>
      <c r="BW447" s="596" t="str">
        <f t="shared" si="264"/>
        <v>2Q25e</v>
      </c>
      <c r="BX447" s="596" t="str">
        <f t="shared" si="264"/>
        <v>3Q25e</v>
      </c>
      <c r="BY447" s="596" t="str">
        <f t="shared" si="264"/>
        <v>4Q25e</v>
      </c>
      <c r="BZ447" s="596" t="str">
        <f t="shared" si="264"/>
        <v>1Q26e</v>
      </c>
      <c r="CA447" s="596" t="str">
        <f t="shared" si="264"/>
        <v>2Q26e</v>
      </c>
      <c r="CB447" s="596" t="str">
        <f t="shared" si="264"/>
        <v>3Q26e</v>
      </c>
      <c r="CC447" s="596" t="str">
        <f t="shared" si="264"/>
        <v>4Q26e</v>
      </c>
      <c r="CD447" s="596" t="str">
        <f t="shared" si="264"/>
        <v>1Q27e</v>
      </c>
      <c r="CE447" s="596" t="str">
        <f t="shared" si="264"/>
        <v>2Q27e</v>
      </c>
      <c r="CF447" s="596" t="str">
        <f t="shared" si="264"/>
        <v>3Q27e</v>
      </c>
      <c r="CG447" s="596" t="str">
        <f t="shared" si="264"/>
        <v>4Q27e</v>
      </c>
      <c r="CH447" s="596" t="str">
        <f t="shared" si="264"/>
        <v>1Q28e</v>
      </c>
      <c r="CI447" s="596" t="str">
        <f t="shared" si="264"/>
        <v>2Q28e</v>
      </c>
      <c r="CJ447" s="596" t="str">
        <f t="shared" si="264"/>
        <v>3Q28e</v>
      </c>
      <c r="CK447" s="596" t="str">
        <f t="shared" si="264"/>
        <v>4Q28e</v>
      </c>
      <c r="CL447" s="596" t="str">
        <f t="shared" si="264"/>
        <v>1Q29e</v>
      </c>
      <c r="CM447" s="596" t="str">
        <f t="shared" si="264"/>
        <v>2Q29e</v>
      </c>
      <c r="CN447" s="596" t="str">
        <f t="shared" si="264"/>
        <v>3Q29e</v>
      </c>
      <c r="CO447" s="596" t="str">
        <f t="shared" si="264"/>
        <v>4Q29e</v>
      </c>
      <c r="CP447" s="596" t="str">
        <f t="shared" si="264"/>
        <v>1Q30e</v>
      </c>
      <c r="CQ447" s="596" t="str">
        <f t="shared" si="264"/>
        <v>2Q30e</v>
      </c>
      <c r="CR447" s="596" t="str">
        <f t="shared" si="264"/>
        <v>3Q30e</v>
      </c>
      <c r="CS447" s="596" t="str">
        <f t="shared" si="264"/>
        <v>4Q30e</v>
      </c>
    </row>
    <row r="448" spans="1:97">
      <c r="A448" s="36" t="s">
        <v>325</v>
      </c>
      <c r="B448" s="257"/>
      <c r="C448" s="257"/>
      <c r="D448" s="257"/>
      <c r="E448" s="257"/>
      <c r="F448" s="257"/>
      <c r="G448" s="257"/>
      <c r="H448" s="257"/>
      <c r="I448" s="257"/>
      <c r="J448" s="257" t="e">
        <f>IF(Q_IS!B247="NM",NA(),Q_IS!B247)</f>
        <v>#N/A</v>
      </c>
      <c r="K448" s="257" t="e">
        <f>IF(Q_IS!C247="NM",NA(),Q_IS!C247)</f>
        <v>#N/A</v>
      </c>
      <c r="L448" s="257" t="e">
        <f>IF(Q_IS!D247="NM",NA(),Q_IS!D247)</f>
        <v>#N/A</v>
      </c>
      <c r="M448" s="257" t="e">
        <f>IF(Q_IS!E247="NM",NA(),Q_IS!E247)</f>
        <v>#N/A</v>
      </c>
      <c r="N448" s="821" t="e">
        <f>IF(Q_IS!F247="NM",NA(),Q_IS!F247)</f>
        <v>#N/A</v>
      </c>
      <c r="O448" s="257" t="e">
        <f>IF(Q_IS!G247="NM",NA(),Q_IS!G247)</f>
        <v>#N/A</v>
      </c>
      <c r="P448" s="257" t="e">
        <f>IF(Q_IS!H247="NM",NA(),Q_IS!H247)</f>
        <v>#N/A</v>
      </c>
      <c r="Q448" s="257" t="e">
        <f>IF(Q_IS!I247="NM",NA(),Q_IS!I247)</f>
        <v>#N/A</v>
      </c>
      <c r="R448" s="257" t="e">
        <f>IF(Q_IS!J247="NM",NA(),Q_IS!J247)</f>
        <v>#N/A</v>
      </c>
      <c r="S448" s="257" t="e">
        <f>IF(Q_IS!K247="NM",NA(),Q_IS!K247)</f>
        <v>#N/A</v>
      </c>
      <c r="T448" s="257" t="e">
        <f>IF(Q_IS!L247="NM",NA(),Q_IS!L247)</f>
        <v>#N/A</v>
      </c>
      <c r="U448" s="257" t="e">
        <f>IF(Q_IS!M247="NM",NA(),Q_IS!M247)</f>
        <v>#N/A</v>
      </c>
      <c r="V448" s="257" t="e">
        <f>IF(Q_IS!N247="NM",NA(),Q_IS!N247)</f>
        <v>#N/A</v>
      </c>
      <c r="W448" s="257" t="e">
        <f>IF(Q_IS!O247="NM",NA(),Q_IS!O247)</f>
        <v>#N/A</v>
      </c>
      <c r="X448" s="257" t="e">
        <f>IF(Q_IS!P247="NM",NA(),Q_IS!P247)</f>
        <v>#N/A</v>
      </c>
      <c r="Y448" s="257" t="e">
        <f>IF(Q_IS!Q247="NM",NA(),Q_IS!Q247)</f>
        <v>#N/A</v>
      </c>
      <c r="Z448" s="257" t="e">
        <f>IF(Q_IS!R247="NM",NA(),Q_IS!R247)</f>
        <v>#N/A</v>
      </c>
      <c r="AA448" s="257" t="e">
        <f>IF(Q_IS!S247="NM",NA(),Q_IS!S247)</f>
        <v>#N/A</v>
      </c>
      <c r="AB448" s="257" t="e">
        <f>IF(Q_IS!T247="NM",NA(),Q_IS!T247)</f>
        <v>#N/A</v>
      </c>
      <c r="AC448" s="257" t="e">
        <f>IF(Q_IS!U247="NM",NA(),Q_IS!U247)</f>
        <v>#N/A</v>
      </c>
      <c r="AD448" s="257" t="e">
        <f>IF(Q_IS!V247="NM",NA(),Q_IS!V247)</f>
        <v>#N/A</v>
      </c>
      <c r="AE448" s="257" t="e">
        <f>IF(Q_IS!W247="NM",NA(),Q_IS!W247)</f>
        <v>#N/A</v>
      </c>
      <c r="AF448" s="257" t="e">
        <f>IF(Q_IS!X247="NM",NA(),Q_IS!X247)</f>
        <v>#N/A</v>
      </c>
      <c r="AG448" s="257">
        <f>IF(Q_IS!Y247="NM",NA(),Q_IS!Y247)</f>
        <v>2.106763750540264E-2</v>
      </c>
      <c r="AH448" s="257">
        <f>IF(Q_IS!Z247="NM",NA(),Q_IS!Z247)</f>
        <v>6.2488205032682778E-2</v>
      </c>
      <c r="AI448" s="257">
        <f>IF(Q_IS!AA247="NM",NA(),Q_IS!AA247)</f>
        <v>7.5382165957952288E-2</v>
      </c>
      <c r="AJ448" s="257">
        <f>IF(Q_IS!AB247="NM",NA(),Q_IS!AB247)</f>
        <v>0.11302319179550929</v>
      </c>
      <c r="AK448" s="257">
        <f>IF(Q_IS!AC247="NM",NA(),Q_IS!AC247)</f>
        <v>0.1104973461194714</v>
      </c>
      <c r="AL448" s="257">
        <f>IF(Q_IS!AD247="NM",NA(),Q_IS!AD247)</f>
        <v>0.1050311900979055</v>
      </c>
      <c r="AM448" s="257">
        <f>IF(Q_IS!AE247="NM",NA(),Q_IS!AE247)</f>
        <v>9.9921262517693343E-2</v>
      </c>
      <c r="AN448" s="257">
        <f>IF(Q_IS!AF247="NM",NA(),Q_IS!AF247)</f>
        <v>9.576562510414513E-2</v>
      </c>
      <c r="AO448" s="257">
        <f>IF(Q_IS!AG247="NM",NA(),Q_IS!AG247)</f>
        <v>7.7917492693737975E-2</v>
      </c>
      <c r="AP448" s="257">
        <f>IF(Q_IS!AH247="NM",NA(),Q_IS!AH247)</f>
        <v>7.4775394224253069E-2</v>
      </c>
      <c r="AQ448" s="257">
        <f>IF(Q_IS!AI247="NM",NA(),Q_IS!AI247)</f>
        <v>7.1168147644673163E-2</v>
      </c>
      <c r="AR448" s="257">
        <f>IF(Q_IS!AJ247="NM",NA(),Q_IS!AJ247)</f>
        <v>7.0549596700980238E-2</v>
      </c>
      <c r="AS448" s="257">
        <f>IF(Q_IS!AK247="NM",NA(),Q_IS!AK247)</f>
        <v>6.9335606265911065E-2</v>
      </c>
      <c r="AT448" s="257">
        <f>IF(Q_IS!AL247="NM",NA(),Q_IS!AL247)</f>
        <v>6.9248009068702543E-2</v>
      </c>
      <c r="AU448" s="257">
        <f>IF(Q_IS!AM247="NM",NA(),Q_IS!AM247)</f>
        <v>4.6377904284734962E-2</v>
      </c>
      <c r="AV448" s="257">
        <f>IF(Q_IS!AN247="NM",NA(),Q_IS!AN247)</f>
        <v>3.5692735444111133E-2</v>
      </c>
      <c r="AW448" s="257">
        <f>IF(Q_IS!AO247="NM",NA(),Q_IS!AO247)</f>
        <v>5.0939646675590519E-2</v>
      </c>
      <c r="AX448" s="257">
        <f>IF(Q_IS!AP247="NM",NA(),Q_IS!AP247)</f>
        <v>2.6016674082953928E-2</v>
      </c>
      <c r="AY448" s="257">
        <f>IF(Q_IS!AQ247="NM",NA(),Q_IS!AQ247)</f>
        <v>7.6311941322874458E-2</v>
      </c>
      <c r="AZ448" s="257">
        <f>IF(Q_IS!AR247="NM",NA(),Q_IS!AR247)</f>
        <v>5.8985766878803393E-2</v>
      </c>
      <c r="BA448" s="257">
        <f>IF(Q_IS!AS247="NM",NA(),Q_IS!AS247)</f>
        <v>3.5589370153193689E-2</v>
      </c>
      <c r="BB448" s="257">
        <f>IF(Q_IS!AT247="NM",NA(),Q_IS!AT247)</f>
        <v>-1.9880409315420206E-2</v>
      </c>
      <c r="BC448" s="461">
        <f>IF(Q_IS!AU247="NM",NA(),Q_IS!AU247)</f>
        <v>-0.41557090271475666</v>
      </c>
      <c r="BD448" s="461">
        <f>IF(Q_IS!AV247="NM",NA(),Q_IS!AV247)</f>
        <v>-0.305608773082925</v>
      </c>
      <c r="BE448" s="461">
        <f>IF(Q_IS!AW247="NM",NA(),Q_IS!AW247)</f>
        <v>-0.25140474800730883</v>
      </c>
      <c r="BF448" s="461">
        <f>IF(Q_IS!AX247="NM",NA(),Q_IS!AX247)</f>
        <v>-0.13234550340912407</v>
      </c>
      <c r="BG448" s="461">
        <f>IF(Q_IS!AY247="NM",NA(),Q_IS!AY247)</f>
        <v>0.66568986560306631</v>
      </c>
      <c r="BH448" s="461">
        <f>IF(Q_IS!AZ247="NM",NA(),Q_IS!AZ247)</f>
        <v>0.45732595324278974</v>
      </c>
      <c r="BI448" s="461">
        <f>IF(Q_IS!BA247="NM",NA(),Q_IS!BA247)</f>
        <v>0.48562317727732163</v>
      </c>
      <c r="BJ448" s="461">
        <f>IF(Q_IS!BB247="NM",NA(),Q_IS!BB247)</f>
        <v>0.47359792405825696</v>
      </c>
      <c r="BK448" s="461">
        <f>IF(Q_IS!BC247="NM",NA(),Q_IS!BC247)</f>
        <v>0.42486782554568331</v>
      </c>
      <c r="BL448" s="461">
        <f>IF(Q_IS!BD247="NM",NA(),Q_IS!BD247)</f>
        <v>0.32920562243466439</v>
      </c>
      <c r="BM448" s="461">
        <f>IF(Q_IS!BE247="NM",NA(),Q_IS!BE247)</f>
        <v>0.2357862075748304</v>
      </c>
      <c r="BN448" s="461">
        <f>IF(Q_IS!BF247="NM",NA(),Q_IS!BF247)</f>
        <v>0.24787327285550309</v>
      </c>
      <c r="BO448" s="461">
        <f>IF(Q_IS!BG247="NM",NA(),Q_IS!BG247)</f>
        <v>0.19697734423840663</v>
      </c>
      <c r="BP448" s="461">
        <f>IF(Q_IS!BH247="NM",NA(),Q_IS!BH247)</f>
        <v>0.19000710026628698</v>
      </c>
      <c r="BQ448" s="461">
        <f>IF(Q_IS!BI247="NM",NA(),Q_IS!BI247)</f>
        <v>0.13013418812705391</v>
      </c>
      <c r="BR448" s="461">
        <f>IF(Q_IS!BJ247="NM",NA(),Q_IS!BJ247)</f>
        <v>0.10937070349728074</v>
      </c>
      <c r="BS448" s="461">
        <f>IF(Q_IS!BK247="NM",NA(),Q_IS!BK247)</f>
        <v>0.10947034708194502</v>
      </c>
      <c r="BT448" s="461">
        <f>IF(Q_IS!BL247="NM",NA(),Q_IS!BL247)</f>
        <v>9.7598693532960482E-2</v>
      </c>
      <c r="BU448" s="461">
        <f>IF(Q_IS!BM247="NM",NA(),Q_IS!BM247)</f>
        <v>6.4239328884383121E-2</v>
      </c>
      <c r="BV448" s="461">
        <f>IF(Q_IS!BN247="NM",NA(),Q_IS!BN247)</f>
        <v>6.3633956367587396E-2</v>
      </c>
      <c r="BW448" s="461">
        <f>IF(Q_IS!BO247="NM",NA(),Q_IS!BO247)</f>
        <v>6.0474090007537631E-2</v>
      </c>
      <c r="BX448" s="461">
        <f>IF(Q_IS!BP247="NM",NA(),Q_IS!BP247)</f>
        <v>5.0540364650668336E-2</v>
      </c>
      <c r="BY448" s="461">
        <f>IF(Q_IS!BQ247="NM",NA(),Q_IS!BQ247)</f>
        <v>3.9981465266675835E-2</v>
      </c>
      <c r="BZ448" s="461">
        <f>IF(Q_IS!BR247="NM",NA(),Q_IS!BR247)</f>
        <v>4.5025872003311949E-2</v>
      </c>
      <c r="CA448" s="461">
        <f>IF(Q_IS!BS247="NM",NA(),Q_IS!BS247)</f>
        <v>4.7748066524472575E-2</v>
      </c>
      <c r="CB448" s="461">
        <f>IF(Q_IS!BT247="NM",NA(),Q_IS!BT247)</f>
        <v>4.7296423621376829E-2</v>
      </c>
      <c r="CC448" s="461">
        <f>IF(Q_IS!BU247="NM",NA(),Q_IS!BU247)</f>
        <v>4.2206033661753864E-2</v>
      </c>
      <c r="CD448" s="461">
        <f>IF(Q_IS!BV247="NM",NA(),Q_IS!BV247)</f>
        <v>4.1263945345669184E-2</v>
      </c>
      <c r="CE448" s="461">
        <f>IF(Q_IS!BW247="NM",NA(),Q_IS!BW247)</f>
        <v>4.3277506562011701E-2</v>
      </c>
      <c r="CF448" s="461">
        <f>IF(Q_IS!BX247="NM",NA(),Q_IS!BX247)</f>
        <v>4.2814979829969312E-2</v>
      </c>
      <c r="CG448" s="461">
        <f>IF(Q_IS!BY247="NM",NA(),Q_IS!BY247)</f>
        <v>3.892937488300402E-2</v>
      </c>
      <c r="CH448" s="461">
        <f>IF(Q_IS!BZ247="NM",NA(),Q_IS!BZ247)</f>
        <v>3.6304029144773639E-2</v>
      </c>
      <c r="CI448" s="461">
        <f>IF(Q_IS!CA247="NM",NA(),Q_IS!CA247)</f>
        <v>3.8515163983521734E-2</v>
      </c>
      <c r="CJ448" s="461">
        <f>IF(Q_IS!CB247="NM",NA(),Q_IS!CB247)</f>
        <v>3.8199240641029884E-2</v>
      </c>
      <c r="CK448" s="461">
        <f>IF(Q_IS!CC247="NM",NA(),Q_IS!CC247)</f>
        <v>3.3989674679650292E-2</v>
      </c>
      <c r="CL448" s="461">
        <f>IF(Q_IS!CD247="NM",NA(),Q_IS!CD247)</f>
        <v>3.5911461584216021E-2</v>
      </c>
      <c r="CM448" s="461">
        <f>IF(Q_IS!CE247="NM",NA(),Q_IS!CE247)</f>
        <v>3.8048794176435148E-2</v>
      </c>
      <c r="CN448" s="461">
        <f>IF(Q_IS!CF247="NM",NA(),Q_IS!CF247)</f>
        <v>3.7703324525834851E-2</v>
      </c>
      <c r="CO448" s="461">
        <f>IF(Q_IS!CG247="NM",NA(),Q_IS!CG247)</f>
        <v>3.3567139899225149E-2</v>
      </c>
      <c r="CP448" s="461">
        <f>IF(Q_IS!CH247="NM",NA(),Q_IS!CH247)</f>
        <v>3.5440868862911826E-2</v>
      </c>
      <c r="CQ448" s="461">
        <f>IF(Q_IS!CI247="NM",NA(),Q_IS!CI247)</f>
        <v>3.7570704588089233E-2</v>
      </c>
      <c r="CR448" s="461">
        <f>IF(Q_IS!CJ247="NM",NA(),Q_IS!CJ247)</f>
        <v>3.7277279426316222E-2</v>
      </c>
      <c r="CS448" s="461">
        <f>IF(Q_IS!CK247="NM",NA(),Q_IS!CK247)</f>
        <v>3.3235799261964884E-2</v>
      </c>
    </row>
    <row r="449" spans="1:97">
      <c r="A449" s="342" t="s">
        <v>731</v>
      </c>
      <c r="B449" s="257"/>
      <c r="C449" s="257"/>
      <c r="D449" s="257"/>
      <c r="E449" s="257"/>
      <c r="F449" s="257"/>
      <c r="G449" s="257"/>
      <c r="H449" s="257"/>
      <c r="I449" s="257"/>
      <c r="J449" s="257" t="e">
        <f>IF(Q_IS!B45="ND",NA(),Q_IS!B45)</f>
        <v>#N/A</v>
      </c>
      <c r="K449" s="257" t="e">
        <f>IF(Q_IS!C45="ND",NA(),Q_IS!C45)</f>
        <v>#N/A</v>
      </c>
      <c r="L449" s="257" t="e">
        <f>IF(Q_IS!D45="ND",NA(),Q_IS!D45)</f>
        <v>#N/A</v>
      </c>
      <c r="M449" s="257" t="e">
        <f>IF(Q_IS!E45="ND",NA(),Q_IS!E45)</f>
        <v>#N/A</v>
      </c>
      <c r="N449" s="257" t="e">
        <f>IF(Q_IS!F45="ND",NA(),Q_IS!F45)</f>
        <v>#N/A</v>
      </c>
      <c r="O449" s="257" t="e">
        <f>IF(Q_IS!G45="ND",NA(),Q_IS!G45)</f>
        <v>#N/A</v>
      </c>
      <c r="P449" s="257" t="e">
        <f>IF(Q_IS!H45="ND",NA(),Q_IS!H45)</f>
        <v>#N/A</v>
      </c>
      <c r="Q449" s="257" t="e">
        <f>IF(Q_IS!I45="ND",NA(),Q_IS!I45)</f>
        <v>#N/A</v>
      </c>
      <c r="R449" s="257" t="e">
        <f>IF(Q_IS!J45="ND",NA(),Q_IS!J45)</f>
        <v>#N/A</v>
      </c>
      <c r="S449" s="257" t="e">
        <f>IF(Q_IS!K45="ND",NA(),Q_IS!K45)</f>
        <v>#N/A</v>
      </c>
      <c r="T449" s="257" t="e">
        <f>IF(Q_IS!L45="ND",NA(),Q_IS!L45)</f>
        <v>#N/A</v>
      </c>
      <c r="U449" s="257" t="e">
        <f>IF(Q_IS!M45="ND",NA(),Q_IS!M45)</f>
        <v>#N/A</v>
      </c>
      <c r="V449" s="257" t="e">
        <f>IF(Q_IS!N45="ND",NA(),Q_IS!N45)</f>
        <v>#N/A</v>
      </c>
      <c r="W449" s="257" t="e">
        <f>IF(Q_IS!O45="ND",NA(),Q_IS!O45)</f>
        <v>#N/A</v>
      </c>
      <c r="X449" s="257" t="e">
        <f>IF(Q_IS!P45="ND",NA(),Q_IS!P45)</f>
        <v>#N/A</v>
      </c>
      <c r="Y449" s="257" t="e">
        <f>IF(Q_IS!Q45="ND",NA(),Q_IS!Q45)</f>
        <v>#N/A</v>
      </c>
      <c r="Z449" s="257" t="e">
        <f>IF(Q_IS!R45="ND",NA(),Q_IS!R45)</f>
        <v>#N/A</v>
      </c>
      <c r="AA449" s="257" t="e">
        <f>IF(Q_IS!S45="ND",NA(),Q_IS!S45)</f>
        <v>#N/A</v>
      </c>
      <c r="AB449" s="257" t="e">
        <f>IF(Q_IS!T45="ND",NA(),Q_IS!T45)</f>
        <v>#N/A</v>
      </c>
      <c r="AC449" s="257">
        <f>IF(Q_IS!U45="ND",NA(),Q_IS!U45)</f>
        <v>4.7E-2</v>
      </c>
      <c r="AD449" s="257">
        <f>IF(Q_IS!V45="ND",NA(),Q_IS!V45)</f>
        <v>2.5999999999999999E-2</v>
      </c>
      <c r="AE449" s="257">
        <f>IF(Q_IS!W45="ND",NA(),Q_IS!W45)</f>
        <v>1.7999999999999999E-2</v>
      </c>
      <c r="AF449" s="257">
        <f>IF(Q_IS!X45="ND",NA(),Q_IS!X45)</f>
        <v>-2.5000000000000001E-2</v>
      </c>
      <c r="AG449" s="257">
        <f>IF(Q_IS!Y45="ND",NA(),Q_IS!Y45)</f>
        <v>-2.8000000000000001E-2</v>
      </c>
      <c r="AH449" s="257">
        <f>IF(Q_IS!Z45="ND",NA(),Q_IS!Z45)</f>
        <v>2.5999999999999999E-2</v>
      </c>
      <c r="AI449" s="257">
        <f>IF(Q_IS!AA45="ND",NA(),Q_IS!AA45)</f>
        <v>0.02</v>
      </c>
      <c r="AJ449" s="257">
        <f>IF(Q_IS!AB45="ND",NA(),Q_IS!AB45)</f>
        <v>5.8000000000000003E-2</v>
      </c>
      <c r="AK449" s="257">
        <f>IF(Q_IS!AC45="ND",NA(),Q_IS!AC45)</f>
        <v>6.0999999999999999E-2</v>
      </c>
      <c r="AL449" s="257">
        <f>IF(Q_IS!AD45="ND",NA(),Q_IS!AD45)</f>
        <v>6.2E-2</v>
      </c>
      <c r="AM449" s="257">
        <f>IF(Q_IS!AE45="ND",NA(),Q_IS!AE45)</f>
        <v>6.2E-2</v>
      </c>
      <c r="AN449" s="257">
        <f>IF(Q_IS!AF45="ND",NA(),Q_IS!AF45)</f>
        <v>6.4000000000000001E-2</v>
      </c>
      <c r="AO449" s="257">
        <f>IF(Q_IS!AG45="ND",NA(),Q_IS!AG45)</f>
        <v>4.9000000000000002E-2</v>
      </c>
      <c r="AP449" s="257">
        <f>IF(Q_IS!AH45="ND",NA(),Q_IS!AH45)</f>
        <v>1.9E-2</v>
      </c>
      <c r="AQ449" s="257">
        <f>IF(Q_IS!AI45="ND",NA(),Q_IS!AI45)</f>
        <v>0.05</v>
      </c>
      <c r="AR449" s="257">
        <f>IF(Q_IS!AJ45="ND",NA(),Q_IS!AJ45)</f>
        <v>1.7000000000000001E-2</v>
      </c>
      <c r="AS449" s="257">
        <f>IF(Q_IS!AK45="ND",NA(),Q_IS!AK45)</f>
        <v>3.9E-2</v>
      </c>
      <c r="AT449" s="257">
        <f>IF(Q_IS!AL45="ND",NA(),Q_IS!AL45)</f>
        <v>7.0999999999999994E-2</v>
      </c>
      <c r="AU449" s="257">
        <f>IF(Q_IS!AM45="ND",NA(),Q_IS!AM45)</f>
        <v>2.8000000000000001E-2</v>
      </c>
      <c r="AV449" s="257">
        <f>IF(Q_IS!AN45="ND",NA(),Q_IS!AN45)</f>
        <v>2.8000000000000001E-2</v>
      </c>
      <c r="AW449" s="257">
        <f>IF(Q_IS!AO45="ND",NA(),Q_IS!AO45)</f>
        <v>3.5000000000000003E-2</v>
      </c>
      <c r="AX449" s="257">
        <f>IF(Q_IS!AP45="ND",NA(),Q_IS!AP45)</f>
        <v>2.1000000000000001E-2</v>
      </c>
      <c r="AY449" s="257">
        <f>IF(Q_IS!AQ45="ND",NA(),Q_IS!AQ45)</f>
        <v>6.3E-2</v>
      </c>
      <c r="AZ449" s="257">
        <f>IF(Q_IS!AR45="ND",NA(),Q_IS!AR45)</f>
        <v>3.5999999999999997E-2</v>
      </c>
      <c r="BA449" s="257">
        <f>IF(Q_IS!AS45="ND",NA(),Q_IS!AS45)</f>
        <v>2.3E-2</v>
      </c>
      <c r="BB449" s="257">
        <f>IF(Q_IS!AT45="ND",NA(),Q_IS!AT45)</f>
        <v>-2.5999999999999999E-2</v>
      </c>
      <c r="BC449" s="461">
        <f>IF(Q_IS!AU45="ND",NA(),Q_IS!AU45)</f>
        <v>-0.443</v>
      </c>
      <c r="BD449" s="461">
        <f>IF(Q_IS!AV45="ND",NA(),Q_IS!AV45)</f>
        <v>-0.29599999999999999</v>
      </c>
      <c r="BE449" s="461">
        <f>IF(Q_IS!AW45="ND",NA(),Q_IS!AW45)</f>
        <v>-0.218</v>
      </c>
      <c r="BF449" s="461">
        <f>IF(Q_IS!AX45="ND",NA(),Q_IS!AX45)</f>
        <v>-8.4000000000000005E-2</v>
      </c>
      <c r="BG449" s="461">
        <f>IF(Q_IS!AY45="ND",NA(),Q_IS!AY45)</f>
        <v>0.86</v>
      </c>
      <c r="BH449" s="461">
        <f>IF(Q_IS!AZ45="ND",NA(),Q_IS!AZ45)</f>
        <v>0.435</v>
      </c>
      <c r="BI449" s="461">
        <f>IF(Q_IS!BA45="ND",NA(),Q_IS!BA45)</f>
        <v>0.44500000000000001</v>
      </c>
      <c r="BJ449" s="461">
        <f>IF(Q_IS!BB45="ND",NA(),Q_IS!BB45)</f>
        <v>0.44400000000000001</v>
      </c>
      <c r="BK449" s="461">
        <f>IF(Q_IS!BC45="ND",NA(),Q_IS!BC45)</f>
        <v>0.28100000000000003</v>
      </c>
      <c r="BL449" s="461">
        <f>IF(Q_IS!BD45="ND",NA(),Q_IS!BD45)</f>
        <v>0.23499999999999999</v>
      </c>
      <c r="BM449" s="461">
        <f>IF(Q_IS!BE45="ND",NA(),Q_IS!BE45)</f>
        <v>0.16</v>
      </c>
      <c r="BN449" s="461">
        <f>IF(Q_IS!BF45="ND",NA(),Q_IS!BF45)</f>
        <v>0.184</v>
      </c>
      <c r="BO449" s="461">
        <f>IF(Q_IS!BG45="ND",NA(),Q_IS!BG45)</f>
        <v>0.14099999999999999</v>
      </c>
      <c r="BP449" s="461">
        <f>IF(Q_IS!BH45="ND",NA(),Q_IS!BH45)</f>
        <v>0.16200000000000001</v>
      </c>
      <c r="BQ449" s="461">
        <f>IF(Q_IS!BI45="ND",NA(),Q_IS!BI45)</f>
        <v>0.13500000000000001</v>
      </c>
      <c r="BR449" s="461">
        <f>IF(Q_IS!BJ45="ND",NA(),Q_IS!BJ45)</f>
        <v>0.10100000000000001</v>
      </c>
      <c r="BS449" s="461">
        <f>IF(Q_IS!BK45="ND",NA(),Q_IS!BK45)</f>
        <v>7.2999999999999995E-2</v>
      </c>
      <c r="BT449" s="461">
        <f>IF(Q_IS!BL45="ND",NA(),Q_IS!BL45)</f>
        <v>4.691657931847279E-2</v>
      </c>
      <c r="BU449" s="461">
        <f>IF(Q_IS!BM45="ND",NA(),Q_IS!BM45)</f>
        <v>4.3916423901643048E-2</v>
      </c>
      <c r="BV449" s="461">
        <f>IF(Q_IS!BN45="ND",NA(),Q_IS!BN45)</f>
        <v>3.9029082428482548E-2</v>
      </c>
      <c r="BW449" s="461">
        <f>IF(Q_IS!BO45="ND",NA(),Q_IS!BO45)</f>
        <v>4.0127041016709164E-2</v>
      </c>
      <c r="BX449" s="461">
        <f>IF(Q_IS!BP45="ND",NA(),Q_IS!BP45)</f>
        <v>3.7310424452889276E-2</v>
      </c>
      <c r="BY449" s="461">
        <f>IF(Q_IS!BQ45="ND",NA(),Q_IS!BQ45)</f>
        <v>3.7499827374370118E-2</v>
      </c>
      <c r="BZ449" s="461">
        <f>IF(Q_IS!BR45="ND",NA(),Q_IS!BR45)</f>
        <v>3.7499827374370118E-2</v>
      </c>
      <c r="CA449" s="461">
        <f>IF(Q_IS!BS45="ND",NA(),Q_IS!BS45)</f>
        <v>3.7499827374370118E-2</v>
      </c>
      <c r="CB449" s="461">
        <f>IF(Q_IS!BT45="ND",NA(),Q_IS!BT45)</f>
        <v>3.7499827374370118E-2</v>
      </c>
      <c r="CC449" s="461">
        <f>IF(Q_IS!BU45="ND",NA(),Q_IS!BU45)</f>
        <v>3.7499827374370118E-2</v>
      </c>
      <c r="CD449" s="461">
        <f>IF(Q_IS!BV45="ND",NA(),Q_IS!BV45)</f>
        <v>3.7499827374370118E-2</v>
      </c>
      <c r="CE449" s="461">
        <f>IF(Q_IS!BW45="ND",NA(),Q_IS!BW45)</f>
        <v>3.7499827374370118E-2</v>
      </c>
      <c r="CF449" s="461">
        <f>IF(Q_IS!BX45="ND",NA(),Q_IS!BX45)</f>
        <v>3.7499827374370118E-2</v>
      </c>
      <c r="CG449" s="461">
        <f>IF(Q_IS!BY45="ND",NA(),Q_IS!BY45)</f>
        <v>3.7499827374370118E-2</v>
      </c>
      <c r="CH449" s="461">
        <f>IF(Q_IS!BZ45="ND",NA(),Q_IS!BZ45)</f>
        <v>2.7899827374370113E-2</v>
      </c>
      <c r="CI449" s="461">
        <f>IF(Q_IS!CA45="ND",NA(),Q_IS!CA45)</f>
        <v>2.7899827374370113E-2</v>
      </c>
      <c r="CJ449" s="461">
        <f>IF(Q_IS!CB45="ND",NA(),Q_IS!CB45)</f>
        <v>2.7899827374370113E-2</v>
      </c>
      <c r="CK449" s="461">
        <f>IF(Q_IS!CC45="ND",NA(),Q_IS!CC45)</f>
        <v>2.7899827374370113E-2</v>
      </c>
      <c r="CL449" s="461">
        <f>IF(Q_IS!CD45="ND",NA(),Q_IS!CD45)</f>
        <v>2.7899827374370113E-2</v>
      </c>
      <c r="CM449" s="461">
        <f>IF(Q_IS!CE45="ND",NA(),Q_IS!CE45)</f>
        <v>2.7899827374370113E-2</v>
      </c>
      <c r="CN449" s="461">
        <f>IF(Q_IS!CF45="ND",NA(),Q_IS!CF45)</f>
        <v>2.7899827374370113E-2</v>
      </c>
      <c r="CO449" s="461">
        <f>IF(Q_IS!CG45="ND",NA(),Q_IS!CG45)</f>
        <v>2.7899827374370113E-2</v>
      </c>
      <c r="CP449" s="461">
        <f>IF(Q_IS!CH45="ND",NA(),Q_IS!CH45)</f>
        <v>2.7899827374370113E-2</v>
      </c>
      <c r="CQ449" s="461">
        <f>IF(Q_IS!CI45="ND",NA(),Q_IS!CI45)</f>
        <v>2.7899827374370113E-2</v>
      </c>
      <c r="CR449" s="461">
        <f>IF(Q_IS!CJ45="ND",NA(),Q_IS!CJ45)</f>
        <v>2.7899827374370113E-2</v>
      </c>
      <c r="CS449" s="461">
        <f>IF(Q_IS!CK45="ND",NA(),Q_IS!CK45)</f>
        <v>2.7899827374370113E-2</v>
      </c>
    </row>
    <row r="450" spans="1:97">
      <c r="A450" s="342" t="s">
        <v>733</v>
      </c>
      <c r="B450" s="257"/>
      <c r="C450" s="257"/>
      <c r="D450" s="257"/>
      <c r="E450" s="257"/>
      <c r="F450" s="257"/>
      <c r="G450" s="257"/>
      <c r="H450" s="257"/>
      <c r="I450" s="257"/>
      <c r="J450" s="257" t="e">
        <f>IF(Q_IS!B196="ND",NA(),Q_IS!B196)</f>
        <v>#N/A</v>
      </c>
      <c r="K450" s="257" t="e">
        <f>IF(Q_IS!C196="ND",NA(),Q_IS!C196)</f>
        <v>#N/A</v>
      </c>
      <c r="L450" s="257" t="e">
        <f>IF(Q_IS!D196="ND",NA(),Q_IS!D196)</f>
        <v>#N/A</v>
      </c>
      <c r="M450" s="257" t="e">
        <f>IF(Q_IS!E196="ND",NA(),Q_IS!E196)</f>
        <v>#N/A</v>
      </c>
      <c r="N450" s="257" t="e">
        <f>IF(Q_IS!F196="ND",NA(),Q_IS!F196)</f>
        <v>#N/A</v>
      </c>
      <c r="O450" s="257" t="e">
        <f>IF(Q_IS!G196="ND",NA(),Q_IS!G196)</f>
        <v>#N/A</v>
      </c>
      <c r="P450" s="257" t="e">
        <f>IF(Q_IS!H196="ND",NA(),Q_IS!H196)</f>
        <v>#N/A</v>
      </c>
      <c r="Q450" s="257" t="e">
        <f>IF(Q_IS!I196="ND",NA(),Q_IS!I196)</f>
        <v>#N/A</v>
      </c>
      <c r="R450" s="257" t="e">
        <f>IF(Q_IS!J196="ND",NA(),Q_IS!J196)</f>
        <v>#N/A</v>
      </c>
      <c r="S450" s="257" t="e">
        <f>IF(Q_IS!K196="ND",NA(),Q_IS!K196)</f>
        <v>#N/A</v>
      </c>
      <c r="T450" s="257" t="e">
        <f>IF(Q_IS!L196="ND",NA(),Q_IS!L196)</f>
        <v>#N/A</v>
      </c>
      <c r="U450" s="257" t="e">
        <f>IF(Q_IS!M196="ND",NA(),Q_IS!M196)</f>
        <v>#N/A</v>
      </c>
      <c r="V450" s="257" t="e">
        <f>IF(Q_IS!N196="ND",NA(),Q_IS!N196)</f>
        <v>#N/A</v>
      </c>
      <c r="W450" s="257" t="e">
        <f>IF(Q_IS!O196="ND",NA(),Q_IS!O196)</f>
        <v>#N/A</v>
      </c>
      <c r="X450" s="257" t="e">
        <f>IF(Q_IS!P196="ND",NA(),Q_IS!P196)</f>
        <v>#N/A</v>
      </c>
      <c r="Y450" s="257" t="e">
        <f>IF(Q_IS!Q196="ND",NA(),Q_IS!Q196)</f>
        <v>#N/A</v>
      </c>
      <c r="Z450" s="257" t="e">
        <f>IF(Q_IS!R196="ND",NA(),Q_IS!R196)</f>
        <v>#N/A</v>
      </c>
      <c r="AA450" s="257" t="e">
        <f>IF(Q_IS!S196="ND",NA(),Q_IS!S196)</f>
        <v>#N/A</v>
      </c>
      <c r="AB450" s="257" t="e">
        <f>IF(Q_IS!T196="ND",NA(),Q_IS!T196)</f>
        <v>#N/A</v>
      </c>
      <c r="AC450" s="257">
        <f>IF(Q_IS!U196="ND",NA(),Q_IS!U196)</f>
        <v>0.26</v>
      </c>
      <c r="AD450" s="257">
        <f>IF(Q_IS!V196="ND",NA(),Q_IS!V196)</f>
        <v>0.26500000000000001</v>
      </c>
      <c r="AE450" s="257">
        <f>IF(Q_IS!W196="ND",NA(),Q_IS!W196)</f>
        <v>0.19800000000000001</v>
      </c>
      <c r="AF450" s="257">
        <f>IF(Q_IS!X196="ND",NA(),Q_IS!X196)</f>
        <v>0.16400000000000001</v>
      </c>
      <c r="AG450" s="257">
        <f>IF(Q_IS!Y196="ND",NA(),Q_IS!Y196)</f>
        <v>0.16700000000000001</v>
      </c>
      <c r="AH450" s="257">
        <f>IF(Q_IS!Z196="ND",NA(),Q_IS!Z196)</f>
        <v>0.154</v>
      </c>
      <c r="AI450" s="257">
        <f>IF(Q_IS!AA196="ND",NA(),Q_IS!AA196)</f>
        <v>0.27400000000000002</v>
      </c>
      <c r="AJ450" s="257">
        <f>IF(Q_IS!AB196="ND",NA(),Q_IS!AB196)</f>
        <v>0.29299999999999998</v>
      </c>
      <c r="AK450" s="257">
        <f>IF(Q_IS!AC196="ND",NA(),Q_IS!AC196)</f>
        <v>0.28399999999999997</v>
      </c>
      <c r="AL450" s="257">
        <f>IF(Q_IS!AD196="ND",NA(),Q_IS!AD196)</f>
        <v>0.26800000000000002</v>
      </c>
      <c r="AM450" s="257">
        <f>IF(Q_IS!AE196="ND",NA(),Q_IS!AE196)</f>
        <v>0.23</v>
      </c>
      <c r="AN450" s="257">
        <f>IF(Q_IS!AF196="ND",NA(),Q_IS!AF196)</f>
        <v>0.23599999999999999</v>
      </c>
      <c r="AO450" s="257">
        <f>IF(Q_IS!AG196="ND",NA(),Q_IS!AG196)</f>
        <v>0.22</v>
      </c>
      <c r="AP450" s="257">
        <f>IF(Q_IS!AH196="ND",NA(),Q_IS!AH196)</f>
        <v>0.247</v>
      </c>
      <c r="AQ450" s="257">
        <f>IF(Q_IS!AI196="ND",NA(),Q_IS!AI196)</f>
        <v>0.16600000000000001</v>
      </c>
      <c r="AR450" s="257">
        <f>IF(Q_IS!AJ196="ND",NA(),Q_IS!AJ196)</f>
        <v>0.216</v>
      </c>
      <c r="AS450" s="257">
        <f>IF(Q_IS!AK196="ND",NA(),Q_IS!AK196)</f>
        <v>0.184</v>
      </c>
      <c r="AT450" s="257">
        <f>IF(Q_IS!AL196="ND",NA(),Q_IS!AL196)</f>
        <v>9.6000000000000002E-2</v>
      </c>
      <c r="AU450" s="257">
        <f>IF(Q_IS!AM196="ND",NA(),Q_IS!AM196)</f>
        <v>0.126</v>
      </c>
      <c r="AV450" s="257">
        <f>IF(Q_IS!AN196="ND",NA(),Q_IS!AN196)</f>
        <v>0.10100000000000001</v>
      </c>
      <c r="AW450" s="257">
        <f>IF(Q_IS!AO196="ND",NA(),Q_IS!AO196)</f>
        <v>0.15</v>
      </c>
      <c r="AX450" s="257">
        <f>IF(Q_IS!AP196="ND",NA(),Q_IS!AP196)</f>
        <v>0.13100000000000001</v>
      </c>
      <c r="AY450" s="257">
        <f>IF(Q_IS!AQ196="ND",NA(),Q_IS!AQ196)</f>
        <v>0.16400000000000001</v>
      </c>
      <c r="AZ450" s="257">
        <f>IF(Q_IS!AR196="ND",NA(),Q_IS!AR196)</f>
        <v>0.186</v>
      </c>
      <c r="BA450" s="257">
        <f>IF(Q_IS!AS196="ND",NA(),Q_IS!AS196)</f>
        <v>0.11600000000000001</v>
      </c>
      <c r="BB450" s="257">
        <f>IF(Q_IS!AT196="ND",NA(),Q_IS!AT196)</f>
        <v>6.8000000000000005E-2</v>
      </c>
      <c r="BC450" s="461">
        <f>IF(Q_IS!AU196="ND",NA(),Q_IS!AU196)</f>
        <v>-0.442</v>
      </c>
      <c r="BD450" s="461">
        <f>IF(Q_IS!AV196="ND",NA(),Q_IS!AV196)</f>
        <v>-0.36499999999999999</v>
      </c>
      <c r="BE450" s="461">
        <f>IF(Q_IS!AW196="ND",NA(),Q_IS!AW196)</f>
        <v>-0.14199999999999999</v>
      </c>
      <c r="BF450" s="461">
        <f>IF(Q_IS!AX196="ND",NA(),Q_IS!AX196)</f>
        <v>4.9000000000000002E-2</v>
      </c>
      <c r="BG450" s="461">
        <f>IF(Q_IS!AY196="ND",NA(),Q_IS!AY196)</f>
        <v>0.98299999999999998</v>
      </c>
      <c r="BH450" s="461">
        <f>IF(Q_IS!AZ196="ND",NA(),Q_IS!AZ196)</f>
        <v>1.01</v>
      </c>
      <c r="BI450" s="461">
        <f>IF(Q_IS!BA196="ND",NA(),Q_IS!BA196)</f>
        <v>0.78400000000000003</v>
      </c>
      <c r="BJ450" s="461">
        <f>IF(Q_IS!BB196="ND",NA(),Q_IS!BB196)</f>
        <v>0.66400000000000003</v>
      </c>
      <c r="BK450" s="461">
        <f>IF(Q_IS!BC196="ND",NA(),Q_IS!BC196)</f>
        <v>1.002</v>
      </c>
      <c r="BL450" s="461">
        <f>IF(Q_IS!BD196="ND",NA(),Q_IS!BD196)</f>
        <v>0.68200000000000005</v>
      </c>
      <c r="BM450" s="461">
        <f>IF(Q_IS!BE196="ND",NA(),Q_IS!BE196)</f>
        <v>0.53500000000000003</v>
      </c>
      <c r="BN450" s="461">
        <f>IF(Q_IS!BF196="ND",NA(),Q_IS!BF196)</f>
        <v>0.58299999999999996</v>
      </c>
      <c r="BO450" s="461">
        <f>IF(Q_IS!BG196="ND",NA(),Q_IS!BG196)</f>
        <v>0.49</v>
      </c>
      <c r="BP450" s="461">
        <f>IF(Q_IS!BH196="ND",NA(),Q_IS!BH196)</f>
        <v>0.41399999999999998</v>
      </c>
      <c r="BQ450" s="461">
        <f>IF(Q_IS!BI196="ND",NA(),Q_IS!BI196)</f>
        <v>0.28100000000000003</v>
      </c>
      <c r="BR450" s="461">
        <f>IF(Q_IS!BJ196="ND",NA(),Q_IS!BJ196)</f>
        <v>0.33400000000000002</v>
      </c>
      <c r="BS450" s="461">
        <f>IF(Q_IS!BK196="ND",NA(),Q_IS!BK196)</f>
        <v>0.48099999999999998</v>
      </c>
      <c r="BT450" s="461">
        <f>IF(Q_IS!BL196="ND",NA(),Q_IS!BL196)</f>
        <v>0.43545757945564589</v>
      </c>
      <c r="BU450" s="461">
        <f>IF(Q_IS!BM196="ND",NA(),Q_IS!BM196)</f>
        <v>0.29217100852820443</v>
      </c>
      <c r="BV450" s="461">
        <f>IF(Q_IS!BN196="ND",NA(),Q_IS!BN196)</f>
        <v>0.26332181013382144</v>
      </c>
      <c r="BW450" s="461">
        <f>IF(Q_IS!BO196="ND",NA(),Q_IS!BO196)</f>
        <v>0.20808899769855987</v>
      </c>
      <c r="BX450" s="461">
        <f>IF(Q_IS!BP196="ND",NA(),Q_IS!BP196)</f>
        <v>0.16071119235496276</v>
      </c>
      <c r="BY450" s="461">
        <f>IF(Q_IS!BQ196="ND",NA(),Q_IS!BQ196)</f>
        <v>0.11981418088619207</v>
      </c>
      <c r="BZ450" s="461">
        <f>IF(Q_IS!BR196="ND",NA(),Q_IS!BR196)</f>
        <v>0.14184927492445309</v>
      </c>
      <c r="CA450" s="461">
        <f>IF(Q_IS!BS196="ND",NA(),Q_IS!BS196)</f>
        <v>0.14247040168735089</v>
      </c>
      <c r="CB450" s="461">
        <f>IF(Q_IS!BT196="ND",NA(),Q_IS!BT196)</f>
        <v>0.14255606411333049</v>
      </c>
      <c r="CC450" s="461">
        <f>IF(Q_IS!BU196="ND",NA(),Q_IS!BU196)</f>
        <v>0.14183584273016983</v>
      </c>
      <c r="CD450" s="461">
        <f>IF(Q_IS!BV196="ND",NA(),Q_IS!BV196)</f>
        <v>0.11848394127251805</v>
      </c>
      <c r="CE450" s="461">
        <f>IF(Q_IS!BW196="ND",NA(),Q_IS!BW196)</f>
        <v>0.11819960150196232</v>
      </c>
      <c r="CF450" s="461">
        <f>IF(Q_IS!BX196="ND",NA(),Q_IS!BX196)</f>
        <v>0.11791876561027972</v>
      </c>
      <c r="CG450" s="461">
        <f>IF(Q_IS!BY196="ND",NA(),Q_IS!BY196)</f>
        <v>0.11738474996544301</v>
      </c>
      <c r="CH450" s="461">
        <f>IF(Q_IS!BZ196="ND",NA(),Q_IS!BZ196)</f>
        <v>0.1247261932648908</v>
      </c>
      <c r="CI450" s="461">
        <f>IF(Q_IS!CA196="ND",NA(),Q_IS!CA196)</f>
        <v>0.12470513832465613</v>
      </c>
      <c r="CJ450" s="461">
        <f>IF(Q_IS!CB196="ND",NA(),Q_IS!CB196)</f>
        <v>0.12468428559273105</v>
      </c>
      <c r="CK450" s="461">
        <f>IF(Q_IS!CC196="ND",NA(),Q_IS!CC196)</f>
        <v>0.12477783136426163</v>
      </c>
      <c r="CL450" s="461">
        <f>IF(Q_IS!CD196="ND",NA(),Q_IS!CD196)</f>
        <v>0.12475164349674676</v>
      </c>
      <c r="CM450" s="461">
        <f>IF(Q_IS!CE196="ND",NA(),Q_IS!CE196)</f>
        <v>0.12449478830621315</v>
      </c>
      <c r="CN450" s="461">
        <f>IF(Q_IS!CF196="ND",NA(),Q_IS!CF196)</f>
        <v>0.12424034773556702</v>
      </c>
      <c r="CO450" s="461">
        <f>IF(Q_IS!CG196="ND",NA(),Q_IS!CG196)</f>
        <v>0.12409869233616397</v>
      </c>
      <c r="CP450" s="461">
        <f>IF(Q_IS!CH196="ND",NA(),Q_IS!CH196)</f>
        <v>0.12407700843926957</v>
      </c>
      <c r="CQ450" s="461">
        <f>IF(Q_IS!CI196="ND",NA(),Q_IS!CI196)</f>
        <v>0.1240641184975529</v>
      </c>
      <c r="CR450" s="461">
        <f>IF(Q_IS!CJ196="ND",NA(),Q_IS!CJ196)</f>
        <v>0.12405131770817091</v>
      </c>
      <c r="CS450" s="461">
        <f>IF(Q_IS!CK196="ND",NA(),Q_IS!CK196)</f>
        <v>0.12403017867775874</v>
      </c>
    </row>
    <row r="451" spans="1:97">
      <c r="A451" s="342" t="s">
        <v>949</v>
      </c>
      <c r="B451" s="257"/>
      <c r="C451" s="257"/>
      <c r="D451" s="257"/>
      <c r="E451" s="257"/>
      <c r="F451" s="257"/>
      <c r="G451" s="257"/>
      <c r="H451" s="257"/>
      <c r="I451" s="257"/>
      <c r="J451" s="257" t="e">
        <f>IF(Q_IS!B112="ND",NA(),Q_IS!B112)</f>
        <v>#N/A</v>
      </c>
      <c r="K451" s="257" t="e">
        <f>IF(Q_IS!C112="ND",NA(),Q_IS!C112)</f>
        <v>#N/A</v>
      </c>
      <c r="L451" s="257" t="e">
        <f>IF(Q_IS!D112="ND",NA(),Q_IS!D112)</f>
        <v>#N/A</v>
      </c>
      <c r="M451" s="257" t="e">
        <f>IF(Q_IS!E112="ND",NA(),Q_IS!E112)</f>
        <v>#N/A</v>
      </c>
      <c r="N451" s="257" t="e">
        <f>IF(Q_IS!F112="ND",NA(),Q_IS!F112)</f>
        <v>#N/A</v>
      </c>
      <c r="O451" s="257" t="e">
        <f>IF(Q_IS!G112="ND",NA(),Q_IS!G112)</f>
        <v>#N/A</v>
      </c>
      <c r="P451" s="257" t="e">
        <f>IF(Q_IS!H112="ND",NA(),Q_IS!H112)</f>
        <v>#N/A</v>
      </c>
      <c r="Q451" s="257" t="e">
        <f>IF(Q_IS!I112="ND",NA(),Q_IS!I112)</f>
        <v>#N/A</v>
      </c>
      <c r="R451" s="257" t="e">
        <f>IF(Q_IS!J112="ND",NA(),Q_IS!J112)</f>
        <v>#N/A</v>
      </c>
      <c r="S451" s="257" t="e">
        <f>IF(Q_IS!K112="ND",NA(),Q_IS!K112)</f>
        <v>#N/A</v>
      </c>
      <c r="T451" s="257" t="e">
        <f>IF(Q_IS!L112="ND",NA(),Q_IS!L112)</f>
        <v>#N/A</v>
      </c>
      <c r="U451" s="257" t="e">
        <f>IF(Q_IS!M112="ND",NA(),Q_IS!M112)</f>
        <v>#N/A</v>
      </c>
      <c r="V451" s="257" t="e">
        <f>IF(Q_IS!N112="ND",NA(),Q_IS!N112)</f>
        <v>#N/A</v>
      </c>
      <c r="W451" s="257" t="e">
        <f>IF(Q_IS!O112="ND",NA(),Q_IS!O112)</f>
        <v>#N/A</v>
      </c>
      <c r="X451" s="257" t="e">
        <f>IF(Q_IS!P112="ND",NA(),Q_IS!P112)</f>
        <v>#N/A</v>
      </c>
      <c r="Y451" s="257" t="e">
        <f>IF(Q_IS!Q112="ND",NA(),Q_IS!Q112)</f>
        <v>#N/A</v>
      </c>
      <c r="Z451" s="257" t="e">
        <f>IF(Q_IS!R112="ND",NA(),Q_IS!R112)</f>
        <v>#N/A</v>
      </c>
      <c r="AA451" s="257" t="e">
        <f>IF(Q_IS!S112="ND",NA(),Q_IS!S112)</f>
        <v>#N/A</v>
      </c>
      <c r="AB451" s="257" t="e">
        <f>IF(Q_IS!T112="ND",NA(),Q_IS!T112)</f>
        <v>#N/A</v>
      </c>
      <c r="AC451" s="257" t="e">
        <f>IF(Q_IS!U112="ND",NA(),Q_IS!U112)</f>
        <v>#N/A</v>
      </c>
      <c r="AD451" s="257" t="e">
        <f>IF(Q_IS!V112="ND",NA(),Q_IS!V112)</f>
        <v>#N/A</v>
      </c>
      <c r="AE451" s="257" t="e">
        <f>IF(Q_IS!W112="ND",NA(),Q_IS!W112)</f>
        <v>#N/A</v>
      </c>
      <c r="AF451" s="257" t="e">
        <f>IF(Q_IS!X112="ND",NA(),Q_IS!X112)</f>
        <v>#N/A</v>
      </c>
      <c r="AG451" s="257">
        <f>IF(Q_IS!Y112="ND",NA(),Q_IS!Y112)</f>
        <v>8.8999999999999996E-2</v>
      </c>
      <c r="AH451" s="257">
        <f>IF(Q_IS!Z112="ND",NA(),Q_IS!Z112)</f>
        <v>9.7000000000000003E-2</v>
      </c>
      <c r="AI451" s="257">
        <f>IF(Q_IS!AA112="ND",NA(),Q_IS!AA112)</f>
        <v>3.6999999999999998E-2</v>
      </c>
      <c r="AJ451" s="257">
        <f>IF(Q_IS!AB112="ND",NA(),Q_IS!AB112)</f>
        <v>7.0999999999999994E-2</v>
      </c>
      <c r="AK451" s="257">
        <f>IF(Q_IS!AC112="ND",NA(),Q_IS!AC112)</f>
        <v>7.1999999999999995E-2</v>
      </c>
      <c r="AL451" s="257">
        <f>IF(Q_IS!AD112="ND",NA(),Q_IS!AD112)</f>
        <v>8.5000000000000006E-2</v>
      </c>
      <c r="AM451" s="257">
        <f>IF(Q_IS!AE112="ND",NA(),Q_IS!AE112)</f>
        <v>7.2999999999999995E-2</v>
      </c>
      <c r="AN451" s="257">
        <f>IF(Q_IS!AF112="ND",NA(),Q_IS!AF112)</f>
        <v>1.9E-2</v>
      </c>
      <c r="AO451" s="257">
        <f>IF(Q_IS!AG112="ND",NA(),Q_IS!AG112)</f>
        <v>3.0000000000000001E-3</v>
      </c>
      <c r="AP451" s="257">
        <f>IF(Q_IS!AH112="ND",NA(),Q_IS!AH112)</f>
        <v>0.02</v>
      </c>
      <c r="AQ451" s="257">
        <f>IF(Q_IS!AI112="ND",NA(),Q_IS!AI112)</f>
        <v>1.7000000000000001E-2</v>
      </c>
      <c r="AR451" s="257">
        <f>IF(Q_IS!AJ112="ND",NA(),Q_IS!AJ112)</f>
        <v>3.5000000000000003E-2</v>
      </c>
      <c r="AS451" s="257">
        <f>IF(Q_IS!AK112="ND",NA(),Q_IS!AK112)</f>
        <v>2.1000000000000001E-2</v>
      </c>
      <c r="AT451" s="257">
        <f>IF(Q_IS!AL112="ND",NA(),Q_IS!AL112)</f>
        <v>3.6999999999999998E-2</v>
      </c>
      <c r="AU451" s="257">
        <f>IF(Q_IS!AM112="ND",NA(),Q_IS!AM112)</f>
        <v>3.0000000000000001E-3</v>
      </c>
      <c r="AV451" s="257">
        <f>IF(Q_IS!AN112="ND",NA(),Q_IS!AN112)</f>
        <v>-8.0000000000000002E-3</v>
      </c>
      <c r="AW451" s="257">
        <f>IF(Q_IS!AO112="ND",NA(),Q_IS!AO112)</f>
        <v>0.01</v>
      </c>
      <c r="AX451" s="257">
        <f>IF(Q_IS!AP112="ND",NA(),Q_IS!AP112)</f>
        <v>-1.4999999999999999E-2</v>
      </c>
      <c r="AY451" s="257">
        <f>IF(Q_IS!AQ112="ND",NA(),Q_IS!AQ112)</f>
        <v>5.2999999999999999E-2</v>
      </c>
      <c r="AZ451" s="257">
        <f>IF(Q_IS!AR112="ND",NA(),Q_IS!AR112)</f>
        <v>2.5999999999999999E-2</v>
      </c>
      <c r="BA451" s="257">
        <f>IF(Q_IS!AS112="ND",NA(),Q_IS!AS112)</f>
        <v>1.7000000000000001E-2</v>
      </c>
      <c r="BB451" s="257">
        <f>IF(Q_IS!AT112="ND",NA(),Q_IS!AT112)</f>
        <v>-4.8000000000000001E-2</v>
      </c>
      <c r="BC451" s="461">
        <f>IF(Q_IS!AU112="ND",NA(),Q_IS!AU112)</f>
        <v>-0.35699999999999998</v>
      </c>
      <c r="BD451" s="461">
        <f>IF(Q_IS!AV112="ND",NA(),Q_IS!AV112)</f>
        <v>-0.29799999999999999</v>
      </c>
      <c r="BE451" s="461">
        <f>IF(Q_IS!AW112="ND",NA(),Q_IS!AW112)</f>
        <v>-0.34599999999999997</v>
      </c>
      <c r="BF451" s="461">
        <f>IF(Q_IS!AX112="ND",NA(),Q_IS!AX112)</f>
        <v>-0.29199999999999998</v>
      </c>
      <c r="BG451" s="461">
        <f>IF(Q_IS!AY112="ND",NA(),Q_IS!AY112)</f>
        <v>0.24399999999999999</v>
      </c>
      <c r="BH451" s="461">
        <f>IF(Q_IS!AZ112="ND",NA(),Q_IS!AZ112)</f>
        <v>0.21099999999999999</v>
      </c>
      <c r="BI451" s="461">
        <f>IF(Q_IS!BA112="ND",NA(),Q_IS!BA112)</f>
        <v>0.38400000000000001</v>
      </c>
      <c r="BJ451" s="461">
        <f>IF(Q_IS!BB112="ND",NA(),Q_IS!BB112)</f>
        <v>0.41599999999999998</v>
      </c>
      <c r="BK451" s="461">
        <f>IF(Q_IS!BC112="ND",NA(),Q_IS!BC112)</f>
        <v>0.31</v>
      </c>
      <c r="BL451" s="461">
        <f>IF(Q_IS!BD112="ND",NA(),Q_IS!BD112)</f>
        <v>0.23599999999999999</v>
      </c>
      <c r="BM451" s="461">
        <f>IF(Q_IS!BE112="ND",NA(),Q_IS!BE112)</f>
        <v>0.16200000000000001</v>
      </c>
      <c r="BN451" s="461">
        <f>IF(Q_IS!BF112="ND",NA(),Q_IS!BF112)</f>
        <v>0.16200000000000001</v>
      </c>
      <c r="BO451" s="461">
        <f>IF(Q_IS!BG112="ND",NA(),Q_IS!BG112)</f>
        <v>0.115</v>
      </c>
      <c r="BP451" s="461">
        <f>IF(Q_IS!BH112="ND",NA(),Q_IS!BH112)</f>
        <v>8.3000000000000004E-2</v>
      </c>
      <c r="BQ451" s="461">
        <f>IF(Q_IS!BI112="ND",NA(),Q_IS!BI112)</f>
        <v>3.7999999999999999E-2</v>
      </c>
      <c r="BR451" s="461">
        <f>IF(Q_IS!BJ112="ND",NA(),Q_IS!BJ112)</f>
        <v>1.6E-2</v>
      </c>
      <c r="BS451" s="461">
        <f>IF(Q_IS!BK112="ND",NA(),Q_IS!BK112)</f>
        <v>-2.5999999999999999E-2</v>
      </c>
      <c r="BT451" s="461">
        <f>IF(Q_IS!BL112="ND",NA(),Q_IS!BL112)</f>
        <v>8.0000000000000002E-3</v>
      </c>
      <c r="BU451" s="461">
        <f>IF(Q_IS!BM112="ND",NA(),Q_IS!BM112)</f>
        <v>1.5360000000000002E-2</v>
      </c>
      <c r="BV451" s="461">
        <f>IF(Q_IS!BN112="ND",NA(),Q_IS!BN112)</f>
        <v>1.7600000000000001E-2</v>
      </c>
      <c r="BW451" s="461">
        <f>IF(Q_IS!BO112="ND",NA(),Q_IS!BO112)</f>
        <v>1.7600000000000001E-2</v>
      </c>
      <c r="BX451" s="461">
        <f>IF(Q_IS!BP112="ND",NA(),Q_IS!BP112)</f>
        <v>1.6800000000000002E-2</v>
      </c>
      <c r="BY451" s="461">
        <f>IF(Q_IS!BQ112="ND",NA(),Q_IS!BQ112)</f>
        <v>1.6800000000000002E-2</v>
      </c>
      <c r="BZ451" s="461">
        <f>IF(Q_IS!BR112="ND",NA(),Q_IS!BR112)</f>
        <v>1.6800000000000002E-2</v>
      </c>
      <c r="CA451" s="461">
        <f>IF(Q_IS!BS112="ND",NA(),Q_IS!BS112)</f>
        <v>1.6800000000000002E-2</v>
      </c>
      <c r="CB451" s="461">
        <f>IF(Q_IS!BT112="ND",NA(),Q_IS!BT112)</f>
        <v>1.6800000000000002E-2</v>
      </c>
      <c r="CC451" s="461">
        <f>IF(Q_IS!BU112="ND",NA(),Q_IS!BU112)</f>
        <v>1.6800000000000002E-2</v>
      </c>
      <c r="CD451" s="461">
        <f>IF(Q_IS!BV112="ND",NA(),Q_IS!BV112)</f>
        <v>1.6800000000000002E-2</v>
      </c>
      <c r="CE451" s="461">
        <f>IF(Q_IS!BW112="ND",NA(),Q_IS!BW112)</f>
        <v>1.6800000000000002E-2</v>
      </c>
      <c r="CF451" s="461">
        <f>IF(Q_IS!BX112="ND",NA(),Q_IS!BX112)</f>
        <v>1.6800000000000002E-2</v>
      </c>
      <c r="CG451" s="461">
        <f>IF(Q_IS!BY112="ND",NA(),Q_IS!BY112)</f>
        <v>1.6800000000000002E-2</v>
      </c>
      <c r="CH451" s="461">
        <f>IF(Q_IS!BZ112="ND",NA(),Q_IS!BZ112)</f>
        <v>1.5959999999999998E-2</v>
      </c>
      <c r="CI451" s="461">
        <f>IF(Q_IS!CA112="ND",NA(),Q_IS!CA112)</f>
        <v>1.5959999999999998E-2</v>
      </c>
      <c r="CJ451" s="461">
        <f>IF(Q_IS!CB112="ND",NA(),Q_IS!CB112)</f>
        <v>1.5959999999999998E-2</v>
      </c>
      <c r="CK451" s="461">
        <f>IF(Q_IS!CC112="ND",NA(),Q_IS!CC112)</f>
        <v>1.5959999999999998E-2</v>
      </c>
      <c r="CL451" s="461">
        <f>IF(Q_IS!CD112="ND",NA(),Q_IS!CD112)</f>
        <v>1.5959999999999998E-2</v>
      </c>
      <c r="CM451" s="461">
        <f>IF(Q_IS!CE112="ND",NA(),Q_IS!CE112)</f>
        <v>1.5959999999999998E-2</v>
      </c>
      <c r="CN451" s="461">
        <f>IF(Q_IS!CF112="ND",NA(),Q_IS!CF112)</f>
        <v>1.5959999999999998E-2</v>
      </c>
      <c r="CO451" s="461">
        <f>IF(Q_IS!CG112="ND",NA(),Q_IS!CG112)</f>
        <v>1.5959999999999998E-2</v>
      </c>
      <c r="CP451" s="461">
        <f>IF(Q_IS!CH112="ND",NA(),Q_IS!CH112)</f>
        <v>1.5959999999999998E-2</v>
      </c>
      <c r="CQ451" s="461">
        <f>IF(Q_IS!CI112="ND",NA(),Q_IS!CI112)</f>
        <v>1.5959999999999998E-2</v>
      </c>
      <c r="CR451" s="461">
        <f>IF(Q_IS!CJ112="ND",NA(),Q_IS!CJ112)</f>
        <v>1.5959999999999998E-2</v>
      </c>
      <c r="CS451" s="461">
        <f>IF(Q_IS!CK112="ND",NA(),Q_IS!CK112)</f>
        <v>1.5959999999999998E-2</v>
      </c>
    </row>
    <row r="453" spans="1:97">
      <c r="A453" s="242" t="s">
        <v>307</v>
      </c>
      <c r="B453" s="595"/>
      <c r="C453" s="595"/>
      <c r="D453" s="595"/>
      <c r="E453" s="595"/>
      <c r="F453" s="595"/>
      <c r="G453" s="595"/>
      <c r="H453" s="595"/>
      <c r="I453" s="595"/>
      <c r="J453" s="595" t="s">
        <v>690</v>
      </c>
      <c r="K453" s="595" t="s">
        <v>691</v>
      </c>
      <c r="L453" s="595" t="s">
        <v>692</v>
      </c>
      <c r="M453" s="595" t="s">
        <v>693</v>
      </c>
      <c r="N453" s="595" t="s">
        <v>114</v>
      </c>
      <c r="O453" s="595" t="s">
        <v>115</v>
      </c>
      <c r="P453" s="595" t="s">
        <v>116</v>
      </c>
      <c r="Q453" s="595" t="s">
        <v>117</v>
      </c>
      <c r="R453" s="595" t="s">
        <v>267</v>
      </c>
      <c r="S453" s="595" t="s">
        <v>268</v>
      </c>
      <c r="T453" s="595" t="s">
        <v>272</v>
      </c>
      <c r="U453" s="595" t="s">
        <v>273</v>
      </c>
      <c r="V453" s="595" t="s">
        <v>276</v>
      </c>
      <c r="W453" s="595" t="s">
        <v>13</v>
      </c>
      <c r="X453" s="595" t="s">
        <v>14</v>
      </c>
      <c r="Y453" s="595" t="s">
        <v>15</v>
      </c>
      <c r="Z453" s="595" t="s">
        <v>292</v>
      </c>
      <c r="AA453" s="595" t="s">
        <v>274</v>
      </c>
      <c r="AB453" s="595" t="s">
        <v>196</v>
      </c>
      <c r="AC453" s="595" t="s">
        <v>154</v>
      </c>
      <c r="AD453" s="595" t="s">
        <v>155</v>
      </c>
      <c r="AE453" s="595" t="s">
        <v>156</v>
      </c>
      <c r="AF453" s="595" t="s">
        <v>157</v>
      </c>
      <c r="AG453" s="595" t="s">
        <v>158</v>
      </c>
      <c r="AH453" s="595" t="s">
        <v>159</v>
      </c>
      <c r="AI453" s="595" t="s">
        <v>160</v>
      </c>
      <c r="AJ453" s="595" t="s">
        <v>161</v>
      </c>
      <c r="AK453" s="595" t="s">
        <v>162</v>
      </c>
      <c r="AL453" s="595" t="s">
        <v>163</v>
      </c>
      <c r="AM453" s="595" t="s">
        <v>164</v>
      </c>
      <c r="AN453" s="595" t="s">
        <v>165</v>
      </c>
      <c r="AO453" s="595" t="s">
        <v>166</v>
      </c>
      <c r="AP453" s="595" t="s">
        <v>167</v>
      </c>
      <c r="AQ453" s="595" t="s">
        <v>168</v>
      </c>
      <c r="AR453" s="595" t="s">
        <v>169</v>
      </c>
      <c r="AS453" s="595" t="s">
        <v>170</v>
      </c>
      <c r="AT453" s="595" t="s">
        <v>171</v>
      </c>
      <c r="AU453" s="595" t="s">
        <v>172</v>
      </c>
      <c r="AV453" s="595" t="s">
        <v>173</v>
      </c>
      <c r="AW453" s="595" t="s">
        <v>174</v>
      </c>
      <c r="AX453" s="595" t="s">
        <v>175</v>
      </c>
      <c r="AY453" s="595" t="s">
        <v>176</v>
      </c>
      <c r="AZ453" s="595" t="s">
        <v>177</v>
      </c>
      <c r="BA453" s="595" t="s">
        <v>178</v>
      </c>
      <c r="BB453" s="595" t="s">
        <v>179</v>
      </c>
      <c r="BC453" s="595" t="s">
        <v>180</v>
      </c>
      <c r="BD453" s="595" t="s">
        <v>181</v>
      </c>
      <c r="BE453" s="595" t="s">
        <v>182</v>
      </c>
      <c r="BF453" s="595" t="s">
        <v>183</v>
      </c>
      <c r="BG453" s="595" t="s">
        <v>184</v>
      </c>
      <c r="BH453" s="595" t="s">
        <v>185</v>
      </c>
      <c r="BI453" s="595" t="s">
        <v>186</v>
      </c>
      <c r="BJ453" s="595" t="s">
        <v>452</v>
      </c>
      <c r="BK453" s="595" t="s">
        <v>453</v>
      </c>
      <c r="BL453" s="595" t="s">
        <v>454</v>
      </c>
      <c r="BM453" s="595" t="s">
        <v>455</v>
      </c>
      <c r="BN453" s="595" t="s">
        <v>456</v>
      </c>
      <c r="BO453" s="595" t="s">
        <v>457</v>
      </c>
      <c r="BP453" s="595" t="s">
        <v>458</v>
      </c>
      <c r="BQ453" s="595" t="s">
        <v>459</v>
      </c>
      <c r="BR453" s="595" t="s">
        <v>460</v>
      </c>
      <c r="BS453" s="596" t="s">
        <v>509</v>
      </c>
      <c r="BT453" s="596" t="s">
        <v>501</v>
      </c>
      <c r="BU453" s="596" t="s">
        <v>502</v>
      </c>
      <c r="BV453" s="596" t="s">
        <v>507</v>
      </c>
      <c r="BW453" s="596" t="s">
        <v>510</v>
      </c>
      <c r="BX453" s="596" t="s">
        <v>503</v>
      </c>
      <c r="BY453" s="596" t="s">
        <v>504</v>
      </c>
      <c r="BZ453" s="596" t="s">
        <v>1423</v>
      </c>
      <c r="CA453" s="596" t="s">
        <v>1424</v>
      </c>
      <c r="CB453" s="596" t="s">
        <v>1425</v>
      </c>
      <c r="CC453" s="596" t="s">
        <v>1426</v>
      </c>
      <c r="CD453" s="596" t="s">
        <v>1427</v>
      </c>
      <c r="CE453" s="596" t="s">
        <v>1428</v>
      </c>
      <c r="CF453" s="596" t="s">
        <v>1429</v>
      </c>
      <c r="CG453" s="596" t="s">
        <v>1430</v>
      </c>
      <c r="CH453" s="596" t="s">
        <v>1431</v>
      </c>
      <c r="CI453" s="596" t="s">
        <v>1432</v>
      </c>
      <c r="CJ453" s="596" t="s">
        <v>1433</v>
      </c>
      <c r="CK453" s="596" t="s">
        <v>1434</v>
      </c>
      <c r="CL453" s="596" t="s">
        <v>1435</v>
      </c>
      <c r="CM453" s="596" t="s">
        <v>1436</v>
      </c>
      <c r="CN453" s="596" t="s">
        <v>1437</v>
      </c>
      <c r="CO453" s="596" t="s">
        <v>1438</v>
      </c>
      <c r="CP453" s="596" t="s">
        <v>1439</v>
      </c>
      <c r="CQ453" s="596" t="s">
        <v>1440</v>
      </c>
      <c r="CR453" s="596" t="s">
        <v>1441</v>
      </c>
      <c r="CS453" s="596" t="s">
        <v>1442</v>
      </c>
    </row>
    <row r="454" spans="1:97">
      <c r="A454" s="36" t="s">
        <v>307</v>
      </c>
      <c r="B454" s="92"/>
      <c r="C454" s="92"/>
      <c r="D454" s="92"/>
      <c r="E454" s="92"/>
      <c r="F454" s="92"/>
      <c r="G454" s="92"/>
      <c r="H454" s="92"/>
      <c r="I454" s="92"/>
      <c r="J454" s="92">
        <f>Q_IS!B245</f>
        <v>2084.1030000000001</v>
      </c>
      <c r="K454" s="92">
        <f>Q_IS!C245</f>
        <v>2072.723</v>
      </c>
      <c r="L454" s="92">
        <f>Q_IS!D245</f>
        <v>2119.5929999999998</v>
      </c>
      <c r="M454" s="92">
        <f>Q_IS!E245</f>
        <v>2310.6619999999998</v>
      </c>
      <c r="N454" s="92">
        <f>Q_IS!F245</f>
        <v>2095.8180000000002</v>
      </c>
      <c r="O454" s="92">
        <f>Q_IS!G245</f>
        <v>2166.6999999999998</v>
      </c>
      <c r="P454" s="92">
        <f>Q_IS!H245</f>
        <v>2274.9250000000002</v>
      </c>
      <c r="Q454" s="92">
        <f>Q_IS!I245</f>
        <v>2443.9969999999998</v>
      </c>
      <c r="R454" s="92">
        <f>Q_IS!J245</f>
        <v>2396.7440000000001</v>
      </c>
      <c r="S454" s="92">
        <f>Q_IS!K245</f>
        <v>2595.1480000000001</v>
      </c>
      <c r="T454" s="92">
        <f>Q_IS!L245</f>
        <v>2768.78</v>
      </c>
      <c r="U454" s="92">
        <f>Q_IS!M245</f>
        <v>2935.8319999999999</v>
      </c>
      <c r="V454" s="92">
        <f>Q_IS!N245</f>
        <v>2962.0479999999998</v>
      </c>
      <c r="W454" s="92">
        <f>Q_IS!O245</f>
        <v>3426.5659999999998</v>
      </c>
      <c r="X454" s="92">
        <f>Q_IS!P245</f>
        <v>3502.4520000000002</v>
      </c>
      <c r="Y454" s="92">
        <f>Q_IS!Q245</f>
        <v>3628.4470000000001</v>
      </c>
      <c r="Z454" s="92">
        <f>Q_IS!R245</f>
        <v>3398.7460000000001</v>
      </c>
      <c r="AA454" s="92">
        <f>Q_IS!S245</f>
        <v>3820.627</v>
      </c>
      <c r="AB454" s="92">
        <f>Q_IS!T245</f>
        <v>4082.3409999999999</v>
      </c>
      <c r="AC454" s="92">
        <f>Q_IS!U245</f>
        <v>4410.951</v>
      </c>
      <c r="AD454" s="92">
        <f>Q_IS!V245</f>
        <v>3992.0360000000001</v>
      </c>
      <c r="AE454" s="92">
        <f>Q_IS!W245</f>
        <v>5203.326</v>
      </c>
      <c r="AF454" s="92">
        <f>Q_IS!X245</f>
        <v>5701.3490000000002</v>
      </c>
      <c r="AG454" s="92">
        <f>Q_IS!Y245</f>
        <v>7903.5439999999999</v>
      </c>
      <c r="AH454" s="92">
        <f>Q_IS!Z245</f>
        <v>7344.2340000000004</v>
      </c>
      <c r="AI454" s="92">
        <f>Q_IS!AA245</f>
        <v>7761.942</v>
      </c>
      <c r="AJ454" s="92">
        <f>Q_IS!AB245</f>
        <v>8224.3739999999998</v>
      </c>
      <c r="AK454" s="92">
        <f>Q_IS!AC245</f>
        <v>8957.8259999999991</v>
      </c>
      <c r="AL454" s="92">
        <f>Q_IS!AD245</f>
        <v>8534.76</v>
      </c>
      <c r="AM454" s="92">
        <f>Q_IS!AE245</f>
        <v>9065.5679999999993</v>
      </c>
      <c r="AN454" s="92">
        <f>Q_IS!AF245</f>
        <v>9601.9840000000004</v>
      </c>
      <c r="AO454" s="92">
        <f>Q_IS!AG245</f>
        <v>10499.555</v>
      </c>
      <c r="AP454" s="92">
        <f>Q_IS!AH245</f>
        <v>10093.24</v>
      </c>
      <c r="AQ454" s="92">
        <f>Q_IS!AI245</f>
        <v>10344.403</v>
      </c>
      <c r="AR454" s="92">
        <f>Q_IS!AJ245</f>
        <v>10475.353999999999</v>
      </c>
      <c r="AS454" s="92">
        <f>Q_IS!AK245</f>
        <v>11616.124</v>
      </c>
      <c r="AT454" s="92">
        <f>Q_IS!AL245</f>
        <v>11079.865</v>
      </c>
      <c r="AU454" s="92">
        <f>Q_IS!AM245</f>
        <v>11325.508</v>
      </c>
      <c r="AV454" s="92">
        <f>Q_IS!AN245</f>
        <v>11375.396000000001</v>
      </c>
      <c r="AW454" s="92">
        <f>Q_IS!AO245</f>
        <v>12375.822</v>
      </c>
      <c r="AX454" s="92">
        <f>Q_IS!AP245</f>
        <v>13690.588</v>
      </c>
      <c r="AY454" s="92">
        <f>Q_IS!AQ245</f>
        <v>14580.537</v>
      </c>
      <c r="AZ454" s="92">
        <f>Q_IS!AR245</f>
        <v>14490.496999999999</v>
      </c>
      <c r="BA454" s="92">
        <f>Q_IS!AS245</f>
        <v>15392.996999999999</v>
      </c>
      <c r="BB454" s="92">
        <f>Q_IS!AT245</f>
        <v>12105.09</v>
      </c>
      <c r="BC454" s="329">
        <f>Q_IS!AU245</f>
        <v>5197.777</v>
      </c>
      <c r="BD454" s="329">
        <f>Q_IS!AV245</f>
        <v>9895.518</v>
      </c>
      <c r="BE454" s="329">
        <f>Q_IS!AW245</f>
        <v>11297.034</v>
      </c>
      <c r="BF454" s="329">
        <f>Q_IS!AX245</f>
        <v>10211.714</v>
      </c>
      <c r="BG454" s="329">
        <f>Q_IS!AY245</f>
        <v>12477.368</v>
      </c>
      <c r="BH454" s="329">
        <f>Q_IS!AZ245</f>
        <v>13958.275</v>
      </c>
      <c r="BI454" s="329">
        <f>Q_IS!BA245</f>
        <v>16732.112000000001</v>
      </c>
      <c r="BJ454" s="329">
        <f>Q_IS!BB245</f>
        <v>15228.173000000001</v>
      </c>
      <c r="BK454" s="329">
        <f>Q_IS!BC245</f>
        <v>16939.128000000001</v>
      </c>
      <c r="BL454" s="329">
        <f>Q_IS!BD245</f>
        <v>17518.175999999999</v>
      </c>
      <c r="BM454" s="329">
        <f>Q_IS!BE245</f>
        <v>19145.828000000001</v>
      </c>
      <c r="BN454" s="329">
        <f>Q_IS!BF245</f>
        <v>17665.647000000001</v>
      </c>
      <c r="BO454" s="329">
        <f>Q_IS!BG245</f>
        <v>18948.734</v>
      </c>
      <c r="BP454" s="329">
        <f>Q_IS!BH245</f>
        <v>19469.973999999998</v>
      </c>
      <c r="BQ454" s="329">
        <f>Q_IS!BI245</f>
        <v>20146.692999999999</v>
      </c>
      <c r="BR454" s="329">
        <f>Q_IS!BJ245</f>
        <v>18202.828000000001</v>
      </c>
      <c r="BS454" s="329">
        <f>Q_IS!BK245</f>
        <v>19254.041000000001</v>
      </c>
      <c r="BT454" s="329">
        <f>Q_IS!BL245</f>
        <v>20107.970832727809</v>
      </c>
      <c r="BU454" s="329">
        <f>Q_IS!BM245</f>
        <v>20984.193483420095</v>
      </c>
      <c r="BV454" s="329">
        <f>Q_IS!BN245</f>
        <v>19911.591318315957</v>
      </c>
      <c r="BW454" s="329">
        <f>Q_IS!BO245</f>
        <v>21413.716177310689</v>
      </c>
      <c r="BX454" s="329">
        <f>Q_IS!BP245</f>
        <v>21960.064838352253</v>
      </c>
      <c r="BY454" s="329">
        <f>Q_IS!BQ245</f>
        <v>22715.611927975278</v>
      </c>
      <c r="BZ454" s="329">
        <f>Q_IS!BR245</f>
        <v>21456.749419662832</v>
      </c>
      <c r="CA454" s="329">
        <f>Q_IS!BS245</f>
        <v>22817.445734206507</v>
      </c>
      <c r="CB454" s="329">
        <f>Q_IS!BT245</f>
        <v>23395.290758133189</v>
      </c>
      <c r="CC454" s="329">
        <f>Q_IS!BU245</f>
        <v>24192.539125077034</v>
      </c>
      <c r="CD454" s="329">
        <f>Q_IS!BV245</f>
        <v>22740.69729254796</v>
      </c>
      <c r="CE454" s="329">
        <f>Q_IS!BW245</f>
        <v>24143.358255206396</v>
      </c>
      <c r="CF454" s="329">
        <f>Q_IS!BX245</f>
        <v>24763.988998877619</v>
      </c>
      <c r="CG454" s="329">
        <f>Q_IS!BY245</f>
        <v>25634.57517516951</v>
      </c>
      <c r="CH454" s="329">
        <f>Q_IS!BZ245</f>
        <v>23941.814771062571</v>
      </c>
      <c r="CI454" s="329">
        <f>Q_IS!CA245</f>
        <v>25391.693157376401</v>
      </c>
      <c r="CJ454" s="329">
        <f>Q_IS!CB245</f>
        <v>26062.920699555041</v>
      </c>
      <c r="CK454" s="329">
        <f>Q_IS!CC245</f>
        <v>27013.513139272727</v>
      </c>
      <c r="CL454" s="329">
        <f>Q_IS!CD245</f>
        <v>25200.975288784495</v>
      </c>
      <c r="CM454" s="329">
        <f>Q_IS!CE245</f>
        <v>26698.989694340016</v>
      </c>
      <c r="CN454" s="329">
        <f>Q_IS!CF245</f>
        <v>27423.756905689424</v>
      </c>
      <c r="CO454" s="329">
        <f>Q_IS!CG245</f>
        <v>28459.011437979949</v>
      </c>
      <c r="CP454" s="329">
        <f>Q_IS!CH245</f>
        <v>26513.054993055528</v>
      </c>
      <c r="CQ454" s="329">
        <f>Q_IS!CI245</f>
        <v>28047.66709817612</v>
      </c>
      <c r="CR454" s="329">
        <f>Q_IS!CJ245</f>
        <v>28815.736760202399</v>
      </c>
      <c r="CS454" s="329">
        <f>Q_IS!CK245</f>
        <v>29919.161441835007</v>
      </c>
    </row>
    <row r="455" spans="1:97">
      <c r="A455" s="244" t="s">
        <v>309</v>
      </c>
      <c r="B455" s="246"/>
      <c r="C455" s="246"/>
      <c r="D455" s="246"/>
      <c r="E455" s="246"/>
      <c r="F455" s="246"/>
      <c r="G455" s="246"/>
      <c r="H455" s="246"/>
      <c r="I455" s="246"/>
      <c r="J455" s="246">
        <f>J454/(SUM(J454:M454))</f>
        <v>0.24270214756329886</v>
      </c>
      <c r="K455" s="246">
        <f>K454/(SUM(J454:M454))</f>
        <v>0.24137690095155734</v>
      </c>
      <c r="L455" s="246">
        <f>L454/(SUM(J454:M454))</f>
        <v>0.24683510030940664</v>
      </c>
      <c r="M455" s="246">
        <f>M454/(SUM(J454:M454))</f>
        <v>0.26908585117573713</v>
      </c>
      <c r="N455" s="246">
        <f>N454/(SUM(N454:Q454))</f>
        <v>0.2333498859871023</v>
      </c>
      <c r="O455" s="246">
        <f>O454/(SUM(N454:Q454))</f>
        <v>0.24124193893184162</v>
      </c>
      <c r="P455" s="246">
        <f>P454/(SUM(N454:Q454))</f>
        <v>0.25329178839918765</v>
      </c>
      <c r="Q455" s="246">
        <f>Q454/(SUM(N454:Q454))</f>
        <v>0.27211638668186833</v>
      </c>
      <c r="R455" s="246">
        <f>R454/(SUM(R454:U454))</f>
        <v>0.22406797585454089</v>
      </c>
      <c r="S455" s="246">
        <f>S454/(SUM(R454:U454))</f>
        <v>0.2426164660902291</v>
      </c>
      <c r="T455" s="246">
        <f>T454/(SUM(R454:U454))</f>
        <v>0.25884905946840203</v>
      </c>
      <c r="U455" s="246">
        <f>U454/(SUM(R454:U454))</f>
        <v>0.27446649858682798</v>
      </c>
      <c r="V455" s="246">
        <f>V454/(SUM(V454:Y454))</f>
        <v>0.21909428246416865</v>
      </c>
      <c r="W455" s="246">
        <f>W454/(SUM(V454:Y454))</f>
        <v>0.2534533603392371</v>
      </c>
      <c r="X455" s="246">
        <f>X454/(SUM(V454:Y454))</f>
        <v>0.25906643234856169</v>
      </c>
      <c r="Y455" s="246">
        <f>Y454/(SUM(V454:Y454))</f>
        <v>0.26838592484803264</v>
      </c>
      <c r="Z455" s="246">
        <f>Z454/(SUM(Z454:AC454))</f>
        <v>0.21630614539290438</v>
      </c>
      <c r="AA455" s="246">
        <f>AA454/(SUM(Z454:AC454))</f>
        <v>0.24315588730492249</v>
      </c>
      <c r="AB455" s="246">
        <f>AB454/(SUM(Z454:AC454))</f>
        <v>0.25981213244220502</v>
      </c>
      <c r="AC455" s="246">
        <f>AC454/(SUM(Z454:AC454))</f>
        <v>0.28072583485996805</v>
      </c>
      <c r="AD455" s="246">
        <f>AD454/(SUM(AD454:AG454))</f>
        <v>0.17508734003194262</v>
      </c>
      <c r="AE455" s="246">
        <f>AE454/(SUM(AD454:AG454))</f>
        <v>0.22821350024374726</v>
      </c>
      <c r="AF455" s="246">
        <f>AF454/(SUM(AD454:AG454))</f>
        <v>0.25005636998358133</v>
      </c>
      <c r="AG455" s="246">
        <f>AG454/(SUM(AD454:AG454))</f>
        <v>0.34664278974072876</v>
      </c>
      <c r="AH455" s="246">
        <f>AH454/(SUM(AH454:AK454))</f>
        <v>0.2274575221745436</v>
      </c>
      <c r="AI455" s="246">
        <f>AI454/(SUM(AH454:AK454))</f>
        <v>0.24039431404044603</v>
      </c>
      <c r="AJ455" s="246">
        <f>AJ454/(SUM(AH454:AK454))</f>
        <v>0.25471624834894147</v>
      </c>
      <c r="AK455" s="246">
        <f>AK454/(SUM(AI454:AL454))</f>
        <v>0.2675663019056001</v>
      </c>
      <c r="AL455" s="246">
        <f>AL454/(SUM(AJ454:AM454))</f>
        <v>0.24537491926981272</v>
      </c>
      <c r="AM455" s="246">
        <f>AM454/(SUM(AL454:AO454))</f>
        <v>0.24045408679628516</v>
      </c>
      <c r="AN455" s="246">
        <f>AN454/(SUM(AL454:AO454))</f>
        <v>0.25468192331164929</v>
      </c>
      <c r="AO455" s="246">
        <f>AO454/(SUM(AL454:AO454))</f>
        <v>0.27848899366177277</v>
      </c>
      <c r="AP455" s="246">
        <f>AP454/(SUM(AP454:AS454))</f>
        <v>0.23732538464644026</v>
      </c>
      <c r="AQ455" s="246">
        <f>AQ454/(SUM(AP454:AS454))</f>
        <v>0.24323105572767423</v>
      </c>
      <c r="AR455" s="246">
        <f>AR454/(SUM(AP454:AS454))</f>
        <v>0.24631014593506412</v>
      </c>
      <c r="AS455" s="246">
        <f>AS454/(SUM(AP454:AS454))</f>
        <v>0.27313341369082139</v>
      </c>
      <c r="AT455" s="246">
        <f>AT454/(SUM(AT454:AW454))</f>
        <v>0.24004946552486944</v>
      </c>
      <c r="AU455" s="246">
        <f>AU454/(SUM(AT454:AW454))</f>
        <v>0.24537141401972254</v>
      </c>
      <c r="AV455" s="246">
        <f>AV454/(SUM(AT454:AW454))</f>
        <v>0.24645225640689106</v>
      </c>
      <c r="AW455" s="246">
        <f>AW454/(SUM(AT454:AW454))</f>
        <v>0.26812686404851693</v>
      </c>
      <c r="AX455" s="246">
        <f>AX454/(SUM(AX454:BA454))</f>
        <v>0.23541703540349904</v>
      </c>
      <c r="AY455" s="246">
        <f>AY454/(SUM(AX454:BA454))</f>
        <v>0.25072018784956701</v>
      </c>
      <c r="AZ455" s="246">
        <f>AZ454/(SUM(AX454:BA454))</f>
        <v>0.24917190154749355</v>
      </c>
      <c r="BA455" s="246">
        <f>BA454/(SUM(AX454:BA454))</f>
        <v>0.26469087519944029</v>
      </c>
      <c r="BB455" s="246">
        <f>BB454/(SUM(BB454:BE454))</f>
        <v>0.31445533817932991</v>
      </c>
      <c r="BC455" s="455">
        <f>BC454/(SUM(BB454:BE454))</f>
        <v>0.13502326081968352</v>
      </c>
      <c r="BD455" s="455">
        <f>BD454/(SUM(BB454:BE454))</f>
        <v>0.25705702800637137</v>
      </c>
      <c r="BE455" s="455">
        <f>BE454/(SUM(BB454:BE454))</f>
        <v>0.29346437299461531</v>
      </c>
      <c r="BF455" s="455">
        <f>BF454/(SUM(BF454:BI454))</f>
        <v>0.19130415103979395</v>
      </c>
      <c r="BG455" s="455">
        <f>BG454/(SUM(BF454:BI454))</f>
        <v>0.23374844736653336</v>
      </c>
      <c r="BH455" s="455">
        <f>BH454/(SUM(BF454:BI454))</f>
        <v>0.26149145470143209</v>
      </c>
      <c r="BI455" s="455">
        <f>BI454/(SUM(BF454:BI454))</f>
        <v>0.31345594689224054</v>
      </c>
      <c r="BJ455" s="455">
        <f>BJ454/(SUM(BJ454:BM454))</f>
        <v>0.22123905685065831</v>
      </c>
      <c r="BK455" s="455">
        <f>BK454/(SUM(BJ454:BM454))</f>
        <v>0.24609627843028695</v>
      </c>
      <c r="BL455" s="455">
        <f>BL454/(SUM(BJ454:BM454))</f>
        <v>0.25450884593863216</v>
      </c>
      <c r="BM455" s="455">
        <f>BM454/(SUM(BJ454:BM454))</f>
        <v>0.27815581878042273</v>
      </c>
      <c r="BN455" s="455">
        <f>BN454/(SUM(BN454:BQ454))</f>
        <v>0.23173821511675927</v>
      </c>
      <c r="BO455" s="455">
        <f>BO454/(SUM(BN454:BQ454))</f>
        <v>0.2485697691051027</v>
      </c>
      <c r="BP455" s="455">
        <f>BP454/(SUM(BO454:BR454))</f>
        <v>0.25362020530654683</v>
      </c>
      <c r="BQ455" s="455">
        <f>BQ454/(SUM(BN454:BQ454))</f>
        <v>0.26428461274728904</v>
      </c>
      <c r="BR455" s="455">
        <f>BR454/(SUM(BQ454:BT454))</f>
        <v>0.23423586353882822</v>
      </c>
      <c r="BS455" s="455">
        <f>BS454/(SUM(BR454:BU454))</f>
        <v>0.24512129796054161</v>
      </c>
      <c r="BT455" s="455">
        <f>BT454/(SUM(BR454:BU454))</f>
        <v>0.25599259448294276</v>
      </c>
      <c r="BU455" s="455">
        <f>BU454/(SUM(BR454:BU454))</f>
        <v>0.26714769867328486</v>
      </c>
      <c r="BV455" s="455">
        <f>BV454/(SUM(BV454:BY454))</f>
        <v>0.23152748179795671</v>
      </c>
      <c r="BW455" s="455">
        <f>BW454/(SUM(BV454:BY454))</f>
        <v>0.24899385002485216</v>
      </c>
      <c r="BX455" s="455">
        <f>BX454/(SUM(BV454:BY454))</f>
        <v>0.25534666872489653</v>
      </c>
      <c r="BY455" s="455">
        <f>BY454/(SUM(BV454:BY454))</f>
        <v>0.2641319994522946</v>
      </c>
      <c r="BZ455" s="455">
        <f>BZ454/(SUM(BZ454:CC454))</f>
        <v>0.23357583736045379</v>
      </c>
      <c r="CA455" s="455">
        <f>CA454/(SUM(BZ454:CC454))</f>
        <v>0.24838822924920692</v>
      </c>
      <c r="CB455" s="455">
        <f>CB454/(SUM(BZ454:CC454))</f>
        <v>0.25467858724744874</v>
      </c>
      <c r="CC455" s="455">
        <f>CC454/(SUM(BZ454:CC454))</f>
        <v>0.26335734614289047</v>
      </c>
      <c r="CD455" s="455">
        <f>CD454/(SUM(CD454:CG454))</f>
        <v>0.23375909651260826</v>
      </c>
      <c r="CE455" s="455">
        <f>CE454/(SUM(CD454:CG454))</f>
        <v>0.24817750924316195</v>
      </c>
      <c r="CF455" s="455">
        <f>CF454/(SUM(CD454:CG454))</f>
        <v>0.25455717649971854</v>
      </c>
      <c r="CG455" s="455">
        <f>CG454/(SUM(CD454:CG454))</f>
        <v>0.26350621774451127</v>
      </c>
      <c r="CH455" s="455">
        <f>CH454/(SUM(CH454:CK454))</f>
        <v>0.23378408734448752</v>
      </c>
      <c r="CI455" s="455">
        <f>CI454/(SUM(CH454:CK454))</f>
        <v>0.24794168143441264</v>
      </c>
      <c r="CJ455" s="455">
        <f>CJ454/(SUM(CH454:CK454))</f>
        <v>0.2544960015579808</v>
      </c>
      <c r="CK455" s="455">
        <f>CK454/(SUM(CH454:CK454))</f>
        <v>0.26377822966311898</v>
      </c>
      <c r="CL455" s="455">
        <f>CL454/(SUM(CL454:CO454))</f>
        <v>0.23381273151030532</v>
      </c>
      <c r="CM455" s="455">
        <f>CM454/(SUM(CL454:CO454))</f>
        <v>0.24771119520034357</v>
      </c>
      <c r="CN455" s="455">
        <f>CN454/(SUM(CL454:CO454))</f>
        <v>0.25443553024900056</v>
      </c>
      <c r="CO455" s="455">
        <f>CO454/(SUM(CL454:CO454))</f>
        <v>0.26404054304035057</v>
      </c>
      <c r="CP455" s="455">
        <f>CP454/(SUM(CP454:CS454))</f>
        <v>0.23401659238393951</v>
      </c>
      <c r="CQ455" s="455">
        <f>CQ454/(SUM(CP454:CS454))</f>
        <v>0.24756179475935527</v>
      </c>
      <c r="CR455" s="455">
        <f>CR454/(SUM(CP454:CS454))</f>
        <v>0.25434113592045321</v>
      </c>
      <c r="CS455" s="455">
        <f>CS454/(SUM(CP454:CS454))</f>
        <v>0.26408047693625203</v>
      </c>
    </row>
    <row r="456" spans="1:97">
      <c r="A456" s="244" t="s">
        <v>8</v>
      </c>
      <c r="B456" s="256"/>
      <c r="C456" s="256"/>
      <c r="D456" s="256"/>
      <c r="E456" s="256"/>
      <c r="F456" s="256"/>
      <c r="G456" s="256"/>
      <c r="H456" s="256"/>
      <c r="I456" s="256"/>
      <c r="J456" s="256"/>
      <c r="K456" s="256"/>
      <c r="L456" s="245"/>
      <c r="M456" s="245"/>
      <c r="N456" s="245">
        <f t="shared" ref="N456:AS456" si="265">N454/J454-1</f>
        <v>5.6211233321963316E-3</v>
      </c>
      <c r="O456" s="245">
        <f t="shared" si="265"/>
        <v>4.5339874165529981E-2</v>
      </c>
      <c r="P456" s="245">
        <f t="shared" si="265"/>
        <v>7.3283880443085314E-2</v>
      </c>
      <c r="Q456" s="245">
        <f t="shared" si="265"/>
        <v>5.7704242334015055E-2</v>
      </c>
      <c r="R456" s="245">
        <f t="shared" si="265"/>
        <v>0.1435840325829818</v>
      </c>
      <c r="S456" s="245">
        <f t="shared" si="265"/>
        <v>0.19774218858171433</v>
      </c>
      <c r="T456" s="245">
        <f t="shared" si="265"/>
        <v>0.21708627756959009</v>
      </c>
      <c r="U456" s="245">
        <f t="shared" si="265"/>
        <v>0.2012420637177541</v>
      </c>
      <c r="V456" s="245">
        <f t="shared" si="265"/>
        <v>0.23586332123914766</v>
      </c>
      <c r="W456" s="245">
        <f t="shared" si="265"/>
        <v>0.32037402105775836</v>
      </c>
      <c r="X456" s="245">
        <f t="shared" si="265"/>
        <v>0.26498024400638553</v>
      </c>
      <c r="Y456" s="245">
        <f t="shared" si="265"/>
        <v>0.23591779093626619</v>
      </c>
      <c r="Z456" s="245">
        <f t="shared" si="265"/>
        <v>0.14743110172421248</v>
      </c>
      <c r="AA456" s="245">
        <f t="shared" si="265"/>
        <v>0.11500172475884018</v>
      </c>
      <c r="AB456" s="245">
        <f t="shared" si="265"/>
        <v>0.16556658021294779</v>
      </c>
      <c r="AC456" s="245">
        <f t="shared" si="265"/>
        <v>0.2156581038664751</v>
      </c>
      <c r="AD456" s="245">
        <f t="shared" si="265"/>
        <v>0.17456144119036843</v>
      </c>
      <c r="AE456" s="245">
        <f t="shared" si="265"/>
        <v>0.36190368753610347</v>
      </c>
      <c r="AF456" s="245">
        <f t="shared" si="265"/>
        <v>0.39658813411226546</v>
      </c>
      <c r="AG456" s="245">
        <f t="shared" si="265"/>
        <v>0.79180045300888624</v>
      </c>
      <c r="AH456" s="245">
        <f t="shared" si="265"/>
        <v>0.83972138527808871</v>
      </c>
      <c r="AI456" s="245">
        <f t="shared" si="265"/>
        <v>0.49172702229304877</v>
      </c>
      <c r="AJ456" s="245">
        <f t="shared" si="265"/>
        <v>0.44253123252058413</v>
      </c>
      <c r="AK456" s="245">
        <f t="shared" si="265"/>
        <v>0.13339357635005245</v>
      </c>
      <c r="AL456" s="245">
        <f t="shared" si="265"/>
        <v>0.16210349506837596</v>
      </c>
      <c r="AM456" s="245">
        <f t="shared" si="265"/>
        <v>0.1679510101982209</v>
      </c>
      <c r="AN456" s="245">
        <f t="shared" si="265"/>
        <v>0.16750332608901308</v>
      </c>
      <c r="AO456" s="245">
        <f t="shared" si="265"/>
        <v>0.17210972840954941</v>
      </c>
      <c r="AP456" s="245">
        <f t="shared" si="265"/>
        <v>0.18260384591951029</v>
      </c>
      <c r="AQ456" s="245">
        <f t="shared" si="265"/>
        <v>0.14106507170868943</v>
      </c>
      <c r="AR456" s="245">
        <f t="shared" si="265"/>
        <v>9.0957243836273793E-2</v>
      </c>
      <c r="AS456" s="245">
        <f t="shared" si="265"/>
        <v>0.10634441173935461</v>
      </c>
      <c r="AT456" s="245">
        <f t="shared" ref="AT456:BY456" si="266">AT454/AP454-1</f>
        <v>9.775106903234243E-2</v>
      </c>
      <c r="AU456" s="245">
        <f t="shared" si="266"/>
        <v>9.4844042715659826E-2</v>
      </c>
      <c r="AV456" s="245">
        <f t="shared" si="266"/>
        <v>8.5919960318286304E-2</v>
      </c>
      <c r="AW456" s="245">
        <f t="shared" si="266"/>
        <v>6.540030047888612E-2</v>
      </c>
      <c r="AX456" s="245">
        <f t="shared" si="266"/>
        <v>0.23562769040958531</v>
      </c>
      <c r="AY456" s="245">
        <f t="shared" si="266"/>
        <v>0.28740688717892393</v>
      </c>
      <c r="AZ456" s="245">
        <f t="shared" si="266"/>
        <v>0.2738454995324997</v>
      </c>
      <c r="BA456" s="245">
        <f t="shared" si="266"/>
        <v>0.24379592725234733</v>
      </c>
      <c r="BB456" s="245">
        <f t="shared" si="266"/>
        <v>-0.11580934288578404</v>
      </c>
      <c r="BC456" s="452">
        <f t="shared" si="266"/>
        <v>-0.64351264977414757</v>
      </c>
      <c r="BD456" s="452">
        <f t="shared" si="266"/>
        <v>-0.31710292614532132</v>
      </c>
      <c r="BE456" s="452">
        <f t="shared" si="266"/>
        <v>-0.26609262640667053</v>
      </c>
      <c r="BF456" s="452">
        <f t="shared" si="266"/>
        <v>-0.15641155910447591</v>
      </c>
      <c r="BG456" s="452">
        <f t="shared" si="266"/>
        <v>1.4005200684831229</v>
      </c>
      <c r="BH456" s="452">
        <f t="shared" si="266"/>
        <v>0.41056536908931895</v>
      </c>
      <c r="BI456" s="452">
        <f t="shared" si="266"/>
        <v>0.48110663382972918</v>
      </c>
      <c r="BJ456" s="452">
        <f t="shared" si="266"/>
        <v>0.49124554408789756</v>
      </c>
      <c r="BK456" s="452">
        <f t="shared" si="266"/>
        <v>0.35758823495467951</v>
      </c>
      <c r="BL456" s="452">
        <f t="shared" si="266"/>
        <v>0.25503874941566917</v>
      </c>
      <c r="BM456" s="452">
        <f t="shared" si="266"/>
        <v>0.14425650509630827</v>
      </c>
      <c r="BN456" s="452">
        <f>BN454/BJ454-1</f>
        <v>0.16006345606922112</v>
      </c>
      <c r="BO456" s="452">
        <f>BO454/BK454-1</f>
        <v>0.11863692156998873</v>
      </c>
      <c r="BP456" s="452">
        <f>BP454/BL454-1</f>
        <v>0.11141559486558417</v>
      </c>
      <c r="BQ456" s="452">
        <f>BQ454/BM454-1</f>
        <v>5.2275879632889044E-2</v>
      </c>
      <c r="BR456" s="452">
        <f>BR454/BN454-1</f>
        <v>3.0408226769163882E-2</v>
      </c>
      <c r="BS456" s="452">
        <f t="shared" si="266"/>
        <v>1.6112263753346401E-2</v>
      </c>
      <c r="BT456" s="452">
        <f t="shared" si="266"/>
        <v>3.2768242665748293E-2</v>
      </c>
      <c r="BU456" s="452">
        <f t="shared" si="266"/>
        <v>4.1570121876582711E-2</v>
      </c>
      <c r="BV456" s="452">
        <f t="shared" si="266"/>
        <v>9.3873507914042476E-2</v>
      </c>
      <c r="BW456" s="452">
        <f t="shared" si="266"/>
        <v>0.11216737189407078</v>
      </c>
      <c r="BX456" s="452">
        <f t="shared" si="266"/>
        <v>9.210745435387091E-2</v>
      </c>
      <c r="BY456" s="452">
        <f t="shared" si="266"/>
        <v>8.2510602369502584E-2</v>
      </c>
      <c r="BZ456" s="452">
        <f t="shared" ref="BZ456:CS456" si="267">BZ454/BV454-1</f>
        <v>7.7600934884874739E-2</v>
      </c>
      <c r="CA456" s="452">
        <f t="shared" si="267"/>
        <v>6.5552823492783796E-2</v>
      </c>
      <c r="CB456" s="452">
        <f t="shared" si="267"/>
        <v>6.5356178606284399E-2</v>
      </c>
      <c r="CC456" s="452">
        <f t="shared" si="267"/>
        <v>6.5018155873795891E-2</v>
      </c>
      <c r="CD456" s="452">
        <f t="shared" si="267"/>
        <v>5.9838880893511526E-2</v>
      </c>
      <c r="CE456" s="452">
        <f t="shared" si="267"/>
        <v>5.8109594581490009E-2</v>
      </c>
      <c r="CF456" s="452">
        <f t="shared" si="267"/>
        <v>5.850315154850616E-2</v>
      </c>
      <c r="CG456" s="452">
        <f t="shared" si="267"/>
        <v>5.96066432976321E-2</v>
      </c>
      <c r="CH456" s="452">
        <f t="shared" si="267"/>
        <v>5.2817970489770882E-2</v>
      </c>
      <c r="CI456" s="452">
        <f t="shared" si="267"/>
        <v>5.1705106181771932E-2</v>
      </c>
      <c r="CJ456" s="452">
        <f t="shared" si="267"/>
        <v>5.2452442162540747E-2</v>
      </c>
      <c r="CK456" s="452">
        <f t="shared" si="267"/>
        <v>5.3792112983362506E-2</v>
      </c>
      <c r="CL456" s="452">
        <f t="shared" si="267"/>
        <v>5.2592526078842461E-2</v>
      </c>
      <c r="CM456" s="452">
        <f t="shared" si="267"/>
        <v>5.1485205372523213E-2</v>
      </c>
      <c r="CN456" s="452">
        <f t="shared" si="267"/>
        <v>5.2213496016876526E-2</v>
      </c>
      <c r="CO456" s="452">
        <f t="shared" si="267"/>
        <v>5.3510192889562713E-2</v>
      </c>
      <c r="CP456" s="452">
        <f t="shared" si="267"/>
        <v>5.2064639929033429E-2</v>
      </c>
      <c r="CQ456" s="452">
        <f t="shared" si="267"/>
        <v>5.0514173730027423E-2</v>
      </c>
      <c r="CR456" s="452">
        <f t="shared" si="267"/>
        <v>5.0758175085201085E-2</v>
      </c>
      <c r="CS456" s="452">
        <f t="shared" si="267"/>
        <v>5.1307123124678E-2</v>
      </c>
    </row>
    <row r="457" spans="1:97">
      <c r="A457" s="244"/>
      <c r="B457" s="256"/>
      <c r="C457" s="256"/>
      <c r="D457" s="25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56"/>
      <c r="AC457" s="256"/>
      <c r="AD457" s="256"/>
      <c r="AE457" s="256"/>
      <c r="AF457" s="256"/>
      <c r="AG457" s="256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  <c r="AR457" s="256"/>
      <c r="AS457" s="256"/>
      <c r="AT457" s="256"/>
      <c r="AU457" s="256"/>
      <c r="AV457" s="256"/>
      <c r="AW457" s="256"/>
      <c r="AX457" s="256"/>
      <c r="AY457" s="256"/>
      <c r="AZ457" s="256"/>
      <c r="BA457" s="256"/>
      <c r="BB457" s="256"/>
      <c r="BC457" s="452"/>
      <c r="BD457" s="452"/>
      <c r="BE457" s="452"/>
      <c r="BF457" s="452"/>
      <c r="BG457" s="452"/>
      <c r="BH457" s="452"/>
      <c r="BI457" s="452"/>
      <c r="BJ457" s="452"/>
      <c r="BK457" s="452"/>
      <c r="BL457" s="452"/>
      <c r="BM457" s="452"/>
      <c r="BN457" s="452"/>
      <c r="BO457" s="452"/>
      <c r="BP457" s="452"/>
      <c r="BQ457" s="452"/>
      <c r="BR457" s="452"/>
      <c r="BS457" s="452"/>
      <c r="BT457" s="452"/>
      <c r="BU457" s="452"/>
      <c r="BV457" s="452"/>
      <c r="BW457" s="452"/>
      <c r="BX457" s="452"/>
      <c r="BY457" s="452"/>
      <c r="BZ457" s="9"/>
      <c r="CA457" s="9"/>
      <c r="CB457" s="9"/>
      <c r="CC457" s="9"/>
      <c r="CD457" s="9"/>
    </row>
    <row r="458" spans="1:97">
      <c r="A458" s="242" t="s">
        <v>525</v>
      </c>
      <c r="B458" s="595"/>
      <c r="C458" s="595"/>
      <c r="D458" s="595"/>
      <c r="E458" s="595"/>
      <c r="F458" s="595"/>
      <c r="G458" s="595"/>
      <c r="H458" s="595"/>
      <c r="I458" s="595"/>
      <c r="J458" s="595" t="str">
        <f t="shared" ref="J458:AO458" si="268">J$453</f>
        <v>1Q09</v>
      </c>
      <c r="K458" s="595" t="str">
        <f t="shared" si="268"/>
        <v>2Q09</v>
      </c>
      <c r="L458" s="595" t="str">
        <f t="shared" si="268"/>
        <v>3Q09</v>
      </c>
      <c r="M458" s="595" t="str">
        <f t="shared" si="268"/>
        <v>4Q09</v>
      </c>
      <c r="N458" s="595" t="str">
        <f t="shared" si="268"/>
        <v>1Q10</v>
      </c>
      <c r="O458" s="595" t="str">
        <f t="shared" si="268"/>
        <v>2Q10</v>
      </c>
      <c r="P458" s="595" t="str">
        <f t="shared" si="268"/>
        <v>3Q10</v>
      </c>
      <c r="Q458" s="595" t="str">
        <f t="shared" si="268"/>
        <v>4Q10</v>
      </c>
      <c r="R458" s="595" t="str">
        <f t="shared" si="268"/>
        <v>1Q11</v>
      </c>
      <c r="S458" s="595" t="str">
        <f t="shared" si="268"/>
        <v>2Q11</v>
      </c>
      <c r="T458" s="595" t="str">
        <f t="shared" si="268"/>
        <v>3Q11</v>
      </c>
      <c r="U458" s="595" t="str">
        <f t="shared" si="268"/>
        <v>4Q11</v>
      </c>
      <c r="V458" s="595" t="str">
        <f t="shared" si="268"/>
        <v>1Q12</v>
      </c>
      <c r="W458" s="595" t="str">
        <f t="shared" si="268"/>
        <v>2Q12</v>
      </c>
      <c r="X458" s="595" t="str">
        <f t="shared" si="268"/>
        <v>3Q12</v>
      </c>
      <c r="Y458" s="595" t="str">
        <f t="shared" si="268"/>
        <v>4Q12</v>
      </c>
      <c r="Z458" s="595" t="str">
        <f t="shared" si="268"/>
        <v>1Q13</v>
      </c>
      <c r="AA458" s="595" t="str">
        <f t="shared" si="268"/>
        <v>2Q13</v>
      </c>
      <c r="AB458" s="595" t="str">
        <f t="shared" si="268"/>
        <v>3Q13</v>
      </c>
      <c r="AC458" s="595" t="str">
        <f t="shared" si="268"/>
        <v>4Q13</v>
      </c>
      <c r="AD458" s="595" t="str">
        <f t="shared" si="268"/>
        <v>1Q14</v>
      </c>
      <c r="AE458" s="595" t="str">
        <f t="shared" si="268"/>
        <v>2Q14</v>
      </c>
      <c r="AF458" s="595" t="str">
        <f t="shared" si="268"/>
        <v>3Q14</v>
      </c>
      <c r="AG458" s="595" t="str">
        <f t="shared" si="268"/>
        <v>4Q14</v>
      </c>
      <c r="AH458" s="595" t="str">
        <f t="shared" si="268"/>
        <v>1Q15</v>
      </c>
      <c r="AI458" s="595" t="str">
        <f t="shared" si="268"/>
        <v>2Q15</v>
      </c>
      <c r="AJ458" s="595" t="str">
        <f t="shared" si="268"/>
        <v>3Q15</v>
      </c>
      <c r="AK458" s="595" t="str">
        <f t="shared" si="268"/>
        <v>4Q15</v>
      </c>
      <c r="AL458" s="595" t="str">
        <f t="shared" si="268"/>
        <v>1Q16</v>
      </c>
      <c r="AM458" s="595" t="str">
        <f t="shared" si="268"/>
        <v>2Q16</v>
      </c>
      <c r="AN458" s="595" t="str">
        <f t="shared" si="268"/>
        <v>3Q16</v>
      </c>
      <c r="AO458" s="595" t="str">
        <f t="shared" si="268"/>
        <v>4Q16</v>
      </c>
      <c r="AP458" s="595" t="s">
        <v>167</v>
      </c>
      <c r="AQ458" s="595" t="s">
        <v>168</v>
      </c>
      <c r="AR458" s="595" t="s">
        <v>169</v>
      </c>
      <c r="AS458" s="595" t="s">
        <v>170</v>
      </c>
      <c r="AT458" s="595" t="s">
        <v>171</v>
      </c>
      <c r="AU458" s="595" t="s">
        <v>172</v>
      </c>
      <c r="AV458" s="595" t="s">
        <v>173</v>
      </c>
      <c r="AW458" s="595" t="s">
        <v>174</v>
      </c>
      <c r="AX458" s="595" t="s">
        <v>175</v>
      </c>
      <c r="AY458" s="595" t="s">
        <v>176</v>
      </c>
      <c r="AZ458" s="595" t="s">
        <v>177</v>
      </c>
      <c r="BA458" s="595" t="s">
        <v>178</v>
      </c>
      <c r="BB458" s="595" t="s">
        <v>179</v>
      </c>
      <c r="BC458" s="595" t="s">
        <v>180</v>
      </c>
      <c r="BD458" s="595" t="s">
        <v>181</v>
      </c>
      <c r="BE458" s="595" t="s">
        <v>182</v>
      </c>
      <c r="BF458" s="595" t="s">
        <v>183</v>
      </c>
      <c r="BG458" s="595" t="s">
        <v>184</v>
      </c>
      <c r="BH458" s="595" t="s">
        <v>185</v>
      </c>
      <c r="BI458" s="595" t="s">
        <v>186</v>
      </c>
      <c r="BJ458" s="595" t="s">
        <v>452</v>
      </c>
      <c r="BK458" s="595" t="s">
        <v>453</v>
      </c>
      <c r="BL458" s="595" t="s">
        <v>454</v>
      </c>
      <c r="BM458" s="595" t="s">
        <v>455</v>
      </c>
      <c r="BN458" s="595" t="s">
        <v>456</v>
      </c>
      <c r="BO458" s="595" t="s">
        <v>457</v>
      </c>
      <c r="BP458" s="595" t="s">
        <v>458</v>
      </c>
      <c r="BQ458" s="595" t="s">
        <v>459</v>
      </c>
      <c r="BR458" s="595" t="s">
        <v>460</v>
      </c>
      <c r="BS458" s="596" t="str">
        <f t="shared" ref="BS458:CS458" si="269">BS$453</f>
        <v>2Q24e</v>
      </c>
      <c r="BT458" s="596" t="str">
        <f t="shared" si="269"/>
        <v>3Q24e</v>
      </c>
      <c r="BU458" s="596" t="str">
        <f t="shared" si="269"/>
        <v>4Q24e</v>
      </c>
      <c r="BV458" s="596" t="str">
        <f t="shared" si="269"/>
        <v>1Q25e</v>
      </c>
      <c r="BW458" s="596" t="str">
        <f t="shared" si="269"/>
        <v>2Q25e</v>
      </c>
      <c r="BX458" s="596" t="str">
        <f t="shared" si="269"/>
        <v>3Q25e</v>
      </c>
      <c r="BY458" s="596" t="str">
        <f t="shared" si="269"/>
        <v>4Q25e</v>
      </c>
      <c r="BZ458" s="596" t="str">
        <f t="shared" si="269"/>
        <v>1Q26e</v>
      </c>
      <c r="CA458" s="596" t="str">
        <f t="shared" si="269"/>
        <v>2Q26e</v>
      </c>
      <c r="CB458" s="596" t="str">
        <f t="shared" si="269"/>
        <v>3Q26e</v>
      </c>
      <c r="CC458" s="596" t="str">
        <f t="shared" si="269"/>
        <v>4Q26e</v>
      </c>
      <c r="CD458" s="596" t="str">
        <f t="shared" si="269"/>
        <v>1Q27e</v>
      </c>
      <c r="CE458" s="596" t="str">
        <f t="shared" si="269"/>
        <v>2Q27e</v>
      </c>
      <c r="CF458" s="596" t="str">
        <f t="shared" si="269"/>
        <v>3Q27e</v>
      </c>
      <c r="CG458" s="596" t="str">
        <f t="shared" si="269"/>
        <v>4Q27e</v>
      </c>
      <c r="CH458" s="596" t="str">
        <f t="shared" si="269"/>
        <v>1Q28e</v>
      </c>
      <c r="CI458" s="596" t="str">
        <f t="shared" si="269"/>
        <v>2Q28e</v>
      </c>
      <c r="CJ458" s="596" t="str">
        <f t="shared" si="269"/>
        <v>3Q28e</v>
      </c>
      <c r="CK458" s="596" t="str">
        <f t="shared" si="269"/>
        <v>4Q28e</v>
      </c>
      <c r="CL458" s="596" t="str">
        <f t="shared" si="269"/>
        <v>1Q29e</v>
      </c>
      <c r="CM458" s="596" t="str">
        <f t="shared" si="269"/>
        <v>2Q29e</v>
      </c>
      <c r="CN458" s="596" t="str">
        <f t="shared" si="269"/>
        <v>3Q29e</v>
      </c>
      <c r="CO458" s="596" t="str">
        <f t="shared" si="269"/>
        <v>4Q29e</v>
      </c>
      <c r="CP458" s="596" t="str">
        <f t="shared" si="269"/>
        <v>1Q30e</v>
      </c>
      <c r="CQ458" s="596" t="str">
        <f t="shared" si="269"/>
        <v>2Q30e</v>
      </c>
      <c r="CR458" s="596" t="str">
        <f t="shared" si="269"/>
        <v>3Q30e</v>
      </c>
      <c r="CS458" s="596" t="str">
        <f t="shared" si="269"/>
        <v>4Q30e</v>
      </c>
    </row>
    <row r="459" spans="1:97">
      <c r="A459" s="249" t="str">
        <f>A127</f>
        <v>Mexico</v>
      </c>
      <c r="B459" s="251"/>
      <c r="C459" s="251"/>
      <c r="D459" s="251"/>
      <c r="E459" s="251"/>
      <c r="F459" s="251"/>
      <c r="G459" s="251"/>
      <c r="H459" s="251"/>
      <c r="I459" s="251"/>
      <c r="J459" s="251">
        <f>Q_IS!B38</f>
        <v>2242.4</v>
      </c>
      <c r="K459" s="251">
        <f>Q_IS!C38</f>
        <v>2232.1000000000004</v>
      </c>
      <c r="L459" s="251">
        <f>Q_IS!D38</f>
        <v>2215.6</v>
      </c>
      <c r="M459" s="251">
        <f>Q_IS!E38</f>
        <v>2407.3999999999992</v>
      </c>
      <c r="N459" s="251">
        <f>Q_IS!F38</f>
        <v>2172.6</v>
      </c>
      <c r="O459" s="251">
        <f>Q_IS!G38</f>
        <v>2188.8000000000002</v>
      </c>
      <c r="P459" s="251">
        <f>Q_IS!H38</f>
        <v>2233.6</v>
      </c>
      <c r="Q459" s="251">
        <f>Q_IS!I38</f>
        <v>2490.1000000000004</v>
      </c>
      <c r="R459" s="251">
        <f>Q_IS!J38</f>
        <v>2427.3000000000002</v>
      </c>
      <c r="S459" s="251">
        <f>Q_IS!K38</f>
        <v>2592.6</v>
      </c>
      <c r="T459" s="251">
        <f>Q_IS!L38</f>
        <v>2641.4</v>
      </c>
      <c r="U459" s="251">
        <f>Q_IS!M38</f>
        <v>2839.7</v>
      </c>
      <c r="V459" s="251">
        <f>Q_IS!N38</f>
        <v>2861.2</v>
      </c>
      <c r="W459" s="251">
        <f>Q_IS!O38</f>
        <v>3262</v>
      </c>
      <c r="X459" s="251">
        <f>Q_IS!P38</f>
        <v>3220.3999999999996</v>
      </c>
      <c r="Y459" s="251">
        <f>Q_IS!Q38</f>
        <v>3442.2</v>
      </c>
      <c r="Z459" s="251">
        <f>Q_IS!R38</f>
        <v>3253.1</v>
      </c>
      <c r="AA459" s="251">
        <f>Q_IS!S38</f>
        <v>3640</v>
      </c>
      <c r="AB459" s="251">
        <f>Q_IS!T38</f>
        <v>3724.6000000000004</v>
      </c>
      <c r="AC459" s="251">
        <f>Q_IS!U38</f>
        <v>4077</v>
      </c>
      <c r="AD459" s="251">
        <f>Q_IS!V38</f>
        <v>3826</v>
      </c>
      <c r="AE459" s="251">
        <f>Q_IS!W38</f>
        <v>4987</v>
      </c>
      <c r="AF459" s="251">
        <f>Q_IS!X38</f>
        <v>5388</v>
      </c>
      <c r="AG459" s="251">
        <f>Q_IS!Y38</f>
        <v>6467</v>
      </c>
      <c r="AH459" s="251">
        <f>Q_IS!Z38</f>
        <v>4659</v>
      </c>
      <c r="AI459" s="251">
        <f>Q_IS!AA38</f>
        <v>4851</v>
      </c>
      <c r="AJ459" s="251">
        <f>Q_IS!AB38</f>
        <v>4982</v>
      </c>
      <c r="AK459" s="251">
        <f>Q_IS!AC38</f>
        <v>5404</v>
      </c>
      <c r="AL459" s="251">
        <f>Q_IS!AD38</f>
        <v>5155</v>
      </c>
      <c r="AM459" s="251">
        <f>Q_IS!AE38</f>
        <v>5348</v>
      </c>
      <c r="AN459" s="251">
        <f>Q_IS!AF38</f>
        <v>5516</v>
      </c>
      <c r="AO459" s="251">
        <f>Q_IS!AG38</f>
        <v>5967</v>
      </c>
      <c r="AP459" s="251">
        <f>Q_IS!AH38</f>
        <v>5574</v>
      </c>
      <c r="AQ459" s="251">
        <f>Q_IS!AI38</f>
        <v>5922</v>
      </c>
      <c r="AR459" s="251">
        <f>Q_IS!AJ38</f>
        <v>5799</v>
      </c>
      <c r="AS459" s="251">
        <f>Q_IS!AK38</f>
        <v>6382</v>
      </c>
      <c r="AT459" s="251">
        <f>Q_IS!AL38</f>
        <v>5997</v>
      </c>
      <c r="AU459" s="251">
        <f>Q_IS!AM38</f>
        <v>6243</v>
      </c>
      <c r="AV459" s="251">
        <f>Q_IS!AN38</f>
        <v>6290</v>
      </c>
      <c r="AW459" s="251">
        <f>Q_IS!AO38</f>
        <v>6932</v>
      </c>
      <c r="AX459" s="251">
        <f>Q_IS!AP38</f>
        <v>6387</v>
      </c>
      <c r="AY459" s="251">
        <f>Q_IS!AQ38</f>
        <v>6899</v>
      </c>
      <c r="AZ459" s="251">
        <f>Q_IS!AR38</f>
        <v>6680</v>
      </c>
      <c r="BA459" s="251">
        <f>Q_IS!AS38</f>
        <v>7251</v>
      </c>
      <c r="BB459" s="251">
        <f>Q_IS!AT38</f>
        <v>6210</v>
      </c>
      <c r="BC459" s="336">
        <f>Q_IS!AU38</f>
        <v>2768</v>
      </c>
      <c r="BD459" s="336">
        <f>Q_IS!AV38</f>
        <v>4569</v>
      </c>
      <c r="BE459" s="336">
        <f>Q_IS!AW38</f>
        <v>5520</v>
      </c>
      <c r="BF459" s="336">
        <f>Q_IS!AX38</f>
        <v>4975</v>
      </c>
      <c r="BG459" s="336">
        <f>Q_IS!AY38</f>
        <v>6465</v>
      </c>
      <c r="BH459" s="336">
        <f>Q_IS!AZ38</f>
        <v>6705</v>
      </c>
      <c r="BI459" s="336">
        <f>Q_IS!BA38</f>
        <v>7870</v>
      </c>
      <c r="BJ459" s="336">
        <f>Q_IS!BB38</f>
        <v>7335</v>
      </c>
      <c r="BK459" s="336">
        <f>Q_IS!BC38</f>
        <v>8357</v>
      </c>
      <c r="BL459" s="336">
        <f>Q_IS!BD38</f>
        <v>8403</v>
      </c>
      <c r="BM459" s="336">
        <f>Q_IS!BE38</f>
        <v>9373</v>
      </c>
      <c r="BN459" s="336">
        <f>Q_IS!BF38</f>
        <v>8953</v>
      </c>
      <c r="BO459" s="336">
        <f>Q_IS!BG38</f>
        <v>9831</v>
      </c>
      <c r="BP459" s="336">
        <f>Q_IS!BH38</f>
        <v>9900</v>
      </c>
      <c r="BQ459" s="336">
        <f>Q_IS!BI38</f>
        <v>10674</v>
      </c>
      <c r="BR459" s="336">
        <f>Q_IS!BJ38</f>
        <v>10122</v>
      </c>
      <c r="BS459" s="336">
        <f>Q_IS!BK38</f>
        <v>10694</v>
      </c>
      <c r="BT459" s="336">
        <f>Q_IS!BL38</f>
        <v>10752.462458866608</v>
      </c>
      <c r="BU459" s="336">
        <f>Q_IS!BM38</f>
        <v>11493.143931378603</v>
      </c>
      <c r="BV459" s="336">
        <f>Q_IS!BN38</f>
        <v>10752.801241084824</v>
      </c>
      <c r="BW459" s="336">
        <f>Q_IS!BO38</f>
        <v>11328.891114812559</v>
      </c>
      <c r="BX459" s="336">
        <f>Q_IS!BP38</f>
        <v>11340.4411031537</v>
      </c>
      <c r="BY459" s="336">
        <f>Q_IS!BQ38</f>
        <v>12177.233378713507</v>
      </c>
      <c r="BZ459" s="336">
        <f>Q_IS!BR38</f>
        <v>11420.854333278157</v>
      </c>
      <c r="CA459" s="336">
        <f>Q_IS!BS38</f>
        <v>12018.226620607606</v>
      </c>
      <c r="CB459" s="336">
        <f>Q_IS!BT38</f>
        <v>12025.193325339651</v>
      </c>
      <c r="CC459" s="336">
        <f>Q_IS!BU38</f>
        <v>12900.699192856386</v>
      </c>
      <c r="CD459" s="336">
        <f>Q_IS!BV38</f>
        <v>12078.947022064853</v>
      </c>
      <c r="CE459" s="336">
        <f>Q_IS!BW38</f>
        <v>12700.349023447976</v>
      </c>
      <c r="CF459" s="336">
        <f>Q_IS!BX38</f>
        <v>12705.389202232964</v>
      </c>
      <c r="CG459" s="336">
        <f>Q_IS!BY38</f>
        <v>13619.44766835582</v>
      </c>
      <c r="CH459" s="336">
        <f>Q_IS!BZ38</f>
        <v>12615.436170698993</v>
      </c>
      <c r="CI459" s="336">
        <f>Q_IS!CA38</f>
        <v>13260.667168052891</v>
      </c>
      <c r="CJ459" s="336">
        <f>Q_IS!CB38</f>
        <v>13269.548169983396</v>
      </c>
      <c r="CK459" s="336">
        <f>Q_IS!CC38</f>
        <v>14227.64378433974</v>
      </c>
      <c r="CL459" s="336">
        <f>Q_IS!CD38</f>
        <v>13172.332997807955</v>
      </c>
      <c r="CM459" s="336">
        <f>Q_IS!CE38</f>
        <v>13842.176901285213</v>
      </c>
      <c r="CN459" s="336">
        <f>Q_IS!CF38</f>
        <v>13855.196538930999</v>
      </c>
      <c r="CO459" s="336">
        <f>Q_IS!CG38</f>
        <v>14859.162392934209</v>
      </c>
      <c r="CP459" s="336">
        <f>Q_IS!CH38</f>
        <v>13747.229474459893</v>
      </c>
      <c r="CQ459" s="336">
        <f>Q_IS!CI38</f>
        <v>14435.951214472092</v>
      </c>
      <c r="CR459" s="336">
        <f>Q_IS!CJ38</f>
        <v>14446.565401350839</v>
      </c>
      <c r="CS459" s="336">
        <f>Q_IS!CK38</f>
        <v>15484.067608349418</v>
      </c>
    </row>
    <row r="460" spans="1:97">
      <c r="A460" s="312" t="s">
        <v>229</v>
      </c>
      <c r="B460" s="257"/>
      <c r="C460" s="257"/>
      <c r="D460" s="25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>
        <f t="shared" ref="N460:AS460" si="270">N459/J459-1</f>
        <v>-3.1127363539065422E-2</v>
      </c>
      <c r="O460" s="257">
        <f t="shared" si="270"/>
        <v>-1.939877245643129E-2</v>
      </c>
      <c r="P460" s="257">
        <f t="shared" si="270"/>
        <v>8.1242101462357663E-3</v>
      </c>
      <c r="Q460" s="257">
        <f t="shared" si="270"/>
        <v>3.4352413392041647E-2</v>
      </c>
      <c r="R460" s="257">
        <f t="shared" si="270"/>
        <v>0.1172328086164045</v>
      </c>
      <c r="S460" s="257">
        <f t="shared" si="270"/>
        <v>0.18448464912280693</v>
      </c>
      <c r="T460" s="257">
        <f t="shared" si="270"/>
        <v>0.18257521489971351</v>
      </c>
      <c r="U460" s="257">
        <f t="shared" si="270"/>
        <v>0.14039596803341214</v>
      </c>
      <c r="V460" s="257">
        <f t="shared" si="270"/>
        <v>0.17875829110534314</v>
      </c>
      <c r="W460" s="257">
        <f t="shared" si="270"/>
        <v>0.25819640515312825</v>
      </c>
      <c r="X460" s="257">
        <f t="shared" si="270"/>
        <v>0.21920193836601776</v>
      </c>
      <c r="Y460" s="257">
        <f t="shared" si="270"/>
        <v>0.21217029967954359</v>
      </c>
      <c r="Z460" s="257">
        <f t="shared" si="270"/>
        <v>0.13697050188731996</v>
      </c>
      <c r="AA460" s="257">
        <f t="shared" si="270"/>
        <v>0.11587982832618016</v>
      </c>
      <c r="AB460" s="257">
        <f t="shared" si="270"/>
        <v>0.15656440193764776</v>
      </c>
      <c r="AC460" s="257">
        <f t="shared" si="270"/>
        <v>0.1844169426529545</v>
      </c>
      <c r="AD460" s="257">
        <f t="shared" si="270"/>
        <v>0.17610894223970974</v>
      </c>
      <c r="AE460" s="257">
        <f t="shared" si="270"/>
        <v>0.37005494505494507</v>
      </c>
      <c r="AF460" s="257">
        <f t="shared" si="270"/>
        <v>0.44659829243408677</v>
      </c>
      <c r="AG460" s="257">
        <f t="shared" si="270"/>
        <v>0.58621535442727501</v>
      </c>
      <c r="AH460" s="257">
        <f t="shared" si="270"/>
        <v>0.21772085729221113</v>
      </c>
      <c r="AI460" s="257">
        <f t="shared" si="270"/>
        <v>-2.7270904351313408E-2</v>
      </c>
      <c r="AJ460" s="257">
        <f t="shared" si="270"/>
        <v>-7.5352635486265807E-2</v>
      </c>
      <c r="AK460" s="257">
        <f t="shared" si="270"/>
        <v>-0.16437297046543997</v>
      </c>
      <c r="AL460" s="257">
        <f t="shared" si="270"/>
        <v>0.10646061386563632</v>
      </c>
      <c r="AM460" s="257">
        <f t="shared" si="270"/>
        <v>0.10245310245310235</v>
      </c>
      <c r="AN460" s="257">
        <f t="shared" si="270"/>
        <v>0.10718586912886385</v>
      </c>
      <c r="AO460" s="257">
        <f t="shared" si="270"/>
        <v>0.10418208734270906</v>
      </c>
      <c r="AP460" s="257">
        <f t="shared" si="270"/>
        <v>8.1280310378273546E-2</v>
      </c>
      <c r="AQ460" s="257">
        <f t="shared" si="270"/>
        <v>0.10732984293193715</v>
      </c>
      <c r="AR460" s="257">
        <f t="shared" si="270"/>
        <v>5.13052936910805E-2</v>
      </c>
      <c r="AS460" s="257">
        <f t="shared" si="270"/>
        <v>6.9549187196245921E-2</v>
      </c>
      <c r="AT460" s="257">
        <f t="shared" ref="AT460:BY460" si="271">AT459/AP459-1</f>
        <v>7.5888051668460799E-2</v>
      </c>
      <c r="AU460" s="257">
        <f t="shared" si="271"/>
        <v>5.4204660587639397E-2</v>
      </c>
      <c r="AV460" s="257">
        <f t="shared" si="271"/>
        <v>8.4669770650112053E-2</v>
      </c>
      <c r="AW460" s="257">
        <f t="shared" si="271"/>
        <v>8.6179880915073559E-2</v>
      </c>
      <c r="AX460" s="257">
        <f t="shared" si="271"/>
        <v>6.5032516258129114E-2</v>
      </c>
      <c r="AY460" s="257">
        <f t="shared" si="271"/>
        <v>0.10507768700945053</v>
      </c>
      <c r="AZ460" s="257">
        <f t="shared" si="271"/>
        <v>6.2003179650238494E-2</v>
      </c>
      <c r="BA460" s="257">
        <f t="shared" si="271"/>
        <v>4.6018465089440186E-2</v>
      </c>
      <c r="BB460" s="257">
        <f t="shared" si="271"/>
        <v>-2.771254109910759E-2</v>
      </c>
      <c r="BC460" s="461">
        <f t="shared" si="271"/>
        <v>-0.59878243223655603</v>
      </c>
      <c r="BD460" s="461">
        <f t="shared" si="271"/>
        <v>-0.31601796407185634</v>
      </c>
      <c r="BE460" s="461">
        <f t="shared" si="271"/>
        <v>-0.23872569300786095</v>
      </c>
      <c r="BF460" s="461">
        <f t="shared" si="271"/>
        <v>-0.19887278582930756</v>
      </c>
      <c r="BG460" s="461">
        <f t="shared" si="271"/>
        <v>1.3356213872832372</v>
      </c>
      <c r="BH460" s="461">
        <f t="shared" si="271"/>
        <v>0.46749835850295463</v>
      </c>
      <c r="BI460" s="461">
        <f t="shared" si="271"/>
        <v>0.42572463768115942</v>
      </c>
      <c r="BJ460" s="461">
        <f t="shared" si="271"/>
        <v>0.47437185929648251</v>
      </c>
      <c r="BK460" s="461">
        <f t="shared" si="271"/>
        <v>0.29265274555297749</v>
      </c>
      <c r="BL460" s="461">
        <f t="shared" si="271"/>
        <v>0.25324384787472032</v>
      </c>
      <c r="BM460" s="461">
        <f t="shared" si="271"/>
        <v>0.19097839898348168</v>
      </c>
      <c r="BN460" s="461">
        <f>BN459/BJ459-1</f>
        <v>0.22058623040218128</v>
      </c>
      <c r="BO460" s="461">
        <f>BO459/BK459-1</f>
        <v>0.17637908340313513</v>
      </c>
      <c r="BP460" s="461">
        <f>BP459/BL459-1</f>
        <v>0.17815066047840067</v>
      </c>
      <c r="BQ460" s="461">
        <f>BQ459/BM459-1</f>
        <v>0.13880294462818732</v>
      </c>
      <c r="BR460" s="461">
        <f>BR459/BN459-1</f>
        <v>0.13057075840500398</v>
      </c>
      <c r="BS460" s="461">
        <f t="shared" si="271"/>
        <v>8.7783541857389791E-2</v>
      </c>
      <c r="BT460" s="461">
        <f t="shared" si="271"/>
        <v>8.6107319077435296E-2</v>
      </c>
      <c r="BU460" s="461">
        <f t="shared" si="271"/>
        <v>7.674198345312E-2</v>
      </c>
      <c r="BV460" s="461">
        <f t="shared" si="271"/>
        <v>6.2319822276706516E-2</v>
      </c>
      <c r="BW460" s="461">
        <f t="shared" si="271"/>
        <v>5.9368909183893592E-2</v>
      </c>
      <c r="BX460" s="461">
        <f t="shared" si="271"/>
        <v>5.468316179074284E-2</v>
      </c>
      <c r="BY460" s="461">
        <f t="shared" si="271"/>
        <v>5.9521524433989059E-2</v>
      </c>
      <c r="BZ460" s="461">
        <f t="shared" ref="BZ460:CS460" si="272">BZ459/BV459-1</f>
        <v>6.2128284268921918E-2</v>
      </c>
      <c r="CA460" s="461">
        <f t="shared" si="272"/>
        <v>6.0847570941319873E-2</v>
      </c>
      <c r="CB460" s="461">
        <f t="shared" si="272"/>
        <v>6.0381445126991284E-2</v>
      </c>
      <c r="CC460" s="461">
        <f t="shared" si="272"/>
        <v>5.9411345060326859E-2</v>
      </c>
      <c r="CD460" s="461">
        <f t="shared" si="272"/>
        <v>5.7622019297552951E-2</v>
      </c>
      <c r="CE460" s="461">
        <f t="shared" si="272"/>
        <v>5.6757325716486173E-2</v>
      </c>
      <c r="CF460" s="461">
        <f t="shared" si="272"/>
        <v>5.6564236307119931E-2</v>
      </c>
      <c r="CG460" s="461">
        <f t="shared" si="272"/>
        <v>5.5713916335436542E-2</v>
      </c>
      <c r="CH460" s="461">
        <f t="shared" si="272"/>
        <v>4.4415224907777606E-2</v>
      </c>
      <c r="CI460" s="461">
        <f t="shared" si="272"/>
        <v>4.4118326478306269E-2</v>
      </c>
      <c r="CJ460" s="461">
        <f t="shared" si="272"/>
        <v>4.4403123648607545E-2</v>
      </c>
      <c r="CK460" s="461">
        <f t="shared" si="272"/>
        <v>4.4656445018474322E-2</v>
      </c>
      <c r="CL460" s="461">
        <f t="shared" si="272"/>
        <v>4.4144080281776299E-2</v>
      </c>
      <c r="CM460" s="461">
        <f t="shared" si="272"/>
        <v>4.3852222958530529E-2</v>
      </c>
      <c r="CN460" s="461">
        <f t="shared" si="272"/>
        <v>4.413476340305067E-2</v>
      </c>
      <c r="CO460" s="461">
        <f t="shared" si="272"/>
        <v>4.4386731785454048E-2</v>
      </c>
      <c r="CP460" s="461">
        <f t="shared" si="272"/>
        <v>4.3644241057951394E-2</v>
      </c>
      <c r="CQ460" s="461">
        <f t="shared" si="272"/>
        <v>4.2896021154862574E-2</v>
      </c>
      <c r="CR460" s="461">
        <f t="shared" si="272"/>
        <v>4.2682098428425963E-2</v>
      </c>
      <c r="CS460" s="461">
        <f t="shared" si="272"/>
        <v>4.2055211383406288E-2</v>
      </c>
    </row>
    <row r="461" spans="1:97">
      <c r="A461" s="249" t="str">
        <f>A128</f>
        <v>South America</v>
      </c>
      <c r="B461" s="251"/>
      <c r="C461" s="251"/>
      <c r="D461" s="251"/>
      <c r="E461" s="251"/>
      <c r="F461" s="251"/>
      <c r="G461" s="251"/>
      <c r="H461" s="251"/>
      <c r="I461" s="251"/>
      <c r="J461" s="251">
        <f>Q_IS!B189</f>
        <v>306.8</v>
      </c>
      <c r="K461" s="251">
        <f>Q_IS!C189</f>
        <v>326.8</v>
      </c>
      <c r="L461" s="251">
        <f>Q_IS!D189</f>
        <v>376</v>
      </c>
      <c r="M461" s="251">
        <f>Q_IS!E189</f>
        <v>398.1</v>
      </c>
      <c r="N461" s="251">
        <f>Q_IS!F189</f>
        <v>360.8</v>
      </c>
      <c r="O461" s="251">
        <f>Q_IS!G189</f>
        <v>430</v>
      </c>
      <c r="P461" s="251">
        <f>Q_IS!H189</f>
        <v>504.9</v>
      </c>
      <c r="Q461" s="251">
        <f>Q_IS!I189</f>
        <v>515</v>
      </c>
      <c r="R461" s="251">
        <f>Q_IS!J189</f>
        <v>470.4</v>
      </c>
      <c r="S461" s="251">
        <f>Q_IS!K189</f>
        <v>536.6</v>
      </c>
      <c r="T461" s="251">
        <f>Q_IS!L189</f>
        <v>662.5</v>
      </c>
      <c r="U461" s="251">
        <f>Q_IS!M189</f>
        <v>732.6</v>
      </c>
      <c r="V461" s="251">
        <f>Q_IS!N189</f>
        <v>694.2</v>
      </c>
      <c r="W461" s="251">
        <f>Q_IS!O189</f>
        <v>847</v>
      </c>
      <c r="X461" s="251">
        <f>Q_IS!P189</f>
        <v>948.2</v>
      </c>
      <c r="Y461" s="251">
        <f>Q_IS!Q189</f>
        <v>927.1</v>
      </c>
      <c r="Z461" s="251">
        <f>Q_IS!R189</f>
        <v>824</v>
      </c>
      <c r="AA461" s="251">
        <f>Q_IS!S189</f>
        <v>968</v>
      </c>
      <c r="AB461" s="251">
        <f>Q_IS!T189</f>
        <v>1172.5999999999999</v>
      </c>
      <c r="AC461" s="251">
        <f>Q_IS!U189</f>
        <v>1254.9000000000001</v>
      </c>
      <c r="AD461" s="251">
        <f>Q_IS!V189</f>
        <v>997</v>
      </c>
      <c r="AE461" s="251">
        <f>Q_IS!W189</f>
        <v>1091</v>
      </c>
      <c r="AF461" s="251">
        <f>Q_IS!X189</f>
        <v>1234</v>
      </c>
      <c r="AG461" s="251">
        <f>Q_IS!Y189</f>
        <v>1299</v>
      </c>
      <c r="AH461" s="251">
        <f>Q_IS!Z189</f>
        <v>1357</v>
      </c>
      <c r="AI461" s="251">
        <f>Q_IS!AA189</f>
        <v>1605</v>
      </c>
      <c r="AJ461" s="251">
        <f>Q_IS!AB189</f>
        <v>1849</v>
      </c>
      <c r="AK461" s="251">
        <f>Q_IS!AC189</f>
        <v>1907</v>
      </c>
      <c r="AL461" s="251">
        <f>Q_IS!AD189</f>
        <v>1582</v>
      </c>
      <c r="AM461" s="251">
        <f>Q_IS!AE189</f>
        <v>1929</v>
      </c>
      <c r="AN461" s="251">
        <f>Q_IS!AF189</f>
        <v>2253</v>
      </c>
      <c r="AO461" s="251">
        <f>Q_IS!AG189</f>
        <v>2360</v>
      </c>
      <c r="AP461" s="251">
        <f>Q_IS!AH189</f>
        <v>2460</v>
      </c>
      <c r="AQ461" s="251">
        <f>Q_IS!AI189</f>
        <v>2449</v>
      </c>
      <c r="AR461" s="251">
        <f>Q_IS!AJ189</f>
        <v>2634</v>
      </c>
      <c r="AS461" s="251">
        <f>Q_IS!AK189</f>
        <v>2740</v>
      </c>
      <c r="AT461" s="251">
        <f>Q_IS!AL189</f>
        <v>2600.777</v>
      </c>
      <c r="AU461" s="251">
        <f>Q_IS!AM189</f>
        <v>2725.201</v>
      </c>
      <c r="AV461" s="251">
        <f>Q_IS!AN189</f>
        <v>2463</v>
      </c>
      <c r="AW461" s="251">
        <f>Q_IS!AO189</f>
        <v>2406</v>
      </c>
      <c r="AX461" s="251">
        <f>Q_IS!AP189</f>
        <v>2271.386</v>
      </c>
      <c r="AY461" s="251">
        <f>Q_IS!AQ189</f>
        <v>2440.2809999999999</v>
      </c>
      <c r="AZ461" s="251">
        <f>Q_IS!AR189</f>
        <v>2569.8229999999999</v>
      </c>
      <c r="BA461" s="251">
        <f>Q_IS!AS189</f>
        <v>2450.9229999999998</v>
      </c>
      <c r="BB461" s="251">
        <f>Q_IS!AT189</f>
        <v>1764.7919999999999</v>
      </c>
      <c r="BC461" s="336">
        <f>Q_IS!AU189</f>
        <v>781.64</v>
      </c>
      <c r="BD461" s="336">
        <f>Q_IS!AV189</f>
        <v>1265.3510000000001</v>
      </c>
      <c r="BE461" s="336">
        <f>Q_IS!AW189</f>
        <v>1775.183</v>
      </c>
      <c r="BF461" s="336">
        <f>Q_IS!AX189</f>
        <v>1756.93</v>
      </c>
      <c r="BG461" s="336">
        <f>Q_IS!AY189</f>
        <v>1731.269</v>
      </c>
      <c r="BH461" s="336">
        <f>Q_IS!AZ189</f>
        <v>2423.442</v>
      </c>
      <c r="BI461" s="336">
        <f>Q_IS!BA189</f>
        <v>3050.4380000000001</v>
      </c>
      <c r="BJ461" s="336">
        <f>Q_IS!BB189</f>
        <v>2708.33</v>
      </c>
      <c r="BK461" s="336">
        <f>Q_IS!BC189</f>
        <v>3161.74</v>
      </c>
      <c r="BL461" s="336">
        <f>Q_IS!BD189</f>
        <v>3679.9369999999999</v>
      </c>
      <c r="BM461" s="336">
        <f>Q_IS!BE189</f>
        <v>3837.7049999999999</v>
      </c>
      <c r="BN461" s="336">
        <f>Q_IS!BF189</f>
        <v>3135.5329999999999</v>
      </c>
      <c r="BO461" s="336">
        <f>Q_IS!BG189</f>
        <v>3460.4700000000003</v>
      </c>
      <c r="BP461" s="336">
        <f>Q_IS!BH189</f>
        <v>3931.7930000000001</v>
      </c>
      <c r="BQ461" s="336">
        <f>Q_IS!BI189</f>
        <v>3377.9769999999999</v>
      </c>
      <c r="BR461" s="336">
        <f>Q_IS!BJ189</f>
        <v>2639.1559999999999</v>
      </c>
      <c r="BS461" s="336">
        <f>Q_IS!BK189</f>
        <v>3056.471</v>
      </c>
      <c r="BT461" s="336">
        <f>Q_IS!BL189</f>
        <v>3235.8739780058768</v>
      </c>
      <c r="BU461" s="336">
        <f>Q_IS!BM189</f>
        <v>2519.7343425433478</v>
      </c>
      <c r="BV461" s="336">
        <f>Q_IS!BN189</f>
        <v>2792.5346205556261</v>
      </c>
      <c r="BW461" s="336">
        <f>Q_IS!BO189</f>
        <v>3479.9238169842088</v>
      </c>
      <c r="BX461" s="336">
        <f>Q_IS!BP189</f>
        <v>3532.340512027733</v>
      </c>
      <c r="BY461" s="336">
        <f>Q_IS!BQ189</f>
        <v>2664.8228207156913</v>
      </c>
      <c r="BZ461" s="336">
        <f>Q_IS!BR189</f>
        <v>2952.6420667606362</v>
      </c>
      <c r="CA461" s="336">
        <f>Q_IS!BS189</f>
        <v>3639.5253454033141</v>
      </c>
      <c r="CB461" s="336">
        <f>Q_IS!BT189</f>
        <v>3694.082468330922</v>
      </c>
      <c r="CC461" s="336">
        <f>Q_IS!BU189</f>
        <v>2779.9566067173037</v>
      </c>
      <c r="CD461" s="336">
        <f>Q_IS!BV189</f>
        <v>3012.2264502465528</v>
      </c>
      <c r="CE461" s="336">
        <f>Q_IS!BW189</f>
        <v>3711.6604865978716</v>
      </c>
      <c r="CF461" s="336">
        <f>Q_IS!BX189</f>
        <v>3770.1737041993551</v>
      </c>
      <c r="CG461" s="336">
        <f>Q_IS!BY189</f>
        <v>2836.9798448241809</v>
      </c>
      <c r="CH461" s="336">
        <f>Q_IS!BZ189</f>
        <v>3093.3035095873083</v>
      </c>
      <c r="CI461" s="336">
        <f>Q_IS!CA189</f>
        <v>3810.5954207463451</v>
      </c>
      <c r="CJ461" s="336">
        <f>Q_IS!CB189</f>
        <v>3873.8672640048312</v>
      </c>
      <c r="CK461" s="336">
        <f>Q_IS!CC189</f>
        <v>2914.6807940400226</v>
      </c>
      <c r="CL461" s="336">
        <f>Q_IS!CD189</f>
        <v>3175.9875771869124</v>
      </c>
      <c r="CM461" s="336">
        <f>Q_IS!CE189</f>
        <v>3910.9606423390578</v>
      </c>
      <c r="CN461" s="336">
        <f>Q_IS!CF189</f>
        <v>3979.0691498091633</v>
      </c>
      <c r="CO461" s="336">
        <f>Q_IS!CG189</f>
        <v>2993.0633974806606</v>
      </c>
      <c r="CP461" s="336">
        <f>Q_IS!CH189</f>
        <v>3259.0413456722999</v>
      </c>
      <c r="CQ461" s="336">
        <f>Q_IS!CI189</f>
        <v>4012.4935903154114</v>
      </c>
      <c r="CR461" s="336">
        <f>Q_IS!CJ189</f>
        <v>4087.133219529012</v>
      </c>
      <c r="CS461" s="336">
        <f>Q_IS!CK189</f>
        <v>3072.0809100227789</v>
      </c>
    </row>
    <row r="462" spans="1:97">
      <c r="A462" s="312" t="s">
        <v>229</v>
      </c>
      <c r="B462" s="257"/>
      <c r="C462" s="257"/>
      <c r="D462" s="257"/>
      <c r="E462" s="257"/>
      <c r="F462" s="257"/>
      <c r="G462" s="257"/>
      <c r="H462" s="257"/>
      <c r="I462" s="257"/>
      <c r="J462" s="257"/>
      <c r="K462" s="257"/>
      <c r="L462" s="257"/>
      <c r="M462" s="257"/>
      <c r="N462" s="257">
        <f t="shared" ref="N462:AS462" si="273">N461/J461-1</f>
        <v>0.17601043024771834</v>
      </c>
      <c r="O462" s="257">
        <f t="shared" si="273"/>
        <v>0.3157894736842104</v>
      </c>
      <c r="P462" s="257">
        <f t="shared" si="273"/>
        <v>0.34281914893617005</v>
      </c>
      <c r="Q462" s="257">
        <f t="shared" si="273"/>
        <v>0.29364481286109001</v>
      </c>
      <c r="R462" s="257">
        <f t="shared" si="273"/>
        <v>0.30376940133037689</v>
      </c>
      <c r="S462" s="257">
        <f t="shared" si="273"/>
        <v>0.24790697674418616</v>
      </c>
      <c r="T462" s="257">
        <f t="shared" si="273"/>
        <v>0.31214101802337102</v>
      </c>
      <c r="U462" s="257">
        <f t="shared" si="273"/>
        <v>0.42252427184466024</v>
      </c>
      <c r="V462" s="257">
        <f t="shared" si="273"/>
        <v>0.47576530612244916</v>
      </c>
      <c r="W462" s="257">
        <f t="shared" si="273"/>
        <v>0.57845695117405893</v>
      </c>
      <c r="X462" s="257">
        <f t="shared" si="273"/>
        <v>0.431245283018868</v>
      </c>
      <c r="Y462" s="257">
        <f t="shared" si="273"/>
        <v>0.26549276549276546</v>
      </c>
      <c r="Z462" s="257">
        <f t="shared" si="273"/>
        <v>0.18697781619129916</v>
      </c>
      <c r="AA462" s="257">
        <f t="shared" si="273"/>
        <v>0.14285714285714279</v>
      </c>
      <c r="AB462" s="257">
        <f t="shared" si="273"/>
        <v>0.23665893271461691</v>
      </c>
      <c r="AC462" s="257">
        <f t="shared" si="273"/>
        <v>0.35357566605544166</v>
      </c>
      <c r="AD462" s="257">
        <f t="shared" si="273"/>
        <v>0.20995145631067968</v>
      </c>
      <c r="AE462" s="257">
        <f t="shared" si="273"/>
        <v>0.12706611570247928</v>
      </c>
      <c r="AF462" s="257">
        <f t="shared" si="273"/>
        <v>5.2362271874467181E-2</v>
      </c>
      <c r="AG462" s="257">
        <f t="shared" si="273"/>
        <v>3.514224240975361E-2</v>
      </c>
      <c r="AH462" s="257">
        <f t="shared" si="273"/>
        <v>0.36108324974924777</v>
      </c>
      <c r="AI462" s="257">
        <f t="shared" si="273"/>
        <v>0.47112740604949588</v>
      </c>
      <c r="AJ462" s="257">
        <f t="shared" si="273"/>
        <v>0.49837925445705022</v>
      </c>
      <c r="AK462" s="257">
        <f t="shared" si="273"/>
        <v>0.46805234795996919</v>
      </c>
      <c r="AL462" s="257">
        <f t="shared" si="273"/>
        <v>0.16580692704495203</v>
      </c>
      <c r="AM462" s="257">
        <f t="shared" si="273"/>
        <v>0.20186915887850465</v>
      </c>
      <c r="AN462" s="257">
        <f t="shared" si="273"/>
        <v>0.21849648458626292</v>
      </c>
      <c r="AO462" s="257">
        <f t="shared" si="273"/>
        <v>0.23754588358678563</v>
      </c>
      <c r="AP462" s="257">
        <f t="shared" si="273"/>
        <v>0.5549936788874843</v>
      </c>
      <c r="AQ462" s="257">
        <f t="shared" si="273"/>
        <v>0.26956972524624168</v>
      </c>
      <c r="AR462" s="257">
        <f t="shared" si="273"/>
        <v>0.16910785619174429</v>
      </c>
      <c r="AS462" s="257">
        <f t="shared" si="273"/>
        <v>0.16101694915254239</v>
      </c>
      <c r="AT462" s="257">
        <f t="shared" ref="AT462:BY462" si="274">AT461/AP461-1</f>
        <v>5.7226422764227625E-2</v>
      </c>
      <c r="AU462" s="257">
        <f t="shared" si="274"/>
        <v>0.112781135157207</v>
      </c>
      <c r="AV462" s="257">
        <f t="shared" si="274"/>
        <v>-6.4920273348519353E-2</v>
      </c>
      <c r="AW462" s="257">
        <f t="shared" si="274"/>
        <v>-0.12189781021897805</v>
      </c>
      <c r="AX462" s="257">
        <f t="shared" si="274"/>
        <v>-0.12665099699051474</v>
      </c>
      <c r="AY462" s="257">
        <f t="shared" si="274"/>
        <v>-0.1045500863972969</v>
      </c>
      <c r="AZ462" s="257">
        <f t="shared" si="274"/>
        <v>4.3371092164027569E-2</v>
      </c>
      <c r="BA462" s="257">
        <f t="shared" si="274"/>
        <v>1.8671238570241E-2</v>
      </c>
      <c r="BB462" s="257">
        <f t="shared" si="274"/>
        <v>-0.22303298514651404</v>
      </c>
      <c r="BC462" s="461">
        <f t="shared" si="274"/>
        <v>-0.67969262556238408</v>
      </c>
      <c r="BD462" s="461">
        <f t="shared" si="274"/>
        <v>-0.50761161371814323</v>
      </c>
      <c r="BE462" s="461">
        <f t="shared" si="274"/>
        <v>-0.27570837598733211</v>
      </c>
      <c r="BF462" s="461">
        <f t="shared" si="274"/>
        <v>-4.4549159334357213E-3</v>
      </c>
      <c r="BG462" s="461">
        <f t="shared" si="274"/>
        <v>1.214918632618597</v>
      </c>
      <c r="BH462" s="461">
        <f t="shared" si="274"/>
        <v>0.91523300649385009</v>
      </c>
      <c r="BI462" s="461">
        <f t="shared" si="274"/>
        <v>0.71837945721652363</v>
      </c>
      <c r="BJ462" s="461">
        <f t="shared" si="274"/>
        <v>0.54151275235780583</v>
      </c>
      <c r="BK462" s="461">
        <f t="shared" si="274"/>
        <v>0.82625576961177027</v>
      </c>
      <c r="BL462" s="461">
        <f t="shared" si="274"/>
        <v>0.51847537510697594</v>
      </c>
      <c r="BM462" s="461">
        <f t="shared" si="274"/>
        <v>0.25808326541958881</v>
      </c>
      <c r="BN462" s="461">
        <f>BN461/BJ461-1</f>
        <v>0.1577366864451526</v>
      </c>
      <c r="BO462" s="461">
        <f>BO461/BK461-1</f>
        <v>9.4482784795713926E-2</v>
      </c>
      <c r="BP462" s="461">
        <f>BP461/BL461-1</f>
        <v>6.8440302102998007E-2</v>
      </c>
      <c r="BQ462" s="461">
        <f>BQ461/BM461-1</f>
        <v>-0.11979242802664614</v>
      </c>
      <c r="BR462" s="461">
        <f>BR461/BN461-1</f>
        <v>-0.15830705656741617</v>
      </c>
      <c r="BS462" s="461">
        <f t="shared" si="274"/>
        <v>-0.11674685808575147</v>
      </c>
      <c r="BT462" s="461">
        <f t="shared" si="274"/>
        <v>-0.17699787908318754</v>
      </c>
      <c r="BU462" s="461">
        <f t="shared" si="274"/>
        <v>-0.2540700121571734</v>
      </c>
      <c r="BV462" s="461">
        <f t="shared" si="274"/>
        <v>5.8116542014047701E-2</v>
      </c>
      <c r="BW462" s="461">
        <f t="shared" si="274"/>
        <v>0.138543050787725</v>
      </c>
      <c r="BX462" s="461">
        <f t="shared" si="274"/>
        <v>9.1618689737897441E-2</v>
      </c>
      <c r="BY462" s="461">
        <f t="shared" si="274"/>
        <v>5.7580863078563693E-2</v>
      </c>
      <c r="BZ462" s="461">
        <f t="shared" ref="BZ462:CS462" si="275">BZ461/BV461-1</f>
        <v>5.733409535067957E-2</v>
      </c>
      <c r="CA462" s="461">
        <f t="shared" si="275"/>
        <v>4.5863512195338796E-2</v>
      </c>
      <c r="CB462" s="461">
        <f t="shared" si="275"/>
        <v>4.5788891459487724E-2</v>
      </c>
      <c r="CC462" s="461">
        <f t="shared" si="275"/>
        <v>4.3205043542328569E-2</v>
      </c>
      <c r="CD462" s="461">
        <f t="shared" si="275"/>
        <v>2.0180022548851317E-2</v>
      </c>
      <c r="CE462" s="461">
        <f t="shared" si="275"/>
        <v>1.9819930993381751E-2</v>
      </c>
      <c r="CF462" s="461">
        <f t="shared" si="275"/>
        <v>2.0598142169471645E-2</v>
      </c>
      <c r="CG462" s="461">
        <f t="shared" si="275"/>
        <v>2.0512276331612567E-2</v>
      </c>
      <c r="CH462" s="461">
        <f t="shared" si="275"/>
        <v>2.6915990772911291E-2</v>
      </c>
      <c r="CI462" s="461">
        <f t="shared" si="275"/>
        <v>2.6655168086011427E-2</v>
      </c>
      <c r="CJ462" s="461">
        <f t="shared" si="275"/>
        <v>2.7503655783811309E-2</v>
      </c>
      <c r="CK462" s="461">
        <f t="shared" si="275"/>
        <v>2.7388615170319319E-2</v>
      </c>
      <c r="CL462" s="461">
        <f t="shared" si="275"/>
        <v>2.6730020944706778E-2</v>
      </c>
      <c r="CM462" s="461">
        <f t="shared" si="275"/>
        <v>2.6338461712908767E-2</v>
      </c>
      <c r="CN462" s="461">
        <f t="shared" si="275"/>
        <v>2.7156812207234315E-2</v>
      </c>
      <c r="CO462" s="461">
        <f t="shared" si="275"/>
        <v>2.6892345673294793E-2</v>
      </c>
      <c r="CP462" s="461">
        <f t="shared" si="275"/>
        <v>2.6150533170205659E-2</v>
      </c>
      <c r="CQ462" s="461">
        <f t="shared" si="275"/>
        <v>2.5961127523806748E-2</v>
      </c>
      <c r="CR462" s="461">
        <f t="shared" si="275"/>
        <v>2.7158128107683588E-2</v>
      </c>
      <c r="CS462" s="461">
        <f t="shared" si="275"/>
        <v>2.640021344306609E-2</v>
      </c>
    </row>
    <row r="463" spans="1:97">
      <c r="A463" s="249" t="s">
        <v>949</v>
      </c>
      <c r="B463" s="251"/>
      <c r="C463" s="251"/>
      <c r="D463" s="251"/>
      <c r="E463" s="251"/>
      <c r="F463" s="251"/>
      <c r="G463" s="251"/>
      <c r="H463" s="251"/>
      <c r="I463" s="251"/>
      <c r="J463" s="251">
        <f>Q_IS!B105</f>
        <v>0</v>
      </c>
      <c r="K463" s="251">
        <f>Q_IS!C105</f>
        <v>0</v>
      </c>
      <c r="L463" s="251">
        <f>Q_IS!D105</f>
        <v>0</v>
      </c>
      <c r="M463" s="251">
        <f>Q_IS!E105</f>
        <v>0</v>
      </c>
      <c r="N463" s="251">
        <f>Q_IS!F105</f>
        <v>0</v>
      </c>
      <c r="O463" s="251">
        <f>Q_IS!G105</f>
        <v>0</v>
      </c>
      <c r="P463" s="251">
        <f>Q_IS!H105</f>
        <v>0</v>
      </c>
      <c r="Q463" s="251">
        <f>Q_IS!I105</f>
        <v>0</v>
      </c>
      <c r="R463" s="251">
        <f>Q_IS!J105</f>
        <v>0</v>
      </c>
      <c r="S463" s="251">
        <f>Q_IS!K105</f>
        <v>0</v>
      </c>
      <c r="T463" s="251">
        <f>Q_IS!L105</f>
        <v>0</v>
      </c>
      <c r="U463" s="251">
        <f>Q_IS!M105</f>
        <v>0</v>
      </c>
      <c r="V463" s="251">
        <f>Q_IS!N105</f>
        <v>0</v>
      </c>
      <c r="W463" s="251">
        <f>Q_IS!O105</f>
        <v>0</v>
      </c>
      <c r="X463" s="251">
        <f>Q_IS!P105</f>
        <v>0</v>
      </c>
      <c r="Y463" s="251">
        <f>Q_IS!Q105</f>
        <v>0</v>
      </c>
      <c r="Z463" s="251">
        <f>Q_IS!R105</f>
        <v>0</v>
      </c>
      <c r="AA463" s="251">
        <f>Q_IS!S105</f>
        <v>0</v>
      </c>
      <c r="AB463" s="251">
        <f>Q_IS!T105</f>
        <v>0</v>
      </c>
      <c r="AC463" s="251">
        <f>Q_IS!U105</f>
        <v>0</v>
      </c>
      <c r="AD463" s="251">
        <f>Q_IS!V105</f>
        <v>0</v>
      </c>
      <c r="AE463" s="251">
        <f>Q_IS!W105</f>
        <v>0</v>
      </c>
      <c r="AF463" s="251">
        <f>Q_IS!X105</f>
        <v>0</v>
      </c>
      <c r="AG463" s="251">
        <f>Q_IS!Y105</f>
        <v>1468</v>
      </c>
      <c r="AH463" s="251">
        <f>Q_IS!Z105</f>
        <v>1328</v>
      </c>
      <c r="AI463" s="251">
        <f>Q_IS!AA105</f>
        <v>1306</v>
      </c>
      <c r="AJ463" s="251">
        <f>Q_IS!AB105</f>
        <v>1392</v>
      </c>
      <c r="AK463" s="251">
        <f>Q_IS!AC105</f>
        <v>1647</v>
      </c>
      <c r="AL463" s="251">
        <f>Q_IS!AD105</f>
        <v>1798</v>
      </c>
      <c r="AM463" s="251">
        <f>Q_IS!AE105</f>
        <v>1789</v>
      </c>
      <c r="AN463" s="251">
        <f>Q_IS!AF105</f>
        <v>1832</v>
      </c>
      <c r="AO463" s="251">
        <f>Q_IS!AG105</f>
        <v>2172</v>
      </c>
      <c r="AP463" s="251">
        <f>Q_IS!AH105</f>
        <v>2060</v>
      </c>
      <c r="AQ463" s="251">
        <f>Q_IS!AI105</f>
        <v>1974</v>
      </c>
      <c r="AR463" s="251">
        <f>Q_IS!AJ105</f>
        <v>2043</v>
      </c>
      <c r="AS463" s="251">
        <f>Q_IS!AK105</f>
        <v>2493</v>
      </c>
      <c r="AT463" s="251">
        <f>Q_IS!AL105</f>
        <v>2481</v>
      </c>
      <c r="AU463" s="251">
        <f>Q_IS!AM105</f>
        <v>2358</v>
      </c>
      <c r="AV463" s="251">
        <f>Q_IS!AN105</f>
        <v>2358</v>
      </c>
      <c r="AW463" s="251">
        <f>Q_IS!AO105</f>
        <v>2690</v>
      </c>
      <c r="AX463" s="251">
        <f>Q_IS!AP105</f>
        <v>5033</v>
      </c>
      <c r="AY463" s="251">
        <f>Q_IS!AQ105</f>
        <v>5242</v>
      </c>
      <c r="AZ463" s="251">
        <f>Q_IS!AR105</f>
        <v>5241</v>
      </c>
      <c r="BA463" s="251">
        <f>Q_IS!AS105</f>
        <v>5691</v>
      </c>
      <c r="BB463" s="251">
        <f>Q_IS!AT105</f>
        <v>4150</v>
      </c>
      <c r="BC463" s="336">
        <f>Q_IS!AU105</f>
        <v>1648</v>
      </c>
      <c r="BD463" s="336">
        <f>Q_IS!AV105</f>
        <v>4060</v>
      </c>
      <c r="BE463" s="336">
        <f>Q_IS!AW105</f>
        <v>4002</v>
      </c>
      <c r="BF463" s="336">
        <f>Q_IS!AX105</f>
        <v>3492</v>
      </c>
      <c r="BG463" s="336">
        <f>Q_IS!AY105</f>
        <v>4280</v>
      </c>
      <c r="BH463" s="336">
        <f>Q_IS!AZ105</f>
        <v>4830</v>
      </c>
      <c r="BI463" s="336">
        <f>Q_IS!BA105</f>
        <v>5812</v>
      </c>
      <c r="BJ463" s="336">
        <f>Q_IS!BB105</f>
        <v>5185</v>
      </c>
      <c r="BK463" s="336">
        <f>Q_IS!BC105</f>
        <v>5421</v>
      </c>
      <c r="BL463" s="336">
        <f>Q_IS!BD105</f>
        <v>5435</v>
      </c>
      <c r="BM463" s="336">
        <f>Q_IS!BE105</f>
        <v>5935</v>
      </c>
      <c r="BN463" s="336">
        <f>Q_IS!BF105</f>
        <v>5577</v>
      </c>
      <c r="BO463" s="336">
        <f>Q_IS!BG105</f>
        <v>5658</v>
      </c>
      <c r="BP463" s="336">
        <f>Q_IS!BH105</f>
        <v>5637</v>
      </c>
      <c r="BQ463" s="336">
        <f>Q_IS!BI105</f>
        <v>6094</v>
      </c>
      <c r="BR463" s="336">
        <f>Q_IS!BJ105</f>
        <v>5441</v>
      </c>
      <c r="BS463" s="336">
        <f>Q_IS!BK105</f>
        <v>5503</v>
      </c>
      <c r="BT463" s="336">
        <f>Q_IS!BL105</f>
        <v>6119.6343958553243</v>
      </c>
      <c r="BU463" s="336">
        <f>Q_IS!BM105</f>
        <v>6971.3152094981424</v>
      </c>
      <c r="BV463" s="336">
        <f>Q_IS!BN105</f>
        <v>6366.2554566755043</v>
      </c>
      <c r="BW463" s="336">
        <f>Q_IS!BO105</f>
        <v>6604.9012455139209</v>
      </c>
      <c r="BX463" s="336">
        <f>Q_IS!BP105</f>
        <v>7087.2832231708207</v>
      </c>
      <c r="BY463" s="336">
        <f>Q_IS!BQ105</f>
        <v>7873.55572854608</v>
      </c>
      <c r="BZ463" s="336">
        <f>Q_IS!BR105</f>
        <v>7083.2530196240396</v>
      </c>
      <c r="CA463" s="336">
        <f>Q_IS!BS105</f>
        <v>7159.6937681955897</v>
      </c>
      <c r="CB463" s="336">
        <f>Q_IS!BT105</f>
        <v>7676.0149644626154</v>
      </c>
      <c r="CC463" s="336">
        <f>Q_IS!BU105</f>
        <v>8511.8833255033423</v>
      </c>
      <c r="CD463" s="336">
        <f>Q_IS!BV105</f>
        <v>7649.5238202365535</v>
      </c>
      <c r="CE463" s="336">
        <f>Q_IS!BW105</f>
        <v>7731.348745160547</v>
      </c>
      <c r="CF463" s="336">
        <f>Q_IS!BX105</f>
        <v>8288.426092445301</v>
      </c>
      <c r="CG463" s="336">
        <f>Q_IS!BY105</f>
        <v>9178.1476619895075</v>
      </c>
      <c r="CH463" s="336">
        <f>Q_IS!BZ105</f>
        <v>8233.0750907762722</v>
      </c>
      <c r="CI463" s="336">
        <f>Q_IS!CA105</f>
        <v>8320.4305685771651</v>
      </c>
      <c r="CJ463" s="336">
        <f>Q_IS!CB105</f>
        <v>8919.5052655668169</v>
      </c>
      <c r="CK463" s="336">
        <f>Q_IS!CC105</f>
        <v>9871.1885608929679</v>
      </c>
      <c r="CL463" s="336">
        <f>Q_IS!CD105</f>
        <v>8852.6547137896268</v>
      </c>
      <c r="CM463" s="336">
        <f>Q_IS!CE105</f>
        <v>8945.8521507157438</v>
      </c>
      <c r="CN463" s="336">
        <f>Q_IS!CF105</f>
        <v>9589.4912169492636</v>
      </c>
      <c r="CO463" s="336">
        <f>Q_IS!CG105</f>
        <v>10606.785647565079</v>
      </c>
      <c r="CP463" s="336">
        <f>Q_IS!CH105</f>
        <v>9506.7841729233314</v>
      </c>
      <c r="CQ463" s="336">
        <f>Q_IS!CI105</f>
        <v>9599.2222933886133</v>
      </c>
      <c r="CR463" s="336">
        <f>Q_IS!CJ105</f>
        <v>10282.038139322547</v>
      </c>
      <c r="CS463" s="336">
        <f>Q_IS!CK105</f>
        <v>11363.012923462811</v>
      </c>
    </row>
    <row r="464" spans="1:97">
      <c r="A464" s="312" t="s">
        <v>229</v>
      </c>
      <c r="B464" s="257"/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715" t="e">
        <v>#N/A</v>
      </c>
      <c r="O464" s="715" t="e">
        <v>#N/A</v>
      </c>
      <c r="P464" s="715" t="e">
        <v>#N/A</v>
      </c>
      <c r="Q464" s="715" t="e">
        <v>#N/A</v>
      </c>
      <c r="R464" s="715" t="e">
        <v>#N/A</v>
      </c>
      <c r="S464" s="715" t="e">
        <v>#N/A</v>
      </c>
      <c r="T464" s="715" t="e">
        <v>#N/A</v>
      </c>
      <c r="U464" s="715" t="e">
        <v>#N/A</v>
      </c>
      <c r="V464" s="715" t="e">
        <v>#N/A</v>
      </c>
      <c r="W464" s="715" t="e">
        <v>#N/A</v>
      </c>
      <c r="X464" s="715" t="e">
        <v>#N/A</v>
      </c>
      <c r="Y464" s="715" t="e">
        <v>#N/A</v>
      </c>
      <c r="Z464" s="715" t="e">
        <v>#N/A</v>
      </c>
      <c r="AA464" s="715" t="e">
        <v>#N/A</v>
      </c>
      <c r="AB464" s="715" t="e">
        <v>#N/A</v>
      </c>
      <c r="AC464" s="715" t="e">
        <v>#N/A</v>
      </c>
      <c r="AD464" s="715" t="e">
        <v>#N/A</v>
      </c>
      <c r="AE464" s="715" t="e">
        <v>#N/A</v>
      </c>
      <c r="AF464" s="715" t="e">
        <v>#N/A</v>
      </c>
      <c r="AG464" s="715" t="e">
        <v>#N/A</v>
      </c>
      <c r="AH464" s="715" t="e">
        <v>#N/A</v>
      </c>
      <c r="AI464" s="715" t="e">
        <v>#N/A</v>
      </c>
      <c r="AJ464" s="715" t="e">
        <v>#N/A</v>
      </c>
      <c r="AK464" s="715" t="e">
        <v>#N/A</v>
      </c>
      <c r="AL464" s="715" t="e">
        <v>#N/A</v>
      </c>
      <c r="AM464" s="715">
        <f t="shared" ref="AM464:BY464" si="276">AM463/AI463-1</f>
        <v>0.36983154670750373</v>
      </c>
      <c r="AN464" s="715">
        <f t="shared" si="276"/>
        <v>0.31609195402298851</v>
      </c>
      <c r="AO464" s="715">
        <f t="shared" si="276"/>
        <v>0.31876138433515488</v>
      </c>
      <c r="AP464" s="715">
        <f t="shared" si="276"/>
        <v>0.14571746384872086</v>
      </c>
      <c r="AQ464" s="715">
        <f t="shared" si="276"/>
        <v>0.10340972610396859</v>
      </c>
      <c r="AR464" s="715">
        <f t="shared" si="276"/>
        <v>0.11517467248908297</v>
      </c>
      <c r="AS464" s="715">
        <f t="shared" si="276"/>
        <v>0.14779005524861888</v>
      </c>
      <c r="AT464" s="715">
        <f t="shared" si="276"/>
        <v>0.20436893203883488</v>
      </c>
      <c r="AU464" s="715">
        <f t="shared" si="276"/>
        <v>0.19452887537993924</v>
      </c>
      <c r="AV464" s="715">
        <f t="shared" si="276"/>
        <v>0.15418502202643181</v>
      </c>
      <c r="AW464" s="715">
        <f t="shared" si="276"/>
        <v>7.9021259526674603E-2</v>
      </c>
      <c r="AX464" s="715">
        <f t="shared" si="276"/>
        <v>1.0286174929463927</v>
      </c>
      <c r="AY464" s="715">
        <f t="shared" si="276"/>
        <v>1.2230703986429177</v>
      </c>
      <c r="AZ464" s="715">
        <f t="shared" si="276"/>
        <v>1.22264631043257</v>
      </c>
      <c r="BA464" s="715">
        <f t="shared" si="276"/>
        <v>1.1156133828996282</v>
      </c>
      <c r="BB464" s="715">
        <f t="shared" si="276"/>
        <v>-0.17544208225710312</v>
      </c>
      <c r="BC464" s="461">
        <f t="shared" si="276"/>
        <v>-0.68561617703166733</v>
      </c>
      <c r="BD464" s="461">
        <f t="shared" si="276"/>
        <v>-0.22533867582522416</v>
      </c>
      <c r="BE464" s="461">
        <f t="shared" si="276"/>
        <v>-0.29678439641539267</v>
      </c>
      <c r="BF464" s="461">
        <f t="shared" si="276"/>
        <v>-0.15855421686746984</v>
      </c>
      <c r="BG464" s="461">
        <f t="shared" si="276"/>
        <v>1.5970873786407767</v>
      </c>
      <c r="BH464" s="461">
        <f t="shared" si="276"/>
        <v>0.18965517241379315</v>
      </c>
      <c r="BI464" s="461">
        <f t="shared" si="276"/>
        <v>0.45227386306846573</v>
      </c>
      <c r="BJ464" s="461">
        <f t="shared" si="276"/>
        <v>0.48482245131729673</v>
      </c>
      <c r="BK464" s="461">
        <f t="shared" si="276"/>
        <v>0.266588785046729</v>
      </c>
      <c r="BL464" s="461">
        <f t="shared" si="276"/>
        <v>0.12525879917184257</v>
      </c>
      <c r="BM464" s="461">
        <f t="shared" si="276"/>
        <v>2.1163110805230589E-2</v>
      </c>
      <c r="BN464" s="461">
        <f>BN463/BJ463-1</f>
        <v>7.5602700096432107E-2</v>
      </c>
      <c r="BO464" s="461">
        <f>BO463/BK463-1</f>
        <v>4.3718871057000452E-2</v>
      </c>
      <c r="BP464" s="461">
        <f>BP463/BL463-1</f>
        <v>3.7166513339466523E-2</v>
      </c>
      <c r="BQ464" s="461">
        <f>BQ463/BM463-1</f>
        <v>2.6790227464195349E-2</v>
      </c>
      <c r="BR464" s="461">
        <f>BR463/BN463-1</f>
        <v>-2.4385870539716747E-2</v>
      </c>
      <c r="BS464" s="461">
        <f t="shared" si="276"/>
        <v>-2.7394839165783003E-2</v>
      </c>
      <c r="BT464" s="461">
        <f t="shared" si="276"/>
        <v>8.5619016472471943E-2</v>
      </c>
      <c r="BU464" s="461">
        <f t="shared" si="276"/>
        <v>0.14396376919890752</v>
      </c>
      <c r="BV464" s="461">
        <f t="shared" si="276"/>
        <v>0.17005246400946605</v>
      </c>
      <c r="BW464" s="461">
        <f t="shared" si="276"/>
        <v>0.20023646111465032</v>
      </c>
      <c r="BX464" s="461">
        <f t="shared" si="276"/>
        <v>0.15812199957089934</v>
      </c>
      <c r="BY464" s="461">
        <f t="shared" si="276"/>
        <v>0.12942185110474846</v>
      </c>
      <c r="BZ464" s="461">
        <f t="shared" ref="BZ464:CS464" si="277">BZ463/BV463-1</f>
        <v>0.11262469246293105</v>
      </c>
      <c r="CA464" s="461">
        <f t="shared" si="277"/>
        <v>8.3997095801922272E-2</v>
      </c>
      <c r="CB464" s="461">
        <f t="shared" si="277"/>
        <v>8.306874760797256E-2</v>
      </c>
      <c r="CC464" s="461">
        <f t="shared" si="277"/>
        <v>8.1072341260374214E-2</v>
      </c>
      <c r="CD464" s="461">
        <f t="shared" si="277"/>
        <v>7.9945019476739043E-2</v>
      </c>
      <c r="CE464" s="461">
        <f t="shared" si="277"/>
        <v>7.9843495472436521E-2</v>
      </c>
      <c r="CF464" s="461">
        <f t="shared" si="277"/>
        <v>7.978243018258091E-2</v>
      </c>
      <c r="CG464" s="461">
        <f t="shared" si="277"/>
        <v>7.8274608686176528E-2</v>
      </c>
      <c r="CH464" s="461">
        <f t="shared" si="277"/>
        <v>7.628596030983692E-2</v>
      </c>
      <c r="CI464" s="461">
        <f t="shared" si="277"/>
        <v>7.6193927196125388E-2</v>
      </c>
      <c r="CJ464" s="461">
        <f t="shared" si="277"/>
        <v>7.6139808219648497E-2</v>
      </c>
      <c r="CK464" s="461">
        <f t="shared" si="277"/>
        <v>7.5509887662150943E-2</v>
      </c>
      <c r="CL464" s="461">
        <f t="shared" si="277"/>
        <v>7.5254946199565964E-2</v>
      </c>
      <c r="CM464" s="461">
        <f t="shared" si="277"/>
        <v>7.5166973269452875E-2</v>
      </c>
      <c r="CN464" s="461">
        <f t="shared" si="277"/>
        <v>7.5114698790401002E-2</v>
      </c>
      <c r="CO464" s="461">
        <f t="shared" si="277"/>
        <v>7.4519606441958874E-2</v>
      </c>
      <c r="CP464" s="461">
        <f t="shared" si="277"/>
        <v>7.3890768394567319E-2</v>
      </c>
      <c r="CQ464" s="461">
        <f t="shared" si="277"/>
        <v>7.3036098927768967E-2</v>
      </c>
      <c r="CR464" s="461">
        <f t="shared" si="277"/>
        <v>7.2219360412908884E-2</v>
      </c>
      <c r="CS464" s="461">
        <f t="shared" si="277"/>
        <v>7.1296554962561487E-2</v>
      </c>
    </row>
    <row r="465" spans="1:97">
      <c r="A465" s="249" t="str">
        <f>A130</f>
        <v>Intercompany Operations</v>
      </c>
      <c r="B465" s="251"/>
      <c r="C465" s="251"/>
      <c r="D465" s="251"/>
      <c r="E465" s="251"/>
      <c r="F465" s="251"/>
      <c r="G465" s="251"/>
      <c r="H465" s="251"/>
      <c r="I465" s="251"/>
      <c r="J465" s="251">
        <f>Q_IS!B267</f>
        <v>-465.09699999999998</v>
      </c>
      <c r="K465" s="251">
        <f>Q_IS!C267</f>
        <v>-486.17700000000036</v>
      </c>
      <c r="L465" s="251">
        <f>Q_IS!D267</f>
        <v>-472.00700000000006</v>
      </c>
      <c r="M465" s="251">
        <f>Q_IS!E267</f>
        <v>-494.83799999999928</v>
      </c>
      <c r="N465" s="251">
        <f>Q_IS!F267</f>
        <v>-437.58199999999965</v>
      </c>
      <c r="O465" s="251">
        <f>Q_IS!G267</f>
        <v>-452.10000000000036</v>
      </c>
      <c r="P465" s="251">
        <f>Q_IS!H267</f>
        <v>-463.57499999999982</v>
      </c>
      <c r="Q465" s="251">
        <f>Q_IS!I267</f>
        <v>-561.10300000000052</v>
      </c>
      <c r="R465" s="251">
        <f>Q_IS!J267</f>
        <v>-500.95600000000013</v>
      </c>
      <c r="S465" s="251">
        <f>Q_IS!K267</f>
        <v>-534.05199999999968</v>
      </c>
      <c r="T465" s="251">
        <f>Q_IS!L267</f>
        <v>-535.11999999999989</v>
      </c>
      <c r="U465" s="251">
        <f>Q_IS!M267</f>
        <v>-636.46799999999985</v>
      </c>
      <c r="V465" s="251">
        <f>Q_IS!N267</f>
        <v>-593.35199999999986</v>
      </c>
      <c r="W465" s="251">
        <f>Q_IS!O267</f>
        <v>-682.4340000000002</v>
      </c>
      <c r="X465" s="251">
        <f>Q_IS!P267</f>
        <v>-666.14799999999923</v>
      </c>
      <c r="Y465" s="251">
        <f>Q_IS!Q267</f>
        <v>-740.85299999999961</v>
      </c>
      <c r="Z465" s="251">
        <f>Q_IS!R267</f>
        <v>-678.35399999999981</v>
      </c>
      <c r="AA465" s="251">
        <f>Q_IS!S267</f>
        <v>-787.37300000000005</v>
      </c>
      <c r="AB465" s="251">
        <f>Q_IS!T267</f>
        <v>-814.85900000000038</v>
      </c>
      <c r="AC465" s="251">
        <f>Q_IS!U267</f>
        <v>-920.94900000000007</v>
      </c>
      <c r="AD465" s="251">
        <f>Q_IS!V267</f>
        <v>-830.96399999999994</v>
      </c>
      <c r="AE465" s="251">
        <f>Q_IS!W267</f>
        <v>-874.67399999999998</v>
      </c>
      <c r="AF465" s="251">
        <f>Q_IS!X267</f>
        <v>-920.65099999999984</v>
      </c>
      <c r="AG465" s="251">
        <f>Q_IS!Y267</f>
        <v>-1330.4560000000001</v>
      </c>
      <c r="AH465" s="251">
        <f>Q_IS!Z267</f>
        <v>0.23400000000037835</v>
      </c>
      <c r="AI465" s="251">
        <f>Q_IS!AA267</f>
        <v>-5.7999999999992724E-2</v>
      </c>
      <c r="AJ465" s="251">
        <f>Q_IS!AB267</f>
        <v>1.3739999999997963</v>
      </c>
      <c r="AK465" s="251">
        <f>Q_IS!AC267</f>
        <v>-0.17400000000088767</v>
      </c>
      <c r="AL465" s="251">
        <f>Q_IS!AD267</f>
        <v>-0.23999999999978172</v>
      </c>
      <c r="AM465" s="251">
        <f>Q_IS!AE267</f>
        <v>-0.43200000000069849</v>
      </c>
      <c r="AN465" s="251">
        <f>Q_IS!AF267</f>
        <v>0.98400000000037835</v>
      </c>
      <c r="AO465" s="251">
        <f>Q_IS!AG267</f>
        <v>0.55500000000029104</v>
      </c>
      <c r="AP465" s="251">
        <f>Q_IS!AH267</f>
        <v>-0.76000000000021828</v>
      </c>
      <c r="AQ465" s="251">
        <f>Q_IS!AI267</f>
        <v>-0.59699999999975262</v>
      </c>
      <c r="AR465" s="251">
        <f>Q_IS!AJ267</f>
        <v>-0.64600000000064028</v>
      </c>
      <c r="AS465" s="251">
        <f>Q_IS!AK267</f>
        <v>1.1239999999997963</v>
      </c>
      <c r="AT465" s="251">
        <f>Q_IS!AL267</f>
        <v>1.0879999999997381</v>
      </c>
      <c r="AU465" s="251">
        <f>Q_IS!AM267</f>
        <v>-0.693000000000211</v>
      </c>
      <c r="AV465" s="251">
        <f>Q_IS!AN267</f>
        <v>264.39600000000064</v>
      </c>
      <c r="AW465" s="251">
        <f>Q_IS!AO267</f>
        <v>347.82200000000012</v>
      </c>
      <c r="AX465" s="251">
        <f>Q_IS!AP267</f>
        <v>-0.79800000000068394</v>
      </c>
      <c r="AY465" s="251">
        <f>Q_IS!AQ267</f>
        <v>-0.74399999999968713</v>
      </c>
      <c r="AZ465" s="251">
        <f>Q_IS!AR267</f>
        <v>-0.32600000000093132</v>
      </c>
      <c r="BA465" s="251">
        <f>Q_IS!AS267</f>
        <v>7.3999999999614374E-2</v>
      </c>
      <c r="BB465" s="251">
        <f>Q_IS!AT267</f>
        <v>-19.701999999999316</v>
      </c>
      <c r="BC465" s="336">
        <f>Q_IS!AU267</f>
        <v>0.13700000000017099</v>
      </c>
      <c r="BD465" s="336">
        <f>Q_IS!AV267</f>
        <v>1.1669999999994616</v>
      </c>
      <c r="BE465" s="336">
        <f>Q_IS!AW267</f>
        <v>-0.14900000000034197</v>
      </c>
      <c r="BF465" s="336">
        <f>Q_IS!AX267</f>
        <v>-12.216000000000349</v>
      </c>
      <c r="BG465" s="336">
        <f>Q_IS!AY267</f>
        <v>1.0990000000001601</v>
      </c>
      <c r="BH465" s="336">
        <f>Q_IS!AZ267</f>
        <v>-0.16700000000037107</v>
      </c>
      <c r="BI465" s="336">
        <f>Q_IS!BA267</f>
        <v>-0.32599999999911233</v>
      </c>
      <c r="BJ465" s="336">
        <f>Q_IS!BB267</f>
        <v>-0.1569999999992433</v>
      </c>
      <c r="BK465" s="336">
        <f>Q_IS!BC267</f>
        <v>-0.61199999999917054</v>
      </c>
      <c r="BL465" s="336">
        <f>Q_IS!BD267</f>
        <v>0.23899999999957799</v>
      </c>
      <c r="BM465" s="336">
        <f>Q_IS!BE267</f>
        <v>0.12300000000141154</v>
      </c>
      <c r="BN465" s="336">
        <f>Q_IS!BF267</f>
        <v>0.11400000000139698</v>
      </c>
      <c r="BO465" s="336">
        <f>Q_IS!BG267</f>
        <v>-0.7360000000007858</v>
      </c>
      <c r="BP465" s="336">
        <f>Q_IS!BH267</f>
        <v>1.1809999999986758</v>
      </c>
      <c r="BQ465" s="336">
        <f>Q_IS!BI267</f>
        <v>0.71600000000034925</v>
      </c>
      <c r="BR465" s="336">
        <f>Q_IS!BJ267</f>
        <v>0.6720000000022992</v>
      </c>
      <c r="BS465" s="336">
        <f>Q_IS!BK267</f>
        <v>0.57000000000152795</v>
      </c>
      <c r="BT465" s="336">
        <f>Q_IS!BL267</f>
        <v>0</v>
      </c>
      <c r="BU465" s="336">
        <f>Q_IS!BM267</f>
        <v>0</v>
      </c>
      <c r="BV465" s="336">
        <f>Q_IS!BN267</f>
        <v>0</v>
      </c>
      <c r="BW465" s="336">
        <f>Q_IS!BO267</f>
        <v>0</v>
      </c>
      <c r="BX465" s="336">
        <f>Q_IS!BP267</f>
        <v>0</v>
      </c>
      <c r="BY465" s="336">
        <f>Q_IS!BQ267</f>
        <v>0</v>
      </c>
      <c r="BZ465" s="336">
        <f>Q_IS!BR267</f>
        <v>0</v>
      </c>
      <c r="CA465" s="336">
        <f>Q_IS!BS267</f>
        <v>0</v>
      </c>
      <c r="CB465" s="336">
        <f>Q_IS!BT267</f>
        <v>0</v>
      </c>
      <c r="CC465" s="336">
        <f>Q_IS!BU267</f>
        <v>0</v>
      </c>
      <c r="CD465" s="336">
        <f>Q_IS!BV267</f>
        <v>0</v>
      </c>
      <c r="CE465" s="336">
        <f>Q_IS!BW267</f>
        <v>0</v>
      </c>
      <c r="CF465" s="336">
        <f>Q_IS!BX267</f>
        <v>0</v>
      </c>
      <c r="CG465" s="336">
        <f>Q_IS!BY267</f>
        <v>0</v>
      </c>
      <c r="CH465" s="336">
        <f>Q_IS!BZ267</f>
        <v>0</v>
      </c>
      <c r="CI465" s="336">
        <f>Q_IS!CA267</f>
        <v>0</v>
      </c>
      <c r="CJ465" s="336">
        <f>Q_IS!CB267</f>
        <v>0</v>
      </c>
      <c r="CK465" s="336">
        <f>Q_IS!CC267</f>
        <v>0</v>
      </c>
      <c r="CL465" s="336">
        <f>Q_IS!CD267</f>
        <v>0</v>
      </c>
      <c r="CM465" s="336">
        <f>Q_IS!CE267</f>
        <v>0</v>
      </c>
      <c r="CN465" s="336">
        <f>Q_IS!CF267</f>
        <v>0</v>
      </c>
      <c r="CO465" s="336">
        <f>Q_IS!CG267</f>
        <v>0</v>
      </c>
      <c r="CP465" s="336">
        <f>Q_IS!CH267</f>
        <v>0</v>
      </c>
      <c r="CQ465" s="336">
        <f>Q_IS!CI267</f>
        <v>0</v>
      </c>
      <c r="CR465" s="336">
        <f>Q_IS!CJ267</f>
        <v>0</v>
      </c>
      <c r="CS465" s="336">
        <f>Q_IS!CK267</f>
        <v>0</v>
      </c>
    </row>
    <row r="466" spans="1:97">
      <c r="A466" s="312" t="s">
        <v>229</v>
      </c>
      <c r="B466" s="257"/>
      <c r="C466" s="257"/>
      <c r="D466" s="257"/>
      <c r="E466" s="257"/>
      <c r="F466" s="257"/>
      <c r="G466" s="257"/>
      <c r="H466" s="257"/>
      <c r="I466" s="257"/>
      <c r="J466" s="257"/>
      <c r="K466" s="257"/>
      <c r="L466" s="257"/>
      <c r="M466" s="257"/>
      <c r="N466" s="257">
        <f t="shared" ref="N466:AL466" si="278">N465/J465-1</f>
        <v>-5.9159702169655604E-2</v>
      </c>
      <c r="O466" s="257">
        <f t="shared" si="278"/>
        <v>-7.0091756705890962E-2</v>
      </c>
      <c r="P466" s="257">
        <f t="shared" si="278"/>
        <v>-1.7864141845354453E-2</v>
      </c>
      <c r="Q466" s="257">
        <f t="shared" si="278"/>
        <v>0.13391251278196359</v>
      </c>
      <c r="R466" s="257">
        <f t="shared" si="278"/>
        <v>0.14482771229164015</v>
      </c>
      <c r="S466" s="257">
        <f t="shared" si="278"/>
        <v>0.18126963061269463</v>
      </c>
      <c r="T466" s="257">
        <f t="shared" si="278"/>
        <v>0.15433317154721471</v>
      </c>
      <c r="U466" s="257">
        <f t="shared" si="278"/>
        <v>0.13431580298091306</v>
      </c>
      <c r="V466" s="257">
        <f t="shared" si="278"/>
        <v>0.1844393519590537</v>
      </c>
      <c r="W466" s="257">
        <f t="shared" si="278"/>
        <v>0.27784185809621653</v>
      </c>
      <c r="X466" s="257">
        <f t="shared" si="278"/>
        <v>0.24485722828524326</v>
      </c>
      <c r="Y466" s="257">
        <f t="shared" si="278"/>
        <v>0.16400667433398031</v>
      </c>
      <c r="Z466" s="257">
        <f t="shared" si="278"/>
        <v>0.143257290781863</v>
      </c>
      <c r="AA466" s="257">
        <f t="shared" si="278"/>
        <v>0.15377164678195965</v>
      </c>
      <c r="AB466" s="257">
        <f t="shared" si="278"/>
        <v>0.22324018086071162</v>
      </c>
      <c r="AC466" s="257">
        <f t="shared" si="278"/>
        <v>0.24309275929232999</v>
      </c>
      <c r="AD466" s="257">
        <f t="shared" si="278"/>
        <v>0.22497103282357034</v>
      </c>
      <c r="AE466" s="257">
        <f t="shared" si="278"/>
        <v>0.1108762937006984</v>
      </c>
      <c r="AF466" s="257">
        <f t="shared" si="278"/>
        <v>0.12982859611294639</v>
      </c>
      <c r="AG466" s="257">
        <f t="shared" si="278"/>
        <v>0.44465763033566463</v>
      </c>
      <c r="AH466" s="257">
        <f t="shared" si="278"/>
        <v>-1.0002816006469599</v>
      </c>
      <c r="AI466" s="257">
        <f t="shared" si="278"/>
        <v>-0.99993368958034656</v>
      </c>
      <c r="AJ466" s="257">
        <f t="shared" si="278"/>
        <v>-1.001492422209936</v>
      </c>
      <c r="AK466" s="257">
        <f t="shared" si="278"/>
        <v>-0.99986921777195126</v>
      </c>
      <c r="AL466" s="257">
        <f t="shared" si="278"/>
        <v>-2.0256410256384347</v>
      </c>
      <c r="AM466" s="257" t="e">
        <v>#N/A</v>
      </c>
      <c r="AN466" s="257" t="e">
        <v>#N/A</v>
      </c>
      <c r="AO466" s="257" t="e">
        <v>#N/A</v>
      </c>
      <c r="AP466" s="257" t="e">
        <v>#N/A</v>
      </c>
      <c r="AQ466" s="257" t="e">
        <v>#N/A</v>
      </c>
      <c r="AR466" s="257" t="e">
        <v>#N/A</v>
      </c>
      <c r="AS466" s="257" t="e">
        <v>#N/A</v>
      </c>
      <c r="AT466" s="257" t="e">
        <v>#N/A</v>
      </c>
      <c r="AU466" s="257" t="e">
        <v>#N/A</v>
      </c>
      <c r="AV466" s="257" t="e">
        <v>#N/A</v>
      </c>
      <c r="AW466" s="257" t="e">
        <v>#N/A</v>
      </c>
      <c r="AX466" s="257" t="e">
        <v>#N/A</v>
      </c>
      <c r="AY466" s="257" t="e">
        <v>#N/A</v>
      </c>
      <c r="AZ466" s="257" t="e">
        <v>#N/A</v>
      </c>
      <c r="BA466" s="257" t="e">
        <v>#N/A</v>
      </c>
      <c r="BB466" s="257" t="e">
        <v>#N/A</v>
      </c>
      <c r="BC466" s="677" t="e">
        <v>#N/A</v>
      </c>
      <c r="BD466" s="677" t="e">
        <v>#N/A</v>
      </c>
      <c r="BE466" s="677" t="e">
        <v>#N/A</v>
      </c>
      <c r="BF466" s="677" t="e">
        <v>#N/A</v>
      </c>
      <c r="BG466" s="677" t="e">
        <v>#N/A</v>
      </c>
      <c r="BH466" s="677" t="e">
        <v>#N/A</v>
      </c>
      <c r="BI466" s="677" t="e">
        <v>#N/A</v>
      </c>
      <c r="BJ466" s="677" t="e">
        <v>#N/A</v>
      </c>
      <c r="BK466" s="677" t="e">
        <v>#N/A</v>
      </c>
      <c r="BL466" s="677" t="e">
        <v>#N/A</v>
      </c>
      <c r="BM466" s="677" t="e">
        <v>#N/A</v>
      </c>
      <c r="BN466" s="677" t="e">
        <v>#N/A</v>
      </c>
      <c r="BO466" s="677" t="e">
        <v>#N/A</v>
      </c>
      <c r="BP466" s="677" t="e">
        <v>#N/A</v>
      </c>
      <c r="BQ466" s="677" t="e">
        <v>#N/A</v>
      </c>
      <c r="BR466" s="677" t="e">
        <v>#N/A</v>
      </c>
      <c r="BS466" s="677" t="e">
        <v>#N/A</v>
      </c>
      <c r="BT466" s="677" t="e">
        <v>#N/A</v>
      </c>
      <c r="BU466" s="677" t="e">
        <v>#N/A</v>
      </c>
      <c r="BV466" s="677" t="e">
        <v>#N/A</v>
      </c>
      <c r="BW466" s="677" t="e">
        <v>#N/A</v>
      </c>
      <c r="BX466" s="677" t="e">
        <v>#N/A</v>
      </c>
      <c r="BY466" s="677" t="e">
        <v>#N/A</v>
      </c>
      <c r="BZ466" s="677" t="e">
        <v>#N/A</v>
      </c>
      <c r="CA466" s="677" t="e">
        <v>#N/A</v>
      </c>
      <c r="CB466" s="677" t="e">
        <v>#N/A</v>
      </c>
      <c r="CC466" s="677" t="e">
        <v>#N/A</v>
      </c>
      <c r="CD466" s="677" t="e">
        <v>#N/A</v>
      </c>
      <c r="CE466" s="677" t="e">
        <v>#N/A</v>
      </c>
      <c r="CF466" s="677" t="e">
        <v>#N/A</v>
      </c>
      <c r="CG466" s="677" t="e">
        <v>#N/A</v>
      </c>
      <c r="CH466" s="677" t="e">
        <v>#N/A</v>
      </c>
      <c r="CI466" s="677" t="e">
        <v>#N/A</v>
      </c>
      <c r="CJ466" s="677" t="e">
        <v>#N/A</v>
      </c>
      <c r="CK466" s="677" t="e">
        <v>#N/A</v>
      </c>
      <c r="CL466" s="677" t="e">
        <v>#N/A</v>
      </c>
      <c r="CM466" s="677" t="e">
        <v>#N/A</v>
      </c>
      <c r="CN466" s="677" t="e">
        <v>#N/A</v>
      </c>
      <c r="CO466" s="677" t="e">
        <v>#N/A</v>
      </c>
      <c r="CP466" s="677" t="e">
        <v>#N/A</v>
      </c>
      <c r="CQ466" s="677" t="e">
        <v>#N/A</v>
      </c>
      <c r="CR466" s="677" t="e">
        <v>#N/A</v>
      </c>
      <c r="CS466" s="677" t="e">
        <v>#N/A</v>
      </c>
    </row>
    <row r="467" spans="1:97">
      <c r="A467" s="607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</row>
    <row r="468" spans="1:97">
      <c r="A468" s="242" t="s">
        <v>1159</v>
      </c>
      <c r="B468" s="595"/>
      <c r="C468" s="595"/>
      <c r="D468" s="595"/>
      <c r="E468" s="595"/>
      <c r="F468" s="595"/>
      <c r="G468" s="595"/>
      <c r="H468" s="595"/>
      <c r="I468" s="595"/>
      <c r="J468" s="595" t="str">
        <f t="shared" ref="J468:AO468" si="279">J$453</f>
        <v>1Q09</v>
      </c>
      <c r="K468" s="595" t="str">
        <f t="shared" si="279"/>
        <v>2Q09</v>
      </c>
      <c r="L468" s="595" t="str">
        <f t="shared" si="279"/>
        <v>3Q09</v>
      </c>
      <c r="M468" s="595" t="str">
        <f t="shared" si="279"/>
        <v>4Q09</v>
      </c>
      <c r="N468" s="595" t="str">
        <f t="shared" si="279"/>
        <v>1Q10</v>
      </c>
      <c r="O468" s="595" t="str">
        <f t="shared" si="279"/>
        <v>2Q10</v>
      </c>
      <c r="P468" s="595" t="str">
        <f t="shared" si="279"/>
        <v>3Q10</v>
      </c>
      <c r="Q468" s="595" t="str">
        <f t="shared" si="279"/>
        <v>4Q10</v>
      </c>
      <c r="R468" s="595" t="str">
        <f t="shared" si="279"/>
        <v>1Q11</v>
      </c>
      <c r="S468" s="595" t="str">
        <f t="shared" si="279"/>
        <v>2Q11</v>
      </c>
      <c r="T468" s="595" t="str">
        <f t="shared" si="279"/>
        <v>3Q11</v>
      </c>
      <c r="U468" s="595" t="str">
        <f t="shared" si="279"/>
        <v>4Q11</v>
      </c>
      <c r="V468" s="595" t="str">
        <f t="shared" si="279"/>
        <v>1Q12</v>
      </c>
      <c r="W468" s="595" t="str">
        <f t="shared" si="279"/>
        <v>2Q12</v>
      </c>
      <c r="X468" s="595" t="str">
        <f t="shared" si="279"/>
        <v>3Q12</v>
      </c>
      <c r="Y468" s="595" t="str">
        <f t="shared" si="279"/>
        <v>4Q12</v>
      </c>
      <c r="Z468" s="595" t="str">
        <f t="shared" si="279"/>
        <v>1Q13</v>
      </c>
      <c r="AA468" s="595" t="str">
        <f t="shared" si="279"/>
        <v>2Q13</v>
      </c>
      <c r="AB468" s="595" t="str">
        <f t="shared" si="279"/>
        <v>3Q13</v>
      </c>
      <c r="AC468" s="595" t="str">
        <f t="shared" si="279"/>
        <v>4Q13</v>
      </c>
      <c r="AD468" s="595" t="str">
        <f t="shared" si="279"/>
        <v>1Q14</v>
      </c>
      <c r="AE468" s="595" t="str">
        <f t="shared" si="279"/>
        <v>2Q14</v>
      </c>
      <c r="AF468" s="595" t="str">
        <f t="shared" si="279"/>
        <v>3Q14</v>
      </c>
      <c r="AG468" s="595" t="str">
        <f t="shared" si="279"/>
        <v>4Q14</v>
      </c>
      <c r="AH468" s="595" t="str">
        <f t="shared" si="279"/>
        <v>1Q15</v>
      </c>
      <c r="AI468" s="595" t="str">
        <f t="shared" si="279"/>
        <v>2Q15</v>
      </c>
      <c r="AJ468" s="595" t="str">
        <f t="shared" si="279"/>
        <v>3Q15</v>
      </c>
      <c r="AK468" s="595" t="str">
        <f t="shared" si="279"/>
        <v>4Q15</v>
      </c>
      <c r="AL468" s="595" t="str">
        <f t="shared" si="279"/>
        <v>1Q16</v>
      </c>
      <c r="AM468" s="595" t="str">
        <f t="shared" si="279"/>
        <v>2Q16</v>
      </c>
      <c r="AN468" s="595" t="str">
        <f t="shared" si="279"/>
        <v>3Q16</v>
      </c>
      <c r="AO468" s="595" t="str">
        <f t="shared" si="279"/>
        <v>4Q16</v>
      </c>
      <c r="AP468" s="595" t="str">
        <f t="shared" ref="AP468:CS468" si="280">AP$453</f>
        <v>1Q17</v>
      </c>
      <c r="AQ468" s="595" t="str">
        <f t="shared" si="280"/>
        <v>2Q17</v>
      </c>
      <c r="AR468" s="595" t="str">
        <f t="shared" si="280"/>
        <v>3Q17</v>
      </c>
      <c r="AS468" s="595" t="str">
        <f t="shared" si="280"/>
        <v>4Q17</v>
      </c>
      <c r="AT468" s="595" t="str">
        <f t="shared" si="280"/>
        <v>1Q18</v>
      </c>
      <c r="AU468" s="595" t="str">
        <f t="shared" si="280"/>
        <v>2Q18</v>
      </c>
      <c r="AV468" s="595" t="str">
        <f t="shared" si="280"/>
        <v>3Q18</v>
      </c>
      <c r="AW468" s="595" t="str">
        <f t="shared" si="280"/>
        <v>4Q18</v>
      </c>
      <c r="AX468" s="595" t="str">
        <f t="shared" si="280"/>
        <v>1Q19</v>
      </c>
      <c r="AY468" s="595" t="str">
        <f t="shared" si="280"/>
        <v>2Q19</v>
      </c>
      <c r="AZ468" s="595" t="str">
        <f t="shared" si="280"/>
        <v>3Q19</v>
      </c>
      <c r="BA468" s="595" t="str">
        <f t="shared" si="280"/>
        <v>4Q19</v>
      </c>
      <c r="BB468" s="595" t="str">
        <f t="shared" si="280"/>
        <v>1Q20</v>
      </c>
      <c r="BC468" s="595" t="str">
        <f t="shared" si="280"/>
        <v>2Q20</v>
      </c>
      <c r="BD468" s="595" t="str">
        <f t="shared" si="280"/>
        <v>3Q20</v>
      </c>
      <c r="BE468" s="595" t="str">
        <f t="shared" si="280"/>
        <v>4Q20</v>
      </c>
      <c r="BF468" s="595" t="str">
        <f t="shared" si="280"/>
        <v>1Q21</v>
      </c>
      <c r="BG468" s="595" t="str">
        <f t="shared" si="280"/>
        <v>2Q21</v>
      </c>
      <c r="BH468" s="595" t="str">
        <f t="shared" si="280"/>
        <v>3Q21</v>
      </c>
      <c r="BI468" s="595" t="str">
        <f t="shared" si="280"/>
        <v>4Q21</v>
      </c>
      <c r="BJ468" s="595" t="str">
        <f t="shared" si="280"/>
        <v>1Q22</v>
      </c>
      <c r="BK468" s="595" t="str">
        <f t="shared" si="280"/>
        <v>2Q22</v>
      </c>
      <c r="BL468" s="595" t="str">
        <f t="shared" si="280"/>
        <v>3Q22</v>
      </c>
      <c r="BM468" s="595" t="str">
        <f t="shared" si="280"/>
        <v>4Q22</v>
      </c>
      <c r="BN468" s="595" t="str">
        <f t="shared" si="280"/>
        <v>1Q23</v>
      </c>
      <c r="BO468" s="595" t="str">
        <f t="shared" si="280"/>
        <v>2Q23</v>
      </c>
      <c r="BP468" s="595" t="str">
        <f t="shared" si="280"/>
        <v>3Q23</v>
      </c>
      <c r="BQ468" s="595" t="str">
        <f t="shared" si="280"/>
        <v>4Q23</v>
      </c>
      <c r="BR468" s="595" t="str">
        <f t="shared" si="280"/>
        <v>1Q24</v>
      </c>
      <c r="BS468" s="596" t="str">
        <f t="shared" si="280"/>
        <v>2Q24e</v>
      </c>
      <c r="BT468" s="596" t="str">
        <f t="shared" si="280"/>
        <v>3Q24e</v>
      </c>
      <c r="BU468" s="596" t="str">
        <f t="shared" si="280"/>
        <v>4Q24e</v>
      </c>
      <c r="BV468" s="596" t="str">
        <f t="shared" si="280"/>
        <v>1Q25e</v>
      </c>
      <c r="BW468" s="596" t="str">
        <f t="shared" si="280"/>
        <v>2Q25e</v>
      </c>
      <c r="BX468" s="596" t="str">
        <f t="shared" si="280"/>
        <v>3Q25e</v>
      </c>
      <c r="BY468" s="596" t="str">
        <f t="shared" si="280"/>
        <v>4Q25e</v>
      </c>
      <c r="BZ468" s="596" t="str">
        <f t="shared" si="280"/>
        <v>1Q26e</v>
      </c>
      <c r="CA468" s="596" t="str">
        <f t="shared" si="280"/>
        <v>2Q26e</v>
      </c>
      <c r="CB468" s="596" t="str">
        <f t="shared" si="280"/>
        <v>3Q26e</v>
      </c>
      <c r="CC468" s="596" t="str">
        <f t="shared" si="280"/>
        <v>4Q26e</v>
      </c>
      <c r="CD468" s="596" t="str">
        <f t="shared" si="280"/>
        <v>1Q27e</v>
      </c>
      <c r="CE468" s="596" t="str">
        <f t="shared" si="280"/>
        <v>2Q27e</v>
      </c>
      <c r="CF468" s="596" t="str">
        <f t="shared" si="280"/>
        <v>3Q27e</v>
      </c>
      <c r="CG468" s="596" t="str">
        <f t="shared" si="280"/>
        <v>4Q27e</v>
      </c>
      <c r="CH468" s="596" t="str">
        <f t="shared" si="280"/>
        <v>1Q28e</v>
      </c>
      <c r="CI468" s="596" t="str">
        <f t="shared" si="280"/>
        <v>2Q28e</v>
      </c>
      <c r="CJ468" s="596" t="str">
        <f t="shared" si="280"/>
        <v>3Q28e</v>
      </c>
      <c r="CK468" s="596" t="str">
        <f t="shared" si="280"/>
        <v>4Q28e</v>
      </c>
      <c r="CL468" s="596" t="str">
        <f t="shared" si="280"/>
        <v>1Q29e</v>
      </c>
      <c r="CM468" s="596" t="str">
        <f t="shared" si="280"/>
        <v>2Q29e</v>
      </c>
      <c r="CN468" s="596" t="str">
        <f t="shared" si="280"/>
        <v>3Q29e</v>
      </c>
      <c r="CO468" s="596" t="str">
        <f t="shared" si="280"/>
        <v>4Q29e</v>
      </c>
      <c r="CP468" s="596" t="str">
        <f t="shared" si="280"/>
        <v>1Q30e</v>
      </c>
      <c r="CQ468" s="596" t="str">
        <f t="shared" si="280"/>
        <v>2Q30e</v>
      </c>
      <c r="CR468" s="596" t="str">
        <f t="shared" si="280"/>
        <v>3Q30e</v>
      </c>
      <c r="CS468" s="596" t="str">
        <f t="shared" si="280"/>
        <v>4Q30e</v>
      </c>
    </row>
    <row r="469" spans="1:97">
      <c r="A469" s="249" t="str">
        <f t="shared" ref="A469:A474" si="281">A459</f>
        <v>Mexico</v>
      </c>
      <c r="B469" s="251"/>
      <c r="C469" s="251"/>
      <c r="D469" s="251"/>
      <c r="E469" s="251"/>
      <c r="F469" s="251"/>
      <c r="G469" s="251"/>
      <c r="H469" s="251"/>
      <c r="I469" s="251"/>
      <c r="J469" s="258" t="e">
        <f>NA()</f>
        <v>#N/A</v>
      </c>
      <c r="K469" s="258">
        <f>Q_IS!C25</f>
        <v>1.7534772182254201</v>
      </c>
      <c r="L469" s="258">
        <f>Q_IS!D25</f>
        <v>1.7574954846478024</v>
      </c>
      <c r="M469" s="258">
        <f>Q_IS!E25</f>
        <v>1.9426682692307684</v>
      </c>
      <c r="N469" s="258">
        <f>Q_IS!F25</f>
        <v>1.762104004781829</v>
      </c>
      <c r="O469" s="258">
        <f>Q_IS!G25</f>
        <v>1.761094586555622</v>
      </c>
      <c r="P469" s="258">
        <f>Q_IS!H25</f>
        <v>1.7719858156028367</v>
      </c>
      <c r="Q469" s="258">
        <f>Q_IS!I25</f>
        <v>1.9266705403834983</v>
      </c>
      <c r="R469" s="258">
        <f>Q_IS!J25</f>
        <v>1.8631315789473686</v>
      </c>
      <c r="S469" s="258">
        <f>Q_IS!K25</f>
        <v>1.9494344122657581</v>
      </c>
      <c r="T469" s="258">
        <f>Q_IS!L25</f>
        <v>1.9684841986455981</v>
      </c>
      <c r="U469" s="258">
        <f>Q_IS!M25</f>
        <v>2.0111535455053042</v>
      </c>
      <c r="V469" s="258">
        <f>Q_IS!N25</f>
        <v>2.0798887688984879</v>
      </c>
      <c r="W469" s="251">
        <f>Q_IS!O25</f>
        <v>2.3057080679405519</v>
      </c>
      <c r="X469" s="251">
        <f>Q_IS!P25</f>
        <v>2.2970578249336864</v>
      </c>
      <c r="Y469" s="251">
        <f>Q_IS!Q25</f>
        <v>2.3929384534455549</v>
      </c>
      <c r="Z469" s="251">
        <f>Q_IS!R25</f>
        <v>2.3329027196652721</v>
      </c>
      <c r="AA469" s="251">
        <f>Q_IS!S25</f>
        <v>2.4662161895360315</v>
      </c>
      <c r="AB469" s="251">
        <f>Q_IS!T25</f>
        <v>2.3568933025404162</v>
      </c>
      <c r="AC469" s="251">
        <f>Q_IS!U25</f>
        <v>2.4905417789757411</v>
      </c>
      <c r="AD469" s="251">
        <f>Q_IS!V25</f>
        <v>2.3444616063548103</v>
      </c>
      <c r="AE469" s="251">
        <f>Q_IS!W25</f>
        <v>2.8251111957349582</v>
      </c>
      <c r="AF469" s="251">
        <f>Q_IS!X25</f>
        <v>2.7431662216288384</v>
      </c>
      <c r="AG469" s="251">
        <f>Q_IS!Y25</f>
        <v>3.0816328947368423</v>
      </c>
      <c r="AH469" s="251">
        <f>Q_IS!Z25</f>
        <v>2.0102406801831263</v>
      </c>
      <c r="AI469" s="251">
        <f>Q_IS!AA25</f>
        <v>1.9759785226163358</v>
      </c>
      <c r="AJ469" s="251">
        <f>Q_IS!AB25</f>
        <v>2.1198231162196679</v>
      </c>
      <c r="AK469" s="251">
        <f>Q_IS!AC25</f>
        <v>2.1726725385341306</v>
      </c>
      <c r="AL469" s="251">
        <f>Q_IS!AD25</f>
        <v>2.0972668972021378</v>
      </c>
      <c r="AM469" s="251">
        <f>Q_IS!AE25</f>
        <v>2.1661744587386256</v>
      </c>
      <c r="AN469" s="251">
        <f>Q_IS!AF25</f>
        <v>2.1379654747225647</v>
      </c>
      <c r="AO469" s="251">
        <f>Q_IS!AG25</f>
        <v>2.20525433871933</v>
      </c>
      <c r="AP469" s="251">
        <f>Q_IS!AH25</f>
        <v>2.1583985993580392</v>
      </c>
      <c r="AQ469" s="251">
        <f>Q_IS!AI25</f>
        <v>2.2835480713874499</v>
      </c>
      <c r="AR469" s="251">
        <f>Q_IS!AJ25</f>
        <v>2.2430255536626915</v>
      </c>
      <c r="AS469" s="251">
        <f>Q_IS!AK25</f>
        <v>2.3533732590529248</v>
      </c>
      <c r="AT469" s="251">
        <f>Q_IS!AL25</f>
        <v>3.0933024538185827</v>
      </c>
      <c r="AU469" s="251">
        <f>Q_IS!AM25</f>
        <v>3.1818162428219852</v>
      </c>
      <c r="AV469" s="251">
        <f>Q_IS!AN25</f>
        <v>3.1926157582298971</v>
      </c>
      <c r="AW469" s="251">
        <f>Q_IS!AO25</f>
        <v>3.4292015873015873</v>
      </c>
      <c r="AX469" s="251">
        <f>Q_IS!AP25</f>
        <v>3.0829927159209154</v>
      </c>
      <c r="AY469" s="251">
        <f>Q_IS!AQ25</f>
        <v>3.3214488680718186</v>
      </c>
      <c r="AZ469" s="251">
        <f>Q_IS!AR25</f>
        <v>3.6276185755283068</v>
      </c>
      <c r="BA469" s="251">
        <f>Q_IS!AS25</f>
        <v>3.5621633185494392</v>
      </c>
      <c r="BB469" s="251">
        <f>Q_IS!AT25</f>
        <v>3.1275989515072085</v>
      </c>
      <c r="BC469" s="336">
        <f>Q_IS!AU25</f>
        <v>1.390707284768212</v>
      </c>
      <c r="BD469" s="336">
        <f>Q_IS!AV25</f>
        <v>2.3431311563169164</v>
      </c>
      <c r="BE469" s="336">
        <f>Q_IS!AW25</f>
        <v>2.8892963868513992</v>
      </c>
      <c r="BF469" s="336">
        <f>Q_IS!AX25</f>
        <v>2.6701229666390955</v>
      </c>
      <c r="BG469" s="336">
        <f>Q_IS!AY25</f>
        <v>3.5122207432057682</v>
      </c>
      <c r="BH469" s="336">
        <f>Q_IS!AZ25</f>
        <v>3.634882862734135</v>
      </c>
      <c r="BI469" s="336">
        <f>Q_IS!BA25</f>
        <v>4.3195227145260793</v>
      </c>
      <c r="BJ469" s="336">
        <f>Q_IS!BB25</f>
        <v>4.0183293262510489</v>
      </c>
      <c r="BK469" s="336">
        <f>Q_IS!BC25</f>
        <v>4.5788029034059186</v>
      </c>
      <c r="BL469" s="336">
        <f>Q_IS!BD25</f>
        <v>4.56582298914556</v>
      </c>
      <c r="BM469" s="336">
        <f>Q_IS!BE25</f>
        <v>5.0571629955947133</v>
      </c>
      <c r="BN469" s="336">
        <f>Q_IS!BF25</f>
        <v>4.6874543965046422</v>
      </c>
      <c r="BO469" s="336">
        <f>Q_IS!BG25</f>
        <v>5.1735693911135501</v>
      </c>
      <c r="BP469" s="336">
        <f>Q_IS!BH25</f>
        <v>5.1887339752407158</v>
      </c>
      <c r="BQ469" s="336">
        <f>Q_IS!BI25</f>
        <v>5.4862305805396563</v>
      </c>
      <c r="BR469" s="336">
        <f>Q_IS!BJ25</f>
        <v>5.1810228679042227</v>
      </c>
      <c r="BS469" s="336">
        <f>Q_IS!BK25</f>
        <v>5.4505363515312917</v>
      </c>
      <c r="BT469" s="336">
        <f>Q_IS!BL25</f>
        <v>5.3888405141952749</v>
      </c>
      <c r="BU469" s="336">
        <f>Q_IS!BM25</f>
        <v>5.688552709539473</v>
      </c>
      <c r="BV469" s="336">
        <f>Q_IS!BN25</f>
        <v>5.3569530842699242</v>
      </c>
      <c r="BW469" s="336">
        <f>Q_IS!BO25</f>
        <v>5.6470469173220996</v>
      </c>
      <c r="BX469" s="336">
        <f>Q_IS!BP25</f>
        <v>5.5713158370249465</v>
      </c>
      <c r="BY469" s="336">
        <f>Q_IS!BQ25</f>
        <v>5.8763245393852834</v>
      </c>
      <c r="BZ469" s="336">
        <f>Q_IS!BR25</f>
        <v>5.5294090618185399</v>
      </c>
      <c r="CA469" s="336">
        <f>Q_IS!BS25</f>
        <v>5.8301578443122306</v>
      </c>
      <c r="CB469" s="336">
        <f>Q_IS!BT25</f>
        <v>5.7532589041861906</v>
      </c>
      <c r="CC469" s="336">
        <f>Q_IS!BU25</f>
        <v>6.0699512367663173</v>
      </c>
      <c r="CD469" s="336">
        <f>Q_IS!BV25</f>
        <v>5.7129116529236272</v>
      </c>
      <c r="CE469" s="336">
        <f>Q_IS!BW25</f>
        <v>6.0243329625136797</v>
      </c>
      <c r="CF469" s="336">
        <f>Q_IS!BX25</f>
        <v>5.9455506854903195</v>
      </c>
      <c r="CG469" s="336">
        <f>Q_IS!BY25</f>
        <v>6.2745144573637281</v>
      </c>
      <c r="CH469" s="336">
        <f>Q_IS!BZ25</f>
        <v>5.8520665398895666</v>
      </c>
      <c r="CI469" s="336">
        <f>Q_IS!CA25</f>
        <v>6.1711467083697844</v>
      </c>
      <c r="CJ469" s="336">
        <f>Q_IS!CB25</f>
        <v>6.0905163146749866</v>
      </c>
      <c r="CK469" s="336">
        <f>Q_IS!CC25</f>
        <v>6.427613666933782</v>
      </c>
      <c r="CL469" s="336">
        <f>Q_IS!CD25</f>
        <v>5.9949620103298846</v>
      </c>
      <c r="CM469" s="336">
        <f>Q_IS!CE25</f>
        <v>6.3219060018230371</v>
      </c>
      <c r="CN469" s="336">
        <f>Q_IS!CF25</f>
        <v>6.2393769411599775</v>
      </c>
      <c r="CO469" s="336">
        <f>Q_IS!CG25</f>
        <v>6.5848250442606719</v>
      </c>
      <c r="CP469" s="336">
        <f>Q_IS!CH25</f>
        <v>6.141982756863273</v>
      </c>
      <c r="CQ469" s="336">
        <f>Q_IS!CI25</f>
        <v>6.4776223400679926</v>
      </c>
      <c r="CR469" s="336">
        <f>Q_IS!CJ25</f>
        <v>6.393725444241813</v>
      </c>
      <c r="CS469" s="336">
        <f>Q_IS!CK25</f>
        <v>6.7490787788382498</v>
      </c>
    </row>
    <row r="470" spans="1:97">
      <c r="A470" s="312" t="str">
        <f t="shared" si="281"/>
        <v>Growth</v>
      </c>
      <c r="B470" s="257"/>
      <c r="C470" s="257"/>
      <c r="D470" s="257"/>
      <c r="E470" s="257"/>
      <c r="F470" s="257"/>
      <c r="G470" s="257"/>
      <c r="H470" s="257"/>
      <c r="I470" s="257"/>
      <c r="J470" s="1152"/>
      <c r="K470" s="1152" t="e">
        <f t="shared" ref="K470:BA470" si="282">K469/J469-1</f>
        <v>#N/A</v>
      </c>
      <c r="L470" s="1152">
        <f t="shared" si="282"/>
        <v>2.2915988760030537E-3</v>
      </c>
      <c r="M470" s="1152">
        <f t="shared" si="282"/>
        <v>0.10536174129635056</v>
      </c>
      <c r="N470" s="1152">
        <f t="shared" si="282"/>
        <v>-9.2946524792128726E-2</v>
      </c>
      <c r="O470" s="1152">
        <f t="shared" si="282"/>
        <v>-5.7284826745063189E-4</v>
      </c>
      <c r="P470" s="1152">
        <f t="shared" si="282"/>
        <v>6.184352124161574E-3</v>
      </c>
      <c r="Q470" s="1152">
        <f t="shared" si="282"/>
        <v>8.729456151320103E-2</v>
      </c>
      <c r="R470" s="1152">
        <f t="shared" si="282"/>
        <v>-3.2978633401163915E-2</v>
      </c>
      <c r="S470" s="1152">
        <f t="shared" si="282"/>
        <v>4.6321384003994437E-2</v>
      </c>
      <c r="T470" s="1152">
        <f t="shared" si="282"/>
        <v>9.7719555271926772E-3</v>
      </c>
      <c r="U470" s="1152">
        <f t="shared" si="282"/>
        <v>2.1676245554353102E-2</v>
      </c>
      <c r="V470" s="1152">
        <f t="shared" si="282"/>
        <v>3.4177014254729077E-2</v>
      </c>
      <c r="W470" s="257">
        <f t="shared" si="282"/>
        <v>0.10857277678443267</v>
      </c>
      <c r="X470" s="257">
        <f t="shared" si="282"/>
        <v>-3.7516644570672053E-3</v>
      </c>
      <c r="Y470" s="257">
        <f t="shared" si="282"/>
        <v>4.1740624668269444E-2</v>
      </c>
      <c r="Z470" s="257">
        <f t="shared" si="282"/>
        <v>-2.5088707857838233E-2</v>
      </c>
      <c r="AA470" s="257">
        <f t="shared" si="282"/>
        <v>5.7144890246382696E-2</v>
      </c>
      <c r="AB470" s="257">
        <f t="shared" si="282"/>
        <v>-4.4328184795584424E-2</v>
      </c>
      <c r="AC470" s="257">
        <f t="shared" si="282"/>
        <v>5.6705357128924661E-2</v>
      </c>
      <c r="AD470" s="257">
        <f t="shared" si="282"/>
        <v>-5.8653973948193605E-2</v>
      </c>
      <c r="AE470" s="257">
        <f t="shared" si="282"/>
        <v>0.20501491177220266</v>
      </c>
      <c r="AF470" s="257">
        <f t="shared" si="282"/>
        <v>-2.9005928768337075E-2</v>
      </c>
      <c r="AG470" s="257">
        <f t="shared" si="282"/>
        <v>0.12338540422352873</v>
      </c>
      <c r="AH470" s="257">
        <f t="shared" si="282"/>
        <v>-0.3476702940131382</v>
      </c>
      <c r="AI470" s="257">
        <f t="shared" si="282"/>
        <v>-1.7043808686465045E-2</v>
      </c>
      <c r="AJ470" s="257">
        <f t="shared" si="282"/>
        <v>7.2796638200739006E-2</v>
      </c>
      <c r="AK470" s="257">
        <f t="shared" si="282"/>
        <v>2.4931052930826647E-2</v>
      </c>
      <c r="AL470" s="257">
        <f t="shared" si="282"/>
        <v>-3.4706399604455762E-2</v>
      </c>
      <c r="AM470" s="257">
        <f t="shared" si="282"/>
        <v>3.2855885737963941E-2</v>
      </c>
      <c r="AN470" s="257">
        <f t="shared" si="282"/>
        <v>-1.3022489440895346E-2</v>
      </c>
      <c r="AO470" s="257">
        <f t="shared" si="282"/>
        <v>3.1473316474157409E-2</v>
      </c>
      <c r="AP470" s="257">
        <f t="shared" si="282"/>
        <v>-2.1247317617115069E-2</v>
      </c>
      <c r="AQ470" s="257">
        <f t="shared" si="282"/>
        <v>5.7982558025488462E-2</v>
      </c>
      <c r="AR470" s="257">
        <f t="shared" si="282"/>
        <v>-1.7745419171376398E-2</v>
      </c>
      <c r="AS470" s="257">
        <f t="shared" si="282"/>
        <v>4.9195919863705528E-2</v>
      </c>
      <c r="AT470" s="257">
        <f t="shared" si="282"/>
        <v>0.31441217066579141</v>
      </c>
      <c r="AU470" s="257">
        <f t="shared" si="282"/>
        <v>2.8614657093791518E-2</v>
      </c>
      <c r="AV470" s="257">
        <f t="shared" si="282"/>
        <v>3.394135482297278E-3</v>
      </c>
      <c r="AW470" s="257">
        <f t="shared" si="282"/>
        <v>7.4104072330602788E-2</v>
      </c>
      <c r="AX470" s="257">
        <f t="shared" si="282"/>
        <v>-0.10095903158994546</v>
      </c>
      <c r="AY470" s="257">
        <f t="shared" si="282"/>
        <v>7.7345674843631418E-2</v>
      </c>
      <c r="AZ470" s="257">
        <f t="shared" si="282"/>
        <v>9.2179563683672416E-2</v>
      </c>
      <c r="BA470" s="257">
        <f t="shared" si="282"/>
        <v>-1.8043588546057365E-2</v>
      </c>
      <c r="BB470" s="257">
        <f t="shared" ref="BB470:BY470" si="283">BB469/AX469-1</f>
        <v>1.4468485558185584E-2</v>
      </c>
      <c r="BC470" s="461">
        <f t="shared" si="283"/>
        <v>-0.58129498902220011</v>
      </c>
      <c r="BD470" s="461">
        <f t="shared" si="283"/>
        <v>-0.35408557776070071</v>
      </c>
      <c r="BE470" s="461">
        <f t="shared" si="283"/>
        <v>-0.18889277989983921</v>
      </c>
      <c r="BF470" s="461">
        <f t="shared" si="283"/>
        <v>-0.14627066703921632</v>
      </c>
      <c r="BG470" s="461">
        <f t="shared" si="283"/>
        <v>1.5254924466661919</v>
      </c>
      <c r="BH470" s="461">
        <f t="shared" si="283"/>
        <v>0.55129295811493395</v>
      </c>
      <c r="BI470" s="461">
        <f t="shared" si="283"/>
        <v>0.49500851978473004</v>
      </c>
      <c r="BJ470" s="461">
        <f t="shared" si="283"/>
        <v>0.50492294791537295</v>
      </c>
      <c r="BK470" s="461">
        <f t="shared" si="283"/>
        <v>0.30367742752599058</v>
      </c>
      <c r="BL470" s="461">
        <f t="shared" si="283"/>
        <v>0.25611282717132133</v>
      </c>
      <c r="BM470" s="461">
        <f t="shared" si="283"/>
        <v>0.17076893208317467</v>
      </c>
      <c r="BN470" s="461">
        <f>BN469/BJ469-1</f>
        <v>0.16651822584135045</v>
      </c>
      <c r="BO470" s="461">
        <f>BO469/BK469-1</f>
        <v>0.12989562998337778</v>
      </c>
      <c r="BP470" s="461">
        <f>BP469/BL469-1</f>
        <v>0.13642907041644348</v>
      </c>
      <c r="BQ470" s="461">
        <f>BQ469/BM469-1</f>
        <v>8.484353486702001E-2</v>
      </c>
      <c r="BR470" s="461">
        <f>BR469/BN469-1</f>
        <v>0.10529563162633138</v>
      </c>
      <c r="BS470" s="461">
        <f t="shared" si="283"/>
        <v>5.353498512912136E-2</v>
      </c>
      <c r="BT470" s="461">
        <f t="shared" si="283"/>
        <v>3.8565580719577275E-2</v>
      </c>
      <c r="BU470" s="461">
        <f t="shared" si="283"/>
        <v>3.6878167264328798E-2</v>
      </c>
      <c r="BV470" s="461">
        <f t="shared" si="283"/>
        <v>3.395665698670558E-2</v>
      </c>
      <c r="BW470" s="461">
        <f t="shared" si="283"/>
        <v>3.6053436417426976E-2</v>
      </c>
      <c r="BX470" s="461">
        <f t="shared" si="283"/>
        <v>3.386170408068212E-2</v>
      </c>
      <c r="BY470" s="461">
        <f t="shared" si="283"/>
        <v>3.300871758310775E-2</v>
      </c>
      <c r="BZ470" s="461">
        <f t="shared" ref="BZ470:CS470" si="284">BZ469/BV469-1</f>
        <v>3.2192922886521647E-2</v>
      </c>
      <c r="CA470" s="461">
        <f t="shared" si="284"/>
        <v>3.2425961687770899E-2</v>
      </c>
      <c r="CB470" s="461">
        <f t="shared" si="284"/>
        <v>3.2657108748370689E-2</v>
      </c>
      <c r="CC470" s="461">
        <f t="shared" si="284"/>
        <v>3.2950306961992526E-2</v>
      </c>
      <c r="CD470" s="461">
        <f t="shared" si="284"/>
        <v>3.3186655039179946E-2</v>
      </c>
      <c r="CE470" s="461">
        <f t="shared" si="284"/>
        <v>3.330529350777045E-2</v>
      </c>
      <c r="CF470" s="461">
        <f t="shared" si="284"/>
        <v>3.3423105844274437E-2</v>
      </c>
      <c r="CG470" s="461">
        <f t="shared" si="284"/>
        <v>3.3700966056918302E-2</v>
      </c>
      <c r="CH470" s="461">
        <f t="shared" si="284"/>
        <v>2.4357962352651752E-2</v>
      </c>
      <c r="CI470" s="461">
        <f t="shared" si="284"/>
        <v>2.437012475400202E-2</v>
      </c>
      <c r="CJ470" s="461">
        <f t="shared" si="284"/>
        <v>2.4382203912321376E-2</v>
      </c>
      <c r="CK470" s="461">
        <f t="shared" si="284"/>
        <v>2.4400168429029145E-2</v>
      </c>
      <c r="CL470" s="461">
        <f t="shared" si="284"/>
        <v>2.4417950388345044E-2</v>
      </c>
      <c r="CM470" s="461">
        <f t="shared" si="284"/>
        <v>2.4429704976675071E-2</v>
      </c>
      <c r="CN470" s="461">
        <f t="shared" si="284"/>
        <v>2.4441380466597495E-2</v>
      </c>
      <c r="CO470" s="461">
        <f t="shared" si="284"/>
        <v>2.4458747129692648E-2</v>
      </c>
      <c r="CP470" s="461">
        <f t="shared" si="284"/>
        <v>2.4524049740441756E-2</v>
      </c>
      <c r="CQ470" s="461">
        <f t="shared" si="284"/>
        <v>2.4631232764304345E-2</v>
      </c>
      <c r="CR470" s="461">
        <f t="shared" si="284"/>
        <v>2.4737807081926411E-2</v>
      </c>
      <c r="CS470" s="461">
        <f t="shared" si="284"/>
        <v>2.4944282266199602E-2</v>
      </c>
    </row>
    <row r="471" spans="1:97">
      <c r="A471" s="249" t="str">
        <f t="shared" si="281"/>
        <v>South America</v>
      </c>
      <c r="B471" s="251"/>
      <c r="C471" s="251"/>
      <c r="D471" s="251"/>
      <c r="E471" s="251"/>
      <c r="F471" s="251"/>
      <c r="G471" s="251"/>
      <c r="H471" s="251"/>
      <c r="I471" s="251"/>
      <c r="J471" s="258" t="e">
        <f>NA()</f>
        <v>#N/A</v>
      </c>
      <c r="K471" s="258">
        <f>Q_IS!C170</f>
        <v>2.9750995348837206</v>
      </c>
      <c r="L471" s="258">
        <f>Q_IS!D170</f>
        <v>3.3152909666423178</v>
      </c>
      <c r="M471" s="258">
        <f>Q_IS!E170</f>
        <v>3.4183575138504159</v>
      </c>
      <c r="N471" s="258">
        <f>Q_IS!F170</f>
        <v>3.0323974285766915</v>
      </c>
      <c r="O471" s="258">
        <f>Q_IS!G170</f>
        <v>3.4830117478314326</v>
      </c>
      <c r="P471" s="258">
        <f>Q_IS!H170</f>
        <v>3.9477512755102038</v>
      </c>
      <c r="Q471" s="258">
        <f>Q_IS!I170</f>
        <v>3.8465311498754002</v>
      </c>
      <c r="R471" s="258">
        <f>Q_IS!J170</f>
        <v>3.3383225806451611</v>
      </c>
      <c r="S471" s="258">
        <f>Q_IS!K170</f>
        <v>3.7158415081422076</v>
      </c>
      <c r="T471" s="258">
        <f>Q_IS!L170</f>
        <v>4.3874201630854239</v>
      </c>
      <c r="U471" s="258">
        <f>Q_IS!M170</f>
        <v>4.45042988068802</v>
      </c>
      <c r="V471" s="258">
        <f>Q_IS!N170</f>
        <v>3.9632743897881388</v>
      </c>
      <c r="W471" s="251">
        <f>Q_IS!O170</f>
        <v>4.6731193116130383</v>
      </c>
      <c r="X471" s="251">
        <f>Q_IS!P170</f>
        <v>4.9679564121945079</v>
      </c>
      <c r="Y471" s="251">
        <f>Q_IS!Q170</f>
        <v>4.5695834447167156</v>
      </c>
      <c r="Z471" s="251">
        <f>Q_IS!R170</f>
        <v>3.9069307021359401</v>
      </c>
      <c r="AA471" s="251">
        <f>Q_IS!S170</f>
        <v>4.4815127958773697</v>
      </c>
      <c r="AB471" s="251">
        <f>Q_IS!T170</f>
        <v>4.7558003409642398</v>
      </c>
      <c r="AC471" s="251">
        <f>Q_IS!U170</f>
        <v>4.5118367126442731</v>
      </c>
      <c r="AD471" s="251">
        <f>Q_IS!V170</f>
        <v>3.4835457418455671</v>
      </c>
      <c r="AE471" s="251">
        <f>Q_IS!W170</f>
        <v>3.7585663495838286</v>
      </c>
      <c r="AF471" s="251">
        <f>Q_IS!X170</f>
        <v>4.115247839331551</v>
      </c>
      <c r="AG471" s="251">
        <f>Q_IS!Y170</f>
        <v>4.0841613553178764</v>
      </c>
      <c r="AH471" s="251">
        <f>Q_IS!Z170</f>
        <v>4.0971238651337654</v>
      </c>
      <c r="AI471" s="251">
        <f>Q_IS!AA170</f>
        <v>4.6901273065631619</v>
      </c>
      <c r="AJ471" s="251">
        <f>Q_IS!AB170</f>
        <v>5.189490272041299</v>
      </c>
      <c r="AK471" s="251">
        <f>Q_IS!AC170</f>
        <v>5.1559555376444575</v>
      </c>
      <c r="AL471" s="251">
        <f>Q_IS!AD170</f>
        <v>3.946467701290719</v>
      </c>
      <c r="AM471" s="251">
        <f>Q_IS!AE170</f>
        <v>4.4718415069051236</v>
      </c>
      <c r="AN471" s="251">
        <f>Q_IS!AF170</f>
        <v>5.0701450029480144</v>
      </c>
      <c r="AO471" s="251">
        <f>Q_IS!AG170</f>
        <v>5.1764543267279208</v>
      </c>
      <c r="AP471" s="251">
        <f>Q_IS!AH170</f>
        <v>5.2684221185365709</v>
      </c>
      <c r="AQ471" s="251">
        <f>Q_IS!AI170</f>
        <v>5.0556258847252753</v>
      </c>
      <c r="AR471" s="251">
        <f>Q_IS!AJ170</f>
        <v>5.242953384581778</v>
      </c>
      <c r="AS471" s="251">
        <f>Q_IS!AK170</f>
        <v>5.310994397225576</v>
      </c>
      <c r="AT471" s="251">
        <f>Q_IS!AL170</f>
        <v>4.9170218221329849</v>
      </c>
      <c r="AU471" s="251">
        <f>Q_IS!AM170</f>
        <v>5.0013847164651297</v>
      </c>
      <c r="AV471" s="251">
        <f>Q_IS!AN170</f>
        <v>4.3035143593993084</v>
      </c>
      <c r="AW471" s="251">
        <f>Q_IS!AO170</f>
        <v>4.0079902430427179</v>
      </c>
      <c r="AX471" s="251">
        <f>Q_IS!AP170</f>
        <v>3.7183533101586126</v>
      </c>
      <c r="AY471" s="251">
        <f>Q_IS!AQ170</f>
        <v>3.9715810393540196</v>
      </c>
      <c r="AZ471" s="251">
        <f>Q_IS!AR170</f>
        <v>4.1822677205128249</v>
      </c>
      <c r="BA471" s="251">
        <f>Q_IS!AS170</f>
        <v>3.9948451362987329</v>
      </c>
      <c r="BB471" s="251">
        <f>Q_IS!AT170</f>
        <v>2.8575623006313018</v>
      </c>
      <c r="BC471" s="336">
        <f>Q_IS!AU170</f>
        <v>1.2759675416156071</v>
      </c>
      <c r="BD471" s="336">
        <f>Q_IS!AV170</f>
        <v>2.0963914114333284</v>
      </c>
      <c r="BE471" s="336">
        <f>Q_IS!AW170</f>
        <v>2.9500961153952416</v>
      </c>
      <c r="BF471" s="336">
        <f>Q_IS!AX170</f>
        <v>2.9067375930906336</v>
      </c>
      <c r="BG471" s="336">
        <f>Q_IS!AY170</f>
        <v>2.8426079353377776</v>
      </c>
      <c r="BH471" s="336">
        <f>Q_IS!AZ170</f>
        <v>3.9365306969609977</v>
      </c>
      <c r="BI471" s="336">
        <f>Q_IS!BA170</f>
        <v>4.9063164493111611</v>
      </c>
      <c r="BJ471" s="336">
        <f>Q_IS!BB170</f>
        <v>4.3032590360087033</v>
      </c>
      <c r="BK471" s="336">
        <f>Q_IS!BC170</f>
        <v>4.9326898579392937</v>
      </c>
      <c r="BL471" s="336">
        <f>Q_IS!BD170</f>
        <v>5.6654198649897838</v>
      </c>
      <c r="BM471" s="336">
        <f>Q_IS!BE170</f>
        <v>5.7747425383469775</v>
      </c>
      <c r="BN471" s="336">
        <f>Q_IS!BF170</f>
        <v>4.6138545789538696</v>
      </c>
      <c r="BO471" s="336">
        <f>Q_IS!BG170</f>
        <v>5.0107172714372306</v>
      </c>
      <c r="BP471" s="336">
        <f>Q_IS!BH170</f>
        <v>5.5956010955712774</v>
      </c>
      <c r="BQ471" s="336">
        <f>Q_IS!BI170</f>
        <v>4.7133661061241643</v>
      </c>
      <c r="BR471" s="336">
        <f>Q_IS!BJ170</f>
        <v>3.6268011782618976</v>
      </c>
      <c r="BS471" s="336">
        <f>Q_IS!BK170</f>
        <v>4.1831657191769596</v>
      </c>
      <c r="BT471" s="336">
        <f>Q_IS!BL170</f>
        <v>4.4064305215116439</v>
      </c>
      <c r="BU471" s="336">
        <f>Q_IS!BM170</f>
        <v>3.383224598138737</v>
      </c>
      <c r="BV471" s="336">
        <f>Q_IS!BN170</f>
        <v>3.7053516526352643</v>
      </c>
      <c r="BW471" s="336">
        <f>Q_IS!BO170</f>
        <v>4.598129050236702</v>
      </c>
      <c r="BX471" s="336">
        <f>Q_IS!BP170</f>
        <v>4.6344566526841549</v>
      </c>
      <c r="BY471" s="336">
        <f>Q_IS!BQ170</f>
        <v>3.4754773430405153</v>
      </c>
      <c r="BZ471" s="336">
        <f>Q_IS!BR170</f>
        <v>3.8376067615493721</v>
      </c>
      <c r="CA471" s="336">
        <f>Q_IS!BS170</f>
        <v>4.7199267229600999</v>
      </c>
      <c r="CB471" s="336">
        <f>Q_IS!BT170</f>
        <v>4.7588569762665935</v>
      </c>
      <c r="CC471" s="336">
        <f>Q_IS!BU170</f>
        <v>3.5679519316381629</v>
      </c>
      <c r="CD471" s="336">
        <f>Q_IS!BV170</f>
        <v>3.860184945343879</v>
      </c>
      <c r="CE471" s="336">
        <f>Q_IS!BW170</f>
        <v>4.7465205249208076</v>
      </c>
      <c r="CF471" s="336">
        <f>Q_IS!BX170</f>
        <v>4.7844998224812221</v>
      </c>
      <c r="CG471" s="336">
        <f>Q_IS!BY170</f>
        <v>3.5850464766807195</v>
      </c>
      <c r="CH471" s="336">
        <f>Q_IS!BZ170</f>
        <v>3.9037125739517751</v>
      </c>
      <c r="CI471" s="336">
        <f>Q_IS!CA170</f>
        <v>4.7999867662972759</v>
      </c>
      <c r="CJ471" s="336">
        <f>Q_IS!CB170</f>
        <v>4.8383383735270877</v>
      </c>
      <c r="CK471" s="336">
        <f>Q_IS!CC170</f>
        <v>3.6257340259387099</v>
      </c>
      <c r="CL471" s="336">
        <f>Q_IS!CD170</f>
        <v>3.9479729006942423</v>
      </c>
      <c r="CM471" s="336">
        <f>Q_IS!CE170</f>
        <v>4.8533340174260191</v>
      </c>
      <c r="CN471" s="336">
        <f>Q_IS!CF170</f>
        <v>4.8910385572116271</v>
      </c>
      <c r="CO471" s="336">
        <f>Q_IS!CG170</f>
        <v>3.6648082513536191</v>
      </c>
      <c r="CP471" s="336">
        <f>Q_IS!CH170</f>
        <v>3.9904901705273361</v>
      </c>
      <c r="CQ471" s="336">
        <f>Q_IS!CI170</f>
        <v>4.9055782110992032</v>
      </c>
      <c r="CR471" s="336">
        <f>Q_IS!CJ170</f>
        <v>4.9436654067614763</v>
      </c>
      <c r="CS471" s="336">
        <f>Q_IS!CK170</f>
        <v>3.7046635080049235</v>
      </c>
    </row>
    <row r="472" spans="1:97">
      <c r="A472" s="312" t="str">
        <f t="shared" si="281"/>
        <v>Growth</v>
      </c>
      <c r="B472" s="257"/>
      <c r="C472" s="257"/>
      <c r="D472" s="257"/>
      <c r="E472" s="257"/>
      <c r="F472" s="257"/>
      <c r="G472" s="257"/>
      <c r="H472" s="257"/>
      <c r="I472" s="257"/>
      <c r="J472" s="1152"/>
      <c r="K472" s="1152" t="e">
        <f t="shared" ref="K472:BA472" si="285">K471/J471-1</f>
        <v>#N/A</v>
      </c>
      <c r="L472" s="1152">
        <f t="shared" si="285"/>
        <v>0.11434623540146305</v>
      </c>
      <c r="M472" s="1152">
        <f t="shared" si="285"/>
        <v>3.1088235767276373E-2</v>
      </c>
      <c r="N472" s="1152">
        <f t="shared" si="285"/>
        <v>-0.11290805122340219</v>
      </c>
      <c r="O472" s="1152">
        <f t="shared" si="285"/>
        <v>0.14860002023753349</v>
      </c>
      <c r="P472" s="1152">
        <f t="shared" si="285"/>
        <v>0.13343036467451586</v>
      </c>
      <c r="Q472" s="1152">
        <f t="shared" si="285"/>
        <v>-2.5639945014449217E-2</v>
      </c>
      <c r="R472" s="1152">
        <f t="shared" si="285"/>
        <v>-0.13212126703996707</v>
      </c>
      <c r="S472" s="1152">
        <f t="shared" si="285"/>
        <v>0.11308641342386028</v>
      </c>
      <c r="T472" s="1152">
        <f t="shared" si="285"/>
        <v>0.18073393428423756</v>
      </c>
      <c r="U472" s="1152">
        <f t="shared" si="285"/>
        <v>1.4361450524557284E-2</v>
      </c>
      <c r="V472" s="1152">
        <f t="shared" si="285"/>
        <v>-0.1094625696753071</v>
      </c>
      <c r="W472" s="257">
        <f t="shared" si="285"/>
        <v>0.17910567172787784</v>
      </c>
      <c r="X472" s="257">
        <f t="shared" si="285"/>
        <v>6.3092140585577994E-2</v>
      </c>
      <c r="Y472" s="257">
        <f t="shared" si="285"/>
        <v>-8.0188498936893393E-2</v>
      </c>
      <c r="Z472" s="257">
        <f t="shared" si="285"/>
        <v>-0.14501381812973013</v>
      </c>
      <c r="AA472" s="257">
        <f t="shared" si="285"/>
        <v>0.14706738807199793</v>
      </c>
      <c r="AB472" s="257">
        <f t="shared" si="285"/>
        <v>6.1204231155870481E-2</v>
      </c>
      <c r="AC472" s="257">
        <f t="shared" si="285"/>
        <v>-5.1298122467122509E-2</v>
      </c>
      <c r="AD472" s="257">
        <f t="shared" si="285"/>
        <v>-0.22790961559334688</v>
      </c>
      <c r="AE472" s="257">
        <f t="shared" si="285"/>
        <v>7.8948470357262046E-2</v>
      </c>
      <c r="AF472" s="257">
        <f t="shared" si="285"/>
        <v>9.4898282103551557E-2</v>
      </c>
      <c r="AG472" s="257">
        <f t="shared" si="285"/>
        <v>-7.5539761461180799E-3</v>
      </c>
      <c r="AH472" s="257">
        <f t="shared" si="285"/>
        <v>3.1738486039516456E-3</v>
      </c>
      <c r="AI472" s="257">
        <f t="shared" si="285"/>
        <v>0.14473651784751107</v>
      </c>
      <c r="AJ472" s="257">
        <f t="shared" si="285"/>
        <v>0.10647108976751007</v>
      </c>
      <c r="AK472" s="257">
        <f t="shared" si="285"/>
        <v>-6.4620478387852343E-3</v>
      </c>
      <c r="AL472" s="257">
        <f t="shared" si="285"/>
        <v>-0.23458073436108473</v>
      </c>
      <c r="AM472" s="257">
        <f t="shared" si="285"/>
        <v>0.1331250742132204</v>
      </c>
      <c r="AN472" s="257">
        <f t="shared" si="285"/>
        <v>0.13379353787897674</v>
      </c>
      <c r="AO472" s="257">
        <f t="shared" si="285"/>
        <v>2.0967708757460235E-2</v>
      </c>
      <c r="AP472" s="257">
        <f t="shared" si="285"/>
        <v>1.7766561048126572E-2</v>
      </c>
      <c r="AQ472" s="257">
        <f t="shared" si="285"/>
        <v>-4.0390885358746575E-2</v>
      </c>
      <c r="AR472" s="257">
        <f t="shared" si="285"/>
        <v>3.705327572249395E-2</v>
      </c>
      <c r="AS472" s="257">
        <f t="shared" si="285"/>
        <v>1.2977611596526772E-2</v>
      </c>
      <c r="AT472" s="257">
        <f t="shared" si="285"/>
        <v>-7.4180566881862919E-2</v>
      </c>
      <c r="AU472" s="257">
        <f t="shared" si="285"/>
        <v>1.7157315420566643E-2</v>
      </c>
      <c r="AV472" s="257">
        <f t="shared" si="285"/>
        <v>-0.13953542801223673</v>
      </c>
      <c r="AW472" s="257">
        <f t="shared" si="285"/>
        <v>-6.8670414846214278E-2</v>
      </c>
      <c r="AX472" s="257">
        <f t="shared" si="285"/>
        <v>-7.2264879732896636E-2</v>
      </c>
      <c r="AY472" s="257">
        <f t="shared" si="285"/>
        <v>6.8102116198475393E-2</v>
      </c>
      <c r="AZ472" s="257">
        <f t="shared" si="285"/>
        <v>5.3048566571128886E-2</v>
      </c>
      <c r="BA472" s="257">
        <f t="shared" si="285"/>
        <v>-4.48136266587712E-2</v>
      </c>
      <c r="BB472" s="257">
        <f t="shared" ref="BB472:BY472" si="286">BB471/AX471-1</f>
        <v>-0.23149790719876273</v>
      </c>
      <c r="BC472" s="461">
        <f t="shared" si="286"/>
        <v>-0.67872554305900701</v>
      </c>
      <c r="BD472" s="461">
        <f t="shared" si="286"/>
        <v>-0.49874289463796662</v>
      </c>
      <c r="BE472" s="461">
        <f t="shared" si="286"/>
        <v>-0.26152428573776021</v>
      </c>
      <c r="BF472" s="461">
        <f t="shared" si="286"/>
        <v>1.7208826015260525E-2</v>
      </c>
      <c r="BG472" s="461">
        <f t="shared" si="286"/>
        <v>1.2278058356708028</v>
      </c>
      <c r="BH472" s="461">
        <f t="shared" si="286"/>
        <v>0.87776513273804313</v>
      </c>
      <c r="BI472" s="461">
        <f t="shared" si="286"/>
        <v>0.66310393200657902</v>
      </c>
      <c r="BJ472" s="461">
        <f t="shared" si="286"/>
        <v>0.48044290142929502</v>
      </c>
      <c r="BK472" s="461">
        <f t="shared" si="286"/>
        <v>0.73526915077480037</v>
      </c>
      <c r="BL472" s="461">
        <f t="shared" si="286"/>
        <v>0.43919107994343576</v>
      </c>
      <c r="BM472" s="461">
        <f t="shared" si="286"/>
        <v>0.17700164634870674</v>
      </c>
      <c r="BN472" s="461">
        <f>BN471/BJ471-1</f>
        <v>7.2176817697046092E-2</v>
      </c>
      <c r="BO472" s="461">
        <f>BO471/BK471-1</f>
        <v>1.5818430865331967E-2</v>
      </c>
      <c r="BP472" s="461">
        <f>BP471/BL471-1</f>
        <v>-1.2323670810342024E-2</v>
      </c>
      <c r="BQ472" s="461">
        <f>BQ471/BM471-1</f>
        <v>-0.18379632081859576</v>
      </c>
      <c r="BR472" s="461">
        <f>BR471/BN471-1</f>
        <v>-0.21393249045915386</v>
      </c>
      <c r="BS472" s="461">
        <f t="shared" si="286"/>
        <v>-0.16515630546101501</v>
      </c>
      <c r="BT472" s="461">
        <f t="shared" si="286"/>
        <v>-0.21251882572559011</v>
      </c>
      <c r="BU472" s="461">
        <f t="shared" si="286"/>
        <v>-0.2822062784932301</v>
      </c>
      <c r="BV472" s="461">
        <f t="shared" si="286"/>
        <v>2.1658334855568562E-2</v>
      </c>
      <c r="BW472" s="461">
        <f t="shared" si="286"/>
        <v>9.9198396362214059E-2</v>
      </c>
      <c r="BX472" s="461">
        <f t="shared" si="286"/>
        <v>5.1748491224204107E-2</v>
      </c>
      <c r="BY472" s="461">
        <f t="shared" si="286"/>
        <v>2.7267697495617194E-2</v>
      </c>
      <c r="BZ472" s="461">
        <f t="shared" ref="BZ472:CS472" si="287">BZ471/BV471-1</f>
        <v>3.5692997942596616E-2</v>
      </c>
      <c r="CA472" s="461">
        <f t="shared" si="287"/>
        <v>2.6488528571664949E-2</v>
      </c>
      <c r="CB472" s="461">
        <f t="shared" si="287"/>
        <v>2.6842482928476574E-2</v>
      </c>
      <c r="CC472" s="461">
        <f t="shared" si="287"/>
        <v>2.6607737432909451E-2</v>
      </c>
      <c r="CD472" s="461">
        <f t="shared" si="287"/>
        <v>5.8834021298710404E-3</v>
      </c>
      <c r="CE472" s="461">
        <f t="shared" si="287"/>
        <v>5.6343675488312872E-3</v>
      </c>
      <c r="CF472" s="461">
        <f t="shared" si="287"/>
        <v>5.3884464993410042E-3</v>
      </c>
      <c r="CG472" s="461">
        <f t="shared" si="287"/>
        <v>4.7911365876243117E-3</v>
      </c>
      <c r="CH472" s="461">
        <f t="shared" si="287"/>
        <v>1.1276047449591431E-2</v>
      </c>
      <c r="CI472" s="461">
        <f t="shared" si="287"/>
        <v>1.1264302154758044E-2</v>
      </c>
      <c r="CJ472" s="461">
        <f t="shared" si="287"/>
        <v>1.1252702067808817E-2</v>
      </c>
      <c r="CK472" s="461">
        <f t="shared" si="287"/>
        <v>1.1349238991083199E-2</v>
      </c>
      <c r="CL472" s="461">
        <f t="shared" si="287"/>
        <v>1.1338008601812E-2</v>
      </c>
      <c r="CM472" s="461">
        <f t="shared" si="287"/>
        <v>1.1114041293471155E-2</v>
      </c>
      <c r="CN472" s="461">
        <f t="shared" si="287"/>
        <v>1.0892207120710706E-2</v>
      </c>
      <c r="CO472" s="461">
        <f t="shared" si="287"/>
        <v>1.0776914449700303E-2</v>
      </c>
      <c r="CP472" s="461">
        <f t="shared" si="287"/>
        <v>1.0769392521822407E-2</v>
      </c>
      <c r="CQ472" s="461">
        <f t="shared" si="287"/>
        <v>1.0764598827445182E-2</v>
      </c>
      <c r="CR472" s="461">
        <f t="shared" si="287"/>
        <v>1.0759851703121992E-2</v>
      </c>
      <c r="CS472" s="461">
        <f t="shared" si="287"/>
        <v>1.0875127405801877E-2</v>
      </c>
    </row>
    <row r="473" spans="1:97">
      <c r="A473" s="249" t="str">
        <f t="shared" si="281"/>
        <v>Europe</v>
      </c>
      <c r="B473" s="251"/>
      <c r="C473" s="251"/>
      <c r="D473" s="251"/>
      <c r="E473" s="251"/>
      <c r="F473" s="251"/>
      <c r="G473" s="251"/>
      <c r="H473" s="251"/>
      <c r="I473" s="251"/>
      <c r="J473" s="258" t="e">
        <f>NA()</f>
        <v>#N/A</v>
      </c>
      <c r="K473" s="258" t="str">
        <f>Q_IS!C92</f>
        <v>NM</v>
      </c>
      <c r="L473" s="258" t="str">
        <f>Q_IS!D92</f>
        <v>NM</v>
      </c>
      <c r="M473" s="258" t="str">
        <f>Q_IS!E92</f>
        <v>NM</v>
      </c>
      <c r="N473" s="258" t="str">
        <f>Q_IS!F92</f>
        <v>NM</v>
      </c>
      <c r="O473" s="258" t="str">
        <f>Q_IS!G92</f>
        <v>NM</v>
      </c>
      <c r="P473" s="258" t="str">
        <f>Q_IS!H92</f>
        <v>NM</v>
      </c>
      <c r="Q473" s="258" t="str">
        <f>Q_IS!I92</f>
        <v>NM</v>
      </c>
      <c r="R473" s="258" t="str">
        <f>Q_IS!J92</f>
        <v>NM</v>
      </c>
      <c r="S473" s="258" t="str">
        <f>Q_IS!K92</f>
        <v>NM</v>
      </c>
      <c r="T473" s="258" t="str">
        <f>Q_IS!L92</f>
        <v>NM</v>
      </c>
      <c r="U473" s="258" t="str">
        <f>Q_IS!M92</f>
        <v>NM</v>
      </c>
      <c r="V473" s="258" t="str">
        <f>Q_IS!N92</f>
        <v>NM</v>
      </c>
      <c r="W473" s="251" t="str">
        <f>Q_IS!O92</f>
        <v>NM</v>
      </c>
      <c r="X473" s="251" t="str">
        <f>Q_IS!P92</f>
        <v>NM</v>
      </c>
      <c r="Y473" s="251" t="str">
        <f>Q_IS!Q92</f>
        <v>NM</v>
      </c>
      <c r="Z473" s="251" t="str">
        <f>Q_IS!R92</f>
        <v>NM</v>
      </c>
      <c r="AA473" s="251" t="str">
        <f>Q_IS!S92</f>
        <v>NM</v>
      </c>
      <c r="AB473" s="251" t="str">
        <f>Q_IS!T92</f>
        <v>NM</v>
      </c>
      <c r="AC473" s="251" t="str">
        <f>Q_IS!U92</f>
        <v>NM</v>
      </c>
      <c r="AD473" s="251" t="str">
        <f>Q_IS!V92</f>
        <v>NM</v>
      </c>
      <c r="AE473" s="251" t="str">
        <f>Q_IS!W92</f>
        <v>NM</v>
      </c>
      <c r="AF473" s="251" t="str">
        <f>Q_IS!X92</f>
        <v>NM</v>
      </c>
      <c r="AG473" s="251" t="str">
        <f>Q_IS!Y92</f>
        <v>NM</v>
      </c>
      <c r="AH473" s="251">
        <f>Q_IS!Z92</f>
        <v>4.411960132890365</v>
      </c>
      <c r="AI473" s="251">
        <f>Q_IS!AA92</f>
        <v>4.3388704318936879</v>
      </c>
      <c r="AJ473" s="251">
        <f>Q_IS!AB92</f>
        <v>4.5864909390444808</v>
      </c>
      <c r="AK473" s="251">
        <f>Q_IS!AC92</f>
        <v>5.3300970873786406</v>
      </c>
      <c r="AL473" s="251">
        <f>Q_IS!AD92</f>
        <v>5.6629921259842524</v>
      </c>
      <c r="AM473" s="251">
        <f>Q_IS!AE92</f>
        <v>5.5216049382716053</v>
      </c>
      <c r="AN473" s="251">
        <f>Q_IS!AF92</f>
        <v>5.576864535768645</v>
      </c>
      <c r="AO473" s="251">
        <f>Q_IS!AG92</f>
        <v>6.4355555555555553</v>
      </c>
      <c r="AP473" s="251">
        <f>Q_IS!AH92</f>
        <v>5.9195402298850572</v>
      </c>
      <c r="AQ473" s="251">
        <f>Q_IS!AI92</f>
        <v>5.5684062059238366</v>
      </c>
      <c r="AR473" s="251">
        <f>Q_IS!AJ92</f>
        <v>5.6514522821576767</v>
      </c>
      <c r="AS473" s="251">
        <f>Q_IS!AK92</f>
        <v>6.6746987951807233</v>
      </c>
      <c r="AT473" s="251">
        <f>Q_IS!AL92</f>
        <v>6.4441558441558442</v>
      </c>
      <c r="AU473" s="251">
        <f>Q_IS!AM92</f>
        <v>6.0076433121019113</v>
      </c>
      <c r="AV473" s="251">
        <f>Q_IS!AN92</f>
        <v>5.8949999999999996</v>
      </c>
      <c r="AW473" s="251">
        <f>Q_IS!AO92</f>
        <v>6.5291262135922334</v>
      </c>
      <c r="AX473" s="251">
        <f>Q_IS!AP92</f>
        <v>7.7910216718266252</v>
      </c>
      <c r="AY473" s="251">
        <f>Q_IS!AQ92</f>
        <v>5.9771949828962372</v>
      </c>
      <c r="AZ473" s="251">
        <f>Q_IS!AR92</f>
        <v>5.898705683736635</v>
      </c>
      <c r="BA473" s="251">
        <f>Q_IS!AS92</f>
        <v>6.3836231071228271</v>
      </c>
      <c r="BB473" s="251">
        <f>Q_IS!AT92</f>
        <v>4.655075715086932</v>
      </c>
      <c r="BC473" s="336">
        <f>Q_IS!AU92</f>
        <v>1.8600451467268624</v>
      </c>
      <c r="BD473" s="336">
        <f>Q_IS!AV92</f>
        <v>4.634703196347032</v>
      </c>
      <c r="BE473" s="336">
        <f>Q_IS!AW92</f>
        <v>4.6079447322970637</v>
      </c>
      <c r="BF473" s="336">
        <f>Q_IS!AX92</f>
        <v>4.0486956521739135</v>
      </c>
      <c r="BG473" s="336">
        <f>Q_IS!AY92</f>
        <v>4.9508386350491618</v>
      </c>
      <c r="BH473" s="336">
        <f>Q_IS!AZ92</f>
        <v>5.5677233429394812</v>
      </c>
      <c r="BI473" s="336">
        <f>Q_IS!BA92</f>
        <v>6.6536920435031481</v>
      </c>
      <c r="BJ473" s="336">
        <f>Q_IS!BB92</f>
        <v>5.87202718006795</v>
      </c>
      <c r="BK473" s="336">
        <f>Q_IS!BC92</f>
        <v>6.0671516508114154</v>
      </c>
      <c r="BL473" s="336">
        <f>Q_IS!BD92</f>
        <v>5.9988962472406184</v>
      </c>
      <c r="BM473" s="336">
        <f>Q_IS!BE92</f>
        <v>6.4475828354155347</v>
      </c>
      <c r="BN473" s="336">
        <f>Q_IS!BF92</f>
        <v>5.9967741935483874</v>
      </c>
      <c r="BO473" s="336">
        <f>Q_IS!BG92</f>
        <v>6.0255591054313102</v>
      </c>
      <c r="BP473" s="336">
        <f>Q_IS!BH92</f>
        <v>5.9212184873949578</v>
      </c>
      <c r="BQ473" s="336">
        <f>Q_IS!BI92</f>
        <v>6.3019648397104451</v>
      </c>
      <c r="BR473" s="336">
        <f>Q_IS!BJ92</f>
        <v>5.5662404092071611</v>
      </c>
      <c r="BS473" s="336">
        <f>Q_IS!BK92</f>
        <v>5.5924796747967482</v>
      </c>
      <c r="BT473" s="336">
        <f>Q_IS!BL92</f>
        <v>6.16898628614448</v>
      </c>
      <c r="BU473" s="336">
        <f>Q_IS!BM92</f>
        <v>6.9643508586395031</v>
      </c>
      <c r="BV473" s="336">
        <f>Q_IS!BN92</f>
        <v>6.3094702246536221</v>
      </c>
      <c r="BW473" s="336">
        <f>Q_IS!BO92</f>
        <v>6.5201394328863973</v>
      </c>
      <c r="BX473" s="336">
        <f>Q_IS!BP92</f>
        <v>6.9688133954482012</v>
      </c>
      <c r="BY473" s="336">
        <f>Q_IS!BQ92</f>
        <v>7.6890192661582812</v>
      </c>
      <c r="BZ473" s="336">
        <f>Q_IS!BR92</f>
        <v>6.873607976345502</v>
      </c>
      <c r="CA473" s="336">
        <f>Q_IS!BS92</f>
        <v>6.9276185468752685</v>
      </c>
      <c r="CB473" s="336">
        <f>Q_IS!BT92</f>
        <v>7.4057066709721324</v>
      </c>
      <c r="CC473" s="336">
        <f>Q_IS!BU92</f>
        <v>8.1687939784101182</v>
      </c>
      <c r="CD473" s="336">
        <f>Q_IS!BV92</f>
        <v>7.3026480384119843</v>
      </c>
      <c r="CE473" s="336">
        <f>Q_IS!BW92</f>
        <v>7.3596846693579696</v>
      </c>
      <c r="CF473" s="336">
        <f>Q_IS!BX92</f>
        <v>7.8675140886998589</v>
      </c>
      <c r="CG473" s="336">
        <f>Q_IS!BY92</f>
        <v>8.6749977901602158</v>
      </c>
      <c r="CH473" s="336">
        <f>Q_IS!BZ92</f>
        <v>7.748776556024727</v>
      </c>
      <c r="CI473" s="336">
        <f>Q_IS!CA92</f>
        <v>7.8089446912971985</v>
      </c>
      <c r="CJ473" s="336">
        <f>Q_IS!CB92</f>
        <v>8.3476885966933239</v>
      </c>
      <c r="CK473" s="336">
        <f>Q_IS!CC92</f>
        <v>9.1996165525563534</v>
      </c>
      <c r="CL473" s="336">
        <f>Q_IS!CD92</f>
        <v>8.2159208480646182</v>
      </c>
      <c r="CM473" s="336">
        <f>Q_IS!CE92</f>
        <v>8.2793633972380789</v>
      </c>
      <c r="CN473" s="336">
        <f>Q_IS!CF92</f>
        <v>8.8504764346555262</v>
      </c>
      <c r="CO473" s="336">
        <f>Q_IS!CG92</f>
        <v>9.748883867247315</v>
      </c>
      <c r="CP473" s="336">
        <f>Q_IS!CH92</f>
        <v>8.7058463122008529</v>
      </c>
      <c r="CQ473" s="336">
        <f>Q_IS!CI92</f>
        <v>8.7744262279603404</v>
      </c>
      <c r="CR473" s="336">
        <f>Q_IS!CJ92</f>
        <v>9.3814216599658273</v>
      </c>
      <c r="CS473" s="336">
        <f>Q_IS!CK92</f>
        <v>10.330011748602555</v>
      </c>
    </row>
    <row r="474" spans="1:97">
      <c r="A474" s="312" t="str">
        <f t="shared" si="281"/>
        <v>Growth</v>
      </c>
      <c r="B474" s="257"/>
      <c r="C474" s="257"/>
      <c r="D474" s="257"/>
      <c r="E474" s="257"/>
      <c r="F474" s="257"/>
      <c r="G474" s="257"/>
      <c r="H474" s="257"/>
      <c r="I474" s="257"/>
      <c r="J474" s="257"/>
      <c r="K474" s="1152" t="e">
        <f>NA()</f>
        <v>#N/A</v>
      </c>
      <c r="L474" s="1152" t="e">
        <f>NA()</f>
        <v>#N/A</v>
      </c>
      <c r="M474" s="1152" t="e">
        <f>NA()</f>
        <v>#N/A</v>
      </c>
      <c r="N474" s="1152" t="e">
        <f>NA()</f>
        <v>#N/A</v>
      </c>
      <c r="O474" s="1152" t="e">
        <f>NA()</f>
        <v>#N/A</v>
      </c>
      <c r="P474" s="1152" t="e">
        <f>NA()</f>
        <v>#N/A</v>
      </c>
      <c r="Q474" s="1152" t="e">
        <f>NA()</f>
        <v>#N/A</v>
      </c>
      <c r="R474" s="1152" t="e">
        <f>NA()</f>
        <v>#N/A</v>
      </c>
      <c r="S474" s="1152" t="e">
        <f>NA()</f>
        <v>#N/A</v>
      </c>
      <c r="T474" s="1152" t="e">
        <f>NA()</f>
        <v>#N/A</v>
      </c>
      <c r="U474" s="1152" t="e">
        <f>NA()</f>
        <v>#N/A</v>
      </c>
      <c r="V474" s="1152" t="e">
        <f>NA()</f>
        <v>#N/A</v>
      </c>
      <c r="W474" s="1152" t="e">
        <f>NA()</f>
        <v>#N/A</v>
      </c>
      <c r="X474" s="1152" t="e">
        <f>NA()</f>
        <v>#N/A</v>
      </c>
      <c r="Y474" s="1152" t="e">
        <f>NA()</f>
        <v>#N/A</v>
      </c>
      <c r="Z474" s="1152" t="e">
        <f>NA()</f>
        <v>#N/A</v>
      </c>
      <c r="AA474" s="1152" t="e">
        <f>NA()</f>
        <v>#N/A</v>
      </c>
      <c r="AB474" s="1152" t="e">
        <f>NA()</f>
        <v>#N/A</v>
      </c>
      <c r="AC474" s="1152" t="e">
        <f>NA()</f>
        <v>#N/A</v>
      </c>
      <c r="AD474" s="1152" t="e">
        <f>NA()</f>
        <v>#N/A</v>
      </c>
      <c r="AE474" s="1152" t="e">
        <f>NA()</f>
        <v>#N/A</v>
      </c>
      <c r="AF474" s="1152" t="e">
        <f>NA()</f>
        <v>#N/A</v>
      </c>
      <c r="AG474" s="1152" t="e">
        <f>NA()</f>
        <v>#N/A</v>
      </c>
      <c r="AH474" s="257" t="e">
        <f t="shared" ref="AH474:BA474" si="288">AH473/AG473-1</f>
        <v>#VALUE!</v>
      </c>
      <c r="AI474" s="257">
        <f t="shared" si="288"/>
        <v>-1.6566265060240837E-2</v>
      </c>
      <c r="AJ474" s="257">
        <f t="shared" si="288"/>
        <v>5.7070270024799807E-2</v>
      </c>
      <c r="AK474" s="257">
        <f t="shared" si="288"/>
        <v>0.16212964512889183</v>
      </c>
      <c r="AL474" s="257">
        <f t="shared" si="288"/>
        <v>6.245571762546076E-2</v>
      </c>
      <c r="AM474" s="257">
        <f t="shared" si="288"/>
        <v>-2.4966869910325595E-2</v>
      </c>
      <c r="AN474" s="257">
        <f t="shared" si="288"/>
        <v>1.0007886858043991E-2</v>
      </c>
      <c r="AO474" s="257">
        <f t="shared" si="288"/>
        <v>0.15397379912663767</v>
      </c>
      <c r="AP474" s="257">
        <f t="shared" si="288"/>
        <v>-8.0181939417031778E-2</v>
      </c>
      <c r="AQ474" s="257">
        <f t="shared" si="288"/>
        <v>-5.9317786572089748E-2</v>
      </c>
      <c r="AR474" s="257">
        <f t="shared" si="288"/>
        <v>1.4913796365195742E-2</v>
      </c>
      <c r="AS474" s="257">
        <f t="shared" si="288"/>
        <v>0.18105903791376954</v>
      </c>
      <c r="AT474" s="257">
        <f t="shared" si="288"/>
        <v>-3.4539828402644357E-2</v>
      </c>
      <c r="AU474" s="257">
        <f t="shared" si="288"/>
        <v>-6.7737736735495435E-2</v>
      </c>
      <c r="AV474" s="257">
        <f t="shared" si="288"/>
        <v>-1.8750000000000155E-2</v>
      </c>
      <c r="AW474" s="257">
        <f t="shared" si="288"/>
        <v>0.10757018042277089</v>
      </c>
      <c r="AX474" s="257">
        <f t="shared" si="288"/>
        <v>0.19327172074073218</v>
      </c>
      <c r="AY474" s="257">
        <f t="shared" si="288"/>
        <v>-0.23280986311325857</v>
      </c>
      <c r="AZ474" s="257">
        <f t="shared" si="288"/>
        <v>-1.3131460389731231E-2</v>
      </c>
      <c r="BA474" s="257">
        <f t="shared" si="288"/>
        <v>8.2207428101246371E-2</v>
      </c>
      <c r="BB474" s="257">
        <f t="shared" ref="BB474:BY474" si="289">BB473/AX473-1</f>
        <v>-0.40250766700851215</v>
      </c>
      <c r="BC474" s="461">
        <f t="shared" si="289"/>
        <v>-0.68880969216339971</v>
      </c>
      <c r="BD474" s="461">
        <f t="shared" si="289"/>
        <v>-0.21428471857387177</v>
      </c>
      <c r="BE474" s="461">
        <f t="shared" si="289"/>
        <v>-0.27816153069006644</v>
      </c>
      <c r="BF474" s="461">
        <f t="shared" si="289"/>
        <v>-0.13026212676794124</v>
      </c>
      <c r="BG474" s="461">
        <f t="shared" si="289"/>
        <v>1.6616765962703623</v>
      </c>
      <c r="BH474" s="461">
        <f t="shared" si="289"/>
        <v>0.20131173606280428</v>
      </c>
      <c r="BI474" s="461">
        <f t="shared" si="289"/>
        <v>0.44396090449337433</v>
      </c>
      <c r="BJ474" s="461">
        <f t="shared" si="289"/>
        <v>0.45035035590166284</v>
      </c>
      <c r="BK474" s="461">
        <f t="shared" si="289"/>
        <v>0.22547957993609069</v>
      </c>
      <c r="BL474" s="461">
        <f t="shared" si="289"/>
        <v>7.7441510244562473E-2</v>
      </c>
      <c r="BM474" s="461">
        <f t="shared" si="289"/>
        <v>-3.0976667801880686E-2</v>
      </c>
      <c r="BN474" s="461">
        <f>BN473/BJ473-1</f>
        <v>2.1244284070053299E-2</v>
      </c>
      <c r="BO474" s="461">
        <f>BO473/BK473-1</f>
        <v>-6.8553660389455429E-3</v>
      </c>
      <c r="BP474" s="461">
        <f>BP473/BL473-1</f>
        <v>-1.2948675330297754E-2</v>
      </c>
      <c r="BQ474" s="461">
        <f>BQ473/BM473-1</f>
        <v>-2.2584897227722833E-2</v>
      </c>
      <c r="BR474" s="461">
        <f>BR473/BN473-1</f>
        <v>-7.1794229771802165E-2</v>
      </c>
      <c r="BS474" s="461">
        <f t="shared" si="289"/>
        <v>-7.1873733716128263E-2</v>
      </c>
      <c r="BT474" s="461">
        <f t="shared" si="289"/>
        <v>4.1844056130839968E-2</v>
      </c>
      <c r="BU474" s="461">
        <f t="shared" si="289"/>
        <v>0.1051078569583852</v>
      </c>
      <c r="BV474" s="461">
        <f t="shared" si="289"/>
        <v>0.13352456250669276</v>
      </c>
      <c r="BW474" s="461">
        <f t="shared" si="289"/>
        <v>0.16587628601857429</v>
      </c>
      <c r="BX474" s="461">
        <f t="shared" si="289"/>
        <v>0.12965292386856664</v>
      </c>
      <c r="BY474" s="461">
        <f t="shared" si="289"/>
        <v>0.10405397749595036</v>
      </c>
      <c r="BZ474" s="461">
        <f t="shared" ref="BZ474:CS474" si="290">BZ473/BV473-1</f>
        <v>8.9411270931681219E-2</v>
      </c>
      <c r="CA474" s="461">
        <f t="shared" si="290"/>
        <v>6.2495460132895309E-2</v>
      </c>
      <c r="CB474" s="461">
        <f t="shared" si="290"/>
        <v>6.2692635134884656E-2</v>
      </c>
      <c r="CC474" s="461">
        <f t="shared" si="290"/>
        <v>6.2397387188698028E-2</v>
      </c>
      <c r="CD474" s="461">
        <f t="shared" si="290"/>
        <v>6.2418465461364647E-2</v>
      </c>
      <c r="CE474" s="461">
        <f t="shared" si="290"/>
        <v>6.2368636430997881E-2</v>
      </c>
      <c r="CF474" s="461">
        <f t="shared" si="290"/>
        <v>6.2358318827000714E-2</v>
      </c>
      <c r="CG474" s="461">
        <f t="shared" si="290"/>
        <v>6.1967998346877051E-2</v>
      </c>
      <c r="CH474" s="461">
        <f t="shared" si="290"/>
        <v>6.1091334987815937E-2</v>
      </c>
      <c r="CI474" s="461">
        <f t="shared" si="290"/>
        <v>6.104337918304048E-2</v>
      </c>
      <c r="CJ474" s="461">
        <f t="shared" si="290"/>
        <v>6.1032557753298633E-2</v>
      </c>
      <c r="CK474" s="461">
        <f t="shared" si="290"/>
        <v>6.0474800695764719E-2</v>
      </c>
      <c r="CL474" s="461">
        <f t="shared" si="290"/>
        <v>6.0286199848759825E-2</v>
      </c>
      <c r="CM474" s="461">
        <f t="shared" si="290"/>
        <v>6.0241008809442054E-2</v>
      </c>
      <c r="CN474" s="461">
        <f t="shared" si="290"/>
        <v>6.0230785101562878E-2</v>
      </c>
      <c r="CO474" s="461">
        <f t="shared" si="290"/>
        <v>5.9705457456086464E-2</v>
      </c>
      <c r="CP474" s="461">
        <f t="shared" si="290"/>
        <v>5.9631229803247754E-2</v>
      </c>
      <c r="CQ474" s="461">
        <f t="shared" si="290"/>
        <v>5.9794794233504645E-2</v>
      </c>
      <c r="CR474" s="461">
        <f t="shared" si="290"/>
        <v>5.9990581211119443E-2</v>
      </c>
      <c r="CS474" s="461">
        <f t="shared" si="290"/>
        <v>5.960968345387907E-2</v>
      </c>
    </row>
    <row r="475" spans="1:97">
      <c r="A475" s="607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</row>
    <row r="476" spans="1:97">
      <c r="A476" s="242" t="s">
        <v>230</v>
      </c>
      <c r="B476" s="595"/>
      <c r="C476" s="595"/>
      <c r="D476" s="595"/>
      <c r="E476" s="595"/>
      <c r="F476" s="595"/>
      <c r="G476" s="595"/>
      <c r="H476" s="595"/>
      <c r="I476" s="595"/>
      <c r="J476" s="595" t="str">
        <f t="shared" ref="J476:AO476" si="291">J$453</f>
        <v>1Q09</v>
      </c>
      <c r="K476" s="595" t="str">
        <f t="shared" si="291"/>
        <v>2Q09</v>
      </c>
      <c r="L476" s="595" t="str">
        <f t="shared" si="291"/>
        <v>3Q09</v>
      </c>
      <c r="M476" s="595" t="str">
        <f t="shared" si="291"/>
        <v>4Q09</v>
      </c>
      <c r="N476" s="595" t="str">
        <f t="shared" si="291"/>
        <v>1Q10</v>
      </c>
      <c r="O476" s="595" t="str">
        <f t="shared" si="291"/>
        <v>2Q10</v>
      </c>
      <c r="P476" s="595" t="str">
        <f t="shared" si="291"/>
        <v>3Q10</v>
      </c>
      <c r="Q476" s="595" t="str">
        <f t="shared" si="291"/>
        <v>4Q10</v>
      </c>
      <c r="R476" s="595" t="str">
        <f t="shared" si="291"/>
        <v>1Q11</v>
      </c>
      <c r="S476" s="595" t="str">
        <f t="shared" si="291"/>
        <v>2Q11</v>
      </c>
      <c r="T476" s="595" t="str">
        <f t="shared" si="291"/>
        <v>3Q11</v>
      </c>
      <c r="U476" s="595" t="str">
        <f t="shared" si="291"/>
        <v>4Q11</v>
      </c>
      <c r="V476" s="595" t="str">
        <f t="shared" si="291"/>
        <v>1Q12</v>
      </c>
      <c r="W476" s="595" t="str">
        <f t="shared" si="291"/>
        <v>2Q12</v>
      </c>
      <c r="X476" s="595" t="str">
        <f t="shared" si="291"/>
        <v>3Q12</v>
      </c>
      <c r="Y476" s="595" t="str">
        <f t="shared" si="291"/>
        <v>4Q12</v>
      </c>
      <c r="Z476" s="595" t="str">
        <f t="shared" si="291"/>
        <v>1Q13</v>
      </c>
      <c r="AA476" s="595" t="str">
        <f t="shared" si="291"/>
        <v>2Q13</v>
      </c>
      <c r="AB476" s="595" t="str">
        <f t="shared" si="291"/>
        <v>3Q13</v>
      </c>
      <c r="AC476" s="595" t="str">
        <f t="shared" si="291"/>
        <v>4Q13</v>
      </c>
      <c r="AD476" s="595" t="str">
        <f t="shared" si="291"/>
        <v>1Q14</v>
      </c>
      <c r="AE476" s="595" t="str">
        <f t="shared" si="291"/>
        <v>2Q14</v>
      </c>
      <c r="AF476" s="595" t="str">
        <f t="shared" si="291"/>
        <v>3Q14</v>
      </c>
      <c r="AG476" s="595" t="str">
        <f t="shared" si="291"/>
        <v>4Q14</v>
      </c>
      <c r="AH476" s="595" t="str">
        <f t="shared" si="291"/>
        <v>1Q15</v>
      </c>
      <c r="AI476" s="595" t="str">
        <f t="shared" si="291"/>
        <v>2Q15</v>
      </c>
      <c r="AJ476" s="595" t="str">
        <f t="shared" si="291"/>
        <v>3Q15</v>
      </c>
      <c r="AK476" s="595" t="str">
        <f t="shared" si="291"/>
        <v>4Q15</v>
      </c>
      <c r="AL476" s="595" t="str">
        <f t="shared" si="291"/>
        <v>1Q16</v>
      </c>
      <c r="AM476" s="595" t="str">
        <f t="shared" si="291"/>
        <v>2Q16</v>
      </c>
      <c r="AN476" s="595" t="str">
        <f t="shared" si="291"/>
        <v>3Q16</v>
      </c>
      <c r="AO476" s="595" t="str">
        <f t="shared" si="291"/>
        <v>4Q16</v>
      </c>
      <c r="AP476" s="595" t="str">
        <f t="shared" ref="AP476:CS476" si="292">AP$453</f>
        <v>1Q17</v>
      </c>
      <c r="AQ476" s="595" t="str">
        <f t="shared" si="292"/>
        <v>2Q17</v>
      </c>
      <c r="AR476" s="595" t="str">
        <f t="shared" si="292"/>
        <v>3Q17</v>
      </c>
      <c r="AS476" s="595" t="str">
        <f t="shared" si="292"/>
        <v>4Q17</v>
      </c>
      <c r="AT476" s="595" t="str">
        <f t="shared" si="292"/>
        <v>1Q18</v>
      </c>
      <c r="AU476" s="595" t="str">
        <f t="shared" si="292"/>
        <v>2Q18</v>
      </c>
      <c r="AV476" s="595" t="str">
        <f t="shared" si="292"/>
        <v>3Q18</v>
      </c>
      <c r="AW476" s="595" t="str">
        <f t="shared" si="292"/>
        <v>4Q18</v>
      </c>
      <c r="AX476" s="595" t="str">
        <f t="shared" si="292"/>
        <v>1Q19</v>
      </c>
      <c r="AY476" s="595" t="str">
        <f t="shared" si="292"/>
        <v>2Q19</v>
      </c>
      <c r="AZ476" s="595" t="str">
        <f t="shared" si="292"/>
        <v>3Q19</v>
      </c>
      <c r="BA476" s="595" t="str">
        <f t="shared" si="292"/>
        <v>4Q19</v>
      </c>
      <c r="BB476" s="595" t="str">
        <f t="shared" si="292"/>
        <v>1Q20</v>
      </c>
      <c r="BC476" s="595" t="str">
        <f t="shared" si="292"/>
        <v>2Q20</v>
      </c>
      <c r="BD476" s="595" t="str">
        <f t="shared" si="292"/>
        <v>3Q20</v>
      </c>
      <c r="BE476" s="595" t="str">
        <f t="shared" si="292"/>
        <v>4Q20</v>
      </c>
      <c r="BF476" s="595" t="str">
        <f t="shared" si="292"/>
        <v>1Q21</v>
      </c>
      <c r="BG476" s="595" t="str">
        <f t="shared" si="292"/>
        <v>2Q21</v>
      </c>
      <c r="BH476" s="595" t="str">
        <f t="shared" si="292"/>
        <v>3Q21</v>
      </c>
      <c r="BI476" s="595" t="str">
        <f t="shared" si="292"/>
        <v>4Q21</v>
      </c>
      <c r="BJ476" s="595" t="str">
        <f t="shared" si="292"/>
        <v>1Q22</v>
      </c>
      <c r="BK476" s="595" t="str">
        <f t="shared" si="292"/>
        <v>2Q22</v>
      </c>
      <c r="BL476" s="595" t="str">
        <f t="shared" si="292"/>
        <v>3Q22</v>
      </c>
      <c r="BM476" s="595" t="str">
        <f t="shared" si="292"/>
        <v>4Q22</v>
      </c>
      <c r="BN476" s="595" t="str">
        <f t="shared" si="292"/>
        <v>1Q23</v>
      </c>
      <c r="BO476" s="595" t="str">
        <f t="shared" si="292"/>
        <v>2Q23</v>
      </c>
      <c r="BP476" s="595" t="str">
        <f t="shared" si="292"/>
        <v>3Q23</v>
      </c>
      <c r="BQ476" s="595" t="str">
        <f t="shared" si="292"/>
        <v>4Q23</v>
      </c>
      <c r="BR476" s="595" t="str">
        <f t="shared" si="292"/>
        <v>1Q24</v>
      </c>
      <c r="BS476" s="596" t="str">
        <f t="shared" si="292"/>
        <v>2Q24e</v>
      </c>
      <c r="BT476" s="596" t="str">
        <f t="shared" si="292"/>
        <v>3Q24e</v>
      </c>
      <c r="BU476" s="596" t="str">
        <f t="shared" si="292"/>
        <v>4Q24e</v>
      </c>
      <c r="BV476" s="596" t="str">
        <f t="shared" si="292"/>
        <v>1Q25e</v>
      </c>
      <c r="BW476" s="596" t="str">
        <f t="shared" si="292"/>
        <v>2Q25e</v>
      </c>
      <c r="BX476" s="596" t="str">
        <f t="shared" si="292"/>
        <v>3Q25e</v>
      </c>
      <c r="BY476" s="596" t="str">
        <f t="shared" si="292"/>
        <v>4Q25e</v>
      </c>
      <c r="BZ476" s="596" t="str">
        <f t="shared" si="292"/>
        <v>1Q26e</v>
      </c>
      <c r="CA476" s="596" t="str">
        <f t="shared" si="292"/>
        <v>2Q26e</v>
      </c>
      <c r="CB476" s="596" t="str">
        <f t="shared" si="292"/>
        <v>3Q26e</v>
      </c>
      <c r="CC476" s="596" t="str">
        <f t="shared" si="292"/>
        <v>4Q26e</v>
      </c>
      <c r="CD476" s="596" t="str">
        <f t="shared" si="292"/>
        <v>1Q27e</v>
      </c>
      <c r="CE476" s="596" t="str">
        <f t="shared" si="292"/>
        <v>2Q27e</v>
      </c>
      <c r="CF476" s="596" t="str">
        <f t="shared" si="292"/>
        <v>3Q27e</v>
      </c>
      <c r="CG476" s="596" t="str">
        <f t="shared" si="292"/>
        <v>4Q27e</v>
      </c>
      <c r="CH476" s="596" t="str">
        <f t="shared" si="292"/>
        <v>1Q28e</v>
      </c>
      <c r="CI476" s="596" t="str">
        <f t="shared" si="292"/>
        <v>2Q28e</v>
      </c>
      <c r="CJ476" s="596" t="str">
        <f t="shared" si="292"/>
        <v>3Q28e</v>
      </c>
      <c r="CK476" s="596" t="str">
        <f t="shared" si="292"/>
        <v>4Q28e</v>
      </c>
      <c r="CL476" s="596" t="str">
        <f t="shared" si="292"/>
        <v>1Q29e</v>
      </c>
      <c r="CM476" s="596" t="str">
        <f t="shared" si="292"/>
        <v>2Q29e</v>
      </c>
      <c r="CN476" s="596" t="str">
        <f t="shared" si="292"/>
        <v>3Q29e</v>
      </c>
      <c r="CO476" s="596" t="str">
        <f t="shared" si="292"/>
        <v>4Q29e</v>
      </c>
      <c r="CP476" s="596" t="str">
        <f t="shared" si="292"/>
        <v>1Q30e</v>
      </c>
      <c r="CQ476" s="596" t="str">
        <f t="shared" si="292"/>
        <v>2Q30e</v>
      </c>
      <c r="CR476" s="596" t="str">
        <f t="shared" si="292"/>
        <v>3Q30e</v>
      </c>
      <c r="CS476" s="596" t="str">
        <f t="shared" si="292"/>
        <v>4Q30e</v>
      </c>
    </row>
    <row r="477" spans="1:97">
      <c r="A477" s="244" t="str">
        <f>A476</f>
        <v>Gross Margin</v>
      </c>
      <c r="B477" s="248"/>
      <c r="C477" s="248"/>
      <c r="D477" s="248"/>
      <c r="E477" s="248"/>
      <c r="F477" s="248"/>
      <c r="G477" s="248"/>
      <c r="H477" s="248"/>
      <c r="I477" s="248"/>
      <c r="J477" s="248">
        <f>Q_Financials!B12</f>
        <v>0.61971697176195228</v>
      </c>
      <c r="K477" s="248">
        <f>Q_Financials!C12</f>
        <v>0.62750401283721935</v>
      </c>
      <c r="L477" s="248">
        <f>Q_Financials!D12</f>
        <v>0.62943593416283206</v>
      </c>
      <c r="M477" s="248">
        <f>Q_Financials!E12</f>
        <v>0.64668826509459187</v>
      </c>
      <c r="N477" s="248">
        <f>Q_Financials!F12</f>
        <v>0.64816458299337065</v>
      </c>
      <c r="O477" s="248">
        <f>Q_Financials!G12</f>
        <v>0.65453362255965297</v>
      </c>
      <c r="P477" s="248">
        <f>Q_Financials!H12</f>
        <v>0.64651274217831356</v>
      </c>
      <c r="Q477" s="248">
        <f>Q_Financials!I12</f>
        <v>0.63867345172682288</v>
      </c>
      <c r="R477" s="248">
        <f>Q_Financials!J12</f>
        <v>0.65174920642338108</v>
      </c>
      <c r="S477" s="248">
        <f>Q_Financials!K12</f>
        <v>0.65396501471207036</v>
      </c>
      <c r="T477" s="248">
        <f>Q_Financials!L12</f>
        <v>0.64067387080230287</v>
      </c>
      <c r="U477" s="248">
        <f>Q_Financials!M12</f>
        <v>0.6389357429171697</v>
      </c>
      <c r="V477" s="248">
        <f>Q_Financials!N12</f>
        <v>0.64071007627155263</v>
      </c>
      <c r="W477" s="248">
        <f>Q_Financials!O12</f>
        <v>0.64349001303345676</v>
      </c>
      <c r="X477" s="248">
        <f>Q_Financials!P12</f>
        <v>0.64885143322449523</v>
      </c>
      <c r="Y477" s="248">
        <f>Q_Financials!Q12</f>
        <v>0.65725060886930409</v>
      </c>
      <c r="Z477" s="248">
        <f>Q_Financials!R12</f>
        <v>0.65800886562279148</v>
      </c>
      <c r="AA477" s="248">
        <f>Q_Financials!S12</f>
        <v>0.67131049432462275</v>
      </c>
      <c r="AB477" s="248">
        <f>Q_Financials!T12</f>
        <v>0.66565605372015713</v>
      </c>
      <c r="AC477" s="248">
        <f>Q_Financials!U12</f>
        <v>0.67292767478033655</v>
      </c>
      <c r="AD477" s="248">
        <f>Q_Financials!V12</f>
        <v>0.6652144419539302</v>
      </c>
      <c r="AE477" s="248">
        <f>Q_Financials!W12</f>
        <v>0.68247021232188787</v>
      </c>
      <c r="AF477" s="248">
        <f>Q_Financials!X12</f>
        <v>0.67929361980822434</v>
      </c>
      <c r="AG477" s="248">
        <f>Q_Financials!Y12</f>
        <v>0.68882832815253503</v>
      </c>
      <c r="AH477" s="248">
        <f>Q_Financials!Z12</f>
        <v>0.68583748829353763</v>
      </c>
      <c r="AI477" s="248">
        <f>Q_Financials!AA12</f>
        <v>0.68407261997062074</v>
      </c>
      <c r="AJ477" s="248">
        <f>Q_Financials!AB12</f>
        <v>0.68318524911440071</v>
      </c>
      <c r="AK477" s="248">
        <f>Q_Financials!AC12</f>
        <v>0.68919021200009911</v>
      </c>
      <c r="AL477" s="248">
        <f>Q_Financials!AD12</f>
        <v>0.68224917865294399</v>
      </c>
      <c r="AM477" s="248">
        <f>Q_Financials!AE12</f>
        <v>0.68803256453429062</v>
      </c>
      <c r="AN477" s="248">
        <f>Q_Financials!AF12</f>
        <v>0.68867340332997851</v>
      </c>
      <c r="AO477" s="248">
        <f>Q_Financials!AG12</f>
        <v>0.69044507124349552</v>
      </c>
      <c r="AP477" s="248">
        <f>Q_Financials!AH12</f>
        <v>0.69200524311321243</v>
      </c>
      <c r="AQ477" s="248">
        <f>Q_Financials!AI12</f>
        <v>0.69735208498740819</v>
      </c>
      <c r="AR477" s="248">
        <f>Q_Financials!AJ12</f>
        <v>0.69756897953042918</v>
      </c>
      <c r="AS477" s="248">
        <f>Q_Financials!AK12</f>
        <v>0.69733974947237132</v>
      </c>
      <c r="AT477" s="248">
        <f>Q_Financials!AL12</f>
        <v>0.69871194278991666</v>
      </c>
      <c r="AU477" s="248">
        <f>Q_Financials!AM12</f>
        <v>0.69518541684840973</v>
      </c>
      <c r="AV477" s="248">
        <f>Q_Financials!AN12</f>
        <v>0.68978293151288972</v>
      </c>
      <c r="AW477" s="248">
        <f>Q_Financials!AO12</f>
        <v>0.68743449930032918</v>
      </c>
      <c r="AX477" s="248">
        <f>Q_Financials!AP12</f>
        <v>0.70019498066847097</v>
      </c>
      <c r="AY477" s="248">
        <f>Q_Financials!AQ12</f>
        <v>0.70505489612625383</v>
      </c>
      <c r="AZ477" s="248">
        <f>Q_Financials!AR12</f>
        <v>0.70472751900780206</v>
      </c>
      <c r="BA477" s="248">
        <f>Q_Financials!AS12</f>
        <v>0.70893179541319984</v>
      </c>
      <c r="BB477" s="248">
        <f>Q_Financials!AT12</f>
        <v>0.70170151564341943</v>
      </c>
      <c r="BC477" s="453">
        <f>Q_Financials!AU12</f>
        <v>0.66136080866878277</v>
      </c>
      <c r="BD477" s="453">
        <f>Q_Financials!AV12</f>
        <v>0.71683584426808167</v>
      </c>
      <c r="BE477" s="453">
        <f>Q_Financials!AW12</f>
        <v>0.70950543301896762</v>
      </c>
      <c r="BF477" s="453">
        <f>Q_Financials!AX12</f>
        <v>0.6737836566907377</v>
      </c>
      <c r="BG477" s="453">
        <f>Q_Financials!AY12</f>
        <v>0.68265735209540979</v>
      </c>
      <c r="BH477" s="453">
        <f>Q_Financials!AZ12</f>
        <v>0.69053475447360069</v>
      </c>
      <c r="BI477" s="453">
        <f>Q_Financials!BA12</f>
        <v>0.69264902123533478</v>
      </c>
      <c r="BJ477" s="453">
        <f>Q_Financials!BB12</f>
        <v>0.68195377081676178</v>
      </c>
      <c r="BK477" s="453">
        <f>Q_Financials!BC12</f>
        <v>0.67261856690615951</v>
      </c>
      <c r="BL477" s="453">
        <f>Q_Financials!BD12</f>
        <v>0.67137497648156974</v>
      </c>
      <c r="BM477" s="453">
        <f>Q_Financials!BE12</f>
        <v>0.66748134371623935</v>
      </c>
      <c r="BN477" s="453">
        <f>Q_Financials!BF12</f>
        <v>0.66855654932989428</v>
      </c>
      <c r="BO477" s="453">
        <f>Q_Financials!BG12</f>
        <v>0.6682880766598972</v>
      </c>
      <c r="BP477" s="453">
        <f>Q_Financials!BH12</f>
        <v>0.67300249091241726</v>
      </c>
      <c r="BQ477" s="453">
        <f>Q_Financials!BI12</f>
        <v>0.67755333344286328</v>
      </c>
      <c r="BR477" s="453">
        <f>Q_Financials!BJ12</f>
        <v>0.68036461147685401</v>
      </c>
      <c r="BS477" s="453">
        <f>Q_Financials!BK12</f>
        <v>0.6821940391629997</v>
      </c>
      <c r="BT477" s="453">
        <f>Q_Financials!BL12</f>
        <v>0.67</v>
      </c>
      <c r="BU477" s="453">
        <f>Q_Financials!BM12</f>
        <v>0.66800000000000004</v>
      </c>
      <c r="BV477" s="453">
        <f>Q_Financials!BN12</f>
        <v>0.669364611476854</v>
      </c>
      <c r="BW477" s="453">
        <f>Q_Financials!BO12</f>
        <v>0.67119403916299969</v>
      </c>
      <c r="BX477" s="453">
        <f>Q_Financials!BP12</f>
        <v>0.66900000000000004</v>
      </c>
      <c r="BY477" s="453">
        <f>Q_Financials!BQ12</f>
        <v>0.66700000000000004</v>
      </c>
      <c r="BZ477" s="453">
        <f>Q_Financials!BR12</f>
        <v>0.668364611476854</v>
      </c>
      <c r="CA477" s="453">
        <f>Q_Financials!BS12</f>
        <v>0.67019403916299969</v>
      </c>
      <c r="CB477" s="453">
        <f>Q_Financials!BT12</f>
        <v>0.66800000000000004</v>
      </c>
      <c r="CC477" s="453">
        <f>Q_Financials!BU12</f>
        <v>0.66600000000000004</v>
      </c>
      <c r="CD477" s="453">
        <f>Q_Financials!BV12</f>
        <v>0.667364611476854</v>
      </c>
      <c r="CE477" s="453">
        <f>Q_Financials!BW12</f>
        <v>0.66919403916299969</v>
      </c>
      <c r="CF477" s="453">
        <f>Q_Financials!BX12</f>
        <v>0.66700000000000004</v>
      </c>
      <c r="CG477" s="453">
        <f>Q_Financials!BY12</f>
        <v>0.66500000000000015</v>
      </c>
      <c r="CH477" s="453">
        <f>Q_Financials!BZ12</f>
        <v>0.66236461147685399</v>
      </c>
      <c r="CI477" s="453">
        <f>Q_Financials!CA12</f>
        <v>0.66419403916299979</v>
      </c>
      <c r="CJ477" s="453">
        <f>Q_Financials!CB12</f>
        <v>0.66200000000000003</v>
      </c>
      <c r="CK477" s="453">
        <f>Q_Financials!CC12</f>
        <v>0.66</v>
      </c>
      <c r="CL477" s="453">
        <f>Q_Financials!CD12</f>
        <v>0.66236461147685399</v>
      </c>
      <c r="CM477" s="453">
        <f>Q_Financials!CE12</f>
        <v>0.66419403916299968</v>
      </c>
      <c r="CN477" s="453">
        <f>Q_Financials!CF12</f>
        <v>0.66200000000000003</v>
      </c>
      <c r="CO477" s="453">
        <f>Q_Financials!CG12</f>
        <v>0.66</v>
      </c>
      <c r="CP477" s="453">
        <f>Q_Financials!CH12</f>
        <v>0.66236461147685399</v>
      </c>
      <c r="CQ477" s="453">
        <f>Q_Financials!CI12</f>
        <v>0.66419403916299957</v>
      </c>
      <c r="CR477" s="453">
        <f>Q_Financials!CJ12</f>
        <v>0.66200000000000003</v>
      </c>
      <c r="CS477" s="453">
        <f>Q_Financials!CK12</f>
        <v>0.66</v>
      </c>
    </row>
    <row r="478" spans="1:97">
      <c r="A478" s="36" t="s">
        <v>193</v>
      </c>
      <c r="B478" s="253"/>
      <c r="C478" s="253"/>
      <c r="D478" s="253"/>
      <c r="E478" s="253"/>
      <c r="F478" s="253"/>
      <c r="G478" s="253"/>
      <c r="H478" s="253"/>
      <c r="I478" s="253"/>
      <c r="J478" s="253"/>
      <c r="K478" s="253"/>
      <c r="L478" s="253"/>
      <c r="M478" s="253"/>
      <c r="N478" s="253">
        <f t="shared" ref="N478:AS478" si="293">(N477-J477)*10000</f>
        <v>284.47611231418369</v>
      </c>
      <c r="O478" s="253">
        <f t="shared" si="293"/>
        <v>270.29609722433622</v>
      </c>
      <c r="P478" s="253">
        <f t="shared" si="293"/>
        <v>170.76808015481504</v>
      </c>
      <c r="Q478" s="253">
        <f t="shared" si="293"/>
        <v>-80.148133677689913</v>
      </c>
      <c r="R478" s="253">
        <f t="shared" si="293"/>
        <v>35.84623430010425</v>
      </c>
      <c r="S478" s="253">
        <f t="shared" si="293"/>
        <v>-5.6860784758261396</v>
      </c>
      <c r="T478" s="253">
        <f t="shared" si="293"/>
        <v>-58.388713760106903</v>
      </c>
      <c r="U478" s="253">
        <f t="shared" si="293"/>
        <v>2.6229119034681947</v>
      </c>
      <c r="V478" s="253">
        <f t="shared" si="293"/>
        <v>-110.39130151828446</v>
      </c>
      <c r="W478" s="253">
        <f t="shared" si="293"/>
        <v>-104.75001678613593</v>
      </c>
      <c r="X478" s="253">
        <f t="shared" si="293"/>
        <v>81.775624221923636</v>
      </c>
      <c r="Y478" s="253">
        <f t="shared" si="293"/>
        <v>183.14865952134386</v>
      </c>
      <c r="Z478" s="253">
        <f t="shared" si="293"/>
        <v>172.98789351238852</v>
      </c>
      <c r="AA478" s="253">
        <f t="shared" si="293"/>
        <v>278.20481291165987</v>
      </c>
      <c r="AB478" s="253">
        <f t="shared" si="293"/>
        <v>168.04620495661894</v>
      </c>
      <c r="AC478" s="253">
        <f t="shared" si="293"/>
        <v>156.77065911032463</v>
      </c>
      <c r="AD478" s="253">
        <f t="shared" si="293"/>
        <v>72.055763311387182</v>
      </c>
      <c r="AE478" s="253">
        <f t="shared" si="293"/>
        <v>111.59717997265118</v>
      </c>
      <c r="AF478" s="253">
        <f t="shared" si="293"/>
        <v>136.37566088067211</v>
      </c>
      <c r="AG478" s="253">
        <f t="shared" si="293"/>
        <v>159.00653372198482</v>
      </c>
      <c r="AH478" s="253">
        <f t="shared" si="293"/>
        <v>206.23046339607433</v>
      </c>
      <c r="AI478" s="253">
        <f t="shared" si="293"/>
        <v>16.024076487328731</v>
      </c>
      <c r="AJ478" s="253">
        <f t="shared" si="293"/>
        <v>38.916293061763696</v>
      </c>
      <c r="AK478" s="253">
        <f t="shared" si="293"/>
        <v>3.6188384756408176</v>
      </c>
      <c r="AL478" s="253">
        <f t="shared" si="293"/>
        <v>-35.883096405936456</v>
      </c>
      <c r="AM478" s="253">
        <f t="shared" si="293"/>
        <v>39.599445636698817</v>
      </c>
      <c r="AN478" s="253">
        <f t="shared" si="293"/>
        <v>54.881542155778007</v>
      </c>
      <c r="AO478" s="253">
        <f t="shared" si="293"/>
        <v>12.548592433964112</v>
      </c>
      <c r="AP478" s="253">
        <f t="shared" si="293"/>
        <v>97.560644602684434</v>
      </c>
      <c r="AQ478" s="253">
        <f t="shared" si="293"/>
        <v>93.19520453117569</v>
      </c>
      <c r="AR478" s="253">
        <f t="shared" si="293"/>
        <v>88.955762004506724</v>
      </c>
      <c r="AS478" s="253">
        <f t="shared" si="293"/>
        <v>68.946782288757944</v>
      </c>
      <c r="AT478" s="253">
        <f t="shared" ref="AT478:BY478" si="294">(AT477-AP477)*10000</f>
        <v>67.066996767042312</v>
      </c>
      <c r="AU478" s="253">
        <f t="shared" si="294"/>
        <v>-21.666681389984621</v>
      </c>
      <c r="AV478" s="253">
        <f t="shared" si="294"/>
        <v>-77.860480175394599</v>
      </c>
      <c r="AW478" s="253">
        <f t="shared" si="294"/>
        <v>-99.052501720421347</v>
      </c>
      <c r="AX478" s="253">
        <f t="shared" si="294"/>
        <v>14.830378785543052</v>
      </c>
      <c r="AY478" s="253">
        <f t="shared" si="294"/>
        <v>98.694792778440956</v>
      </c>
      <c r="AZ478" s="253">
        <f t="shared" si="294"/>
        <v>149.44587494912344</v>
      </c>
      <c r="BA478" s="253">
        <f t="shared" si="294"/>
        <v>214.97296112870657</v>
      </c>
      <c r="BB478" s="253">
        <f t="shared" si="294"/>
        <v>15.065349749484591</v>
      </c>
      <c r="BC478" s="457">
        <f t="shared" si="294"/>
        <v>-436.94087457471056</v>
      </c>
      <c r="BD478" s="457">
        <f t="shared" si="294"/>
        <v>121.08325260279607</v>
      </c>
      <c r="BE478" s="457">
        <f t="shared" si="294"/>
        <v>5.73637605767785</v>
      </c>
      <c r="BF478" s="457">
        <f t="shared" si="294"/>
        <v>-279.17858952681729</v>
      </c>
      <c r="BG478" s="457">
        <f t="shared" si="294"/>
        <v>212.96543426627014</v>
      </c>
      <c r="BH478" s="457">
        <f t="shared" si="294"/>
        <v>-263.01089794480981</v>
      </c>
      <c r="BI478" s="457">
        <f t="shared" si="294"/>
        <v>-168.56411783632842</v>
      </c>
      <c r="BJ478" s="457">
        <f t="shared" si="294"/>
        <v>81.70114126024086</v>
      </c>
      <c r="BK478" s="457">
        <f t="shared" si="294"/>
        <v>-100.38785189250277</v>
      </c>
      <c r="BL478" s="457">
        <f t="shared" si="294"/>
        <v>-191.59777992030945</v>
      </c>
      <c r="BM478" s="457">
        <f t="shared" si="294"/>
        <v>-251.67677519095432</v>
      </c>
      <c r="BN478" s="457">
        <f>(BN477-BJ477)*10000</f>
        <v>-133.97221486867505</v>
      </c>
      <c r="BO478" s="457">
        <f>(BO477-BK477)*10000</f>
        <v>-43.304902462623083</v>
      </c>
      <c r="BP478" s="457">
        <f>(BP477-BL477)*10000</f>
        <v>16.275144308475209</v>
      </c>
      <c r="BQ478" s="457">
        <f>(BQ477-BM477)*10000</f>
        <v>100.71989726623931</v>
      </c>
      <c r="BR478" s="457">
        <f>(BR477-BN477)*10000</f>
        <v>118.0806214695973</v>
      </c>
      <c r="BS478" s="457">
        <f t="shared" si="294"/>
        <v>139.05962503102498</v>
      </c>
      <c r="BT478" s="457">
        <f t="shared" si="294"/>
        <v>-30.024909124172218</v>
      </c>
      <c r="BU478" s="457">
        <f t="shared" si="294"/>
        <v>-95.533334428632429</v>
      </c>
      <c r="BV478" s="457">
        <f t="shared" si="294"/>
        <v>-110.0000000000001</v>
      </c>
      <c r="BW478" s="457">
        <f t="shared" si="294"/>
        <v>-110.0000000000001</v>
      </c>
      <c r="BX478" s="457">
        <f t="shared" si="294"/>
        <v>-10.000000000000009</v>
      </c>
      <c r="BY478" s="457">
        <f t="shared" si="294"/>
        <v>-10.000000000000009</v>
      </c>
      <c r="BZ478" s="457">
        <f t="shared" ref="BZ478:CS478" si="295">(BZ477-BV477)*10000</f>
        <v>-10.000000000000009</v>
      </c>
      <c r="CA478" s="457">
        <f t="shared" si="295"/>
        <v>-10.000000000000009</v>
      </c>
      <c r="CB478" s="457">
        <f t="shared" si="295"/>
        <v>-10.000000000000009</v>
      </c>
      <c r="CC478" s="457">
        <f t="shared" si="295"/>
        <v>-10.000000000000009</v>
      </c>
      <c r="CD478" s="457">
        <f t="shared" si="295"/>
        <v>-10.000000000000009</v>
      </c>
      <c r="CE478" s="457">
        <f t="shared" si="295"/>
        <v>-10.000000000000009</v>
      </c>
      <c r="CF478" s="457">
        <f t="shared" si="295"/>
        <v>-10.000000000000009</v>
      </c>
      <c r="CG478" s="457">
        <f t="shared" si="295"/>
        <v>-9.9999999999988987</v>
      </c>
      <c r="CH478" s="457">
        <f t="shared" si="295"/>
        <v>-50.000000000000043</v>
      </c>
      <c r="CI478" s="457">
        <f t="shared" si="295"/>
        <v>-49.999999999998934</v>
      </c>
      <c r="CJ478" s="457">
        <f t="shared" si="295"/>
        <v>-50.000000000000043</v>
      </c>
      <c r="CK478" s="457">
        <f t="shared" si="295"/>
        <v>-50.000000000001151</v>
      </c>
      <c r="CL478" s="457">
        <f t="shared" si="295"/>
        <v>0</v>
      </c>
      <c r="CM478" s="457">
        <f t="shared" si="295"/>
        <v>-1.1102230246251565E-12</v>
      </c>
      <c r="CN478" s="457">
        <f t="shared" si="295"/>
        <v>0</v>
      </c>
      <c r="CO478" s="457">
        <f t="shared" si="295"/>
        <v>0</v>
      </c>
      <c r="CP478" s="457">
        <f t="shared" si="295"/>
        <v>0</v>
      </c>
      <c r="CQ478" s="457">
        <f t="shared" si="295"/>
        <v>-1.1102230246251565E-12</v>
      </c>
      <c r="CR478" s="457">
        <f t="shared" si="295"/>
        <v>0</v>
      </c>
      <c r="CS478" s="457">
        <f t="shared" si="295"/>
        <v>0</v>
      </c>
    </row>
    <row r="479" spans="1:97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</row>
    <row r="480" spans="1:97">
      <c r="A480" s="242" t="s">
        <v>776</v>
      </c>
      <c r="B480" s="595"/>
      <c r="C480" s="595"/>
      <c r="D480" s="595"/>
      <c r="E480" s="595"/>
      <c r="F480" s="595"/>
      <c r="G480" s="595"/>
      <c r="H480" s="595"/>
      <c r="I480" s="595"/>
      <c r="J480" s="595" t="str">
        <f t="shared" ref="J480:AO480" si="296">J$453</f>
        <v>1Q09</v>
      </c>
      <c r="K480" s="595" t="str">
        <f t="shared" si="296"/>
        <v>2Q09</v>
      </c>
      <c r="L480" s="595" t="str">
        <f t="shared" si="296"/>
        <v>3Q09</v>
      </c>
      <c r="M480" s="595" t="str">
        <f t="shared" si="296"/>
        <v>4Q09</v>
      </c>
      <c r="N480" s="595" t="str">
        <f t="shared" si="296"/>
        <v>1Q10</v>
      </c>
      <c r="O480" s="595" t="str">
        <f t="shared" si="296"/>
        <v>2Q10</v>
      </c>
      <c r="P480" s="595" t="str">
        <f t="shared" si="296"/>
        <v>3Q10</v>
      </c>
      <c r="Q480" s="595" t="str">
        <f t="shared" si="296"/>
        <v>4Q10</v>
      </c>
      <c r="R480" s="595" t="str">
        <f t="shared" si="296"/>
        <v>1Q11</v>
      </c>
      <c r="S480" s="595" t="str">
        <f t="shared" si="296"/>
        <v>2Q11</v>
      </c>
      <c r="T480" s="595" t="str">
        <f t="shared" si="296"/>
        <v>3Q11</v>
      </c>
      <c r="U480" s="595" t="str">
        <f t="shared" si="296"/>
        <v>4Q11</v>
      </c>
      <c r="V480" s="595" t="str">
        <f t="shared" si="296"/>
        <v>1Q12</v>
      </c>
      <c r="W480" s="595" t="str">
        <f t="shared" si="296"/>
        <v>2Q12</v>
      </c>
      <c r="X480" s="595" t="str">
        <f t="shared" si="296"/>
        <v>3Q12</v>
      </c>
      <c r="Y480" s="595" t="str">
        <f t="shared" si="296"/>
        <v>4Q12</v>
      </c>
      <c r="Z480" s="595" t="str">
        <f t="shared" si="296"/>
        <v>1Q13</v>
      </c>
      <c r="AA480" s="595" t="str">
        <f t="shared" si="296"/>
        <v>2Q13</v>
      </c>
      <c r="AB480" s="595" t="str">
        <f t="shared" si="296"/>
        <v>3Q13</v>
      </c>
      <c r="AC480" s="595" t="str">
        <f t="shared" si="296"/>
        <v>4Q13</v>
      </c>
      <c r="AD480" s="595" t="str">
        <f t="shared" si="296"/>
        <v>1Q14</v>
      </c>
      <c r="AE480" s="595" t="str">
        <f t="shared" si="296"/>
        <v>2Q14</v>
      </c>
      <c r="AF480" s="595" t="str">
        <f t="shared" si="296"/>
        <v>3Q14</v>
      </c>
      <c r="AG480" s="595" t="str">
        <f t="shared" si="296"/>
        <v>4Q14</v>
      </c>
      <c r="AH480" s="595" t="str">
        <f t="shared" si="296"/>
        <v>1Q15</v>
      </c>
      <c r="AI480" s="595" t="str">
        <f t="shared" si="296"/>
        <v>2Q15</v>
      </c>
      <c r="AJ480" s="595" t="str">
        <f t="shared" si="296"/>
        <v>3Q15</v>
      </c>
      <c r="AK480" s="595" t="str">
        <f t="shared" si="296"/>
        <v>4Q15</v>
      </c>
      <c r="AL480" s="595" t="str">
        <f t="shared" si="296"/>
        <v>1Q16</v>
      </c>
      <c r="AM480" s="595" t="str">
        <f t="shared" si="296"/>
        <v>2Q16</v>
      </c>
      <c r="AN480" s="595" t="str">
        <f t="shared" si="296"/>
        <v>3Q16</v>
      </c>
      <c r="AO480" s="595" t="str">
        <f t="shared" si="296"/>
        <v>4Q16</v>
      </c>
      <c r="AP480" s="595" t="str">
        <f t="shared" ref="AP480:CS480" si="297">AP$453</f>
        <v>1Q17</v>
      </c>
      <c r="AQ480" s="595" t="str">
        <f t="shared" si="297"/>
        <v>2Q17</v>
      </c>
      <c r="AR480" s="595" t="str">
        <f t="shared" si="297"/>
        <v>3Q17</v>
      </c>
      <c r="AS480" s="595" t="str">
        <f t="shared" si="297"/>
        <v>4Q17</v>
      </c>
      <c r="AT480" s="595" t="str">
        <f t="shared" si="297"/>
        <v>1Q18</v>
      </c>
      <c r="AU480" s="595" t="str">
        <f t="shared" si="297"/>
        <v>2Q18</v>
      </c>
      <c r="AV480" s="595" t="str">
        <f t="shared" si="297"/>
        <v>3Q18</v>
      </c>
      <c r="AW480" s="595" t="str">
        <f t="shared" si="297"/>
        <v>4Q18</v>
      </c>
      <c r="AX480" s="595" t="str">
        <f t="shared" si="297"/>
        <v>1Q19</v>
      </c>
      <c r="AY480" s="595" t="str">
        <f t="shared" si="297"/>
        <v>2Q19</v>
      </c>
      <c r="AZ480" s="595" t="str">
        <f t="shared" si="297"/>
        <v>3Q19</v>
      </c>
      <c r="BA480" s="595" t="str">
        <f t="shared" si="297"/>
        <v>4Q19</v>
      </c>
      <c r="BB480" s="595" t="str">
        <f t="shared" si="297"/>
        <v>1Q20</v>
      </c>
      <c r="BC480" s="595" t="str">
        <f t="shared" si="297"/>
        <v>2Q20</v>
      </c>
      <c r="BD480" s="595" t="str">
        <f t="shared" si="297"/>
        <v>3Q20</v>
      </c>
      <c r="BE480" s="595" t="str">
        <f t="shared" si="297"/>
        <v>4Q20</v>
      </c>
      <c r="BF480" s="595" t="str">
        <f t="shared" si="297"/>
        <v>1Q21</v>
      </c>
      <c r="BG480" s="595" t="str">
        <f t="shared" si="297"/>
        <v>2Q21</v>
      </c>
      <c r="BH480" s="595" t="str">
        <f t="shared" si="297"/>
        <v>3Q21</v>
      </c>
      <c r="BI480" s="595" t="str">
        <f t="shared" si="297"/>
        <v>4Q21</v>
      </c>
      <c r="BJ480" s="595" t="str">
        <f t="shared" si="297"/>
        <v>1Q22</v>
      </c>
      <c r="BK480" s="595" t="str">
        <f t="shared" si="297"/>
        <v>2Q22</v>
      </c>
      <c r="BL480" s="595" t="str">
        <f t="shared" si="297"/>
        <v>3Q22</v>
      </c>
      <c r="BM480" s="595" t="str">
        <f t="shared" si="297"/>
        <v>4Q22</v>
      </c>
      <c r="BN480" s="595" t="str">
        <f t="shared" si="297"/>
        <v>1Q23</v>
      </c>
      <c r="BO480" s="595" t="str">
        <f t="shared" si="297"/>
        <v>2Q23</v>
      </c>
      <c r="BP480" s="595" t="str">
        <f t="shared" si="297"/>
        <v>3Q23</v>
      </c>
      <c r="BQ480" s="595" t="str">
        <f t="shared" si="297"/>
        <v>4Q23</v>
      </c>
      <c r="BR480" s="595" t="str">
        <f t="shared" si="297"/>
        <v>1Q24</v>
      </c>
      <c r="BS480" s="596" t="str">
        <f t="shared" si="297"/>
        <v>2Q24e</v>
      </c>
      <c r="BT480" s="596" t="str">
        <f t="shared" si="297"/>
        <v>3Q24e</v>
      </c>
      <c r="BU480" s="596" t="str">
        <f t="shared" si="297"/>
        <v>4Q24e</v>
      </c>
      <c r="BV480" s="596" t="str">
        <f t="shared" si="297"/>
        <v>1Q25e</v>
      </c>
      <c r="BW480" s="596" t="str">
        <f t="shared" si="297"/>
        <v>2Q25e</v>
      </c>
      <c r="BX480" s="596" t="str">
        <f t="shared" si="297"/>
        <v>3Q25e</v>
      </c>
      <c r="BY480" s="596" t="str">
        <f t="shared" si="297"/>
        <v>4Q25e</v>
      </c>
      <c r="BZ480" s="596" t="str">
        <f t="shared" si="297"/>
        <v>1Q26e</v>
      </c>
      <c r="CA480" s="596" t="str">
        <f t="shared" si="297"/>
        <v>2Q26e</v>
      </c>
      <c r="CB480" s="596" t="str">
        <f t="shared" si="297"/>
        <v>3Q26e</v>
      </c>
      <c r="CC480" s="596" t="str">
        <f t="shared" si="297"/>
        <v>4Q26e</v>
      </c>
      <c r="CD480" s="596" t="str">
        <f t="shared" si="297"/>
        <v>1Q27e</v>
      </c>
      <c r="CE480" s="596" t="str">
        <f t="shared" si="297"/>
        <v>2Q27e</v>
      </c>
      <c r="CF480" s="596" t="str">
        <f t="shared" si="297"/>
        <v>3Q27e</v>
      </c>
      <c r="CG480" s="596" t="str">
        <f t="shared" si="297"/>
        <v>4Q27e</v>
      </c>
      <c r="CH480" s="596" t="str">
        <f t="shared" si="297"/>
        <v>1Q28e</v>
      </c>
      <c r="CI480" s="596" t="str">
        <f t="shared" si="297"/>
        <v>2Q28e</v>
      </c>
      <c r="CJ480" s="596" t="str">
        <f t="shared" si="297"/>
        <v>3Q28e</v>
      </c>
      <c r="CK480" s="596" t="str">
        <f t="shared" si="297"/>
        <v>4Q28e</v>
      </c>
      <c r="CL480" s="596" t="str">
        <f t="shared" si="297"/>
        <v>1Q29e</v>
      </c>
      <c r="CM480" s="596" t="str">
        <f t="shared" si="297"/>
        <v>2Q29e</v>
      </c>
      <c r="CN480" s="596" t="str">
        <f t="shared" si="297"/>
        <v>3Q29e</v>
      </c>
      <c r="CO480" s="596" t="str">
        <f t="shared" si="297"/>
        <v>4Q29e</v>
      </c>
      <c r="CP480" s="596" t="str">
        <f t="shared" si="297"/>
        <v>1Q30e</v>
      </c>
      <c r="CQ480" s="596" t="str">
        <f t="shared" si="297"/>
        <v>2Q30e</v>
      </c>
      <c r="CR480" s="596" t="str">
        <f t="shared" si="297"/>
        <v>3Q30e</v>
      </c>
      <c r="CS480" s="596" t="str">
        <f t="shared" si="297"/>
        <v>4Q30e</v>
      </c>
    </row>
    <row r="481" spans="1:97">
      <c r="A481" s="244" t="str">
        <f>A480</f>
        <v>Operating expenses/revenue</v>
      </c>
      <c r="B481" s="245"/>
      <c r="C481" s="245"/>
      <c r="D481" s="245"/>
      <c r="E481" s="245"/>
      <c r="F481" s="245"/>
      <c r="G481" s="245"/>
      <c r="H481" s="245"/>
      <c r="I481" s="245"/>
      <c r="J481" s="245">
        <f>-Q_IS!B288</f>
        <v>-0.53633817522454508</v>
      </c>
      <c r="K481" s="245">
        <f>-Q_IS!C288</f>
        <v>-0.53583426246536559</v>
      </c>
      <c r="L481" s="245">
        <f>-Q_IS!D288</f>
        <v>-0.51751208840565144</v>
      </c>
      <c r="M481" s="245">
        <f>-Q_IS!E288</f>
        <v>-0.47391223813781508</v>
      </c>
      <c r="N481" s="245">
        <f>-Q_IS!F288</f>
        <v>-0.54142535277395265</v>
      </c>
      <c r="O481" s="245">
        <f>-Q_IS!G288</f>
        <v>-0.5375169612775188</v>
      </c>
      <c r="P481" s="245">
        <f>-Q_IS!H288</f>
        <v>-0.54210446498236209</v>
      </c>
      <c r="Q481" s="245">
        <f>-Q_IS!I288</f>
        <v>-0.52252600964731133</v>
      </c>
      <c r="R481" s="245">
        <f>-Q_IS!J288</f>
        <v>-0.55689051479840979</v>
      </c>
      <c r="S481" s="245">
        <f>-Q_IS!K288</f>
        <v>-0.53421962832177583</v>
      </c>
      <c r="T481" s="245">
        <f>-Q_IS!L288</f>
        <v>-0.53802360606476496</v>
      </c>
      <c r="U481" s="245">
        <f>-Q_IS!M288</f>
        <v>-0.53929720774213241</v>
      </c>
      <c r="V481" s="245">
        <f>-Q_IS!N288</f>
        <v>-0.54440610010371204</v>
      </c>
      <c r="W481" s="245">
        <f>-Q_IS!O288</f>
        <v>-0.51765411785443505</v>
      </c>
      <c r="X481" s="245">
        <f>-Q_IS!P288</f>
        <v>-0.53106994756816084</v>
      </c>
      <c r="Y481" s="245">
        <f>-Q_IS!Q288</f>
        <v>-0.52521092357143428</v>
      </c>
      <c r="Z481" s="245">
        <f>-Q_IS!R288</f>
        <v>-0.54812510261137493</v>
      </c>
      <c r="AA481" s="245">
        <f>-Q_IS!S288</f>
        <v>-0.53913140434802986</v>
      </c>
      <c r="AB481" s="245">
        <f>-Q_IS!T288</f>
        <v>-0.53192592191588117</v>
      </c>
      <c r="AC481" s="245">
        <f>-Q_IS!U288</f>
        <v>-0.53365702770218937</v>
      </c>
      <c r="AD481" s="245">
        <f>-Q_IS!V288</f>
        <v>-0.55906484811259216</v>
      </c>
      <c r="AE481" s="245">
        <f>-Q_IS!W288</f>
        <v>-0.56364006406671419</v>
      </c>
      <c r="AF481" s="245">
        <f>-Q_IS!X288</f>
        <v>-0.55551379156055869</v>
      </c>
      <c r="AG481" s="245">
        <f>-Q_IS!Y288</f>
        <v>-0.55656930612393629</v>
      </c>
      <c r="AH481" s="245">
        <f>-Q_IS!Z288</f>
        <v>-0.57006857352312024</v>
      </c>
      <c r="AI481" s="245">
        <f>-Q_IS!AA288</f>
        <v>-0.55553519982499222</v>
      </c>
      <c r="AJ481" s="245">
        <f>-Q_IS!AB288</f>
        <v>-0.55102260670538572</v>
      </c>
      <c r="AK481" s="245">
        <f>-Q_IS!AC288</f>
        <v>-0.53660408228514378</v>
      </c>
      <c r="AL481" s="245">
        <f>-Q_IS!AD288</f>
        <v>-0.56096140957683638</v>
      </c>
      <c r="AM481" s="245">
        <f>-Q_IS!AE288</f>
        <v>-0.55312562875266069</v>
      </c>
      <c r="AN481" s="245">
        <f>-Q_IS!AF288</f>
        <v>-0.55039750118308883</v>
      </c>
      <c r="AO481" s="245">
        <f>-Q_IS!AG288</f>
        <v>-0.54097730808591404</v>
      </c>
      <c r="AP481" s="245">
        <f>-Q_IS!AH288</f>
        <v>-0.56448365440631554</v>
      </c>
      <c r="AQ481" s="245">
        <f>-Q_IS!AI288</f>
        <v>-0.56138764122008777</v>
      </c>
      <c r="AR481" s="245">
        <f>-Q_IS!AJ288</f>
        <v>-0.5625032815120139</v>
      </c>
      <c r="AS481" s="245">
        <f>-Q_IS!AK288</f>
        <v>-0.49436274957119947</v>
      </c>
      <c r="AT481" s="245">
        <f>-Q_IS!AL288</f>
        <v>-0.56983636533477622</v>
      </c>
      <c r="AU481" s="245">
        <f>-Q_IS!AM288</f>
        <v>-0.55577551135013104</v>
      </c>
      <c r="AV481" s="245">
        <f>-Q_IS!AN288</f>
        <v>-0.55467247030345135</v>
      </c>
      <c r="AW481" s="245">
        <f>-Q_IS!AO288</f>
        <v>-0.5367721836981818</v>
      </c>
      <c r="AX481" s="245">
        <f>-Q_IS!AP288</f>
        <v>-0.4994809572824776</v>
      </c>
      <c r="AY481" s="245">
        <f>-Q_IS!AQ288</f>
        <v>-0.49508272569110451</v>
      </c>
      <c r="AZ481" s="245">
        <f>-Q_IS!AR288</f>
        <v>-0.46531150725886078</v>
      </c>
      <c r="BA481" s="245">
        <f>-Q_IS!AS288</f>
        <v>-0.49202133931423492</v>
      </c>
      <c r="BB481" s="245">
        <f>-Q_IS!AT288</f>
        <v>-0.49558565859485559</v>
      </c>
      <c r="BC481" s="452">
        <f>-Q_IS!AU288</f>
        <v>-0.83508930837163664</v>
      </c>
      <c r="BD481" s="452">
        <f>-Q_IS!AV288</f>
        <v>-0.50386285993315361</v>
      </c>
      <c r="BE481" s="452">
        <f>-Q_IS!AW288</f>
        <v>-0.42401377211044955</v>
      </c>
      <c r="BF481" s="452">
        <f>-Q_IS!AX288</f>
        <v>-0.47355008179821723</v>
      </c>
      <c r="BG481" s="452">
        <f>-Q_IS!AY288</f>
        <v>-0.45439887642970855</v>
      </c>
      <c r="BH481" s="452">
        <f>-Q_IS!AZ288</f>
        <v>-0.46527110262550347</v>
      </c>
      <c r="BI481" s="452">
        <f>-Q_IS!BA288</f>
        <v>-0.43720105387771724</v>
      </c>
      <c r="BJ481" s="452">
        <f>-Q_IS!BB288</f>
        <v>-0.45489527863913815</v>
      </c>
      <c r="BK481" s="452">
        <f>-Q_IS!BC288</f>
        <v>-0.4584709437227229</v>
      </c>
      <c r="BL481" s="452">
        <f>-Q_IS!BD288</f>
        <v>-0.47284991314164221</v>
      </c>
      <c r="BM481" s="452">
        <f>-Q_IS!BE288</f>
        <v>-0.48536140615072904</v>
      </c>
      <c r="BN481" s="452">
        <f>-Q_IS!BF288</f>
        <v>-0.45999322866578279</v>
      </c>
      <c r="BO481" s="452">
        <f>-Q_IS!BG288</f>
        <v>-0.46566303585242158</v>
      </c>
      <c r="BP481" s="452">
        <f>-Q_IS!BH288</f>
        <v>-0.47111295577487683</v>
      </c>
      <c r="BQ481" s="452">
        <f>-Q_IS!BI288</f>
        <v>-0.45390814264157398</v>
      </c>
      <c r="BR481" s="452">
        <f>-Q_IS!BJ288</f>
        <v>-0.47516380421767429</v>
      </c>
      <c r="BS481" s="452">
        <f>-Q_IS!BK288</f>
        <v>-0.47485351256912767</v>
      </c>
      <c r="BT481" s="452">
        <f>-Q_IS!BL288</f>
        <v>-0.47749999999999998</v>
      </c>
      <c r="BU481" s="452">
        <f>-Q_IS!BM288</f>
        <v>-0.46849999999999997</v>
      </c>
      <c r="BV481" s="452">
        <f>-Q_IS!BN288</f>
        <v>-0.47804487621373987</v>
      </c>
      <c r="BW481" s="452">
        <f>-Q_IS!BO288</f>
        <v>-0.47835351256912773</v>
      </c>
      <c r="BX481" s="452">
        <f>-Q_IS!BP288</f>
        <v>-0.47649999999999998</v>
      </c>
      <c r="BY481" s="452">
        <f>-Q_IS!BQ288</f>
        <v>-0.46749999999999997</v>
      </c>
      <c r="BZ481" s="452">
        <f>-Q_IS!BR288</f>
        <v>-0.47704487621373992</v>
      </c>
      <c r="CA481" s="452">
        <f>-Q_IS!BS288</f>
        <v>-0.47735351256912772</v>
      </c>
      <c r="CB481" s="452">
        <f>-Q_IS!BT288</f>
        <v>-0.47549999999999998</v>
      </c>
      <c r="CC481" s="452">
        <f>-Q_IS!BU288</f>
        <v>-0.46649999999999997</v>
      </c>
      <c r="CD481" s="452">
        <f>-Q_IS!BV288</f>
        <v>-0.47604487621373992</v>
      </c>
      <c r="CE481" s="452">
        <f>-Q_IS!BW288</f>
        <v>-0.47635351256912772</v>
      </c>
      <c r="CF481" s="452">
        <f>-Q_IS!BX288</f>
        <v>-0.47449999999999998</v>
      </c>
      <c r="CG481" s="452">
        <f>-Q_IS!BY288</f>
        <v>-0.46550000000000002</v>
      </c>
      <c r="CH481" s="452">
        <f>-Q_IS!BZ288</f>
        <v>-0.47704487621373992</v>
      </c>
      <c r="CI481" s="452">
        <f>-Q_IS!CA288</f>
        <v>-0.47735351256912761</v>
      </c>
      <c r="CJ481" s="452">
        <f>-Q_IS!CB288</f>
        <v>-0.47549999999999998</v>
      </c>
      <c r="CK481" s="452">
        <f>-Q_IS!CC288</f>
        <v>-0.46649999999999997</v>
      </c>
      <c r="CL481" s="452">
        <f>-Q_IS!CD288</f>
        <v>-0.47704487621373992</v>
      </c>
      <c r="CM481" s="452">
        <f>-Q_IS!CE288</f>
        <v>-0.47735351256912761</v>
      </c>
      <c r="CN481" s="452">
        <f>-Q_IS!CF288</f>
        <v>-0.47550000000000003</v>
      </c>
      <c r="CO481" s="452">
        <f>-Q_IS!CG288</f>
        <v>-0.46650000000000003</v>
      </c>
      <c r="CP481" s="452">
        <f>-Q_IS!CH288</f>
        <v>-0.47704487621373998</v>
      </c>
      <c r="CQ481" s="452">
        <f>-Q_IS!CI288</f>
        <v>-0.47735351256912767</v>
      </c>
      <c r="CR481" s="452">
        <f>-Q_IS!CJ288</f>
        <v>-0.47549999999999992</v>
      </c>
      <c r="CS481" s="452">
        <f>-Q_IS!CK288</f>
        <v>-0.46649999999999997</v>
      </c>
    </row>
    <row r="482" spans="1:97">
      <c r="A482" s="244"/>
      <c r="B482" s="245"/>
      <c r="C482" s="245"/>
      <c r="D482" s="245"/>
      <c r="E482" s="245"/>
      <c r="F482" s="245"/>
      <c r="G482" s="245"/>
      <c r="H482" s="245"/>
      <c r="I482" s="245"/>
      <c r="J482" s="245"/>
      <c r="K482" s="245"/>
      <c r="L482" s="245"/>
      <c r="M482" s="245"/>
      <c r="N482" s="245"/>
      <c r="O482" s="245"/>
      <c r="P482" s="245"/>
      <c r="Q482" s="245"/>
      <c r="R482" s="245"/>
      <c r="S482" s="245"/>
      <c r="T482" s="245"/>
      <c r="U482" s="245"/>
      <c r="V482" s="245"/>
      <c r="W482" s="245"/>
      <c r="X482" s="245"/>
      <c r="Y482" s="245"/>
      <c r="Z482" s="245"/>
      <c r="AA482" s="245"/>
      <c r="AB482" s="245"/>
      <c r="AC482" s="245"/>
      <c r="AD482" s="245"/>
      <c r="AE482" s="245"/>
      <c r="AF482" s="245"/>
      <c r="AG482" s="245"/>
      <c r="AH482" s="245"/>
      <c r="AI482" s="245"/>
      <c r="AJ482" s="245"/>
      <c r="AK482" s="245"/>
      <c r="AL482" s="245"/>
      <c r="AM482" s="245"/>
      <c r="AN482" s="245"/>
      <c r="AO482" s="245"/>
      <c r="AP482" s="245"/>
      <c r="AQ482" s="245"/>
      <c r="AR482" s="245"/>
      <c r="AS482" s="245"/>
      <c r="AT482" s="245"/>
      <c r="AU482" s="245"/>
      <c r="AV482" s="245"/>
      <c r="AW482" s="245"/>
      <c r="AX482" s="245"/>
      <c r="AY482" s="245"/>
      <c r="AZ482" s="245"/>
      <c r="BA482" s="245"/>
      <c r="BB482" s="245"/>
      <c r="BC482" s="452"/>
      <c r="BD482" s="452"/>
      <c r="BE482" s="452"/>
      <c r="BF482" s="452"/>
      <c r="BG482" s="452"/>
      <c r="BH482" s="452"/>
      <c r="BI482" s="452"/>
      <c r="BJ482" s="452"/>
      <c r="BK482" s="452"/>
      <c r="BL482" s="452"/>
      <c r="BM482" s="452"/>
      <c r="BN482" s="452"/>
      <c r="BO482" s="452"/>
      <c r="BP482" s="452"/>
      <c r="BQ482" s="452"/>
      <c r="BR482" s="452"/>
      <c r="BS482" s="452"/>
      <c r="BT482" s="452"/>
      <c r="BU482" s="452"/>
      <c r="BV482" s="452"/>
      <c r="BW482" s="452"/>
      <c r="BX482" s="452"/>
      <c r="BY482" s="452"/>
      <c r="BZ482" s="452"/>
      <c r="CA482" s="452"/>
      <c r="CB482" s="452"/>
      <c r="CC482" s="452"/>
      <c r="CD482" s="452"/>
      <c r="CE482" s="452"/>
      <c r="CF482" s="452"/>
      <c r="CG482" s="452"/>
      <c r="CH482" s="452"/>
      <c r="CI482" s="452"/>
      <c r="CJ482" s="452"/>
      <c r="CK482" s="452"/>
      <c r="CL482" s="452"/>
      <c r="CM482" s="452"/>
      <c r="CN482" s="452"/>
      <c r="CO482" s="452"/>
      <c r="CP482" s="452"/>
      <c r="CQ482" s="452"/>
      <c r="CR482" s="452"/>
      <c r="CS482" s="452"/>
    </row>
    <row r="483" spans="1:97">
      <c r="A483" s="242" t="s">
        <v>1180</v>
      </c>
      <c r="B483" s="595"/>
      <c r="C483" s="595"/>
      <c r="D483" s="595"/>
      <c r="E483" s="595"/>
      <c r="F483" s="595"/>
      <c r="G483" s="595"/>
      <c r="H483" s="595"/>
      <c r="I483" s="595"/>
      <c r="J483" s="595" t="str">
        <f t="shared" ref="J483:AO483" si="298">J$453</f>
        <v>1Q09</v>
      </c>
      <c r="K483" s="595" t="str">
        <f t="shared" si="298"/>
        <v>2Q09</v>
      </c>
      <c r="L483" s="595" t="str">
        <f t="shared" si="298"/>
        <v>3Q09</v>
      </c>
      <c r="M483" s="595" t="str">
        <f t="shared" si="298"/>
        <v>4Q09</v>
      </c>
      <c r="N483" s="595" t="str">
        <f t="shared" si="298"/>
        <v>1Q10</v>
      </c>
      <c r="O483" s="595" t="str">
        <f t="shared" si="298"/>
        <v>2Q10</v>
      </c>
      <c r="P483" s="595" t="str">
        <f t="shared" si="298"/>
        <v>3Q10</v>
      </c>
      <c r="Q483" s="595" t="str">
        <f t="shared" si="298"/>
        <v>4Q10</v>
      </c>
      <c r="R483" s="595" t="str">
        <f t="shared" si="298"/>
        <v>1Q11</v>
      </c>
      <c r="S483" s="595" t="str">
        <f t="shared" si="298"/>
        <v>2Q11</v>
      </c>
      <c r="T483" s="595" t="str">
        <f t="shared" si="298"/>
        <v>3Q11</v>
      </c>
      <c r="U483" s="595" t="str">
        <f t="shared" si="298"/>
        <v>4Q11</v>
      </c>
      <c r="V483" s="595" t="str">
        <f t="shared" si="298"/>
        <v>1Q12</v>
      </c>
      <c r="W483" s="595" t="str">
        <f t="shared" si="298"/>
        <v>2Q12</v>
      </c>
      <c r="X483" s="595" t="str">
        <f t="shared" si="298"/>
        <v>3Q12</v>
      </c>
      <c r="Y483" s="595" t="str">
        <f t="shared" si="298"/>
        <v>4Q12</v>
      </c>
      <c r="Z483" s="595" t="str">
        <f t="shared" si="298"/>
        <v>1Q13</v>
      </c>
      <c r="AA483" s="595" t="str">
        <f t="shared" si="298"/>
        <v>2Q13</v>
      </c>
      <c r="AB483" s="595" t="str">
        <f t="shared" si="298"/>
        <v>3Q13</v>
      </c>
      <c r="AC483" s="595" t="str">
        <f t="shared" si="298"/>
        <v>4Q13</v>
      </c>
      <c r="AD483" s="595" t="str">
        <f t="shared" si="298"/>
        <v>1Q14</v>
      </c>
      <c r="AE483" s="595" t="str">
        <f t="shared" si="298"/>
        <v>2Q14</v>
      </c>
      <c r="AF483" s="595" t="str">
        <f t="shared" si="298"/>
        <v>3Q14</v>
      </c>
      <c r="AG483" s="595" t="str">
        <f t="shared" si="298"/>
        <v>4Q14</v>
      </c>
      <c r="AH483" s="595" t="str">
        <f t="shared" si="298"/>
        <v>1Q15</v>
      </c>
      <c r="AI483" s="595" t="str">
        <f t="shared" si="298"/>
        <v>2Q15</v>
      </c>
      <c r="AJ483" s="595" t="str">
        <f t="shared" si="298"/>
        <v>3Q15</v>
      </c>
      <c r="AK483" s="595" t="str">
        <f t="shared" si="298"/>
        <v>4Q15</v>
      </c>
      <c r="AL483" s="595" t="str">
        <f t="shared" si="298"/>
        <v>1Q16</v>
      </c>
      <c r="AM483" s="595" t="str">
        <f t="shared" si="298"/>
        <v>2Q16</v>
      </c>
      <c r="AN483" s="595" t="str">
        <f t="shared" si="298"/>
        <v>3Q16</v>
      </c>
      <c r="AO483" s="595" t="str">
        <f t="shared" si="298"/>
        <v>4Q16</v>
      </c>
      <c r="AP483" s="595" t="str">
        <f t="shared" ref="AP483:CS483" si="299">AP$453</f>
        <v>1Q17</v>
      </c>
      <c r="AQ483" s="595" t="str">
        <f t="shared" si="299"/>
        <v>2Q17</v>
      </c>
      <c r="AR483" s="595" t="str">
        <f t="shared" si="299"/>
        <v>3Q17</v>
      </c>
      <c r="AS483" s="595" t="str">
        <f t="shared" si="299"/>
        <v>4Q17</v>
      </c>
      <c r="AT483" s="595" t="str">
        <f t="shared" si="299"/>
        <v>1Q18</v>
      </c>
      <c r="AU483" s="595" t="str">
        <f t="shared" si="299"/>
        <v>2Q18</v>
      </c>
      <c r="AV483" s="595" t="str">
        <f t="shared" si="299"/>
        <v>3Q18</v>
      </c>
      <c r="AW483" s="595" t="str">
        <f t="shared" si="299"/>
        <v>4Q18</v>
      </c>
      <c r="AX483" s="595" t="str">
        <f t="shared" si="299"/>
        <v>1Q19</v>
      </c>
      <c r="AY483" s="595" t="str">
        <f t="shared" si="299"/>
        <v>2Q19</v>
      </c>
      <c r="AZ483" s="595" t="str">
        <f t="shared" si="299"/>
        <v>3Q19</v>
      </c>
      <c r="BA483" s="595" t="str">
        <f t="shared" si="299"/>
        <v>4Q19</v>
      </c>
      <c r="BB483" s="595" t="str">
        <f t="shared" si="299"/>
        <v>1Q20</v>
      </c>
      <c r="BC483" s="595" t="str">
        <f t="shared" si="299"/>
        <v>2Q20</v>
      </c>
      <c r="BD483" s="595" t="str">
        <f t="shared" si="299"/>
        <v>3Q20</v>
      </c>
      <c r="BE483" s="595" t="str">
        <f t="shared" si="299"/>
        <v>4Q20</v>
      </c>
      <c r="BF483" s="595" t="str">
        <f t="shared" si="299"/>
        <v>1Q21</v>
      </c>
      <c r="BG483" s="595" t="str">
        <f t="shared" si="299"/>
        <v>2Q21</v>
      </c>
      <c r="BH483" s="595" t="str">
        <f t="shared" si="299"/>
        <v>3Q21</v>
      </c>
      <c r="BI483" s="595" t="str">
        <f t="shared" si="299"/>
        <v>4Q21</v>
      </c>
      <c r="BJ483" s="595" t="str">
        <f t="shared" si="299"/>
        <v>1Q22</v>
      </c>
      <c r="BK483" s="595" t="str">
        <f t="shared" si="299"/>
        <v>2Q22</v>
      </c>
      <c r="BL483" s="595" t="str">
        <f t="shared" si="299"/>
        <v>3Q22</v>
      </c>
      <c r="BM483" s="595" t="str">
        <f t="shared" si="299"/>
        <v>4Q22</v>
      </c>
      <c r="BN483" s="595" t="str">
        <f t="shared" si="299"/>
        <v>1Q23</v>
      </c>
      <c r="BO483" s="595" t="str">
        <f t="shared" si="299"/>
        <v>2Q23</v>
      </c>
      <c r="BP483" s="595" t="str">
        <f t="shared" si="299"/>
        <v>3Q23</v>
      </c>
      <c r="BQ483" s="595" t="str">
        <f t="shared" si="299"/>
        <v>4Q23</v>
      </c>
      <c r="BR483" s="595" t="str">
        <f t="shared" si="299"/>
        <v>1Q24</v>
      </c>
      <c r="BS483" s="596" t="str">
        <f t="shared" si="299"/>
        <v>2Q24e</v>
      </c>
      <c r="BT483" s="596" t="str">
        <f t="shared" si="299"/>
        <v>3Q24e</v>
      </c>
      <c r="BU483" s="596" t="str">
        <f t="shared" si="299"/>
        <v>4Q24e</v>
      </c>
      <c r="BV483" s="596" t="str">
        <f t="shared" si="299"/>
        <v>1Q25e</v>
      </c>
      <c r="BW483" s="596" t="str">
        <f t="shared" si="299"/>
        <v>2Q25e</v>
      </c>
      <c r="BX483" s="596" t="str">
        <f t="shared" si="299"/>
        <v>3Q25e</v>
      </c>
      <c r="BY483" s="596" t="str">
        <f t="shared" si="299"/>
        <v>4Q25e</v>
      </c>
      <c r="BZ483" s="596" t="str">
        <f t="shared" si="299"/>
        <v>1Q26e</v>
      </c>
      <c r="CA483" s="596" t="str">
        <f t="shared" si="299"/>
        <v>2Q26e</v>
      </c>
      <c r="CB483" s="596" t="str">
        <f t="shared" si="299"/>
        <v>3Q26e</v>
      </c>
      <c r="CC483" s="596" t="str">
        <f t="shared" si="299"/>
        <v>4Q26e</v>
      </c>
      <c r="CD483" s="596" t="str">
        <f t="shared" si="299"/>
        <v>1Q27e</v>
      </c>
      <c r="CE483" s="596" t="str">
        <f t="shared" si="299"/>
        <v>2Q27e</v>
      </c>
      <c r="CF483" s="596" t="str">
        <f t="shared" si="299"/>
        <v>3Q27e</v>
      </c>
      <c r="CG483" s="596" t="str">
        <f t="shared" si="299"/>
        <v>4Q27e</v>
      </c>
      <c r="CH483" s="596" t="str">
        <f t="shared" si="299"/>
        <v>1Q28e</v>
      </c>
      <c r="CI483" s="596" t="str">
        <f t="shared" si="299"/>
        <v>2Q28e</v>
      </c>
      <c r="CJ483" s="596" t="str">
        <f t="shared" si="299"/>
        <v>3Q28e</v>
      </c>
      <c r="CK483" s="596" t="str">
        <f t="shared" si="299"/>
        <v>4Q28e</v>
      </c>
      <c r="CL483" s="596" t="str">
        <f t="shared" si="299"/>
        <v>1Q29e</v>
      </c>
      <c r="CM483" s="596" t="str">
        <f t="shared" si="299"/>
        <v>2Q29e</v>
      </c>
      <c r="CN483" s="596" t="str">
        <f t="shared" si="299"/>
        <v>3Q29e</v>
      </c>
      <c r="CO483" s="596" t="str">
        <f t="shared" si="299"/>
        <v>4Q29e</v>
      </c>
      <c r="CP483" s="596" t="str">
        <f t="shared" si="299"/>
        <v>1Q30e</v>
      </c>
      <c r="CQ483" s="596" t="str">
        <f t="shared" si="299"/>
        <v>2Q30e</v>
      </c>
      <c r="CR483" s="596" t="str">
        <f t="shared" si="299"/>
        <v>3Q30e</v>
      </c>
      <c r="CS483" s="596" t="str">
        <f t="shared" si="299"/>
        <v>4Q30e</v>
      </c>
    </row>
    <row r="484" spans="1:97">
      <c r="A484" s="244"/>
      <c r="B484" s="245"/>
      <c r="C484" s="245"/>
      <c r="D484" s="245"/>
      <c r="E484" s="245"/>
      <c r="F484" s="245"/>
      <c r="G484" s="245"/>
      <c r="H484" s="245"/>
      <c r="I484" s="245"/>
      <c r="J484" s="452"/>
      <c r="K484" s="452"/>
      <c r="L484" s="452"/>
      <c r="M484" s="452"/>
      <c r="N484" s="452"/>
      <c r="O484" s="452"/>
      <c r="P484" s="452"/>
      <c r="Q484" s="452"/>
      <c r="R484" s="452"/>
      <c r="S484" s="452"/>
      <c r="T484" s="452"/>
      <c r="U484" s="452"/>
      <c r="V484" s="452"/>
      <c r="W484" s="452"/>
      <c r="X484" s="452"/>
      <c r="Y484" s="452"/>
      <c r="Z484" s="452"/>
      <c r="AA484" s="452"/>
      <c r="AB484" s="452"/>
      <c r="AC484" s="452">
        <f>Q_IS!U294</f>
        <v>6.7487487392174556E-2</v>
      </c>
      <c r="AD484" s="452">
        <f>Q_IS!V294</f>
        <v>8.4479949579612967E-2</v>
      </c>
      <c r="AE484" s="452">
        <f>Q_IS!W294</f>
        <v>8.8921585924080115E-2</v>
      </c>
      <c r="AF484" s="452">
        <f>Q_IS!X294</f>
        <v>9.2133984430702198E-2</v>
      </c>
      <c r="AG484" s="452">
        <f>Q_IS!Y294</f>
        <v>0.11003734527194388</v>
      </c>
      <c r="AH484" s="452">
        <f>Q_IS!Z294</f>
        <v>7.7171560710075235E-2</v>
      </c>
      <c r="AI484" s="452">
        <f>Q_IS!AA294</f>
        <v>7.6437056602587372E-2</v>
      </c>
      <c r="AJ484" s="452">
        <f>Q_IS!AB294</f>
        <v>7.587750751607357E-2</v>
      </c>
      <c r="AK484" s="452">
        <f>Q_IS!AC294</f>
        <v>7.7268748019887951E-2</v>
      </c>
      <c r="AL484" s="452">
        <f>Q_IS!AD294</f>
        <v>7.883502289460978E-2</v>
      </c>
      <c r="AM484" s="452">
        <f>Q_IS!AE294</f>
        <v>7.2471134737503606E-2</v>
      </c>
      <c r="AN484" s="452">
        <f>Q_IS!AF294</f>
        <v>7.3138738827309022E-2</v>
      </c>
      <c r="AO484" s="452">
        <f>Q_IS!AG294</f>
        <v>7.1874950890775821E-2</v>
      </c>
      <c r="AP484" s="452">
        <f>Q_IS!AH294</f>
        <v>7.2017905053283218E-2</v>
      </c>
      <c r="AQ484" s="452">
        <f>Q_IS!AI294</f>
        <v>7.4004174044649998E-2</v>
      </c>
      <c r="AR484" s="452">
        <f>Q_IS!AJ294</f>
        <v>6.4354770254065025E-2</v>
      </c>
      <c r="AS484" s="452">
        <f>Q_IS!AK294</f>
        <v>7.5084770100594611E-2</v>
      </c>
      <c r="AT484" s="452">
        <f>Q_IS!AL294</f>
        <v>6.9321783252774299E-2</v>
      </c>
      <c r="AU484" s="452">
        <f>Q_IS!AM294</f>
        <v>6.6320380507435078E-2</v>
      </c>
      <c r="AV484" s="452">
        <f>Q_IS!AN294</f>
        <v>6.0047579882054176E-2</v>
      </c>
      <c r="AW484" s="452">
        <f>Q_IS!AO294</f>
        <v>4.9647611285941348E-2</v>
      </c>
      <c r="AX484" s="452">
        <f>Q_IS!AP294</f>
        <v>6.4720156650685867E-2</v>
      </c>
      <c r="AY484" s="452">
        <f>Q_IS!AQ294</f>
        <v>6.9752849294919553E-2</v>
      </c>
      <c r="AZ484" s="452">
        <f>Q_IS!AR294</f>
        <v>5.4903568869998129E-2</v>
      </c>
      <c r="BA484" s="452">
        <f>Q_IS!AS294</f>
        <v>5.5035416429951932E-2</v>
      </c>
      <c r="BB484" s="452">
        <f>Q_IS!AT294</f>
        <v>4.2987619257684212E-2</v>
      </c>
      <c r="BC484" s="452">
        <f>Q_IS!AU294</f>
        <v>0.13727079865103878</v>
      </c>
      <c r="BD484" s="452">
        <f>Q_IS!AV294</f>
        <v>7.2721205701409566E-2</v>
      </c>
      <c r="BE484" s="452">
        <f>Q_IS!AW294</f>
        <v>8.504639359322104E-2</v>
      </c>
      <c r="BF484" s="452">
        <f>Q_IS!AX294</f>
        <v>7.8079644612060226E-2</v>
      </c>
      <c r="BG484" s="452">
        <f>Q_IS!AY294</f>
        <v>7.3465814264675078E-2</v>
      </c>
      <c r="BH484" s="452">
        <f>Q_IS!AZ294</f>
        <v>6.0083713782684511E-2</v>
      </c>
      <c r="BI484" s="452">
        <f>Q_IS!BA294</f>
        <v>9.2161766548060381E-2</v>
      </c>
      <c r="BJ484" s="452">
        <f>Q_IS!BB294</f>
        <v>6.2176138923559665E-2</v>
      </c>
      <c r="BK484" s="452">
        <f>Q_IS!BC294</f>
        <v>6.1462490867298485E-2</v>
      </c>
      <c r="BL484" s="452">
        <f>Q_IS!BD294</f>
        <v>5.4015212542675758E-2</v>
      </c>
      <c r="BM484" s="452">
        <f>Q_IS!BE294</f>
        <v>5.2246160364545227E-2</v>
      </c>
      <c r="BN484" s="452">
        <f>Q_IS!BF294</f>
        <v>5.0808045694561869E-2</v>
      </c>
      <c r="BO484" s="452">
        <f>Q_IS!BG294</f>
        <v>6.1991476580968458E-2</v>
      </c>
      <c r="BP484" s="452">
        <f>Q_IS!BH294</f>
        <v>5.3797760592798026E-2</v>
      </c>
      <c r="BQ484" s="452">
        <f>Q_IS!BI294</f>
        <v>4.182885002516297E-2</v>
      </c>
      <c r="BR484" s="452">
        <f>Q_IS!BJ294</f>
        <v>5.4544876213739928E-2</v>
      </c>
      <c r="BS484" s="452">
        <f>Q_IS!BK294</f>
        <v>5.4395022842217811E-2</v>
      </c>
      <c r="BT484" s="452">
        <f>Q_IS!BL294</f>
        <v>5.2000000000000005E-2</v>
      </c>
      <c r="BU484" s="452">
        <f>Q_IS!BM294</f>
        <v>5.1000000000000004E-2</v>
      </c>
      <c r="BV484" s="452">
        <f>Q_IS!BN294</f>
        <v>5.5544876213739929E-2</v>
      </c>
      <c r="BW484" s="452">
        <f>Q_IS!BO294</f>
        <v>5.5395022842217811E-2</v>
      </c>
      <c r="BX484" s="452">
        <f>Q_IS!BP294</f>
        <v>5.1000000000000004E-2</v>
      </c>
      <c r="BY484" s="452">
        <f>Q_IS!BQ294</f>
        <v>0.05</v>
      </c>
      <c r="BZ484" s="452">
        <f>Q_IS!BR294</f>
        <v>5.4544876213739928E-2</v>
      </c>
      <c r="CA484" s="452">
        <f>Q_IS!BS294</f>
        <v>5.4395022842217811E-2</v>
      </c>
      <c r="CB484" s="452">
        <f>Q_IS!BT294</f>
        <v>0.05</v>
      </c>
      <c r="CC484" s="452">
        <f>Q_IS!BU294</f>
        <v>4.9000000000000002E-2</v>
      </c>
      <c r="CD484" s="452">
        <f>Q_IS!BV294</f>
        <v>5.3544876213739927E-2</v>
      </c>
      <c r="CE484" s="452">
        <f>Q_IS!BW294</f>
        <v>5.339502284221781E-2</v>
      </c>
      <c r="CF484" s="452">
        <f>Q_IS!BX294</f>
        <v>4.9000000000000002E-2</v>
      </c>
      <c r="CG484" s="452">
        <f>Q_IS!BY294</f>
        <v>4.8000000000000001E-2</v>
      </c>
      <c r="CH484" s="452">
        <f>Q_IS!BZ294</f>
        <v>5.4544876213739928E-2</v>
      </c>
      <c r="CI484" s="452">
        <f>Q_IS!CA294</f>
        <v>5.4395022842217811E-2</v>
      </c>
      <c r="CJ484" s="452">
        <f>Q_IS!CB294</f>
        <v>0.05</v>
      </c>
      <c r="CK484" s="452">
        <f>Q_IS!CC294</f>
        <v>4.9000000000000002E-2</v>
      </c>
      <c r="CL484" s="452">
        <f>Q_IS!CD294</f>
        <v>5.4544876213739928E-2</v>
      </c>
      <c r="CM484" s="452">
        <f>Q_IS!CE294</f>
        <v>5.4395022842217811E-2</v>
      </c>
      <c r="CN484" s="452">
        <f>Q_IS!CF294</f>
        <v>0.05</v>
      </c>
      <c r="CO484" s="452">
        <f>Q_IS!CG294</f>
        <v>4.9000000000000002E-2</v>
      </c>
      <c r="CP484" s="452">
        <f>Q_IS!CH294</f>
        <v>5.4544876213739928E-2</v>
      </c>
      <c r="CQ484" s="452">
        <f>Q_IS!CI294</f>
        <v>5.4395022842217811E-2</v>
      </c>
      <c r="CR484" s="452">
        <f>Q_IS!CJ294</f>
        <v>0.05</v>
      </c>
      <c r="CS484" s="452">
        <f>Q_IS!CK294</f>
        <v>4.9000000000000002E-2</v>
      </c>
    </row>
    <row r="485" spans="1:97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</row>
    <row r="486" spans="1:97">
      <c r="A486" s="242" t="s">
        <v>190</v>
      </c>
      <c r="B486" s="595"/>
      <c r="C486" s="595"/>
      <c r="D486" s="595"/>
      <c r="E486" s="595"/>
      <c r="F486" s="595"/>
      <c r="G486" s="595"/>
      <c r="H486" s="595"/>
      <c r="I486" s="595"/>
      <c r="J486" s="595" t="str">
        <f t="shared" ref="J486:AO486" si="300">J$453</f>
        <v>1Q09</v>
      </c>
      <c r="K486" s="595" t="str">
        <f t="shared" si="300"/>
        <v>2Q09</v>
      </c>
      <c r="L486" s="595" t="str">
        <f t="shared" si="300"/>
        <v>3Q09</v>
      </c>
      <c r="M486" s="595" t="str">
        <f t="shared" si="300"/>
        <v>4Q09</v>
      </c>
      <c r="N486" s="595" t="str">
        <f t="shared" si="300"/>
        <v>1Q10</v>
      </c>
      <c r="O486" s="595" t="str">
        <f t="shared" si="300"/>
        <v>2Q10</v>
      </c>
      <c r="P486" s="595" t="str">
        <f t="shared" si="300"/>
        <v>3Q10</v>
      </c>
      <c r="Q486" s="595" t="str">
        <f t="shared" si="300"/>
        <v>4Q10</v>
      </c>
      <c r="R486" s="595" t="str">
        <f t="shared" si="300"/>
        <v>1Q11</v>
      </c>
      <c r="S486" s="595" t="str">
        <f t="shared" si="300"/>
        <v>2Q11</v>
      </c>
      <c r="T486" s="595" t="str">
        <f t="shared" si="300"/>
        <v>3Q11</v>
      </c>
      <c r="U486" s="595" t="str">
        <f t="shared" si="300"/>
        <v>4Q11</v>
      </c>
      <c r="V486" s="595" t="str">
        <f t="shared" si="300"/>
        <v>1Q12</v>
      </c>
      <c r="W486" s="595" t="str">
        <f t="shared" si="300"/>
        <v>2Q12</v>
      </c>
      <c r="X486" s="595" t="str">
        <f t="shared" si="300"/>
        <v>3Q12</v>
      </c>
      <c r="Y486" s="595" t="str">
        <f t="shared" si="300"/>
        <v>4Q12</v>
      </c>
      <c r="Z486" s="595" t="str">
        <f t="shared" si="300"/>
        <v>1Q13</v>
      </c>
      <c r="AA486" s="595" t="str">
        <f t="shared" si="300"/>
        <v>2Q13</v>
      </c>
      <c r="AB486" s="595" t="str">
        <f t="shared" si="300"/>
        <v>3Q13</v>
      </c>
      <c r="AC486" s="595" t="str">
        <f t="shared" si="300"/>
        <v>4Q13</v>
      </c>
      <c r="AD486" s="595" t="str">
        <f t="shared" si="300"/>
        <v>1Q14</v>
      </c>
      <c r="AE486" s="595" t="str">
        <f t="shared" si="300"/>
        <v>2Q14</v>
      </c>
      <c r="AF486" s="595" t="str">
        <f t="shared" si="300"/>
        <v>3Q14</v>
      </c>
      <c r="AG486" s="595" t="str">
        <f t="shared" si="300"/>
        <v>4Q14</v>
      </c>
      <c r="AH486" s="595" t="str">
        <f t="shared" si="300"/>
        <v>1Q15</v>
      </c>
      <c r="AI486" s="595" t="str">
        <f t="shared" si="300"/>
        <v>2Q15</v>
      </c>
      <c r="AJ486" s="595" t="str">
        <f t="shared" si="300"/>
        <v>3Q15</v>
      </c>
      <c r="AK486" s="595" t="str">
        <f t="shared" si="300"/>
        <v>4Q15</v>
      </c>
      <c r="AL486" s="595" t="str">
        <f t="shared" si="300"/>
        <v>1Q16</v>
      </c>
      <c r="AM486" s="595" t="str">
        <f t="shared" si="300"/>
        <v>2Q16</v>
      </c>
      <c r="AN486" s="595" t="str">
        <f t="shared" si="300"/>
        <v>3Q16</v>
      </c>
      <c r="AO486" s="595" t="str">
        <f t="shared" si="300"/>
        <v>4Q16</v>
      </c>
      <c r="AP486" s="595" t="str">
        <f t="shared" ref="AP486:CS486" si="301">AP$453</f>
        <v>1Q17</v>
      </c>
      <c r="AQ486" s="595" t="str">
        <f t="shared" si="301"/>
        <v>2Q17</v>
      </c>
      <c r="AR486" s="595" t="str">
        <f t="shared" si="301"/>
        <v>3Q17</v>
      </c>
      <c r="AS486" s="595" t="str">
        <f t="shared" si="301"/>
        <v>4Q17</v>
      </c>
      <c r="AT486" s="595" t="str">
        <f t="shared" si="301"/>
        <v>1Q18</v>
      </c>
      <c r="AU486" s="595" t="str">
        <f t="shared" si="301"/>
        <v>2Q18</v>
      </c>
      <c r="AV486" s="595" t="str">
        <f t="shared" si="301"/>
        <v>3Q18</v>
      </c>
      <c r="AW486" s="595" t="str">
        <f t="shared" si="301"/>
        <v>4Q18</v>
      </c>
      <c r="AX486" s="595" t="str">
        <f t="shared" si="301"/>
        <v>1Q19</v>
      </c>
      <c r="AY486" s="595" t="str">
        <f t="shared" si="301"/>
        <v>2Q19</v>
      </c>
      <c r="AZ486" s="595" t="str">
        <f t="shared" si="301"/>
        <v>3Q19</v>
      </c>
      <c r="BA486" s="595" t="str">
        <f t="shared" si="301"/>
        <v>4Q19</v>
      </c>
      <c r="BB486" s="595" t="str">
        <f t="shared" si="301"/>
        <v>1Q20</v>
      </c>
      <c r="BC486" s="595" t="str">
        <f t="shared" si="301"/>
        <v>2Q20</v>
      </c>
      <c r="BD486" s="595" t="str">
        <f t="shared" si="301"/>
        <v>3Q20</v>
      </c>
      <c r="BE486" s="595" t="str">
        <f t="shared" si="301"/>
        <v>4Q20</v>
      </c>
      <c r="BF486" s="595" t="str">
        <f t="shared" si="301"/>
        <v>1Q21</v>
      </c>
      <c r="BG486" s="595" t="str">
        <f t="shared" si="301"/>
        <v>2Q21</v>
      </c>
      <c r="BH486" s="595" t="str">
        <f t="shared" si="301"/>
        <v>3Q21</v>
      </c>
      <c r="BI486" s="595" t="str">
        <f t="shared" si="301"/>
        <v>4Q21</v>
      </c>
      <c r="BJ486" s="595" t="str">
        <f t="shared" si="301"/>
        <v>1Q22</v>
      </c>
      <c r="BK486" s="595" t="str">
        <f t="shared" si="301"/>
        <v>2Q22</v>
      </c>
      <c r="BL486" s="595" t="str">
        <f t="shared" si="301"/>
        <v>3Q22</v>
      </c>
      <c r="BM486" s="595" t="str">
        <f t="shared" si="301"/>
        <v>4Q22</v>
      </c>
      <c r="BN486" s="595" t="str">
        <f t="shared" si="301"/>
        <v>1Q23</v>
      </c>
      <c r="BO486" s="595" t="str">
        <f t="shared" si="301"/>
        <v>2Q23</v>
      </c>
      <c r="BP486" s="595" t="str">
        <f t="shared" si="301"/>
        <v>3Q23</v>
      </c>
      <c r="BQ486" s="595" t="str">
        <f t="shared" si="301"/>
        <v>4Q23</v>
      </c>
      <c r="BR486" s="595" t="str">
        <f t="shared" si="301"/>
        <v>1Q24</v>
      </c>
      <c r="BS486" s="596" t="str">
        <f t="shared" si="301"/>
        <v>2Q24e</v>
      </c>
      <c r="BT486" s="596" t="str">
        <f t="shared" si="301"/>
        <v>3Q24e</v>
      </c>
      <c r="BU486" s="596" t="str">
        <f t="shared" si="301"/>
        <v>4Q24e</v>
      </c>
      <c r="BV486" s="596" t="str">
        <f t="shared" si="301"/>
        <v>1Q25e</v>
      </c>
      <c r="BW486" s="596" t="str">
        <f t="shared" si="301"/>
        <v>2Q25e</v>
      </c>
      <c r="BX486" s="596" t="str">
        <f t="shared" si="301"/>
        <v>3Q25e</v>
      </c>
      <c r="BY486" s="596" t="str">
        <f t="shared" si="301"/>
        <v>4Q25e</v>
      </c>
      <c r="BZ486" s="596" t="str">
        <f t="shared" si="301"/>
        <v>1Q26e</v>
      </c>
      <c r="CA486" s="596" t="str">
        <f t="shared" si="301"/>
        <v>2Q26e</v>
      </c>
      <c r="CB486" s="596" t="str">
        <f t="shared" si="301"/>
        <v>3Q26e</v>
      </c>
      <c r="CC486" s="596" t="str">
        <f t="shared" si="301"/>
        <v>4Q26e</v>
      </c>
      <c r="CD486" s="596" t="str">
        <f t="shared" si="301"/>
        <v>1Q27e</v>
      </c>
      <c r="CE486" s="596" t="str">
        <f t="shared" si="301"/>
        <v>2Q27e</v>
      </c>
      <c r="CF486" s="596" t="str">
        <f t="shared" si="301"/>
        <v>3Q27e</v>
      </c>
      <c r="CG486" s="596" t="str">
        <f t="shared" si="301"/>
        <v>4Q27e</v>
      </c>
      <c r="CH486" s="596" t="str">
        <f t="shared" si="301"/>
        <v>1Q28e</v>
      </c>
      <c r="CI486" s="596" t="str">
        <f t="shared" si="301"/>
        <v>2Q28e</v>
      </c>
      <c r="CJ486" s="596" t="str">
        <f t="shared" si="301"/>
        <v>3Q28e</v>
      </c>
      <c r="CK486" s="596" t="str">
        <f t="shared" si="301"/>
        <v>4Q28e</v>
      </c>
      <c r="CL486" s="596" t="str">
        <f t="shared" si="301"/>
        <v>1Q29e</v>
      </c>
      <c r="CM486" s="596" t="str">
        <f t="shared" si="301"/>
        <v>2Q29e</v>
      </c>
      <c r="CN486" s="596" t="str">
        <f t="shared" si="301"/>
        <v>3Q29e</v>
      </c>
      <c r="CO486" s="596" t="str">
        <f t="shared" si="301"/>
        <v>4Q29e</v>
      </c>
      <c r="CP486" s="596" t="str">
        <f t="shared" si="301"/>
        <v>1Q30e</v>
      </c>
      <c r="CQ486" s="596" t="str">
        <f t="shared" si="301"/>
        <v>2Q30e</v>
      </c>
      <c r="CR486" s="596" t="str">
        <f t="shared" si="301"/>
        <v>3Q30e</v>
      </c>
      <c r="CS486" s="596" t="str">
        <f t="shared" si="301"/>
        <v>4Q30e</v>
      </c>
    </row>
    <row r="487" spans="1:97">
      <c r="A487" s="36" t="s">
        <v>191</v>
      </c>
      <c r="B487" s="92"/>
      <c r="C487" s="92"/>
      <c r="D487" s="92"/>
      <c r="E487" s="92"/>
      <c r="F487" s="92"/>
      <c r="G487" s="92"/>
      <c r="H487" s="92"/>
      <c r="I487" s="92"/>
      <c r="J487" s="92">
        <f>Q_Financials!B23</f>
        <v>173.76999999999998</v>
      </c>
      <c r="K487" s="92">
        <f>Q_Financials!C23</f>
        <v>190.00599999999986</v>
      </c>
      <c r="L487" s="92">
        <f>Q_Financials!D23</f>
        <v>237.23299999999972</v>
      </c>
      <c r="M487" s="92">
        <f>Q_Financials!E23</f>
        <v>399.22699999999986</v>
      </c>
      <c r="N487" s="92">
        <f>Q_Financials!F23</f>
        <v>223.70600000000013</v>
      </c>
      <c r="O487" s="92">
        <f>Q_Financials!G23</f>
        <v>253.53999999999996</v>
      </c>
      <c r="P487" s="92">
        <f>Q_Financials!H23</f>
        <v>237.52099999999996</v>
      </c>
      <c r="Q487" s="92">
        <f>Q_Financials!I23</f>
        <v>283.86399999999981</v>
      </c>
      <c r="R487" s="92">
        <f>Q_Financials!J23</f>
        <v>227.35200000000009</v>
      </c>
      <c r="S487" s="92">
        <f>Q_Financials!K23</f>
        <v>310.75700000000029</v>
      </c>
      <c r="T487" s="92">
        <f>Q_Financials!L23</f>
        <v>284.21600000000012</v>
      </c>
      <c r="U487" s="92">
        <f>Q_Financials!M23</f>
        <v>292.52199999999993</v>
      </c>
      <c r="V487" s="92">
        <f>Q_Financials!N23</f>
        <v>285.25699999999983</v>
      </c>
      <c r="W487" s="92">
        <f>Q_Financials!O23</f>
        <v>431.18499999999972</v>
      </c>
      <c r="X487" s="92">
        <f>Q_Financials!P23</f>
        <v>412.52399999999989</v>
      </c>
      <c r="Y487" s="92">
        <f>Q_Financials!Q23</f>
        <v>479.09899999999993</v>
      </c>
      <c r="Z487" s="92">
        <f>Q_Financials!R23</f>
        <v>373.4670000000001</v>
      </c>
      <c r="AA487" s="92">
        <f>Q_Financials!S23</f>
        <v>505.00700000000006</v>
      </c>
      <c r="AB487" s="92">
        <f>Q_Financials!T23</f>
        <v>545.93199999999979</v>
      </c>
      <c r="AC487" s="92">
        <f>Q_Financials!U23</f>
        <v>912</v>
      </c>
      <c r="AD487" s="92">
        <f>Q_Financials!V23</f>
        <v>761</v>
      </c>
      <c r="AE487" s="92">
        <f>Q_Financials!W23</f>
        <v>1081</v>
      </c>
      <c r="AF487" s="92">
        <f>Q_Financials!X23</f>
        <v>1231</v>
      </c>
      <c r="AG487" s="92">
        <f>Q_Financials!Y23</f>
        <v>1915</v>
      </c>
      <c r="AH487" s="92">
        <f>Q_Financials!Z23</f>
        <v>1417</v>
      </c>
      <c r="AI487" s="92">
        <f>Q_Financials!AA23</f>
        <v>1591</v>
      </c>
      <c r="AJ487" s="92">
        <f>Q_Financials!AB23</f>
        <v>1711</v>
      </c>
      <c r="AK487" s="92">
        <f>Q_Financials!AC23</f>
        <v>2059</v>
      </c>
      <c r="AL487" s="92">
        <f>Q_Financials!AD23</f>
        <v>1708</v>
      </c>
      <c r="AM487" s="92">
        <f>Q_Financials!AE23</f>
        <v>1880</v>
      </c>
      <c r="AN487" s="92">
        <f>Q_Financials!AF23</f>
        <v>2030</v>
      </c>
      <c r="AO487" s="92">
        <f>Q_Financials!AG23</f>
        <v>2324</v>
      </c>
      <c r="AP487" s="92">
        <f>Q_Financials!AH23</f>
        <v>2014</v>
      </c>
      <c r="AQ487" s="92">
        <f>Q_Financials!AI23</f>
        <v>2172</v>
      </c>
      <c r="AR487" s="92">
        <f>Q_Financials!AJ23</f>
        <v>2089</v>
      </c>
      <c r="AS487" s="92">
        <f>Q_Financials!AK23</f>
        <v>2621</v>
      </c>
      <c r="AT487" s="92">
        <f>Q_Financials!AL23</f>
        <v>2196</v>
      </c>
      <c r="AU487" s="92">
        <f>Q_Financials!AM23</f>
        <v>2330</v>
      </c>
      <c r="AV487" s="92">
        <f>Q_Financials!AN23</f>
        <v>2220</v>
      </c>
      <c r="AW487" s="92">
        <f>Q_Financials!AO23</f>
        <v>2479</v>
      </c>
      <c r="AX487" s="92">
        <f>Q_Financials!AP23</f>
        <v>2430</v>
      </c>
      <c r="AY487" s="92">
        <f>Q_Financials!AQ23</f>
        <v>2852</v>
      </c>
      <c r="AZ487" s="92">
        <f>Q_Financials!AR23</f>
        <v>2715</v>
      </c>
      <c r="BA487" s="92">
        <f>Q_Financials!AS23</f>
        <v>3217</v>
      </c>
      <c r="BB487" s="92">
        <f>Q_Financials!AT23</f>
        <v>1747</v>
      </c>
      <c r="BC487" s="329">
        <f>Q_Financials!AU23</f>
        <v>-1038</v>
      </c>
      <c r="BD487" s="329">
        <f>Q_Financials!AV23</f>
        <v>1136</v>
      </c>
      <c r="BE487" s="329">
        <f>Q_Financials!AW23</f>
        <v>2506</v>
      </c>
      <c r="BF487" s="329">
        <f>Q_Financials!AX23</f>
        <v>1488</v>
      </c>
      <c r="BG487" s="329">
        <f>Q_Financials!AY23</f>
        <v>2447</v>
      </c>
      <c r="BH487" s="329">
        <f>Q_Financials!AZ23</f>
        <v>2695</v>
      </c>
      <c r="BI487" s="329">
        <f>Q_Financials!BA23</f>
        <v>4001</v>
      </c>
      <c r="BJ487" s="329">
        <f>Q_Financials!BB23</f>
        <v>2809</v>
      </c>
      <c r="BK487" s="329">
        <f>Q_Financials!BC23</f>
        <v>3263</v>
      </c>
      <c r="BL487" s="329">
        <f>Q_Financials!BD23</f>
        <v>3081</v>
      </c>
      <c r="BM487" s="329">
        <f>Q_Financials!BE23</f>
        <v>3606</v>
      </c>
      <c r="BN487" s="329">
        <f>Q_Financials!BF23</f>
        <v>3202</v>
      </c>
      <c r="BO487" s="329">
        <f>Q_Financials!BG23</f>
        <v>3749</v>
      </c>
      <c r="BP487" s="329">
        <f>Q_Financials!BH23</f>
        <v>3753</v>
      </c>
      <c r="BQ487" s="329">
        <f>Q_Financials!BI23</f>
        <v>4053</v>
      </c>
      <c r="BR487" s="329">
        <f>Q_Financials!BJ23</f>
        <v>3582</v>
      </c>
      <c r="BS487" s="329">
        <f>Q_Financials!BK23</f>
        <v>3794</v>
      </c>
      <c r="BT487" s="329">
        <f>Q_Financials!BL23</f>
        <v>3756.9602481233051</v>
      </c>
      <c r="BU487" s="329">
        <f>Q_Financials!BM23</f>
        <v>4118.1531545467624</v>
      </c>
      <c r="BV487" s="329">
        <f>Q_Financials!BN23</f>
        <v>3784.9463816058928</v>
      </c>
      <c r="BW487" s="329">
        <f>Q_Financials!BO23</f>
        <v>4050.5145028625848</v>
      </c>
      <c r="BX487" s="329">
        <f>Q_Financials!BP23</f>
        <v>4075.988225903443</v>
      </c>
      <c r="BY487" s="329">
        <f>Q_Financials!BQ23</f>
        <v>4451.5207284091166</v>
      </c>
      <c r="BZ487" s="329">
        <f>Q_Financials!BR23</f>
        <v>4068.6786573806462</v>
      </c>
      <c r="CA487" s="329">
        <f>Q_Financials!BS23</f>
        <v>4318.8427072309087</v>
      </c>
      <c r="CB487" s="329">
        <f>Q_Financials!BT23</f>
        <v>4347.6789821458988</v>
      </c>
      <c r="CC487" s="329">
        <f>Q_Financials!BU23</f>
        <v>4747.2778724390964</v>
      </c>
      <c r="CD487" s="329">
        <f>Q_Financials!BV23</f>
        <v>4316.2650448382883</v>
      </c>
      <c r="CE487" s="329">
        <f>Q_Financials!BW23</f>
        <v>4577.3599913915414</v>
      </c>
      <c r="CF487" s="329">
        <f>Q_Financials!BX23</f>
        <v>4611.7649369102328</v>
      </c>
      <c r="CG487" s="329">
        <f>Q_Financials!BY23</f>
        <v>5038.9298917713695</v>
      </c>
      <c r="CH487" s="329">
        <f>Q_Financials!BZ23</f>
        <v>4417.2442140236817</v>
      </c>
      <c r="CI487" s="329">
        <f>Q_Financials!CA23</f>
        <v>4684.7402181828247</v>
      </c>
      <c r="CJ487" s="329">
        <f>Q_Financials!CB23</f>
        <v>4723.5787476268815</v>
      </c>
      <c r="CK487" s="329">
        <f>Q_Financials!CC23</f>
        <v>5169.6635409382288</v>
      </c>
      <c r="CL487" s="329">
        <f>Q_Financials!CD23</f>
        <v>4642.3412313995641</v>
      </c>
      <c r="CM487" s="329">
        <f>Q_Financials!CE23</f>
        <v>4920.1851618812543</v>
      </c>
      <c r="CN487" s="329">
        <f>Q_Financials!CF23</f>
        <v>4968.0710786860845</v>
      </c>
      <c r="CO487" s="329">
        <f>Q_Financials!CG23</f>
        <v>5445.5919332994945</v>
      </c>
      <c r="CP487" s="329">
        <f>Q_Financials!CH23</f>
        <v>4876.7377336894824</v>
      </c>
      <c r="CQ487" s="329">
        <f>Q_Financials!CI23</f>
        <v>5162.9257483180172</v>
      </c>
      <c r="CR487" s="329">
        <f>Q_Financials!CJ23</f>
        <v>5218.1283241570227</v>
      </c>
      <c r="CS487" s="329">
        <f>Q_Financials!CK23</f>
        <v>5724.3065413237091</v>
      </c>
    </row>
    <row r="488" spans="1:97">
      <c r="A488" s="244" t="s">
        <v>309</v>
      </c>
      <c r="B488" s="831"/>
      <c r="C488" s="831"/>
      <c r="D488" s="831"/>
      <c r="E488" s="831"/>
      <c r="F488" s="831"/>
      <c r="G488" s="831"/>
      <c r="H488" s="831"/>
      <c r="I488" s="831"/>
      <c r="J488" s="831">
        <f>J487/(SUM(J487:M487))</f>
        <v>0.17372899995601046</v>
      </c>
      <c r="K488" s="831">
        <f>K487/(SUM(J487:M487))</f>
        <v>0.18996116916407724</v>
      </c>
      <c r="L488" s="831">
        <f>L487/(SUM(J487:M487))</f>
        <v>0.2371770262218115</v>
      </c>
      <c r="M488" s="831">
        <f>M487/(SUM(J487:M487))</f>
        <v>0.3991328046581008</v>
      </c>
      <c r="N488" s="831">
        <f>N487/(SUM(N487:Q487))</f>
        <v>0.22401267334981606</v>
      </c>
      <c r="O488" s="831">
        <f>O487/(SUM(N487:Q487))</f>
        <v>0.25388757208618601</v>
      </c>
      <c r="P488" s="831">
        <f>P487/(SUM(N487:Q487))</f>
        <v>0.23784661201184421</v>
      </c>
      <c r="Q488" s="831">
        <f>Q487/(SUM(N487:Q487))</f>
        <v>0.28425314255215373</v>
      </c>
      <c r="R488" s="831">
        <f>R487/(SUM(R487:U487))</f>
        <v>0.20393112238719752</v>
      </c>
      <c r="S488" s="831">
        <f>S487/(SUM(R487:U487))</f>
        <v>0.278744078783905</v>
      </c>
      <c r="T488" s="831">
        <f>T487/(SUM(R487:U487))</f>
        <v>0.25493722456982887</v>
      </c>
      <c r="U488" s="831">
        <f>U487/(SUM(R487:U487))</f>
        <v>0.26238757425906856</v>
      </c>
      <c r="V488" s="831">
        <f>V487/(SUM(V487:Y487))</f>
        <v>0.17739146116605981</v>
      </c>
      <c r="W488" s="831">
        <f>W487/(SUM(V487:Y487))</f>
        <v>0.26813903666829381</v>
      </c>
      <c r="X488" s="831">
        <f>X487/(SUM(V487:Y487))</f>
        <v>0.25653440625845353</v>
      </c>
      <c r="Y488" s="831">
        <f>Y487/(SUM(V487:Y487))</f>
        <v>0.29793509590719286</v>
      </c>
      <c r="Z488" s="831">
        <f>Z487/(SUM(Z487:AC487))</f>
        <v>0.15984679032668128</v>
      </c>
      <c r="AA488" s="831">
        <f>AA487/(SUM(Z487:AC487))</f>
        <v>0.21614693679095159</v>
      </c>
      <c r="AB488" s="831">
        <f>AB487/(SUM(Z487:AC487))</f>
        <v>0.23366315614666278</v>
      </c>
      <c r="AC488" s="831">
        <f>AC487/(SUM(Z487:AC487))</f>
        <v>0.39034311673570432</v>
      </c>
      <c r="AD488" s="831">
        <f>AD487/(SUM(AD487:AG487))</f>
        <v>0.15256615878107457</v>
      </c>
      <c r="AE488" s="831">
        <f>AE487/(SUM(AD487:AG487))</f>
        <v>0.21672012830793905</v>
      </c>
      <c r="AF488" s="831">
        <f>AF487/(SUM(AD487:AG487))</f>
        <v>0.24679230152365678</v>
      </c>
      <c r="AG488" s="831">
        <f>AG487/(SUM(AD487:AG487))</f>
        <v>0.3839214113873296</v>
      </c>
      <c r="AH488" s="831">
        <f>AH487/(SUM(AH487:AK487))</f>
        <v>0.20905871938624962</v>
      </c>
      <c r="AI488" s="831">
        <f>AI487/(SUM(AH487:AK487))</f>
        <v>0.23473000885216877</v>
      </c>
      <c r="AJ488" s="831">
        <f>AJ487/(SUM(AH487:AK487))</f>
        <v>0.25243434641487167</v>
      </c>
      <c r="AK488" s="831">
        <f>AK487/(SUM(AH487:AK487))</f>
        <v>0.30377692534670997</v>
      </c>
      <c r="AL488" s="831">
        <f>AL487/(SUM(AL487:AO487))</f>
        <v>0.21505917904809871</v>
      </c>
      <c r="AM488" s="831">
        <f>AM487/(SUM(AL487:AO487))</f>
        <v>0.23671619239486275</v>
      </c>
      <c r="AN488" s="831">
        <f>AN487/(SUM(AL487:AO487))</f>
        <v>0.25560312263913371</v>
      </c>
      <c r="AO488" s="831">
        <f>AO487/(SUM(AL487:AO487))</f>
        <v>0.29262150591790481</v>
      </c>
      <c r="AP488" s="831">
        <f>AP487/(SUM(AP487:AS487))</f>
        <v>0.22639388489208634</v>
      </c>
      <c r="AQ488" s="831">
        <f>AQ487/(SUM(AP487:AS487))</f>
        <v>0.24415467625899281</v>
      </c>
      <c r="AR488" s="831">
        <f>AR487/(SUM(AP487:AS487))</f>
        <v>0.23482464028776978</v>
      </c>
      <c r="AS488" s="831">
        <f>AS487/(SUM(AP487:AS487))</f>
        <v>0.29462679856115109</v>
      </c>
      <c r="AT488" s="831">
        <f>AT487/(SUM(AT487:AW487))</f>
        <v>0.23804878048780487</v>
      </c>
      <c r="AU488" s="831">
        <f>AU487/(SUM(AT487:AW487))</f>
        <v>0.25257452574525746</v>
      </c>
      <c r="AV488" s="831">
        <f>AV487/(SUM(AT487:AW487))</f>
        <v>0.24065040650406505</v>
      </c>
      <c r="AW488" s="831">
        <f>AW487/(SUM(AT487:AW487))</f>
        <v>0.26872628726287262</v>
      </c>
      <c r="AX488" s="831">
        <f>AX487/(SUM(AX487:BA487))</f>
        <v>0.21669341894060995</v>
      </c>
      <c r="AY488" s="831">
        <f>AY487/(SUM(AX487:BA487))</f>
        <v>0.25432495095416446</v>
      </c>
      <c r="AZ488" s="831">
        <f>AZ487/(SUM(AX487:BA487))</f>
        <v>0.24210807918673088</v>
      </c>
      <c r="BA488" s="831">
        <f>BA487/(SUM(AX487:BA487))</f>
        <v>0.28687355091849476</v>
      </c>
      <c r="BB488" s="831">
        <f>BB487/(SUM(BB487:BE487))</f>
        <v>0.40151689266835211</v>
      </c>
      <c r="BC488" s="832">
        <f>BC487/(SUM(BB487:BE487))</f>
        <v>-0.23856584693173982</v>
      </c>
      <c r="BD488" s="832">
        <f>BD487/(SUM(BB487:BE487))</f>
        <v>0.26108940473454378</v>
      </c>
      <c r="BE488" s="832">
        <f>BE487/(SUM(BB487:BE487))</f>
        <v>0.57595954952884398</v>
      </c>
      <c r="BF488" s="832">
        <f>BF487/(SUM(BF487:BI487))</f>
        <v>0.13996801806038942</v>
      </c>
      <c r="BG488" s="832">
        <f>BG487/(SUM(BF487:BI487))</f>
        <v>0.23017590066785815</v>
      </c>
      <c r="BH488" s="832">
        <f>BH487/(SUM(BF487:BI487))</f>
        <v>0.25350390367792308</v>
      </c>
      <c r="BI488" s="832">
        <f>BI487/(SUM(BF487:BI487))</f>
        <v>0.37635217759382938</v>
      </c>
      <c r="BJ488" s="832">
        <f>BJ487/(SUM(BJ487:BM487))</f>
        <v>0.22015831961752488</v>
      </c>
      <c r="BK488" s="832">
        <f>BK487/(SUM(BJ487:BM487))</f>
        <v>0.25574104553648402</v>
      </c>
      <c r="BL488" s="832">
        <f>BL487/(SUM(BJ487:BM487))</f>
        <v>0.24147660474958851</v>
      </c>
      <c r="BM488" s="832">
        <f>BM487/(SUM(BJ487:BM487))</f>
        <v>0.28262403009640252</v>
      </c>
      <c r="BN488" s="832">
        <f>BN487/(SUM(BN487:BQ487))</f>
        <v>0.2169817713627431</v>
      </c>
      <c r="BO488" s="832">
        <f>BO487/(SUM(BN487:BQ487))</f>
        <v>0.25404892593345529</v>
      </c>
      <c r="BP488" s="832">
        <f>BP487/(SUM(BO487:BR487))</f>
        <v>0.24793552223029663</v>
      </c>
      <c r="BQ488" s="832">
        <f>BQ487/(SUM(BN487:BQ487))</f>
        <v>0.2746493189672698</v>
      </c>
      <c r="BR488" s="832">
        <f>BR487/(SUM(BQ487:BT487))</f>
        <v>0.23587576560676607</v>
      </c>
      <c r="BS488" s="832">
        <f>BS487/(SUM(BR487:BU487))</f>
        <v>0.24876872263868752</v>
      </c>
      <c r="BT488" s="832">
        <f>BT487/(SUM(BR487:BU487))</f>
        <v>0.24634006376646314</v>
      </c>
      <c r="BU488" s="832">
        <f>BU487/(SUM(BR487:BU487))</f>
        <v>0.27002311541567731</v>
      </c>
      <c r="BV488" s="832">
        <f>BV487/(SUM(BV487:BY487))</f>
        <v>0.23131170068133877</v>
      </c>
      <c r="BW488" s="832">
        <f>BW487/(SUM(BV487:BY487))</f>
        <v>0.24754152472142729</v>
      </c>
      <c r="BX488" s="832">
        <f>BX487/(SUM(BV487:BY487))</f>
        <v>0.24909831565191501</v>
      </c>
      <c r="BY488" s="832">
        <f>BY487/(SUM(BV487:BY487))</f>
        <v>0.27204845894531909</v>
      </c>
      <c r="BZ488" s="832">
        <f>BZ487/(SUM(BZ487:CC487))</f>
        <v>0.23272894187924992</v>
      </c>
      <c r="CA488" s="832">
        <f>CA487/(SUM(BZ487:CC487))</f>
        <v>0.24703835766765747</v>
      </c>
      <c r="CB488" s="832">
        <f>CB487/(SUM(BZ487:CC487))</f>
        <v>0.24868779629720639</v>
      </c>
      <c r="CC488" s="832">
        <f>CC487/(SUM(BZ487:CC487))</f>
        <v>0.27154490415588628</v>
      </c>
      <c r="CD488" s="832">
        <f>CD487/(SUM(CD487:CG487))</f>
        <v>0.23275402259455699</v>
      </c>
      <c r="CE488" s="832">
        <f>CE487/(SUM(CD487:CG487))</f>
        <v>0.24683353311072767</v>
      </c>
      <c r="CF488" s="832">
        <f>CF487/(SUM(CD487:CG487))</f>
        <v>0.24868881525476524</v>
      </c>
      <c r="CG488" s="832">
        <f>CG487/(SUM(CD487:CG487))</f>
        <v>0.27172362903994995</v>
      </c>
      <c r="CH488" s="832">
        <f>CH487/(SUM(CH487:CK487))</f>
        <v>0.23254495873920508</v>
      </c>
      <c r="CI488" s="832">
        <f>CI487/(SUM(CH487:CK487))</f>
        <v>0.24662723362285421</v>
      </c>
      <c r="CJ488" s="832">
        <f>CJ487/(SUM(CH487:CK487))</f>
        <v>0.24867188041833502</v>
      </c>
      <c r="CK488" s="832">
        <f>CK487/(SUM(CH487:CK487))</f>
        <v>0.27215592721960563</v>
      </c>
      <c r="CL488" s="832">
        <f>CL487/(SUM(CL487:CO487))</f>
        <v>0.23239373321999471</v>
      </c>
      <c r="CM488" s="832">
        <f>CM487/(SUM(CL487:CO487))</f>
        <v>0.24630248853087702</v>
      </c>
      <c r="CN488" s="832">
        <f>CN487/(SUM(CL487:CO487))</f>
        <v>0.2486996382491414</v>
      </c>
      <c r="CO488" s="832">
        <f>CO487/(SUM(CL487:CO487))</f>
        <v>0.27260413999998678</v>
      </c>
      <c r="CP488" s="832">
        <f>CP487/(SUM(CP487:CS487))</f>
        <v>0.23242373822317333</v>
      </c>
      <c r="CQ488" s="832">
        <f>CQ487/(SUM(CP487:CS487))</f>
        <v>0.2460633661521309</v>
      </c>
      <c r="CR488" s="832">
        <f>CR487/(SUM(CP487:CS487))</f>
        <v>0.24869430300719592</v>
      </c>
      <c r="CS488" s="832">
        <f>CS487/(SUM(CP487:CS487))</f>
        <v>0.27281859261749991</v>
      </c>
    </row>
    <row r="489" spans="1:97">
      <c r="A489" s="244" t="s">
        <v>8</v>
      </c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259">
        <f t="shared" ref="N489:AS489" si="302">N487/J487-1</f>
        <v>0.28736836047649272</v>
      </c>
      <c r="O489" s="259">
        <f t="shared" si="302"/>
        <v>0.33437891435007394</v>
      </c>
      <c r="P489" s="259">
        <f t="shared" si="302"/>
        <v>1.2139963664423714E-3</v>
      </c>
      <c r="Q489" s="259">
        <f t="shared" si="302"/>
        <v>-0.28896592665325771</v>
      </c>
      <c r="R489" s="259">
        <f t="shared" si="302"/>
        <v>1.6298177071692121E-2</v>
      </c>
      <c r="S489" s="259">
        <f t="shared" si="302"/>
        <v>0.22567247771554921</v>
      </c>
      <c r="T489" s="259">
        <f t="shared" si="302"/>
        <v>0.19659314334311562</v>
      </c>
      <c r="U489" s="259">
        <f t="shared" si="302"/>
        <v>3.050052137643422E-2</v>
      </c>
      <c r="V489" s="259">
        <f t="shared" si="302"/>
        <v>0.25469316302473577</v>
      </c>
      <c r="W489" s="259">
        <f t="shared" si="302"/>
        <v>0.38753109342669445</v>
      </c>
      <c r="X489" s="259">
        <f t="shared" si="302"/>
        <v>0.45144537957046649</v>
      </c>
      <c r="Y489" s="259">
        <f t="shared" si="302"/>
        <v>0.63782211252486998</v>
      </c>
      <c r="Z489" s="259">
        <f t="shared" si="302"/>
        <v>0.30922992249094783</v>
      </c>
      <c r="AA489" s="259">
        <f t="shared" si="302"/>
        <v>0.17120725442675511</v>
      </c>
      <c r="AB489" s="259">
        <f t="shared" si="302"/>
        <v>0.32339451765230609</v>
      </c>
      <c r="AC489" s="259">
        <f t="shared" si="302"/>
        <v>0.90357316546267086</v>
      </c>
      <c r="AD489" s="259">
        <f t="shared" si="302"/>
        <v>1.0376633009074423</v>
      </c>
      <c r="AE489" s="259">
        <f t="shared" si="302"/>
        <v>1.1405643882164007</v>
      </c>
      <c r="AF489" s="259">
        <f t="shared" si="302"/>
        <v>1.2548595795813409</v>
      </c>
      <c r="AG489" s="259">
        <f t="shared" si="302"/>
        <v>1.0997807017543861</v>
      </c>
      <c r="AH489" s="259">
        <f t="shared" si="302"/>
        <v>0.86202365308804207</v>
      </c>
      <c r="AI489" s="259">
        <f t="shared" si="302"/>
        <v>0.47178538390379288</v>
      </c>
      <c r="AJ489" s="259">
        <f t="shared" si="302"/>
        <v>0.38992688870836711</v>
      </c>
      <c r="AK489" s="259">
        <f t="shared" si="302"/>
        <v>7.5195822454308114E-2</v>
      </c>
      <c r="AL489" s="259">
        <f t="shared" si="302"/>
        <v>0.20536344389555405</v>
      </c>
      <c r="AM489" s="259">
        <f t="shared" si="302"/>
        <v>0.18164676304211191</v>
      </c>
      <c r="AN489" s="259">
        <f t="shared" si="302"/>
        <v>0.18644067796610164</v>
      </c>
      <c r="AO489" s="259">
        <f t="shared" si="302"/>
        <v>0.12870325400679938</v>
      </c>
      <c r="AP489" s="259">
        <f t="shared" si="302"/>
        <v>0.17915690866510547</v>
      </c>
      <c r="AQ489" s="259">
        <f t="shared" si="302"/>
        <v>0.15531914893617027</v>
      </c>
      <c r="AR489" s="259">
        <f t="shared" si="302"/>
        <v>2.9064039408867037E-2</v>
      </c>
      <c r="AS489" s="259">
        <f t="shared" si="302"/>
        <v>0.12779690189328741</v>
      </c>
      <c r="AT489" s="259">
        <f t="shared" ref="AT489:BY489" si="303">AT487/AP487-1</f>
        <v>9.0367428003972128E-2</v>
      </c>
      <c r="AU489" s="259">
        <f t="shared" si="303"/>
        <v>7.274401473296499E-2</v>
      </c>
      <c r="AV489" s="259">
        <f t="shared" si="303"/>
        <v>6.2709430349449535E-2</v>
      </c>
      <c r="AW489" s="259">
        <f t="shared" si="303"/>
        <v>-5.4177794734834084E-2</v>
      </c>
      <c r="AX489" s="259">
        <f t="shared" si="303"/>
        <v>0.10655737704918034</v>
      </c>
      <c r="AY489" s="259">
        <f t="shared" si="303"/>
        <v>0.22403433476394841</v>
      </c>
      <c r="AZ489" s="259">
        <f t="shared" si="303"/>
        <v>0.22297297297297303</v>
      </c>
      <c r="BA489" s="259">
        <f t="shared" si="303"/>
        <v>0.29770068576038722</v>
      </c>
      <c r="BB489" s="259">
        <f t="shared" si="303"/>
        <v>-0.28106995884773667</v>
      </c>
      <c r="BC489" s="697">
        <f t="shared" si="303"/>
        <v>-1.3639551192145862</v>
      </c>
      <c r="BD489" s="697">
        <f t="shared" si="303"/>
        <v>-0.5815837937384899</v>
      </c>
      <c r="BE489" s="697">
        <f t="shared" si="303"/>
        <v>-0.22101336649051917</v>
      </c>
      <c r="BF489" s="697">
        <f t="shared" si="303"/>
        <v>-0.14825414997137953</v>
      </c>
      <c r="BG489" s="697">
        <f t="shared" si="303"/>
        <v>-3.3574181117533719</v>
      </c>
      <c r="BH489" s="697">
        <f t="shared" si="303"/>
        <v>1.3723591549295775</v>
      </c>
      <c r="BI489" s="697">
        <f t="shared" si="303"/>
        <v>0.59656823623304067</v>
      </c>
      <c r="BJ489" s="697">
        <f t="shared" si="303"/>
        <v>0.88776881720430101</v>
      </c>
      <c r="BK489" s="697">
        <f t="shared" si="303"/>
        <v>0.33346955455659999</v>
      </c>
      <c r="BL489" s="697">
        <f t="shared" si="303"/>
        <v>0.14322820037105743</v>
      </c>
      <c r="BM489" s="697">
        <f t="shared" si="303"/>
        <v>-9.8725318670332407E-2</v>
      </c>
      <c r="BN489" s="697">
        <f>BN487/BJ487-1</f>
        <v>0.1399074403702385</v>
      </c>
      <c r="BO489" s="697">
        <f>BO487/BK487-1</f>
        <v>0.14894269077536015</v>
      </c>
      <c r="BP489" s="697">
        <f>BP487/BL487-1</f>
        <v>0.2181110029211295</v>
      </c>
      <c r="BQ489" s="697">
        <f>BQ487/BM487-1</f>
        <v>0.12396006655574032</v>
      </c>
      <c r="BR489" s="697">
        <f>BR487/BN487-1</f>
        <v>0.11867582760774509</v>
      </c>
      <c r="BS489" s="697">
        <f t="shared" si="303"/>
        <v>1.200320085356088E-2</v>
      </c>
      <c r="BT489" s="697">
        <f t="shared" si="303"/>
        <v>1.0552219886237335E-3</v>
      </c>
      <c r="BU489" s="697">
        <f t="shared" si="303"/>
        <v>1.6075291030535954E-2</v>
      </c>
      <c r="BV489" s="697">
        <f t="shared" si="303"/>
        <v>5.6657281297010753E-2</v>
      </c>
      <c r="BW489" s="697">
        <f t="shared" si="303"/>
        <v>6.7610570074482013E-2</v>
      </c>
      <c r="BX489" s="697">
        <f t="shared" si="303"/>
        <v>8.4916516734373282E-2</v>
      </c>
      <c r="BY489" s="697">
        <f t="shared" si="303"/>
        <v>8.0950746937201723E-2</v>
      </c>
      <c r="BZ489" s="697">
        <f t="shared" ref="BZ489:CS489" si="304">BZ487/BV487-1</f>
        <v>7.4963354079105926E-2</v>
      </c>
      <c r="CA489" s="697">
        <f t="shared" si="304"/>
        <v>6.6245461947782358E-2</v>
      </c>
      <c r="CB489" s="697">
        <f t="shared" si="304"/>
        <v>6.6656413410574933E-2</v>
      </c>
      <c r="CC489" s="697">
        <f t="shared" si="304"/>
        <v>6.6439574714881156E-2</v>
      </c>
      <c r="CD489" s="697">
        <f t="shared" si="304"/>
        <v>6.0851792020615081E-2</v>
      </c>
      <c r="CE489" s="697">
        <f t="shared" si="304"/>
        <v>5.985799939595049E-2</v>
      </c>
      <c r="CF489" s="697">
        <f t="shared" si="304"/>
        <v>6.0741824741160633E-2</v>
      </c>
      <c r="CG489" s="697">
        <f t="shared" si="304"/>
        <v>6.1435632623380698E-2</v>
      </c>
      <c r="CH489" s="697">
        <f t="shared" si="304"/>
        <v>2.3395034395802927E-2</v>
      </c>
      <c r="CI489" s="697">
        <f t="shared" si="304"/>
        <v>2.3458986619629973E-2</v>
      </c>
      <c r="CJ489" s="697">
        <f t="shared" si="304"/>
        <v>2.4245340394899006E-2</v>
      </c>
      <c r="CK489" s="697">
        <f t="shared" si="304"/>
        <v>2.5944724767921201E-2</v>
      </c>
      <c r="CL489" s="697">
        <f t="shared" si="304"/>
        <v>5.095869878809367E-2</v>
      </c>
      <c r="CM489" s="697">
        <f t="shared" si="304"/>
        <v>5.0257844135006779E-2</v>
      </c>
      <c r="CN489" s="697">
        <f t="shared" si="304"/>
        <v>5.1759977788458755E-2</v>
      </c>
      <c r="CO489" s="697">
        <f t="shared" si="304"/>
        <v>5.3374535920221344E-2</v>
      </c>
      <c r="CP489" s="697">
        <f t="shared" si="304"/>
        <v>5.0491011023602095E-2</v>
      </c>
      <c r="CQ489" s="697">
        <f t="shared" si="304"/>
        <v>4.9335660844103346E-2</v>
      </c>
      <c r="CR489" s="697">
        <f t="shared" si="304"/>
        <v>5.0332863904409164E-2</v>
      </c>
      <c r="CS489" s="697">
        <f t="shared" si="304"/>
        <v>5.1181691804685236E-2</v>
      </c>
    </row>
    <row r="490" spans="1:97">
      <c r="A490" s="244" t="s">
        <v>904</v>
      </c>
      <c r="B490" s="246"/>
      <c r="C490" s="246"/>
      <c r="D490" s="246"/>
      <c r="E490" s="246"/>
      <c r="F490" s="246"/>
      <c r="G490" s="246"/>
      <c r="H490" s="246"/>
      <c r="I490" s="246"/>
      <c r="J490" s="246">
        <f>J487/(SUM($J$454:$M$454))</f>
        <v>2.0236212980872078E-2</v>
      </c>
      <c r="K490" s="246">
        <f>K487/(SUM($J$454:$M$454))</f>
        <v>2.2126960255760934E-2</v>
      </c>
      <c r="L490" s="246">
        <f>L487/(SUM($J$454:$M$454))</f>
        <v>2.7626733694488235E-2</v>
      </c>
      <c r="M490" s="246">
        <f>M487/(SUM($J$454:$M$454))</f>
        <v>4.6491584276426398E-2</v>
      </c>
      <c r="N490" s="246">
        <f>N487/(SUM($N$454:$Q$454))</f>
        <v>2.4907587202052245E-2</v>
      </c>
      <c r="O490" s="246">
        <f>O487/(SUM($N$454:$Q$454))</f>
        <v>2.8229326255032595E-2</v>
      </c>
      <c r="P490" s="246">
        <f>P487/(SUM($N$454:$Q$454))</f>
        <v>2.6445759254640676E-2</v>
      </c>
      <c r="Q490" s="246">
        <f>Q487/(SUM($N$454:$Q$454))</f>
        <v>3.1605622261018256E-2</v>
      </c>
      <c r="R490" s="246">
        <f>R487/(SUM($R$454:$U$454))</f>
        <v>2.1254795024617395E-2</v>
      </c>
      <c r="S490" s="246">
        <f>S487/(SUM($R$454:$U$454))</f>
        <v>2.9052202476622293E-2</v>
      </c>
      <c r="T490" s="246">
        <f>T487/(SUM($R$454:$U$454))</f>
        <v>2.6570924481494149E-2</v>
      </c>
      <c r="U490" s="246">
        <f>U487/(SUM($R$454:$U$454))</f>
        <v>2.7347439873812968E-2</v>
      </c>
      <c r="V490" s="246">
        <f>V487/(SUM($V$454:$Y$454))</f>
        <v>2.109965055693943E-2</v>
      </c>
      <c r="W490" s="246">
        <f>W487/(SUM($V$454:$Y$454))</f>
        <v>3.1893530484419057E-2</v>
      </c>
      <c r="X490" s="246">
        <f>X487/(SUM($V$454:$Y$454))</f>
        <v>3.0513229285699855E-2</v>
      </c>
      <c r="Y490" s="246">
        <f>Y487/(SUM($V$454:$Y$454))</f>
        <v>3.5437593055311974E-2</v>
      </c>
      <c r="Z490" s="246">
        <f>Z487/(SUM($Z$454:$AC$454))</f>
        <v>2.3768533218266927E-2</v>
      </c>
      <c r="AA490" s="246">
        <f>AA487/(SUM($Z$454:$AC$454))</f>
        <v>3.2140123906415623E-2</v>
      </c>
      <c r="AB490" s="246">
        <f>AB487/(SUM($Z$454:$AC$454))</f>
        <v>3.4744710715846089E-2</v>
      </c>
      <c r="AC490" s="246">
        <f>AC487/(SUM($Z$454:$AC$454))</f>
        <v>5.8042349913270598E-2</v>
      </c>
      <c r="AD490" s="246">
        <f>AD487/(SUM($AD$454:$AG$454))</f>
        <v>3.337681968907804E-2</v>
      </c>
      <c r="AE490" s="246">
        <f>AE487/(SUM($AD$454:$AG$454))</f>
        <v>4.7411750438756055E-2</v>
      </c>
      <c r="AF490" s="246">
        <f>AF487/(SUM($AD$454:$AG$454))</f>
        <v>5.3990624227667629E-2</v>
      </c>
      <c r="AG490" s="246">
        <f>AG487/(SUM($AD$454:$AG$454))</f>
        <v>8.3990288705104388E-2</v>
      </c>
      <c r="AH490" s="246">
        <f>AH487/(SUM($AH$454:$AK$454))</f>
        <v>4.3885762479971127E-2</v>
      </c>
      <c r="AI490" s="246">
        <f>AI487/(SUM($AH$454:$AK$454))</f>
        <v>4.9274698733686707E-2</v>
      </c>
      <c r="AJ490" s="246">
        <f>AJ487/(SUM($AH$454:$AK$454))</f>
        <v>5.2991206494869859E-2</v>
      </c>
      <c r="AK490" s="246">
        <f>AK487/(SUM($AH$454:$AK$454))</f>
        <v>6.3769079002301027E-2</v>
      </c>
      <c r="AL490" s="246">
        <f>AL487/(SUM($AL$454:$AO$454))</f>
        <v>4.5302796277966823E-2</v>
      </c>
      <c r="AM490" s="246">
        <f>AM487/(SUM($AL$454:$AO$454))</f>
        <v>4.9864904568253876E-2</v>
      </c>
      <c r="AN490" s="246">
        <f>AN487/(SUM($AL$454:$AO$454))</f>
        <v>5.3843487379550727E-2</v>
      </c>
      <c r="AO490" s="246">
        <f>AO487/(SUM($AL$454:$AO$454))</f>
        <v>6.1641509689692557E-2</v>
      </c>
      <c r="AP490" s="246">
        <f>AP487/(SUM($AP$454:$AS$454))</f>
        <v>4.7355787108790702E-2</v>
      </c>
      <c r="AQ490" s="246">
        <f>AQ487/(SUM($AP$454:$AS$454))</f>
        <v>5.1070888580086099E-2</v>
      </c>
      <c r="AR490" s="246">
        <f>AR487/(SUM($AP$454:$AS$454))</f>
        <v>4.911928464263346E-2</v>
      </c>
      <c r="AS490" s="246">
        <f>AS487/(SUM($AP$454:$AS$454))</f>
        <v>6.162836048269138E-2</v>
      </c>
      <c r="AT490" s="246">
        <f>AT487/(SUM($AT$454:$AW$454))</f>
        <v>4.7577170506374701E-2</v>
      </c>
      <c r="AU490" s="246">
        <f>AU487/(SUM($AT$454:$AW$454))</f>
        <v>5.0480331183903944E-2</v>
      </c>
      <c r="AV490" s="246">
        <f>AV487/(SUM($AT$454:$AW$454))</f>
        <v>4.8097139582947104E-2</v>
      </c>
      <c r="AW490" s="246">
        <f>AW487/(SUM($AT$454:$AW$454))</f>
        <v>5.3708472534290931E-2</v>
      </c>
      <c r="AX490" s="246">
        <f>AX487/(SUM($AX$454:$BA$454))</f>
        <v>4.1785158974216641E-2</v>
      </c>
      <c r="AY490" s="246">
        <f>AY487/(SUM($AX$454:$BA$454))</f>
        <v>4.9041676294018878E-2</v>
      </c>
      <c r="AZ490" s="246">
        <f>AZ487/(SUM($AX$454:$BA$454))</f>
        <v>4.6685887495884031E-2</v>
      </c>
      <c r="BA490" s="246">
        <f>BA487/(SUM($AX$454:$BA$454))</f>
        <v>5.5318047909487633E-2</v>
      </c>
      <c r="BB490" s="246">
        <f>BB487/(SUM($BB$454:$BE$454))</f>
        <v>4.5382023248012972E-2</v>
      </c>
      <c r="BC490" s="455">
        <f>BC487/(SUM($BB$454:$BE$454))</f>
        <v>-2.6964247356289332E-2</v>
      </c>
      <c r="BD490" s="455">
        <f>BD487/(SUM($BB$454:$BE$454))</f>
        <v>2.9510004813819539E-2</v>
      </c>
      <c r="BE490" s="455">
        <f>BE487/(SUM($BB$454:$BE$454))</f>
        <v>6.5098654985415283E-2</v>
      </c>
      <c r="BF490" s="455">
        <f>BF487/(SUM($BF$454:$BI$454))</f>
        <v>2.7875886138919812E-2</v>
      </c>
      <c r="BG490" s="455">
        <f>BG487/(SUM($BF$454:$BI$454))</f>
        <v>4.5841595014742463E-2</v>
      </c>
      <c r="BH490" s="455">
        <f>BH487/(SUM($BF$454:$BI$454))</f>
        <v>5.0487576037895762E-2</v>
      </c>
      <c r="BI490" s="455">
        <f>BI487/(SUM($BF$454:$BI$454))</f>
        <v>7.4953911587243391E-2</v>
      </c>
      <c r="BJ490" s="455">
        <f>BJ487/(SUM($BJ$454:$BM$454))</f>
        <v>4.0809919265659723E-2</v>
      </c>
      <c r="BK490" s="455">
        <f>BK487/(SUM($BJ$454:$BM$454))</f>
        <v>4.7405755273708675E-2</v>
      </c>
      <c r="BL490" s="455">
        <f>BL487/(SUM($BJ$454:$BM$454))</f>
        <v>4.4761609561230903E-2</v>
      </c>
      <c r="BM490" s="455">
        <f>BM487/(SUM($BJ$454:$BM$454))</f>
        <v>5.2388952962609099E-2</v>
      </c>
      <c r="BN490" s="455">
        <f>BN487/(SUM($BN$454:$BQ$454))</f>
        <v>4.2003882722430892E-2</v>
      </c>
      <c r="BO490" s="455">
        <f>BO487/(SUM($BN$454:$BQ$454))</f>
        <v>4.9179436704057909E-2</v>
      </c>
      <c r="BP490" s="455">
        <f>BP487/(SUM($BN$454:$BQ$454))</f>
        <v>4.9231908762424469E-2</v>
      </c>
      <c r="BQ490" s="455">
        <f>BQ487/(SUM($BN$454:$BQ$454))</f>
        <v>5.3167313139916433E-2</v>
      </c>
      <c r="BR490" s="455">
        <f>BR487/(SUM($BN$454:$BQ$454))</f>
        <v>4.6988728267254046E-2</v>
      </c>
      <c r="BS490" s="455">
        <f>BS487/(SUM($BR$454:$BU$454))</f>
        <v>4.8301039997904589E-2</v>
      </c>
      <c r="BT490" s="455">
        <f>BT487/(SUM($BR$454:$BU$454))</f>
        <v>4.7829490568039354E-2</v>
      </c>
      <c r="BU490" s="455">
        <f>BU487/(SUM($BR$454:$BU$454))</f>
        <v>5.2427801854312103E-2</v>
      </c>
      <c r="BV490" s="455">
        <f>BV487/(SUM(BV454:BY454))</f>
        <v>4.4010500741214292E-2</v>
      </c>
      <c r="BW490" s="455">
        <f>BW487/(SUM(BV454:BY454))</f>
        <v>4.7098466809693068E-2</v>
      </c>
      <c r="BX490" s="455">
        <f>BX487/(SUM(BV454:BY454))</f>
        <v>4.7394669501551419E-2</v>
      </c>
      <c r="BY490" s="455">
        <f>BY487/(SUM(BV454:BY454))</f>
        <v>5.17612765320224E-2</v>
      </c>
      <c r="BZ490" s="455">
        <f>BZ487/(SUM(BZ454:CC454))</f>
        <v>4.4291192750631696E-2</v>
      </c>
      <c r="CA490" s="455">
        <f>CA487/(SUM(BZ454:CC454))</f>
        <v>4.7014451352314877E-2</v>
      </c>
      <c r="CB490" s="455">
        <f>CB487/(SUM(BZ454:CC454))</f>
        <v>4.7328359900524551E-2</v>
      </c>
      <c r="CC490" s="455">
        <f>CC487/(SUM(BZ454:CC454))</f>
        <v>5.1678349900547975E-2</v>
      </c>
      <c r="CD490" s="455">
        <f>CD487/(SUM(CD454:CG454))</f>
        <v>4.4368306046665737E-2</v>
      </c>
      <c r="CE490" s="455">
        <f>CE487/(SUM(CD454:CG454))</f>
        <v>4.705218675731996E-2</v>
      </c>
      <c r="CF490" s="455">
        <f>CF487/(SUM(CD454:CG454))</f>
        <v>4.7405846492399865E-2</v>
      </c>
      <c r="CG490" s="455">
        <f>CG487/(SUM(CD454:CG454))</f>
        <v>5.1796815363126185E-2</v>
      </c>
      <c r="CH490" s="455">
        <f>CH487/(SUM(CH454:CK454))</f>
        <v>4.3132962852983125E-2</v>
      </c>
      <c r="CI490" s="455">
        <f>CI487/(SUM(CH454:CK454))</f>
        <v>4.5744974924692386E-2</v>
      </c>
      <c r="CJ490" s="455">
        <f>CJ487/(SUM(CH454:CK454))</f>
        <v>4.6124220618751266E-2</v>
      </c>
      <c r="CK490" s="455">
        <f>CK487/(SUM(CH454:CK454))</f>
        <v>5.0480094527215191E-2</v>
      </c>
      <c r="CL490" s="455">
        <f>CL487/(SUM(CL454:CO454))</f>
        <v>4.3071288768713356E-2</v>
      </c>
      <c r="CM490" s="455">
        <f>CM487/(SUM(CL454:CO454))</f>
        <v>4.5649103618140827E-2</v>
      </c>
      <c r="CN490" s="455">
        <f>CN487/(SUM(CL454:CO454))</f>
        <v>4.6093385511230711E-2</v>
      </c>
      <c r="CO490" s="455">
        <f>CO487/(SUM(CL454:CO454))</f>
        <v>5.0523787671895734E-2</v>
      </c>
      <c r="CP490" s="455">
        <f>CP487/(SUM(CP454:CS454))</f>
        <v>4.3044362359867958E-2</v>
      </c>
      <c r="CQ490" s="455">
        <f>CQ487/(SUM(CP454:CS454))</f>
        <v>4.5570391290975169E-2</v>
      </c>
      <c r="CR490" s="455">
        <f>CR487/(SUM(CP454:CS454))</f>
        <v>4.6057634978737431E-2</v>
      </c>
      <c r="CS490" s="455">
        <f>CS487/(SUM(CP454:CS454))</f>
        <v>5.0525400068477257E-2</v>
      </c>
    </row>
    <row r="491" spans="1:97">
      <c r="A491" s="36" t="s">
        <v>1360</v>
      </c>
      <c r="B491" s="92"/>
      <c r="C491" s="92"/>
      <c r="D491" s="92"/>
      <c r="E491" s="92"/>
      <c r="F491" s="92"/>
      <c r="G491" s="92"/>
      <c r="H491" s="92"/>
      <c r="I491" s="92"/>
      <c r="J491" s="92">
        <f>Q_Financials!B18</f>
        <v>173.76999999999998</v>
      </c>
      <c r="K491" s="92">
        <f>Q_Financials!C18</f>
        <v>190.00599999999986</v>
      </c>
      <c r="L491" s="92">
        <f>Q_Financials!D18</f>
        <v>237.23299999999972</v>
      </c>
      <c r="M491" s="92">
        <f>Q_Financials!E18</f>
        <v>399.22699999999986</v>
      </c>
      <c r="N491" s="92">
        <f>Q_Financials!F18</f>
        <v>223.70600000000013</v>
      </c>
      <c r="O491" s="92">
        <f>Q_Financials!G18</f>
        <v>253.53999999999996</v>
      </c>
      <c r="P491" s="92">
        <f>Q_Financials!H18</f>
        <v>237.52099999999996</v>
      </c>
      <c r="Q491" s="92">
        <f>Q_Financials!I18</f>
        <v>283.86399999999981</v>
      </c>
      <c r="R491" s="92">
        <f>Q_Financials!J18</f>
        <v>227.35200000000009</v>
      </c>
      <c r="S491" s="92">
        <f>Q_Financials!K18</f>
        <v>310.75700000000029</v>
      </c>
      <c r="T491" s="92">
        <f>Q_Financials!L18</f>
        <v>284.21600000000012</v>
      </c>
      <c r="U491" s="92">
        <f>Q_Financials!M18</f>
        <v>292.52199999999993</v>
      </c>
      <c r="V491" s="92">
        <f>Q_Financials!N18</f>
        <v>285.25699999999983</v>
      </c>
      <c r="W491" s="92">
        <f>Q_Financials!O18</f>
        <v>431.18499999999972</v>
      </c>
      <c r="X491" s="92">
        <f>Q_Financials!P18</f>
        <v>412.52399999999989</v>
      </c>
      <c r="Y491" s="92">
        <f>Q_Financials!Q18</f>
        <v>479.09899999999993</v>
      </c>
      <c r="Z491" s="92">
        <f>Q_Financials!R18</f>
        <v>373.4670000000001</v>
      </c>
      <c r="AA491" s="92">
        <f>Q_Financials!S18</f>
        <v>505.00700000000006</v>
      </c>
      <c r="AB491" s="92">
        <f>Q_Financials!T18</f>
        <v>545.93199999999979</v>
      </c>
      <c r="AC491" s="92">
        <f>Q_Financials!U18</f>
        <v>614.31600000000026</v>
      </c>
      <c r="AD491" s="92">
        <f>Q_Financials!V18</f>
        <v>423.75300000000016</v>
      </c>
      <c r="AE491" s="92">
        <f>Q_Financials!W18</f>
        <v>618.3119999999999</v>
      </c>
      <c r="AF491" s="92">
        <f>Q_Financials!X18</f>
        <v>705.71200000000044</v>
      </c>
      <c r="AG491" s="92">
        <f>Q_Financials!Y18</f>
        <v>1045.3149999999996</v>
      </c>
      <c r="AH491" s="92">
        <f>Q_Financials!Z18</f>
        <v>850.23400000000129</v>
      </c>
      <c r="AI491" s="92">
        <f>Q_Financials!AA18</f>
        <v>997.69999999999982</v>
      </c>
      <c r="AJ491" s="92">
        <f>Q_Financials!AB18</f>
        <v>1086.9549999999999</v>
      </c>
      <c r="AK491" s="92">
        <f>Q_Financials!AC18</f>
        <v>1366.8399999999992</v>
      </c>
      <c r="AL491" s="92">
        <f>Q_Financials!AD18</f>
        <v>1035.1620000000003</v>
      </c>
      <c r="AM491" s="92">
        <f>Q_Financials!AE18</f>
        <v>1223.0079999999989</v>
      </c>
      <c r="AN491" s="92">
        <f>Q_Financials!AF18</f>
        <v>1327.723</v>
      </c>
      <c r="AO491" s="92">
        <f>Q_Financials!AG18</f>
        <v>1569.3450000000003</v>
      </c>
      <c r="AP491" s="92">
        <f>Q_Financials!AH18</f>
        <v>1287.1059999999998</v>
      </c>
      <c r="AQ491" s="92">
        <f>Q_Financials!AI18</f>
        <v>1406.4710000000005</v>
      </c>
      <c r="AR491" s="92">
        <f>Q_Financials!AJ18</f>
        <v>1414.860999999999</v>
      </c>
      <c r="AS491" s="92">
        <f>Q_Financials!AK18</f>
        <v>2357.8060000000005</v>
      </c>
      <c r="AT491" s="92">
        <f>Q_Financials!AL18</f>
        <v>1427.924</v>
      </c>
      <c r="AU491" s="92">
        <f>Q_Financials!AM18</f>
        <v>1578.8879999999999</v>
      </c>
      <c r="AV491" s="92">
        <f>Q_Financials!AN18</f>
        <v>1536.9350000000004</v>
      </c>
      <c r="AW491" s="92">
        <f>Q_Financials!AO18</f>
        <v>1864.5699999999988</v>
      </c>
      <c r="AX491" s="92">
        <f>Q_Financials!AP18</f>
        <v>2747.893</v>
      </c>
      <c r="AY491" s="92">
        <f>Q_Financials!AQ18</f>
        <v>3061.5070000000014</v>
      </c>
      <c r="AZ491" s="92">
        <f>Q_Financials!AR18</f>
        <v>3469.2569999999987</v>
      </c>
      <c r="BA491" s="92">
        <f>Q_Financials!AS18</f>
        <v>3338.9019999999991</v>
      </c>
      <c r="BB491" s="92">
        <f>Q_Financials!AT18</f>
        <v>2495.0509999999995</v>
      </c>
      <c r="BC491" s="329">
        <f>Q_Financials!AU18</f>
        <v>-903.00200000000041</v>
      </c>
      <c r="BD491" s="329">
        <f>Q_Financials!AV18</f>
        <v>2107.4779999999992</v>
      </c>
      <c r="BE491" s="329">
        <f>Q_Financials!AW18</f>
        <v>3225.2089999999998</v>
      </c>
      <c r="BF491" s="329">
        <f>Q_Financials!AX18</f>
        <v>2044.7280000000001</v>
      </c>
      <c r="BG491" s="329">
        <f>Q_Financials!AY18</f>
        <v>2848.0649999999996</v>
      </c>
      <c r="BH491" s="329">
        <f>Q_Financials!AZ18</f>
        <v>3144.2919999999995</v>
      </c>
      <c r="BI491" s="329">
        <f>Q_Financials!BA18</f>
        <v>4274.1840000000002</v>
      </c>
      <c r="BJ491" s="329">
        <f>Q_Financials!BB18</f>
        <v>3457.6859999999997</v>
      </c>
      <c r="BK491" s="329">
        <f>Q_Financials!BC18</f>
        <v>3627.4740000000002</v>
      </c>
      <c r="BL491" s="329">
        <f>Q_Financials!BD18</f>
        <v>3477.7969999999987</v>
      </c>
      <c r="BM491" s="329">
        <f>Q_Financials!BE18</f>
        <v>3486.8369999999995</v>
      </c>
      <c r="BN491" s="329">
        <f>Q_Financials!BF18</f>
        <v>3684.4059999999999</v>
      </c>
      <c r="BO491" s="329">
        <f>Q_Financials!BG18</f>
        <v>3839.4879999999994</v>
      </c>
      <c r="BP491" s="329">
        <f>Q_Financials!BH18</f>
        <v>3930.7839999999978</v>
      </c>
      <c r="BQ491" s="329">
        <f>Q_Financials!BI18</f>
        <v>4505.7109999999993</v>
      </c>
      <c r="BR491" s="329">
        <f>Q_Financials!BJ18</f>
        <v>3735.2350000000006</v>
      </c>
      <c r="BS491" s="329">
        <f>Q_Financials!BK18</f>
        <v>3992.1430000000018</v>
      </c>
      <c r="BT491" s="329">
        <f>Q_Financials!BL18</f>
        <v>3870.7843853001032</v>
      </c>
      <c r="BU491" s="329">
        <f>Q_Financials!BM18</f>
        <v>4186.3465999423097</v>
      </c>
      <c r="BV491" s="329">
        <f>Q_Financials!BN18</f>
        <v>3809.4803796875312</v>
      </c>
      <c r="BW491" s="329">
        <f>Q_Financials!BO18</f>
        <v>4129.4323039643077</v>
      </c>
      <c r="BX491" s="329">
        <f>Q_Financials!BP18</f>
        <v>4227.3124813828108</v>
      </c>
      <c r="BY491" s="329">
        <f>Q_Financials!BQ18</f>
        <v>4531.7645796310699</v>
      </c>
      <c r="BZ491" s="329">
        <f>Q_Financials!BR18</f>
        <v>4105.0996185768709</v>
      </c>
      <c r="CA491" s="329">
        <f>Q_Financials!BS18</f>
        <v>4400.1282509114808</v>
      </c>
      <c r="CB491" s="329">
        <f>Q_Financials!BT18</f>
        <v>4503.5934709406392</v>
      </c>
      <c r="CC491" s="329">
        <f>Q_Financials!BU18</f>
        <v>4826.4115554528707</v>
      </c>
      <c r="CD491" s="329">
        <f>Q_Financials!BV18</f>
        <v>4350.7441857088907</v>
      </c>
      <c r="CE491" s="329">
        <f>Q_Financials!BW18</f>
        <v>4655.8179196785059</v>
      </c>
      <c r="CF491" s="329">
        <f>Q_Financials!BX18</f>
        <v>4767.0678822839436</v>
      </c>
      <c r="CG491" s="329">
        <f>Q_Financials!BY18</f>
        <v>5114.0977474463198</v>
      </c>
      <c r="CH491" s="329">
        <f>Q_Financials!BZ18</f>
        <v>4436.8907750918315</v>
      </c>
      <c r="CI491" s="329">
        <f>Q_Financials!CA18</f>
        <v>4744.1973206342263</v>
      </c>
      <c r="CJ491" s="329">
        <f>Q_Financials!CB18</f>
        <v>4860.7347104670152</v>
      </c>
      <c r="CK491" s="329">
        <f>Q_Financials!CC18</f>
        <v>5227.1147924492743</v>
      </c>
      <c r="CL491" s="329">
        <f>Q_Financials!CD18</f>
        <v>4670.2380688898211</v>
      </c>
      <c r="CM491" s="329">
        <f>Q_Financials!CE18</f>
        <v>4988.4532940148511</v>
      </c>
      <c r="CN491" s="329">
        <f>Q_Financials!CF18</f>
        <v>5114.5306629110783</v>
      </c>
      <c r="CO491" s="329">
        <f>Q_Financials!CG18</f>
        <v>5506.8187132491221</v>
      </c>
      <c r="CP491" s="329">
        <f>Q_Financials!CH18</f>
        <v>4913.3923323294348</v>
      </c>
      <c r="CQ491" s="329">
        <f>Q_Financials!CI18</f>
        <v>5240.440890352842</v>
      </c>
      <c r="CR491" s="329">
        <f>Q_Financials!CJ18</f>
        <v>5374.1349057777516</v>
      </c>
      <c r="CS491" s="329">
        <f>Q_Financials!CK18</f>
        <v>5789.3577389950751</v>
      </c>
    </row>
    <row r="492" spans="1:97">
      <c r="A492" s="242" t="s">
        <v>887</v>
      </c>
      <c r="B492" s="595"/>
      <c r="C492" s="595"/>
      <c r="D492" s="595"/>
      <c r="E492" s="595"/>
      <c r="F492" s="595"/>
      <c r="G492" s="595"/>
      <c r="H492" s="595"/>
      <c r="I492" s="595"/>
      <c r="J492" s="595" t="str">
        <f t="shared" ref="J492:AO492" si="305">J$453</f>
        <v>1Q09</v>
      </c>
      <c r="K492" s="595" t="str">
        <f t="shared" si="305"/>
        <v>2Q09</v>
      </c>
      <c r="L492" s="595" t="str">
        <f t="shared" si="305"/>
        <v>3Q09</v>
      </c>
      <c r="M492" s="595" t="str">
        <f t="shared" si="305"/>
        <v>4Q09</v>
      </c>
      <c r="N492" s="595" t="str">
        <f t="shared" si="305"/>
        <v>1Q10</v>
      </c>
      <c r="O492" s="595" t="str">
        <f t="shared" si="305"/>
        <v>2Q10</v>
      </c>
      <c r="P492" s="595" t="str">
        <f t="shared" si="305"/>
        <v>3Q10</v>
      </c>
      <c r="Q492" s="595" t="str">
        <f t="shared" si="305"/>
        <v>4Q10</v>
      </c>
      <c r="R492" s="595" t="str">
        <f t="shared" si="305"/>
        <v>1Q11</v>
      </c>
      <c r="S492" s="595" t="str">
        <f t="shared" si="305"/>
        <v>2Q11</v>
      </c>
      <c r="T492" s="595" t="str">
        <f t="shared" si="305"/>
        <v>3Q11</v>
      </c>
      <c r="U492" s="595" t="str">
        <f t="shared" si="305"/>
        <v>4Q11</v>
      </c>
      <c r="V492" s="595" t="str">
        <f t="shared" si="305"/>
        <v>1Q12</v>
      </c>
      <c r="W492" s="595" t="str">
        <f t="shared" si="305"/>
        <v>2Q12</v>
      </c>
      <c r="X492" s="595" t="str">
        <f t="shared" si="305"/>
        <v>3Q12</v>
      </c>
      <c r="Y492" s="595" t="str">
        <f t="shared" si="305"/>
        <v>4Q12</v>
      </c>
      <c r="Z492" s="595" t="str">
        <f t="shared" si="305"/>
        <v>1Q13</v>
      </c>
      <c r="AA492" s="595" t="str">
        <f t="shared" si="305"/>
        <v>2Q13</v>
      </c>
      <c r="AB492" s="595" t="str">
        <f t="shared" si="305"/>
        <v>3Q13</v>
      </c>
      <c r="AC492" s="595" t="str">
        <f t="shared" si="305"/>
        <v>4Q13</v>
      </c>
      <c r="AD492" s="595" t="str">
        <f t="shared" si="305"/>
        <v>1Q14</v>
      </c>
      <c r="AE492" s="595" t="str">
        <f t="shared" si="305"/>
        <v>2Q14</v>
      </c>
      <c r="AF492" s="595" t="str">
        <f t="shared" si="305"/>
        <v>3Q14</v>
      </c>
      <c r="AG492" s="595" t="str">
        <f t="shared" si="305"/>
        <v>4Q14</v>
      </c>
      <c r="AH492" s="595" t="str">
        <f t="shared" si="305"/>
        <v>1Q15</v>
      </c>
      <c r="AI492" s="595" t="str">
        <f t="shared" si="305"/>
        <v>2Q15</v>
      </c>
      <c r="AJ492" s="595" t="str">
        <f t="shared" si="305"/>
        <v>3Q15</v>
      </c>
      <c r="AK492" s="595" t="str">
        <f t="shared" si="305"/>
        <v>4Q15</v>
      </c>
      <c r="AL492" s="595" t="str">
        <f t="shared" si="305"/>
        <v>1Q16</v>
      </c>
      <c r="AM492" s="595" t="str">
        <f t="shared" si="305"/>
        <v>2Q16</v>
      </c>
      <c r="AN492" s="595" t="str">
        <f t="shared" si="305"/>
        <v>3Q16</v>
      </c>
      <c r="AO492" s="595" t="str">
        <f t="shared" si="305"/>
        <v>4Q16</v>
      </c>
      <c r="AP492" s="595" t="str">
        <f t="shared" ref="AP492:CS492" si="306">AP$453</f>
        <v>1Q17</v>
      </c>
      <c r="AQ492" s="595" t="str">
        <f t="shared" si="306"/>
        <v>2Q17</v>
      </c>
      <c r="AR492" s="595" t="str">
        <f t="shared" si="306"/>
        <v>3Q17</v>
      </c>
      <c r="AS492" s="595" t="str">
        <f t="shared" si="306"/>
        <v>4Q17</v>
      </c>
      <c r="AT492" s="595" t="str">
        <f t="shared" si="306"/>
        <v>1Q18</v>
      </c>
      <c r="AU492" s="595" t="str">
        <f t="shared" si="306"/>
        <v>2Q18</v>
      </c>
      <c r="AV492" s="595" t="str">
        <f t="shared" si="306"/>
        <v>3Q18</v>
      </c>
      <c r="AW492" s="595" t="str">
        <f t="shared" si="306"/>
        <v>4Q18</v>
      </c>
      <c r="AX492" s="595" t="str">
        <f t="shared" si="306"/>
        <v>1Q19</v>
      </c>
      <c r="AY492" s="595" t="str">
        <f t="shared" si="306"/>
        <v>2Q19</v>
      </c>
      <c r="AZ492" s="595" t="str">
        <f t="shared" si="306"/>
        <v>3Q19</v>
      </c>
      <c r="BA492" s="595" t="str">
        <f t="shared" si="306"/>
        <v>4Q19</v>
      </c>
      <c r="BB492" s="595" t="str">
        <f t="shared" si="306"/>
        <v>1Q20</v>
      </c>
      <c r="BC492" s="595" t="str">
        <f t="shared" si="306"/>
        <v>2Q20</v>
      </c>
      <c r="BD492" s="595" t="str">
        <f t="shared" si="306"/>
        <v>3Q20</v>
      </c>
      <c r="BE492" s="595" t="str">
        <f t="shared" si="306"/>
        <v>4Q20</v>
      </c>
      <c r="BF492" s="595" t="str">
        <f t="shared" si="306"/>
        <v>1Q21</v>
      </c>
      <c r="BG492" s="595" t="str">
        <f t="shared" si="306"/>
        <v>2Q21</v>
      </c>
      <c r="BH492" s="595" t="str">
        <f t="shared" si="306"/>
        <v>3Q21</v>
      </c>
      <c r="BI492" s="595" t="str">
        <f t="shared" si="306"/>
        <v>4Q21</v>
      </c>
      <c r="BJ492" s="595" t="str">
        <f t="shared" si="306"/>
        <v>1Q22</v>
      </c>
      <c r="BK492" s="595" t="str">
        <f t="shared" si="306"/>
        <v>2Q22</v>
      </c>
      <c r="BL492" s="595" t="str">
        <f t="shared" si="306"/>
        <v>3Q22</v>
      </c>
      <c r="BM492" s="595" t="str">
        <f t="shared" si="306"/>
        <v>4Q22</v>
      </c>
      <c r="BN492" s="595" t="str">
        <f t="shared" si="306"/>
        <v>1Q23</v>
      </c>
      <c r="BO492" s="595" t="str">
        <f t="shared" si="306"/>
        <v>2Q23</v>
      </c>
      <c r="BP492" s="595" t="str">
        <f t="shared" si="306"/>
        <v>3Q23</v>
      </c>
      <c r="BQ492" s="595" t="str">
        <f t="shared" si="306"/>
        <v>4Q23</v>
      </c>
      <c r="BR492" s="595" t="str">
        <f t="shared" si="306"/>
        <v>1Q24</v>
      </c>
      <c r="BS492" s="596" t="str">
        <f t="shared" si="306"/>
        <v>2Q24e</v>
      </c>
      <c r="BT492" s="596" t="str">
        <f t="shared" si="306"/>
        <v>3Q24e</v>
      </c>
      <c r="BU492" s="596" t="str">
        <f t="shared" si="306"/>
        <v>4Q24e</v>
      </c>
      <c r="BV492" s="596" t="str">
        <f t="shared" si="306"/>
        <v>1Q25e</v>
      </c>
      <c r="BW492" s="596" t="str">
        <f t="shared" si="306"/>
        <v>2Q25e</v>
      </c>
      <c r="BX492" s="596" t="str">
        <f t="shared" si="306"/>
        <v>3Q25e</v>
      </c>
      <c r="BY492" s="596" t="str">
        <f t="shared" si="306"/>
        <v>4Q25e</v>
      </c>
      <c r="BZ492" s="596" t="str">
        <f t="shared" si="306"/>
        <v>1Q26e</v>
      </c>
      <c r="CA492" s="596" t="str">
        <f t="shared" si="306"/>
        <v>2Q26e</v>
      </c>
      <c r="CB492" s="596" t="str">
        <f t="shared" si="306"/>
        <v>3Q26e</v>
      </c>
      <c r="CC492" s="596" t="str">
        <f t="shared" si="306"/>
        <v>4Q26e</v>
      </c>
      <c r="CD492" s="596" t="str">
        <f t="shared" si="306"/>
        <v>1Q27e</v>
      </c>
      <c r="CE492" s="596" t="str">
        <f t="shared" si="306"/>
        <v>2Q27e</v>
      </c>
      <c r="CF492" s="596" t="str">
        <f t="shared" si="306"/>
        <v>3Q27e</v>
      </c>
      <c r="CG492" s="596" t="str">
        <f t="shared" si="306"/>
        <v>4Q27e</v>
      </c>
      <c r="CH492" s="596" t="str">
        <f t="shared" si="306"/>
        <v>1Q28e</v>
      </c>
      <c r="CI492" s="596" t="str">
        <f t="shared" si="306"/>
        <v>2Q28e</v>
      </c>
      <c r="CJ492" s="596" t="str">
        <f t="shared" si="306"/>
        <v>3Q28e</v>
      </c>
      <c r="CK492" s="596" t="str">
        <f t="shared" si="306"/>
        <v>4Q28e</v>
      </c>
      <c r="CL492" s="596" t="str">
        <f t="shared" si="306"/>
        <v>1Q29e</v>
      </c>
      <c r="CM492" s="596" t="str">
        <f t="shared" si="306"/>
        <v>2Q29e</v>
      </c>
      <c r="CN492" s="596" t="str">
        <f t="shared" si="306"/>
        <v>3Q29e</v>
      </c>
      <c r="CO492" s="596" t="str">
        <f t="shared" si="306"/>
        <v>4Q29e</v>
      </c>
      <c r="CP492" s="596" t="str">
        <f t="shared" si="306"/>
        <v>1Q30e</v>
      </c>
      <c r="CQ492" s="596" t="str">
        <f t="shared" si="306"/>
        <v>2Q30e</v>
      </c>
      <c r="CR492" s="596" t="str">
        <f t="shared" si="306"/>
        <v>3Q30e</v>
      </c>
      <c r="CS492" s="596" t="str">
        <f t="shared" si="306"/>
        <v>4Q30e</v>
      </c>
    </row>
    <row r="493" spans="1:97">
      <c r="A493" s="36" t="s">
        <v>731</v>
      </c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>
        <f>Q_Financials!U25</f>
        <v>715</v>
      </c>
      <c r="AD493" s="92">
        <f>Q_Financials!V25</f>
        <v>627</v>
      </c>
      <c r="AE493" s="92">
        <f>Q_Financials!W25</f>
        <v>944</v>
      </c>
      <c r="AF493" s="92">
        <f>Q_Financials!X25</f>
        <v>1048</v>
      </c>
      <c r="AG493" s="92">
        <f>Q_Financials!Y25</f>
        <v>1400</v>
      </c>
      <c r="AH493" s="92">
        <f>Q_Financials!Z25</f>
        <v>998</v>
      </c>
      <c r="AI493" s="92">
        <f>Q_Financials!AA25</f>
        <v>1116</v>
      </c>
      <c r="AJ493" s="92">
        <f>Q_Financials!AB25</f>
        <v>1151</v>
      </c>
      <c r="AK493" s="92">
        <f>Q_Financials!AC25</f>
        <v>1410</v>
      </c>
      <c r="AL493" s="92">
        <f>Q_Financials!AD25</f>
        <v>1164</v>
      </c>
      <c r="AM493" s="92">
        <f>Q_Financials!AE25</f>
        <v>1279</v>
      </c>
      <c r="AN493" s="92">
        <f>Q_Financials!AF25</f>
        <v>1339</v>
      </c>
      <c r="AO493" s="92">
        <f>Q_Financials!AG25</f>
        <v>1433</v>
      </c>
      <c r="AP493" s="92">
        <f>Q_Financials!AH25</f>
        <v>1247</v>
      </c>
      <c r="AQ493" s="92">
        <f>Q_Financials!AI25</f>
        <v>1412</v>
      </c>
      <c r="AR493" s="92">
        <f>Q_Financials!AJ25</f>
        <v>1294</v>
      </c>
      <c r="AS493" s="92">
        <f>Q_Financials!AK25</f>
        <v>1655</v>
      </c>
      <c r="AT493" s="92">
        <f>Q_Financials!AL25</f>
        <v>1365</v>
      </c>
      <c r="AU493" s="92">
        <f>Q_Financials!AM25</f>
        <v>1517</v>
      </c>
      <c r="AV493" s="92">
        <f>Q_Financials!AN25</f>
        <v>1425</v>
      </c>
      <c r="AW493" s="92">
        <f>Q_Financials!AO25</f>
        <v>1594</v>
      </c>
      <c r="AX493" s="92">
        <f>Q_Financials!AP25</f>
        <v>1338</v>
      </c>
      <c r="AY493" s="92">
        <f>Q_Financials!AQ25</f>
        <v>1673</v>
      </c>
      <c r="AZ493" s="92">
        <f>Q_Financials!AR25</f>
        <v>1526</v>
      </c>
      <c r="BA493" s="92">
        <f>Q_Financials!AS25</f>
        <v>1663</v>
      </c>
      <c r="BB493" s="92">
        <f>Q_Financials!AT25</f>
        <v>1273</v>
      </c>
      <c r="BC493" s="329">
        <f>Q_Financials!AU25</f>
        <v>-334</v>
      </c>
      <c r="BD493" s="329">
        <f>Q_Financials!AV25</f>
        <v>518</v>
      </c>
      <c r="BE493" s="329">
        <f>Q_Financials!AW25</f>
        <v>1410</v>
      </c>
      <c r="BF493" s="329">
        <f>Q_Financials!AX25</f>
        <v>901</v>
      </c>
      <c r="BG493" s="329">
        <f>Q_Financials!AY25</f>
        <v>1559</v>
      </c>
      <c r="BH493" s="329">
        <f>Q_Financials!AZ25</f>
        <v>1386</v>
      </c>
      <c r="BI493" s="329">
        <f>Q_Financials!BA25</f>
        <v>2105</v>
      </c>
      <c r="BJ493" s="329">
        <f>Q_Financials!BB25</f>
        <v>1646</v>
      </c>
      <c r="BK493" s="329">
        <f>Q_Financials!BC25</f>
        <v>1905</v>
      </c>
      <c r="BL493" s="329">
        <f>Q_Financials!BD25</f>
        <v>1869</v>
      </c>
      <c r="BM493" s="329">
        <f>Q_Financials!BE25</f>
        <v>2147</v>
      </c>
      <c r="BN493" s="329">
        <f>Q_Financials!BF25</f>
        <v>1972</v>
      </c>
      <c r="BO493" s="329">
        <f>Q_Financials!BG25</f>
        <v>2357</v>
      </c>
      <c r="BP493" s="329">
        <f>Q_Financials!BH25</f>
        <v>2256</v>
      </c>
      <c r="BQ493" s="329">
        <f>Q_Financials!BI25</f>
        <v>2420</v>
      </c>
      <c r="BR493" s="329">
        <f>Q_Financials!BJ25</f>
        <v>2430</v>
      </c>
      <c r="BS493" s="329">
        <f>Q_Financials!BK25</f>
        <v>2643</v>
      </c>
      <c r="BT493" s="329">
        <f>Q_Financials!BL25</f>
        <v>2473.0663655393196</v>
      </c>
      <c r="BU493" s="329">
        <f>Q_Financials!BM25</f>
        <v>2585.9573845601858</v>
      </c>
      <c r="BV493" s="329">
        <f>Q_Financials!BN25</f>
        <v>2527.6731619269731</v>
      </c>
      <c r="BW493" s="329">
        <f>Q_Financials!BO25</f>
        <v>2743.2675713989684</v>
      </c>
      <c r="BX493" s="329">
        <f>Q_Financials!BP25</f>
        <v>2608.3014537253507</v>
      </c>
      <c r="BY493" s="329">
        <f>Q_Financials!BQ25</f>
        <v>2739.8775102105392</v>
      </c>
      <c r="BZ493" s="329">
        <f>Q_Financials!BR25</f>
        <v>2684.7131586700962</v>
      </c>
      <c r="CA493" s="329">
        <f>Q_Financials!BS25</f>
        <v>2910.1887395606896</v>
      </c>
      <c r="CB493" s="329">
        <f>Q_Financials!BT25</f>
        <v>2765.7944648281195</v>
      </c>
      <c r="CC493" s="329">
        <f>Q_Financials!BU25</f>
        <v>2902.6573183926866</v>
      </c>
      <c r="CD493" s="329">
        <f>Q_Financials!BV25</f>
        <v>2839.411752107379</v>
      </c>
      <c r="CE493" s="329">
        <f>Q_Financials!BW25</f>
        <v>3075.3632697483858</v>
      </c>
      <c r="CF493" s="329">
        <f>Q_Financials!BX25</f>
        <v>2922.2395165135813</v>
      </c>
      <c r="CG493" s="329">
        <f>Q_Financials!BY25</f>
        <v>3064.3757253800595</v>
      </c>
      <c r="CH493" s="329">
        <f>Q_Financials!BZ25</f>
        <v>2902.4476828295201</v>
      </c>
      <c r="CI493" s="329">
        <f>Q_Financials!CA25</f>
        <v>3144.7398146822716</v>
      </c>
      <c r="CJ493" s="329">
        <f>Q_Financials!CB25</f>
        <v>2985.6483382462638</v>
      </c>
      <c r="CK493" s="329">
        <f>Q_Financials!CC25</f>
        <v>3130.0816325547426</v>
      </c>
      <c r="CL493" s="329">
        <f>Q_Financials!CD25</f>
        <v>3030.5735663540022</v>
      </c>
      <c r="CM493" s="329">
        <f>Q_Financials!CE25</f>
        <v>3282.6436461822868</v>
      </c>
      <c r="CN493" s="329">
        <f>Q_Financials!CF25</f>
        <v>3117.4192212594744</v>
      </c>
      <c r="CO493" s="329">
        <f>Q_Financials!CG25</f>
        <v>3269.0157264455261</v>
      </c>
      <c r="CP493" s="329">
        <f>Q_Financials!CH25</f>
        <v>3162.8406496278117</v>
      </c>
      <c r="CQ493" s="329">
        <f>Q_Financials!CI25</f>
        <v>3423.4559974727972</v>
      </c>
      <c r="CR493" s="329">
        <f>Q_Financials!CJ25</f>
        <v>3250.4772153039385</v>
      </c>
      <c r="CS493" s="329">
        <f>Q_Financials!CK25</f>
        <v>3406.4948738368721</v>
      </c>
    </row>
    <row r="494" spans="1:97">
      <c r="A494" s="36" t="s">
        <v>733</v>
      </c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>
        <f>Q_Financials!U26</f>
        <v>197</v>
      </c>
      <c r="AD494" s="92">
        <f>Q_Financials!V26</f>
        <v>134</v>
      </c>
      <c r="AE494" s="92">
        <f>Q_Financials!W26</f>
        <v>137</v>
      </c>
      <c r="AF494" s="92">
        <f>Q_Financials!X26</f>
        <v>183</v>
      </c>
      <c r="AG494" s="92">
        <f>Q_Financials!Y26</f>
        <v>225</v>
      </c>
      <c r="AH494" s="92">
        <f>Q_Financials!Z26</f>
        <v>168</v>
      </c>
      <c r="AI494" s="92">
        <f>Q_Financials!AA26</f>
        <v>228</v>
      </c>
      <c r="AJ494" s="92">
        <f>Q_Financials!AB26</f>
        <v>314</v>
      </c>
      <c r="AK494" s="92">
        <f>Q_Financials!AC26</f>
        <v>311</v>
      </c>
      <c r="AL494" s="92">
        <f>Q_Financials!AD26</f>
        <v>193</v>
      </c>
      <c r="AM494" s="92">
        <f>Q_Financials!AE26</f>
        <v>262</v>
      </c>
      <c r="AN494" s="92">
        <f>Q_Financials!AF26</f>
        <v>357</v>
      </c>
      <c r="AO494" s="92">
        <f>Q_Financials!AG26</f>
        <v>415</v>
      </c>
      <c r="AP494" s="92">
        <f>Q_Financials!AH26</f>
        <v>357</v>
      </c>
      <c r="AQ494" s="92">
        <f>Q_Financials!AI26</f>
        <v>370</v>
      </c>
      <c r="AR494" s="92">
        <f>Q_Financials!AJ26</f>
        <v>423</v>
      </c>
      <c r="AS494" s="92">
        <f>Q_Financials!AK26</f>
        <v>412</v>
      </c>
      <c r="AT494" s="92">
        <f>Q_Financials!AL26</f>
        <v>334</v>
      </c>
      <c r="AU494" s="92">
        <f>Q_Financials!AM26</f>
        <v>364</v>
      </c>
      <c r="AV494" s="92">
        <f>Q_Financials!AN26</f>
        <v>377</v>
      </c>
      <c r="AW494" s="92">
        <f>Q_Financials!AO26</f>
        <v>333</v>
      </c>
      <c r="AX494" s="92">
        <f>Q_Financials!AP26</f>
        <v>277</v>
      </c>
      <c r="AY494" s="92">
        <f>Q_Financials!AQ26</f>
        <v>314</v>
      </c>
      <c r="AZ494" s="92">
        <f>Q_Financials!AR26</f>
        <v>388</v>
      </c>
      <c r="BA494" s="92">
        <f>Q_Financials!AS26</f>
        <v>284</v>
      </c>
      <c r="BB494" s="92">
        <f>Q_Financials!AT26</f>
        <v>84</v>
      </c>
      <c r="BC494" s="329">
        <f>Q_Financials!AU26</f>
        <v>-138</v>
      </c>
      <c r="BD494" s="329">
        <f>Q_Financials!AV26</f>
        <v>109</v>
      </c>
      <c r="BE494" s="329">
        <f>Q_Financials!AW26</f>
        <v>242</v>
      </c>
      <c r="BF494" s="329">
        <f>Q_Financials!AX26</f>
        <v>209</v>
      </c>
      <c r="BG494" s="329">
        <f>Q_Financials!AY26</f>
        <v>189</v>
      </c>
      <c r="BH494" s="329">
        <f>Q_Financials!AZ26</f>
        <v>393</v>
      </c>
      <c r="BI494" s="329">
        <f>Q_Financials!BA26</f>
        <v>467</v>
      </c>
      <c r="BJ494" s="329">
        <f>Q_Financials!BB26</f>
        <v>372</v>
      </c>
      <c r="BK494" s="329">
        <f>Q_Financials!BC26</f>
        <v>457</v>
      </c>
      <c r="BL494" s="329">
        <f>Q_Financials!BD26</f>
        <v>610</v>
      </c>
      <c r="BM494" s="329">
        <f>Q_Financials!BE26</f>
        <v>529</v>
      </c>
      <c r="BN494" s="329">
        <f>Q_Financials!BF26</f>
        <v>504</v>
      </c>
      <c r="BO494" s="329">
        <f>Q_Financials!BG26</f>
        <v>526</v>
      </c>
      <c r="BP494" s="329">
        <f>Q_Financials!BH26</f>
        <v>613</v>
      </c>
      <c r="BQ494" s="329">
        <f>Q_Financials!BI26</f>
        <v>568</v>
      </c>
      <c r="BR494" s="329">
        <f>Q_Financials!BJ26</f>
        <v>413</v>
      </c>
      <c r="BS494" s="329">
        <f>Q_Financials!BK26</f>
        <v>414</v>
      </c>
      <c r="BT494" s="329">
        <f>Q_Financials!BL26</f>
        <v>422.12082235600633</v>
      </c>
      <c r="BU494" s="329">
        <f>Q_Financials!BM26</f>
        <v>390.55882309421889</v>
      </c>
      <c r="BV494" s="329">
        <f>Q_Financials!BN26</f>
        <v>424.43572605930137</v>
      </c>
      <c r="BW494" s="329">
        <f>Q_Financials!BO26</f>
        <v>455.69716584968927</v>
      </c>
      <c r="BX494" s="329">
        <f>Q_Financials!BP26</f>
        <v>462.56114926736126</v>
      </c>
      <c r="BY494" s="329">
        <f>Q_Financials!BQ26</f>
        <v>414.37994862129</v>
      </c>
      <c r="BZ494" s="329">
        <f>Q_Financials!BR26</f>
        <v>450.24668548080064</v>
      </c>
      <c r="CA494" s="329">
        <f>Q_Financials!BS26</f>
        <v>478.41680104571947</v>
      </c>
      <c r="CB494" s="329">
        <f>Q_Financials!BT26</f>
        <v>485.58835275870581</v>
      </c>
      <c r="CC494" s="329">
        <f>Q_Financials!BU26</f>
        <v>433.67323064789935</v>
      </c>
      <c r="CD494" s="329">
        <f>Q_Financials!BV26</f>
        <v>460.83878697147202</v>
      </c>
      <c r="CE494" s="329">
        <f>Q_Financials!BW26</f>
        <v>489.75481927181897</v>
      </c>
      <c r="CF494" s="329">
        <f>Q_Financials!BX26</f>
        <v>497.47565753676884</v>
      </c>
      <c r="CG494" s="329">
        <f>Q_Financials!BY26</f>
        <v>443.98734571498431</v>
      </c>
      <c r="CH494" s="329">
        <f>Q_Financials!BZ26</f>
        <v>474.78937126418947</v>
      </c>
      <c r="CI494" s="329">
        <f>Q_Financials!CA26</f>
        <v>504.71461401081672</v>
      </c>
      <c r="CJ494" s="329">
        <f>Q_Financials!CB26</f>
        <v>513.09499041448782</v>
      </c>
      <c r="CK494" s="329">
        <f>Q_Financials!CC26</f>
        <v>457.60488466428353</v>
      </c>
      <c r="CL494" s="329">
        <f>Q_Financials!CD26</f>
        <v>489.06849489099892</v>
      </c>
      <c r="CM494" s="329">
        <f>Q_Financials!CE26</f>
        <v>519.96350086905557</v>
      </c>
      <c r="CN494" s="329">
        <f>Q_Financials!CF26</f>
        <v>529.0185492885513</v>
      </c>
      <c r="CO494" s="329">
        <f>Q_Financials!CG26</f>
        <v>471.40748510320407</v>
      </c>
      <c r="CP494" s="329">
        <f>Q_Financials!CH26</f>
        <v>503.48741746198471</v>
      </c>
      <c r="CQ494" s="329">
        <f>Q_Financials!CI26</f>
        <v>535.46858641799986</v>
      </c>
      <c r="CR494" s="329">
        <f>Q_Financials!CJ26</f>
        <v>545.42926943123518</v>
      </c>
      <c r="CS494" s="329">
        <f>Q_Financials!CK26</f>
        <v>485.38878378359908</v>
      </c>
    </row>
    <row r="495" spans="1:97">
      <c r="A495" s="36" t="s">
        <v>949</v>
      </c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>
        <f>Q_Financials!U27</f>
        <v>0</v>
      </c>
      <c r="AD495" s="92">
        <f>Q_Financials!V27</f>
        <v>0</v>
      </c>
      <c r="AE495" s="92">
        <f>Q_Financials!W27</f>
        <v>0</v>
      </c>
      <c r="AF495" s="92">
        <f>Q_Financials!X27</f>
        <v>0</v>
      </c>
      <c r="AG495" s="92">
        <f>Q_Financials!Y27</f>
        <v>290</v>
      </c>
      <c r="AH495" s="92">
        <f>Q_Financials!Z27</f>
        <v>251</v>
      </c>
      <c r="AI495" s="92">
        <f>Q_Financials!AA27</f>
        <v>247</v>
      </c>
      <c r="AJ495" s="92">
        <f>Q_Financials!AB27</f>
        <v>246</v>
      </c>
      <c r="AK495" s="92">
        <f>Q_Financials!AC27</f>
        <v>338</v>
      </c>
      <c r="AL495" s="92">
        <f>Q_Financials!AD27</f>
        <v>351</v>
      </c>
      <c r="AM495" s="92">
        <f>Q_Financials!AE27</f>
        <v>339</v>
      </c>
      <c r="AN495" s="92">
        <f>Q_Financials!AF27</f>
        <v>334</v>
      </c>
      <c r="AO495" s="92">
        <f>Q_Financials!AG27</f>
        <v>476</v>
      </c>
      <c r="AP495" s="92">
        <f>Q_Financials!AH27</f>
        <v>410</v>
      </c>
      <c r="AQ495" s="92">
        <f>Q_Financials!AI27</f>
        <v>390</v>
      </c>
      <c r="AR495" s="92">
        <f>Q_Financials!AJ27</f>
        <v>372</v>
      </c>
      <c r="AS495" s="92">
        <f>Q_Financials!AK27</f>
        <v>554</v>
      </c>
      <c r="AT495" s="92">
        <f>Q_Financials!AL27</f>
        <v>497</v>
      </c>
      <c r="AU495" s="92">
        <f>Q_Financials!AM27</f>
        <v>449</v>
      </c>
      <c r="AV495" s="92">
        <f>Q_Financials!AN27</f>
        <v>418</v>
      </c>
      <c r="AW495" s="92">
        <f>Q_Financials!AO27</f>
        <v>552</v>
      </c>
      <c r="AX495" s="92">
        <f>Q_Financials!AP27</f>
        <v>815</v>
      </c>
      <c r="AY495" s="92">
        <f>Q_Financials!AQ27</f>
        <v>865</v>
      </c>
      <c r="AZ495" s="92">
        <f>Q_Financials!AR27</f>
        <v>801</v>
      </c>
      <c r="BA495" s="92">
        <f>Q_Financials!AS27</f>
        <v>1270</v>
      </c>
      <c r="BB495" s="92">
        <f>Q_Financials!AT27</f>
        <v>390</v>
      </c>
      <c r="BC495" s="329">
        <f>Q_Financials!AU27</f>
        <v>-566</v>
      </c>
      <c r="BD495" s="329">
        <f>Q_Financials!AV27</f>
        <v>509</v>
      </c>
      <c r="BE495" s="329">
        <f>Q_Financials!AW27</f>
        <v>854</v>
      </c>
      <c r="BF495" s="329">
        <f>Q_Financials!AX27</f>
        <v>378</v>
      </c>
      <c r="BG495" s="329">
        <f>Q_Financials!AY27</f>
        <v>699</v>
      </c>
      <c r="BH495" s="329">
        <f>Q_Financials!AZ27</f>
        <v>916</v>
      </c>
      <c r="BI495" s="329">
        <f>Q_Financials!BA27</f>
        <v>1429</v>
      </c>
      <c r="BJ495" s="329">
        <f>Q_Financials!BB27</f>
        <v>791</v>
      </c>
      <c r="BK495" s="329">
        <f>Q_Financials!BC27</f>
        <v>901</v>
      </c>
      <c r="BL495" s="329">
        <f>Q_Financials!BD27</f>
        <v>602</v>
      </c>
      <c r="BM495" s="329">
        <f>Q_Financials!BE27</f>
        <v>930</v>
      </c>
      <c r="BN495" s="329">
        <f>Q_Financials!BF27</f>
        <v>726</v>
      </c>
      <c r="BO495" s="329">
        <f>Q_Financials!BG27</f>
        <v>866</v>
      </c>
      <c r="BP495" s="329">
        <f>Q_Financials!BH27</f>
        <v>884</v>
      </c>
      <c r="BQ495" s="329">
        <f>Q_Financials!BI27</f>
        <v>1065</v>
      </c>
      <c r="BR495" s="329">
        <f>Q_Financials!BJ27</f>
        <v>739</v>
      </c>
      <c r="BS495" s="329">
        <f>Q_Financials!BK27</f>
        <v>737</v>
      </c>
      <c r="BT495" s="329">
        <f>Q_Financials!BL27</f>
        <v>861.77306022797984</v>
      </c>
      <c r="BU495" s="329">
        <f>Q_Financials!BM27</f>
        <v>1141.6369468923569</v>
      </c>
      <c r="BV495" s="329">
        <f>Q_Financials!BN27</f>
        <v>832.83749361961782</v>
      </c>
      <c r="BW495" s="329">
        <f>Q_Financials!BO27</f>
        <v>851.54976561392766</v>
      </c>
      <c r="BX495" s="329">
        <f>Q_Financials!BP27</f>
        <v>1005.1256229107319</v>
      </c>
      <c r="BY495" s="329">
        <f>Q_Financials!BQ27</f>
        <v>1297.2632695772854</v>
      </c>
      <c r="BZ495" s="329">
        <f>Q_Financials!BR27</f>
        <v>933.71881322974957</v>
      </c>
      <c r="CA495" s="329">
        <f>Q_Financials!BS27</f>
        <v>930.23716662450079</v>
      </c>
      <c r="CB495" s="329">
        <f>Q_Financials!BT27</f>
        <v>1096.2961645590722</v>
      </c>
      <c r="CC495" s="329">
        <f>Q_Financials!BU27</f>
        <v>1410.9473233985073</v>
      </c>
      <c r="CD495" s="329">
        <f>Q_Financials!BV27</f>
        <v>1016.0145057594361</v>
      </c>
      <c r="CE495" s="329">
        <f>Q_Financials!BW27</f>
        <v>1012.241902371337</v>
      </c>
      <c r="CF495" s="329">
        <f>Q_Financials!BX27</f>
        <v>1192.049762859883</v>
      </c>
      <c r="CG495" s="329">
        <f>Q_Financials!BY27</f>
        <v>1530.566820676323</v>
      </c>
      <c r="CH495" s="329">
        <f>Q_Financials!BZ27</f>
        <v>1040.0071599299733</v>
      </c>
      <c r="CI495" s="329">
        <f>Q_Financials!CA27</f>
        <v>1035.2857894897347</v>
      </c>
      <c r="CJ495" s="329">
        <f>Q_Financials!CB27</f>
        <v>1224.8354189661277</v>
      </c>
      <c r="CK495" s="329">
        <f>Q_Financials!CC27</f>
        <v>1581.9770237192033</v>
      </c>
      <c r="CL495" s="329">
        <f>Q_Financials!CD27</f>
        <v>1122.6991701545617</v>
      </c>
      <c r="CM495" s="329">
        <f>Q_Financials!CE27</f>
        <v>1117.5780148299118</v>
      </c>
      <c r="CN495" s="329">
        <f>Q_Financials!CF27</f>
        <v>1321.6333081380576</v>
      </c>
      <c r="CO495" s="329">
        <f>Q_Financials!CG27</f>
        <v>1705.1687217507624</v>
      </c>
      <c r="CP495" s="329">
        <f>Q_Financials!CH27</f>
        <v>1210.4096665996869</v>
      </c>
      <c r="CQ495" s="329">
        <f>Q_Financials!CI27</f>
        <v>1204.0011644272231</v>
      </c>
      <c r="CR495" s="329">
        <f>Q_Financials!CJ27</f>
        <v>1422.2218394218464</v>
      </c>
      <c r="CS495" s="329">
        <f>Q_Financials!CK27</f>
        <v>1832.4228837032379</v>
      </c>
    </row>
    <row r="496" spans="1:97">
      <c r="A496" s="36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W496" s="92"/>
      <c r="AX496" s="92"/>
      <c r="AY496" s="92"/>
      <c r="AZ496" s="92"/>
      <c r="BA496" s="92"/>
      <c r="BB496" s="92"/>
      <c r="BC496" s="329"/>
      <c r="BD496" s="329"/>
      <c r="BE496" s="329"/>
      <c r="BF496" s="329"/>
      <c r="BG496" s="329"/>
      <c r="BH496" s="329"/>
      <c r="BI496" s="329"/>
      <c r="BJ496" s="329"/>
      <c r="BK496" s="329"/>
      <c r="BL496" s="329"/>
      <c r="BM496" s="329"/>
      <c r="BN496" s="329"/>
      <c r="BO496" s="329"/>
      <c r="BP496" s="329"/>
      <c r="BQ496" s="329"/>
      <c r="BR496" s="329"/>
      <c r="BS496" s="329"/>
      <c r="BT496" s="329"/>
      <c r="BU496" s="329"/>
      <c r="BV496" s="329"/>
      <c r="BW496" s="329"/>
      <c r="BX496" s="329"/>
      <c r="BY496" s="329"/>
      <c r="BZ496" s="9"/>
      <c r="CA496" s="9"/>
      <c r="CB496" s="9"/>
      <c r="CC496" s="9"/>
      <c r="CD496" s="9"/>
    </row>
    <row r="497" spans="1:97">
      <c r="A497" s="242" t="s">
        <v>886</v>
      </c>
      <c r="B497" s="595"/>
      <c r="C497" s="595"/>
      <c r="D497" s="595"/>
      <c r="E497" s="595"/>
      <c r="F497" s="595"/>
      <c r="G497" s="595"/>
      <c r="H497" s="595"/>
      <c r="I497" s="595"/>
      <c r="J497" s="595" t="str">
        <f t="shared" ref="J497:AO497" si="307">J$453</f>
        <v>1Q09</v>
      </c>
      <c r="K497" s="595" t="str">
        <f t="shared" si="307"/>
        <v>2Q09</v>
      </c>
      <c r="L497" s="595" t="str">
        <f t="shared" si="307"/>
        <v>3Q09</v>
      </c>
      <c r="M497" s="595" t="str">
        <f t="shared" si="307"/>
        <v>4Q09</v>
      </c>
      <c r="N497" s="595" t="str">
        <f t="shared" si="307"/>
        <v>1Q10</v>
      </c>
      <c r="O497" s="595" t="str">
        <f t="shared" si="307"/>
        <v>2Q10</v>
      </c>
      <c r="P497" s="595" t="str">
        <f t="shared" si="307"/>
        <v>3Q10</v>
      </c>
      <c r="Q497" s="595" t="str">
        <f t="shared" si="307"/>
        <v>4Q10</v>
      </c>
      <c r="R497" s="595" t="str">
        <f t="shared" si="307"/>
        <v>1Q11</v>
      </c>
      <c r="S497" s="595" t="str">
        <f t="shared" si="307"/>
        <v>2Q11</v>
      </c>
      <c r="T497" s="595" t="str">
        <f t="shared" si="307"/>
        <v>3Q11</v>
      </c>
      <c r="U497" s="595" t="str">
        <f t="shared" si="307"/>
        <v>4Q11</v>
      </c>
      <c r="V497" s="595" t="str">
        <f t="shared" si="307"/>
        <v>1Q12</v>
      </c>
      <c r="W497" s="595" t="str">
        <f t="shared" si="307"/>
        <v>2Q12</v>
      </c>
      <c r="X497" s="595" t="str">
        <f t="shared" si="307"/>
        <v>3Q12</v>
      </c>
      <c r="Y497" s="595" t="str">
        <f t="shared" si="307"/>
        <v>4Q12</v>
      </c>
      <c r="Z497" s="595" t="str">
        <f t="shared" si="307"/>
        <v>1Q13</v>
      </c>
      <c r="AA497" s="595" t="str">
        <f t="shared" si="307"/>
        <v>2Q13</v>
      </c>
      <c r="AB497" s="595" t="str">
        <f t="shared" si="307"/>
        <v>3Q13</v>
      </c>
      <c r="AC497" s="595" t="str">
        <f t="shared" si="307"/>
        <v>4Q13</v>
      </c>
      <c r="AD497" s="595" t="str">
        <f t="shared" si="307"/>
        <v>1Q14</v>
      </c>
      <c r="AE497" s="595" t="str">
        <f t="shared" si="307"/>
        <v>2Q14</v>
      </c>
      <c r="AF497" s="595" t="str">
        <f t="shared" si="307"/>
        <v>3Q14</v>
      </c>
      <c r="AG497" s="595" t="str">
        <f t="shared" si="307"/>
        <v>4Q14</v>
      </c>
      <c r="AH497" s="595" t="str">
        <f t="shared" si="307"/>
        <v>1Q15</v>
      </c>
      <c r="AI497" s="595" t="str">
        <f t="shared" si="307"/>
        <v>2Q15</v>
      </c>
      <c r="AJ497" s="595" t="str">
        <f t="shared" si="307"/>
        <v>3Q15</v>
      </c>
      <c r="AK497" s="595" t="str">
        <f t="shared" si="307"/>
        <v>4Q15</v>
      </c>
      <c r="AL497" s="595" t="str">
        <f t="shared" si="307"/>
        <v>1Q16</v>
      </c>
      <c r="AM497" s="595" t="str">
        <f t="shared" si="307"/>
        <v>2Q16</v>
      </c>
      <c r="AN497" s="595" t="str">
        <f t="shared" si="307"/>
        <v>3Q16</v>
      </c>
      <c r="AO497" s="595" t="str">
        <f t="shared" si="307"/>
        <v>4Q16</v>
      </c>
      <c r="AP497" s="595" t="str">
        <f t="shared" ref="AP497:CS497" si="308">AP$453</f>
        <v>1Q17</v>
      </c>
      <c r="AQ497" s="595" t="str">
        <f t="shared" si="308"/>
        <v>2Q17</v>
      </c>
      <c r="AR497" s="595" t="str">
        <f t="shared" si="308"/>
        <v>3Q17</v>
      </c>
      <c r="AS497" s="595" t="str">
        <f t="shared" si="308"/>
        <v>4Q17</v>
      </c>
      <c r="AT497" s="595" t="str">
        <f t="shared" si="308"/>
        <v>1Q18</v>
      </c>
      <c r="AU497" s="595" t="str">
        <f t="shared" si="308"/>
        <v>2Q18</v>
      </c>
      <c r="AV497" s="595" t="str">
        <f t="shared" si="308"/>
        <v>3Q18</v>
      </c>
      <c r="AW497" s="595" t="str">
        <f t="shared" si="308"/>
        <v>4Q18</v>
      </c>
      <c r="AX497" s="595" t="str">
        <f t="shared" si="308"/>
        <v>1Q19</v>
      </c>
      <c r="AY497" s="595" t="str">
        <f t="shared" si="308"/>
        <v>2Q19</v>
      </c>
      <c r="AZ497" s="595" t="str">
        <f t="shared" si="308"/>
        <v>3Q19</v>
      </c>
      <c r="BA497" s="595" t="str">
        <f t="shared" si="308"/>
        <v>4Q19</v>
      </c>
      <c r="BB497" s="595" t="str">
        <f t="shared" si="308"/>
        <v>1Q20</v>
      </c>
      <c r="BC497" s="595" t="str">
        <f t="shared" si="308"/>
        <v>2Q20</v>
      </c>
      <c r="BD497" s="595" t="str">
        <f t="shared" si="308"/>
        <v>3Q20</v>
      </c>
      <c r="BE497" s="595" t="str">
        <f t="shared" si="308"/>
        <v>4Q20</v>
      </c>
      <c r="BF497" s="595" t="str">
        <f t="shared" si="308"/>
        <v>1Q21</v>
      </c>
      <c r="BG497" s="595" t="str">
        <f t="shared" si="308"/>
        <v>2Q21</v>
      </c>
      <c r="BH497" s="595" t="str">
        <f t="shared" si="308"/>
        <v>3Q21</v>
      </c>
      <c r="BI497" s="595" t="str">
        <f t="shared" si="308"/>
        <v>4Q21</v>
      </c>
      <c r="BJ497" s="595" t="str">
        <f t="shared" si="308"/>
        <v>1Q22</v>
      </c>
      <c r="BK497" s="595" t="str">
        <f t="shared" si="308"/>
        <v>2Q22</v>
      </c>
      <c r="BL497" s="595" t="str">
        <f t="shared" si="308"/>
        <v>3Q22</v>
      </c>
      <c r="BM497" s="595" t="str">
        <f t="shared" si="308"/>
        <v>4Q22</v>
      </c>
      <c r="BN497" s="595" t="str">
        <f t="shared" si="308"/>
        <v>1Q23</v>
      </c>
      <c r="BO497" s="595" t="str">
        <f t="shared" si="308"/>
        <v>2Q23</v>
      </c>
      <c r="BP497" s="595" t="str">
        <f t="shared" si="308"/>
        <v>3Q23</v>
      </c>
      <c r="BQ497" s="595" t="str">
        <f t="shared" si="308"/>
        <v>4Q23</v>
      </c>
      <c r="BR497" s="595" t="str">
        <f t="shared" si="308"/>
        <v>1Q24</v>
      </c>
      <c r="BS497" s="596" t="str">
        <f t="shared" si="308"/>
        <v>2Q24e</v>
      </c>
      <c r="BT497" s="596" t="str">
        <f t="shared" si="308"/>
        <v>3Q24e</v>
      </c>
      <c r="BU497" s="596" t="str">
        <f t="shared" si="308"/>
        <v>4Q24e</v>
      </c>
      <c r="BV497" s="596" t="str">
        <f t="shared" si="308"/>
        <v>1Q25e</v>
      </c>
      <c r="BW497" s="596" t="str">
        <f t="shared" si="308"/>
        <v>2Q25e</v>
      </c>
      <c r="BX497" s="596" t="str">
        <f t="shared" si="308"/>
        <v>3Q25e</v>
      </c>
      <c r="BY497" s="596" t="str">
        <f t="shared" si="308"/>
        <v>4Q25e</v>
      </c>
      <c r="BZ497" s="596" t="str">
        <f t="shared" si="308"/>
        <v>1Q26e</v>
      </c>
      <c r="CA497" s="596" t="str">
        <f t="shared" si="308"/>
        <v>2Q26e</v>
      </c>
      <c r="CB497" s="596" t="str">
        <f t="shared" si="308"/>
        <v>3Q26e</v>
      </c>
      <c r="CC497" s="596" t="str">
        <f t="shared" si="308"/>
        <v>4Q26e</v>
      </c>
      <c r="CD497" s="596" t="str">
        <f t="shared" si="308"/>
        <v>1Q27e</v>
      </c>
      <c r="CE497" s="596" t="str">
        <f t="shared" si="308"/>
        <v>2Q27e</v>
      </c>
      <c r="CF497" s="596" t="str">
        <f t="shared" si="308"/>
        <v>3Q27e</v>
      </c>
      <c r="CG497" s="596" t="str">
        <f t="shared" si="308"/>
        <v>4Q27e</v>
      </c>
      <c r="CH497" s="596" t="str">
        <f t="shared" si="308"/>
        <v>1Q28e</v>
      </c>
      <c r="CI497" s="596" t="str">
        <f t="shared" si="308"/>
        <v>2Q28e</v>
      </c>
      <c r="CJ497" s="596" t="str">
        <f t="shared" si="308"/>
        <v>3Q28e</v>
      </c>
      <c r="CK497" s="596" t="str">
        <f t="shared" si="308"/>
        <v>4Q28e</v>
      </c>
      <c r="CL497" s="596" t="str">
        <f t="shared" si="308"/>
        <v>1Q29e</v>
      </c>
      <c r="CM497" s="596" t="str">
        <f t="shared" si="308"/>
        <v>2Q29e</v>
      </c>
      <c r="CN497" s="596" t="str">
        <f t="shared" si="308"/>
        <v>3Q29e</v>
      </c>
      <c r="CO497" s="596" t="str">
        <f t="shared" si="308"/>
        <v>4Q29e</v>
      </c>
      <c r="CP497" s="596" t="str">
        <f t="shared" si="308"/>
        <v>1Q30e</v>
      </c>
      <c r="CQ497" s="596" t="str">
        <f t="shared" si="308"/>
        <v>2Q30e</v>
      </c>
      <c r="CR497" s="596" t="str">
        <f t="shared" si="308"/>
        <v>3Q30e</v>
      </c>
      <c r="CS497" s="596" t="str">
        <f t="shared" si="308"/>
        <v>4Q30e</v>
      </c>
    </row>
    <row r="498" spans="1:97">
      <c r="A498" s="36" t="s">
        <v>731</v>
      </c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259">
        <f t="shared" ref="AC498:BH498" si="309">AC493/AC459</f>
        <v>0.17537404954623498</v>
      </c>
      <c r="AD498" s="259">
        <f t="shared" si="309"/>
        <v>0.16387872451646629</v>
      </c>
      <c r="AE498" s="259">
        <f t="shared" si="309"/>
        <v>0.18929215961499898</v>
      </c>
      <c r="AF498" s="259">
        <f t="shared" si="309"/>
        <v>0.19450631031922791</v>
      </c>
      <c r="AG498" s="259">
        <f t="shared" si="309"/>
        <v>0.21648368640791713</v>
      </c>
      <c r="AH498" s="259">
        <f t="shared" si="309"/>
        <v>0.21420905773771196</v>
      </c>
      <c r="AI498" s="259">
        <f t="shared" si="309"/>
        <v>0.23005565862708721</v>
      </c>
      <c r="AJ498" s="259">
        <f t="shared" si="309"/>
        <v>0.23103171417101565</v>
      </c>
      <c r="AK498" s="259">
        <f t="shared" si="309"/>
        <v>0.26091783863804591</v>
      </c>
      <c r="AL498" s="259">
        <f t="shared" si="309"/>
        <v>0.22580019398642096</v>
      </c>
      <c r="AM498" s="259">
        <f t="shared" si="309"/>
        <v>0.23915482423335827</v>
      </c>
      <c r="AN498" s="259">
        <f t="shared" si="309"/>
        <v>0.24274836838288616</v>
      </c>
      <c r="AO498" s="259">
        <f t="shared" si="309"/>
        <v>0.24015418133065192</v>
      </c>
      <c r="AP498" s="259">
        <f t="shared" si="309"/>
        <v>0.22371725870111231</v>
      </c>
      <c r="AQ498" s="259">
        <f t="shared" si="309"/>
        <v>0.23843296183721716</v>
      </c>
      <c r="AR498" s="259">
        <f t="shared" si="309"/>
        <v>0.22314192102086566</v>
      </c>
      <c r="AS498" s="259">
        <f t="shared" si="309"/>
        <v>0.25932309620808525</v>
      </c>
      <c r="AT498" s="259">
        <f t="shared" si="309"/>
        <v>0.22761380690345173</v>
      </c>
      <c r="AU498" s="259">
        <f t="shared" si="309"/>
        <v>0.24299215120935447</v>
      </c>
      <c r="AV498" s="259">
        <f t="shared" si="309"/>
        <v>0.22655007949125597</v>
      </c>
      <c r="AW498" s="259">
        <f t="shared" si="309"/>
        <v>0.22994806693594921</v>
      </c>
      <c r="AX498" s="259">
        <f t="shared" si="309"/>
        <v>0.20948802254579615</v>
      </c>
      <c r="AY498" s="259">
        <f t="shared" si="309"/>
        <v>0.24249891288592548</v>
      </c>
      <c r="AZ498" s="259">
        <f t="shared" si="309"/>
        <v>0.2284431137724551</v>
      </c>
      <c r="BA498" s="259">
        <f t="shared" si="309"/>
        <v>0.22934767618259549</v>
      </c>
      <c r="BB498" s="259">
        <f t="shared" si="309"/>
        <v>0.20499194847020935</v>
      </c>
      <c r="BC498" s="697">
        <f t="shared" si="309"/>
        <v>-0.12066473988439307</v>
      </c>
      <c r="BD498" s="697">
        <f t="shared" si="309"/>
        <v>0.11337272926242066</v>
      </c>
      <c r="BE498" s="697">
        <f t="shared" si="309"/>
        <v>0.25543478260869568</v>
      </c>
      <c r="BF498" s="697">
        <f t="shared" si="309"/>
        <v>0.18110552763819096</v>
      </c>
      <c r="BG498" s="697">
        <f t="shared" si="309"/>
        <v>0.24114462490332561</v>
      </c>
      <c r="BH498" s="697">
        <f t="shared" si="309"/>
        <v>0.20671140939597316</v>
      </c>
      <c r="BI498" s="697">
        <f t="shared" ref="BI498:BY498" si="310">BI493/BI459</f>
        <v>0.26747141041931383</v>
      </c>
      <c r="BJ498" s="697">
        <f t="shared" si="310"/>
        <v>0.22440354464894341</v>
      </c>
      <c r="BK498" s="697">
        <f t="shared" si="310"/>
        <v>0.22795261457460811</v>
      </c>
      <c r="BL498" s="697">
        <f t="shared" si="310"/>
        <v>0.22242056408425562</v>
      </c>
      <c r="BM498" s="697">
        <f t="shared" si="310"/>
        <v>0.22906219993598634</v>
      </c>
      <c r="BN498" s="697">
        <f t="shared" si="310"/>
        <v>0.22026136490561823</v>
      </c>
      <c r="BO498" s="697">
        <f t="shared" si="310"/>
        <v>0.23975180551317263</v>
      </c>
      <c r="BP498" s="697">
        <f t="shared" ref="BP498:BR498" si="311">BP493/BP459</f>
        <v>0.22787878787878788</v>
      </c>
      <c r="BQ498" s="697">
        <f t="shared" si="310"/>
        <v>0.22671913059771406</v>
      </c>
      <c r="BR498" s="697">
        <f t="shared" si="311"/>
        <v>0.24007113218731477</v>
      </c>
      <c r="BS498" s="697">
        <f t="shared" si="310"/>
        <v>0.2471479334206097</v>
      </c>
      <c r="BT498" s="697">
        <f t="shared" si="310"/>
        <v>0.22999999999999995</v>
      </c>
      <c r="BU498" s="697">
        <f t="shared" si="310"/>
        <v>0.22500000000000001</v>
      </c>
      <c r="BV498" s="697">
        <f t="shared" si="310"/>
        <v>0.23507113218731476</v>
      </c>
      <c r="BW498" s="697">
        <f t="shared" si="310"/>
        <v>0.2421479334206097</v>
      </c>
      <c r="BX498" s="697">
        <f t="shared" si="310"/>
        <v>0.22999999999999998</v>
      </c>
      <c r="BY498" s="697">
        <f t="shared" si="310"/>
        <v>0.22500000000000001</v>
      </c>
      <c r="BZ498" s="697">
        <f t="shared" ref="BZ498:CS498" si="312">BZ493/BZ459</f>
        <v>0.23507113218731474</v>
      </c>
      <c r="CA498" s="697">
        <f t="shared" si="312"/>
        <v>0.2421479334206097</v>
      </c>
      <c r="CB498" s="697">
        <f t="shared" si="312"/>
        <v>0.22999999999999998</v>
      </c>
      <c r="CC498" s="697">
        <f t="shared" si="312"/>
        <v>0.22499999999999998</v>
      </c>
      <c r="CD498" s="697">
        <f t="shared" si="312"/>
        <v>0.23507113218731476</v>
      </c>
      <c r="CE498" s="697">
        <f t="shared" si="312"/>
        <v>0.2421479334206097</v>
      </c>
      <c r="CF498" s="697">
        <f t="shared" si="312"/>
        <v>0.22999999999999998</v>
      </c>
      <c r="CG498" s="697">
        <f t="shared" si="312"/>
        <v>0.22500000000000001</v>
      </c>
      <c r="CH498" s="697">
        <f t="shared" si="312"/>
        <v>0.23007113218731476</v>
      </c>
      <c r="CI498" s="697">
        <f t="shared" si="312"/>
        <v>0.23714793342060966</v>
      </c>
      <c r="CJ498" s="697">
        <f t="shared" si="312"/>
        <v>0.22499999999999998</v>
      </c>
      <c r="CK498" s="697">
        <f t="shared" si="312"/>
        <v>0.21999999999999997</v>
      </c>
      <c r="CL498" s="697">
        <f t="shared" si="312"/>
        <v>0.23007113218731479</v>
      </c>
      <c r="CM498" s="697">
        <f t="shared" si="312"/>
        <v>0.23714793342060969</v>
      </c>
      <c r="CN498" s="697">
        <f t="shared" si="312"/>
        <v>0.22499999999999998</v>
      </c>
      <c r="CO498" s="697">
        <f t="shared" si="312"/>
        <v>0.22</v>
      </c>
      <c r="CP498" s="697">
        <f t="shared" si="312"/>
        <v>0.23007113218731476</v>
      </c>
      <c r="CQ498" s="697">
        <f t="shared" si="312"/>
        <v>0.23714793342060969</v>
      </c>
      <c r="CR498" s="697">
        <f t="shared" si="312"/>
        <v>0.22499999999999998</v>
      </c>
      <c r="CS498" s="697">
        <f t="shared" si="312"/>
        <v>0.22</v>
      </c>
    </row>
    <row r="499" spans="1:97">
      <c r="A499" s="36" t="s">
        <v>733</v>
      </c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259">
        <f t="shared" ref="AC499:BH499" si="313">AC494/AC461</f>
        <v>0.15698462028846918</v>
      </c>
      <c r="AD499" s="259">
        <f t="shared" si="313"/>
        <v>0.13440320962888666</v>
      </c>
      <c r="AE499" s="259">
        <f t="shared" si="313"/>
        <v>0.12557286892758937</v>
      </c>
      <c r="AF499" s="259">
        <f t="shared" si="313"/>
        <v>0.14829821717990274</v>
      </c>
      <c r="AG499" s="259">
        <f t="shared" si="313"/>
        <v>0.17321016166281755</v>
      </c>
      <c r="AH499" s="259">
        <f t="shared" si="313"/>
        <v>0.12380250552689757</v>
      </c>
      <c r="AI499" s="259">
        <f t="shared" si="313"/>
        <v>0.14205607476635515</v>
      </c>
      <c r="AJ499" s="259">
        <f t="shared" si="313"/>
        <v>0.16982152514872903</v>
      </c>
      <c r="AK499" s="259">
        <f t="shared" si="313"/>
        <v>0.16308337703198741</v>
      </c>
      <c r="AL499" s="259">
        <f t="shared" si="313"/>
        <v>0.12199747155499367</v>
      </c>
      <c r="AM499" s="259">
        <f t="shared" si="313"/>
        <v>0.13582166925868325</v>
      </c>
      <c r="AN499" s="259">
        <f t="shared" si="313"/>
        <v>0.1584553928095872</v>
      </c>
      <c r="AO499" s="259">
        <f t="shared" si="313"/>
        <v>0.17584745762711865</v>
      </c>
      <c r="AP499" s="259">
        <f t="shared" si="313"/>
        <v>0.14512195121951219</v>
      </c>
      <c r="AQ499" s="259">
        <f t="shared" si="313"/>
        <v>0.15108207431604737</v>
      </c>
      <c r="AR499" s="259">
        <f t="shared" si="313"/>
        <v>0.16059225512528474</v>
      </c>
      <c r="AS499" s="259">
        <f t="shared" si="313"/>
        <v>0.15036496350364964</v>
      </c>
      <c r="AT499" s="259">
        <f t="shared" si="313"/>
        <v>0.12842315969419907</v>
      </c>
      <c r="AU499" s="259">
        <f t="shared" si="313"/>
        <v>0.13356812947008312</v>
      </c>
      <c r="AV499" s="259">
        <f t="shared" si="313"/>
        <v>0.15306536743808363</v>
      </c>
      <c r="AW499" s="259">
        <f t="shared" si="313"/>
        <v>0.13840399002493767</v>
      </c>
      <c r="AX499" s="259">
        <f t="shared" si="313"/>
        <v>0.12195197117530882</v>
      </c>
      <c r="AY499" s="259">
        <f t="shared" si="313"/>
        <v>0.12867370601992148</v>
      </c>
      <c r="AZ499" s="259">
        <f t="shared" si="313"/>
        <v>0.15098316109708723</v>
      </c>
      <c r="BA499" s="259">
        <f t="shared" si="313"/>
        <v>0.11587471332228716</v>
      </c>
      <c r="BB499" s="259">
        <f t="shared" si="313"/>
        <v>4.7597677233351017E-2</v>
      </c>
      <c r="BC499" s="697">
        <f t="shared" si="313"/>
        <v>-0.17655186530883782</v>
      </c>
      <c r="BD499" s="697">
        <f t="shared" si="313"/>
        <v>8.6142106024336321E-2</v>
      </c>
      <c r="BE499" s="697">
        <f t="shared" si="313"/>
        <v>0.13632397335936633</v>
      </c>
      <c r="BF499" s="697">
        <f t="shared" si="313"/>
        <v>0.11895749972964204</v>
      </c>
      <c r="BG499" s="697">
        <f t="shared" si="313"/>
        <v>0.10916847699577593</v>
      </c>
      <c r="BH499" s="697">
        <f t="shared" si="313"/>
        <v>0.16216604317330474</v>
      </c>
      <c r="BI499" s="697">
        <f t="shared" ref="BI499:BY499" si="314">BI494/BI461</f>
        <v>0.15309276897284915</v>
      </c>
      <c r="BJ499" s="697">
        <f t="shared" si="314"/>
        <v>0.13735401520494178</v>
      </c>
      <c r="BK499" s="697">
        <f t="shared" si="314"/>
        <v>0.14454066431774909</v>
      </c>
      <c r="BL499" s="697">
        <f t="shared" si="314"/>
        <v>0.16576370736781634</v>
      </c>
      <c r="BM499" s="697">
        <f t="shared" si="314"/>
        <v>0.13784279927717216</v>
      </c>
      <c r="BN499" s="697">
        <f t="shared" si="314"/>
        <v>0.16073822217785622</v>
      </c>
      <c r="BO499" s="697">
        <f t="shared" si="314"/>
        <v>0.15200247365242292</v>
      </c>
      <c r="BP499" s="697">
        <f t="shared" ref="BP499:BR499" si="315">BP494/BP461</f>
        <v>0.15590851298631439</v>
      </c>
      <c r="BQ499" s="697">
        <f t="shared" si="314"/>
        <v>0.16814797732489004</v>
      </c>
      <c r="BR499" s="697">
        <f t="shared" si="315"/>
        <v>0.15648942313375944</v>
      </c>
      <c r="BS499" s="697">
        <f t="shared" si="314"/>
        <v>0.13545032817258859</v>
      </c>
      <c r="BT499" s="697">
        <f t="shared" si="314"/>
        <v>0.13045032817258859</v>
      </c>
      <c r="BU499" s="697">
        <f t="shared" si="314"/>
        <v>0.155</v>
      </c>
      <c r="BV499" s="697">
        <f t="shared" si="314"/>
        <v>0.15198942313375943</v>
      </c>
      <c r="BW499" s="697">
        <f t="shared" si="314"/>
        <v>0.13095032817258859</v>
      </c>
      <c r="BX499" s="697">
        <f t="shared" si="314"/>
        <v>0.13095032817258859</v>
      </c>
      <c r="BY499" s="697">
        <f t="shared" si="314"/>
        <v>0.1555</v>
      </c>
      <c r="BZ499" s="697">
        <f t="shared" ref="BZ499:CS499" si="316">BZ494/BZ461</f>
        <v>0.15248942313375943</v>
      </c>
      <c r="CA499" s="697">
        <f t="shared" si="316"/>
        <v>0.13145032817258859</v>
      </c>
      <c r="CB499" s="697">
        <f t="shared" si="316"/>
        <v>0.13145032817258859</v>
      </c>
      <c r="CC499" s="697">
        <f t="shared" si="316"/>
        <v>0.156</v>
      </c>
      <c r="CD499" s="697">
        <f t="shared" si="316"/>
        <v>0.15298942313375943</v>
      </c>
      <c r="CE499" s="697">
        <f t="shared" si="316"/>
        <v>0.13195032817258859</v>
      </c>
      <c r="CF499" s="697">
        <f t="shared" si="316"/>
        <v>0.13195032817258859</v>
      </c>
      <c r="CG499" s="697">
        <f t="shared" si="316"/>
        <v>0.1565</v>
      </c>
      <c r="CH499" s="697">
        <f t="shared" si="316"/>
        <v>0.15348942313375943</v>
      </c>
      <c r="CI499" s="697">
        <f t="shared" si="316"/>
        <v>0.13245032817258859</v>
      </c>
      <c r="CJ499" s="697">
        <f t="shared" si="316"/>
        <v>0.13245032817258862</v>
      </c>
      <c r="CK499" s="697">
        <f t="shared" si="316"/>
        <v>0.157</v>
      </c>
      <c r="CL499" s="697">
        <f t="shared" si="316"/>
        <v>0.15398942313375943</v>
      </c>
      <c r="CM499" s="697">
        <f t="shared" si="316"/>
        <v>0.13295032817258859</v>
      </c>
      <c r="CN499" s="697">
        <f t="shared" si="316"/>
        <v>0.13295032817258859</v>
      </c>
      <c r="CO499" s="697">
        <f t="shared" si="316"/>
        <v>0.1575</v>
      </c>
      <c r="CP499" s="697">
        <f t="shared" si="316"/>
        <v>0.15448942313375943</v>
      </c>
      <c r="CQ499" s="697">
        <f t="shared" si="316"/>
        <v>0.13345032817258859</v>
      </c>
      <c r="CR499" s="697">
        <f t="shared" si="316"/>
        <v>0.13345032817258859</v>
      </c>
      <c r="CS499" s="697">
        <f t="shared" si="316"/>
        <v>0.158</v>
      </c>
    </row>
    <row r="500" spans="1:97">
      <c r="A500" s="36" t="s">
        <v>949</v>
      </c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825"/>
      <c r="AD500" s="825"/>
      <c r="AE500" s="825"/>
      <c r="AF500" s="825"/>
      <c r="AG500" s="825">
        <f t="shared" ref="AG500:BY500" si="317">AG495/AG463</f>
        <v>0.19754768392370572</v>
      </c>
      <c r="AH500" s="825">
        <f t="shared" si="317"/>
        <v>0.18900602409638553</v>
      </c>
      <c r="AI500" s="825">
        <f t="shared" si="317"/>
        <v>0.1891271056661562</v>
      </c>
      <c r="AJ500" s="825">
        <f t="shared" si="317"/>
        <v>0.17672413793103448</v>
      </c>
      <c r="AK500" s="825">
        <f t="shared" si="317"/>
        <v>0.20522161505768063</v>
      </c>
      <c r="AL500" s="825">
        <f t="shared" si="317"/>
        <v>0.19521690767519467</v>
      </c>
      <c r="AM500" s="825">
        <f t="shared" si="317"/>
        <v>0.18949133594186696</v>
      </c>
      <c r="AN500" s="825">
        <f t="shared" si="317"/>
        <v>0.18231441048034935</v>
      </c>
      <c r="AO500" s="825">
        <f t="shared" si="317"/>
        <v>0.21915285451197053</v>
      </c>
      <c r="AP500" s="825">
        <f t="shared" si="317"/>
        <v>0.19902912621359223</v>
      </c>
      <c r="AQ500" s="825">
        <f t="shared" si="317"/>
        <v>0.19756838905775076</v>
      </c>
      <c r="AR500" s="825">
        <f t="shared" si="317"/>
        <v>0.18208516886930984</v>
      </c>
      <c r="AS500" s="825">
        <f t="shared" si="317"/>
        <v>0.22222222222222221</v>
      </c>
      <c r="AT500" s="825">
        <f t="shared" si="317"/>
        <v>0.20032245062474807</v>
      </c>
      <c r="AU500" s="825">
        <f t="shared" si="317"/>
        <v>0.19041560644614081</v>
      </c>
      <c r="AV500" s="825">
        <f t="shared" si="317"/>
        <v>0.17726887192536048</v>
      </c>
      <c r="AW500" s="825">
        <f t="shared" si="317"/>
        <v>0.20520446096654274</v>
      </c>
      <c r="AX500" s="825">
        <f t="shared" si="317"/>
        <v>0.16193125372541228</v>
      </c>
      <c r="AY500" s="825">
        <f t="shared" si="317"/>
        <v>0.16501335368180084</v>
      </c>
      <c r="AZ500" s="825">
        <f t="shared" si="317"/>
        <v>0.15283342873497424</v>
      </c>
      <c r="BA500" s="825">
        <f t="shared" si="317"/>
        <v>0.22315937445088738</v>
      </c>
      <c r="BB500" s="825">
        <f t="shared" si="317"/>
        <v>9.3975903614457831E-2</v>
      </c>
      <c r="BC500" s="827">
        <f t="shared" si="317"/>
        <v>-0.34344660194174759</v>
      </c>
      <c r="BD500" s="827">
        <f t="shared" si="317"/>
        <v>0.12536945812807881</v>
      </c>
      <c r="BE500" s="827">
        <f t="shared" si="317"/>
        <v>0.21339330334832585</v>
      </c>
      <c r="BF500" s="827">
        <f t="shared" si="317"/>
        <v>0.10824742268041238</v>
      </c>
      <c r="BG500" s="827">
        <f t="shared" si="317"/>
        <v>0.16331775700934578</v>
      </c>
      <c r="BH500" s="827">
        <f t="shared" si="317"/>
        <v>0.189648033126294</v>
      </c>
      <c r="BI500" s="827">
        <f t="shared" si="317"/>
        <v>0.24587061252580866</v>
      </c>
      <c r="BJ500" s="827">
        <f t="shared" si="317"/>
        <v>0.15255544840887175</v>
      </c>
      <c r="BK500" s="827">
        <f t="shared" si="317"/>
        <v>0.16620549714074895</v>
      </c>
      <c r="BL500" s="827">
        <f t="shared" si="317"/>
        <v>0.11076356945722171</v>
      </c>
      <c r="BM500" s="827">
        <f t="shared" si="317"/>
        <v>0.15669755686604886</v>
      </c>
      <c r="BN500" s="827">
        <f t="shared" si="317"/>
        <v>0.13017751479289941</v>
      </c>
      <c r="BO500" s="827">
        <f t="shared" si="317"/>
        <v>0.15305761753269706</v>
      </c>
      <c r="BP500" s="827">
        <f t="shared" ref="BP500:BR500" si="318">BP495/BP463</f>
        <v>0.15682100408018448</v>
      </c>
      <c r="BQ500" s="827">
        <f t="shared" si="317"/>
        <v>0.1747620610436495</v>
      </c>
      <c r="BR500" s="827">
        <f t="shared" si="318"/>
        <v>0.13582062120933652</v>
      </c>
      <c r="BS500" s="827">
        <f t="shared" si="317"/>
        <v>0.13392694893694349</v>
      </c>
      <c r="BT500" s="827">
        <f t="shared" si="317"/>
        <v>0.14082100408018447</v>
      </c>
      <c r="BU500" s="827">
        <f t="shared" si="317"/>
        <v>0.16376206104364949</v>
      </c>
      <c r="BV500" s="827">
        <f t="shared" si="317"/>
        <v>0.13082062120933652</v>
      </c>
      <c r="BW500" s="827">
        <f t="shared" si="317"/>
        <v>0.12892694893694348</v>
      </c>
      <c r="BX500" s="827">
        <f t="shared" si="317"/>
        <v>0.14182100408018447</v>
      </c>
      <c r="BY500" s="827">
        <f t="shared" si="317"/>
        <v>0.16476206104364949</v>
      </c>
      <c r="BZ500" s="827">
        <f t="shared" ref="BZ500:CS500" si="319">BZ495/BZ463</f>
        <v>0.13182062120933652</v>
      </c>
      <c r="CA500" s="827">
        <f t="shared" si="319"/>
        <v>0.12992694893694348</v>
      </c>
      <c r="CB500" s="827">
        <f t="shared" si="319"/>
        <v>0.14282100408018447</v>
      </c>
      <c r="CC500" s="827">
        <f t="shared" si="319"/>
        <v>0.16576206104364949</v>
      </c>
      <c r="CD500" s="827">
        <f t="shared" si="319"/>
        <v>0.13282062120933652</v>
      </c>
      <c r="CE500" s="827">
        <f t="shared" si="319"/>
        <v>0.13092694893694348</v>
      </c>
      <c r="CF500" s="827">
        <f t="shared" si="319"/>
        <v>0.14382100408018447</v>
      </c>
      <c r="CG500" s="827">
        <f t="shared" si="319"/>
        <v>0.16676206104364949</v>
      </c>
      <c r="CH500" s="827">
        <f t="shared" si="319"/>
        <v>0.12632062120933651</v>
      </c>
      <c r="CI500" s="827">
        <f t="shared" si="319"/>
        <v>0.1244269489369435</v>
      </c>
      <c r="CJ500" s="827">
        <f t="shared" si="319"/>
        <v>0.13732100408018447</v>
      </c>
      <c r="CK500" s="827">
        <f t="shared" si="319"/>
        <v>0.16026206104364948</v>
      </c>
      <c r="CL500" s="827">
        <f t="shared" si="319"/>
        <v>0.12682062120933651</v>
      </c>
      <c r="CM500" s="827">
        <f t="shared" si="319"/>
        <v>0.12492694893694349</v>
      </c>
      <c r="CN500" s="827">
        <f t="shared" si="319"/>
        <v>0.13782100408018447</v>
      </c>
      <c r="CO500" s="827">
        <f t="shared" si="319"/>
        <v>0.16076206104364948</v>
      </c>
      <c r="CP500" s="827">
        <f t="shared" si="319"/>
        <v>0.12732062120933652</v>
      </c>
      <c r="CQ500" s="827">
        <f t="shared" si="319"/>
        <v>0.12542694893694348</v>
      </c>
      <c r="CR500" s="827">
        <f t="shared" si="319"/>
        <v>0.13832100408018447</v>
      </c>
      <c r="CS500" s="827">
        <f t="shared" si="319"/>
        <v>0.16126206104364949</v>
      </c>
    </row>
    <row r="501" spans="1:97">
      <c r="A501" s="36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825"/>
      <c r="AD501" s="825"/>
      <c r="AE501" s="825"/>
      <c r="AF501" s="825"/>
      <c r="AG501" s="825"/>
      <c r="AH501" s="825"/>
      <c r="AI501" s="825"/>
      <c r="AJ501" s="825"/>
      <c r="AK501" s="825"/>
      <c r="AL501" s="825"/>
      <c r="AM501" s="825"/>
      <c r="AN501" s="825"/>
      <c r="AO501" s="825"/>
      <c r="AP501" s="825"/>
      <c r="AQ501" s="825"/>
      <c r="AR501" s="825"/>
      <c r="AS501" s="825"/>
      <c r="AT501" s="92"/>
      <c r="AU501" s="92"/>
      <c r="AV501" s="92"/>
      <c r="AW501" s="92"/>
      <c r="AX501" s="92"/>
      <c r="AY501" s="92"/>
      <c r="AZ501" s="92"/>
      <c r="BA501" s="92"/>
      <c r="BB501" s="92"/>
      <c r="BC501" s="329"/>
      <c r="BD501" s="329"/>
      <c r="BE501" s="329"/>
      <c r="BF501" s="329"/>
      <c r="BG501" s="329"/>
      <c r="BH501" s="329"/>
      <c r="BI501" s="329"/>
      <c r="BJ501" s="329"/>
      <c r="BK501" s="329"/>
      <c r="BL501" s="329"/>
      <c r="BM501" s="329"/>
      <c r="BN501" s="329"/>
      <c r="BO501" s="329"/>
      <c r="BP501" s="329"/>
      <c r="BQ501" s="329"/>
      <c r="BR501" s="329"/>
      <c r="BS501" s="329"/>
      <c r="BT501" s="329"/>
      <c r="BU501" s="329"/>
      <c r="BV501" s="329"/>
      <c r="BW501" s="329"/>
      <c r="BX501" s="329"/>
      <c r="BY501" s="329"/>
      <c r="BZ501" s="329"/>
      <c r="CA501" s="329"/>
      <c r="CB501" s="329"/>
      <c r="CC501" s="329"/>
      <c r="CD501" s="329"/>
      <c r="CE501" s="329"/>
      <c r="CF501" s="329"/>
      <c r="CG501" s="329"/>
      <c r="CH501" s="329"/>
      <c r="CI501" s="329"/>
      <c r="CJ501" s="329"/>
      <c r="CK501" s="329"/>
      <c r="CL501" s="329"/>
      <c r="CM501" s="329"/>
      <c r="CN501" s="329"/>
      <c r="CO501" s="329"/>
      <c r="CP501" s="329"/>
      <c r="CQ501" s="329"/>
      <c r="CR501" s="329"/>
      <c r="CS501" s="329"/>
    </row>
    <row r="502" spans="1:97">
      <c r="A502" s="242" t="s">
        <v>888</v>
      </c>
      <c r="B502" s="595"/>
      <c r="C502" s="595"/>
      <c r="D502" s="595"/>
      <c r="E502" s="595"/>
      <c r="F502" s="595"/>
      <c r="G502" s="595"/>
      <c r="H502" s="595"/>
      <c r="I502" s="595"/>
      <c r="J502" s="595" t="str">
        <f t="shared" ref="J502:AO502" si="320">J$453</f>
        <v>1Q09</v>
      </c>
      <c r="K502" s="595" t="str">
        <f t="shared" si="320"/>
        <v>2Q09</v>
      </c>
      <c r="L502" s="595" t="str">
        <f t="shared" si="320"/>
        <v>3Q09</v>
      </c>
      <c r="M502" s="595" t="str">
        <f t="shared" si="320"/>
        <v>4Q09</v>
      </c>
      <c r="N502" s="595" t="str">
        <f t="shared" si="320"/>
        <v>1Q10</v>
      </c>
      <c r="O502" s="595" t="str">
        <f t="shared" si="320"/>
        <v>2Q10</v>
      </c>
      <c r="P502" s="595" t="str">
        <f t="shared" si="320"/>
        <v>3Q10</v>
      </c>
      <c r="Q502" s="595" t="str">
        <f t="shared" si="320"/>
        <v>4Q10</v>
      </c>
      <c r="R502" s="595" t="str">
        <f t="shared" si="320"/>
        <v>1Q11</v>
      </c>
      <c r="S502" s="595" t="str">
        <f t="shared" si="320"/>
        <v>2Q11</v>
      </c>
      <c r="T502" s="595" t="str">
        <f t="shared" si="320"/>
        <v>3Q11</v>
      </c>
      <c r="U502" s="595" t="str">
        <f t="shared" si="320"/>
        <v>4Q11</v>
      </c>
      <c r="V502" s="595" t="str">
        <f t="shared" si="320"/>
        <v>1Q12</v>
      </c>
      <c r="W502" s="595" t="str">
        <f t="shared" si="320"/>
        <v>2Q12</v>
      </c>
      <c r="X502" s="595" t="str">
        <f t="shared" si="320"/>
        <v>3Q12</v>
      </c>
      <c r="Y502" s="595" t="str">
        <f t="shared" si="320"/>
        <v>4Q12</v>
      </c>
      <c r="Z502" s="595" t="str">
        <f t="shared" si="320"/>
        <v>1Q13</v>
      </c>
      <c r="AA502" s="595" t="str">
        <f t="shared" si="320"/>
        <v>2Q13</v>
      </c>
      <c r="AB502" s="595" t="str">
        <f t="shared" si="320"/>
        <v>3Q13</v>
      </c>
      <c r="AC502" s="595" t="str">
        <f t="shared" si="320"/>
        <v>4Q13</v>
      </c>
      <c r="AD502" s="595" t="str">
        <f t="shared" si="320"/>
        <v>1Q14</v>
      </c>
      <c r="AE502" s="595" t="str">
        <f t="shared" si="320"/>
        <v>2Q14</v>
      </c>
      <c r="AF502" s="595" t="str">
        <f t="shared" si="320"/>
        <v>3Q14</v>
      </c>
      <c r="AG502" s="595" t="str">
        <f t="shared" si="320"/>
        <v>4Q14</v>
      </c>
      <c r="AH502" s="595" t="str">
        <f t="shared" si="320"/>
        <v>1Q15</v>
      </c>
      <c r="AI502" s="595" t="str">
        <f t="shared" si="320"/>
        <v>2Q15</v>
      </c>
      <c r="AJ502" s="595" t="str">
        <f t="shared" si="320"/>
        <v>3Q15</v>
      </c>
      <c r="AK502" s="595" t="str">
        <f t="shared" si="320"/>
        <v>4Q15</v>
      </c>
      <c r="AL502" s="595" t="str">
        <f t="shared" si="320"/>
        <v>1Q16</v>
      </c>
      <c r="AM502" s="595" t="str">
        <f t="shared" si="320"/>
        <v>2Q16</v>
      </c>
      <c r="AN502" s="595" t="str">
        <f t="shared" si="320"/>
        <v>3Q16</v>
      </c>
      <c r="AO502" s="595" t="str">
        <f t="shared" si="320"/>
        <v>4Q16</v>
      </c>
      <c r="AP502" s="595" t="str">
        <f t="shared" ref="AP502:CS502" si="321">AP$453</f>
        <v>1Q17</v>
      </c>
      <c r="AQ502" s="595" t="str">
        <f t="shared" si="321"/>
        <v>2Q17</v>
      </c>
      <c r="AR502" s="595" t="str">
        <f t="shared" si="321"/>
        <v>3Q17</v>
      </c>
      <c r="AS502" s="595" t="str">
        <f t="shared" si="321"/>
        <v>4Q17</v>
      </c>
      <c r="AT502" s="595" t="str">
        <f t="shared" si="321"/>
        <v>1Q18</v>
      </c>
      <c r="AU502" s="595" t="str">
        <f t="shared" si="321"/>
        <v>2Q18</v>
      </c>
      <c r="AV502" s="595" t="str">
        <f t="shared" si="321"/>
        <v>3Q18</v>
      </c>
      <c r="AW502" s="595" t="str">
        <f t="shared" si="321"/>
        <v>4Q18</v>
      </c>
      <c r="AX502" s="595" t="str">
        <f t="shared" si="321"/>
        <v>1Q19</v>
      </c>
      <c r="AY502" s="595" t="str">
        <f t="shared" si="321"/>
        <v>2Q19</v>
      </c>
      <c r="AZ502" s="595" t="str">
        <f t="shared" si="321"/>
        <v>3Q19</v>
      </c>
      <c r="BA502" s="595" t="str">
        <f t="shared" si="321"/>
        <v>4Q19</v>
      </c>
      <c r="BB502" s="595" t="str">
        <f t="shared" si="321"/>
        <v>1Q20</v>
      </c>
      <c r="BC502" s="595" t="str">
        <f t="shared" si="321"/>
        <v>2Q20</v>
      </c>
      <c r="BD502" s="595" t="str">
        <f t="shared" si="321"/>
        <v>3Q20</v>
      </c>
      <c r="BE502" s="595" t="str">
        <f t="shared" si="321"/>
        <v>4Q20</v>
      </c>
      <c r="BF502" s="595" t="str">
        <f t="shared" si="321"/>
        <v>1Q21</v>
      </c>
      <c r="BG502" s="595" t="str">
        <f t="shared" si="321"/>
        <v>2Q21</v>
      </c>
      <c r="BH502" s="595" t="str">
        <f t="shared" si="321"/>
        <v>3Q21</v>
      </c>
      <c r="BI502" s="595" t="str">
        <f t="shared" si="321"/>
        <v>4Q21</v>
      </c>
      <c r="BJ502" s="595" t="str">
        <f t="shared" si="321"/>
        <v>1Q22</v>
      </c>
      <c r="BK502" s="595" t="str">
        <f t="shared" si="321"/>
        <v>2Q22</v>
      </c>
      <c r="BL502" s="595" t="str">
        <f t="shared" si="321"/>
        <v>3Q22</v>
      </c>
      <c r="BM502" s="595" t="str">
        <f t="shared" si="321"/>
        <v>4Q22</v>
      </c>
      <c r="BN502" s="595" t="str">
        <f t="shared" si="321"/>
        <v>1Q23</v>
      </c>
      <c r="BO502" s="595" t="str">
        <f t="shared" si="321"/>
        <v>2Q23</v>
      </c>
      <c r="BP502" s="595" t="str">
        <f t="shared" si="321"/>
        <v>3Q23</v>
      </c>
      <c r="BQ502" s="595" t="str">
        <f t="shared" si="321"/>
        <v>4Q23</v>
      </c>
      <c r="BR502" s="595" t="str">
        <f t="shared" si="321"/>
        <v>1Q24</v>
      </c>
      <c r="BS502" s="596" t="str">
        <f t="shared" si="321"/>
        <v>2Q24e</v>
      </c>
      <c r="BT502" s="596" t="str">
        <f t="shared" si="321"/>
        <v>3Q24e</v>
      </c>
      <c r="BU502" s="596" t="str">
        <f t="shared" si="321"/>
        <v>4Q24e</v>
      </c>
      <c r="BV502" s="596" t="str">
        <f t="shared" si="321"/>
        <v>1Q25e</v>
      </c>
      <c r="BW502" s="596" t="str">
        <f t="shared" si="321"/>
        <v>2Q25e</v>
      </c>
      <c r="BX502" s="596" t="str">
        <f t="shared" si="321"/>
        <v>3Q25e</v>
      </c>
      <c r="BY502" s="596" t="str">
        <f t="shared" si="321"/>
        <v>4Q25e</v>
      </c>
      <c r="BZ502" s="596" t="str">
        <f t="shared" si="321"/>
        <v>1Q26e</v>
      </c>
      <c r="CA502" s="596" t="str">
        <f t="shared" si="321"/>
        <v>2Q26e</v>
      </c>
      <c r="CB502" s="596" t="str">
        <f t="shared" si="321"/>
        <v>3Q26e</v>
      </c>
      <c r="CC502" s="596" t="str">
        <f t="shared" si="321"/>
        <v>4Q26e</v>
      </c>
      <c r="CD502" s="596" t="str">
        <f t="shared" si="321"/>
        <v>1Q27e</v>
      </c>
      <c r="CE502" s="596" t="str">
        <f t="shared" si="321"/>
        <v>2Q27e</v>
      </c>
      <c r="CF502" s="596" t="str">
        <f t="shared" si="321"/>
        <v>3Q27e</v>
      </c>
      <c r="CG502" s="596" t="str">
        <f t="shared" si="321"/>
        <v>4Q27e</v>
      </c>
      <c r="CH502" s="596" t="str">
        <f t="shared" si="321"/>
        <v>1Q28e</v>
      </c>
      <c r="CI502" s="596" t="str">
        <f t="shared" si="321"/>
        <v>2Q28e</v>
      </c>
      <c r="CJ502" s="596" t="str">
        <f t="shared" si="321"/>
        <v>3Q28e</v>
      </c>
      <c r="CK502" s="596" t="str">
        <f t="shared" si="321"/>
        <v>4Q28e</v>
      </c>
      <c r="CL502" s="596" t="str">
        <f t="shared" si="321"/>
        <v>1Q29e</v>
      </c>
      <c r="CM502" s="596" t="str">
        <f t="shared" si="321"/>
        <v>2Q29e</v>
      </c>
      <c r="CN502" s="596" t="str">
        <f t="shared" si="321"/>
        <v>3Q29e</v>
      </c>
      <c r="CO502" s="596" t="str">
        <f t="shared" si="321"/>
        <v>4Q29e</v>
      </c>
      <c r="CP502" s="596" t="str">
        <f t="shared" si="321"/>
        <v>1Q30e</v>
      </c>
      <c r="CQ502" s="596" t="str">
        <f t="shared" si="321"/>
        <v>2Q30e</v>
      </c>
      <c r="CR502" s="596" t="str">
        <f t="shared" si="321"/>
        <v>3Q30e</v>
      </c>
      <c r="CS502" s="596" t="str">
        <f t="shared" si="321"/>
        <v>4Q30e</v>
      </c>
    </row>
    <row r="503" spans="1:97">
      <c r="A503" s="36" t="s">
        <v>731</v>
      </c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826"/>
      <c r="AD503" s="826"/>
      <c r="AE503" s="826"/>
      <c r="AF503" s="826"/>
      <c r="AG503" s="826">
        <f t="shared" ref="AG503:AP504" si="322">(AG498-AC498)*10000</f>
        <v>411.09636861682145</v>
      </c>
      <c r="AH503" s="826">
        <f t="shared" si="322"/>
        <v>503.30333221245667</v>
      </c>
      <c r="AI503" s="826">
        <f t="shared" si="322"/>
        <v>407.63499012088226</v>
      </c>
      <c r="AJ503" s="826">
        <f t="shared" si="322"/>
        <v>365.25403851787735</v>
      </c>
      <c r="AK503" s="826">
        <f t="shared" si="322"/>
        <v>444.3415223012878</v>
      </c>
      <c r="AL503" s="826">
        <f t="shared" si="322"/>
        <v>115.91136248709</v>
      </c>
      <c r="AM503" s="826">
        <f t="shared" si="322"/>
        <v>90.991656062710533</v>
      </c>
      <c r="AN503" s="826">
        <f t="shared" si="322"/>
        <v>117.16654211870514</v>
      </c>
      <c r="AO503" s="826">
        <f t="shared" si="322"/>
        <v>-207.6365730739399</v>
      </c>
      <c r="AP503" s="826">
        <f t="shared" si="322"/>
        <v>-20.829352853086458</v>
      </c>
      <c r="AQ503" s="826">
        <f t="shared" ref="AQ503:AZ504" si="323">(AQ498-AM498)*10000</f>
        <v>-7.2186239614110974</v>
      </c>
      <c r="AR503" s="826">
        <f t="shared" si="323"/>
        <v>-196.06447362020495</v>
      </c>
      <c r="AS503" s="826">
        <f t="shared" si="323"/>
        <v>191.68914877433329</v>
      </c>
      <c r="AT503" s="826">
        <f t="shared" si="323"/>
        <v>38.96548202339423</v>
      </c>
      <c r="AU503" s="826">
        <f t="shared" si="323"/>
        <v>45.591893721373125</v>
      </c>
      <c r="AV503" s="826">
        <f t="shared" si="323"/>
        <v>34.081584703903047</v>
      </c>
      <c r="AW503" s="826">
        <f t="shared" si="323"/>
        <v>-293.75029272136032</v>
      </c>
      <c r="AX503" s="826">
        <f t="shared" si="323"/>
        <v>-181.25784357655579</v>
      </c>
      <c r="AY503" s="826">
        <f t="shared" si="323"/>
        <v>-4.9323832342898495</v>
      </c>
      <c r="AZ503" s="826">
        <f t="shared" si="323"/>
        <v>18.930342811991352</v>
      </c>
      <c r="BA503" s="826">
        <f t="shared" ref="BA503:BJ504" si="324">(BA498-AW498)*10000</f>
        <v>-6.0039075335371894</v>
      </c>
      <c r="BB503" s="826">
        <f t="shared" si="324"/>
        <v>-44.960740755868031</v>
      </c>
      <c r="BC503" s="828">
        <f t="shared" si="324"/>
        <v>-3631.6365277031855</v>
      </c>
      <c r="BD503" s="828">
        <f t="shared" si="324"/>
        <v>-1150.7038451003443</v>
      </c>
      <c r="BE503" s="828">
        <f t="shared" si="324"/>
        <v>260.87106426100183</v>
      </c>
      <c r="BF503" s="828">
        <f t="shared" si="324"/>
        <v>-238.86420832018391</v>
      </c>
      <c r="BG503" s="828">
        <f t="shared" si="324"/>
        <v>3618.0936478771869</v>
      </c>
      <c r="BH503" s="828">
        <f t="shared" si="324"/>
        <v>933.38680133552498</v>
      </c>
      <c r="BI503" s="828">
        <f t="shared" si="324"/>
        <v>120.3662781061815</v>
      </c>
      <c r="BJ503" s="828">
        <f t="shared" si="324"/>
        <v>432.98017010752449</v>
      </c>
      <c r="BK503" s="828">
        <f t="shared" ref="BK503:BT504" si="325">(BK498-BG498)*10000</f>
        <v>-131.92010328717501</v>
      </c>
      <c r="BL503" s="828">
        <f t="shared" si="325"/>
        <v>157.09154688282462</v>
      </c>
      <c r="BM503" s="828">
        <f t="shared" si="325"/>
        <v>-384.0921048332749</v>
      </c>
      <c r="BN503" s="828">
        <f t="shared" ref="BN503:BR505" si="326">(BN498-BJ498)*10000</f>
        <v>-41.421797433251747</v>
      </c>
      <c r="BO503" s="828">
        <f t="shared" si="326"/>
        <v>117.99190938564519</v>
      </c>
      <c r="BP503" s="828">
        <f t="shared" si="326"/>
        <v>54.582237945322575</v>
      </c>
      <c r="BQ503" s="828">
        <f t="shared" si="326"/>
        <v>-23.430693382722744</v>
      </c>
      <c r="BR503" s="828">
        <f t="shared" si="326"/>
        <v>198.09767281696534</v>
      </c>
      <c r="BS503" s="828">
        <f t="shared" si="325"/>
        <v>73.961279074370722</v>
      </c>
      <c r="BT503" s="828">
        <f t="shared" si="325"/>
        <v>21.212121212120792</v>
      </c>
      <c r="BU503" s="828">
        <f t="shared" ref="BU503:BY504" si="327">(BU498-BQ498)*10000</f>
        <v>-17.19130597714058</v>
      </c>
      <c r="BV503" s="828">
        <f t="shared" si="327"/>
        <v>-50.000000000000043</v>
      </c>
      <c r="BW503" s="828">
        <f t="shared" si="327"/>
        <v>-50.000000000000043</v>
      </c>
      <c r="BX503" s="828">
        <f t="shared" si="327"/>
        <v>2.7755575615628914E-13</v>
      </c>
      <c r="BY503" s="828">
        <f t="shared" si="327"/>
        <v>0</v>
      </c>
      <c r="BZ503" s="828">
        <f t="shared" ref="BZ503:CI505" si="328">(BZ498-BV498)*10000</f>
        <v>-2.7755575615628914E-13</v>
      </c>
      <c r="CA503" s="828">
        <f t="shared" si="328"/>
        <v>0</v>
      </c>
      <c r="CB503" s="828">
        <f t="shared" si="328"/>
        <v>0</v>
      </c>
      <c r="CC503" s="828">
        <f t="shared" si="328"/>
        <v>-2.7755575615628914E-13</v>
      </c>
      <c r="CD503" s="828">
        <f t="shared" si="328"/>
        <v>2.7755575615628914E-13</v>
      </c>
      <c r="CE503" s="828">
        <f t="shared" si="328"/>
        <v>0</v>
      </c>
      <c r="CF503" s="828">
        <f t="shared" si="328"/>
        <v>0</v>
      </c>
      <c r="CG503" s="828">
        <f t="shared" si="328"/>
        <v>2.7755575615628914E-13</v>
      </c>
      <c r="CH503" s="828">
        <f t="shared" si="328"/>
        <v>-50.000000000000043</v>
      </c>
      <c r="CI503" s="828">
        <f t="shared" si="328"/>
        <v>-50.00000000000032</v>
      </c>
      <c r="CJ503" s="828">
        <f t="shared" ref="CJ503:CS505" si="329">(CJ498-CF498)*10000</f>
        <v>-50.000000000000043</v>
      </c>
      <c r="CK503" s="828">
        <f t="shared" si="329"/>
        <v>-50.00000000000032</v>
      </c>
      <c r="CL503" s="828">
        <f t="shared" si="329"/>
        <v>2.7755575615628914E-13</v>
      </c>
      <c r="CM503" s="828">
        <f t="shared" si="329"/>
        <v>2.7755575615628914E-13</v>
      </c>
      <c r="CN503" s="828">
        <f t="shared" si="329"/>
        <v>0</v>
      </c>
      <c r="CO503" s="828">
        <f t="shared" si="329"/>
        <v>2.7755575615628914E-13</v>
      </c>
      <c r="CP503" s="828">
        <f t="shared" si="329"/>
        <v>-2.7755575615628914E-13</v>
      </c>
      <c r="CQ503" s="828">
        <f t="shared" si="329"/>
        <v>0</v>
      </c>
      <c r="CR503" s="828">
        <f t="shared" si="329"/>
        <v>0</v>
      </c>
      <c r="CS503" s="828">
        <f t="shared" si="329"/>
        <v>0</v>
      </c>
    </row>
    <row r="504" spans="1:97">
      <c r="A504" s="36" t="s">
        <v>733</v>
      </c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826"/>
      <c r="AD504" s="826"/>
      <c r="AE504" s="826"/>
      <c r="AF504" s="826"/>
      <c r="AG504" s="826">
        <f t="shared" si="322"/>
        <v>162.25541374348367</v>
      </c>
      <c r="AH504" s="826">
        <f t="shared" si="322"/>
        <v>-106.00704101989086</v>
      </c>
      <c r="AI504" s="826">
        <f t="shared" si="322"/>
        <v>164.83205838765781</v>
      </c>
      <c r="AJ504" s="826">
        <f t="shared" si="322"/>
        <v>215.23307968826288</v>
      </c>
      <c r="AK504" s="826">
        <f t="shared" si="322"/>
        <v>-101.26784630830137</v>
      </c>
      <c r="AL504" s="826">
        <f t="shared" si="322"/>
        <v>-18.050339719039023</v>
      </c>
      <c r="AM504" s="826">
        <f t="shared" si="322"/>
        <v>-62.34405507671903</v>
      </c>
      <c r="AN504" s="826">
        <f t="shared" si="322"/>
        <v>-113.66132339141826</v>
      </c>
      <c r="AO504" s="826">
        <f t="shared" si="322"/>
        <v>127.64080595131233</v>
      </c>
      <c r="AP504" s="826">
        <f t="shared" si="322"/>
        <v>231.24479664518512</v>
      </c>
      <c r="AQ504" s="826">
        <f t="shared" si="323"/>
        <v>152.60405057364119</v>
      </c>
      <c r="AR504" s="826">
        <f t="shared" si="323"/>
        <v>21.36862315697541</v>
      </c>
      <c r="AS504" s="826">
        <f t="shared" si="323"/>
        <v>-254.82494123469007</v>
      </c>
      <c r="AT504" s="826">
        <f t="shared" si="323"/>
        <v>-166.98791525313118</v>
      </c>
      <c r="AU504" s="826">
        <f t="shared" si="323"/>
        <v>-175.13944845964247</v>
      </c>
      <c r="AV504" s="826">
        <f t="shared" si="323"/>
        <v>-75.26887687201112</v>
      </c>
      <c r="AW504" s="826">
        <f t="shared" si="323"/>
        <v>-119.60973478711972</v>
      </c>
      <c r="AX504" s="826">
        <f t="shared" si="323"/>
        <v>-64.711885188902528</v>
      </c>
      <c r="AY504" s="826">
        <f t="shared" si="323"/>
        <v>-48.944234501616393</v>
      </c>
      <c r="AZ504" s="826">
        <f t="shared" si="323"/>
        <v>-20.822063409964009</v>
      </c>
      <c r="BA504" s="826">
        <f t="shared" si="324"/>
        <v>-225.29276702650509</v>
      </c>
      <c r="BB504" s="826">
        <f t="shared" si="324"/>
        <v>-743.54293941957803</v>
      </c>
      <c r="BC504" s="828">
        <f t="shared" si="324"/>
        <v>-3052.2557132875927</v>
      </c>
      <c r="BD504" s="828">
        <f t="shared" si="324"/>
        <v>-648.41055072750908</v>
      </c>
      <c r="BE504" s="828">
        <f t="shared" si="324"/>
        <v>204.49260037079171</v>
      </c>
      <c r="BF504" s="828">
        <f t="shared" si="324"/>
        <v>713.59822496291031</v>
      </c>
      <c r="BG504" s="828">
        <f t="shared" si="324"/>
        <v>2857.2034230461372</v>
      </c>
      <c r="BH504" s="828">
        <f t="shared" si="324"/>
        <v>760.23937148968423</v>
      </c>
      <c r="BI504" s="828">
        <f t="shared" si="324"/>
        <v>167.68795613482823</v>
      </c>
      <c r="BJ504" s="828">
        <f t="shared" si="324"/>
        <v>183.96515475299745</v>
      </c>
      <c r="BK504" s="828">
        <f t="shared" si="325"/>
        <v>353.72187321973155</v>
      </c>
      <c r="BL504" s="828">
        <f t="shared" si="325"/>
        <v>35.976641945116015</v>
      </c>
      <c r="BM504" s="828">
        <f t="shared" si="325"/>
        <v>-152.4996969567699</v>
      </c>
      <c r="BN504" s="828">
        <f t="shared" si="326"/>
        <v>233.84206972914433</v>
      </c>
      <c r="BO504" s="828">
        <f t="shared" si="326"/>
        <v>74.618093346738306</v>
      </c>
      <c r="BP504" s="828">
        <f t="shared" si="326"/>
        <v>-98.551943815019527</v>
      </c>
      <c r="BQ504" s="828">
        <f t="shared" si="326"/>
        <v>303.05178047717874</v>
      </c>
      <c r="BR504" s="828">
        <f t="shared" si="326"/>
        <v>-42.487990440967792</v>
      </c>
      <c r="BS504" s="828">
        <f t="shared" si="325"/>
        <v>-165.52145479834329</v>
      </c>
      <c r="BT504" s="828">
        <f t="shared" si="325"/>
        <v>-254.58184813725805</v>
      </c>
      <c r="BU504" s="828">
        <f t="shared" si="327"/>
        <v>-131.47977324890036</v>
      </c>
      <c r="BV504" s="828">
        <f t="shared" si="327"/>
        <v>-45.000000000000043</v>
      </c>
      <c r="BW504" s="828">
        <f t="shared" si="327"/>
        <v>-45.000000000000043</v>
      </c>
      <c r="BX504" s="828">
        <f t="shared" si="327"/>
        <v>5.0000000000000044</v>
      </c>
      <c r="BY504" s="828">
        <f t="shared" si="327"/>
        <v>5.0000000000000044</v>
      </c>
      <c r="BZ504" s="828">
        <f t="shared" si="328"/>
        <v>5.0000000000000044</v>
      </c>
      <c r="CA504" s="828">
        <f t="shared" si="328"/>
        <v>5.0000000000000044</v>
      </c>
      <c r="CB504" s="828">
        <f t="shared" si="328"/>
        <v>5.0000000000000044</v>
      </c>
      <c r="CC504" s="828">
        <f t="shared" si="328"/>
        <v>5.0000000000000044</v>
      </c>
      <c r="CD504" s="828">
        <f t="shared" si="328"/>
        <v>5.0000000000000044</v>
      </c>
      <c r="CE504" s="828">
        <f t="shared" si="328"/>
        <v>5.0000000000000044</v>
      </c>
      <c r="CF504" s="828">
        <f t="shared" si="328"/>
        <v>5.0000000000000044</v>
      </c>
      <c r="CG504" s="828">
        <f t="shared" si="328"/>
        <v>5.0000000000000044</v>
      </c>
      <c r="CH504" s="828">
        <f t="shared" si="328"/>
        <v>5.0000000000000044</v>
      </c>
      <c r="CI504" s="828">
        <f t="shared" si="328"/>
        <v>5.0000000000000044</v>
      </c>
      <c r="CJ504" s="828">
        <f t="shared" si="329"/>
        <v>5.0000000000002824</v>
      </c>
      <c r="CK504" s="828">
        <f t="shared" si="329"/>
        <v>5.0000000000000044</v>
      </c>
      <c r="CL504" s="828">
        <f t="shared" si="329"/>
        <v>5.0000000000000044</v>
      </c>
      <c r="CM504" s="828">
        <f t="shared" si="329"/>
        <v>5.0000000000000044</v>
      </c>
      <c r="CN504" s="828">
        <f t="shared" si="329"/>
        <v>4.9999999999997264</v>
      </c>
      <c r="CO504" s="828">
        <f t="shared" si="329"/>
        <v>5.0000000000000044</v>
      </c>
      <c r="CP504" s="828">
        <f t="shared" si="329"/>
        <v>5.0000000000000044</v>
      </c>
      <c r="CQ504" s="828">
        <f t="shared" si="329"/>
        <v>5.0000000000000044</v>
      </c>
      <c r="CR504" s="828">
        <f t="shared" si="329"/>
        <v>5.0000000000000044</v>
      </c>
      <c r="CS504" s="828">
        <f t="shared" si="329"/>
        <v>5.0000000000000044</v>
      </c>
    </row>
    <row r="505" spans="1:97">
      <c r="A505" s="36" t="s">
        <v>949</v>
      </c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"/>
      <c r="AD505" s="9"/>
      <c r="AE505" s="9"/>
      <c r="AF505" s="9"/>
      <c r="AG505" s="826"/>
      <c r="AH505" s="826"/>
      <c r="AI505" s="826"/>
      <c r="AJ505" s="826"/>
      <c r="AK505" s="826">
        <f t="shared" ref="AK505:BY505" si="330">(AK500-AG500)*10000</f>
        <v>76.739311339749094</v>
      </c>
      <c r="AL505" s="826">
        <f t="shared" si="330"/>
        <v>62.108835788091397</v>
      </c>
      <c r="AM505" s="826">
        <f t="shared" si="330"/>
        <v>3.6423027571075295</v>
      </c>
      <c r="AN505" s="826">
        <f t="shared" si="330"/>
        <v>55.902725493148786</v>
      </c>
      <c r="AO505" s="826">
        <f t="shared" si="330"/>
        <v>139.31239454289894</v>
      </c>
      <c r="AP505" s="826">
        <f t="shared" si="330"/>
        <v>38.122185383975548</v>
      </c>
      <c r="AQ505" s="826">
        <f t="shared" si="330"/>
        <v>80.770531158838025</v>
      </c>
      <c r="AR505" s="826">
        <f t="shared" si="330"/>
        <v>-2.2924161103951568</v>
      </c>
      <c r="AS505" s="826">
        <f t="shared" si="330"/>
        <v>30.693677102516801</v>
      </c>
      <c r="AT505" s="826">
        <f t="shared" si="330"/>
        <v>12.933244111558439</v>
      </c>
      <c r="AU505" s="826">
        <f t="shared" si="330"/>
        <v>-71.527826116099533</v>
      </c>
      <c r="AV505" s="826">
        <f t="shared" si="330"/>
        <v>-48.162969439493608</v>
      </c>
      <c r="AW505" s="826">
        <f t="shared" si="330"/>
        <v>-170.17761255679471</v>
      </c>
      <c r="AX505" s="826">
        <f t="shared" si="330"/>
        <v>-383.9119689933579</v>
      </c>
      <c r="AY505" s="826">
        <f t="shared" si="330"/>
        <v>-254.02252764339966</v>
      </c>
      <c r="AZ505" s="826">
        <f t="shared" si="330"/>
        <v>-244.35443190386235</v>
      </c>
      <c r="BA505" s="826">
        <f t="shared" si="330"/>
        <v>179.54913484344638</v>
      </c>
      <c r="BB505" s="826">
        <f t="shared" si="330"/>
        <v>-679.55350110954453</v>
      </c>
      <c r="BC505" s="828">
        <f t="shared" si="330"/>
        <v>-5084.5995562354838</v>
      </c>
      <c r="BD505" s="828">
        <f t="shared" si="330"/>
        <v>-274.6397060689543</v>
      </c>
      <c r="BE505" s="828">
        <f t="shared" si="330"/>
        <v>-97.660711025615299</v>
      </c>
      <c r="BF505" s="828">
        <f t="shared" si="330"/>
        <v>142.71519065954544</v>
      </c>
      <c r="BG505" s="828">
        <f t="shared" si="330"/>
        <v>5067.6435895109344</v>
      </c>
      <c r="BH505" s="828">
        <f t="shared" si="330"/>
        <v>642.78574998215186</v>
      </c>
      <c r="BI505" s="828">
        <f t="shared" si="330"/>
        <v>324.77309177482817</v>
      </c>
      <c r="BJ505" s="828">
        <f t="shared" si="330"/>
        <v>443.08025728459376</v>
      </c>
      <c r="BK505" s="828">
        <f t="shared" si="330"/>
        <v>28.877401314031658</v>
      </c>
      <c r="BL505" s="828">
        <f t="shared" si="330"/>
        <v>-788.84463669072284</v>
      </c>
      <c r="BM505" s="828">
        <f t="shared" si="330"/>
        <v>-891.73055659759802</v>
      </c>
      <c r="BN505" s="828">
        <f t="shared" si="326"/>
        <v>-223.77933615972344</v>
      </c>
      <c r="BO505" s="828">
        <f t="shared" si="326"/>
        <v>-131.47879608051889</v>
      </c>
      <c r="BP505" s="828">
        <f t="shared" si="326"/>
        <v>460.57434622962774</v>
      </c>
      <c r="BQ505" s="828">
        <f t="shared" si="326"/>
        <v>180.64504177600637</v>
      </c>
      <c r="BR505" s="828">
        <f t="shared" si="326"/>
        <v>56.431064164371158</v>
      </c>
      <c r="BS505" s="828">
        <f t="shared" si="330"/>
        <v>-191.30668595753576</v>
      </c>
      <c r="BT505" s="828">
        <f t="shared" si="330"/>
        <v>-160.00000000000014</v>
      </c>
      <c r="BU505" s="828">
        <f t="shared" si="330"/>
        <v>-110.0000000000001</v>
      </c>
      <c r="BV505" s="828">
        <f t="shared" si="330"/>
        <v>-50.000000000000043</v>
      </c>
      <c r="BW505" s="828">
        <f t="shared" si="330"/>
        <v>-50.000000000000043</v>
      </c>
      <c r="BX505" s="828">
        <f t="shared" si="330"/>
        <v>10.000000000000009</v>
      </c>
      <c r="BY505" s="828">
        <f t="shared" si="330"/>
        <v>10.000000000000009</v>
      </c>
      <c r="BZ505" s="828">
        <f t="shared" si="328"/>
        <v>10.000000000000009</v>
      </c>
      <c r="CA505" s="828">
        <f t="shared" si="328"/>
        <v>10.000000000000009</v>
      </c>
      <c r="CB505" s="828">
        <f t="shared" si="328"/>
        <v>10.000000000000009</v>
      </c>
      <c r="CC505" s="828">
        <f t="shared" si="328"/>
        <v>10.000000000000009</v>
      </c>
      <c r="CD505" s="828">
        <f t="shared" si="328"/>
        <v>10.000000000000009</v>
      </c>
      <c r="CE505" s="828">
        <f t="shared" si="328"/>
        <v>10.000000000000009</v>
      </c>
      <c r="CF505" s="828">
        <f t="shared" si="328"/>
        <v>10.000000000000009</v>
      </c>
      <c r="CG505" s="828">
        <f t="shared" si="328"/>
        <v>10.000000000000009</v>
      </c>
      <c r="CH505" s="828">
        <f t="shared" si="328"/>
        <v>-65.000000000000057</v>
      </c>
      <c r="CI505" s="828">
        <f t="shared" si="328"/>
        <v>-64.999999999999787</v>
      </c>
      <c r="CJ505" s="828">
        <f t="shared" si="329"/>
        <v>-65.000000000000057</v>
      </c>
      <c r="CK505" s="828">
        <f t="shared" si="329"/>
        <v>-65.000000000000057</v>
      </c>
      <c r="CL505" s="828">
        <f t="shared" si="329"/>
        <v>5.0000000000000044</v>
      </c>
      <c r="CM505" s="828">
        <f t="shared" si="329"/>
        <v>4.9999999999998659</v>
      </c>
      <c r="CN505" s="828">
        <f t="shared" si="329"/>
        <v>5.0000000000000044</v>
      </c>
      <c r="CO505" s="828">
        <f t="shared" si="329"/>
        <v>5.0000000000000044</v>
      </c>
      <c r="CP505" s="828">
        <f t="shared" si="329"/>
        <v>5.0000000000000044</v>
      </c>
      <c r="CQ505" s="828">
        <f t="shared" si="329"/>
        <v>4.9999999999998659</v>
      </c>
      <c r="CR505" s="828">
        <f t="shared" si="329"/>
        <v>5.0000000000000044</v>
      </c>
      <c r="CS505" s="828">
        <f t="shared" si="329"/>
        <v>5.0000000000000044</v>
      </c>
    </row>
    <row r="506" spans="1:97">
      <c r="A506" s="36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W506" s="92"/>
      <c r="AX506" s="92"/>
      <c r="AY506" s="92"/>
      <c r="AZ506" s="92"/>
      <c r="BA506" s="92"/>
      <c r="BB506" s="92"/>
      <c r="BC506" s="92"/>
      <c r="BD506" s="92"/>
      <c r="BE506" s="92"/>
      <c r="BF506" s="92"/>
      <c r="BG506" s="92"/>
      <c r="BH506" s="92"/>
      <c r="BI506" s="92"/>
      <c r="BJ506" s="92"/>
      <c r="BK506" s="92"/>
      <c r="BL506" s="92"/>
      <c r="BM506" s="92"/>
      <c r="BN506" s="92"/>
      <c r="BO506" s="92"/>
      <c r="BP506" s="92"/>
      <c r="BQ506" s="92"/>
      <c r="BR506" s="92"/>
      <c r="BS506" s="92"/>
      <c r="BT506" s="92"/>
      <c r="BU506" s="92"/>
      <c r="BV506" s="92"/>
      <c r="BW506" s="92"/>
      <c r="BX506" s="92"/>
      <c r="BY506" s="92"/>
      <c r="BZ506" s="9"/>
      <c r="CA506" s="9"/>
      <c r="CB506" s="9"/>
      <c r="CC506" s="9"/>
      <c r="CD506" s="9"/>
    </row>
    <row r="507" spans="1:97">
      <c r="A507" s="242" t="s">
        <v>1135</v>
      </c>
      <c r="B507" s="595"/>
      <c r="C507" s="595"/>
      <c r="D507" s="595"/>
      <c r="E507" s="595"/>
      <c r="F507" s="595"/>
      <c r="G507" s="595"/>
      <c r="H507" s="595"/>
      <c r="I507" s="595"/>
      <c r="J507" s="595" t="str">
        <f t="shared" ref="J507:BB507" si="331">J$453</f>
        <v>1Q09</v>
      </c>
      <c r="K507" s="595" t="str">
        <f t="shared" si="331"/>
        <v>2Q09</v>
      </c>
      <c r="L507" s="595" t="str">
        <f t="shared" si="331"/>
        <v>3Q09</v>
      </c>
      <c r="M507" s="595" t="str">
        <f t="shared" si="331"/>
        <v>4Q09</v>
      </c>
      <c r="N507" s="595" t="str">
        <f t="shared" si="331"/>
        <v>1Q10</v>
      </c>
      <c r="O507" s="595" t="str">
        <f t="shared" si="331"/>
        <v>2Q10</v>
      </c>
      <c r="P507" s="595" t="str">
        <f t="shared" si="331"/>
        <v>3Q10</v>
      </c>
      <c r="Q507" s="595" t="str">
        <f t="shared" si="331"/>
        <v>4Q10</v>
      </c>
      <c r="R507" s="595" t="str">
        <f t="shared" si="331"/>
        <v>1Q11</v>
      </c>
      <c r="S507" s="595" t="str">
        <f t="shared" si="331"/>
        <v>2Q11</v>
      </c>
      <c r="T507" s="595" t="str">
        <f t="shared" si="331"/>
        <v>3Q11</v>
      </c>
      <c r="U507" s="595" t="str">
        <f t="shared" si="331"/>
        <v>4Q11</v>
      </c>
      <c r="V507" s="595" t="str">
        <f t="shared" si="331"/>
        <v>1Q12</v>
      </c>
      <c r="W507" s="595" t="str">
        <f t="shared" si="331"/>
        <v>2Q12</v>
      </c>
      <c r="X507" s="595" t="str">
        <f t="shared" si="331"/>
        <v>3Q12</v>
      </c>
      <c r="Y507" s="595" t="str">
        <f t="shared" si="331"/>
        <v>4Q12</v>
      </c>
      <c r="Z507" s="595" t="str">
        <f t="shared" si="331"/>
        <v>1Q13</v>
      </c>
      <c r="AA507" s="595" t="str">
        <f t="shared" si="331"/>
        <v>2Q13</v>
      </c>
      <c r="AB507" s="595" t="str">
        <f t="shared" si="331"/>
        <v>3Q13</v>
      </c>
      <c r="AC507" s="595" t="str">
        <f t="shared" si="331"/>
        <v>4Q13</v>
      </c>
      <c r="AD507" s="595" t="str">
        <f t="shared" si="331"/>
        <v>1Q14</v>
      </c>
      <c r="AE507" s="595" t="str">
        <f t="shared" si="331"/>
        <v>2Q14</v>
      </c>
      <c r="AF507" s="595" t="str">
        <f t="shared" si="331"/>
        <v>3Q14</v>
      </c>
      <c r="AG507" s="595" t="str">
        <f t="shared" si="331"/>
        <v>4Q14</v>
      </c>
      <c r="AH507" s="595" t="str">
        <f t="shared" si="331"/>
        <v>1Q15</v>
      </c>
      <c r="AI507" s="595" t="str">
        <f t="shared" si="331"/>
        <v>2Q15</v>
      </c>
      <c r="AJ507" s="595" t="str">
        <f t="shared" si="331"/>
        <v>3Q15</v>
      </c>
      <c r="AK507" s="595" t="str">
        <f t="shared" si="331"/>
        <v>4Q15</v>
      </c>
      <c r="AL507" s="595" t="str">
        <f t="shared" si="331"/>
        <v>1Q16</v>
      </c>
      <c r="AM507" s="595" t="str">
        <f t="shared" si="331"/>
        <v>2Q16</v>
      </c>
      <c r="AN507" s="595" t="str">
        <f t="shared" si="331"/>
        <v>3Q16</v>
      </c>
      <c r="AO507" s="595" t="str">
        <f t="shared" si="331"/>
        <v>4Q16</v>
      </c>
      <c r="AP507" s="595" t="str">
        <f t="shared" si="331"/>
        <v>1Q17</v>
      </c>
      <c r="AQ507" s="595" t="str">
        <f t="shared" si="331"/>
        <v>2Q17</v>
      </c>
      <c r="AR507" s="595" t="str">
        <f t="shared" si="331"/>
        <v>3Q17</v>
      </c>
      <c r="AS507" s="595" t="str">
        <f t="shared" si="331"/>
        <v>4Q17</v>
      </c>
      <c r="AT507" s="595" t="str">
        <f t="shared" si="331"/>
        <v>1Q18</v>
      </c>
      <c r="AU507" s="595" t="str">
        <f t="shared" si="331"/>
        <v>2Q18</v>
      </c>
      <c r="AV507" s="595" t="str">
        <f t="shared" si="331"/>
        <v>3Q18</v>
      </c>
      <c r="AW507" s="595" t="str">
        <f t="shared" si="331"/>
        <v>4Q18</v>
      </c>
      <c r="AX507" s="595" t="str">
        <f t="shared" si="331"/>
        <v>1Q19</v>
      </c>
      <c r="AY507" s="595" t="str">
        <f t="shared" si="331"/>
        <v>2Q19</v>
      </c>
      <c r="AZ507" s="595" t="str">
        <f t="shared" si="331"/>
        <v>3Q19</v>
      </c>
      <c r="BA507" s="595" t="str">
        <f t="shared" si="331"/>
        <v>4Q19</v>
      </c>
      <c r="BB507" s="595" t="str">
        <f t="shared" si="331"/>
        <v>1Q20</v>
      </c>
      <c r="BC507" s="596"/>
      <c r="BD507" s="596"/>
      <c r="BE507" s="596"/>
      <c r="BF507" s="596"/>
      <c r="BG507" s="596"/>
      <c r="BH507" s="596"/>
      <c r="BI507" s="596"/>
      <c r="BJ507" s="596"/>
      <c r="BK507" s="596"/>
      <c r="BL507" s="596"/>
      <c r="BM507" s="596"/>
      <c r="BN507" s="596"/>
      <c r="BO507" s="596"/>
      <c r="BP507" s="596"/>
      <c r="BQ507" s="596"/>
      <c r="BR507" s="596"/>
      <c r="BS507" s="596"/>
      <c r="BT507" s="596"/>
      <c r="BU507" s="596"/>
      <c r="BV507" s="596"/>
      <c r="BW507" s="596"/>
      <c r="BX507" s="596"/>
      <c r="BY507" s="596"/>
      <c r="BZ507" s="596"/>
      <c r="CA507" s="596"/>
      <c r="CB507" s="596"/>
      <c r="CC507" s="596"/>
      <c r="CD507" s="596"/>
      <c r="CE507" s="596"/>
      <c r="CF507" s="596"/>
      <c r="CG507" s="596"/>
      <c r="CH507" s="596"/>
      <c r="CI507" s="596"/>
      <c r="CJ507" s="596"/>
      <c r="CK507" s="596"/>
      <c r="CL507" s="596"/>
      <c r="CM507" s="596"/>
      <c r="CN507" s="596"/>
      <c r="CO507" s="596"/>
      <c r="CP507" s="596"/>
      <c r="CQ507" s="596"/>
      <c r="CR507" s="596"/>
      <c r="CS507" s="596"/>
    </row>
    <row r="508" spans="1:97">
      <c r="A508" s="303" t="str">
        <f>Segment!A436</f>
        <v>QSR</v>
      </c>
      <c r="B508" s="245"/>
      <c r="C508" s="245"/>
      <c r="D508" s="245"/>
      <c r="E508" s="245"/>
      <c r="F508" s="245"/>
      <c r="G508" s="245"/>
      <c r="H508" s="245"/>
      <c r="I508" s="245"/>
      <c r="J508" s="245" t="e">
        <f>NA()</f>
        <v>#N/A</v>
      </c>
      <c r="K508" s="245" t="e">
        <f>NA()</f>
        <v>#N/A</v>
      </c>
      <c r="L508" s="245" t="e">
        <f>NA()</f>
        <v>#N/A</v>
      </c>
      <c r="M508" s="245" t="e">
        <f>NA()</f>
        <v>#N/A</v>
      </c>
      <c r="N508" s="245" t="e">
        <f>NA()</f>
        <v>#N/A</v>
      </c>
      <c r="O508" s="245" t="e">
        <f>NA()</f>
        <v>#N/A</v>
      </c>
      <c r="P508" s="245" t="e">
        <f>NA()</f>
        <v>#N/A</v>
      </c>
      <c r="Q508" s="245" t="e">
        <f>NA()</f>
        <v>#N/A</v>
      </c>
      <c r="R508" s="245" t="e">
        <f>NA()</f>
        <v>#N/A</v>
      </c>
      <c r="S508" s="245" t="e">
        <f>NA()</f>
        <v>#N/A</v>
      </c>
      <c r="T508" s="245" t="e">
        <f>NA()</f>
        <v>#N/A</v>
      </c>
      <c r="U508" s="245" t="e">
        <f>NA()</f>
        <v>#N/A</v>
      </c>
      <c r="V508" s="245" t="e">
        <f>NA()</f>
        <v>#N/A</v>
      </c>
      <c r="W508" s="245" t="e">
        <f>NA()</f>
        <v>#N/A</v>
      </c>
      <c r="X508" s="245" t="e">
        <f>NA()</f>
        <v>#N/A</v>
      </c>
      <c r="Y508" s="245" t="e">
        <f>NA()</f>
        <v>#N/A</v>
      </c>
      <c r="Z508" s="245" t="e">
        <f>NA()</f>
        <v>#N/A</v>
      </c>
      <c r="AA508" s="245" t="e">
        <f>NA()</f>
        <v>#N/A</v>
      </c>
      <c r="AB508" s="245" t="e">
        <f>NA()</f>
        <v>#N/A</v>
      </c>
      <c r="AC508" s="245" t="e">
        <f>NA()</f>
        <v>#N/A</v>
      </c>
      <c r="AD508" s="245" t="e">
        <f>NA()</f>
        <v>#N/A</v>
      </c>
      <c r="AE508" s="245" t="e">
        <f>NA()</f>
        <v>#N/A</v>
      </c>
      <c r="AF508" s="245" t="e">
        <f>NA()</f>
        <v>#N/A</v>
      </c>
      <c r="AG508" s="245" t="e">
        <f>NA()</f>
        <v>#N/A</v>
      </c>
      <c r="AH508" s="245" t="e">
        <f>NA()</f>
        <v>#N/A</v>
      </c>
      <c r="AI508" s="245" t="e">
        <f>NA()</f>
        <v>#N/A</v>
      </c>
      <c r="AJ508" s="245" t="e">
        <f>NA()</f>
        <v>#N/A</v>
      </c>
      <c r="AK508" s="245" t="e">
        <f>NA()</f>
        <v>#N/A</v>
      </c>
      <c r="AL508" s="92">
        <f>Segment!AE436</f>
        <v>430.28</v>
      </c>
      <c r="AM508" s="92">
        <f>Segment!AF436</f>
        <v>491.58000000000004</v>
      </c>
      <c r="AN508" s="92">
        <f>Segment!AG436</f>
        <v>566.65</v>
      </c>
      <c r="AO508" s="92">
        <f>Segment!AH436</f>
        <v>646.12</v>
      </c>
      <c r="AP508" s="92">
        <f>Segment!AI436</f>
        <v>606.03</v>
      </c>
      <c r="AQ508" s="92">
        <f>Segment!AJ436</f>
        <v>636.31999999999994</v>
      </c>
      <c r="AR508" s="92">
        <f>Segment!AK436</f>
        <v>623.4</v>
      </c>
      <c r="AS508" s="92">
        <f>Segment!AL436</f>
        <v>783.67000000000007</v>
      </c>
      <c r="AT508" s="92">
        <f>Segment!AM436</f>
        <v>686.13</v>
      </c>
      <c r="AU508" s="92">
        <f>Segment!AN436</f>
        <v>719.12</v>
      </c>
      <c r="AV508" s="92">
        <f>IF(Segment!AO436=0, NA(), Segment!AO436)</f>
        <v>677.85</v>
      </c>
      <c r="AW508" s="92">
        <f>IF(Segment!AP436=0, NA(), Segment!AP436)</f>
        <v>779</v>
      </c>
      <c r="AX508" s="92">
        <f>IF(Segment!AQ436=0, NA(), Segment!AQ436)</f>
        <v>605.5419502131756</v>
      </c>
      <c r="AY508" s="92">
        <f>IF(Segment!AR436=0, NA(), Segment!AR436)</f>
        <v>595.8900000000001</v>
      </c>
      <c r="AZ508" s="92">
        <f>IF(Segment!AS436=0, NA(), Segment!AS436)</f>
        <v>653.64438866730848</v>
      </c>
      <c r="BA508" s="92">
        <f>IF(Segment!AT436=0, NA(), Segment!AT436)</f>
        <v>656.76</v>
      </c>
      <c r="BB508" s="92">
        <f>IF(Segment!AU436=0, NA(), Segment!AU436)</f>
        <v>360.37000000000006</v>
      </c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</row>
    <row r="509" spans="1:97">
      <c r="A509" s="36" t="str">
        <f>Segment!A437</f>
        <v>Coffee Shops</v>
      </c>
      <c r="B509" s="245"/>
      <c r="C509" s="245"/>
      <c r="D509" s="245"/>
      <c r="E509" s="245"/>
      <c r="F509" s="245"/>
      <c r="G509" s="245"/>
      <c r="H509" s="245"/>
      <c r="I509" s="245"/>
      <c r="J509" s="245" t="e">
        <f>NA()</f>
        <v>#N/A</v>
      </c>
      <c r="K509" s="245" t="e">
        <f>NA()</f>
        <v>#N/A</v>
      </c>
      <c r="L509" s="245" t="e">
        <f>NA()</f>
        <v>#N/A</v>
      </c>
      <c r="M509" s="245" t="e">
        <f>NA()</f>
        <v>#N/A</v>
      </c>
      <c r="N509" s="245" t="e">
        <f>NA()</f>
        <v>#N/A</v>
      </c>
      <c r="O509" s="245" t="e">
        <f>NA()</f>
        <v>#N/A</v>
      </c>
      <c r="P509" s="245" t="e">
        <f>NA()</f>
        <v>#N/A</v>
      </c>
      <c r="Q509" s="245" t="e">
        <f>NA()</f>
        <v>#N/A</v>
      </c>
      <c r="R509" s="245" t="e">
        <f>NA()</f>
        <v>#N/A</v>
      </c>
      <c r="S509" s="245" t="e">
        <f>NA()</f>
        <v>#N/A</v>
      </c>
      <c r="T509" s="245" t="e">
        <f>NA()</f>
        <v>#N/A</v>
      </c>
      <c r="U509" s="245" t="e">
        <f>NA()</f>
        <v>#N/A</v>
      </c>
      <c r="V509" s="245" t="e">
        <f>NA()</f>
        <v>#N/A</v>
      </c>
      <c r="W509" s="245" t="e">
        <f>NA()</f>
        <v>#N/A</v>
      </c>
      <c r="X509" s="245" t="e">
        <f>NA()</f>
        <v>#N/A</v>
      </c>
      <c r="Y509" s="245" t="e">
        <f>NA()</f>
        <v>#N/A</v>
      </c>
      <c r="Z509" s="245" t="e">
        <f>NA()</f>
        <v>#N/A</v>
      </c>
      <c r="AA509" s="245" t="e">
        <f>NA()</f>
        <v>#N/A</v>
      </c>
      <c r="AB509" s="245" t="e">
        <f>NA()</f>
        <v>#N/A</v>
      </c>
      <c r="AC509" s="245" t="e">
        <f>NA()</f>
        <v>#N/A</v>
      </c>
      <c r="AD509" s="245" t="e">
        <f>NA()</f>
        <v>#N/A</v>
      </c>
      <c r="AE509" s="245" t="e">
        <f>NA()</f>
        <v>#N/A</v>
      </c>
      <c r="AF509" s="245" t="e">
        <f>NA()</f>
        <v>#N/A</v>
      </c>
      <c r="AG509" s="245" t="e">
        <f>NA()</f>
        <v>#N/A</v>
      </c>
      <c r="AH509" s="245" t="e">
        <f>NA()</f>
        <v>#N/A</v>
      </c>
      <c r="AI509" s="245" t="e">
        <f>NA()</f>
        <v>#N/A</v>
      </c>
      <c r="AJ509" s="245" t="e">
        <f>NA()</f>
        <v>#N/A</v>
      </c>
      <c r="AK509" s="245" t="e">
        <f>NA()</f>
        <v>#N/A</v>
      </c>
      <c r="AL509" s="92">
        <f>Segment!AE437</f>
        <v>429.28000000000003</v>
      </c>
      <c r="AM509" s="92">
        <f>Segment!AF437</f>
        <v>496.35000000000008</v>
      </c>
      <c r="AN509" s="92">
        <f>Segment!AG437</f>
        <v>554.15</v>
      </c>
      <c r="AO509" s="92">
        <f>Segment!AH437</f>
        <v>531.03</v>
      </c>
      <c r="AP509" s="92">
        <f>Segment!AI437</f>
        <v>485.29</v>
      </c>
      <c r="AQ509" s="92">
        <f>Segment!AJ437</f>
        <v>556.04</v>
      </c>
      <c r="AR509" s="92">
        <f>Segment!AK437</f>
        <v>532.23</v>
      </c>
      <c r="AS509" s="92">
        <f>Segment!AL437</f>
        <v>606.95000000000005</v>
      </c>
      <c r="AT509" s="92">
        <f>Segment!AM437</f>
        <v>534.75</v>
      </c>
      <c r="AU509" s="92">
        <f>Segment!AN437</f>
        <v>611.75</v>
      </c>
      <c r="AV509" s="92">
        <f>IF(Segment!AO437=0, NA(), Segment!AO437)</f>
        <v>572.25</v>
      </c>
      <c r="AW509" s="92">
        <f>IF(Segment!AP437=0, NA(), Segment!AP437)</f>
        <v>589.68000000000006</v>
      </c>
      <c r="AX509" s="92">
        <f>IF(Segment!AQ437=0, NA(), Segment!AQ437)</f>
        <v>650.08043460321824</v>
      </c>
      <c r="AY509" s="92">
        <f>IF(Segment!AR437=0, NA(), Segment!AR437)</f>
        <v>843.81</v>
      </c>
      <c r="AZ509" s="92">
        <f>IF(Segment!AS437=0, NA(), Segment!AS437)</f>
        <v>839.22354696740467</v>
      </c>
      <c r="BA509" s="92">
        <f>IF(Segment!AT437=0, NA(), Segment!AT437)</f>
        <v>900.7600000000001</v>
      </c>
      <c r="BB509" s="92">
        <f>IF(Segment!AU437=0, NA(), Segment!AU437)</f>
        <v>662.37</v>
      </c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</row>
    <row r="510" spans="1:97">
      <c r="A510" s="36" t="str">
        <f>Segment!A438</f>
        <v>Casual Dining</v>
      </c>
      <c r="B510" s="245"/>
      <c r="C510" s="245"/>
      <c r="D510" s="245"/>
      <c r="E510" s="245"/>
      <c r="F510" s="245"/>
      <c r="G510" s="245"/>
      <c r="H510" s="245"/>
      <c r="I510" s="245"/>
      <c r="J510" s="245" t="e">
        <f>NA()</f>
        <v>#N/A</v>
      </c>
      <c r="K510" s="245" t="e">
        <f>NA()</f>
        <v>#N/A</v>
      </c>
      <c r="L510" s="245" t="e">
        <f>NA()</f>
        <v>#N/A</v>
      </c>
      <c r="M510" s="245" t="e">
        <f>NA()</f>
        <v>#N/A</v>
      </c>
      <c r="N510" s="245" t="e">
        <f>NA()</f>
        <v>#N/A</v>
      </c>
      <c r="O510" s="245" t="e">
        <f>NA()</f>
        <v>#N/A</v>
      </c>
      <c r="P510" s="245" t="e">
        <f>NA()</f>
        <v>#N/A</v>
      </c>
      <c r="Q510" s="245" t="e">
        <f>NA()</f>
        <v>#N/A</v>
      </c>
      <c r="R510" s="245" t="e">
        <f>NA()</f>
        <v>#N/A</v>
      </c>
      <c r="S510" s="245" t="e">
        <f>NA()</f>
        <v>#N/A</v>
      </c>
      <c r="T510" s="245" t="e">
        <f>NA()</f>
        <v>#N/A</v>
      </c>
      <c r="U510" s="245" t="e">
        <f>NA()</f>
        <v>#N/A</v>
      </c>
      <c r="V510" s="245" t="e">
        <f>NA()</f>
        <v>#N/A</v>
      </c>
      <c r="W510" s="245" t="e">
        <f>NA()</f>
        <v>#N/A</v>
      </c>
      <c r="X510" s="245" t="e">
        <f>NA()</f>
        <v>#N/A</v>
      </c>
      <c r="Y510" s="245" t="e">
        <f>NA()</f>
        <v>#N/A</v>
      </c>
      <c r="Z510" s="245" t="e">
        <f>NA()</f>
        <v>#N/A</v>
      </c>
      <c r="AA510" s="245" t="e">
        <f>NA()</f>
        <v>#N/A</v>
      </c>
      <c r="AB510" s="245" t="e">
        <f>NA()</f>
        <v>#N/A</v>
      </c>
      <c r="AC510" s="245" t="e">
        <f>NA()</f>
        <v>#N/A</v>
      </c>
      <c r="AD510" s="245" t="e">
        <f>NA()</f>
        <v>#N/A</v>
      </c>
      <c r="AE510" s="245" t="e">
        <f>NA()</f>
        <v>#N/A</v>
      </c>
      <c r="AF510" s="245" t="e">
        <f>NA()</f>
        <v>#N/A</v>
      </c>
      <c r="AG510" s="245" t="e">
        <f>NA()</f>
        <v>#N/A</v>
      </c>
      <c r="AH510" s="245" t="e">
        <f>NA()</f>
        <v>#N/A</v>
      </c>
      <c r="AI510" s="245" t="e">
        <f>NA()</f>
        <v>#N/A</v>
      </c>
      <c r="AJ510" s="245" t="e">
        <f>NA()</f>
        <v>#N/A</v>
      </c>
      <c r="AK510" s="245" t="e">
        <f>NA()</f>
        <v>#N/A</v>
      </c>
      <c r="AL510" s="92">
        <f>Segment!AE438</f>
        <v>465.40799999999996</v>
      </c>
      <c r="AM510" s="92">
        <f>Segment!AF438</f>
        <v>482.78999999999996</v>
      </c>
      <c r="AN510" s="92">
        <f>Segment!AG438</f>
        <v>447.46000000000004</v>
      </c>
      <c r="AO510" s="92">
        <f>Segment!AH438</f>
        <v>616.64</v>
      </c>
      <c r="AP510" s="92">
        <f>Segment!AI438</f>
        <v>473.76000000000005</v>
      </c>
      <c r="AQ510" s="92">
        <f>Segment!AJ438</f>
        <v>499.56000000000006</v>
      </c>
      <c r="AR510" s="92">
        <f>Segment!AK438</f>
        <v>454.59</v>
      </c>
      <c r="AS510" s="92">
        <f>Segment!AL438</f>
        <v>634.57999999999993</v>
      </c>
      <c r="AT510" s="92">
        <f>Segment!AM438</f>
        <v>511.02</v>
      </c>
      <c r="AU510" s="92">
        <f>Segment!AN438</f>
        <v>528.86</v>
      </c>
      <c r="AV510" s="92">
        <f>IF(Segment!AO438=0, NA(), Segment!AO438)</f>
        <v>513.90000000000009</v>
      </c>
      <c r="AW510" s="92">
        <f>IF(Segment!AP438=0, NA(), Segment!AP438)</f>
        <v>568.36</v>
      </c>
      <c r="AX510" s="92">
        <f>IF(Segment!AQ438=0, NA(), Segment!AQ438)</f>
        <v>617.7172548480263</v>
      </c>
      <c r="AY510" s="92">
        <f>IF(Segment!AR438=0, NA(), Segment!AR438)</f>
        <v>688.3</v>
      </c>
      <c r="AZ510" s="92">
        <f>IF(Segment!AS438=0, NA(), Segment!AS438)</f>
        <v>572.80813643240265</v>
      </c>
      <c r="BA510" s="92">
        <f>IF(Segment!AT438=0, NA(), Segment!AT438)</f>
        <v>796.61999999999989</v>
      </c>
      <c r="BB510" s="92">
        <f>IF(Segment!AU438=0, NA(), Segment!AU438)</f>
        <v>317.43999999999994</v>
      </c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</row>
    <row r="511" spans="1:97">
      <c r="A511" s="36" t="str">
        <f>Segment!A439</f>
        <v>Family Dining</v>
      </c>
      <c r="B511" s="245"/>
      <c r="C511" s="245"/>
      <c r="D511" s="245"/>
      <c r="E511" s="245"/>
      <c r="F511" s="245"/>
      <c r="G511" s="245"/>
      <c r="H511" s="245"/>
      <c r="I511" s="245"/>
      <c r="J511" s="245" t="e">
        <f>NA()</f>
        <v>#N/A</v>
      </c>
      <c r="K511" s="245" t="e">
        <f>NA()</f>
        <v>#N/A</v>
      </c>
      <c r="L511" s="245" t="e">
        <f>NA()</f>
        <v>#N/A</v>
      </c>
      <c r="M511" s="245" t="e">
        <f>NA()</f>
        <v>#N/A</v>
      </c>
      <c r="N511" s="245" t="e">
        <f>NA()</f>
        <v>#N/A</v>
      </c>
      <c r="O511" s="245" t="e">
        <f>NA()</f>
        <v>#N/A</v>
      </c>
      <c r="P511" s="245" t="e">
        <f>NA()</f>
        <v>#N/A</v>
      </c>
      <c r="Q511" s="245" t="e">
        <f>NA()</f>
        <v>#N/A</v>
      </c>
      <c r="R511" s="245" t="e">
        <f>NA()</f>
        <v>#N/A</v>
      </c>
      <c r="S511" s="245" t="e">
        <f>NA()</f>
        <v>#N/A</v>
      </c>
      <c r="T511" s="245" t="e">
        <f>NA()</f>
        <v>#N/A</v>
      </c>
      <c r="U511" s="245" t="e">
        <f>NA()</f>
        <v>#N/A</v>
      </c>
      <c r="V511" s="245" t="e">
        <f>NA()</f>
        <v>#N/A</v>
      </c>
      <c r="W511" s="245" t="e">
        <f>NA()</f>
        <v>#N/A</v>
      </c>
      <c r="X511" s="245" t="e">
        <f>NA()</f>
        <v>#N/A</v>
      </c>
      <c r="Y511" s="245" t="e">
        <f>NA()</f>
        <v>#N/A</v>
      </c>
      <c r="Z511" s="245" t="e">
        <f>NA()</f>
        <v>#N/A</v>
      </c>
      <c r="AA511" s="245" t="e">
        <f>NA()</f>
        <v>#N/A</v>
      </c>
      <c r="AB511" s="245" t="e">
        <f>NA()</f>
        <v>#N/A</v>
      </c>
      <c r="AC511" s="245" t="e">
        <f>NA()</f>
        <v>#N/A</v>
      </c>
      <c r="AD511" s="245" t="e">
        <f>NA()</f>
        <v>#N/A</v>
      </c>
      <c r="AE511" s="245" t="e">
        <f>NA()</f>
        <v>#N/A</v>
      </c>
      <c r="AF511" s="245" t="e">
        <f>NA()</f>
        <v>#N/A</v>
      </c>
      <c r="AG511" s="245" t="e">
        <f>NA()</f>
        <v>#N/A</v>
      </c>
      <c r="AH511" s="245" t="e">
        <f>NA()</f>
        <v>#N/A</v>
      </c>
      <c r="AI511" s="245" t="e">
        <f>NA()</f>
        <v>#N/A</v>
      </c>
      <c r="AJ511" s="245" t="e">
        <f>NA()</f>
        <v>#N/A</v>
      </c>
      <c r="AK511" s="245" t="e">
        <f>NA()</f>
        <v>#N/A</v>
      </c>
      <c r="AL511" s="92">
        <f>Segment!AE439</f>
        <v>256.08</v>
      </c>
      <c r="AM511" s="92">
        <f>Segment!AF439</f>
        <v>243.01</v>
      </c>
      <c r="AN511" s="92">
        <f>Segment!AG439</f>
        <v>307.97000000000003</v>
      </c>
      <c r="AO511" s="92">
        <f>Segment!AH439</f>
        <v>386.91</v>
      </c>
      <c r="AP511" s="92">
        <f>Segment!AI439</f>
        <v>286.81</v>
      </c>
      <c r="AQ511" s="92">
        <f>Segment!AJ439</f>
        <v>282.40000000000003</v>
      </c>
      <c r="AR511" s="92">
        <f>Segment!AK439</f>
        <v>284.68</v>
      </c>
      <c r="AS511" s="92">
        <f>Segment!AL439</f>
        <v>397.2</v>
      </c>
      <c r="AT511" s="92">
        <f>Segment!AM439</f>
        <v>300.3</v>
      </c>
      <c r="AU511" s="92">
        <f>Segment!AN439</f>
        <v>318.57</v>
      </c>
      <c r="AV511" s="92">
        <f>IF(Segment!AO439=0, NA(), Segment!AO439)</f>
        <v>256.5</v>
      </c>
      <c r="AW511" s="92">
        <f>IF(Segment!AP439=0, NA(), Segment!AP439)</f>
        <v>366.62</v>
      </c>
      <c r="AX511" s="92">
        <f>IF(Segment!AQ439=0, NA(), Segment!AQ439)</f>
        <v>396.10036033557969</v>
      </c>
      <c r="AY511" s="92">
        <f>IF(Segment!AR439=0, NA(), Segment!AR439)</f>
        <v>506.51</v>
      </c>
      <c r="AZ511" s="92">
        <f>IF(Segment!AS439=0, NA(), Segment!AS439)</f>
        <v>389.90392793288407</v>
      </c>
      <c r="BA511" s="92">
        <f>IF(Segment!AT439=0, NA(), Segment!AT439)</f>
        <v>646.67000000000007</v>
      </c>
      <c r="BB511" s="92">
        <f>IF(Segment!AU439=0, NA(), Segment!AU439)</f>
        <v>343.16999999999996</v>
      </c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</row>
    <row r="512" spans="1:97">
      <c r="A512" s="36" t="str">
        <f>Segment!A440</f>
        <v>Distribution</v>
      </c>
      <c r="B512" s="245"/>
      <c r="C512" s="245"/>
      <c r="D512" s="245"/>
      <c r="E512" s="245"/>
      <c r="F512" s="245"/>
      <c r="G512" s="245"/>
      <c r="H512" s="245"/>
      <c r="I512" s="245"/>
      <c r="J512" s="245" t="e">
        <f>NA()</f>
        <v>#N/A</v>
      </c>
      <c r="K512" s="245" t="e">
        <f>NA()</f>
        <v>#N/A</v>
      </c>
      <c r="L512" s="245" t="e">
        <f>NA()</f>
        <v>#N/A</v>
      </c>
      <c r="M512" s="245" t="e">
        <f>NA()</f>
        <v>#N/A</v>
      </c>
      <c r="N512" s="245" t="e">
        <f>NA()</f>
        <v>#N/A</v>
      </c>
      <c r="O512" s="245" t="e">
        <f>NA()</f>
        <v>#N/A</v>
      </c>
      <c r="P512" s="245" t="e">
        <f>NA()</f>
        <v>#N/A</v>
      </c>
      <c r="Q512" s="245" t="e">
        <f>NA()</f>
        <v>#N/A</v>
      </c>
      <c r="R512" s="245" t="e">
        <f>NA()</f>
        <v>#N/A</v>
      </c>
      <c r="S512" s="245" t="e">
        <f>NA()</f>
        <v>#N/A</v>
      </c>
      <c r="T512" s="245" t="e">
        <f>NA()</f>
        <v>#N/A</v>
      </c>
      <c r="U512" s="245" t="e">
        <f>NA()</f>
        <v>#N/A</v>
      </c>
      <c r="V512" s="245" t="e">
        <f>NA()</f>
        <v>#N/A</v>
      </c>
      <c r="W512" s="245" t="e">
        <f>NA()</f>
        <v>#N/A</v>
      </c>
      <c r="X512" s="245" t="e">
        <f>NA()</f>
        <v>#N/A</v>
      </c>
      <c r="Y512" s="245" t="e">
        <f>NA()</f>
        <v>#N/A</v>
      </c>
      <c r="Z512" s="245" t="e">
        <f>NA()</f>
        <v>#N/A</v>
      </c>
      <c r="AA512" s="245" t="e">
        <f>NA()</f>
        <v>#N/A</v>
      </c>
      <c r="AB512" s="245" t="e">
        <f>NA()</f>
        <v>#N/A</v>
      </c>
      <c r="AC512" s="245" t="e">
        <f>NA()</f>
        <v>#N/A</v>
      </c>
      <c r="AD512" s="245" t="e">
        <f>NA()</f>
        <v>#N/A</v>
      </c>
      <c r="AE512" s="245" t="e">
        <f>NA()</f>
        <v>#N/A</v>
      </c>
      <c r="AF512" s="245" t="e">
        <f>NA()</f>
        <v>#N/A</v>
      </c>
      <c r="AG512" s="245" t="e">
        <f>NA()</f>
        <v>#N/A</v>
      </c>
      <c r="AH512" s="245" t="e">
        <f>NA()</f>
        <v>#N/A</v>
      </c>
      <c r="AI512" s="245" t="e">
        <f>NA()</f>
        <v>#N/A</v>
      </c>
      <c r="AJ512" s="245" t="e">
        <f>NA()</f>
        <v>#N/A</v>
      </c>
      <c r="AK512" s="245" t="e">
        <f>NA()</f>
        <v>#N/A</v>
      </c>
      <c r="AL512" s="92">
        <f>Segment!AE440</f>
        <v>128.04</v>
      </c>
      <c r="AM512" s="92">
        <f>Segment!AF440</f>
        <v>166.27</v>
      </c>
      <c r="AN512" s="92">
        <f>Segment!AG440</f>
        <v>160.68</v>
      </c>
      <c r="AO512" s="92">
        <f>Segment!AH440</f>
        <v>143.30000000000001</v>
      </c>
      <c r="AP512" s="92">
        <f>Segment!AI440</f>
        <v>162.11000000000001</v>
      </c>
      <c r="AQ512" s="92">
        <f>Segment!AJ440</f>
        <v>197.68</v>
      </c>
      <c r="AR512" s="92">
        <f>Segment!AK440</f>
        <v>194.1</v>
      </c>
      <c r="AS512" s="92">
        <f>Segment!AL440</f>
        <v>198.6</v>
      </c>
      <c r="AT512" s="92">
        <f>Segment!AM440</f>
        <v>163.79999999999998</v>
      </c>
      <c r="AU512" s="92">
        <f>Segment!AN440</f>
        <v>151.70000000000002</v>
      </c>
      <c r="AV512" s="92">
        <f>IF(Segment!AO440=0, NA(), Segment!AO440)</f>
        <v>199.50000000000003</v>
      </c>
      <c r="AW512" s="92">
        <f>IF(Segment!AP440=0, NA(), Segment!AP440)</f>
        <v>175.34</v>
      </c>
      <c r="AX512" s="92">
        <f>IF(Segment!AQ440=0, NA(), Segment!AQ440)</f>
        <v>160.56</v>
      </c>
      <c r="AY512" s="92">
        <f>IF(Segment!AR440=0, NA(), Segment!AR440)</f>
        <v>217.49</v>
      </c>
      <c r="AZ512" s="92">
        <f>IF(Segment!AS440=0, NA(), Segment!AS440)</f>
        <v>259.42</v>
      </c>
      <c r="BA512" s="92">
        <f>IF(Segment!AT440=0, NA(), Segment!AT440)</f>
        <v>216.19</v>
      </c>
      <c r="BB512" s="92">
        <f>IF(Segment!AU440=0, NA(), Segment!AU440)</f>
        <v>63.650000000000006</v>
      </c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</row>
    <row r="513" spans="1:97">
      <c r="A513" s="36" t="s">
        <v>325</v>
      </c>
      <c r="B513" s="245"/>
      <c r="C513" s="245"/>
      <c r="D513" s="245"/>
      <c r="E513" s="245"/>
      <c r="F513" s="245"/>
      <c r="G513" s="245"/>
      <c r="H513" s="245"/>
      <c r="I513" s="245"/>
      <c r="J513" s="245" t="e">
        <f>NA()</f>
        <v>#N/A</v>
      </c>
      <c r="K513" s="245" t="e">
        <f>NA()</f>
        <v>#N/A</v>
      </c>
      <c r="L513" s="245" t="e">
        <f>NA()</f>
        <v>#N/A</v>
      </c>
      <c r="M513" s="245" t="e">
        <f>NA()</f>
        <v>#N/A</v>
      </c>
      <c r="N513" s="245" t="e">
        <f>NA()</f>
        <v>#N/A</v>
      </c>
      <c r="O513" s="245" t="e">
        <f>NA()</f>
        <v>#N/A</v>
      </c>
      <c r="P513" s="245" t="e">
        <f>NA()</f>
        <v>#N/A</v>
      </c>
      <c r="Q513" s="245" t="e">
        <f>NA()</f>
        <v>#N/A</v>
      </c>
      <c r="R513" s="245" t="e">
        <f>NA()</f>
        <v>#N/A</v>
      </c>
      <c r="S513" s="245" t="e">
        <f>NA()</f>
        <v>#N/A</v>
      </c>
      <c r="T513" s="245" t="e">
        <f>NA()</f>
        <v>#N/A</v>
      </c>
      <c r="U513" s="245" t="e">
        <f>NA()</f>
        <v>#N/A</v>
      </c>
      <c r="V513" s="245" t="e">
        <f>NA()</f>
        <v>#N/A</v>
      </c>
      <c r="W513" s="245" t="e">
        <f>NA()</f>
        <v>#N/A</v>
      </c>
      <c r="X513" s="245" t="e">
        <f>NA()</f>
        <v>#N/A</v>
      </c>
      <c r="Y513" s="245" t="e">
        <f>NA()</f>
        <v>#N/A</v>
      </c>
      <c r="Z513" s="245" t="e">
        <f>NA()</f>
        <v>#N/A</v>
      </c>
      <c r="AA513" s="245" t="e">
        <f>NA()</f>
        <v>#N/A</v>
      </c>
      <c r="AB513" s="245" t="e">
        <f>NA()</f>
        <v>#N/A</v>
      </c>
      <c r="AC513" s="245" t="e">
        <f>NA()</f>
        <v>#N/A</v>
      </c>
      <c r="AD513" s="245" t="e">
        <f>NA()</f>
        <v>#N/A</v>
      </c>
      <c r="AE513" s="245" t="e">
        <f>NA()</f>
        <v>#N/A</v>
      </c>
      <c r="AF513" s="245" t="e">
        <f>NA()</f>
        <v>#N/A</v>
      </c>
      <c r="AG513" s="245" t="e">
        <f>NA()</f>
        <v>#N/A</v>
      </c>
      <c r="AH513" s="245" t="e">
        <f>NA()</f>
        <v>#N/A</v>
      </c>
      <c r="AI513" s="245" t="e">
        <f>NA()</f>
        <v>#N/A</v>
      </c>
      <c r="AJ513" s="245" t="e">
        <f>NA()</f>
        <v>#N/A</v>
      </c>
      <c r="AK513" s="245" t="e">
        <f>NA()</f>
        <v>#N/A</v>
      </c>
      <c r="AL513" s="92">
        <f>Segment!AE441</f>
        <v>1709.0879999999997</v>
      </c>
      <c r="AM513" s="92">
        <f>Segment!AF441</f>
        <v>1880</v>
      </c>
      <c r="AN513" s="92">
        <f>Segment!AG441</f>
        <v>2036.91</v>
      </c>
      <c r="AO513" s="92">
        <f>Segment!AH441</f>
        <v>2324</v>
      </c>
      <c r="AP513" s="92">
        <f>Segment!AI441</f>
        <v>2014</v>
      </c>
      <c r="AQ513" s="92">
        <f>Segment!AJ441</f>
        <v>2172</v>
      </c>
      <c r="AR513" s="92">
        <f>Segment!AK441</f>
        <v>2089</v>
      </c>
      <c r="AS513" s="92">
        <f>Segment!AL441</f>
        <v>2621</v>
      </c>
      <c r="AT513" s="92">
        <f>Segment!AM441</f>
        <v>2196</v>
      </c>
      <c r="AU513" s="92">
        <f>Segment!AN441</f>
        <v>2330</v>
      </c>
      <c r="AV513" s="92">
        <f>IF(Segment!AO441=0, NA(), Segment!AO441)</f>
        <v>2220</v>
      </c>
      <c r="AW513" s="92">
        <f>IF(Segment!AP441=0, NA(), Segment!AP441)</f>
        <v>2479</v>
      </c>
      <c r="AX513" s="92">
        <f>IF(Segment!AQ441=0, NA(), Segment!AQ441)</f>
        <v>2430</v>
      </c>
      <c r="AY513" s="92">
        <f>IF(Segment!AR441=0, NA(), Segment!AR441)</f>
        <v>2852</v>
      </c>
      <c r="AZ513" s="92">
        <f>IF(Segment!AS441=0, NA(), Segment!AS441)</f>
        <v>2715</v>
      </c>
      <c r="BA513" s="92">
        <f>IF(Segment!AT441=0, NA(), Segment!AT441)</f>
        <v>3217</v>
      </c>
      <c r="BB513" s="92">
        <f>IF(Segment!AU441=0, NA(), Segment!AU441)</f>
        <v>1747</v>
      </c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</row>
    <row r="514" spans="1:97">
      <c r="A514" s="244"/>
      <c r="B514" s="245"/>
      <c r="C514" s="245"/>
      <c r="D514" s="245"/>
      <c r="E514" s="245"/>
      <c r="F514" s="245"/>
      <c r="G514" s="245"/>
      <c r="H514" s="245"/>
      <c r="I514" s="245"/>
      <c r="J514" s="245"/>
      <c r="K514" s="245"/>
      <c r="L514" s="245"/>
      <c r="M514" s="245"/>
      <c r="N514" s="245"/>
      <c r="O514" s="245"/>
      <c r="P514" s="245"/>
      <c r="Q514" s="245"/>
      <c r="R514" s="245"/>
      <c r="S514" s="452"/>
      <c r="T514" s="452"/>
      <c r="U514" s="452"/>
      <c r="V514" s="452"/>
      <c r="W514" s="452"/>
      <c r="X514" s="452"/>
      <c r="Y514" s="452"/>
      <c r="Z514" s="452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</row>
    <row r="515" spans="1:97">
      <c r="A515" s="242" t="s">
        <v>1138</v>
      </c>
      <c r="B515" s="595"/>
      <c r="C515" s="595"/>
      <c r="D515" s="595"/>
      <c r="E515" s="595"/>
      <c r="F515" s="595"/>
      <c r="G515" s="595"/>
      <c r="H515" s="595"/>
      <c r="I515" s="595"/>
      <c r="J515" s="595" t="str">
        <f t="shared" ref="J515:BB515" si="332">J$453</f>
        <v>1Q09</v>
      </c>
      <c r="K515" s="595" t="str">
        <f t="shared" si="332"/>
        <v>2Q09</v>
      </c>
      <c r="L515" s="595" t="str">
        <f t="shared" si="332"/>
        <v>3Q09</v>
      </c>
      <c r="M515" s="595" t="str">
        <f t="shared" si="332"/>
        <v>4Q09</v>
      </c>
      <c r="N515" s="595" t="str">
        <f t="shared" si="332"/>
        <v>1Q10</v>
      </c>
      <c r="O515" s="595" t="str">
        <f t="shared" si="332"/>
        <v>2Q10</v>
      </c>
      <c r="P515" s="595" t="str">
        <f t="shared" si="332"/>
        <v>3Q10</v>
      </c>
      <c r="Q515" s="595" t="str">
        <f t="shared" si="332"/>
        <v>4Q10</v>
      </c>
      <c r="R515" s="595" t="str">
        <f t="shared" si="332"/>
        <v>1Q11</v>
      </c>
      <c r="S515" s="595" t="str">
        <f t="shared" si="332"/>
        <v>2Q11</v>
      </c>
      <c r="T515" s="595" t="str">
        <f t="shared" si="332"/>
        <v>3Q11</v>
      </c>
      <c r="U515" s="595" t="str">
        <f t="shared" si="332"/>
        <v>4Q11</v>
      </c>
      <c r="V515" s="595" t="str">
        <f t="shared" si="332"/>
        <v>1Q12</v>
      </c>
      <c r="W515" s="595" t="str">
        <f t="shared" si="332"/>
        <v>2Q12</v>
      </c>
      <c r="X515" s="595" t="str">
        <f t="shared" si="332"/>
        <v>3Q12</v>
      </c>
      <c r="Y515" s="595" t="str">
        <f t="shared" si="332"/>
        <v>4Q12</v>
      </c>
      <c r="Z515" s="595" t="str">
        <f t="shared" si="332"/>
        <v>1Q13</v>
      </c>
      <c r="AA515" s="595" t="str">
        <f t="shared" si="332"/>
        <v>2Q13</v>
      </c>
      <c r="AB515" s="595" t="str">
        <f t="shared" si="332"/>
        <v>3Q13</v>
      </c>
      <c r="AC515" s="595" t="str">
        <f t="shared" si="332"/>
        <v>4Q13</v>
      </c>
      <c r="AD515" s="595" t="str">
        <f t="shared" si="332"/>
        <v>1Q14</v>
      </c>
      <c r="AE515" s="595" t="str">
        <f t="shared" si="332"/>
        <v>2Q14</v>
      </c>
      <c r="AF515" s="595" t="str">
        <f t="shared" si="332"/>
        <v>3Q14</v>
      </c>
      <c r="AG515" s="595" t="str">
        <f t="shared" si="332"/>
        <v>4Q14</v>
      </c>
      <c r="AH515" s="595" t="str">
        <f t="shared" si="332"/>
        <v>1Q15</v>
      </c>
      <c r="AI515" s="595" t="str">
        <f t="shared" si="332"/>
        <v>2Q15</v>
      </c>
      <c r="AJ515" s="595" t="str">
        <f t="shared" si="332"/>
        <v>3Q15</v>
      </c>
      <c r="AK515" s="595" t="str">
        <f t="shared" si="332"/>
        <v>4Q15</v>
      </c>
      <c r="AL515" s="595" t="str">
        <f t="shared" si="332"/>
        <v>1Q16</v>
      </c>
      <c r="AM515" s="595" t="str">
        <f t="shared" si="332"/>
        <v>2Q16</v>
      </c>
      <c r="AN515" s="595" t="str">
        <f t="shared" si="332"/>
        <v>3Q16</v>
      </c>
      <c r="AO515" s="595" t="str">
        <f t="shared" si="332"/>
        <v>4Q16</v>
      </c>
      <c r="AP515" s="595" t="str">
        <f t="shared" si="332"/>
        <v>1Q17</v>
      </c>
      <c r="AQ515" s="595" t="str">
        <f t="shared" si="332"/>
        <v>2Q17</v>
      </c>
      <c r="AR515" s="595" t="str">
        <f t="shared" si="332"/>
        <v>3Q17</v>
      </c>
      <c r="AS515" s="595" t="str">
        <f t="shared" si="332"/>
        <v>4Q17</v>
      </c>
      <c r="AT515" s="595" t="str">
        <f t="shared" si="332"/>
        <v>1Q18</v>
      </c>
      <c r="AU515" s="595" t="str">
        <f t="shared" si="332"/>
        <v>2Q18</v>
      </c>
      <c r="AV515" s="595" t="str">
        <f t="shared" si="332"/>
        <v>3Q18</v>
      </c>
      <c r="AW515" s="595" t="str">
        <f t="shared" si="332"/>
        <v>4Q18</v>
      </c>
      <c r="AX515" s="595" t="str">
        <f t="shared" si="332"/>
        <v>1Q19</v>
      </c>
      <c r="AY515" s="595" t="str">
        <f t="shared" si="332"/>
        <v>2Q19</v>
      </c>
      <c r="AZ515" s="595" t="str">
        <f t="shared" si="332"/>
        <v>3Q19</v>
      </c>
      <c r="BA515" s="595" t="str">
        <f t="shared" si="332"/>
        <v>4Q19</v>
      </c>
      <c r="BB515" s="595" t="str">
        <f t="shared" si="332"/>
        <v>1Q20</v>
      </c>
      <c r="BC515" s="596"/>
      <c r="BD515" s="596"/>
      <c r="BE515" s="596"/>
      <c r="BF515" s="596"/>
      <c r="BG515" s="596"/>
      <c r="BH515" s="596"/>
      <c r="BI515" s="596"/>
      <c r="BJ515" s="596"/>
      <c r="BK515" s="596"/>
      <c r="BL515" s="596"/>
      <c r="BM515" s="596"/>
      <c r="BN515" s="596"/>
      <c r="BO515" s="596"/>
      <c r="BP515" s="596"/>
      <c r="BQ515" s="596"/>
      <c r="BR515" s="596"/>
      <c r="BS515" s="596"/>
      <c r="BT515" s="596"/>
      <c r="BU515" s="596"/>
      <c r="BV515" s="596"/>
      <c r="BW515" s="596"/>
      <c r="BX515" s="596"/>
      <c r="BY515" s="596"/>
      <c r="BZ515" s="596"/>
      <c r="CA515" s="596"/>
      <c r="CB515" s="596"/>
      <c r="CC515" s="596"/>
      <c r="CD515" s="596"/>
      <c r="CE515" s="596"/>
      <c r="CF515" s="596"/>
      <c r="CG515" s="596"/>
      <c r="CH515" s="596"/>
      <c r="CI515" s="596"/>
      <c r="CJ515" s="596"/>
      <c r="CK515" s="596"/>
      <c r="CL515" s="596"/>
      <c r="CM515" s="596"/>
      <c r="CN515" s="596"/>
      <c r="CO515" s="596"/>
      <c r="CP515" s="596"/>
      <c r="CQ515" s="596"/>
      <c r="CR515" s="596"/>
      <c r="CS515" s="596"/>
    </row>
    <row r="516" spans="1:97">
      <c r="A516" s="303" t="str">
        <f>A508</f>
        <v>QSR</v>
      </c>
      <c r="B516" s="303"/>
      <c r="C516" s="303"/>
      <c r="D516" s="303"/>
      <c r="E516" s="303"/>
      <c r="F516" s="303"/>
      <c r="G516" s="245"/>
      <c r="H516" s="245"/>
      <c r="I516" s="245"/>
      <c r="J516" s="245" t="e">
        <f>NA()</f>
        <v>#N/A</v>
      </c>
      <c r="K516" s="245" t="e">
        <f>NA()</f>
        <v>#N/A</v>
      </c>
      <c r="L516" s="245" t="e">
        <f>NA()</f>
        <v>#N/A</v>
      </c>
      <c r="M516" s="245" t="e">
        <f>NA()</f>
        <v>#N/A</v>
      </c>
      <c r="N516" s="245" t="e">
        <f>NA()</f>
        <v>#N/A</v>
      </c>
      <c r="O516" s="245" t="e">
        <f>NA()</f>
        <v>#N/A</v>
      </c>
      <c r="P516" s="245" t="e">
        <f>NA()</f>
        <v>#N/A</v>
      </c>
      <c r="Q516" s="245" t="e">
        <f>NA()</f>
        <v>#N/A</v>
      </c>
      <c r="R516" s="245" t="e">
        <f>NA()</f>
        <v>#N/A</v>
      </c>
      <c r="S516" s="245" t="e">
        <f>NA()</f>
        <v>#N/A</v>
      </c>
      <c r="T516" s="245" t="e">
        <f>NA()</f>
        <v>#N/A</v>
      </c>
      <c r="U516" s="245" t="e">
        <f>NA()</f>
        <v>#N/A</v>
      </c>
      <c r="V516" s="245" t="e">
        <f>NA()</f>
        <v>#N/A</v>
      </c>
      <c r="W516" s="245" t="e">
        <f>NA()</f>
        <v>#N/A</v>
      </c>
      <c r="X516" s="245" t="e">
        <f>NA()</f>
        <v>#N/A</v>
      </c>
      <c r="Y516" s="245" t="e">
        <f>NA()</f>
        <v>#N/A</v>
      </c>
      <c r="Z516" s="245" t="e">
        <f>NA()</f>
        <v>#N/A</v>
      </c>
      <c r="AA516" s="245" t="e">
        <f>NA()</f>
        <v>#N/A</v>
      </c>
      <c r="AB516" s="245" t="e">
        <f>NA()</f>
        <v>#N/A</v>
      </c>
      <c r="AC516" s="245" t="e">
        <f>NA()</f>
        <v>#N/A</v>
      </c>
      <c r="AD516" s="245" t="e">
        <f>NA()</f>
        <v>#N/A</v>
      </c>
      <c r="AE516" s="245" t="e">
        <f>NA()</f>
        <v>#N/A</v>
      </c>
      <c r="AF516" s="245" t="e">
        <f>NA()</f>
        <v>#N/A</v>
      </c>
      <c r="AG516" s="245" t="e">
        <f>NA()</f>
        <v>#N/A</v>
      </c>
      <c r="AH516" s="245" t="e">
        <f>NA()</f>
        <v>#N/A</v>
      </c>
      <c r="AI516" s="245" t="e">
        <f>NA()</f>
        <v>#N/A</v>
      </c>
      <c r="AJ516" s="245" t="e">
        <f>NA()</f>
        <v>#N/A</v>
      </c>
      <c r="AK516" s="245" t="e">
        <f>NA()</f>
        <v>#N/A</v>
      </c>
      <c r="AL516" s="173">
        <f>Segment!AE453</f>
        <v>0.13625678038034097</v>
      </c>
      <c r="AM516" s="173">
        <f>Segment!AF453</f>
        <v>0.1426972451088965</v>
      </c>
      <c r="AN516" s="173">
        <f>Segment!AG453</f>
        <v>0.15529959334719945</v>
      </c>
      <c r="AO516" s="173">
        <f>Segment!AH453</f>
        <v>0.16194170033622227</v>
      </c>
      <c r="AP516" s="173">
        <f>Segment!AI453</f>
        <v>0.15010789399637775</v>
      </c>
      <c r="AQ516" s="173">
        <f>Segment!AJ453</f>
        <v>0.15772681551460663</v>
      </c>
      <c r="AR516" s="173">
        <f>Segment!AK453</f>
        <v>0.14877778832104385</v>
      </c>
      <c r="AS516" s="173">
        <f>Segment!AL453</f>
        <v>0.16865995920842444</v>
      </c>
      <c r="AT516" s="173">
        <f>Segment!AM453</f>
        <v>0.15103864576671727</v>
      </c>
      <c r="AU516" s="173">
        <f>Segment!AN453</f>
        <v>0.15873901638672633</v>
      </c>
      <c r="AV516" s="173">
        <f>IF(Segment!AO453=0, NA(), Segment!AO453)</f>
        <v>0.14897283575886061</v>
      </c>
      <c r="AW516" s="173">
        <f>IF(Segment!AP453=0, NA(), Segment!AP453)</f>
        <v>0.15736328463676999</v>
      </c>
      <c r="AX516" s="173">
        <f>IF(Segment!AQ453=0, NA(), Segment!AQ453)</f>
        <v>0.1382204032738531</v>
      </c>
      <c r="AY516" s="173">
        <f>IF(Segment!AR453=0, NA(), Segment!AR453)</f>
        <v>0.12771520349353388</v>
      </c>
      <c r="AZ516" s="173">
        <f>IF(Segment!AS453=0, NA(), Segment!AS453)</f>
        <v>0.14096402039111144</v>
      </c>
      <c r="BA516" s="173">
        <f>IF(Segment!AT453=0, NA(), Segment!AT453)</f>
        <v>0.13763275892026033</v>
      </c>
      <c r="BB516" s="173">
        <f>IF(Segment!AU453=0, NA(), Segment!AU453)</f>
        <v>9.3031629669833124E-2</v>
      </c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</row>
    <row r="517" spans="1:97">
      <c r="A517" s="303" t="str">
        <f>A509</f>
        <v>Coffee Shops</v>
      </c>
      <c r="B517" s="245"/>
      <c r="C517" s="245"/>
      <c r="D517" s="245"/>
      <c r="E517" s="245"/>
      <c r="F517" s="245"/>
      <c r="G517" s="245"/>
      <c r="H517" s="245"/>
      <c r="I517" s="245"/>
      <c r="J517" s="245" t="e">
        <f>NA()</f>
        <v>#N/A</v>
      </c>
      <c r="K517" s="245" t="e">
        <f>NA()</f>
        <v>#N/A</v>
      </c>
      <c r="L517" s="245" t="e">
        <f>NA()</f>
        <v>#N/A</v>
      </c>
      <c r="M517" s="245" t="e">
        <f>NA()</f>
        <v>#N/A</v>
      </c>
      <c r="N517" s="245" t="e">
        <f>NA()</f>
        <v>#N/A</v>
      </c>
      <c r="O517" s="245" t="e">
        <f>NA()</f>
        <v>#N/A</v>
      </c>
      <c r="P517" s="245" t="e">
        <f>NA()</f>
        <v>#N/A</v>
      </c>
      <c r="Q517" s="245" t="e">
        <f>NA()</f>
        <v>#N/A</v>
      </c>
      <c r="R517" s="245" t="e">
        <f>NA()</f>
        <v>#N/A</v>
      </c>
      <c r="S517" s="245" t="e">
        <f>NA()</f>
        <v>#N/A</v>
      </c>
      <c r="T517" s="245" t="e">
        <f>NA()</f>
        <v>#N/A</v>
      </c>
      <c r="U517" s="245" t="e">
        <f>NA()</f>
        <v>#N/A</v>
      </c>
      <c r="V517" s="245" t="e">
        <f>NA()</f>
        <v>#N/A</v>
      </c>
      <c r="W517" s="245" t="e">
        <f>NA()</f>
        <v>#N/A</v>
      </c>
      <c r="X517" s="245" t="e">
        <f>NA()</f>
        <v>#N/A</v>
      </c>
      <c r="Y517" s="245" t="e">
        <f>NA()</f>
        <v>#N/A</v>
      </c>
      <c r="Z517" s="245" t="e">
        <f>NA()</f>
        <v>#N/A</v>
      </c>
      <c r="AA517" s="245" t="e">
        <f>NA()</f>
        <v>#N/A</v>
      </c>
      <c r="AB517" s="245" t="e">
        <f>NA()</f>
        <v>#N/A</v>
      </c>
      <c r="AC517" s="245" t="e">
        <f>NA()</f>
        <v>#N/A</v>
      </c>
      <c r="AD517" s="245" t="e">
        <f>NA()</f>
        <v>#N/A</v>
      </c>
      <c r="AE517" s="245" t="e">
        <f>NA()</f>
        <v>#N/A</v>
      </c>
      <c r="AF517" s="245" t="e">
        <f>NA()</f>
        <v>#N/A</v>
      </c>
      <c r="AG517" s="245" t="e">
        <f>NA()</f>
        <v>#N/A</v>
      </c>
      <c r="AH517" s="245" t="e">
        <f>NA()</f>
        <v>#N/A</v>
      </c>
      <c r="AI517" s="245" t="e">
        <f>NA()</f>
        <v>#N/A</v>
      </c>
      <c r="AJ517" s="245" t="e">
        <f>NA()</f>
        <v>#N/A</v>
      </c>
      <c r="AK517" s="245" t="e">
        <f>NA()</f>
        <v>#N/A</v>
      </c>
      <c r="AL517" s="173">
        <f>Segment!AE454</f>
        <v>0.22862654922607401</v>
      </c>
      <c r="AM517" s="173">
        <f>Segment!AF454</f>
        <v>0.24886872655264008</v>
      </c>
      <c r="AN517" s="173">
        <f>Segment!AG454</f>
        <v>0.25092187469662064</v>
      </c>
      <c r="AO517" s="173">
        <f>Segment!AH454</f>
        <v>0.2298928599614676</v>
      </c>
      <c r="AP517" s="173">
        <f>Segment!AI454</f>
        <v>0.21854861633763156</v>
      </c>
      <c r="AQ517" s="173">
        <f>Segment!AJ454</f>
        <v>0.23370756315190969</v>
      </c>
      <c r="AR517" s="173">
        <f>Segment!AK454</f>
        <v>0.22090360652832064</v>
      </c>
      <c r="AS517" s="173">
        <f>Segment!AL454</f>
        <v>0.22717672809607239</v>
      </c>
      <c r="AT517" s="173">
        <f>Segment!AM454</f>
        <v>0.2098401018423961</v>
      </c>
      <c r="AU517" s="173">
        <f>Segment!AN454</f>
        <v>0.23484885699569963</v>
      </c>
      <c r="AV517" s="173">
        <f>IF(Segment!AO454=0, NA(), Segment!AO454)</f>
        <v>0.21872148259813279</v>
      </c>
      <c r="AW517" s="173">
        <f>IF(Segment!AP454=0, NA(), Segment!AP454)</f>
        <v>0.20716410489392315</v>
      </c>
      <c r="AX517" s="173">
        <f>IF(Segment!AQ454=0, NA(), Segment!AQ454)</f>
        <v>0.18993499318019599</v>
      </c>
      <c r="AY517" s="173">
        <f>IF(Segment!AR454=0, NA(), Segment!AR454)</f>
        <v>0.21434205216325172</v>
      </c>
      <c r="AZ517" s="173">
        <f>IF(Segment!AS454=0, NA(), Segment!AS454)</f>
        <v>0.2145016391872919</v>
      </c>
      <c r="BA517" s="173">
        <f>IF(Segment!AT454=0, NA(), Segment!AT454)</f>
        <v>0.21673155319579082</v>
      </c>
      <c r="BB517" s="173">
        <f>IF(Segment!AU454=0, NA(), Segment!AU454)</f>
        <v>0.19542251588853471</v>
      </c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</row>
    <row r="518" spans="1:97">
      <c r="A518" s="303" t="str">
        <f>A510</f>
        <v>Casual Dining</v>
      </c>
      <c r="B518" s="245"/>
      <c r="C518" s="245"/>
      <c r="D518" s="245"/>
      <c r="E518" s="245"/>
      <c r="F518" s="245"/>
      <c r="G518" s="245"/>
      <c r="H518" s="245"/>
      <c r="I518" s="245"/>
      <c r="J518" s="245" t="e">
        <f>NA()</f>
        <v>#N/A</v>
      </c>
      <c r="K518" s="245" t="e">
        <f>NA()</f>
        <v>#N/A</v>
      </c>
      <c r="L518" s="245" t="e">
        <f>NA()</f>
        <v>#N/A</v>
      </c>
      <c r="M518" s="245" t="e">
        <f>NA()</f>
        <v>#N/A</v>
      </c>
      <c r="N518" s="245" t="e">
        <f>NA()</f>
        <v>#N/A</v>
      </c>
      <c r="O518" s="245" t="e">
        <f>NA()</f>
        <v>#N/A</v>
      </c>
      <c r="P518" s="245" t="e">
        <f>NA()</f>
        <v>#N/A</v>
      </c>
      <c r="Q518" s="245" t="e">
        <f>NA()</f>
        <v>#N/A</v>
      </c>
      <c r="R518" s="245" t="e">
        <f>NA()</f>
        <v>#N/A</v>
      </c>
      <c r="S518" s="245" t="e">
        <f>NA()</f>
        <v>#N/A</v>
      </c>
      <c r="T518" s="245" t="e">
        <f>NA()</f>
        <v>#N/A</v>
      </c>
      <c r="U518" s="245" t="e">
        <f>NA()</f>
        <v>#N/A</v>
      </c>
      <c r="V518" s="245" t="e">
        <f>NA()</f>
        <v>#N/A</v>
      </c>
      <c r="W518" s="245" t="e">
        <f>NA()</f>
        <v>#N/A</v>
      </c>
      <c r="X518" s="245" t="e">
        <f>NA()</f>
        <v>#N/A</v>
      </c>
      <c r="Y518" s="245" t="e">
        <f>NA()</f>
        <v>#N/A</v>
      </c>
      <c r="Z518" s="245" t="e">
        <f>NA()</f>
        <v>#N/A</v>
      </c>
      <c r="AA518" s="245" t="e">
        <f>NA()</f>
        <v>#N/A</v>
      </c>
      <c r="AB518" s="245" t="e">
        <f>NA()</f>
        <v>#N/A</v>
      </c>
      <c r="AC518" s="245" t="e">
        <f>NA()</f>
        <v>#N/A</v>
      </c>
      <c r="AD518" s="245" t="e">
        <f>NA()</f>
        <v>#N/A</v>
      </c>
      <c r="AE518" s="245" t="e">
        <f>NA()</f>
        <v>#N/A</v>
      </c>
      <c r="AF518" s="245" t="e">
        <f>NA()</f>
        <v>#N/A</v>
      </c>
      <c r="AG518" s="245" t="e">
        <f>NA()</f>
        <v>#N/A</v>
      </c>
      <c r="AH518" s="245" t="e">
        <f>NA()</f>
        <v>#N/A</v>
      </c>
      <c r="AI518" s="245" t="e">
        <f>NA()</f>
        <v>#N/A</v>
      </c>
      <c r="AJ518" s="245" t="e">
        <f>NA()</f>
        <v>#N/A</v>
      </c>
      <c r="AK518" s="245" t="e">
        <f>NA()</f>
        <v>#N/A</v>
      </c>
      <c r="AL518" s="173">
        <f>Segment!AE455</f>
        <v>0.2370907961651248</v>
      </c>
      <c r="AM518" s="173">
        <f>Segment!AF455</f>
        <v>0.23154500154008428</v>
      </c>
      <c r="AN518" s="173">
        <f>Segment!AG455</f>
        <v>0.21182175380724347</v>
      </c>
      <c r="AO518" s="173">
        <f>Segment!AH455</f>
        <v>0.25534829602405712</v>
      </c>
      <c r="AP518" s="173">
        <f>Segment!AI455</f>
        <v>0.21335612206333601</v>
      </c>
      <c r="AQ518" s="173">
        <f>Segment!AJ455</f>
        <v>0.2195126458943327</v>
      </c>
      <c r="AR518" s="173">
        <f>Segment!AK455</f>
        <v>0.19725521274204022</v>
      </c>
      <c r="AS518" s="173">
        <f>Segment!AL455</f>
        <v>0.24831471715131015</v>
      </c>
      <c r="AT518" s="173">
        <f>Segment!AM455</f>
        <v>0.20964318444477273</v>
      </c>
      <c r="AU518" s="173">
        <f>Segment!AN455</f>
        <v>0.21225618231951196</v>
      </c>
      <c r="AV518" s="173">
        <f>IF(Segment!AO455=0, NA(), Segment!AO455)</f>
        <v>0.19641934452980422</v>
      </c>
      <c r="AW518" s="173">
        <f>IF(Segment!AP455=0, NA(), Segment!AP455)</f>
        <v>0.20875013760334832</v>
      </c>
      <c r="AX518" s="173">
        <f>IF(Segment!AQ455=0, NA(), Segment!AQ455)</f>
        <v>0.18799936826673255</v>
      </c>
      <c r="AY518" s="173">
        <f>IF(Segment!AR455=0, NA(), Segment!AR455)</f>
        <v>0.2145762096167215</v>
      </c>
      <c r="AZ518" s="173">
        <f>IF(Segment!AS455=0, NA(), Segment!AS455)</f>
        <v>0.17968143862974556</v>
      </c>
      <c r="BA518" s="173">
        <f>IF(Segment!AT455=0, NA(), Segment!AT455)</f>
        <v>0.22500915301882432</v>
      </c>
      <c r="BB518" s="173">
        <f>IF(Segment!AU455=0, NA(), Segment!AU455)</f>
        <v>0.13111839730229183</v>
      </c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</row>
    <row r="519" spans="1:97">
      <c r="A519" s="303" t="str">
        <f>A511</f>
        <v>Family Dining</v>
      </c>
      <c r="B519" s="245"/>
      <c r="C519" s="245"/>
      <c r="D519" s="245"/>
      <c r="E519" s="245"/>
      <c r="F519" s="245"/>
      <c r="G519" s="245"/>
      <c r="H519" s="245"/>
      <c r="I519" s="245"/>
      <c r="J519" s="245" t="e">
        <f>NA()</f>
        <v>#N/A</v>
      </c>
      <c r="K519" s="245" t="e">
        <f>NA()</f>
        <v>#N/A</v>
      </c>
      <c r="L519" s="245" t="e">
        <f>NA()</f>
        <v>#N/A</v>
      </c>
      <c r="M519" s="245" t="e">
        <f>NA()</f>
        <v>#N/A</v>
      </c>
      <c r="N519" s="245" t="e">
        <f>NA()</f>
        <v>#N/A</v>
      </c>
      <c r="O519" s="245" t="e">
        <f>NA()</f>
        <v>#N/A</v>
      </c>
      <c r="P519" s="245" t="e">
        <f>NA()</f>
        <v>#N/A</v>
      </c>
      <c r="Q519" s="245" t="e">
        <f>NA()</f>
        <v>#N/A</v>
      </c>
      <c r="R519" s="245" t="e">
        <f>NA()</f>
        <v>#N/A</v>
      </c>
      <c r="S519" s="245" t="e">
        <f>NA()</f>
        <v>#N/A</v>
      </c>
      <c r="T519" s="245" t="e">
        <f>NA()</f>
        <v>#N/A</v>
      </c>
      <c r="U519" s="245" t="e">
        <f>NA()</f>
        <v>#N/A</v>
      </c>
      <c r="V519" s="245" t="e">
        <f>NA()</f>
        <v>#N/A</v>
      </c>
      <c r="W519" s="245" t="e">
        <f>NA()</f>
        <v>#N/A</v>
      </c>
      <c r="X519" s="245" t="e">
        <f>NA()</f>
        <v>#N/A</v>
      </c>
      <c r="Y519" s="245" t="e">
        <f>NA()</f>
        <v>#N/A</v>
      </c>
      <c r="Z519" s="245" t="e">
        <f>NA()</f>
        <v>#N/A</v>
      </c>
      <c r="AA519" s="245" t="e">
        <f>NA()</f>
        <v>#N/A</v>
      </c>
      <c r="AB519" s="245" t="e">
        <f>NA()</f>
        <v>#N/A</v>
      </c>
      <c r="AC519" s="245" t="e">
        <f>NA()</f>
        <v>#N/A</v>
      </c>
      <c r="AD519" s="245" t="e">
        <f>NA()</f>
        <v>#N/A</v>
      </c>
      <c r="AE519" s="245" t="e">
        <f>NA()</f>
        <v>#N/A</v>
      </c>
      <c r="AF519" s="245" t="e">
        <f>NA()</f>
        <v>#N/A</v>
      </c>
      <c r="AG519" s="245" t="e">
        <f>NA()</f>
        <v>#N/A</v>
      </c>
      <c r="AH519" s="245" t="e">
        <f>NA()</f>
        <v>#N/A</v>
      </c>
      <c r="AI519" s="245" t="e">
        <f>NA()</f>
        <v>#N/A</v>
      </c>
      <c r="AJ519" s="245" t="e">
        <f>NA()</f>
        <v>#N/A</v>
      </c>
      <c r="AK519" s="245" t="e">
        <f>NA()</f>
        <v>#N/A</v>
      </c>
      <c r="AL519" s="173">
        <f>Segment!AE456</f>
        <v>0.21431684747349156</v>
      </c>
      <c r="AM519" s="173">
        <f>Segment!AF456</f>
        <v>0.20619862895603369</v>
      </c>
      <c r="AN519" s="173">
        <f>Segment!AG456</f>
        <v>0.24671984456545648</v>
      </c>
      <c r="AO519" s="173">
        <f>Segment!AH456</f>
        <v>0.28346256286392796</v>
      </c>
      <c r="AP519" s="173">
        <f>Segment!AI456</f>
        <v>0.23680040634457653</v>
      </c>
      <c r="AQ519" s="173">
        <f>Segment!AJ456</f>
        <v>0.20999836262254018</v>
      </c>
      <c r="AR519" s="173">
        <f>Segment!AK456</f>
        <v>0.22646808244698305</v>
      </c>
      <c r="AS519" s="173">
        <f>Segment!AL456</f>
        <v>0.28494874882533966</v>
      </c>
      <c r="AT519" s="173">
        <f>Segment!AM456</f>
        <v>0.22586015262821346</v>
      </c>
      <c r="AU519" s="173">
        <f>Segment!AN456</f>
        <v>0.23440449646938574</v>
      </c>
      <c r="AV519" s="173">
        <f>IF(Segment!AO456=0, NA(), Segment!AO456)</f>
        <v>0.1879055463212006</v>
      </c>
      <c r="AW519" s="173">
        <f>IF(Segment!AP456=0, NA(), Segment!AP456)</f>
        <v>0.24686575701126492</v>
      </c>
      <c r="AX519" s="173">
        <f>IF(Segment!AQ456=0, NA(), Segment!AQ456)</f>
        <v>0.18082694856476383</v>
      </c>
      <c r="AY519" s="173">
        <f>IF(Segment!AR456=0, NA(), Segment!AR456)</f>
        <v>0.2171173462266856</v>
      </c>
      <c r="AZ519" s="173">
        <f>IF(Segment!AS456=0, NA(), Segment!AS456)</f>
        <v>0.16817225451829054</v>
      </c>
      <c r="BA519" s="173">
        <f>IF(Segment!AT456=0, NA(), Segment!AT456)</f>
        <v>0.24712154341812634</v>
      </c>
      <c r="BB519" s="173">
        <f>IF(Segment!AU456=0, NA(), Segment!AU456)</f>
        <v>0.16676018590721167</v>
      </c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</row>
    <row r="520" spans="1:97">
      <c r="A520" s="303" t="str">
        <f>A512</f>
        <v>Distribution</v>
      </c>
      <c r="B520" s="245"/>
      <c r="C520" s="245"/>
      <c r="D520" s="245"/>
      <c r="E520" s="245"/>
      <c r="F520" s="245"/>
      <c r="G520" s="245"/>
      <c r="H520" s="245"/>
      <c r="I520" s="245"/>
      <c r="J520" s="245" t="e">
        <f>NA()</f>
        <v>#N/A</v>
      </c>
      <c r="K520" s="245" t="e">
        <f>NA()</f>
        <v>#N/A</v>
      </c>
      <c r="L520" s="245" t="e">
        <f>NA()</f>
        <v>#N/A</v>
      </c>
      <c r="M520" s="245" t="e">
        <f>NA()</f>
        <v>#N/A</v>
      </c>
      <c r="N520" s="245" t="e">
        <f>NA()</f>
        <v>#N/A</v>
      </c>
      <c r="O520" s="245" t="e">
        <f>NA()</f>
        <v>#N/A</v>
      </c>
      <c r="P520" s="245" t="e">
        <f>NA()</f>
        <v>#N/A</v>
      </c>
      <c r="Q520" s="245" t="e">
        <f>NA()</f>
        <v>#N/A</v>
      </c>
      <c r="R520" s="245" t="e">
        <f>NA()</f>
        <v>#N/A</v>
      </c>
      <c r="S520" s="245" t="e">
        <f>NA()</f>
        <v>#N/A</v>
      </c>
      <c r="T520" s="245" t="e">
        <f>NA()</f>
        <v>#N/A</v>
      </c>
      <c r="U520" s="245" t="e">
        <f>NA()</f>
        <v>#N/A</v>
      </c>
      <c r="V520" s="245" t="e">
        <f>NA()</f>
        <v>#N/A</v>
      </c>
      <c r="W520" s="245" t="e">
        <f>NA()</f>
        <v>#N/A</v>
      </c>
      <c r="X520" s="245" t="e">
        <f>NA()</f>
        <v>#N/A</v>
      </c>
      <c r="Y520" s="245" t="e">
        <f>NA()</f>
        <v>#N/A</v>
      </c>
      <c r="Z520" s="245" t="e">
        <f>NA()</f>
        <v>#N/A</v>
      </c>
      <c r="AA520" s="245" t="e">
        <f>NA()</f>
        <v>#N/A</v>
      </c>
      <c r="AB520" s="245" t="e">
        <f>NA()</f>
        <v>#N/A</v>
      </c>
      <c r="AC520" s="245" t="e">
        <f>NA()</f>
        <v>#N/A</v>
      </c>
      <c r="AD520" s="245" t="e">
        <f>NA()</f>
        <v>#N/A</v>
      </c>
      <c r="AE520" s="245" t="e">
        <f>NA()</f>
        <v>#N/A</v>
      </c>
      <c r="AF520" s="245" t="e">
        <f>NA()</f>
        <v>#N/A</v>
      </c>
      <c r="AG520" s="245" t="e">
        <f>NA()</f>
        <v>#N/A</v>
      </c>
      <c r="AH520" s="245" t="e">
        <f>NA()</f>
        <v>#N/A</v>
      </c>
      <c r="AI520" s="245" t="e">
        <f>NA()</f>
        <v>#N/A</v>
      </c>
      <c r="AJ520" s="245" t="e">
        <f>NA()</f>
        <v>#N/A</v>
      </c>
      <c r="AK520" s="245" t="e">
        <f>NA()</f>
        <v>#N/A</v>
      </c>
      <c r="AL520" s="173">
        <f>Segment!AE457</f>
        <v>0.37505448307861028</v>
      </c>
      <c r="AM520" s="173">
        <f>Segment!AF457</f>
        <v>0.45852063544170657</v>
      </c>
      <c r="AN520" s="173">
        <f>Segment!AG457</f>
        <v>0.41835104078490448</v>
      </c>
      <c r="AO520" s="173">
        <f>Segment!AH457</f>
        <v>0.34120493678065406</v>
      </c>
      <c r="AP520" s="173">
        <f>Segment!AI457</f>
        <v>0.40153112380167322</v>
      </c>
      <c r="AQ520" s="173">
        <f>Segment!AJ457</f>
        <v>0.63699503328837181</v>
      </c>
      <c r="AR520" s="173">
        <f>Segment!AK457</f>
        <v>0.61764022485540826</v>
      </c>
      <c r="AS520" s="173">
        <f>Segment!AL457</f>
        <v>0.56989749765067932</v>
      </c>
      <c r="AT520" s="173">
        <f>Segment!AM457</f>
        <v>0.73917868132869846</v>
      </c>
      <c r="AU520" s="173">
        <f>Segment!AN457</f>
        <v>0.44648475517978242</v>
      </c>
      <c r="AV520" s="173">
        <f>IF(Segment!AO457=0, NA(), Segment!AO457)</f>
        <v>0.87689254949893625</v>
      </c>
      <c r="AW520" s="173">
        <f>IF(Segment!AP457=0, NA(), Segment!AP457)</f>
        <v>0.47226492645633295</v>
      </c>
      <c r="AX520" s="173">
        <f>IF(Segment!AQ457=0, NA(), Segment!AQ457)</f>
        <v>0.39092550298058787</v>
      </c>
      <c r="AY520" s="173">
        <f>IF(Segment!AR457=0, NA(), Segment!AR457)</f>
        <v>0.49721534033120091</v>
      </c>
      <c r="AZ520" s="173">
        <f>IF(Segment!AS457=0, NA(), Segment!AS457)</f>
        <v>0.59675891954108506</v>
      </c>
      <c r="BA520" s="173">
        <f>IF(Segment!AT457=0, NA(), Segment!AT457)</f>
        <v>0.702234918905006</v>
      </c>
      <c r="BB520" s="173">
        <f>IF(Segment!AU457=0, NA(), Segment!AU457)</f>
        <v>0.17527062307398517</v>
      </c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</row>
    <row r="521" spans="1:97">
      <c r="A521" s="303" t="s">
        <v>325</v>
      </c>
      <c r="B521" s="245"/>
      <c r="C521" s="245"/>
      <c r="D521" s="245"/>
      <c r="E521" s="245"/>
      <c r="F521" s="245"/>
      <c r="G521" s="245"/>
      <c r="H521" s="245"/>
      <c r="I521" s="245"/>
      <c r="J521" s="245" t="e">
        <f>NA()</f>
        <v>#N/A</v>
      </c>
      <c r="K521" s="245" t="e">
        <f>NA()</f>
        <v>#N/A</v>
      </c>
      <c r="L521" s="245" t="e">
        <f>NA()</f>
        <v>#N/A</v>
      </c>
      <c r="M521" s="245" t="e">
        <f>NA()</f>
        <v>#N/A</v>
      </c>
      <c r="N521" s="245" t="e">
        <f>NA()</f>
        <v>#N/A</v>
      </c>
      <c r="O521" s="245" t="e">
        <f>NA()</f>
        <v>#N/A</v>
      </c>
      <c r="P521" s="245" t="e">
        <f>NA()</f>
        <v>#N/A</v>
      </c>
      <c r="Q521" s="245" t="e">
        <f>NA()</f>
        <v>#N/A</v>
      </c>
      <c r="R521" s="245" t="e">
        <f>NA()</f>
        <v>#N/A</v>
      </c>
      <c r="S521" s="245" t="e">
        <f>NA()</f>
        <v>#N/A</v>
      </c>
      <c r="T521" s="245" t="e">
        <f>NA()</f>
        <v>#N/A</v>
      </c>
      <c r="U521" s="245" t="e">
        <f>NA()</f>
        <v>#N/A</v>
      </c>
      <c r="V521" s="245" t="e">
        <f>NA()</f>
        <v>#N/A</v>
      </c>
      <c r="W521" s="245" t="e">
        <f>NA()</f>
        <v>#N/A</v>
      </c>
      <c r="X521" s="245" t="e">
        <f>NA()</f>
        <v>#N/A</v>
      </c>
      <c r="Y521" s="245" t="e">
        <f>NA()</f>
        <v>#N/A</v>
      </c>
      <c r="Z521" s="245" t="e">
        <f>NA()</f>
        <v>#N/A</v>
      </c>
      <c r="AA521" s="245" t="e">
        <f>NA()</f>
        <v>#N/A</v>
      </c>
      <c r="AB521" s="245" t="e">
        <f>NA()</f>
        <v>#N/A</v>
      </c>
      <c r="AC521" s="245" t="e">
        <f>NA()</f>
        <v>#N/A</v>
      </c>
      <c r="AD521" s="245" t="e">
        <f>NA()</f>
        <v>#N/A</v>
      </c>
      <c r="AE521" s="245" t="e">
        <f>NA()</f>
        <v>#N/A</v>
      </c>
      <c r="AF521" s="245" t="e">
        <f>NA()</f>
        <v>#N/A</v>
      </c>
      <c r="AG521" s="245" t="e">
        <f>NA()</f>
        <v>#N/A</v>
      </c>
      <c r="AH521" s="245" t="e">
        <f>NA()</f>
        <v>#N/A</v>
      </c>
      <c r="AI521" s="245" t="e">
        <f>NA()</f>
        <v>#N/A</v>
      </c>
      <c r="AJ521" s="245" t="e">
        <f>NA()</f>
        <v>#N/A</v>
      </c>
      <c r="AK521" s="245" t="e">
        <f>NA()</f>
        <v>#N/A</v>
      </c>
      <c r="AL521" s="173">
        <f>Segment!AE458</f>
        <v>0.20025027065787435</v>
      </c>
      <c r="AM521" s="173">
        <f>Segment!AF458</f>
        <v>0.20737807051913351</v>
      </c>
      <c r="AN521" s="173">
        <f>Segment!AG458</f>
        <v>0.21213428391465763</v>
      </c>
      <c r="AO521" s="173">
        <f>Segment!AH458</f>
        <v>0.22134271404835723</v>
      </c>
      <c r="AP521" s="173">
        <f>Segment!AI458</f>
        <v>0.19953949376018004</v>
      </c>
      <c r="AQ521" s="173">
        <f>Segment!AJ458</f>
        <v>0.2099686178119704</v>
      </c>
      <c r="AR521" s="173">
        <f>Segment!AK458</f>
        <v>0.19942046827248039</v>
      </c>
      <c r="AS521" s="173">
        <f>Segment!AL458</f>
        <v>0.22563464370731581</v>
      </c>
      <c r="AT521" s="173">
        <f>Segment!AM458</f>
        <v>0.19819736070791477</v>
      </c>
      <c r="AU521" s="173">
        <f>Segment!AN458</f>
        <v>0.2057302860057138</v>
      </c>
      <c r="AV521" s="173">
        <f>IF(Segment!AO458=0, NA(), Segment!AO458)</f>
        <v>0.19515804109149254</v>
      </c>
      <c r="AW521" s="173">
        <f>IF(Segment!AP458=0, NA(), Segment!AP458)</f>
        <v>0.20030992688808871</v>
      </c>
      <c r="AX521" s="173">
        <f>IF(Segment!AQ458=0, NA(), Segment!AQ458)</f>
        <v>0.17749420258647763</v>
      </c>
      <c r="AY521" s="173">
        <f>IF(Segment!AR458=0, NA(), Segment!AR458)</f>
        <v>0.19560322092389323</v>
      </c>
      <c r="AZ521" s="173">
        <f>IF(Segment!AS458=0, NA(), Segment!AS458)</f>
        <v>0.18736417391342752</v>
      </c>
      <c r="BA521" s="173">
        <f>IF(Segment!AT458=0, NA(), Segment!AT458)</f>
        <v>0.20899114058165541</v>
      </c>
      <c r="BB521" s="173">
        <f>IF(Segment!AU458=0, NA(), Segment!AU458)</f>
        <v>0.14431945570004021</v>
      </c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</row>
    <row r="522" spans="1:97">
      <c r="A522" s="303"/>
      <c r="B522" s="245"/>
      <c r="C522" s="245"/>
      <c r="D522" s="245"/>
      <c r="E522" s="245"/>
      <c r="F522" s="245"/>
      <c r="G522" s="245"/>
      <c r="H522" s="245"/>
      <c r="I522" s="245"/>
      <c r="J522" s="245"/>
      <c r="K522" s="245"/>
      <c r="L522" s="245"/>
      <c r="M522" s="245"/>
      <c r="N522" s="245"/>
      <c r="O522" s="245"/>
      <c r="P522" s="245"/>
      <c r="Q522" s="245"/>
      <c r="R522" s="245"/>
      <c r="S522" s="452"/>
      <c r="T522" s="452"/>
      <c r="U522" s="452"/>
      <c r="V522" s="452"/>
      <c r="W522" s="452"/>
      <c r="X522" s="452"/>
      <c r="Y522" s="452"/>
      <c r="Z522" s="452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</row>
    <row r="523" spans="1:97">
      <c r="A523" s="242" t="s">
        <v>1137</v>
      </c>
      <c r="B523" s="595"/>
      <c r="C523" s="595"/>
      <c r="D523" s="595"/>
      <c r="E523" s="595"/>
      <c r="F523" s="595"/>
      <c r="G523" s="595"/>
      <c r="H523" s="595"/>
      <c r="I523" s="595"/>
      <c r="J523" s="595" t="str">
        <f t="shared" ref="J523:BB523" si="333">J$453</f>
        <v>1Q09</v>
      </c>
      <c r="K523" s="595" t="str">
        <f t="shared" si="333"/>
        <v>2Q09</v>
      </c>
      <c r="L523" s="595" t="str">
        <f t="shared" si="333"/>
        <v>3Q09</v>
      </c>
      <c r="M523" s="595" t="str">
        <f t="shared" si="333"/>
        <v>4Q09</v>
      </c>
      <c r="N523" s="595" t="str">
        <f t="shared" si="333"/>
        <v>1Q10</v>
      </c>
      <c r="O523" s="595" t="str">
        <f t="shared" si="333"/>
        <v>2Q10</v>
      </c>
      <c r="P523" s="595" t="str">
        <f t="shared" si="333"/>
        <v>3Q10</v>
      </c>
      <c r="Q523" s="595" t="str">
        <f t="shared" si="333"/>
        <v>4Q10</v>
      </c>
      <c r="R523" s="595" t="str">
        <f t="shared" si="333"/>
        <v>1Q11</v>
      </c>
      <c r="S523" s="595" t="str">
        <f t="shared" si="333"/>
        <v>2Q11</v>
      </c>
      <c r="T523" s="595" t="str">
        <f t="shared" si="333"/>
        <v>3Q11</v>
      </c>
      <c r="U523" s="595" t="str">
        <f t="shared" si="333"/>
        <v>4Q11</v>
      </c>
      <c r="V523" s="595" t="str">
        <f t="shared" si="333"/>
        <v>1Q12</v>
      </c>
      <c r="W523" s="595" t="str">
        <f t="shared" si="333"/>
        <v>2Q12</v>
      </c>
      <c r="X523" s="595" t="str">
        <f t="shared" si="333"/>
        <v>3Q12</v>
      </c>
      <c r="Y523" s="595" t="str">
        <f t="shared" si="333"/>
        <v>4Q12</v>
      </c>
      <c r="Z523" s="595" t="str">
        <f t="shared" si="333"/>
        <v>1Q13</v>
      </c>
      <c r="AA523" s="595" t="str">
        <f t="shared" si="333"/>
        <v>2Q13</v>
      </c>
      <c r="AB523" s="595" t="str">
        <f t="shared" si="333"/>
        <v>3Q13</v>
      </c>
      <c r="AC523" s="595" t="str">
        <f t="shared" si="333"/>
        <v>4Q13</v>
      </c>
      <c r="AD523" s="595" t="str">
        <f t="shared" si="333"/>
        <v>1Q14</v>
      </c>
      <c r="AE523" s="595" t="str">
        <f t="shared" si="333"/>
        <v>2Q14</v>
      </c>
      <c r="AF523" s="595" t="str">
        <f t="shared" si="333"/>
        <v>3Q14</v>
      </c>
      <c r="AG523" s="595" t="str">
        <f t="shared" si="333"/>
        <v>4Q14</v>
      </c>
      <c r="AH523" s="595" t="str">
        <f t="shared" si="333"/>
        <v>1Q15</v>
      </c>
      <c r="AI523" s="595" t="str">
        <f t="shared" si="333"/>
        <v>2Q15</v>
      </c>
      <c r="AJ523" s="595" t="str">
        <f t="shared" si="333"/>
        <v>3Q15</v>
      </c>
      <c r="AK523" s="595" t="str">
        <f t="shared" si="333"/>
        <v>4Q15</v>
      </c>
      <c r="AL523" s="595" t="str">
        <f t="shared" si="333"/>
        <v>1Q16</v>
      </c>
      <c r="AM523" s="595" t="str">
        <f t="shared" si="333"/>
        <v>2Q16</v>
      </c>
      <c r="AN523" s="595" t="str">
        <f t="shared" si="333"/>
        <v>3Q16</v>
      </c>
      <c r="AO523" s="595" t="str">
        <f t="shared" si="333"/>
        <v>4Q16</v>
      </c>
      <c r="AP523" s="595" t="str">
        <f t="shared" si="333"/>
        <v>1Q17</v>
      </c>
      <c r="AQ523" s="595" t="str">
        <f t="shared" si="333"/>
        <v>2Q17</v>
      </c>
      <c r="AR523" s="595" t="str">
        <f t="shared" si="333"/>
        <v>3Q17</v>
      </c>
      <c r="AS523" s="595" t="str">
        <f t="shared" si="333"/>
        <v>4Q17</v>
      </c>
      <c r="AT523" s="595" t="str">
        <f t="shared" si="333"/>
        <v>1Q18</v>
      </c>
      <c r="AU523" s="595" t="str">
        <f t="shared" si="333"/>
        <v>2Q18</v>
      </c>
      <c r="AV523" s="595" t="str">
        <f t="shared" si="333"/>
        <v>3Q18</v>
      </c>
      <c r="AW523" s="595" t="str">
        <f t="shared" si="333"/>
        <v>4Q18</v>
      </c>
      <c r="AX523" s="595" t="str">
        <f t="shared" si="333"/>
        <v>1Q19</v>
      </c>
      <c r="AY523" s="595" t="str">
        <f t="shared" si="333"/>
        <v>2Q19</v>
      </c>
      <c r="AZ523" s="595" t="str">
        <f t="shared" si="333"/>
        <v>3Q19</v>
      </c>
      <c r="BA523" s="595" t="str">
        <f t="shared" si="333"/>
        <v>4Q19</v>
      </c>
      <c r="BB523" s="595" t="str">
        <f t="shared" si="333"/>
        <v>1Q20</v>
      </c>
      <c r="BC523" s="596"/>
      <c r="BD523" s="596"/>
      <c r="BE523" s="596"/>
      <c r="BF523" s="596"/>
      <c r="BG523" s="596"/>
      <c r="BH523" s="596"/>
      <c r="BI523" s="596"/>
      <c r="BJ523" s="596"/>
      <c r="BK523" s="596"/>
      <c r="BL523" s="596"/>
      <c r="BM523" s="596"/>
      <c r="BN523" s="596"/>
      <c r="BO523" s="596"/>
      <c r="BP523" s="596"/>
      <c r="BQ523" s="596"/>
      <c r="BR523" s="596"/>
      <c r="BS523" s="596"/>
      <c r="BT523" s="596"/>
      <c r="BU523" s="596"/>
      <c r="BV523" s="596"/>
      <c r="BW523" s="596"/>
      <c r="BX523" s="596"/>
      <c r="BY523" s="596"/>
      <c r="BZ523" s="596"/>
      <c r="CA523" s="596"/>
      <c r="CB523" s="596"/>
      <c r="CC523" s="596"/>
      <c r="CD523" s="596"/>
      <c r="CE523" s="596"/>
      <c r="CF523" s="596"/>
      <c r="CG523" s="596"/>
      <c r="CH523" s="596"/>
      <c r="CI523" s="596"/>
      <c r="CJ523" s="596"/>
      <c r="CK523" s="596"/>
      <c r="CL523" s="596"/>
      <c r="CM523" s="596"/>
      <c r="CN523" s="596"/>
      <c r="CO523" s="596"/>
      <c r="CP523" s="596"/>
      <c r="CQ523" s="596"/>
      <c r="CR523" s="596"/>
      <c r="CS523" s="596"/>
    </row>
    <row r="524" spans="1:97">
      <c r="A524" s="303" t="str">
        <f>A508</f>
        <v>QSR</v>
      </c>
      <c r="B524" s="245"/>
      <c r="C524" s="245"/>
      <c r="D524" s="245"/>
      <c r="E524" s="245"/>
      <c r="F524" s="245"/>
      <c r="G524" s="245"/>
      <c r="H524" s="245"/>
      <c r="I524" s="245"/>
      <c r="J524" s="245" t="e">
        <f>NA()</f>
        <v>#N/A</v>
      </c>
      <c r="K524" s="245" t="e">
        <f>NA()</f>
        <v>#N/A</v>
      </c>
      <c r="L524" s="245" t="e">
        <f>NA()</f>
        <v>#N/A</v>
      </c>
      <c r="M524" s="245" t="e">
        <f>NA()</f>
        <v>#N/A</v>
      </c>
      <c r="N524" s="245" t="e">
        <f>NA()</f>
        <v>#N/A</v>
      </c>
      <c r="O524" s="245" t="e">
        <f>NA()</f>
        <v>#N/A</v>
      </c>
      <c r="P524" s="245" t="e">
        <f>NA()</f>
        <v>#N/A</v>
      </c>
      <c r="Q524" s="245" t="e">
        <f>NA()</f>
        <v>#N/A</v>
      </c>
      <c r="R524" s="245" t="e">
        <f>NA()</f>
        <v>#N/A</v>
      </c>
      <c r="S524" s="245" t="e">
        <f>NA()</f>
        <v>#N/A</v>
      </c>
      <c r="T524" s="245" t="e">
        <f>NA()</f>
        <v>#N/A</v>
      </c>
      <c r="U524" s="245" t="e">
        <f>NA()</f>
        <v>#N/A</v>
      </c>
      <c r="V524" s="245" t="e">
        <f>NA()</f>
        <v>#N/A</v>
      </c>
      <c r="W524" s="245" t="e">
        <f>NA()</f>
        <v>#N/A</v>
      </c>
      <c r="X524" s="245" t="e">
        <f>NA()</f>
        <v>#N/A</v>
      </c>
      <c r="Y524" s="245" t="e">
        <f>NA()</f>
        <v>#N/A</v>
      </c>
      <c r="Z524" s="245" t="e">
        <f>NA()</f>
        <v>#N/A</v>
      </c>
      <c r="AA524" s="245" t="e">
        <f>NA()</f>
        <v>#N/A</v>
      </c>
      <c r="AB524" s="245" t="e">
        <f>NA()</f>
        <v>#N/A</v>
      </c>
      <c r="AC524" s="245" t="e">
        <f>NA()</f>
        <v>#N/A</v>
      </c>
      <c r="AD524" s="245" t="e">
        <f>NA()</f>
        <v>#N/A</v>
      </c>
      <c r="AE524" s="245" t="e">
        <f>NA()</f>
        <v>#N/A</v>
      </c>
      <c r="AF524" s="245" t="e">
        <f>NA()</f>
        <v>#N/A</v>
      </c>
      <c r="AG524" s="245" t="e">
        <f>NA()</f>
        <v>#N/A</v>
      </c>
      <c r="AH524" s="245" t="e">
        <f>NA()</f>
        <v>#N/A</v>
      </c>
      <c r="AI524" s="245" t="e">
        <f>NA()</f>
        <v>#N/A</v>
      </c>
      <c r="AJ524" s="245" t="e">
        <f>NA()</f>
        <v>#N/A</v>
      </c>
      <c r="AK524" s="245" t="e">
        <f>NA()</f>
        <v>#N/A</v>
      </c>
      <c r="AL524" s="245" t="e">
        <f>NA()</f>
        <v>#N/A</v>
      </c>
      <c r="AM524" s="173">
        <f t="shared" ref="AM524:BB524" si="334">AM508/AL508-1</f>
        <v>0.1424653713860744</v>
      </c>
      <c r="AN524" s="173">
        <f t="shared" si="334"/>
        <v>0.15271166442898387</v>
      </c>
      <c r="AO524" s="173">
        <f t="shared" si="334"/>
        <v>0.1402453013323921</v>
      </c>
      <c r="AP524" s="173">
        <f t="shared" si="334"/>
        <v>-6.2047297715594696E-2</v>
      </c>
      <c r="AQ524" s="173">
        <f t="shared" si="334"/>
        <v>4.9981024041714006E-2</v>
      </c>
      <c r="AR524" s="173">
        <f t="shared" si="334"/>
        <v>-2.0304249434246913E-2</v>
      </c>
      <c r="AS524" s="173">
        <f t="shared" si="334"/>
        <v>0.25709015078601238</v>
      </c>
      <c r="AT524" s="173">
        <f t="shared" si="334"/>
        <v>-0.12446565518649444</v>
      </c>
      <c r="AU524" s="173">
        <f t="shared" si="334"/>
        <v>4.8081267398306426E-2</v>
      </c>
      <c r="AV524" s="173">
        <f t="shared" si="334"/>
        <v>-5.7389587273334097E-2</v>
      </c>
      <c r="AW524" s="173">
        <f t="shared" si="334"/>
        <v>0.14922180423397502</v>
      </c>
      <c r="AX524" s="173">
        <f t="shared" si="334"/>
        <v>-0.22266758637589779</v>
      </c>
      <c r="AY524" s="173">
        <f t="shared" si="334"/>
        <v>-1.5939358470173026E-2</v>
      </c>
      <c r="AZ524" s="173">
        <f t="shared" si="334"/>
        <v>9.6921224835638142E-2</v>
      </c>
      <c r="BA524" s="173">
        <f t="shared" si="334"/>
        <v>4.7665234900031717E-3</v>
      </c>
      <c r="BB524" s="173">
        <f t="shared" si="334"/>
        <v>-0.45129118703940552</v>
      </c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</row>
    <row r="525" spans="1:97">
      <c r="A525" s="303" t="str">
        <f>A509</f>
        <v>Coffee Shops</v>
      </c>
      <c r="B525" s="245"/>
      <c r="C525" s="245"/>
      <c r="D525" s="245"/>
      <c r="E525" s="245"/>
      <c r="F525" s="245"/>
      <c r="G525" s="245"/>
      <c r="H525" s="245"/>
      <c r="I525" s="245"/>
      <c r="J525" s="245" t="e">
        <f>NA()</f>
        <v>#N/A</v>
      </c>
      <c r="K525" s="245" t="e">
        <f>NA()</f>
        <v>#N/A</v>
      </c>
      <c r="L525" s="245" t="e">
        <f>NA()</f>
        <v>#N/A</v>
      </c>
      <c r="M525" s="245" t="e">
        <f>NA()</f>
        <v>#N/A</v>
      </c>
      <c r="N525" s="245" t="e">
        <f>NA()</f>
        <v>#N/A</v>
      </c>
      <c r="O525" s="245" t="e">
        <f>NA()</f>
        <v>#N/A</v>
      </c>
      <c r="P525" s="245" t="e">
        <f>NA()</f>
        <v>#N/A</v>
      </c>
      <c r="Q525" s="245" t="e">
        <f>NA()</f>
        <v>#N/A</v>
      </c>
      <c r="R525" s="245" t="e">
        <f>NA()</f>
        <v>#N/A</v>
      </c>
      <c r="S525" s="245" t="e">
        <f>NA()</f>
        <v>#N/A</v>
      </c>
      <c r="T525" s="245" t="e">
        <f>NA()</f>
        <v>#N/A</v>
      </c>
      <c r="U525" s="245" t="e">
        <f>NA()</f>
        <v>#N/A</v>
      </c>
      <c r="V525" s="245" t="e">
        <f>NA()</f>
        <v>#N/A</v>
      </c>
      <c r="W525" s="245" t="e">
        <f>NA()</f>
        <v>#N/A</v>
      </c>
      <c r="X525" s="245" t="e">
        <f>NA()</f>
        <v>#N/A</v>
      </c>
      <c r="Y525" s="245" t="e">
        <f>NA()</f>
        <v>#N/A</v>
      </c>
      <c r="Z525" s="245" t="e">
        <f>NA()</f>
        <v>#N/A</v>
      </c>
      <c r="AA525" s="245" t="e">
        <f>NA()</f>
        <v>#N/A</v>
      </c>
      <c r="AB525" s="245" t="e">
        <f>NA()</f>
        <v>#N/A</v>
      </c>
      <c r="AC525" s="245" t="e">
        <f>NA()</f>
        <v>#N/A</v>
      </c>
      <c r="AD525" s="245" t="e">
        <f>NA()</f>
        <v>#N/A</v>
      </c>
      <c r="AE525" s="245" t="e">
        <f>NA()</f>
        <v>#N/A</v>
      </c>
      <c r="AF525" s="245" t="e">
        <f>NA()</f>
        <v>#N/A</v>
      </c>
      <c r="AG525" s="245" t="e">
        <f>NA()</f>
        <v>#N/A</v>
      </c>
      <c r="AH525" s="245" t="e">
        <f>NA()</f>
        <v>#N/A</v>
      </c>
      <c r="AI525" s="245" t="e">
        <f>NA()</f>
        <v>#N/A</v>
      </c>
      <c r="AJ525" s="245" t="e">
        <f>NA()</f>
        <v>#N/A</v>
      </c>
      <c r="AK525" s="245" t="e">
        <f>NA()</f>
        <v>#N/A</v>
      </c>
      <c r="AL525" s="245" t="e">
        <f>NA()</f>
        <v>#N/A</v>
      </c>
      <c r="AM525" s="173">
        <f t="shared" ref="AM525:BB525" si="335">AM509/AL509-1</f>
        <v>0.1562383525903841</v>
      </c>
      <c r="AN525" s="173">
        <f t="shared" si="335"/>
        <v>0.11645008562506276</v>
      </c>
      <c r="AO525" s="173">
        <f t="shared" si="335"/>
        <v>-4.1721555535504828E-2</v>
      </c>
      <c r="AP525" s="173">
        <f t="shared" si="335"/>
        <v>-8.6134493343125507E-2</v>
      </c>
      <c r="AQ525" s="173">
        <f t="shared" si="335"/>
        <v>0.14578911578643683</v>
      </c>
      <c r="AR525" s="173">
        <f t="shared" si="335"/>
        <v>-4.2820660384144893E-2</v>
      </c>
      <c r="AS525" s="173">
        <f t="shared" si="335"/>
        <v>0.14039043270766394</v>
      </c>
      <c r="AT525" s="173">
        <f t="shared" si="335"/>
        <v>-0.11895543290221611</v>
      </c>
      <c r="AU525" s="173">
        <f t="shared" si="335"/>
        <v>0.14399251986909767</v>
      </c>
      <c r="AV525" s="173">
        <f t="shared" si="335"/>
        <v>-6.4568859828361247E-2</v>
      </c>
      <c r="AW525" s="173">
        <f t="shared" si="335"/>
        <v>3.0458715596330288E-2</v>
      </c>
      <c r="AX525" s="173">
        <f t="shared" si="335"/>
        <v>0.10242917277713026</v>
      </c>
      <c r="AY525" s="173">
        <f t="shared" si="335"/>
        <v>0.29800860798868078</v>
      </c>
      <c r="AZ525" s="173">
        <f t="shared" si="335"/>
        <v>-5.4354096687586617E-3</v>
      </c>
      <c r="BA525" s="173">
        <f t="shared" si="335"/>
        <v>7.3325460486615146E-2</v>
      </c>
      <c r="BB525" s="173">
        <f t="shared" si="335"/>
        <v>-0.26465429193125811</v>
      </c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</row>
    <row r="526" spans="1:97">
      <c r="A526" s="303" t="str">
        <f>A510</f>
        <v>Casual Dining</v>
      </c>
      <c r="B526" s="245"/>
      <c r="C526" s="245"/>
      <c r="D526" s="245"/>
      <c r="E526" s="245"/>
      <c r="F526" s="245"/>
      <c r="G526" s="245"/>
      <c r="H526" s="245"/>
      <c r="I526" s="245"/>
      <c r="J526" s="245" t="e">
        <f>NA()</f>
        <v>#N/A</v>
      </c>
      <c r="K526" s="245" t="e">
        <f>NA()</f>
        <v>#N/A</v>
      </c>
      <c r="L526" s="245" t="e">
        <f>NA()</f>
        <v>#N/A</v>
      </c>
      <c r="M526" s="245" t="e">
        <f>NA()</f>
        <v>#N/A</v>
      </c>
      <c r="N526" s="245" t="e">
        <f>NA()</f>
        <v>#N/A</v>
      </c>
      <c r="O526" s="245" t="e">
        <f>NA()</f>
        <v>#N/A</v>
      </c>
      <c r="P526" s="245" t="e">
        <f>NA()</f>
        <v>#N/A</v>
      </c>
      <c r="Q526" s="245" t="e">
        <f>NA()</f>
        <v>#N/A</v>
      </c>
      <c r="R526" s="245" t="e">
        <f>NA()</f>
        <v>#N/A</v>
      </c>
      <c r="S526" s="245" t="e">
        <f>NA()</f>
        <v>#N/A</v>
      </c>
      <c r="T526" s="245" t="e">
        <f>NA()</f>
        <v>#N/A</v>
      </c>
      <c r="U526" s="245" t="e">
        <f>NA()</f>
        <v>#N/A</v>
      </c>
      <c r="V526" s="245" t="e">
        <f>NA()</f>
        <v>#N/A</v>
      </c>
      <c r="W526" s="245" t="e">
        <f>NA()</f>
        <v>#N/A</v>
      </c>
      <c r="X526" s="245" t="e">
        <f>NA()</f>
        <v>#N/A</v>
      </c>
      <c r="Y526" s="245" t="e">
        <f>NA()</f>
        <v>#N/A</v>
      </c>
      <c r="Z526" s="245" t="e">
        <f>NA()</f>
        <v>#N/A</v>
      </c>
      <c r="AA526" s="245" t="e">
        <f>NA()</f>
        <v>#N/A</v>
      </c>
      <c r="AB526" s="245" t="e">
        <f>NA()</f>
        <v>#N/A</v>
      </c>
      <c r="AC526" s="245" t="e">
        <f>NA()</f>
        <v>#N/A</v>
      </c>
      <c r="AD526" s="245" t="e">
        <f>NA()</f>
        <v>#N/A</v>
      </c>
      <c r="AE526" s="245" t="e">
        <f>NA()</f>
        <v>#N/A</v>
      </c>
      <c r="AF526" s="245" t="e">
        <f>NA()</f>
        <v>#N/A</v>
      </c>
      <c r="AG526" s="245" t="e">
        <f>NA()</f>
        <v>#N/A</v>
      </c>
      <c r="AH526" s="245" t="e">
        <f>NA()</f>
        <v>#N/A</v>
      </c>
      <c r="AI526" s="245" t="e">
        <f>NA()</f>
        <v>#N/A</v>
      </c>
      <c r="AJ526" s="245" t="e">
        <f>NA()</f>
        <v>#N/A</v>
      </c>
      <c r="AK526" s="245" t="e">
        <f>NA()</f>
        <v>#N/A</v>
      </c>
      <c r="AL526" s="245" t="e">
        <f>NA()</f>
        <v>#N/A</v>
      </c>
      <c r="AM526" s="173">
        <f t="shared" ref="AM526:BB526" si="336">AM510/AL510-1</f>
        <v>3.7347875412541365E-2</v>
      </c>
      <c r="AN526" s="173">
        <f t="shared" si="336"/>
        <v>-7.3178814805608949E-2</v>
      </c>
      <c r="AO526" s="173">
        <f t="shared" si="336"/>
        <v>0.37808966164573365</v>
      </c>
      <c r="AP526" s="173">
        <f t="shared" si="336"/>
        <v>-0.2317073170731706</v>
      </c>
      <c r="AQ526" s="173">
        <f t="shared" si="336"/>
        <v>5.4457953394123626E-2</v>
      </c>
      <c r="AR526" s="173">
        <f t="shared" si="336"/>
        <v>-9.0019216910881772E-2</v>
      </c>
      <c r="AS526" s="173">
        <f t="shared" si="336"/>
        <v>0.3959391979586</v>
      </c>
      <c r="AT526" s="173">
        <f t="shared" si="336"/>
        <v>-0.19471146269973838</v>
      </c>
      <c r="AU526" s="173">
        <f t="shared" si="336"/>
        <v>3.4910571014833192E-2</v>
      </c>
      <c r="AV526" s="173">
        <f t="shared" si="336"/>
        <v>-2.8287259388117714E-2</v>
      </c>
      <c r="AW526" s="173">
        <f t="shared" si="336"/>
        <v>0.10597392488811042</v>
      </c>
      <c r="AX526" s="173">
        <f t="shared" si="336"/>
        <v>8.6841535027141648E-2</v>
      </c>
      <c r="AY526" s="173">
        <f t="shared" si="336"/>
        <v>0.11426383931810147</v>
      </c>
      <c r="AZ526" s="173">
        <f t="shared" si="336"/>
        <v>-0.16779291525148532</v>
      </c>
      <c r="BA526" s="173">
        <f t="shared" si="336"/>
        <v>0.39072745188564451</v>
      </c>
      <c r="BB526" s="173">
        <f t="shared" si="336"/>
        <v>-0.60151640681880947</v>
      </c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</row>
    <row r="527" spans="1:97">
      <c r="A527" s="303" t="str">
        <f>A511</f>
        <v>Family Dining</v>
      </c>
      <c r="B527" s="245"/>
      <c r="C527" s="245"/>
      <c r="D527" s="245"/>
      <c r="E527" s="245"/>
      <c r="F527" s="245"/>
      <c r="G527" s="245"/>
      <c r="H527" s="245"/>
      <c r="I527" s="245"/>
      <c r="J527" s="245" t="e">
        <f>NA()</f>
        <v>#N/A</v>
      </c>
      <c r="K527" s="245" t="e">
        <f>NA()</f>
        <v>#N/A</v>
      </c>
      <c r="L527" s="245" t="e">
        <f>NA()</f>
        <v>#N/A</v>
      </c>
      <c r="M527" s="245" t="e">
        <f>NA()</f>
        <v>#N/A</v>
      </c>
      <c r="N527" s="245" t="e">
        <f>NA()</f>
        <v>#N/A</v>
      </c>
      <c r="O527" s="245" t="e">
        <f>NA()</f>
        <v>#N/A</v>
      </c>
      <c r="P527" s="245" t="e">
        <f>NA()</f>
        <v>#N/A</v>
      </c>
      <c r="Q527" s="245" t="e">
        <f>NA()</f>
        <v>#N/A</v>
      </c>
      <c r="R527" s="245" t="e">
        <f>NA()</f>
        <v>#N/A</v>
      </c>
      <c r="S527" s="245" t="e">
        <f>NA()</f>
        <v>#N/A</v>
      </c>
      <c r="T527" s="245" t="e">
        <f>NA()</f>
        <v>#N/A</v>
      </c>
      <c r="U527" s="245" t="e">
        <f>NA()</f>
        <v>#N/A</v>
      </c>
      <c r="V527" s="245" t="e">
        <f>NA()</f>
        <v>#N/A</v>
      </c>
      <c r="W527" s="245" t="e">
        <f>NA()</f>
        <v>#N/A</v>
      </c>
      <c r="X527" s="245" t="e">
        <f>NA()</f>
        <v>#N/A</v>
      </c>
      <c r="Y527" s="245" t="e">
        <f>NA()</f>
        <v>#N/A</v>
      </c>
      <c r="Z527" s="245" t="e">
        <f>NA()</f>
        <v>#N/A</v>
      </c>
      <c r="AA527" s="245" t="e">
        <f>NA()</f>
        <v>#N/A</v>
      </c>
      <c r="AB527" s="245" t="e">
        <f>NA()</f>
        <v>#N/A</v>
      </c>
      <c r="AC527" s="245" t="e">
        <f>NA()</f>
        <v>#N/A</v>
      </c>
      <c r="AD527" s="245" t="e">
        <f>NA()</f>
        <v>#N/A</v>
      </c>
      <c r="AE527" s="245" t="e">
        <f>NA()</f>
        <v>#N/A</v>
      </c>
      <c r="AF527" s="245" t="e">
        <f>NA()</f>
        <v>#N/A</v>
      </c>
      <c r="AG527" s="245" t="e">
        <f>NA()</f>
        <v>#N/A</v>
      </c>
      <c r="AH527" s="245" t="e">
        <f>NA()</f>
        <v>#N/A</v>
      </c>
      <c r="AI527" s="245" t="e">
        <f>NA()</f>
        <v>#N/A</v>
      </c>
      <c r="AJ527" s="245" t="e">
        <f>NA()</f>
        <v>#N/A</v>
      </c>
      <c r="AK527" s="245" t="e">
        <f>NA()</f>
        <v>#N/A</v>
      </c>
      <c r="AL527" s="245" t="e">
        <f>NA()</f>
        <v>#N/A</v>
      </c>
      <c r="AM527" s="173">
        <f t="shared" ref="AM527:BB527" si="337">AM511/AL511-1</f>
        <v>-5.1038737894407937E-2</v>
      </c>
      <c r="AN527" s="173">
        <f t="shared" si="337"/>
        <v>0.26731410230031694</v>
      </c>
      <c r="AO527" s="173">
        <f t="shared" si="337"/>
        <v>0.25632366788972938</v>
      </c>
      <c r="AP527" s="173">
        <f t="shared" si="337"/>
        <v>-0.25871649737665092</v>
      </c>
      <c r="AQ527" s="173">
        <f t="shared" si="337"/>
        <v>-1.5376032913775539E-2</v>
      </c>
      <c r="AR527" s="173">
        <f t="shared" si="337"/>
        <v>8.0736543909347702E-3</v>
      </c>
      <c r="AS527" s="173">
        <f t="shared" si="337"/>
        <v>0.39525080792468725</v>
      </c>
      <c r="AT527" s="173">
        <f t="shared" si="337"/>
        <v>-0.24395770392749239</v>
      </c>
      <c r="AU527" s="173">
        <f t="shared" si="337"/>
        <v>6.0839160839160744E-2</v>
      </c>
      <c r="AV527" s="173">
        <f t="shared" si="337"/>
        <v>-0.1948394387418777</v>
      </c>
      <c r="AW527" s="173">
        <f t="shared" si="337"/>
        <v>0.4293177387914231</v>
      </c>
      <c r="AX527" s="173">
        <f t="shared" si="337"/>
        <v>8.0411216888275794E-2</v>
      </c>
      <c r="AY527" s="173">
        <f t="shared" si="337"/>
        <v>0.2787415784496643</v>
      </c>
      <c r="AZ527" s="173">
        <f t="shared" si="337"/>
        <v>-0.23021474811379028</v>
      </c>
      <c r="BA527" s="173">
        <f t="shared" si="337"/>
        <v>0.65853676680916706</v>
      </c>
      <c r="BB527" s="173">
        <f t="shared" si="337"/>
        <v>-0.4693274776934141</v>
      </c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</row>
    <row r="528" spans="1:97">
      <c r="A528" s="303" t="str">
        <f>A512</f>
        <v>Distribution</v>
      </c>
      <c r="B528" s="245"/>
      <c r="C528" s="245"/>
      <c r="D528" s="245"/>
      <c r="E528" s="245"/>
      <c r="F528" s="245"/>
      <c r="G528" s="245"/>
      <c r="H528" s="245"/>
      <c r="I528" s="245"/>
      <c r="J528" s="245" t="e">
        <f>NA()</f>
        <v>#N/A</v>
      </c>
      <c r="K528" s="245" t="e">
        <f>NA()</f>
        <v>#N/A</v>
      </c>
      <c r="L528" s="245" t="e">
        <f>NA()</f>
        <v>#N/A</v>
      </c>
      <c r="M528" s="245" t="e">
        <f>NA()</f>
        <v>#N/A</v>
      </c>
      <c r="N528" s="245" t="e">
        <f>NA()</f>
        <v>#N/A</v>
      </c>
      <c r="O528" s="245" t="e">
        <f>NA()</f>
        <v>#N/A</v>
      </c>
      <c r="P528" s="245" t="e">
        <f>NA()</f>
        <v>#N/A</v>
      </c>
      <c r="Q528" s="245" t="e">
        <f>NA()</f>
        <v>#N/A</v>
      </c>
      <c r="R528" s="245" t="e">
        <f>NA()</f>
        <v>#N/A</v>
      </c>
      <c r="S528" s="245" t="e">
        <f>NA()</f>
        <v>#N/A</v>
      </c>
      <c r="T528" s="245" t="e">
        <f>NA()</f>
        <v>#N/A</v>
      </c>
      <c r="U528" s="245" t="e">
        <f>NA()</f>
        <v>#N/A</v>
      </c>
      <c r="V528" s="245" t="e">
        <f>NA()</f>
        <v>#N/A</v>
      </c>
      <c r="W528" s="245" t="e">
        <f>NA()</f>
        <v>#N/A</v>
      </c>
      <c r="X528" s="245" t="e">
        <f>NA()</f>
        <v>#N/A</v>
      </c>
      <c r="Y528" s="245" t="e">
        <f>NA()</f>
        <v>#N/A</v>
      </c>
      <c r="Z528" s="245" t="e">
        <f>NA()</f>
        <v>#N/A</v>
      </c>
      <c r="AA528" s="245" t="e">
        <f>NA()</f>
        <v>#N/A</v>
      </c>
      <c r="AB528" s="245" t="e">
        <f>NA()</f>
        <v>#N/A</v>
      </c>
      <c r="AC528" s="245" t="e">
        <f>NA()</f>
        <v>#N/A</v>
      </c>
      <c r="AD528" s="245" t="e">
        <f>NA()</f>
        <v>#N/A</v>
      </c>
      <c r="AE528" s="245" t="e">
        <f>NA()</f>
        <v>#N/A</v>
      </c>
      <c r="AF528" s="245" t="e">
        <f>NA()</f>
        <v>#N/A</v>
      </c>
      <c r="AG528" s="245" t="e">
        <f>NA()</f>
        <v>#N/A</v>
      </c>
      <c r="AH528" s="245" t="e">
        <f>NA()</f>
        <v>#N/A</v>
      </c>
      <c r="AI528" s="245" t="e">
        <f>NA()</f>
        <v>#N/A</v>
      </c>
      <c r="AJ528" s="245" t="e">
        <f>NA()</f>
        <v>#N/A</v>
      </c>
      <c r="AK528" s="245" t="e">
        <f>NA()</f>
        <v>#N/A</v>
      </c>
      <c r="AL528" s="245" t="e">
        <f>NA()</f>
        <v>#N/A</v>
      </c>
      <c r="AM528" s="173">
        <f t="shared" ref="AM528:BB528" si="338">AM512/AL512-1</f>
        <v>0.29857856919712611</v>
      </c>
      <c r="AN528" s="173">
        <f t="shared" si="338"/>
        <v>-3.3620015637216616E-2</v>
      </c>
      <c r="AO528" s="173">
        <f t="shared" si="338"/>
        <v>-0.10816529748568582</v>
      </c>
      <c r="AP528" s="173">
        <f t="shared" si="338"/>
        <v>0.13126308443824142</v>
      </c>
      <c r="AQ528" s="173">
        <f t="shared" si="338"/>
        <v>0.21941891308370853</v>
      </c>
      <c r="AR528" s="173">
        <f t="shared" si="338"/>
        <v>-1.8110076891946658E-2</v>
      </c>
      <c r="AS528" s="173">
        <f t="shared" si="338"/>
        <v>2.3183925811437467E-2</v>
      </c>
      <c r="AT528" s="173">
        <f t="shared" si="338"/>
        <v>-0.17522658610271913</v>
      </c>
      <c r="AU528" s="173">
        <f t="shared" si="338"/>
        <v>-7.3870573870573719E-2</v>
      </c>
      <c r="AV528" s="173">
        <f t="shared" si="338"/>
        <v>0.31509558338826626</v>
      </c>
      <c r="AW528" s="173">
        <f t="shared" si="338"/>
        <v>-0.12110275689223071</v>
      </c>
      <c r="AX528" s="173">
        <f t="shared" si="338"/>
        <v>-8.429337287555605E-2</v>
      </c>
      <c r="AY528" s="173">
        <f t="shared" si="338"/>
        <v>0.35457149975087199</v>
      </c>
      <c r="AZ528" s="173">
        <f t="shared" si="338"/>
        <v>0.19279047312520126</v>
      </c>
      <c r="BA528" s="173">
        <f t="shared" si="338"/>
        <v>-0.16664096831393116</v>
      </c>
      <c r="BB528" s="173">
        <f t="shared" si="338"/>
        <v>-0.70558305194504833</v>
      </c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</row>
    <row r="529" spans="1:97">
      <c r="A529" s="303" t="s">
        <v>325</v>
      </c>
      <c r="B529" s="245"/>
      <c r="C529" s="245"/>
      <c r="D529" s="245"/>
      <c r="E529" s="245"/>
      <c r="F529" s="245"/>
      <c r="G529" s="245"/>
      <c r="H529" s="245"/>
      <c r="I529" s="245"/>
      <c r="J529" s="245" t="e">
        <f>NA()</f>
        <v>#N/A</v>
      </c>
      <c r="K529" s="245" t="e">
        <f>NA()</f>
        <v>#N/A</v>
      </c>
      <c r="L529" s="245" t="e">
        <f>NA()</f>
        <v>#N/A</v>
      </c>
      <c r="M529" s="245" t="e">
        <f>NA()</f>
        <v>#N/A</v>
      </c>
      <c r="N529" s="245" t="e">
        <f>NA()</f>
        <v>#N/A</v>
      </c>
      <c r="O529" s="245" t="e">
        <f>NA()</f>
        <v>#N/A</v>
      </c>
      <c r="P529" s="245" t="e">
        <f>NA()</f>
        <v>#N/A</v>
      </c>
      <c r="Q529" s="245" t="e">
        <f>NA()</f>
        <v>#N/A</v>
      </c>
      <c r="R529" s="245" t="e">
        <f>NA()</f>
        <v>#N/A</v>
      </c>
      <c r="S529" s="245" t="e">
        <f>NA()</f>
        <v>#N/A</v>
      </c>
      <c r="T529" s="245" t="e">
        <f>NA()</f>
        <v>#N/A</v>
      </c>
      <c r="U529" s="245" t="e">
        <f>NA()</f>
        <v>#N/A</v>
      </c>
      <c r="V529" s="245" t="e">
        <f>NA()</f>
        <v>#N/A</v>
      </c>
      <c r="W529" s="245" t="e">
        <f>NA()</f>
        <v>#N/A</v>
      </c>
      <c r="X529" s="245" t="e">
        <f>NA()</f>
        <v>#N/A</v>
      </c>
      <c r="Y529" s="245" t="e">
        <f>NA()</f>
        <v>#N/A</v>
      </c>
      <c r="Z529" s="245" t="e">
        <f>NA()</f>
        <v>#N/A</v>
      </c>
      <c r="AA529" s="245" t="e">
        <f>NA()</f>
        <v>#N/A</v>
      </c>
      <c r="AB529" s="245" t="e">
        <f>NA()</f>
        <v>#N/A</v>
      </c>
      <c r="AC529" s="245" t="e">
        <f>NA()</f>
        <v>#N/A</v>
      </c>
      <c r="AD529" s="245" t="e">
        <f>NA()</f>
        <v>#N/A</v>
      </c>
      <c r="AE529" s="245" t="e">
        <f>NA()</f>
        <v>#N/A</v>
      </c>
      <c r="AF529" s="245" t="e">
        <f>NA()</f>
        <v>#N/A</v>
      </c>
      <c r="AG529" s="245" t="e">
        <f>NA()</f>
        <v>#N/A</v>
      </c>
      <c r="AH529" s="245" t="e">
        <f>NA()</f>
        <v>#N/A</v>
      </c>
      <c r="AI529" s="245" t="e">
        <f>NA()</f>
        <v>#N/A</v>
      </c>
      <c r="AJ529" s="245" t="e">
        <f>NA()</f>
        <v>#N/A</v>
      </c>
      <c r="AK529" s="245" t="e">
        <f>NA()</f>
        <v>#N/A</v>
      </c>
      <c r="AL529" s="245" t="e">
        <f>NA()</f>
        <v>#N/A</v>
      </c>
      <c r="AM529" s="173">
        <f t="shared" ref="AM529:BB529" si="339">AM513/AL513-1</f>
        <v>0.10000187234361269</v>
      </c>
      <c r="AN529" s="173">
        <f t="shared" si="339"/>
        <v>8.3462765957446949E-2</v>
      </c>
      <c r="AO529" s="173">
        <f t="shared" si="339"/>
        <v>0.14094388068201336</v>
      </c>
      <c r="AP529" s="173">
        <f t="shared" si="339"/>
        <v>-0.13339070567986233</v>
      </c>
      <c r="AQ529" s="173">
        <f t="shared" si="339"/>
        <v>7.8450844091360494E-2</v>
      </c>
      <c r="AR529" s="173">
        <f t="shared" si="339"/>
        <v>-3.8213627992633503E-2</v>
      </c>
      <c r="AS529" s="173">
        <f t="shared" si="339"/>
        <v>0.25466730493058876</v>
      </c>
      <c r="AT529" s="173">
        <f t="shared" si="339"/>
        <v>-0.16215185043876379</v>
      </c>
      <c r="AU529" s="173">
        <f t="shared" si="339"/>
        <v>6.1020036429872526E-2</v>
      </c>
      <c r="AV529" s="173">
        <f t="shared" si="339"/>
        <v>-4.7210300429184504E-2</v>
      </c>
      <c r="AW529" s="173">
        <f t="shared" si="339"/>
        <v>0.1166666666666667</v>
      </c>
      <c r="AX529" s="173">
        <f t="shared" si="339"/>
        <v>-1.9766034691407808E-2</v>
      </c>
      <c r="AY529" s="173">
        <f t="shared" si="339"/>
        <v>0.17366255144032916</v>
      </c>
      <c r="AZ529" s="173">
        <f t="shared" si="339"/>
        <v>-4.8036465638148673E-2</v>
      </c>
      <c r="BA529" s="173">
        <f t="shared" si="339"/>
        <v>0.18489871086556176</v>
      </c>
      <c r="BB529" s="173">
        <f t="shared" si="339"/>
        <v>-0.45694746658377372</v>
      </c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</row>
    <row r="530" spans="1:97">
      <c r="A530" s="244"/>
      <c r="B530" s="245"/>
      <c r="C530" s="245"/>
      <c r="D530" s="245"/>
      <c r="E530" s="245"/>
      <c r="F530" s="245"/>
      <c r="G530" s="245"/>
      <c r="H530" s="245"/>
      <c r="I530" s="245"/>
      <c r="J530" s="245"/>
      <c r="K530" s="245"/>
      <c r="L530" s="245"/>
      <c r="M530" s="245"/>
      <c r="N530" s="245"/>
      <c r="O530" s="245"/>
      <c r="P530" s="245"/>
      <c r="Q530" s="245"/>
      <c r="R530" s="245"/>
      <c r="S530" s="452"/>
      <c r="T530" s="452"/>
      <c r="U530" s="452"/>
      <c r="V530" s="452"/>
      <c r="W530" s="452"/>
      <c r="X530" s="452"/>
      <c r="Y530" s="452"/>
      <c r="Z530" s="452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</row>
    <row r="531" spans="1:97">
      <c r="A531" s="242" t="s">
        <v>597</v>
      </c>
      <c r="B531" s="595"/>
      <c r="C531" s="595"/>
      <c r="D531" s="595"/>
      <c r="E531" s="595"/>
      <c r="F531" s="595"/>
      <c r="G531" s="595"/>
      <c r="H531" s="595"/>
      <c r="I531" s="595"/>
      <c r="J531" s="595" t="str">
        <f t="shared" ref="J531:AO531" si="340">J$453</f>
        <v>1Q09</v>
      </c>
      <c r="K531" s="595" t="str">
        <f t="shared" si="340"/>
        <v>2Q09</v>
      </c>
      <c r="L531" s="595" t="str">
        <f t="shared" si="340"/>
        <v>3Q09</v>
      </c>
      <c r="M531" s="595" t="str">
        <f t="shared" si="340"/>
        <v>4Q09</v>
      </c>
      <c r="N531" s="595" t="str">
        <f t="shared" si="340"/>
        <v>1Q10</v>
      </c>
      <c r="O531" s="595" t="str">
        <f t="shared" si="340"/>
        <v>2Q10</v>
      </c>
      <c r="P531" s="595" t="str">
        <f t="shared" si="340"/>
        <v>3Q10</v>
      </c>
      <c r="Q531" s="595" t="str">
        <f t="shared" si="340"/>
        <v>4Q10</v>
      </c>
      <c r="R531" s="595" t="str">
        <f t="shared" si="340"/>
        <v>1Q11</v>
      </c>
      <c r="S531" s="595" t="str">
        <f t="shared" si="340"/>
        <v>2Q11</v>
      </c>
      <c r="T531" s="595" t="str">
        <f t="shared" si="340"/>
        <v>3Q11</v>
      </c>
      <c r="U531" s="595" t="str">
        <f t="shared" si="340"/>
        <v>4Q11</v>
      </c>
      <c r="V531" s="595" t="str">
        <f t="shared" si="340"/>
        <v>1Q12</v>
      </c>
      <c r="W531" s="595" t="str">
        <f t="shared" si="340"/>
        <v>2Q12</v>
      </c>
      <c r="X531" s="595" t="str">
        <f t="shared" si="340"/>
        <v>3Q12</v>
      </c>
      <c r="Y531" s="595" t="str">
        <f t="shared" si="340"/>
        <v>4Q12</v>
      </c>
      <c r="Z531" s="595" t="str">
        <f t="shared" si="340"/>
        <v>1Q13</v>
      </c>
      <c r="AA531" s="595" t="str">
        <f t="shared" si="340"/>
        <v>2Q13</v>
      </c>
      <c r="AB531" s="595" t="str">
        <f t="shared" si="340"/>
        <v>3Q13</v>
      </c>
      <c r="AC531" s="595" t="str">
        <f t="shared" si="340"/>
        <v>4Q13</v>
      </c>
      <c r="AD531" s="595" t="str">
        <f t="shared" si="340"/>
        <v>1Q14</v>
      </c>
      <c r="AE531" s="595" t="str">
        <f t="shared" si="340"/>
        <v>2Q14</v>
      </c>
      <c r="AF531" s="595" t="str">
        <f t="shared" si="340"/>
        <v>3Q14</v>
      </c>
      <c r="AG531" s="595" t="str">
        <f t="shared" si="340"/>
        <v>4Q14</v>
      </c>
      <c r="AH531" s="595" t="str">
        <f t="shared" si="340"/>
        <v>1Q15</v>
      </c>
      <c r="AI531" s="595" t="str">
        <f t="shared" si="340"/>
        <v>2Q15</v>
      </c>
      <c r="AJ531" s="595" t="str">
        <f t="shared" si="340"/>
        <v>3Q15</v>
      </c>
      <c r="AK531" s="595" t="str">
        <f t="shared" si="340"/>
        <v>4Q15</v>
      </c>
      <c r="AL531" s="595" t="str">
        <f t="shared" si="340"/>
        <v>1Q16</v>
      </c>
      <c r="AM531" s="595" t="str">
        <f t="shared" si="340"/>
        <v>2Q16</v>
      </c>
      <c r="AN531" s="595" t="str">
        <f t="shared" si="340"/>
        <v>3Q16</v>
      </c>
      <c r="AO531" s="595" t="str">
        <f t="shared" si="340"/>
        <v>4Q16</v>
      </c>
      <c r="AP531" s="595" t="str">
        <f t="shared" ref="AP531:CS531" si="341">AP$453</f>
        <v>1Q17</v>
      </c>
      <c r="AQ531" s="595" t="str">
        <f t="shared" si="341"/>
        <v>2Q17</v>
      </c>
      <c r="AR531" s="595" t="str">
        <f t="shared" si="341"/>
        <v>3Q17</v>
      </c>
      <c r="AS531" s="595" t="str">
        <f t="shared" si="341"/>
        <v>4Q17</v>
      </c>
      <c r="AT531" s="595" t="str">
        <f t="shared" si="341"/>
        <v>1Q18</v>
      </c>
      <c r="AU531" s="595" t="str">
        <f t="shared" si="341"/>
        <v>2Q18</v>
      </c>
      <c r="AV531" s="595" t="str">
        <f t="shared" si="341"/>
        <v>3Q18</v>
      </c>
      <c r="AW531" s="595" t="str">
        <f t="shared" si="341"/>
        <v>4Q18</v>
      </c>
      <c r="AX531" s="595" t="str">
        <f t="shared" si="341"/>
        <v>1Q19</v>
      </c>
      <c r="AY531" s="595" t="str">
        <f t="shared" si="341"/>
        <v>2Q19</v>
      </c>
      <c r="AZ531" s="595" t="str">
        <f t="shared" si="341"/>
        <v>3Q19</v>
      </c>
      <c r="BA531" s="595" t="str">
        <f t="shared" si="341"/>
        <v>4Q19</v>
      </c>
      <c r="BB531" s="595" t="str">
        <f t="shared" si="341"/>
        <v>1Q20</v>
      </c>
      <c r="BC531" s="595" t="str">
        <f t="shared" si="341"/>
        <v>2Q20</v>
      </c>
      <c r="BD531" s="595" t="str">
        <f t="shared" si="341"/>
        <v>3Q20</v>
      </c>
      <c r="BE531" s="595" t="str">
        <f t="shared" si="341"/>
        <v>4Q20</v>
      </c>
      <c r="BF531" s="595" t="str">
        <f t="shared" si="341"/>
        <v>1Q21</v>
      </c>
      <c r="BG531" s="595" t="str">
        <f t="shared" si="341"/>
        <v>2Q21</v>
      </c>
      <c r="BH531" s="595" t="str">
        <f t="shared" si="341"/>
        <v>3Q21</v>
      </c>
      <c r="BI531" s="595" t="str">
        <f t="shared" si="341"/>
        <v>4Q21</v>
      </c>
      <c r="BJ531" s="595" t="str">
        <f t="shared" si="341"/>
        <v>1Q22</v>
      </c>
      <c r="BK531" s="595" t="str">
        <f t="shared" si="341"/>
        <v>2Q22</v>
      </c>
      <c r="BL531" s="595" t="str">
        <f t="shared" si="341"/>
        <v>3Q22</v>
      </c>
      <c r="BM531" s="595" t="str">
        <f t="shared" si="341"/>
        <v>4Q22</v>
      </c>
      <c r="BN531" s="595" t="str">
        <f t="shared" si="341"/>
        <v>1Q23</v>
      </c>
      <c r="BO531" s="595" t="str">
        <f t="shared" si="341"/>
        <v>2Q23</v>
      </c>
      <c r="BP531" s="595" t="str">
        <f t="shared" si="341"/>
        <v>3Q23</v>
      </c>
      <c r="BQ531" s="595" t="str">
        <f t="shared" si="341"/>
        <v>4Q23</v>
      </c>
      <c r="BR531" s="596" t="str">
        <f t="shared" si="341"/>
        <v>1Q24</v>
      </c>
      <c r="BS531" s="596" t="str">
        <f t="shared" si="341"/>
        <v>2Q24e</v>
      </c>
      <c r="BT531" s="596" t="str">
        <f t="shared" si="341"/>
        <v>3Q24e</v>
      </c>
      <c r="BU531" s="596" t="str">
        <f t="shared" si="341"/>
        <v>4Q24e</v>
      </c>
      <c r="BV531" s="596" t="str">
        <f t="shared" si="341"/>
        <v>1Q25e</v>
      </c>
      <c r="BW531" s="596" t="str">
        <f t="shared" si="341"/>
        <v>2Q25e</v>
      </c>
      <c r="BX531" s="596" t="str">
        <f t="shared" si="341"/>
        <v>3Q25e</v>
      </c>
      <c r="BY531" s="596" t="str">
        <f t="shared" si="341"/>
        <v>4Q25e</v>
      </c>
      <c r="BZ531" s="596" t="str">
        <f t="shared" si="341"/>
        <v>1Q26e</v>
      </c>
      <c r="CA531" s="596" t="str">
        <f t="shared" si="341"/>
        <v>2Q26e</v>
      </c>
      <c r="CB531" s="596" t="str">
        <f t="shared" si="341"/>
        <v>3Q26e</v>
      </c>
      <c r="CC531" s="596" t="str">
        <f t="shared" si="341"/>
        <v>4Q26e</v>
      </c>
      <c r="CD531" s="596" t="str">
        <f t="shared" si="341"/>
        <v>1Q27e</v>
      </c>
      <c r="CE531" s="596" t="str">
        <f t="shared" si="341"/>
        <v>2Q27e</v>
      </c>
      <c r="CF531" s="596" t="str">
        <f t="shared" si="341"/>
        <v>3Q27e</v>
      </c>
      <c r="CG531" s="596" t="str">
        <f t="shared" si="341"/>
        <v>4Q27e</v>
      </c>
      <c r="CH531" s="596" t="str">
        <f t="shared" si="341"/>
        <v>1Q28e</v>
      </c>
      <c r="CI531" s="596" t="str">
        <f t="shared" si="341"/>
        <v>2Q28e</v>
      </c>
      <c r="CJ531" s="596" t="str">
        <f t="shared" si="341"/>
        <v>3Q28e</v>
      </c>
      <c r="CK531" s="596" t="str">
        <f t="shared" si="341"/>
        <v>4Q28e</v>
      </c>
      <c r="CL531" s="596" t="str">
        <f t="shared" si="341"/>
        <v>1Q29e</v>
      </c>
      <c r="CM531" s="596" t="str">
        <f t="shared" si="341"/>
        <v>2Q29e</v>
      </c>
      <c r="CN531" s="596" t="str">
        <f t="shared" si="341"/>
        <v>3Q29e</v>
      </c>
      <c r="CO531" s="596" t="str">
        <f t="shared" si="341"/>
        <v>4Q29e</v>
      </c>
      <c r="CP531" s="596" t="str">
        <f t="shared" si="341"/>
        <v>1Q30e</v>
      </c>
      <c r="CQ531" s="596" t="str">
        <f t="shared" si="341"/>
        <v>2Q30e</v>
      </c>
      <c r="CR531" s="596" t="str">
        <f t="shared" si="341"/>
        <v>3Q30e</v>
      </c>
      <c r="CS531" s="596" t="str">
        <f t="shared" si="341"/>
        <v>4Q30e</v>
      </c>
    </row>
    <row r="532" spans="1:97">
      <c r="A532" s="244" t="s">
        <v>618</v>
      </c>
      <c r="B532" s="246"/>
      <c r="C532" s="246"/>
      <c r="D532" s="246"/>
      <c r="E532" s="246"/>
      <c r="F532" s="246"/>
      <c r="G532" s="246"/>
      <c r="H532" s="246"/>
      <c r="I532" s="246"/>
      <c r="J532" s="246">
        <f>Q_Financials!B28</f>
        <v>8.3378796537407207E-2</v>
      </c>
      <c r="K532" s="246">
        <f>Q_Financials!C28</f>
        <v>9.1669750371853764E-2</v>
      </c>
      <c r="L532" s="246">
        <f>Q_Financials!D28</f>
        <v>0.11192384575718062</v>
      </c>
      <c r="M532" s="246">
        <f>Q_Financials!E28</f>
        <v>0.17277602695677685</v>
      </c>
      <c r="N532" s="246">
        <f>Q_Financials!F28</f>
        <v>0.10673923021941796</v>
      </c>
      <c r="O532" s="246">
        <f>Q_Financials!G28</f>
        <v>0.11701666128213412</v>
      </c>
      <c r="P532" s="246">
        <f>Q_Financials!H28</f>
        <v>0.10440827719595148</v>
      </c>
      <c r="Q532" s="246">
        <f>Q_Financials!I28</f>
        <v>0.11614744207951148</v>
      </c>
      <c r="R532" s="246">
        <f>Q_Financials!J28</f>
        <v>9.4858691624971236E-2</v>
      </c>
      <c r="S532" s="246">
        <f>Q_Financials!K28</f>
        <v>0.11974538639029461</v>
      </c>
      <c r="T532" s="246">
        <f>Q_Financials!L28</f>
        <v>0.10265026473753787</v>
      </c>
      <c r="U532" s="246">
        <f>Q_Financials!M28</f>
        <v>9.9638535175037249E-2</v>
      </c>
      <c r="V532" s="246">
        <f>Q_Financials!N28</f>
        <v>9.6303976167840574E-2</v>
      </c>
      <c r="W532" s="246">
        <f>Q_Financials!O28</f>
        <v>0.12583589517902172</v>
      </c>
      <c r="X532" s="246">
        <f>Q_Financials!P28</f>
        <v>0.11778148565633444</v>
      </c>
      <c r="Y532" s="246">
        <f>Q_Financials!Q28</f>
        <v>0.13203968529786983</v>
      </c>
      <c r="Z532" s="246">
        <f>Q_Financials!R28</f>
        <v>0.10988376301141659</v>
      </c>
      <c r="AA532" s="246">
        <f>Q_Financials!S28</f>
        <v>0.13217908997659286</v>
      </c>
      <c r="AB532" s="246">
        <f>Q_Financials!T28</f>
        <v>0.13373013180427598</v>
      </c>
      <c r="AC532" s="246">
        <f>Q_Financials!U28</f>
        <v>0.20675813447032171</v>
      </c>
      <c r="AD532" s="246">
        <f>Q_Financials!V28</f>
        <v>0.19062954342095112</v>
      </c>
      <c r="AE532" s="246">
        <f>Q_Financials!W28</f>
        <v>0.2077517341792538</v>
      </c>
      <c r="AF532" s="246">
        <f>Q_Financials!X28</f>
        <v>0.21591381267836787</v>
      </c>
      <c r="AG532" s="246">
        <f>Q_Financials!Y28</f>
        <v>0.24229636730054266</v>
      </c>
      <c r="AH532" s="246">
        <f>Q_Financials!Z28</f>
        <v>0.19294047548049259</v>
      </c>
      <c r="AI532" s="246">
        <f>Q_Financials!AA28</f>
        <v>0.20497447674821584</v>
      </c>
      <c r="AJ532" s="246">
        <f>Q_Financials!AB28</f>
        <v>0.20804014992508854</v>
      </c>
      <c r="AK532" s="246">
        <f>Q_Financials!AC28</f>
        <v>0.22985487773484328</v>
      </c>
      <c r="AL532" s="246">
        <f>Q_Financials!AD28</f>
        <v>0.20012279197071739</v>
      </c>
      <c r="AM532" s="246">
        <f>Q_Financials!AE28</f>
        <v>0.20737807051913351</v>
      </c>
      <c r="AN532" s="246">
        <f>Q_Financials!AF28</f>
        <v>0.21141464097419865</v>
      </c>
      <c r="AO532" s="246">
        <f>Q_Financials!AG28</f>
        <v>0.22134271404835729</v>
      </c>
      <c r="AP532" s="246">
        <f>Q_Financials!AH28</f>
        <v>0.1995394937601801</v>
      </c>
      <c r="AQ532" s="246">
        <f>Q_Financials!AI28</f>
        <v>0.2099686178119704</v>
      </c>
      <c r="AR532" s="246">
        <f>Q_Financials!AJ28</f>
        <v>0.19942046827248036</v>
      </c>
      <c r="AS532" s="246">
        <f>Q_Financials!AK28</f>
        <v>0.22563464370731581</v>
      </c>
      <c r="AT532" s="246">
        <f>Q_Financials!AL28</f>
        <v>0.19819736070791477</v>
      </c>
      <c r="AU532" s="246">
        <f>Q_Financials!AM28</f>
        <v>0.20573028600571383</v>
      </c>
      <c r="AV532" s="246">
        <f>Q_Financials!AN28</f>
        <v>0.19515804109149254</v>
      </c>
      <c r="AW532" s="246">
        <f>Q_Financials!AO28</f>
        <v>0.20030992688808871</v>
      </c>
      <c r="AX532" s="246">
        <f>Q_Financials!AP28</f>
        <v>0.17749420258647766</v>
      </c>
      <c r="AY532" s="246">
        <f>Q_Financials!AQ28</f>
        <v>0.19560322092389326</v>
      </c>
      <c r="AZ532" s="246">
        <f>Q_Financials!AR28</f>
        <v>0.18736417391342755</v>
      </c>
      <c r="BA532" s="246">
        <f>Q_Financials!AS28</f>
        <v>0.20899114058165541</v>
      </c>
      <c r="BB532" s="246">
        <f>Q_Financials!AT28</f>
        <v>0.14431945570004023</v>
      </c>
      <c r="BC532" s="455">
        <f>Q_Financials!AU28</f>
        <v>-0.19970075668886911</v>
      </c>
      <c r="BD532" s="455">
        <f>Q_Financials!AV28</f>
        <v>0.114799447588292</v>
      </c>
      <c r="BE532" s="455">
        <f>Q_Financials!AW28</f>
        <v>0.22182813648254932</v>
      </c>
      <c r="BF532" s="455">
        <f>Q_Financials!AX28</f>
        <v>0.14571500925309894</v>
      </c>
      <c r="BG532" s="455">
        <f>Q_Financials!AY28</f>
        <v>0.1961150781158334</v>
      </c>
      <c r="BH532" s="455">
        <f>Q_Financials!AZ28</f>
        <v>0.19307543374808134</v>
      </c>
      <c r="BI532" s="455">
        <f>Q_Financials!BA28</f>
        <v>0.23912103863517048</v>
      </c>
      <c r="BJ532" s="455">
        <f>Q_Financials!BB28</f>
        <v>0.1844607360318273</v>
      </c>
      <c r="BK532" s="455">
        <f>Q_Financials!BC28</f>
        <v>0.19263093117898394</v>
      </c>
      <c r="BL532" s="455">
        <f>Q_Financials!BD28</f>
        <v>0.17587447460283537</v>
      </c>
      <c r="BM532" s="455">
        <f>Q_Financials!BE28</f>
        <v>0.18834390447882429</v>
      </c>
      <c r="BN532" s="455">
        <f>Q_Financials!BF28</f>
        <v>0.18125574455325638</v>
      </c>
      <c r="BO532" s="455">
        <f>Q_Financials!BG28</f>
        <v>0.19784962942643028</v>
      </c>
      <c r="BP532" s="455">
        <f>Q_Financials!BH28</f>
        <v>0.19275834677539888</v>
      </c>
      <c r="BQ532" s="455">
        <f>Q_Financials!BI28</f>
        <v>0.20117445577792842</v>
      </c>
      <c r="BR532" s="455">
        <f>Q_Financials!BJ28</f>
        <v>0.19678260982304507</v>
      </c>
      <c r="BS532" s="455">
        <f>Q_Financials!BK28</f>
        <v>0.19704954404117037</v>
      </c>
      <c r="BT532" s="455">
        <f>Q_Financials!BL28</f>
        <v>0.18683935238300933</v>
      </c>
      <c r="BU532" s="455">
        <f>Q_Financials!BM28</f>
        <v>0.19625024701571556</v>
      </c>
      <c r="BV532" s="455">
        <f>Q_Financials!BN28</f>
        <v>0.19008758873652939</v>
      </c>
      <c r="BW532" s="455">
        <f>Q_Financials!BO28</f>
        <v>0.18915514100043898</v>
      </c>
      <c r="BX532" s="455">
        <f>Q_Financials!BP28</f>
        <v>0.18560911618006315</v>
      </c>
      <c r="BY532" s="455">
        <f>Q_Financials!BQ28</f>
        <v>0.19596745808669466</v>
      </c>
      <c r="BZ532" s="455">
        <f>Q_Financials!BR28</f>
        <v>0.1896223224591575</v>
      </c>
      <c r="CA532" s="455">
        <f>Q_Financials!BS28</f>
        <v>0.18927809701137432</v>
      </c>
      <c r="CB532" s="455">
        <f>Q_Financials!BT28</f>
        <v>0.18583564645951076</v>
      </c>
      <c r="CC532" s="455">
        <f>Q_Financials!BU28</f>
        <v>0.19622900464872062</v>
      </c>
      <c r="CD532" s="455">
        <f>Q_Financials!BV28</f>
        <v>0.18980354864724011</v>
      </c>
      <c r="CE532" s="455">
        <f>Q_Financials!BW28</f>
        <v>0.18959085736982992</v>
      </c>
      <c r="CF532" s="455">
        <f>Q_Financials!BX28</f>
        <v>0.18622867814709707</v>
      </c>
      <c r="CG532" s="455">
        <f>Q_Financials!BY28</f>
        <v>0.19656771595935174</v>
      </c>
      <c r="CH532" s="455">
        <f>Q_Financials!BZ28</f>
        <v>0.18449913911131802</v>
      </c>
      <c r="CI532" s="455">
        <f>Q_Financials!CA28</f>
        <v>0.18449892999049125</v>
      </c>
      <c r="CJ532" s="455">
        <f>Q_Financials!CB28</f>
        <v>0.18123750603697783</v>
      </c>
      <c r="CK532" s="455">
        <f>Q_Financials!CC28</f>
        <v>0.19137324028478472</v>
      </c>
      <c r="CL532" s="455">
        <f>Q_Financials!CD28</f>
        <v>0.1842127607444464</v>
      </c>
      <c r="CM532" s="455">
        <f>Q_Financials!CE28</f>
        <v>0.18428357095940212</v>
      </c>
      <c r="CN532" s="455">
        <f>Q_Financials!CF28</f>
        <v>0.18115939022400654</v>
      </c>
      <c r="CO532" s="455">
        <f>Q_Financials!CG28</f>
        <v>0.19134859779535718</v>
      </c>
      <c r="CP532" s="455">
        <f>Q_Financials!CH28</f>
        <v>0.18393722394370732</v>
      </c>
      <c r="CQ532" s="455">
        <f>Q_Financials!CI28</f>
        <v>0.18407683356501872</v>
      </c>
      <c r="CR532" s="455">
        <f>Q_Financials!CJ28</f>
        <v>0.18108606306272945</v>
      </c>
      <c r="CS532" s="455">
        <f>Q_Financials!CK28</f>
        <v>0.19132576801833737</v>
      </c>
    </row>
    <row r="533" spans="1:97">
      <c r="A533" s="36" t="s">
        <v>194</v>
      </c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>
        <f t="shared" ref="N533:AS533" si="342">(N532-J532)*10000</f>
        <v>233.60433682010753</v>
      </c>
      <c r="O533" s="92">
        <f t="shared" si="342"/>
        <v>253.46910910280351</v>
      </c>
      <c r="P533" s="92">
        <f t="shared" si="342"/>
        <v>-75.155685612291322</v>
      </c>
      <c r="Q533" s="92">
        <f t="shared" si="342"/>
        <v>-566.28584877265371</v>
      </c>
      <c r="R533" s="92">
        <f t="shared" si="342"/>
        <v>-118.80538594446725</v>
      </c>
      <c r="S533" s="92">
        <f t="shared" si="342"/>
        <v>27.287251081604957</v>
      </c>
      <c r="T533" s="92">
        <f t="shared" si="342"/>
        <v>-17.580124584136158</v>
      </c>
      <c r="U533" s="92">
        <f t="shared" si="342"/>
        <v>-165.08906904474236</v>
      </c>
      <c r="V533" s="92">
        <f t="shared" si="342"/>
        <v>14.452845428693378</v>
      </c>
      <c r="W533" s="92">
        <f t="shared" si="342"/>
        <v>60.905087887271058</v>
      </c>
      <c r="X533" s="92">
        <f t="shared" si="342"/>
        <v>151.31220918796566</v>
      </c>
      <c r="Y533" s="92">
        <f t="shared" si="342"/>
        <v>324.01150122832581</v>
      </c>
      <c r="Z533" s="92">
        <f t="shared" si="342"/>
        <v>135.79786843576011</v>
      </c>
      <c r="AA533" s="92">
        <f t="shared" si="342"/>
        <v>63.431947975711445</v>
      </c>
      <c r="AB533" s="92">
        <f t="shared" si="342"/>
        <v>159.48646147941545</v>
      </c>
      <c r="AC533" s="92">
        <f t="shared" si="342"/>
        <v>747.18449172451881</v>
      </c>
      <c r="AD533" s="92">
        <f t="shared" si="342"/>
        <v>807.4578040953453</v>
      </c>
      <c r="AE533" s="92">
        <f t="shared" si="342"/>
        <v>755.72644202660933</v>
      </c>
      <c r="AF533" s="92">
        <f t="shared" si="342"/>
        <v>821.83680874091897</v>
      </c>
      <c r="AG533" s="92">
        <f t="shared" si="342"/>
        <v>355.38232830220949</v>
      </c>
      <c r="AH533" s="92">
        <f t="shared" si="342"/>
        <v>23.109320595414708</v>
      </c>
      <c r="AI533" s="92">
        <f t="shared" si="342"/>
        <v>-27.772574310379603</v>
      </c>
      <c r="AJ533" s="92">
        <f t="shared" si="342"/>
        <v>-78.736627532793307</v>
      </c>
      <c r="AK533" s="92">
        <f t="shared" si="342"/>
        <v>-124.41489565699376</v>
      </c>
      <c r="AL533" s="92">
        <f t="shared" si="342"/>
        <v>71.823164902247996</v>
      </c>
      <c r="AM533" s="92">
        <f t="shared" si="342"/>
        <v>24.035937709176725</v>
      </c>
      <c r="AN533" s="92">
        <f t="shared" si="342"/>
        <v>33.744910491101123</v>
      </c>
      <c r="AO533" s="92">
        <f t="shared" si="342"/>
        <v>-85.121636864859965</v>
      </c>
      <c r="AP533" s="92">
        <f t="shared" si="342"/>
        <v>-5.8329821053729187</v>
      </c>
      <c r="AQ533" s="92">
        <f t="shared" si="342"/>
        <v>25.905472928368923</v>
      </c>
      <c r="AR533" s="92">
        <f t="shared" si="342"/>
        <v>-119.94172701718291</v>
      </c>
      <c r="AS533" s="92">
        <f t="shared" si="342"/>
        <v>42.919296589585265</v>
      </c>
      <c r="AT533" s="92">
        <f t="shared" ref="AT533:BY533" si="343">(AT532-AP532)*10000</f>
        <v>-13.421330522653264</v>
      </c>
      <c r="AU533" s="92">
        <f t="shared" si="343"/>
        <v>-42.383318062565735</v>
      </c>
      <c r="AV533" s="92">
        <f t="shared" si="343"/>
        <v>-42.624271809878209</v>
      </c>
      <c r="AW533" s="92">
        <f t="shared" si="343"/>
        <v>-253.247168192271</v>
      </c>
      <c r="AX533" s="92">
        <f t="shared" si="343"/>
        <v>-207.0315812143711</v>
      </c>
      <c r="AY533" s="92">
        <f t="shared" si="343"/>
        <v>-101.27065081820568</v>
      </c>
      <c r="AZ533" s="92">
        <f t="shared" si="343"/>
        <v>-77.938671780649898</v>
      </c>
      <c r="BA533" s="92">
        <f t="shared" si="343"/>
        <v>86.81213693566697</v>
      </c>
      <c r="BB533" s="92">
        <f t="shared" si="343"/>
        <v>-331.7474688643743</v>
      </c>
      <c r="BC533" s="462">
        <f t="shared" si="343"/>
        <v>-3953.0397761276236</v>
      </c>
      <c r="BD533" s="462">
        <f t="shared" si="343"/>
        <v>-725.64726325135553</v>
      </c>
      <c r="BE533" s="462">
        <f t="shared" si="343"/>
        <v>128.36995900893905</v>
      </c>
      <c r="BF533" s="462">
        <f t="shared" si="343"/>
        <v>13.955535530587039</v>
      </c>
      <c r="BG533" s="462">
        <f t="shared" si="343"/>
        <v>3958.1583480470249</v>
      </c>
      <c r="BH533" s="462">
        <f t="shared" si="343"/>
        <v>782.7598615978934</v>
      </c>
      <c r="BI533" s="462">
        <f t="shared" si="343"/>
        <v>172.92902152621164</v>
      </c>
      <c r="BJ533" s="462">
        <f t="shared" si="343"/>
        <v>387.45726778728368</v>
      </c>
      <c r="BK533" s="462">
        <f t="shared" si="343"/>
        <v>-34.841469368494529</v>
      </c>
      <c r="BL533" s="462">
        <f t="shared" si="343"/>
        <v>-172.00959145245969</v>
      </c>
      <c r="BM533" s="462">
        <f t="shared" si="343"/>
        <v>-507.77134156346187</v>
      </c>
      <c r="BN533" s="462">
        <f>(BN532-BJ532)*10000</f>
        <v>-32.049914785709234</v>
      </c>
      <c r="BO533" s="462">
        <f>(BO532-BK532)*10000</f>
        <v>52.186982474463349</v>
      </c>
      <c r="BP533" s="462">
        <f>(BP532-BL532)*10000</f>
        <v>168.83872172563514</v>
      </c>
      <c r="BQ533" s="462">
        <f>(BQ532-BM532)*10000</f>
        <v>128.30551299104127</v>
      </c>
      <c r="BR533" s="462">
        <f t="shared" si="343"/>
        <v>155.26865269788692</v>
      </c>
      <c r="BS533" s="462">
        <f t="shared" si="343"/>
        <v>-8.000853852599132</v>
      </c>
      <c r="BT533" s="462">
        <f t="shared" si="343"/>
        <v>-59.189943923895484</v>
      </c>
      <c r="BU533" s="462">
        <f t="shared" si="343"/>
        <v>-49.242087622128615</v>
      </c>
      <c r="BV533" s="462">
        <f t="shared" si="343"/>
        <v>-66.950210865156791</v>
      </c>
      <c r="BW533" s="462">
        <f t="shared" si="343"/>
        <v>-78.944030407313846</v>
      </c>
      <c r="BX533" s="462">
        <f t="shared" si="343"/>
        <v>-12.302362029461833</v>
      </c>
      <c r="BY533" s="462">
        <f t="shared" si="343"/>
        <v>-2.8278892902089403</v>
      </c>
      <c r="BZ533" s="462">
        <f t="shared" ref="BZ533:CS533" si="344">(BZ532-BV532)*10000</f>
        <v>-4.6526627737189514</v>
      </c>
      <c r="CA533" s="462">
        <f t="shared" si="344"/>
        <v>1.2295601093534336</v>
      </c>
      <c r="CB533" s="462">
        <f t="shared" si="344"/>
        <v>2.2653027944760651</v>
      </c>
      <c r="CC533" s="462">
        <f t="shared" si="344"/>
        <v>2.6154656202595494</v>
      </c>
      <c r="CD533" s="462">
        <f t="shared" si="344"/>
        <v>1.8122618808261159</v>
      </c>
      <c r="CE533" s="462">
        <f t="shared" si="344"/>
        <v>3.127603584555938</v>
      </c>
      <c r="CF533" s="462">
        <f t="shared" si="344"/>
        <v>3.9303168758630935</v>
      </c>
      <c r="CG533" s="462">
        <f t="shared" si="344"/>
        <v>3.3871131063112347</v>
      </c>
      <c r="CH533" s="462">
        <f t="shared" si="344"/>
        <v>-53.044095359220947</v>
      </c>
      <c r="CI533" s="462">
        <f t="shared" si="344"/>
        <v>-50.919273793386679</v>
      </c>
      <c r="CJ533" s="462">
        <f t="shared" si="344"/>
        <v>-49.911721101192356</v>
      </c>
      <c r="CK533" s="462">
        <f t="shared" si="344"/>
        <v>-51.944756745670176</v>
      </c>
      <c r="CL533" s="462">
        <f t="shared" si="344"/>
        <v>-2.8637836687162022</v>
      </c>
      <c r="CM533" s="462">
        <f t="shared" si="344"/>
        <v>-2.1535903108912957</v>
      </c>
      <c r="CN533" s="462">
        <f t="shared" si="344"/>
        <v>-0.7811581297129111</v>
      </c>
      <c r="CO533" s="462">
        <f t="shared" si="344"/>
        <v>-0.24642489427545433</v>
      </c>
      <c r="CP533" s="462">
        <f t="shared" si="344"/>
        <v>-2.7553680073907905</v>
      </c>
      <c r="CQ533" s="462">
        <f t="shared" si="344"/>
        <v>-2.0673739438339944</v>
      </c>
      <c r="CR533" s="462">
        <f t="shared" si="344"/>
        <v>-0.73327161277086939</v>
      </c>
      <c r="CS533" s="462">
        <f t="shared" si="344"/>
        <v>-0.22829777019811592</v>
      </c>
    </row>
    <row r="534" spans="1:97">
      <c r="A534" s="244" t="s">
        <v>309</v>
      </c>
      <c r="B534" s="833"/>
      <c r="C534" s="833"/>
      <c r="D534" s="833"/>
      <c r="E534" s="833"/>
      <c r="F534" s="833"/>
      <c r="G534" s="833"/>
      <c r="H534" s="833"/>
      <c r="I534" s="833"/>
      <c r="J534" s="833">
        <f>J532/SUM($J$532:$M$532)</f>
        <v>0.18135744024033698</v>
      </c>
      <c r="K534" s="833">
        <f>K532/SUM($J$532:$M$532)</f>
        <v>0.19939111579106822</v>
      </c>
      <c r="L534" s="833">
        <f>L532/SUM($J$532:$M$532)</f>
        <v>0.24344585207907082</v>
      </c>
      <c r="M534" s="833">
        <f>M532/SUM($J$532:$M$532)</f>
        <v>0.375805591889524</v>
      </c>
      <c r="N534" s="833">
        <f>N532/SUM($N$532:$Q$532)</f>
        <v>0.24023506843035611</v>
      </c>
      <c r="O534" s="833">
        <f>O532/SUM($N$532:$Q$532)</f>
        <v>0.26336620165629843</v>
      </c>
      <c r="P534" s="833">
        <f>P532/SUM($N$532:$Q$532)</f>
        <v>0.23498885616192117</v>
      </c>
      <c r="Q534" s="833">
        <f>Q532/SUM($N$532:$Q$532)</f>
        <v>0.26140987375142433</v>
      </c>
      <c r="R534" s="833">
        <f>R532/SUM($R$532:$U$532)</f>
        <v>0.22753732828554127</v>
      </c>
      <c r="S534" s="833">
        <f>S532/SUM($R$532:$U$532)</f>
        <v>0.28723298652998591</v>
      </c>
      <c r="T534" s="833">
        <f>T532/SUM($R$532:$U$532)</f>
        <v>0.24622695702492997</v>
      </c>
      <c r="U534" s="833">
        <f>U532/SUM($R$532:$U$532)</f>
        <v>0.23900272815954282</v>
      </c>
      <c r="V534" s="833">
        <f>V532/SUM($V$532:$Y$532)</f>
        <v>0.20405068964655715</v>
      </c>
      <c r="W534" s="833">
        <f>W532/SUM($V$532:$Y$532)</f>
        <v>0.2666234792717283</v>
      </c>
      <c r="X534" s="833">
        <f>X532/SUM($V$532:$Y$532)</f>
        <v>0.2495576437455212</v>
      </c>
      <c r="Y534" s="833">
        <f>Y532/SUM($V$532:$Y$532)</f>
        <v>0.27976818733619324</v>
      </c>
      <c r="Z534" s="833">
        <f>Z532/SUM($Z$532:$AC$532)</f>
        <v>0.18862509980327113</v>
      </c>
      <c r="AA534" s="833">
        <f>AA532/SUM($Z$532:$AC$532)</f>
        <v>0.22689698054980148</v>
      </c>
      <c r="AB534" s="833">
        <f>AB532/SUM($Z$532:$AC$532)</f>
        <v>0.22955947964455289</v>
      </c>
      <c r="AC534" s="833">
        <f>AC532/SUM($Z$532:$AC$532)</f>
        <v>0.35491844000237444</v>
      </c>
      <c r="AD534" s="833">
        <f>AD532/SUM($AD$532:$AG$532)</f>
        <v>0.22254429662385986</v>
      </c>
      <c r="AE534" s="833">
        <f>AE532/SUM($AD$532:$AG$532)</f>
        <v>0.24253304459327474</v>
      </c>
      <c r="AF534" s="833">
        <f>AF532/SUM($AD$532:$AG$532)</f>
        <v>0.25206159922325155</v>
      </c>
      <c r="AG534" s="833">
        <f>AG532/SUM($AD$532:$AG$532)</f>
        <v>0.28286105955961394</v>
      </c>
      <c r="AH534" s="833">
        <f>AH532/SUM($AH$532:$AK$532)</f>
        <v>0.23084251220139673</v>
      </c>
      <c r="AI534" s="833">
        <f>AI532/SUM($AH$532:$AK$532)</f>
        <v>0.24524052318150802</v>
      </c>
      <c r="AJ534" s="833">
        <f>AJ532/SUM($AH$532:$AK$532)</f>
        <v>0.24890843006302332</v>
      </c>
      <c r="AK534" s="833">
        <f>AK532/SUM($AH$532:$AK$532)</f>
        <v>0.27500853455407193</v>
      </c>
      <c r="AL534" s="833">
        <f>AL532/SUM($AL$532:$AO$532)</f>
        <v>0.23816820567751543</v>
      </c>
      <c r="AM534" s="833">
        <f>AM532/SUM($AL$532:$AO$532)</f>
        <v>0.24680278775859932</v>
      </c>
      <c r="AN534" s="833">
        <f>AN532/SUM($AL$532:$AO$532)</f>
        <v>0.25160675202926774</v>
      </c>
      <c r="AO534" s="833">
        <f>AO532/SUM($AL$532:$AO$532)</f>
        <v>0.26342225453461759</v>
      </c>
      <c r="AP534" s="833">
        <f>AP532/SUM($AP$532:$AS$532)</f>
        <v>0.2390945204977151</v>
      </c>
      <c r="AQ534" s="833">
        <f>AQ532/SUM($AP$532:$AS$532)</f>
        <v>0.25159102616376083</v>
      </c>
      <c r="AR534" s="833">
        <f>AR532/SUM($AP$532:$AS$532)</f>
        <v>0.2389519004009498</v>
      </c>
      <c r="AS534" s="833">
        <f>AS532/SUM($AP$532:$AS$532)</f>
        <v>0.27036255293757427</v>
      </c>
      <c r="AT534" s="833">
        <f>AT532/SUM($AT$532:$AW$532)</f>
        <v>0.24793401047612512</v>
      </c>
      <c r="AU534" s="833">
        <f>AU532/SUM($AT$532:$AW$532)</f>
        <v>0.25735728621011827</v>
      </c>
      <c r="AV534" s="833">
        <f>AV532/SUM($AT$532:$AW$532)</f>
        <v>0.2441319885978982</v>
      </c>
      <c r="AW534" s="833">
        <f>AW532/SUM($AT$532:$AW$532)</f>
        <v>0.25057671471585841</v>
      </c>
      <c r="AX534" s="833">
        <f>AX532/SUM($AX$532:$BA$532)</f>
        <v>0.23067589966158464</v>
      </c>
      <c r="AY534" s="833">
        <f>AY532/SUM($AX$532:$BA$532)</f>
        <v>0.25421083227402436</v>
      </c>
      <c r="AZ534" s="833">
        <f>AZ532/SUM($AX$532:$BA$532)</f>
        <v>0.24350316095970473</v>
      </c>
      <c r="BA534" s="833">
        <f>BA532/SUM($AX$532:$BA$532)</f>
        <v>0.27161010710468625</v>
      </c>
      <c r="BB534" s="833">
        <f>BB532/SUM($BB$532:$BE$532)</f>
        <v>0.51314262403231892</v>
      </c>
      <c r="BC534" s="834">
        <f>BC532/SUM($BB$532:$BE$532)</f>
        <v>-0.71005651879365683</v>
      </c>
      <c r="BD534" s="834">
        <f>BD532/SUM($BB$532:$BE$532)</f>
        <v>0.40818120805108049</v>
      </c>
      <c r="BE534" s="834">
        <f>BE532/SUM($BB$532:$BE$532)</f>
        <v>0.78873268671025754</v>
      </c>
      <c r="BF534" s="834">
        <f>BF532/SUM($BF$532:$BI$532)</f>
        <v>0.18825582587211437</v>
      </c>
      <c r="BG534" s="834">
        <f>BG532/SUM($BF$532:$BI$532)</f>
        <v>0.25336995952519054</v>
      </c>
      <c r="BH534" s="834">
        <f>BH532/SUM($BF$532:$BI$532)</f>
        <v>0.24944290517614437</v>
      </c>
      <c r="BI534" s="834">
        <f>BI532/SUM($BF$532:$BI$532)</f>
        <v>0.30893130942655056</v>
      </c>
      <c r="BJ534" s="834">
        <f>BJ532/SUM($BJ$532:$BM$532)</f>
        <v>0.24883075165967947</v>
      </c>
      <c r="BK534" s="834">
        <f>BK532/SUM($BJ$532:$BM$532)</f>
        <v>0.25985204455597621</v>
      </c>
      <c r="BL534" s="834">
        <f>BL532/SUM($BJ$532:$BM$532)</f>
        <v>0.23724820064484486</v>
      </c>
      <c r="BM534" s="834">
        <f>BM532/SUM($BJ$532:$BM$532)</f>
        <v>0.25406900313949948</v>
      </c>
      <c r="BN534" s="834">
        <f>BN532/SUM($BN$532:$BQ$532)</f>
        <v>0.23447191879470586</v>
      </c>
      <c r="BO534" s="834">
        <f>BO532/SUM($BN$532:$BQ$532)</f>
        <v>0.2559377213603638</v>
      </c>
      <c r="BP534" s="834">
        <f>BP532/SUM($BN$532:$BQ$532)</f>
        <v>0.24935165251462424</v>
      </c>
      <c r="BQ534" s="834">
        <f>BQ532/SUM($BN$532:$BQ$532)</f>
        <v>0.26023870733030591</v>
      </c>
      <c r="BR534" s="834">
        <f>BR532/SUM($BR$532:$BU$532)</f>
        <v>0.25328497882391798</v>
      </c>
      <c r="BS534" s="834">
        <f>BS532/SUM($BR$532:$BU$532)</f>
        <v>0.25362855810587814</v>
      </c>
      <c r="BT534" s="834">
        <f>BT532/SUM($BR$532:$BU$532)</f>
        <v>0.24048670486868923</v>
      </c>
      <c r="BU534" s="834">
        <f>BU532/SUM($BR$532:$BU$532)</f>
        <v>0.25259975820151465</v>
      </c>
      <c r="BV534" s="834">
        <f>BV532/SUM(BV532:BY532)</f>
        <v>0.24984590655917219</v>
      </c>
      <c r="BW534" s="834">
        <f>BW532/SUM(BV532:BY532)</f>
        <v>0.24862032286119881</v>
      </c>
      <c r="BX534" s="834">
        <f>BX532/SUM(BV532:BY532)</f>
        <v>0.2439595252161926</v>
      </c>
      <c r="BY534" s="834">
        <f>BY532/SUM(BV532:BY532)</f>
        <v>0.25757424536343637</v>
      </c>
      <c r="BZ534" s="834">
        <f>BZ532/SUM(BZ532:CC532)</f>
        <v>0.24918663127985291</v>
      </c>
      <c r="CA534" s="834">
        <f>CA532/SUM(BZ532:CC532)</f>
        <v>0.24873427747139049</v>
      </c>
      <c r="CB534" s="834">
        <f>CB532/SUM(BZ532:CC532)</f>
        <v>0.24421048172180981</v>
      </c>
      <c r="CC534" s="834">
        <f>CC532/SUM(BZ532:CC532)</f>
        <v>0.25786860952694685</v>
      </c>
      <c r="CD534" s="834">
        <f>CD532/SUM(CD532:CG532)</f>
        <v>0.24902366784862925</v>
      </c>
      <c r="CE534" s="834">
        <f>CE532/SUM(CD532:CG532)</f>
        <v>0.24874461531037279</v>
      </c>
      <c r="CF534" s="834">
        <f>CF532/SUM(CD532:CG532)</f>
        <v>0.24433341115757012</v>
      </c>
      <c r="CG534" s="834">
        <f>CG532/SUM(CD532:CG532)</f>
        <v>0.25789830568342786</v>
      </c>
      <c r="CH534" s="834">
        <f>CH532/SUM(CH532:CK532)</f>
        <v>0.24878228963060647</v>
      </c>
      <c r="CI534" s="834">
        <f>CI532/SUM(CH532:CK532)</f>
        <v>0.24878200764794606</v>
      </c>
      <c r="CJ534" s="834">
        <f>CJ532/SUM(CH532:CK532)</f>
        <v>0.2443842390593261</v>
      </c>
      <c r="CK534" s="834">
        <f>CK532/SUM(CH532:CK532)</f>
        <v>0.25805146366212139</v>
      </c>
      <c r="CL534" s="834">
        <f>CL532/SUM(CL532:CO532)</f>
        <v>0.24859876770118627</v>
      </c>
      <c r="CM534" s="834">
        <f>CM532/SUM(CL532:CO532)</f>
        <v>0.24869432748818207</v>
      </c>
      <c r="CN534" s="834">
        <f>CN532/SUM(CL532:CO532)</f>
        <v>0.24447818373268743</v>
      </c>
      <c r="CO534" s="834">
        <f>CO532/SUM(CL532:CO532)</f>
        <v>0.2582287210779442</v>
      </c>
      <c r="CP534" s="834">
        <f>CP532/SUM(CP532:CS532)</f>
        <v>0.2484208437039285</v>
      </c>
      <c r="CQ534" s="834">
        <f>CQ532/SUM(CP532:CS532)</f>
        <v>0.24860939683728436</v>
      </c>
      <c r="CR534" s="834">
        <f>CR532/SUM(CP532:CS532)</f>
        <v>0.24457013977134701</v>
      </c>
      <c r="CS534" s="834">
        <f>CS532/SUM(CP532:CS532)</f>
        <v>0.25839961968744007</v>
      </c>
    </row>
    <row r="535" spans="1:97">
      <c r="A535" s="36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W535" s="92"/>
      <c r="AX535" s="92"/>
      <c r="AY535" s="92"/>
      <c r="AZ535" s="92"/>
      <c r="BA535" s="92"/>
      <c r="BB535" s="92"/>
      <c r="BC535" s="462"/>
      <c r="BD535" s="462"/>
      <c r="BE535" s="462"/>
      <c r="BF535" s="462"/>
      <c r="BG535" s="462"/>
      <c r="BH535" s="462"/>
      <c r="BI535" s="462"/>
      <c r="BJ535" s="462"/>
      <c r="BK535" s="462"/>
      <c r="BL535" s="462"/>
      <c r="BM535" s="462"/>
      <c r="BN535" s="462"/>
      <c r="BO535" s="462"/>
      <c r="BP535" s="462"/>
      <c r="BQ535" s="462"/>
      <c r="BR535" s="462" t="s">
        <v>449</v>
      </c>
      <c r="BS535" s="462"/>
      <c r="BT535" s="462"/>
      <c r="BU535" s="462"/>
      <c r="BV535" s="462"/>
      <c r="BW535" s="462"/>
      <c r="BX535" s="462"/>
      <c r="BY535" s="462"/>
      <c r="BZ535" s="9"/>
      <c r="CA535" s="9"/>
      <c r="CB535" s="9"/>
      <c r="CC535" s="9"/>
      <c r="CD535" s="9"/>
      <c r="CS535" s="1790"/>
    </row>
    <row r="536" spans="1:97">
      <c r="A536" s="242" t="s">
        <v>596</v>
      </c>
      <c r="B536" s="595"/>
      <c r="C536" s="595"/>
      <c r="D536" s="595"/>
      <c r="E536" s="595"/>
      <c r="F536" s="595"/>
      <c r="G536" s="595"/>
      <c r="H536" s="595"/>
      <c r="I536" s="595"/>
      <c r="J536" s="595" t="str">
        <f t="shared" ref="J536:AO536" si="345">J$453</f>
        <v>1Q09</v>
      </c>
      <c r="K536" s="595" t="str">
        <f t="shared" si="345"/>
        <v>2Q09</v>
      </c>
      <c r="L536" s="595" t="str">
        <f t="shared" si="345"/>
        <v>3Q09</v>
      </c>
      <c r="M536" s="595" t="str">
        <f t="shared" si="345"/>
        <v>4Q09</v>
      </c>
      <c r="N536" s="595" t="str">
        <f t="shared" si="345"/>
        <v>1Q10</v>
      </c>
      <c r="O536" s="595" t="str">
        <f t="shared" si="345"/>
        <v>2Q10</v>
      </c>
      <c r="P536" s="595" t="str">
        <f t="shared" si="345"/>
        <v>3Q10</v>
      </c>
      <c r="Q536" s="595" t="str">
        <f t="shared" si="345"/>
        <v>4Q10</v>
      </c>
      <c r="R536" s="595" t="str">
        <f t="shared" si="345"/>
        <v>1Q11</v>
      </c>
      <c r="S536" s="595" t="str">
        <f t="shared" si="345"/>
        <v>2Q11</v>
      </c>
      <c r="T536" s="595" t="str">
        <f t="shared" si="345"/>
        <v>3Q11</v>
      </c>
      <c r="U536" s="595" t="str">
        <f t="shared" si="345"/>
        <v>4Q11</v>
      </c>
      <c r="V536" s="595" t="str">
        <f t="shared" si="345"/>
        <v>1Q12</v>
      </c>
      <c r="W536" s="595" t="str">
        <f t="shared" si="345"/>
        <v>2Q12</v>
      </c>
      <c r="X536" s="595" t="str">
        <f t="shared" si="345"/>
        <v>3Q12</v>
      </c>
      <c r="Y536" s="595" t="str">
        <f t="shared" si="345"/>
        <v>4Q12</v>
      </c>
      <c r="Z536" s="595" t="str">
        <f t="shared" si="345"/>
        <v>1Q13</v>
      </c>
      <c r="AA536" s="595" t="str">
        <f t="shared" si="345"/>
        <v>2Q13</v>
      </c>
      <c r="AB536" s="595" t="str">
        <f t="shared" si="345"/>
        <v>3Q13</v>
      </c>
      <c r="AC536" s="595" t="str">
        <f t="shared" si="345"/>
        <v>4Q13</v>
      </c>
      <c r="AD536" s="595" t="str">
        <f t="shared" si="345"/>
        <v>1Q14</v>
      </c>
      <c r="AE536" s="595" t="str">
        <f t="shared" si="345"/>
        <v>2Q14</v>
      </c>
      <c r="AF536" s="595" t="str">
        <f t="shared" si="345"/>
        <v>3Q14</v>
      </c>
      <c r="AG536" s="595" t="str">
        <f t="shared" si="345"/>
        <v>4Q14</v>
      </c>
      <c r="AH536" s="595" t="str">
        <f t="shared" si="345"/>
        <v>1Q15</v>
      </c>
      <c r="AI536" s="595" t="str">
        <f t="shared" si="345"/>
        <v>2Q15</v>
      </c>
      <c r="AJ536" s="595" t="str">
        <f t="shared" si="345"/>
        <v>3Q15</v>
      </c>
      <c r="AK536" s="595" t="str">
        <f t="shared" si="345"/>
        <v>4Q15</v>
      </c>
      <c r="AL536" s="595" t="str">
        <f t="shared" si="345"/>
        <v>1Q16</v>
      </c>
      <c r="AM536" s="595" t="str">
        <f t="shared" si="345"/>
        <v>2Q16</v>
      </c>
      <c r="AN536" s="595" t="str">
        <f t="shared" si="345"/>
        <v>3Q16</v>
      </c>
      <c r="AO536" s="595" t="str">
        <f t="shared" si="345"/>
        <v>4Q16</v>
      </c>
      <c r="AP536" s="595" t="str">
        <f t="shared" ref="AP536:CS536" si="346">AP$453</f>
        <v>1Q17</v>
      </c>
      <c r="AQ536" s="595" t="str">
        <f t="shared" si="346"/>
        <v>2Q17</v>
      </c>
      <c r="AR536" s="595" t="str">
        <f t="shared" si="346"/>
        <v>3Q17</v>
      </c>
      <c r="AS536" s="595" t="str">
        <f t="shared" si="346"/>
        <v>4Q17</v>
      </c>
      <c r="AT536" s="595" t="str">
        <f t="shared" si="346"/>
        <v>1Q18</v>
      </c>
      <c r="AU536" s="595" t="str">
        <f t="shared" si="346"/>
        <v>2Q18</v>
      </c>
      <c r="AV536" s="595" t="str">
        <f t="shared" si="346"/>
        <v>3Q18</v>
      </c>
      <c r="AW536" s="595" t="str">
        <f t="shared" si="346"/>
        <v>4Q18</v>
      </c>
      <c r="AX536" s="595" t="str">
        <f t="shared" si="346"/>
        <v>1Q19</v>
      </c>
      <c r="AY536" s="595" t="str">
        <f t="shared" si="346"/>
        <v>2Q19</v>
      </c>
      <c r="AZ536" s="595" t="str">
        <f t="shared" si="346"/>
        <v>3Q19</v>
      </c>
      <c r="BA536" s="595" t="str">
        <f t="shared" si="346"/>
        <v>4Q19</v>
      </c>
      <c r="BB536" s="595" t="str">
        <f t="shared" si="346"/>
        <v>1Q20</v>
      </c>
      <c r="BC536" s="595" t="str">
        <f t="shared" si="346"/>
        <v>2Q20</v>
      </c>
      <c r="BD536" s="595" t="str">
        <f t="shared" si="346"/>
        <v>3Q20</v>
      </c>
      <c r="BE536" s="595" t="str">
        <f t="shared" si="346"/>
        <v>4Q20</v>
      </c>
      <c r="BF536" s="595" t="str">
        <f t="shared" si="346"/>
        <v>1Q21</v>
      </c>
      <c r="BG536" s="595" t="str">
        <f t="shared" si="346"/>
        <v>2Q21</v>
      </c>
      <c r="BH536" s="595" t="str">
        <f t="shared" si="346"/>
        <v>3Q21</v>
      </c>
      <c r="BI536" s="595" t="str">
        <f t="shared" si="346"/>
        <v>4Q21</v>
      </c>
      <c r="BJ536" s="595" t="str">
        <f t="shared" si="346"/>
        <v>1Q22</v>
      </c>
      <c r="BK536" s="595" t="str">
        <f t="shared" si="346"/>
        <v>2Q22</v>
      </c>
      <c r="BL536" s="595" t="str">
        <f t="shared" si="346"/>
        <v>3Q22</v>
      </c>
      <c r="BM536" s="595" t="str">
        <f t="shared" si="346"/>
        <v>4Q22</v>
      </c>
      <c r="BN536" s="595" t="str">
        <f t="shared" si="346"/>
        <v>1Q23</v>
      </c>
      <c r="BO536" s="595" t="str">
        <f t="shared" si="346"/>
        <v>2Q23</v>
      </c>
      <c r="BP536" s="595" t="str">
        <f t="shared" si="346"/>
        <v>3Q23</v>
      </c>
      <c r="BQ536" s="595" t="str">
        <f t="shared" si="346"/>
        <v>4Q23</v>
      </c>
      <c r="BR536" s="596" t="str">
        <f t="shared" si="346"/>
        <v>1Q24</v>
      </c>
      <c r="BS536" s="596" t="str">
        <f t="shared" si="346"/>
        <v>2Q24e</v>
      </c>
      <c r="BT536" s="596" t="str">
        <f t="shared" si="346"/>
        <v>3Q24e</v>
      </c>
      <c r="BU536" s="596" t="str">
        <f t="shared" si="346"/>
        <v>4Q24e</v>
      </c>
      <c r="BV536" s="596" t="str">
        <f t="shared" si="346"/>
        <v>1Q25e</v>
      </c>
      <c r="BW536" s="596" t="str">
        <f t="shared" si="346"/>
        <v>2Q25e</v>
      </c>
      <c r="BX536" s="596" t="str">
        <f t="shared" si="346"/>
        <v>3Q25e</v>
      </c>
      <c r="BY536" s="596" t="str">
        <f t="shared" si="346"/>
        <v>4Q25e</v>
      </c>
      <c r="BZ536" s="596" t="str">
        <f t="shared" si="346"/>
        <v>1Q26e</v>
      </c>
      <c r="CA536" s="596" t="str">
        <f t="shared" si="346"/>
        <v>2Q26e</v>
      </c>
      <c r="CB536" s="596" t="str">
        <f t="shared" si="346"/>
        <v>3Q26e</v>
      </c>
      <c r="CC536" s="596" t="str">
        <f t="shared" si="346"/>
        <v>4Q26e</v>
      </c>
      <c r="CD536" s="596" t="str">
        <f t="shared" si="346"/>
        <v>1Q27e</v>
      </c>
      <c r="CE536" s="596" t="str">
        <f t="shared" si="346"/>
        <v>2Q27e</v>
      </c>
      <c r="CF536" s="596" t="str">
        <f t="shared" si="346"/>
        <v>3Q27e</v>
      </c>
      <c r="CG536" s="596" t="str">
        <f t="shared" si="346"/>
        <v>4Q27e</v>
      </c>
      <c r="CH536" s="596" t="str">
        <f t="shared" si="346"/>
        <v>1Q28e</v>
      </c>
      <c r="CI536" s="596" t="str">
        <f t="shared" si="346"/>
        <v>2Q28e</v>
      </c>
      <c r="CJ536" s="596" t="str">
        <f t="shared" si="346"/>
        <v>3Q28e</v>
      </c>
      <c r="CK536" s="596" t="str">
        <f t="shared" si="346"/>
        <v>4Q28e</v>
      </c>
      <c r="CL536" s="596" t="str">
        <f t="shared" si="346"/>
        <v>1Q29e</v>
      </c>
      <c r="CM536" s="596" t="str">
        <f t="shared" si="346"/>
        <v>2Q29e</v>
      </c>
      <c r="CN536" s="596" t="str">
        <f t="shared" si="346"/>
        <v>3Q29e</v>
      </c>
      <c r="CO536" s="596" t="str">
        <f t="shared" si="346"/>
        <v>4Q29e</v>
      </c>
      <c r="CP536" s="596" t="str">
        <f t="shared" si="346"/>
        <v>1Q30e</v>
      </c>
      <c r="CQ536" s="596" t="str">
        <f t="shared" si="346"/>
        <v>2Q30e</v>
      </c>
      <c r="CR536" s="596" t="str">
        <f t="shared" si="346"/>
        <v>3Q30e</v>
      </c>
      <c r="CS536" s="596" t="str">
        <f t="shared" si="346"/>
        <v>4Q30e</v>
      </c>
    </row>
    <row r="537" spans="1:97">
      <c r="A537" s="36" t="s">
        <v>200</v>
      </c>
      <c r="B537" s="92"/>
      <c r="C537" s="92"/>
      <c r="D537" s="92"/>
      <c r="E537" s="92"/>
      <c r="F537" s="92"/>
      <c r="G537" s="92"/>
      <c r="H537" s="92"/>
      <c r="I537" s="92"/>
      <c r="J537" s="92">
        <f>Q_Financials!B20</f>
        <v>173.76999999999998</v>
      </c>
      <c r="K537" s="92">
        <f>Q_Financials!C20</f>
        <v>190.00599999999986</v>
      </c>
      <c r="L537" s="92">
        <f>Q_Financials!D20</f>
        <v>237.23299999999972</v>
      </c>
      <c r="M537" s="92">
        <f>Q_Financials!E20</f>
        <v>399.22699999999986</v>
      </c>
      <c r="N537" s="92">
        <f>Q_Financials!F20</f>
        <v>223.70600000000013</v>
      </c>
      <c r="O537" s="92">
        <f>Q_Financials!G20</f>
        <v>253.53999999999996</v>
      </c>
      <c r="P537" s="92">
        <f>Q_Financials!H20</f>
        <v>237.52099999999996</v>
      </c>
      <c r="Q537" s="92">
        <f>Q_Financials!I20</f>
        <v>283.86399999999981</v>
      </c>
      <c r="R537" s="92">
        <f>Q_Financials!J20</f>
        <v>227.35200000000009</v>
      </c>
      <c r="S537" s="92">
        <f>Q_Financials!K20</f>
        <v>310.75700000000029</v>
      </c>
      <c r="T537" s="92">
        <f>Q_Financials!L20</f>
        <v>284.21600000000012</v>
      </c>
      <c r="U537" s="92">
        <f>Q_Financials!M20</f>
        <v>292.52199999999993</v>
      </c>
      <c r="V537" s="92">
        <f>Q_Financials!N20</f>
        <v>285.25699999999983</v>
      </c>
      <c r="W537" s="92">
        <f>Q_Financials!O20</f>
        <v>431.18499999999972</v>
      </c>
      <c r="X537" s="92">
        <f>Q_Financials!P20</f>
        <v>412.52399999999989</v>
      </c>
      <c r="Y537" s="92">
        <f>Q_Financials!Q20</f>
        <v>479.09899999999993</v>
      </c>
      <c r="Z537" s="92">
        <f>Q_Financials!R20</f>
        <v>373.4670000000001</v>
      </c>
      <c r="AA537" s="92">
        <f>Q_Financials!S20</f>
        <v>505.00700000000006</v>
      </c>
      <c r="AB537" s="92">
        <f>Q_Financials!T20</f>
        <v>545.93199999999979</v>
      </c>
      <c r="AC537" s="92">
        <f>Q_Financials!U20</f>
        <v>614.31600000000026</v>
      </c>
      <c r="AD537" s="92">
        <f>Q_Financials!V20</f>
        <v>423.75300000000016</v>
      </c>
      <c r="AE537" s="92">
        <f>Q_Financials!W20</f>
        <v>618.3119999999999</v>
      </c>
      <c r="AF537" s="92">
        <f>Q_Financials!X20</f>
        <v>705.71200000000044</v>
      </c>
      <c r="AG537" s="92">
        <f>Q_Financials!Y20</f>
        <v>1045.3149999999996</v>
      </c>
      <c r="AH537" s="92">
        <f>Q_Financials!Z20</f>
        <v>850.23400000000129</v>
      </c>
      <c r="AI537" s="92">
        <f>Q_Financials!AA20</f>
        <v>997.69999999999982</v>
      </c>
      <c r="AJ537" s="92">
        <f>Q_Financials!AB20</f>
        <v>1086.9549999999999</v>
      </c>
      <c r="AK537" s="92">
        <f>Q_Financials!AC20</f>
        <v>1366.8399999999992</v>
      </c>
      <c r="AL537" s="92">
        <f>Q_Financials!AD20</f>
        <v>1035.1620000000003</v>
      </c>
      <c r="AM537" s="92">
        <f>Q_Financials!AE20</f>
        <v>1223.0079999999989</v>
      </c>
      <c r="AN537" s="92">
        <f>Q_Financials!AF20</f>
        <v>1327.723</v>
      </c>
      <c r="AO537" s="92">
        <f>Q_Financials!AG20</f>
        <v>1569.3450000000003</v>
      </c>
      <c r="AP537" s="92">
        <f>Q_Financials!AH20</f>
        <v>1287.1059999999998</v>
      </c>
      <c r="AQ537" s="92">
        <f>Q_Financials!AI20</f>
        <v>1406.4710000000005</v>
      </c>
      <c r="AR537" s="92">
        <f>Q_Financials!AJ20</f>
        <v>1414.860999999999</v>
      </c>
      <c r="AS537" s="92">
        <f>Q_Financials!AK20</f>
        <v>2357.8060000000005</v>
      </c>
      <c r="AT537" s="92">
        <f>Q_Financials!AL20</f>
        <v>1427.924</v>
      </c>
      <c r="AU537" s="92">
        <f>Q_Financials!AM20</f>
        <v>1578.8879999999999</v>
      </c>
      <c r="AV537" s="92">
        <f>Q_Financials!AN20</f>
        <v>1536.9350000000004</v>
      </c>
      <c r="AW537" s="92">
        <f>Q_Financials!AO20</f>
        <v>1864.5699999999988</v>
      </c>
      <c r="AX537" s="92">
        <f>Q_Financials!AP20</f>
        <v>1543.943</v>
      </c>
      <c r="AY537" s="92">
        <f>Q_Financials!AQ20</f>
        <v>1834.9660000000015</v>
      </c>
      <c r="AZ537" s="92">
        <f>Q_Financials!AR20</f>
        <v>1919.4199999999987</v>
      </c>
      <c r="BA537" s="92">
        <f>Q_Financials!AS20</f>
        <v>2369.8399999999992</v>
      </c>
      <c r="BB537" s="92">
        <f>Q_Financials!AT20</f>
        <v>1226.6309999999994</v>
      </c>
      <c r="BC537" s="329">
        <f>Q_Financials!AU20</f>
        <v>-1751.5030000000004</v>
      </c>
      <c r="BD537" s="329">
        <f>Q_Financials!AV20</f>
        <v>416.38599999999906</v>
      </c>
      <c r="BE537" s="329">
        <f>Q_Financials!AW20</f>
        <v>1545.2279999999998</v>
      </c>
      <c r="BF537" s="329">
        <f>Q_Financials!AX20</f>
        <v>690.673</v>
      </c>
      <c r="BG537" s="329">
        <f>Q_Financials!AY20</f>
        <v>1530.3399999999997</v>
      </c>
      <c r="BH537" s="329">
        <f>Q_Financials!AZ20</f>
        <v>1856.3349999999994</v>
      </c>
      <c r="BI537" s="329">
        <f>Q_Financials!BA20</f>
        <v>2458.9390000000003</v>
      </c>
      <c r="BJ537" s="329">
        <f>Q_Financials!BB20</f>
        <v>1862.1709999999996</v>
      </c>
      <c r="BK537" s="329">
        <f>Q_Financials!BC20</f>
        <v>2221.8789999999999</v>
      </c>
      <c r="BL537" s="329">
        <f>Q_Financials!BD20</f>
        <v>2134.7519999999986</v>
      </c>
      <c r="BM537" s="329">
        <f>Q_Financials!BE20</f>
        <v>2605.7039999999997</v>
      </c>
      <c r="BN537" s="329">
        <f>Q_Financials!BF20</f>
        <v>2304.4430000000002</v>
      </c>
      <c r="BO537" s="329">
        <f>Q_Financials!BG20</f>
        <v>2574.3399999999992</v>
      </c>
      <c r="BP537" s="329">
        <f>Q_Financials!BH20</f>
        <v>2705.5589999999979</v>
      </c>
      <c r="BQ537" s="329">
        <f>Q_Financials!BI20</f>
        <v>3210.2869999999994</v>
      </c>
      <c r="BR537" s="329">
        <f>Q_Financials!BJ20</f>
        <v>2589.1290000000008</v>
      </c>
      <c r="BS537" s="329">
        <f>Q_Financials!BK20</f>
        <v>2746.6760000000017</v>
      </c>
      <c r="BT537" s="329">
        <f>Q_Financials!BL20</f>
        <v>2711.3457648214589</v>
      </c>
      <c r="BU537" s="329">
        <f>Q_Financials!BM20</f>
        <v>3047.9592868923373</v>
      </c>
      <c r="BV537" s="329">
        <f>Q_Financials!BN20</f>
        <v>2678.9595066114543</v>
      </c>
      <c r="BW537" s="329">
        <f>Q_Financials!BO20</f>
        <v>2864.30120608369</v>
      </c>
      <c r="BX537" s="329">
        <f>Q_Financials!BP20</f>
        <v>2956.0249191474777</v>
      </c>
      <c r="BY537" s="329">
        <f>Q_Financials!BQ20</f>
        <v>3315.7401320103527</v>
      </c>
      <c r="BZ537" s="329">
        <f>Q_Financials!BR20</f>
        <v>2898.322916335901</v>
      </c>
      <c r="CA537" s="329">
        <f>Q_Financials!BS20</f>
        <v>3077.6872253176807</v>
      </c>
      <c r="CB537" s="329">
        <f>Q_Financials!BT20</f>
        <v>3177.9144442392389</v>
      </c>
      <c r="CC537" s="329">
        <f>Q_Financials!BU20</f>
        <v>3561.8434553103216</v>
      </c>
      <c r="CD537" s="329">
        <f>Q_Financials!BV20</f>
        <v>3098.6172232946774</v>
      </c>
      <c r="CE537" s="329">
        <f>Q_Financials!BW20</f>
        <v>3288.2248258669479</v>
      </c>
      <c r="CF537" s="329">
        <f>Q_Financials!BX20</f>
        <v>3398.329475965229</v>
      </c>
      <c r="CG537" s="329">
        <f>Q_Financials!BY20</f>
        <v>3808.4702833632327</v>
      </c>
      <c r="CH537" s="329">
        <f>Q_Financials!BZ20</f>
        <v>3111.3408910037833</v>
      </c>
      <c r="CI537" s="329">
        <f>Q_Financials!CA20</f>
        <v>3303.5584888847497</v>
      </c>
      <c r="CJ537" s="329">
        <f>Q_Financials!CB20</f>
        <v>3420.4327126491298</v>
      </c>
      <c r="CK537" s="329">
        <f>Q_Financials!CC20</f>
        <v>3846.0013971138651</v>
      </c>
      <c r="CL537" s="329">
        <f>Q_Financials!CD20</f>
        <v>3267.7571538072953</v>
      </c>
      <c r="CM537" s="329">
        <f>Q_Financials!CE20</f>
        <v>3467.8930075934913</v>
      </c>
      <c r="CN537" s="329">
        <f>Q_Financials!CF20</f>
        <v>3596.8832334016133</v>
      </c>
      <c r="CO537" s="329">
        <f>Q_Financials!CG20</f>
        <v>4051.1003728384767</v>
      </c>
      <c r="CP537" s="329">
        <f>Q_Financials!CH20</f>
        <v>3430.5864310451889</v>
      </c>
      <c r="CQ537" s="329">
        <f>Q_Financials!CI20</f>
        <v>3637.2722558418063</v>
      </c>
      <c r="CR537" s="329">
        <f>Q_Financials!CJ20</f>
        <v>3777.3414861469028</v>
      </c>
      <c r="CS537" s="329">
        <f>Q_Financials!CK20</f>
        <v>4258.267630673794</v>
      </c>
    </row>
    <row r="538" spans="1:97">
      <c r="A538" s="244" t="s">
        <v>828</v>
      </c>
      <c r="B538" s="246"/>
      <c r="C538" s="246"/>
      <c r="D538" s="246"/>
      <c r="E538" s="246"/>
      <c r="F538" s="246"/>
      <c r="G538" s="246"/>
      <c r="H538" s="246"/>
      <c r="I538" s="246"/>
      <c r="J538" s="246">
        <f t="shared" ref="J538:AO538" si="347">J537/J454</f>
        <v>8.3378796537407207E-2</v>
      </c>
      <c r="K538" s="246">
        <f t="shared" si="347"/>
        <v>9.1669750371853764E-2</v>
      </c>
      <c r="L538" s="246">
        <f t="shared" si="347"/>
        <v>0.11192384575718062</v>
      </c>
      <c r="M538" s="246">
        <f t="shared" si="347"/>
        <v>0.17277602695677685</v>
      </c>
      <c r="N538" s="246">
        <f t="shared" si="347"/>
        <v>0.10673923021941796</v>
      </c>
      <c r="O538" s="246">
        <f t="shared" si="347"/>
        <v>0.11701666128213412</v>
      </c>
      <c r="P538" s="246">
        <f t="shared" si="347"/>
        <v>0.10440827719595148</v>
      </c>
      <c r="Q538" s="246">
        <f t="shared" si="347"/>
        <v>0.11614744207951148</v>
      </c>
      <c r="R538" s="246">
        <f t="shared" si="347"/>
        <v>9.4858691624971236E-2</v>
      </c>
      <c r="S538" s="246">
        <f t="shared" si="347"/>
        <v>0.11974538639029461</v>
      </c>
      <c r="T538" s="246">
        <f t="shared" si="347"/>
        <v>0.10265026473753787</v>
      </c>
      <c r="U538" s="246">
        <f t="shared" si="347"/>
        <v>9.9638535175037249E-2</v>
      </c>
      <c r="V538" s="246">
        <f t="shared" si="347"/>
        <v>9.6303976167840574E-2</v>
      </c>
      <c r="W538" s="246">
        <f t="shared" si="347"/>
        <v>0.12583589517902172</v>
      </c>
      <c r="X538" s="246">
        <f t="shared" si="347"/>
        <v>0.11778148565633444</v>
      </c>
      <c r="Y538" s="246">
        <f t="shared" si="347"/>
        <v>0.13203968529786983</v>
      </c>
      <c r="Z538" s="246">
        <f t="shared" si="347"/>
        <v>0.10988376301141659</v>
      </c>
      <c r="AA538" s="246">
        <f t="shared" si="347"/>
        <v>0.13217908997659286</v>
      </c>
      <c r="AB538" s="246">
        <f t="shared" si="347"/>
        <v>0.13373013180427598</v>
      </c>
      <c r="AC538" s="246">
        <f t="shared" si="347"/>
        <v>0.13927064707814715</v>
      </c>
      <c r="AD538" s="246">
        <f t="shared" si="347"/>
        <v>0.10614959384133814</v>
      </c>
      <c r="AE538" s="246">
        <f t="shared" si="347"/>
        <v>0.11883014825517368</v>
      </c>
      <c r="AF538" s="246">
        <f t="shared" si="347"/>
        <v>0.12377982824766567</v>
      </c>
      <c r="AG538" s="246">
        <f t="shared" si="347"/>
        <v>0.13225902202859877</v>
      </c>
      <c r="AH538" s="246">
        <f t="shared" si="347"/>
        <v>0.11576891477041734</v>
      </c>
      <c r="AI538" s="246">
        <f t="shared" si="347"/>
        <v>0.12853742014562847</v>
      </c>
      <c r="AJ538" s="246">
        <f t="shared" si="347"/>
        <v>0.13216264240901496</v>
      </c>
      <c r="AK538" s="246">
        <f t="shared" si="347"/>
        <v>0.15258612971495533</v>
      </c>
      <c r="AL538" s="246">
        <f t="shared" si="347"/>
        <v>0.12128776907610761</v>
      </c>
      <c r="AM538" s="246">
        <f t="shared" si="347"/>
        <v>0.13490693578162991</v>
      </c>
      <c r="AN538" s="246">
        <f t="shared" si="347"/>
        <v>0.13827590214688965</v>
      </c>
      <c r="AO538" s="246">
        <f t="shared" si="347"/>
        <v>0.14946776315758145</v>
      </c>
      <c r="AP538" s="246">
        <f t="shared" ref="AP538:BU538" si="348">AP537/AP454</f>
        <v>0.12752158870689687</v>
      </c>
      <c r="AQ538" s="246">
        <f t="shared" si="348"/>
        <v>0.13596444376732039</v>
      </c>
      <c r="AR538" s="246">
        <f t="shared" si="348"/>
        <v>0.13506569801841534</v>
      </c>
      <c r="AS538" s="246">
        <f t="shared" si="348"/>
        <v>0.20297699990117191</v>
      </c>
      <c r="AT538" s="246">
        <f t="shared" si="348"/>
        <v>0.12887557745514047</v>
      </c>
      <c r="AU538" s="246">
        <f t="shared" si="348"/>
        <v>0.13940990549827875</v>
      </c>
      <c r="AV538" s="246">
        <f t="shared" si="348"/>
        <v>0.13511046120943837</v>
      </c>
      <c r="AW538" s="246">
        <f t="shared" si="348"/>
        <v>0.15066231560214738</v>
      </c>
      <c r="AX538" s="246">
        <f t="shared" si="348"/>
        <v>0.11277404593579181</v>
      </c>
      <c r="AY538" s="246">
        <f t="shared" si="348"/>
        <v>0.12585037162897372</v>
      </c>
      <c r="AZ538" s="246">
        <f t="shared" si="348"/>
        <v>0.13246060504342941</v>
      </c>
      <c r="BA538" s="246">
        <f t="shared" si="348"/>
        <v>0.1539557241517035</v>
      </c>
      <c r="BB538" s="246">
        <f t="shared" si="348"/>
        <v>0.10133183644235602</v>
      </c>
      <c r="BC538" s="455">
        <f t="shared" si="348"/>
        <v>-0.33697155533990786</v>
      </c>
      <c r="BD538" s="455">
        <f t="shared" si="348"/>
        <v>4.2078241886882431E-2</v>
      </c>
      <c r="BE538" s="455">
        <f t="shared" si="348"/>
        <v>0.13678174288932829</v>
      </c>
      <c r="BF538" s="455">
        <f t="shared" si="348"/>
        <v>6.7635364641038712E-2</v>
      </c>
      <c r="BG538" s="455">
        <f t="shared" si="348"/>
        <v>0.12264926385115832</v>
      </c>
      <c r="BH538" s="455">
        <f t="shared" si="348"/>
        <v>0.13299171996539683</v>
      </c>
      <c r="BI538" s="455">
        <f t="shared" si="348"/>
        <v>0.1469592720871101</v>
      </c>
      <c r="BJ538" s="455">
        <f t="shared" si="348"/>
        <v>0.12228459710826765</v>
      </c>
      <c r="BK538" s="455">
        <f t="shared" si="348"/>
        <v>0.13116844031168545</v>
      </c>
      <c r="BL538" s="455">
        <f t="shared" si="348"/>
        <v>0.12185926206015961</v>
      </c>
      <c r="BM538" s="455">
        <f t="shared" si="348"/>
        <v>0.13609774411427908</v>
      </c>
      <c r="BN538" s="455">
        <f t="shared" si="348"/>
        <v>0.13044769885869451</v>
      </c>
      <c r="BO538" s="455">
        <f t="shared" si="348"/>
        <v>0.13585815284546182</v>
      </c>
      <c r="BP538" s="455">
        <f t="shared" ref="BP538" si="349">BP537/BP454</f>
        <v>0.13896058618260088</v>
      </c>
      <c r="BQ538" s="455">
        <f t="shared" si="348"/>
        <v>0.15934560575276546</v>
      </c>
      <c r="BR538" s="455">
        <f t="shared" si="348"/>
        <v>0.14223773360930514</v>
      </c>
      <c r="BS538" s="455">
        <f t="shared" si="348"/>
        <v>0.14265452119895256</v>
      </c>
      <c r="BT538" s="455">
        <f t="shared" si="348"/>
        <v>0.13483935238300934</v>
      </c>
      <c r="BU538" s="455">
        <f t="shared" si="348"/>
        <v>0.14525024701571554</v>
      </c>
      <c r="BV538" s="455">
        <f>BV537/BV454</f>
        <v>0.13454271252278946</v>
      </c>
      <c r="BW538" s="455">
        <f>BW537/BW454</f>
        <v>0.13376011815822117</v>
      </c>
      <c r="BX538" s="455">
        <f>BX537/BX454</f>
        <v>0.13460911618006313</v>
      </c>
      <c r="BY538" s="455">
        <f>BY537/BY454</f>
        <v>0.14596745808669465</v>
      </c>
      <c r="BZ538" s="455">
        <f t="shared" ref="BZ538:CS538" si="350">BZ537/BZ454</f>
        <v>0.13507744624541757</v>
      </c>
      <c r="CA538" s="455">
        <f t="shared" si="350"/>
        <v>0.13488307416915654</v>
      </c>
      <c r="CB538" s="455">
        <f t="shared" si="350"/>
        <v>0.13583564645951074</v>
      </c>
      <c r="CC538" s="455">
        <f t="shared" si="350"/>
        <v>0.1472290046487206</v>
      </c>
      <c r="CD538" s="455">
        <f t="shared" si="350"/>
        <v>0.13625867243350021</v>
      </c>
      <c r="CE538" s="455">
        <f t="shared" si="350"/>
        <v>0.13619583452761211</v>
      </c>
      <c r="CF538" s="455">
        <f t="shared" si="350"/>
        <v>0.13722867814709705</v>
      </c>
      <c r="CG538" s="455">
        <f t="shared" si="350"/>
        <v>0.14856771595935173</v>
      </c>
      <c r="CH538" s="455">
        <f t="shared" si="350"/>
        <v>0.12995426289757808</v>
      </c>
      <c r="CI538" s="455">
        <f t="shared" si="350"/>
        <v>0.13010390714827347</v>
      </c>
      <c r="CJ538" s="455">
        <f t="shared" si="350"/>
        <v>0.13123750603697787</v>
      </c>
      <c r="CK538" s="455">
        <f t="shared" si="350"/>
        <v>0.14237324028478471</v>
      </c>
      <c r="CL538" s="455">
        <f t="shared" si="350"/>
        <v>0.12966788453070649</v>
      </c>
      <c r="CM538" s="455">
        <f t="shared" si="350"/>
        <v>0.12988854811718431</v>
      </c>
      <c r="CN538" s="455">
        <f t="shared" si="350"/>
        <v>0.13115939022400655</v>
      </c>
      <c r="CO538" s="455">
        <f t="shared" si="350"/>
        <v>0.14234859779535716</v>
      </c>
      <c r="CP538" s="455">
        <f t="shared" si="350"/>
        <v>0.12939234772996738</v>
      </c>
      <c r="CQ538" s="455">
        <f t="shared" si="350"/>
        <v>0.12968181072280091</v>
      </c>
      <c r="CR538" s="455">
        <f t="shared" si="350"/>
        <v>0.13108606306272944</v>
      </c>
      <c r="CS538" s="455">
        <f t="shared" si="350"/>
        <v>0.14232576801833738</v>
      </c>
    </row>
    <row r="539" spans="1:97">
      <c r="A539" s="36" t="s">
        <v>194</v>
      </c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>
        <f t="shared" ref="N539:AS539" si="351">(N538-J538)*10000</f>
        <v>233.60433682010753</v>
      </c>
      <c r="O539" s="92">
        <f t="shared" si="351"/>
        <v>253.46910910280351</v>
      </c>
      <c r="P539" s="92">
        <f t="shared" si="351"/>
        <v>-75.155685612291322</v>
      </c>
      <c r="Q539" s="92">
        <f t="shared" si="351"/>
        <v>-566.28584877265371</v>
      </c>
      <c r="R539" s="92">
        <f t="shared" si="351"/>
        <v>-118.80538594446725</v>
      </c>
      <c r="S539" s="92">
        <f t="shared" si="351"/>
        <v>27.287251081604957</v>
      </c>
      <c r="T539" s="92">
        <f t="shared" si="351"/>
        <v>-17.580124584136158</v>
      </c>
      <c r="U539" s="92">
        <f t="shared" si="351"/>
        <v>-165.08906904474236</v>
      </c>
      <c r="V539" s="92">
        <f t="shared" si="351"/>
        <v>14.452845428693378</v>
      </c>
      <c r="W539" s="92">
        <f t="shared" si="351"/>
        <v>60.905087887271058</v>
      </c>
      <c r="X539" s="92">
        <f t="shared" si="351"/>
        <v>151.31220918796566</v>
      </c>
      <c r="Y539" s="92">
        <f t="shared" si="351"/>
        <v>324.01150122832581</v>
      </c>
      <c r="Z539" s="92">
        <f t="shared" si="351"/>
        <v>135.79786843576011</v>
      </c>
      <c r="AA539" s="92">
        <f t="shared" si="351"/>
        <v>63.431947975711445</v>
      </c>
      <c r="AB539" s="92">
        <f t="shared" si="351"/>
        <v>159.48646147941545</v>
      </c>
      <c r="AC539" s="92">
        <f t="shared" si="351"/>
        <v>72.309617802773232</v>
      </c>
      <c r="AD539" s="92">
        <f t="shared" si="351"/>
        <v>-37.341691700784466</v>
      </c>
      <c r="AE539" s="92">
        <f t="shared" si="351"/>
        <v>-133.48941721419177</v>
      </c>
      <c r="AF539" s="92">
        <f t="shared" si="351"/>
        <v>-99.503035566103065</v>
      </c>
      <c r="AG539" s="92">
        <f t="shared" si="351"/>
        <v>-70.116250495483868</v>
      </c>
      <c r="AH539" s="92">
        <f t="shared" si="351"/>
        <v>96.193209290792026</v>
      </c>
      <c r="AI539" s="92">
        <f t="shared" si="351"/>
        <v>97.072718904547827</v>
      </c>
      <c r="AJ539" s="92">
        <f t="shared" si="351"/>
        <v>83.828141613492832</v>
      </c>
      <c r="AK539" s="92">
        <f t="shared" si="351"/>
        <v>203.27107686356567</v>
      </c>
      <c r="AL539" s="92">
        <f t="shared" si="351"/>
        <v>55.188543056902681</v>
      </c>
      <c r="AM539" s="92">
        <f t="shared" si="351"/>
        <v>63.69515636001438</v>
      </c>
      <c r="AN539" s="92">
        <f t="shared" si="351"/>
        <v>61.13259737874688</v>
      </c>
      <c r="AO539" s="92">
        <f t="shared" si="351"/>
        <v>-31.183665573738807</v>
      </c>
      <c r="AP539" s="92">
        <f t="shared" si="351"/>
        <v>62.338196307892559</v>
      </c>
      <c r="AQ539" s="92">
        <f t="shared" si="351"/>
        <v>10.575079856904868</v>
      </c>
      <c r="AR539" s="92">
        <f t="shared" si="351"/>
        <v>-32.102041284743088</v>
      </c>
      <c r="AS539" s="92">
        <f t="shared" si="351"/>
        <v>535.09236743590452</v>
      </c>
      <c r="AT539" s="92">
        <f t="shared" ref="AT539:BY539" si="352">(AT538-AP538)*10000</f>
        <v>13.539887482436065</v>
      </c>
      <c r="AU539" s="92">
        <f t="shared" si="352"/>
        <v>34.454617309583604</v>
      </c>
      <c r="AV539" s="92">
        <f t="shared" si="352"/>
        <v>0.44763191023033944</v>
      </c>
      <c r="AW539" s="92">
        <f t="shared" si="352"/>
        <v>-523.14684299024532</v>
      </c>
      <c r="AX539" s="92">
        <f t="shared" si="352"/>
        <v>-161.01531519348663</v>
      </c>
      <c r="AY539" s="92">
        <f t="shared" si="352"/>
        <v>-135.59533869305028</v>
      </c>
      <c r="AZ539" s="92">
        <f t="shared" si="352"/>
        <v>-26.498561660089624</v>
      </c>
      <c r="BA539" s="92">
        <f t="shared" si="352"/>
        <v>32.934085495561206</v>
      </c>
      <c r="BB539" s="92">
        <f t="shared" si="352"/>
        <v>-114.42209493435787</v>
      </c>
      <c r="BC539" s="462">
        <f t="shared" si="352"/>
        <v>-4628.219269688816</v>
      </c>
      <c r="BD539" s="462">
        <f t="shared" si="352"/>
        <v>-903.82363156546978</v>
      </c>
      <c r="BE539" s="462">
        <f t="shared" si="352"/>
        <v>-171.7398126237521</v>
      </c>
      <c r="BF539" s="462">
        <f t="shared" si="352"/>
        <v>-336.96471801317313</v>
      </c>
      <c r="BG539" s="462">
        <f t="shared" si="352"/>
        <v>4596.2081919106622</v>
      </c>
      <c r="BH539" s="462">
        <f t="shared" si="352"/>
        <v>909.1347807851439</v>
      </c>
      <c r="BI539" s="462">
        <f t="shared" si="352"/>
        <v>101.7752919778181</v>
      </c>
      <c r="BJ539" s="462">
        <f t="shared" si="352"/>
        <v>546.49232467228944</v>
      </c>
      <c r="BK539" s="462">
        <f t="shared" si="352"/>
        <v>85.191764605271331</v>
      </c>
      <c r="BL539" s="462">
        <f t="shared" si="352"/>
        <v>-111.32457905237217</v>
      </c>
      <c r="BM539" s="462">
        <f t="shared" si="352"/>
        <v>-108.6152797283102</v>
      </c>
      <c r="BN539" s="462">
        <f>(BN538-BJ538)*10000</f>
        <v>81.631017504268513</v>
      </c>
      <c r="BO539" s="462">
        <f>(BO538-BK538)*10000</f>
        <v>46.89712533776369</v>
      </c>
      <c r="BP539" s="462">
        <f>(BP538-BL538)*10000</f>
        <v>171.01324122441267</v>
      </c>
      <c r="BQ539" s="462">
        <f>(BQ538-BM538)*10000</f>
        <v>232.47861638486384</v>
      </c>
      <c r="BR539" s="462">
        <f t="shared" si="352"/>
        <v>117.90034750610634</v>
      </c>
      <c r="BS539" s="462">
        <f t="shared" si="352"/>
        <v>67.963683534907332</v>
      </c>
      <c r="BT539" s="462">
        <f t="shared" si="352"/>
        <v>-41.212337995915341</v>
      </c>
      <c r="BU539" s="462">
        <f t="shared" si="352"/>
        <v>-140.95358737049924</v>
      </c>
      <c r="BV539" s="462">
        <f t="shared" si="352"/>
        <v>-76.950210865156805</v>
      </c>
      <c r="BW539" s="462">
        <f t="shared" si="352"/>
        <v>-88.944030407313861</v>
      </c>
      <c r="BX539" s="462">
        <f t="shared" si="352"/>
        <v>-2.3023620294621017</v>
      </c>
      <c r="BY539" s="462">
        <f t="shared" si="352"/>
        <v>7.1721107097910686</v>
      </c>
      <c r="BZ539" s="462">
        <f t="shared" ref="BZ539:CS539" si="353">(BZ538-BV538)*10000</f>
        <v>5.3473372262810575</v>
      </c>
      <c r="CA539" s="462">
        <f t="shared" si="353"/>
        <v>11.22956010935372</v>
      </c>
      <c r="CB539" s="462">
        <f t="shared" si="353"/>
        <v>12.265302794476074</v>
      </c>
      <c r="CC539" s="462">
        <f t="shared" si="353"/>
        <v>12.615465620259558</v>
      </c>
      <c r="CD539" s="462">
        <f t="shared" si="353"/>
        <v>11.812261880826401</v>
      </c>
      <c r="CE539" s="462">
        <f t="shared" si="353"/>
        <v>13.127603584555668</v>
      </c>
      <c r="CF539" s="462">
        <f t="shared" si="353"/>
        <v>13.930316875863102</v>
      </c>
      <c r="CG539" s="462">
        <f t="shared" si="353"/>
        <v>13.387113106311244</v>
      </c>
      <c r="CH539" s="462">
        <f t="shared" si="353"/>
        <v>-63.044095359221231</v>
      </c>
      <c r="CI539" s="462">
        <f t="shared" si="353"/>
        <v>-60.919273793386409</v>
      </c>
      <c r="CJ539" s="462">
        <f t="shared" si="353"/>
        <v>-59.911721101191809</v>
      </c>
      <c r="CK539" s="462">
        <f t="shared" si="353"/>
        <v>-61.944756745670183</v>
      </c>
      <c r="CL539" s="462">
        <f t="shared" si="353"/>
        <v>-2.8637836687159246</v>
      </c>
      <c r="CM539" s="462">
        <f t="shared" si="353"/>
        <v>-2.1535903108915733</v>
      </c>
      <c r="CN539" s="462">
        <f t="shared" si="353"/>
        <v>-0.78115812971318865</v>
      </c>
      <c r="CO539" s="462">
        <f t="shared" si="353"/>
        <v>-0.24642489427545433</v>
      </c>
      <c r="CP539" s="462">
        <f t="shared" si="353"/>
        <v>-2.755368007391068</v>
      </c>
      <c r="CQ539" s="462">
        <f t="shared" si="353"/>
        <v>-2.0673739438339944</v>
      </c>
      <c r="CR539" s="462">
        <f t="shared" si="353"/>
        <v>-0.73327161277114694</v>
      </c>
      <c r="CS539" s="462">
        <f t="shared" si="353"/>
        <v>-0.22829777019783837</v>
      </c>
    </row>
    <row r="540" spans="1:97">
      <c r="A540" s="36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  <c r="AA540" s="92"/>
      <c r="AB540" s="92"/>
      <c r="AC540" s="92"/>
      <c r="AD540" s="92"/>
      <c r="AE540" s="92"/>
      <c r="AF540" s="92"/>
      <c r="AG540" s="92"/>
      <c r="AH540" s="92"/>
      <c r="AI540" s="92"/>
      <c r="AJ540" s="92"/>
      <c r="AK540" s="92"/>
      <c r="AL540" s="92"/>
      <c r="AM540" s="92"/>
      <c r="AN540" s="92"/>
      <c r="AO540" s="92"/>
      <c r="AP540" s="92"/>
      <c r="AQ540" s="92"/>
      <c r="AR540" s="92"/>
      <c r="AS540" s="92"/>
      <c r="AT540" s="92"/>
      <c r="AU540" s="92"/>
      <c r="AV540" s="92"/>
      <c r="AW540" s="92"/>
      <c r="AX540" s="92"/>
      <c r="AY540" s="92"/>
      <c r="AZ540" s="92"/>
      <c r="BA540" s="92"/>
      <c r="BB540" s="92"/>
      <c r="BC540" s="462"/>
      <c r="BD540" s="462"/>
      <c r="BE540" s="462"/>
      <c r="BF540" s="462"/>
      <c r="BG540" s="462"/>
      <c r="BH540" s="462"/>
      <c r="BI540" s="462"/>
      <c r="BJ540" s="462"/>
      <c r="BK540" s="462"/>
      <c r="BL540" s="462"/>
      <c r="BM540" s="462"/>
      <c r="BN540" s="462"/>
      <c r="BO540" s="462"/>
      <c r="BP540" s="462"/>
      <c r="BQ540" s="462"/>
      <c r="BR540" s="462"/>
      <c r="BS540" s="462"/>
      <c r="BT540" s="462"/>
      <c r="BU540" s="462"/>
      <c r="BV540" s="462"/>
      <c r="BW540" s="462"/>
      <c r="BX540" s="462"/>
      <c r="BY540" s="462"/>
      <c r="BZ540" s="462"/>
      <c r="CA540" s="462"/>
      <c r="CB540" s="462"/>
      <c r="CC540" s="462"/>
      <c r="CD540" s="462"/>
      <c r="CE540" s="462"/>
      <c r="CF540" s="462"/>
      <c r="CG540" s="462"/>
      <c r="CH540" s="462"/>
      <c r="CI540" s="462"/>
      <c r="CJ540" s="462"/>
      <c r="CK540" s="462"/>
      <c r="CL540" s="462"/>
      <c r="CM540" s="462"/>
      <c r="CN540" s="462"/>
      <c r="CO540" s="462"/>
      <c r="CP540" s="462"/>
      <c r="CQ540" s="462"/>
      <c r="CR540" s="462"/>
      <c r="CS540" s="462"/>
    </row>
    <row r="541" spans="1:97">
      <c r="A541" s="242" t="s">
        <v>98</v>
      </c>
      <c r="B541" s="595"/>
      <c r="C541" s="595"/>
      <c r="D541" s="595"/>
      <c r="E541" s="595"/>
      <c r="F541" s="595"/>
      <c r="G541" s="595"/>
      <c r="H541" s="595"/>
      <c r="I541" s="595"/>
      <c r="J541" s="595" t="str">
        <f t="shared" ref="J541:AO541" si="354">J$453</f>
        <v>1Q09</v>
      </c>
      <c r="K541" s="595" t="str">
        <f t="shared" si="354"/>
        <v>2Q09</v>
      </c>
      <c r="L541" s="595" t="str">
        <f t="shared" si="354"/>
        <v>3Q09</v>
      </c>
      <c r="M541" s="595" t="str">
        <f t="shared" si="354"/>
        <v>4Q09</v>
      </c>
      <c r="N541" s="595" t="str">
        <f t="shared" si="354"/>
        <v>1Q10</v>
      </c>
      <c r="O541" s="595" t="str">
        <f t="shared" si="354"/>
        <v>2Q10</v>
      </c>
      <c r="P541" s="595" t="str">
        <f t="shared" si="354"/>
        <v>3Q10</v>
      </c>
      <c r="Q541" s="595" t="str">
        <f t="shared" si="354"/>
        <v>4Q10</v>
      </c>
      <c r="R541" s="595" t="str">
        <f t="shared" si="354"/>
        <v>1Q11</v>
      </c>
      <c r="S541" s="595" t="str">
        <f t="shared" si="354"/>
        <v>2Q11</v>
      </c>
      <c r="T541" s="595" t="str">
        <f t="shared" si="354"/>
        <v>3Q11</v>
      </c>
      <c r="U541" s="595" t="str">
        <f t="shared" si="354"/>
        <v>4Q11</v>
      </c>
      <c r="V541" s="595" t="str">
        <f t="shared" si="354"/>
        <v>1Q12</v>
      </c>
      <c r="W541" s="595" t="str">
        <f t="shared" si="354"/>
        <v>2Q12</v>
      </c>
      <c r="X541" s="595" t="str">
        <f t="shared" si="354"/>
        <v>3Q12</v>
      </c>
      <c r="Y541" s="595" t="str">
        <f t="shared" si="354"/>
        <v>4Q12</v>
      </c>
      <c r="Z541" s="595" t="str">
        <f t="shared" si="354"/>
        <v>1Q13</v>
      </c>
      <c r="AA541" s="595" t="str">
        <f t="shared" si="354"/>
        <v>2Q13</v>
      </c>
      <c r="AB541" s="595" t="str">
        <f t="shared" si="354"/>
        <v>3Q13</v>
      </c>
      <c r="AC541" s="595" t="str">
        <f t="shared" si="354"/>
        <v>4Q13</v>
      </c>
      <c r="AD541" s="595" t="str">
        <f t="shared" si="354"/>
        <v>1Q14</v>
      </c>
      <c r="AE541" s="595" t="str">
        <f t="shared" si="354"/>
        <v>2Q14</v>
      </c>
      <c r="AF541" s="595" t="str">
        <f t="shared" si="354"/>
        <v>3Q14</v>
      </c>
      <c r="AG541" s="595" t="str">
        <f t="shared" si="354"/>
        <v>4Q14</v>
      </c>
      <c r="AH541" s="595" t="str">
        <f t="shared" si="354"/>
        <v>1Q15</v>
      </c>
      <c r="AI541" s="595" t="str">
        <f t="shared" si="354"/>
        <v>2Q15</v>
      </c>
      <c r="AJ541" s="595" t="str">
        <f t="shared" si="354"/>
        <v>3Q15</v>
      </c>
      <c r="AK541" s="595" t="str">
        <f t="shared" si="354"/>
        <v>4Q15</v>
      </c>
      <c r="AL541" s="595" t="str">
        <f t="shared" si="354"/>
        <v>1Q16</v>
      </c>
      <c r="AM541" s="595" t="str">
        <f t="shared" si="354"/>
        <v>2Q16</v>
      </c>
      <c r="AN541" s="595" t="str">
        <f t="shared" si="354"/>
        <v>3Q16</v>
      </c>
      <c r="AO541" s="595" t="str">
        <f t="shared" si="354"/>
        <v>4Q16</v>
      </c>
      <c r="AP541" s="595" t="str">
        <f t="shared" ref="AP541:CS541" si="355">AP$453</f>
        <v>1Q17</v>
      </c>
      <c r="AQ541" s="595" t="str">
        <f t="shared" si="355"/>
        <v>2Q17</v>
      </c>
      <c r="AR541" s="595" t="str">
        <f t="shared" si="355"/>
        <v>3Q17</v>
      </c>
      <c r="AS541" s="595" t="str">
        <f t="shared" si="355"/>
        <v>4Q17</v>
      </c>
      <c r="AT541" s="595" t="str">
        <f t="shared" si="355"/>
        <v>1Q18</v>
      </c>
      <c r="AU541" s="595" t="str">
        <f t="shared" si="355"/>
        <v>2Q18</v>
      </c>
      <c r="AV541" s="595" t="str">
        <f t="shared" si="355"/>
        <v>3Q18</v>
      </c>
      <c r="AW541" s="595" t="str">
        <f t="shared" si="355"/>
        <v>4Q18</v>
      </c>
      <c r="AX541" s="595" t="str">
        <f t="shared" si="355"/>
        <v>1Q19</v>
      </c>
      <c r="AY541" s="595" t="str">
        <f t="shared" si="355"/>
        <v>2Q19</v>
      </c>
      <c r="AZ541" s="595" t="str">
        <f t="shared" si="355"/>
        <v>3Q19</v>
      </c>
      <c r="BA541" s="595" t="str">
        <f t="shared" si="355"/>
        <v>4Q19</v>
      </c>
      <c r="BB541" s="595" t="str">
        <f t="shared" si="355"/>
        <v>1Q20</v>
      </c>
      <c r="BC541" s="595" t="str">
        <f t="shared" si="355"/>
        <v>2Q20</v>
      </c>
      <c r="BD541" s="595" t="str">
        <f t="shared" si="355"/>
        <v>3Q20</v>
      </c>
      <c r="BE541" s="595" t="str">
        <f t="shared" si="355"/>
        <v>4Q20</v>
      </c>
      <c r="BF541" s="595" t="str">
        <f t="shared" si="355"/>
        <v>1Q21</v>
      </c>
      <c r="BG541" s="595" t="str">
        <f t="shared" si="355"/>
        <v>2Q21</v>
      </c>
      <c r="BH541" s="595" t="str">
        <f t="shared" si="355"/>
        <v>3Q21</v>
      </c>
      <c r="BI541" s="595" t="str">
        <f t="shared" si="355"/>
        <v>4Q21</v>
      </c>
      <c r="BJ541" s="595" t="str">
        <f t="shared" si="355"/>
        <v>1Q22</v>
      </c>
      <c r="BK541" s="595" t="str">
        <f t="shared" si="355"/>
        <v>2Q22</v>
      </c>
      <c r="BL541" s="595" t="str">
        <f t="shared" si="355"/>
        <v>3Q22</v>
      </c>
      <c r="BM541" s="595" t="str">
        <f t="shared" si="355"/>
        <v>4Q22</v>
      </c>
      <c r="BN541" s="595" t="str">
        <f t="shared" si="355"/>
        <v>1Q23</v>
      </c>
      <c r="BO541" s="595" t="str">
        <f t="shared" si="355"/>
        <v>2Q23</v>
      </c>
      <c r="BP541" s="595" t="str">
        <f t="shared" si="355"/>
        <v>3Q23</v>
      </c>
      <c r="BQ541" s="595" t="str">
        <f t="shared" si="355"/>
        <v>4Q23</v>
      </c>
      <c r="BR541" s="596" t="str">
        <f t="shared" si="355"/>
        <v>1Q24</v>
      </c>
      <c r="BS541" s="596" t="str">
        <f t="shared" si="355"/>
        <v>2Q24e</v>
      </c>
      <c r="BT541" s="596" t="str">
        <f t="shared" si="355"/>
        <v>3Q24e</v>
      </c>
      <c r="BU541" s="596" t="str">
        <f t="shared" si="355"/>
        <v>4Q24e</v>
      </c>
      <c r="BV541" s="596" t="str">
        <f t="shared" si="355"/>
        <v>1Q25e</v>
      </c>
      <c r="BW541" s="596" t="str">
        <f t="shared" si="355"/>
        <v>2Q25e</v>
      </c>
      <c r="BX541" s="596" t="str">
        <f t="shared" si="355"/>
        <v>3Q25e</v>
      </c>
      <c r="BY541" s="596" t="str">
        <f t="shared" si="355"/>
        <v>4Q25e</v>
      </c>
      <c r="BZ541" s="596" t="str">
        <f t="shared" si="355"/>
        <v>1Q26e</v>
      </c>
      <c r="CA541" s="596" t="str">
        <f t="shared" si="355"/>
        <v>2Q26e</v>
      </c>
      <c r="CB541" s="596" t="str">
        <f t="shared" si="355"/>
        <v>3Q26e</v>
      </c>
      <c r="CC541" s="596" t="str">
        <f t="shared" si="355"/>
        <v>4Q26e</v>
      </c>
      <c r="CD541" s="596" t="str">
        <f t="shared" si="355"/>
        <v>1Q27e</v>
      </c>
      <c r="CE541" s="596" t="str">
        <f t="shared" si="355"/>
        <v>2Q27e</v>
      </c>
      <c r="CF541" s="596" t="str">
        <f t="shared" si="355"/>
        <v>3Q27e</v>
      </c>
      <c r="CG541" s="596" t="str">
        <f t="shared" si="355"/>
        <v>4Q27e</v>
      </c>
      <c r="CH541" s="596" t="str">
        <f t="shared" si="355"/>
        <v>1Q28e</v>
      </c>
      <c r="CI541" s="596" t="str">
        <f t="shared" si="355"/>
        <v>2Q28e</v>
      </c>
      <c r="CJ541" s="596" t="str">
        <f t="shared" si="355"/>
        <v>3Q28e</v>
      </c>
      <c r="CK541" s="596" t="str">
        <f t="shared" si="355"/>
        <v>4Q28e</v>
      </c>
      <c r="CL541" s="596" t="str">
        <f t="shared" si="355"/>
        <v>1Q29e</v>
      </c>
      <c r="CM541" s="596" t="str">
        <f t="shared" si="355"/>
        <v>2Q29e</v>
      </c>
      <c r="CN541" s="596" t="str">
        <f t="shared" si="355"/>
        <v>3Q29e</v>
      </c>
      <c r="CO541" s="596" t="str">
        <f t="shared" si="355"/>
        <v>4Q29e</v>
      </c>
      <c r="CP541" s="596" t="str">
        <f t="shared" si="355"/>
        <v>1Q30e</v>
      </c>
      <c r="CQ541" s="596" t="str">
        <f t="shared" si="355"/>
        <v>2Q30e</v>
      </c>
      <c r="CR541" s="596" t="str">
        <f t="shared" si="355"/>
        <v>3Q30e</v>
      </c>
      <c r="CS541" s="596" t="str">
        <f t="shared" si="355"/>
        <v>4Q30e</v>
      </c>
    </row>
    <row r="542" spans="1:97">
      <c r="A542" s="36" t="s">
        <v>200</v>
      </c>
      <c r="B542" s="92"/>
      <c r="C542" s="92"/>
      <c r="D542" s="92"/>
      <c r="E542" s="92"/>
      <c r="F542" s="92"/>
      <c r="G542" s="92"/>
      <c r="H542" s="92"/>
      <c r="I542" s="92"/>
      <c r="J542" s="92">
        <f>Q_BS!B120</f>
        <v>1381.0439999999999</v>
      </c>
      <c r="K542" s="92">
        <f>Q_BS!C120</f>
        <v>1350.7820000000002</v>
      </c>
      <c r="L542" s="92">
        <f>Q_BS!D120</f>
        <v>881.99499999999989</v>
      </c>
      <c r="M542" s="92">
        <f>Q_BS!E120</f>
        <v>864.92000000000007</v>
      </c>
      <c r="N542" s="92">
        <f>Q_BS!F120</f>
        <v>906.024</v>
      </c>
      <c r="O542" s="92">
        <f>Q_BS!G120</f>
        <v>980.822</v>
      </c>
      <c r="P542" s="92">
        <f>Q_BS!H120</f>
        <v>877.221</v>
      </c>
      <c r="Q542" s="92">
        <f>Q_BS!I120</f>
        <v>1015.8440000000001</v>
      </c>
      <c r="R542" s="92">
        <f>Q_BS!J120</f>
        <v>1148.8280000000002</v>
      </c>
      <c r="S542" s="92">
        <f>Q_BS!K120</f>
        <v>1186.963</v>
      </c>
      <c r="T542" s="92">
        <f>Q_BS!L120</f>
        <v>1099.9699999999998</v>
      </c>
      <c r="U542" s="92">
        <f>Q_BS!M120</f>
        <v>3317.152</v>
      </c>
      <c r="V542" s="92">
        <f>Q_BS!N120</f>
        <v>3054.9050000000002</v>
      </c>
      <c r="W542" s="92">
        <f>Q_BS!O120</f>
        <v>2985.8419999999996</v>
      </c>
      <c r="X542" s="92">
        <f>Q_BS!P120</f>
        <v>2809.82</v>
      </c>
      <c r="Y542" s="92">
        <f>Q_BS!Q120</f>
        <v>1541.886</v>
      </c>
      <c r="Z542" s="92">
        <f>Q_BS!R120</f>
        <v>1566.8830000000003</v>
      </c>
      <c r="AA542" s="92">
        <f>Q_BS!S120</f>
        <v>2821.2719999999999</v>
      </c>
      <c r="AB542" s="92">
        <f>Q_BS!T120</f>
        <v>4471.2240000000002</v>
      </c>
      <c r="AC542" s="92">
        <f>Q_BS!U120</f>
        <v>4380.3469999999998</v>
      </c>
      <c r="AD542" s="92">
        <f>Q_BS!V120</f>
        <v>4579.8850000000002</v>
      </c>
      <c r="AE542" s="92">
        <f>Q_BS!W120</f>
        <v>6141.1350000000002</v>
      </c>
      <c r="AF542" s="92">
        <f>Q_BS!X120</f>
        <v>6722.3290000000006</v>
      </c>
      <c r="AG542" s="92">
        <f>Q_BS!Y120</f>
        <v>10126.329</v>
      </c>
      <c r="AH542" s="92">
        <f>Q_BS!Z120</f>
        <v>10688.098</v>
      </c>
      <c r="AI542" s="92">
        <f>Q_BS!AA120</f>
        <v>11577.710000000001</v>
      </c>
      <c r="AJ542" s="92">
        <f>Q_BS!AB120</f>
        <v>11754.452000000001</v>
      </c>
      <c r="AK542" s="92">
        <f>Q_BS!AC120</f>
        <v>11037.527</v>
      </c>
      <c r="AL542" s="92">
        <f>Q_BS!AD120</f>
        <v>16757.112000000001</v>
      </c>
      <c r="AM542" s="92">
        <f>Q_BS!AE120</f>
        <v>17583.052000000003</v>
      </c>
      <c r="AN542" s="92">
        <f>Q_BS!AF120</f>
        <v>17888.481</v>
      </c>
      <c r="AO542" s="92">
        <f>Q_BS!AG120</f>
        <v>17842.142</v>
      </c>
      <c r="AP542" s="92">
        <f>Q_BS!AH120</f>
        <v>18633.111999999997</v>
      </c>
      <c r="AQ542" s="92">
        <f>Q_BS!AI120</f>
        <v>19747.028000000002</v>
      </c>
      <c r="AR542" s="92">
        <f>Q_BS!AJ120</f>
        <v>20659.212000000003</v>
      </c>
      <c r="AS542" s="92">
        <f>Q_BS!AK120</f>
        <v>19081.171999999999</v>
      </c>
      <c r="AT542" s="92">
        <f>Q_BS!AL120</f>
        <v>19087.416000000001</v>
      </c>
      <c r="AU542" s="92">
        <f>Q_BS!AM120</f>
        <v>19752.237000000001</v>
      </c>
      <c r="AV542" s="92">
        <f>Q_BS!AN120</f>
        <v>19871.702999999998</v>
      </c>
      <c r="AW542" s="92">
        <f>Q_BS!AO120</f>
        <v>28769.674999999999</v>
      </c>
      <c r="AX542" s="92">
        <f>Q_BS!AP120</f>
        <v>32844.054999999993</v>
      </c>
      <c r="AY542" s="92">
        <f>Q_BS!AQ120</f>
        <v>30551.843999999997</v>
      </c>
      <c r="AZ542" s="92">
        <f>Q_BS!AR120</f>
        <v>30255.258000000002</v>
      </c>
      <c r="BA542" s="92">
        <f>Q_BS!AS120</f>
        <v>30056.912</v>
      </c>
      <c r="BB542" s="92">
        <f>Q_BS!AT120</f>
        <v>33909.474999999999</v>
      </c>
      <c r="BC542" s="329">
        <f>Q_BS!AU120</f>
        <v>36424.815000000002</v>
      </c>
      <c r="BD542" s="329">
        <f>Q_BS!AV120</f>
        <v>36379.738999999994</v>
      </c>
      <c r="BE542" s="329">
        <f>Q_BS!AW120</f>
        <v>39309.148999999998</v>
      </c>
      <c r="BF542" s="329">
        <f>Q_BS!AX120</f>
        <v>39332.432000000001</v>
      </c>
      <c r="BG542" s="329">
        <f>Q_BS!AY120</f>
        <v>38476.966999999997</v>
      </c>
      <c r="BH542" s="329">
        <f>Q_BS!AZ120</f>
        <v>39111.396999999997</v>
      </c>
      <c r="BI542" s="329">
        <f>Q_BS!BA120</f>
        <v>35507.777000000002</v>
      </c>
      <c r="BJ542" s="329">
        <f>Q_BS!BB120</f>
        <v>35007.223000000005</v>
      </c>
      <c r="BK542" s="329">
        <f>Q_BS!BC120</f>
        <v>33981.728999999999</v>
      </c>
      <c r="BL542" s="329">
        <f>Q_BS!BD120</f>
        <v>32929.531999999999</v>
      </c>
      <c r="BM542" s="329">
        <f>Q_BS!BE120</f>
        <v>32279.905999999999</v>
      </c>
      <c r="BN542" s="329">
        <f>Q_BS!BF120</f>
        <v>32696.763999999996</v>
      </c>
      <c r="BO542" s="329">
        <f>Q_BS!BG120</f>
        <v>32253.778999999995</v>
      </c>
      <c r="BP542" s="329">
        <f>Q_BS!BH120</f>
        <v>31914.882000000001</v>
      </c>
      <c r="BQ542" s="329">
        <f>Q_BS!BI120</f>
        <v>30071.727999999999</v>
      </c>
      <c r="BR542" s="329">
        <f>Q_BS!BJ120</f>
        <v>31910.704000000002</v>
      </c>
      <c r="BS542" s="329">
        <f>Q_BS!BK120</f>
        <v>35214.481999999996</v>
      </c>
      <c r="BT542" s="329">
        <f>Q_BS!BL120</f>
        <v>35085.237908501644</v>
      </c>
      <c r="BU542" s="329">
        <f>Q_BS!BM120</f>
        <v>33741.590707330535</v>
      </c>
      <c r="BV542" s="329">
        <f>Q_BS!BN120</f>
        <v>34004.0325377185</v>
      </c>
      <c r="BW542" s="329">
        <f>Q_BS!BO120</f>
        <v>34400.725066292711</v>
      </c>
      <c r="BX542" s="329">
        <f>Q_BS!BP120</f>
        <v>33157.834861609292</v>
      </c>
      <c r="BY542" s="329">
        <f>Q_BS!BQ120</f>
        <v>31582.261848425384</v>
      </c>
      <c r="BZ542" s="329">
        <f>Q_BS!BR120</f>
        <v>32059.280746916567</v>
      </c>
      <c r="CA542" s="329">
        <f>Q_BS!BS120</f>
        <v>32255.528170869402</v>
      </c>
      <c r="CB542" s="329">
        <f>Q_BS!BT120</f>
        <v>30763.431624091303</v>
      </c>
      <c r="CC542" s="329">
        <f>Q_BS!BU120</f>
        <v>28522.36104894647</v>
      </c>
      <c r="CD542" s="329">
        <f>Q_BS!BV120</f>
        <v>28480.676792915194</v>
      </c>
      <c r="CE542" s="329">
        <f>Q_BS!BW120</f>
        <v>28554.459858876293</v>
      </c>
      <c r="CF542" s="329">
        <f>Q_BS!BX120</f>
        <v>26938.979465316184</v>
      </c>
      <c r="CG542" s="329">
        <f>Q_BS!BY120</f>
        <v>24512.885751703423</v>
      </c>
      <c r="CH542" s="329">
        <f>Q_BS!BZ120</f>
        <v>24708.684645591209</v>
      </c>
      <c r="CI542" s="329">
        <f>Q_BS!CA120</f>
        <v>25140.874403366692</v>
      </c>
      <c r="CJ542" s="329">
        <f>Q_BS!CB120</f>
        <v>23765.45805997905</v>
      </c>
      <c r="CK542" s="329">
        <f>Q_BS!CC120</f>
        <v>21349.771142725156</v>
      </c>
      <c r="CL542" s="329">
        <f>Q_BS!CD120</f>
        <v>21732.858096185755</v>
      </c>
      <c r="CM542" s="329">
        <f>Q_BS!CE120</f>
        <v>22180.151911084788</v>
      </c>
      <c r="CN542" s="329">
        <f>Q_BS!CF120</f>
        <v>20706.235197522477</v>
      </c>
      <c r="CO542" s="329">
        <f>Q_BS!CG120</f>
        <v>18121.576654644323</v>
      </c>
      <c r="CP542" s="329">
        <f>Q_BS!CH120</f>
        <v>18471.742263714495</v>
      </c>
      <c r="CQ542" s="329">
        <f>Q_BS!CI120</f>
        <v>18892.146612617536</v>
      </c>
      <c r="CR542" s="329">
        <f>Q_BS!CJ120</f>
        <v>17274.206371230332</v>
      </c>
      <c r="CS542" s="329">
        <f>Q_BS!CK120</f>
        <v>14434.843136367148</v>
      </c>
    </row>
    <row r="543" spans="1:97">
      <c r="A543" s="36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  <c r="AA543" s="92"/>
      <c r="AB543" s="92"/>
      <c r="AC543" s="92"/>
      <c r="AD543" s="92"/>
      <c r="AE543" s="92"/>
      <c r="AF543" s="92"/>
      <c r="AG543" s="92"/>
      <c r="AH543" s="92"/>
      <c r="AI543" s="92"/>
      <c r="AJ543" s="92"/>
      <c r="AK543" s="92"/>
      <c r="AL543" s="92"/>
      <c r="AM543" s="92"/>
      <c r="AN543" s="92"/>
      <c r="AO543" s="92"/>
      <c r="AP543" s="92"/>
      <c r="AQ543" s="92"/>
      <c r="AR543" s="92"/>
      <c r="AS543" s="92"/>
      <c r="AT543" s="92"/>
      <c r="AU543" s="92"/>
      <c r="AV543" s="92"/>
      <c r="AW543" s="92"/>
      <c r="AX543" s="92"/>
      <c r="AY543" s="92"/>
      <c r="AZ543" s="92"/>
      <c r="BA543" s="92"/>
      <c r="BB543" s="92"/>
      <c r="BC543" s="462"/>
      <c r="BD543" s="462"/>
      <c r="BE543" s="462"/>
      <c r="BF543" s="462"/>
      <c r="BG543" s="462"/>
      <c r="BH543" s="462"/>
      <c r="BI543" s="462"/>
      <c r="BJ543" s="462"/>
      <c r="BK543" s="462"/>
      <c r="BL543" s="462"/>
      <c r="BM543" s="462"/>
      <c r="BN543" s="462"/>
      <c r="BO543" s="462"/>
      <c r="BP543" s="462"/>
      <c r="BQ543" s="462"/>
      <c r="BR543" s="462"/>
      <c r="BS543" s="462"/>
      <c r="BT543" s="462"/>
      <c r="BU543" s="462"/>
      <c r="BV543" s="462"/>
      <c r="BW543" s="462"/>
      <c r="BX543" s="462"/>
      <c r="BY543" s="462"/>
      <c r="BZ543" s="462"/>
      <c r="CA543" s="462"/>
      <c r="CB543" s="462"/>
      <c r="CC543" s="462"/>
      <c r="CD543" s="462"/>
      <c r="CE543" s="462"/>
      <c r="CF543" s="462"/>
      <c r="CG543" s="462"/>
      <c r="CH543" s="462"/>
      <c r="CI543" s="462"/>
      <c r="CJ543" s="462"/>
      <c r="CK543" s="462"/>
      <c r="CL543" s="462"/>
      <c r="CM543" s="462"/>
      <c r="CN543" s="462"/>
      <c r="CO543" s="462"/>
      <c r="CP543" s="462"/>
      <c r="CQ543" s="462"/>
      <c r="CR543" s="462"/>
      <c r="CS543" s="462"/>
    </row>
    <row r="544" spans="1:97">
      <c r="A544" s="242" t="s">
        <v>699</v>
      </c>
      <c r="B544" s="595"/>
      <c r="C544" s="595"/>
      <c r="D544" s="595"/>
      <c r="E544" s="595"/>
      <c r="F544" s="595"/>
      <c r="G544" s="595"/>
      <c r="H544" s="595"/>
      <c r="I544" s="595"/>
      <c r="J544" s="595" t="str">
        <f t="shared" ref="J544:AO544" si="356">J$453</f>
        <v>1Q09</v>
      </c>
      <c r="K544" s="595" t="str">
        <f t="shared" si="356"/>
        <v>2Q09</v>
      </c>
      <c r="L544" s="595" t="str">
        <f t="shared" si="356"/>
        <v>3Q09</v>
      </c>
      <c r="M544" s="595" t="str">
        <f t="shared" si="356"/>
        <v>4Q09</v>
      </c>
      <c r="N544" s="595" t="str">
        <f t="shared" si="356"/>
        <v>1Q10</v>
      </c>
      <c r="O544" s="595" t="str">
        <f t="shared" si="356"/>
        <v>2Q10</v>
      </c>
      <c r="P544" s="595" t="str">
        <f t="shared" si="356"/>
        <v>3Q10</v>
      </c>
      <c r="Q544" s="595" t="str">
        <f t="shared" si="356"/>
        <v>4Q10</v>
      </c>
      <c r="R544" s="595" t="str">
        <f t="shared" si="356"/>
        <v>1Q11</v>
      </c>
      <c r="S544" s="595" t="str">
        <f t="shared" si="356"/>
        <v>2Q11</v>
      </c>
      <c r="T544" s="595" t="str">
        <f t="shared" si="356"/>
        <v>3Q11</v>
      </c>
      <c r="U544" s="595" t="str">
        <f t="shared" si="356"/>
        <v>4Q11</v>
      </c>
      <c r="V544" s="595" t="str">
        <f t="shared" si="356"/>
        <v>1Q12</v>
      </c>
      <c r="W544" s="595" t="str">
        <f t="shared" si="356"/>
        <v>2Q12</v>
      </c>
      <c r="X544" s="595" t="str">
        <f t="shared" si="356"/>
        <v>3Q12</v>
      </c>
      <c r="Y544" s="595" t="str">
        <f t="shared" si="356"/>
        <v>4Q12</v>
      </c>
      <c r="Z544" s="595" t="str">
        <f t="shared" si="356"/>
        <v>1Q13</v>
      </c>
      <c r="AA544" s="595" t="str">
        <f t="shared" si="356"/>
        <v>2Q13</v>
      </c>
      <c r="AB544" s="595" t="str">
        <f t="shared" si="356"/>
        <v>3Q13</v>
      </c>
      <c r="AC544" s="595" t="str">
        <f t="shared" si="356"/>
        <v>4Q13</v>
      </c>
      <c r="AD544" s="595" t="str">
        <f t="shared" si="356"/>
        <v>1Q14</v>
      </c>
      <c r="AE544" s="595" t="str">
        <f t="shared" si="356"/>
        <v>2Q14</v>
      </c>
      <c r="AF544" s="595" t="str">
        <f t="shared" si="356"/>
        <v>3Q14</v>
      </c>
      <c r="AG544" s="595" t="str">
        <f t="shared" si="356"/>
        <v>4Q14</v>
      </c>
      <c r="AH544" s="595" t="str">
        <f t="shared" si="356"/>
        <v>1Q15</v>
      </c>
      <c r="AI544" s="595" t="str">
        <f t="shared" si="356"/>
        <v>2Q15</v>
      </c>
      <c r="AJ544" s="595" t="str">
        <f t="shared" si="356"/>
        <v>3Q15</v>
      </c>
      <c r="AK544" s="595" t="str">
        <f t="shared" si="356"/>
        <v>4Q15</v>
      </c>
      <c r="AL544" s="595" t="str">
        <f t="shared" si="356"/>
        <v>1Q16</v>
      </c>
      <c r="AM544" s="595" t="str">
        <f t="shared" si="356"/>
        <v>2Q16</v>
      </c>
      <c r="AN544" s="595" t="str">
        <f t="shared" si="356"/>
        <v>3Q16</v>
      </c>
      <c r="AO544" s="595" t="str">
        <f t="shared" si="356"/>
        <v>4Q16</v>
      </c>
      <c r="AP544" s="595" t="str">
        <f t="shared" ref="AP544:CS544" si="357">AP$453</f>
        <v>1Q17</v>
      </c>
      <c r="AQ544" s="595" t="str">
        <f t="shared" si="357"/>
        <v>2Q17</v>
      </c>
      <c r="AR544" s="595" t="str">
        <f t="shared" si="357"/>
        <v>3Q17</v>
      </c>
      <c r="AS544" s="595" t="str">
        <f t="shared" si="357"/>
        <v>4Q17</v>
      </c>
      <c r="AT544" s="595" t="str">
        <f t="shared" si="357"/>
        <v>1Q18</v>
      </c>
      <c r="AU544" s="595" t="str">
        <f t="shared" si="357"/>
        <v>2Q18</v>
      </c>
      <c r="AV544" s="595" t="str">
        <f t="shared" si="357"/>
        <v>3Q18</v>
      </c>
      <c r="AW544" s="595" t="str">
        <f t="shared" si="357"/>
        <v>4Q18</v>
      </c>
      <c r="AX544" s="595" t="str">
        <f t="shared" si="357"/>
        <v>1Q19</v>
      </c>
      <c r="AY544" s="595" t="str">
        <f t="shared" si="357"/>
        <v>2Q19</v>
      </c>
      <c r="AZ544" s="595" t="str">
        <f t="shared" si="357"/>
        <v>3Q19</v>
      </c>
      <c r="BA544" s="595" t="str">
        <f t="shared" si="357"/>
        <v>4Q19</v>
      </c>
      <c r="BB544" s="595" t="str">
        <f t="shared" si="357"/>
        <v>1Q20</v>
      </c>
      <c r="BC544" s="595" t="str">
        <f t="shared" si="357"/>
        <v>2Q20</v>
      </c>
      <c r="BD544" s="595" t="str">
        <f t="shared" si="357"/>
        <v>3Q20</v>
      </c>
      <c r="BE544" s="595" t="str">
        <f t="shared" si="357"/>
        <v>4Q20</v>
      </c>
      <c r="BF544" s="595" t="str">
        <f t="shared" si="357"/>
        <v>1Q21</v>
      </c>
      <c r="BG544" s="595" t="str">
        <f t="shared" si="357"/>
        <v>2Q21</v>
      </c>
      <c r="BH544" s="595" t="str">
        <f t="shared" si="357"/>
        <v>3Q21</v>
      </c>
      <c r="BI544" s="595" t="str">
        <f t="shared" si="357"/>
        <v>4Q21</v>
      </c>
      <c r="BJ544" s="595" t="str">
        <f t="shared" si="357"/>
        <v>1Q22</v>
      </c>
      <c r="BK544" s="595" t="str">
        <f t="shared" si="357"/>
        <v>2Q22</v>
      </c>
      <c r="BL544" s="595" t="str">
        <f t="shared" si="357"/>
        <v>3Q22</v>
      </c>
      <c r="BM544" s="595" t="str">
        <f t="shared" si="357"/>
        <v>4Q22</v>
      </c>
      <c r="BN544" s="595" t="str">
        <f t="shared" si="357"/>
        <v>1Q23</v>
      </c>
      <c r="BO544" s="595" t="str">
        <f t="shared" si="357"/>
        <v>2Q23</v>
      </c>
      <c r="BP544" s="595" t="str">
        <f t="shared" si="357"/>
        <v>3Q23</v>
      </c>
      <c r="BQ544" s="595" t="str">
        <f t="shared" si="357"/>
        <v>4Q23</v>
      </c>
      <c r="BR544" s="596" t="str">
        <f t="shared" si="357"/>
        <v>1Q24</v>
      </c>
      <c r="BS544" s="596" t="str">
        <f t="shared" si="357"/>
        <v>2Q24e</v>
      </c>
      <c r="BT544" s="596" t="str">
        <f t="shared" si="357"/>
        <v>3Q24e</v>
      </c>
      <c r="BU544" s="596" t="str">
        <f t="shared" si="357"/>
        <v>4Q24e</v>
      </c>
      <c r="BV544" s="596" t="str">
        <f t="shared" si="357"/>
        <v>1Q25e</v>
      </c>
      <c r="BW544" s="596" t="str">
        <f t="shared" si="357"/>
        <v>2Q25e</v>
      </c>
      <c r="BX544" s="596" t="str">
        <f t="shared" si="357"/>
        <v>3Q25e</v>
      </c>
      <c r="BY544" s="596" t="str">
        <f t="shared" si="357"/>
        <v>4Q25e</v>
      </c>
      <c r="BZ544" s="596" t="str">
        <f t="shared" si="357"/>
        <v>1Q26e</v>
      </c>
      <c r="CA544" s="596" t="str">
        <f t="shared" si="357"/>
        <v>2Q26e</v>
      </c>
      <c r="CB544" s="596" t="str">
        <f t="shared" si="357"/>
        <v>3Q26e</v>
      </c>
      <c r="CC544" s="596" t="str">
        <f t="shared" si="357"/>
        <v>4Q26e</v>
      </c>
      <c r="CD544" s="596" t="str">
        <f t="shared" si="357"/>
        <v>1Q27e</v>
      </c>
      <c r="CE544" s="596" t="str">
        <f t="shared" si="357"/>
        <v>2Q27e</v>
      </c>
      <c r="CF544" s="596" t="str">
        <f t="shared" si="357"/>
        <v>3Q27e</v>
      </c>
      <c r="CG544" s="596" t="str">
        <f t="shared" si="357"/>
        <v>4Q27e</v>
      </c>
      <c r="CH544" s="596" t="str">
        <f t="shared" si="357"/>
        <v>1Q28e</v>
      </c>
      <c r="CI544" s="596" t="str">
        <f t="shared" si="357"/>
        <v>2Q28e</v>
      </c>
      <c r="CJ544" s="596" t="str">
        <f t="shared" si="357"/>
        <v>3Q28e</v>
      </c>
      <c r="CK544" s="596" t="str">
        <f t="shared" si="357"/>
        <v>4Q28e</v>
      </c>
      <c r="CL544" s="596" t="str">
        <f t="shared" si="357"/>
        <v>1Q29e</v>
      </c>
      <c r="CM544" s="596" t="str">
        <f t="shared" si="357"/>
        <v>2Q29e</v>
      </c>
      <c r="CN544" s="596" t="str">
        <f t="shared" si="357"/>
        <v>3Q29e</v>
      </c>
      <c r="CO544" s="596" t="str">
        <f t="shared" si="357"/>
        <v>4Q29e</v>
      </c>
      <c r="CP544" s="596" t="str">
        <f t="shared" si="357"/>
        <v>1Q30e</v>
      </c>
      <c r="CQ544" s="596" t="str">
        <f t="shared" si="357"/>
        <v>2Q30e</v>
      </c>
      <c r="CR544" s="596" t="str">
        <f t="shared" si="357"/>
        <v>3Q30e</v>
      </c>
      <c r="CS544" s="596" t="str">
        <f t="shared" si="357"/>
        <v>4Q30e</v>
      </c>
    </row>
    <row r="545" spans="1:97">
      <c r="A545" s="36" t="str">
        <f>A544</f>
        <v>All-in cost of financing</v>
      </c>
      <c r="B545" s="92"/>
      <c r="C545" s="92"/>
      <c r="D545" s="92"/>
      <c r="E545" s="92"/>
      <c r="F545" s="92"/>
      <c r="G545" s="92"/>
      <c r="H545" s="92"/>
      <c r="I545" s="92"/>
      <c r="J545" s="92">
        <f>Q_Financials!B37</f>
        <v>-58.679999999999993</v>
      </c>
      <c r="K545" s="92">
        <f>Q_Financials!C37</f>
        <v>-7.1539999999999964</v>
      </c>
      <c r="L545" s="92">
        <f>Q_Financials!D37</f>
        <v>-34.14</v>
      </c>
      <c r="M545" s="92">
        <f>Q_Financials!E37</f>
        <v>-27.863000000000003</v>
      </c>
      <c r="N545" s="92">
        <f>Q_Financials!F37</f>
        <v>-40.28</v>
      </c>
      <c r="O545" s="92">
        <f>Q_Financials!G37</f>
        <v>-14.41</v>
      </c>
      <c r="P545" s="92">
        <f>Q_Financials!H37</f>
        <v>-20.149000000000001</v>
      </c>
      <c r="Q545" s="92">
        <f>Q_Financials!I37</f>
        <v>-4.7859999999999978</v>
      </c>
      <c r="R545" s="92">
        <f>Q_Financials!J37</f>
        <v>-40.17</v>
      </c>
      <c r="S545" s="92">
        <f>Q_Financials!K37</f>
        <v>-44.128</v>
      </c>
      <c r="T545" s="92">
        <f>Q_Financials!L37</f>
        <v>6.070999999999998</v>
      </c>
      <c r="U545" s="92">
        <f>Q_Financials!M37</f>
        <v>-39.867000000000004</v>
      </c>
      <c r="V545" s="92">
        <f>Q_Financials!N37</f>
        <v>-58.448</v>
      </c>
      <c r="W545" s="92">
        <f>Q_Financials!O37</f>
        <v>-36.602000000000004</v>
      </c>
      <c r="X545" s="92">
        <f>Q_Financials!P37</f>
        <v>-55.564</v>
      </c>
      <c r="Y545" s="92">
        <f>Q_Financials!Q37</f>
        <v>-38.722999999999999</v>
      </c>
      <c r="Z545" s="92">
        <f>Q_Financials!R37</f>
        <v>-55.975999999999999</v>
      </c>
      <c r="AA545" s="92">
        <f>Q_Financials!S37</f>
        <v>-45.97</v>
      </c>
      <c r="AB545" s="92">
        <f>Q_Financials!T37</f>
        <v>-37.563000000000002</v>
      </c>
      <c r="AC545" s="92">
        <f>Q_Financials!U37</f>
        <v>-70.962000000000003</v>
      </c>
      <c r="AD545" s="92">
        <f>Q_Financials!V37</f>
        <v>-87.582999999999998</v>
      </c>
      <c r="AE545" s="92">
        <f>Q_Financials!W37</f>
        <v>-168.762</v>
      </c>
      <c r="AF545" s="92">
        <f>Q_Financials!X37</f>
        <v>-91.403999999999996</v>
      </c>
      <c r="AG545" s="92">
        <f>Q_Financials!Y37</f>
        <v>-145.714</v>
      </c>
      <c r="AH545" s="92">
        <f>Q_Financials!Z37</f>
        <v>-7.6090000000000089</v>
      </c>
      <c r="AI545" s="92">
        <f>Q_Financials!AA37</f>
        <v>-321.82</v>
      </c>
      <c r="AJ545" s="92">
        <f>Q_Financials!AB37</f>
        <v>-342.76400000000001</v>
      </c>
      <c r="AK545" s="92">
        <f>Q_Financials!AC37</f>
        <v>-186.673</v>
      </c>
      <c r="AL545" s="92">
        <f>Q_Financials!AD37</f>
        <v>-377.22199999999998</v>
      </c>
      <c r="AM545" s="92">
        <f>Q_Financials!AE37</f>
        <v>-261.38499999999999</v>
      </c>
      <c r="AN545" s="92">
        <f>Q_Financials!AF37</f>
        <v>-263.46800000000002</v>
      </c>
      <c r="AO545" s="92">
        <f>Q_Financials!AG37</f>
        <v>-277.08199999999999</v>
      </c>
      <c r="AP545" s="92">
        <f>Q_Financials!AH37</f>
        <v>-254.58300000000003</v>
      </c>
      <c r="AQ545" s="92">
        <f>Q_Financials!AI37</f>
        <v>-576.54600000000005</v>
      </c>
      <c r="AR545" s="92">
        <f>Q_Financials!AJ37</f>
        <v>-389.77100000000002</v>
      </c>
      <c r="AS545" s="92">
        <f>Q_Financials!AK37</f>
        <v>-405.68200000000002</v>
      </c>
      <c r="AT545" s="92">
        <f>Q_Financials!AL37</f>
        <v>-260.65699999999998</v>
      </c>
      <c r="AU545" s="92">
        <f>Q_Financials!AM37</f>
        <v>-330.34300000000002</v>
      </c>
      <c r="AV545" s="92">
        <f>Q_Financials!AN37</f>
        <v>-322.00799999999998</v>
      </c>
      <c r="AW545" s="92">
        <f>Q_Financials!AO37</f>
        <v>-542.96199999999999</v>
      </c>
      <c r="AX545" s="92">
        <f>Q_Financials!AP37</f>
        <v>-622.26599999999996</v>
      </c>
      <c r="AY545" s="92">
        <f>Q_Financials!AQ37</f>
        <v>-782.65800000000002</v>
      </c>
      <c r="AZ545" s="92">
        <f>Q_Financials!AR37</f>
        <v>-942.49599999999998</v>
      </c>
      <c r="BA545" s="92">
        <f>Q_Financials!AS37</f>
        <v>-502.37799999999999</v>
      </c>
      <c r="BB545" s="92">
        <f>Q_Financials!AT37</f>
        <v>-854.03699999999992</v>
      </c>
      <c r="BC545" s="329">
        <f>Q_Financials!AU37</f>
        <v>-411.36600000000004</v>
      </c>
      <c r="BD545" s="329">
        <f>Q_Financials!AV37</f>
        <v>-963.32499999999993</v>
      </c>
      <c r="BE545" s="329">
        <f>Q_Financials!AW37</f>
        <v>-1338.877</v>
      </c>
      <c r="BF545" s="329">
        <f>Q_Financials!AX37</f>
        <v>-658.07299999999998</v>
      </c>
      <c r="BG545" s="329">
        <f>Q_Financials!AY37</f>
        <v>-788.52700000000004</v>
      </c>
      <c r="BH545" s="329">
        <f>Q_Financials!AZ37</f>
        <v>-839.88800000000003</v>
      </c>
      <c r="BI545" s="329">
        <f>Q_Financials!BA37</f>
        <v>-848.87699999999995</v>
      </c>
      <c r="BJ545" s="329">
        <f>Q_Financials!BB37</f>
        <v>-715.18999999999994</v>
      </c>
      <c r="BK545" s="329">
        <f>Q_Financials!BC37</f>
        <v>-1337.4069999999999</v>
      </c>
      <c r="BL545" s="329">
        <f>Q_Financials!BD37</f>
        <v>-1075.241</v>
      </c>
      <c r="BM545" s="329">
        <f>Q_Financials!BE37</f>
        <v>-691.85299999999995</v>
      </c>
      <c r="BN545" s="329">
        <f>Q_Financials!BF37</f>
        <v>-682.59800000000007</v>
      </c>
      <c r="BO545" s="329">
        <f>Q_Financials!BG37</f>
        <v>-1001.112</v>
      </c>
      <c r="BP545" s="329">
        <f>Q_Financials!BH37</f>
        <v>-999.29300000000001</v>
      </c>
      <c r="BQ545" s="329">
        <f>Q_Financials!BI37</f>
        <v>-772.89</v>
      </c>
      <c r="BR545" s="329">
        <f>Q_Financials!BJ37</f>
        <v>-1174.5339999999999</v>
      </c>
      <c r="BS545" s="329">
        <f>Q_Financials!BK37</f>
        <v>-1737.74</v>
      </c>
      <c r="BT545" s="329">
        <f>Q_Financials!BL37</f>
        <v>-1547.1644217266805</v>
      </c>
      <c r="BU545" s="329">
        <f>Q_Financials!BM37</f>
        <v>-1278.1847913060647</v>
      </c>
      <c r="BV545" s="329">
        <f>Q_Financials!BN37</f>
        <v>-1344.2796595978432</v>
      </c>
      <c r="BW545" s="329">
        <f>Q_Financials!BO37</f>
        <v>-1205.5779693098884</v>
      </c>
      <c r="BX545" s="329">
        <f>Q_Financials!BP37</f>
        <v>-1024.3905508864734</v>
      </c>
      <c r="BY545" s="329">
        <f>Q_Financials!BQ37</f>
        <v>-1417.6015399811363</v>
      </c>
      <c r="BZ545" s="329">
        <f>Q_Financials!BR37</f>
        <v>-1726.6450922375577</v>
      </c>
      <c r="CA545" s="329">
        <f>Q_Financials!BS37</f>
        <v>-950.50817701292317</v>
      </c>
      <c r="CB545" s="329">
        <f>Q_Financials!BT37</f>
        <v>-956.5833109104392</v>
      </c>
      <c r="CC545" s="329">
        <f>Q_Financials!BU37</f>
        <v>-926.65363323677821</v>
      </c>
      <c r="CD545" s="329">
        <f>Q_Financials!BV37</f>
        <v>-951.93973376560905</v>
      </c>
      <c r="CE545" s="329">
        <f>Q_Financials!BW37</f>
        <v>-796.64772591036012</v>
      </c>
      <c r="CF545" s="329">
        <f>Q_Financials!BX37</f>
        <v>-979.49457637517298</v>
      </c>
      <c r="CG545" s="329">
        <f>Q_Financials!BY37</f>
        <v>-1113.8034654692847</v>
      </c>
      <c r="CH545" s="329">
        <f>Q_Financials!BZ37</f>
        <v>-874.42104847944813</v>
      </c>
      <c r="CI545" s="329">
        <f>Q_Financials!CA37</f>
        <v>-712.69456819356537</v>
      </c>
      <c r="CJ545" s="329">
        <f>Q_Financials!CB37</f>
        <v>-912.64609542080245</v>
      </c>
      <c r="CK545" s="329">
        <f>Q_Financials!CC37</f>
        <v>-1054.6657000156806</v>
      </c>
      <c r="CL545" s="329">
        <f>Q_Financials!CD37</f>
        <v>-809.38546875355485</v>
      </c>
      <c r="CM545" s="329">
        <f>Q_Financials!CE37</f>
        <v>-650.44202058780945</v>
      </c>
      <c r="CN545" s="329">
        <f>Q_Financials!CF37</f>
        <v>-852.18638258957731</v>
      </c>
      <c r="CO545" s="329">
        <f>Q_Financials!CG37</f>
        <v>-993.41460619566055</v>
      </c>
      <c r="CP545" s="329">
        <f>Q_Financials!CH37</f>
        <v>-742.93679252602294</v>
      </c>
      <c r="CQ545" s="329">
        <f>Q_Financials!CI37</f>
        <v>-581.82126575581037</v>
      </c>
      <c r="CR545" s="329">
        <f>Q_Financials!CJ37</f>
        <v>-784.30592663707932</v>
      </c>
      <c r="CS545" s="329">
        <f>Q_Financials!CK37</f>
        <v>-923.61008002054768</v>
      </c>
    </row>
    <row r="546" spans="1:97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</row>
    <row r="547" spans="1:97">
      <c r="A547" s="242" t="s">
        <v>214</v>
      </c>
      <c r="B547" s="595"/>
      <c r="C547" s="595"/>
      <c r="D547" s="595"/>
      <c r="E547" s="595"/>
      <c r="F547" s="595"/>
      <c r="G547" s="595"/>
      <c r="H547" s="595"/>
      <c r="I547" s="595"/>
      <c r="J547" s="595" t="str">
        <f t="shared" ref="J547:AO547" si="358">J$453</f>
        <v>1Q09</v>
      </c>
      <c r="K547" s="595" t="str">
        <f t="shared" si="358"/>
        <v>2Q09</v>
      </c>
      <c r="L547" s="595" t="str">
        <f t="shared" si="358"/>
        <v>3Q09</v>
      </c>
      <c r="M547" s="595" t="str">
        <f t="shared" si="358"/>
        <v>4Q09</v>
      </c>
      <c r="N547" s="595" t="str">
        <f t="shared" si="358"/>
        <v>1Q10</v>
      </c>
      <c r="O547" s="595" t="str">
        <f t="shared" si="358"/>
        <v>2Q10</v>
      </c>
      <c r="P547" s="595" t="str">
        <f t="shared" si="358"/>
        <v>3Q10</v>
      </c>
      <c r="Q547" s="595" t="str">
        <f t="shared" si="358"/>
        <v>4Q10</v>
      </c>
      <c r="R547" s="595" t="str">
        <f t="shared" si="358"/>
        <v>1Q11</v>
      </c>
      <c r="S547" s="595" t="str">
        <f t="shared" si="358"/>
        <v>2Q11</v>
      </c>
      <c r="T547" s="595" t="str">
        <f t="shared" si="358"/>
        <v>3Q11</v>
      </c>
      <c r="U547" s="595" t="str">
        <f t="shared" si="358"/>
        <v>4Q11</v>
      </c>
      <c r="V547" s="595" t="str">
        <f t="shared" si="358"/>
        <v>1Q12</v>
      </c>
      <c r="W547" s="595" t="str">
        <f t="shared" si="358"/>
        <v>2Q12</v>
      </c>
      <c r="X547" s="595" t="str">
        <f t="shared" si="358"/>
        <v>3Q12</v>
      </c>
      <c r="Y547" s="595" t="str">
        <f t="shared" si="358"/>
        <v>4Q12</v>
      </c>
      <c r="Z547" s="595" t="str">
        <f t="shared" si="358"/>
        <v>1Q13</v>
      </c>
      <c r="AA547" s="595" t="str">
        <f t="shared" si="358"/>
        <v>2Q13</v>
      </c>
      <c r="AB547" s="595" t="str">
        <f t="shared" si="358"/>
        <v>3Q13</v>
      </c>
      <c r="AC547" s="595" t="str">
        <f t="shared" si="358"/>
        <v>4Q13</v>
      </c>
      <c r="AD547" s="595" t="str">
        <f t="shared" si="358"/>
        <v>1Q14</v>
      </c>
      <c r="AE547" s="595" t="str">
        <f t="shared" si="358"/>
        <v>2Q14</v>
      </c>
      <c r="AF547" s="595" t="str">
        <f t="shared" si="358"/>
        <v>3Q14</v>
      </c>
      <c r="AG547" s="595" t="str">
        <f t="shared" si="358"/>
        <v>4Q14</v>
      </c>
      <c r="AH547" s="595" t="str">
        <f t="shared" si="358"/>
        <v>1Q15</v>
      </c>
      <c r="AI547" s="595" t="str">
        <f t="shared" si="358"/>
        <v>2Q15</v>
      </c>
      <c r="AJ547" s="595" t="str">
        <f t="shared" si="358"/>
        <v>3Q15</v>
      </c>
      <c r="AK547" s="595" t="str">
        <f t="shared" si="358"/>
        <v>4Q15</v>
      </c>
      <c r="AL547" s="595" t="str">
        <f t="shared" si="358"/>
        <v>1Q16</v>
      </c>
      <c r="AM547" s="595" t="str">
        <f t="shared" si="358"/>
        <v>2Q16</v>
      </c>
      <c r="AN547" s="595" t="str">
        <f t="shared" si="358"/>
        <v>3Q16</v>
      </c>
      <c r="AO547" s="595" t="str">
        <f t="shared" si="358"/>
        <v>4Q16</v>
      </c>
      <c r="AP547" s="595" t="str">
        <f t="shared" ref="AP547:CS547" si="359">AP$453</f>
        <v>1Q17</v>
      </c>
      <c r="AQ547" s="595" t="str">
        <f t="shared" si="359"/>
        <v>2Q17</v>
      </c>
      <c r="AR547" s="595" t="str">
        <f t="shared" si="359"/>
        <v>3Q17</v>
      </c>
      <c r="AS547" s="595" t="str">
        <f t="shared" si="359"/>
        <v>4Q17</v>
      </c>
      <c r="AT547" s="595" t="str">
        <f t="shared" si="359"/>
        <v>1Q18</v>
      </c>
      <c r="AU547" s="595" t="str">
        <f t="shared" si="359"/>
        <v>2Q18</v>
      </c>
      <c r="AV547" s="595" t="str">
        <f t="shared" si="359"/>
        <v>3Q18</v>
      </c>
      <c r="AW547" s="595" t="str">
        <f t="shared" si="359"/>
        <v>4Q18</v>
      </c>
      <c r="AX547" s="595" t="str">
        <f t="shared" si="359"/>
        <v>1Q19</v>
      </c>
      <c r="AY547" s="595" t="str">
        <f t="shared" si="359"/>
        <v>2Q19</v>
      </c>
      <c r="AZ547" s="595" t="str">
        <f t="shared" si="359"/>
        <v>3Q19</v>
      </c>
      <c r="BA547" s="595" t="str">
        <f t="shared" si="359"/>
        <v>4Q19</v>
      </c>
      <c r="BB547" s="595" t="str">
        <f t="shared" si="359"/>
        <v>1Q20</v>
      </c>
      <c r="BC547" s="595" t="str">
        <f t="shared" si="359"/>
        <v>2Q20</v>
      </c>
      <c r="BD547" s="595" t="str">
        <f t="shared" si="359"/>
        <v>3Q20</v>
      </c>
      <c r="BE547" s="595" t="str">
        <f t="shared" si="359"/>
        <v>4Q20</v>
      </c>
      <c r="BF547" s="595" t="str">
        <f t="shared" si="359"/>
        <v>1Q21</v>
      </c>
      <c r="BG547" s="595" t="str">
        <f t="shared" si="359"/>
        <v>2Q21</v>
      </c>
      <c r="BH547" s="595" t="str">
        <f t="shared" si="359"/>
        <v>3Q21</v>
      </c>
      <c r="BI547" s="595" t="str">
        <f t="shared" si="359"/>
        <v>4Q21</v>
      </c>
      <c r="BJ547" s="595" t="str">
        <f t="shared" si="359"/>
        <v>1Q22</v>
      </c>
      <c r="BK547" s="595" t="str">
        <f t="shared" si="359"/>
        <v>2Q22</v>
      </c>
      <c r="BL547" s="595" t="str">
        <f t="shared" si="359"/>
        <v>3Q22</v>
      </c>
      <c r="BM547" s="595" t="str">
        <f t="shared" si="359"/>
        <v>4Q22</v>
      </c>
      <c r="BN547" s="595" t="str">
        <f t="shared" si="359"/>
        <v>1Q23</v>
      </c>
      <c r="BO547" s="595" t="str">
        <f t="shared" si="359"/>
        <v>2Q23</v>
      </c>
      <c r="BP547" s="595" t="str">
        <f t="shared" si="359"/>
        <v>3Q23</v>
      </c>
      <c r="BQ547" s="595" t="str">
        <f t="shared" si="359"/>
        <v>4Q23</v>
      </c>
      <c r="BR547" s="596" t="str">
        <f t="shared" si="359"/>
        <v>1Q24</v>
      </c>
      <c r="BS547" s="596" t="str">
        <f t="shared" si="359"/>
        <v>2Q24e</v>
      </c>
      <c r="BT547" s="596" t="str">
        <f t="shared" si="359"/>
        <v>3Q24e</v>
      </c>
      <c r="BU547" s="596" t="str">
        <f t="shared" si="359"/>
        <v>4Q24e</v>
      </c>
      <c r="BV547" s="596" t="str">
        <f t="shared" si="359"/>
        <v>1Q25e</v>
      </c>
      <c r="BW547" s="596" t="str">
        <f t="shared" si="359"/>
        <v>2Q25e</v>
      </c>
      <c r="BX547" s="596" t="str">
        <f t="shared" si="359"/>
        <v>3Q25e</v>
      </c>
      <c r="BY547" s="596" t="str">
        <f t="shared" si="359"/>
        <v>4Q25e</v>
      </c>
      <c r="BZ547" s="596" t="str">
        <f t="shared" si="359"/>
        <v>1Q26e</v>
      </c>
      <c r="CA547" s="596" t="str">
        <f t="shared" si="359"/>
        <v>2Q26e</v>
      </c>
      <c r="CB547" s="596" t="str">
        <f t="shared" si="359"/>
        <v>3Q26e</v>
      </c>
      <c r="CC547" s="596" t="str">
        <f t="shared" si="359"/>
        <v>4Q26e</v>
      </c>
      <c r="CD547" s="596" t="str">
        <f t="shared" si="359"/>
        <v>1Q27e</v>
      </c>
      <c r="CE547" s="596" t="str">
        <f t="shared" si="359"/>
        <v>2Q27e</v>
      </c>
      <c r="CF547" s="596" t="str">
        <f t="shared" si="359"/>
        <v>3Q27e</v>
      </c>
      <c r="CG547" s="596" t="str">
        <f t="shared" si="359"/>
        <v>4Q27e</v>
      </c>
      <c r="CH547" s="596" t="str">
        <f t="shared" si="359"/>
        <v>1Q28e</v>
      </c>
      <c r="CI547" s="596" t="str">
        <f t="shared" si="359"/>
        <v>2Q28e</v>
      </c>
      <c r="CJ547" s="596" t="str">
        <f t="shared" si="359"/>
        <v>3Q28e</v>
      </c>
      <c r="CK547" s="596" t="str">
        <f t="shared" si="359"/>
        <v>4Q28e</v>
      </c>
      <c r="CL547" s="596" t="str">
        <f t="shared" si="359"/>
        <v>1Q29e</v>
      </c>
      <c r="CM547" s="596" t="str">
        <f t="shared" si="359"/>
        <v>2Q29e</v>
      </c>
      <c r="CN547" s="596" t="str">
        <f t="shared" si="359"/>
        <v>3Q29e</v>
      </c>
      <c r="CO547" s="596" t="str">
        <f t="shared" si="359"/>
        <v>4Q29e</v>
      </c>
      <c r="CP547" s="596" t="str">
        <f t="shared" si="359"/>
        <v>1Q30e</v>
      </c>
      <c r="CQ547" s="596" t="str">
        <f t="shared" si="359"/>
        <v>2Q30e</v>
      </c>
      <c r="CR547" s="596" t="str">
        <f t="shared" si="359"/>
        <v>3Q30e</v>
      </c>
      <c r="CS547" s="596" t="str">
        <f t="shared" si="359"/>
        <v>4Q30e</v>
      </c>
    </row>
    <row r="548" spans="1:97">
      <c r="A548" s="244" t="str">
        <f>A547</f>
        <v>Tax Rate</v>
      </c>
      <c r="B548" s="245"/>
      <c r="C548" s="245"/>
      <c r="D548" s="245"/>
      <c r="E548" s="245"/>
      <c r="F548" s="245"/>
      <c r="G548" s="245"/>
      <c r="H548" s="245"/>
      <c r="I548" s="245"/>
      <c r="J548" s="245">
        <f>Q_Financials!B46</f>
        <v>0.10540157098861544</v>
      </c>
      <c r="K548" s="245">
        <f>Q_Financials!C46</f>
        <v>-0.30081245538294044</v>
      </c>
      <c r="L548" s="245">
        <f>Q_Financials!D46</f>
        <v>0.12867300069212903</v>
      </c>
      <c r="M548" s="245">
        <f>Q_Financials!E46</f>
        <v>0.17848937921545036</v>
      </c>
      <c r="N548" s="245">
        <f>Q_Financials!F46</f>
        <v>0.24001784519294495</v>
      </c>
      <c r="O548" s="245">
        <f>Q_Financials!G46</f>
        <v>0.31189446022350231</v>
      </c>
      <c r="P548" s="245">
        <f>Q_Financials!H46</f>
        <v>0.63037100949094127</v>
      </c>
      <c r="Q548" s="245">
        <f>Q_Financials!I46</f>
        <v>0.5920966151823871</v>
      </c>
      <c r="R548" s="245">
        <f>Q_Financials!J46</f>
        <v>0.27097462470471606</v>
      </c>
      <c r="S548" s="245">
        <f>Q_Financials!K46</f>
        <v>0.43943274939888982</v>
      </c>
      <c r="T548" s="245">
        <f>Q_Financials!L46</f>
        <v>0.30590015368284268</v>
      </c>
      <c r="U548" s="245">
        <f>Q_Financials!M46</f>
        <v>0.18471415948010705</v>
      </c>
      <c r="V548" s="245">
        <f>Q_Financials!N46</f>
        <v>0.58543608866791175</v>
      </c>
      <c r="W548" s="245">
        <f>Q_Financials!O46</f>
        <v>0.31753109715222133</v>
      </c>
      <c r="X548" s="245">
        <f>Q_Financials!P46</f>
        <v>0.36990326191237638</v>
      </c>
      <c r="Y548" s="245">
        <f>Q_Financials!Q46</f>
        <v>0.33046362008357116</v>
      </c>
      <c r="Z548" s="245">
        <f>Q_Financials!R46</f>
        <v>0.37401750471940931</v>
      </c>
      <c r="AA548" s="245">
        <f>Q_Financials!S46</f>
        <v>0.3620340338947679</v>
      </c>
      <c r="AB548" s="245">
        <f>Q_Financials!T46</f>
        <v>0.30974430113977225</v>
      </c>
      <c r="AC548" s="245">
        <f>Q_Financials!U46</f>
        <v>0.22406179047347316</v>
      </c>
      <c r="AD548" s="245">
        <f>Q_Financials!V46</f>
        <v>0.28874858278118093</v>
      </c>
      <c r="AE548" s="245">
        <f>Q_Financials!W46</f>
        <v>0.39140091681923356</v>
      </c>
      <c r="AF548" s="245">
        <f>Q_Financials!X46</f>
        <v>0.29266826923076872</v>
      </c>
      <c r="AG548" s="245">
        <f>Q_Financials!Y46</f>
        <v>0.41250311562799036</v>
      </c>
      <c r="AH548" s="245">
        <f>Q_Financials!Z46</f>
        <v>0.25326140696974214</v>
      </c>
      <c r="AI548" s="245">
        <f>Q_Financials!AA46</f>
        <v>0.5705038167938935</v>
      </c>
      <c r="AJ548" s="245">
        <f>Q_Financials!AB46</f>
        <v>0.48931238434466173</v>
      </c>
      <c r="AK548" s="245">
        <f>Q_Financials!AC46</f>
        <v>0.20606450767807849</v>
      </c>
      <c r="AL548" s="245">
        <f>Q_Financials!AD46</f>
        <v>0.46062737568086404</v>
      </c>
      <c r="AM548" s="245">
        <f>Q_Financials!AE46</f>
        <v>0.42031736638063022</v>
      </c>
      <c r="AN548" s="245">
        <f>Q_Financials!AF46</f>
        <v>0.62472463522977606</v>
      </c>
      <c r="AO548" s="245">
        <f>Q_Financials!AG46</f>
        <v>6.6099506266615992E-3</v>
      </c>
      <c r="AP548" s="245">
        <f>Q_Financials!AH46</f>
        <v>0.37589907491052166</v>
      </c>
      <c r="AQ548" s="245">
        <f>Q_Financials!AI46</f>
        <v>0.45486865037317442</v>
      </c>
      <c r="AR548" s="245">
        <f>Q_Financials!AJ46</f>
        <v>0.397136023113905</v>
      </c>
      <c r="AS548" s="245">
        <f>Q_Financials!AK46</f>
        <v>0.4003810951168178</v>
      </c>
      <c r="AT548" s="245">
        <f>Q_Financials!AL46</f>
        <v>0.38317895744446689</v>
      </c>
      <c r="AU548" s="245">
        <f>Q_Financials!AM46</f>
        <v>0.44726206407228125</v>
      </c>
      <c r="AV548" s="245">
        <f>Q_Financials!AN46</f>
        <v>0.3518646263848979</v>
      </c>
      <c r="AW548" s="245">
        <f>Q_Financials!AO46</f>
        <v>0.34584080397760786</v>
      </c>
      <c r="AX548" s="245">
        <f>Q_Financials!AP46</f>
        <v>0.35229040455278893</v>
      </c>
      <c r="AY548" s="245">
        <f>Q_Financials!AQ46</f>
        <v>0.38059861191439986</v>
      </c>
      <c r="AZ548" s="245">
        <f>Q_Financials!AR46</f>
        <v>0.43031755867663879</v>
      </c>
      <c r="BA548" s="245">
        <f>Q_Financials!AS46</f>
        <v>0.33658926931654237</v>
      </c>
      <c r="BB548" s="245">
        <f>Q_Financials!AT46</f>
        <v>-6.8206315724327789E-3</v>
      </c>
      <c r="BC548" s="452">
        <f>Q_Financials!AU46</f>
        <v>0.12245868631502854</v>
      </c>
      <c r="BD548" s="452">
        <f>Q_Financials!AV46</f>
        <v>0.33240803348718534</v>
      </c>
      <c r="BE548" s="452">
        <f>Q_Financials!AW46</f>
        <v>1.3287797303973459</v>
      </c>
      <c r="BF548" s="452">
        <f>Q_Financials!AX46</f>
        <v>0.24283534520022967</v>
      </c>
      <c r="BG548" s="452">
        <f>Q_Financials!AY46</f>
        <v>0.19338124214657942</v>
      </c>
      <c r="BH548" s="452">
        <f>Q_Financials!AZ46</f>
        <v>0.29598511377880049</v>
      </c>
      <c r="BI548" s="452">
        <f>Q_Financials!BA46</f>
        <v>0.20426035604834542</v>
      </c>
      <c r="BJ548" s="452">
        <f>Q_Financials!BB46</f>
        <v>0.28961738768141104</v>
      </c>
      <c r="BK548" s="452">
        <f>Q_Financials!BC46</f>
        <v>0.30774851237447232</v>
      </c>
      <c r="BL548" s="452">
        <f>Q_Financials!BD46</f>
        <v>0.34595139027890859</v>
      </c>
      <c r="BM548" s="452">
        <f>Q_Financials!BE46</f>
        <v>0.46537108755512746</v>
      </c>
      <c r="BN548" s="452">
        <f>Q_Financials!BF46</f>
        <v>0.36449004707838328</v>
      </c>
      <c r="BO548" s="452">
        <f>Q_Financials!BG46</f>
        <v>0.34400584619214558</v>
      </c>
      <c r="BP548" s="452">
        <f>Q_Financials!BH46</f>
        <v>0.43025251418727734</v>
      </c>
      <c r="BQ548" s="452">
        <f>Q_Financials!BI46</f>
        <v>0.24923774274919322</v>
      </c>
      <c r="BR548" s="452">
        <f>Q_Financials!BJ46</f>
        <v>0.33728135759394196</v>
      </c>
      <c r="BS548" s="452">
        <f>Q_Financials!BK46</f>
        <v>0.3083664207346602</v>
      </c>
      <c r="BT548" s="452">
        <f>Q_Financials!BL46</f>
        <v>0.33</v>
      </c>
      <c r="BU548" s="452">
        <f>Q_Financials!BM46</f>
        <v>0.33999999999999997</v>
      </c>
      <c r="BV548" s="452">
        <f>Q_Financials!BN46</f>
        <v>0.34</v>
      </c>
      <c r="BW548" s="452">
        <f>Q_Financials!BO46</f>
        <v>0.34</v>
      </c>
      <c r="BX548" s="452">
        <f>Q_Financials!BP46</f>
        <v>0.34</v>
      </c>
      <c r="BY548" s="452">
        <f>Q_Financials!BQ46</f>
        <v>0.34</v>
      </c>
      <c r="BZ548" s="452">
        <f>Q_Financials!BR46</f>
        <v>0.34</v>
      </c>
      <c r="CA548" s="452">
        <f>Q_Financials!BS46</f>
        <v>0.34</v>
      </c>
      <c r="CB548" s="452">
        <f>Q_Financials!BT46</f>
        <v>0.34</v>
      </c>
      <c r="CC548" s="452">
        <f>Q_Financials!BU46</f>
        <v>0.34</v>
      </c>
      <c r="CD548" s="452">
        <f>Q_Financials!BV46</f>
        <v>0.34</v>
      </c>
      <c r="CE548" s="452">
        <f>Q_Financials!BW46</f>
        <v>0.34000000000000008</v>
      </c>
      <c r="CF548" s="452">
        <f>Q_Financials!BX46</f>
        <v>0.34</v>
      </c>
      <c r="CG548" s="452">
        <f>Q_Financials!BY46</f>
        <v>0.34</v>
      </c>
      <c r="CH548" s="452">
        <f>Q_Financials!BZ46</f>
        <v>0.34</v>
      </c>
      <c r="CI548" s="452">
        <f>Q_Financials!CA46</f>
        <v>0.34</v>
      </c>
      <c r="CJ548" s="452">
        <f>Q_Financials!CB46</f>
        <v>0.34</v>
      </c>
      <c r="CK548" s="452">
        <f>Q_Financials!CC46</f>
        <v>0.34</v>
      </c>
      <c r="CL548" s="452">
        <f>Q_Financials!CD46</f>
        <v>0.34</v>
      </c>
      <c r="CM548" s="452">
        <f>Q_Financials!CE46</f>
        <v>0.34</v>
      </c>
      <c r="CN548" s="452">
        <f>Q_Financials!CF46</f>
        <v>0.34</v>
      </c>
      <c r="CO548" s="452">
        <f>Q_Financials!CG46</f>
        <v>0.34</v>
      </c>
      <c r="CP548" s="452">
        <f>Q_Financials!CH46</f>
        <v>0.34</v>
      </c>
      <c r="CQ548" s="452">
        <f>Q_Financials!CI46</f>
        <v>0.34</v>
      </c>
      <c r="CR548" s="452">
        <f>Q_Financials!CJ46</f>
        <v>0.34</v>
      </c>
      <c r="CS548" s="452">
        <f>Q_Financials!CK46</f>
        <v>0.34</v>
      </c>
    </row>
    <row r="549" spans="1:97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</row>
    <row r="550" spans="1:97">
      <c r="A550" s="242" t="s">
        <v>266</v>
      </c>
      <c r="B550" s="595"/>
      <c r="C550" s="595"/>
      <c r="D550" s="595"/>
      <c r="E550" s="595"/>
      <c r="F550" s="595"/>
      <c r="G550" s="595"/>
      <c r="H550" s="595"/>
      <c r="I550" s="595"/>
      <c r="J550" s="595" t="str">
        <f t="shared" ref="J550:AO550" si="360">J$453</f>
        <v>1Q09</v>
      </c>
      <c r="K550" s="595" t="str">
        <f t="shared" si="360"/>
        <v>2Q09</v>
      </c>
      <c r="L550" s="595" t="str">
        <f t="shared" si="360"/>
        <v>3Q09</v>
      </c>
      <c r="M550" s="595" t="str">
        <f t="shared" si="360"/>
        <v>4Q09</v>
      </c>
      <c r="N550" s="595" t="str">
        <f t="shared" si="360"/>
        <v>1Q10</v>
      </c>
      <c r="O550" s="595" t="str">
        <f t="shared" si="360"/>
        <v>2Q10</v>
      </c>
      <c r="P550" s="595" t="str">
        <f t="shared" si="360"/>
        <v>3Q10</v>
      </c>
      <c r="Q550" s="595" t="str">
        <f t="shared" si="360"/>
        <v>4Q10</v>
      </c>
      <c r="R550" s="595" t="str">
        <f t="shared" si="360"/>
        <v>1Q11</v>
      </c>
      <c r="S550" s="595" t="str">
        <f t="shared" si="360"/>
        <v>2Q11</v>
      </c>
      <c r="T550" s="595" t="str">
        <f t="shared" si="360"/>
        <v>3Q11</v>
      </c>
      <c r="U550" s="595" t="str">
        <f t="shared" si="360"/>
        <v>4Q11</v>
      </c>
      <c r="V550" s="595" t="str">
        <f t="shared" si="360"/>
        <v>1Q12</v>
      </c>
      <c r="W550" s="595" t="str">
        <f t="shared" si="360"/>
        <v>2Q12</v>
      </c>
      <c r="X550" s="595" t="str">
        <f t="shared" si="360"/>
        <v>3Q12</v>
      </c>
      <c r="Y550" s="595" t="str">
        <f t="shared" si="360"/>
        <v>4Q12</v>
      </c>
      <c r="Z550" s="595" t="str">
        <f t="shared" si="360"/>
        <v>1Q13</v>
      </c>
      <c r="AA550" s="595" t="str">
        <f t="shared" si="360"/>
        <v>2Q13</v>
      </c>
      <c r="AB550" s="595" t="str">
        <f t="shared" si="360"/>
        <v>3Q13</v>
      </c>
      <c r="AC550" s="595" t="str">
        <f t="shared" si="360"/>
        <v>4Q13</v>
      </c>
      <c r="AD550" s="595" t="str">
        <f t="shared" si="360"/>
        <v>1Q14</v>
      </c>
      <c r="AE550" s="595" t="str">
        <f t="shared" si="360"/>
        <v>2Q14</v>
      </c>
      <c r="AF550" s="595" t="str">
        <f t="shared" si="360"/>
        <v>3Q14</v>
      </c>
      <c r="AG550" s="595" t="str">
        <f t="shared" si="360"/>
        <v>4Q14</v>
      </c>
      <c r="AH550" s="595" t="str">
        <f t="shared" si="360"/>
        <v>1Q15</v>
      </c>
      <c r="AI550" s="595" t="str">
        <f t="shared" si="360"/>
        <v>2Q15</v>
      </c>
      <c r="AJ550" s="595" t="str">
        <f t="shared" si="360"/>
        <v>3Q15</v>
      </c>
      <c r="AK550" s="595" t="str">
        <f t="shared" si="360"/>
        <v>4Q15</v>
      </c>
      <c r="AL550" s="595" t="str">
        <f t="shared" si="360"/>
        <v>1Q16</v>
      </c>
      <c r="AM550" s="595" t="str">
        <f t="shared" si="360"/>
        <v>2Q16</v>
      </c>
      <c r="AN550" s="595" t="str">
        <f t="shared" si="360"/>
        <v>3Q16</v>
      </c>
      <c r="AO550" s="595" t="str">
        <f t="shared" si="360"/>
        <v>4Q16</v>
      </c>
      <c r="AP550" s="595" t="str">
        <f t="shared" ref="AP550:CS550" si="361">AP$453</f>
        <v>1Q17</v>
      </c>
      <c r="AQ550" s="595" t="str">
        <f t="shared" si="361"/>
        <v>2Q17</v>
      </c>
      <c r="AR550" s="595" t="str">
        <f t="shared" si="361"/>
        <v>3Q17</v>
      </c>
      <c r="AS550" s="595" t="str">
        <f t="shared" si="361"/>
        <v>4Q17</v>
      </c>
      <c r="AT550" s="595" t="str">
        <f t="shared" si="361"/>
        <v>1Q18</v>
      </c>
      <c r="AU550" s="595" t="str">
        <f t="shared" si="361"/>
        <v>2Q18</v>
      </c>
      <c r="AV550" s="595" t="str">
        <f t="shared" si="361"/>
        <v>3Q18</v>
      </c>
      <c r="AW550" s="595" t="str">
        <f t="shared" si="361"/>
        <v>4Q18</v>
      </c>
      <c r="AX550" s="595" t="str">
        <f t="shared" si="361"/>
        <v>1Q19</v>
      </c>
      <c r="AY550" s="595" t="str">
        <f t="shared" si="361"/>
        <v>2Q19</v>
      </c>
      <c r="AZ550" s="595" t="str">
        <f t="shared" si="361"/>
        <v>3Q19</v>
      </c>
      <c r="BA550" s="595" t="str">
        <f t="shared" si="361"/>
        <v>4Q19</v>
      </c>
      <c r="BB550" s="595" t="str">
        <f t="shared" si="361"/>
        <v>1Q20</v>
      </c>
      <c r="BC550" s="595" t="str">
        <f t="shared" si="361"/>
        <v>2Q20</v>
      </c>
      <c r="BD550" s="595" t="str">
        <f t="shared" si="361"/>
        <v>3Q20</v>
      </c>
      <c r="BE550" s="595" t="str">
        <f t="shared" si="361"/>
        <v>4Q20</v>
      </c>
      <c r="BF550" s="595" t="str">
        <f t="shared" si="361"/>
        <v>1Q21</v>
      </c>
      <c r="BG550" s="595" t="str">
        <f t="shared" si="361"/>
        <v>2Q21</v>
      </c>
      <c r="BH550" s="595" t="str">
        <f t="shared" si="361"/>
        <v>3Q21</v>
      </c>
      <c r="BI550" s="595" t="str">
        <f t="shared" si="361"/>
        <v>4Q21</v>
      </c>
      <c r="BJ550" s="595" t="str">
        <f t="shared" si="361"/>
        <v>1Q22</v>
      </c>
      <c r="BK550" s="595" t="str">
        <f t="shared" si="361"/>
        <v>2Q22</v>
      </c>
      <c r="BL550" s="595" t="str">
        <f t="shared" si="361"/>
        <v>3Q22</v>
      </c>
      <c r="BM550" s="595" t="str">
        <f t="shared" si="361"/>
        <v>4Q22</v>
      </c>
      <c r="BN550" s="595" t="str">
        <f t="shared" si="361"/>
        <v>1Q23</v>
      </c>
      <c r="BO550" s="595" t="str">
        <f t="shared" si="361"/>
        <v>2Q23</v>
      </c>
      <c r="BP550" s="595" t="str">
        <f t="shared" si="361"/>
        <v>3Q23</v>
      </c>
      <c r="BQ550" s="595" t="str">
        <f t="shared" si="361"/>
        <v>4Q23</v>
      </c>
      <c r="BR550" s="596" t="str">
        <f t="shared" si="361"/>
        <v>1Q24</v>
      </c>
      <c r="BS550" s="596" t="str">
        <f t="shared" si="361"/>
        <v>2Q24e</v>
      </c>
      <c r="BT550" s="596" t="str">
        <f t="shared" si="361"/>
        <v>3Q24e</v>
      </c>
      <c r="BU550" s="596" t="str">
        <f t="shared" si="361"/>
        <v>4Q24e</v>
      </c>
      <c r="BV550" s="596" t="str">
        <f t="shared" si="361"/>
        <v>1Q25e</v>
      </c>
      <c r="BW550" s="596" t="str">
        <f t="shared" si="361"/>
        <v>2Q25e</v>
      </c>
      <c r="BX550" s="596" t="str">
        <f t="shared" si="361"/>
        <v>3Q25e</v>
      </c>
      <c r="BY550" s="596" t="str">
        <f t="shared" si="361"/>
        <v>4Q25e</v>
      </c>
      <c r="BZ550" s="596" t="str">
        <f t="shared" si="361"/>
        <v>1Q26e</v>
      </c>
      <c r="CA550" s="596" t="str">
        <f t="shared" si="361"/>
        <v>2Q26e</v>
      </c>
      <c r="CB550" s="596" t="str">
        <f t="shared" si="361"/>
        <v>3Q26e</v>
      </c>
      <c r="CC550" s="596" t="str">
        <f t="shared" si="361"/>
        <v>4Q26e</v>
      </c>
      <c r="CD550" s="596" t="str">
        <f t="shared" si="361"/>
        <v>1Q27e</v>
      </c>
      <c r="CE550" s="596" t="str">
        <f t="shared" si="361"/>
        <v>2Q27e</v>
      </c>
      <c r="CF550" s="596" t="str">
        <f t="shared" si="361"/>
        <v>3Q27e</v>
      </c>
      <c r="CG550" s="596" t="str">
        <f t="shared" si="361"/>
        <v>4Q27e</v>
      </c>
      <c r="CH550" s="596" t="str">
        <f t="shared" si="361"/>
        <v>1Q28e</v>
      </c>
      <c r="CI550" s="596" t="str">
        <f t="shared" si="361"/>
        <v>2Q28e</v>
      </c>
      <c r="CJ550" s="596" t="str">
        <f t="shared" si="361"/>
        <v>3Q28e</v>
      </c>
      <c r="CK550" s="596" t="str">
        <f t="shared" si="361"/>
        <v>4Q28e</v>
      </c>
      <c r="CL550" s="596" t="str">
        <f t="shared" si="361"/>
        <v>1Q29e</v>
      </c>
      <c r="CM550" s="596" t="str">
        <f t="shared" si="361"/>
        <v>2Q29e</v>
      </c>
      <c r="CN550" s="596" t="str">
        <f t="shared" si="361"/>
        <v>3Q29e</v>
      </c>
      <c r="CO550" s="596" t="str">
        <f t="shared" si="361"/>
        <v>4Q29e</v>
      </c>
      <c r="CP550" s="596" t="str">
        <f t="shared" si="361"/>
        <v>1Q30e</v>
      </c>
      <c r="CQ550" s="596" t="str">
        <f t="shared" si="361"/>
        <v>2Q30e</v>
      </c>
      <c r="CR550" s="596" t="str">
        <f t="shared" si="361"/>
        <v>3Q30e</v>
      </c>
      <c r="CS550" s="596" t="str">
        <f t="shared" si="361"/>
        <v>4Q30e</v>
      </c>
    </row>
    <row r="551" spans="1:97">
      <c r="A551" s="36" t="s">
        <v>200</v>
      </c>
      <c r="B551" s="92"/>
      <c r="C551" s="92"/>
      <c r="D551" s="92"/>
      <c r="E551" s="92"/>
      <c r="F551" s="92"/>
      <c r="G551" s="92"/>
      <c r="H551" s="92"/>
      <c r="I551" s="92"/>
      <c r="J551" s="92">
        <f>Q_Financials!B55</f>
        <v>-43.301000000000023</v>
      </c>
      <c r="K551" s="92">
        <f>Q_Financials!C55</f>
        <v>-41.907000000000131</v>
      </c>
      <c r="L551" s="92">
        <f>Q_Financials!D55</f>
        <v>64.426999999999737</v>
      </c>
      <c r="M551" s="92">
        <f>Q_Financials!E55</f>
        <v>124.52899999999985</v>
      </c>
      <c r="N551" s="92">
        <f>Q_Financials!F55</f>
        <v>-0.65799999999988446</v>
      </c>
      <c r="O551" s="92">
        <f>Q_Financials!G55</f>
        <v>98.703999999999979</v>
      </c>
      <c r="P551" s="92">
        <f>Q_Financials!H55</f>
        <v>16.437999999999942</v>
      </c>
      <c r="Q551" s="92">
        <f>Q_Financials!I55</f>
        <v>36.741999999999813</v>
      </c>
      <c r="R551" s="92">
        <f>Q_Financials!J55</f>
        <v>13.282000000000078</v>
      </c>
      <c r="S551" s="92">
        <f>Q_Financials!K55</f>
        <v>50.061000000000277</v>
      </c>
      <c r="T551" s="92">
        <f>Q_Financials!L55</f>
        <v>82.179000000000116</v>
      </c>
      <c r="U551" s="92">
        <f>Q_Financials!M55</f>
        <v>64.121999999999943</v>
      </c>
      <c r="V551" s="92">
        <f>Q_Financials!N55</f>
        <v>17.043999999999834</v>
      </c>
      <c r="W551" s="92">
        <f>Q_Financials!O55</f>
        <v>132.85499999999971</v>
      </c>
      <c r="X551" s="92">
        <f>Q_Financials!P55</f>
        <v>84.255999999999887</v>
      </c>
      <c r="Y551" s="92">
        <f>Q_Financials!Q55</f>
        <v>132.40999999999991</v>
      </c>
      <c r="Z551" s="92">
        <f>Q_Financials!R55</f>
        <v>65.149000000000115</v>
      </c>
      <c r="AA551" s="92">
        <f>Q_Financials!S55</f>
        <v>157.44300000000004</v>
      </c>
      <c r="AB551" s="92">
        <f>Q_Financials!T55</f>
        <v>183.82299999999978</v>
      </c>
      <c r="AC551" s="92">
        <f>Q_Financials!U55</f>
        <v>274.5980000000003</v>
      </c>
      <c r="AD551" s="92">
        <f>Q_Financials!V55</f>
        <v>86.735000000000156</v>
      </c>
      <c r="AE551" s="92">
        <f>Q_Financials!W55</f>
        <v>88.162999999999911</v>
      </c>
      <c r="AF551" s="92">
        <f>Q_Financials!X55</f>
        <v>194.54700000000045</v>
      </c>
      <c r="AG551" s="92">
        <f>Q_Financials!Y55</f>
        <v>297.22099999999966</v>
      </c>
      <c r="AH551" s="92">
        <f>Q_Financials!Z55</f>
        <v>298.81400000000133</v>
      </c>
      <c r="AI551" s="92">
        <f>Q_Financials!AA55</f>
        <v>92.592999999999847</v>
      </c>
      <c r="AJ551" s="92">
        <f>Q_Financials!AB55</f>
        <v>120.26199999999994</v>
      </c>
      <c r="AK551" s="92">
        <f>Q_Financials!AC55</f>
        <v>469.53699999999924</v>
      </c>
      <c r="AL551" s="92">
        <f>Q_Financials!AD55</f>
        <v>34.092000000000269</v>
      </c>
      <c r="AM551" s="92">
        <f>Q_Financials!AE55</f>
        <v>210.31999999999888</v>
      </c>
      <c r="AN551" s="92">
        <f>Q_Financials!AF55</f>
        <v>164.80799999999996</v>
      </c>
      <c r="AO551" s="92">
        <f>Q_Financials!AG55</f>
        <v>587.25200000000029</v>
      </c>
      <c r="AP551" s="92">
        <f>Q_Financials!AH55</f>
        <v>172.08199999999974</v>
      </c>
      <c r="AQ551" s="92">
        <f>Q_Financials!AI55</f>
        <v>59.435000000000365</v>
      </c>
      <c r="AR551" s="92">
        <f>Q_Financials!AJ55</f>
        <v>206.30399999999892</v>
      </c>
      <c r="AS551" s="92">
        <f>Q_Financials!AK55</f>
        <v>651.64800000000059</v>
      </c>
      <c r="AT551" s="92">
        <f>Q_Financials!AL55</f>
        <v>198.39900000000003</v>
      </c>
      <c r="AU551" s="92">
        <f>Q_Financials!AM55</f>
        <v>204.69599999999988</v>
      </c>
      <c r="AV551" s="92">
        <f>Q_Financials!AN55</f>
        <v>299.92100000000045</v>
      </c>
      <c r="AW551" s="92">
        <f>Q_Financials!AO55</f>
        <v>250.23699999999874</v>
      </c>
      <c r="AX551" s="92">
        <f>Q_Financials!AP55</f>
        <v>88.110999999999876</v>
      </c>
      <c r="AY551" s="92">
        <f>Q_Financials!AQ55</f>
        <v>127.41300000000138</v>
      </c>
      <c r="AZ551" s="92">
        <f>Q_Financials!AR55</f>
        <v>159.40299999999874</v>
      </c>
      <c r="BA551" s="92">
        <f>Q_Financials!AS55</f>
        <v>389.486999999999</v>
      </c>
      <c r="BB551" s="92">
        <f>Q_Financials!AT55</f>
        <v>-328.43800000000056</v>
      </c>
      <c r="BC551" s="329">
        <f>Q_Financials!AU55</f>
        <v>-2263.9620000000009</v>
      </c>
      <c r="BD551" s="329">
        <f>Q_Financials!AV55</f>
        <v>-919.46100000000069</v>
      </c>
      <c r="BE551" s="329">
        <f>Q_Financials!AW55</f>
        <v>-196.35300000000021</v>
      </c>
      <c r="BF551" s="329">
        <f>Q_Financials!AX55</f>
        <v>-352.40199999999982</v>
      </c>
      <c r="BG551" s="329">
        <f>Q_Financials!AY55</f>
        <v>104.16499999999971</v>
      </c>
      <c r="BH551" s="329">
        <f>Q_Financials!AZ55</f>
        <v>162.20399999999944</v>
      </c>
      <c r="BI551" s="329">
        <f>Q_Financials!BA55</f>
        <v>573.92000000000053</v>
      </c>
      <c r="BJ551" s="329">
        <f>Q_Financials!BB55</f>
        <v>386.30199999999974</v>
      </c>
      <c r="BK551" s="329">
        <f>Q_Financials!BC55</f>
        <v>201.23399999999978</v>
      </c>
      <c r="BL551" s="329">
        <f>Q_Financials!BD55</f>
        <v>292.32899999999842</v>
      </c>
      <c r="BM551" s="329">
        <f>Q_Financials!BE55</f>
        <v>782.01499999999976</v>
      </c>
      <c r="BN551" s="329">
        <f>Q_Financials!BF55</f>
        <v>507.41400000000033</v>
      </c>
      <c r="BO551" s="329">
        <f>Q_Financials!BG55</f>
        <v>442.04999999999933</v>
      </c>
      <c r="BP551" s="329">
        <f>Q_Financials!BH55</f>
        <v>493.38399999999785</v>
      </c>
      <c r="BQ551" s="329">
        <f>Q_Financials!BI55</f>
        <v>1347.0479999999993</v>
      </c>
      <c r="BR551" s="329">
        <f>Q_Financials!BJ55</f>
        <v>412.63000000000073</v>
      </c>
      <c r="BS551" s="329">
        <f>Q_Financials!BK55</f>
        <v>170.74200000000164</v>
      </c>
      <c r="BT551" s="329">
        <f>Q_Financials!BL55</f>
        <v>305.979442247858</v>
      </c>
      <c r="BU551" s="329">
        <f>Q_Financials!BM55</f>
        <v>755.15054519544333</v>
      </c>
      <c r="BV551" s="329">
        <f>Q_Financials!BN55</f>
        <v>406.22825000768034</v>
      </c>
      <c r="BW551" s="329">
        <f>Q_Financials!BO55</f>
        <v>505.04103605578359</v>
      </c>
      <c r="BX551" s="329">
        <f>Q_Financials!BP55</f>
        <v>698.42312775256391</v>
      </c>
      <c r="BY551" s="329">
        <f>Q_Financials!BQ55</f>
        <v>753.96877078573277</v>
      </c>
      <c r="BZ551" s="329">
        <f>Q_Financials!BR55</f>
        <v>214.59109510833594</v>
      </c>
      <c r="CA551" s="329">
        <f>Q_Financials!BS55</f>
        <v>772.65629372806154</v>
      </c>
      <c r="CB551" s="329">
        <f>Q_Financials!BT55</f>
        <v>851.38058549894913</v>
      </c>
      <c r="CC551" s="329">
        <f>Q_Financials!BU55</f>
        <v>1202.4999183068094</v>
      </c>
      <c r="CD551" s="329">
        <f>Q_Financials!BV55</f>
        <v>827.03941575063607</v>
      </c>
      <c r="CE551" s="329">
        <f>Q_Financials!BW55</f>
        <v>983.8271010441091</v>
      </c>
      <c r="CF551" s="329">
        <f>Q_Financials!BX55</f>
        <v>952.01246126746969</v>
      </c>
      <c r="CG551" s="329">
        <f>Q_Financials!BY55</f>
        <v>1209.5047064185433</v>
      </c>
      <c r="CH551" s="329">
        <f>Q_Financials!BZ55</f>
        <v>840.2470484611531</v>
      </c>
      <c r="CI551" s="329">
        <f>Q_Financials!CA55</f>
        <v>1021.7869533576696</v>
      </c>
      <c r="CJ551" s="329">
        <f>Q_Financials!CB55</f>
        <v>958.11950536618792</v>
      </c>
      <c r="CK551" s="329">
        <f>Q_Financials!CC55</f>
        <v>1159.974094566071</v>
      </c>
      <c r="CL551" s="329">
        <f>Q_Financials!CD55</f>
        <v>867.7251827760216</v>
      </c>
      <c r="CM551" s="329">
        <f>Q_Financials!CE55</f>
        <v>1047.0373132664222</v>
      </c>
      <c r="CN551" s="329">
        <f>Q_Financials!CF55</f>
        <v>991.92829572077153</v>
      </c>
      <c r="CO551" s="329">
        <f>Q_Financials!CG55</f>
        <v>1214.9321642712132</v>
      </c>
      <c r="CP551" s="329">
        <f>Q_Financials!CH55</f>
        <v>893.74953651460191</v>
      </c>
      <c r="CQ551" s="329">
        <f>Q_Financials!CI55</f>
        <v>1073.4406619572767</v>
      </c>
      <c r="CR551" s="329">
        <f>Q_Financials!CJ55</f>
        <v>1028.2301127872811</v>
      </c>
      <c r="CS551" s="329">
        <f>Q_Financials!CK55</f>
        <v>1273.1571302687516</v>
      </c>
    </row>
    <row r="552" spans="1:97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</row>
    <row r="553" spans="1:97">
      <c r="A553" s="242" t="s">
        <v>40</v>
      </c>
      <c r="B553" s="595"/>
      <c r="C553" s="595"/>
      <c r="D553" s="595"/>
      <c r="E553" s="595"/>
      <c r="F553" s="595"/>
      <c r="G553" s="595"/>
      <c r="H553" s="595"/>
      <c r="I553" s="595"/>
      <c r="J553" s="595" t="str">
        <f t="shared" ref="J553:AO553" si="362">J$453</f>
        <v>1Q09</v>
      </c>
      <c r="K553" s="595" t="str">
        <f t="shared" si="362"/>
        <v>2Q09</v>
      </c>
      <c r="L553" s="595" t="str">
        <f t="shared" si="362"/>
        <v>3Q09</v>
      </c>
      <c r="M553" s="595" t="str">
        <f t="shared" si="362"/>
        <v>4Q09</v>
      </c>
      <c r="N553" s="595" t="str">
        <f t="shared" si="362"/>
        <v>1Q10</v>
      </c>
      <c r="O553" s="595" t="str">
        <f t="shared" si="362"/>
        <v>2Q10</v>
      </c>
      <c r="P553" s="595" t="str">
        <f t="shared" si="362"/>
        <v>3Q10</v>
      </c>
      <c r="Q553" s="595" t="str">
        <f t="shared" si="362"/>
        <v>4Q10</v>
      </c>
      <c r="R553" s="595" t="str">
        <f t="shared" si="362"/>
        <v>1Q11</v>
      </c>
      <c r="S553" s="595" t="str">
        <f t="shared" si="362"/>
        <v>2Q11</v>
      </c>
      <c r="T553" s="595" t="str">
        <f t="shared" si="362"/>
        <v>3Q11</v>
      </c>
      <c r="U553" s="595" t="str">
        <f t="shared" si="362"/>
        <v>4Q11</v>
      </c>
      <c r="V553" s="595" t="str">
        <f t="shared" si="362"/>
        <v>1Q12</v>
      </c>
      <c r="W553" s="595" t="str">
        <f t="shared" si="362"/>
        <v>2Q12</v>
      </c>
      <c r="X553" s="595" t="str">
        <f t="shared" si="362"/>
        <v>3Q12</v>
      </c>
      <c r="Y553" s="595" t="str">
        <f t="shared" si="362"/>
        <v>4Q12</v>
      </c>
      <c r="Z553" s="595" t="str">
        <f t="shared" si="362"/>
        <v>1Q13</v>
      </c>
      <c r="AA553" s="595" t="str">
        <f t="shared" si="362"/>
        <v>2Q13</v>
      </c>
      <c r="AB553" s="595" t="str">
        <f t="shared" si="362"/>
        <v>3Q13</v>
      </c>
      <c r="AC553" s="595" t="str">
        <f t="shared" si="362"/>
        <v>4Q13</v>
      </c>
      <c r="AD553" s="595" t="str">
        <f t="shared" si="362"/>
        <v>1Q14</v>
      </c>
      <c r="AE553" s="595" t="str">
        <f t="shared" si="362"/>
        <v>2Q14</v>
      </c>
      <c r="AF553" s="595" t="str">
        <f t="shared" si="362"/>
        <v>3Q14</v>
      </c>
      <c r="AG553" s="595" t="str">
        <f t="shared" si="362"/>
        <v>4Q14</v>
      </c>
      <c r="AH553" s="595" t="str">
        <f t="shared" si="362"/>
        <v>1Q15</v>
      </c>
      <c r="AI553" s="595" t="str">
        <f t="shared" si="362"/>
        <v>2Q15</v>
      </c>
      <c r="AJ553" s="595" t="str">
        <f t="shared" si="362"/>
        <v>3Q15</v>
      </c>
      <c r="AK553" s="595" t="str">
        <f t="shared" si="362"/>
        <v>4Q15</v>
      </c>
      <c r="AL553" s="595" t="str">
        <f t="shared" si="362"/>
        <v>1Q16</v>
      </c>
      <c r="AM553" s="595" t="str">
        <f t="shared" si="362"/>
        <v>2Q16</v>
      </c>
      <c r="AN553" s="595" t="str">
        <f t="shared" si="362"/>
        <v>3Q16</v>
      </c>
      <c r="AO553" s="595" t="str">
        <f t="shared" si="362"/>
        <v>4Q16</v>
      </c>
      <c r="AP553" s="595" t="str">
        <f t="shared" ref="AP553:CS553" si="363">AP$453</f>
        <v>1Q17</v>
      </c>
      <c r="AQ553" s="595" t="str">
        <f t="shared" si="363"/>
        <v>2Q17</v>
      </c>
      <c r="AR553" s="595" t="str">
        <f t="shared" si="363"/>
        <v>3Q17</v>
      </c>
      <c r="AS553" s="595" t="str">
        <f t="shared" si="363"/>
        <v>4Q17</v>
      </c>
      <c r="AT553" s="595" t="str">
        <f t="shared" si="363"/>
        <v>1Q18</v>
      </c>
      <c r="AU553" s="595" t="str">
        <f t="shared" si="363"/>
        <v>2Q18</v>
      </c>
      <c r="AV553" s="595" t="str">
        <f t="shared" si="363"/>
        <v>3Q18</v>
      </c>
      <c r="AW553" s="595" t="str">
        <f t="shared" si="363"/>
        <v>4Q18</v>
      </c>
      <c r="AX553" s="595" t="str">
        <f t="shared" si="363"/>
        <v>1Q19</v>
      </c>
      <c r="AY553" s="595" t="str">
        <f t="shared" si="363"/>
        <v>2Q19</v>
      </c>
      <c r="AZ553" s="595" t="str">
        <f t="shared" si="363"/>
        <v>3Q19</v>
      </c>
      <c r="BA553" s="595" t="str">
        <f t="shared" si="363"/>
        <v>4Q19</v>
      </c>
      <c r="BB553" s="595" t="str">
        <f t="shared" si="363"/>
        <v>1Q20</v>
      </c>
      <c r="BC553" s="595" t="str">
        <f t="shared" si="363"/>
        <v>2Q20</v>
      </c>
      <c r="BD553" s="595" t="str">
        <f t="shared" si="363"/>
        <v>3Q20</v>
      </c>
      <c r="BE553" s="595" t="str">
        <f t="shared" si="363"/>
        <v>4Q20</v>
      </c>
      <c r="BF553" s="595" t="str">
        <f t="shared" si="363"/>
        <v>1Q21</v>
      </c>
      <c r="BG553" s="595" t="str">
        <f t="shared" si="363"/>
        <v>2Q21</v>
      </c>
      <c r="BH553" s="595" t="str">
        <f t="shared" si="363"/>
        <v>3Q21</v>
      </c>
      <c r="BI553" s="595" t="str">
        <f t="shared" si="363"/>
        <v>4Q21</v>
      </c>
      <c r="BJ553" s="595" t="str">
        <f t="shared" si="363"/>
        <v>1Q22</v>
      </c>
      <c r="BK553" s="595" t="str">
        <f t="shared" si="363"/>
        <v>2Q22</v>
      </c>
      <c r="BL553" s="595" t="str">
        <f t="shared" si="363"/>
        <v>3Q22</v>
      </c>
      <c r="BM553" s="595" t="str">
        <f t="shared" si="363"/>
        <v>4Q22</v>
      </c>
      <c r="BN553" s="595" t="str">
        <f t="shared" si="363"/>
        <v>1Q23</v>
      </c>
      <c r="BO553" s="595" t="str">
        <f t="shared" si="363"/>
        <v>2Q23</v>
      </c>
      <c r="BP553" s="595" t="str">
        <f t="shared" si="363"/>
        <v>3Q23</v>
      </c>
      <c r="BQ553" s="595" t="str">
        <f t="shared" si="363"/>
        <v>4Q23</v>
      </c>
      <c r="BR553" s="596" t="str">
        <f t="shared" si="363"/>
        <v>1Q24</v>
      </c>
      <c r="BS553" s="596" t="str">
        <f t="shared" si="363"/>
        <v>2Q24e</v>
      </c>
      <c r="BT553" s="596" t="str">
        <f t="shared" si="363"/>
        <v>3Q24e</v>
      </c>
      <c r="BU553" s="596" t="str">
        <f t="shared" si="363"/>
        <v>4Q24e</v>
      </c>
      <c r="BV553" s="596" t="str">
        <f t="shared" si="363"/>
        <v>1Q25e</v>
      </c>
      <c r="BW553" s="596" t="str">
        <f t="shared" si="363"/>
        <v>2Q25e</v>
      </c>
      <c r="BX553" s="596" t="str">
        <f t="shared" si="363"/>
        <v>3Q25e</v>
      </c>
      <c r="BY553" s="596" t="str">
        <f t="shared" si="363"/>
        <v>4Q25e</v>
      </c>
      <c r="BZ553" s="596" t="str">
        <f t="shared" si="363"/>
        <v>1Q26e</v>
      </c>
      <c r="CA553" s="596" t="str">
        <f t="shared" si="363"/>
        <v>2Q26e</v>
      </c>
      <c r="CB553" s="596" t="str">
        <f t="shared" si="363"/>
        <v>3Q26e</v>
      </c>
      <c r="CC553" s="596" t="str">
        <f t="shared" si="363"/>
        <v>4Q26e</v>
      </c>
      <c r="CD553" s="596" t="str">
        <f t="shared" si="363"/>
        <v>1Q27e</v>
      </c>
      <c r="CE553" s="596" t="str">
        <f t="shared" si="363"/>
        <v>2Q27e</v>
      </c>
      <c r="CF553" s="596" t="str">
        <f t="shared" si="363"/>
        <v>3Q27e</v>
      </c>
      <c r="CG553" s="596" t="str">
        <f t="shared" si="363"/>
        <v>4Q27e</v>
      </c>
      <c r="CH553" s="596" t="str">
        <f t="shared" si="363"/>
        <v>1Q28e</v>
      </c>
      <c r="CI553" s="596" t="str">
        <f t="shared" si="363"/>
        <v>2Q28e</v>
      </c>
      <c r="CJ553" s="596" t="str">
        <f t="shared" si="363"/>
        <v>3Q28e</v>
      </c>
      <c r="CK553" s="596" t="str">
        <f t="shared" si="363"/>
        <v>4Q28e</v>
      </c>
      <c r="CL553" s="596" t="str">
        <f t="shared" si="363"/>
        <v>1Q29e</v>
      </c>
      <c r="CM553" s="596" t="str">
        <f t="shared" si="363"/>
        <v>2Q29e</v>
      </c>
      <c r="CN553" s="596" t="str">
        <f t="shared" si="363"/>
        <v>3Q29e</v>
      </c>
      <c r="CO553" s="596" t="str">
        <f t="shared" si="363"/>
        <v>4Q29e</v>
      </c>
      <c r="CP553" s="596" t="str">
        <f t="shared" si="363"/>
        <v>1Q30e</v>
      </c>
      <c r="CQ553" s="596" t="str">
        <f t="shared" si="363"/>
        <v>2Q30e</v>
      </c>
      <c r="CR553" s="596" t="str">
        <f t="shared" si="363"/>
        <v>3Q30e</v>
      </c>
      <c r="CS553" s="596" t="str">
        <f t="shared" si="363"/>
        <v>4Q30e</v>
      </c>
    </row>
    <row r="554" spans="1:97">
      <c r="A554" s="36" t="s">
        <v>200</v>
      </c>
      <c r="B554" s="92"/>
      <c r="C554" s="92"/>
      <c r="D554" s="92"/>
      <c r="E554" s="92"/>
      <c r="F554" s="92"/>
      <c r="G554" s="92"/>
      <c r="H554" s="92"/>
      <c r="I554" s="92"/>
      <c r="J554" s="92">
        <f>Q_Financials!B51</f>
        <v>-43.301000000000023</v>
      </c>
      <c r="K554" s="92">
        <f>Q_Financials!C51</f>
        <v>-41.907000000000131</v>
      </c>
      <c r="L554" s="92">
        <f>Q_Financials!D51</f>
        <v>64.426999999999737</v>
      </c>
      <c r="M554" s="92">
        <f>Q_Financials!E51</f>
        <v>124.52899999999985</v>
      </c>
      <c r="N554" s="92">
        <f>Q_Financials!F51</f>
        <v>-0.65799999999988446</v>
      </c>
      <c r="O554" s="92">
        <f>Q_Financials!G51</f>
        <v>98.703999999999979</v>
      </c>
      <c r="P554" s="92">
        <f>Q_Financials!H51</f>
        <v>16.437999999999942</v>
      </c>
      <c r="Q554" s="92">
        <f>Q_Financials!I51</f>
        <v>36.741999999999813</v>
      </c>
      <c r="R554" s="92">
        <f>Q_Financials!J51</f>
        <v>13.282000000000078</v>
      </c>
      <c r="S554" s="92">
        <f>Q_Financials!K51</f>
        <v>50.061000000000277</v>
      </c>
      <c r="T554" s="92">
        <f>Q_Financials!L51</f>
        <v>82.179000000000116</v>
      </c>
      <c r="U554" s="92">
        <f>Q_Financials!M51</f>
        <v>64.121999999999943</v>
      </c>
      <c r="V554" s="92">
        <f>Q_Financials!N51</f>
        <v>17.043999999999834</v>
      </c>
      <c r="W554" s="92">
        <f>Q_Financials!O51</f>
        <v>132.85499999999971</v>
      </c>
      <c r="X554" s="92">
        <f>Q_Financials!P51</f>
        <v>84.255999999999887</v>
      </c>
      <c r="Y554" s="92">
        <f>Q_Financials!Q51</f>
        <v>132.40999999999991</v>
      </c>
      <c r="Z554" s="92">
        <f>Q_Financials!R51</f>
        <v>65.149000000000115</v>
      </c>
      <c r="AA554" s="92">
        <f>Q_Financials!S51</f>
        <v>157.44300000000004</v>
      </c>
      <c r="AB554" s="92">
        <f>Q_Financials!T51</f>
        <v>183.82299999999978</v>
      </c>
      <c r="AC554" s="92">
        <f>Q_Financials!U51</f>
        <v>274.5980000000003</v>
      </c>
      <c r="AD554" s="92">
        <f>Q_Financials!V51</f>
        <v>86.735000000000156</v>
      </c>
      <c r="AE554" s="92">
        <f>Q_Financials!W51</f>
        <v>88.162999999999911</v>
      </c>
      <c r="AF554" s="92">
        <f>Q_Financials!X51</f>
        <v>194.54700000000045</v>
      </c>
      <c r="AG554" s="92">
        <f>Q_Financials!Y51</f>
        <v>297.22099999999966</v>
      </c>
      <c r="AH554" s="92">
        <f>Q_Financials!Z51</f>
        <v>298.81400000000133</v>
      </c>
      <c r="AI554" s="92">
        <f>Q_Financials!AA51</f>
        <v>92.592999999999847</v>
      </c>
      <c r="AJ554" s="92">
        <f>Q_Financials!AB51</f>
        <v>120.26199999999994</v>
      </c>
      <c r="AK554" s="92">
        <f>Q_Financials!AC51</f>
        <v>469.53699999999924</v>
      </c>
      <c r="AL554" s="92">
        <f>Q_Financials!AD51</f>
        <v>34.092000000000269</v>
      </c>
      <c r="AM554" s="92">
        <f>Q_Financials!AE51</f>
        <v>210.31999999999888</v>
      </c>
      <c r="AN554" s="92">
        <f>Q_Financials!AF51</f>
        <v>164.80799999999996</v>
      </c>
      <c r="AO554" s="92">
        <f>Q_Financials!AG51</f>
        <v>587.25200000000029</v>
      </c>
      <c r="AP554" s="92">
        <f>Q_Financials!AH51</f>
        <v>172.08199999999974</v>
      </c>
      <c r="AQ554" s="92">
        <f>Q_Financials!AI51</f>
        <v>59.435000000000365</v>
      </c>
      <c r="AR554" s="92">
        <f>Q_Financials!AJ51</f>
        <v>206.30399999999892</v>
      </c>
      <c r="AS554" s="92">
        <f>Q_Financials!AK51</f>
        <v>651.64800000000059</v>
      </c>
      <c r="AT554" s="92">
        <f>Q_Financials!AL51</f>
        <v>198.39900000000003</v>
      </c>
      <c r="AU554" s="92">
        <f>Q_Financials!AM51</f>
        <v>204.69599999999988</v>
      </c>
      <c r="AV554" s="92">
        <f>Q_Financials!AN51</f>
        <v>299.92100000000045</v>
      </c>
      <c r="AW554" s="92">
        <f>Q_Financials!AO51</f>
        <v>250.23699999999874</v>
      </c>
      <c r="AX554" s="92">
        <f>Q_Financials!AP51</f>
        <v>88.110999999999876</v>
      </c>
      <c r="AY554" s="92">
        <f>Q_Financials!AQ51</f>
        <v>127.41300000000138</v>
      </c>
      <c r="AZ554" s="92">
        <f>Q_Financials!AR51</f>
        <v>159.40299999999874</v>
      </c>
      <c r="BA554" s="92">
        <f>Q_Financials!AS51</f>
        <v>389.486999999999</v>
      </c>
      <c r="BB554" s="92">
        <f>Q_Financials!AT51</f>
        <v>-328.43800000000056</v>
      </c>
      <c r="BC554" s="329">
        <f>Q_Financials!AU51</f>
        <v>-2263.9620000000009</v>
      </c>
      <c r="BD554" s="329">
        <f>Q_Financials!AV51</f>
        <v>-919.46100000000069</v>
      </c>
      <c r="BE554" s="329">
        <f>Q_Financials!AW51</f>
        <v>-196.35300000000021</v>
      </c>
      <c r="BF554" s="329">
        <f>Q_Financials!AX51</f>
        <v>-352.40199999999982</v>
      </c>
      <c r="BG554" s="329">
        <f>Q_Financials!AY51</f>
        <v>104.16499999999971</v>
      </c>
      <c r="BH554" s="329">
        <f>Q_Financials!AZ51</f>
        <v>162.20399999999944</v>
      </c>
      <c r="BI554" s="329">
        <f>Q_Financials!BA51</f>
        <v>573.92000000000053</v>
      </c>
      <c r="BJ554" s="329">
        <f>Q_Financials!BB51</f>
        <v>386.30199999999974</v>
      </c>
      <c r="BK554" s="329">
        <f>Q_Financials!BC51</f>
        <v>201.23399999999978</v>
      </c>
      <c r="BL554" s="329">
        <f>Q_Financials!BD51</f>
        <v>292.32899999999842</v>
      </c>
      <c r="BM554" s="329">
        <f>Q_Financials!BE51</f>
        <v>782.01499999999976</v>
      </c>
      <c r="BN554" s="329">
        <f>Q_Financials!BF51</f>
        <v>507.41400000000033</v>
      </c>
      <c r="BO554" s="329">
        <f>Q_Financials!BG51</f>
        <v>442.04999999999933</v>
      </c>
      <c r="BP554" s="329">
        <f>Q_Financials!BH51</f>
        <v>493.38399999999785</v>
      </c>
      <c r="BQ554" s="329">
        <f>Q_Financials!BI51</f>
        <v>1347.0479999999993</v>
      </c>
      <c r="BR554" s="329">
        <f>Q_Financials!BJ51</f>
        <v>412.63000000000073</v>
      </c>
      <c r="BS554" s="329">
        <f>Q_Financials!BK51</f>
        <v>170.74200000000164</v>
      </c>
      <c r="BT554" s="329">
        <f>Q_Financials!BL51</f>
        <v>305.979442247858</v>
      </c>
      <c r="BU554" s="329">
        <f>Q_Financials!BM51</f>
        <v>755.15054519544333</v>
      </c>
      <c r="BV554" s="329">
        <f>Q_Financials!BN51</f>
        <v>406.22825000768034</v>
      </c>
      <c r="BW554" s="329">
        <f>Q_Financials!BO51</f>
        <v>505.04103605578359</v>
      </c>
      <c r="BX554" s="329">
        <f>Q_Financials!BP51</f>
        <v>698.42312775256391</v>
      </c>
      <c r="BY554" s="329">
        <f>Q_Financials!BQ51</f>
        <v>753.96877078573277</v>
      </c>
      <c r="BZ554" s="329">
        <f>Q_Financials!BR51</f>
        <v>214.59109510833594</v>
      </c>
      <c r="CA554" s="329">
        <f>Q_Financials!BS51</f>
        <v>772.65629372806154</v>
      </c>
      <c r="CB554" s="329">
        <f>Q_Financials!BT51</f>
        <v>851.38058549894913</v>
      </c>
      <c r="CC554" s="329">
        <f>Q_Financials!BU51</f>
        <v>1202.4999183068094</v>
      </c>
      <c r="CD554" s="329">
        <f>Q_Financials!BV51</f>
        <v>827.03941575063607</v>
      </c>
      <c r="CE554" s="329">
        <f>Q_Financials!BW51</f>
        <v>983.8271010441091</v>
      </c>
      <c r="CF554" s="329">
        <f>Q_Financials!BX51</f>
        <v>952.01246126746969</v>
      </c>
      <c r="CG554" s="329">
        <f>Q_Financials!BY51</f>
        <v>1209.5047064185433</v>
      </c>
      <c r="CH554" s="329">
        <f>Q_Financials!BZ51</f>
        <v>840.2470484611531</v>
      </c>
      <c r="CI554" s="329">
        <f>Q_Financials!CA51</f>
        <v>1021.7869533576696</v>
      </c>
      <c r="CJ554" s="329">
        <f>Q_Financials!CB51</f>
        <v>958.11950536618792</v>
      </c>
      <c r="CK554" s="329">
        <f>Q_Financials!CC51</f>
        <v>1159.974094566071</v>
      </c>
      <c r="CL554" s="329">
        <f>Q_Financials!CD51</f>
        <v>867.7251827760216</v>
      </c>
      <c r="CM554" s="329">
        <f>Q_Financials!CE51</f>
        <v>1047.0373132664222</v>
      </c>
      <c r="CN554" s="329">
        <f>Q_Financials!CF51</f>
        <v>991.92829572077153</v>
      </c>
      <c r="CO554" s="329">
        <f>Q_Financials!CG51</f>
        <v>1214.9321642712132</v>
      </c>
      <c r="CP554" s="329">
        <f>Q_Financials!CH51</f>
        <v>893.74953651460191</v>
      </c>
      <c r="CQ554" s="329">
        <f>Q_Financials!CI51</f>
        <v>1073.4406619572767</v>
      </c>
      <c r="CR554" s="329">
        <f>Q_Financials!CJ51</f>
        <v>1028.2301127872811</v>
      </c>
      <c r="CS554" s="329">
        <f>Q_Financials!CK51</f>
        <v>1273.1571302687516</v>
      </c>
    </row>
    <row r="555" spans="1:97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</row>
    <row r="556" spans="1:97">
      <c r="A556" s="242" t="s">
        <v>344</v>
      </c>
      <c r="B556" s="595"/>
      <c r="C556" s="595"/>
      <c r="D556" s="595"/>
      <c r="E556" s="595"/>
      <c r="F556" s="595"/>
      <c r="G556" s="595"/>
      <c r="H556" s="595"/>
      <c r="I556" s="595"/>
      <c r="J556" s="595" t="str">
        <f t="shared" ref="J556:AO556" si="364">J$453</f>
        <v>1Q09</v>
      </c>
      <c r="K556" s="595" t="str">
        <f t="shared" si="364"/>
        <v>2Q09</v>
      </c>
      <c r="L556" s="595" t="str">
        <f t="shared" si="364"/>
        <v>3Q09</v>
      </c>
      <c r="M556" s="595" t="str">
        <f t="shared" si="364"/>
        <v>4Q09</v>
      </c>
      <c r="N556" s="595" t="str">
        <f t="shared" si="364"/>
        <v>1Q10</v>
      </c>
      <c r="O556" s="595" t="str">
        <f t="shared" si="364"/>
        <v>2Q10</v>
      </c>
      <c r="P556" s="595" t="str">
        <f t="shared" si="364"/>
        <v>3Q10</v>
      </c>
      <c r="Q556" s="595" t="str">
        <f t="shared" si="364"/>
        <v>4Q10</v>
      </c>
      <c r="R556" s="595" t="str">
        <f t="shared" si="364"/>
        <v>1Q11</v>
      </c>
      <c r="S556" s="595" t="str">
        <f t="shared" si="364"/>
        <v>2Q11</v>
      </c>
      <c r="T556" s="595" t="str">
        <f t="shared" si="364"/>
        <v>3Q11</v>
      </c>
      <c r="U556" s="595" t="str">
        <f t="shared" si="364"/>
        <v>4Q11</v>
      </c>
      <c r="V556" s="595" t="str">
        <f t="shared" si="364"/>
        <v>1Q12</v>
      </c>
      <c r="W556" s="595" t="str">
        <f t="shared" si="364"/>
        <v>2Q12</v>
      </c>
      <c r="X556" s="595" t="str">
        <f t="shared" si="364"/>
        <v>3Q12</v>
      </c>
      <c r="Y556" s="595" t="str">
        <f t="shared" si="364"/>
        <v>4Q12</v>
      </c>
      <c r="Z556" s="595" t="str">
        <f t="shared" si="364"/>
        <v>1Q13</v>
      </c>
      <c r="AA556" s="595" t="str">
        <f t="shared" si="364"/>
        <v>2Q13</v>
      </c>
      <c r="AB556" s="595" t="str">
        <f t="shared" si="364"/>
        <v>3Q13</v>
      </c>
      <c r="AC556" s="595" t="str">
        <f t="shared" si="364"/>
        <v>4Q13</v>
      </c>
      <c r="AD556" s="595" t="str">
        <f t="shared" si="364"/>
        <v>1Q14</v>
      </c>
      <c r="AE556" s="595" t="str">
        <f t="shared" si="364"/>
        <v>2Q14</v>
      </c>
      <c r="AF556" s="595" t="str">
        <f t="shared" si="364"/>
        <v>3Q14</v>
      </c>
      <c r="AG556" s="595" t="str">
        <f t="shared" si="364"/>
        <v>4Q14</v>
      </c>
      <c r="AH556" s="595" t="str">
        <f t="shared" si="364"/>
        <v>1Q15</v>
      </c>
      <c r="AI556" s="595" t="str">
        <f t="shared" si="364"/>
        <v>2Q15</v>
      </c>
      <c r="AJ556" s="595" t="str">
        <f t="shared" si="364"/>
        <v>3Q15</v>
      </c>
      <c r="AK556" s="595" t="str">
        <f t="shared" si="364"/>
        <v>4Q15</v>
      </c>
      <c r="AL556" s="595" t="str">
        <f t="shared" si="364"/>
        <v>1Q16</v>
      </c>
      <c r="AM556" s="595" t="str">
        <f t="shared" si="364"/>
        <v>2Q16</v>
      </c>
      <c r="AN556" s="595" t="str">
        <f t="shared" si="364"/>
        <v>3Q16</v>
      </c>
      <c r="AO556" s="595" t="str">
        <f t="shared" si="364"/>
        <v>4Q16</v>
      </c>
      <c r="AP556" s="595" t="str">
        <f t="shared" ref="AP556:CS556" si="365">AP$453</f>
        <v>1Q17</v>
      </c>
      <c r="AQ556" s="595" t="str">
        <f t="shared" si="365"/>
        <v>2Q17</v>
      </c>
      <c r="AR556" s="595" t="str">
        <f t="shared" si="365"/>
        <v>3Q17</v>
      </c>
      <c r="AS556" s="595" t="str">
        <f t="shared" si="365"/>
        <v>4Q17</v>
      </c>
      <c r="AT556" s="595" t="str">
        <f t="shared" si="365"/>
        <v>1Q18</v>
      </c>
      <c r="AU556" s="595" t="str">
        <f t="shared" si="365"/>
        <v>2Q18</v>
      </c>
      <c r="AV556" s="595" t="str">
        <f t="shared" si="365"/>
        <v>3Q18</v>
      </c>
      <c r="AW556" s="595" t="str">
        <f t="shared" si="365"/>
        <v>4Q18</v>
      </c>
      <c r="AX556" s="595" t="str">
        <f t="shared" si="365"/>
        <v>1Q19</v>
      </c>
      <c r="AY556" s="595" t="str">
        <f t="shared" si="365"/>
        <v>2Q19</v>
      </c>
      <c r="AZ556" s="595" t="str">
        <f t="shared" si="365"/>
        <v>3Q19</v>
      </c>
      <c r="BA556" s="595" t="str">
        <f t="shared" si="365"/>
        <v>4Q19</v>
      </c>
      <c r="BB556" s="595" t="str">
        <f t="shared" si="365"/>
        <v>1Q20</v>
      </c>
      <c r="BC556" s="595" t="str">
        <f t="shared" si="365"/>
        <v>2Q20</v>
      </c>
      <c r="BD556" s="595" t="str">
        <f t="shared" si="365"/>
        <v>3Q20</v>
      </c>
      <c r="BE556" s="595" t="str">
        <f t="shared" si="365"/>
        <v>4Q20</v>
      </c>
      <c r="BF556" s="595" t="str">
        <f t="shared" si="365"/>
        <v>1Q21</v>
      </c>
      <c r="BG556" s="595" t="str">
        <f t="shared" si="365"/>
        <v>2Q21</v>
      </c>
      <c r="BH556" s="595" t="str">
        <f t="shared" si="365"/>
        <v>3Q21</v>
      </c>
      <c r="BI556" s="595" t="str">
        <f t="shared" si="365"/>
        <v>4Q21</v>
      </c>
      <c r="BJ556" s="595" t="str">
        <f t="shared" si="365"/>
        <v>1Q22</v>
      </c>
      <c r="BK556" s="595" t="str">
        <f t="shared" si="365"/>
        <v>2Q22</v>
      </c>
      <c r="BL556" s="595" t="str">
        <f t="shared" si="365"/>
        <v>3Q22</v>
      </c>
      <c r="BM556" s="595" t="str">
        <f t="shared" si="365"/>
        <v>4Q22</v>
      </c>
      <c r="BN556" s="595" t="str">
        <f t="shared" si="365"/>
        <v>1Q23</v>
      </c>
      <c r="BO556" s="595" t="str">
        <f t="shared" si="365"/>
        <v>2Q23</v>
      </c>
      <c r="BP556" s="595" t="str">
        <f t="shared" si="365"/>
        <v>3Q23</v>
      </c>
      <c r="BQ556" s="595" t="str">
        <f t="shared" si="365"/>
        <v>4Q23</v>
      </c>
      <c r="BR556" s="596" t="str">
        <f t="shared" si="365"/>
        <v>1Q24</v>
      </c>
      <c r="BS556" s="596" t="str">
        <f t="shared" si="365"/>
        <v>2Q24e</v>
      </c>
      <c r="BT556" s="596" t="str">
        <f t="shared" si="365"/>
        <v>3Q24e</v>
      </c>
      <c r="BU556" s="596" t="str">
        <f t="shared" si="365"/>
        <v>4Q24e</v>
      </c>
      <c r="BV556" s="596" t="str">
        <f t="shared" si="365"/>
        <v>1Q25e</v>
      </c>
      <c r="BW556" s="596" t="str">
        <f t="shared" si="365"/>
        <v>2Q25e</v>
      </c>
      <c r="BX556" s="596" t="str">
        <f t="shared" si="365"/>
        <v>3Q25e</v>
      </c>
      <c r="BY556" s="596" t="str">
        <f t="shared" si="365"/>
        <v>4Q25e</v>
      </c>
      <c r="BZ556" s="596" t="str">
        <f t="shared" si="365"/>
        <v>1Q26e</v>
      </c>
      <c r="CA556" s="596" t="str">
        <f t="shared" si="365"/>
        <v>2Q26e</v>
      </c>
      <c r="CB556" s="596" t="str">
        <f t="shared" si="365"/>
        <v>3Q26e</v>
      </c>
      <c r="CC556" s="596" t="str">
        <f t="shared" si="365"/>
        <v>4Q26e</v>
      </c>
      <c r="CD556" s="596" t="str">
        <f t="shared" si="365"/>
        <v>1Q27e</v>
      </c>
      <c r="CE556" s="596" t="str">
        <f t="shared" si="365"/>
        <v>2Q27e</v>
      </c>
      <c r="CF556" s="596" t="str">
        <f t="shared" si="365"/>
        <v>3Q27e</v>
      </c>
      <c r="CG556" s="596" t="str">
        <f t="shared" si="365"/>
        <v>4Q27e</v>
      </c>
      <c r="CH556" s="596" t="str">
        <f t="shared" si="365"/>
        <v>1Q28e</v>
      </c>
      <c r="CI556" s="596" t="str">
        <f t="shared" si="365"/>
        <v>2Q28e</v>
      </c>
      <c r="CJ556" s="596" t="str">
        <f t="shared" si="365"/>
        <v>3Q28e</v>
      </c>
      <c r="CK556" s="596" t="str">
        <f t="shared" si="365"/>
        <v>4Q28e</v>
      </c>
      <c r="CL556" s="596" t="str">
        <f t="shared" si="365"/>
        <v>1Q29e</v>
      </c>
      <c r="CM556" s="596" t="str">
        <f t="shared" si="365"/>
        <v>2Q29e</v>
      </c>
      <c r="CN556" s="596" t="str">
        <f t="shared" si="365"/>
        <v>3Q29e</v>
      </c>
      <c r="CO556" s="596" t="str">
        <f t="shared" si="365"/>
        <v>4Q29e</v>
      </c>
      <c r="CP556" s="596" t="str">
        <f t="shared" si="365"/>
        <v>1Q30e</v>
      </c>
      <c r="CQ556" s="596" t="str">
        <f t="shared" si="365"/>
        <v>2Q30e</v>
      </c>
      <c r="CR556" s="596" t="str">
        <f t="shared" si="365"/>
        <v>3Q30e</v>
      </c>
      <c r="CS556" s="596" t="str">
        <f t="shared" si="365"/>
        <v>4Q30e</v>
      </c>
    </row>
    <row r="557" spans="1:97">
      <c r="A557" s="36" t="str">
        <f>A556</f>
        <v>EPS</v>
      </c>
      <c r="B557" s="262"/>
      <c r="C557" s="262"/>
      <c r="D557" s="262"/>
      <c r="E557" s="262"/>
      <c r="F557" s="262"/>
      <c r="G557" s="262"/>
      <c r="H557" s="262"/>
      <c r="I557" s="262"/>
      <c r="J557" s="262">
        <f>Q_Financials!B61</f>
        <v>-7.0123076923076955E-2</v>
      </c>
      <c r="K557" s="262">
        <f>Q_Financials!C61</f>
        <v>-6.8430764206401262E-2</v>
      </c>
      <c r="L557" s="262">
        <f>Q_Financials!D61</f>
        <v>0.10622753503709767</v>
      </c>
      <c r="M557" s="262">
        <f>Q_Financials!E61</f>
        <v>0.20692755068128924</v>
      </c>
      <c r="N557" s="262">
        <f>Q_Financials!F61</f>
        <v>-1.0808147174768143E-3</v>
      </c>
      <c r="O557" s="262">
        <f>Q_Financials!G61</f>
        <v>0.1613601438613699</v>
      </c>
      <c r="P557" s="262">
        <f>Q_Financials!H61</f>
        <v>2.6912246234446536E-2</v>
      </c>
      <c r="Q557" s="262">
        <f>Q_Financials!I61</f>
        <v>6.0710508922669874E-2</v>
      </c>
      <c r="R557" s="262">
        <f>Q_Financials!J61</f>
        <v>2.1713258133071893E-2</v>
      </c>
      <c r="S557" s="262">
        <f>Q_Financials!K61</f>
        <v>8.1892687714706827E-2</v>
      </c>
      <c r="T557" s="262">
        <f>Q_Financials!L61</f>
        <v>0.1352963450773792</v>
      </c>
      <c r="U557" s="262">
        <f>Q_Financials!M61</f>
        <v>0.10581188118811871</v>
      </c>
      <c r="V557" s="262">
        <f>Q_Financials!N61</f>
        <v>2.7588216251213719E-2</v>
      </c>
      <c r="W557" s="262">
        <f>Q_Financials!O61</f>
        <v>0.20946127043687973</v>
      </c>
      <c r="X557" s="262">
        <f>Q_Financials!P61</f>
        <v>0.13283932710044602</v>
      </c>
      <c r="Y557" s="262">
        <f>Q_Financials!Q61</f>
        <v>0.19251235824367538</v>
      </c>
      <c r="Z557" s="262">
        <f>Q_Financials!R61</f>
        <v>9.4720849084036232E-2</v>
      </c>
      <c r="AA557" s="262">
        <f>Q_Financials!S61</f>
        <v>0.22934158776402044</v>
      </c>
      <c r="AB557" s="262">
        <f>Q_Financials!T61</f>
        <v>0.26726228554812415</v>
      </c>
      <c r="AC557" s="262">
        <f>Q_Financials!U61</f>
        <v>0.39924105844722346</v>
      </c>
      <c r="AD557" s="262">
        <f>Q_Financials!V61</f>
        <v>0.12610497237569085</v>
      </c>
      <c r="AE557" s="262">
        <f>Q_Financials!W61</f>
        <v>0.10513117099928442</v>
      </c>
      <c r="AF557" s="262">
        <f>Q_Financials!X61</f>
        <v>0.2319902217982357</v>
      </c>
      <c r="AG557" s="262">
        <f>Q_Financials!Y61</f>
        <v>0.35484837631327559</v>
      </c>
      <c r="AH557" s="262">
        <f>Q_Financials!Z61</f>
        <v>0.35653740603746725</v>
      </c>
      <c r="AI557" s="262">
        <f>Q_Financials!AA61</f>
        <v>0.11042695289206898</v>
      </c>
      <c r="AJ557" s="262">
        <f>Q_Financials!AB61</f>
        <v>0.14354499880639765</v>
      </c>
      <c r="AK557" s="262">
        <f>Q_Financials!AC61</f>
        <v>0.5606411940298498</v>
      </c>
      <c r="AL557" s="262">
        <f>Q_Financials!AD61</f>
        <v>4.0711726773346391E-2</v>
      </c>
      <c r="AM557" s="262">
        <f>Q_Financials!AE61</f>
        <v>0.25115834726534381</v>
      </c>
      <c r="AN557" s="262">
        <f>Q_Financials!AF61</f>
        <v>0.19716233999282207</v>
      </c>
      <c r="AO557" s="262">
        <f>Q_Financials!AG61</f>
        <v>0.7038858923648571</v>
      </c>
      <c r="AP557" s="262">
        <f>Q_Financials!AH61</f>
        <v>0.20648188144948373</v>
      </c>
      <c r="AQ557" s="262">
        <f>Q_Financials!AI61</f>
        <v>7.118816624745522E-2</v>
      </c>
      <c r="AR557" s="262">
        <f>Q_Financials!AJ61</f>
        <v>0.24733724973024687</v>
      </c>
      <c r="AS557" s="262">
        <f>Q_Financials!AK61</f>
        <v>0.78247838616714771</v>
      </c>
      <c r="AT557" s="262">
        <f>Q_Financials!AL61</f>
        <v>0.23680950107424212</v>
      </c>
      <c r="AU557" s="262">
        <f>Q_Financials!AM61</f>
        <v>0.24412164579606427</v>
      </c>
      <c r="AV557" s="262">
        <f>Q_Financials!AN61</f>
        <v>0.35768753726893315</v>
      </c>
      <c r="AW557" s="262">
        <f>Q_Financials!AO61</f>
        <v>0.29946984202967775</v>
      </c>
      <c r="AX557" s="262">
        <f>Q_Financials!AP61</f>
        <v>0.10544638583054078</v>
      </c>
      <c r="AY557" s="262">
        <f>Q_Financials!AQ61</f>
        <v>0.15326957776975988</v>
      </c>
      <c r="AZ557" s="262">
        <f>Q_Financials!AR61</f>
        <v>0.19188997231250599</v>
      </c>
      <c r="BA557" s="262">
        <f>Q_Financials!AS61</f>
        <v>0.46450447227191294</v>
      </c>
      <c r="BB557" s="262">
        <f>Q_Financials!AT61</f>
        <v>-0.39376333772928973</v>
      </c>
      <c r="BC557" s="459">
        <f>Q_Financials!AU61</f>
        <v>-2.7181678472805872</v>
      </c>
      <c r="BD557" s="459">
        <f>Q_Financials!AV61</f>
        <v>-1.1039272421659272</v>
      </c>
      <c r="BE557" s="459">
        <f>Q_Financials!AW61</f>
        <v>-0.23417173524150292</v>
      </c>
      <c r="BF557" s="459">
        <f>Q_Financials!AX61</f>
        <v>-0.42022656808967301</v>
      </c>
      <c r="BG557" s="459">
        <f>Q_Financials!AY61</f>
        <v>0.12421297400429251</v>
      </c>
      <c r="BH557" s="459">
        <f>Q_Financials!AZ61</f>
        <v>0.19342237061769549</v>
      </c>
      <c r="BI557" s="459">
        <f>Q_Financials!BA61</f>
        <v>0.6843787264488439</v>
      </c>
      <c r="BJ557" s="459">
        <f>Q_Financials!BB61</f>
        <v>0.46087091386303952</v>
      </c>
      <c r="BK557" s="459">
        <f>Q_Financials!BC61</f>
        <v>0.24224629830263605</v>
      </c>
      <c r="BL557" s="459">
        <f>Q_Financials!BD61</f>
        <v>0.35610793032037813</v>
      </c>
      <c r="BM557" s="459">
        <f>Q_Financials!BE61</f>
        <v>0.95367682926829234</v>
      </c>
      <c r="BN557" s="459">
        <f>Q_Financials!BF61</f>
        <v>0.62251748251748296</v>
      </c>
      <c r="BO557" s="459">
        <f>Q_Financials!BG61</f>
        <v>0.54232609495767303</v>
      </c>
      <c r="BP557" s="459">
        <f>Q_Financials!BH61</f>
        <v>0.60716711789317968</v>
      </c>
      <c r="BQ557" s="459">
        <f>Q_Financials!BI61</f>
        <v>1.6636383845868832</v>
      </c>
      <c r="BR557" s="459">
        <f>Q_Financials!BJ61</f>
        <v>0.50623236412710182</v>
      </c>
      <c r="BS557" s="459">
        <f>Q_Financials!BK61</f>
        <v>0.20949938650306948</v>
      </c>
      <c r="BT557" s="459">
        <f>Q_Financials!BL61</f>
        <v>0.37543489846362943</v>
      </c>
      <c r="BU557" s="459">
        <f>Q_Financials!BM61</f>
        <v>0.92656508612937827</v>
      </c>
      <c r="BV557" s="459">
        <f>Q_Financials!BN61</f>
        <v>0.49843957056157095</v>
      </c>
      <c r="BW557" s="459">
        <f>Q_Financials!BO61</f>
        <v>0.61968225282918232</v>
      </c>
      <c r="BX557" s="459">
        <f>Q_Financials!BP61</f>
        <v>0.85696089294793121</v>
      </c>
      <c r="BY557" s="459">
        <f>Q_Financials!BQ61</f>
        <v>0.92511505617881318</v>
      </c>
      <c r="BZ557" s="459">
        <f>Q_Financials!BR61</f>
        <v>0.26330195718814225</v>
      </c>
      <c r="CA557" s="459">
        <f>Q_Financials!BS61</f>
        <v>0.94804453218167062</v>
      </c>
      <c r="CB557" s="459">
        <f>Q_Financials!BT61</f>
        <v>1.0446387552134344</v>
      </c>
      <c r="CC557" s="459">
        <f>Q_Financials!BU61</f>
        <v>1.4754600224623429</v>
      </c>
      <c r="CD557" s="459">
        <f>Q_Financials!BV61</f>
        <v>1.0147722892645841</v>
      </c>
      <c r="CE557" s="459">
        <f>Q_Financials!BW61</f>
        <v>1.2071498172320356</v>
      </c>
      <c r="CF557" s="459">
        <f>Q_Financials!BX61</f>
        <v>1.1681134494079384</v>
      </c>
      <c r="CG557" s="459">
        <f>Q_Financials!BY61</f>
        <v>1.4840548545012802</v>
      </c>
      <c r="CH557" s="459">
        <f>Q_Financials!BZ61</f>
        <v>1.0309779735719671</v>
      </c>
      <c r="CI557" s="459">
        <f>Q_Financials!CA61</f>
        <v>1.2537263231382449</v>
      </c>
      <c r="CJ557" s="459">
        <f>Q_Financials!CB61</f>
        <v>1.1756067550505374</v>
      </c>
      <c r="CK557" s="459">
        <f>Q_Financials!CC61</f>
        <v>1.4232810976270811</v>
      </c>
      <c r="CL557" s="459">
        <f>Q_Financials!CD61</f>
        <v>1.0646934757987996</v>
      </c>
      <c r="CM557" s="459">
        <f>Q_Financials!CE61</f>
        <v>1.2847083598361009</v>
      </c>
      <c r="CN557" s="459">
        <f>Q_Financials!CF61</f>
        <v>1.2170899333997196</v>
      </c>
      <c r="CO557" s="459">
        <f>Q_Financials!CG61</f>
        <v>1.4907143119892186</v>
      </c>
      <c r="CP557" s="459">
        <f>Q_Financials!CH61</f>
        <v>1.0966251981774258</v>
      </c>
      <c r="CQ557" s="459">
        <f>Q_Financials!CI61</f>
        <v>1.3171051066960451</v>
      </c>
      <c r="CR557" s="459">
        <f>Q_Financials!CJ61</f>
        <v>1.2616320402297927</v>
      </c>
      <c r="CS557" s="459">
        <f>Q_Financials!CK61</f>
        <v>1.5621559880598179</v>
      </c>
    </row>
    <row r="558" spans="1:97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</row>
    <row r="559" spans="1:97">
      <c r="A559" s="242" t="s">
        <v>329</v>
      </c>
      <c r="B559" s="595"/>
      <c r="C559" s="595"/>
      <c r="D559" s="595"/>
      <c r="E559" s="595"/>
      <c r="F559" s="595"/>
      <c r="G559" s="595"/>
      <c r="H559" s="595"/>
      <c r="I559" s="595"/>
      <c r="J559" s="595" t="str">
        <f t="shared" ref="J559:AO559" si="366">J$453</f>
        <v>1Q09</v>
      </c>
      <c r="K559" s="595" t="str">
        <f t="shared" si="366"/>
        <v>2Q09</v>
      </c>
      <c r="L559" s="595" t="str">
        <f t="shared" si="366"/>
        <v>3Q09</v>
      </c>
      <c r="M559" s="595" t="str">
        <f t="shared" si="366"/>
        <v>4Q09</v>
      </c>
      <c r="N559" s="595" t="str">
        <f t="shared" si="366"/>
        <v>1Q10</v>
      </c>
      <c r="O559" s="595" t="str">
        <f t="shared" si="366"/>
        <v>2Q10</v>
      </c>
      <c r="P559" s="595" t="str">
        <f t="shared" si="366"/>
        <v>3Q10</v>
      </c>
      <c r="Q559" s="595" t="str">
        <f t="shared" si="366"/>
        <v>4Q10</v>
      </c>
      <c r="R559" s="595" t="str">
        <f t="shared" si="366"/>
        <v>1Q11</v>
      </c>
      <c r="S559" s="595" t="str">
        <f t="shared" si="366"/>
        <v>2Q11</v>
      </c>
      <c r="T559" s="595" t="str">
        <f t="shared" si="366"/>
        <v>3Q11</v>
      </c>
      <c r="U559" s="595" t="str">
        <f t="shared" si="366"/>
        <v>4Q11</v>
      </c>
      <c r="V559" s="595" t="str">
        <f t="shared" si="366"/>
        <v>1Q12</v>
      </c>
      <c r="W559" s="595" t="str">
        <f t="shared" si="366"/>
        <v>2Q12</v>
      </c>
      <c r="X559" s="595" t="str">
        <f t="shared" si="366"/>
        <v>3Q12</v>
      </c>
      <c r="Y559" s="595" t="str">
        <f t="shared" si="366"/>
        <v>4Q12</v>
      </c>
      <c r="Z559" s="595" t="str">
        <f t="shared" si="366"/>
        <v>1Q13</v>
      </c>
      <c r="AA559" s="595" t="str">
        <f t="shared" si="366"/>
        <v>2Q13</v>
      </c>
      <c r="AB559" s="595" t="str">
        <f t="shared" si="366"/>
        <v>3Q13</v>
      </c>
      <c r="AC559" s="595" t="str">
        <f t="shared" si="366"/>
        <v>4Q13</v>
      </c>
      <c r="AD559" s="595" t="str">
        <f t="shared" si="366"/>
        <v>1Q14</v>
      </c>
      <c r="AE559" s="595" t="str">
        <f t="shared" si="366"/>
        <v>2Q14</v>
      </c>
      <c r="AF559" s="595" t="str">
        <f t="shared" si="366"/>
        <v>3Q14</v>
      </c>
      <c r="AG559" s="595" t="str">
        <f t="shared" si="366"/>
        <v>4Q14</v>
      </c>
      <c r="AH559" s="595" t="str">
        <f t="shared" si="366"/>
        <v>1Q15</v>
      </c>
      <c r="AI559" s="595" t="str">
        <f t="shared" si="366"/>
        <v>2Q15</v>
      </c>
      <c r="AJ559" s="595" t="str">
        <f t="shared" si="366"/>
        <v>3Q15</v>
      </c>
      <c r="AK559" s="595" t="str">
        <f t="shared" si="366"/>
        <v>4Q15</v>
      </c>
      <c r="AL559" s="595" t="str">
        <f t="shared" si="366"/>
        <v>1Q16</v>
      </c>
      <c r="AM559" s="595" t="str">
        <f t="shared" si="366"/>
        <v>2Q16</v>
      </c>
      <c r="AN559" s="595" t="str">
        <f t="shared" si="366"/>
        <v>3Q16</v>
      </c>
      <c r="AO559" s="595" t="str">
        <f t="shared" si="366"/>
        <v>4Q16</v>
      </c>
      <c r="AP559" s="595" t="str">
        <f t="shared" ref="AP559:CS559" si="367">AP$453</f>
        <v>1Q17</v>
      </c>
      <c r="AQ559" s="595" t="str">
        <f t="shared" si="367"/>
        <v>2Q17</v>
      </c>
      <c r="AR559" s="595" t="str">
        <f t="shared" si="367"/>
        <v>3Q17</v>
      </c>
      <c r="AS559" s="595" t="str">
        <f t="shared" si="367"/>
        <v>4Q17</v>
      </c>
      <c r="AT559" s="595" t="str">
        <f t="shared" si="367"/>
        <v>1Q18</v>
      </c>
      <c r="AU559" s="595" t="str">
        <f t="shared" si="367"/>
        <v>2Q18</v>
      </c>
      <c r="AV559" s="595" t="str">
        <f t="shared" si="367"/>
        <v>3Q18</v>
      </c>
      <c r="AW559" s="595" t="str">
        <f t="shared" si="367"/>
        <v>4Q18</v>
      </c>
      <c r="AX559" s="595" t="str">
        <f t="shared" si="367"/>
        <v>1Q19</v>
      </c>
      <c r="AY559" s="595" t="str">
        <f t="shared" si="367"/>
        <v>2Q19</v>
      </c>
      <c r="AZ559" s="595" t="str">
        <f t="shared" si="367"/>
        <v>3Q19</v>
      </c>
      <c r="BA559" s="595" t="str">
        <f t="shared" si="367"/>
        <v>4Q19</v>
      </c>
      <c r="BB559" s="595" t="str">
        <f t="shared" si="367"/>
        <v>1Q20</v>
      </c>
      <c r="BC559" s="595" t="str">
        <f t="shared" si="367"/>
        <v>2Q20</v>
      </c>
      <c r="BD559" s="595" t="str">
        <f t="shared" si="367"/>
        <v>3Q20</v>
      </c>
      <c r="BE559" s="595" t="str">
        <f t="shared" si="367"/>
        <v>4Q20</v>
      </c>
      <c r="BF559" s="595" t="str">
        <f t="shared" si="367"/>
        <v>1Q21</v>
      </c>
      <c r="BG559" s="595" t="str">
        <f t="shared" si="367"/>
        <v>2Q21</v>
      </c>
      <c r="BH559" s="595" t="str">
        <f t="shared" si="367"/>
        <v>3Q21</v>
      </c>
      <c r="BI559" s="595" t="str">
        <f t="shared" si="367"/>
        <v>4Q21</v>
      </c>
      <c r="BJ559" s="595" t="str">
        <f t="shared" si="367"/>
        <v>1Q22</v>
      </c>
      <c r="BK559" s="595" t="str">
        <f t="shared" si="367"/>
        <v>2Q22</v>
      </c>
      <c r="BL559" s="595" t="str">
        <f t="shared" si="367"/>
        <v>3Q22</v>
      </c>
      <c r="BM559" s="595" t="str">
        <f t="shared" si="367"/>
        <v>4Q22</v>
      </c>
      <c r="BN559" s="595" t="str">
        <f t="shared" si="367"/>
        <v>1Q23</v>
      </c>
      <c r="BO559" s="595" t="str">
        <f t="shared" si="367"/>
        <v>2Q23</v>
      </c>
      <c r="BP559" s="595" t="str">
        <f t="shared" si="367"/>
        <v>3Q23</v>
      </c>
      <c r="BQ559" s="595" t="str">
        <f t="shared" si="367"/>
        <v>4Q23</v>
      </c>
      <c r="BR559" s="596" t="str">
        <f t="shared" si="367"/>
        <v>1Q24</v>
      </c>
      <c r="BS559" s="596" t="str">
        <f t="shared" si="367"/>
        <v>2Q24e</v>
      </c>
      <c r="BT559" s="596" t="str">
        <f t="shared" si="367"/>
        <v>3Q24e</v>
      </c>
      <c r="BU559" s="596" t="str">
        <f t="shared" si="367"/>
        <v>4Q24e</v>
      </c>
      <c r="BV559" s="596" t="str">
        <f t="shared" si="367"/>
        <v>1Q25e</v>
      </c>
      <c r="BW559" s="596" t="str">
        <f t="shared" si="367"/>
        <v>2Q25e</v>
      </c>
      <c r="BX559" s="596" t="str">
        <f t="shared" si="367"/>
        <v>3Q25e</v>
      </c>
      <c r="BY559" s="596" t="str">
        <f t="shared" si="367"/>
        <v>4Q25e</v>
      </c>
      <c r="BZ559" s="596" t="str">
        <f t="shared" si="367"/>
        <v>1Q26e</v>
      </c>
      <c r="CA559" s="596" t="str">
        <f t="shared" si="367"/>
        <v>2Q26e</v>
      </c>
      <c r="CB559" s="596" t="str">
        <f t="shared" si="367"/>
        <v>3Q26e</v>
      </c>
      <c r="CC559" s="596" t="str">
        <f t="shared" si="367"/>
        <v>4Q26e</v>
      </c>
      <c r="CD559" s="596" t="str">
        <f t="shared" si="367"/>
        <v>1Q27e</v>
      </c>
      <c r="CE559" s="596" t="str">
        <f t="shared" si="367"/>
        <v>2Q27e</v>
      </c>
      <c r="CF559" s="596" t="str">
        <f t="shared" si="367"/>
        <v>3Q27e</v>
      </c>
      <c r="CG559" s="596" t="str">
        <f t="shared" si="367"/>
        <v>4Q27e</v>
      </c>
      <c r="CH559" s="596" t="str">
        <f t="shared" si="367"/>
        <v>1Q28e</v>
      </c>
      <c r="CI559" s="596" t="str">
        <f t="shared" si="367"/>
        <v>2Q28e</v>
      </c>
      <c r="CJ559" s="596" t="str">
        <f t="shared" si="367"/>
        <v>3Q28e</v>
      </c>
      <c r="CK559" s="596" t="str">
        <f t="shared" si="367"/>
        <v>4Q28e</v>
      </c>
      <c r="CL559" s="596" t="str">
        <f t="shared" si="367"/>
        <v>1Q29e</v>
      </c>
      <c r="CM559" s="596" t="str">
        <f t="shared" si="367"/>
        <v>2Q29e</v>
      </c>
      <c r="CN559" s="596" t="str">
        <f t="shared" si="367"/>
        <v>3Q29e</v>
      </c>
      <c r="CO559" s="596" t="str">
        <f t="shared" si="367"/>
        <v>4Q29e</v>
      </c>
      <c r="CP559" s="596" t="str">
        <f t="shared" si="367"/>
        <v>1Q30e</v>
      </c>
      <c r="CQ559" s="596" t="str">
        <f t="shared" si="367"/>
        <v>2Q30e</v>
      </c>
      <c r="CR559" s="596" t="str">
        <f t="shared" si="367"/>
        <v>3Q30e</v>
      </c>
      <c r="CS559" s="596" t="str">
        <f t="shared" si="367"/>
        <v>4Q30e</v>
      </c>
    </row>
    <row r="560" spans="1:97">
      <c r="A560" s="36" t="str">
        <f>A559</f>
        <v>CAPEX</v>
      </c>
      <c r="B560" s="92"/>
      <c r="C560" s="92"/>
      <c r="D560" s="92"/>
      <c r="E560" s="92"/>
      <c r="F560" s="92"/>
      <c r="G560" s="92"/>
      <c r="H560" s="92"/>
      <c r="I560" s="92"/>
      <c r="J560" s="92">
        <f>Q_BS!B42</f>
        <v>62.723999999999997</v>
      </c>
      <c r="K560" s="92">
        <f>Q_BS!C42</f>
        <v>52.923999999999999</v>
      </c>
      <c r="L560" s="92">
        <f>Q_BS!D42</f>
        <v>-12.967999999999989</v>
      </c>
      <c r="M560" s="92">
        <f>Q_BS!E42</f>
        <v>20.766999999999989</v>
      </c>
      <c r="N560" s="92">
        <f>Q_BS!F42</f>
        <v>19.079999999999998</v>
      </c>
      <c r="O560" s="92">
        <f>Q_BS!G42</f>
        <v>173.00799999999998</v>
      </c>
      <c r="P560" s="92">
        <f>Q_BS!H42</f>
        <v>140.64800000000002</v>
      </c>
      <c r="Q560" s="92">
        <f>Q_BS!I42</f>
        <v>180.66899999999998</v>
      </c>
      <c r="R560" s="92">
        <f>Q_BS!J42</f>
        <v>159.255</v>
      </c>
      <c r="S560" s="92">
        <f>Q_BS!K42</f>
        <v>228.476</v>
      </c>
      <c r="T560" s="92">
        <f>Q_BS!L42</f>
        <v>221.23699999999997</v>
      </c>
      <c r="U560" s="92">
        <f>Q_BS!M42</f>
        <v>349.56200000000001</v>
      </c>
      <c r="V560" s="92">
        <f>Q_BS!N42</f>
        <v>78.176000000000002</v>
      </c>
      <c r="W560" s="92">
        <f>Q_BS!O42</f>
        <v>235.99099999999999</v>
      </c>
      <c r="X560" s="92">
        <f>Q_BS!P42</f>
        <v>183.59500000000003</v>
      </c>
      <c r="Y560" s="92">
        <f>Q_BS!Q42</f>
        <v>302.29500000000002</v>
      </c>
      <c r="Z560" s="92">
        <f>Q_BS!R42</f>
        <v>92.738</v>
      </c>
      <c r="AA560" s="92">
        <f>Q_BS!S42</f>
        <v>370.74599999999998</v>
      </c>
      <c r="AB560" s="92">
        <f>Q_BS!T42</f>
        <v>28.333000000000027</v>
      </c>
      <c r="AC560" s="92">
        <f>Q_BS!U42</f>
        <v>447.71</v>
      </c>
      <c r="AD560" s="92">
        <f>Q_BS!V42</f>
        <v>230.23400000000001</v>
      </c>
      <c r="AE560" s="92">
        <f>Q_BS!W42</f>
        <v>525.05899999999997</v>
      </c>
      <c r="AF560" s="92">
        <f>Q_BS!X42</f>
        <v>558.54100000000005</v>
      </c>
      <c r="AG560" s="92">
        <f>Q_BS!Y42</f>
        <v>735.71199999999965</v>
      </c>
      <c r="AH560" s="92">
        <f>Q_BS!Z42</f>
        <v>703.84699999999998</v>
      </c>
      <c r="AI560" s="92">
        <f>Q_BS!AA42</f>
        <v>759.02800000000002</v>
      </c>
      <c r="AJ560" s="92">
        <f>Q_BS!AB42</f>
        <v>617.05799999999999</v>
      </c>
      <c r="AK560" s="92">
        <f>Q_BS!AC42</f>
        <v>904.88500000000022</v>
      </c>
      <c r="AL560" s="92">
        <f>Q_BS!AD42</f>
        <v>577.80200000000002</v>
      </c>
      <c r="AM560" s="92">
        <f>Q_BS!AE42</f>
        <v>872.91099999999994</v>
      </c>
      <c r="AN560" s="92">
        <f>Q_BS!AF42</f>
        <v>1089.1589999999997</v>
      </c>
      <c r="AO560" s="92">
        <f>Q_BS!AG42</f>
        <v>1555.0420000000004</v>
      </c>
      <c r="AP560" s="92">
        <f>Q_BS!AH42</f>
        <v>948.97199999999998</v>
      </c>
      <c r="AQ560" s="92">
        <f>Q_BS!AI42</f>
        <v>1129.5719999999999</v>
      </c>
      <c r="AR560" s="92">
        <f>Q_BS!AJ42</f>
        <v>957.92200000000003</v>
      </c>
      <c r="AS560" s="92">
        <f>Q_BS!AK42</f>
        <v>1348.9110000000007</v>
      </c>
      <c r="AT560" s="92">
        <f>Q_BS!AL42</f>
        <v>900.43200000000002</v>
      </c>
      <c r="AU560" s="92">
        <f>Q_BS!AM42</f>
        <v>943.84199999999987</v>
      </c>
      <c r="AV560" s="92">
        <f>Q_BS!AN42</f>
        <v>1096.806</v>
      </c>
      <c r="AW560" s="92">
        <f>Q_BS!AO42</f>
        <v>1145.1750000000002</v>
      </c>
      <c r="AX560" s="92">
        <f>Q_BS!AP42</f>
        <v>648.33199999999999</v>
      </c>
      <c r="AY560" s="92">
        <f>Q_BS!AQ42</f>
        <v>403.75400000000002</v>
      </c>
      <c r="AZ560" s="92">
        <f>Q_BS!AR42</f>
        <v>612.72599999999989</v>
      </c>
      <c r="BA560" s="92">
        <f>Q_BS!AS42</f>
        <v>1675.2460000000001</v>
      </c>
      <c r="BB560" s="92">
        <f>Q_BS!AT42</f>
        <v>434.79300000000001</v>
      </c>
      <c r="BC560" s="329">
        <f>Q_BS!AU42</f>
        <v>378.08299999999997</v>
      </c>
      <c r="BD560" s="329">
        <f>Q_BS!AV42</f>
        <v>166.52499999999998</v>
      </c>
      <c r="BE560" s="329">
        <f>Q_BS!AW42</f>
        <v>350.55800000000022</v>
      </c>
      <c r="BF560" s="329">
        <f>Q_BS!AX42</f>
        <v>276.077</v>
      </c>
      <c r="BG560" s="329">
        <f>Q_BS!AY42</f>
        <v>469.97900000000004</v>
      </c>
      <c r="BH560" s="329">
        <f>Q_BS!AZ42</f>
        <v>503.75800000000004</v>
      </c>
      <c r="BI560" s="329">
        <f>Q_BS!BA42</f>
        <v>1063.6969999999999</v>
      </c>
      <c r="BJ560" s="329">
        <f>Q_BS!BB42</f>
        <v>640.19899999999996</v>
      </c>
      <c r="BK560" s="329">
        <f>Q_BS!BC42</f>
        <v>850.46500000000003</v>
      </c>
      <c r="BL560" s="329">
        <f>Q_BS!BD42</f>
        <v>783.2729999999998</v>
      </c>
      <c r="BM560" s="329">
        <f>Q_BS!BE42</f>
        <v>1561.6420000000003</v>
      </c>
      <c r="BN560" s="329">
        <f>Q_BS!BF42</f>
        <v>559.61699999999996</v>
      </c>
      <c r="BO560" s="329">
        <f>Q_BS!BG42</f>
        <v>893.65900000000011</v>
      </c>
      <c r="BP560" s="329">
        <f>Q_BS!BH42</f>
        <v>1260.9039999999998</v>
      </c>
      <c r="BQ560" s="329">
        <f>Q_BS!BI42</f>
        <v>1527.8980000000006</v>
      </c>
      <c r="BR560" s="329">
        <f>Q_BS!BJ42</f>
        <v>890.702</v>
      </c>
      <c r="BS560" s="329">
        <f>Q_BS!BK42</f>
        <v>1393.82</v>
      </c>
      <c r="BT560" s="329">
        <f>Q_BS!BL42</f>
        <v>1323.4927458072957</v>
      </c>
      <c r="BU560" s="329">
        <f>Q_BS!BM42</f>
        <v>1602.6703197870638</v>
      </c>
      <c r="BV560" s="329">
        <f>Q_BS!BN42</f>
        <v>1127.7288787776904</v>
      </c>
      <c r="BW560" s="329">
        <f>Q_BS!BO42</f>
        <v>1076.2389176739421</v>
      </c>
      <c r="BX560" s="329">
        <f>Q_BS!BP42</f>
        <v>1093.7220748272721</v>
      </c>
      <c r="BY560" s="329">
        <f>Q_BS!BQ42</f>
        <v>1577.8995816952088</v>
      </c>
      <c r="BZ560" s="329">
        <f>Q_BS!BR42</f>
        <v>1125.3820384283586</v>
      </c>
      <c r="CA560" s="329">
        <f>Q_BS!BS42</f>
        <v>1063.0012697099855</v>
      </c>
      <c r="CB560" s="329">
        <f>Q_BS!BT42</f>
        <v>1082.0701554995662</v>
      </c>
      <c r="CC560" s="329">
        <f>Q_BS!BU42</f>
        <v>1513.7973922379365</v>
      </c>
      <c r="CD560" s="329">
        <f>Q_BS!BV42</f>
        <v>1183.6173662179554</v>
      </c>
      <c r="CE560" s="329">
        <f>Q_BS!BW42</f>
        <v>1117.6043524856022</v>
      </c>
      <c r="CF560" s="329">
        <f>Q_BS!BX42</f>
        <v>1138.7057977704239</v>
      </c>
      <c r="CG560" s="329">
        <f>Q_BS!BY42</f>
        <v>1489.7634138903152</v>
      </c>
      <c r="CH560" s="329">
        <f>Q_BS!BZ42</f>
        <v>1433.0891839280348</v>
      </c>
      <c r="CI560" s="329">
        <f>Q_BS!CA42</f>
        <v>1378.3346617795819</v>
      </c>
      <c r="CJ560" s="329">
        <f>Q_BS!CB42</f>
        <v>1408.4056556691849</v>
      </c>
      <c r="CK560" s="329">
        <f>Q_BS!CC42</f>
        <v>1711.8445726584159</v>
      </c>
      <c r="CL560" s="329">
        <f>Q_BS!CD42</f>
        <v>1575.2370701188515</v>
      </c>
      <c r="CM560" s="329">
        <f>Q_BS!CE42</f>
        <v>1520.5376793793721</v>
      </c>
      <c r="CN560" s="329">
        <f>Q_BS!CF42</f>
        <v>1555.0365986396037</v>
      </c>
      <c r="CO560" s="329">
        <f>Q_BS!CG42</f>
        <v>1874.7859651328188</v>
      </c>
      <c r="CP560" s="329">
        <f>Q_BS!CH42</f>
        <v>1684.5500310498783</v>
      </c>
      <c r="CQ560" s="329">
        <f>Q_BS!CI42</f>
        <v>1629.3292061826785</v>
      </c>
      <c r="CR560" s="329">
        <f>Q_BS!CJ42</f>
        <v>1668.0399171488029</v>
      </c>
      <c r="CS560" s="329">
        <f>Q_BS!CK42</f>
        <v>1960.9519839811492</v>
      </c>
    </row>
    <row r="561" spans="1:97">
      <c r="A561" s="36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  <c r="AA561" s="92"/>
      <c r="AB561" s="92"/>
      <c r="AC561" s="92"/>
      <c r="AD561" s="92"/>
      <c r="AE561" s="92"/>
      <c r="AF561" s="92"/>
      <c r="AG561" s="92"/>
      <c r="AH561" s="92"/>
      <c r="AI561" s="92"/>
      <c r="AJ561" s="92"/>
      <c r="AK561" s="92"/>
      <c r="AL561" s="92"/>
      <c r="AM561" s="92"/>
      <c r="AN561" s="92"/>
      <c r="AO561" s="92"/>
      <c r="AP561" s="92"/>
      <c r="AQ561" s="92"/>
      <c r="AR561" s="92"/>
      <c r="AS561" s="92"/>
      <c r="AT561" s="92"/>
      <c r="AU561" s="92"/>
      <c r="AV561" s="92"/>
      <c r="AW561" s="92"/>
      <c r="AX561" s="92"/>
      <c r="AY561" s="92"/>
      <c r="AZ561" s="92"/>
      <c r="BA561" s="92"/>
      <c r="BB561" s="92"/>
      <c r="BC561" s="329"/>
      <c r="BD561" s="329"/>
      <c r="BE561" s="329"/>
      <c r="BF561" s="329"/>
      <c r="BG561" s="329"/>
      <c r="BH561" s="329"/>
      <c r="BI561" s="329"/>
      <c r="BJ561" s="329"/>
      <c r="BK561" s="329"/>
      <c r="BL561" s="329"/>
      <c r="BM561" s="329"/>
      <c r="BN561" s="329"/>
      <c r="BO561" s="329"/>
      <c r="BP561" s="329"/>
      <c r="BQ561" s="329"/>
      <c r="BR561" s="329"/>
      <c r="BS561" s="329"/>
      <c r="BT561" s="329"/>
      <c r="BU561" s="329"/>
      <c r="BV561" s="329"/>
      <c r="BW561" s="329"/>
      <c r="BX561" s="329"/>
      <c r="BY561" s="329"/>
      <c r="BZ561" s="329"/>
      <c r="CA561" s="329"/>
      <c r="CB561" s="329"/>
      <c r="CC561" s="329"/>
      <c r="CD561" s="329"/>
      <c r="CE561" s="329"/>
      <c r="CF561" s="329"/>
      <c r="CG561" s="329"/>
      <c r="CH561" s="329"/>
      <c r="CI561" s="329"/>
      <c r="CJ561" s="329"/>
      <c r="CK561" s="329"/>
      <c r="CL561" s="329"/>
      <c r="CM561" s="329"/>
      <c r="CN561" s="329"/>
      <c r="CO561" s="329"/>
      <c r="CP561" s="329"/>
      <c r="CQ561" s="329"/>
      <c r="CR561" s="329"/>
      <c r="CS561" s="329"/>
    </row>
    <row r="562" spans="1:97">
      <c r="A562" s="242" t="s">
        <v>329</v>
      </c>
      <c r="B562" s="595"/>
      <c r="C562" s="595"/>
      <c r="D562" s="595"/>
      <c r="E562" s="595"/>
      <c r="F562" s="595"/>
      <c r="G562" s="595"/>
      <c r="H562" s="595"/>
      <c r="I562" s="595"/>
      <c r="J562" s="595" t="str">
        <f t="shared" ref="J562:AO562" si="368">J$453</f>
        <v>1Q09</v>
      </c>
      <c r="K562" s="595" t="str">
        <f t="shared" si="368"/>
        <v>2Q09</v>
      </c>
      <c r="L562" s="595" t="str">
        <f t="shared" si="368"/>
        <v>3Q09</v>
      </c>
      <c r="M562" s="595" t="str">
        <f t="shared" si="368"/>
        <v>4Q09</v>
      </c>
      <c r="N562" s="595" t="str">
        <f t="shared" si="368"/>
        <v>1Q10</v>
      </c>
      <c r="O562" s="595" t="str">
        <f t="shared" si="368"/>
        <v>2Q10</v>
      </c>
      <c r="P562" s="595" t="str">
        <f t="shared" si="368"/>
        <v>3Q10</v>
      </c>
      <c r="Q562" s="595" t="str">
        <f t="shared" si="368"/>
        <v>4Q10</v>
      </c>
      <c r="R562" s="595" t="str">
        <f t="shared" si="368"/>
        <v>1Q11</v>
      </c>
      <c r="S562" s="595" t="str">
        <f t="shared" si="368"/>
        <v>2Q11</v>
      </c>
      <c r="T562" s="595" t="str">
        <f t="shared" si="368"/>
        <v>3Q11</v>
      </c>
      <c r="U562" s="595" t="str">
        <f t="shared" si="368"/>
        <v>4Q11</v>
      </c>
      <c r="V562" s="595" t="str">
        <f t="shared" si="368"/>
        <v>1Q12</v>
      </c>
      <c r="W562" s="595" t="str">
        <f t="shared" si="368"/>
        <v>2Q12</v>
      </c>
      <c r="X562" s="595" t="str">
        <f t="shared" si="368"/>
        <v>3Q12</v>
      </c>
      <c r="Y562" s="595" t="str">
        <f t="shared" si="368"/>
        <v>4Q12</v>
      </c>
      <c r="Z562" s="595" t="str">
        <f t="shared" si="368"/>
        <v>1Q13</v>
      </c>
      <c r="AA562" s="595" t="str">
        <f t="shared" si="368"/>
        <v>2Q13</v>
      </c>
      <c r="AB562" s="595" t="str">
        <f t="shared" si="368"/>
        <v>3Q13</v>
      </c>
      <c r="AC562" s="595" t="str">
        <f t="shared" si="368"/>
        <v>4Q13</v>
      </c>
      <c r="AD562" s="595" t="str">
        <f t="shared" si="368"/>
        <v>1Q14</v>
      </c>
      <c r="AE562" s="595" t="str">
        <f t="shared" si="368"/>
        <v>2Q14</v>
      </c>
      <c r="AF562" s="595" t="str">
        <f t="shared" si="368"/>
        <v>3Q14</v>
      </c>
      <c r="AG562" s="595" t="str">
        <f t="shared" si="368"/>
        <v>4Q14</v>
      </c>
      <c r="AH562" s="595" t="str">
        <f t="shared" si="368"/>
        <v>1Q15</v>
      </c>
      <c r="AI562" s="595" t="str">
        <f t="shared" si="368"/>
        <v>2Q15</v>
      </c>
      <c r="AJ562" s="595" t="str">
        <f t="shared" si="368"/>
        <v>3Q15</v>
      </c>
      <c r="AK562" s="595" t="str">
        <f t="shared" si="368"/>
        <v>4Q15</v>
      </c>
      <c r="AL562" s="595" t="str">
        <f t="shared" si="368"/>
        <v>1Q16</v>
      </c>
      <c r="AM562" s="595" t="str">
        <f t="shared" si="368"/>
        <v>2Q16</v>
      </c>
      <c r="AN562" s="595" t="str">
        <f t="shared" si="368"/>
        <v>3Q16</v>
      </c>
      <c r="AO562" s="595" t="str">
        <f t="shared" si="368"/>
        <v>4Q16</v>
      </c>
      <c r="AP562" s="595" t="str">
        <f t="shared" ref="AP562:CS562" si="369">AP$453</f>
        <v>1Q17</v>
      </c>
      <c r="AQ562" s="595" t="str">
        <f t="shared" si="369"/>
        <v>2Q17</v>
      </c>
      <c r="AR562" s="595" t="str">
        <f t="shared" si="369"/>
        <v>3Q17</v>
      </c>
      <c r="AS562" s="595" t="str">
        <f t="shared" si="369"/>
        <v>4Q17</v>
      </c>
      <c r="AT562" s="595" t="str">
        <f t="shared" si="369"/>
        <v>1Q18</v>
      </c>
      <c r="AU562" s="595" t="str">
        <f t="shared" si="369"/>
        <v>2Q18</v>
      </c>
      <c r="AV562" s="595" t="str">
        <f t="shared" si="369"/>
        <v>3Q18</v>
      </c>
      <c r="AW562" s="595" t="str">
        <f t="shared" si="369"/>
        <v>4Q18</v>
      </c>
      <c r="AX562" s="595" t="str">
        <f t="shared" si="369"/>
        <v>1Q19</v>
      </c>
      <c r="AY562" s="595" t="str">
        <f t="shared" si="369"/>
        <v>2Q19</v>
      </c>
      <c r="AZ562" s="595" t="str">
        <f t="shared" si="369"/>
        <v>3Q19</v>
      </c>
      <c r="BA562" s="595" t="str">
        <f t="shared" si="369"/>
        <v>4Q19</v>
      </c>
      <c r="BB562" s="595" t="str">
        <f t="shared" si="369"/>
        <v>1Q20</v>
      </c>
      <c r="BC562" s="595" t="str">
        <f t="shared" si="369"/>
        <v>2Q20</v>
      </c>
      <c r="BD562" s="595" t="str">
        <f t="shared" si="369"/>
        <v>3Q20</v>
      </c>
      <c r="BE562" s="595" t="str">
        <f t="shared" si="369"/>
        <v>4Q20</v>
      </c>
      <c r="BF562" s="595" t="str">
        <f t="shared" si="369"/>
        <v>1Q21</v>
      </c>
      <c r="BG562" s="595" t="str">
        <f t="shared" si="369"/>
        <v>2Q21</v>
      </c>
      <c r="BH562" s="595" t="str">
        <f t="shared" si="369"/>
        <v>3Q21</v>
      </c>
      <c r="BI562" s="595" t="str">
        <f t="shared" si="369"/>
        <v>4Q21</v>
      </c>
      <c r="BJ562" s="595" t="str">
        <f t="shared" si="369"/>
        <v>1Q22</v>
      </c>
      <c r="BK562" s="595" t="str">
        <f t="shared" si="369"/>
        <v>2Q22</v>
      </c>
      <c r="BL562" s="595" t="str">
        <f t="shared" si="369"/>
        <v>3Q22</v>
      </c>
      <c r="BM562" s="595" t="str">
        <f t="shared" si="369"/>
        <v>4Q22</v>
      </c>
      <c r="BN562" s="595" t="str">
        <f t="shared" si="369"/>
        <v>1Q23</v>
      </c>
      <c r="BO562" s="595" t="str">
        <f t="shared" si="369"/>
        <v>2Q23</v>
      </c>
      <c r="BP562" s="595" t="str">
        <f t="shared" si="369"/>
        <v>3Q23</v>
      </c>
      <c r="BQ562" s="595" t="str">
        <f t="shared" si="369"/>
        <v>4Q23</v>
      </c>
      <c r="BR562" s="596" t="str">
        <f t="shared" si="369"/>
        <v>1Q24</v>
      </c>
      <c r="BS562" s="596" t="str">
        <f t="shared" si="369"/>
        <v>2Q24e</v>
      </c>
      <c r="BT562" s="596" t="str">
        <f t="shared" si="369"/>
        <v>3Q24e</v>
      </c>
      <c r="BU562" s="596" t="str">
        <f t="shared" si="369"/>
        <v>4Q24e</v>
      </c>
      <c r="BV562" s="596" t="str">
        <f t="shared" si="369"/>
        <v>1Q25e</v>
      </c>
      <c r="BW562" s="596" t="str">
        <f t="shared" si="369"/>
        <v>2Q25e</v>
      </c>
      <c r="BX562" s="596" t="str">
        <f t="shared" si="369"/>
        <v>3Q25e</v>
      </c>
      <c r="BY562" s="596" t="str">
        <f t="shared" si="369"/>
        <v>4Q25e</v>
      </c>
      <c r="BZ562" s="596" t="str">
        <f t="shared" si="369"/>
        <v>1Q26e</v>
      </c>
      <c r="CA562" s="596" t="str">
        <f t="shared" si="369"/>
        <v>2Q26e</v>
      </c>
      <c r="CB562" s="596" t="str">
        <f t="shared" si="369"/>
        <v>3Q26e</v>
      </c>
      <c r="CC562" s="596" t="str">
        <f t="shared" si="369"/>
        <v>4Q26e</v>
      </c>
      <c r="CD562" s="596" t="str">
        <f t="shared" si="369"/>
        <v>1Q27e</v>
      </c>
      <c r="CE562" s="596" t="str">
        <f t="shared" si="369"/>
        <v>2Q27e</v>
      </c>
      <c r="CF562" s="596" t="str">
        <f t="shared" si="369"/>
        <v>3Q27e</v>
      </c>
      <c r="CG562" s="596" t="str">
        <f t="shared" si="369"/>
        <v>4Q27e</v>
      </c>
      <c r="CH562" s="596" t="str">
        <f t="shared" si="369"/>
        <v>1Q28e</v>
      </c>
      <c r="CI562" s="596" t="str">
        <f t="shared" si="369"/>
        <v>2Q28e</v>
      </c>
      <c r="CJ562" s="596" t="str">
        <f t="shared" si="369"/>
        <v>3Q28e</v>
      </c>
      <c r="CK562" s="596" t="str">
        <f t="shared" si="369"/>
        <v>4Q28e</v>
      </c>
      <c r="CL562" s="596" t="str">
        <f t="shared" si="369"/>
        <v>1Q29e</v>
      </c>
      <c r="CM562" s="596" t="str">
        <f t="shared" si="369"/>
        <v>2Q29e</v>
      </c>
      <c r="CN562" s="596" t="str">
        <f t="shared" si="369"/>
        <v>3Q29e</v>
      </c>
      <c r="CO562" s="596" t="str">
        <f t="shared" si="369"/>
        <v>4Q29e</v>
      </c>
      <c r="CP562" s="596" t="str">
        <f t="shared" si="369"/>
        <v>1Q30e</v>
      </c>
      <c r="CQ562" s="596" t="str">
        <f t="shared" si="369"/>
        <v>2Q30e</v>
      </c>
      <c r="CR562" s="596" t="str">
        <f t="shared" si="369"/>
        <v>3Q30e</v>
      </c>
      <c r="CS562" s="596" t="str">
        <f t="shared" si="369"/>
        <v>4Q30e</v>
      </c>
    </row>
    <row r="563" spans="1:97">
      <c r="A563" s="9" t="s">
        <v>1349</v>
      </c>
      <c r="B563" s="1499"/>
      <c r="C563" s="1499"/>
      <c r="D563" s="1499"/>
      <c r="E563" s="1499"/>
      <c r="F563" s="1499"/>
      <c r="G563" s="1499"/>
      <c r="H563" s="1499"/>
      <c r="I563" s="1499"/>
      <c r="J563" s="1499">
        <f>Q_IS!B288</f>
        <v>0.53633817522454508</v>
      </c>
      <c r="K563" s="1499">
        <f>Q_IS!C288</f>
        <v>0.53583426246536559</v>
      </c>
      <c r="L563" s="1499">
        <f>Q_IS!D288</f>
        <v>0.51751208840565144</v>
      </c>
      <c r="M563" s="1499">
        <f>Q_IS!E288</f>
        <v>0.47391223813781508</v>
      </c>
      <c r="N563" s="1499">
        <f>Q_IS!F288</f>
        <v>0.54142535277395265</v>
      </c>
      <c r="O563" s="1499">
        <f>Q_IS!G288</f>
        <v>0.5375169612775188</v>
      </c>
      <c r="P563" s="1499">
        <f>Q_IS!H288</f>
        <v>0.54210446498236209</v>
      </c>
      <c r="Q563" s="1499">
        <f>Q_IS!I288</f>
        <v>0.52252600964731133</v>
      </c>
      <c r="R563" s="1499">
        <f>Q_IS!J288</f>
        <v>0.55689051479840979</v>
      </c>
      <c r="S563" s="1499">
        <f>Q_IS!K288</f>
        <v>0.53421962832177583</v>
      </c>
      <c r="T563" s="1499">
        <f>Q_IS!L288</f>
        <v>0.53802360606476496</v>
      </c>
      <c r="U563" s="1499">
        <f>Q_IS!M288</f>
        <v>0.53929720774213241</v>
      </c>
      <c r="V563" s="1499">
        <f>Q_IS!N288</f>
        <v>0.54440610010371204</v>
      </c>
      <c r="W563" s="1499">
        <f>Q_IS!O288</f>
        <v>0.51765411785443505</v>
      </c>
      <c r="X563" s="1499">
        <f>Q_IS!P288</f>
        <v>0.53106994756816084</v>
      </c>
      <c r="Y563" s="1499">
        <f>Q_IS!Q288</f>
        <v>0.52521092357143428</v>
      </c>
      <c r="Z563" s="1499">
        <f>Q_IS!R288</f>
        <v>0.54812510261137493</v>
      </c>
      <c r="AA563" s="1499">
        <f>Q_IS!S288</f>
        <v>0.53913140434802986</v>
      </c>
      <c r="AB563" s="1499">
        <f>Q_IS!T288</f>
        <v>0.53192592191588117</v>
      </c>
      <c r="AC563" s="1499">
        <f>Q_IS!U288</f>
        <v>0.53365702770218937</v>
      </c>
      <c r="AD563" s="1499">
        <f>Q_IS!V288</f>
        <v>0.55906484811259216</v>
      </c>
      <c r="AE563" s="1499">
        <f>Q_IS!W288</f>
        <v>0.56364006406671419</v>
      </c>
      <c r="AF563" s="1499">
        <f>Q_IS!X288</f>
        <v>0.55551379156055869</v>
      </c>
      <c r="AG563" s="1499">
        <f>Q_IS!Y288</f>
        <v>0.55656930612393629</v>
      </c>
      <c r="AH563" s="1499">
        <f>Q_IS!Z288</f>
        <v>0.57006857352312024</v>
      </c>
      <c r="AI563" s="1499">
        <f>Q_IS!AA288</f>
        <v>0.55553519982499222</v>
      </c>
      <c r="AJ563" s="1499">
        <f>Q_IS!AB288</f>
        <v>0.55102260670538572</v>
      </c>
      <c r="AK563" s="1499">
        <f>Q_IS!AC288</f>
        <v>0.53660408228514378</v>
      </c>
      <c r="AL563" s="1499">
        <f>Q_IS!AD288</f>
        <v>0.56096140957683638</v>
      </c>
      <c r="AM563" s="1499">
        <f>Q_IS!AE288</f>
        <v>0.55312562875266069</v>
      </c>
      <c r="AN563" s="1499">
        <f>Q_IS!AF288</f>
        <v>0.55039750118308883</v>
      </c>
      <c r="AO563" s="1499">
        <f>Q_IS!AG288</f>
        <v>0.54097730808591404</v>
      </c>
      <c r="AP563" s="1499">
        <f>Q_IS!AH288</f>
        <v>0.56448365440631554</v>
      </c>
      <c r="AQ563" s="1499">
        <f>Q_IS!AI288</f>
        <v>0.56138764122008777</v>
      </c>
      <c r="AR563" s="1499">
        <f>Q_IS!AJ288</f>
        <v>0.5625032815120139</v>
      </c>
      <c r="AS563" s="1499">
        <f>Q_IS!AK288</f>
        <v>0.49436274957119947</v>
      </c>
      <c r="AT563" s="1499">
        <f>Q_IS!AL288</f>
        <v>0.56983636533477622</v>
      </c>
      <c r="AU563" s="1499">
        <f>Q_IS!AM288</f>
        <v>0.55577551135013104</v>
      </c>
      <c r="AV563" s="1499">
        <f>Q_IS!AN288</f>
        <v>0.55467247030345135</v>
      </c>
      <c r="AW563" s="1499">
        <f>Q_IS!AO288</f>
        <v>0.5367721836981818</v>
      </c>
      <c r="AX563" s="1499">
        <f>Q_IS!AP288</f>
        <v>0.4994809572824776</v>
      </c>
      <c r="AY563" s="1499">
        <f>Q_IS!AQ288</f>
        <v>0.49508272569110451</v>
      </c>
      <c r="AZ563" s="1499">
        <f>Q_IS!AR288</f>
        <v>0.46531150725886078</v>
      </c>
      <c r="BA563" s="1499">
        <f>Q_IS!AS288</f>
        <v>0.49202133931423492</v>
      </c>
      <c r="BB563" s="1499">
        <f>Q_IS!AT288</f>
        <v>0.49558565859485559</v>
      </c>
      <c r="BC563" s="1499">
        <f>Q_IS!AU288</f>
        <v>0.83508930837163664</v>
      </c>
      <c r="BD563" s="1499">
        <f>Q_IS!AV288</f>
        <v>0.50386285993315361</v>
      </c>
      <c r="BE563" s="1499">
        <f>Q_IS!AW288</f>
        <v>0.42401377211044955</v>
      </c>
      <c r="BF563" s="1499">
        <f>Q_IS!AX288</f>
        <v>0.47355008179821723</v>
      </c>
      <c r="BG563" s="1499">
        <f>Q_IS!AY288</f>
        <v>0.45439887642970855</v>
      </c>
      <c r="BH563" s="1499">
        <f>Q_IS!AZ288</f>
        <v>0.46527110262550347</v>
      </c>
      <c r="BI563" s="1499">
        <f>Q_IS!BA288</f>
        <v>0.43720105387771724</v>
      </c>
      <c r="BJ563" s="1499">
        <f>Q_IS!BB288</f>
        <v>0.45489527863913815</v>
      </c>
      <c r="BK563" s="1499">
        <f>Q_IS!BC288</f>
        <v>0.4584709437227229</v>
      </c>
      <c r="BL563" s="1499">
        <f>Q_IS!BD288</f>
        <v>0.47284991314164221</v>
      </c>
      <c r="BM563" s="1499">
        <f>Q_IS!BE288</f>
        <v>0.48536140615072904</v>
      </c>
      <c r="BN563" s="1499">
        <f>Q_IS!BF288</f>
        <v>0.45999322866578279</v>
      </c>
      <c r="BO563" s="1499">
        <f>Q_IS!BG288</f>
        <v>0.46566303585242158</v>
      </c>
      <c r="BP563" s="1499">
        <f>Q_IS!BH288</f>
        <v>0.47111295577487683</v>
      </c>
      <c r="BQ563" s="1499">
        <f>Q_IS!BI288</f>
        <v>0.45390814264157398</v>
      </c>
      <c r="BR563" s="1499">
        <f>Q_IS!BJ288</f>
        <v>0.47516380421767429</v>
      </c>
      <c r="BS563" s="1499">
        <f>Q_IS!BK288</f>
        <v>0.47485351256912767</v>
      </c>
      <c r="BT563" s="1499">
        <f>Q_IS!BL288</f>
        <v>0.47749999999999998</v>
      </c>
      <c r="BU563" s="1499">
        <f>Q_IS!BM288</f>
        <v>0.46849999999999997</v>
      </c>
      <c r="BV563" s="1499">
        <f>Q_IS!BN288</f>
        <v>0.47804487621373987</v>
      </c>
      <c r="BW563" s="1499">
        <f>Q_IS!BO288</f>
        <v>0.47835351256912773</v>
      </c>
      <c r="BX563" s="1499">
        <f>Q_IS!BP288</f>
        <v>0.47649999999999998</v>
      </c>
      <c r="BY563" s="1499">
        <f>Q_IS!BQ288</f>
        <v>0.46749999999999997</v>
      </c>
      <c r="BZ563" s="1499">
        <f>Q_IS!BR288</f>
        <v>0.47704487621373992</v>
      </c>
      <c r="CA563" s="1499">
        <f>Q_IS!BS288</f>
        <v>0.47735351256912772</v>
      </c>
      <c r="CB563" s="1499">
        <f>Q_IS!BT288</f>
        <v>0.47549999999999998</v>
      </c>
      <c r="CC563" s="1499">
        <f>Q_IS!BU288</f>
        <v>0.46649999999999997</v>
      </c>
      <c r="CD563" s="1499">
        <f>Q_IS!BV288</f>
        <v>0.47604487621373992</v>
      </c>
      <c r="CE563" s="1499">
        <f>Q_IS!BW288</f>
        <v>0.47635351256912772</v>
      </c>
      <c r="CF563" s="1499">
        <f>Q_IS!BX288</f>
        <v>0.47449999999999998</v>
      </c>
      <c r="CG563" s="1499">
        <f>Q_IS!BY288</f>
        <v>0.46550000000000002</v>
      </c>
      <c r="CH563" s="1499">
        <f>Q_IS!BZ288</f>
        <v>0.47704487621373992</v>
      </c>
      <c r="CI563" s="1499">
        <f>Q_IS!CA288</f>
        <v>0.47735351256912761</v>
      </c>
      <c r="CJ563" s="1499">
        <f>Q_IS!CB288</f>
        <v>0.47549999999999998</v>
      </c>
      <c r="CK563" s="1499">
        <f>Q_IS!CC288</f>
        <v>0.46649999999999997</v>
      </c>
      <c r="CL563" s="1499">
        <f>Q_IS!CD288</f>
        <v>0.47704487621373992</v>
      </c>
      <c r="CM563" s="1499">
        <f>Q_IS!CE288</f>
        <v>0.47735351256912761</v>
      </c>
      <c r="CN563" s="1499">
        <f>Q_IS!CF288</f>
        <v>0.47550000000000003</v>
      </c>
      <c r="CO563" s="1499">
        <f>Q_IS!CG288</f>
        <v>0.46650000000000003</v>
      </c>
      <c r="CP563" s="1499">
        <f>Q_IS!CH288</f>
        <v>0.47704487621373998</v>
      </c>
      <c r="CQ563" s="1499">
        <f>Q_IS!CI288</f>
        <v>0.47735351256912767</v>
      </c>
      <c r="CR563" s="1499">
        <f>Q_IS!CJ288</f>
        <v>0.47549999999999992</v>
      </c>
      <c r="CS563" s="1499">
        <f>Q_IS!CK288</f>
        <v>0.46649999999999997</v>
      </c>
    </row>
    <row r="564" spans="1:97">
      <c r="A564" s="1088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</row>
    <row r="565" spans="1:97">
      <c r="A565" s="1088" t="s">
        <v>1370</v>
      </c>
      <c r="B565" s="36">
        <v>0</v>
      </c>
      <c r="C565" s="36">
        <v>0</v>
      </c>
      <c r="D565" s="36">
        <v>0</v>
      </c>
      <c r="E565" s="36">
        <v>0</v>
      </c>
      <c r="F565" s="36">
        <v>0</v>
      </c>
      <c r="G565" s="36">
        <v>0</v>
      </c>
      <c r="H565" s="36">
        <v>0</v>
      </c>
      <c r="I565" s="36">
        <v>0</v>
      </c>
      <c r="J565" s="36">
        <v>0</v>
      </c>
      <c r="K565" s="36">
        <v>0</v>
      </c>
      <c r="L565" s="36">
        <v>0</v>
      </c>
      <c r="M565" s="36">
        <v>0</v>
      </c>
      <c r="N565" s="36">
        <v>0</v>
      </c>
      <c r="O565" s="36">
        <v>0</v>
      </c>
      <c r="P565" s="36">
        <v>0</v>
      </c>
      <c r="Q565" s="36">
        <v>0</v>
      </c>
      <c r="R565" s="36">
        <v>0</v>
      </c>
      <c r="S565" s="36">
        <v>0</v>
      </c>
      <c r="T565" s="36">
        <v>0</v>
      </c>
      <c r="U565" s="36">
        <v>0</v>
      </c>
      <c r="V565" s="36">
        <v>0</v>
      </c>
      <c r="W565" s="36">
        <v>0</v>
      </c>
      <c r="X565" s="36">
        <v>0</v>
      </c>
      <c r="Y565" s="36">
        <v>0</v>
      </c>
      <c r="Z565" s="36">
        <v>0</v>
      </c>
      <c r="AA565" s="36">
        <v>0</v>
      </c>
      <c r="AB565" s="36">
        <v>0</v>
      </c>
      <c r="AC565" s="36">
        <v>0</v>
      </c>
      <c r="AD565" s="36">
        <v>0</v>
      </c>
      <c r="AE565" s="36">
        <v>0</v>
      </c>
      <c r="AF565" s="36">
        <v>0</v>
      </c>
      <c r="AG565" s="36">
        <v>0</v>
      </c>
      <c r="AH565" s="36">
        <v>0</v>
      </c>
      <c r="AI565" s="36">
        <v>0</v>
      </c>
      <c r="AJ565" s="36">
        <v>0</v>
      </c>
      <c r="AK565" s="36">
        <v>0</v>
      </c>
      <c r="AL565" s="36">
        <v>0</v>
      </c>
      <c r="AM565" s="36">
        <v>0</v>
      </c>
      <c r="AN565" s="36">
        <v>0</v>
      </c>
      <c r="AO565" s="36">
        <v>0</v>
      </c>
      <c r="AP565" s="36">
        <v>0</v>
      </c>
      <c r="AQ565" s="36">
        <v>0</v>
      </c>
      <c r="AR565" s="36">
        <v>0</v>
      </c>
      <c r="AS565" s="36">
        <v>0</v>
      </c>
      <c r="AT565" s="36">
        <v>0</v>
      </c>
      <c r="AU565" s="36">
        <v>0</v>
      </c>
      <c r="AV565" s="36">
        <v>0</v>
      </c>
      <c r="AW565" s="36">
        <v>0</v>
      </c>
      <c r="AX565" s="36">
        <v>0</v>
      </c>
      <c r="AY565" s="36">
        <v>0</v>
      </c>
      <c r="AZ565" s="36">
        <v>0</v>
      </c>
      <c r="BA565" s="36">
        <v>0</v>
      </c>
      <c r="BB565" s="36">
        <v>0</v>
      </c>
      <c r="BC565" s="36">
        <v>0</v>
      </c>
      <c r="BD565" s="36">
        <v>0</v>
      </c>
      <c r="BE565" s="36">
        <v>0</v>
      </c>
      <c r="BF565" s="36">
        <v>0</v>
      </c>
      <c r="BG565" s="36">
        <v>0</v>
      </c>
      <c r="BH565" s="36">
        <v>0</v>
      </c>
      <c r="BI565" s="36">
        <v>0</v>
      </c>
      <c r="BJ565" s="36">
        <v>0</v>
      </c>
      <c r="BK565" s="36">
        <v>0</v>
      </c>
      <c r="BL565" s="36">
        <v>0</v>
      </c>
      <c r="BM565" s="36">
        <v>0</v>
      </c>
      <c r="BN565" s="36">
        <v>0</v>
      </c>
      <c r="BO565" s="36">
        <v>0</v>
      </c>
      <c r="BP565" s="36">
        <v>0</v>
      </c>
      <c r="BQ565" s="36">
        <v>0</v>
      </c>
      <c r="BR565" s="36">
        <v>0</v>
      </c>
      <c r="BS565" s="36">
        <v>0</v>
      </c>
      <c r="BT565" s="36">
        <v>0</v>
      </c>
      <c r="BU565" s="36">
        <v>0</v>
      </c>
      <c r="BV565" s="36">
        <v>0</v>
      </c>
      <c r="BW565" s="36">
        <v>0</v>
      </c>
      <c r="BX565" s="36">
        <v>0</v>
      </c>
      <c r="BY565" s="36">
        <v>0</v>
      </c>
      <c r="BZ565" s="36">
        <v>0</v>
      </c>
      <c r="CA565" s="36">
        <v>0</v>
      </c>
      <c r="CB565" s="36">
        <v>0</v>
      </c>
      <c r="CC565" s="36">
        <v>0</v>
      </c>
      <c r="CD565" s="36">
        <v>0</v>
      </c>
      <c r="CE565" s="36">
        <v>0</v>
      </c>
      <c r="CF565" s="36">
        <v>0</v>
      </c>
      <c r="CG565" s="36">
        <v>0</v>
      </c>
      <c r="CH565" s="36">
        <v>0</v>
      </c>
      <c r="CI565" s="36">
        <v>0</v>
      </c>
      <c r="CJ565" s="36">
        <v>0</v>
      </c>
      <c r="CK565" s="36">
        <v>0</v>
      </c>
      <c r="CL565" s="36">
        <v>0</v>
      </c>
      <c r="CM565" s="36">
        <v>0</v>
      </c>
      <c r="CN565" s="36">
        <v>0</v>
      </c>
      <c r="CO565" s="36">
        <v>0</v>
      </c>
      <c r="CP565" s="36">
        <v>0</v>
      </c>
      <c r="CQ565" s="36">
        <v>0</v>
      </c>
      <c r="CR565" s="36">
        <v>0</v>
      </c>
      <c r="CS565" s="36">
        <v>0</v>
      </c>
    </row>
    <row r="566" spans="1:97">
      <c r="A566" s="239" t="s">
        <v>1072</v>
      </c>
      <c r="B566" s="1085"/>
      <c r="C566" s="1085"/>
      <c r="D566" s="1085"/>
      <c r="E566" s="1085"/>
      <c r="F566" s="1085"/>
      <c r="G566" s="1087"/>
      <c r="H566" s="1085"/>
      <c r="I566" s="1085"/>
      <c r="J566" s="1085"/>
      <c r="K566" s="1085"/>
      <c r="L566" s="1085"/>
      <c r="M566" s="1085"/>
      <c r="N566" s="1085"/>
      <c r="O566" s="1085"/>
      <c r="P566" s="1085"/>
      <c r="Q566" s="1085"/>
      <c r="R566" s="1085"/>
      <c r="S566" s="1085"/>
      <c r="T566" s="1085"/>
      <c r="U566" s="1085"/>
      <c r="V566" s="1085"/>
      <c r="W566" s="1085"/>
      <c r="X566" s="1085"/>
      <c r="Y566" s="1085"/>
      <c r="Z566" s="1085"/>
      <c r="AA566" s="1085"/>
      <c r="AB566" s="1085"/>
      <c r="AC566" s="1085"/>
      <c r="AD566" s="1085"/>
      <c r="AE566" s="1085"/>
      <c r="AF566" s="1085"/>
      <c r="AG566" s="1085"/>
      <c r="AH566" s="1085"/>
      <c r="AI566" s="1085"/>
      <c r="AJ566" s="1085"/>
      <c r="AK566" s="1085"/>
      <c r="AL566" s="1085"/>
      <c r="AM566" s="1085"/>
      <c r="AN566" s="1085"/>
      <c r="AO566" s="1085"/>
      <c r="AP566" s="1085"/>
      <c r="AQ566" s="1085"/>
      <c r="AR566" s="1085"/>
      <c r="AS566" s="1085"/>
      <c r="AT566" s="1085"/>
      <c r="AU566" s="1085"/>
      <c r="AV566" s="1085"/>
      <c r="AW566" s="1085"/>
      <c r="AX566" s="1085"/>
      <c r="AY566" s="1085"/>
      <c r="AZ566" s="1085"/>
      <c r="BA566" s="1085"/>
      <c r="BB566" s="1085"/>
      <c r="BC566" s="1085"/>
      <c r="BD566" s="1085"/>
      <c r="BE566" s="1085"/>
      <c r="BF566" s="1085"/>
      <c r="BG566" s="1085"/>
      <c r="BH566" s="1085"/>
      <c r="BI566" s="1085"/>
      <c r="BJ566" s="1085"/>
      <c r="BK566" s="1085"/>
      <c r="BL566" s="1085"/>
      <c r="BM566" s="1085"/>
      <c r="BN566" s="1085"/>
      <c r="BO566" s="1085"/>
      <c r="BP566" s="1085"/>
      <c r="BQ566" s="1085"/>
      <c r="BR566" s="1085"/>
      <c r="BS566" s="1085"/>
      <c r="BT566" s="1085"/>
      <c r="BU566" s="1085"/>
      <c r="BV566" s="1085"/>
      <c r="BW566" s="1085"/>
      <c r="BX566" s="1085"/>
      <c r="BY566" s="1085"/>
      <c r="BZ566" s="1085"/>
      <c r="CA566" s="1085"/>
      <c r="CB566" s="1085"/>
      <c r="CC566" s="1085"/>
      <c r="CD566" s="1085"/>
      <c r="CE566" s="1085"/>
      <c r="CF566" s="1085"/>
      <c r="CG566" s="1085"/>
      <c r="CH566" s="1085"/>
      <c r="CI566" s="1085"/>
      <c r="CJ566" s="1085"/>
      <c r="CK566" s="1085"/>
      <c r="CL566" s="1085"/>
      <c r="CM566" s="1085"/>
      <c r="CN566" s="1085"/>
      <c r="CO566" s="1085"/>
      <c r="CP566" s="1085"/>
      <c r="CQ566" s="1085"/>
      <c r="CR566" s="1085"/>
      <c r="CS566" s="1085"/>
    </row>
    <row r="567" spans="1:97">
      <c r="A567" s="239" t="s">
        <v>1071</v>
      </c>
      <c r="B567" s="1085"/>
      <c r="C567" s="1085"/>
      <c r="D567" s="1085"/>
      <c r="E567" s="1085"/>
      <c r="F567" s="1085"/>
      <c r="G567" s="1085"/>
      <c r="H567" s="1085"/>
      <c r="I567" s="1085"/>
      <c r="J567" s="1085"/>
      <c r="K567" s="1085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</row>
    <row r="568" spans="1:97">
      <c r="A568" s="1090" t="s">
        <v>731</v>
      </c>
      <c r="B568" s="1085"/>
      <c r="C568" s="1085"/>
      <c r="D568" s="1085"/>
      <c r="E568" s="1085"/>
      <c r="F568" s="1085"/>
      <c r="G568" s="1085"/>
      <c r="H568" s="1085"/>
      <c r="I568" s="1085"/>
      <c r="J568" s="1085"/>
      <c r="K568" s="1085"/>
      <c r="L568" s="1085"/>
      <c r="M568" s="1085"/>
      <c r="N568" s="1085"/>
      <c r="O568" s="1085"/>
      <c r="P568" s="1085"/>
      <c r="Q568" s="1085"/>
      <c r="R568" s="1085"/>
      <c r="S568" s="1085"/>
      <c r="T568" s="1085"/>
      <c r="U568" s="1085"/>
      <c r="V568" s="1085"/>
      <c r="W568" s="1085"/>
      <c r="X568" s="1085"/>
      <c r="Y568" s="1085"/>
      <c r="Z568" s="1085"/>
      <c r="AA568" s="1085"/>
      <c r="AB568" s="1085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</row>
    <row r="569" spans="1:97">
      <c r="A569" s="242" t="s">
        <v>1020</v>
      </c>
      <c r="B569" s="595" t="str">
        <f ca="1">+OFFSET(Segment!$B$3,0,MATCH(LEFT(Index!$H$39,4),Segment!$B$3:$BR$3,0)-5)</f>
        <v>3Q23</v>
      </c>
      <c r="C569" s="595" t="str">
        <f ca="1">+OFFSET(Segment!$B$3,0,MATCH(LEFT(Index!$H$39,4),Segment!$B$3:$BR$3,0)-4)</f>
        <v>4Q23</v>
      </c>
      <c r="D569" s="595" t="str">
        <f ca="1">+OFFSET(Segment!$B$3,0,MATCH(LEFT(Index!$H$39,4),Segment!$B$3:$BR$3,0)-3)</f>
        <v>1Q24</v>
      </c>
      <c r="E569" s="595" t="str">
        <f ca="1">+OFFSET(Segment!$B$3,0,MATCH(LEFT(Index!$H$39,4),Segment!$B$3:$BR$3,0)-2)</f>
        <v>2Q24</v>
      </c>
      <c r="F569" s="9"/>
      <c r="G569" s="9"/>
      <c r="H569" s="9"/>
      <c r="I569" s="242" t="s">
        <v>1050</v>
      </c>
      <c r="J569" s="595" t="str">
        <f ca="1">+B$569</f>
        <v>3Q23</v>
      </c>
      <c r="K569" s="595" t="str">
        <f ca="1">+C$569</f>
        <v>4Q23</v>
      </c>
      <c r="L569" s="595" t="str">
        <f ca="1">+D$569</f>
        <v>1Q24</v>
      </c>
      <c r="M569" s="595" t="str">
        <f ca="1">+E$569</f>
        <v>2Q24</v>
      </c>
      <c r="N569" s="9"/>
      <c r="O569" s="595" t="str">
        <f ca="1">J569</f>
        <v>3Q23</v>
      </c>
      <c r="P569" s="595" t="str">
        <f ca="1">K569</f>
        <v>4Q23</v>
      </c>
      <c r="Q569" s="595" t="str">
        <f ca="1">L569</f>
        <v>1Q24</v>
      </c>
      <c r="R569" s="595" t="str">
        <f ca="1">M569</f>
        <v>2Q24</v>
      </c>
      <c r="S569" s="242" t="s">
        <v>1148</v>
      </c>
      <c r="T569" s="242" t="s">
        <v>1149</v>
      </c>
      <c r="U569" s="91"/>
      <c r="V569" s="242" t="s">
        <v>742</v>
      </c>
      <c r="W569" s="595" t="str">
        <f ca="1">+O$569</f>
        <v>3Q23</v>
      </c>
      <c r="X569" s="595" t="str">
        <f ca="1">+P$569</f>
        <v>4Q23</v>
      </c>
      <c r="Y569" s="595" t="str">
        <f ca="1">+Q$569</f>
        <v>1Q24</v>
      </c>
      <c r="Z569" s="595" t="str">
        <f ca="1">+R$569</f>
        <v>2Q24</v>
      </c>
      <c r="AA569" s="242" t="s">
        <v>1346</v>
      </c>
      <c r="AB569" s="242" t="s">
        <v>1147</v>
      </c>
      <c r="AC569" s="91"/>
      <c r="AD569" s="91"/>
      <c r="AE569" s="91"/>
      <c r="AF569" s="91"/>
      <c r="AG569" s="91"/>
      <c r="AH569" s="91"/>
      <c r="AI569" s="91"/>
      <c r="AJ569" s="91"/>
      <c r="AK569" s="91"/>
      <c r="AL569" s="91"/>
      <c r="AM569" s="91"/>
      <c r="AN569" s="91"/>
      <c r="AO569" s="91"/>
      <c r="AP569" s="91"/>
      <c r="AQ569" s="91"/>
      <c r="AR569" s="91"/>
      <c r="AS569" s="91"/>
      <c r="AT569" s="91"/>
      <c r="AU569" s="91"/>
      <c r="AV569" s="91"/>
      <c r="AW569" s="91"/>
      <c r="AX569" s="91"/>
      <c r="AY569" s="91"/>
      <c r="AZ569" s="91"/>
      <c r="BA569" s="91"/>
      <c r="BB569" s="91"/>
      <c r="BC569" s="296"/>
      <c r="BD569" s="296"/>
      <c r="BE569" s="296"/>
      <c r="BF569" s="296"/>
      <c r="BG569" s="296"/>
      <c r="BH569" s="296"/>
      <c r="BI569" s="296"/>
      <c r="BJ569" s="296"/>
      <c r="BK569" s="296"/>
      <c r="BL569" s="296"/>
      <c r="BM569" s="296"/>
      <c r="BN569" s="296"/>
      <c r="BO569" s="296"/>
      <c r="BP569" s="296"/>
      <c r="BQ569" s="296"/>
      <c r="BR569" s="296"/>
      <c r="BS569" s="296"/>
      <c r="BT569" s="296"/>
      <c r="BU569" s="296"/>
      <c r="BV569" s="296"/>
      <c r="BW569" s="296"/>
      <c r="BX569" s="296"/>
      <c r="BY569" s="296"/>
      <c r="BZ569" s="9"/>
      <c r="CA569" s="9"/>
      <c r="CB569" s="9"/>
      <c r="CC569" s="9"/>
      <c r="CD569" s="9"/>
    </row>
    <row r="570" spans="1:97">
      <c r="A570" s="36" t="s">
        <v>1007</v>
      </c>
      <c r="B570" s="245">
        <f ca="1">+INDEX(Segment!$A$54:$BR$62,MATCH(Charts_Support!$A570,Segment!$A$54:$A$62,0),MATCH(B$569,IS!$A$60:$BR$60,0))</f>
        <v>0.17</v>
      </c>
      <c r="C570" s="245">
        <f ca="1">+INDEX(Segment!$A$54:$BR$62,MATCH(Charts_Support!$A570,Segment!$A$54:$A$62,0),MATCH(C$569,IS!$A$60:$BR$60,0))</f>
        <v>0.17</v>
      </c>
      <c r="D570" s="245">
        <f ca="1">+INDEX(Segment!$A$54:$BR$62,MATCH(Charts_Support!$A570,Segment!$A$54:$A$62,0),MATCH(D$569,IS!$A$60:$BR$60,0))</f>
        <v>0.17</v>
      </c>
      <c r="E570" s="245">
        <f ca="1">+INDEX(Segment!$A$54:$BR$62,MATCH(Charts_Support!$A570,Segment!$A$54:$A$62,0),MATCH(E$569,IS!$A$60:$BR$60,0))</f>
        <v>0.17</v>
      </c>
      <c r="F570" s="1091"/>
      <c r="G570" s="9"/>
      <c r="H570" s="9"/>
      <c r="I570" s="36" t="s">
        <v>1007</v>
      </c>
      <c r="J570" s="245">
        <f ca="1">+INDEX(Segment!$A$65:$BR$73,MATCH($I570,Segment!$A$65:$A$73,0),MATCH(J$569,IS!$A$60:$BR$60,0))</f>
        <v>0.14000000000000001</v>
      </c>
      <c r="K570" s="245">
        <f ca="1">+INDEX(Segment!$A$65:$BR$73,MATCH($I570,Segment!$A$65:$A$73,0),MATCH(K$569,IS!$A$60:$BR$60,0))</f>
        <v>0.14000000000000001</v>
      </c>
      <c r="L570" s="245">
        <f ca="1">+INDEX(Segment!$A$65:$BR$73,MATCH($I570,Segment!$A$65:$A$73,0),MATCH(L$569,IS!$A$60:$BR$60,0))</f>
        <v>0.14000000000000001</v>
      </c>
      <c r="M570" s="245">
        <f ca="1">+INDEX(Segment!$A$65:$BR$73,MATCH($I570,Segment!$A$65:$A$73,0),MATCH(M$569,IS!$A$60:$BR$60,0))</f>
        <v>0.14000000000000001</v>
      </c>
      <c r="N570" s="91"/>
      <c r="O570" s="99">
        <f t="shared" ref="O570:O578" ca="1" si="370">+INDEX($J$493:$BQ$493,MATCH(O$569,$J$492:$BQ$492,0))*J570</f>
        <v>315.84000000000003</v>
      </c>
      <c r="P570" s="99">
        <f t="shared" ref="P570:P578" ca="1" si="371">+INDEX($J$493:$BQ$493,MATCH(P$569,$J$492:$BQ$492,0))*K570</f>
        <v>338.8</v>
      </c>
      <c r="Q570" s="99" t="e">
        <f t="shared" ref="Q570:Q578" ca="1" si="372">+INDEX($J$493:$BQ$493,MATCH(Q$569,$J$492:$BQ$492,0))*L570</f>
        <v>#N/A</v>
      </c>
      <c r="R570" s="99" t="e">
        <f t="shared" ref="R570:R578" ca="1" si="373">+INDEX($J$493:$BQ$493,MATCH(R$569,$J$492:$BQ$492,0))*M570</f>
        <v>#N/A</v>
      </c>
      <c r="S570" s="99" t="e">
        <f t="shared" ref="S570:S578" ca="1" si="374">+SUM($O570:$R570)</f>
        <v>#N/A</v>
      </c>
      <c r="T570" s="38" t="e">
        <f t="shared" ref="T570:T579" ca="1" si="375">+$S570/$S$579</f>
        <v>#N/A</v>
      </c>
      <c r="U570" s="91"/>
      <c r="V570" s="36" t="s">
        <v>1007</v>
      </c>
      <c r="W570" s="99">
        <f t="shared" ref="W570:W578" ca="1" si="376">+INDEX($J$459:$BQ$459,MATCH(W$569,$J$458:$BQ$458,0))*B570</f>
        <v>1683.0000000000002</v>
      </c>
      <c r="X570" s="99">
        <f t="shared" ref="X570:X578" ca="1" si="377">+INDEX($J$459:$BQ$459,MATCH(X$569,$J$458:$BQ$458,0))*C570</f>
        <v>1814.5800000000002</v>
      </c>
      <c r="Y570" s="99" t="e">
        <f t="shared" ref="Y570:Y578" ca="1" si="378">+INDEX($J$459:$BQ$459,MATCH(Y$569,$J$458:$BQ$458,0))*D570</f>
        <v>#N/A</v>
      </c>
      <c r="Z570" s="99" t="e">
        <f t="shared" ref="Z570:Z578" ca="1" si="379">+INDEX($J$459:$BQ$459,MATCH(Z$569,$J$458:$BQ$458,0))*E570</f>
        <v>#N/A</v>
      </c>
      <c r="AA570" s="99" t="e">
        <f t="shared" ref="AA570:AA578" ca="1" si="380">+SUM(W570:Z570)</f>
        <v>#N/A</v>
      </c>
      <c r="AB570" s="38" t="e">
        <f t="shared" ref="AB570:AB579" ca="1" si="381">+AA570/AA$579</f>
        <v>#N/A</v>
      </c>
      <c r="AC570" s="91"/>
      <c r="AD570" s="91"/>
      <c r="AE570" s="91"/>
      <c r="AF570" s="91"/>
      <c r="AG570" s="91"/>
      <c r="AH570" s="91"/>
      <c r="AI570" s="91"/>
      <c r="AJ570" s="91"/>
      <c r="AK570" s="91"/>
      <c r="AL570" s="91"/>
      <c r="AM570" s="91"/>
      <c r="AN570" s="91"/>
      <c r="AO570" s="91"/>
      <c r="AP570" s="91"/>
      <c r="AQ570" s="91"/>
      <c r="AR570" s="91"/>
      <c r="AS570" s="91"/>
      <c r="AT570" s="91"/>
      <c r="AU570" s="91"/>
      <c r="AV570" s="91"/>
      <c r="AW570" s="91"/>
      <c r="AX570" s="91"/>
      <c r="AY570" s="91"/>
      <c r="AZ570" s="91"/>
      <c r="BA570" s="91"/>
      <c r="BB570" s="91"/>
      <c r="BC570" s="296"/>
      <c r="BD570" s="296"/>
      <c r="BE570" s="296"/>
      <c r="BF570" s="296"/>
      <c r="BG570" s="296"/>
      <c r="BH570" s="296"/>
      <c r="BI570" s="296"/>
      <c r="BJ570" s="296"/>
      <c r="BK570" s="296"/>
      <c r="BL570" s="296"/>
      <c r="BM570" s="296"/>
      <c r="BN570" s="296"/>
      <c r="BO570" s="296"/>
      <c r="BP570" s="296"/>
      <c r="BQ570" s="296"/>
      <c r="BR570" s="296"/>
      <c r="BS570" s="296"/>
      <c r="BT570" s="296"/>
      <c r="BU570" s="296"/>
      <c r="BV570" s="296"/>
      <c r="BW570" s="296"/>
      <c r="BX570" s="296"/>
      <c r="BY570" s="296"/>
      <c r="BZ570" s="9"/>
      <c r="CA570" s="9"/>
      <c r="CB570" s="9"/>
      <c r="CC570" s="9"/>
      <c r="CD570" s="9"/>
    </row>
    <row r="571" spans="1:97">
      <c r="A571" s="36" t="s">
        <v>1018</v>
      </c>
      <c r="B571" s="245">
        <f ca="1">+INDEX(Segment!$A$54:$BR$62,MATCH(Charts_Support!$A571,Segment!$A$54:$A$62,0),MATCH(B$569,IS!$A$60:$BR$60,0))</f>
        <v>0.43</v>
      </c>
      <c r="C571" s="245">
        <f ca="1">+INDEX(Segment!$A$54:$BR$62,MATCH(Charts_Support!$A571,Segment!$A$54:$A$62,0),MATCH(C$569,IS!$A$60:$BR$60,0))</f>
        <v>0.43</v>
      </c>
      <c r="D571" s="245">
        <f ca="1">+INDEX(Segment!$A$54:$BR$62,MATCH(Charts_Support!$A571,Segment!$A$54:$A$62,0),MATCH(D$569,IS!$A$60:$BR$60,0))</f>
        <v>0.43</v>
      </c>
      <c r="E571" s="245">
        <f ca="1">+INDEX(Segment!$A$54:$BR$62,MATCH(Charts_Support!$A571,Segment!$A$54:$A$62,0),MATCH(E$569,IS!$A$60:$BR$60,0))</f>
        <v>0.43</v>
      </c>
      <c r="F571" s="1091"/>
      <c r="G571" s="9"/>
      <c r="H571" s="9"/>
      <c r="I571" s="36" t="s">
        <v>1018</v>
      </c>
      <c r="J571" s="245">
        <f ca="1">+INDEX(Segment!$A$65:$BR$73,MATCH($I571,Segment!$A$65:$A$73,0),MATCH(J$569,IS!$A$60:$BR$60,0))</f>
        <v>0.51</v>
      </c>
      <c r="K571" s="245">
        <f ca="1">+INDEX(Segment!$A$65:$BR$73,MATCH($I571,Segment!$A$65:$A$73,0),MATCH(K$569,IS!$A$60:$BR$60,0))</f>
        <v>0.51</v>
      </c>
      <c r="L571" s="245">
        <f ca="1">+INDEX(Segment!$A$65:$BR$73,MATCH($I571,Segment!$A$65:$A$73,0),MATCH(L$569,IS!$A$60:$BR$60,0))</f>
        <v>0.51</v>
      </c>
      <c r="M571" s="245">
        <f ca="1">+INDEX(Segment!$A$65:$BR$73,MATCH($I571,Segment!$A$65:$A$73,0),MATCH(M$569,IS!$A$60:$BR$60,0))</f>
        <v>0.51</v>
      </c>
      <c r="N571" s="91"/>
      <c r="O571" s="99">
        <f t="shared" ca="1" si="370"/>
        <v>1150.56</v>
      </c>
      <c r="P571" s="99">
        <f t="shared" ca="1" si="371"/>
        <v>1234.2</v>
      </c>
      <c r="Q571" s="99" t="e">
        <f t="shared" ca="1" si="372"/>
        <v>#N/A</v>
      </c>
      <c r="R571" s="99" t="e">
        <f t="shared" ca="1" si="373"/>
        <v>#N/A</v>
      </c>
      <c r="S571" s="99" t="e">
        <f t="shared" ca="1" si="374"/>
        <v>#N/A</v>
      </c>
      <c r="T571" s="38" t="e">
        <f t="shared" ca="1" si="375"/>
        <v>#N/A</v>
      </c>
      <c r="U571" s="91"/>
      <c r="V571" s="36" t="s">
        <v>1018</v>
      </c>
      <c r="W571" s="99">
        <f t="shared" ca="1" si="376"/>
        <v>4257</v>
      </c>
      <c r="X571" s="99">
        <f t="shared" ca="1" si="377"/>
        <v>4589.82</v>
      </c>
      <c r="Y571" s="99" t="e">
        <f t="shared" ca="1" si="378"/>
        <v>#N/A</v>
      </c>
      <c r="Z571" s="99" t="e">
        <f t="shared" ca="1" si="379"/>
        <v>#N/A</v>
      </c>
      <c r="AA571" s="99" t="e">
        <f t="shared" ca="1" si="380"/>
        <v>#N/A</v>
      </c>
      <c r="AB571" s="38" t="e">
        <f t="shared" ca="1" si="381"/>
        <v>#N/A</v>
      </c>
      <c r="AC571" s="91"/>
      <c r="AD571" s="91"/>
      <c r="AE571" s="91"/>
      <c r="AF571" s="91"/>
      <c r="AG571" s="91"/>
      <c r="AH571" s="91"/>
      <c r="AI571" s="91"/>
      <c r="AJ571" s="91"/>
      <c r="AK571" s="91"/>
      <c r="AL571" s="91"/>
      <c r="AM571" s="91"/>
      <c r="AN571" s="91"/>
      <c r="AO571" s="91"/>
      <c r="AP571" s="91"/>
      <c r="AQ571" s="91"/>
      <c r="AR571" s="91"/>
      <c r="AS571" s="91"/>
      <c r="AT571" s="91"/>
      <c r="AU571" s="91"/>
      <c r="AV571" s="91"/>
      <c r="AW571" s="91"/>
      <c r="AX571" s="91"/>
      <c r="AY571" s="91"/>
      <c r="AZ571" s="91"/>
      <c r="BA571" s="91"/>
      <c r="BB571" s="91"/>
      <c r="BC571" s="296"/>
      <c r="BD571" s="296"/>
      <c r="BE571" s="296"/>
      <c r="BF571" s="296"/>
      <c r="BG571" s="296"/>
      <c r="BH571" s="296"/>
      <c r="BI571" s="296"/>
      <c r="BJ571" s="296"/>
      <c r="BK571" s="296"/>
      <c r="BL571" s="296"/>
      <c r="BM571" s="296"/>
      <c r="BN571" s="296"/>
      <c r="BO571" s="296"/>
      <c r="BP571" s="296"/>
      <c r="BQ571" s="296"/>
      <c r="BR571" s="296"/>
      <c r="BS571" s="296"/>
      <c r="BT571" s="296"/>
      <c r="BU571" s="296"/>
      <c r="BV571" s="296"/>
      <c r="BW571" s="296"/>
      <c r="BX571" s="296"/>
      <c r="BY571" s="296"/>
      <c r="BZ571" s="9"/>
      <c r="CA571" s="9"/>
      <c r="CB571" s="9"/>
      <c r="CC571" s="9"/>
      <c r="CD571" s="9"/>
    </row>
    <row r="572" spans="1:97">
      <c r="A572" s="36" t="s">
        <v>1008</v>
      </c>
      <c r="B572" s="245">
        <f ca="1">+INDEX(Segment!$A$54:$BR$62,MATCH(Charts_Support!$A572,Segment!$A$54:$A$62,0),MATCH(B$569,IS!$A$60:$BR$60,0))</f>
        <v>7.0000000000000007E-2</v>
      </c>
      <c r="C572" s="245">
        <f ca="1">+INDEX(Segment!$A$54:$BR$62,MATCH(Charts_Support!$A572,Segment!$A$54:$A$62,0),MATCH(C$569,IS!$A$60:$BR$60,0))</f>
        <v>7.0000000000000007E-2</v>
      </c>
      <c r="D572" s="245">
        <f ca="1">+INDEX(Segment!$A$54:$BR$62,MATCH(Charts_Support!$A572,Segment!$A$54:$A$62,0),MATCH(D$569,IS!$A$60:$BR$60,0))</f>
        <v>7.0000000000000007E-2</v>
      </c>
      <c r="E572" s="245">
        <f ca="1">+INDEX(Segment!$A$54:$BR$62,MATCH(Charts_Support!$A572,Segment!$A$54:$A$62,0),MATCH(E$569,IS!$A$60:$BR$60,0))</f>
        <v>7.0000000000000007E-2</v>
      </c>
      <c r="F572" s="1091"/>
      <c r="G572" s="9"/>
      <c r="H572" s="9"/>
      <c r="I572" s="36" t="s">
        <v>1008</v>
      </c>
      <c r="J572" s="245">
        <f ca="1">+INDEX(Segment!$A$65:$BR$73,MATCH($I572,Segment!$A$65:$A$73,0),MATCH(J$569,IS!$A$60:$BR$60,0))</f>
        <v>0.05</v>
      </c>
      <c r="K572" s="245">
        <f ca="1">+INDEX(Segment!$A$65:$BR$73,MATCH($I572,Segment!$A$65:$A$73,0),MATCH(K$569,IS!$A$60:$BR$60,0))</f>
        <v>0.05</v>
      </c>
      <c r="L572" s="245">
        <f ca="1">+INDEX(Segment!$A$65:$BR$73,MATCH($I572,Segment!$A$65:$A$73,0),MATCH(L$569,IS!$A$60:$BR$60,0))</f>
        <v>0.05</v>
      </c>
      <c r="M572" s="245">
        <f ca="1">+INDEX(Segment!$A$65:$BR$73,MATCH($I572,Segment!$A$65:$A$73,0),MATCH(M$569,IS!$A$60:$BR$60,0))</f>
        <v>0.05</v>
      </c>
      <c r="N572" s="91"/>
      <c r="O572" s="99">
        <f t="shared" ca="1" si="370"/>
        <v>112.80000000000001</v>
      </c>
      <c r="P572" s="99">
        <f t="shared" ca="1" si="371"/>
        <v>121</v>
      </c>
      <c r="Q572" s="99" t="e">
        <f t="shared" ca="1" si="372"/>
        <v>#N/A</v>
      </c>
      <c r="R572" s="99" t="e">
        <f t="shared" ca="1" si="373"/>
        <v>#N/A</v>
      </c>
      <c r="S572" s="99" t="e">
        <f t="shared" ca="1" si="374"/>
        <v>#N/A</v>
      </c>
      <c r="T572" s="38" t="e">
        <f t="shared" ca="1" si="375"/>
        <v>#N/A</v>
      </c>
      <c r="U572" s="91"/>
      <c r="V572" s="36" t="s">
        <v>1008</v>
      </c>
      <c r="W572" s="99">
        <f t="shared" ca="1" si="376"/>
        <v>693.00000000000011</v>
      </c>
      <c r="X572" s="99">
        <f t="shared" ca="1" si="377"/>
        <v>747.18000000000006</v>
      </c>
      <c r="Y572" s="99" t="e">
        <f t="shared" ca="1" si="378"/>
        <v>#N/A</v>
      </c>
      <c r="Z572" s="99" t="e">
        <f t="shared" ca="1" si="379"/>
        <v>#N/A</v>
      </c>
      <c r="AA572" s="99" t="e">
        <f t="shared" ca="1" si="380"/>
        <v>#N/A</v>
      </c>
      <c r="AB572" s="38" t="e">
        <f t="shared" ca="1" si="381"/>
        <v>#N/A</v>
      </c>
      <c r="AC572" s="91"/>
      <c r="AD572" s="91"/>
      <c r="AE572" s="91"/>
      <c r="AF572" s="91"/>
      <c r="AG572" s="91"/>
      <c r="AH572" s="91"/>
      <c r="AI572" s="91"/>
      <c r="AJ572" s="91"/>
      <c r="AK572" s="91"/>
      <c r="AL572" s="91"/>
      <c r="AM572" s="91"/>
      <c r="AN572" s="91"/>
      <c r="AO572" s="91"/>
      <c r="AP572" s="91"/>
      <c r="AQ572" s="91"/>
      <c r="AR572" s="91"/>
      <c r="AS572" s="91"/>
      <c r="AT572" s="91"/>
      <c r="AU572" s="91"/>
      <c r="AV572" s="91"/>
      <c r="AW572" s="91"/>
      <c r="AX572" s="91"/>
      <c r="AY572" s="91"/>
      <c r="AZ572" s="91"/>
      <c r="BA572" s="91"/>
      <c r="BB572" s="91"/>
      <c r="BC572" s="296"/>
      <c r="BD572" s="296"/>
      <c r="BE572" s="296"/>
      <c r="BF572" s="296"/>
      <c r="BG572" s="296"/>
      <c r="BH572" s="296"/>
      <c r="BI572" s="296"/>
      <c r="BJ572" s="296"/>
      <c r="BK572" s="296"/>
      <c r="BL572" s="296"/>
      <c r="BM572" s="296"/>
      <c r="BN572" s="296"/>
      <c r="BO572" s="296"/>
      <c r="BP572" s="296"/>
      <c r="BQ572" s="296"/>
      <c r="BR572" s="296"/>
      <c r="BS572" s="296"/>
      <c r="BT572" s="296"/>
      <c r="BU572" s="296"/>
      <c r="BV572" s="296"/>
      <c r="BW572" s="296"/>
      <c r="BX572" s="296"/>
      <c r="BY572" s="296"/>
      <c r="BZ572" s="9"/>
      <c r="CA572" s="9"/>
      <c r="CB572" s="9"/>
      <c r="CC572" s="9"/>
      <c r="CD572" s="9"/>
    </row>
    <row r="573" spans="1:97">
      <c r="A573" s="36" t="s">
        <v>1009</v>
      </c>
      <c r="B573" s="245">
        <f ca="1">+INDEX(Segment!$A$54:$BR$62,MATCH(Charts_Support!$A573,Segment!$A$54:$A$62,0),MATCH(B$569,IS!$A$60:$BR$60,0))</f>
        <v>0.06</v>
      </c>
      <c r="C573" s="245">
        <f ca="1">+INDEX(Segment!$A$54:$BR$62,MATCH(Charts_Support!$A573,Segment!$A$54:$A$62,0),MATCH(C$569,IS!$A$60:$BR$60,0))</f>
        <v>0.06</v>
      </c>
      <c r="D573" s="245">
        <f ca="1">+INDEX(Segment!$A$54:$BR$62,MATCH(Charts_Support!$A573,Segment!$A$54:$A$62,0),MATCH(D$569,IS!$A$60:$BR$60,0))</f>
        <v>0.06</v>
      </c>
      <c r="E573" s="245">
        <f ca="1">+INDEX(Segment!$A$54:$BR$62,MATCH(Charts_Support!$A573,Segment!$A$54:$A$62,0),MATCH(E$569,IS!$A$60:$BR$60,0))</f>
        <v>0.06</v>
      </c>
      <c r="F573" s="1091"/>
      <c r="G573" s="9"/>
      <c r="H573" s="9"/>
      <c r="I573" s="36" t="s">
        <v>1009</v>
      </c>
      <c r="J573" s="245">
        <f ca="1">+INDEX(Segment!$A$65:$BR$73,MATCH($I573,Segment!$A$65:$A$73,0),MATCH(J$569,IS!$A$60:$BR$60,0))</f>
        <v>7.0000000000000007E-2</v>
      </c>
      <c r="K573" s="245">
        <f ca="1">+INDEX(Segment!$A$65:$BR$73,MATCH($I573,Segment!$A$65:$A$73,0),MATCH(K$569,IS!$A$60:$BR$60,0))</f>
        <v>7.0000000000000007E-2</v>
      </c>
      <c r="L573" s="245">
        <f ca="1">+INDEX(Segment!$A$65:$BR$73,MATCH($I573,Segment!$A$65:$A$73,0),MATCH(L$569,IS!$A$60:$BR$60,0))</f>
        <v>7.0000000000000007E-2</v>
      </c>
      <c r="M573" s="245">
        <f ca="1">+INDEX(Segment!$A$65:$BR$73,MATCH($I573,Segment!$A$65:$A$73,0),MATCH(M$569,IS!$A$60:$BR$60,0))</f>
        <v>7.0000000000000007E-2</v>
      </c>
      <c r="N573" s="91"/>
      <c r="O573" s="99">
        <f t="shared" ca="1" si="370"/>
        <v>157.92000000000002</v>
      </c>
      <c r="P573" s="99">
        <f t="shared" ca="1" si="371"/>
        <v>169.4</v>
      </c>
      <c r="Q573" s="99" t="e">
        <f t="shared" ca="1" si="372"/>
        <v>#N/A</v>
      </c>
      <c r="R573" s="99" t="e">
        <f t="shared" ca="1" si="373"/>
        <v>#N/A</v>
      </c>
      <c r="S573" s="99" t="e">
        <f t="shared" ca="1" si="374"/>
        <v>#N/A</v>
      </c>
      <c r="T573" s="38" t="e">
        <f t="shared" ca="1" si="375"/>
        <v>#N/A</v>
      </c>
      <c r="U573" s="91"/>
      <c r="V573" s="36" t="s">
        <v>1009</v>
      </c>
      <c r="W573" s="99">
        <f t="shared" ca="1" si="376"/>
        <v>594</v>
      </c>
      <c r="X573" s="99">
        <f t="shared" ca="1" si="377"/>
        <v>640.43999999999994</v>
      </c>
      <c r="Y573" s="99" t="e">
        <f t="shared" ca="1" si="378"/>
        <v>#N/A</v>
      </c>
      <c r="Z573" s="99" t="e">
        <f t="shared" ca="1" si="379"/>
        <v>#N/A</v>
      </c>
      <c r="AA573" s="99" t="e">
        <f t="shared" ca="1" si="380"/>
        <v>#N/A</v>
      </c>
      <c r="AB573" s="38" t="e">
        <f t="shared" ca="1" si="381"/>
        <v>#N/A</v>
      </c>
      <c r="AC573" s="91"/>
      <c r="AD573" s="91"/>
      <c r="AE573" s="91"/>
      <c r="AF573" s="91"/>
      <c r="AG573" s="91"/>
      <c r="AH573" s="91"/>
      <c r="AI573" s="91"/>
      <c r="AJ573" s="91"/>
      <c r="AK573" s="91"/>
      <c r="AL573" s="91"/>
      <c r="AM573" s="91"/>
      <c r="AN573" s="91"/>
      <c r="AO573" s="91"/>
      <c r="AP573" s="91"/>
      <c r="AQ573" s="91"/>
      <c r="AR573" s="91"/>
      <c r="AS573" s="91"/>
      <c r="AT573" s="91"/>
      <c r="AU573" s="91"/>
      <c r="AV573" s="91"/>
      <c r="AW573" s="91"/>
      <c r="AX573" s="91"/>
      <c r="AY573" s="91"/>
      <c r="AZ573" s="91"/>
      <c r="BA573" s="91"/>
      <c r="BB573" s="91"/>
      <c r="BC573" s="296"/>
      <c r="BD573" s="296"/>
      <c r="BE573" s="296"/>
      <c r="BF573" s="296"/>
      <c r="BG573" s="296"/>
      <c r="BH573" s="296"/>
      <c r="BI573" s="296"/>
      <c r="BJ573" s="296"/>
      <c r="BK573" s="296"/>
      <c r="BL573" s="296"/>
      <c r="BM573" s="296"/>
      <c r="BN573" s="296"/>
      <c r="BO573" s="296"/>
      <c r="BP573" s="296"/>
      <c r="BQ573" s="296"/>
      <c r="BR573" s="296"/>
      <c r="BS573" s="296"/>
      <c r="BT573" s="296"/>
      <c r="BU573" s="296"/>
      <c r="BV573" s="296"/>
      <c r="BW573" s="296"/>
      <c r="BX573" s="296"/>
      <c r="BY573" s="296"/>
      <c r="BZ573" s="9"/>
      <c r="CA573" s="9"/>
      <c r="CB573" s="9"/>
      <c r="CC573" s="9"/>
      <c r="CD573" s="9"/>
    </row>
    <row r="574" spans="1:97">
      <c r="A574" s="36" t="s">
        <v>1010</v>
      </c>
      <c r="B574" s="245">
        <f ca="1">+INDEX(Segment!$A$54:$BR$62,MATCH(Charts_Support!$A574,Segment!$A$54:$A$62,0),MATCH(B$569,IS!$A$60:$BR$60,0))</f>
        <v>0.04</v>
      </c>
      <c r="C574" s="245">
        <f ca="1">+INDEX(Segment!$A$54:$BR$62,MATCH(Charts_Support!$A574,Segment!$A$54:$A$62,0),MATCH(C$569,IS!$A$60:$BR$60,0))</f>
        <v>0.04</v>
      </c>
      <c r="D574" s="245">
        <f ca="1">+INDEX(Segment!$A$54:$BR$62,MATCH(Charts_Support!$A574,Segment!$A$54:$A$62,0),MATCH(D$569,IS!$A$60:$BR$60,0))</f>
        <v>0.04</v>
      </c>
      <c r="E574" s="245">
        <f ca="1">+INDEX(Segment!$A$54:$BR$62,MATCH(Charts_Support!$A574,Segment!$A$54:$A$62,0),MATCH(E$569,IS!$A$60:$BR$60,0))</f>
        <v>0.04</v>
      </c>
      <c r="F574" s="1091"/>
      <c r="G574" s="9"/>
      <c r="H574" s="9"/>
      <c r="I574" s="36" t="s">
        <v>1010</v>
      </c>
      <c r="J574" s="245">
        <f ca="1">+INDEX(Segment!$A$65:$BR$73,MATCH($I574,Segment!$A$65:$A$73,0),MATCH(J$569,IS!$A$60:$BR$60,0))</f>
        <v>0.03</v>
      </c>
      <c r="K574" s="245">
        <f ca="1">+INDEX(Segment!$A$65:$BR$73,MATCH($I574,Segment!$A$65:$A$73,0),MATCH(K$569,IS!$A$60:$BR$60,0))</f>
        <v>0.03</v>
      </c>
      <c r="L574" s="245">
        <f ca="1">+INDEX(Segment!$A$65:$BR$73,MATCH($I574,Segment!$A$65:$A$73,0),MATCH(L$569,IS!$A$60:$BR$60,0))</f>
        <v>0.03</v>
      </c>
      <c r="M574" s="245">
        <f ca="1">+INDEX(Segment!$A$65:$BR$73,MATCH($I574,Segment!$A$65:$A$73,0),MATCH(M$569,IS!$A$60:$BR$60,0))</f>
        <v>0.03</v>
      </c>
      <c r="N574" s="91"/>
      <c r="O574" s="99">
        <f t="shared" ca="1" si="370"/>
        <v>67.679999999999993</v>
      </c>
      <c r="P574" s="99">
        <f t="shared" ca="1" si="371"/>
        <v>72.599999999999994</v>
      </c>
      <c r="Q574" s="99" t="e">
        <f t="shared" ca="1" si="372"/>
        <v>#N/A</v>
      </c>
      <c r="R574" s="99" t="e">
        <f t="shared" ca="1" si="373"/>
        <v>#N/A</v>
      </c>
      <c r="S574" s="99" t="e">
        <f t="shared" ca="1" si="374"/>
        <v>#N/A</v>
      </c>
      <c r="T574" s="38" t="e">
        <f t="shared" ca="1" si="375"/>
        <v>#N/A</v>
      </c>
      <c r="U574" s="91"/>
      <c r="V574" s="36" t="s">
        <v>1010</v>
      </c>
      <c r="W574" s="99">
        <f t="shared" ca="1" si="376"/>
        <v>396</v>
      </c>
      <c r="X574" s="99">
        <f t="shared" ca="1" si="377"/>
        <v>426.96000000000004</v>
      </c>
      <c r="Y574" s="99" t="e">
        <f t="shared" ca="1" si="378"/>
        <v>#N/A</v>
      </c>
      <c r="Z574" s="99" t="e">
        <f t="shared" ca="1" si="379"/>
        <v>#N/A</v>
      </c>
      <c r="AA574" s="99" t="e">
        <f t="shared" ca="1" si="380"/>
        <v>#N/A</v>
      </c>
      <c r="AB574" s="38" t="e">
        <f t="shared" ca="1" si="381"/>
        <v>#N/A</v>
      </c>
      <c r="AC574" s="91"/>
      <c r="AD574" s="91"/>
      <c r="AE574" s="91"/>
      <c r="AF574" s="91"/>
      <c r="AG574" s="91"/>
      <c r="AH574" s="91"/>
      <c r="AI574" s="91"/>
      <c r="AJ574" s="91"/>
      <c r="AK574" s="91"/>
      <c r="AL574" s="91"/>
      <c r="AM574" s="91"/>
      <c r="AN574" s="91"/>
      <c r="AO574" s="91"/>
      <c r="AP574" s="91"/>
      <c r="AQ574" s="91"/>
      <c r="AR574" s="91"/>
      <c r="AS574" s="91"/>
      <c r="AT574" s="91"/>
      <c r="AU574" s="91"/>
      <c r="AV574" s="91"/>
      <c r="AW574" s="91"/>
      <c r="AX574" s="91"/>
      <c r="AY574" s="91"/>
      <c r="AZ574" s="91"/>
      <c r="BA574" s="91"/>
      <c r="BB574" s="91"/>
      <c r="BC574" s="296"/>
      <c r="BD574" s="296"/>
      <c r="BE574" s="296"/>
      <c r="BF574" s="296"/>
      <c r="BG574" s="296"/>
      <c r="BH574" s="296"/>
      <c r="BI574" s="296"/>
      <c r="BJ574" s="296"/>
      <c r="BK574" s="296"/>
      <c r="BL574" s="296"/>
      <c r="BM574" s="296"/>
      <c r="BN574" s="296"/>
      <c r="BO574" s="296"/>
      <c r="BP574" s="296"/>
      <c r="BQ574" s="296"/>
      <c r="BR574" s="296"/>
      <c r="BS574" s="296"/>
      <c r="BT574" s="296"/>
      <c r="BU574" s="296"/>
      <c r="BV574" s="296"/>
      <c r="BW574" s="296"/>
      <c r="BX574" s="296"/>
      <c r="BY574" s="296"/>
      <c r="BZ574" s="9"/>
      <c r="CA574" s="9"/>
      <c r="CB574" s="9"/>
      <c r="CC574" s="9"/>
      <c r="CD574" s="9"/>
    </row>
    <row r="575" spans="1:97">
      <c r="A575" s="36" t="s">
        <v>1011</v>
      </c>
      <c r="B575" s="245">
        <f ca="1">+INDEX(Segment!$A$54:$BR$62,MATCH(Charts_Support!$A575,Segment!$A$54:$A$62,0),MATCH(B$569,IS!$A$60:$BR$60,0))</f>
        <v>0.14000000000000001</v>
      </c>
      <c r="C575" s="245">
        <f ca="1">+INDEX(Segment!$A$54:$BR$62,MATCH(Charts_Support!$A575,Segment!$A$54:$A$62,0),MATCH(C$569,IS!$A$60:$BR$60,0))</f>
        <v>0.14000000000000001</v>
      </c>
      <c r="D575" s="245">
        <f ca="1">+INDEX(Segment!$A$54:$BR$62,MATCH(Charts_Support!$A575,Segment!$A$54:$A$62,0),MATCH(D$569,IS!$A$60:$BR$60,0))</f>
        <v>0.14000000000000001</v>
      </c>
      <c r="E575" s="245">
        <f ca="1">+INDEX(Segment!$A$54:$BR$62,MATCH(Charts_Support!$A575,Segment!$A$54:$A$62,0),MATCH(E$569,IS!$A$60:$BR$60,0))</f>
        <v>0.14000000000000001</v>
      </c>
      <c r="F575" s="1091"/>
      <c r="G575" s="9"/>
      <c r="H575" s="9"/>
      <c r="I575" s="36" t="s">
        <v>1011</v>
      </c>
      <c r="J575" s="245">
        <f ca="1">+INDEX(Segment!$A$65:$BR$73,MATCH($I575,Segment!$A$65:$A$73,0),MATCH(J$569,IS!$A$60:$BR$60,0))</f>
        <v>0.11</v>
      </c>
      <c r="K575" s="245">
        <f ca="1">+INDEX(Segment!$A$65:$BR$73,MATCH($I575,Segment!$A$65:$A$73,0),MATCH(K$569,IS!$A$60:$BR$60,0))</f>
        <v>0.11</v>
      </c>
      <c r="L575" s="245">
        <f ca="1">+INDEX(Segment!$A$65:$BR$73,MATCH($I575,Segment!$A$65:$A$73,0),MATCH(L$569,IS!$A$60:$BR$60,0))</f>
        <v>0.11</v>
      </c>
      <c r="M575" s="245">
        <f ca="1">+INDEX(Segment!$A$65:$BR$73,MATCH($I575,Segment!$A$65:$A$73,0),MATCH(M$569,IS!$A$60:$BR$60,0))</f>
        <v>0.11</v>
      </c>
      <c r="N575" s="91"/>
      <c r="O575" s="99">
        <f t="shared" ca="1" si="370"/>
        <v>248.16</v>
      </c>
      <c r="P575" s="99">
        <f t="shared" ca="1" si="371"/>
        <v>266.2</v>
      </c>
      <c r="Q575" s="99" t="e">
        <f t="shared" ca="1" si="372"/>
        <v>#N/A</v>
      </c>
      <c r="R575" s="99" t="e">
        <f t="shared" ca="1" si="373"/>
        <v>#N/A</v>
      </c>
      <c r="S575" s="99" t="e">
        <f t="shared" ca="1" si="374"/>
        <v>#N/A</v>
      </c>
      <c r="T575" s="38" t="e">
        <f t="shared" ca="1" si="375"/>
        <v>#N/A</v>
      </c>
      <c r="U575" s="91"/>
      <c r="V575" s="36" t="s">
        <v>1011</v>
      </c>
      <c r="W575" s="99">
        <f t="shared" ca="1" si="376"/>
        <v>1386.0000000000002</v>
      </c>
      <c r="X575" s="99">
        <f t="shared" ca="1" si="377"/>
        <v>1494.3600000000001</v>
      </c>
      <c r="Y575" s="99" t="e">
        <f t="shared" ca="1" si="378"/>
        <v>#N/A</v>
      </c>
      <c r="Z575" s="99" t="e">
        <f t="shared" ca="1" si="379"/>
        <v>#N/A</v>
      </c>
      <c r="AA575" s="99" t="e">
        <f t="shared" ca="1" si="380"/>
        <v>#N/A</v>
      </c>
      <c r="AB575" s="38" t="e">
        <f t="shared" ca="1" si="381"/>
        <v>#N/A</v>
      </c>
      <c r="AC575" s="91"/>
      <c r="AD575" s="91"/>
      <c r="AE575" s="91"/>
      <c r="AF575" s="91"/>
      <c r="AG575" s="91"/>
      <c r="AH575" s="91"/>
      <c r="AI575" s="91"/>
      <c r="AJ575" s="91"/>
      <c r="AK575" s="91"/>
      <c r="AL575" s="91"/>
      <c r="AM575" s="91"/>
      <c r="AN575" s="91"/>
      <c r="AO575" s="91"/>
      <c r="AP575" s="91"/>
      <c r="AQ575" s="91"/>
      <c r="AR575" s="91"/>
      <c r="AS575" s="91"/>
      <c r="AT575" s="91"/>
      <c r="AU575" s="91"/>
      <c r="AV575" s="91"/>
      <c r="AW575" s="91"/>
      <c r="AX575" s="91"/>
      <c r="AY575" s="91"/>
      <c r="AZ575" s="91"/>
      <c r="BA575" s="91"/>
      <c r="BB575" s="91"/>
      <c r="BC575" s="296"/>
      <c r="BD575" s="296"/>
      <c r="BE575" s="296"/>
      <c r="BF575" s="296"/>
      <c r="BG575" s="296"/>
      <c r="BH575" s="296"/>
      <c r="BI575" s="296"/>
      <c r="BJ575" s="296"/>
      <c r="BK575" s="296"/>
      <c r="BL575" s="296"/>
      <c r="BM575" s="296"/>
      <c r="BN575" s="296"/>
      <c r="BO575" s="296"/>
      <c r="BP575" s="296"/>
      <c r="BQ575" s="296"/>
      <c r="BR575" s="296"/>
      <c r="BS575" s="296"/>
      <c r="BT575" s="296"/>
      <c r="BU575" s="296"/>
      <c r="BV575" s="296"/>
      <c r="BW575" s="296"/>
      <c r="BX575" s="296"/>
      <c r="BY575" s="296"/>
      <c r="BZ575" s="9"/>
      <c r="CA575" s="9"/>
      <c r="CB575" s="9"/>
      <c r="CC575" s="9"/>
      <c r="CD575" s="9"/>
    </row>
    <row r="576" spans="1:97">
      <c r="A576" s="36" t="s">
        <v>1021</v>
      </c>
      <c r="B576" s="245">
        <f ca="1">+INDEX(Segment!$A$54:$BR$62,MATCH(Charts_Support!$A576,Segment!$A$54:$A$62,0),MATCH(B$569,IS!$A$60:$BR$60,0))</f>
        <v>0.05</v>
      </c>
      <c r="C576" s="245">
        <f ca="1">+INDEX(Segment!$A$54:$BR$62,MATCH(Charts_Support!$A576,Segment!$A$54:$A$62,0),MATCH(C$569,IS!$A$60:$BR$60,0))</f>
        <v>0.05</v>
      </c>
      <c r="D576" s="245">
        <f ca="1">+INDEX(Segment!$A$54:$BR$62,MATCH(Charts_Support!$A576,Segment!$A$54:$A$62,0),MATCH(D$569,IS!$A$60:$BR$60,0))</f>
        <v>0.05</v>
      </c>
      <c r="E576" s="245">
        <f ca="1">+INDEX(Segment!$A$54:$BR$62,MATCH(Charts_Support!$A576,Segment!$A$54:$A$62,0),MATCH(E$569,IS!$A$60:$BR$60,0))</f>
        <v>0.05</v>
      </c>
      <c r="F576" s="1091"/>
      <c r="G576" s="9"/>
      <c r="H576" s="9"/>
      <c r="I576" s="36" t="s">
        <v>1021</v>
      </c>
      <c r="J576" s="245">
        <f ca="1">+INDEX(Segment!$A$65:$BR$73,MATCH($I576,Segment!$A$65:$A$73,0),MATCH(J$569,IS!$A$60:$BR$60,0))</f>
        <v>0.03</v>
      </c>
      <c r="K576" s="245">
        <f ca="1">+INDEX(Segment!$A$65:$BR$73,MATCH($I576,Segment!$A$65:$A$73,0),MATCH(K$569,IS!$A$60:$BR$60,0))</f>
        <v>0.03</v>
      </c>
      <c r="L576" s="245">
        <f ca="1">+INDEX(Segment!$A$65:$BR$73,MATCH($I576,Segment!$A$65:$A$73,0),MATCH(L$569,IS!$A$60:$BR$60,0))</f>
        <v>0.03</v>
      </c>
      <c r="M576" s="245">
        <f ca="1">+INDEX(Segment!$A$65:$BR$73,MATCH($I576,Segment!$A$65:$A$73,0),MATCH(M$569,IS!$A$60:$BR$60,0))</f>
        <v>0.03</v>
      </c>
      <c r="N576" s="91"/>
      <c r="O576" s="99">
        <f t="shared" ca="1" si="370"/>
        <v>67.679999999999993</v>
      </c>
      <c r="P576" s="99">
        <f t="shared" ca="1" si="371"/>
        <v>72.599999999999994</v>
      </c>
      <c r="Q576" s="99" t="e">
        <f t="shared" ca="1" si="372"/>
        <v>#N/A</v>
      </c>
      <c r="R576" s="99" t="e">
        <f t="shared" ca="1" si="373"/>
        <v>#N/A</v>
      </c>
      <c r="S576" s="99" t="e">
        <f t="shared" ca="1" si="374"/>
        <v>#N/A</v>
      </c>
      <c r="T576" s="38" t="e">
        <f t="shared" ca="1" si="375"/>
        <v>#N/A</v>
      </c>
      <c r="U576" s="91"/>
      <c r="V576" s="36" t="s">
        <v>1021</v>
      </c>
      <c r="W576" s="99">
        <f t="shared" ca="1" si="376"/>
        <v>495</v>
      </c>
      <c r="X576" s="99">
        <f t="shared" ca="1" si="377"/>
        <v>533.70000000000005</v>
      </c>
      <c r="Y576" s="99" t="e">
        <f t="shared" ca="1" si="378"/>
        <v>#N/A</v>
      </c>
      <c r="Z576" s="99" t="e">
        <f t="shared" ca="1" si="379"/>
        <v>#N/A</v>
      </c>
      <c r="AA576" s="99" t="e">
        <f t="shared" ca="1" si="380"/>
        <v>#N/A</v>
      </c>
      <c r="AB576" s="38" t="e">
        <f t="shared" ca="1" si="381"/>
        <v>#N/A</v>
      </c>
      <c r="AC576" s="91"/>
      <c r="AD576" s="91"/>
      <c r="AE576" s="91"/>
      <c r="AF576" s="91"/>
      <c r="AG576" s="91"/>
      <c r="AH576" s="91"/>
      <c r="AI576" s="91"/>
      <c r="AJ576" s="91"/>
      <c r="AK576" s="91"/>
      <c r="AL576" s="91"/>
      <c r="AM576" s="91"/>
      <c r="AN576" s="91"/>
      <c r="AO576" s="91"/>
      <c r="AP576" s="91"/>
      <c r="AQ576" s="91"/>
      <c r="AR576" s="91"/>
      <c r="AS576" s="91"/>
      <c r="AT576" s="91"/>
      <c r="AU576" s="91"/>
      <c r="AV576" s="91"/>
      <c r="AW576" s="91"/>
      <c r="AX576" s="91"/>
      <c r="AY576" s="91"/>
      <c r="AZ576" s="91"/>
      <c r="BA576" s="91"/>
      <c r="BB576" s="91"/>
      <c r="BC576" s="296"/>
      <c r="BD576" s="296"/>
      <c r="BE576" s="296"/>
      <c r="BF576" s="296"/>
      <c r="BG576" s="296"/>
      <c r="BH576" s="296"/>
      <c r="BI576" s="296"/>
      <c r="BJ576" s="296"/>
      <c r="BK576" s="296"/>
      <c r="BL576" s="296"/>
      <c r="BM576" s="296"/>
      <c r="BN576" s="296"/>
      <c r="BO576" s="296"/>
      <c r="BP576" s="296"/>
      <c r="BQ576" s="296"/>
      <c r="BR576" s="296"/>
      <c r="BS576" s="296"/>
      <c r="BT576" s="296"/>
      <c r="BU576" s="296"/>
      <c r="BV576" s="296"/>
      <c r="BW576" s="296"/>
      <c r="BX576" s="296"/>
      <c r="BY576" s="296"/>
      <c r="BZ576" s="9"/>
      <c r="CA576" s="9"/>
      <c r="CB576" s="9"/>
      <c r="CC576" s="9"/>
      <c r="CD576" s="9"/>
    </row>
    <row r="577" spans="1:82">
      <c r="A577" s="36" t="s">
        <v>1012</v>
      </c>
      <c r="B577" s="245">
        <f ca="1">+INDEX(Segment!$A$54:$BR$62,MATCH(Charts_Support!$A577,Segment!$A$54:$A$62,0),MATCH(B$569,IS!$A$60:$BR$60,0))</f>
        <v>0</v>
      </c>
      <c r="C577" s="245">
        <f ca="1">+INDEX(Segment!$A$54:$BR$62,MATCH(Charts_Support!$A577,Segment!$A$54:$A$62,0),MATCH(C$569,IS!$A$60:$BR$60,0))</f>
        <v>0</v>
      </c>
      <c r="D577" s="245">
        <f ca="1">+INDEX(Segment!$A$54:$BR$62,MATCH(Charts_Support!$A577,Segment!$A$54:$A$62,0),MATCH(D$569,IS!$A$60:$BR$60,0))</f>
        <v>0</v>
      </c>
      <c r="E577" s="245">
        <f ca="1">+INDEX(Segment!$A$54:$BR$62,MATCH(Charts_Support!$A577,Segment!$A$54:$A$62,0),MATCH(E$569,IS!$A$60:$BR$60,0))</f>
        <v>0</v>
      </c>
      <c r="F577" s="1091"/>
      <c r="G577" s="9"/>
      <c r="H577" s="9"/>
      <c r="I577" s="36" t="s">
        <v>1012</v>
      </c>
      <c r="J577" s="245">
        <f ca="1">+INDEX(Segment!$A$65:$BR$73,MATCH($I577,Segment!$A$65:$A$73,0),MATCH(J$569,IS!$A$60:$BR$60,0))</f>
        <v>0.01</v>
      </c>
      <c r="K577" s="245">
        <f ca="1">+INDEX(Segment!$A$65:$BR$73,MATCH($I577,Segment!$A$65:$A$73,0),MATCH(K$569,IS!$A$60:$BR$60,0))</f>
        <v>0.01</v>
      </c>
      <c r="L577" s="245">
        <f ca="1">+INDEX(Segment!$A$65:$BR$73,MATCH($I577,Segment!$A$65:$A$73,0),MATCH(L$569,IS!$A$60:$BR$60,0))</f>
        <v>0.01</v>
      </c>
      <c r="M577" s="245">
        <f ca="1">+INDEX(Segment!$A$65:$BR$73,MATCH($I577,Segment!$A$65:$A$73,0),MATCH(M$569,IS!$A$60:$BR$60,0))</f>
        <v>0.01</v>
      </c>
      <c r="N577" s="91"/>
      <c r="O577" s="99">
        <f t="shared" ca="1" si="370"/>
        <v>22.56</v>
      </c>
      <c r="P577" s="99">
        <f t="shared" ca="1" si="371"/>
        <v>24.2</v>
      </c>
      <c r="Q577" s="99" t="e">
        <f t="shared" ca="1" si="372"/>
        <v>#N/A</v>
      </c>
      <c r="R577" s="99" t="e">
        <f t="shared" ca="1" si="373"/>
        <v>#N/A</v>
      </c>
      <c r="S577" s="99" t="e">
        <f t="shared" ca="1" si="374"/>
        <v>#N/A</v>
      </c>
      <c r="T577" s="38" t="e">
        <f t="shared" ca="1" si="375"/>
        <v>#N/A</v>
      </c>
      <c r="U577" s="91"/>
      <c r="V577" s="36" t="s">
        <v>1012</v>
      </c>
      <c r="W577" s="99">
        <f t="shared" ca="1" si="376"/>
        <v>0</v>
      </c>
      <c r="X577" s="99">
        <f t="shared" ca="1" si="377"/>
        <v>0</v>
      </c>
      <c r="Y577" s="99" t="e">
        <f t="shared" ca="1" si="378"/>
        <v>#N/A</v>
      </c>
      <c r="Z577" s="99" t="e">
        <f t="shared" ca="1" si="379"/>
        <v>#N/A</v>
      </c>
      <c r="AA577" s="99" t="e">
        <f t="shared" ca="1" si="380"/>
        <v>#N/A</v>
      </c>
      <c r="AB577" s="38" t="e">
        <f t="shared" ca="1" si="381"/>
        <v>#N/A</v>
      </c>
      <c r="AC577" s="91"/>
      <c r="AD577" s="91"/>
      <c r="AE577" s="91"/>
      <c r="AF577" s="91"/>
      <c r="AG577" s="91"/>
      <c r="AH577" s="91"/>
      <c r="AI577" s="91"/>
      <c r="AJ577" s="91"/>
      <c r="AK577" s="91"/>
      <c r="AL577" s="91"/>
      <c r="AM577" s="91"/>
      <c r="AN577" s="91"/>
      <c r="AO577" s="91"/>
      <c r="AP577" s="91"/>
      <c r="AQ577" s="91"/>
      <c r="AR577" s="91"/>
      <c r="AS577" s="91"/>
      <c r="AT577" s="91"/>
      <c r="AU577" s="91"/>
      <c r="AV577" s="91"/>
      <c r="AW577" s="91"/>
      <c r="AX577" s="91"/>
      <c r="AY577" s="91"/>
      <c r="AZ577" s="91"/>
      <c r="BA577" s="91"/>
      <c r="BB577" s="91"/>
      <c r="BC577" s="296"/>
      <c r="BD577" s="296"/>
      <c r="BE577" s="296"/>
      <c r="BF577" s="296"/>
      <c r="BG577" s="296"/>
      <c r="BH577" s="296"/>
      <c r="BI577" s="296"/>
      <c r="BJ577" s="296"/>
      <c r="BK577" s="296"/>
      <c r="BL577" s="296"/>
      <c r="BM577" s="296"/>
      <c r="BN577" s="296"/>
      <c r="BO577" s="296"/>
      <c r="BP577" s="296"/>
      <c r="BQ577" s="296"/>
      <c r="BR577" s="296"/>
      <c r="BS577" s="296"/>
      <c r="BT577" s="296"/>
      <c r="BU577" s="296"/>
      <c r="BV577" s="296"/>
      <c r="BW577" s="296"/>
      <c r="BX577" s="296"/>
      <c r="BY577" s="296"/>
      <c r="BZ577" s="9"/>
      <c r="CA577" s="9"/>
      <c r="CB577" s="9"/>
      <c r="CC577" s="9"/>
      <c r="CD577" s="9"/>
    </row>
    <row r="578" spans="1:82">
      <c r="A578" s="36" t="s">
        <v>331</v>
      </c>
      <c r="B578" s="245">
        <f ca="1">+INDEX(Segment!$A$54:$BR$62,MATCH(Charts_Support!$A578,Segment!$A$54:$A$62,0),MATCH(B$569,IS!$A$60:$BR$60,0))</f>
        <v>0.04</v>
      </c>
      <c r="C578" s="245">
        <f ca="1">+INDEX(Segment!$A$54:$BR$62,MATCH(Charts_Support!$A578,Segment!$A$54:$A$62,0),MATCH(C$569,IS!$A$60:$BR$60,0))</f>
        <v>0.04</v>
      </c>
      <c r="D578" s="245">
        <f ca="1">+INDEX(Segment!$A$54:$BR$62,MATCH(Charts_Support!$A578,Segment!$A$54:$A$62,0),MATCH(D$569,IS!$A$60:$BR$60,0))</f>
        <v>0.04</v>
      </c>
      <c r="E578" s="245">
        <f ca="1">+INDEX(Segment!$A$54:$BR$62,MATCH(Charts_Support!$A578,Segment!$A$54:$A$62,0),MATCH(E$569,IS!$A$60:$BR$60,0))</f>
        <v>0.04</v>
      </c>
      <c r="F578" s="1091"/>
      <c r="G578" s="9"/>
      <c r="H578" s="9"/>
      <c r="I578" s="36" t="s">
        <v>331</v>
      </c>
      <c r="J578" s="245">
        <f ca="1">+INDEX(Segment!$A$65:$BR$73,MATCH($I578,Segment!$A$65:$A$73,0),MATCH(J$569,IS!$A$60:$BR$60,0))</f>
        <v>0.05</v>
      </c>
      <c r="K578" s="245">
        <f ca="1">+INDEX(Segment!$A$65:$BR$73,MATCH($I578,Segment!$A$65:$A$73,0),MATCH(K$569,IS!$A$60:$BR$60,0))</f>
        <v>0.05</v>
      </c>
      <c r="L578" s="245">
        <f ca="1">+INDEX(Segment!$A$65:$BR$73,MATCH($I578,Segment!$A$65:$A$73,0),MATCH(L$569,IS!$A$60:$BR$60,0))</f>
        <v>0.05</v>
      </c>
      <c r="M578" s="245">
        <f ca="1">+INDEX(Segment!$A$65:$BR$73,MATCH($I578,Segment!$A$65:$A$73,0),MATCH(M$569,IS!$A$60:$BR$60,0))</f>
        <v>0.05</v>
      </c>
      <c r="N578" s="91"/>
      <c r="O578" s="99">
        <f t="shared" ca="1" si="370"/>
        <v>112.80000000000001</v>
      </c>
      <c r="P578" s="99">
        <f t="shared" ca="1" si="371"/>
        <v>121</v>
      </c>
      <c r="Q578" s="99" t="e">
        <f t="shared" ca="1" si="372"/>
        <v>#N/A</v>
      </c>
      <c r="R578" s="99" t="e">
        <f t="shared" ca="1" si="373"/>
        <v>#N/A</v>
      </c>
      <c r="S578" s="99" t="e">
        <f t="shared" ca="1" si="374"/>
        <v>#N/A</v>
      </c>
      <c r="T578" s="38" t="e">
        <f t="shared" ca="1" si="375"/>
        <v>#N/A</v>
      </c>
      <c r="U578" s="91"/>
      <c r="V578" s="36" t="s">
        <v>331</v>
      </c>
      <c r="W578" s="99">
        <f t="shared" ca="1" si="376"/>
        <v>396</v>
      </c>
      <c r="X578" s="99">
        <f t="shared" ca="1" si="377"/>
        <v>426.96000000000004</v>
      </c>
      <c r="Y578" s="99" t="e">
        <f t="shared" ca="1" si="378"/>
        <v>#N/A</v>
      </c>
      <c r="Z578" s="99" t="e">
        <f t="shared" ca="1" si="379"/>
        <v>#N/A</v>
      </c>
      <c r="AA578" s="99" t="e">
        <f t="shared" ca="1" si="380"/>
        <v>#N/A</v>
      </c>
      <c r="AB578" s="38" t="e">
        <f t="shared" ca="1" si="381"/>
        <v>#N/A</v>
      </c>
      <c r="AC578" s="91"/>
      <c r="AD578" s="91"/>
      <c r="AE578" s="91"/>
      <c r="AF578" s="91"/>
      <c r="AG578" s="91"/>
      <c r="AH578" s="91"/>
      <c r="AI578" s="91"/>
      <c r="AJ578" s="91"/>
      <c r="AK578" s="91"/>
      <c r="AL578" s="91"/>
      <c r="AM578" s="91"/>
      <c r="AN578" s="91"/>
      <c r="AO578" s="91"/>
      <c r="AP578" s="91"/>
      <c r="AQ578" s="91"/>
      <c r="AR578" s="91"/>
      <c r="AS578" s="91"/>
      <c r="AT578" s="91"/>
      <c r="AU578" s="91"/>
      <c r="AV578" s="91"/>
      <c r="AW578" s="91"/>
      <c r="AX578" s="91"/>
      <c r="AY578" s="91"/>
      <c r="AZ578" s="91"/>
      <c r="BA578" s="91"/>
      <c r="BB578" s="91"/>
      <c r="BC578" s="296"/>
      <c r="BD578" s="296"/>
      <c r="BE578" s="296"/>
      <c r="BF578" s="296"/>
      <c r="BG578" s="296"/>
      <c r="BH578" s="296"/>
      <c r="BI578" s="296"/>
      <c r="BJ578" s="296"/>
      <c r="BK578" s="296"/>
      <c r="BL578" s="296"/>
      <c r="BM578" s="296"/>
      <c r="BN578" s="296"/>
      <c r="BO578" s="296"/>
      <c r="BP578" s="296"/>
      <c r="BQ578" s="296"/>
      <c r="BR578" s="296"/>
      <c r="BS578" s="296"/>
      <c r="BT578" s="296"/>
      <c r="BU578" s="296"/>
      <c r="BV578" s="296"/>
      <c r="BW578" s="296"/>
      <c r="BX578" s="296"/>
      <c r="BY578" s="296"/>
      <c r="BZ578" s="9"/>
      <c r="CA578" s="9"/>
      <c r="CB578" s="9"/>
      <c r="CC578" s="9"/>
      <c r="CD578" s="9"/>
    </row>
    <row r="579" spans="1:82">
      <c r="A579" s="513" t="s">
        <v>325</v>
      </c>
      <c r="B579" s="1086">
        <f ca="1">SUM(B570:B578)</f>
        <v>1</v>
      </c>
      <c r="C579" s="1086">
        <f ca="1">SUM(C570:C578)</f>
        <v>1</v>
      </c>
      <c r="D579" s="1086">
        <f ca="1">SUM(D570:D578)</f>
        <v>1</v>
      </c>
      <c r="E579" s="1086">
        <f ca="1">SUM(E570:E578)</f>
        <v>1</v>
      </c>
      <c r="F579" s="1091"/>
      <c r="G579" s="9"/>
      <c r="H579" s="9"/>
      <c r="I579" s="513" t="s">
        <v>325</v>
      </c>
      <c r="J579" s="1086">
        <f ca="1">SUM(J570:J578)</f>
        <v>1</v>
      </c>
      <c r="K579" s="1086">
        <f ca="1">SUM(K570:K578)</f>
        <v>1</v>
      </c>
      <c r="L579" s="1086">
        <f ca="1">SUM(L570:L578)</f>
        <v>1</v>
      </c>
      <c r="M579" s="1086">
        <f ca="1">SUM(M570:M578)</f>
        <v>1</v>
      </c>
      <c r="N579" s="91"/>
      <c r="O579" s="1489">
        <f ca="1">+SUM(O570:O578)</f>
        <v>2256</v>
      </c>
      <c r="P579" s="1489">
        <f ca="1">+SUM(P570:P578)</f>
        <v>2419.9999999999995</v>
      </c>
      <c r="Q579" s="1489" t="e">
        <f ca="1">+SUM(Q570:Q578)</f>
        <v>#N/A</v>
      </c>
      <c r="R579" s="1489" t="e">
        <f ca="1">+SUM(R570:R578)</f>
        <v>#N/A</v>
      </c>
      <c r="S579" s="1489" t="e">
        <f ca="1">+SUM(S570:S578)</f>
        <v>#N/A</v>
      </c>
      <c r="T579" s="905" t="e">
        <f t="shared" ca="1" si="375"/>
        <v>#N/A</v>
      </c>
      <c r="U579" s="91"/>
      <c r="V579" s="513" t="s">
        <v>325</v>
      </c>
      <c r="W579" s="1489">
        <f ca="1">+SUM(W570:W578)</f>
        <v>9900</v>
      </c>
      <c r="X579" s="1489">
        <f ca="1">+SUM(X570:X578)</f>
        <v>10674</v>
      </c>
      <c r="Y579" s="1489" t="e">
        <f ca="1">+SUM(Y570:Y578)</f>
        <v>#N/A</v>
      </c>
      <c r="Z579" s="1489" t="e">
        <f ca="1">+SUM(Z570:Z578)</f>
        <v>#N/A</v>
      </c>
      <c r="AA579" s="1489" t="e">
        <f ca="1">+SUM(AA570:AA578)</f>
        <v>#N/A</v>
      </c>
      <c r="AB579" s="905" t="e">
        <f t="shared" ca="1" si="381"/>
        <v>#N/A</v>
      </c>
      <c r="AC579" s="91"/>
      <c r="AD579" s="91"/>
      <c r="AE579" s="91"/>
      <c r="AF579" s="91"/>
      <c r="AG579" s="91"/>
      <c r="AH579" s="91"/>
      <c r="AI579" s="91"/>
      <c r="AJ579" s="91"/>
      <c r="AK579" s="91"/>
      <c r="AL579" s="91"/>
      <c r="AM579" s="91"/>
      <c r="AN579" s="91"/>
      <c r="AO579" s="91"/>
      <c r="AP579" s="91"/>
      <c r="AQ579" s="91"/>
      <c r="AR579" s="91"/>
      <c r="AS579" s="91"/>
      <c r="AT579" s="91"/>
      <c r="AU579" s="91"/>
      <c r="AV579" s="91"/>
      <c r="AW579" s="91"/>
      <c r="AX579" s="91"/>
      <c r="AY579" s="91"/>
      <c r="AZ579" s="91"/>
      <c r="BA579" s="91"/>
      <c r="BB579" s="91"/>
      <c r="BC579" s="296"/>
      <c r="BD579" s="296"/>
      <c r="BE579" s="296"/>
      <c r="BF579" s="296"/>
      <c r="BG579" s="296"/>
      <c r="BH579" s="296"/>
      <c r="BI579" s="296"/>
      <c r="BJ579" s="296"/>
      <c r="BK579" s="296"/>
      <c r="BL579" s="296"/>
      <c r="BM579" s="296"/>
      <c r="BN579" s="296"/>
      <c r="BO579" s="296"/>
      <c r="BP579" s="296"/>
      <c r="BQ579" s="296"/>
      <c r="BR579" s="296"/>
      <c r="BS579" s="296"/>
      <c r="BT579" s="296"/>
      <c r="BU579" s="296"/>
      <c r="BV579" s="296"/>
      <c r="BW579" s="296"/>
      <c r="BX579" s="296"/>
      <c r="BY579" s="296"/>
      <c r="BZ579" s="9"/>
      <c r="CA579" s="9"/>
      <c r="CB579" s="9"/>
      <c r="CC579" s="9"/>
      <c r="CD579" s="9"/>
    </row>
    <row r="580" spans="1:82">
      <c r="A580" s="9"/>
      <c r="B580" s="9"/>
      <c r="C580" s="9"/>
      <c r="D580" s="9"/>
      <c r="E580" s="9"/>
      <c r="F580" s="1091"/>
      <c r="G580" s="9"/>
      <c r="H580" s="9"/>
      <c r="I580" s="91"/>
      <c r="J580" s="91"/>
      <c r="K580" s="91"/>
      <c r="L580" s="91"/>
      <c r="M580" s="91"/>
      <c r="N580" s="91"/>
      <c r="O580" s="1468"/>
      <c r="P580" s="1468"/>
      <c r="Q580" s="1468"/>
      <c r="R580" s="1468"/>
      <c r="S580" s="91"/>
      <c r="T580" s="91"/>
      <c r="U580" s="91"/>
      <c r="V580" s="91"/>
      <c r="W580" s="99"/>
      <c r="X580" s="99"/>
      <c r="Y580" s="99"/>
      <c r="Z580" s="99"/>
      <c r="AA580" s="99"/>
      <c r="AB580" s="91"/>
      <c r="AC580" s="91"/>
      <c r="AD580" s="91"/>
      <c r="AE580" s="91"/>
      <c r="AF580" s="91"/>
      <c r="AG580" s="91"/>
      <c r="AH580" s="91"/>
      <c r="AI580" s="91"/>
      <c r="AJ580" s="91"/>
      <c r="AK580" s="91"/>
      <c r="AL580" s="91"/>
      <c r="AM580" s="91"/>
      <c r="AN580" s="91"/>
      <c r="AO580" s="91"/>
      <c r="AP580" s="91"/>
      <c r="AQ580" s="91"/>
      <c r="AR580" s="91"/>
      <c r="AS580" s="91"/>
      <c r="AT580" s="91"/>
      <c r="AU580" s="91"/>
      <c r="AV580" s="91"/>
      <c r="AW580" s="91"/>
      <c r="AX580" s="91"/>
      <c r="AY580" s="91"/>
      <c r="AZ580" s="91"/>
      <c r="BA580" s="91"/>
      <c r="BB580" s="91"/>
      <c r="BC580" s="296"/>
      <c r="BD580" s="296"/>
      <c r="BE580" s="296"/>
      <c r="BF580" s="296"/>
      <c r="BG580" s="296"/>
      <c r="BH580" s="296"/>
      <c r="BI580" s="296"/>
      <c r="BJ580" s="296"/>
      <c r="BK580" s="296"/>
      <c r="BL580" s="296"/>
      <c r="BM580" s="296"/>
      <c r="BN580" s="296"/>
      <c r="BO580" s="296"/>
      <c r="BP580" s="296"/>
      <c r="BQ580" s="296"/>
      <c r="BR580" s="296"/>
      <c r="BS580" s="296"/>
      <c r="BT580" s="296"/>
      <c r="BU580" s="296"/>
      <c r="BV580" s="296"/>
      <c r="BW580" s="296"/>
      <c r="BX580" s="296"/>
      <c r="BY580" s="296"/>
      <c r="BZ580" s="9"/>
      <c r="CA580" s="9"/>
      <c r="CB580" s="9"/>
      <c r="CC580" s="9"/>
      <c r="CD580" s="9"/>
    </row>
    <row r="581" spans="1:82">
      <c r="A581" s="242" t="s">
        <v>1013</v>
      </c>
      <c r="B581" s="595" t="str">
        <f ca="1">OFFSET(IS!$A$3,0,MATCH($E$581,IS!$3:$3,0)-4,1,1)</f>
        <v>3Q23</v>
      </c>
      <c r="C581" s="595" t="str">
        <f ca="1">OFFSET(IS!$A$3,0,MATCH($E$581,IS!$3:$3,0)-3,1,1)</f>
        <v>4Q23</v>
      </c>
      <c r="D581" s="595" t="str">
        <f ca="1">OFFSET(IS!$A$3,0,MATCH($E$581,IS!$3:$3,0)-2,1,1)</f>
        <v>1Q24</v>
      </c>
      <c r="E581" s="595" t="str">
        <f ca="1">OFFSET(IS!A3,0,MATCH(LEFT(Index!H39,4),IS!$3:$3,0)-2,1,1)</f>
        <v>2Q24</v>
      </c>
      <c r="F581" s="1282"/>
      <c r="G581" s="1282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  <c r="AA581" s="91"/>
      <c r="AB581" s="91"/>
      <c r="AC581" s="91"/>
      <c r="AD581" s="91"/>
      <c r="AE581" s="91"/>
      <c r="AF581" s="91"/>
      <c r="AG581" s="91"/>
      <c r="AH581" s="91"/>
      <c r="AI581" s="91"/>
      <c r="AJ581" s="91"/>
      <c r="AK581" s="91"/>
      <c r="AL581" s="91"/>
      <c r="AM581" s="91"/>
      <c r="AN581" s="91"/>
      <c r="AO581" s="91"/>
      <c r="AP581" s="91"/>
      <c r="AQ581" s="91"/>
      <c r="AR581" s="91"/>
      <c r="AS581" s="91"/>
      <c r="AT581" s="91"/>
      <c r="AU581" s="91"/>
      <c r="AV581" s="91"/>
      <c r="AW581" s="91"/>
      <c r="AX581" s="91"/>
      <c r="AY581" s="91"/>
      <c r="AZ581" s="91"/>
      <c r="BA581" s="91"/>
      <c r="BB581" s="91"/>
      <c r="BC581" s="296"/>
      <c r="BD581" s="296"/>
      <c r="BE581" s="296"/>
      <c r="BF581" s="296"/>
      <c r="BG581" s="296"/>
      <c r="BH581" s="296"/>
      <c r="BI581" s="296"/>
      <c r="BJ581" s="296"/>
      <c r="BK581" s="296"/>
      <c r="BL581" s="296"/>
      <c r="BM581" s="296"/>
      <c r="BN581" s="296"/>
      <c r="BO581" s="296"/>
      <c r="BP581" s="296"/>
      <c r="BQ581" s="296"/>
      <c r="BR581" s="296"/>
      <c r="BS581" s="296"/>
      <c r="BT581" s="296"/>
      <c r="BU581" s="296"/>
      <c r="BV581" s="296"/>
      <c r="BW581" s="296"/>
      <c r="BX581" s="296"/>
      <c r="BY581" s="296"/>
      <c r="BZ581" s="9"/>
      <c r="CA581" s="9"/>
      <c r="CB581" s="9"/>
      <c r="CC581" s="9"/>
      <c r="CD581" s="9"/>
    </row>
    <row r="582" spans="1:82">
      <c r="A582" s="36" t="s">
        <v>1007</v>
      </c>
      <c r="B582" s="245">
        <f ca="1">+INDEX(Segment!$A$43:$BR$50,MATCH($A582,Segment!$A$43:$A$50,0),MATCH(B$581,IS!$A$60:$BR$60,0))</f>
        <v>0.38345195729537368</v>
      </c>
      <c r="C582" s="245">
        <f ca="1">+INDEX(Segment!$A$43:$BR$50,MATCH($A582,Segment!$A$43:$A$50,0),MATCH(C$581,IS!$A$60:$BR$60,0))</f>
        <v>0.3882403804582793</v>
      </c>
      <c r="D582" s="245">
        <f ca="1">+INDEX(Segment!$A$43:$BR$50,MATCH($A582,Segment!$A$43:$A$50,0),MATCH(D$581,IS!$A$60:$BR$60,0))</f>
        <v>0.38867438867438869</v>
      </c>
      <c r="E582" s="245">
        <f ca="1">+INDEX(Segment!$A$43:$BR$50,MATCH($A582,Segment!$A$43:$A$50,0),MATCH(E$581,IS!$A$60:$BR$60,0))</f>
        <v>0.38931297709923662</v>
      </c>
      <c r="F582" s="10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  <c r="AA582" s="91"/>
      <c r="AB582" s="91"/>
      <c r="AC582" s="91"/>
      <c r="AD582" s="91"/>
      <c r="AE582" s="91"/>
      <c r="AF582" s="91"/>
      <c r="AG582" s="91"/>
      <c r="AH582" s="91"/>
      <c r="AI582" s="91"/>
      <c r="AJ582" s="91"/>
      <c r="AK582" s="91"/>
      <c r="AL582" s="91"/>
      <c r="AM582" s="91"/>
      <c r="AN582" s="91"/>
      <c r="AO582" s="91"/>
      <c r="AP582" s="91"/>
      <c r="AQ582" s="91"/>
      <c r="AR582" s="91"/>
      <c r="AS582" s="91"/>
      <c r="AT582" s="91"/>
      <c r="AU582" s="91"/>
      <c r="AV582" s="91"/>
      <c r="AW582" s="91"/>
      <c r="AX582" s="91"/>
      <c r="AY582" s="91"/>
      <c r="AZ582" s="91"/>
      <c r="BA582" s="91"/>
      <c r="BB582" s="91"/>
      <c r="BC582" s="296"/>
      <c r="BD582" s="296"/>
      <c r="BE582" s="296"/>
      <c r="BF582" s="296"/>
      <c r="BG582" s="296"/>
      <c r="BH582" s="296"/>
      <c r="BI582" s="296"/>
      <c r="BJ582" s="296"/>
      <c r="BK582" s="296"/>
      <c r="BL582" s="296"/>
      <c r="BM582" s="296"/>
      <c r="BN582" s="296"/>
      <c r="BO582" s="296"/>
      <c r="BP582" s="296"/>
      <c r="BQ582" s="296"/>
      <c r="BR582" s="296"/>
      <c r="BS582" s="296"/>
      <c r="BT582" s="296"/>
      <c r="BU582" s="296"/>
      <c r="BV582" s="296"/>
      <c r="BW582" s="296"/>
      <c r="BX582" s="296"/>
      <c r="BY582" s="296"/>
      <c r="BZ582" s="9"/>
      <c r="CA582" s="9"/>
      <c r="CB582" s="9"/>
      <c r="CC582" s="9"/>
      <c r="CD582" s="9"/>
    </row>
    <row r="583" spans="1:82">
      <c r="A583" s="36" t="s">
        <v>1018</v>
      </c>
      <c r="B583" s="245">
        <f ca="1">+INDEX(Segment!$A$43:$BR$50,MATCH($A583,Segment!$A$43:$A$50,0),MATCH(B$581,IS!$A$60:$BR$60,0))</f>
        <v>0.35409252669039148</v>
      </c>
      <c r="C583" s="245">
        <f ca="1">+INDEX(Segment!$A$43:$BR$50,MATCH($A583,Segment!$A$43:$A$50,0),MATCH(C$581,IS!$A$60:$BR$60,0))</f>
        <v>0.35451794206658022</v>
      </c>
      <c r="D583" s="245">
        <f ca="1">+INDEX(Segment!$A$43:$BR$50,MATCH($A583,Segment!$A$43:$A$50,0),MATCH(D$581,IS!$A$60:$BR$60,0))</f>
        <v>0.35607035607035609</v>
      </c>
      <c r="E583" s="245">
        <f ca="1">+INDEX(Segment!$A$43:$BR$50,MATCH($A583,Segment!$A$43:$A$50,0),MATCH(E$581,IS!$A$60:$BR$60,0))</f>
        <v>0.35793044953350295</v>
      </c>
      <c r="F583" s="10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  <c r="AA583" s="91"/>
      <c r="AB583" s="91"/>
      <c r="AC583" s="91"/>
      <c r="AD583" s="91"/>
      <c r="AE583" s="91"/>
      <c r="AF583" s="91"/>
      <c r="AG583" s="91"/>
      <c r="AH583" s="91"/>
      <c r="AI583" s="91"/>
      <c r="AJ583" s="91"/>
      <c r="AK583" s="91"/>
      <c r="AL583" s="91"/>
      <c r="AM583" s="91"/>
      <c r="AN583" s="91"/>
      <c r="AO583" s="91"/>
      <c r="AP583" s="91"/>
      <c r="AQ583" s="91"/>
      <c r="AR583" s="91"/>
      <c r="AS583" s="91"/>
      <c r="AT583" s="91"/>
      <c r="AU583" s="91"/>
      <c r="AV583" s="91"/>
      <c r="AW583" s="91"/>
      <c r="AX583" s="91"/>
      <c r="AY583" s="91"/>
      <c r="AZ583" s="91"/>
      <c r="BA583" s="91"/>
      <c r="BB583" s="91"/>
      <c r="BC583" s="296"/>
      <c r="BD583" s="296"/>
      <c r="BE583" s="296"/>
      <c r="BF583" s="296"/>
      <c r="BG583" s="296"/>
      <c r="BH583" s="296"/>
      <c r="BI583" s="296"/>
      <c r="BJ583" s="296"/>
      <c r="BK583" s="296"/>
      <c r="BL583" s="296"/>
      <c r="BM583" s="296"/>
      <c r="BN583" s="296"/>
      <c r="BO583" s="296"/>
      <c r="BP583" s="296"/>
      <c r="BQ583" s="296"/>
      <c r="BR583" s="296"/>
      <c r="BS583" s="296"/>
      <c r="BT583" s="296"/>
      <c r="BU583" s="296"/>
      <c r="BV583" s="296"/>
      <c r="BW583" s="296"/>
      <c r="BX583" s="296"/>
      <c r="BY583" s="296"/>
      <c r="BZ583" s="9"/>
      <c r="CA583" s="9"/>
      <c r="CB583" s="9"/>
      <c r="CC583" s="9"/>
      <c r="CD583" s="9"/>
    </row>
    <row r="584" spans="1:82">
      <c r="A584" s="36" t="s">
        <v>1008</v>
      </c>
      <c r="B584" s="245">
        <f ca="1">+INDEX(Segment!$A$43:$BR$50,MATCH($A584,Segment!$A$43:$A$50,0),MATCH(B$581,IS!$A$60:$BR$60,0))</f>
        <v>7.6512455516014238E-2</v>
      </c>
      <c r="C584" s="245">
        <f ca="1">+INDEX(Segment!$A$43:$BR$50,MATCH($A584,Segment!$A$43:$A$50,0),MATCH(C$581,IS!$A$60:$BR$60,0))</f>
        <v>7.5226977950713356E-2</v>
      </c>
      <c r="D584" s="245">
        <f ca="1">+INDEX(Segment!$A$43:$BR$50,MATCH($A584,Segment!$A$43:$A$50,0),MATCH(D$581,IS!$A$60:$BR$60,0))</f>
        <v>7.4646074646074645E-2</v>
      </c>
      <c r="E584" s="245">
        <f ca="1">+INDEX(Segment!$A$43:$BR$50,MATCH($A584,Segment!$A$43:$A$50,0),MATCH(E$581,IS!$A$60:$BR$60,0))</f>
        <v>7.3791348600508899E-2</v>
      </c>
      <c r="F584" s="10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  <c r="AA584" s="91"/>
      <c r="AB584" s="91"/>
      <c r="AC584" s="91"/>
      <c r="AD584" s="91"/>
      <c r="AE584" s="91"/>
      <c r="AF584" s="91"/>
      <c r="AG584" s="91"/>
      <c r="AH584" s="91"/>
      <c r="AI584" s="91"/>
      <c r="AJ584" s="91"/>
      <c r="AK584" s="91"/>
      <c r="AL584" s="91"/>
      <c r="AM584" s="91"/>
      <c r="AN584" s="91"/>
      <c r="AO584" s="91"/>
      <c r="AP584" s="91"/>
      <c r="AQ584" s="91"/>
      <c r="AR584" s="91"/>
      <c r="AS584" s="91"/>
      <c r="AT584" s="91"/>
      <c r="AU584" s="91"/>
      <c r="AV584" s="91"/>
      <c r="AW584" s="91"/>
      <c r="AX584" s="91"/>
      <c r="AY584" s="91"/>
      <c r="AZ584" s="91"/>
      <c r="BA584" s="91"/>
      <c r="BB584" s="91"/>
      <c r="BC584" s="296"/>
      <c r="BD584" s="296"/>
      <c r="BE584" s="296"/>
      <c r="BF584" s="296"/>
      <c r="BG584" s="296"/>
      <c r="BH584" s="296"/>
      <c r="BI584" s="296"/>
      <c r="BJ584" s="296"/>
      <c r="BK584" s="296"/>
      <c r="BL584" s="296"/>
      <c r="BM584" s="296"/>
      <c r="BN584" s="296"/>
      <c r="BO584" s="296"/>
      <c r="BP584" s="296"/>
      <c r="BQ584" s="296"/>
      <c r="BR584" s="296"/>
      <c r="BS584" s="296"/>
      <c r="BT584" s="296"/>
      <c r="BU584" s="296"/>
      <c r="BV584" s="296"/>
      <c r="BW584" s="296"/>
      <c r="BX584" s="296"/>
      <c r="BY584" s="296"/>
      <c r="BZ584" s="9"/>
      <c r="CA584" s="9"/>
      <c r="CB584" s="9"/>
      <c r="CC584" s="9"/>
      <c r="CD584" s="9"/>
    </row>
    <row r="585" spans="1:82">
      <c r="A585" s="36" t="s">
        <v>1009</v>
      </c>
      <c r="B585" s="245">
        <f ca="1">+INDEX(Segment!$A$43:$BR$50,MATCH($A585,Segment!$A$43:$A$50,0),MATCH(B$581,IS!$A$60:$BR$60,0))</f>
        <v>3.1138790035587189E-2</v>
      </c>
      <c r="C585" s="245">
        <f ca="1">+INDEX(Segment!$A$43:$BR$50,MATCH($A585,Segment!$A$43:$A$50,0),MATCH(C$581,IS!$A$60:$BR$60,0))</f>
        <v>3.1128404669260701E-2</v>
      </c>
      <c r="D585" s="245">
        <f ca="1">+INDEX(Segment!$A$43:$BR$50,MATCH($A585,Segment!$A$43:$A$50,0),MATCH(D$581,IS!$A$60:$BR$60,0))</f>
        <v>3.0888030888030889E-2</v>
      </c>
      <c r="E585" s="245">
        <f ca="1">+INDEX(Segment!$A$43:$BR$50,MATCH($A585,Segment!$A$43:$A$50,0),MATCH(E$581,IS!$A$60:$BR$60,0))</f>
        <v>3.0534351145038167E-2</v>
      </c>
      <c r="F585" s="10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  <c r="AA585" s="91"/>
      <c r="AB585" s="91"/>
      <c r="AC585" s="91"/>
      <c r="AD585" s="91"/>
      <c r="AE585" s="91"/>
      <c r="AF585" s="91"/>
      <c r="AG585" s="91"/>
      <c r="AH585" s="91"/>
      <c r="AI585" s="91"/>
      <c r="AJ585" s="91"/>
      <c r="AK585" s="91"/>
      <c r="AL585" s="91"/>
      <c r="AM585" s="91"/>
      <c r="AN585" s="91"/>
      <c r="AO585" s="91"/>
      <c r="AP585" s="91"/>
      <c r="AQ585" s="91"/>
      <c r="AR585" s="91"/>
      <c r="AS585" s="91"/>
      <c r="AT585" s="91"/>
      <c r="AU585" s="91"/>
      <c r="AV585" s="91"/>
      <c r="AW585" s="91"/>
      <c r="AX585" s="91"/>
      <c r="AY585" s="91"/>
      <c r="AZ585" s="91"/>
      <c r="BA585" s="91"/>
      <c r="BB585" s="91"/>
      <c r="BC585" s="296"/>
      <c r="BD585" s="296"/>
      <c r="BE585" s="296"/>
      <c r="BF585" s="296"/>
      <c r="BG585" s="296"/>
      <c r="BH585" s="296"/>
      <c r="BI585" s="296"/>
      <c r="BJ585" s="296"/>
      <c r="BK585" s="296"/>
      <c r="BL585" s="296"/>
      <c r="BM585" s="296"/>
      <c r="BN585" s="296"/>
      <c r="BO585" s="296"/>
      <c r="BP585" s="296"/>
      <c r="BQ585" s="296"/>
      <c r="BR585" s="296"/>
      <c r="BS585" s="296"/>
      <c r="BT585" s="296"/>
      <c r="BU585" s="296"/>
      <c r="BV585" s="296"/>
      <c r="BW585" s="296"/>
      <c r="BX585" s="296"/>
      <c r="BY585" s="296"/>
      <c r="BZ585" s="9"/>
      <c r="CA585" s="9"/>
      <c r="CB585" s="9"/>
      <c r="CC585" s="9"/>
      <c r="CD585" s="9"/>
    </row>
    <row r="586" spans="1:82">
      <c r="A586" s="36" t="s">
        <v>1010</v>
      </c>
      <c r="B586" s="245">
        <f ca="1">+INDEX(Segment!$A$43:$BR$50,MATCH($A586,Segment!$A$43:$A$50,0),MATCH(B$581,IS!$A$60:$BR$60,0))</f>
        <v>3.3362989323843413E-2</v>
      </c>
      <c r="C586" s="245">
        <f ca="1">+INDEX(Segment!$A$43:$BR$50,MATCH($A586,Segment!$A$43:$A$50,0),MATCH(C$581,IS!$A$60:$BR$60,0))</f>
        <v>3.2857760484219629E-2</v>
      </c>
      <c r="D586" s="245">
        <f ca="1">+INDEX(Segment!$A$43:$BR$50,MATCH($A586,Segment!$A$43:$A$50,0),MATCH(D$581,IS!$A$60:$BR$60,0))</f>
        <v>3.2604032604032607E-2</v>
      </c>
      <c r="E586" s="245">
        <f ca="1">+INDEX(Segment!$A$43:$BR$50,MATCH($A586,Segment!$A$43:$A$50,0),MATCH(E$581,IS!$A$60:$BR$60,0))</f>
        <v>3.265479219677693E-2</v>
      </c>
      <c r="F586" s="10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  <c r="AA586" s="91"/>
      <c r="AB586" s="91"/>
      <c r="AC586" s="91"/>
      <c r="AD586" s="91"/>
      <c r="AE586" s="91"/>
      <c r="AF586" s="91"/>
      <c r="AG586" s="91"/>
      <c r="AH586" s="91"/>
      <c r="AI586" s="91"/>
      <c r="AJ586" s="91"/>
      <c r="AK586" s="91"/>
      <c r="AL586" s="91"/>
      <c r="AM586" s="91"/>
      <c r="AN586" s="91"/>
      <c r="AO586" s="91"/>
      <c r="AP586" s="91"/>
      <c r="AQ586" s="91"/>
      <c r="AR586" s="91"/>
      <c r="AS586" s="91"/>
      <c r="AT586" s="91"/>
      <c r="AU586" s="91"/>
      <c r="AV586" s="91"/>
      <c r="AW586" s="91"/>
      <c r="AX586" s="91"/>
      <c r="AY586" s="91"/>
      <c r="AZ586" s="91"/>
      <c r="BA586" s="91"/>
      <c r="BB586" s="91"/>
      <c r="BC586" s="296"/>
      <c r="BD586" s="296"/>
      <c r="BE586" s="296"/>
      <c r="BF586" s="296"/>
      <c r="BG586" s="296"/>
      <c r="BH586" s="296"/>
      <c r="BI586" s="296"/>
      <c r="BJ586" s="296"/>
      <c r="BK586" s="296"/>
      <c r="BL586" s="296"/>
      <c r="BM586" s="296"/>
      <c r="BN586" s="296"/>
      <c r="BO586" s="296"/>
      <c r="BP586" s="296"/>
      <c r="BQ586" s="296"/>
      <c r="BR586" s="296"/>
      <c r="BS586" s="296"/>
      <c r="BT586" s="296"/>
      <c r="BU586" s="296"/>
      <c r="BV586" s="296"/>
      <c r="BW586" s="296"/>
      <c r="BX586" s="296"/>
      <c r="BY586" s="296"/>
      <c r="BZ586" s="9"/>
      <c r="CA586" s="9"/>
      <c r="CB586" s="9"/>
      <c r="CC586" s="9"/>
      <c r="CD586" s="9"/>
    </row>
    <row r="587" spans="1:82">
      <c r="A587" s="36" t="s">
        <v>1011</v>
      </c>
      <c r="B587" s="245">
        <f ca="1">+INDEX(Segment!$A$43:$BR$50,MATCH($A587,Segment!$A$43:$A$50,0),MATCH(B$581,IS!$A$60:$BR$60,0))</f>
        <v>0.10587188612099645</v>
      </c>
      <c r="C587" s="245">
        <f ca="1">+INDEX(Segment!$A$43:$BR$50,MATCH($A587,Segment!$A$43:$A$50,0),MATCH(C$581,IS!$A$60:$BR$60,0))</f>
        <v>0.1028966709900562</v>
      </c>
      <c r="D587" s="245">
        <f ca="1">+INDEX(Segment!$A$43:$BR$50,MATCH($A587,Segment!$A$43:$A$50,0),MATCH(D$581,IS!$A$60:$BR$60,0))</f>
        <v>0.10167310167310167</v>
      </c>
      <c r="E587" s="245">
        <f ca="1">+INDEX(Segment!$A$43:$BR$50,MATCH($A587,Segment!$A$43:$A$50,0),MATCH(E$581,IS!$A$60:$BR$60,0))</f>
        <v>0.1005089058524173</v>
      </c>
      <c r="F587" s="10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  <c r="AA587" s="91"/>
      <c r="AB587" s="91"/>
      <c r="AC587" s="91"/>
      <c r="AD587" s="91"/>
      <c r="AE587" s="91"/>
      <c r="AF587" s="91"/>
      <c r="AG587" s="91"/>
      <c r="AH587" s="91"/>
      <c r="AI587" s="91"/>
      <c r="AJ587" s="91"/>
      <c r="AK587" s="91"/>
      <c r="AL587" s="91"/>
      <c r="AM587" s="91"/>
      <c r="AN587" s="91"/>
      <c r="AO587" s="91"/>
      <c r="AP587" s="91"/>
      <c r="AQ587" s="91"/>
      <c r="AR587" s="91"/>
      <c r="AS587" s="91"/>
      <c r="AT587" s="91"/>
      <c r="AU587" s="91"/>
      <c r="AV587" s="91"/>
      <c r="AW587" s="91"/>
      <c r="AX587" s="91"/>
      <c r="AY587" s="91"/>
      <c r="AZ587" s="91"/>
      <c r="BA587" s="91"/>
      <c r="BB587" s="91"/>
      <c r="BC587" s="296"/>
      <c r="BD587" s="296"/>
      <c r="BE587" s="296"/>
      <c r="BF587" s="296"/>
      <c r="BG587" s="296"/>
      <c r="BH587" s="296"/>
      <c r="BI587" s="296"/>
      <c r="BJ587" s="296"/>
      <c r="BK587" s="296"/>
      <c r="BL587" s="296"/>
      <c r="BM587" s="296"/>
      <c r="BN587" s="296"/>
      <c r="BO587" s="296"/>
      <c r="BP587" s="296"/>
      <c r="BQ587" s="296"/>
      <c r="BR587" s="296"/>
      <c r="BS587" s="296"/>
      <c r="BT587" s="296"/>
      <c r="BU587" s="296"/>
      <c r="BV587" s="296"/>
      <c r="BW587" s="296"/>
      <c r="BX587" s="296"/>
      <c r="BY587" s="296"/>
      <c r="BZ587" s="9"/>
      <c r="CA587" s="9"/>
      <c r="CB587" s="9"/>
      <c r="CC587" s="9"/>
      <c r="CD587" s="9"/>
    </row>
    <row r="588" spans="1:82">
      <c r="A588" s="36" t="s">
        <v>1012</v>
      </c>
      <c r="B588" s="245">
        <f ca="1">+INDEX(Segment!$A$43:$BR$50,MATCH($A588,Segment!$A$43:$A$50,0),MATCH(B$581,IS!$A$60:$BR$60,0))</f>
        <v>0</v>
      </c>
      <c r="C588" s="245">
        <f ca="1">+INDEX(Segment!$A$43:$BR$50,MATCH($A588,Segment!$A$43:$A$50,0),MATCH(C$581,IS!$A$60:$BR$60,0))</f>
        <v>0</v>
      </c>
      <c r="D588" s="245">
        <f ca="1">+INDEX(Segment!$A$43:$BR$50,MATCH($A588,Segment!$A$43:$A$50,0),MATCH(D$581,IS!$A$60:$BR$60,0))</f>
        <v>0</v>
      </c>
      <c r="E588" s="245">
        <f ca="1">+INDEX(Segment!$A$43:$BR$50,MATCH($A588,Segment!$A$43:$A$50,0),MATCH(E$581,IS!$A$60:$BR$60,0))</f>
        <v>1.1874469889737066E-2</v>
      </c>
      <c r="F588" s="10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  <c r="AA588" s="91"/>
      <c r="AB588" s="91"/>
      <c r="AC588" s="91"/>
      <c r="AD588" s="91"/>
      <c r="AE588" s="91"/>
      <c r="AF588" s="91"/>
      <c r="AG588" s="91"/>
      <c r="AH588" s="91"/>
      <c r="AI588" s="91"/>
      <c r="AJ588" s="91"/>
      <c r="AK588" s="91"/>
      <c r="AL588" s="91"/>
      <c r="AM588" s="91"/>
      <c r="AN588" s="91"/>
      <c r="AO588" s="91"/>
      <c r="AP588" s="91"/>
      <c r="AQ588" s="91"/>
      <c r="AR588" s="91"/>
      <c r="AS588" s="91"/>
      <c r="AT588" s="91"/>
      <c r="AU588" s="91"/>
      <c r="AV588" s="296"/>
      <c r="AW588" s="296"/>
      <c r="AX588" s="296"/>
      <c r="AY588" s="296"/>
      <c r="AZ588" s="296"/>
      <c r="BA588" s="296"/>
      <c r="BB588" s="296"/>
      <c r="BC588" s="296"/>
      <c r="BD588" s="296"/>
      <c r="BE588" s="296"/>
      <c r="BF588" s="296"/>
      <c r="BG588" s="296"/>
      <c r="BH588" s="296"/>
      <c r="BI588" s="296"/>
      <c r="BJ588" s="296"/>
      <c r="BK588" s="296"/>
      <c r="BL588" s="296"/>
      <c r="BM588" s="296"/>
      <c r="BN588" s="296"/>
      <c r="BO588" s="296"/>
      <c r="BP588" s="296"/>
      <c r="BQ588" s="296"/>
      <c r="BR588" s="296"/>
      <c r="BS588" s="296"/>
      <c r="BT588" s="296"/>
      <c r="BU588" s="296"/>
      <c r="BV588" s="296"/>
      <c r="BW588" s="296"/>
      <c r="BX588" s="296"/>
      <c r="BY588" s="296"/>
      <c r="BZ588" s="9"/>
      <c r="CA588" s="9"/>
      <c r="CB588" s="9"/>
      <c r="CC588" s="9"/>
      <c r="CD588" s="9"/>
    </row>
    <row r="589" spans="1:82">
      <c r="A589" s="36" t="s">
        <v>331</v>
      </c>
      <c r="B589" s="245">
        <f ca="1">+INDEX(Segment!$A$43:$BR$50,MATCH($A589,Segment!$A$43:$A$50,0),MATCH(B$581,IS!$A$60:$BR$60,0))</f>
        <v>1.5569395017793594E-2</v>
      </c>
      <c r="C589" s="245">
        <f ca="1">+INDEX(Segment!$A$43:$BR$50,MATCH($A589,Segment!$A$43:$A$50,0),MATCH(C$581,IS!$A$60:$BR$60,0))</f>
        <v>1.5131863380890618E-2</v>
      </c>
      <c r="D589" s="245">
        <f ca="1">+INDEX(Segment!$A$43:$BR$50,MATCH($A589,Segment!$A$43:$A$50,0),MATCH(D$581,IS!$A$60:$BR$60,0))</f>
        <v>1.5444015444015444E-2</v>
      </c>
      <c r="E589" s="245">
        <f ca="1">+INDEX(Segment!$A$43:$BR$50,MATCH($A589,Segment!$A$43:$A$50,0),MATCH(E$581,IS!$A$60:$BR$60,0))</f>
        <v>3.3927056827820186E-3</v>
      </c>
      <c r="F589" s="10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  <c r="AA589" s="91"/>
      <c r="AB589" s="91"/>
      <c r="AC589" s="91"/>
      <c r="AD589" s="91"/>
      <c r="AE589" s="91"/>
      <c r="AF589" s="91"/>
      <c r="AG589" s="91"/>
      <c r="AH589" s="91"/>
      <c r="AI589" s="91"/>
      <c r="AJ589" s="91"/>
      <c r="AK589" s="91"/>
      <c r="AL589" s="91"/>
      <c r="AM589" s="91"/>
      <c r="AN589" s="91"/>
      <c r="AO589" s="91"/>
      <c r="AP589" s="91"/>
      <c r="AQ589" s="91"/>
      <c r="AR589" s="91"/>
      <c r="AS589" s="91"/>
      <c r="AT589" s="91"/>
      <c r="AU589" s="91"/>
      <c r="AV589" s="296"/>
      <c r="AW589" s="296"/>
      <c r="AX589" s="296"/>
      <c r="AY589" s="296"/>
      <c r="AZ589" s="296"/>
      <c r="BA589" s="296"/>
      <c r="BB589" s="296"/>
      <c r="BC589" s="296"/>
      <c r="BD589" s="296"/>
      <c r="BE589" s="296"/>
      <c r="BF589" s="296"/>
      <c r="BG589" s="296"/>
      <c r="BH589" s="296"/>
      <c r="BI589" s="296"/>
      <c r="BJ589" s="296"/>
      <c r="BK589" s="296"/>
      <c r="BL589" s="296"/>
      <c r="BM589" s="296"/>
      <c r="BN589" s="296"/>
      <c r="BO589" s="296"/>
      <c r="BP589" s="296"/>
      <c r="BQ589" s="296"/>
      <c r="BR589" s="296"/>
      <c r="BS589" s="296"/>
      <c r="BT589" s="296"/>
      <c r="BU589" s="296"/>
      <c r="BV589" s="296"/>
      <c r="BW589" s="296"/>
      <c r="BX589" s="296"/>
      <c r="BY589" s="296"/>
      <c r="BZ589" s="9"/>
      <c r="CA589" s="9"/>
      <c r="CB589" s="9"/>
      <c r="CC589" s="9"/>
      <c r="CD589" s="9"/>
    </row>
    <row r="590" spans="1:82">
      <c r="A590" s="513" t="s">
        <v>325</v>
      </c>
      <c r="B590" s="1086">
        <f ca="1">SUM(B582:B589)</f>
        <v>1</v>
      </c>
      <c r="C590" s="1086">
        <f ca="1">SUM(C582:C589)</f>
        <v>0.99999999999999989</v>
      </c>
      <c r="D590" s="1086">
        <f ca="1">SUM(D582:D589)</f>
        <v>1</v>
      </c>
      <c r="E590" s="1086">
        <f ca="1">SUM(E582:E589)</f>
        <v>1</v>
      </c>
      <c r="F590" s="10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  <c r="AA590" s="91"/>
      <c r="AB590" s="91"/>
      <c r="AC590" s="91"/>
      <c r="AD590" s="91"/>
      <c r="AE590" s="91"/>
      <c r="AF590" s="91"/>
      <c r="AG590" s="91"/>
      <c r="AH590" s="91"/>
      <c r="AI590" s="91"/>
      <c r="AJ590" s="91"/>
      <c r="AK590" s="91"/>
      <c r="AL590" s="91"/>
      <c r="AM590" s="91"/>
      <c r="AN590" s="91"/>
      <c r="AO590" s="91"/>
      <c r="AP590" s="91"/>
      <c r="AQ590" s="91"/>
      <c r="AR590" s="91"/>
      <c r="AS590" s="91"/>
      <c r="AT590" s="91"/>
      <c r="AU590" s="91"/>
      <c r="AV590" s="296"/>
      <c r="AW590" s="296"/>
      <c r="AX590" s="296"/>
      <c r="AY590" s="296"/>
      <c r="AZ590" s="296"/>
      <c r="BA590" s="296"/>
      <c r="BB590" s="296"/>
      <c r="BC590" s="296"/>
      <c r="BD590" s="296"/>
      <c r="BE590" s="296"/>
      <c r="BF590" s="296"/>
      <c r="BG590" s="296"/>
      <c r="BH590" s="296"/>
      <c r="BI590" s="296"/>
      <c r="BJ590" s="296"/>
      <c r="BK590" s="296"/>
      <c r="BL590" s="296"/>
      <c r="BM590" s="296"/>
      <c r="BN590" s="296"/>
      <c r="BO590" s="296"/>
      <c r="BP590" s="296"/>
      <c r="BQ590" s="296"/>
      <c r="BR590" s="296"/>
      <c r="BS590" s="296"/>
      <c r="BT590" s="296"/>
      <c r="BU590" s="296"/>
      <c r="BV590" s="296"/>
      <c r="BW590" s="296"/>
      <c r="BX590" s="296"/>
      <c r="BY590" s="296"/>
      <c r="BZ590" s="9"/>
      <c r="CA590" s="9"/>
      <c r="CB590" s="9"/>
      <c r="CC590" s="9"/>
      <c r="CD590" s="9"/>
    </row>
    <row r="591" spans="1:82">
      <c r="A591" s="513"/>
      <c r="B591" s="1086"/>
      <c r="C591" s="1086"/>
      <c r="D591" s="1086"/>
      <c r="E591" s="1086"/>
      <c r="F591" s="10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  <c r="AA591" s="91"/>
      <c r="AB591" s="91"/>
      <c r="AC591" s="91"/>
      <c r="AD591" s="91"/>
      <c r="AE591" s="91"/>
      <c r="AF591" s="91"/>
      <c r="AG591" s="91"/>
      <c r="AH591" s="91"/>
      <c r="AI591" s="91"/>
      <c r="AJ591" s="91"/>
      <c r="AK591" s="91"/>
      <c r="AL591" s="91"/>
      <c r="AM591" s="91"/>
      <c r="AN591" s="91"/>
      <c r="AO591" s="91"/>
      <c r="AP591" s="91"/>
      <c r="AQ591" s="91"/>
      <c r="AR591" s="91"/>
      <c r="AS591" s="91"/>
      <c r="AT591" s="91"/>
      <c r="AU591" s="91"/>
      <c r="AV591" s="296"/>
      <c r="AW591" s="296"/>
      <c r="AX591" s="296"/>
      <c r="AY591" s="296"/>
      <c r="AZ591" s="296"/>
      <c r="BA591" s="296"/>
      <c r="BB591" s="296"/>
      <c r="BC591" s="296"/>
      <c r="BD591" s="296"/>
      <c r="BE591" s="296"/>
      <c r="BF591" s="296"/>
      <c r="BG591" s="296"/>
      <c r="BH591" s="296"/>
      <c r="BI591" s="296"/>
      <c r="BJ591" s="296"/>
      <c r="BK591" s="296"/>
      <c r="BL591" s="296"/>
      <c r="BM591" s="296"/>
      <c r="BN591" s="296"/>
      <c r="BO591" s="296"/>
      <c r="BP591" s="296"/>
      <c r="BQ591" s="296"/>
      <c r="BR591" s="296"/>
      <c r="BS591" s="296"/>
      <c r="BT591" s="296"/>
      <c r="BU591" s="296"/>
      <c r="BV591" s="296"/>
      <c r="BW591" s="296"/>
      <c r="BX591" s="296"/>
      <c r="BY591" s="296"/>
      <c r="BZ591" s="9"/>
      <c r="CA591" s="9"/>
      <c r="CB591" s="9"/>
      <c r="CC591" s="9"/>
      <c r="CD591" s="9"/>
    </row>
    <row r="592" spans="1:82">
      <c r="A592" s="1090" t="s">
        <v>1014</v>
      </c>
      <c r="B592" s="1085"/>
      <c r="C592" s="1085"/>
      <c r="D592" s="1085"/>
      <c r="E592" s="1085"/>
      <c r="F592" s="1085"/>
      <c r="G592" s="1085"/>
      <c r="H592" s="1085"/>
      <c r="I592" s="1085"/>
      <c r="J592" s="1085"/>
      <c r="K592" s="1085"/>
      <c r="L592" s="91"/>
      <c r="M592" s="1090" t="s">
        <v>733</v>
      </c>
      <c r="N592" s="1085"/>
      <c r="O592" s="1085"/>
      <c r="P592" s="1085"/>
      <c r="Q592" s="1085"/>
      <c r="R592" s="1085"/>
      <c r="S592" s="1085"/>
      <c r="T592" s="1085"/>
      <c r="U592" s="1085"/>
      <c r="V592" s="1085"/>
      <c r="W592" s="1085"/>
      <c r="X592" s="1085"/>
      <c r="Y592" s="1085"/>
      <c r="Z592" s="1085"/>
      <c r="AA592" s="1085"/>
      <c r="AB592" s="1085"/>
      <c r="AC592" s="1085"/>
      <c r="AD592" s="1085"/>
      <c r="AE592" s="1085"/>
      <c r="AF592" s="1085"/>
      <c r="AG592" s="1085"/>
      <c r="AH592" s="1085"/>
      <c r="AI592" s="1085"/>
      <c r="AJ592" s="1085"/>
      <c r="AK592" s="1085"/>
      <c r="AL592" s="1085"/>
      <c r="AM592" s="1085"/>
      <c r="AN592" s="1085"/>
      <c r="AO592" s="91"/>
      <c r="AP592" s="9"/>
      <c r="AQ592" s="9"/>
      <c r="AR592" s="9"/>
      <c r="AS592" s="9"/>
      <c r="AT592" s="9"/>
      <c r="AU592" s="9"/>
      <c r="AV592" s="9"/>
      <c r="AW592" s="1085"/>
      <c r="AX592" s="1085"/>
      <c r="AY592" s="1085"/>
      <c r="AZ592" s="1085"/>
      <c r="BA592" s="1085"/>
      <c r="BB592" s="1085"/>
      <c r="BC592" s="1085"/>
      <c r="BD592" s="1085"/>
      <c r="BE592" s="1085"/>
      <c r="BF592" s="1085"/>
      <c r="BG592" s="1085"/>
      <c r="BH592" s="1085"/>
      <c r="BI592" s="1085"/>
      <c r="BJ592" s="1085"/>
      <c r="BK592" s="1085"/>
      <c r="BL592" s="1085"/>
      <c r="BM592" s="1085"/>
      <c r="BN592" s="1085"/>
      <c r="BO592" s="1085"/>
      <c r="BP592" s="1085"/>
      <c r="BQ592" s="1085"/>
      <c r="BR592" s="1085"/>
      <c r="BS592" s="1085"/>
      <c r="BT592" s="1085"/>
      <c r="BU592" s="1085"/>
      <c r="BV592" s="1085"/>
      <c r="BW592" s="1085"/>
      <c r="BX592" s="1085"/>
      <c r="BY592" s="1085"/>
      <c r="BZ592" s="1085"/>
      <c r="CA592" s="1085"/>
      <c r="CB592" s="1085"/>
      <c r="CC592" s="1085"/>
      <c r="CD592" s="1085"/>
    </row>
    <row r="593" spans="1:82">
      <c r="A593" s="242" t="s">
        <v>1020</v>
      </c>
      <c r="B593" s="595" t="str">
        <f ca="1">Charts_Support!B581</f>
        <v>3Q23</v>
      </c>
      <c r="C593" s="595" t="str">
        <f ca="1">Charts_Support!C581</f>
        <v>4Q23</v>
      </c>
      <c r="D593" s="595" t="str">
        <f ca="1">Charts_Support!D581</f>
        <v>1Q24</v>
      </c>
      <c r="E593" s="595" t="str">
        <f ca="1">Charts_Support!E581</f>
        <v>2Q24</v>
      </c>
      <c r="F593" s="91"/>
      <c r="G593" s="242" t="s">
        <v>1050</v>
      </c>
      <c r="H593" s="595" t="str">
        <f ca="1">Charts_Support!B581</f>
        <v>3Q23</v>
      </c>
      <c r="I593" s="595" t="str">
        <f ca="1">Charts_Support!C581</f>
        <v>4Q23</v>
      </c>
      <c r="J593" s="595" t="str">
        <f ca="1">Charts_Support!D581</f>
        <v>1Q24</v>
      </c>
      <c r="K593" s="595" t="str">
        <f ca="1">Charts_Support!E581</f>
        <v>2Q24</v>
      </c>
      <c r="L593" s="91"/>
      <c r="M593" s="242" t="s">
        <v>1020</v>
      </c>
      <c r="N593" s="595" t="str">
        <f ca="1">H593</f>
        <v>3Q23</v>
      </c>
      <c r="O593" s="595" t="str">
        <f ca="1">I593</f>
        <v>4Q23</v>
      </c>
      <c r="P593" s="595" t="str">
        <f ca="1">J593</f>
        <v>1Q24</v>
      </c>
      <c r="Q593" s="595" t="str">
        <f ca="1">K593</f>
        <v>2Q24</v>
      </c>
      <c r="R593" s="91"/>
      <c r="S593" s="595" t="str">
        <f ca="1">N593</f>
        <v>3Q23</v>
      </c>
      <c r="T593" s="595" t="str">
        <f ca="1">O593</f>
        <v>4Q23</v>
      </c>
      <c r="U593" s="595" t="str">
        <f ca="1">P593</f>
        <v>1Q24</v>
      </c>
      <c r="V593" s="595" t="str">
        <f ca="1">Q593</f>
        <v>2Q24</v>
      </c>
      <c r="W593" s="242" t="s">
        <v>1346</v>
      </c>
      <c r="X593" s="242" t="s">
        <v>1147</v>
      </c>
      <c r="Y593" s="9"/>
      <c r="Z593" s="242" t="s">
        <v>1050</v>
      </c>
      <c r="AA593" s="595" t="str">
        <f ca="1">N593</f>
        <v>3Q23</v>
      </c>
      <c r="AB593" s="595" t="str">
        <f ca="1">O593</f>
        <v>4Q23</v>
      </c>
      <c r="AC593" s="595" t="str">
        <f ca="1">P593</f>
        <v>1Q24</v>
      </c>
      <c r="AD593" s="595" t="str">
        <f ca="1">Q593</f>
        <v>2Q24</v>
      </c>
      <c r="AE593" s="9"/>
      <c r="AF593" s="595" t="str">
        <f ca="1">AA593</f>
        <v>3Q23</v>
      </c>
      <c r="AG593" s="595" t="str">
        <f ca="1">AB593</f>
        <v>4Q23</v>
      </c>
      <c r="AH593" s="595" t="str">
        <f ca="1">AC593</f>
        <v>1Q24</v>
      </c>
      <c r="AI593" s="595" t="str">
        <f ca="1">AD593</f>
        <v>2Q24</v>
      </c>
      <c r="AJ593" s="242" t="s">
        <v>1346</v>
      </c>
      <c r="AK593" s="242" t="s">
        <v>1147</v>
      </c>
      <c r="AL593" s="9"/>
      <c r="AM593" s="242" t="s">
        <v>1335</v>
      </c>
      <c r="AN593" s="595" t="str">
        <f ca="1">+AI593</f>
        <v>2Q24</v>
      </c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296"/>
      <c r="BI593" s="296"/>
      <c r="BJ593" s="296"/>
      <c r="BK593" s="296"/>
      <c r="BL593" s="296"/>
      <c r="BM593" s="296"/>
      <c r="BN593" s="296"/>
      <c r="BO593" s="296"/>
      <c r="BP593" s="296"/>
      <c r="BQ593" s="296"/>
      <c r="BR593" s="296"/>
      <c r="BS593" s="296"/>
      <c r="BT593" s="296"/>
      <c r="BU593" s="296"/>
      <c r="BV593" s="296"/>
      <c r="BW593" s="296"/>
      <c r="BX593" s="296"/>
      <c r="BY593" s="296"/>
      <c r="BZ593" s="9"/>
      <c r="CA593" s="9"/>
      <c r="CB593" s="9"/>
      <c r="CC593" s="9"/>
      <c r="CD593" s="9"/>
    </row>
    <row r="594" spans="1:82">
      <c r="A594" s="36" t="s">
        <v>1007</v>
      </c>
      <c r="B594" s="245">
        <f ca="1">+INDEX(Segment!$A$157:$BR$166,MATCH($A594,Segment!$A$157:$A$166,0),MATCH(Charts_Support!B$607,IS!$A$60:$BR$60,0))</f>
        <v>0.1674697406340058</v>
      </c>
      <c r="C594" s="245">
        <f ca="1">+INDEX(Segment!$A$157:$BR$166,MATCH($A594,Segment!$A$157:$A$166,0),MATCH(Charts_Support!C$607,IS!$A$60:$BR$60,0))</f>
        <v>0.16928315412186382</v>
      </c>
      <c r="D594" s="245">
        <f ca="1">+INDEX(Segment!$A$157:$BR$166,MATCH($A594,Segment!$A$157:$A$166,0),MATCH(Charts_Support!D$607,IS!$A$60:$BR$60,0))</f>
        <v>0.17286740610032769</v>
      </c>
      <c r="E594" s="245">
        <f ca="1">+INDEX(Segment!$A$157:$BR$166,MATCH($A594,Segment!$A$157:$A$166,0),MATCH(Charts_Support!E$607,IS!$A$60:$BR$60,0))</f>
        <v>0.16877348330740696</v>
      </c>
      <c r="F594" s="91"/>
      <c r="G594" s="36" t="s">
        <v>1007</v>
      </c>
      <c r="H594" s="245">
        <f ca="1">+INDEX(Segment!$A$196:$BR$205,MATCH($G594,Segment!$A$196:$A$205,0),MATCH(H$593,IS!$A$60:$BR$60,0))</f>
        <v>0.12</v>
      </c>
      <c r="I594" s="245">
        <f ca="1">+INDEX(Segment!$A$196:$BR$205,MATCH($G594,Segment!$A$196:$A$205,0),MATCH(I$593,IS!$A$60:$BR$60,0))</f>
        <v>0.18</v>
      </c>
      <c r="J594" s="245">
        <f ca="1">+INDEX(Segment!$A$196:$BR$205,MATCH($G594,Segment!$A$196:$A$205,0),MATCH(J$593,IS!$A$60:$BR$60,0))</f>
        <v>0.15</v>
      </c>
      <c r="K594" s="245">
        <f ca="1">+INDEX(Segment!$A$196:$BR$205,MATCH($G594,Segment!$A$196:$A$205,0),MATCH(K$593,IS!$A$60:$BR$60,0))</f>
        <v>0.17</v>
      </c>
      <c r="L594" s="91"/>
      <c r="M594" s="36" t="s">
        <v>1007</v>
      </c>
      <c r="N594" s="245">
        <f ca="1">+INDEX(Segment!$A$144:$BR$153,MATCH($M594,Segment!$A$144:$A$153,0),MATCH(N$593,IS!$A$60:$BR$60,0))</f>
        <v>7.0000000000000007E-2</v>
      </c>
      <c r="O594" s="245">
        <f ca="1">+INDEX(Segment!$A$144:$BR$153,MATCH($M594,Segment!$A$144:$A$153,0),MATCH(O$593,IS!$A$60:$BR$60,0))</f>
        <v>7.0000000000000007E-2</v>
      </c>
      <c r="P594" s="245">
        <f ca="1">+INDEX(Segment!$A$144:$BR$153,MATCH($M594,Segment!$A$144:$A$153,0),MATCH(P$593,IS!$A$60:$BR$60,0))</f>
        <v>7.0000000000000007E-2</v>
      </c>
      <c r="Q594" s="245">
        <f ca="1">+INDEX(Segment!$A$144:$BR$153,MATCH($M594,Segment!$A$144:$A$153,0),MATCH(Q$593,IS!$A$60:$BR$60,0))</f>
        <v>7.0000000000000007E-2</v>
      </c>
      <c r="R594" s="91"/>
      <c r="S594" s="1094">
        <f t="shared" ref="S594:S604" ca="1" si="382">+INDEX($J$461:$BQ$461,MATCH(S$593,$J$458:$BQ$458,0))*N594</f>
        <v>275.22551000000004</v>
      </c>
      <c r="T594" s="1094">
        <f t="shared" ref="T594:T604" ca="1" si="383">+INDEX($J$461:$BQ$461,MATCH(T$593,$J$458:$BQ$458,0))*O594</f>
        <v>236.45839000000001</v>
      </c>
      <c r="U594" s="1094" t="e">
        <f t="shared" ref="U594:U604" ca="1" si="384">+INDEX($J$461:$BQ$461,MATCH(U$593,$J$458:$BQ$458,0))*P594</f>
        <v>#N/A</v>
      </c>
      <c r="V594" s="1094" t="e">
        <f t="shared" ref="V594:V604" ca="1" si="385">+INDEX($J$461:$BQ$461,MATCH(V$593,$J$458:$BQ$458,0))*Q594</f>
        <v>#N/A</v>
      </c>
      <c r="W594" s="99" t="e">
        <f t="shared" ref="W594:W604" ca="1" si="386">+SUM(S594:V594)</f>
        <v>#N/A</v>
      </c>
      <c r="X594" s="38" t="e">
        <f ca="1">+W594/W$605</f>
        <v>#N/A</v>
      </c>
      <c r="Y594" s="9"/>
      <c r="Z594" s="36" t="s">
        <v>1007</v>
      </c>
      <c r="AA594" s="245">
        <f ca="1">+INDEX(Segment!$A$183:$BR$192,MATCH($Z594,Segment!$A$183:$A$192,0),MATCH(AA$593,IS!$A$60:$BR$60,0))</f>
        <v>0.06</v>
      </c>
      <c r="AB594" s="245">
        <f ca="1">+INDEX(Segment!$A$183:$BR$192,MATCH($Z594,Segment!$A$183:$A$192,0),MATCH(AB$593,IS!$A$60:$BR$60,0))</f>
        <v>0.09</v>
      </c>
      <c r="AC594" s="245">
        <f ca="1">+INDEX(Segment!$A$183:$BR$192,MATCH($Z594,Segment!$A$183:$A$192,0),MATCH(AC$593,IS!$A$60:$BR$60,0))</f>
        <v>0.08</v>
      </c>
      <c r="AD594" s="245">
        <f ca="1">+INDEX(Segment!$A$183:$BR$192,MATCH($Z594,Segment!$A$183:$A$192,0),MATCH(AD$593,IS!$A$60:$BR$60,0))</f>
        <v>0.1</v>
      </c>
      <c r="AE594" s="9"/>
      <c r="AF594" s="99">
        <f t="shared" ref="AF594:AF604" ca="1" si="387">+INDEX($J$494:$BQ$494,MATCH(AF$593,$J$492:$BQ$492,0))*AA594</f>
        <v>36.78</v>
      </c>
      <c r="AG594" s="99">
        <f t="shared" ref="AG594:AG604" ca="1" si="388">+INDEX($J$494:$BQ$494,MATCH(AG$593,$J$492:$BQ$492,0))*AB594</f>
        <v>51.12</v>
      </c>
      <c r="AH594" s="99" t="e">
        <f t="shared" ref="AH594:AH604" ca="1" si="389">+INDEX($J$494:$BQ$494,MATCH(AH$593,$J$492:$BQ$492,0))*AC594</f>
        <v>#N/A</v>
      </c>
      <c r="AI594" s="99" t="e">
        <f t="shared" ref="AI594:AI604" ca="1" si="390">+INDEX($J$494:$BQ$494,MATCH(AI$593,$J$492:$BQ$492,0))*AD594</f>
        <v>#N/A</v>
      </c>
      <c r="AJ594" s="99" t="e">
        <f t="shared" ref="AJ594:AJ604" ca="1" si="391">+SUM(AF594:AI594)</f>
        <v>#N/A</v>
      </c>
      <c r="AK594" s="38" t="e">
        <f ca="1">+AJ594/AJ$605</f>
        <v>#N/A</v>
      </c>
      <c r="AL594" s="9"/>
      <c r="AM594" s="36" t="s">
        <v>1007</v>
      </c>
      <c r="AN594" s="245">
        <f ca="1">+INDEX(Segment!$520:$532,MATCH($AM594,Segment!$A$520:$A$532,0),MATCH(AN$593,Segment!$3:$3,0))</f>
        <v>0</v>
      </c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296"/>
      <c r="BI594" s="296"/>
      <c r="BJ594" s="296"/>
      <c r="BK594" s="296"/>
      <c r="BL594" s="296"/>
      <c r="BM594" s="296"/>
      <c r="BN594" s="296"/>
      <c r="BO594" s="296"/>
      <c r="BP594" s="296"/>
      <c r="BQ594" s="296"/>
      <c r="BR594" s="296"/>
      <c r="BS594" s="296"/>
      <c r="BT594" s="296"/>
      <c r="BU594" s="296"/>
      <c r="BV594" s="296"/>
      <c r="BW594" s="296"/>
      <c r="BX594" s="296"/>
      <c r="BY594" s="296"/>
      <c r="BZ594" s="9"/>
      <c r="CA594" s="9"/>
      <c r="CB594" s="9"/>
      <c r="CC594" s="9"/>
      <c r="CD594" s="9"/>
    </row>
    <row r="595" spans="1:82">
      <c r="A595" s="36" t="s">
        <v>1008</v>
      </c>
      <c r="B595" s="245">
        <f ca="1">+INDEX(Segment!$A$157:$BR$166,MATCH($A595,Segment!$A$157:$A$166,0),MATCH(Charts_Support!B$607,IS!$A$60:$BR$60,0))</f>
        <v>0.21358270893371756</v>
      </c>
      <c r="C595" s="245">
        <f ca="1">+INDEX(Segment!$A$157:$BR$166,MATCH($A595,Segment!$A$157:$A$166,0),MATCH(Charts_Support!C$607,IS!$A$60:$BR$60,0))</f>
        <v>0.20862604540023896</v>
      </c>
      <c r="D595" s="245">
        <f ca="1">+INDEX(Segment!$A$157:$BR$166,MATCH($A595,Segment!$A$157:$A$166,0),MATCH(Charts_Support!D$607,IS!$A$60:$BR$60,0))</f>
        <v>0.19882908999243762</v>
      </c>
      <c r="E595" s="245">
        <f ca="1">+INDEX(Segment!$A$157:$BR$166,MATCH($A595,Segment!$A$157:$A$166,0),MATCH(Charts_Support!E$607,IS!$A$60:$BR$60,0))</f>
        <v>0.21001914562642096</v>
      </c>
      <c r="F595" s="91"/>
      <c r="G595" s="36" t="s">
        <v>1008</v>
      </c>
      <c r="H595" s="245">
        <f ca="1">+INDEX(Segment!$A$196:$BR$205,MATCH($G595,Segment!$A$196:$A$205,0),MATCH(H$593,IS!$A$60:$BR$60,0))</f>
        <v>0.13</v>
      </c>
      <c r="I595" s="245">
        <f ca="1">+INDEX(Segment!$A$196:$BR$205,MATCH($G595,Segment!$A$196:$A$205,0),MATCH(I$593,IS!$A$60:$BR$60,0))</f>
        <v>0.09</v>
      </c>
      <c r="J595" s="245">
        <f ca="1">+INDEX(Segment!$A$196:$BR$205,MATCH($G595,Segment!$A$196:$A$205,0),MATCH(J$593,IS!$A$60:$BR$60,0))</f>
        <v>0.1</v>
      </c>
      <c r="K595" s="245">
        <f ca="1">+INDEX(Segment!$A$196:$BR$205,MATCH($G595,Segment!$A$196:$A$205,0),MATCH(K$593,IS!$A$60:$BR$60,0))</f>
        <v>0.1</v>
      </c>
      <c r="L595" s="91"/>
      <c r="M595" s="36" t="s">
        <v>1008</v>
      </c>
      <c r="N595" s="245">
        <f ca="1">+INDEX(Segment!$A$144:$BR$153,MATCH($M595,Segment!$A$144:$A$153,0),MATCH(N$593,IS!$A$60:$BR$60,0))</f>
        <v>0.48</v>
      </c>
      <c r="O595" s="245">
        <f ca="1">+INDEX(Segment!$A$144:$BR$153,MATCH($M595,Segment!$A$144:$A$153,0),MATCH(O$593,IS!$A$60:$BR$60,0))</f>
        <v>0.48</v>
      </c>
      <c r="P595" s="245">
        <f ca="1">+INDEX(Segment!$A$144:$BR$153,MATCH($M595,Segment!$A$144:$A$153,0),MATCH(P$593,IS!$A$60:$BR$60,0))</f>
        <v>0.48</v>
      </c>
      <c r="Q595" s="245">
        <f ca="1">+INDEX(Segment!$A$144:$BR$153,MATCH($M595,Segment!$A$144:$A$153,0),MATCH(Q$593,IS!$A$60:$BR$60,0))</f>
        <v>0.48</v>
      </c>
      <c r="R595" s="91"/>
      <c r="S595" s="1094">
        <f t="shared" ca="1" si="382"/>
        <v>1887.26064</v>
      </c>
      <c r="T595" s="1094">
        <f t="shared" ca="1" si="383"/>
        <v>1621.42896</v>
      </c>
      <c r="U595" s="1094" t="e">
        <f t="shared" ca="1" si="384"/>
        <v>#N/A</v>
      </c>
      <c r="V595" s="1094" t="e">
        <f t="shared" ca="1" si="385"/>
        <v>#N/A</v>
      </c>
      <c r="W595" s="99" t="e">
        <f t="shared" ca="1" si="386"/>
        <v>#N/A</v>
      </c>
      <c r="X595" s="38" t="e">
        <f ca="1">+W595/W$605</f>
        <v>#N/A</v>
      </c>
      <c r="Y595" s="9"/>
      <c r="Z595" s="36" t="s">
        <v>1008</v>
      </c>
      <c r="AA595" s="245">
        <f ca="1">+INDEX(Segment!$A$183:$BR$192,MATCH($Z595,Segment!$A$183:$A$192,0),MATCH(AA$593,IS!$A$60:$BR$60,0))</f>
        <v>0.45</v>
      </c>
      <c r="AB595" s="245">
        <f ca="1">+INDEX(Segment!$A$183:$BR$192,MATCH($Z595,Segment!$A$183:$A$192,0),MATCH(AB$593,IS!$A$60:$BR$60,0))</f>
        <v>0.32</v>
      </c>
      <c r="AC595" s="245">
        <f ca="1">+INDEX(Segment!$A$183:$BR$192,MATCH($Z595,Segment!$A$183:$A$192,0),MATCH(AC$593,IS!$A$60:$BR$60,0))</f>
        <v>0.36</v>
      </c>
      <c r="AD595" s="245">
        <f ca="1">+INDEX(Segment!$A$183:$BR$192,MATCH($Z595,Segment!$A$183:$A$192,0),MATCH(AD$593,IS!$A$60:$BR$60,0))</f>
        <v>0.38</v>
      </c>
      <c r="AE595" s="9"/>
      <c r="AF595" s="99">
        <f t="shared" ca="1" si="387"/>
        <v>275.85000000000002</v>
      </c>
      <c r="AG595" s="99">
        <f t="shared" ca="1" si="388"/>
        <v>181.76</v>
      </c>
      <c r="AH595" s="99" t="e">
        <f t="shared" ca="1" si="389"/>
        <v>#N/A</v>
      </c>
      <c r="AI595" s="99" t="e">
        <f t="shared" ca="1" si="390"/>
        <v>#N/A</v>
      </c>
      <c r="AJ595" s="99" t="e">
        <f t="shared" ca="1" si="391"/>
        <v>#N/A</v>
      </c>
      <c r="AK595" s="38" t="e">
        <f ca="1">+AJ595/AJ$605</f>
        <v>#N/A</v>
      </c>
      <c r="AL595" s="9"/>
      <c r="AM595" s="36" t="s">
        <v>1008</v>
      </c>
      <c r="AN595" s="245">
        <f ca="1">+INDEX(Segment!$520:$532,MATCH($AM595,Segment!$A$520:$A$532,0),MATCH(AN$593,Segment!$3:$3,0))</f>
        <v>0</v>
      </c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296"/>
      <c r="BI595" s="296"/>
      <c r="BJ595" s="296"/>
      <c r="BK595" s="296"/>
      <c r="BL595" s="296"/>
      <c r="BM595" s="296"/>
      <c r="BN595" s="296"/>
      <c r="BO595" s="296"/>
      <c r="BP595" s="296"/>
      <c r="BQ595" s="296"/>
      <c r="BR595" s="296"/>
      <c r="BS595" s="296"/>
      <c r="BT595" s="296"/>
      <c r="BU595" s="296"/>
      <c r="BV595" s="296"/>
      <c r="BW595" s="296"/>
      <c r="BX595" s="296"/>
      <c r="BY595" s="296"/>
      <c r="BZ595" s="9"/>
      <c r="CA595" s="9"/>
      <c r="CB595" s="9"/>
      <c r="CC595" s="9"/>
      <c r="CD595" s="9"/>
    </row>
    <row r="596" spans="1:82">
      <c r="A596" s="36" t="s">
        <v>1018</v>
      </c>
      <c r="B596" s="245">
        <f ca="1">+INDEX(Segment!$A$157:$BR$166,MATCH($A596,Segment!$A$157:$A$166,0),MATCH(Charts_Support!B$607,IS!$A$60:$BR$60,0))</f>
        <v>0.31852219020172912</v>
      </c>
      <c r="C596" s="245">
        <f ca="1">+INDEX(Segment!$A$157:$BR$166,MATCH($A596,Segment!$A$157:$A$166,0),MATCH(Charts_Support!C$607,IS!$A$60:$BR$60,0))</f>
        <v>0.31719235364396658</v>
      </c>
      <c r="D596" s="245">
        <f ca="1">+INDEX(Segment!$A$157:$BR$166,MATCH($A596,Segment!$A$157:$A$166,0),MATCH(Charts_Support!D$607,IS!$A$60:$BR$60,0))</f>
        <v>0.31456390219309299</v>
      </c>
      <c r="E596" s="245">
        <f ca="1">+INDEX(Segment!$A$157:$BR$166,MATCH($A596,Segment!$A$157:$A$166,0),MATCH(Charts_Support!E$607,IS!$A$60:$BR$60,0))</f>
        <v>0.31756611224123488</v>
      </c>
      <c r="F596" s="91"/>
      <c r="G596" s="36" t="s">
        <v>1018</v>
      </c>
      <c r="H596" s="245">
        <f ca="1">+INDEX(Segment!$A$196:$BR$205,MATCH($G596,Segment!$A$196:$A$205,0),MATCH(H$593,IS!$A$60:$BR$60,0))</f>
        <v>0.49</v>
      </c>
      <c r="I596" s="245">
        <f ca="1">+INDEX(Segment!$A$196:$BR$205,MATCH($G596,Segment!$A$196:$A$205,0),MATCH(I$593,IS!$A$60:$BR$60,0))</f>
        <v>0.41</v>
      </c>
      <c r="J596" s="245">
        <f ca="1">+INDEX(Segment!$A$196:$BR$205,MATCH($G596,Segment!$A$196:$A$205,0),MATCH(J$593,IS!$A$60:$BR$60,0))</f>
        <v>0.46</v>
      </c>
      <c r="K596" s="245">
        <f ca="1">+INDEX(Segment!$A$196:$BR$205,MATCH($G596,Segment!$A$196:$A$205,0),MATCH(K$593,IS!$A$60:$BR$60,0))</f>
        <v>0.42</v>
      </c>
      <c r="L596" s="91"/>
      <c r="M596" s="36" t="s">
        <v>1018</v>
      </c>
      <c r="N596" s="245">
        <f ca="1">+INDEX(Segment!$A$144:$BR$153,MATCH($M596,Segment!$A$144:$A$153,0),MATCH(N$593,IS!$A$60:$BR$60,0))</f>
        <v>0.39</v>
      </c>
      <c r="O596" s="245">
        <f ca="1">+INDEX(Segment!$A$144:$BR$153,MATCH($M596,Segment!$A$144:$A$153,0),MATCH(O$593,IS!$A$60:$BR$60,0))</f>
        <v>0.39</v>
      </c>
      <c r="P596" s="245">
        <f ca="1">+INDEX(Segment!$A$144:$BR$153,MATCH($M596,Segment!$A$144:$A$153,0),MATCH(P$593,IS!$A$60:$BR$60,0))</f>
        <v>0.39</v>
      </c>
      <c r="Q596" s="245">
        <f ca="1">+INDEX(Segment!$A$144:$BR$153,MATCH($M596,Segment!$A$144:$A$153,0),MATCH(Q$593,IS!$A$60:$BR$60,0))</f>
        <v>0.39</v>
      </c>
      <c r="R596" s="91"/>
      <c r="S596" s="1094">
        <f t="shared" ca="1" si="382"/>
        <v>1533.3992700000001</v>
      </c>
      <c r="T596" s="1094">
        <f t="shared" ca="1" si="383"/>
        <v>1317.41103</v>
      </c>
      <c r="U596" s="1094" t="e">
        <f t="shared" ca="1" si="384"/>
        <v>#N/A</v>
      </c>
      <c r="V596" s="1094" t="e">
        <f t="shared" ca="1" si="385"/>
        <v>#N/A</v>
      </c>
      <c r="W596" s="99" t="e">
        <f t="shared" ca="1" si="386"/>
        <v>#N/A</v>
      </c>
      <c r="X596" s="38" t="e">
        <f ca="1">+W596/W$605</f>
        <v>#N/A</v>
      </c>
      <c r="Y596" s="9"/>
      <c r="Z596" s="36" t="s">
        <v>1018</v>
      </c>
      <c r="AA596" s="245">
        <f ca="1">+INDEX(Segment!$A$183:$BR$192,MATCH($Z596,Segment!$A$183:$A$192,0),MATCH(AA$593,IS!$A$60:$BR$60,0))</f>
        <v>0.45</v>
      </c>
      <c r="AB596" s="245">
        <f ca="1">+INDEX(Segment!$A$183:$BR$192,MATCH($Z596,Segment!$A$183:$A$192,0),MATCH(AB$593,IS!$A$60:$BR$60,0))</f>
        <v>0.53</v>
      </c>
      <c r="AC596" s="245">
        <f ca="1">+INDEX(Segment!$A$183:$BR$192,MATCH($Z596,Segment!$A$183:$A$192,0),MATCH(AC$593,IS!$A$60:$BR$60,0))</f>
        <v>0.52</v>
      </c>
      <c r="AD596" s="245">
        <f ca="1">+INDEX(Segment!$A$183:$BR$192,MATCH($Z596,Segment!$A$183:$A$192,0),MATCH(AD$593,IS!$A$60:$BR$60,0))</f>
        <v>0.47</v>
      </c>
      <c r="AE596" s="9"/>
      <c r="AF596" s="99">
        <f t="shared" ca="1" si="387"/>
        <v>275.85000000000002</v>
      </c>
      <c r="AG596" s="99">
        <f t="shared" ca="1" si="388"/>
        <v>301.04000000000002</v>
      </c>
      <c r="AH596" s="99" t="e">
        <f t="shared" ca="1" si="389"/>
        <v>#N/A</v>
      </c>
      <c r="AI596" s="99" t="e">
        <f t="shared" ca="1" si="390"/>
        <v>#N/A</v>
      </c>
      <c r="AJ596" s="99" t="e">
        <f t="shared" ca="1" si="391"/>
        <v>#N/A</v>
      </c>
      <c r="AK596" s="38" t="e">
        <f ca="1">+AJ596/AJ$605</f>
        <v>#N/A</v>
      </c>
      <c r="AL596" s="9"/>
      <c r="AM596" s="36" t="s">
        <v>1018</v>
      </c>
      <c r="AN596" s="245">
        <f ca="1">+INDEX(Segment!$520:$532,MATCH($AM596,Segment!$A$520:$A$532,0),MATCH(AN$593,Segment!$3:$3,0))</f>
        <v>0</v>
      </c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296"/>
      <c r="BI596" s="296"/>
      <c r="BJ596" s="296"/>
      <c r="BK596" s="296"/>
      <c r="BL596" s="296"/>
      <c r="BM596" s="296"/>
      <c r="BN596" s="296"/>
      <c r="BO596" s="296"/>
      <c r="BP596" s="296"/>
      <c r="BQ596" s="296"/>
      <c r="BR596" s="296"/>
      <c r="BS596" s="296"/>
      <c r="BT596" s="296"/>
      <c r="BU596" s="296"/>
      <c r="BV596" s="296"/>
      <c r="BW596" s="296"/>
      <c r="BX596" s="296"/>
      <c r="BY596" s="296"/>
      <c r="BZ596" s="9"/>
      <c r="CA596" s="9"/>
      <c r="CB596" s="9"/>
      <c r="CC596" s="9"/>
      <c r="CD596" s="9"/>
    </row>
    <row r="597" spans="1:82">
      <c r="A597" s="36" t="s">
        <v>1009</v>
      </c>
      <c r="B597" s="245"/>
      <c r="C597" s="245"/>
      <c r="D597" s="245"/>
      <c r="E597" s="245"/>
      <c r="F597" s="91"/>
      <c r="G597" s="36"/>
      <c r="H597" s="245"/>
      <c r="I597" s="245"/>
      <c r="J597" s="245"/>
      <c r="K597" s="245"/>
      <c r="L597" s="91"/>
      <c r="M597" s="36"/>
      <c r="N597" s="245"/>
      <c r="O597" s="245"/>
      <c r="P597" s="245"/>
      <c r="Q597" s="245"/>
      <c r="R597" s="91"/>
      <c r="S597" s="1094"/>
      <c r="T597" s="1094"/>
      <c r="U597" s="1094"/>
      <c r="V597" s="1094"/>
      <c r="W597" s="99"/>
      <c r="X597" s="38"/>
      <c r="Y597" s="9"/>
      <c r="Z597" s="36"/>
      <c r="AA597" s="245"/>
      <c r="AB597" s="245"/>
      <c r="AC597" s="245"/>
      <c r="AD597" s="245"/>
      <c r="AE597" s="9"/>
      <c r="AF597" s="99"/>
      <c r="AG597" s="99"/>
      <c r="AH597" s="99"/>
      <c r="AI597" s="99"/>
      <c r="AJ597" s="99"/>
      <c r="AK597" s="38"/>
      <c r="AL597" s="9"/>
      <c r="AM597" s="36" t="s">
        <v>1009</v>
      </c>
      <c r="AN597" s="245">
        <f ca="1">+INDEX(Segment!$520:$532,MATCH($AM597,Segment!$A$520:$A$532,0),MATCH(AN$593,Segment!$3:$3,0))</f>
        <v>0</v>
      </c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296"/>
      <c r="BI597" s="296"/>
      <c r="BJ597" s="296"/>
      <c r="BK597" s="296"/>
      <c r="BL597" s="296"/>
      <c r="BM597" s="296"/>
      <c r="BN597" s="296"/>
      <c r="BO597" s="296"/>
      <c r="BP597" s="296"/>
      <c r="BQ597" s="296"/>
      <c r="BR597" s="296"/>
      <c r="BS597" s="296"/>
      <c r="BT597" s="296"/>
      <c r="BU597" s="296"/>
      <c r="BV597" s="296"/>
      <c r="BW597" s="296"/>
      <c r="BX597" s="296"/>
      <c r="BY597" s="296"/>
      <c r="BZ597" s="9"/>
      <c r="CA597" s="9"/>
      <c r="CB597" s="9"/>
      <c r="CC597" s="9"/>
      <c r="CD597" s="9"/>
    </row>
    <row r="598" spans="1:82">
      <c r="A598" s="36" t="s">
        <v>1011</v>
      </c>
      <c r="B598" s="245">
        <f ca="1">+INDEX(Segment!$A$157:$BR$166,MATCH($A598,Segment!$A$157:$A$166,0),MATCH(Charts_Support!B$607,IS!$A$60:$BR$60,0))</f>
        <v>0.12346167146974063</v>
      </c>
      <c r="C598" s="245">
        <f ca="1">+INDEX(Segment!$A$157:$BR$166,MATCH($A598,Segment!$A$157:$A$166,0),MATCH(Charts_Support!C$607,IS!$A$60:$BR$60,0))</f>
        <v>0.12575866188769413</v>
      </c>
      <c r="D598" s="245">
        <f ca="1">+INDEX(Segment!$A$157:$BR$166,MATCH($A598,Segment!$A$157:$A$166,0),MATCH(Charts_Support!D$607,IS!$A$60:$BR$60,0))</f>
        <v>0.13029871439374843</v>
      </c>
      <c r="E598" s="245">
        <f ca="1">+INDEX(Segment!$A$157:$BR$166,MATCH($A598,Segment!$A$157:$A$166,0),MATCH(Charts_Support!E$607,IS!$A$60:$BR$60,0))</f>
        <v>0.1251130788560488</v>
      </c>
      <c r="F598" s="91"/>
      <c r="G598" s="36" t="s">
        <v>1011</v>
      </c>
      <c r="H598" s="245">
        <f ca="1">+INDEX(Segment!$A$196:$BR$205,MATCH($G598,Segment!$A$196:$A$205,0),MATCH(H$593,IS!$A$60:$BR$60,0))</f>
        <v>0.09</v>
      </c>
      <c r="I598" s="245">
        <f ca="1">+INDEX(Segment!$A$196:$BR$205,MATCH($G598,Segment!$A$196:$A$205,0),MATCH(I$593,IS!$A$60:$BR$60,0))</f>
        <v>0.11</v>
      </c>
      <c r="J598" s="245">
        <f ca="1">+INDEX(Segment!$A$196:$BR$205,MATCH($G598,Segment!$A$196:$A$205,0),MATCH(J$593,IS!$A$60:$BR$60,0))</f>
        <v>0.11</v>
      </c>
      <c r="K598" s="245">
        <f ca="1">+INDEX(Segment!$A$196:$BR$205,MATCH($G598,Segment!$A$196:$A$205,0),MATCH(K$593,IS!$A$60:$BR$60,0))</f>
        <v>0.12</v>
      </c>
      <c r="L598" s="91"/>
      <c r="M598" s="36" t="s">
        <v>1011</v>
      </c>
      <c r="N598" s="245">
        <f ca="1">+INDEX(Segment!$A$144:$BR$153,MATCH($M598,Segment!$A$144:$A$153,0),MATCH(N$593,IS!$A$60:$BR$60,0))</f>
        <v>0</v>
      </c>
      <c r="O598" s="245">
        <f ca="1">+INDEX(Segment!$A$144:$BR$153,MATCH($M598,Segment!$A$144:$A$153,0),MATCH(O$593,IS!$A$60:$BR$60,0))</f>
        <v>0</v>
      </c>
      <c r="P598" s="245">
        <f ca="1">+INDEX(Segment!$A$144:$BR$153,MATCH($M598,Segment!$A$144:$A$153,0),MATCH(P$593,IS!$A$60:$BR$60,0))</f>
        <v>0</v>
      </c>
      <c r="Q598" s="245">
        <f ca="1">+INDEX(Segment!$A$144:$BR$153,MATCH($M598,Segment!$A$144:$A$153,0),MATCH(Q$593,IS!$A$60:$BR$60,0))</f>
        <v>0</v>
      </c>
      <c r="R598" s="91"/>
      <c r="S598" s="1094">
        <f t="shared" ca="1" si="382"/>
        <v>0</v>
      </c>
      <c r="T598" s="1094">
        <f t="shared" ca="1" si="383"/>
        <v>0</v>
      </c>
      <c r="U598" s="1094" t="e">
        <f t="shared" ca="1" si="384"/>
        <v>#N/A</v>
      </c>
      <c r="V598" s="1094" t="e">
        <f t="shared" ca="1" si="385"/>
        <v>#N/A</v>
      </c>
      <c r="W598" s="99" t="e">
        <f t="shared" ca="1" si="386"/>
        <v>#N/A</v>
      </c>
      <c r="X598" s="38" t="e">
        <f t="shared" ref="X598:X605" ca="1" si="392">+W598/W$605</f>
        <v>#N/A</v>
      </c>
      <c r="Y598" s="9"/>
      <c r="Z598" s="36" t="s">
        <v>1011</v>
      </c>
      <c r="AA598" s="245">
        <f ca="1">+INDEX(Segment!$A$183:$BR$192,MATCH($Z598,Segment!$A$183:$A$192,0),MATCH(AA$593,IS!$A$60:$BR$60,0))</f>
        <v>0</v>
      </c>
      <c r="AB598" s="245">
        <f ca="1">+INDEX(Segment!$A$183:$BR$192,MATCH($Z598,Segment!$A$183:$A$192,0),MATCH(AB$593,IS!$A$60:$BR$60,0))</f>
        <v>0</v>
      </c>
      <c r="AC598" s="245">
        <f ca="1">+INDEX(Segment!$A$183:$BR$192,MATCH($Z598,Segment!$A$183:$A$192,0),MATCH(AC$593,IS!$A$60:$BR$60,0))</f>
        <v>0</v>
      </c>
      <c r="AD598" s="245">
        <f ca="1">+INDEX(Segment!$A$183:$BR$192,MATCH($Z598,Segment!$A$183:$A$192,0),MATCH(AD$593,IS!$A$60:$BR$60,0))</f>
        <v>0</v>
      </c>
      <c r="AE598" s="9"/>
      <c r="AF598" s="99">
        <f t="shared" ca="1" si="387"/>
        <v>0</v>
      </c>
      <c r="AG598" s="99">
        <f t="shared" ca="1" si="388"/>
        <v>0</v>
      </c>
      <c r="AH598" s="99" t="e">
        <f t="shared" ca="1" si="389"/>
        <v>#N/A</v>
      </c>
      <c r="AI598" s="99" t="e">
        <f t="shared" ca="1" si="390"/>
        <v>#N/A</v>
      </c>
      <c r="AJ598" s="99" t="e">
        <f t="shared" ca="1" si="391"/>
        <v>#N/A</v>
      </c>
      <c r="AK598" s="38" t="e">
        <f t="shared" ref="AK598:AK605" ca="1" si="393">+AJ598/AJ$605</f>
        <v>#N/A</v>
      </c>
      <c r="AL598" s="9"/>
      <c r="AM598" s="36" t="s">
        <v>1011</v>
      </c>
      <c r="AN598" s="245">
        <f ca="1">+INDEX(Segment!$520:$532,MATCH($AM598,Segment!$A$520:$A$532,0),MATCH(AN$593,Segment!$3:$3,0))</f>
        <v>0</v>
      </c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296"/>
      <c r="BI598" s="296"/>
      <c r="BJ598" s="296"/>
      <c r="BK598" s="296"/>
      <c r="BL598" s="296"/>
      <c r="BM598" s="296"/>
      <c r="BN598" s="296"/>
      <c r="BO598" s="296"/>
      <c r="BP598" s="296"/>
      <c r="BQ598" s="296"/>
      <c r="BR598" s="296"/>
      <c r="BS598" s="296"/>
      <c r="BT598" s="296"/>
      <c r="BU598" s="296"/>
      <c r="BV598" s="296"/>
      <c r="BW598" s="296"/>
      <c r="BX598" s="296"/>
      <c r="BY598" s="296"/>
      <c r="BZ598" s="9"/>
      <c r="CA598" s="9"/>
      <c r="CB598" s="9"/>
      <c r="CC598" s="9"/>
      <c r="CD598" s="9"/>
    </row>
    <row r="599" spans="1:82">
      <c r="A599" s="36" t="s">
        <v>1019</v>
      </c>
      <c r="B599" s="245">
        <f ca="1">+INDEX(Segment!$A$157:$BR$166,MATCH($A599,Segment!$A$157:$A$166,0),MATCH(Charts_Support!B$607,IS!$A$60:$BR$60,0))</f>
        <v>9.0971757925072047E-2</v>
      </c>
      <c r="C599" s="245">
        <f ca="1">+INDEX(Segment!$A$157:$BR$166,MATCH($A599,Segment!$A$157:$A$166,0),MATCH(Charts_Support!C$607,IS!$A$60:$BR$60,0))</f>
        <v>9.2664277180406221E-2</v>
      </c>
      <c r="D599" s="245">
        <f ca="1">+INDEX(Segment!$A$157:$BR$166,MATCH($A599,Segment!$A$157:$A$166,0),MATCH(Charts_Support!D$607,IS!$A$60:$BR$60,0))</f>
        <v>9.6009579026972533E-2</v>
      </c>
      <c r="E599" s="245">
        <f ca="1">+INDEX(Segment!$A$157:$BR$166,MATCH($A599,Segment!$A$157:$A$166,0),MATCH(Charts_Support!E$607,IS!$A$60:$BR$60,0))</f>
        <v>9.2188584420246508E-2</v>
      </c>
      <c r="F599" s="91"/>
      <c r="G599" s="36" t="s">
        <v>1019</v>
      </c>
      <c r="H599" s="245">
        <f ca="1">+INDEX(Segment!$A$196:$BR$205,MATCH($G599,Segment!$A$196:$A$205,0),MATCH(H$593,IS!$A$60:$BR$60,0))</f>
        <v>0.04</v>
      </c>
      <c r="I599" s="245">
        <f ca="1">+INDEX(Segment!$A$196:$BR$205,MATCH($G599,Segment!$A$196:$A$205,0),MATCH(I$593,IS!$A$60:$BR$60,0))</f>
        <v>0.04</v>
      </c>
      <c r="J599" s="245">
        <f ca="1">+INDEX(Segment!$A$196:$BR$205,MATCH($G599,Segment!$A$196:$A$205,0),MATCH(J$593,IS!$A$60:$BR$60,0))</f>
        <v>0.04</v>
      </c>
      <c r="K599" s="245">
        <f ca="1">+INDEX(Segment!$A$196:$BR$205,MATCH($G599,Segment!$A$196:$A$205,0),MATCH(K$593,IS!$A$60:$BR$60,0))</f>
        <v>0.03</v>
      </c>
      <c r="L599" s="91"/>
      <c r="M599" s="36" t="s">
        <v>1019</v>
      </c>
      <c r="N599" s="245">
        <f ca="1">+INDEX(Segment!$A$144:$BR$153,MATCH($M599,Segment!$A$144:$A$153,0),MATCH(N$593,IS!$A$60:$BR$60,0))</f>
        <v>0</v>
      </c>
      <c r="O599" s="245">
        <f ca="1">+INDEX(Segment!$A$144:$BR$153,MATCH($M599,Segment!$A$144:$A$153,0),MATCH(O$593,IS!$A$60:$BR$60,0))</f>
        <v>0</v>
      </c>
      <c r="P599" s="245">
        <f ca="1">+INDEX(Segment!$A$144:$BR$153,MATCH($M599,Segment!$A$144:$A$153,0),MATCH(P$593,IS!$A$60:$BR$60,0))</f>
        <v>0</v>
      </c>
      <c r="Q599" s="245">
        <f ca="1">+INDEX(Segment!$A$144:$BR$153,MATCH($M599,Segment!$A$144:$A$153,0),MATCH(Q$593,IS!$A$60:$BR$60,0))</f>
        <v>0</v>
      </c>
      <c r="R599" s="91"/>
      <c r="S599" s="1094">
        <f t="shared" ca="1" si="382"/>
        <v>0</v>
      </c>
      <c r="T599" s="1094">
        <f t="shared" ca="1" si="383"/>
        <v>0</v>
      </c>
      <c r="U599" s="1094" t="e">
        <f t="shared" ca="1" si="384"/>
        <v>#N/A</v>
      </c>
      <c r="V599" s="1094" t="e">
        <f t="shared" ca="1" si="385"/>
        <v>#N/A</v>
      </c>
      <c r="W599" s="99" t="e">
        <f t="shared" ca="1" si="386"/>
        <v>#N/A</v>
      </c>
      <c r="X599" s="38" t="e">
        <f t="shared" ca="1" si="392"/>
        <v>#N/A</v>
      </c>
      <c r="Y599" s="9"/>
      <c r="Z599" s="36" t="s">
        <v>1019</v>
      </c>
      <c r="AA599" s="245">
        <f ca="1">+INDEX(Segment!$A$183:$BR$192,MATCH($Z599,Segment!$A$183:$A$192,0),MATCH(AA$593,IS!$A$60:$BR$60,0))</f>
        <v>0</v>
      </c>
      <c r="AB599" s="245">
        <f ca="1">+INDEX(Segment!$A$183:$BR$192,MATCH($Z599,Segment!$A$183:$A$192,0),MATCH(AB$593,IS!$A$60:$BR$60,0))</f>
        <v>0</v>
      </c>
      <c r="AC599" s="245">
        <f ca="1">+INDEX(Segment!$A$183:$BR$192,MATCH($Z599,Segment!$A$183:$A$192,0),MATCH(AC$593,IS!$A$60:$BR$60,0))</f>
        <v>0</v>
      </c>
      <c r="AD599" s="245">
        <f ca="1">+INDEX(Segment!$A$183:$BR$192,MATCH($Z599,Segment!$A$183:$A$192,0),MATCH(AD$593,IS!$A$60:$BR$60,0))</f>
        <v>0</v>
      </c>
      <c r="AE599" s="9"/>
      <c r="AF599" s="99">
        <f t="shared" ca="1" si="387"/>
        <v>0</v>
      </c>
      <c r="AG599" s="99">
        <f t="shared" ca="1" si="388"/>
        <v>0</v>
      </c>
      <c r="AH599" s="99" t="e">
        <f t="shared" ca="1" si="389"/>
        <v>#N/A</v>
      </c>
      <c r="AI599" s="99" t="e">
        <f t="shared" ca="1" si="390"/>
        <v>#N/A</v>
      </c>
      <c r="AJ599" s="99" t="e">
        <f t="shared" ca="1" si="391"/>
        <v>#N/A</v>
      </c>
      <c r="AK599" s="38" t="e">
        <f t="shared" ca="1" si="393"/>
        <v>#N/A</v>
      </c>
      <c r="AL599" s="9"/>
      <c r="AM599" s="36" t="s">
        <v>1019</v>
      </c>
      <c r="AN599" s="245">
        <f ca="1">+INDEX(Segment!$520:$532,MATCH($AM599,Segment!$A$520:$A$532,0),MATCH(AN$593,Segment!$3:$3,0))</f>
        <v>0</v>
      </c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296"/>
      <c r="BI599" s="296"/>
      <c r="BJ599" s="296"/>
      <c r="BK599" s="296"/>
      <c r="BL599" s="296"/>
      <c r="BM599" s="296"/>
      <c r="BN599" s="296"/>
      <c r="BO599" s="296"/>
      <c r="BP599" s="296"/>
      <c r="BQ599" s="296"/>
      <c r="BR599" s="296"/>
      <c r="BS599" s="296"/>
      <c r="BT599" s="296"/>
      <c r="BU599" s="296"/>
      <c r="BV599" s="296"/>
      <c r="BW599" s="296"/>
      <c r="BX599" s="296"/>
      <c r="BY599" s="296"/>
      <c r="BZ599" s="9"/>
      <c r="CA599" s="9"/>
      <c r="CB599" s="9"/>
      <c r="CC599" s="9"/>
      <c r="CD599" s="9"/>
    </row>
    <row r="600" spans="1:82">
      <c r="A600" s="36" t="s">
        <v>1016</v>
      </c>
      <c r="B600" s="245">
        <f ca="1">+INDEX(Segment!$A$157:$BR$166,MATCH($A600,Segment!$A$157:$A$166,0),MATCH(Charts_Support!B$607,IS!$A$60:$BR$60,0))</f>
        <v>1.0506051873198847E-2</v>
      </c>
      <c r="C600" s="245">
        <f ca="1">+INDEX(Segment!$A$157:$BR$166,MATCH($A600,Segment!$A$157:$A$166,0),MATCH(Charts_Support!C$607,IS!$A$60:$BR$60,0))</f>
        <v>1.0143369175627239E-2</v>
      </c>
      <c r="D600" s="245">
        <f ca="1">+INDEX(Segment!$A$157:$BR$166,MATCH($A600,Segment!$A$157:$A$166,0),MATCH(Charts_Support!D$607,IS!$A$60:$BR$60,0))</f>
        <v>9.4265187799344591E-3</v>
      </c>
      <c r="E600" s="245">
        <f ca="1">+INDEX(Segment!$A$157:$BR$166,MATCH($A600,Segment!$A$157:$A$166,0),MATCH(Charts_Support!E$607,IS!$A$60:$BR$60,0))</f>
        <v>1.0245303338518606E-2</v>
      </c>
      <c r="F600" s="91"/>
      <c r="G600" s="36" t="s">
        <v>1016</v>
      </c>
      <c r="H600" s="245">
        <f ca="1">+INDEX(Segment!$A$196:$BR$205,MATCH($G600,Segment!$A$196:$A$205,0),MATCH(H$593,IS!$A$60:$BR$60,0))</f>
        <v>0</v>
      </c>
      <c r="I600" s="245">
        <f ca="1">+INDEX(Segment!$A$196:$BR$205,MATCH($G600,Segment!$A$196:$A$205,0),MATCH(I$593,IS!$A$60:$BR$60,0))</f>
        <v>0</v>
      </c>
      <c r="J600" s="245">
        <f ca="1">+INDEX(Segment!$A$196:$BR$205,MATCH($G600,Segment!$A$196:$A$205,0),MATCH(J$593,IS!$A$60:$BR$60,0))</f>
        <v>0</v>
      </c>
      <c r="K600" s="245">
        <f ca="1">+INDEX(Segment!$A$196:$BR$205,MATCH($G600,Segment!$A$196:$A$205,0),MATCH(K$593,IS!$A$60:$BR$60,0))</f>
        <v>0</v>
      </c>
      <c r="L600" s="91"/>
      <c r="M600" s="36" t="s">
        <v>1016</v>
      </c>
      <c r="N600" s="245">
        <f ca="1">+INDEX(Segment!$A$144:$BR$153,MATCH($M600,Segment!$A$144:$A$153,0),MATCH(N$593,IS!$A$60:$BR$60,0))</f>
        <v>0.03</v>
      </c>
      <c r="O600" s="245">
        <f ca="1">+INDEX(Segment!$A$144:$BR$153,MATCH($M600,Segment!$A$144:$A$153,0),MATCH(O$593,IS!$A$60:$BR$60,0))</f>
        <v>0.03</v>
      </c>
      <c r="P600" s="245">
        <f ca="1">+INDEX(Segment!$A$144:$BR$153,MATCH($M600,Segment!$A$144:$A$153,0),MATCH(P$593,IS!$A$60:$BR$60,0))</f>
        <v>0.03</v>
      </c>
      <c r="Q600" s="245">
        <f ca="1">+INDEX(Segment!$A$144:$BR$153,MATCH($M600,Segment!$A$144:$A$153,0),MATCH(Q$593,IS!$A$60:$BR$60,0))</f>
        <v>0.03</v>
      </c>
      <c r="R600" s="91"/>
      <c r="S600" s="1094">
        <f t="shared" ca="1" si="382"/>
        <v>117.95379</v>
      </c>
      <c r="T600" s="1094">
        <f t="shared" ca="1" si="383"/>
        <v>101.33931</v>
      </c>
      <c r="U600" s="1094" t="e">
        <f t="shared" ca="1" si="384"/>
        <v>#N/A</v>
      </c>
      <c r="V600" s="1094" t="e">
        <f t="shared" ca="1" si="385"/>
        <v>#N/A</v>
      </c>
      <c r="W600" s="99" t="e">
        <f t="shared" ca="1" si="386"/>
        <v>#N/A</v>
      </c>
      <c r="X600" s="38" t="e">
        <f t="shared" ca="1" si="392"/>
        <v>#N/A</v>
      </c>
      <c r="Y600" s="9"/>
      <c r="Z600" s="36" t="s">
        <v>1016</v>
      </c>
      <c r="AA600" s="245">
        <f ca="1">+INDEX(Segment!$A$183:$BR$192,MATCH($Z600,Segment!$A$183:$A$192,0),MATCH(AA$593,IS!$A$60:$BR$60,0))</f>
        <v>0.02</v>
      </c>
      <c r="AB600" s="245">
        <f ca="1">+INDEX(Segment!$A$183:$BR$192,MATCH($Z600,Segment!$A$183:$A$192,0),MATCH(AB$593,IS!$A$60:$BR$60,0))</f>
        <v>0.03</v>
      </c>
      <c r="AC600" s="245">
        <f ca="1">+INDEX(Segment!$A$183:$BR$192,MATCH($Z600,Segment!$A$183:$A$192,0),MATCH(AC$593,IS!$A$60:$BR$60,0))</f>
        <v>0.02</v>
      </c>
      <c r="AD600" s="245">
        <f ca="1">+INDEX(Segment!$A$183:$BR$192,MATCH($Z600,Segment!$A$183:$A$192,0),MATCH(AD$593,IS!$A$60:$BR$60,0))</f>
        <v>0.03</v>
      </c>
      <c r="AE600" s="9"/>
      <c r="AF600" s="99">
        <f t="shared" ca="1" si="387"/>
        <v>12.26</v>
      </c>
      <c r="AG600" s="99">
        <f t="shared" ca="1" si="388"/>
        <v>17.04</v>
      </c>
      <c r="AH600" s="99" t="e">
        <f t="shared" ca="1" si="389"/>
        <v>#N/A</v>
      </c>
      <c r="AI600" s="99" t="e">
        <f t="shared" ca="1" si="390"/>
        <v>#N/A</v>
      </c>
      <c r="AJ600" s="99" t="e">
        <f t="shared" ca="1" si="391"/>
        <v>#N/A</v>
      </c>
      <c r="AK600" s="38" t="e">
        <f t="shared" ca="1" si="393"/>
        <v>#N/A</v>
      </c>
      <c r="AL600" s="9"/>
      <c r="AM600" s="36" t="s">
        <v>1016</v>
      </c>
      <c r="AN600" s="245">
        <f ca="1">+INDEX(Segment!$520:$532,MATCH($AM600,Segment!$A$520:$A$532,0),MATCH(AN$593,Segment!$3:$3,0))</f>
        <v>0</v>
      </c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296"/>
      <c r="BI600" s="296"/>
      <c r="BJ600" s="296"/>
      <c r="BK600" s="296"/>
      <c r="BL600" s="296"/>
      <c r="BM600" s="296"/>
      <c r="BN600" s="296"/>
      <c r="BO600" s="296"/>
      <c r="BP600" s="296"/>
      <c r="BQ600" s="296"/>
      <c r="BR600" s="296"/>
      <c r="BS600" s="296"/>
      <c r="BT600" s="296"/>
      <c r="BU600" s="296"/>
      <c r="BV600" s="296"/>
      <c r="BW600" s="296"/>
      <c r="BX600" s="296"/>
      <c r="BY600" s="296"/>
      <c r="BZ600" s="9"/>
      <c r="CA600" s="9"/>
      <c r="CB600" s="9"/>
      <c r="CC600" s="9"/>
      <c r="CD600" s="9"/>
    </row>
    <row r="601" spans="1:82">
      <c r="A601" s="36" t="s">
        <v>1015</v>
      </c>
      <c r="B601" s="245">
        <f ca="1">+INDEX(Segment!$A$157:$BR$166,MATCH($A601,Segment!$A$157:$A$166,0),MATCH(Charts_Support!B$607,IS!$A$60:$BR$60,0))</f>
        <v>3.5020172910662823E-3</v>
      </c>
      <c r="C601" s="245">
        <f ca="1">+INDEX(Segment!$A$157:$BR$166,MATCH($A601,Segment!$A$157:$A$166,0),MATCH(Charts_Support!C$607,IS!$A$60:$BR$60,0))</f>
        <v>3.3811230585424133E-3</v>
      </c>
      <c r="D601" s="245">
        <f ca="1">+INDEX(Segment!$A$157:$BR$166,MATCH($A601,Segment!$A$157:$A$166,0),MATCH(Charts_Support!D$607,IS!$A$60:$BR$60,0))</f>
        <v>3.1421729266448198E-3</v>
      </c>
      <c r="E601" s="245">
        <f ca="1">+INDEX(Segment!$A$157:$BR$166,MATCH($A601,Segment!$A$157:$A$166,0),MATCH(Charts_Support!E$607,IS!$A$60:$BR$60,0))</f>
        <v>3.4151011128395357E-3</v>
      </c>
      <c r="F601" s="91"/>
      <c r="G601" s="36" t="s">
        <v>1015</v>
      </c>
      <c r="H601" s="245">
        <f ca="1">+INDEX(Segment!$A$196:$BR$205,MATCH($G601,Segment!$A$196:$A$205,0),MATCH(H$593,IS!$A$60:$BR$60,0))</f>
        <v>0.01</v>
      </c>
      <c r="I601" s="245">
        <f ca="1">+INDEX(Segment!$A$196:$BR$205,MATCH($G601,Segment!$A$196:$A$205,0),MATCH(I$593,IS!$A$60:$BR$60,0))</f>
        <v>0.02</v>
      </c>
      <c r="J601" s="245">
        <f ca="1">+INDEX(Segment!$A$196:$BR$205,MATCH($G601,Segment!$A$196:$A$205,0),MATCH(J$593,IS!$A$60:$BR$60,0))</f>
        <v>0.01</v>
      </c>
      <c r="K601" s="245">
        <f ca="1">+INDEX(Segment!$A$196:$BR$205,MATCH($G601,Segment!$A$196:$A$205,0),MATCH(K$593,IS!$A$60:$BR$60,0))</f>
        <v>0.02</v>
      </c>
      <c r="L601" s="91"/>
      <c r="M601" s="36" t="s">
        <v>1015</v>
      </c>
      <c r="N601" s="245">
        <f ca="1">+INDEX(Segment!$A$144:$BR$153,MATCH($M601,Segment!$A$144:$A$153,0),MATCH(N$593,IS!$A$60:$BR$60,0))</f>
        <v>0.01</v>
      </c>
      <c r="O601" s="245">
        <f ca="1">+INDEX(Segment!$A$144:$BR$153,MATCH($M601,Segment!$A$144:$A$153,0),MATCH(O$593,IS!$A$60:$BR$60,0))</f>
        <v>0.01</v>
      </c>
      <c r="P601" s="245">
        <f ca="1">+INDEX(Segment!$A$144:$BR$153,MATCH($M601,Segment!$A$144:$A$153,0),MATCH(P$593,IS!$A$60:$BR$60,0))</f>
        <v>0.01</v>
      </c>
      <c r="Q601" s="245">
        <f ca="1">+INDEX(Segment!$A$144:$BR$153,MATCH($M601,Segment!$A$144:$A$153,0),MATCH(Q$593,IS!$A$60:$BR$60,0))</f>
        <v>0.01</v>
      </c>
      <c r="R601" s="91"/>
      <c r="S601" s="1094">
        <f t="shared" ca="1" si="382"/>
        <v>39.317930000000004</v>
      </c>
      <c r="T601" s="1094">
        <f t="shared" ca="1" si="383"/>
        <v>33.779769999999999</v>
      </c>
      <c r="U601" s="1094" t="e">
        <f t="shared" ca="1" si="384"/>
        <v>#N/A</v>
      </c>
      <c r="V601" s="1094" t="e">
        <f t="shared" ca="1" si="385"/>
        <v>#N/A</v>
      </c>
      <c r="W601" s="99" t="e">
        <f t="shared" ca="1" si="386"/>
        <v>#N/A</v>
      </c>
      <c r="X601" s="38" t="e">
        <f t="shared" ca="1" si="392"/>
        <v>#N/A</v>
      </c>
      <c r="Y601" s="9"/>
      <c r="Z601" s="36" t="s">
        <v>1015</v>
      </c>
      <c r="AA601" s="245">
        <f ca="1">+INDEX(Segment!$A$183:$BR$192,MATCH($Z601,Segment!$A$183:$A$192,0),MATCH(AA$593,IS!$A$60:$BR$60,0))</f>
        <v>0.01</v>
      </c>
      <c r="AB601" s="245">
        <f ca="1">+INDEX(Segment!$A$183:$BR$192,MATCH($Z601,Segment!$A$183:$A$192,0),MATCH(AB$593,IS!$A$60:$BR$60,0))</f>
        <v>0.01</v>
      </c>
      <c r="AC601" s="245">
        <f ca="1">+INDEX(Segment!$A$183:$BR$192,MATCH($Z601,Segment!$A$183:$A$192,0),MATCH(AC$593,IS!$A$60:$BR$60,0))</f>
        <v>0.01</v>
      </c>
      <c r="AD601" s="245">
        <f ca="1">+INDEX(Segment!$A$183:$BR$192,MATCH($Z601,Segment!$A$183:$A$192,0),MATCH(AD$593,IS!$A$60:$BR$60,0))</f>
        <v>0.01</v>
      </c>
      <c r="AE601" s="9"/>
      <c r="AF601" s="99">
        <f t="shared" ca="1" si="387"/>
        <v>6.13</v>
      </c>
      <c r="AG601" s="99">
        <f t="shared" ca="1" si="388"/>
        <v>5.68</v>
      </c>
      <c r="AH601" s="99" t="e">
        <f t="shared" ca="1" si="389"/>
        <v>#N/A</v>
      </c>
      <c r="AI601" s="99" t="e">
        <f t="shared" ca="1" si="390"/>
        <v>#N/A</v>
      </c>
      <c r="AJ601" s="99" t="e">
        <f t="shared" ca="1" si="391"/>
        <v>#N/A</v>
      </c>
      <c r="AK601" s="38" t="e">
        <f t="shared" ca="1" si="393"/>
        <v>#N/A</v>
      </c>
      <c r="AL601" s="9"/>
      <c r="AM601" s="36" t="s">
        <v>1015</v>
      </c>
      <c r="AN601" s="245">
        <f ca="1">+INDEX(Segment!$520:$532,MATCH($AM601,Segment!$A$520:$A$532,0),MATCH(AN$593,Segment!$3:$3,0))</f>
        <v>0</v>
      </c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296"/>
      <c r="BI601" s="296"/>
      <c r="BJ601" s="296"/>
      <c r="BK601" s="296"/>
      <c r="BL601" s="296"/>
      <c r="BM601" s="296"/>
      <c r="BN601" s="296"/>
      <c r="BO601" s="296"/>
      <c r="BP601" s="296"/>
      <c r="BQ601" s="296"/>
      <c r="BR601" s="296"/>
      <c r="BS601" s="296"/>
      <c r="BT601" s="296"/>
      <c r="BU601" s="296"/>
      <c r="BV601" s="296"/>
      <c r="BW601" s="296"/>
      <c r="BX601" s="296"/>
      <c r="BY601" s="296"/>
      <c r="BZ601" s="9"/>
      <c r="CA601" s="9"/>
      <c r="CB601" s="9"/>
      <c r="CC601" s="9"/>
      <c r="CD601" s="9"/>
    </row>
    <row r="602" spans="1:82">
      <c r="A602" s="36" t="s">
        <v>1017</v>
      </c>
      <c r="B602" s="245">
        <f ca="1">+INDEX(Segment!$A$157:$BR$166,MATCH($A602,Segment!$A$157:$A$166,0),MATCH(Charts_Support!B$607,IS!$A$60:$BR$60,0))</f>
        <v>0</v>
      </c>
      <c r="C602" s="245">
        <f ca="1">+INDEX(Segment!$A$157:$BR$166,MATCH($A602,Segment!$A$157:$A$166,0),MATCH(Charts_Support!C$607,IS!$A$60:$BR$60,0))</f>
        <v>0</v>
      </c>
      <c r="D602" s="245">
        <f ca="1">+INDEX(Segment!$A$157:$BR$166,MATCH($A602,Segment!$A$157:$A$166,0),MATCH(Charts_Support!D$607,IS!$A$60:$BR$60,0))</f>
        <v>0</v>
      </c>
      <c r="E602" s="245">
        <f ca="1">+INDEX(Segment!$A$157:$BR$166,MATCH($A602,Segment!$A$157:$A$166,0),MATCH(Charts_Support!E$607,IS!$A$60:$BR$60,0))</f>
        <v>0</v>
      </c>
      <c r="F602" s="91"/>
      <c r="G602" s="36" t="s">
        <v>1017</v>
      </c>
      <c r="H602" s="245">
        <f ca="1">+INDEX(Segment!$A$196:$BR$205,MATCH($G602,Segment!$A$196:$A$205,0),MATCH(H$593,IS!$A$60:$BR$60,0))</f>
        <v>0</v>
      </c>
      <c r="I602" s="245">
        <f ca="1">+INDEX(Segment!$A$196:$BR$205,MATCH($G602,Segment!$A$196:$A$205,0),MATCH(I$593,IS!$A$60:$BR$60,0))</f>
        <v>0</v>
      </c>
      <c r="J602" s="245">
        <f ca="1">+INDEX(Segment!$A$196:$BR$205,MATCH($G602,Segment!$A$196:$A$205,0),MATCH(J$593,IS!$A$60:$BR$60,0))</f>
        <v>0</v>
      </c>
      <c r="K602" s="245">
        <f ca="1">+INDEX(Segment!$A$196:$BR$205,MATCH($G602,Segment!$A$196:$A$205,0),MATCH(K$593,IS!$A$60:$BR$60,0))</f>
        <v>0</v>
      </c>
      <c r="L602" s="91"/>
      <c r="M602" s="36" t="s">
        <v>1017</v>
      </c>
      <c r="N602" s="245">
        <f ca="1">+INDEX(Segment!$A$144:$BR$153,MATCH($M602,Segment!$A$144:$A$153,0),MATCH(N$593,IS!$A$60:$BR$60,0))</f>
        <v>0</v>
      </c>
      <c r="O602" s="245">
        <f ca="1">+INDEX(Segment!$A$144:$BR$153,MATCH($M602,Segment!$A$144:$A$153,0),MATCH(O$593,IS!$A$60:$BR$60,0))</f>
        <v>0</v>
      </c>
      <c r="P602" s="245">
        <f ca="1">+INDEX(Segment!$A$144:$BR$153,MATCH($M602,Segment!$A$144:$A$153,0),MATCH(P$593,IS!$A$60:$BR$60,0))</f>
        <v>0</v>
      </c>
      <c r="Q602" s="245">
        <f ca="1">+INDEX(Segment!$A$144:$BR$153,MATCH($M602,Segment!$A$144:$A$153,0),MATCH(Q$593,IS!$A$60:$BR$60,0))</f>
        <v>0</v>
      </c>
      <c r="R602" s="91"/>
      <c r="S602" s="1094">
        <f t="shared" ca="1" si="382"/>
        <v>0</v>
      </c>
      <c r="T602" s="1094">
        <f t="shared" ca="1" si="383"/>
        <v>0</v>
      </c>
      <c r="U602" s="1094" t="e">
        <f t="shared" ca="1" si="384"/>
        <v>#N/A</v>
      </c>
      <c r="V602" s="1094" t="e">
        <f t="shared" ca="1" si="385"/>
        <v>#N/A</v>
      </c>
      <c r="W602" s="99" t="e">
        <f t="shared" ca="1" si="386"/>
        <v>#N/A</v>
      </c>
      <c r="X602" s="38" t="e">
        <f t="shared" ca="1" si="392"/>
        <v>#N/A</v>
      </c>
      <c r="Y602" s="9"/>
      <c r="Z602" s="36" t="s">
        <v>1017</v>
      </c>
      <c r="AA602" s="245">
        <f ca="1">+INDEX(Segment!$A$183:$BR$192,MATCH($Z602,Segment!$A$183:$A$192,0),MATCH(AA$593,IS!$A$60:$BR$60,0))</f>
        <v>0</v>
      </c>
      <c r="AB602" s="245">
        <f ca="1">+INDEX(Segment!$A$183:$BR$192,MATCH($Z602,Segment!$A$183:$A$192,0),MATCH(AB$593,IS!$A$60:$BR$60,0))</f>
        <v>0</v>
      </c>
      <c r="AC602" s="245">
        <f ca="1">+INDEX(Segment!$A$183:$BR$192,MATCH($Z602,Segment!$A$183:$A$192,0),MATCH(AC$593,IS!$A$60:$BR$60,0))</f>
        <v>0</v>
      </c>
      <c r="AD602" s="245">
        <f ca="1">+INDEX(Segment!$A$183:$BR$192,MATCH($Z602,Segment!$A$183:$A$192,0),MATCH(AD$593,IS!$A$60:$BR$60,0))</f>
        <v>0</v>
      </c>
      <c r="AE602" s="9"/>
      <c r="AF602" s="99">
        <f t="shared" ca="1" si="387"/>
        <v>0</v>
      </c>
      <c r="AG602" s="99">
        <f t="shared" ca="1" si="388"/>
        <v>0</v>
      </c>
      <c r="AH602" s="99" t="e">
        <f t="shared" ca="1" si="389"/>
        <v>#N/A</v>
      </c>
      <c r="AI602" s="99" t="e">
        <f t="shared" ca="1" si="390"/>
        <v>#N/A</v>
      </c>
      <c r="AJ602" s="99" t="e">
        <f t="shared" ca="1" si="391"/>
        <v>#N/A</v>
      </c>
      <c r="AK602" s="38" t="e">
        <f t="shared" ca="1" si="393"/>
        <v>#N/A</v>
      </c>
      <c r="AL602" s="9"/>
      <c r="AM602" s="36" t="s">
        <v>1017</v>
      </c>
      <c r="AN602" s="245">
        <f ca="1">+INDEX(Segment!$520:$532,MATCH($AM602,Segment!$A$520:$A$532,0),MATCH(AN$593,Segment!$3:$3,0))</f>
        <v>0</v>
      </c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296"/>
      <c r="BI602" s="296"/>
      <c r="BJ602" s="296"/>
      <c r="BK602" s="296"/>
      <c r="BL602" s="296"/>
      <c r="BM602" s="296"/>
      <c r="BN602" s="296"/>
      <c r="BO602" s="296"/>
      <c r="BP602" s="296"/>
      <c r="BQ602" s="296"/>
      <c r="BR602" s="296"/>
      <c r="BS602" s="296"/>
      <c r="BT602" s="296"/>
      <c r="BU602" s="296"/>
      <c r="BV602" s="296"/>
      <c r="BW602" s="296"/>
      <c r="BX602" s="296"/>
      <c r="BY602" s="296"/>
      <c r="BZ602" s="9"/>
      <c r="CA602" s="9"/>
      <c r="CB602" s="9"/>
      <c r="CC602" s="9"/>
      <c r="CD602" s="9"/>
    </row>
    <row r="603" spans="1:82">
      <c r="A603" s="36" t="s">
        <v>1120</v>
      </c>
      <c r="B603" s="245">
        <f ca="1">+INDEX(Segment!$A$157:$BR$166,MATCH($A603,Segment!$A$157:$A$166,0),MATCH(Charts_Support!B$607,IS!$A$60:$BR$60,0))</f>
        <v>4.5485878962536024E-2</v>
      </c>
      <c r="C603" s="245">
        <f ca="1">+INDEX(Segment!$A$157:$BR$166,MATCH($A603,Segment!$A$157:$A$166,0),MATCH(Charts_Support!C$607,IS!$A$60:$BR$60,0))</f>
        <v>4.633213859020311E-2</v>
      </c>
      <c r="D603" s="245">
        <f ca="1">+INDEX(Segment!$A$157:$BR$166,MATCH($A603,Segment!$A$157:$A$166,0),MATCH(Charts_Support!D$607,IS!$A$60:$BR$60,0))</f>
        <v>4.8004789513486266E-2</v>
      </c>
      <c r="E603" s="245">
        <f ca="1">+INDEX(Segment!$A$157:$BR$166,MATCH($A603,Segment!$A$157:$A$166,0),MATCH(Charts_Support!E$607,IS!$A$60:$BR$60,0))</f>
        <v>4.6094292210123254E-2</v>
      </c>
      <c r="F603" s="91"/>
      <c r="G603" s="36" t="s">
        <v>1120</v>
      </c>
      <c r="H603" s="245">
        <f ca="1">+INDEX(Segment!$A$196:$BR$205,MATCH($G603,Segment!$A$196:$A$205,0),MATCH(H$593,IS!$A$60:$BR$60,0))</f>
        <v>0.01</v>
      </c>
      <c r="I603" s="245">
        <f ca="1">+INDEX(Segment!$A$196:$BR$205,MATCH($G603,Segment!$A$196:$A$205,0),MATCH(I$593,IS!$A$60:$BR$60,0))</f>
        <v>0.02</v>
      </c>
      <c r="J603" s="245">
        <f ca="1">+INDEX(Segment!$A$196:$BR$205,MATCH($G603,Segment!$A$196:$A$205,0),MATCH(J$593,IS!$A$60:$BR$60,0))</f>
        <v>0.02</v>
      </c>
      <c r="K603" s="245">
        <f ca="1">+INDEX(Segment!$A$196:$BR$205,MATCH($G603,Segment!$A$196:$A$205,0),MATCH(K$593,IS!$A$60:$BR$60,0))</f>
        <v>0.02</v>
      </c>
      <c r="L603" s="91"/>
      <c r="M603" s="36" t="s">
        <v>1120</v>
      </c>
      <c r="N603" s="245">
        <f ca="1">+INDEX(Segment!$A$144:$BR$153,MATCH($M603,Segment!$A$144:$A$153,0),MATCH(N$593,IS!$A$60:$BR$60,0))</f>
        <v>0</v>
      </c>
      <c r="O603" s="245">
        <f ca="1">+INDEX(Segment!$A$144:$BR$153,MATCH($M603,Segment!$A$144:$A$153,0),MATCH(O$593,IS!$A$60:$BR$60,0))</f>
        <v>0</v>
      </c>
      <c r="P603" s="245">
        <f ca="1">+INDEX(Segment!$A$144:$BR$153,MATCH($M603,Segment!$A$144:$A$153,0),MATCH(P$593,IS!$A$60:$BR$60,0))</f>
        <v>0</v>
      </c>
      <c r="Q603" s="245">
        <f ca="1">+INDEX(Segment!$A$144:$BR$153,MATCH($M603,Segment!$A$144:$A$153,0),MATCH(Q$593,IS!$A$60:$BR$60,0))</f>
        <v>0</v>
      </c>
      <c r="R603" s="91"/>
      <c r="S603" s="1094">
        <f t="shared" ca="1" si="382"/>
        <v>0</v>
      </c>
      <c r="T603" s="1094">
        <f t="shared" ca="1" si="383"/>
        <v>0</v>
      </c>
      <c r="U603" s="1094" t="e">
        <f t="shared" ca="1" si="384"/>
        <v>#N/A</v>
      </c>
      <c r="V603" s="1094" t="e">
        <f t="shared" ca="1" si="385"/>
        <v>#N/A</v>
      </c>
      <c r="W603" s="99" t="e">
        <f t="shared" ca="1" si="386"/>
        <v>#N/A</v>
      </c>
      <c r="X603" s="38" t="e">
        <f t="shared" ca="1" si="392"/>
        <v>#N/A</v>
      </c>
      <c r="Y603" s="9"/>
      <c r="Z603" s="36" t="s">
        <v>1120</v>
      </c>
      <c r="AA603" s="245">
        <f ca="1">+INDEX(Segment!$A$183:$BR$192,MATCH($Z603,Segment!$A$183:$A$192,0),MATCH(AA$593,IS!$A$60:$BR$60,0))</f>
        <v>0</v>
      </c>
      <c r="AB603" s="245">
        <f ca="1">+INDEX(Segment!$A$183:$BR$192,MATCH($Z603,Segment!$A$183:$A$192,0),MATCH(AB$593,IS!$A$60:$BR$60,0))</f>
        <v>0</v>
      </c>
      <c r="AC603" s="245">
        <f ca="1">+INDEX(Segment!$A$183:$BR$192,MATCH($Z603,Segment!$A$183:$A$192,0),MATCH(AC$593,IS!$A$60:$BR$60,0))</f>
        <v>0</v>
      </c>
      <c r="AD603" s="245">
        <f ca="1">+INDEX(Segment!$A$183:$BR$192,MATCH($Z603,Segment!$A$183:$A$192,0),MATCH(AD$593,IS!$A$60:$BR$60,0))</f>
        <v>0</v>
      </c>
      <c r="AE603" s="9"/>
      <c r="AF603" s="99">
        <f t="shared" ca="1" si="387"/>
        <v>0</v>
      </c>
      <c r="AG603" s="99">
        <f t="shared" ca="1" si="388"/>
        <v>0</v>
      </c>
      <c r="AH603" s="99" t="e">
        <f t="shared" ca="1" si="389"/>
        <v>#N/A</v>
      </c>
      <c r="AI603" s="99" t="e">
        <f t="shared" ca="1" si="390"/>
        <v>#N/A</v>
      </c>
      <c r="AJ603" s="99" t="e">
        <f t="shared" ca="1" si="391"/>
        <v>#N/A</v>
      </c>
      <c r="AK603" s="38" t="e">
        <f t="shared" ca="1" si="393"/>
        <v>#N/A</v>
      </c>
      <c r="AL603" s="9"/>
      <c r="AM603" s="36" t="s">
        <v>1120</v>
      </c>
      <c r="AN603" s="245">
        <f ca="1">+INDEX(Segment!$520:$532,MATCH($AM603,Segment!$A$520:$A$532,0),MATCH(AN$593,Segment!$3:$3,0))</f>
        <v>0</v>
      </c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296"/>
      <c r="BI603" s="296"/>
      <c r="BJ603" s="296"/>
      <c r="BK603" s="296"/>
      <c r="BL603" s="296"/>
      <c r="BM603" s="296"/>
      <c r="BN603" s="296"/>
      <c r="BO603" s="296"/>
      <c r="BP603" s="296"/>
      <c r="BQ603" s="296"/>
      <c r="BR603" s="296"/>
      <c r="BS603" s="296"/>
      <c r="BT603" s="296"/>
      <c r="BU603" s="296"/>
      <c r="BV603" s="296"/>
      <c r="BW603" s="296"/>
      <c r="BX603" s="296"/>
      <c r="BY603" s="296"/>
      <c r="BZ603" s="9"/>
      <c r="CA603" s="9"/>
      <c r="CB603" s="9"/>
      <c r="CC603" s="9"/>
      <c r="CD603" s="9"/>
    </row>
    <row r="604" spans="1:82">
      <c r="A604" s="36" t="s">
        <v>331</v>
      </c>
      <c r="B604" s="245">
        <f ca="1">+INDEX(Segment!$A$157:$BR$166,MATCH($A604,Segment!$A$157:$A$166,0),MATCH(Charts_Support!B$607,IS!$A$60:$BR$60,0))</f>
        <v>2.6497982708933714E-2</v>
      </c>
      <c r="C604" s="245">
        <f ca="1">+INDEX(Segment!$A$157:$BR$166,MATCH($A604,Segment!$A$157:$A$166,0),MATCH(Charts_Support!C$607,IS!$A$60:$BR$60,0))</f>
        <v>2.6618876941457585E-2</v>
      </c>
      <c r="D604" s="245">
        <f ca="1">+INDEX(Segment!$A$157:$BR$166,MATCH($A604,Segment!$A$157:$A$166,0),MATCH(Charts_Support!D$607,IS!$A$60:$BR$60,0))</f>
        <v>2.6857827073355177E-2</v>
      </c>
      <c r="E604" s="245">
        <f ca="1">+INDEX(Segment!$A$157:$BR$166,MATCH($A604,Segment!$A$157:$A$166,0),MATCH(Charts_Support!E$607,IS!$A$60:$BR$60,0))</f>
        <v>2.6584898887160466E-2</v>
      </c>
      <c r="F604" s="91"/>
      <c r="G604" s="36" t="s">
        <v>331</v>
      </c>
      <c r="H604" s="245">
        <f ca="1">+INDEX(Segment!$A$196:$BR$205,MATCH($G604,Segment!$A$196:$A$205,0),MATCH(H$593,IS!$A$60:$BR$60,0))</f>
        <v>0.11</v>
      </c>
      <c r="I604" s="245">
        <f ca="1">+INDEX(Segment!$A$196:$BR$205,MATCH($G604,Segment!$A$196:$A$205,0),MATCH(I$593,IS!$A$60:$BR$60,0))</f>
        <v>0.13</v>
      </c>
      <c r="J604" s="245">
        <f ca="1">+INDEX(Segment!$A$196:$BR$205,MATCH($G604,Segment!$A$196:$A$205,0),MATCH(J$593,IS!$A$60:$BR$60,0))</f>
        <v>0.11000000000000001</v>
      </c>
      <c r="K604" s="245">
        <f ca="1">+INDEX(Segment!$A$196:$BR$205,MATCH($G604,Segment!$A$196:$A$205,0),MATCH(K$593,IS!$A$60:$BR$60,0))</f>
        <v>0.12000000000000001</v>
      </c>
      <c r="L604" s="91"/>
      <c r="M604" s="36" t="s">
        <v>331</v>
      </c>
      <c r="N604" s="245">
        <f ca="1">+INDEX(Segment!$A$144:$BR$153,MATCH($M604,Segment!$A$144:$A$153,0),MATCH(N$593,IS!$A$60:$BR$60,0))</f>
        <v>0.02</v>
      </c>
      <c r="O604" s="245">
        <f ca="1">+INDEX(Segment!$A$144:$BR$153,MATCH($M604,Segment!$A$144:$A$153,0),MATCH(O$593,IS!$A$60:$BR$60,0))</f>
        <v>0.02</v>
      </c>
      <c r="P604" s="245">
        <f ca="1">+INDEX(Segment!$A$144:$BR$153,MATCH($M604,Segment!$A$144:$A$153,0),MATCH(P$593,IS!$A$60:$BR$60,0))</f>
        <v>0.02</v>
      </c>
      <c r="Q604" s="245">
        <f ca="1">+INDEX(Segment!$A$144:$BR$153,MATCH($M604,Segment!$A$144:$A$153,0),MATCH(Q$593,IS!$A$60:$BR$60,0))</f>
        <v>0.02</v>
      </c>
      <c r="R604" s="91"/>
      <c r="S604" s="1094">
        <f t="shared" ca="1" si="382"/>
        <v>78.635860000000008</v>
      </c>
      <c r="T604" s="1094">
        <f t="shared" ca="1" si="383"/>
        <v>67.559539999999998</v>
      </c>
      <c r="U604" s="1094" t="e">
        <f t="shared" ca="1" si="384"/>
        <v>#N/A</v>
      </c>
      <c r="V604" s="1094" t="e">
        <f t="shared" ca="1" si="385"/>
        <v>#N/A</v>
      </c>
      <c r="W604" s="99" t="e">
        <f t="shared" ca="1" si="386"/>
        <v>#N/A</v>
      </c>
      <c r="X604" s="38" t="e">
        <f t="shared" ca="1" si="392"/>
        <v>#N/A</v>
      </c>
      <c r="Y604" s="9"/>
      <c r="Z604" s="36" t="s">
        <v>331</v>
      </c>
      <c r="AA604" s="245">
        <f ca="1">+INDEX(Segment!$A$183:$BR$192,MATCH($Z604,Segment!$A$183:$A$192,0),MATCH(AA$593,IS!$A$60:$BR$60,0))</f>
        <v>0.01</v>
      </c>
      <c r="AB604" s="245">
        <f ca="1">+INDEX(Segment!$A$183:$BR$192,MATCH($Z604,Segment!$A$183:$A$192,0),MATCH(AB$593,IS!$A$60:$BR$60,0))</f>
        <v>0.02</v>
      </c>
      <c r="AC604" s="245">
        <f ca="1">+INDEX(Segment!$A$183:$BR$192,MATCH($Z604,Segment!$A$183:$A$192,0),MATCH(AC$593,IS!$A$60:$BR$60,0))</f>
        <v>0.01</v>
      </c>
      <c r="AD604" s="245">
        <f ca="1">+INDEX(Segment!$A$183:$BR$192,MATCH($Z604,Segment!$A$183:$A$192,0),MATCH(AD$593,IS!$A$60:$BR$60,0))</f>
        <v>0.01</v>
      </c>
      <c r="AE604" s="9"/>
      <c r="AF604" s="99">
        <f t="shared" ca="1" si="387"/>
        <v>6.13</v>
      </c>
      <c r="AG604" s="99">
        <f t="shared" ca="1" si="388"/>
        <v>11.36</v>
      </c>
      <c r="AH604" s="99" t="e">
        <f t="shared" ca="1" si="389"/>
        <v>#N/A</v>
      </c>
      <c r="AI604" s="99" t="e">
        <f t="shared" ca="1" si="390"/>
        <v>#N/A</v>
      </c>
      <c r="AJ604" s="99" t="e">
        <f t="shared" ca="1" si="391"/>
        <v>#N/A</v>
      </c>
      <c r="AK604" s="38" t="e">
        <f t="shared" ca="1" si="393"/>
        <v>#N/A</v>
      </c>
      <c r="AL604" s="9"/>
      <c r="AM604" s="36" t="s">
        <v>331</v>
      </c>
      <c r="AN604" s="245">
        <f ca="1">+INDEX(Segment!$520:$532,MATCH($AM604,Segment!$A$520:$A$532,0),MATCH(AN$593,Segment!$3:$3,0))</f>
        <v>0</v>
      </c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296"/>
      <c r="BI604" s="296"/>
      <c r="BJ604" s="296"/>
      <c r="BK604" s="296"/>
      <c r="BL604" s="296"/>
      <c r="BM604" s="296"/>
      <c r="BN604" s="296"/>
      <c r="BO604" s="296"/>
      <c r="BP604" s="296"/>
      <c r="BQ604" s="296"/>
      <c r="BR604" s="296"/>
      <c r="BS604" s="296"/>
      <c r="BT604" s="296"/>
      <c r="BU604" s="296"/>
      <c r="BV604" s="296"/>
      <c r="BW604" s="296"/>
      <c r="BX604" s="296"/>
      <c r="BY604" s="296"/>
      <c r="BZ604" s="9"/>
      <c r="CA604" s="9"/>
      <c r="CB604" s="9"/>
      <c r="CC604" s="9"/>
      <c r="CD604" s="9"/>
    </row>
    <row r="605" spans="1:82">
      <c r="A605" s="513" t="s">
        <v>325</v>
      </c>
      <c r="B605" s="1086">
        <f ca="1">SUM(B593:B604)</f>
        <v>0.99999999999999989</v>
      </c>
      <c r="C605" s="1086">
        <f ca="1">SUM(C593:C604)</f>
        <v>1</v>
      </c>
      <c r="D605" s="1086">
        <f ca="1">SUM(D593:D604)</f>
        <v>1.0000000000000002</v>
      </c>
      <c r="E605" s="1086">
        <f ca="1">SUM(E593:E604)</f>
        <v>0.99999999999999989</v>
      </c>
      <c r="F605" s="91"/>
      <c r="G605" s="513" t="s">
        <v>325</v>
      </c>
      <c r="H605" s="1086">
        <f ca="1">SUM(H594:H604)</f>
        <v>1</v>
      </c>
      <c r="I605" s="1086">
        <f ca="1">SUM(I594:I604)</f>
        <v>1</v>
      </c>
      <c r="J605" s="1086">
        <f ca="1">SUM(J594:J604)</f>
        <v>1</v>
      </c>
      <c r="K605" s="1086">
        <f ca="1">SUM(K594:K604)</f>
        <v>1</v>
      </c>
      <c r="L605" s="91"/>
      <c r="M605" s="513" t="s">
        <v>325</v>
      </c>
      <c r="N605" s="1086">
        <f ca="1">SUM(N593:N604)</f>
        <v>1</v>
      </c>
      <c r="O605" s="1086">
        <f ca="1">SUM(O593:O604)</f>
        <v>1</v>
      </c>
      <c r="P605" s="1086">
        <f ca="1">SUM(P593:P604)</f>
        <v>1</v>
      </c>
      <c r="Q605" s="1086">
        <f ca="1">+SUM(Q594:Q604)</f>
        <v>1</v>
      </c>
      <c r="R605" s="91"/>
      <c r="S605" s="1490">
        <f ca="1">+SUM(S594:S604)</f>
        <v>3931.7930000000006</v>
      </c>
      <c r="T605" s="1490">
        <f ca="1">+SUM(T594:T604)</f>
        <v>3377.9770000000003</v>
      </c>
      <c r="U605" s="1490" t="e">
        <f ca="1">+SUM(U594:U604)</f>
        <v>#N/A</v>
      </c>
      <c r="V605" s="1490" t="e">
        <f ca="1">+SUM(V594:V604)</f>
        <v>#N/A</v>
      </c>
      <c r="W605" s="1490" t="e">
        <f ca="1">+SUM(W594:W604)</f>
        <v>#N/A</v>
      </c>
      <c r="X605" s="931" t="e">
        <f t="shared" ca="1" si="392"/>
        <v>#N/A</v>
      </c>
      <c r="Y605" s="9"/>
      <c r="Z605" s="513" t="s">
        <v>325</v>
      </c>
      <c r="AA605" s="1086">
        <f ca="1">SUM(AA594:AA604)</f>
        <v>1</v>
      </c>
      <c r="AB605" s="1086">
        <f ca="1">SUM(AB594:AB604)</f>
        <v>1</v>
      </c>
      <c r="AC605" s="1086">
        <f ca="1">SUM(AC594:AC604)</f>
        <v>1</v>
      </c>
      <c r="AD605" s="1086">
        <f ca="1">SUM(AD594:AD604)</f>
        <v>1</v>
      </c>
      <c r="AE605" s="9"/>
      <c r="AF605" s="1490">
        <f ca="1">+SUM(AF594:AF604)</f>
        <v>613</v>
      </c>
      <c r="AG605" s="1490">
        <f ca="1">+SUM(AG594:AG604)</f>
        <v>568</v>
      </c>
      <c r="AH605" s="1490" t="e">
        <f ca="1">+SUM(AH594:AH604)</f>
        <v>#N/A</v>
      </c>
      <c r="AI605" s="1490" t="e">
        <f ca="1">+SUM(AI594:AI604)</f>
        <v>#N/A</v>
      </c>
      <c r="AJ605" s="1490" t="e">
        <f ca="1">+SUM(AJ594:AJ604)</f>
        <v>#N/A</v>
      </c>
      <c r="AK605" s="931" t="e">
        <f t="shared" ca="1" si="393"/>
        <v>#N/A</v>
      </c>
      <c r="AL605" s="9"/>
      <c r="AM605" s="513" t="s">
        <v>325</v>
      </c>
      <c r="AN605" s="1086">
        <f ca="1">SUM(AN594:AN604)</f>
        <v>0</v>
      </c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296"/>
      <c r="BI605" s="296"/>
      <c r="BJ605" s="296"/>
      <c r="BK605" s="296"/>
      <c r="BL605" s="296"/>
      <c r="BM605" s="296"/>
      <c r="BN605" s="296"/>
      <c r="BO605" s="296"/>
      <c r="BP605" s="296"/>
      <c r="BQ605" s="296"/>
      <c r="BR605" s="296"/>
      <c r="BS605" s="296"/>
      <c r="BT605" s="296"/>
      <c r="BU605" s="296"/>
      <c r="BV605" s="296"/>
      <c r="BW605" s="296"/>
      <c r="BX605" s="296"/>
      <c r="BY605" s="296"/>
      <c r="BZ605" s="9"/>
      <c r="CA605" s="9"/>
      <c r="CB605" s="9"/>
      <c r="CC605" s="9"/>
      <c r="CD605" s="9"/>
    </row>
    <row r="606" spans="1:82">
      <c r="A606" s="513"/>
      <c r="B606" s="1086"/>
      <c r="C606" s="1086"/>
      <c r="D606" s="1086"/>
      <c r="E606" s="1086"/>
      <c r="F606" s="91"/>
      <c r="G606" s="91"/>
      <c r="H606" s="91"/>
      <c r="I606" s="91"/>
      <c r="J606" s="91"/>
      <c r="K606" s="91"/>
      <c r="L606" s="91"/>
      <c r="M606" s="1090" t="s">
        <v>949</v>
      </c>
      <c r="N606" s="1085"/>
      <c r="O606" s="1085"/>
      <c r="P606" s="1085"/>
      <c r="Q606" s="1085"/>
      <c r="R606" s="1085"/>
      <c r="S606" s="1085"/>
      <c r="T606" s="1085"/>
      <c r="U606" s="1085"/>
      <c r="V606" s="1085"/>
      <c r="W606" s="1085"/>
      <c r="X606" s="1085"/>
      <c r="Y606" s="1085"/>
      <c r="Z606" s="1085"/>
      <c r="AA606" s="1085"/>
      <c r="AB606" s="1085"/>
      <c r="AC606" s="1085"/>
      <c r="AD606" s="1085"/>
      <c r="AE606" s="1085"/>
      <c r="AF606" s="1085"/>
      <c r="AG606" s="1085"/>
      <c r="AH606" s="1085"/>
      <c r="AI606" s="1085"/>
      <c r="AJ606" s="1085"/>
      <c r="AK606" s="1085"/>
      <c r="AL606" s="1085"/>
      <c r="AM606" s="1085"/>
      <c r="AN606" s="1085"/>
      <c r="AO606" s="91"/>
      <c r="AP606" s="91"/>
      <c r="AQ606" s="91"/>
      <c r="AR606" s="91"/>
      <c r="AS606" s="91"/>
      <c r="AT606" s="91"/>
      <c r="AU606" s="91"/>
      <c r="AV606" s="296"/>
      <c r="AW606" s="296"/>
      <c r="AX606" s="296"/>
      <c r="AY606" s="296"/>
      <c r="AZ606" s="296"/>
      <c r="BA606" s="296"/>
      <c r="BB606" s="296"/>
      <c r="BC606" s="296"/>
      <c r="BD606" s="296"/>
      <c r="BE606" s="296"/>
      <c r="BF606" s="296"/>
      <c r="BG606" s="296"/>
      <c r="BH606" s="296"/>
      <c r="BI606" s="296"/>
      <c r="BJ606" s="296"/>
      <c r="BK606" s="296"/>
      <c r="BL606" s="296"/>
      <c r="BM606" s="296"/>
      <c r="BN606" s="296"/>
      <c r="BO606" s="296"/>
      <c r="BP606" s="296"/>
      <c r="BQ606" s="296"/>
      <c r="BR606" s="296"/>
      <c r="BS606" s="296"/>
      <c r="BT606" s="296"/>
      <c r="BU606" s="296"/>
      <c r="BV606" s="296"/>
      <c r="BW606" s="296"/>
      <c r="BX606" s="296"/>
      <c r="BY606" s="296"/>
      <c r="BZ606" s="9"/>
      <c r="CA606" s="9"/>
      <c r="CB606" s="9"/>
      <c r="CC606" s="9"/>
      <c r="CD606" s="9"/>
    </row>
    <row r="607" spans="1:82">
      <c r="A607" s="242" t="s">
        <v>1013</v>
      </c>
      <c r="B607" s="595" t="str">
        <f ca="1">Charts_Support!B581</f>
        <v>3Q23</v>
      </c>
      <c r="C607" s="595" t="str">
        <f ca="1">Charts_Support!C581</f>
        <v>4Q23</v>
      </c>
      <c r="D607" s="595" t="str">
        <f ca="1">Charts_Support!D581</f>
        <v>1Q24</v>
      </c>
      <c r="E607" s="595" t="str">
        <f ca="1">Charts_Support!E581</f>
        <v>2Q24</v>
      </c>
      <c r="F607" s="1282"/>
      <c r="G607" s="1282"/>
      <c r="H607" s="9"/>
      <c r="I607" s="9"/>
      <c r="J607" s="9"/>
      <c r="K607" s="9"/>
      <c r="L607" s="91"/>
      <c r="M607" s="242" t="s">
        <v>1020</v>
      </c>
      <c r="N607" s="595" t="str">
        <f ca="1">H593</f>
        <v>3Q23</v>
      </c>
      <c r="O607" s="595" t="str">
        <f ca="1">I593</f>
        <v>4Q23</v>
      </c>
      <c r="P607" s="595" t="str">
        <f ca="1">J593</f>
        <v>1Q24</v>
      </c>
      <c r="Q607" s="595" t="str">
        <f ca="1">K593</f>
        <v>2Q24</v>
      </c>
      <c r="R607" s="91"/>
      <c r="S607" s="595" t="str">
        <f ca="1">N607</f>
        <v>3Q23</v>
      </c>
      <c r="T607" s="595" t="str">
        <f ca="1">O607</f>
        <v>4Q23</v>
      </c>
      <c r="U607" s="595" t="str">
        <f ca="1">P607</f>
        <v>1Q24</v>
      </c>
      <c r="V607" s="595" t="str">
        <f ca="1">Q607</f>
        <v>2Q24</v>
      </c>
      <c r="W607" s="242" t="s">
        <v>1346</v>
      </c>
      <c r="X607" s="242" t="s">
        <v>1147</v>
      </c>
      <c r="Y607" s="9"/>
      <c r="Z607" s="242" t="s">
        <v>1331</v>
      </c>
      <c r="AA607" s="595" t="str">
        <f ca="1">N607</f>
        <v>3Q23</v>
      </c>
      <c r="AB607" s="595" t="str">
        <f ca="1">O607</f>
        <v>4Q23</v>
      </c>
      <c r="AC607" s="595" t="str">
        <f ca="1">P607</f>
        <v>1Q24</v>
      </c>
      <c r="AD607" s="595" t="str">
        <f ca="1">Q607</f>
        <v>2Q24</v>
      </c>
      <c r="AE607" s="91"/>
      <c r="AF607" s="595" t="str">
        <f ca="1">AA607</f>
        <v>3Q23</v>
      </c>
      <c r="AG607" s="595" t="str">
        <f ca="1">AB607</f>
        <v>4Q23</v>
      </c>
      <c r="AH607" s="595" t="str">
        <f ca="1">AC607</f>
        <v>1Q24</v>
      </c>
      <c r="AI607" s="595" t="str">
        <f ca="1">AD607</f>
        <v>2Q24</v>
      </c>
      <c r="AJ607" s="242" t="s">
        <v>1346</v>
      </c>
      <c r="AK607" s="242" t="s">
        <v>1147</v>
      </c>
      <c r="AL607" s="91"/>
      <c r="AM607" s="242" t="s">
        <v>1334</v>
      </c>
      <c r="AN607" s="595" t="str">
        <f ca="1">+AI607</f>
        <v>2Q24</v>
      </c>
      <c r="AO607" s="91"/>
      <c r="AP607" s="91"/>
      <c r="AQ607" s="91"/>
      <c r="AR607" s="91"/>
      <c r="AS607" s="91"/>
      <c r="AT607" s="91"/>
      <c r="AU607" s="91"/>
      <c r="AV607" s="296"/>
      <c r="AW607" s="296"/>
      <c r="AX607" s="296"/>
      <c r="AY607" s="296"/>
      <c r="AZ607" s="296"/>
      <c r="BA607" s="296"/>
      <c r="BB607" s="296"/>
      <c r="BC607" s="296"/>
      <c r="BD607" s="296"/>
      <c r="BE607" s="296"/>
      <c r="BF607" s="296"/>
      <c r="BG607" s="296"/>
      <c r="BH607" s="296"/>
      <c r="BI607" s="296"/>
      <c r="BJ607" s="296"/>
      <c r="BK607" s="296"/>
      <c r="BL607" s="296"/>
      <c r="BM607" s="296"/>
      <c r="BN607" s="296"/>
      <c r="BO607" s="296"/>
      <c r="BP607" s="296"/>
      <c r="BQ607" s="296"/>
      <c r="BR607" s="296"/>
      <c r="BS607" s="296"/>
      <c r="BT607" s="296"/>
      <c r="BU607" s="296"/>
      <c r="BV607" s="296"/>
      <c r="BW607" s="296"/>
      <c r="BX607" s="296"/>
      <c r="BY607" s="296"/>
      <c r="BZ607" s="9"/>
      <c r="CA607" s="9"/>
      <c r="CB607" s="9"/>
      <c r="CC607" s="9"/>
      <c r="CD607" s="9"/>
    </row>
    <row r="608" spans="1:82">
      <c r="A608" s="36" t="s">
        <v>1007</v>
      </c>
      <c r="B608" s="245">
        <f ca="1">+INDEX(Segment!$A$117:$BR$126,MATCH($A608,Segment!$A$117:$A$126,0),MATCH(B$607,IS!$A$60:$BR$60,0))</f>
        <v>0.23765432098765432</v>
      </c>
      <c r="C608" s="245">
        <f ca="1">+INDEX(Segment!$A$117:$BR$126,MATCH($A608,Segment!$A$117:$A$126,0),MATCH(C$607,IS!$A$60:$BR$60,0))</f>
        <v>0.23516673884798614</v>
      </c>
      <c r="D608" s="245">
        <f ca="1">+INDEX(Segment!$A$117:$BR$126,MATCH($A608,Segment!$A$117:$A$126,0),MATCH(D$607,IS!$A$60:$BR$60,0))</f>
        <v>0.23593073593073594</v>
      </c>
      <c r="E608" s="1458">
        <f ca="1">+INDEX(Segment!$A$117:$BR$126,MATCH($A608,Segment!$A$117:$A$126,0),MATCH(E$607,IS!$A$60:$BR$60,0))</f>
        <v>0.2345360824742268</v>
      </c>
      <c r="F608" s="1283"/>
      <c r="G608" s="1283"/>
      <c r="H608" s="506"/>
      <c r="I608" s="506"/>
      <c r="J608" s="506"/>
      <c r="K608" s="506"/>
      <c r="L608" s="1468"/>
      <c r="M608" s="36" t="s">
        <v>1007</v>
      </c>
      <c r="N608" s="245">
        <f ca="1">+INDEX(Segment!$A$131:$BR$140,MATCH($M608,Segment!$A$131:$A$140,0),MATCH(N$607,IS!$A$60:$BR$60,0))</f>
        <v>0.22</v>
      </c>
      <c r="O608" s="245">
        <f ca="1">+INDEX(Segment!$A$131:$BR$140,MATCH($M608,Segment!$A$131:$A$140,0),MATCH(O$607,IS!$A$60:$BR$60,0))</f>
        <v>0.22</v>
      </c>
      <c r="P608" s="245">
        <f ca="1">+INDEX(Segment!$A$131:$BR$140,MATCH($M608,Segment!$A$131:$A$140,0),MATCH(P$607,IS!$A$60:$BR$60,0))</f>
        <v>0.22</v>
      </c>
      <c r="Q608" s="245">
        <f ca="1">+INDEX(Segment!$A$131:$BR$140,MATCH($M608,Segment!$A$131:$A$140,0),MATCH(Q$607,IS!$A$60:$BR$60,0))</f>
        <v>0.22</v>
      </c>
      <c r="R608" s="91"/>
      <c r="S608" s="1094">
        <f t="shared" ref="S608:S617" ca="1" si="394">+INDEX($J$463:$BQ$463,MATCH(S$607,$J$458:$BQ$458,0))*N608</f>
        <v>1240.1400000000001</v>
      </c>
      <c r="T608" s="1094">
        <f t="shared" ref="T608:T617" ca="1" si="395">+INDEX($J$463:$BQ$463,MATCH(T$607,$J$458:$BQ$458,0))*O608</f>
        <v>1340.68</v>
      </c>
      <c r="U608" s="1094" t="e">
        <f t="shared" ref="U608:U617" ca="1" si="396">+INDEX($J$463:$BQ$463,MATCH(U$607,$J$458:$BQ$458,0))*P608</f>
        <v>#N/A</v>
      </c>
      <c r="V608" s="1094" t="e">
        <f t="shared" ref="V608:V617" ca="1" si="397">+INDEX($J$463:$BQ$463,MATCH(V$607,$J$458:$BQ$458,0))*Q608</f>
        <v>#N/A</v>
      </c>
      <c r="W608" s="99" t="e">
        <f t="shared" ref="W608:W617" ca="1" si="398">+SUM(S608:V608)</f>
        <v>#N/A</v>
      </c>
      <c r="X608" s="38" t="e">
        <f t="shared" ref="X608:X618" ca="1" si="399">+W608/W$618</f>
        <v>#N/A</v>
      </c>
      <c r="Y608" s="9"/>
      <c r="Z608" s="36" t="s">
        <v>1007</v>
      </c>
      <c r="AA608" s="245">
        <f ca="1">+INDEX(Segment!$A$170:$BR$179,MATCH($Z608,Segment!$A$170:$A$179,0),MATCH(AA$607,IS!$A$60:$BR$60,0))</f>
        <v>0.09</v>
      </c>
      <c r="AB608" s="245">
        <f ca="1">+INDEX(Segment!$A$170:$BR$179,MATCH($Z608,Segment!$A$170:$A$179,0),MATCH(AB$607,IS!$A$60:$BR$60,0))</f>
        <v>0.21</v>
      </c>
      <c r="AC608" s="245">
        <f ca="1">+INDEX(Segment!$A$170:$BR$179,MATCH($Z608,Segment!$A$170:$A$179,0),MATCH(AC$607,IS!$A$60:$BR$60,0))</f>
        <v>0.22</v>
      </c>
      <c r="AD608" s="245">
        <f ca="1">+INDEX(Segment!$A$170:$BR$179,MATCH($Z608,Segment!$A$170:$A$179,0),MATCH(AD$607,IS!$A$60:$BR$60,0))</f>
        <v>0.22</v>
      </c>
      <c r="AE608" s="91"/>
      <c r="AF608" s="99">
        <f t="shared" ref="AF608:AF617" ca="1" si="400">+INDEX($J$495:$BQ$495,MATCH(AF$607,$J$492:$BQ$492,0))*AA608</f>
        <v>79.56</v>
      </c>
      <c r="AG608" s="99">
        <f t="shared" ref="AG608:AG617" ca="1" si="401">+INDEX($J$495:$BQ$495,MATCH(AG$607,$J$492:$BQ$492,0))*AB608</f>
        <v>223.65</v>
      </c>
      <c r="AH608" s="99" t="e">
        <f t="shared" ref="AH608:AH617" ca="1" si="402">+INDEX($J$495:$BQ$495,MATCH(AH$607,$J$492:$BQ$492,0))*AC608</f>
        <v>#N/A</v>
      </c>
      <c r="AI608" s="99" t="e">
        <f t="shared" ref="AI608:AI617" ca="1" si="403">+INDEX($J$495:$BQ$495,MATCH(AI$607,$J$492:$BQ$492,0))*AD608</f>
        <v>#N/A</v>
      </c>
      <c r="AJ608" s="99" t="e">
        <f t="shared" ref="AJ608:AJ617" ca="1" si="404">+SUM(AF608:AI608)</f>
        <v>#N/A</v>
      </c>
      <c r="AK608" s="38" t="e">
        <f t="shared" ref="AK608:AK618" ca="1" si="405">+AJ608/AJ$618</f>
        <v>#N/A</v>
      </c>
      <c r="AL608" s="91"/>
      <c r="AM608" s="36" t="s">
        <v>1007</v>
      </c>
      <c r="AN608" s="245">
        <f ca="1">+INDEX(Segment!$503:$515,MATCH($AM608,Segment!$A$503:$A$515,0),MATCH(AN$593,Segment!$3:$3,0))</f>
        <v>0</v>
      </c>
      <c r="AO608" s="91"/>
      <c r="AP608" s="91"/>
      <c r="AQ608" s="91"/>
      <c r="AR608" s="91"/>
      <c r="AS608" s="91"/>
      <c r="AT608" s="91"/>
      <c r="AU608" s="91"/>
      <c r="AV608" s="296"/>
      <c r="AW608" s="296"/>
      <c r="AX608" s="296"/>
      <c r="AY608" s="296"/>
      <c r="AZ608" s="296"/>
      <c r="BA608" s="296"/>
      <c r="BB608" s="296"/>
      <c r="BC608" s="296"/>
      <c r="BD608" s="296"/>
      <c r="BE608" s="296"/>
      <c r="BF608" s="296"/>
      <c r="BG608" s="296"/>
      <c r="BH608" s="296"/>
      <c r="BI608" s="296"/>
      <c r="BJ608" s="296"/>
      <c r="BK608" s="296"/>
      <c r="BL608" s="296"/>
      <c r="BM608" s="296"/>
      <c r="BN608" s="296"/>
      <c r="BO608" s="296"/>
      <c r="BP608" s="296"/>
      <c r="BQ608" s="296"/>
      <c r="BR608" s="296"/>
      <c r="BS608" s="296"/>
      <c r="BT608" s="296"/>
      <c r="BU608" s="296"/>
      <c r="BV608" s="296"/>
      <c r="BW608" s="296"/>
      <c r="BX608" s="296"/>
      <c r="BY608" s="296"/>
      <c r="BZ608" s="9"/>
      <c r="CA608" s="9"/>
      <c r="CB608" s="9"/>
      <c r="CC608" s="9"/>
      <c r="CD608" s="9"/>
    </row>
    <row r="609" spans="1:82">
      <c r="A609" s="36" t="s">
        <v>1008</v>
      </c>
      <c r="B609" s="245">
        <f ca="1">+INDEX(Segment!$A$117:$BR$126,MATCH($A609,Segment!$A$117:$A$126,0),MATCH(B$607,IS!$A$60:$BR$60,0))</f>
        <v>0.10714285714285714</v>
      </c>
      <c r="C609" s="245">
        <f ca="1">+INDEX(Segment!$A$117:$BR$126,MATCH($A609,Segment!$A$117:$A$126,0),MATCH(C$607,IS!$A$60:$BR$60,0))</f>
        <v>0.10870506712862711</v>
      </c>
      <c r="D609" s="245">
        <f ca="1">+INDEX(Segment!$A$117:$BR$126,MATCH($A609,Segment!$A$117:$A$126,0),MATCH(D$607,IS!$A$60:$BR$60,0))</f>
        <v>0.10865800865800866</v>
      </c>
      <c r="E609" s="1458">
        <f ca="1">+INDEX(Segment!$A$117:$BR$126,MATCH($A609,Segment!$A$117:$A$126,0),MATCH(E$607,IS!$A$60:$BR$60,0))</f>
        <v>0.10824742268041238</v>
      </c>
      <c r="F609" s="1283"/>
      <c r="G609" s="1283"/>
      <c r="H609" s="506"/>
      <c r="I609" s="506"/>
      <c r="J609" s="506"/>
      <c r="K609" s="506"/>
      <c r="L609" s="1468"/>
      <c r="M609" s="36" t="s">
        <v>1008</v>
      </c>
      <c r="N609" s="245">
        <f ca="1">+INDEX(Segment!$A$131:$BR$140,MATCH($M609,Segment!$A$131:$A$140,0),MATCH(N$607,IS!$A$60:$BR$60,0))</f>
        <v>7.0000000000000007E-2</v>
      </c>
      <c r="O609" s="245">
        <f ca="1">+INDEX(Segment!$A$131:$BR$140,MATCH($M609,Segment!$A$131:$A$140,0),MATCH(O$607,IS!$A$60:$BR$60,0))</f>
        <v>7.0000000000000007E-2</v>
      </c>
      <c r="P609" s="245">
        <f ca="1">+INDEX(Segment!$A$131:$BR$140,MATCH($M609,Segment!$A$131:$A$140,0),MATCH(P$607,IS!$A$60:$BR$60,0))</f>
        <v>7.0000000000000007E-2</v>
      </c>
      <c r="Q609" s="245">
        <f ca="1">+INDEX(Segment!$A$131:$BR$140,MATCH($M609,Segment!$A$131:$A$140,0),MATCH(Q$607,IS!$A$60:$BR$60,0))</f>
        <v>7.0000000000000007E-2</v>
      </c>
      <c r="R609" s="91"/>
      <c r="S609" s="1094">
        <f t="shared" ca="1" si="394"/>
        <v>394.59000000000003</v>
      </c>
      <c r="T609" s="1094">
        <f t="shared" ca="1" si="395"/>
        <v>426.58000000000004</v>
      </c>
      <c r="U609" s="1094" t="e">
        <f t="shared" ca="1" si="396"/>
        <v>#N/A</v>
      </c>
      <c r="V609" s="1094" t="e">
        <f t="shared" ca="1" si="397"/>
        <v>#N/A</v>
      </c>
      <c r="W609" s="99" t="e">
        <f t="shared" ca="1" si="398"/>
        <v>#N/A</v>
      </c>
      <c r="X609" s="38" t="e">
        <f t="shared" ca="1" si="399"/>
        <v>#N/A</v>
      </c>
      <c r="Y609" s="9"/>
      <c r="Z609" s="36" t="s">
        <v>1008</v>
      </c>
      <c r="AA609" s="245">
        <f ca="1">+INDEX(Segment!$A$170:$BR$179,MATCH($Z609,Segment!$A$170:$A$179,0),MATCH(AA$607,IS!$A$60:$BR$60,0))</f>
        <v>0.03</v>
      </c>
      <c r="AB609" s="245">
        <f ca="1">+INDEX(Segment!$A$170:$BR$179,MATCH($Z609,Segment!$A$170:$A$179,0),MATCH(AB$607,IS!$A$60:$BR$60,0))</f>
        <v>0.05</v>
      </c>
      <c r="AC609" s="245">
        <f ca="1">+INDEX(Segment!$A$170:$BR$179,MATCH($Z609,Segment!$A$170:$A$179,0),MATCH(AC$607,IS!$A$60:$BR$60,0))</f>
        <v>0.04</v>
      </c>
      <c r="AD609" s="245">
        <f ca="1">+INDEX(Segment!$A$170:$BR$179,MATCH($Z609,Segment!$A$170:$A$179,0),MATCH(AD$607,IS!$A$60:$BR$60,0))</f>
        <v>0.06</v>
      </c>
      <c r="AE609" s="91"/>
      <c r="AF609" s="99">
        <f t="shared" ca="1" si="400"/>
        <v>26.52</v>
      </c>
      <c r="AG609" s="99">
        <f t="shared" ca="1" si="401"/>
        <v>53.25</v>
      </c>
      <c r="AH609" s="99" t="e">
        <f t="shared" ca="1" si="402"/>
        <v>#N/A</v>
      </c>
      <c r="AI609" s="99" t="e">
        <f t="shared" ca="1" si="403"/>
        <v>#N/A</v>
      </c>
      <c r="AJ609" s="99" t="e">
        <f t="shared" ca="1" si="404"/>
        <v>#N/A</v>
      </c>
      <c r="AK609" s="38" t="e">
        <f t="shared" ca="1" si="405"/>
        <v>#N/A</v>
      </c>
      <c r="AL609" s="91"/>
      <c r="AM609" s="36" t="s">
        <v>1008</v>
      </c>
      <c r="AN609" s="245">
        <f ca="1">+INDEX(Segment!$503:$515,MATCH($AM609,Segment!$A$503:$A$515,0),MATCH(AN$593,Segment!$3:$3,0))</f>
        <v>0</v>
      </c>
      <c r="AO609" s="91"/>
      <c r="AP609" s="91"/>
      <c r="AQ609" s="91"/>
      <c r="AR609" s="91"/>
      <c r="AS609" s="91"/>
      <c r="AT609" s="91"/>
      <c r="AU609" s="91"/>
      <c r="AV609" s="296"/>
      <c r="AW609" s="296"/>
      <c r="AX609" s="296"/>
      <c r="AY609" s="296"/>
      <c r="AZ609" s="296"/>
      <c r="BA609" s="296"/>
      <c r="BB609" s="296"/>
      <c r="BC609" s="296"/>
      <c r="BD609" s="296"/>
      <c r="BE609" s="296"/>
      <c r="BF609" s="296"/>
      <c r="BG609" s="296"/>
      <c r="BH609" s="296"/>
      <c r="BI609" s="296"/>
      <c r="BJ609" s="296"/>
      <c r="BK609" s="296"/>
      <c r="BL609" s="296"/>
      <c r="BM609" s="296"/>
      <c r="BN609" s="296"/>
      <c r="BO609" s="296"/>
      <c r="BP609" s="296"/>
      <c r="BQ609" s="296"/>
      <c r="BR609" s="296"/>
      <c r="BS609" s="296"/>
      <c r="BT609" s="296"/>
      <c r="BU609" s="296"/>
      <c r="BV609" s="296"/>
      <c r="BW609" s="296"/>
      <c r="BX609" s="296"/>
      <c r="BY609" s="296"/>
      <c r="BZ609" s="9"/>
      <c r="CA609" s="9"/>
      <c r="CB609" s="9"/>
      <c r="CC609" s="9"/>
      <c r="CD609" s="9"/>
    </row>
    <row r="610" spans="1:82">
      <c r="A610" s="36" t="s">
        <v>1018</v>
      </c>
      <c r="B610" s="245">
        <f ca="1">+INDEX(Segment!$A$117:$BR$126,MATCH($A610,Segment!$A$117:$A$126,0),MATCH(B$607,IS!$A$60:$BR$60,0))</f>
        <v>0.41049382716049382</v>
      </c>
      <c r="C610" s="245">
        <f ca="1">+INDEX(Segment!$A$117:$BR$126,MATCH($A610,Segment!$A$117:$A$126,0),MATCH(C$607,IS!$A$60:$BR$60,0))</f>
        <v>0.41446513642269378</v>
      </c>
      <c r="D610" s="245">
        <f ca="1">+INDEX(Segment!$A$117:$BR$126,MATCH($A610,Segment!$A$117:$A$126,0),MATCH(D$607,IS!$A$60:$BR$60,0))</f>
        <v>0.41645021645021646</v>
      </c>
      <c r="E610" s="1458">
        <f ca="1">+INDEX(Segment!$A$117:$BR$126,MATCH($A610,Segment!$A$117:$A$126,0),MATCH(E$607,IS!$A$60:$BR$60,0))</f>
        <v>0.42139175257731959</v>
      </c>
      <c r="F610" s="1283"/>
      <c r="G610" s="1283"/>
      <c r="H610" s="506"/>
      <c r="I610" s="506"/>
      <c r="J610" s="506"/>
      <c r="K610" s="506"/>
      <c r="L610" s="1468"/>
      <c r="M610" s="36" t="s">
        <v>1018</v>
      </c>
      <c r="N610" s="245">
        <f ca="1">+INDEX(Segment!$A$131:$BR$140,MATCH($M610,Segment!$A$131:$A$140,0),MATCH(N$607,IS!$A$60:$BR$60,0))</f>
        <v>0.28000000000000003</v>
      </c>
      <c r="O610" s="245">
        <f ca="1">+INDEX(Segment!$A$131:$BR$140,MATCH($M610,Segment!$A$131:$A$140,0),MATCH(O$607,IS!$A$60:$BR$60,0))</f>
        <v>0.28000000000000003</v>
      </c>
      <c r="P610" s="245">
        <f ca="1">+INDEX(Segment!$A$131:$BR$140,MATCH($M610,Segment!$A$131:$A$140,0),MATCH(P$607,IS!$A$60:$BR$60,0))</f>
        <v>0.28000000000000003</v>
      </c>
      <c r="Q610" s="245">
        <f ca="1">+INDEX(Segment!$A$131:$BR$140,MATCH($M610,Segment!$A$131:$A$140,0),MATCH(Q$607,IS!$A$60:$BR$60,0))</f>
        <v>0.28000000000000003</v>
      </c>
      <c r="R610" s="91"/>
      <c r="S610" s="1094">
        <f t="shared" ca="1" si="394"/>
        <v>1578.3600000000001</v>
      </c>
      <c r="T610" s="1094">
        <f t="shared" ca="1" si="395"/>
        <v>1706.3200000000002</v>
      </c>
      <c r="U610" s="1094" t="e">
        <f t="shared" ca="1" si="396"/>
        <v>#N/A</v>
      </c>
      <c r="V610" s="1094" t="e">
        <f t="shared" ca="1" si="397"/>
        <v>#N/A</v>
      </c>
      <c r="W610" s="99" t="e">
        <f t="shared" ca="1" si="398"/>
        <v>#N/A</v>
      </c>
      <c r="X610" s="38" t="e">
        <f t="shared" ca="1" si="399"/>
        <v>#N/A</v>
      </c>
      <c r="Y610" s="9"/>
      <c r="Z610" s="36" t="s">
        <v>1018</v>
      </c>
      <c r="AA610" s="245">
        <f ca="1">+INDEX(Segment!$A$170:$BR$179,MATCH($Z610,Segment!$A$170:$A$179,0),MATCH(AA$607,IS!$A$60:$BR$60,0))</f>
        <v>0.55000000000000004</v>
      </c>
      <c r="AB610" s="245">
        <f ca="1">+INDEX(Segment!$A$170:$BR$179,MATCH($Z610,Segment!$A$170:$A$179,0),MATCH(AB$607,IS!$A$60:$BR$60,0))</f>
        <v>0.33</v>
      </c>
      <c r="AC610" s="245">
        <f ca="1">+INDEX(Segment!$A$170:$BR$179,MATCH($Z610,Segment!$A$170:$A$179,0),MATCH(AC$607,IS!$A$60:$BR$60,0))</f>
        <v>0.31</v>
      </c>
      <c r="AD610" s="245">
        <f ca="1">+INDEX(Segment!$A$170:$BR$179,MATCH($Z610,Segment!$A$170:$A$179,0),MATCH(AD$607,IS!$A$60:$BR$60,0))</f>
        <v>0.26</v>
      </c>
      <c r="AE610" s="91"/>
      <c r="AF610" s="99">
        <f t="shared" ca="1" si="400"/>
        <v>486.20000000000005</v>
      </c>
      <c r="AG610" s="99">
        <f t="shared" ca="1" si="401"/>
        <v>351.45</v>
      </c>
      <c r="AH610" s="99" t="e">
        <f t="shared" ca="1" si="402"/>
        <v>#N/A</v>
      </c>
      <c r="AI610" s="99" t="e">
        <f t="shared" ca="1" si="403"/>
        <v>#N/A</v>
      </c>
      <c r="AJ610" s="99" t="e">
        <f t="shared" ca="1" si="404"/>
        <v>#N/A</v>
      </c>
      <c r="AK610" s="38" t="e">
        <f t="shared" ca="1" si="405"/>
        <v>#N/A</v>
      </c>
      <c r="AL610" s="91"/>
      <c r="AM610" s="36" t="s">
        <v>1018</v>
      </c>
      <c r="AN610" s="245">
        <f ca="1">+INDEX(Segment!$503:$515,MATCH($AM610,Segment!$A$503:$A$515,0),MATCH(AN$593,Segment!$3:$3,0))</f>
        <v>0</v>
      </c>
      <c r="AO610" s="91"/>
      <c r="AP610" s="91"/>
      <c r="AQ610" s="91"/>
      <c r="AR610" s="91"/>
      <c r="AS610" s="91"/>
      <c r="AT610" s="91"/>
      <c r="AU610" s="91"/>
      <c r="AV610" s="296"/>
      <c r="AW610" s="296"/>
      <c r="AX610" s="296"/>
      <c r="AY610" s="296"/>
      <c r="AZ610" s="296"/>
      <c r="BA610" s="296"/>
      <c r="BB610" s="296"/>
      <c r="BC610" s="296"/>
      <c r="BD610" s="296"/>
      <c r="BE610" s="296"/>
      <c r="BF610" s="296"/>
      <c r="BG610" s="296"/>
      <c r="BH610" s="296"/>
      <c r="BI610" s="296"/>
      <c r="BJ610" s="296"/>
      <c r="BK610" s="296"/>
      <c r="BL610" s="296"/>
      <c r="BM610" s="296"/>
      <c r="BN610" s="296"/>
      <c r="BO610" s="296"/>
      <c r="BP610" s="296"/>
      <c r="BQ610" s="296"/>
      <c r="BR610" s="296"/>
      <c r="BS610" s="296"/>
      <c r="BT610" s="296"/>
      <c r="BU610" s="296"/>
      <c r="BV610" s="296"/>
      <c r="BW610" s="296"/>
      <c r="BX610" s="296"/>
      <c r="BY610" s="296"/>
      <c r="BZ610" s="9"/>
      <c r="CA610" s="9"/>
      <c r="CB610" s="9"/>
      <c r="CC610" s="9"/>
      <c r="CD610" s="9"/>
    </row>
    <row r="611" spans="1:82">
      <c r="A611" s="36" t="s">
        <v>1011</v>
      </c>
      <c r="B611" s="245">
        <f ca="1">+INDEX(Segment!$A$117:$BR$126,MATCH($A611,Segment!$A$117:$A$126,0),MATCH(B$607,IS!$A$60:$BR$60,0))</f>
        <v>6.1728395061728392E-2</v>
      </c>
      <c r="C611" s="245">
        <f ca="1">+INDEX(Segment!$A$117:$BR$126,MATCH($A611,Segment!$A$117:$A$126,0),MATCH(C$607,IS!$A$60:$BR$60,0))</f>
        <v>7.2325682113469028E-2</v>
      </c>
      <c r="D611" s="245">
        <f ca="1">+INDEX(Segment!$A$117:$BR$126,MATCH($A611,Segment!$A$117:$A$126,0),MATCH(D$607,IS!$A$60:$BR$60,0))</f>
        <v>7.1861471861471862E-2</v>
      </c>
      <c r="E611" s="1458">
        <f ca="1">+INDEX(Segment!$A$117:$BR$126,MATCH($A611,Segment!$A$117:$A$126,0),MATCH(E$607,IS!$A$60:$BR$60,0))</f>
        <v>7.1735395189003431E-2</v>
      </c>
      <c r="F611" s="1283"/>
      <c r="G611" s="1283"/>
      <c r="H611" s="506"/>
      <c r="I611" s="506"/>
      <c r="J611" s="506"/>
      <c r="K611" s="506"/>
      <c r="L611" s="1468"/>
      <c r="M611" s="36" t="s">
        <v>1011</v>
      </c>
      <c r="N611" s="245">
        <f ca="1">+INDEX(Segment!$A$131:$BR$140,MATCH($M611,Segment!$A$131:$A$140,0),MATCH(N$607,IS!$A$60:$BR$60,0))</f>
        <v>0.19</v>
      </c>
      <c r="O611" s="245">
        <f ca="1">+INDEX(Segment!$A$131:$BR$140,MATCH($M611,Segment!$A$131:$A$140,0),MATCH(O$607,IS!$A$60:$BR$60,0))</f>
        <v>0.19</v>
      </c>
      <c r="P611" s="245">
        <f ca="1">+INDEX(Segment!$A$131:$BR$140,MATCH($M611,Segment!$A$131:$A$140,0),MATCH(P$607,IS!$A$60:$BR$60,0))</f>
        <v>0.19</v>
      </c>
      <c r="Q611" s="245">
        <f ca="1">+INDEX(Segment!$A$131:$BR$140,MATCH($M611,Segment!$A$131:$A$140,0),MATCH(Q$607,IS!$A$60:$BR$60,0))</f>
        <v>0.19</v>
      </c>
      <c r="R611" s="91"/>
      <c r="S611" s="1094">
        <f t="shared" ca="1" si="394"/>
        <v>1071.03</v>
      </c>
      <c r="T611" s="1094">
        <f t="shared" ca="1" si="395"/>
        <v>1157.8599999999999</v>
      </c>
      <c r="U611" s="1094" t="e">
        <f t="shared" ca="1" si="396"/>
        <v>#N/A</v>
      </c>
      <c r="V611" s="1094" t="e">
        <f t="shared" ca="1" si="397"/>
        <v>#N/A</v>
      </c>
      <c r="W611" s="99" t="e">
        <f t="shared" ca="1" si="398"/>
        <v>#N/A</v>
      </c>
      <c r="X611" s="38" t="e">
        <f t="shared" ca="1" si="399"/>
        <v>#N/A</v>
      </c>
      <c r="Y611" s="9"/>
      <c r="Z611" s="36" t="s">
        <v>1011</v>
      </c>
      <c r="AA611" s="245">
        <f ca="1">+INDEX(Segment!$A$170:$BR$179,MATCH($Z611,Segment!$A$170:$A$179,0),MATCH(AA$607,IS!$A$60:$BR$60,0))</f>
        <v>0.11</v>
      </c>
      <c r="AB611" s="245">
        <f ca="1">+INDEX(Segment!$A$170:$BR$179,MATCH($Z611,Segment!$A$170:$A$179,0),MATCH(AB$607,IS!$A$60:$BR$60,0))</f>
        <v>0.18</v>
      </c>
      <c r="AC611" s="245">
        <f ca="1">+INDEX(Segment!$A$170:$BR$179,MATCH($Z611,Segment!$A$170:$A$179,0),MATCH(AC$607,IS!$A$60:$BR$60,0))</f>
        <v>0.17</v>
      </c>
      <c r="AD611" s="245">
        <f ca="1">+INDEX(Segment!$A$170:$BR$179,MATCH($Z611,Segment!$A$170:$A$179,0),MATCH(AD$607,IS!$A$60:$BR$60,0))</f>
        <v>0.22</v>
      </c>
      <c r="AE611" s="91"/>
      <c r="AF611" s="99">
        <f t="shared" ca="1" si="400"/>
        <v>97.24</v>
      </c>
      <c r="AG611" s="99">
        <f t="shared" ca="1" si="401"/>
        <v>191.7</v>
      </c>
      <c r="AH611" s="99" t="e">
        <f t="shared" ca="1" si="402"/>
        <v>#N/A</v>
      </c>
      <c r="AI611" s="99" t="e">
        <f t="shared" ca="1" si="403"/>
        <v>#N/A</v>
      </c>
      <c r="AJ611" s="99" t="e">
        <f t="shared" ca="1" si="404"/>
        <v>#N/A</v>
      </c>
      <c r="AK611" s="38" t="e">
        <f t="shared" ca="1" si="405"/>
        <v>#N/A</v>
      </c>
      <c r="AL611" s="91"/>
      <c r="AM611" s="36" t="s">
        <v>1011</v>
      </c>
      <c r="AN611" s="245">
        <f ca="1">+INDEX(Segment!$503:$515,MATCH($AM611,Segment!$A$503:$A$515,0),MATCH(AN$593,Segment!$3:$3,0))</f>
        <v>0</v>
      </c>
      <c r="AO611" s="91"/>
      <c r="AP611" s="91"/>
      <c r="AQ611" s="91"/>
      <c r="AR611" s="91"/>
      <c r="AS611" s="91"/>
      <c r="AT611" s="91"/>
      <c r="AU611" s="91"/>
      <c r="AV611" s="296"/>
      <c r="AW611" s="296"/>
      <c r="AX611" s="296"/>
      <c r="AY611" s="296"/>
      <c r="AZ611" s="296"/>
      <c r="BA611" s="296"/>
      <c r="BB611" s="296"/>
      <c r="BC611" s="296"/>
      <c r="BD611" s="296"/>
      <c r="BE611" s="296"/>
      <c r="BF611" s="296"/>
      <c r="BG611" s="296"/>
      <c r="BH611" s="296"/>
      <c r="BI611" s="296"/>
      <c r="BJ611" s="296"/>
      <c r="BK611" s="296"/>
      <c r="BL611" s="296"/>
      <c r="BM611" s="296"/>
      <c r="BN611" s="296"/>
      <c r="BO611" s="296"/>
      <c r="BP611" s="296"/>
      <c r="BQ611" s="296"/>
      <c r="BR611" s="296"/>
      <c r="BS611" s="296"/>
      <c r="BT611" s="296"/>
      <c r="BU611" s="296"/>
      <c r="BV611" s="296"/>
      <c r="BW611" s="296"/>
      <c r="BX611" s="296"/>
      <c r="BY611" s="296"/>
      <c r="BZ611" s="9"/>
      <c r="CA611" s="9"/>
      <c r="CB611" s="9"/>
      <c r="CC611" s="9"/>
      <c r="CD611" s="9"/>
    </row>
    <row r="612" spans="1:82">
      <c r="A612" s="36" t="s">
        <v>1019</v>
      </c>
      <c r="B612" s="245">
        <f ca="1">+INDEX(Segment!$A$117:$BR$126,MATCH($A612,Segment!$A$117:$A$126,0),MATCH(B$607,IS!$A$60:$BR$60,0))</f>
        <v>9.7442680776014104E-2</v>
      </c>
      <c r="C612" s="245">
        <f ca="1">+INDEX(Segment!$A$117:$BR$126,MATCH($A612,Segment!$A$117:$A$126,0),MATCH(C$607,IS!$A$60:$BR$60,0))</f>
        <v>9.571242962321351E-2</v>
      </c>
      <c r="D612" s="245">
        <f ca="1">+INDEX(Segment!$A$117:$BR$126,MATCH($A612,Segment!$A$117:$A$126,0),MATCH(D$607,IS!$A$60:$BR$60,0))</f>
        <v>9.350649350649351E-2</v>
      </c>
      <c r="E612" s="1458">
        <f ca="1">+INDEX(Segment!$A$117:$BR$126,MATCH($A612,Segment!$A$117:$A$126,0),MATCH(E$607,IS!$A$60:$BR$60,0))</f>
        <v>9.2353951890034369E-2</v>
      </c>
      <c r="F612" s="1283"/>
      <c r="G612" s="1283"/>
      <c r="H612" s="506"/>
      <c r="I612" s="506"/>
      <c r="J612" s="506"/>
      <c r="K612" s="506"/>
      <c r="L612" s="1468"/>
      <c r="M612" s="36" t="s">
        <v>1019</v>
      </c>
      <c r="N612" s="245">
        <f ca="1">+INDEX(Segment!$A$131:$BR$140,MATCH($M612,Segment!$A$131:$A$140,0),MATCH(N$607,IS!$A$60:$BR$60,0))</f>
        <v>0.14000000000000001</v>
      </c>
      <c r="O612" s="245">
        <f ca="1">+INDEX(Segment!$A$131:$BR$140,MATCH($M612,Segment!$A$131:$A$140,0),MATCH(O$607,IS!$A$60:$BR$60,0))</f>
        <v>0.14000000000000001</v>
      </c>
      <c r="P612" s="245">
        <f ca="1">+INDEX(Segment!$A$131:$BR$140,MATCH($M612,Segment!$A$131:$A$140,0),MATCH(P$607,IS!$A$60:$BR$60,0))</f>
        <v>0.14000000000000001</v>
      </c>
      <c r="Q612" s="245">
        <f ca="1">+INDEX(Segment!$A$131:$BR$140,MATCH($M612,Segment!$A$131:$A$140,0),MATCH(Q$607,IS!$A$60:$BR$60,0))</f>
        <v>0.14000000000000001</v>
      </c>
      <c r="R612" s="91"/>
      <c r="S612" s="1094">
        <f t="shared" ca="1" si="394"/>
        <v>789.18000000000006</v>
      </c>
      <c r="T612" s="1094">
        <f t="shared" ca="1" si="395"/>
        <v>853.16000000000008</v>
      </c>
      <c r="U612" s="1094" t="e">
        <f t="shared" ca="1" si="396"/>
        <v>#N/A</v>
      </c>
      <c r="V612" s="1094" t="e">
        <f t="shared" ca="1" si="397"/>
        <v>#N/A</v>
      </c>
      <c r="W612" s="99" t="e">
        <f t="shared" ca="1" si="398"/>
        <v>#N/A</v>
      </c>
      <c r="X612" s="38" t="e">
        <f t="shared" ca="1" si="399"/>
        <v>#N/A</v>
      </c>
      <c r="Y612" s="9"/>
      <c r="Z612" s="36" t="s">
        <v>1019</v>
      </c>
      <c r="AA612" s="245">
        <f ca="1">+INDEX(Segment!$A$170:$BR$179,MATCH($Z612,Segment!$A$170:$A$179,0),MATCH(AA$607,IS!$A$60:$BR$60,0))</f>
        <v>0.15</v>
      </c>
      <c r="AB612" s="245">
        <f ca="1">+INDEX(Segment!$A$170:$BR$179,MATCH($Z612,Segment!$A$170:$A$179,0),MATCH(AB$607,IS!$A$60:$BR$60,0))</f>
        <v>0.14000000000000001</v>
      </c>
      <c r="AC612" s="245">
        <f ca="1">+INDEX(Segment!$A$170:$BR$179,MATCH($Z612,Segment!$A$170:$A$179,0),MATCH(AC$607,IS!$A$60:$BR$60,0))</f>
        <v>0.16</v>
      </c>
      <c r="AD612" s="245">
        <f ca="1">+INDEX(Segment!$A$170:$BR$179,MATCH($Z612,Segment!$A$170:$A$179,0),MATCH(AD$607,IS!$A$60:$BR$60,0))</f>
        <v>0.14000000000000001</v>
      </c>
      <c r="AE612" s="91"/>
      <c r="AF612" s="99">
        <f t="shared" ca="1" si="400"/>
        <v>132.6</v>
      </c>
      <c r="AG612" s="99">
        <f t="shared" ca="1" si="401"/>
        <v>149.10000000000002</v>
      </c>
      <c r="AH612" s="99" t="e">
        <f t="shared" ca="1" si="402"/>
        <v>#N/A</v>
      </c>
      <c r="AI612" s="99" t="e">
        <f t="shared" ca="1" si="403"/>
        <v>#N/A</v>
      </c>
      <c r="AJ612" s="99" t="e">
        <f t="shared" ca="1" si="404"/>
        <v>#N/A</v>
      </c>
      <c r="AK612" s="38" t="e">
        <f t="shared" ca="1" si="405"/>
        <v>#N/A</v>
      </c>
      <c r="AL612" s="91"/>
      <c r="AM612" s="36" t="s">
        <v>1019</v>
      </c>
      <c r="AN612" s="245">
        <f ca="1">+INDEX(Segment!$503:$515,MATCH($AM612,Segment!$A$503:$A$515,0),MATCH(AN$593,Segment!$3:$3,0))</f>
        <v>0</v>
      </c>
      <c r="AO612" s="91"/>
      <c r="AP612" s="91"/>
      <c r="AQ612" s="91"/>
      <c r="AR612" s="91"/>
      <c r="AS612" s="91"/>
      <c r="AT612" s="91"/>
      <c r="AU612" s="91"/>
      <c r="AV612" s="296"/>
      <c r="AW612" s="296"/>
      <c r="AX612" s="296"/>
      <c r="AY612" s="296"/>
      <c r="AZ612" s="296"/>
      <c r="BA612" s="296"/>
      <c r="BB612" s="296"/>
      <c r="BC612" s="296"/>
      <c r="BD612" s="296"/>
      <c r="BE612" s="296"/>
      <c r="BF612" s="296"/>
      <c r="BG612" s="296"/>
      <c r="BH612" s="296"/>
      <c r="BI612" s="296"/>
      <c r="BJ612" s="296"/>
      <c r="BK612" s="296"/>
      <c r="BL612" s="296"/>
      <c r="BM612" s="296"/>
      <c r="BN612" s="296"/>
      <c r="BO612" s="296"/>
      <c r="BP612" s="296"/>
      <c r="BQ612" s="296"/>
      <c r="BR612" s="296"/>
      <c r="BS612" s="296"/>
      <c r="BT612" s="296"/>
      <c r="BU612" s="296"/>
      <c r="BV612" s="296"/>
      <c r="BW612" s="296"/>
      <c r="BX612" s="296"/>
      <c r="BY612" s="296"/>
      <c r="BZ612" s="9"/>
      <c r="CA612" s="9"/>
      <c r="CB612" s="9"/>
      <c r="CC612" s="9"/>
      <c r="CD612" s="9"/>
    </row>
    <row r="613" spans="1:82">
      <c r="A613" s="36" t="s">
        <v>1016</v>
      </c>
      <c r="B613" s="245">
        <f ca="1">+INDEX(Segment!$A$117:$BR$126,MATCH($A613,Segment!$A$117:$A$126,0),MATCH(B$607,IS!$A$60:$BR$60,0))</f>
        <v>1.2786596119929453E-2</v>
      </c>
      <c r="C613" s="245">
        <f ca="1">+INDEX(Segment!$A$117:$BR$126,MATCH($A613,Segment!$A$117:$A$126,0),MATCH(C$607,IS!$A$60:$BR$60,0))</f>
        <v>1.2559549588566478E-2</v>
      </c>
      <c r="D613" s="245">
        <f ca="1">+INDEX(Segment!$A$117:$BR$126,MATCH($A613,Segment!$A$117:$A$126,0),MATCH(D$607,IS!$A$60:$BR$60,0))</f>
        <v>1.2554112554112554E-2</v>
      </c>
      <c r="E613" s="1458">
        <f ca="1">+INDEX(Segment!$A$117:$BR$126,MATCH($A613,Segment!$A$117:$A$126,0),MATCH(E$607,IS!$A$60:$BR$60,0))</f>
        <v>1.2027491408934709E-2</v>
      </c>
      <c r="F613" s="1283"/>
      <c r="G613" s="1283"/>
      <c r="H613" s="506"/>
      <c r="I613" s="506"/>
      <c r="J613" s="506"/>
      <c r="K613" s="506"/>
      <c r="L613" s="1468"/>
      <c r="M613" s="36" t="s">
        <v>1016</v>
      </c>
      <c r="N613" s="245">
        <f ca="1">+INDEX(Segment!$A$131:$BR$140,MATCH($M613,Segment!$A$131:$A$140,0),MATCH(N$607,IS!$A$60:$BR$60,0))</f>
        <v>0</v>
      </c>
      <c r="O613" s="245">
        <f ca="1">+INDEX(Segment!$A$131:$BR$140,MATCH($M613,Segment!$A$131:$A$140,0),MATCH(O$607,IS!$A$60:$BR$60,0))</f>
        <v>0</v>
      </c>
      <c r="P613" s="245">
        <f ca="1">+INDEX(Segment!$A$131:$BR$140,MATCH($M613,Segment!$A$131:$A$140,0),MATCH(P$607,IS!$A$60:$BR$60,0))</f>
        <v>0</v>
      </c>
      <c r="Q613" s="245">
        <f ca="1">+INDEX(Segment!$A$131:$BR$140,MATCH($M613,Segment!$A$131:$A$140,0),MATCH(Q$607,IS!$A$60:$BR$60,0))</f>
        <v>0</v>
      </c>
      <c r="R613" s="91"/>
      <c r="S613" s="1094">
        <f t="shared" ca="1" si="394"/>
        <v>0</v>
      </c>
      <c r="T613" s="1094">
        <f t="shared" ca="1" si="395"/>
        <v>0</v>
      </c>
      <c r="U613" s="1094" t="e">
        <f t="shared" ca="1" si="396"/>
        <v>#N/A</v>
      </c>
      <c r="V613" s="1094" t="e">
        <f t="shared" ca="1" si="397"/>
        <v>#N/A</v>
      </c>
      <c r="W613" s="99" t="e">
        <f t="shared" ca="1" si="398"/>
        <v>#N/A</v>
      </c>
      <c r="X613" s="38" t="e">
        <f t="shared" ca="1" si="399"/>
        <v>#N/A</v>
      </c>
      <c r="Y613" s="9"/>
      <c r="Z613" s="36" t="s">
        <v>1016</v>
      </c>
      <c r="AA613" s="245">
        <f ca="1">+INDEX(Segment!$A$170:$BR$179,MATCH($Z613,Segment!$A$170:$A$179,0),MATCH(AA$607,IS!$A$60:$BR$60,0))</f>
        <v>0</v>
      </c>
      <c r="AB613" s="245">
        <f ca="1">+INDEX(Segment!$A$170:$BR$179,MATCH($Z613,Segment!$A$170:$A$179,0),MATCH(AB$607,IS!$A$60:$BR$60,0))</f>
        <v>0</v>
      </c>
      <c r="AC613" s="245">
        <f ca="1">+INDEX(Segment!$A$170:$BR$179,MATCH($Z613,Segment!$A$170:$A$179,0),MATCH(AC$607,IS!$A$60:$BR$60,0))</f>
        <v>0</v>
      </c>
      <c r="AD613" s="245">
        <f ca="1">+INDEX(Segment!$A$170:$BR$179,MATCH($Z613,Segment!$A$170:$A$179,0),MATCH(AD$607,IS!$A$60:$BR$60,0))</f>
        <v>0</v>
      </c>
      <c r="AE613" s="91"/>
      <c r="AF613" s="99">
        <f t="shared" ca="1" si="400"/>
        <v>0</v>
      </c>
      <c r="AG613" s="99">
        <f t="shared" ca="1" si="401"/>
        <v>0</v>
      </c>
      <c r="AH613" s="99" t="e">
        <f t="shared" ca="1" si="402"/>
        <v>#N/A</v>
      </c>
      <c r="AI613" s="99" t="e">
        <f t="shared" ca="1" si="403"/>
        <v>#N/A</v>
      </c>
      <c r="AJ613" s="99" t="e">
        <f t="shared" ca="1" si="404"/>
        <v>#N/A</v>
      </c>
      <c r="AK613" s="38" t="e">
        <f t="shared" ca="1" si="405"/>
        <v>#N/A</v>
      </c>
      <c r="AL613" s="91"/>
      <c r="AM613" s="36" t="s">
        <v>1016</v>
      </c>
      <c r="AN613" s="245">
        <f ca="1">+INDEX(Segment!$503:$515,MATCH($AM613,Segment!$A$503:$A$515,0),MATCH(AN$593,Segment!$3:$3,0))</f>
        <v>0</v>
      </c>
      <c r="AO613" s="91"/>
      <c r="AP613" s="91"/>
      <c r="AQ613" s="91"/>
      <c r="AR613" s="91"/>
      <c r="AS613" s="91"/>
      <c r="AT613" s="91"/>
      <c r="AU613" s="91"/>
      <c r="AV613" s="296"/>
      <c r="AW613" s="296"/>
      <c r="AX613" s="296"/>
      <c r="AY613" s="296"/>
      <c r="AZ613" s="296"/>
      <c r="BA613" s="296"/>
      <c r="BB613" s="296"/>
      <c r="BC613" s="296"/>
      <c r="BD613" s="296"/>
      <c r="BE613" s="296"/>
      <c r="BF613" s="296"/>
      <c r="BG613" s="296"/>
      <c r="BH613" s="296"/>
      <c r="BI613" s="296"/>
      <c r="BJ613" s="296"/>
      <c r="BK613" s="296"/>
      <c r="BL613" s="296"/>
      <c r="BM613" s="296"/>
      <c r="BN613" s="296"/>
      <c r="BO613" s="296"/>
      <c r="BP613" s="296"/>
      <c r="BQ613" s="296"/>
      <c r="BR613" s="296"/>
      <c r="BS613" s="296"/>
      <c r="BT613" s="296"/>
      <c r="BU613" s="296"/>
      <c r="BV613" s="296"/>
      <c r="BW613" s="296"/>
      <c r="BX613" s="296"/>
      <c r="BY613" s="296"/>
      <c r="BZ613" s="9"/>
      <c r="CA613" s="9"/>
      <c r="CB613" s="9"/>
      <c r="CC613" s="9"/>
      <c r="CD613" s="9"/>
    </row>
    <row r="614" spans="1:82">
      <c r="A614" s="36" t="s">
        <v>1015</v>
      </c>
      <c r="B614" s="245">
        <f ca="1">+INDEX(Segment!$A$117:$BR$126,MATCH($A614,Segment!$A$117:$A$126,0),MATCH(B$607,IS!$A$60:$BR$60,0))</f>
        <v>1.3227513227513227E-3</v>
      </c>
      <c r="C614" s="245">
        <f ca="1">+INDEX(Segment!$A$117:$BR$126,MATCH($A614,Segment!$A$117:$A$126,0),MATCH(C$607,IS!$A$60:$BR$60,0))</f>
        <v>1.2992637505413599E-3</v>
      </c>
      <c r="D614" s="245">
        <f ca="1">+INDEX(Segment!$A$117:$BR$126,MATCH($A614,Segment!$A$117:$A$126,0),MATCH(D$607,IS!$A$60:$BR$60,0))</f>
        <v>1.2987012987012987E-3</v>
      </c>
      <c r="E614" s="1458">
        <f ca="1">+INDEX(Segment!$A$117:$BR$126,MATCH($A614,Segment!$A$117:$A$126,0),MATCH(E$607,IS!$A$60:$BR$60,0))</f>
        <v>1.288659793814433E-3</v>
      </c>
      <c r="F614" s="1283"/>
      <c r="G614" s="1283"/>
      <c r="H614" s="506"/>
      <c r="I614" s="506"/>
      <c r="J614" s="506"/>
      <c r="K614" s="506"/>
      <c r="L614" s="1468"/>
      <c r="M614" s="36" t="s">
        <v>1015</v>
      </c>
      <c r="N614" s="245">
        <f ca="1">+INDEX(Segment!$A$131:$BR$140,MATCH($M614,Segment!$A$131:$A$140,0),MATCH(N$607,IS!$A$60:$BR$60,0))</f>
        <v>0</v>
      </c>
      <c r="O614" s="245">
        <f ca="1">+INDEX(Segment!$A$131:$BR$140,MATCH($M614,Segment!$A$131:$A$140,0),MATCH(O$607,IS!$A$60:$BR$60,0))</f>
        <v>0</v>
      </c>
      <c r="P614" s="245">
        <f ca="1">+INDEX(Segment!$A$131:$BR$140,MATCH($M614,Segment!$A$131:$A$140,0),MATCH(P$607,IS!$A$60:$BR$60,0))</f>
        <v>0</v>
      </c>
      <c r="Q614" s="245">
        <f ca="1">+INDEX(Segment!$A$131:$BR$140,MATCH($M614,Segment!$A$131:$A$140,0),MATCH(Q$607,IS!$A$60:$BR$60,0))</f>
        <v>0</v>
      </c>
      <c r="R614" s="91"/>
      <c r="S614" s="1094">
        <f t="shared" ca="1" si="394"/>
        <v>0</v>
      </c>
      <c r="T614" s="1094">
        <f t="shared" ca="1" si="395"/>
        <v>0</v>
      </c>
      <c r="U614" s="1094" t="e">
        <f t="shared" ca="1" si="396"/>
        <v>#N/A</v>
      </c>
      <c r="V614" s="1094" t="e">
        <f t="shared" ca="1" si="397"/>
        <v>#N/A</v>
      </c>
      <c r="W614" s="99" t="e">
        <f t="shared" ca="1" si="398"/>
        <v>#N/A</v>
      </c>
      <c r="X614" s="38" t="e">
        <f t="shared" ca="1" si="399"/>
        <v>#N/A</v>
      </c>
      <c r="Y614" s="9"/>
      <c r="Z614" s="36" t="s">
        <v>1015</v>
      </c>
      <c r="AA614" s="245">
        <f ca="1">+INDEX(Segment!$A$170:$BR$179,MATCH($Z614,Segment!$A$170:$A$179,0),MATCH(AA$607,IS!$A$60:$BR$60,0))</f>
        <v>0</v>
      </c>
      <c r="AB614" s="245">
        <f ca="1">+INDEX(Segment!$A$170:$BR$179,MATCH($Z614,Segment!$A$170:$A$179,0),MATCH(AB$607,IS!$A$60:$BR$60,0))</f>
        <v>0</v>
      </c>
      <c r="AC614" s="245">
        <f ca="1">+INDEX(Segment!$A$170:$BR$179,MATCH($Z614,Segment!$A$170:$A$179,0),MATCH(AC$607,IS!$A$60:$BR$60,0))</f>
        <v>0</v>
      </c>
      <c r="AD614" s="245">
        <f ca="1">+INDEX(Segment!$A$170:$BR$179,MATCH($Z614,Segment!$A$170:$A$179,0),MATCH(AD$607,IS!$A$60:$BR$60,0))</f>
        <v>0</v>
      </c>
      <c r="AE614" s="91"/>
      <c r="AF614" s="99">
        <f t="shared" ca="1" si="400"/>
        <v>0</v>
      </c>
      <c r="AG614" s="99">
        <f t="shared" ca="1" si="401"/>
        <v>0</v>
      </c>
      <c r="AH614" s="99" t="e">
        <f t="shared" ca="1" si="402"/>
        <v>#N/A</v>
      </c>
      <c r="AI614" s="99" t="e">
        <f t="shared" ca="1" si="403"/>
        <v>#N/A</v>
      </c>
      <c r="AJ614" s="99" t="e">
        <f t="shared" ca="1" si="404"/>
        <v>#N/A</v>
      </c>
      <c r="AK614" s="38" t="e">
        <f t="shared" ca="1" si="405"/>
        <v>#N/A</v>
      </c>
      <c r="AL614" s="91"/>
      <c r="AM614" s="36" t="s">
        <v>1015</v>
      </c>
      <c r="AN614" s="245">
        <f ca="1">+INDEX(Segment!$503:$515,MATCH($AM614,Segment!$A$503:$A$515,0),MATCH(AN$593,Segment!$3:$3,0))</f>
        <v>0</v>
      </c>
      <c r="AO614" s="91"/>
      <c r="AP614" s="91"/>
      <c r="AQ614" s="91"/>
      <c r="AR614" s="91"/>
      <c r="AS614" s="91"/>
      <c r="AT614" s="91"/>
      <c r="AU614" s="91"/>
      <c r="AV614" s="296"/>
      <c r="AW614" s="296"/>
      <c r="AX614" s="296"/>
      <c r="AY614" s="296"/>
      <c r="AZ614" s="296"/>
      <c r="BA614" s="296"/>
      <c r="BB614" s="296"/>
      <c r="BC614" s="296"/>
      <c r="BD614" s="296"/>
      <c r="BE614" s="296"/>
      <c r="BF614" s="296"/>
      <c r="BG614" s="296"/>
      <c r="BH614" s="296"/>
      <c r="BI614" s="296"/>
      <c r="BJ614" s="296"/>
      <c r="BK614" s="296"/>
      <c r="BL614" s="296"/>
      <c r="BM614" s="296"/>
      <c r="BN614" s="296"/>
      <c r="BO614" s="296"/>
      <c r="BP614" s="296"/>
      <c r="BQ614" s="296"/>
      <c r="BR614" s="296"/>
      <c r="BS614" s="296"/>
      <c r="BT614" s="296"/>
      <c r="BU614" s="296"/>
      <c r="BV614" s="296"/>
      <c r="BW614" s="296"/>
      <c r="BX614" s="296"/>
      <c r="BY614" s="296"/>
      <c r="BZ614" s="9"/>
      <c r="CA614" s="9"/>
      <c r="CB614" s="9"/>
      <c r="CC614" s="9"/>
      <c r="CD614" s="9"/>
    </row>
    <row r="615" spans="1:82">
      <c r="A615" s="36" t="s">
        <v>1017</v>
      </c>
      <c r="B615" s="245">
        <f ca="1">+INDEX(Segment!$A$117:$BR$126,MATCH($A615,Segment!$A$117:$A$126,0),MATCH(B$607,IS!$A$60:$BR$60,0))</f>
        <v>0</v>
      </c>
      <c r="C615" s="245">
        <f ca="1">+INDEX(Segment!$A$117:$BR$126,MATCH($A615,Segment!$A$117:$A$126,0),MATCH(C$607,IS!$A$60:$BR$60,0))</f>
        <v>0</v>
      </c>
      <c r="D615" s="245">
        <f ca="1">+INDEX(Segment!$A$117:$BR$126,MATCH($A615,Segment!$A$117:$A$126,0),MATCH(D$607,IS!$A$60:$BR$60,0))</f>
        <v>0</v>
      </c>
      <c r="E615" s="1458">
        <f ca="1">+INDEX(Segment!$A$117:$BR$126,MATCH($A615,Segment!$A$117:$A$126,0),MATCH(E$607,IS!$A$60:$BR$60,0))</f>
        <v>0</v>
      </c>
      <c r="F615" s="1283"/>
      <c r="G615" s="1283"/>
      <c r="H615" s="506"/>
      <c r="I615" s="506"/>
      <c r="J615" s="506"/>
      <c r="K615" s="506"/>
      <c r="L615" s="1468"/>
      <c r="M615" s="36" t="s">
        <v>1017</v>
      </c>
      <c r="N615" s="245">
        <f ca="1">+INDEX(Segment!$A$131:$BR$140,MATCH($M615,Segment!$A$131:$A$140,0),MATCH(N$607,IS!$A$60:$BR$60,0))</f>
        <v>0</v>
      </c>
      <c r="O615" s="245">
        <f ca="1">+INDEX(Segment!$A$131:$BR$140,MATCH($M615,Segment!$A$131:$A$140,0),MATCH(O$607,IS!$A$60:$BR$60,0))</f>
        <v>0</v>
      </c>
      <c r="P615" s="245">
        <f ca="1">+INDEX(Segment!$A$131:$BR$140,MATCH($M615,Segment!$A$131:$A$140,0),MATCH(P$607,IS!$A$60:$BR$60,0))</f>
        <v>0</v>
      </c>
      <c r="Q615" s="245">
        <f ca="1">+INDEX(Segment!$A$131:$BR$140,MATCH($M615,Segment!$A$131:$A$140,0),MATCH(Q$607,IS!$A$60:$BR$60,0))</f>
        <v>0</v>
      </c>
      <c r="R615" s="91"/>
      <c r="S615" s="1094">
        <f t="shared" ca="1" si="394"/>
        <v>0</v>
      </c>
      <c r="T615" s="1094">
        <f t="shared" ca="1" si="395"/>
        <v>0</v>
      </c>
      <c r="U615" s="1094" t="e">
        <f t="shared" ca="1" si="396"/>
        <v>#N/A</v>
      </c>
      <c r="V615" s="1094" t="e">
        <f t="shared" ca="1" si="397"/>
        <v>#N/A</v>
      </c>
      <c r="W615" s="99" t="e">
        <f t="shared" ca="1" si="398"/>
        <v>#N/A</v>
      </c>
      <c r="X615" s="38" t="e">
        <f t="shared" ca="1" si="399"/>
        <v>#N/A</v>
      </c>
      <c r="Y615" s="9"/>
      <c r="Z615" s="36" t="s">
        <v>1017</v>
      </c>
      <c r="AA615" s="245">
        <f ca="1">+INDEX(Segment!$A$170:$BR$179,MATCH($Z615,Segment!$A$170:$A$179,0),MATCH(AA$607,IS!$A$60:$BR$60,0))</f>
        <v>0</v>
      </c>
      <c r="AB615" s="245">
        <f ca="1">+INDEX(Segment!$A$170:$BR$179,MATCH($Z615,Segment!$A$170:$A$179,0),MATCH(AB$607,IS!$A$60:$BR$60,0))</f>
        <v>0</v>
      </c>
      <c r="AC615" s="245">
        <f ca="1">+INDEX(Segment!$A$170:$BR$179,MATCH($Z615,Segment!$A$170:$A$179,0),MATCH(AC$607,IS!$A$60:$BR$60,0))</f>
        <v>0</v>
      </c>
      <c r="AD615" s="245">
        <f ca="1">+INDEX(Segment!$A$170:$BR$179,MATCH($Z615,Segment!$A$170:$A$179,0),MATCH(AD$607,IS!$A$60:$BR$60,0))</f>
        <v>0</v>
      </c>
      <c r="AE615" s="91"/>
      <c r="AF615" s="99">
        <f t="shared" ca="1" si="400"/>
        <v>0</v>
      </c>
      <c r="AG615" s="99">
        <f t="shared" ca="1" si="401"/>
        <v>0</v>
      </c>
      <c r="AH615" s="99" t="e">
        <f t="shared" ca="1" si="402"/>
        <v>#N/A</v>
      </c>
      <c r="AI615" s="99" t="e">
        <f t="shared" ca="1" si="403"/>
        <v>#N/A</v>
      </c>
      <c r="AJ615" s="99" t="e">
        <f t="shared" ca="1" si="404"/>
        <v>#N/A</v>
      </c>
      <c r="AK615" s="38" t="e">
        <f t="shared" ca="1" si="405"/>
        <v>#N/A</v>
      </c>
      <c r="AL615" s="91"/>
      <c r="AM615" s="36" t="s">
        <v>1017</v>
      </c>
      <c r="AN615" s="245">
        <f ca="1">+INDEX(Segment!$503:$515,MATCH($AM615,Segment!$A$503:$A$515,0),MATCH(AN$593,Segment!$3:$3,0))</f>
        <v>0</v>
      </c>
      <c r="AO615" s="91"/>
      <c r="AP615" s="91"/>
      <c r="AQ615" s="91"/>
      <c r="AR615" s="91"/>
      <c r="AS615" s="91"/>
      <c r="AT615" s="91"/>
      <c r="AU615" s="91"/>
      <c r="AV615" s="296"/>
      <c r="AW615" s="296"/>
      <c r="AX615" s="296"/>
      <c r="AY615" s="296"/>
      <c r="AZ615" s="296"/>
      <c r="BA615" s="296"/>
      <c r="BB615" s="296"/>
      <c r="BC615" s="296"/>
      <c r="BD615" s="296"/>
      <c r="BE615" s="296"/>
      <c r="BF615" s="296"/>
      <c r="BG615" s="296"/>
      <c r="BH615" s="296"/>
      <c r="BI615" s="296"/>
      <c r="BJ615" s="296"/>
      <c r="BK615" s="296"/>
      <c r="BL615" s="296"/>
      <c r="BM615" s="296"/>
      <c r="BN615" s="296"/>
      <c r="BO615" s="296"/>
      <c r="BP615" s="296"/>
      <c r="BQ615" s="296"/>
      <c r="BR615" s="296"/>
      <c r="BS615" s="296"/>
      <c r="BT615" s="296"/>
      <c r="BU615" s="296"/>
      <c r="BV615" s="296"/>
      <c r="BW615" s="296"/>
      <c r="BX615" s="296"/>
      <c r="BY615" s="296"/>
      <c r="BZ615" s="9"/>
      <c r="CA615" s="9"/>
      <c r="CB615" s="9"/>
      <c r="CC615" s="9"/>
      <c r="CD615" s="9"/>
    </row>
    <row r="616" spans="1:82">
      <c r="A616" s="36" t="s">
        <v>1120</v>
      </c>
      <c r="B616" s="245">
        <f ca="1">+INDEX(Segment!$A$117:$BR$126,MATCH($A616,Segment!$A$117:$A$126,0),MATCH(B$607,IS!$A$60:$BR$60,0))</f>
        <v>5.2910052910052907E-2</v>
      </c>
      <c r="C616" s="245">
        <f ca="1">+INDEX(Segment!$A$117:$BR$126,MATCH($A616,Segment!$A$117:$A$126,0),MATCH(C$607,IS!$A$60:$BR$60,0))</f>
        <v>5.1970550021654398E-2</v>
      </c>
      <c r="D616" s="245">
        <f ca="1">+INDEX(Segment!$A$117:$BR$126,MATCH($A616,Segment!$A$117:$A$126,0),MATCH(D$607,IS!$A$60:$BR$60,0))</f>
        <v>5.1948051948051951E-2</v>
      </c>
      <c r="E616" s="1458">
        <f ca="1">+INDEX(Segment!$A$117:$BR$126,MATCH($A616,Segment!$A$117:$A$126,0),MATCH(E$607,IS!$A$60:$BR$60,0))</f>
        <v>5.0687285223367698E-2</v>
      </c>
      <c r="F616" s="1283"/>
      <c r="G616" s="1283"/>
      <c r="H616" s="506"/>
      <c r="I616" s="506"/>
      <c r="J616" s="506"/>
      <c r="K616" s="506"/>
      <c r="L616" s="1468"/>
      <c r="M616" s="36" t="s">
        <v>1120</v>
      </c>
      <c r="N616" s="245">
        <f ca="1">+INDEX(Segment!$A$131:$BR$140,MATCH($M616,Segment!$A$131:$A$140,0),MATCH(N$607,IS!$A$60:$BR$60,0))</f>
        <v>7.0000000000000007E-2</v>
      </c>
      <c r="O616" s="245">
        <f ca="1">+INDEX(Segment!$A$131:$BR$140,MATCH($M616,Segment!$A$131:$A$140,0),MATCH(O$607,IS!$A$60:$BR$60,0))</f>
        <v>7.0000000000000007E-2</v>
      </c>
      <c r="P616" s="245">
        <f ca="1">+INDEX(Segment!$A$131:$BR$140,MATCH($M616,Segment!$A$131:$A$140,0),MATCH(P$607,IS!$A$60:$BR$60,0))</f>
        <v>7.0000000000000007E-2</v>
      </c>
      <c r="Q616" s="245">
        <f ca="1">+INDEX(Segment!$A$131:$BR$140,MATCH($M616,Segment!$A$131:$A$140,0),MATCH(Q$607,IS!$A$60:$BR$60,0))</f>
        <v>7.0000000000000007E-2</v>
      </c>
      <c r="R616" s="91"/>
      <c r="S616" s="1094">
        <f t="shared" ca="1" si="394"/>
        <v>394.59000000000003</v>
      </c>
      <c r="T616" s="1094">
        <f t="shared" ca="1" si="395"/>
        <v>426.58000000000004</v>
      </c>
      <c r="U616" s="1094" t="e">
        <f t="shared" ca="1" si="396"/>
        <v>#N/A</v>
      </c>
      <c r="V616" s="1094" t="e">
        <f t="shared" ca="1" si="397"/>
        <v>#N/A</v>
      </c>
      <c r="W616" s="99" t="e">
        <f t="shared" ca="1" si="398"/>
        <v>#N/A</v>
      </c>
      <c r="X616" s="38" t="e">
        <f t="shared" ca="1" si="399"/>
        <v>#N/A</v>
      </c>
      <c r="Y616" s="9"/>
      <c r="Z616" s="36" t="s">
        <v>1120</v>
      </c>
      <c r="AA616" s="245">
        <f ca="1">+INDEX(Segment!$A$170:$BR$179,MATCH($Z616,Segment!$A$170:$A$179,0),MATCH(AA$607,IS!$A$60:$BR$60,0))</f>
        <v>0.04</v>
      </c>
      <c r="AB616" s="245">
        <f ca="1">+INDEX(Segment!$A$170:$BR$179,MATCH($Z616,Segment!$A$170:$A$179,0),MATCH(AB$607,IS!$A$60:$BR$60,0))</f>
        <v>7.0000000000000007E-2</v>
      </c>
      <c r="AC616" s="245">
        <f ca="1">+INDEX(Segment!$A$170:$BR$179,MATCH($Z616,Segment!$A$170:$A$179,0),MATCH(AC$607,IS!$A$60:$BR$60,0))</f>
        <v>0.08</v>
      </c>
      <c r="AD616" s="245">
        <f ca="1">+INDEX(Segment!$A$170:$BR$179,MATCH($Z616,Segment!$A$170:$A$179,0),MATCH(AD$607,IS!$A$60:$BR$60,0))</f>
        <v>7.0000000000000007E-2</v>
      </c>
      <c r="AE616" s="91"/>
      <c r="AF616" s="99">
        <f t="shared" ca="1" si="400"/>
        <v>35.36</v>
      </c>
      <c r="AG616" s="99">
        <f t="shared" ca="1" si="401"/>
        <v>74.550000000000011</v>
      </c>
      <c r="AH616" s="99" t="e">
        <f t="shared" ca="1" si="402"/>
        <v>#N/A</v>
      </c>
      <c r="AI616" s="99" t="e">
        <f t="shared" ca="1" si="403"/>
        <v>#N/A</v>
      </c>
      <c r="AJ616" s="99" t="e">
        <f t="shared" ca="1" si="404"/>
        <v>#N/A</v>
      </c>
      <c r="AK616" s="38" t="e">
        <f t="shared" ca="1" si="405"/>
        <v>#N/A</v>
      </c>
      <c r="AL616" s="91"/>
      <c r="AM616" s="36" t="s">
        <v>1120</v>
      </c>
      <c r="AN616" s="245">
        <f ca="1">+INDEX(Segment!$503:$515,MATCH($AM616,Segment!$A$503:$A$515,0),MATCH(AN$593,Segment!$3:$3,0))</f>
        <v>0</v>
      </c>
      <c r="AO616" s="91"/>
      <c r="AP616" s="91"/>
      <c r="AQ616" s="91"/>
      <c r="AR616" s="91"/>
      <c r="AS616" s="91"/>
      <c r="AT616" s="91"/>
      <c r="AU616" s="91"/>
      <c r="AV616" s="296"/>
      <c r="AW616" s="296"/>
      <c r="AX616" s="296"/>
      <c r="AY616" s="296"/>
      <c r="AZ616" s="296"/>
      <c r="BA616" s="296"/>
      <c r="BB616" s="296"/>
      <c r="BC616" s="296"/>
      <c r="BD616" s="296"/>
      <c r="BE616" s="296"/>
      <c r="BF616" s="296"/>
      <c r="BG616" s="296"/>
      <c r="BH616" s="296"/>
      <c r="BI616" s="296"/>
      <c r="BJ616" s="296"/>
      <c r="BK616" s="296"/>
      <c r="BL616" s="296"/>
      <c r="BM616" s="296"/>
      <c r="BN616" s="296"/>
      <c r="BO616" s="296"/>
      <c r="BP616" s="296"/>
      <c r="BQ616" s="296"/>
      <c r="BR616" s="296"/>
      <c r="BS616" s="296"/>
      <c r="BT616" s="296"/>
      <c r="BU616" s="296"/>
      <c r="BV616" s="296"/>
      <c r="BW616" s="296"/>
      <c r="BX616" s="296"/>
      <c r="BY616" s="296"/>
      <c r="BZ616" s="9"/>
      <c r="CA616" s="9"/>
      <c r="CB616" s="9"/>
      <c r="CC616" s="9"/>
      <c r="CD616" s="9"/>
    </row>
    <row r="617" spans="1:82">
      <c r="A617" s="36" t="s">
        <v>331</v>
      </c>
      <c r="B617" s="245">
        <f ca="1">+INDEX(Segment!$A$117:$BR$126,MATCH($A617,Segment!$A$117:$A$126,0),MATCH(B$607,IS!$A$60:$BR$60,0))</f>
        <v>1.8518518518518517E-2</v>
      </c>
      <c r="C617" s="245">
        <f ca="1">+INDEX(Segment!$A$117:$BR$126,MATCH($A617,Segment!$A$117:$A$126,0),MATCH(C$607,IS!$A$60:$BR$60,0))</f>
        <v>7.795582503248159E-3</v>
      </c>
      <c r="D617" s="245">
        <f ca="1">+INDEX(Segment!$A$117:$BR$126,MATCH($A617,Segment!$A$117:$A$126,0),MATCH(D$607,IS!$A$60:$BR$60,0))</f>
        <v>7.7922077922077922E-3</v>
      </c>
      <c r="E617" s="1458">
        <f ca="1">+INDEX(Segment!$A$117:$BR$126,MATCH($A617,Segment!$A$117:$A$126,0),MATCH(E$607,IS!$A$60:$BR$60,0))</f>
        <v>7.7319587628865982E-3</v>
      </c>
      <c r="F617" s="1283"/>
      <c r="G617" s="1283"/>
      <c r="H617" s="506"/>
      <c r="I617" s="506"/>
      <c r="J617" s="506"/>
      <c r="K617" s="506"/>
      <c r="L617" s="1468"/>
      <c r="M617" s="36" t="s">
        <v>331</v>
      </c>
      <c r="N617" s="245">
        <f ca="1">+INDEX(Segment!$A$131:$BR$140,MATCH($M617,Segment!$A$131:$A$140,0),MATCH(N$607,IS!$A$60:$BR$60,0))</f>
        <v>0.03</v>
      </c>
      <c r="O617" s="245">
        <f ca="1">+INDEX(Segment!$A$131:$BR$140,MATCH($M617,Segment!$A$131:$A$140,0),MATCH(O$607,IS!$A$60:$BR$60,0))</f>
        <v>0.03</v>
      </c>
      <c r="P617" s="245">
        <f ca="1">+INDEX(Segment!$A$131:$BR$140,MATCH($M617,Segment!$A$131:$A$140,0),MATCH(P$607,IS!$A$60:$BR$60,0))</f>
        <v>0.03</v>
      </c>
      <c r="Q617" s="245">
        <f ca="1">+INDEX(Segment!$A$131:$BR$140,MATCH($M617,Segment!$A$131:$A$140,0),MATCH(Q$607,IS!$A$60:$BR$60,0))</f>
        <v>0.03</v>
      </c>
      <c r="R617" s="91"/>
      <c r="S617" s="1094">
        <f t="shared" ca="1" si="394"/>
        <v>169.10999999999999</v>
      </c>
      <c r="T617" s="1094">
        <f t="shared" ca="1" si="395"/>
        <v>182.82</v>
      </c>
      <c r="U617" s="1094" t="e">
        <f t="shared" ca="1" si="396"/>
        <v>#N/A</v>
      </c>
      <c r="V617" s="1094" t="e">
        <f t="shared" ca="1" si="397"/>
        <v>#N/A</v>
      </c>
      <c r="W617" s="99" t="e">
        <f t="shared" ca="1" si="398"/>
        <v>#N/A</v>
      </c>
      <c r="X617" s="38" t="e">
        <f t="shared" ca="1" si="399"/>
        <v>#N/A</v>
      </c>
      <c r="Y617" s="9"/>
      <c r="Z617" s="36" t="s">
        <v>331</v>
      </c>
      <c r="AA617" s="245">
        <f ca="1">+INDEX(Segment!$A$170:$BR$179,MATCH($Z617,Segment!$A$170:$A$179,0),MATCH(AA$607,IS!$A$60:$BR$60,0))</f>
        <v>0.03</v>
      </c>
      <c r="AB617" s="245">
        <f ca="1">+INDEX(Segment!$A$170:$BR$179,MATCH($Z617,Segment!$A$170:$A$179,0),MATCH(AB$607,IS!$A$60:$BR$60,0))</f>
        <v>0.02</v>
      </c>
      <c r="AC617" s="245">
        <f ca="1">+INDEX(Segment!$A$170:$BR$179,MATCH($Z617,Segment!$A$170:$A$179,0),MATCH(AC$607,IS!$A$60:$BR$60,0))</f>
        <v>0.02</v>
      </c>
      <c r="AD617" s="245">
        <f ca="1">+INDEX(Segment!$A$170:$BR$179,MATCH($Z617,Segment!$A$170:$A$179,0),MATCH(AD$607,IS!$A$60:$BR$60,0))</f>
        <v>0.03</v>
      </c>
      <c r="AE617" s="91"/>
      <c r="AF617" s="99">
        <f t="shared" ca="1" si="400"/>
        <v>26.52</v>
      </c>
      <c r="AG617" s="99">
        <f t="shared" ca="1" si="401"/>
        <v>21.3</v>
      </c>
      <c r="AH617" s="99" t="e">
        <f t="shared" ca="1" si="402"/>
        <v>#N/A</v>
      </c>
      <c r="AI617" s="99" t="e">
        <f t="shared" ca="1" si="403"/>
        <v>#N/A</v>
      </c>
      <c r="AJ617" s="99" t="e">
        <f t="shared" ca="1" si="404"/>
        <v>#N/A</v>
      </c>
      <c r="AK617" s="38" t="e">
        <f t="shared" ca="1" si="405"/>
        <v>#N/A</v>
      </c>
      <c r="AL617" s="91"/>
      <c r="AM617" s="36" t="s">
        <v>331</v>
      </c>
      <c r="AN617" s="245">
        <f ca="1">+INDEX(Segment!$503:$515,MATCH($AM617,Segment!$A$503:$A$515,0),MATCH(AN$593,Segment!$3:$3,0))</f>
        <v>0</v>
      </c>
      <c r="AO617" s="91"/>
      <c r="AP617" s="91"/>
      <c r="AQ617" s="91"/>
      <c r="AR617" s="91"/>
      <c r="AS617" s="91"/>
      <c r="AT617" s="91"/>
      <c r="AU617" s="91"/>
      <c r="AV617" s="296"/>
      <c r="AW617" s="296"/>
      <c r="AX617" s="296"/>
      <c r="AY617" s="296"/>
      <c r="AZ617" s="296"/>
      <c r="BA617" s="296"/>
      <c r="BB617" s="296"/>
      <c r="BC617" s="296"/>
      <c r="BD617" s="296"/>
      <c r="BE617" s="296"/>
      <c r="BF617" s="296"/>
      <c r="BG617" s="296"/>
      <c r="BH617" s="296"/>
      <c r="BI617" s="296"/>
      <c r="BJ617" s="296"/>
      <c r="BK617" s="296"/>
      <c r="BL617" s="296"/>
      <c r="BM617" s="296"/>
      <c r="BN617" s="296"/>
      <c r="BO617" s="296"/>
      <c r="BP617" s="296"/>
      <c r="BQ617" s="296"/>
      <c r="BR617" s="296"/>
      <c r="BS617" s="296"/>
      <c r="BT617" s="296"/>
      <c r="BU617" s="296"/>
      <c r="BV617" s="296"/>
      <c r="BW617" s="296"/>
      <c r="BX617" s="296"/>
      <c r="BY617" s="296"/>
      <c r="BZ617" s="9"/>
      <c r="CA617" s="9"/>
      <c r="CB617" s="9"/>
      <c r="CC617" s="9"/>
      <c r="CD617" s="9"/>
    </row>
    <row r="618" spans="1:82">
      <c r="A618" s="513" t="s">
        <v>325</v>
      </c>
      <c r="B618" s="1086">
        <f ca="1">SUM(B608:B617)</f>
        <v>1.0000000000000002</v>
      </c>
      <c r="C618" s="1086">
        <f ca="1">SUM(C608:C617)</f>
        <v>1</v>
      </c>
      <c r="D618" s="1086">
        <f ca="1">SUM(D608:D617)</f>
        <v>1</v>
      </c>
      <c r="E618" s="1086">
        <f ca="1">SUM(E608:E617)</f>
        <v>0.99999999999999989</v>
      </c>
      <c r="F618" s="1284"/>
      <c r="G618" s="1284"/>
      <c r="H618" s="9"/>
      <c r="I618" s="9"/>
      <c r="J618" s="9"/>
      <c r="K618" s="9"/>
      <c r="L618" s="1468"/>
      <c r="M618" s="513" t="s">
        <v>325</v>
      </c>
      <c r="N618" s="1086">
        <f ca="1">SUM(N607:N617)</f>
        <v>1</v>
      </c>
      <c r="O618" s="1086">
        <f ca="1">SUM(O607:O617)</f>
        <v>1</v>
      </c>
      <c r="P618" s="1086">
        <f ca="1">SUM(P607:P617)</f>
        <v>1</v>
      </c>
      <c r="Q618" s="1086">
        <f ca="1">+SUM(Q608:Q617)</f>
        <v>1</v>
      </c>
      <c r="R618" s="91"/>
      <c r="S618" s="1490">
        <f ca="1">+SUM(S608:S617)</f>
        <v>5637</v>
      </c>
      <c r="T618" s="1490">
        <f ca="1">+SUM(T608:T617)</f>
        <v>6094</v>
      </c>
      <c r="U618" s="1490" t="e">
        <f ca="1">+SUM(U608:U617)</f>
        <v>#N/A</v>
      </c>
      <c r="V618" s="1490" t="e">
        <f ca="1">+SUM(V608:V617)</f>
        <v>#N/A</v>
      </c>
      <c r="W618" s="1490" t="e">
        <f ca="1">+SUM(W608:W617)</f>
        <v>#N/A</v>
      </c>
      <c r="X618" s="931" t="e">
        <f t="shared" ca="1" si="399"/>
        <v>#N/A</v>
      </c>
      <c r="Y618" s="9"/>
      <c r="Z618" s="513" t="s">
        <v>325</v>
      </c>
      <c r="AA618" s="1086">
        <f ca="1">SUM(AA608:AA617)</f>
        <v>1</v>
      </c>
      <c r="AB618" s="1086">
        <f ca="1">SUM(AB608:AB617)</f>
        <v>1</v>
      </c>
      <c r="AC618" s="1086">
        <f ca="1">SUM(AC608:AC617)</f>
        <v>1</v>
      </c>
      <c r="AD618" s="1086">
        <f ca="1">SUM(AD608:AD617)</f>
        <v>1</v>
      </c>
      <c r="AE618" s="91"/>
      <c r="AF618" s="1490">
        <f ca="1">+SUM(AF608:AF617)</f>
        <v>884.00000000000011</v>
      </c>
      <c r="AG618" s="1490">
        <f ca="1">+SUM(AG608:AG617)</f>
        <v>1065</v>
      </c>
      <c r="AH618" s="1490" t="e">
        <f ca="1">+SUM(AH608:AH617)</f>
        <v>#N/A</v>
      </c>
      <c r="AI618" s="1490" t="e">
        <f ca="1">+SUM(AI608:AI617)</f>
        <v>#N/A</v>
      </c>
      <c r="AJ618" s="1490" t="e">
        <f ca="1">+SUM(AJ608:AJ617)</f>
        <v>#N/A</v>
      </c>
      <c r="AK618" s="931" t="e">
        <f t="shared" ca="1" si="405"/>
        <v>#N/A</v>
      </c>
      <c r="AL618" s="91"/>
      <c r="AM618" s="513" t="s">
        <v>325</v>
      </c>
      <c r="AN618" s="1086">
        <f ca="1">SUM(AN608:AN617)</f>
        <v>0</v>
      </c>
      <c r="AO618" s="91"/>
      <c r="AP618" s="91"/>
      <c r="AQ618" s="91"/>
      <c r="AR618" s="91"/>
      <c r="AS618" s="91"/>
      <c r="AT618" s="91"/>
      <c r="AU618" s="91"/>
      <c r="AV618" s="296"/>
      <c r="AW618" s="296"/>
      <c r="AX618" s="296"/>
      <c r="AY618" s="296"/>
      <c r="AZ618" s="296"/>
      <c r="BA618" s="296"/>
      <c r="BB618" s="296"/>
      <c r="BC618" s="296"/>
      <c r="BD618" s="296"/>
      <c r="BE618" s="296"/>
      <c r="BF618" s="296"/>
      <c r="BG618" s="296"/>
      <c r="BH618" s="296"/>
      <c r="BI618" s="296"/>
      <c r="BJ618" s="296"/>
      <c r="BK618" s="296"/>
      <c r="BL618" s="296"/>
      <c r="BM618" s="296"/>
      <c r="BN618" s="296"/>
      <c r="BO618" s="296"/>
      <c r="BP618" s="296"/>
      <c r="BQ618" s="296"/>
      <c r="BR618" s="296"/>
      <c r="BS618" s="296"/>
      <c r="BT618" s="296"/>
      <c r="BU618" s="296"/>
      <c r="BV618" s="296"/>
      <c r="BW618" s="296"/>
      <c r="BX618" s="296"/>
      <c r="BY618" s="296"/>
      <c r="BZ618" s="9"/>
      <c r="CA618" s="9"/>
      <c r="CB618" s="9"/>
      <c r="CC618" s="9"/>
      <c r="CD618" s="9"/>
    </row>
    <row r="619" spans="1:82">
      <c r="A619" s="513"/>
      <c r="B619" s="1086"/>
      <c r="C619" s="1086"/>
      <c r="D619" s="1086"/>
      <c r="E619" s="1086"/>
      <c r="F619" s="91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  <c r="R619" s="91"/>
      <c r="S619" s="1094"/>
      <c r="T619" s="1094"/>
      <c r="U619" s="1094"/>
      <c r="V619" s="1094"/>
      <c r="W619" s="91"/>
      <c r="X619" s="91"/>
      <c r="Y619" s="91"/>
      <c r="Z619" s="91"/>
      <c r="AA619" s="91"/>
      <c r="AB619" s="91"/>
      <c r="AC619" s="91"/>
      <c r="AD619" s="91"/>
      <c r="AE619" s="91"/>
      <c r="AF619" s="99"/>
      <c r="AG619" s="99"/>
      <c r="AH619" s="99"/>
      <c r="AI619" s="99"/>
      <c r="AJ619" s="91"/>
      <c r="AK619" s="91"/>
      <c r="AL619" s="91"/>
      <c r="AM619" s="91"/>
      <c r="AN619" s="91"/>
      <c r="AO619" s="91"/>
      <c r="AP619" s="91"/>
      <c r="AQ619" s="91"/>
      <c r="AR619" s="91"/>
      <c r="AS619" s="91"/>
      <c r="AT619" s="91"/>
      <c r="AU619" s="91"/>
      <c r="AV619" s="296"/>
      <c r="AW619" s="296"/>
      <c r="AX619" s="296"/>
      <c r="AY619" s="296"/>
      <c r="AZ619" s="296"/>
      <c r="BA619" s="296"/>
      <c r="BB619" s="296"/>
      <c r="BC619" s="296"/>
      <c r="BD619" s="296"/>
      <c r="BE619" s="296"/>
      <c r="BF619" s="296"/>
      <c r="BG619" s="296"/>
      <c r="BH619" s="296"/>
      <c r="BI619" s="296"/>
      <c r="BJ619" s="296"/>
      <c r="BK619" s="296"/>
      <c r="BL619" s="296"/>
      <c r="BM619" s="296"/>
      <c r="BN619" s="296"/>
      <c r="BO619" s="296"/>
      <c r="BP619" s="296"/>
      <c r="BQ619" s="296"/>
      <c r="BR619" s="296"/>
      <c r="BS619" s="296"/>
      <c r="BT619" s="296"/>
      <c r="BU619" s="296"/>
      <c r="BV619" s="296"/>
      <c r="BW619" s="296"/>
      <c r="BX619" s="296"/>
      <c r="BY619" s="296"/>
      <c r="BZ619" s="9"/>
      <c r="CA619" s="9"/>
      <c r="CB619" s="9"/>
      <c r="CC619" s="9"/>
      <c r="CD619" s="9"/>
    </row>
    <row r="620" spans="1:82">
      <c r="A620" s="239" t="s">
        <v>325</v>
      </c>
      <c r="B620" s="1085"/>
      <c r="C620" s="1085"/>
      <c r="D620" s="1085"/>
      <c r="E620" s="1085"/>
      <c r="F620" s="1085"/>
      <c r="G620" s="1085"/>
      <c r="H620" s="1085"/>
      <c r="I620" s="1085"/>
      <c r="J620" s="1085"/>
      <c r="K620" s="1085"/>
      <c r="L620" s="1085"/>
      <c r="M620" s="1085"/>
      <c r="N620" s="1085"/>
      <c r="O620" s="1085"/>
      <c r="P620" s="1085"/>
      <c r="Q620" s="1085"/>
      <c r="R620" s="1085"/>
      <c r="S620" s="1085"/>
      <c r="T620" s="1085"/>
      <c r="U620" s="1085"/>
      <c r="V620" s="1085"/>
      <c r="W620" s="1085"/>
      <c r="X620" s="1085"/>
      <c r="Y620" s="1085"/>
      <c r="Z620" s="1085"/>
      <c r="AA620" s="1085"/>
      <c r="AB620" s="1085"/>
      <c r="AC620" s="1085"/>
      <c r="AD620" s="1085"/>
      <c r="AE620" s="1085"/>
      <c r="AF620" s="1085"/>
      <c r="AG620" s="1085"/>
      <c r="AH620" s="1085"/>
      <c r="AI620" s="1085"/>
      <c r="AJ620" s="1085"/>
      <c r="AK620" s="1085"/>
      <c r="AL620" s="1085"/>
      <c r="AM620" s="1085"/>
      <c r="AN620" s="1085"/>
      <c r="AO620" s="1085"/>
      <c r="AP620" s="1085"/>
      <c r="AQ620" s="1085"/>
      <c r="AR620" s="1085"/>
      <c r="AS620" s="1085"/>
      <c r="AT620" s="1085"/>
      <c r="AU620" s="1085"/>
      <c r="AV620" s="1085"/>
      <c r="AW620" s="1085"/>
      <c r="AX620" s="1085"/>
      <c r="AY620" s="1085"/>
      <c r="AZ620" s="1085"/>
      <c r="BA620" s="1085"/>
      <c r="BB620" s="1085"/>
      <c r="BC620" s="1085"/>
      <c r="BD620" s="1085"/>
      <c r="BE620" s="1085"/>
      <c r="BF620" s="1085"/>
      <c r="BG620" s="1085"/>
      <c r="BH620" s="1085"/>
      <c r="BI620" s="1085"/>
      <c r="BJ620" s="1085"/>
      <c r="BK620" s="1085"/>
      <c r="BL620" s="1085"/>
      <c r="BM620" s="1085"/>
      <c r="BN620" s="1085"/>
      <c r="BO620" s="1085"/>
      <c r="BP620" s="1085"/>
      <c r="BQ620" s="1085"/>
      <c r="BR620" s="1085"/>
      <c r="BS620" s="1085"/>
      <c r="BT620" s="1085"/>
      <c r="BU620" s="1085"/>
      <c r="BV620" s="1085"/>
      <c r="BW620" s="1085"/>
      <c r="BX620" s="1085"/>
      <c r="BY620" s="1085"/>
      <c r="BZ620" s="1085"/>
      <c r="CA620" s="1085"/>
      <c r="CB620" s="1085"/>
      <c r="CC620" s="1085"/>
      <c r="CD620" s="1085"/>
    </row>
    <row r="621" spans="1:82">
      <c r="A621" s="242" t="s">
        <v>1020</v>
      </c>
      <c r="B621" s="595" t="str">
        <f ca="1">Charts_Support!B638</f>
        <v>3Q23</v>
      </c>
      <c r="C621" s="595" t="str">
        <f ca="1">Charts_Support!C638</f>
        <v>4Q23</v>
      </c>
      <c r="D621" s="595" t="str">
        <f ca="1">Charts_Support!D638</f>
        <v>1Q24</v>
      </c>
      <c r="E621" s="595" t="str">
        <f ca="1">Charts_Support!E638</f>
        <v>2Q24</v>
      </c>
      <c r="F621" s="91"/>
      <c r="G621" s="242" t="s">
        <v>1050</v>
      </c>
      <c r="H621" s="595" t="str">
        <f ca="1">Charts_Support!B638</f>
        <v>3Q23</v>
      </c>
      <c r="I621" s="595" t="str">
        <f ca="1">Charts_Support!C638</f>
        <v>4Q23</v>
      </c>
      <c r="J621" s="595" t="str">
        <f ca="1">Charts_Support!D638</f>
        <v>1Q24</v>
      </c>
      <c r="K621" s="595" t="str">
        <f ca="1">Charts_Support!E638</f>
        <v>2Q24</v>
      </c>
      <c r="L621" s="91"/>
      <c r="M621" s="595" t="str">
        <f ca="1">H621</f>
        <v>3Q23</v>
      </c>
      <c r="N621" s="595" t="str">
        <f ca="1">I621</f>
        <v>4Q23</v>
      </c>
      <c r="O621" s="595" t="str">
        <f ca="1">J621</f>
        <v>1Q24</v>
      </c>
      <c r="P621" s="595" t="str">
        <f ca="1">K621</f>
        <v>2Q24</v>
      </c>
      <c r="Q621" s="242" t="s">
        <v>1148</v>
      </c>
      <c r="R621" s="242" t="s">
        <v>1149</v>
      </c>
      <c r="S621" s="91"/>
      <c r="T621" s="242" t="s">
        <v>742</v>
      </c>
      <c r="U621" s="595" t="str">
        <f ca="1">+B621</f>
        <v>3Q23</v>
      </c>
      <c r="V621" s="595" t="str">
        <f ca="1">+C621</f>
        <v>4Q23</v>
      </c>
      <c r="W621" s="595" t="str">
        <f ca="1">+D621</f>
        <v>1Q24</v>
      </c>
      <c r="X621" s="595" t="str">
        <f ca="1">+E621</f>
        <v>2Q24</v>
      </c>
      <c r="Y621" s="242" t="s">
        <v>1346</v>
      </c>
      <c r="Z621" s="242" t="s">
        <v>1147</v>
      </c>
      <c r="AA621" s="91"/>
      <c r="AB621" s="91"/>
      <c r="AC621" s="91"/>
      <c r="AD621" s="91"/>
      <c r="AE621" s="91"/>
      <c r="AF621" s="91"/>
      <c r="AG621" s="91"/>
      <c r="AH621" s="91"/>
      <c r="AI621" s="91"/>
      <c r="AJ621" s="91"/>
      <c r="AK621" s="91"/>
      <c r="AL621" s="91"/>
      <c r="AM621" s="91"/>
      <c r="AN621" s="91"/>
      <c r="AO621" s="91"/>
      <c r="AP621" s="91"/>
      <c r="AQ621" s="91"/>
      <c r="AR621" s="91"/>
      <c r="AS621" s="91"/>
      <c r="AT621" s="91"/>
      <c r="AU621" s="91"/>
      <c r="AV621" s="296"/>
      <c r="AW621" s="296"/>
      <c r="AX621" s="296"/>
      <c r="AY621" s="296"/>
      <c r="AZ621" s="296"/>
      <c r="BA621" s="296"/>
      <c r="BB621" s="296"/>
      <c r="BC621" s="296"/>
      <c r="BD621" s="296"/>
      <c r="BE621" s="296"/>
      <c r="BF621" s="296"/>
      <c r="BG621" s="296"/>
      <c r="BH621" s="296"/>
      <c r="BI621" s="296"/>
      <c r="BJ621" s="296"/>
      <c r="BK621" s="296"/>
      <c r="BL621" s="296"/>
      <c r="BM621" s="296"/>
      <c r="BN621" s="296"/>
      <c r="BO621" s="296"/>
      <c r="BP621" s="296"/>
      <c r="BQ621" s="296"/>
      <c r="BR621" s="296"/>
      <c r="BS621" s="296"/>
      <c r="BT621" s="296"/>
      <c r="BU621" s="296"/>
      <c r="BV621" s="296"/>
      <c r="BW621" s="296"/>
      <c r="BX621" s="296"/>
      <c r="BY621" s="296"/>
      <c r="BZ621" s="9"/>
      <c r="CA621" s="9"/>
      <c r="CB621" s="9"/>
      <c r="CC621" s="9"/>
      <c r="CD621" s="9"/>
    </row>
    <row r="622" spans="1:82">
      <c r="A622" s="36" t="s">
        <v>1007</v>
      </c>
      <c r="B622" s="446">
        <f ca="1">+INDEX(Segment!$A$295:$BR$308,MATCH($A622,Segment!$A$295:$A$308,0),MATCH(Charts_Support!B$638,IS!$A$60:$BR$60,0))</f>
        <v>0.16881830417227459</v>
      </c>
      <c r="C622" s="446">
        <f ca="1">+INDEX(Segment!$A$295:$BR$308,MATCH($A622,Segment!$A$295:$A$308,0),MATCH(Charts_Support!C$638,IS!$A$60:$BR$60,0))</f>
        <v>0.16966802474724604</v>
      </c>
      <c r="D622" s="446">
        <f ca="1">+INDEX(Segment!$A$295:$BR$308,MATCH($A622,Segment!$A$295:$A$308,0),MATCH(Charts_Support!D$638,IS!$A$60:$BR$60,0))</f>
        <v>0.17125996898537885</v>
      </c>
      <c r="E622" s="446">
        <f ca="1">+INDEX(Segment!$A$295:$BR$308,MATCH($A622,Segment!$A$295:$A$308,0),MATCH(Charts_Support!E$638,IS!$A$60:$BR$60,0))</f>
        <v>0.1694619705002362</v>
      </c>
      <c r="F622" s="91"/>
      <c r="G622" s="36" t="s">
        <v>1007</v>
      </c>
      <c r="H622" s="446">
        <f ca="1">+INDEX(Segment!$A$330:$BR$343,MATCH($G622,Segment!$A$330:$A$343,0),MATCH(H$621,IS!$A$60:$BR$60,0))</f>
        <v>0.13202238209432457</v>
      </c>
      <c r="I622" s="446">
        <f ca="1">+INDEX(Segment!$A$330:$BR$343,MATCH($G622,Segment!$A$330:$A$343,0),MATCH(I$621,IS!$A$60:$BR$60,0))</f>
        <v>0.15611645694547252</v>
      </c>
      <c r="J622" s="446">
        <f ca="1">+INDEX(Segment!$A$330:$BR$343,MATCH($G622,Segment!$A$330:$A$343,0),MATCH(J$621,IS!$A$60:$BR$60,0))</f>
        <v>0.14321608040201003</v>
      </c>
      <c r="K622" s="446">
        <f ca="1">+INDEX(Segment!$A$330:$BR$343,MATCH($G622,Segment!$A$330:$A$343,0),MATCH(K$621,IS!$A$60:$BR$60,0))</f>
        <v>0.14910121244069585</v>
      </c>
      <c r="L622" s="91"/>
      <c r="M622" s="99">
        <f ca="1">+INDEX(Segment!$326:$326,MATCH(M$621,Segment!$3:$3,0))*H622</f>
        <v>495.48000000000008</v>
      </c>
      <c r="N622" s="99">
        <f ca="1">+INDEX(Segment!$326:$326,MATCH(N$621,Segment!$3:$3,0))*I622</f>
        <v>632.74</v>
      </c>
      <c r="O622" s="99">
        <f ca="1">+INDEX(Segment!$326:$326,MATCH(O$621,Segment!$3:$3,0))*J622</f>
        <v>513</v>
      </c>
      <c r="P622" s="99">
        <f ca="1">+INDEX(Segment!$326:$326,MATCH(P$621,Segment!$3:$3,0))*K622</f>
        <v>565.69000000000005</v>
      </c>
      <c r="Q622" s="99">
        <f t="shared" ref="Q622:Q635" ca="1" si="406">+SUM(M622:P622)</f>
        <v>2206.91</v>
      </c>
      <c r="R622" s="38">
        <f t="shared" ref="R622:R636" ca="1" si="407">+Q622/Q$636</f>
        <v>0.14536358846001846</v>
      </c>
      <c r="S622" s="91"/>
      <c r="T622" s="36" t="s">
        <v>1007</v>
      </c>
      <c r="U622" s="99">
        <f ca="1">+INDEX(Segment!$291:$291,MATCH(U$621,Segment!$3:$3,0))*B622</f>
        <v>3135.8000000000006</v>
      </c>
      <c r="V622" s="99">
        <f ca="1">+INDEX(Segment!$291:$291,MATCH(V$621,Segment!$3:$3,0))*C622</f>
        <v>3373.1699999999996</v>
      </c>
      <c r="W622" s="99">
        <f ca="1">+INDEX(Segment!$291:$291,MATCH(W$621,Segment!$3:$3,0))*D622</f>
        <v>3092.2700000000004</v>
      </c>
      <c r="X622" s="99">
        <f ca="1">+INDEX(Segment!$291:$291,MATCH(X$621,Segment!$3:$3,0))*E622</f>
        <v>3228.42</v>
      </c>
      <c r="Y622" s="99">
        <f t="shared" ref="Y622:Y635" ca="1" si="408">+SUM(U622:X622)</f>
        <v>12829.660000000002</v>
      </c>
      <c r="Z622" s="38">
        <f t="shared" ref="Z622:Z636" ca="1" si="409">+Y622/Y$636</f>
        <v>0.16978759445760494</v>
      </c>
      <c r="AA622" s="91"/>
      <c r="AB622" s="91"/>
      <c r="AC622" s="91"/>
      <c r="AD622" s="91"/>
      <c r="AE622" s="91"/>
      <c r="AF622" s="91"/>
      <c r="AG622" s="91"/>
      <c r="AH622" s="91"/>
      <c r="AI622" s="91"/>
      <c r="AJ622" s="91"/>
      <c r="AK622" s="91"/>
      <c r="AL622" s="91"/>
      <c r="AM622" s="91"/>
      <c r="AN622" s="91"/>
      <c r="AO622" s="91"/>
      <c r="AP622" s="91"/>
      <c r="AQ622" s="91"/>
      <c r="AR622" s="91"/>
      <c r="AS622" s="91"/>
      <c r="AT622" s="91"/>
      <c r="AU622" s="91"/>
      <c r="AV622" s="296"/>
      <c r="AW622" s="296"/>
      <c r="AX622" s="296"/>
      <c r="AY622" s="296"/>
      <c r="AZ622" s="296"/>
      <c r="BA622" s="296"/>
      <c r="BB622" s="296"/>
      <c r="BC622" s="296"/>
      <c r="BD622" s="296"/>
      <c r="BE622" s="296"/>
      <c r="BF622" s="296"/>
      <c r="BG622" s="296"/>
      <c r="BH622" s="296"/>
      <c r="BI622" s="296"/>
      <c r="BJ622" s="296"/>
      <c r="BK622" s="296"/>
      <c r="BL622" s="296"/>
      <c r="BM622" s="296"/>
      <c r="BN622" s="296"/>
      <c r="BO622" s="296"/>
      <c r="BP622" s="296"/>
      <c r="BQ622" s="296"/>
      <c r="BR622" s="296"/>
      <c r="BS622" s="296"/>
      <c r="BT622" s="296"/>
      <c r="BU622" s="296"/>
      <c r="BV622" s="296"/>
      <c r="BW622" s="296"/>
      <c r="BX622" s="296"/>
      <c r="BY622" s="296"/>
      <c r="BZ622" s="9"/>
      <c r="CA622" s="9"/>
      <c r="CB622" s="9"/>
      <c r="CC622" s="9"/>
      <c r="CD622" s="9"/>
    </row>
    <row r="623" spans="1:82">
      <c r="A623" s="36" t="s">
        <v>1008</v>
      </c>
      <c r="B623" s="446">
        <f ca="1">+INDEX(Segment!$A$295:$BR$308,MATCH($A623,Segment!$A$295:$A$308,0),MATCH(Charts_Support!B$638,IS!$A$60:$BR$60,0))</f>
        <v>0.13705679676985194</v>
      </c>
      <c r="C623" s="446">
        <f ca="1">+INDEX(Segment!$A$295:$BR$308,MATCH($A623,Segment!$A$295:$A$308,0),MATCH(Charts_Support!C$638,IS!$A$60:$BR$60,0))</f>
        <v>0.13419848096172221</v>
      </c>
      <c r="D623" s="446">
        <f ca="1">+INDEX(Segment!$A$295:$BR$308,MATCH($A623,Segment!$A$295:$A$308,0),MATCH(Charts_Support!D$638,IS!$A$60:$BR$60,0))</f>
        <v>0.12660888347363758</v>
      </c>
      <c r="E623" s="446">
        <f ca="1">+INDEX(Segment!$A$295:$BR$308,MATCH($A623,Segment!$A$295:$A$308,0),MATCH(Charts_Support!E$638,IS!$A$60:$BR$60,0))</f>
        <v>0.13142144769303449</v>
      </c>
      <c r="F623" s="91"/>
      <c r="G623" s="36" t="s">
        <v>1008</v>
      </c>
      <c r="H623" s="446">
        <f ca="1">+INDEX(Segment!$A$330:$BR$343,MATCH($G623,Segment!$A$330:$A$343,0),MATCH(H$621,IS!$A$60:$BR$60,0))</f>
        <v>8.1910471622701861E-2</v>
      </c>
      <c r="I623" s="446">
        <f ca="1">+INDEX(Segment!$A$330:$BR$343,MATCH($G623,Segment!$A$330:$A$343,0),MATCH(I$621,IS!$A$60:$BR$60,0))</f>
        <v>6.611645694547251E-2</v>
      </c>
      <c r="J623" s="446">
        <f ca="1">+INDEX(Segment!$A$330:$BR$343,MATCH($G623,Segment!$A$330:$A$343,0),MATCH(J$621,IS!$A$60:$BR$60,0))</f>
        <v>6.6080402010050235E-2</v>
      </c>
      <c r="K623" s="446">
        <f ca="1">+INDEX(Segment!$A$330:$BR$343,MATCH($G623,Segment!$A$330:$A$343,0),MATCH(K$621,IS!$A$60:$BR$60,0))</f>
        <v>6.5168687401159719E-2</v>
      </c>
      <c r="L623" s="91"/>
      <c r="M623" s="99">
        <f ca="1">+INDEX(Segment!$326:$326,MATCH(M$621,Segment!$3:$3,0))*H623</f>
        <v>307.41000000000003</v>
      </c>
      <c r="N623" s="99">
        <f ca="1">+INDEX(Segment!$326:$326,MATCH(N$621,Segment!$3:$3,0))*I623</f>
        <v>267.97000000000003</v>
      </c>
      <c r="O623" s="99">
        <f ca="1">+INDEX(Segment!$326:$326,MATCH(O$621,Segment!$3:$3,0))*J623</f>
        <v>236.69999999999996</v>
      </c>
      <c r="P623" s="99">
        <f ca="1">+INDEX(Segment!$326:$326,MATCH(P$621,Segment!$3:$3,0))*K623</f>
        <v>247.24999999999997</v>
      </c>
      <c r="Q623" s="99">
        <f t="shared" ca="1" si="406"/>
        <v>1059.33</v>
      </c>
      <c r="R623" s="38">
        <f t="shared" ca="1" si="407"/>
        <v>6.9775391911474124E-2</v>
      </c>
      <c r="S623" s="91"/>
      <c r="T623" s="36" t="s">
        <v>1008</v>
      </c>
      <c r="U623" s="99">
        <f ca="1">+INDEX(Segment!$291:$291,MATCH(U$621,Segment!$3:$3,0))*B623</f>
        <v>2545.83</v>
      </c>
      <c r="V623" s="99">
        <f ca="1">+INDEX(Segment!$291:$291,MATCH(V$621,Segment!$3:$3,0))*C623</f>
        <v>2668.0000000000005</v>
      </c>
      <c r="W623" s="99">
        <f ca="1">+INDEX(Segment!$291:$291,MATCH(W$621,Segment!$3:$3,0))*D623</f>
        <v>2286.0500000000002</v>
      </c>
      <c r="X623" s="99">
        <f ca="1">+INDEX(Segment!$291:$291,MATCH(X$621,Segment!$3:$3,0))*E623</f>
        <v>2503.71</v>
      </c>
      <c r="Y623" s="99">
        <f t="shared" ca="1" si="408"/>
        <v>10003.59</v>
      </c>
      <c r="Z623" s="38">
        <f t="shared" ca="1" si="409"/>
        <v>0.13238741182854041</v>
      </c>
      <c r="AA623" s="91"/>
      <c r="AB623" s="91"/>
      <c r="AC623" s="91"/>
      <c r="AD623" s="91"/>
      <c r="AE623" s="91"/>
      <c r="AF623" s="91"/>
      <c r="AG623" s="91"/>
      <c r="AH623" s="91"/>
      <c r="AI623" s="91"/>
      <c r="AJ623" s="91"/>
      <c r="AK623" s="91"/>
      <c r="AL623" s="91"/>
      <c r="AM623" s="91"/>
      <c r="AN623" s="91"/>
      <c r="AO623" s="91"/>
      <c r="AP623" s="91"/>
      <c r="AQ623" s="91"/>
      <c r="AR623" s="91"/>
      <c r="AS623" s="91"/>
      <c r="AT623" s="91"/>
      <c r="AU623" s="91"/>
      <c r="AV623" s="296"/>
      <c r="AW623" s="296"/>
      <c r="AX623" s="296"/>
      <c r="AY623" s="296"/>
      <c r="AZ623" s="296"/>
      <c r="BA623" s="296"/>
      <c r="BB623" s="296"/>
      <c r="BC623" s="296"/>
      <c r="BD623" s="296"/>
      <c r="BE623" s="296"/>
      <c r="BF623" s="296"/>
      <c r="BG623" s="296"/>
      <c r="BH623" s="296"/>
      <c r="BI623" s="296"/>
      <c r="BJ623" s="296"/>
      <c r="BK623" s="296"/>
      <c r="BL623" s="296"/>
      <c r="BM623" s="296"/>
      <c r="BN623" s="296"/>
      <c r="BO623" s="296"/>
      <c r="BP623" s="296"/>
      <c r="BQ623" s="296"/>
      <c r="BR623" s="296"/>
      <c r="BS623" s="296"/>
      <c r="BT623" s="296"/>
      <c r="BU623" s="296"/>
      <c r="BV623" s="296"/>
      <c r="BW623" s="296"/>
      <c r="BX623" s="296"/>
      <c r="BY623" s="296"/>
      <c r="BZ623" s="9"/>
      <c r="CA623" s="9"/>
      <c r="CB623" s="9"/>
      <c r="CC623" s="9"/>
      <c r="CD623" s="9"/>
    </row>
    <row r="624" spans="1:82">
      <c r="A624" s="36" t="s">
        <v>1018</v>
      </c>
      <c r="B624" s="446">
        <f ca="1">+INDEX(Segment!$A$295:$BR$308,MATCH($A624,Segment!$A$295:$A$308,0),MATCH(Charts_Support!B$638,IS!$A$60:$BR$60,0))</f>
        <v>0.37793701211305519</v>
      </c>
      <c r="C624" s="446">
        <f ca="1">+INDEX(Segment!$A$295:$BR$308,MATCH($A624,Segment!$A$295:$A$308,0),MATCH(Charts_Support!C$638,IS!$A$60:$BR$60,0))</f>
        <v>0.37775816105829674</v>
      </c>
      <c r="D624" s="446">
        <f ca="1">+INDEX(Segment!$A$295:$BR$308,MATCH($A624,Segment!$A$295:$A$308,0),MATCH(Charts_Support!D$638,IS!$A$60:$BR$60,0))</f>
        <v>0.37927614089499334</v>
      </c>
      <c r="E624" s="446">
        <f ca="1">+INDEX(Segment!$A$295:$BR$308,MATCH($A624,Segment!$A$295:$A$308,0),MATCH(Charts_Support!E$638,IS!$A$60:$BR$60,0))</f>
        <v>0.38067922943677496</v>
      </c>
      <c r="F624" s="91"/>
      <c r="G624" s="36" t="s">
        <v>1018</v>
      </c>
      <c r="H624" s="446">
        <f ca="1">+INDEX(Segment!$A$330:$BR$343,MATCH($G624,Segment!$A$330:$A$343,0),MATCH(H$621,IS!$A$60:$BR$60,0))</f>
        <v>0.50202238209432459</v>
      </c>
      <c r="I624" s="446">
        <f ca="1">+INDEX(Segment!$A$330:$BR$343,MATCH($G624,Segment!$A$330:$A$343,0),MATCH(I$621,IS!$A$60:$BR$60,0))</f>
        <v>0.46970885763631881</v>
      </c>
      <c r="J624" s="446">
        <f ca="1">+INDEX(Segment!$A$330:$BR$343,MATCH($G624,Segment!$A$330:$A$343,0),MATCH(J$621,IS!$A$60:$BR$60,0))</f>
        <v>0.49391959798994972</v>
      </c>
      <c r="K624" s="446">
        <f ca="1">+INDEX(Segment!$A$330:$BR$343,MATCH($G624,Segment!$A$330:$A$343,0),MATCH(K$621,IS!$A$60:$BR$60,0))</f>
        <v>0.48269636267791249</v>
      </c>
      <c r="L624" s="91"/>
      <c r="M624" s="99">
        <f ca="1">+INDEX(Segment!$326:$326,MATCH(M$621,Segment!$3:$3,0))*H624</f>
        <v>1884.09</v>
      </c>
      <c r="N624" s="99">
        <f ca="1">+INDEX(Segment!$326:$326,MATCH(N$621,Segment!$3:$3,0))*I624</f>
        <v>1903.73</v>
      </c>
      <c r="O624" s="99">
        <f ca="1">+INDEX(Segment!$326:$326,MATCH(O$621,Segment!$3:$3,0))*J624</f>
        <v>1769.22</v>
      </c>
      <c r="P624" s="99">
        <f ca="1">+INDEX(Segment!$326:$326,MATCH(P$621,Segment!$3:$3,0))*K624</f>
        <v>1831.35</v>
      </c>
      <c r="Q624" s="99">
        <f t="shared" ca="1" si="406"/>
        <v>7388.3899999999994</v>
      </c>
      <c r="R624" s="38">
        <f t="shared" ca="1" si="407"/>
        <v>0.48665459096298253</v>
      </c>
      <c r="S624" s="91"/>
      <c r="T624" s="36" t="s">
        <v>1018</v>
      </c>
      <c r="U624" s="99">
        <f ca="1">+INDEX(Segment!$291:$291,MATCH(U$621,Segment!$3:$3,0))*B624</f>
        <v>7020.18</v>
      </c>
      <c r="V624" s="99">
        <f ca="1">+INDEX(Segment!$291:$291,MATCH(V$621,Segment!$3:$3,0))*C624</f>
        <v>7510.21</v>
      </c>
      <c r="W624" s="99">
        <f ca="1">+INDEX(Segment!$291:$291,MATCH(W$621,Segment!$3:$3,0))*D624</f>
        <v>6848.21</v>
      </c>
      <c r="X624" s="99">
        <f ca="1">+INDEX(Segment!$291:$291,MATCH(X$621,Segment!$3:$3,0))*E624</f>
        <v>7252.32</v>
      </c>
      <c r="Y624" s="99">
        <f t="shared" ca="1" si="408"/>
        <v>28630.92</v>
      </c>
      <c r="Z624" s="38">
        <f t="shared" ca="1" si="409"/>
        <v>0.37890131413522488</v>
      </c>
      <c r="AA624" s="91"/>
      <c r="AB624" s="91"/>
      <c r="AC624" s="91"/>
      <c r="AD624" s="91"/>
      <c r="AE624" s="91"/>
      <c r="AF624" s="91"/>
      <c r="AG624" s="91"/>
      <c r="AH624" s="91"/>
      <c r="AI624" s="91"/>
      <c r="AJ624" s="91"/>
      <c r="AK624" s="91"/>
      <c r="AL624" s="91"/>
      <c r="AM624" s="91"/>
      <c r="AN624" s="91"/>
      <c r="AO624" s="91"/>
      <c r="AP624" s="91"/>
      <c r="AQ624" s="91"/>
      <c r="AR624" s="91"/>
      <c r="AS624" s="91"/>
      <c r="AT624" s="91"/>
      <c r="AU624" s="91"/>
      <c r="AV624" s="296"/>
      <c r="AW624" s="296"/>
      <c r="AX624" s="296"/>
      <c r="AY624" s="296"/>
      <c r="AZ624" s="296"/>
      <c r="BA624" s="296"/>
      <c r="BB624" s="296"/>
      <c r="BC624" s="296"/>
      <c r="BD624" s="296"/>
      <c r="BE624" s="296"/>
      <c r="BF624" s="296"/>
      <c r="BG624" s="296"/>
      <c r="BH624" s="296"/>
      <c r="BI624" s="296"/>
      <c r="BJ624" s="296"/>
      <c r="BK624" s="296"/>
      <c r="BL624" s="296"/>
      <c r="BM624" s="296"/>
      <c r="BN624" s="296"/>
      <c r="BO624" s="296"/>
      <c r="BP624" s="296"/>
      <c r="BQ624" s="296"/>
      <c r="BR624" s="296"/>
      <c r="BS624" s="296"/>
      <c r="BT624" s="296"/>
      <c r="BU624" s="296"/>
      <c r="BV624" s="296"/>
      <c r="BW624" s="296"/>
      <c r="BX624" s="296"/>
      <c r="BY624" s="296"/>
      <c r="BZ624" s="9"/>
      <c r="CA624" s="9"/>
      <c r="CB624" s="9"/>
      <c r="CC624" s="9"/>
      <c r="CD624" s="9"/>
    </row>
    <row r="625" spans="1:82">
      <c r="A625" s="36" t="s">
        <v>1009</v>
      </c>
      <c r="B625" s="446">
        <f ca="1">+INDEX(Segment!$A$295:$BR$308,MATCH($A625,Segment!$A$295:$A$308,0),MATCH(Charts_Support!B$638,IS!$A$60:$BR$60,0))</f>
        <v>3.1978465679676986E-2</v>
      </c>
      <c r="C625" s="446">
        <f ca="1">+INDEX(Segment!$A$295:$BR$308,MATCH($A625,Segment!$A$295:$A$308,0),MATCH(Charts_Support!C$638,IS!$A$60:$BR$60,0))</f>
        <v>3.2213671344499761E-2</v>
      </c>
      <c r="D625" s="446">
        <f ca="1">+INDEX(Segment!$A$295:$BR$308,MATCH($A625,Segment!$A$295:$A$308,0),MATCH(Charts_Support!D$638,IS!$A$60:$BR$60,0))</f>
        <v>3.3635356668143553E-2</v>
      </c>
      <c r="E625" s="446">
        <f ca="1">+INDEX(Segment!$A$295:$BR$308,MATCH($A625,Segment!$A$295:$A$308,0),MATCH(Charts_Support!E$638,IS!$A$60:$BR$60,0))</f>
        <v>3.3680121778384337E-2</v>
      </c>
      <c r="F625" s="91"/>
      <c r="G625" s="36" t="s">
        <v>1009</v>
      </c>
      <c r="H625" s="446">
        <f ca="1">+INDEX(Segment!$A$330:$BR$343,MATCH($G625,Segment!$A$330:$A$343,0),MATCH(H$621,IS!$A$60:$BR$60,0))</f>
        <v>4.2078337330135898E-2</v>
      </c>
      <c r="I625" s="446">
        <f ca="1">+INDEX(Segment!$A$330:$BR$343,MATCH($G625,Segment!$A$330:$A$343,0),MATCH(I$621,IS!$A$60:$BR$60,0))</f>
        <v>4.1796200345423147E-2</v>
      </c>
      <c r="J625" s="446">
        <f ca="1">+INDEX(Segment!$A$330:$BR$343,MATCH($G625,Segment!$A$330:$A$343,0),MATCH(J$621,IS!$A$60:$BR$60,0))</f>
        <v>4.7487437185929647E-2</v>
      </c>
      <c r="K625" s="446">
        <f ca="1">+INDEX(Segment!$A$330:$BR$343,MATCH($G625,Segment!$A$330:$A$343,0),MATCH(K$621,IS!$A$60:$BR$60,0))</f>
        <v>4.8763837638376391E-2</v>
      </c>
      <c r="L625" s="91"/>
      <c r="M625" s="99">
        <f ca="1">+INDEX(Segment!$326:$326,MATCH(M$621,Segment!$3:$3,0))*H625</f>
        <v>157.92000000000002</v>
      </c>
      <c r="N625" s="99">
        <f ca="1">+INDEX(Segment!$326:$326,MATCH(N$621,Segment!$3:$3,0))*I625</f>
        <v>169.4</v>
      </c>
      <c r="O625" s="99">
        <f ca="1">+INDEX(Segment!$326:$326,MATCH(O$621,Segment!$3:$3,0))*J625</f>
        <v>170.10000000000002</v>
      </c>
      <c r="P625" s="99">
        <f ca="1">+INDEX(Segment!$326:$326,MATCH(P$621,Segment!$3:$3,0))*K625</f>
        <v>185.01000000000002</v>
      </c>
      <c r="Q625" s="99">
        <f t="shared" ca="1" si="406"/>
        <v>682.43000000000006</v>
      </c>
      <c r="R625" s="38">
        <f t="shared" ca="1" si="407"/>
        <v>4.494994071927283E-2</v>
      </c>
      <c r="S625" s="91"/>
      <c r="T625" s="36" t="s">
        <v>1009</v>
      </c>
      <c r="U625" s="99">
        <f ca="1">+INDEX(Segment!$291:$291,MATCH(U$621,Segment!$3:$3,0))*B625</f>
        <v>594</v>
      </c>
      <c r="V625" s="99">
        <f ca="1">+INDEX(Segment!$291:$291,MATCH(V$621,Segment!$3:$3,0))*C625</f>
        <v>640.43999999999994</v>
      </c>
      <c r="W625" s="99">
        <f ca="1">+INDEX(Segment!$291:$291,MATCH(W$621,Segment!$3:$3,0))*D625</f>
        <v>607.31999999999994</v>
      </c>
      <c r="X625" s="99">
        <f ca="1">+INDEX(Segment!$291:$291,MATCH(X$621,Segment!$3:$3,0))*E625</f>
        <v>641.64</v>
      </c>
      <c r="Y625" s="99">
        <f t="shared" ca="1" si="408"/>
        <v>2483.4</v>
      </c>
      <c r="Z625" s="38">
        <f t="shared" ca="1" si="409"/>
        <v>3.2865291213953922E-2</v>
      </c>
      <c r="AA625" s="91"/>
      <c r="AB625" s="91"/>
      <c r="AC625" s="91"/>
      <c r="AD625" s="91"/>
      <c r="AE625" s="91"/>
      <c r="AF625" s="91"/>
      <c r="AG625" s="91"/>
      <c r="AH625" s="91"/>
      <c r="AI625" s="91"/>
      <c r="AJ625" s="91"/>
      <c r="AK625" s="91"/>
      <c r="AL625" s="91"/>
      <c r="AM625" s="91"/>
      <c r="AN625" s="91"/>
      <c r="AO625" s="91"/>
      <c r="AP625" s="91"/>
      <c r="AQ625" s="91"/>
      <c r="AR625" s="91"/>
      <c r="AS625" s="91"/>
      <c r="AT625" s="91"/>
      <c r="AU625" s="91"/>
      <c r="AV625" s="296"/>
      <c r="AW625" s="296"/>
      <c r="AX625" s="296"/>
      <c r="AY625" s="296"/>
      <c r="AZ625" s="296"/>
      <c r="BA625" s="296"/>
      <c r="BB625" s="296"/>
      <c r="BC625" s="296"/>
      <c r="BD625" s="296"/>
      <c r="BE625" s="296"/>
      <c r="BF625" s="296"/>
      <c r="BG625" s="296"/>
      <c r="BH625" s="296"/>
      <c r="BI625" s="296"/>
      <c r="BJ625" s="296"/>
      <c r="BK625" s="296"/>
      <c r="BL625" s="296"/>
      <c r="BM625" s="296"/>
      <c r="BN625" s="296"/>
      <c r="BO625" s="296"/>
      <c r="BP625" s="296"/>
      <c r="BQ625" s="296"/>
      <c r="BR625" s="296"/>
      <c r="BS625" s="296"/>
      <c r="BT625" s="296"/>
      <c r="BU625" s="296"/>
      <c r="BV625" s="296"/>
      <c r="BW625" s="296"/>
      <c r="BX625" s="296"/>
      <c r="BY625" s="296"/>
      <c r="BZ625" s="9"/>
      <c r="CA625" s="9"/>
      <c r="CB625" s="9"/>
      <c r="CC625" s="9"/>
      <c r="CD625" s="9"/>
    </row>
    <row r="626" spans="1:82">
      <c r="A626" s="36" t="s">
        <v>1010</v>
      </c>
      <c r="B626" s="446">
        <f ca="1">+INDEX(Segment!$A$295:$BR$308,MATCH($A626,Segment!$A$295:$A$308,0),MATCH(Charts_Support!B$638,IS!$A$60:$BR$60,0))</f>
        <v>2.1318977119784657E-2</v>
      </c>
      <c r="C626" s="446">
        <f ca="1">+INDEX(Segment!$A$295:$BR$308,MATCH($A626,Segment!$A$295:$A$308,0),MATCH(Charts_Support!C$638,IS!$A$60:$BR$60,0))</f>
        <v>2.1475780896333178E-2</v>
      </c>
      <c r="D626" s="446">
        <f ca="1">+INDEX(Segment!$A$295:$BR$308,MATCH($A626,Segment!$A$295:$A$308,0),MATCH(Charts_Support!D$638,IS!$A$60:$BR$60,0))</f>
        <v>2.2423571112095701E-2</v>
      </c>
      <c r="E626" s="446">
        <f ca="1">+INDEX(Segment!$A$295:$BR$308,MATCH($A626,Segment!$A$295:$A$308,0),MATCH(Charts_Support!E$638,IS!$A$60:$BR$60,0))</f>
        <v>2.2453414518922892E-2</v>
      </c>
      <c r="F626" s="91"/>
      <c r="G626" s="36" t="s">
        <v>1010</v>
      </c>
      <c r="H626" s="446">
        <f ca="1">+INDEX(Segment!$A$330:$BR$343,MATCH($G626,Segment!$A$330:$A$343,0),MATCH(H$621,IS!$A$60:$BR$60,0))</f>
        <v>1.8033573141486809E-2</v>
      </c>
      <c r="I626" s="446">
        <f ca="1">+INDEX(Segment!$A$330:$BR$343,MATCH($G626,Segment!$A$330:$A$343,0),MATCH(I$621,IS!$A$60:$BR$60,0))</f>
        <v>1.7912657290895632E-2</v>
      </c>
      <c r="J626" s="446">
        <f ca="1">+INDEX(Segment!$A$330:$BR$343,MATCH($G626,Segment!$A$330:$A$343,0),MATCH(J$621,IS!$A$60:$BR$60,0))</f>
        <v>2.0351758793969846E-2</v>
      </c>
      <c r="K626" s="446">
        <f ca="1">+INDEX(Segment!$A$330:$BR$343,MATCH($G626,Segment!$A$330:$A$343,0),MATCH(K$621,IS!$A$60:$BR$60,0))</f>
        <v>2.0898787559304164E-2</v>
      </c>
      <c r="L626" s="91"/>
      <c r="M626" s="99">
        <f ca="1">+INDEX(Segment!$326:$326,MATCH(M$621,Segment!$3:$3,0))*H626</f>
        <v>67.679999999999993</v>
      </c>
      <c r="N626" s="99">
        <f ca="1">+INDEX(Segment!$326:$326,MATCH(N$621,Segment!$3:$3,0))*I626</f>
        <v>72.599999999999994</v>
      </c>
      <c r="O626" s="99">
        <f ca="1">+INDEX(Segment!$326:$326,MATCH(O$621,Segment!$3:$3,0))*J626</f>
        <v>72.899999999999991</v>
      </c>
      <c r="P626" s="99">
        <f ca="1">+INDEX(Segment!$326:$326,MATCH(P$621,Segment!$3:$3,0))*K626</f>
        <v>79.289999999999992</v>
      </c>
      <c r="Q626" s="99">
        <f t="shared" ca="1" si="406"/>
        <v>292.46999999999991</v>
      </c>
      <c r="R626" s="38">
        <f t="shared" ca="1" si="407"/>
        <v>1.9264260308259777E-2</v>
      </c>
      <c r="S626" s="91"/>
      <c r="T626" s="36" t="s">
        <v>1010</v>
      </c>
      <c r="U626" s="99">
        <f ca="1">+INDEX(Segment!$291:$291,MATCH(U$621,Segment!$3:$3,0))*B626</f>
        <v>396</v>
      </c>
      <c r="V626" s="99">
        <f ca="1">+INDEX(Segment!$291:$291,MATCH(V$621,Segment!$3:$3,0))*C626</f>
        <v>426.96000000000004</v>
      </c>
      <c r="W626" s="99">
        <f ca="1">+INDEX(Segment!$291:$291,MATCH(W$621,Segment!$3:$3,0))*D626</f>
        <v>404.88</v>
      </c>
      <c r="X626" s="99">
        <f ca="1">+INDEX(Segment!$291:$291,MATCH(X$621,Segment!$3:$3,0))*E626</f>
        <v>427.76</v>
      </c>
      <c r="Y626" s="99">
        <f t="shared" ca="1" si="408"/>
        <v>1655.6000000000001</v>
      </c>
      <c r="Z626" s="38">
        <f t="shared" ca="1" si="409"/>
        <v>2.1910194142635949E-2</v>
      </c>
      <c r="AA626" s="91"/>
      <c r="AB626" s="91"/>
      <c r="AC626" s="91"/>
      <c r="AD626" s="91"/>
      <c r="AE626" s="91"/>
      <c r="AF626" s="91"/>
      <c r="AG626" s="91"/>
      <c r="AH626" s="91"/>
      <c r="AI626" s="91"/>
      <c r="AJ626" s="91"/>
      <c r="AK626" s="91"/>
      <c r="AL626" s="91"/>
      <c r="AM626" s="91"/>
      <c r="AN626" s="91"/>
      <c r="AO626" s="91"/>
      <c r="AP626" s="91"/>
      <c r="AQ626" s="91"/>
      <c r="AR626" s="91"/>
      <c r="AS626" s="91"/>
      <c r="AT626" s="91"/>
      <c r="AU626" s="91"/>
      <c r="AV626" s="296"/>
      <c r="AW626" s="296"/>
      <c r="AX626" s="296"/>
      <c r="AY626" s="296"/>
      <c r="AZ626" s="296"/>
      <c r="BA626" s="296"/>
      <c r="BB626" s="296"/>
      <c r="BC626" s="296"/>
      <c r="BD626" s="296"/>
      <c r="BE626" s="296"/>
      <c r="BF626" s="296"/>
      <c r="BG626" s="296"/>
      <c r="BH626" s="296"/>
      <c r="BI626" s="296"/>
      <c r="BJ626" s="296"/>
      <c r="BK626" s="296"/>
      <c r="BL626" s="296"/>
      <c r="BM626" s="296"/>
      <c r="BN626" s="296"/>
      <c r="BO626" s="296"/>
      <c r="BP626" s="296"/>
      <c r="BQ626" s="296"/>
      <c r="BR626" s="296"/>
      <c r="BS626" s="296"/>
      <c r="BT626" s="296"/>
      <c r="BU626" s="296"/>
      <c r="BV626" s="296"/>
      <c r="BW626" s="296"/>
      <c r="BX626" s="296"/>
      <c r="BY626" s="296"/>
      <c r="BZ626" s="9"/>
      <c r="CA626" s="9"/>
      <c r="CB626" s="9"/>
      <c r="CC626" s="9"/>
      <c r="CD626" s="9"/>
    </row>
    <row r="627" spans="1:82">
      <c r="A627" s="36" t="s">
        <v>1011</v>
      </c>
      <c r="B627" s="446">
        <f ca="1">+INDEX(Segment!$A$295:$BR$308,MATCH($A627,Segment!$A$295:$A$308,0),MATCH(Charts_Support!B$638,IS!$A$60:$BR$60,0))</f>
        <v>0.13227617765814267</v>
      </c>
      <c r="C627" s="446">
        <f ca="1">+INDEX(Segment!$A$295:$BR$308,MATCH($A627,Segment!$A$295:$A$308,0),MATCH(Charts_Support!C$638,IS!$A$60:$BR$60,0))</f>
        <v>0.13340475831195611</v>
      </c>
      <c r="D627" s="446">
        <f ca="1">+INDEX(Segment!$A$295:$BR$308,MATCH($A627,Segment!$A$295:$A$308,0),MATCH(Charts_Support!D$638,IS!$A$60:$BR$60,0))</f>
        <v>0.13573715108551174</v>
      </c>
      <c r="E627" s="446">
        <f ca="1">+INDEX(Segment!$A$295:$BR$308,MATCH($A627,Segment!$A$295:$A$308,0),MATCH(Charts_Support!E$638,IS!$A$60:$BR$60,0))</f>
        <v>0.13346963413994017</v>
      </c>
      <c r="F627" s="91"/>
      <c r="G627" s="36" t="s">
        <v>1011</v>
      </c>
      <c r="H627" s="446">
        <f ca="1">+INDEX(Segment!$A$330:$BR$343,MATCH($G627,Segment!$A$330:$A$343,0),MATCH(H$621,IS!$A$60:$BR$60,0))</f>
        <v>0.10202238209432454</v>
      </c>
      <c r="I627" s="446">
        <f ca="1">+INDEX(Segment!$A$330:$BR$343,MATCH($G627,Segment!$A$330:$A$343,0),MATCH(I$621,IS!$A$60:$BR$60,0))</f>
        <v>0.11000000000000001</v>
      </c>
      <c r="J627" s="446">
        <f ca="1">+INDEX(Segment!$A$330:$BR$343,MATCH($G627,Segment!$A$330:$A$343,0),MATCH(J$621,IS!$A$60:$BR$60,0))</f>
        <v>0.10999999999999999</v>
      </c>
      <c r="K627" s="446">
        <f ca="1">+INDEX(Segment!$A$330:$BR$343,MATCH($G627,Segment!$A$330:$A$343,0),MATCH(K$621,IS!$A$60:$BR$60,0))</f>
        <v>0.11303373748023195</v>
      </c>
      <c r="L627" s="91"/>
      <c r="M627" s="99">
        <f ca="1">+INDEX(Segment!$326:$326,MATCH(M$621,Segment!$3:$3,0))*H627</f>
        <v>382.89</v>
      </c>
      <c r="N627" s="99">
        <f ca="1">+INDEX(Segment!$326:$326,MATCH(N$621,Segment!$3:$3,0))*I627</f>
        <v>445.83</v>
      </c>
      <c r="O627" s="99">
        <f ca="1">+INDEX(Segment!$326:$326,MATCH(O$621,Segment!$3:$3,0))*J627</f>
        <v>394.02</v>
      </c>
      <c r="P627" s="99">
        <f ca="1">+INDEX(Segment!$326:$326,MATCH(P$621,Segment!$3:$3,0))*K627</f>
        <v>428.85</v>
      </c>
      <c r="Q627" s="99">
        <f t="shared" ca="1" si="406"/>
        <v>1651.5900000000001</v>
      </c>
      <c r="R627" s="38">
        <f t="shared" ca="1" si="407"/>
        <v>0.10878606244236598</v>
      </c>
      <c r="S627" s="91"/>
      <c r="T627" s="36" t="s">
        <v>1011</v>
      </c>
      <c r="U627" s="99">
        <f ca="1">+INDEX(Segment!$291:$291,MATCH(U$621,Segment!$3:$3,0))*B627</f>
        <v>2457.0300000000002</v>
      </c>
      <c r="V627" s="99">
        <f ca="1">+INDEX(Segment!$291:$291,MATCH(V$621,Segment!$3:$3,0))*C627</f>
        <v>2652.2200000000003</v>
      </c>
      <c r="W627" s="99">
        <f ca="1">+INDEX(Segment!$291:$291,MATCH(W$621,Segment!$3:$3,0))*D627</f>
        <v>2450.87</v>
      </c>
      <c r="X627" s="99">
        <f ca="1">+INDEX(Segment!$291:$291,MATCH(X$621,Segment!$3:$3,0))*E627</f>
        <v>2542.7300000000005</v>
      </c>
      <c r="Y627" s="99">
        <f t="shared" ca="1" si="408"/>
        <v>10102.85</v>
      </c>
      <c r="Z627" s="38">
        <f t="shared" ca="1" si="409"/>
        <v>0.13370101769384488</v>
      </c>
      <c r="AA627" s="91"/>
      <c r="AB627" s="91"/>
      <c r="AC627" s="91"/>
      <c r="AD627" s="91"/>
      <c r="AE627" s="91"/>
      <c r="AF627" s="91"/>
      <c r="AG627" s="91"/>
      <c r="AH627" s="91"/>
      <c r="AI627" s="91"/>
      <c r="AJ627" s="91"/>
      <c r="AK627" s="91"/>
      <c r="AL627" s="91"/>
      <c r="AM627" s="91"/>
      <c r="AN627" s="91"/>
      <c r="AO627" s="91"/>
      <c r="AP627" s="91"/>
      <c r="AQ627" s="91"/>
      <c r="AR627" s="91"/>
      <c r="AS627" s="91"/>
      <c r="AT627" s="91"/>
      <c r="AU627" s="91"/>
      <c r="AV627" s="296"/>
      <c r="AW627" s="296"/>
      <c r="AX627" s="296"/>
      <c r="AY627" s="296"/>
      <c r="AZ627" s="296"/>
      <c r="BA627" s="296"/>
      <c r="BB627" s="296"/>
      <c r="BC627" s="296"/>
      <c r="BD627" s="296"/>
      <c r="BE627" s="296"/>
      <c r="BF627" s="296"/>
      <c r="BG627" s="296"/>
      <c r="BH627" s="296"/>
      <c r="BI627" s="296"/>
      <c r="BJ627" s="296"/>
      <c r="BK627" s="296"/>
      <c r="BL627" s="296"/>
      <c r="BM627" s="296"/>
      <c r="BN627" s="296"/>
      <c r="BO627" s="296"/>
      <c r="BP627" s="296"/>
      <c r="BQ627" s="296"/>
      <c r="BR627" s="296"/>
      <c r="BS627" s="296"/>
      <c r="BT627" s="296"/>
      <c r="BU627" s="296"/>
      <c r="BV627" s="296"/>
      <c r="BW627" s="296"/>
      <c r="BX627" s="296"/>
      <c r="BY627" s="296"/>
      <c r="BZ627" s="9"/>
      <c r="CA627" s="9"/>
      <c r="CB627" s="9"/>
      <c r="CC627" s="9"/>
      <c r="CD627" s="9"/>
    </row>
    <row r="628" spans="1:82">
      <c r="A628" s="36" t="s">
        <v>1012</v>
      </c>
      <c r="B628" s="446" t="str">
        <f ca="1">+INDEX(Segment!$A$295:$BR$308,MATCH($A628,Segment!$A$295:$A$308,0),MATCH(Charts_Support!B$638,IS!$A$60:$BR$60,0))</f>
        <v>NA</v>
      </c>
      <c r="C628" s="446" t="str">
        <f ca="1">+INDEX(Segment!$A$295:$BR$308,MATCH($A628,Segment!$A$295:$A$308,0),MATCH(Charts_Support!C$638,IS!$A$60:$BR$60,0))</f>
        <v>NA</v>
      </c>
      <c r="D628" s="446" t="str">
        <f ca="1">+INDEX(Segment!$A$295:$BR$308,MATCH($A628,Segment!$A$295:$A$308,0),MATCH(Charts_Support!D$638,IS!$A$60:$BR$60,0))</f>
        <v>NA</v>
      </c>
      <c r="E628" s="446" t="str">
        <f ca="1">+INDEX(Segment!$A$295:$BR$308,MATCH($A628,Segment!$A$295:$A$308,0),MATCH(Charts_Support!E$638,IS!$A$60:$BR$60,0))</f>
        <v>NA</v>
      </c>
      <c r="F628" s="91"/>
      <c r="G628" s="36" t="s">
        <v>1012</v>
      </c>
      <c r="H628" s="446">
        <f ca="1">+INDEX(Segment!$A$330:$BR$343,MATCH($G628,Segment!$A$330:$A$343,0),MATCH(H$621,IS!$A$60:$BR$60,0))</f>
        <v>6.0111910471622705E-3</v>
      </c>
      <c r="I628" s="446">
        <f ca="1">+INDEX(Segment!$A$330:$BR$343,MATCH($G628,Segment!$A$330:$A$343,0),MATCH(I$621,IS!$A$60:$BR$60,0))</f>
        <v>5.9708857636318778E-3</v>
      </c>
      <c r="J628" s="446">
        <f ca="1">+INDEX(Segment!$A$330:$BR$343,MATCH($G628,Segment!$A$330:$A$343,0),MATCH(J$621,IS!$A$60:$BR$60,0))</f>
        <v>6.7839195979899495E-3</v>
      </c>
      <c r="K628" s="446">
        <f ca="1">+INDEX(Segment!$A$330:$BR$343,MATCH($G628,Segment!$A$330:$A$343,0),MATCH(K$621,IS!$A$60:$BR$60,0))</f>
        <v>6.966262519768055E-3</v>
      </c>
      <c r="L628" s="91"/>
      <c r="M628" s="99">
        <f ca="1">+INDEX(Segment!$326:$326,MATCH(M$621,Segment!$3:$3,0))*H628</f>
        <v>22.56</v>
      </c>
      <c r="N628" s="99">
        <f ca="1">+INDEX(Segment!$326:$326,MATCH(N$621,Segment!$3:$3,0))*I628</f>
        <v>24.2</v>
      </c>
      <c r="O628" s="99">
        <f ca="1">+INDEX(Segment!$326:$326,MATCH(O$621,Segment!$3:$3,0))*J628</f>
        <v>24.3</v>
      </c>
      <c r="P628" s="99">
        <f ca="1">+INDEX(Segment!$326:$326,MATCH(P$621,Segment!$3:$3,0))*K628</f>
        <v>26.43</v>
      </c>
      <c r="Q628" s="99">
        <f t="shared" ca="1" si="406"/>
        <v>97.490000000000009</v>
      </c>
      <c r="R628" s="38">
        <f t="shared" ca="1" si="407"/>
        <v>6.4214201027532622E-3</v>
      </c>
      <c r="S628" s="91"/>
      <c r="T628" s="36" t="s">
        <v>1012</v>
      </c>
      <c r="U628" s="99">
        <v>0</v>
      </c>
      <c r="V628" s="99">
        <v>0</v>
      </c>
      <c r="W628" s="99">
        <v>0</v>
      </c>
      <c r="X628" s="99">
        <v>0</v>
      </c>
      <c r="Y628" s="99">
        <v>0</v>
      </c>
      <c r="Z628" s="38">
        <f t="shared" ca="1" si="409"/>
        <v>0</v>
      </c>
      <c r="AA628" s="91"/>
      <c r="AB628" s="91"/>
      <c r="AC628" s="91"/>
      <c r="AD628" s="91"/>
      <c r="AE628" s="91"/>
      <c r="AF628" s="91"/>
      <c r="AG628" s="91"/>
      <c r="AH628" s="91"/>
      <c r="AI628" s="91"/>
      <c r="AJ628" s="91"/>
      <c r="AK628" s="91"/>
      <c r="AL628" s="91"/>
      <c r="AM628" s="91"/>
      <c r="AN628" s="91"/>
      <c r="AO628" s="91"/>
      <c r="AP628" s="91"/>
      <c r="AQ628" s="91"/>
      <c r="AR628" s="91"/>
      <c r="AS628" s="91"/>
      <c r="AT628" s="91"/>
      <c r="AU628" s="91"/>
      <c r="AV628" s="296"/>
      <c r="AW628" s="296"/>
      <c r="AX628" s="296"/>
      <c r="AY628" s="296"/>
      <c r="AZ628" s="296"/>
      <c r="BA628" s="296"/>
      <c r="BB628" s="296"/>
      <c r="BC628" s="296"/>
      <c r="BD628" s="296"/>
      <c r="BE628" s="296"/>
      <c r="BF628" s="296"/>
      <c r="BG628" s="296"/>
      <c r="BH628" s="296"/>
      <c r="BI628" s="296"/>
      <c r="BJ628" s="296"/>
      <c r="BK628" s="296"/>
      <c r="BL628" s="296"/>
      <c r="BM628" s="296"/>
      <c r="BN628" s="296"/>
      <c r="BO628" s="296"/>
      <c r="BP628" s="296"/>
      <c r="BQ628" s="296"/>
      <c r="BR628" s="296"/>
      <c r="BS628" s="296"/>
      <c r="BT628" s="296"/>
      <c r="BU628" s="296"/>
      <c r="BV628" s="296"/>
      <c r="BW628" s="296"/>
      <c r="BX628" s="296"/>
      <c r="BY628" s="296"/>
      <c r="BZ628" s="9"/>
      <c r="CA628" s="9"/>
      <c r="CB628" s="9"/>
      <c r="CC628" s="9"/>
      <c r="CD628" s="9"/>
    </row>
    <row r="629" spans="1:82">
      <c r="A629" s="36" t="s">
        <v>1019</v>
      </c>
      <c r="B629" s="446">
        <f ca="1">+INDEX(Segment!$A$295:$BR$308,MATCH($A629,Segment!$A$295:$A$308,0),MATCH(Charts_Support!B$638,IS!$A$60:$BR$60,0))</f>
        <v>4.2486137281292059E-2</v>
      </c>
      <c r="C629" s="446">
        <f ca="1">+INDEX(Segment!$A$295:$BR$308,MATCH($A629,Segment!$A$295:$A$308,0),MATCH(Charts_Support!C$638,IS!$A$60:$BR$60,0))</f>
        <v>4.2913334339318938E-2</v>
      </c>
      <c r="D629" s="446">
        <f ca="1">+INDEX(Segment!$A$295:$BR$308,MATCH($A629,Segment!$A$295:$A$308,0),MATCH(Charts_Support!D$638,IS!$A$60:$BR$60,0))</f>
        <v>4.2187638458130269E-2</v>
      </c>
      <c r="E629" s="446">
        <f ca="1">+INDEX(Segment!$A$295:$BR$308,MATCH($A629,Segment!$A$295:$A$308,0),MATCH(Charts_Support!E$638,IS!$A$60:$BR$60,0))</f>
        <v>4.0439871922733718E-2</v>
      </c>
      <c r="F629" s="91"/>
      <c r="G629" s="36" t="s">
        <v>1019</v>
      </c>
      <c r="H629" s="446">
        <f ca="1">+INDEX(Segment!$A$330:$BR$343,MATCH($G629,Segment!$A$330:$A$343,0),MATCH(H$621,IS!$A$60:$BR$60,0))</f>
        <v>1.5955235811350922E-2</v>
      </c>
      <c r="I629" s="446">
        <f ca="1">+INDEX(Segment!$A$330:$BR$343,MATCH($G629,Segment!$A$330:$A$343,0),MATCH(I$621,IS!$A$60:$BR$60,0))</f>
        <v>1.6116456945472493E-2</v>
      </c>
      <c r="J629" s="446">
        <f ca="1">+INDEX(Segment!$A$330:$BR$343,MATCH($G629,Segment!$A$330:$A$343,0),MATCH(J$621,IS!$A$60:$BR$60,0))</f>
        <v>1.28643216080402E-2</v>
      </c>
      <c r="K629" s="446">
        <f ca="1">+INDEX(Segment!$A$330:$BR$343,MATCH($G629,Segment!$A$330:$A$343,0),MATCH(K$621,IS!$A$60:$BR$60,0))</f>
        <v>9.1012124406958366E-3</v>
      </c>
      <c r="L629" s="91"/>
      <c r="M629" s="99">
        <f ca="1">+INDEX(Segment!$326:$326,MATCH(M$621,Segment!$3:$3,0))*H629</f>
        <v>59.88</v>
      </c>
      <c r="N629" s="99">
        <f ca="1">+INDEX(Segment!$326:$326,MATCH(N$621,Segment!$3:$3,0))*I629</f>
        <v>65.320000000000007</v>
      </c>
      <c r="O629" s="99">
        <f ca="1">+INDEX(Segment!$326:$326,MATCH(O$621,Segment!$3:$3,0))*J629</f>
        <v>46.08</v>
      </c>
      <c r="P629" s="99">
        <f ca="1">+INDEX(Segment!$326:$326,MATCH(P$621,Segment!$3:$3,0))*K629</f>
        <v>34.53</v>
      </c>
      <c r="Q629" s="99">
        <f t="shared" ca="1" si="406"/>
        <v>205.81000000000003</v>
      </c>
      <c r="R629" s="38">
        <f t="shared" ca="1" si="407"/>
        <v>1.3556184955868796E-2</v>
      </c>
      <c r="S629" s="91"/>
      <c r="T629" s="36" t="s">
        <v>1019</v>
      </c>
      <c r="U629" s="99">
        <f ca="1">+INDEX(Segment!$291:$291,MATCH(U$621,Segment!$3:$3,0))*B629</f>
        <v>789.18</v>
      </c>
      <c r="V629" s="99">
        <f ca="1">+INDEX(Segment!$291:$291,MATCH(V$621,Segment!$3:$3,0))*C629</f>
        <v>853.16000000000008</v>
      </c>
      <c r="W629" s="99">
        <f ca="1">+INDEX(Segment!$291:$291,MATCH(W$621,Segment!$3:$3,0))*D629</f>
        <v>761.74000000000012</v>
      </c>
      <c r="X629" s="99">
        <f ca="1">+INDEX(Segment!$291:$291,MATCH(X$621,Segment!$3:$3,0))*E629</f>
        <v>770.42000000000007</v>
      </c>
      <c r="Y629" s="99">
        <f t="shared" ca="1" si="408"/>
        <v>3174.5000000000005</v>
      </c>
      <c r="Z629" s="38">
        <f t="shared" ca="1" si="409"/>
        <v>4.2011301827614048E-2</v>
      </c>
      <c r="AA629" s="91"/>
      <c r="AB629" s="91"/>
      <c r="AC629" s="91"/>
      <c r="AD629" s="91"/>
      <c r="AE629" s="91"/>
      <c r="AF629" s="91"/>
      <c r="AG629" s="91"/>
      <c r="AH629" s="91"/>
      <c r="AI629" s="91"/>
      <c r="AJ629" s="91"/>
      <c r="AK629" s="91"/>
      <c r="AL629" s="91"/>
      <c r="AM629" s="91"/>
      <c r="AN629" s="91"/>
      <c r="AO629" s="91"/>
      <c r="AP629" s="91"/>
      <c r="AQ629" s="91"/>
      <c r="AR629" s="91"/>
      <c r="AS629" s="91"/>
      <c r="AT629" s="91"/>
      <c r="AU629" s="91"/>
      <c r="AV629" s="296"/>
      <c r="AW629" s="296"/>
      <c r="AX629" s="296"/>
      <c r="AY629" s="296"/>
      <c r="AZ629" s="296"/>
      <c r="BA629" s="296"/>
      <c r="BB629" s="296"/>
      <c r="BC629" s="296"/>
      <c r="BD629" s="296"/>
      <c r="BE629" s="296"/>
      <c r="BF629" s="296"/>
      <c r="BG629" s="296"/>
      <c r="BH629" s="296"/>
      <c r="BI629" s="296"/>
      <c r="BJ629" s="296"/>
      <c r="BK629" s="296"/>
      <c r="BL629" s="296"/>
      <c r="BM629" s="296"/>
      <c r="BN629" s="296"/>
      <c r="BO629" s="296"/>
      <c r="BP629" s="296"/>
      <c r="BQ629" s="296"/>
      <c r="BR629" s="296"/>
      <c r="BS629" s="296"/>
      <c r="BT629" s="296"/>
      <c r="BU629" s="296"/>
      <c r="BV629" s="296"/>
      <c r="BW629" s="296"/>
      <c r="BX629" s="296"/>
      <c r="BY629" s="296"/>
      <c r="BZ629" s="9"/>
      <c r="CA629" s="9"/>
      <c r="CB629" s="9"/>
      <c r="CC629" s="9"/>
      <c r="CD629" s="9"/>
    </row>
    <row r="630" spans="1:82">
      <c r="A630" s="36" t="s">
        <v>1016</v>
      </c>
      <c r="B630" s="446">
        <f ca="1">+INDEX(Segment!$A$295:$BR$308,MATCH($A630,Segment!$A$295:$A$308,0),MATCH(Charts_Support!B$638,IS!$A$60:$BR$60,0))</f>
        <v>4.9065948855989234E-3</v>
      </c>
      <c r="C630" s="446">
        <f ca="1">+INDEX(Segment!$A$295:$BR$308,MATCH($A630,Segment!$A$295:$A$308,0),MATCH(Charts_Support!C$638,IS!$A$60:$BR$60,0))</f>
        <v>4.6974498264674798E-3</v>
      </c>
      <c r="D630" s="446">
        <f ca="1">+INDEX(Segment!$A$295:$BR$308,MATCH($A630,Segment!$A$295:$A$308,0),MATCH(Charts_Support!D$638,IS!$A$60:$BR$60,0))</f>
        <v>4.1421134249003096E-3</v>
      </c>
      <c r="E630" s="446">
        <f ca="1">+INDEX(Segment!$A$295:$BR$308,MATCH($A630,Segment!$A$295:$A$308,0),MATCH(Charts_Support!E$638,IS!$A$60:$BR$60,0))</f>
        <v>4.4942522702220346E-3</v>
      </c>
      <c r="F630" s="91"/>
      <c r="G630" s="36" t="s">
        <v>1016</v>
      </c>
      <c r="H630" s="446">
        <f ca="1">+INDEX(Segment!$A$330:$BR$343,MATCH($G630,Segment!$A$330:$A$343,0),MATCH(H$621,IS!$A$60:$BR$60,0))</f>
        <v>0</v>
      </c>
      <c r="I630" s="446">
        <f ca="1">+INDEX(Segment!$A$330:$BR$343,MATCH($G630,Segment!$A$330:$A$343,0),MATCH(I$621,IS!$A$60:$BR$60,0))</f>
        <v>0</v>
      </c>
      <c r="J630" s="446">
        <f ca="1">+INDEX(Segment!$A$330:$BR$343,MATCH($G630,Segment!$A$330:$A$343,0),MATCH(J$621,IS!$A$60:$BR$60,0))</f>
        <v>0</v>
      </c>
      <c r="K630" s="446">
        <f ca="1">+INDEX(Segment!$A$330:$BR$343,MATCH($G630,Segment!$A$330:$A$343,0),MATCH(K$621,IS!$A$60:$BR$60,0))</f>
        <v>0</v>
      </c>
      <c r="L630" s="91"/>
      <c r="M630" s="99">
        <f ca="1">+INDEX(Segment!$326:$326,MATCH(M$621,Segment!$3:$3,0))*H630</f>
        <v>0</v>
      </c>
      <c r="N630" s="99">
        <f ca="1">+INDEX(Segment!$326:$326,MATCH(N$621,Segment!$3:$3,0))*I630</f>
        <v>0</v>
      </c>
      <c r="O630" s="99">
        <f ca="1">+INDEX(Segment!$326:$326,MATCH(O$621,Segment!$3:$3,0))*J630</f>
        <v>0</v>
      </c>
      <c r="P630" s="99">
        <f ca="1">+INDEX(Segment!$326:$326,MATCH(P$621,Segment!$3:$3,0))*K630</f>
        <v>0</v>
      </c>
      <c r="Q630" s="99">
        <f t="shared" ca="1" si="406"/>
        <v>0</v>
      </c>
      <c r="R630" s="38">
        <f t="shared" ca="1" si="407"/>
        <v>0</v>
      </c>
      <c r="S630" s="91"/>
      <c r="T630" s="36" t="s">
        <v>1016</v>
      </c>
      <c r="U630" s="99">
        <f ca="1">+INDEX(Segment!$291:$291,MATCH(U$621,Segment!$3:$3,0))*B630</f>
        <v>91.14</v>
      </c>
      <c r="V630" s="99">
        <f ca="1">+INDEX(Segment!$291:$291,MATCH(V$621,Segment!$3:$3,0))*C630</f>
        <v>93.39</v>
      </c>
      <c r="W630" s="99">
        <f ca="1">+INDEX(Segment!$291:$291,MATCH(W$621,Segment!$3:$3,0))*D630</f>
        <v>74.789999999999992</v>
      </c>
      <c r="X630" s="99">
        <f ca="1">+INDEX(Segment!$291:$291,MATCH(X$621,Segment!$3:$3,0))*E630</f>
        <v>85.619999999999976</v>
      </c>
      <c r="Y630" s="99">
        <f t="shared" ca="1" si="408"/>
        <v>344.93999999999994</v>
      </c>
      <c r="Z630" s="38">
        <f t="shared" ca="1" si="409"/>
        <v>4.56493257282003E-3</v>
      </c>
      <c r="AA630" s="91"/>
      <c r="AB630" s="91"/>
      <c r="AC630" s="91"/>
      <c r="AD630" s="91"/>
      <c r="AE630" s="91"/>
      <c r="AF630" s="91"/>
      <c r="AG630" s="91"/>
      <c r="AH630" s="91"/>
      <c r="AI630" s="91"/>
      <c r="AJ630" s="91"/>
      <c r="AK630" s="91"/>
      <c r="AL630" s="91"/>
      <c r="AM630" s="91"/>
      <c r="AN630" s="91"/>
      <c r="AO630" s="91"/>
      <c r="AP630" s="91"/>
      <c r="AQ630" s="91"/>
      <c r="AR630" s="91"/>
      <c r="AS630" s="91"/>
      <c r="AT630" s="91"/>
      <c r="AU630" s="91"/>
      <c r="AV630" s="296"/>
      <c r="AW630" s="296"/>
      <c r="AX630" s="296"/>
      <c r="AY630" s="296"/>
      <c r="AZ630" s="296"/>
      <c r="BA630" s="296"/>
      <c r="BB630" s="296"/>
      <c r="BC630" s="296"/>
      <c r="BD630" s="296"/>
      <c r="BE630" s="296"/>
      <c r="BF630" s="296"/>
      <c r="BG630" s="296"/>
      <c r="BH630" s="296"/>
      <c r="BI630" s="296"/>
      <c r="BJ630" s="296"/>
      <c r="BK630" s="296"/>
      <c r="BL630" s="296"/>
      <c r="BM630" s="296"/>
      <c r="BN630" s="296"/>
      <c r="BO630" s="296"/>
      <c r="BP630" s="296"/>
      <c r="BQ630" s="296"/>
      <c r="BR630" s="296"/>
      <c r="BS630" s="296"/>
      <c r="BT630" s="296"/>
      <c r="BU630" s="296"/>
      <c r="BV630" s="296"/>
      <c r="BW630" s="296"/>
      <c r="BX630" s="296"/>
      <c r="BY630" s="296"/>
      <c r="BZ630" s="9"/>
      <c r="CA630" s="9"/>
      <c r="CB630" s="9"/>
      <c r="CC630" s="9"/>
      <c r="CD630" s="9"/>
    </row>
    <row r="631" spans="1:82">
      <c r="A631" s="36" t="s">
        <v>1015</v>
      </c>
      <c r="B631" s="446">
        <f ca="1">+INDEX(Segment!$A$295:$BR$308,MATCH($A631,Segment!$A$295:$A$308,0),MATCH(Charts_Support!B$638,IS!$A$60:$BR$60,0))</f>
        <v>1.6355316285329743E-3</v>
      </c>
      <c r="C631" s="446">
        <f ca="1">+INDEX(Segment!$A$295:$BR$308,MATCH($A631,Segment!$A$295:$A$308,0),MATCH(Charts_Support!C$638,IS!$A$60:$BR$60,0))</f>
        <v>1.5658166088224931E-3</v>
      </c>
      <c r="D631" s="446">
        <f ca="1">+INDEX(Segment!$A$295:$BR$308,MATCH($A631,Segment!$A$295:$A$308,0),MATCH(Charts_Support!D$638,IS!$A$60:$BR$60,0))</f>
        <v>1.3807044749667701E-3</v>
      </c>
      <c r="E631" s="446">
        <f ca="1">+INDEX(Segment!$A$295:$BR$308,MATCH($A631,Segment!$A$295:$A$308,0),MATCH(Charts_Support!E$638,IS!$A$60:$BR$60,0))</f>
        <v>1.4980840900740118E-3</v>
      </c>
      <c r="F631" s="91"/>
      <c r="G631" s="36" t="s">
        <v>1015</v>
      </c>
      <c r="H631" s="446">
        <f ca="1">+INDEX(Segment!$A$330:$BR$343,MATCH($G631,Segment!$A$330:$A$343,0),MATCH(H$621,IS!$A$60:$BR$60,0))</f>
        <v>3.9888089528377305E-3</v>
      </c>
      <c r="I631" s="446">
        <f ca="1">+INDEX(Segment!$A$330:$BR$343,MATCH($G631,Segment!$A$330:$A$343,0),MATCH(I$621,IS!$A$60:$BR$60,0))</f>
        <v>8.0582284727362466E-3</v>
      </c>
      <c r="J631" s="446">
        <f ca="1">+INDEX(Segment!$A$330:$BR$343,MATCH($G631,Segment!$A$330:$A$343,0),MATCH(J$621,IS!$A$60:$BR$60,0))</f>
        <v>3.2160804020100499E-3</v>
      </c>
      <c r="K631" s="446">
        <f ca="1">+INDEX(Segment!$A$330:$BR$343,MATCH($G631,Segment!$A$330:$A$343,0),MATCH(K$621,IS!$A$60:$BR$60,0))</f>
        <v>6.0674749604638905E-3</v>
      </c>
      <c r="L631" s="91"/>
      <c r="M631" s="99">
        <f ca="1">+INDEX(Segment!$326:$326,MATCH(M$621,Segment!$3:$3,0))*H631</f>
        <v>14.97</v>
      </c>
      <c r="N631" s="99">
        <f ca="1">+INDEX(Segment!$326:$326,MATCH(N$621,Segment!$3:$3,0))*I631</f>
        <v>32.660000000000004</v>
      </c>
      <c r="O631" s="99">
        <f ca="1">+INDEX(Segment!$326:$326,MATCH(O$621,Segment!$3:$3,0))*J631</f>
        <v>11.52</v>
      </c>
      <c r="P631" s="99">
        <f ca="1">+INDEX(Segment!$326:$326,MATCH(P$621,Segment!$3:$3,0))*K631</f>
        <v>23.02</v>
      </c>
      <c r="Q631" s="99">
        <f t="shared" ca="1" si="406"/>
        <v>82.17</v>
      </c>
      <c r="R631" s="38">
        <f t="shared" ca="1" si="407"/>
        <v>5.4123303912528E-3</v>
      </c>
      <c r="S631" s="91"/>
      <c r="T631" s="36" t="s">
        <v>1015</v>
      </c>
      <c r="U631" s="99">
        <f ca="1">+INDEX(Segment!$291:$291,MATCH(U$621,Segment!$3:$3,0))*B631</f>
        <v>30.38</v>
      </c>
      <c r="V631" s="99">
        <f ca="1">+INDEX(Segment!$291:$291,MATCH(V$621,Segment!$3:$3,0))*C631</f>
        <v>31.129999999999995</v>
      </c>
      <c r="W631" s="99">
        <f ca="1">+INDEX(Segment!$291:$291,MATCH(W$621,Segment!$3:$3,0))*D631</f>
        <v>24.93</v>
      </c>
      <c r="X631" s="99">
        <f ca="1">+INDEX(Segment!$291:$291,MATCH(X$621,Segment!$3:$3,0))*E631</f>
        <v>28.54</v>
      </c>
      <c r="Y631" s="99">
        <f t="shared" ca="1" si="408"/>
        <v>114.97999999999999</v>
      </c>
      <c r="Z631" s="38">
        <f t="shared" ca="1" si="409"/>
        <v>1.5216441909400103E-3</v>
      </c>
      <c r="AA631" s="91"/>
      <c r="AB631" s="91"/>
      <c r="AC631" s="91"/>
      <c r="AD631" s="91"/>
      <c r="AE631" s="91"/>
      <c r="AF631" s="91"/>
      <c r="AG631" s="91"/>
      <c r="AH631" s="91"/>
      <c r="AI631" s="91"/>
      <c r="AJ631" s="91"/>
      <c r="AK631" s="91"/>
      <c r="AL631" s="91"/>
      <c r="AM631" s="91"/>
      <c r="AN631" s="91"/>
      <c r="AO631" s="91"/>
      <c r="AP631" s="91"/>
      <c r="AQ631" s="91"/>
      <c r="AR631" s="91"/>
      <c r="AS631" s="91"/>
      <c r="AT631" s="91"/>
      <c r="AU631" s="91"/>
      <c r="AV631" s="296"/>
      <c r="AW631" s="296"/>
      <c r="AX631" s="296"/>
      <c r="AY631" s="296"/>
      <c r="AZ631" s="296"/>
      <c r="BA631" s="296"/>
      <c r="BB631" s="296"/>
      <c r="BC631" s="296"/>
      <c r="BD631" s="296"/>
      <c r="BE631" s="296"/>
      <c r="BF631" s="296"/>
      <c r="BG631" s="296"/>
      <c r="BH631" s="296"/>
      <c r="BI631" s="296"/>
      <c r="BJ631" s="296"/>
      <c r="BK631" s="296"/>
      <c r="BL631" s="296"/>
      <c r="BM631" s="296"/>
      <c r="BN631" s="296"/>
      <c r="BO631" s="296"/>
      <c r="BP631" s="296"/>
      <c r="BQ631" s="296"/>
      <c r="BR631" s="296"/>
      <c r="BS631" s="296"/>
      <c r="BT631" s="296"/>
      <c r="BU631" s="296"/>
      <c r="BV631" s="296"/>
      <c r="BW631" s="296"/>
      <c r="BX631" s="296"/>
      <c r="BY631" s="296"/>
      <c r="BZ631" s="9"/>
      <c r="CA631" s="9"/>
      <c r="CB631" s="9"/>
      <c r="CC631" s="9"/>
      <c r="CD631" s="9"/>
    </row>
    <row r="632" spans="1:82">
      <c r="A632" s="36" t="s">
        <v>1017</v>
      </c>
      <c r="B632" s="446" t="str">
        <f ca="1">+INDEX(Segment!$A$295:$BR$308,MATCH($A632,Segment!$A$295:$A$308,0),MATCH(Charts_Support!B$638,IS!$A$60:$BR$60,0))</f>
        <v>NA</v>
      </c>
      <c r="C632" s="446" t="str">
        <f ca="1">+INDEX(Segment!$A$295:$BR$308,MATCH($A632,Segment!$A$295:$A$308,0),MATCH(Charts_Support!C$638,IS!$A$60:$BR$60,0))</f>
        <v>NA</v>
      </c>
      <c r="D632" s="446" t="str">
        <f ca="1">+INDEX(Segment!$A$295:$BR$308,MATCH($A632,Segment!$A$295:$A$308,0),MATCH(Charts_Support!D$638,IS!$A$60:$BR$60,0))</f>
        <v>NA</v>
      </c>
      <c r="E632" s="446" t="str">
        <f ca="1">+INDEX(Segment!$A$295:$BR$308,MATCH($A632,Segment!$A$295:$A$308,0),MATCH(Charts_Support!E$638,IS!$A$60:$BR$60,0))</f>
        <v>NA</v>
      </c>
      <c r="F632" s="91"/>
      <c r="G632" s="36" t="s">
        <v>1017</v>
      </c>
      <c r="H632" s="446">
        <f ca="1">+INDEX(Segment!$A$330:$BR$343,MATCH($G632,Segment!$A$330:$A$343,0),MATCH(H$621,IS!$A$60:$BR$60,0))</f>
        <v>0</v>
      </c>
      <c r="I632" s="446">
        <f ca="1">+INDEX(Segment!$A$330:$BR$343,MATCH($G632,Segment!$A$330:$A$343,0),MATCH(I$621,IS!$A$60:$BR$60,0))</f>
        <v>0</v>
      </c>
      <c r="J632" s="446">
        <f ca="1">+INDEX(Segment!$A$330:$BR$343,MATCH($G632,Segment!$A$330:$A$343,0),MATCH(J$621,IS!$A$60:$BR$60,0))</f>
        <v>0</v>
      </c>
      <c r="K632" s="446">
        <f ca="1">+INDEX(Segment!$A$330:$BR$343,MATCH($G632,Segment!$A$330:$A$343,0),MATCH(K$621,IS!$A$60:$BR$60,0))</f>
        <v>0</v>
      </c>
      <c r="L632" s="91"/>
      <c r="M632" s="99">
        <f ca="1">+INDEX(Segment!$326:$326,MATCH(M$621,Segment!$3:$3,0))*H632</f>
        <v>0</v>
      </c>
      <c r="N632" s="99">
        <f ca="1">+INDEX(Segment!$326:$326,MATCH(N$621,Segment!$3:$3,0))*I632</f>
        <v>0</v>
      </c>
      <c r="O632" s="99">
        <f ca="1">+INDEX(Segment!$326:$326,MATCH(O$621,Segment!$3:$3,0))*J632</f>
        <v>0</v>
      </c>
      <c r="P632" s="99">
        <f ca="1">+INDEX(Segment!$326:$326,MATCH(P$621,Segment!$3:$3,0))*K632</f>
        <v>0</v>
      </c>
      <c r="Q632" s="99">
        <f t="shared" ca="1" si="406"/>
        <v>0</v>
      </c>
      <c r="R632" s="38">
        <f t="shared" ca="1" si="407"/>
        <v>0</v>
      </c>
      <c r="S632" s="91"/>
      <c r="T632" s="36" t="s">
        <v>1017</v>
      </c>
      <c r="U632" s="99"/>
      <c r="V632" s="99"/>
      <c r="W632" s="99"/>
      <c r="X632" s="99"/>
      <c r="Y632" s="99"/>
      <c r="Z632" s="38">
        <f t="shared" ca="1" si="409"/>
        <v>0</v>
      </c>
      <c r="AA632" s="91"/>
      <c r="AB632" s="91"/>
      <c r="AC632" s="91"/>
      <c r="AD632" s="91"/>
      <c r="AE632" s="91"/>
      <c r="AF632" s="91"/>
      <c r="AG632" s="91"/>
      <c r="AH632" s="91"/>
      <c r="AI632" s="91"/>
      <c r="AJ632" s="91"/>
      <c r="AK632" s="91"/>
      <c r="AL632" s="91"/>
      <c r="AM632" s="91"/>
      <c r="AN632" s="91"/>
      <c r="AO632" s="91"/>
      <c r="AP632" s="91"/>
      <c r="AQ632" s="91"/>
      <c r="AR632" s="91"/>
      <c r="AS632" s="91"/>
      <c r="AT632" s="91"/>
      <c r="AU632" s="91"/>
      <c r="AV632" s="296"/>
      <c r="AW632" s="296"/>
      <c r="AX632" s="296"/>
      <c r="AY632" s="296"/>
      <c r="AZ632" s="296"/>
      <c r="BA632" s="296"/>
      <c r="BB632" s="296"/>
      <c r="BC632" s="296"/>
      <c r="BD632" s="296"/>
      <c r="BE632" s="296"/>
      <c r="BF632" s="296"/>
      <c r="BG632" s="296"/>
      <c r="BH632" s="296"/>
      <c r="BI632" s="296"/>
      <c r="BJ632" s="296"/>
      <c r="BK632" s="296"/>
      <c r="BL632" s="296"/>
      <c r="BM632" s="296"/>
      <c r="BN632" s="296"/>
      <c r="BO632" s="296"/>
      <c r="BP632" s="296"/>
      <c r="BQ632" s="296"/>
      <c r="BR632" s="296"/>
      <c r="BS632" s="296"/>
      <c r="BT632" s="296"/>
      <c r="BU632" s="296"/>
      <c r="BV632" s="296"/>
      <c r="BW632" s="296"/>
      <c r="BX632" s="296"/>
      <c r="BY632" s="296"/>
      <c r="BZ632" s="9"/>
      <c r="CA632" s="9"/>
      <c r="CB632" s="9"/>
      <c r="CC632" s="9"/>
      <c r="CD632" s="9"/>
    </row>
    <row r="633" spans="1:82">
      <c r="A633" s="36" t="s">
        <v>1120</v>
      </c>
      <c r="B633" s="446">
        <f ca="1">+INDEX(Segment!$A$295:$BR$308,MATCH($A633,Segment!$A$295:$A$308,0),MATCH(Charts_Support!B$638,IS!$A$60:$BR$60,0))</f>
        <v>2.124306864064603E-2</v>
      </c>
      <c r="C633" s="446">
        <f ca="1">+INDEX(Segment!$A$295:$BR$308,MATCH($A633,Segment!$A$295:$A$308,0),MATCH(Charts_Support!C$638,IS!$A$60:$BR$60,0))</f>
        <v>2.1456667169659469E-2</v>
      </c>
      <c r="D633" s="446">
        <f ca="1">+INDEX(Segment!$A$295:$BR$308,MATCH($A633,Segment!$A$295:$A$308,0),MATCH(Charts_Support!D$638,IS!$A$60:$BR$60,0))</f>
        <v>2.1093819229065135E-2</v>
      </c>
      <c r="E633" s="446">
        <f ca="1">+INDEX(Segment!$A$295:$BR$308,MATCH($A633,Segment!$A$295:$A$308,0),MATCH(Charts_Support!E$638,IS!$A$60:$BR$60,0))</f>
        <v>2.0219935961366859E-2</v>
      </c>
      <c r="F633" s="9"/>
      <c r="G633" s="36" t="s">
        <v>1120</v>
      </c>
      <c r="H633" s="446">
        <f ca="1">+INDEX(Segment!$A$330:$BR$343,MATCH($G633,Segment!$A$330:$A$343,0),MATCH(H$621,IS!$A$60:$BR$60,0))</f>
        <v>3.9888089528377305E-3</v>
      </c>
      <c r="I633" s="446">
        <f ca="1">+INDEX(Segment!$A$330:$BR$343,MATCH($G633,Segment!$A$330:$A$343,0),MATCH(I$621,IS!$A$60:$BR$60,0))</f>
        <v>8.0582284727362466E-3</v>
      </c>
      <c r="J633" s="446">
        <f ca="1">+INDEX(Segment!$A$330:$BR$343,MATCH($G633,Segment!$A$330:$A$343,0),MATCH(J$621,IS!$A$60:$BR$60,0))</f>
        <v>6.4321608040200998E-3</v>
      </c>
      <c r="K633" s="446">
        <f ca="1">+INDEX(Segment!$A$330:$BR$343,MATCH($G633,Segment!$A$330:$A$343,0),MATCH(K$621,IS!$A$60:$BR$60,0))</f>
        <v>6.0674749604638905E-3</v>
      </c>
      <c r="L633" s="91"/>
      <c r="M633" s="99">
        <f ca="1">+INDEX(Segment!$326:$326,MATCH(M$621,Segment!$3:$3,0))*H633</f>
        <v>14.97</v>
      </c>
      <c r="N633" s="99">
        <f ca="1">+INDEX(Segment!$326:$326,MATCH(N$621,Segment!$3:$3,0))*I633</f>
        <v>32.660000000000004</v>
      </c>
      <c r="O633" s="99">
        <f ca="1">+INDEX(Segment!$326:$326,MATCH(O$621,Segment!$3:$3,0))*J633</f>
        <v>23.04</v>
      </c>
      <c r="P633" s="99">
        <f ca="1">+INDEX(Segment!$326:$326,MATCH(P$621,Segment!$3:$3,0))*K633</f>
        <v>23.02</v>
      </c>
      <c r="Q633" s="99">
        <f t="shared" ca="1" si="406"/>
        <v>93.69</v>
      </c>
      <c r="R633" s="38">
        <f t="shared" ca="1" si="407"/>
        <v>6.1711236991173766E-3</v>
      </c>
      <c r="S633" s="91"/>
      <c r="T633" s="36" t="s">
        <v>1120</v>
      </c>
      <c r="U633" s="99">
        <f ca="1">+INDEX(Segment!$291:$291,MATCH(U$621,Segment!$3:$3,0))*B633</f>
        <v>394.59</v>
      </c>
      <c r="V633" s="99">
        <f ca="1">+INDEX(Segment!$291:$291,MATCH(V$621,Segment!$3:$3,0))*C633</f>
        <v>426.58000000000004</v>
      </c>
      <c r="W633" s="99">
        <f ca="1">+INDEX(Segment!$291:$291,MATCH(W$621,Segment!$3:$3,0))*D633</f>
        <v>380.87000000000006</v>
      </c>
      <c r="X633" s="99">
        <f ca="1">+INDEX(Segment!$291:$291,MATCH(X$621,Segment!$3:$3,0))*E633</f>
        <v>385.21000000000004</v>
      </c>
      <c r="Y633" s="99">
        <f t="shared" ca="1" si="408"/>
        <v>1587.2500000000002</v>
      </c>
      <c r="Z633" s="38">
        <f t="shared" ca="1" si="409"/>
        <v>2.1005650913807024E-2</v>
      </c>
      <c r="AA633" s="91"/>
      <c r="AB633" s="91"/>
      <c r="AC633" s="91"/>
      <c r="AD633" s="91"/>
      <c r="AE633" s="91"/>
      <c r="AF633" s="91"/>
      <c r="AG633" s="91"/>
      <c r="AH633" s="91"/>
      <c r="AI633" s="91"/>
      <c r="AJ633" s="91"/>
      <c r="AK633" s="91"/>
      <c r="AL633" s="91"/>
      <c r="AM633" s="91"/>
      <c r="AN633" s="91"/>
      <c r="AO633" s="91"/>
      <c r="AP633" s="91"/>
      <c r="AQ633" s="91"/>
      <c r="AR633" s="91"/>
      <c r="AS633" s="91"/>
      <c r="AT633" s="91"/>
      <c r="AU633" s="91"/>
      <c r="AV633" s="296"/>
      <c r="AW633" s="296"/>
      <c r="AX633" s="296"/>
      <c r="AY633" s="296"/>
      <c r="AZ633" s="296"/>
      <c r="BA633" s="296"/>
      <c r="BB633" s="296"/>
      <c r="BC633" s="296"/>
      <c r="BD633" s="296"/>
      <c r="BE633" s="296"/>
      <c r="BF633" s="296"/>
      <c r="BG633" s="296"/>
      <c r="BH633" s="296"/>
      <c r="BI633" s="296"/>
      <c r="BJ633" s="296"/>
      <c r="BK633" s="296"/>
      <c r="BL633" s="296"/>
      <c r="BM633" s="296"/>
      <c r="BN633" s="296"/>
      <c r="BO633" s="296"/>
      <c r="BP633" s="296"/>
      <c r="BQ633" s="296"/>
      <c r="BR633" s="296"/>
      <c r="BS633" s="296"/>
      <c r="BT633" s="296"/>
      <c r="BU633" s="296"/>
      <c r="BV633" s="296"/>
      <c r="BW633" s="296"/>
      <c r="BX633" s="296"/>
      <c r="BY633" s="296"/>
      <c r="BZ633" s="9"/>
      <c r="CA633" s="9"/>
      <c r="CB633" s="9"/>
      <c r="CC633" s="9"/>
      <c r="CD633" s="9"/>
    </row>
    <row r="634" spans="1:82">
      <c r="A634" s="36" t="s">
        <v>331</v>
      </c>
      <c r="B634" s="446">
        <f ca="1">+INDEX(Segment!$A$295:$BR$308,MATCH($A634,Segment!$A$295:$A$308,0),MATCH(Charts_Support!B$638,IS!$A$60:$BR$60,0))</f>
        <v>3.3694212651413188E-2</v>
      </c>
      <c r="C634" s="446">
        <f ca="1">+INDEX(Segment!$A$295:$BR$308,MATCH($A634,Segment!$A$295:$A$308,0),MATCH(Charts_Support!C$638,IS!$A$60:$BR$60,0))</f>
        <v>3.3803128615260788E-2</v>
      </c>
      <c r="D634" s="446">
        <f ca="1">+INDEX(Segment!$A$295:$BR$308,MATCH($A634,Segment!$A$295:$A$308,0),MATCH(Charts_Support!D$638,IS!$A$60:$BR$60,0))</f>
        <v>3.4225188303057159E-2</v>
      </c>
      <c r="E634" s="446">
        <f ca="1">+INDEX(Segment!$A$295:$BR$308,MATCH($A634,Segment!$A$295:$A$308,0),MATCH(Charts_Support!E$638,IS!$A$60:$BR$60,0))</f>
        <v>3.4115269539656712E-2</v>
      </c>
      <c r="F634" s="91"/>
      <c r="G634" s="36" t="s">
        <v>331</v>
      </c>
      <c r="H634" s="446">
        <f ca="1">+INDEX(Segment!$A$330:$BR$343,MATCH($G634,Segment!$A$330:$A$343,0),MATCH(H$621,IS!$A$60:$BR$60,0))</f>
        <v>7.3932853717026389E-2</v>
      </c>
      <c r="I634" s="446">
        <f ca="1">+INDEX(Segment!$A$330:$BR$343,MATCH($G634,Segment!$A$330:$A$343,0),MATCH(I$621,IS!$A$60:$BR$60,0))</f>
        <v>8.2232913890944989E-2</v>
      </c>
      <c r="J634" s="446">
        <f ca="1">+INDEX(Segment!$A$330:$BR$343,MATCH($G634,Segment!$A$330:$A$343,0),MATCH(J$621,IS!$A$60:$BR$60,0))</f>
        <v>6.9296482412060295E-2</v>
      </c>
      <c r="K634" s="446">
        <f ca="1">+INDEX(Segment!$A$330:$BR$343,MATCH($G634,Segment!$A$330:$A$343,0),MATCH(K$621,IS!$A$60:$BR$60,0))</f>
        <v>7.1236162361623612E-2</v>
      </c>
      <c r="L634" s="91"/>
      <c r="M634" s="99">
        <f ca="1">+INDEX(Segment!$326:$326,MATCH(M$621,Segment!$3:$3,0))*H634</f>
        <v>277.47000000000003</v>
      </c>
      <c r="N634" s="99">
        <f ca="1">+INDEX(Segment!$326:$326,MATCH(N$621,Segment!$3:$3,0))*I634</f>
        <v>333.29</v>
      </c>
      <c r="O634" s="99">
        <f ca="1">+INDEX(Segment!$326:$326,MATCH(O$621,Segment!$3:$3,0))*J634</f>
        <v>248.22</v>
      </c>
      <c r="P634" s="99">
        <f ca="1">+INDEX(Segment!$326:$326,MATCH(P$621,Segment!$3:$3,0))*K634</f>
        <v>270.27</v>
      </c>
      <c r="Q634" s="99">
        <f t="shared" ca="1" si="406"/>
        <v>1129.25</v>
      </c>
      <c r="R634" s="38">
        <f t="shared" ca="1" si="407"/>
        <v>7.4380845738374404E-2</v>
      </c>
      <c r="S634" s="91"/>
      <c r="T634" s="36" t="s">
        <v>331</v>
      </c>
      <c r="U634" s="99">
        <f ca="1">+INDEX(Segment!$291:$291,MATCH(U$621,Segment!$3:$3,0))*B634</f>
        <v>625.87</v>
      </c>
      <c r="V634" s="99">
        <f ca="1">+INDEX(Segment!$291:$291,MATCH(V$621,Segment!$3:$3,0))*C634</f>
        <v>672.04</v>
      </c>
      <c r="W634" s="99">
        <f ca="1">+INDEX(Segment!$291:$291,MATCH(W$621,Segment!$3:$3,0))*D634</f>
        <v>617.97</v>
      </c>
      <c r="X634" s="99">
        <f ca="1">+INDEX(Segment!$291:$291,MATCH(X$621,Segment!$3:$3,0))*E634</f>
        <v>649.93000000000006</v>
      </c>
      <c r="Y634" s="99">
        <f t="shared" ca="1" si="408"/>
        <v>2565.81</v>
      </c>
      <c r="Z634" s="38">
        <f t="shared" ca="1" si="409"/>
        <v>3.3955904344718978E-2</v>
      </c>
      <c r="AA634" s="91"/>
      <c r="AB634" s="91"/>
      <c r="AC634" s="91"/>
      <c r="AD634" s="91"/>
      <c r="AE634" s="91"/>
      <c r="AF634" s="91"/>
      <c r="AG634" s="91"/>
      <c r="AH634" s="91"/>
      <c r="AI634" s="91"/>
      <c r="AJ634" s="91"/>
      <c r="AK634" s="91"/>
      <c r="AL634" s="91"/>
      <c r="AM634" s="91"/>
      <c r="AN634" s="91"/>
      <c r="AO634" s="91"/>
      <c r="AP634" s="91"/>
      <c r="AQ634" s="91"/>
      <c r="AR634" s="91"/>
      <c r="AS634" s="91"/>
      <c r="AT634" s="91"/>
      <c r="AU634" s="91"/>
      <c r="AV634" s="296"/>
      <c r="AW634" s="296"/>
      <c r="AX634" s="296"/>
      <c r="AY634" s="296"/>
      <c r="AZ634" s="296"/>
      <c r="BA634" s="296"/>
      <c r="BB634" s="296"/>
      <c r="BC634" s="296"/>
      <c r="BD634" s="296"/>
      <c r="BE634" s="296"/>
      <c r="BF634" s="296"/>
      <c r="BG634" s="296"/>
      <c r="BH634" s="296"/>
      <c r="BI634" s="296"/>
      <c r="BJ634" s="296"/>
      <c r="BK634" s="296"/>
      <c r="BL634" s="296"/>
      <c r="BM634" s="296"/>
      <c r="BN634" s="296"/>
      <c r="BO634" s="296"/>
      <c r="BP634" s="296"/>
      <c r="BQ634" s="296"/>
      <c r="BR634" s="296"/>
      <c r="BS634" s="296"/>
      <c r="BT634" s="296"/>
      <c r="BU634" s="296"/>
      <c r="BV634" s="296"/>
      <c r="BW634" s="296"/>
      <c r="BX634" s="296"/>
      <c r="BY634" s="296"/>
      <c r="BZ634" s="9"/>
      <c r="CA634" s="9"/>
      <c r="CB634" s="9"/>
      <c r="CC634" s="9"/>
      <c r="CD634" s="9"/>
    </row>
    <row r="635" spans="1:82">
      <c r="A635" s="36" t="s">
        <v>1043</v>
      </c>
      <c r="B635" s="446">
        <f ca="1">+INDEX(Segment!$A$295:$BR$308,MATCH($A635,Segment!$A$295:$A$308,0),MATCH(Charts_Support!B$638,IS!$A$60:$BR$60,0))</f>
        <v>2.6648721399730822E-2</v>
      </c>
      <c r="C635" s="446">
        <f ca="1">+INDEX(Segment!$A$295:$BR$308,MATCH($A635,Segment!$A$295:$A$308,0),MATCH(Charts_Support!C$638,IS!$A$60:$BR$60,0))</f>
        <v>2.6844726120416471E-2</v>
      </c>
      <c r="D635" s="446">
        <f ca="1">+INDEX(Segment!$A$295:$BR$308,MATCH($A635,Segment!$A$295:$A$308,0),MATCH(Charts_Support!D$638,IS!$A$60:$BR$60,0))</f>
        <v>2.8029463890119628E-2</v>
      </c>
      <c r="E635" s="446">
        <f ca="1">+INDEX(Segment!$A$295:$BR$308,MATCH($A635,Segment!$A$295:$A$308,0),MATCH(Charts_Support!E$638,IS!$A$60:$BR$60,0))</f>
        <v>2.8066768148653616E-2</v>
      </c>
      <c r="F635" s="91"/>
      <c r="G635" s="36" t="s">
        <v>1043</v>
      </c>
      <c r="H635" s="446">
        <f ca="1">+INDEX(Segment!$A$330:$BR$343,MATCH($G635,Segment!$A$330:$A$343,0),MATCH(H$621,IS!$A$60:$BR$60,0))</f>
        <v>1.8033573141486809E-2</v>
      </c>
      <c r="I635" s="446">
        <f ca="1">+INDEX(Segment!$A$330:$BR$343,MATCH($G635,Segment!$A$330:$A$343,0),MATCH(I$621,IS!$A$60:$BR$60,0))</f>
        <v>1.7912657290895632E-2</v>
      </c>
      <c r="J635" s="446">
        <f ca="1">+INDEX(Segment!$A$330:$BR$343,MATCH($G635,Segment!$A$330:$A$343,0),MATCH(J$621,IS!$A$60:$BR$60,0))</f>
        <v>2.0351758793969846E-2</v>
      </c>
      <c r="K635" s="446">
        <f ca="1">+INDEX(Segment!$A$330:$BR$343,MATCH($G635,Segment!$A$330:$A$343,0),MATCH(K$621,IS!$A$60:$BR$60,0))</f>
        <v>2.0898787559304164E-2</v>
      </c>
      <c r="L635" s="91"/>
      <c r="M635" s="99">
        <f ca="1">+INDEX(Segment!$326:$326,MATCH(M$621,Segment!$3:$3,0))*H635</f>
        <v>67.679999999999993</v>
      </c>
      <c r="N635" s="99">
        <f ca="1">+INDEX(Segment!$326:$326,MATCH(N$621,Segment!$3:$3,0))*I635</f>
        <v>72.599999999999994</v>
      </c>
      <c r="O635" s="99">
        <f ca="1">+INDEX(Segment!$326:$326,MATCH(O$621,Segment!$3:$3,0))*J635</f>
        <v>72.899999999999991</v>
      </c>
      <c r="P635" s="99">
        <f ca="1">+INDEX(Segment!$326:$326,MATCH(P$621,Segment!$3:$3,0))*K635</f>
        <v>79.289999999999992</v>
      </c>
      <c r="Q635" s="99">
        <f t="shared" ca="1" si="406"/>
        <v>292.46999999999991</v>
      </c>
      <c r="R635" s="38">
        <f t="shared" ca="1" si="407"/>
        <v>1.9264260308259777E-2</v>
      </c>
      <c r="S635" s="91"/>
      <c r="T635" s="36" t="s">
        <v>1043</v>
      </c>
      <c r="U635" s="99">
        <f ca="1">+INDEX(Segment!$291:$291,MATCH(U$621,Segment!$3:$3,0))*B635</f>
        <v>495</v>
      </c>
      <c r="V635" s="99">
        <f ca="1">+INDEX(Segment!$291:$291,MATCH(V$621,Segment!$3:$3,0))*C635</f>
        <v>533.70000000000005</v>
      </c>
      <c r="W635" s="99">
        <f ca="1">+INDEX(Segment!$291:$291,MATCH(W$621,Segment!$3:$3,0))*D635</f>
        <v>506.1</v>
      </c>
      <c r="X635" s="99">
        <f ca="1">+INDEX(Segment!$291:$291,MATCH(X$621,Segment!$3:$3,0))*E635</f>
        <v>534.70000000000005</v>
      </c>
      <c r="Y635" s="99">
        <f t="shared" ca="1" si="408"/>
        <v>2069.5</v>
      </c>
      <c r="Z635" s="38">
        <f t="shared" ca="1" si="409"/>
        <v>2.7387742678294934E-2</v>
      </c>
      <c r="AA635" s="91"/>
      <c r="AB635" s="91"/>
      <c r="AC635" s="91"/>
      <c r="AD635" s="91"/>
      <c r="AE635" s="91"/>
      <c r="AF635" s="91"/>
      <c r="AG635" s="91"/>
      <c r="AH635" s="91"/>
      <c r="AI635" s="91"/>
      <c r="AJ635" s="91"/>
      <c r="AK635" s="91"/>
      <c r="AL635" s="91"/>
      <c r="AM635" s="91"/>
      <c r="AN635" s="91"/>
      <c r="AO635" s="91"/>
      <c r="AP635" s="91"/>
      <c r="AQ635" s="91"/>
      <c r="AR635" s="91"/>
      <c r="AS635" s="91"/>
      <c r="AT635" s="91"/>
      <c r="AU635" s="91"/>
      <c r="AV635" s="296"/>
      <c r="AW635" s="296"/>
      <c r="AX635" s="296"/>
      <c r="AY635" s="296"/>
      <c r="AZ635" s="296"/>
      <c r="BA635" s="296"/>
      <c r="BB635" s="296"/>
      <c r="BC635" s="296"/>
      <c r="BD635" s="296"/>
      <c r="BE635" s="296"/>
      <c r="BF635" s="296"/>
      <c r="BG635" s="296"/>
      <c r="BH635" s="296"/>
      <c r="BI635" s="296"/>
      <c r="BJ635" s="296"/>
      <c r="BK635" s="296"/>
      <c r="BL635" s="296"/>
      <c r="BM635" s="296"/>
      <c r="BN635" s="296"/>
      <c r="BO635" s="296"/>
      <c r="BP635" s="296"/>
      <c r="BQ635" s="296"/>
      <c r="BR635" s="296"/>
      <c r="BS635" s="296"/>
      <c r="BT635" s="296"/>
      <c r="BU635" s="296"/>
      <c r="BV635" s="296"/>
      <c r="BW635" s="296"/>
      <c r="BX635" s="296"/>
      <c r="BY635" s="296"/>
      <c r="BZ635" s="9"/>
      <c r="CA635" s="9"/>
      <c r="CB635" s="9"/>
      <c r="CC635" s="9"/>
      <c r="CD635" s="9"/>
    </row>
    <row r="636" spans="1:82">
      <c r="A636" s="513" t="s">
        <v>325</v>
      </c>
      <c r="B636" s="1089">
        <f ca="1">SUM(B621:B635)</f>
        <v>1.0000000000000002</v>
      </c>
      <c r="C636" s="1089">
        <f ca="1">SUM(C621:C635)</f>
        <v>0.99999999999999967</v>
      </c>
      <c r="D636" s="1089">
        <f ca="1">SUM(D621:D635)</f>
        <v>1</v>
      </c>
      <c r="E636" s="1089">
        <f ca="1">SUM(E621:E635)</f>
        <v>0.99999999999999989</v>
      </c>
      <c r="F636" s="91"/>
      <c r="G636" s="513" t="s">
        <v>325</v>
      </c>
      <c r="H636" s="1089">
        <f ca="1">SUM(H622:H635)</f>
        <v>1.0000000000000002</v>
      </c>
      <c r="I636" s="1089">
        <f ca="1">SUM(I622:I635)</f>
        <v>1.0000000000000002</v>
      </c>
      <c r="J636" s="1089">
        <f ca="1">SUM(J622:J635)</f>
        <v>1</v>
      </c>
      <c r="K636" s="1089">
        <f ca="1">SUM(K622:K635)</f>
        <v>1</v>
      </c>
      <c r="L636" s="91"/>
      <c r="M636" s="1490">
        <f ca="1">+SUM(M622:M635)</f>
        <v>3752.9999999999995</v>
      </c>
      <c r="N636" s="1490">
        <f ca="1">+SUM(N622:N635)</f>
        <v>4052.9999999999995</v>
      </c>
      <c r="O636" s="1490">
        <f ca="1">+SUM(O622:O635)</f>
        <v>3582</v>
      </c>
      <c r="P636" s="1490">
        <f ca="1">+SUM(P622:P635)</f>
        <v>3794</v>
      </c>
      <c r="Q636" s="1490">
        <f ca="1">+SUM(Q622:Q635)</f>
        <v>15181.999999999998</v>
      </c>
      <c r="R636" s="931">
        <f t="shared" ca="1" si="407"/>
        <v>1</v>
      </c>
      <c r="S636" s="91"/>
      <c r="T636" s="513" t="s">
        <v>325</v>
      </c>
      <c r="U636" s="1490">
        <f ca="1">+SUM(U622:U635)</f>
        <v>18575</v>
      </c>
      <c r="V636" s="1490">
        <f ca="1">+SUM(V622:V635)</f>
        <v>19881.000000000007</v>
      </c>
      <c r="W636" s="1490">
        <f ca="1">+SUM(W622:W635)</f>
        <v>18056</v>
      </c>
      <c r="X636" s="1490">
        <f ca="1">+SUM(X622:X635)</f>
        <v>19051</v>
      </c>
      <c r="Y636" s="1490">
        <f ca="1">+SUM(Y622:Y635)</f>
        <v>75563</v>
      </c>
      <c r="Z636" s="931">
        <f t="shared" ca="1" si="409"/>
        <v>1</v>
      </c>
      <c r="AA636" s="91"/>
      <c r="AB636" s="91"/>
      <c r="AC636" s="91"/>
      <c r="AD636" s="91"/>
      <c r="AE636" s="91"/>
      <c r="AF636" s="91"/>
      <c r="AG636" s="91"/>
      <c r="AH636" s="91"/>
      <c r="AI636" s="91"/>
      <c r="AJ636" s="91"/>
      <c r="AK636" s="91"/>
      <c r="AL636" s="91"/>
      <c r="AM636" s="91"/>
      <c r="AN636" s="91"/>
      <c r="AO636" s="91"/>
      <c r="AP636" s="91"/>
      <c r="AQ636" s="91"/>
      <c r="AR636" s="91"/>
      <c r="AS636" s="91"/>
      <c r="AT636" s="91"/>
      <c r="AU636" s="91"/>
      <c r="AV636" s="296"/>
      <c r="AW636" s="296"/>
      <c r="AX636" s="296"/>
      <c r="AY636" s="296"/>
      <c r="AZ636" s="296"/>
      <c r="BA636" s="296"/>
      <c r="BB636" s="296"/>
      <c r="BC636" s="296"/>
      <c r="BD636" s="296"/>
      <c r="BE636" s="296"/>
      <c r="BF636" s="296"/>
      <c r="BG636" s="296"/>
      <c r="BH636" s="296"/>
      <c r="BI636" s="296"/>
      <c r="BJ636" s="296"/>
      <c r="BK636" s="296"/>
      <c r="BL636" s="296"/>
      <c r="BM636" s="296"/>
      <c r="BN636" s="296"/>
      <c r="BO636" s="296"/>
      <c r="BP636" s="296"/>
      <c r="BQ636" s="296"/>
      <c r="BR636" s="296"/>
      <c r="BS636" s="296"/>
      <c r="BT636" s="296"/>
      <c r="BU636" s="296"/>
      <c r="BV636" s="296"/>
      <c r="BW636" s="296"/>
      <c r="BX636" s="296"/>
      <c r="BY636" s="296"/>
      <c r="BZ636" s="9"/>
      <c r="CA636" s="9"/>
      <c r="CB636" s="9"/>
      <c r="CC636" s="9"/>
      <c r="CD636" s="9"/>
    </row>
    <row r="637" spans="1:82">
      <c r="A637" s="513"/>
      <c r="B637" s="1089"/>
      <c r="C637" s="1089"/>
      <c r="D637" s="1089"/>
      <c r="E637" s="1089"/>
      <c r="F637" s="91"/>
      <c r="G637" s="36"/>
      <c r="H637" s="1089"/>
      <c r="I637" s="1089"/>
      <c r="J637" s="1089"/>
      <c r="K637" s="1089"/>
      <c r="L637" s="91"/>
      <c r="M637" s="99"/>
      <c r="N637" s="91"/>
      <c r="O637" s="91"/>
      <c r="P637" s="99"/>
      <c r="Q637" s="91"/>
      <c r="R637" s="91"/>
      <c r="S637" s="91"/>
      <c r="T637" s="91"/>
      <c r="U637" s="99"/>
      <c r="V637" s="99"/>
      <c r="W637" s="99"/>
      <c r="X637" s="99"/>
      <c r="Y637" s="91"/>
      <c r="Z637" s="91"/>
      <c r="AA637" s="91"/>
      <c r="AB637" s="91"/>
      <c r="AC637" s="91"/>
      <c r="AD637" s="91"/>
      <c r="AE637" s="91"/>
      <c r="AF637" s="91"/>
      <c r="AG637" s="91"/>
      <c r="AH637" s="91"/>
      <c r="AI637" s="91"/>
      <c r="AJ637" s="91"/>
      <c r="AK637" s="91"/>
      <c r="AL637" s="91"/>
      <c r="AM637" s="91"/>
      <c r="AN637" s="91"/>
      <c r="AO637" s="91"/>
      <c r="AP637" s="91"/>
      <c r="AQ637" s="91"/>
      <c r="AR637" s="91"/>
      <c r="AS637" s="91"/>
      <c r="AT637" s="91"/>
      <c r="AU637" s="91"/>
      <c r="AV637" s="296"/>
      <c r="AW637" s="296"/>
      <c r="AX637" s="296"/>
      <c r="AY637" s="296"/>
      <c r="AZ637" s="296"/>
      <c r="BA637" s="296"/>
      <c r="BB637" s="296"/>
      <c r="BC637" s="296"/>
      <c r="BD637" s="296"/>
      <c r="BE637" s="296"/>
      <c r="BF637" s="296"/>
      <c r="BG637" s="296"/>
      <c r="BH637" s="296"/>
      <c r="BI637" s="296"/>
      <c r="BJ637" s="296"/>
      <c r="BK637" s="296"/>
      <c r="BL637" s="296"/>
      <c r="BM637" s="296"/>
      <c r="BN637" s="296"/>
      <c r="BO637" s="296"/>
      <c r="BP637" s="296"/>
      <c r="BQ637" s="296"/>
      <c r="BR637" s="296"/>
      <c r="BS637" s="296"/>
      <c r="BT637" s="296"/>
      <c r="BU637" s="296"/>
      <c r="BV637" s="296"/>
      <c r="BW637" s="296"/>
      <c r="BX637" s="296"/>
      <c r="BY637" s="296"/>
      <c r="BZ637" s="9"/>
      <c r="CA637" s="9"/>
      <c r="CB637" s="9"/>
      <c r="CC637" s="9"/>
      <c r="CD637" s="9"/>
    </row>
    <row r="638" spans="1:82">
      <c r="A638" s="242" t="s">
        <v>1013</v>
      </c>
      <c r="B638" s="595" t="str">
        <f ca="1">Charts_Support!B581</f>
        <v>3Q23</v>
      </c>
      <c r="C638" s="595" t="str">
        <f ca="1">Charts_Support!C581</f>
        <v>4Q23</v>
      </c>
      <c r="D638" s="595" t="str">
        <f ca="1">Charts_Support!D581</f>
        <v>1Q24</v>
      </c>
      <c r="E638" s="595" t="str">
        <f ca="1">Charts_Support!E581</f>
        <v>2Q24</v>
      </c>
      <c r="F638" s="91"/>
      <c r="G638" s="9"/>
      <c r="H638" s="9"/>
      <c r="I638" s="9"/>
      <c r="J638" s="9"/>
      <c r="K638" s="9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  <c r="AA638" s="91"/>
      <c r="AB638" s="91"/>
      <c r="AC638" s="91"/>
      <c r="AD638" s="91"/>
      <c r="AE638" s="91"/>
      <c r="AF638" s="91"/>
      <c r="AG638" s="91"/>
      <c r="AH638" s="91"/>
      <c r="AI638" s="91"/>
      <c r="AJ638" s="91"/>
      <c r="AK638" s="91"/>
      <c r="AL638" s="91"/>
      <c r="AM638" s="91"/>
      <c r="AN638" s="91"/>
      <c r="AO638" s="91"/>
      <c r="AP638" s="91"/>
      <c r="AQ638" s="91"/>
      <c r="AR638" s="91"/>
      <c r="AS638" s="91"/>
      <c r="AT638" s="91"/>
      <c r="AU638" s="91"/>
      <c r="AV638" s="296"/>
      <c r="AW638" s="296"/>
      <c r="AX638" s="296"/>
      <c r="AY638" s="296"/>
      <c r="AZ638" s="296"/>
      <c r="BA638" s="296"/>
      <c r="BB638" s="296"/>
      <c r="BC638" s="296"/>
      <c r="BD638" s="296"/>
      <c r="BE638" s="296"/>
      <c r="BF638" s="296"/>
      <c r="BG638" s="296"/>
      <c r="BH638" s="296"/>
      <c r="BI638" s="296"/>
      <c r="BJ638" s="296"/>
      <c r="BK638" s="296"/>
      <c r="BL638" s="296"/>
      <c r="BM638" s="296"/>
      <c r="BN638" s="296"/>
      <c r="BO638" s="296"/>
      <c r="BP638" s="296"/>
      <c r="BQ638" s="296"/>
      <c r="BR638" s="296"/>
      <c r="BS638" s="296"/>
      <c r="BT638" s="296"/>
      <c r="BU638" s="296"/>
      <c r="BV638" s="296"/>
      <c r="BW638" s="296"/>
      <c r="BX638" s="296"/>
      <c r="BY638" s="296"/>
      <c r="BZ638" s="9"/>
      <c r="CA638" s="9"/>
      <c r="CB638" s="9"/>
      <c r="CC638" s="9"/>
      <c r="CD638" s="9"/>
    </row>
    <row r="639" spans="1:82">
      <c r="A639" s="36" t="s">
        <v>1007</v>
      </c>
      <c r="B639" s="245">
        <f ca="1">+INDEX(Segment!$A$261:$BR$273,MATCH($A639,Segment!$A$261:$A$273,0),MATCH(B$638,IS!$A$60:$BR$60,0))</f>
        <v>0.31023029229406557</v>
      </c>
      <c r="C639" s="245">
        <f ca="1">+INDEX(Segment!$A$261:$BR$273,MATCH($A639,Segment!$A$261:$A$273,0),MATCH(C$638,IS!$A$60:$BR$60,0))</f>
        <v>0.31176979662483773</v>
      </c>
      <c r="D639" s="245">
        <f ca="1">+INDEX(Segment!$A$261:$BR$273,MATCH($A639,Segment!$A$261:$A$273,0),MATCH(D$638,IS!$A$60:$BR$60,0))</f>
        <v>0.31264813617754794</v>
      </c>
      <c r="E639" s="245">
        <f ca="1">+INDEX(Segment!$A$261:$BR$273,MATCH($A639,Segment!$A$261:$A$273,0),MATCH(E$638,IS!$A$60:$BR$60,0))</f>
        <v>0.31241997439180536</v>
      </c>
      <c r="F639" s="91"/>
      <c r="G639" s="9"/>
      <c r="H639" s="9"/>
      <c r="I639" s="9"/>
      <c r="J639" s="9"/>
      <c r="K639" s="9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  <c r="AA639" s="91"/>
      <c r="AB639" s="91"/>
      <c r="AC639" s="91"/>
      <c r="AD639" s="91"/>
      <c r="AE639" s="91"/>
      <c r="AF639" s="91"/>
      <c r="AG639" s="91"/>
      <c r="AH639" s="91"/>
      <c r="AI639" s="91"/>
      <c r="AJ639" s="91"/>
      <c r="AK639" s="91"/>
      <c r="AL639" s="91"/>
      <c r="AM639" s="91"/>
      <c r="AN639" s="91"/>
      <c r="AO639" s="91"/>
      <c r="AP639" s="91"/>
      <c r="AQ639" s="91"/>
      <c r="AR639" s="91"/>
      <c r="AS639" s="91"/>
      <c r="AT639" s="91"/>
      <c r="AU639" s="91"/>
      <c r="AV639" s="296"/>
      <c r="AW639" s="296"/>
      <c r="AX639" s="296"/>
      <c r="AY639" s="296"/>
      <c r="AZ639" s="296"/>
      <c r="BA639" s="296"/>
      <c r="BB639" s="296"/>
      <c r="BC639" s="296"/>
      <c r="BD639" s="296"/>
      <c r="BE639" s="296"/>
      <c r="BF639" s="296"/>
      <c r="BG639" s="296"/>
      <c r="BH639" s="296"/>
      <c r="BI639" s="296"/>
      <c r="BJ639" s="296"/>
      <c r="BK639" s="296"/>
      <c r="BL639" s="296"/>
      <c r="BM639" s="296"/>
      <c r="BN639" s="296"/>
      <c r="BO639" s="296"/>
      <c r="BP639" s="296"/>
      <c r="BQ639" s="296"/>
      <c r="BR639" s="296"/>
      <c r="BS639" s="296"/>
      <c r="BT639" s="296"/>
      <c r="BU639" s="296"/>
      <c r="BV639" s="296"/>
      <c r="BW639" s="296"/>
      <c r="BX639" s="296"/>
      <c r="BY639" s="296"/>
      <c r="BZ639" s="9"/>
      <c r="CA639" s="9"/>
      <c r="CB639" s="9"/>
      <c r="CC639" s="9"/>
      <c r="CD639" s="9"/>
    </row>
    <row r="640" spans="1:82">
      <c r="A640" s="36" t="s">
        <v>1008</v>
      </c>
      <c r="B640" s="245">
        <f ca="1">+INDEX(Segment!$A$261:$BR$273,MATCH($A640,Segment!$A$261:$A$273,0),MATCH(B$638,IS!$A$60:$BR$60,0))</f>
        <v>9.1895482728077946E-2</v>
      </c>
      <c r="C640" s="245">
        <f ca="1">+INDEX(Segment!$A$261:$BR$273,MATCH($A640,Segment!$A$261:$A$273,0),MATCH(C$638,IS!$A$60:$BR$60,0))</f>
        <v>9.1951536131544789E-2</v>
      </c>
      <c r="D640" s="245">
        <f ca="1">+INDEX(Segment!$A$261:$BR$273,MATCH($A640,Segment!$A$261:$A$273,0),MATCH(D$638,IS!$A$60:$BR$60,0))</f>
        <v>9.1575091575091569E-2</v>
      </c>
      <c r="E640" s="245">
        <f ca="1">+INDEX(Segment!$A$261:$BR$273,MATCH($A640,Segment!$A$261:$A$273,0),MATCH(E$638,IS!$A$60:$BR$60,0))</f>
        <v>9.0909090909090912E-2</v>
      </c>
      <c r="F640" s="91"/>
      <c r="G640" s="9"/>
      <c r="H640" s="9"/>
      <c r="I640" s="9"/>
      <c r="J640" s="9"/>
      <c r="K640" s="9"/>
      <c r="L640" s="91"/>
      <c r="M640" s="91"/>
      <c r="N640" s="91"/>
      <c r="O640" s="91"/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  <c r="AA640" s="91"/>
      <c r="AB640" s="91"/>
      <c r="AC640" s="91"/>
      <c r="AD640" s="91"/>
      <c r="AE640" s="91"/>
      <c r="AF640" s="91"/>
      <c r="AG640" s="91"/>
      <c r="AH640" s="91"/>
      <c r="AI640" s="91"/>
      <c r="AJ640" s="91"/>
      <c r="AK640" s="91"/>
      <c r="AL640" s="91"/>
      <c r="AM640" s="91"/>
      <c r="AN640" s="91"/>
      <c r="AO640" s="91"/>
      <c r="AP640" s="91"/>
      <c r="AQ640" s="91"/>
      <c r="AR640" s="91"/>
      <c r="AS640" s="91"/>
      <c r="AT640" s="91"/>
      <c r="AU640" s="91"/>
      <c r="AV640" s="296"/>
      <c r="AW640" s="296"/>
      <c r="AX640" s="296"/>
      <c r="AY640" s="296"/>
      <c r="AZ640" s="296"/>
      <c r="BA640" s="296"/>
      <c r="BB640" s="296"/>
      <c r="BC640" s="296"/>
      <c r="BD640" s="296"/>
      <c r="BE640" s="296"/>
      <c r="BF640" s="296"/>
      <c r="BG640" s="296"/>
      <c r="BH640" s="296"/>
      <c r="BI640" s="296"/>
      <c r="BJ640" s="296"/>
      <c r="BK640" s="296"/>
      <c r="BL640" s="296"/>
      <c r="BM640" s="296"/>
      <c r="BN640" s="296"/>
      <c r="BO640" s="296"/>
      <c r="BP640" s="296"/>
      <c r="BQ640" s="296"/>
      <c r="BR640" s="296"/>
      <c r="BS640" s="296"/>
      <c r="BT640" s="296"/>
      <c r="BU640" s="296"/>
      <c r="BV640" s="296"/>
      <c r="BW640" s="296"/>
      <c r="BX640" s="296"/>
      <c r="BY640" s="296"/>
      <c r="BZ640" s="9"/>
      <c r="CA640" s="9"/>
      <c r="CB640" s="9"/>
      <c r="CC640" s="9"/>
      <c r="CD640" s="9"/>
    </row>
    <row r="641" spans="1:82">
      <c r="A641" s="36" t="s">
        <v>1018</v>
      </c>
      <c r="B641" s="245">
        <f ca="1">+INDEX(Segment!$A$261:$BR$273,MATCH($A641,Segment!$A$261:$A$273,0),MATCH(B$638,IS!$A$60:$BR$60,0))</f>
        <v>0.38241806908768822</v>
      </c>
      <c r="C641" s="245">
        <f ca="1">+INDEX(Segment!$A$261:$BR$273,MATCH($A641,Segment!$A$261:$A$273,0),MATCH(C$638,IS!$A$60:$BR$60,0))</f>
        <v>0.384465599307659</v>
      </c>
      <c r="D641" s="245">
        <f ca="1">+INDEX(Segment!$A$261:$BR$273,MATCH($A641,Segment!$A$261:$A$273,0),MATCH(D$638,IS!$A$60:$BR$60,0))</f>
        <v>0.38612368024132732</v>
      </c>
      <c r="E641" s="245">
        <f ca="1">+INDEX(Segment!$A$261:$BR$273,MATCH($A641,Segment!$A$261:$A$273,0),MATCH(E$638,IS!$A$60:$BR$60,0))</f>
        <v>0.38945795988049509</v>
      </c>
      <c r="F641" s="91"/>
      <c r="G641" s="9"/>
      <c r="H641" s="9"/>
      <c r="I641" s="9"/>
      <c r="J641" s="9"/>
      <c r="K641" s="9"/>
      <c r="L641" s="91"/>
      <c r="M641" s="91"/>
      <c r="N641" s="91"/>
      <c r="O641" s="91"/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  <c r="AA641" s="91"/>
      <c r="AB641" s="91"/>
      <c r="AC641" s="91"/>
      <c r="AD641" s="91"/>
      <c r="AE641" s="91"/>
      <c r="AF641" s="91"/>
      <c r="AG641" s="91"/>
      <c r="AH641" s="91"/>
      <c r="AI641" s="91"/>
      <c r="AJ641" s="91"/>
      <c r="AK641" s="91"/>
      <c r="AL641" s="91"/>
      <c r="AM641" s="91"/>
      <c r="AN641" s="91"/>
      <c r="AO641" s="91"/>
      <c r="AP641" s="91"/>
      <c r="AQ641" s="91"/>
      <c r="AR641" s="91"/>
      <c r="AS641" s="91"/>
      <c r="AT641" s="91"/>
      <c r="AU641" s="91"/>
      <c r="AV641" s="296"/>
      <c r="AW641" s="296"/>
      <c r="AX641" s="296"/>
      <c r="AY641" s="296"/>
      <c r="AZ641" s="296"/>
      <c r="BA641" s="296"/>
      <c r="BB641" s="296"/>
      <c r="BC641" s="296"/>
      <c r="BD641" s="296"/>
      <c r="BE641" s="296"/>
      <c r="BF641" s="296"/>
      <c r="BG641" s="296"/>
      <c r="BH641" s="296"/>
      <c r="BI641" s="296"/>
      <c r="BJ641" s="296"/>
      <c r="BK641" s="296"/>
      <c r="BL641" s="296"/>
      <c r="BM641" s="296"/>
      <c r="BN641" s="296"/>
      <c r="BO641" s="296"/>
      <c r="BP641" s="296"/>
      <c r="BQ641" s="296"/>
      <c r="BR641" s="296"/>
      <c r="BS641" s="296"/>
      <c r="BT641" s="296"/>
      <c r="BU641" s="296"/>
      <c r="BV641" s="296"/>
      <c r="BW641" s="296"/>
      <c r="BX641" s="296"/>
      <c r="BY641" s="296"/>
      <c r="BZ641" s="9"/>
      <c r="CA641" s="9"/>
      <c r="CB641" s="9"/>
      <c r="CC641" s="9"/>
      <c r="CD641" s="9"/>
    </row>
    <row r="642" spans="1:82">
      <c r="A642" s="36" t="s">
        <v>1009</v>
      </c>
      <c r="B642" s="245">
        <f ca="1">+INDEX(Segment!$A$261:$BR$273,MATCH($A642,Segment!$A$261:$A$273,0),MATCH(B$638,IS!$A$60:$BR$60,0))</f>
        <v>1.550044286979628E-2</v>
      </c>
      <c r="C642" s="245">
        <f ca="1">+INDEX(Segment!$A$261:$BR$273,MATCH($A642,Segment!$A$261:$A$273,0),MATCH(C$638,IS!$A$60:$BR$60,0))</f>
        <v>1.5577672003461706E-2</v>
      </c>
      <c r="D642" s="245">
        <f ca="1">+INDEX(Segment!$A$261:$BR$273,MATCH($A642,Segment!$A$261:$A$273,0),MATCH(D$638,IS!$A$60:$BR$60,0))</f>
        <v>1.5513897866839044E-2</v>
      </c>
      <c r="E642" s="245">
        <f ca="1">+INDEX(Segment!$A$261:$BR$273,MATCH($A642,Segment!$A$261:$A$273,0),MATCH(E$638,IS!$A$60:$BR$60,0))</f>
        <v>1.5364916773367477E-2</v>
      </c>
      <c r="F642" s="91"/>
      <c r="G642" s="9"/>
      <c r="H642" s="9"/>
      <c r="I642" s="9"/>
      <c r="J642" s="9"/>
      <c r="K642" s="9"/>
      <c r="L642" s="91"/>
      <c r="M642" s="91"/>
      <c r="N642" s="91"/>
      <c r="O642" s="91"/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  <c r="AA642" s="91"/>
      <c r="AB642" s="91"/>
      <c r="AC642" s="91"/>
      <c r="AD642" s="91"/>
      <c r="AE642" s="91"/>
      <c r="AF642" s="91"/>
      <c r="AG642" s="91"/>
      <c r="AH642" s="91"/>
      <c r="AI642" s="91"/>
      <c r="AJ642" s="91"/>
      <c r="AK642" s="91"/>
      <c r="AL642" s="91"/>
      <c r="AM642" s="91"/>
      <c r="AN642" s="91"/>
      <c r="AO642" s="91"/>
      <c r="AP642" s="91"/>
      <c r="AQ642" s="91"/>
      <c r="AR642" s="91"/>
      <c r="AS642" s="91"/>
      <c r="AT642" s="91"/>
      <c r="AU642" s="91"/>
      <c r="AV642" s="296"/>
      <c r="AW642" s="296"/>
      <c r="AX642" s="296"/>
      <c r="AY642" s="296"/>
      <c r="AZ642" s="296"/>
      <c r="BA642" s="296"/>
      <c r="BB642" s="296"/>
      <c r="BC642" s="296"/>
      <c r="BD642" s="296"/>
      <c r="BE642" s="296"/>
      <c r="BF642" s="296"/>
      <c r="BG642" s="296"/>
      <c r="BH642" s="296"/>
      <c r="BI642" s="296"/>
      <c r="BJ642" s="296"/>
      <c r="BK642" s="296"/>
      <c r="BL642" s="296"/>
      <c r="BM642" s="296"/>
      <c r="BN642" s="296"/>
      <c r="BO642" s="296"/>
      <c r="BP642" s="296"/>
      <c r="BQ642" s="296"/>
      <c r="BR642" s="296"/>
      <c r="BS642" s="296"/>
      <c r="BT642" s="296"/>
      <c r="BU642" s="296"/>
      <c r="BV642" s="296"/>
      <c r="BW642" s="296"/>
      <c r="BX642" s="296"/>
      <c r="BY642" s="296"/>
      <c r="BZ642" s="9"/>
      <c r="CA642" s="9"/>
      <c r="CB642" s="9"/>
      <c r="CC642" s="9"/>
      <c r="CD642" s="9"/>
    </row>
    <row r="643" spans="1:82">
      <c r="A643" s="36" t="s">
        <v>1010</v>
      </c>
      <c r="B643" s="245">
        <f ca="1">+INDEX(Segment!$A$261:$BR$273,MATCH($A643,Segment!$A$261:$A$273,0),MATCH(B$638,IS!$A$60:$BR$60,0))</f>
        <v>1.6607617360496013E-2</v>
      </c>
      <c r="C643" s="245">
        <f ca="1">+INDEX(Segment!$A$261:$BR$273,MATCH($A643,Segment!$A$261:$A$273,0),MATCH(C$638,IS!$A$60:$BR$60,0))</f>
        <v>1.6443098225876245E-2</v>
      </c>
      <c r="D643" s="245">
        <f ca="1">+INDEX(Segment!$A$261:$BR$273,MATCH($A643,Segment!$A$261:$A$273,0),MATCH(D$638,IS!$A$60:$BR$60,0))</f>
        <v>1.6375781081663435E-2</v>
      </c>
      <c r="E643" s="245">
        <f ca="1">+INDEX(Segment!$A$261:$BR$273,MATCH($A643,Segment!$A$261:$A$273,0),MATCH(E$638,IS!$A$60:$BR$60,0))</f>
        <v>1.6431924882629109E-2</v>
      </c>
      <c r="F643" s="91"/>
      <c r="G643" s="9"/>
      <c r="H643" s="9"/>
      <c r="I643" s="9"/>
      <c r="J643" s="9"/>
      <c r="K643" s="9"/>
      <c r="L643" s="91"/>
      <c r="M643" s="91"/>
      <c r="N643" s="91"/>
      <c r="O643" s="91"/>
      <c r="P643" s="91"/>
      <c r="Q643" s="91"/>
      <c r="R643" s="91"/>
      <c r="S643" s="91"/>
      <c r="T643" s="91"/>
      <c r="U643" s="91"/>
      <c r="V643" s="91"/>
      <c r="W643" s="91"/>
      <c r="X643" s="91"/>
      <c r="Y643" s="91"/>
      <c r="Z643" s="91"/>
      <c r="AA643" s="91"/>
      <c r="AB643" s="91"/>
      <c r="AC643" s="91"/>
      <c r="AD643" s="91"/>
      <c r="AE643" s="91"/>
      <c r="AF643" s="91"/>
      <c r="AG643" s="91"/>
      <c r="AH643" s="91"/>
      <c r="AI643" s="91"/>
      <c r="AJ643" s="91"/>
      <c r="AK643" s="91"/>
      <c r="AL643" s="91"/>
      <c r="AM643" s="91"/>
      <c r="AN643" s="91"/>
      <c r="AO643" s="91"/>
      <c r="AP643" s="91"/>
      <c r="AQ643" s="91"/>
      <c r="AR643" s="91"/>
      <c r="AS643" s="91"/>
      <c r="AT643" s="91"/>
      <c r="AU643" s="91"/>
      <c r="AV643" s="296"/>
      <c r="AW643" s="296"/>
      <c r="AX643" s="296"/>
      <c r="AY643" s="296"/>
      <c r="AZ643" s="296"/>
      <c r="BA643" s="296"/>
      <c r="BB643" s="296"/>
      <c r="BC643" s="296"/>
      <c r="BD643" s="296"/>
      <c r="BE643" s="296"/>
      <c r="BF643" s="296"/>
      <c r="BG643" s="296"/>
      <c r="BH643" s="296"/>
      <c r="BI643" s="296"/>
      <c r="BJ643" s="296"/>
      <c r="BK643" s="296"/>
      <c r="BL643" s="296"/>
      <c r="BM643" s="296"/>
      <c r="BN643" s="296"/>
      <c r="BO643" s="296"/>
      <c r="BP643" s="296"/>
      <c r="BQ643" s="296"/>
      <c r="BR643" s="296"/>
      <c r="BS643" s="296"/>
      <c r="BT643" s="296"/>
      <c r="BU643" s="296"/>
      <c r="BV643" s="296"/>
      <c r="BW643" s="296"/>
      <c r="BX643" s="296"/>
      <c r="BY643" s="296"/>
      <c r="BZ643" s="9"/>
      <c r="CA643" s="9"/>
      <c r="CB643" s="9"/>
      <c r="CC643" s="9"/>
      <c r="CD643" s="9"/>
    </row>
    <row r="644" spans="1:82">
      <c r="A644" s="36" t="s">
        <v>1011</v>
      </c>
      <c r="B644" s="245">
        <f ca="1">+INDEX(Segment!$A$261:$BR$273,MATCH($A644,Segment!$A$261:$A$273,0),MATCH(B$638,IS!$A$60:$BR$60,0))</f>
        <v>8.3702391496899911E-2</v>
      </c>
      <c r="C644" s="245">
        <f ca="1">+INDEX(Segment!$A$261:$BR$273,MATCH($A644,Segment!$A$261:$A$273,0),MATCH(C$638,IS!$A$60:$BR$60,0))</f>
        <v>8.7624405019472093E-2</v>
      </c>
      <c r="D644" s="245">
        <f ca="1">+INDEX(Segment!$A$261:$BR$273,MATCH($A644,Segment!$A$261:$A$273,0),MATCH(D$638,IS!$A$60:$BR$60,0))</f>
        <v>8.683473389355742E-2</v>
      </c>
      <c r="E644" s="245">
        <f ca="1">+INDEX(Segment!$A$261:$BR$273,MATCH($A644,Segment!$A$261:$A$273,0),MATCH(E$638,IS!$A$60:$BR$60,0))</f>
        <v>8.621425522833974E-2</v>
      </c>
      <c r="F644" s="91"/>
      <c r="G644" s="9"/>
      <c r="H644" s="9"/>
      <c r="I644" s="9"/>
      <c r="J644" s="9"/>
      <c r="K644" s="9"/>
      <c r="L644" s="91"/>
      <c r="M644" s="91"/>
      <c r="N644" s="91"/>
      <c r="O644" s="91"/>
      <c r="P644" s="91"/>
      <c r="Q644" s="91"/>
      <c r="R644" s="91"/>
      <c r="S644" s="91"/>
      <c r="T644" s="91"/>
      <c r="U644" s="91"/>
      <c r="V644" s="91"/>
      <c r="W644" s="91"/>
      <c r="X644" s="91"/>
      <c r="Y644" s="91"/>
      <c r="Z644" s="91"/>
      <c r="AA644" s="91"/>
      <c r="AB644" s="91"/>
      <c r="AC644" s="91"/>
      <c r="AD644" s="91"/>
      <c r="AE644" s="91"/>
      <c r="AF644" s="91"/>
      <c r="AG644" s="91"/>
      <c r="AH644" s="91"/>
      <c r="AI644" s="91"/>
      <c r="AJ644" s="91"/>
      <c r="AK644" s="91"/>
      <c r="AL644" s="91"/>
      <c r="AM644" s="91"/>
      <c r="AN644" s="91"/>
      <c r="AO644" s="91"/>
      <c r="AP644" s="91"/>
      <c r="AQ644" s="91"/>
      <c r="AR644" s="91"/>
      <c r="AS644" s="91"/>
      <c r="AT644" s="91"/>
      <c r="AU644" s="91"/>
      <c r="AV644" s="296"/>
      <c r="AW644" s="296"/>
      <c r="AX644" s="296"/>
      <c r="AY644" s="296"/>
      <c r="AZ644" s="296"/>
      <c r="BA644" s="296"/>
      <c r="BB644" s="296"/>
      <c r="BC644" s="296"/>
      <c r="BD644" s="296"/>
      <c r="BE644" s="296"/>
      <c r="BF644" s="296"/>
      <c r="BG644" s="296"/>
      <c r="BH644" s="296"/>
      <c r="BI644" s="296"/>
      <c r="BJ644" s="296"/>
      <c r="BK644" s="296"/>
      <c r="BL644" s="296"/>
      <c r="BM644" s="296"/>
      <c r="BN644" s="296"/>
      <c r="BO644" s="296"/>
      <c r="BP644" s="296"/>
      <c r="BQ644" s="296"/>
      <c r="BR644" s="296"/>
      <c r="BS644" s="296"/>
      <c r="BT644" s="296"/>
      <c r="BU644" s="296"/>
      <c r="BV644" s="296"/>
      <c r="BW644" s="296"/>
      <c r="BX644" s="296"/>
      <c r="BY644" s="296"/>
      <c r="BZ644" s="9"/>
      <c r="CA644" s="9"/>
      <c r="CB644" s="9"/>
      <c r="CC644" s="9"/>
      <c r="CD644" s="9"/>
    </row>
    <row r="645" spans="1:82">
      <c r="A645" s="36" t="s">
        <v>1012</v>
      </c>
      <c r="B645" s="245">
        <f ca="1">+INDEX(Segment!$A$261:$BR$273,MATCH($A645,Segment!$A$261:$A$273,0),MATCH(B$638,IS!$A$60:$BR$60,0))</f>
        <v>0</v>
      </c>
      <c r="C645" s="245">
        <f ca="1">+INDEX(Segment!$A$261:$BR$273,MATCH($A645,Segment!$A$261:$A$273,0),MATCH(C$638,IS!$A$60:$BR$60,0))</f>
        <v>0</v>
      </c>
      <c r="D645" s="245">
        <f ca="1">+INDEX(Segment!$A$261:$BR$273,MATCH($A645,Segment!$A$261:$A$273,0),MATCH(D$638,IS!$A$60:$BR$60,0))</f>
        <v>0</v>
      </c>
      <c r="E645" s="245">
        <f ca="1">+INDEX(Segment!$A$261:$BR$273,MATCH($A645,Segment!$A$261:$A$273,0),MATCH(E$638,IS!$A$60:$BR$60,0))</f>
        <v>5.9752454118651302E-3</v>
      </c>
      <c r="F645" s="91"/>
      <c r="G645" s="9"/>
      <c r="H645" s="9"/>
      <c r="I645" s="9"/>
      <c r="J645" s="9"/>
      <c r="K645" s="9"/>
      <c r="L645" s="91"/>
      <c r="M645" s="91"/>
      <c r="N645" s="91"/>
      <c r="O645" s="91"/>
      <c r="P645" s="91"/>
      <c r="Q645" s="91"/>
      <c r="R645" s="91"/>
      <c r="S645" s="91"/>
      <c r="T645" s="91"/>
      <c r="U645" s="91"/>
      <c r="V645" s="91"/>
      <c r="W645" s="91"/>
      <c r="X645" s="91"/>
      <c r="Y645" s="91"/>
      <c r="Z645" s="91"/>
      <c r="AA645" s="91"/>
      <c r="AB645" s="91"/>
      <c r="AC645" s="91"/>
      <c r="AD645" s="91"/>
      <c r="AE645" s="91"/>
      <c r="AF645" s="91"/>
      <c r="AG645" s="91"/>
      <c r="AH645" s="91"/>
      <c r="AI645" s="91"/>
      <c r="AJ645" s="91"/>
      <c r="AK645" s="91"/>
      <c r="AL645" s="91"/>
      <c r="AM645" s="91"/>
      <c r="AN645" s="91"/>
      <c r="AO645" s="91"/>
      <c r="AP645" s="91"/>
      <c r="AQ645" s="91"/>
      <c r="AR645" s="91"/>
      <c r="AS645" s="91"/>
      <c r="AT645" s="91"/>
      <c r="AU645" s="91"/>
      <c r="AV645" s="296"/>
      <c r="AW645" s="296"/>
      <c r="AX645" s="296"/>
      <c r="AY645" s="296"/>
      <c r="AZ645" s="296"/>
      <c r="BA645" s="296"/>
      <c r="BB645" s="296"/>
      <c r="BC645" s="296"/>
      <c r="BD645" s="296"/>
      <c r="BE645" s="296"/>
      <c r="BF645" s="296"/>
      <c r="BG645" s="296"/>
      <c r="BH645" s="296"/>
      <c r="BI645" s="296"/>
      <c r="BJ645" s="296"/>
      <c r="BK645" s="296"/>
      <c r="BL645" s="296"/>
      <c r="BM645" s="296"/>
      <c r="BN645" s="296"/>
      <c r="BO645" s="296"/>
      <c r="BP645" s="296"/>
      <c r="BQ645" s="296"/>
      <c r="BR645" s="296"/>
      <c r="BS645" s="296"/>
      <c r="BT645" s="296"/>
      <c r="BU645" s="296"/>
      <c r="BV645" s="296"/>
      <c r="BW645" s="296"/>
      <c r="BX645" s="296"/>
      <c r="BY645" s="296"/>
      <c r="BZ645" s="9"/>
      <c r="CA645" s="9"/>
      <c r="CB645" s="9"/>
      <c r="CC645" s="9"/>
      <c r="CD645" s="9"/>
    </row>
    <row r="646" spans="1:82">
      <c r="A646" s="36" t="s">
        <v>1019</v>
      </c>
      <c r="B646" s="245">
        <f ca="1">+INDEX(Segment!$A$261:$BR$273,MATCH($A646,Segment!$A$261:$A$273,0),MATCH(B$638,IS!$A$60:$BR$60,0))</f>
        <v>4.8937112488928257E-2</v>
      </c>
      <c r="C646" s="245">
        <f ca="1">+INDEX(Segment!$A$261:$BR$273,MATCH($A646,Segment!$A$261:$A$273,0),MATCH(C$638,IS!$A$60:$BR$60,0))</f>
        <v>4.7814798788403286E-2</v>
      </c>
      <c r="D646" s="245">
        <f ca="1">+INDEX(Segment!$A$261:$BR$273,MATCH($A646,Segment!$A$261:$A$273,0),MATCH(D$638,IS!$A$60:$BR$60,0))</f>
        <v>4.6541693600517131E-2</v>
      </c>
      <c r="E646" s="245">
        <f ca="1">+INDEX(Segment!$A$261:$BR$273,MATCH($A646,Segment!$A$261:$A$273,0),MATCH(E$638,IS!$A$60:$BR$60,0))</f>
        <v>4.5881348698250106E-2</v>
      </c>
      <c r="F646" s="91"/>
      <c r="G646" s="9"/>
      <c r="H646" s="9"/>
      <c r="I646" s="9"/>
      <c r="J646" s="9"/>
      <c r="K646" s="9"/>
      <c r="L646" s="91"/>
      <c r="M646" s="91"/>
      <c r="N646" s="91"/>
      <c r="O646" s="91"/>
      <c r="P646" s="91"/>
      <c r="Q646" s="91"/>
      <c r="R646" s="91"/>
      <c r="S646" s="91"/>
      <c r="T646" s="91"/>
      <c r="U646" s="91"/>
      <c r="V646" s="91"/>
      <c r="W646" s="91"/>
      <c r="X646" s="91"/>
      <c r="Y646" s="91"/>
      <c r="Z646" s="91"/>
      <c r="AA646" s="91"/>
      <c r="AB646" s="91"/>
      <c r="AC646" s="91"/>
      <c r="AD646" s="91"/>
      <c r="AE646" s="91"/>
      <c r="AF646" s="91"/>
      <c r="AG646" s="91"/>
      <c r="AH646" s="91"/>
      <c r="AI646" s="91"/>
      <c r="AJ646" s="91"/>
      <c r="AK646" s="91"/>
      <c r="AL646" s="91"/>
      <c r="AM646" s="91"/>
      <c r="AN646" s="91"/>
      <c r="AO646" s="91"/>
      <c r="AP646" s="91"/>
      <c r="AQ646" s="91"/>
      <c r="AR646" s="91"/>
      <c r="AS646" s="91"/>
      <c r="AT646" s="91"/>
      <c r="AU646" s="91"/>
      <c r="AV646" s="296"/>
      <c r="AW646" s="296"/>
      <c r="AX646" s="296"/>
      <c r="AY646" s="296"/>
      <c r="AZ646" s="296"/>
      <c r="BA646" s="296"/>
      <c r="BB646" s="296"/>
      <c r="BC646" s="296"/>
      <c r="BD646" s="296"/>
      <c r="BE646" s="296"/>
      <c r="BF646" s="296"/>
      <c r="BG646" s="296"/>
      <c r="BH646" s="296"/>
      <c r="BI646" s="296"/>
      <c r="BJ646" s="296"/>
      <c r="BK646" s="296"/>
      <c r="BL646" s="296"/>
      <c r="BM646" s="296"/>
      <c r="BN646" s="296"/>
      <c r="BO646" s="296"/>
      <c r="BP646" s="296"/>
      <c r="BQ646" s="296"/>
      <c r="BR646" s="296"/>
      <c r="BS646" s="296"/>
      <c r="BT646" s="296"/>
      <c r="BU646" s="296"/>
      <c r="BV646" s="296"/>
      <c r="BW646" s="296"/>
      <c r="BX646" s="296"/>
      <c r="BY646" s="296"/>
      <c r="BZ646" s="9"/>
      <c r="CA646" s="9"/>
      <c r="CB646" s="9"/>
      <c r="CC646" s="9"/>
      <c r="CD646" s="9"/>
    </row>
    <row r="647" spans="1:82">
      <c r="A647" s="36" t="s">
        <v>1016</v>
      </c>
      <c r="B647" s="245">
        <f ca="1">+INDEX(Segment!$A$261:$BR$273,MATCH($A647,Segment!$A$261:$A$273,0),MATCH(B$638,IS!$A$60:$BR$60,0))</f>
        <v>6.4216120460584584E-3</v>
      </c>
      <c r="C647" s="245">
        <f ca="1">+INDEX(Segment!$A$261:$BR$273,MATCH($A647,Segment!$A$261:$A$273,0),MATCH(C$638,IS!$A$60:$BR$60,0))</f>
        <v>6.2743401125054093E-3</v>
      </c>
      <c r="D647" s="245">
        <f ca="1">+INDEX(Segment!$A$261:$BR$273,MATCH($A647,Segment!$A$261:$A$273,0),MATCH(D$638,IS!$A$60:$BR$60,0))</f>
        <v>6.2486533074768372E-3</v>
      </c>
      <c r="E647" s="245">
        <f ca="1">+INDEX(Segment!$A$261:$BR$273,MATCH($A647,Segment!$A$261:$A$273,0),MATCH(E$638,IS!$A$60:$BR$60,0))</f>
        <v>5.9752454118651302E-3</v>
      </c>
      <c r="F647" s="91"/>
      <c r="G647" s="9"/>
      <c r="H647" s="9"/>
      <c r="I647" s="9"/>
      <c r="J647" s="9"/>
      <c r="K647" s="9"/>
      <c r="L647" s="91"/>
      <c r="M647" s="91"/>
      <c r="N647" s="91"/>
      <c r="O647" s="91"/>
      <c r="P647" s="91"/>
      <c r="Q647" s="91"/>
      <c r="R647" s="91"/>
      <c r="S647" s="91"/>
      <c r="T647" s="91"/>
      <c r="U647" s="91"/>
      <c r="V647" s="91"/>
      <c r="W647" s="91"/>
      <c r="X647" s="91"/>
      <c r="Y647" s="91"/>
      <c r="Z647" s="91"/>
      <c r="AA647" s="91"/>
      <c r="AB647" s="91"/>
      <c r="AC647" s="91"/>
      <c r="AD647" s="91"/>
      <c r="AE647" s="91"/>
      <c r="AF647" s="91"/>
      <c r="AG647" s="91"/>
      <c r="AH647" s="91"/>
      <c r="AI647" s="91"/>
      <c r="AJ647" s="91"/>
      <c r="AK647" s="91"/>
      <c r="AL647" s="91"/>
      <c r="AM647" s="91"/>
      <c r="AN647" s="91"/>
      <c r="AO647" s="91"/>
      <c r="AP647" s="91"/>
      <c r="AQ647" s="91"/>
      <c r="AR647" s="91"/>
      <c r="AS647" s="91"/>
      <c r="AT647" s="91"/>
      <c r="AU647" s="91"/>
      <c r="AV647" s="296"/>
      <c r="AW647" s="296"/>
      <c r="AX647" s="296"/>
      <c r="AY647" s="296"/>
      <c r="AZ647" s="296"/>
      <c r="BA647" s="296"/>
      <c r="BB647" s="296"/>
      <c r="BC647" s="296"/>
      <c r="BD647" s="296"/>
      <c r="BE647" s="296"/>
      <c r="BF647" s="296"/>
      <c r="BG647" s="296"/>
      <c r="BH647" s="296"/>
      <c r="BI647" s="296"/>
      <c r="BJ647" s="296"/>
      <c r="BK647" s="296"/>
      <c r="BL647" s="296"/>
      <c r="BM647" s="296"/>
      <c r="BN647" s="296"/>
      <c r="BO647" s="296"/>
      <c r="BP647" s="296"/>
      <c r="BQ647" s="296"/>
      <c r="BR647" s="296"/>
      <c r="BS647" s="296"/>
      <c r="BT647" s="296"/>
      <c r="BU647" s="296"/>
      <c r="BV647" s="296"/>
      <c r="BW647" s="296"/>
      <c r="BX647" s="296"/>
      <c r="BY647" s="296"/>
      <c r="BZ647" s="9"/>
      <c r="CA647" s="9"/>
      <c r="CB647" s="9"/>
      <c r="CC647" s="9"/>
      <c r="CD647" s="9"/>
    </row>
    <row r="648" spans="1:82">
      <c r="A648" s="36" t="s">
        <v>1015</v>
      </c>
      <c r="B648" s="245">
        <f ca="1">+INDEX(Segment!$A$261:$BR$273,MATCH($A648,Segment!$A$261:$A$273,0),MATCH(B$638,IS!$A$60:$BR$60,0))</f>
        <v>6.6430469441984053E-4</v>
      </c>
      <c r="C648" s="245">
        <f ca="1">+INDEX(Segment!$A$261:$BR$273,MATCH($A648,Segment!$A$261:$A$273,0),MATCH(C$638,IS!$A$60:$BR$60,0))</f>
        <v>6.490696668109044E-4</v>
      </c>
      <c r="D648" s="245">
        <f ca="1">+INDEX(Segment!$A$261:$BR$273,MATCH($A648,Segment!$A$261:$A$273,0),MATCH(D$638,IS!$A$60:$BR$60,0))</f>
        <v>6.4641241111829345E-4</v>
      </c>
      <c r="E648" s="245">
        <f ca="1">+INDEX(Segment!$A$261:$BR$273,MATCH($A648,Segment!$A$261:$A$273,0),MATCH(E$638,IS!$A$60:$BR$60,0))</f>
        <v>6.4020486555697821E-4</v>
      </c>
      <c r="F648" s="91"/>
      <c r="G648" s="9"/>
      <c r="H648" s="9"/>
      <c r="I648" s="9"/>
      <c r="J648" s="9"/>
      <c r="K648" s="9"/>
      <c r="L648" s="91"/>
      <c r="M648" s="91"/>
      <c r="N648" s="91"/>
      <c r="O648" s="91"/>
      <c r="P648" s="91"/>
      <c r="Q648" s="91"/>
      <c r="R648" s="91"/>
      <c r="S648" s="91"/>
      <c r="T648" s="91"/>
      <c r="U648" s="91"/>
      <c r="V648" s="91"/>
      <c r="W648" s="91"/>
      <c r="X648" s="91"/>
      <c r="Y648" s="91"/>
      <c r="Z648" s="91"/>
      <c r="AA648" s="91"/>
      <c r="AB648" s="91"/>
      <c r="AC648" s="91"/>
      <c r="AD648" s="91"/>
      <c r="AE648" s="91"/>
      <c r="AF648" s="91"/>
      <c r="AG648" s="91"/>
      <c r="AH648" s="91"/>
      <c r="AI648" s="91"/>
      <c r="AJ648" s="91"/>
      <c r="AK648" s="91"/>
      <c r="AL648" s="91"/>
      <c r="AM648" s="91"/>
      <c r="AN648" s="91"/>
      <c r="AO648" s="91"/>
      <c r="AP648" s="91"/>
      <c r="AQ648" s="91"/>
      <c r="AR648" s="91"/>
      <c r="AS648" s="91"/>
      <c r="AT648" s="91"/>
      <c r="AU648" s="91"/>
      <c r="AV648" s="296"/>
      <c r="AW648" s="296"/>
      <c r="AX648" s="296"/>
      <c r="AY648" s="296"/>
      <c r="AZ648" s="296"/>
      <c r="BA648" s="296"/>
      <c r="BB648" s="296"/>
      <c r="BC648" s="296"/>
      <c r="BD648" s="296"/>
      <c r="BE648" s="296"/>
      <c r="BF648" s="296"/>
      <c r="BG648" s="296"/>
      <c r="BH648" s="296"/>
      <c r="BI648" s="296"/>
      <c r="BJ648" s="296"/>
      <c r="BK648" s="296"/>
      <c r="BL648" s="296"/>
      <c r="BM648" s="296"/>
      <c r="BN648" s="296"/>
      <c r="BO648" s="296"/>
      <c r="BP648" s="296"/>
      <c r="BQ648" s="296"/>
      <c r="BR648" s="296"/>
      <c r="BS648" s="296"/>
      <c r="BT648" s="296"/>
      <c r="BU648" s="296"/>
      <c r="BV648" s="296"/>
      <c r="BW648" s="296"/>
      <c r="BX648" s="296"/>
      <c r="BY648" s="296"/>
      <c r="BZ648" s="9"/>
      <c r="CA648" s="9"/>
      <c r="CB648" s="9"/>
      <c r="CC648" s="9"/>
      <c r="CD648" s="9"/>
    </row>
    <row r="649" spans="1:82">
      <c r="A649" s="36" t="s">
        <v>1017</v>
      </c>
      <c r="B649" s="245">
        <f ca="1">+INDEX(Segment!$A$261:$BR$273,MATCH($A649,Segment!$A$261:$A$273,0),MATCH(B$638,IS!$A$60:$BR$60,0))</f>
        <v>0</v>
      </c>
      <c r="C649" s="245">
        <f ca="1">+INDEX(Segment!$A$261:$BR$273,MATCH($A649,Segment!$A$261:$A$273,0),MATCH(C$638,IS!$A$60:$BR$60,0))</f>
        <v>0</v>
      </c>
      <c r="D649" s="245">
        <f ca="1">+INDEX(Segment!$A$261:$BR$273,MATCH($A649,Segment!$A$261:$A$273,0),MATCH(D$638,IS!$A$60:$BR$60,0))</f>
        <v>0</v>
      </c>
      <c r="E649" s="245">
        <f ca="1">+INDEX(Segment!$A$261:$BR$273,MATCH($A649,Segment!$A$261:$A$273,0),MATCH(E$638,IS!$A$60:$BR$60,0))</f>
        <v>0</v>
      </c>
      <c r="F649" s="91"/>
      <c r="G649" s="9"/>
      <c r="H649" s="9"/>
      <c r="I649" s="9"/>
      <c r="J649" s="9"/>
      <c r="K649" s="9"/>
      <c r="L649" s="91"/>
      <c r="M649" s="91"/>
      <c r="N649" s="91"/>
      <c r="O649" s="91"/>
      <c r="P649" s="91"/>
      <c r="Q649" s="91"/>
      <c r="R649" s="91"/>
      <c r="S649" s="91"/>
      <c r="T649" s="91"/>
      <c r="U649" s="91"/>
      <c r="V649" s="91"/>
      <c r="W649" s="91"/>
      <c r="X649" s="91"/>
      <c r="Y649" s="91"/>
      <c r="Z649" s="91"/>
      <c r="AA649" s="91"/>
      <c r="AB649" s="91"/>
      <c r="AC649" s="91"/>
      <c r="AD649" s="91"/>
      <c r="AE649" s="91"/>
      <c r="AF649" s="91"/>
      <c r="AG649" s="91"/>
      <c r="AH649" s="91"/>
      <c r="AI649" s="91"/>
      <c r="AJ649" s="91"/>
      <c r="AK649" s="91"/>
      <c r="AL649" s="91"/>
      <c r="AM649" s="91"/>
      <c r="AN649" s="91"/>
      <c r="AO649" s="91"/>
      <c r="AP649" s="91"/>
      <c r="AQ649" s="91"/>
      <c r="AR649" s="91"/>
      <c r="AS649" s="91"/>
      <c r="AT649" s="91"/>
      <c r="AU649" s="91"/>
      <c r="AV649" s="296"/>
      <c r="AW649" s="296"/>
      <c r="AX649" s="296"/>
      <c r="AY649" s="296"/>
      <c r="AZ649" s="296"/>
      <c r="BA649" s="296"/>
      <c r="BB649" s="296"/>
      <c r="BC649" s="296"/>
      <c r="BD649" s="296"/>
      <c r="BE649" s="296"/>
      <c r="BF649" s="296"/>
      <c r="BG649" s="296"/>
      <c r="BH649" s="296"/>
      <c r="BI649" s="296"/>
      <c r="BJ649" s="296"/>
      <c r="BK649" s="296"/>
      <c r="BL649" s="296"/>
      <c r="BM649" s="296"/>
      <c r="BN649" s="296"/>
      <c r="BO649" s="296"/>
      <c r="BP649" s="296"/>
      <c r="BQ649" s="296"/>
      <c r="BR649" s="296"/>
      <c r="BS649" s="296"/>
      <c r="BT649" s="296"/>
      <c r="BU649" s="296"/>
      <c r="BV649" s="296"/>
      <c r="BW649" s="296"/>
      <c r="BX649" s="296"/>
      <c r="BY649" s="296"/>
      <c r="BZ649" s="9"/>
      <c r="CA649" s="9"/>
      <c r="CB649" s="9"/>
      <c r="CC649" s="9"/>
      <c r="CD649" s="9"/>
    </row>
    <row r="650" spans="1:82">
      <c r="A650" s="36" t="s">
        <v>1120</v>
      </c>
      <c r="B650" s="245">
        <f ca="1">+INDEX(Segment!$A$261:$BR$273,MATCH($A650,Segment!$A$261:$A$273,0),MATCH(B$638,IS!$A$60:$BR$60,0))</f>
        <v>2.6572187776793623E-2</v>
      </c>
      <c r="C650" s="245">
        <f ca="1">+INDEX(Segment!$A$261:$BR$273,MATCH($A650,Segment!$A$261:$A$273,0),MATCH(C$638,IS!$A$60:$BR$60,0))</f>
        <v>2.5962786672436174E-2</v>
      </c>
      <c r="D650" s="245">
        <f ca="1">+INDEX(Segment!$A$261:$BR$273,MATCH($A650,Segment!$A$261:$A$273,0),MATCH(D$638,IS!$A$60:$BR$60,0))</f>
        <v>2.5856496444731737E-2</v>
      </c>
      <c r="E650" s="245">
        <f ca="1">+INDEX(Segment!$A$261:$BR$273,MATCH($A650,Segment!$A$261:$A$273,0),MATCH(E$638,IS!$A$60:$BR$60,0))</f>
        <v>2.5181391378574478E-2</v>
      </c>
      <c r="F650" s="91"/>
      <c r="G650" s="9"/>
      <c r="H650" s="9"/>
      <c r="I650" s="9"/>
      <c r="J650" s="9"/>
      <c r="K650" s="9"/>
      <c r="L650" s="91"/>
      <c r="M650" s="91"/>
      <c r="N650" s="91"/>
      <c r="O650" s="91"/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  <c r="AA650" s="91"/>
      <c r="AB650" s="91"/>
      <c r="AC650" s="91"/>
      <c r="AD650" s="91"/>
      <c r="AE650" s="91"/>
      <c r="AF650" s="91"/>
      <c r="AG650" s="91"/>
      <c r="AH650" s="91"/>
      <c r="AI650" s="91"/>
      <c r="AJ650" s="91"/>
      <c r="AK650" s="91"/>
      <c r="AL650" s="91"/>
      <c r="AM650" s="91"/>
      <c r="AN650" s="91"/>
      <c r="AO650" s="91"/>
      <c r="AP650" s="91"/>
      <c r="AQ650" s="91"/>
      <c r="AR650" s="91"/>
      <c r="AS650" s="91"/>
      <c r="AT650" s="91"/>
      <c r="AU650" s="91"/>
      <c r="AV650" s="296"/>
      <c r="AW650" s="296"/>
      <c r="AX650" s="296"/>
      <c r="AY650" s="296"/>
      <c r="AZ650" s="296"/>
      <c r="BA650" s="296"/>
      <c r="BB650" s="296"/>
      <c r="BC650" s="296"/>
      <c r="BD650" s="296"/>
      <c r="BE650" s="296"/>
      <c r="BF650" s="296"/>
      <c r="BG650" s="296"/>
      <c r="BH650" s="296"/>
      <c r="BI650" s="296"/>
      <c r="BJ650" s="296"/>
      <c r="BK650" s="296"/>
      <c r="BL650" s="296"/>
      <c r="BM650" s="296"/>
      <c r="BN650" s="296"/>
      <c r="BO650" s="296"/>
      <c r="BP650" s="296"/>
      <c r="BQ650" s="296"/>
      <c r="BR650" s="296"/>
      <c r="BS650" s="296"/>
      <c r="BT650" s="296"/>
      <c r="BU650" s="296"/>
      <c r="BV650" s="296"/>
      <c r="BW650" s="296"/>
      <c r="BX650" s="296"/>
      <c r="BY650" s="296"/>
      <c r="BZ650" s="9"/>
      <c r="CA650" s="9"/>
      <c r="CB650" s="9"/>
      <c r="CC650" s="9"/>
      <c r="CD650" s="9"/>
    </row>
    <row r="651" spans="1:82">
      <c r="A651" s="36" t="s">
        <v>331</v>
      </c>
      <c r="B651" s="245">
        <f ca="1">+INDEX(Segment!$A$261:$BR$273,MATCH($A651,Segment!$A$261:$A$273,0),MATCH(B$638,IS!$A$60:$BR$60,0))</f>
        <v>1.7050487156775908E-2</v>
      </c>
      <c r="C651" s="245">
        <f ca="1">+INDEX(Segment!$A$261:$BR$273,MATCH($A651,Segment!$A$261:$A$273,0),MATCH(C$638,IS!$A$60:$BR$60,0))</f>
        <v>1.1466897446992644E-2</v>
      </c>
      <c r="D651" s="245">
        <f ca="1">+INDEX(Segment!$A$261:$BR$273,MATCH($A651,Segment!$A$261:$A$273,0),MATCH(D$638,IS!$A$60:$BR$60,0))</f>
        <v>1.1635423400129283E-2</v>
      </c>
      <c r="E651" s="245">
        <f ca="1">+INDEX(Segment!$A$261:$BR$273,MATCH($A651,Segment!$A$261:$A$273,0),MATCH(E$638,IS!$A$60:$BR$60,0))</f>
        <v>5.5484421681604784E-3</v>
      </c>
      <c r="F651" s="91"/>
      <c r="G651" s="9"/>
      <c r="H651" s="9"/>
      <c r="I651" s="9"/>
      <c r="J651" s="9"/>
      <c r="K651" s="9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  <c r="AA651" s="91"/>
      <c r="AB651" s="91"/>
      <c r="AC651" s="91"/>
      <c r="AD651" s="91"/>
      <c r="AE651" s="91"/>
      <c r="AF651" s="91"/>
      <c r="AG651" s="91"/>
      <c r="AH651" s="91"/>
      <c r="AI651" s="91"/>
      <c r="AJ651" s="91"/>
      <c r="AK651" s="91"/>
      <c r="AL651" s="91"/>
      <c r="AM651" s="91"/>
      <c r="AN651" s="91"/>
      <c r="AO651" s="91"/>
      <c r="AP651" s="91"/>
      <c r="AQ651" s="91"/>
      <c r="AR651" s="91"/>
      <c r="AS651" s="91"/>
      <c r="AT651" s="91"/>
      <c r="AU651" s="91"/>
      <c r="AV651" s="296"/>
      <c r="AW651" s="296"/>
      <c r="AX651" s="296"/>
      <c r="AY651" s="296"/>
      <c r="AZ651" s="296"/>
      <c r="BA651" s="296"/>
      <c r="BB651" s="296"/>
      <c r="BC651" s="296"/>
      <c r="BD651" s="296"/>
      <c r="BE651" s="296"/>
      <c r="BF651" s="296"/>
      <c r="BG651" s="296"/>
      <c r="BH651" s="296"/>
      <c r="BI651" s="296"/>
      <c r="BJ651" s="296"/>
      <c r="BK651" s="296"/>
      <c r="BL651" s="296"/>
      <c r="BM651" s="296"/>
      <c r="BN651" s="296"/>
      <c r="BO651" s="296"/>
      <c r="BP651" s="296"/>
      <c r="BQ651" s="296"/>
      <c r="BR651" s="296"/>
      <c r="BS651" s="296"/>
      <c r="BT651" s="296"/>
      <c r="BU651" s="296"/>
      <c r="BV651" s="296"/>
      <c r="BW651" s="296"/>
      <c r="BX651" s="296"/>
      <c r="BY651" s="296"/>
      <c r="BZ651" s="9"/>
      <c r="CA651" s="9"/>
      <c r="CB651" s="9"/>
      <c r="CC651" s="9"/>
      <c r="CD651" s="9"/>
    </row>
    <row r="652" spans="1:82">
      <c r="A652" s="513" t="s">
        <v>325</v>
      </c>
      <c r="B652" s="1086">
        <f ca="1">SUM(B639:B651)</f>
        <v>1</v>
      </c>
      <c r="C652" s="1086">
        <f ca="1">SUM(C639:C651)</f>
        <v>1</v>
      </c>
      <c r="D652" s="1086">
        <f ca="1">SUM(D639:D651)</f>
        <v>1.0000000000000002</v>
      </c>
      <c r="E652" s="1086">
        <f ca="1">SUM(E639:E651)</f>
        <v>0.99999999999999989</v>
      </c>
      <c r="F652" s="91"/>
      <c r="G652" s="9"/>
      <c r="H652" s="9"/>
      <c r="I652" s="9"/>
      <c r="J652" s="9"/>
      <c r="K652" s="9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  <c r="AA652" s="91"/>
      <c r="AB652" s="91"/>
      <c r="AC652" s="91"/>
      <c r="AD652" s="91"/>
      <c r="AE652" s="91"/>
      <c r="AF652" s="91"/>
      <c r="AG652" s="91"/>
      <c r="AH652" s="91"/>
      <c r="AI652" s="91"/>
      <c r="AJ652" s="91"/>
      <c r="AK652" s="91"/>
      <c r="AL652" s="91"/>
      <c r="AM652" s="91"/>
      <c r="AN652" s="91"/>
      <c r="AO652" s="91"/>
      <c r="AP652" s="91"/>
      <c r="AQ652" s="91"/>
      <c r="AR652" s="91"/>
      <c r="AS652" s="91"/>
      <c r="AT652" s="91"/>
      <c r="AU652" s="91"/>
      <c r="AV652" s="296"/>
      <c r="AW652" s="296"/>
      <c r="AX652" s="296"/>
      <c r="AY652" s="296"/>
      <c r="AZ652" s="296"/>
      <c r="BA652" s="296"/>
      <c r="BB652" s="296"/>
      <c r="BC652" s="296"/>
      <c r="BD652" s="296"/>
      <c r="BE652" s="296"/>
      <c r="BF652" s="296"/>
      <c r="BG652" s="296"/>
      <c r="BH652" s="296"/>
      <c r="BI652" s="296"/>
      <c r="BJ652" s="296"/>
      <c r="BK652" s="296"/>
      <c r="BL652" s="296"/>
      <c r="BM652" s="296"/>
      <c r="BN652" s="296"/>
      <c r="BO652" s="296"/>
      <c r="BP652" s="296"/>
      <c r="BQ652" s="296"/>
      <c r="BR652" s="296"/>
      <c r="BS652" s="296"/>
      <c r="BT652" s="296"/>
      <c r="BU652" s="296"/>
      <c r="BV652" s="296"/>
      <c r="BW652" s="296"/>
      <c r="BX652" s="296"/>
      <c r="BY652" s="296"/>
      <c r="BZ652" s="9"/>
      <c r="CA652" s="9"/>
      <c r="CB652" s="9"/>
      <c r="CC652" s="9"/>
      <c r="CD652" s="9"/>
    </row>
    <row r="653" spans="1:82">
      <c r="A653" s="513"/>
      <c r="B653" s="1089"/>
      <c r="C653" s="1089"/>
      <c r="D653" s="1089"/>
      <c r="E653" s="1089"/>
      <c r="F653" s="91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  <c r="R653" s="91"/>
      <c r="S653" s="91"/>
      <c r="T653" s="91"/>
      <c r="U653" s="91"/>
      <c r="V653" s="91"/>
      <c r="W653" s="91"/>
      <c r="X653" s="91"/>
      <c r="Y653" s="91"/>
      <c r="Z653" s="91"/>
      <c r="AA653" s="91"/>
      <c r="AB653" s="91"/>
      <c r="AC653" s="91"/>
      <c r="AD653" s="91"/>
      <c r="AE653" s="91"/>
      <c r="AF653" s="91"/>
      <c r="AG653" s="91"/>
      <c r="AH653" s="91"/>
      <c r="AI653" s="91"/>
      <c r="AJ653" s="91"/>
      <c r="AK653" s="91"/>
      <c r="AL653" s="91"/>
      <c r="AM653" s="91"/>
      <c r="AN653" s="91"/>
      <c r="AO653" s="91"/>
      <c r="AP653" s="91"/>
      <c r="AQ653" s="91"/>
      <c r="AR653" s="91"/>
      <c r="AS653" s="91"/>
      <c r="AT653" s="91"/>
      <c r="AU653" s="91"/>
      <c r="AV653" s="296"/>
      <c r="AW653" s="296"/>
      <c r="AX653" s="296"/>
      <c r="AY653" s="296"/>
      <c r="AZ653" s="296"/>
      <c r="BA653" s="296"/>
      <c r="BB653" s="296"/>
      <c r="BC653" s="296"/>
      <c r="BD653" s="296"/>
      <c r="BE653" s="296"/>
      <c r="BF653" s="296"/>
      <c r="BG653" s="296"/>
      <c r="BH653" s="296"/>
      <c r="BI653" s="296"/>
      <c r="BJ653" s="296"/>
      <c r="BK653" s="296"/>
      <c r="BL653" s="296"/>
      <c r="BM653" s="296"/>
      <c r="BN653" s="296"/>
      <c r="BO653" s="296"/>
      <c r="BP653" s="296"/>
      <c r="BQ653" s="296"/>
      <c r="BR653" s="296"/>
      <c r="BS653" s="296"/>
      <c r="BT653" s="296"/>
      <c r="BU653" s="296"/>
      <c r="BV653" s="296"/>
      <c r="BW653" s="296"/>
      <c r="BX653" s="296"/>
      <c r="BY653" s="296"/>
      <c r="BZ653" s="9"/>
      <c r="CA653" s="9"/>
      <c r="CB653" s="9"/>
      <c r="CC653" s="9"/>
      <c r="CD653" s="9"/>
    </row>
    <row r="654" spans="1:82">
      <c r="A654" s="239" t="s">
        <v>1045</v>
      </c>
      <c r="B654" s="1085"/>
      <c r="C654" s="1085"/>
      <c r="D654" s="1085"/>
      <c r="E654" s="1085"/>
      <c r="F654" s="1085"/>
      <c r="G654" s="1085"/>
      <c r="H654" s="1085"/>
      <c r="I654" s="1085"/>
      <c r="J654" s="1085"/>
      <c r="K654" s="1085"/>
      <c r="L654" s="1085"/>
      <c r="M654" s="1085"/>
      <c r="N654" s="1085"/>
      <c r="O654" s="1085"/>
      <c r="P654" s="1085"/>
      <c r="Q654" s="1085"/>
      <c r="R654" s="1085"/>
      <c r="S654" s="1085"/>
      <c r="T654" s="1085"/>
      <c r="U654" s="1085"/>
      <c r="V654" s="1085"/>
      <c r="W654" s="1085"/>
      <c r="X654" s="1085"/>
      <c r="Y654" s="1085"/>
      <c r="Z654" s="1085"/>
      <c r="AA654" s="1085"/>
      <c r="AB654" s="1085"/>
      <c r="AC654" s="1085"/>
      <c r="AD654" s="1085"/>
      <c r="AE654" s="1085"/>
      <c r="AF654" s="1085"/>
      <c r="AG654" s="1085"/>
      <c r="AH654" s="1085"/>
      <c r="AI654" s="1085"/>
      <c r="AJ654" s="1085"/>
      <c r="AK654" s="1085"/>
      <c r="AL654" s="1085"/>
      <c r="AM654" s="1085"/>
      <c r="AN654" s="1085"/>
      <c r="AO654" s="1085"/>
      <c r="AP654" s="1085"/>
      <c r="AQ654" s="1085"/>
      <c r="AR654" s="1085"/>
      <c r="AS654" s="1085"/>
      <c r="AT654" s="1085"/>
      <c r="AU654" s="1085"/>
      <c r="AV654" s="1085"/>
      <c r="AW654" s="1085"/>
      <c r="AX654" s="1085"/>
      <c r="AY654" s="1085"/>
      <c r="AZ654" s="1085"/>
      <c r="BA654" s="1085"/>
      <c r="BB654" s="1085"/>
      <c r="BC654" s="1085"/>
      <c r="BD654" s="1085"/>
      <c r="BE654" s="1085"/>
      <c r="BF654" s="1085"/>
      <c r="BG654" s="1085"/>
      <c r="BH654" s="1085"/>
      <c r="BI654" s="1085"/>
      <c r="BJ654" s="1085"/>
      <c r="BK654" s="1085"/>
      <c r="BL654" s="1085"/>
      <c r="BM654" s="1085"/>
      <c r="BN654" s="1085"/>
      <c r="BO654" s="1085"/>
      <c r="BP654" s="1085"/>
      <c r="BQ654" s="1085"/>
      <c r="BR654" s="1085"/>
      <c r="BS654" s="1085"/>
      <c r="BT654" s="1085"/>
      <c r="BU654" s="1085"/>
      <c r="BV654" s="1085"/>
      <c r="BW654" s="1085"/>
      <c r="BX654" s="1085"/>
      <c r="BY654" s="1085"/>
      <c r="BZ654" s="1085"/>
      <c r="CA654" s="1085"/>
      <c r="CB654" s="1085"/>
      <c r="CC654" s="1085"/>
      <c r="CD654" s="1085"/>
    </row>
    <row r="655" spans="1:82">
      <c r="A655" s="242" t="s">
        <v>1020</v>
      </c>
      <c r="B655" s="595" t="str">
        <f ca="1">Charts_Support!B663</f>
        <v>3Q23</v>
      </c>
      <c r="C655" s="595" t="str">
        <f ca="1">Charts_Support!C663</f>
        <v>4Q23</v>
      </c>
      <c r="D655" s="595" t="str">
        <f ca="1">Charts_Support!D663</f>
        <v>1Q24</v>
      </c>
      <c r="E655" s="595" t="str">
        <f ca="1">Charts_Support!E663</f>
        <v>2Q24</v>
      </c>
      <c r="F655" s="91"/>
      <c r="G655" s="242" t="s">
        <v>1050</v>
      </c>
      <c r="H655" s="595" t="str">
        <f ca="1">Charts_Support!B663</f>
        <v>3Q23</v>
      </c>
      <c r="I655" s="595" t="str">
        <f ca="1">Charts_Support!C663</f>
        <v>4Q23</v>
      </c>
      <c r="J655" s="595" t="str">
        <f ca="1">Charts_Support!D663</f>
        <v>1Q24</v>
      </c>
      <c r="K655" s="595" t="str">
        <f ca="1">Charts_Support!E663</f>
        <v>2Q24</v>
      </c>
      <c r="L655" s="91"/>
      <c r="M655" s="91"/>
      <c r="N655" s="91"/>
      <c r="O655" s="91"/>
      <c r="P655" s="91"/>
      <c r="Q655" s="91"/>
      <c r="R655" s="91"/>
      <c r="S655" s="91"/>
      <c r="T655" s="91"/>
      <c r="U655" s="91"/>
      <c r="V655" s="91"/>
      <c r="W655" s="91"/>
      <c r="X655" s="91"/>
      <c r="Y655" s="91"/>
      <c r="Z655" s="91"/>
      <c r="AA655" s="91"/>
      <c r="AB655" s="91"/>
      <c r="AC655" s="91"/>
      <c r="AD655" s="91"/>
      <c r="AE655" s="91"/>
      <c r="AF655" s="91"/>
      <c r="AG655" s="91"/>
      <c r="AH655" s="91"/>
      <c r="AI655" s="91"/>
      <c r="AJ655" s="91"/>
      <c r="AK655" s="91"/>
      <c r="AL655" s="91"/>
      <c r="AM655" s="91"/>
      <c r="AN655" s="91"/>
      <c r="AO655" s="91"/>
      <c r="AP655" s="91"/>
      <c r="AQ655" s="91"/>
      <c r="AR655" s="91"/>
      <c r="AS655" s="91"/>
      <c r="AT655" s="91"/>
      <c r="AU655" s="91"/>
      <c r="AV655" s="296"/>
      <c r="AW655" s="296"/>
      <c r="AX655" s="296"/>
      <c r="AY655" s="296"/>
      <c r="AZ655" s="296"/>
      <c r="BA655" s="296"/>
      <c r="BB655" s="296"/>
      <c r="BC655" s="296"/>
      <c r="BD655" s="296"/>
      <c r="BE655" s="296"/>
      <c r="BF655" s="296"/>
      <c r="BG655" s="296"/>
      <c r="BH655" s="296"/>
      <c r="BI655" s="296"/>
      <c r="BJ655" s="296"/>
      <c r="BK655" s="296"/>
      <c r="BL655" s="296"/>
      <c r="BM655" s="296"/>
      <c r="BN655" s="296"/>
      <c r="BO655" s="296"/>
      <c r="BP655" s="296"/>
      <c r="BQ655" s="296"/>
      <c r="BR655" s="296"/>
      <c r="BS655" s="296"/>
      <c r="BT655" s="296"/>
      <c r="BU655" s="296"/>
      <c r="BV655" s="296"/>
      <c r="BW655" s="296"/>
      <c r="BX655" s="296"/>
      <c r="BY655" s="296"/>
      <c r="BZ655" s="9"/>
      <c r="CA655" s="9"/>
      <c r="CB655" s="9"/>
      <c r="CC655" s="9"/>
      <c r="CD655" s="9"/>
    </row>
    <row r="656" spans="1:82" ht="15">
      <c r="A656" s="36" t="s">
        <v>735</v>
      </c>
      <c r="B656" s="245">
        <f ca="1">+INDEX(Segment!$A$427:$BR$431,MATCH($A656,Segment!$A$427:$A$431,0),MATCH(Charts_Support!B$663,IS!$A$60:$BR$60,0))</f>
        <v>0.31</v>
      </c>
      <c r="C656" s="245">
        <f ca="1">+INDEX(Segment!$A$427:$BR$431,MATCH($A656,Segment!$A$427:$A$431,0),MATCH(Charts_Support!C$663,IS!$A$60:$BR$60,0))</f>
        <v>0.3</v>
      </c>
      <c r="D656" s="245">
        <f ca="1">+INDEX(Segment!$A$427:$BR$431,MATCH($A656,Segment!$A$427:$A$431,0),MATCH(Charts_Support!D$663,IS!$A$60:$BR$60,0))</f>
        <v>0.3</v>
      </c>
      <c r="E656" s="245">
        <f ca="1">+INDEX(Segment!$A$427:$BR$431,MATCH($A656,Segment!$A$427:$A$431,0),MATCH(Charts_Support!E$663,IS!$A$60:$BR$60,0))</f>
        <v>0.3</v>
      </c>
      <c r="F656" s="91"/>
      <c r="G656" s="1070"/>
      <c r="H656" s="9"/>
      <c r="I656" s="9"/>
      <c r="J656" s="9"/>
      <c r="K656" s="9"/>
      <c r="L656" s="91"/>
      <c r="M656" s="91"/>
      <c r="N656" s="91"/>
      <c r="O656" s="91"/>
      <c r="P656" s="91"/>
      <c r="Q656" s="91"/>
      <c r="R656" s="91"/>
      <c r="S656" s="91"/>
      <c r="T656" s="91"/>
      <c r="U656" s="91"/>
      <c r="V656" s="91"/>
      <c r="W656" s="91"/>
      <c r="X656" s="91"/>
      <c r="Y656" s="91"/>
      <c r="Z656" s="91"/>
      <c r="AA656" s="91"/>
      <c r="AB656" s="91"/>
      <c r="AC656" s="91"/>
      <c r="AD656" s="91"/>
      <c r="AE656" s="91"/>
      <c r="AF656" s="91"/>
      <c r="AG656" s="91"/>
      <c r="AH656" s="91"/>
      <c r="AI656" s="91"/>
      <c r="AJ656" s="91"/>
      <c r="AK656" s="91"/>
      <c r="AL656" s="91"/>
      <c r="AM656" s="91"/>
      <c r="AN656" s="91"/>
      <c r="AO656" s="91"/>
      <c r="AP656" s="91"/>
      <c r="AQ656" s="91"/>
      <c r="AR656" s="91"/>
      <c r="AS656" s="91"/>
      <c r="AT656" s="91"/>
      <c r="AU656" s="91"/>
      <c r="AV656" s="296"/>
      <c r="AW656" s="296"/>
      <c r="AX656" s="296"/>
      <c r="AY656" s="296"/>
      <c r="AZ656" s="296"/>
      <c r="BA656" s="296"/>
      <c r="BB656" s="296"/>
      <c r="BC656" s="296"/>
      <c r="BD656" s="296"/>
      <c r="BE656" s="296"/>
      <c r="BF656" s="296"/>
      <c r="BG656" s="296"/>
      <c r="BH656" s="296"/>
      <c r="BI656" s="296"/>
      <c r="BJ656" s="296"/>
      <c r="BK656" s="296"/>
      <c r="BL656" s="296"/>
      <c r="BM656" s="296"/>
      <c r="BN656" s="296"/>
      <c r="BO656" s="296"/>
      <c r="BP656" s="296"/>
      <c r="BQ656" s="296"/>
      <c r="BR656" s="296"/>
      <c r="BS656" s="296"/>
      <c r="BT656" s="296"/>
      <c r="BU656" s="296"/>
      <c r="BV656" s="296"/>
      <c r="BW656" s="296"/>
      <c r="BX656" s="296"/>
      <c r="BY656" s="296"/>
      <c r="BZ656" s="9"/>
      <c r="CA656" s="9"/>
      <c r="CB656" s="9"/>
      <c r="CC656" s="9"/>
      <c r="CD656" s="9"/>
    </row>
    <row r="657" spans="1:82">
      <c r="A657" s="36" t="s">
        <v>737</v>
      </c>
      <c r="B657" s="245">
        <f ca="1">+INDEX(Segment!$A$427:$BR$431,MATCH($A657,Segment!$A$427:$A$431,0),MATCH(Charts_Support!B$663,IS!$A$60:$BR$60,0))</f>
        <v>0.38</v>
      </c>
      <c r="C657" s="245">
        <f ca="1">+INDEX(Segment!$A$427:$BR$431,MATCH($A657,Segment!$A$427:$A$431,0),MATCH(Charts_Support!C$663,IS!$A$60:$BR$60,0))</f>
        <v>0.38</v>
      </c>
      <c r="D657" s="245">
        <f ca="1">+INDEX(Segment!$A$427:$BR$431,MATCH($A657,Segment!$A$427:$A$431,0),MATCH(Charts_Support!D$663,IS!$A$60:$BR$60,0))</f>
        <v>0.38</v>
      </c>
      <c r="E657" s="245">
        <f ca="1">+INDEX(Segment!$A$427:$BR$431,MATCH($A657,Segment!$A$427:$A$431,0),MATCH(Charts_Support!E$663,IS!$A$60:$BR$60,0))</f>
        <v>0.38</v>
      </c>
      <c r="F657" s="91"/>
      <c r="G657" s="36" t="s">
        <v>735</v>
      </c>
      <c r="H657" s="446">
        <f ca="1">+INDEX(Segment!$A$445:$BR$448,MATCH(Charts_Support!$A664,Segment!$A$445:$A$448,0),MATCH(H$655,IS!$A$60:$BR$60,0))</f>
        <v>0.21393285371702642</v>
      </c>
      <c r="I657" s="446">
        <f ca="1">+INDEX(Segment!$A$445:$BR$448,MATCH(Charts_Support!$A664,Segment!$A$445:$A$448,0),MATCH(I$655,IS!$A$60:$BR$60,0))</f>
        <v>0.22223291389094499</v>
      </c>
      <c r="J657" s="446">
        <f ca="1">+INDEX(Segment!$A$445:$BR$448,MATCH(Charts_Support!$A664,Segment!$A$445:$A$448,0),MATCH(J$655,IS!$A$60:$BR$60,0))</f>
        <v>0.20929648241206031</v>
      </c>
      <c r="K657" s="446">
        <f ca="1">+INDEX(Segment!$A$445:$BR$448,MATCH(Charts_Support!$A664,Segment!$A$445:$A$448,0),MATCH(K$655,IS!$A$60:$BR$60,0))</f>
        <v>0.2142698998418556</v>
      </c>
      <c r="L657" s="91"/>
      <c r="M657" s="91"/>
      <c r="N657" s="91"/>
      <c r="O657" s="91"/>
      <c r="P657" s="91"/>
      <c r="Q657" s="91"/>
      <c r="R657" s="91"/>
      <c r="S657" s="91"/>
      <c r="T657" s="91"/>
      <c r="U657" s="91"/>
      <c r="V657" s="91"/>
      <c r="W657" s="91"/>
      <c r="X657" s="91"/>
      <c r="Y657" s="91"/>
      <c r="Z657" s="91"/>
      <c r="AA657" s="91"/>
      <c r="AB657" s="91"/>
      <c r="AC657" s="91"/>
      <c r="AD657" s="91"/>
      <c r="AE657" s="91"/>
      <c r="AF657" s="91"/>
      <c r="AG657" s="91"/>
      <c r="AH657" s="91"/>
      <c r="AI657" s="91"/>
      <c r="AJ657" s="91"/>
      <c r="AK657" s="91"/>
      <c r="AL657" s="91"/>
      <c r="AM657" s="91"/>
      <c r="AN657" s="91"/>
      <c r="AO657" s="91"/>
      <c r="AP657" s="91"/>
      <c r="AQ657" s="91"/>
      <c r="AR657" s="91"/>
      <c r="AS657" s="91"/>
      <c r="AT657" s="91"/>
      <c r="AU657" s="91"/>
      <c r="AV657" s="296"/>
      <c r="AW657" s="296"/>
      <c r="AX657" s="296"/>
      <c r="AY657" s="296"/>
      <c r="AZ657" s="296"/>
      <c r="BA657" s="296"/>
      <c r="BB657" s="296"/>
      <c r="BC657" s="296"/>
      <c r="BD657" s="296"/>
      <c r="BE657" s="296"/>
      <c r="BF657" s="296"/>
      <c r="BG657" s="296"/>
      <c r="BH657" s="296"/>
      <c r="BI657" s="296"/>
      <c r="BJ657" s="296"/>
      <c r="BK657" s="296"/>
      <c r="BL657" s="296"/>
      <c r="BM657" s="296"/>
      <c r="BN657" s="296"/>
      <c r="BO657" s="296"/>
      <c r="BP657" s="296"/>
      <c r="BQ657" s="296"/>
      <c r="BR657" s="296"/>
      <c r="BS657" s="296"/>
      <c r="BT657" s="296"/>
      <c r="BU657" s="296"/>
      <c r="BV657" s="296"/>
      <c r="BW657" s="296"/>
      <c r="BX657" s="296"/>
      <c r="BY657" s="296"/>
      <c r="BZ657" s="9"/>
      <c r="CA657" s="9"/>
      <c r="CB657" s="9"/>
      <c r="CC657" s="9"/>
      <c r="CD657" s="9"/>
    </row>
    <row r="658" spans="1:82">
      <c r="A658" s="36" t="s">
        <v>736</v>
      </c>
      <c r="B658" s="245">
        <f ca="1">+INDEX(Segment!$A$427:$BR$431,MATCH($A658,Segment!$A$427:$A$431,0),MATCH(Charts_Support!B$663,IS!$A$60:$BR$60,0))</f>
        <v>0.15</v>
      </c>
      <c r="C658" s="245">
        <f ca="1">+INDEX(Segment!$A$427:$BR$431,MATCH($A658,Segment!$A$427:$A$431,0),MATCH(Charts_Support!C$663,IS!$A$60:$BR$60,0))</f>
        <v>0.14999999999999997</v>
      </c>
      <c r="D658" s="245">
        <f ca="1">+INDEX(Segment!$A$427:$BR$431,MATCH($A658,Segment!$A$427:$A$431,0),MATCH(Charts_Support!D$663,IS!$A$60:$BR$60,0))</f>
        <v>0.14999999999999997</v>
      </c>
      <c r="E658" s="245">
        <f ca="1">+INDEX(Segment!$A$427:$BR$431,MATCH($A658,Segment!$A$427:$A$431,0),MATCH(Charts_Support!E$663,IS!$A$60:$BR$60,0))</f>
        <v>0.14999999999999997</v>
      </c>
      <c r="F658" s="91"/>
      <c r="G658" s="36" t="s">
        <v>737</v>
      </c>
      <c r="H658" s="446">
        <f ca="1">+INDEX(Segment!$A$445:$BR$448,MATCH(Charts_Support!$A665,Segment!$A$445:$A$448,0),MATCH(H$655,IS!$A$60:$BR$60,0))</f>
        <v>0.50202238209432448</v>
      </c>
      <c r="I658" s="446">
        <f ca="1">+INDEX(Segment!$A$445:$BR$448,MATCH(Charts_Support!$A665,Segment!$A$445:$A$448,0),MATCH(I$655,IS!$A$60:$BR$60,0))</f>
        <v>0.46970885763631876</v>
      </c>
      <c r="J658" s="446">
        <f ca="1">+INDEX(Segment!$A$445:$BR$448,MATCH(Charts_Support!$A665,Segment!$A$445:$A$448,0),MATCH(J$655,IS!$A$60:$BR$60,0))</f>
        <v>0.49391959798994978</v>
      </c>
      <c r="K658" s="446">
        <f ca="1">+INDEX(Segment!$A$445:$BR$448,MATCH(Charts_Support!$A665,Segment!$A$445:$A$448,0),MATCH(K$655,IS!$A$60:$BR$60,0))</f>
        <v>0.48269636267791255</v>
      </c>
      <c r="L658" s="91"/>
      <c r="M658" s="91"/>
      <c r="N658" s="91"/>
      <c r="O658" s="91"/>
      <c r="P658" s="91"/>
      <c r="Q658" s="91"/>
      <c r="R658" s="91"/>
      <c r="S658" s="91"/>
      <c r="T658" s="91"/>
      <c r="U658" s="91"/>
      <c r="V658" s="91"/>
      <c r="W658" s="91"/>
      <c r="X658" s="91"/>
      <c r="Y658" s="91"/>
      <c r="Z658" s="91"/>
      <c r="AA658" s="91"/>
      <c r="AB658" s="91"/>
      <c r="AC658" s="91"/>
      <c r="AD658" s="91"/>
      <c r="AE658" s="91"/>
      <c r="AF658" s="91"/>
      <c r="AG658" s="91"/>
      <c r="AH658" s="91"/>
      <c r="AI658" s="91"/>
      <c r="AJ658" s="91"/>
      <c r="AK658" s="91"/>
      <c r="AL658" s="91"/>
      <c r="AM658" s="91"/>
      <c r="AN658" s="91"/>
      <c r="AO658" s="91"/>
      <c r="AP658" s="91"/>
      <c r="AQ658" s="91"/>
      <c r="AR658" s="91"/>
      <c r="AS658" s="91"/>
      <c r="AT658" s="91"/>
      <c r="AU658" s="91"/>
      <c r="AV658" s="296"/>
      <c r="AW658" s="296"/>
      <c r="AX658" s="296"/>
      <c r="AY658" s="296"/>
      <c r="AZ658" s="296"/>
      <c r="BA658" s="296"/>
      <c r="BB658" s="296"/>
      <c r="BC658" s="296"/>
      <c r="BD658" s="296"/>
      <c r="BE658" s="296"/>
      <c r="BF658" s="296"/>
      <c r="BG658" s="296"/>
      <c r="BH658" s="296"/>
      <c r="BI658" s="296"/>
      <c r="BJ658" s="296"/>
      <c r="BK658" s="296"/>
      <c r="BL658" s="296"/>
      <c r="BM658" s="296"/>
      <c r="BN658" s="296"/>
      <c r="BO658" s="296"/>
      <c r="BP658" s="296"/>
      <c r="BQ658" s="296"/>
      <c r="BR658" s="296"/>
      <c r="BS658" s="296"/>
      <c r="BT658" s="296"/>
      <c r="BU658" s="296"/>
      <c r="BV658" s="296"/>
      <c r="BW658" s="296"/>
      <c r="BX658" s="296"/>
      <c r="BY658" s="296"/>
      <c r="BZ658" s="9"/>
      <c r="CA658" s="9"/>
      <c r="CB658" s="9"/>
      <c r="CC658" s="9"/>
      <c r="CD658" s="9"/>
    </row>
    <row r="659" spans="1:82">
      <c r="A659" s="36" t="s">
        <v>738</v>
      </c>
      <c r="B659" s="245">
        <f ca="1">+INDEX(Segment!$A$427:$BR$431,MATCH($A659,Segment!$A$427:$A$431,0),MATCH(Charts_Support!B$663,IS!$A$60:$BR$60,0))</f>
        <v>0.13</v>
      </c>
      <c r="C659" s="245">
        <f ca="1">+INDEX(Segment!$A$427:$BR$431,MATCH($A659,Segment!$A$427:$A$431,0),MATCH(Charts_Support!C$663,IS!$A$60:$BR$60,0))</f>
        <v>0.14000000000000001</v>
      </c>
      <c r="D659" s="245">
        <f ca="1">+INDEX(Segment!$A$427:$BR$431,MATCH($A659,Segment!$A$427:$A$431,0),MATCH(Charts_Support!D$663,IS!$A$60:$BR$60,0))</f>
        <v>0.14000000000000001</v>
      </c>
      <c r="E659" s="245">
        <f ca="1">+INDEX(Segment!$A$427:$BR$431,MATCH($A659,Segment!$A$427:$A$431,0),MATCH(Charts_Support!E$663,IS!$A$60:$BR$60,0))</f>
        <v>0.14000000000000001</v>
      </c>
      <c r="F659" s="91"/>
      <c r="G659" s="36" t="s">
        <v>736</v>
      </c>
      <c r="H659" s="446">
        <f ca="1">+INDEX(Segment!$A$445:$BR$448,MATCH(Charts_Support!$A666,Segment!$A$445:$A$448,0),MATCH(H$655,IS!$A$60:$BR$60,0))</f>
        <v>0.16398880895283774</v>
      </c>
      <c r="I659" s="446">
        <f ca="1">+INDEX(Segment!$A$445:$BR$448,MATCH(Charts_Support!$A666,Segment!$A$445:$A$448,0),MATCH(I$655,IS!$A$60:$BR$60,0))</f>
        <v>0.18014557118184063</v>
      </c>
      <c r="J659" s="446">
        <f ca="1">+INDEX(Segment!$A$445:$BR$448,MATCH(Charts_Support!$A666,Segment!$A$445:$A$448,0),MATCH(J$655,IS!$A$60:$BR$60,0))</f>
        <v>0.16643216080402012</v>
      </c>
      <c r="K659" s="446">
        <f ca="1">+INDEX(Segment!$A$445:$BR$448,MATCH(Charts_Support!$A666,Segment!$A$445:$A$448,0),MATCH(K$655,IS!$A$60:$BR$60,0))</f>
        <v>0.16910121244069584</v>
      </c>
      <c r="L659" s="91"/>
      <c r="M659" s="91"/>
      <c r="N659" s="91"/>
      <c r="O659" s="91"/>
      <c r="P659" s="91"/>
      <c r="Q659" s="91"/>
      <c r="R659" s="91"/>
      <c r="S659" s="91"/>
      <c r="T659" s="91"/>
      <c r="U659" s="91"/>
      <c r="V659" s="91"/>
      <c r="W659" s="91"/>
      <c r="X659" s="91"/>
      <c r="Y659" s="91"/>
      <c r="Z659" s="91"/>
      <c r="AA659" s="91"/>
      <c r="AB659" s="91"/>
      <c r="AC659" s="91"/>
      <c r="AD659" s="91"/>
      <c r="AE659" s="91"/>
      <c r="AF659" s="91"/>
      <c r="AG659" s="91"/>
      <c r="AH659" s="91"/>
      <c r="AI659" s="91"/>
      <c r="AJ659" s="91"/>
      <c r="AK659" s="91"/>
      <c r="AL659" s="91"/>
      <c r="AM659" s="91"/>
      <c r="AN659" s="91"/>
      <c r="AO659" s="91"/>
      <c r="AP659" s="91"/>
      <c r="AQ659" s="91"/>
      <c r="AR659" s="91"/>
      <c r="AS659" s="91"/>
      <c r="AT659" s="91"/>
      <c r="AU659" s="91"/>
      <c r="AV659" s="296"/>
      <c r="AW659" s="296"/>
      <c r="AX659" s="296"/>
      <c r="AY659" s="296"/>
      <c r="AZ659" s="296"/>
      <c r="BA659" s="296"/>
      <c r="BB659" s="296"/>
      <c r="BC659" s="296"/>
      <c r="BD659" s="296"/>
      <c r="BE659" s="296"/>
      <c r="BF659" s="296"/>
      <c r="BG659" s="296"/>
      <c r="BH659" s="296"/>
      <c r="BI659" s="296"/>
      <c r="BJ659" s="296"/>
      <c r="BK659" s="296"/>
      <c r="BL659" s="296"/>
      <c r="BM659" s="296"/>
      <c r="BN659" s="296"/>
      <c r="BO659" s="296"/>
      <c r="BP659" s="296"/>
      <c r="BQ659" s="296"/>
      <c r="BR659" s="296"/>
      <c r="BS659" s="296"/>
      <c r="BT659" s="296"/>
      <c r="BU659" s="296"/>
      <c r="BV659" s="296"/>
      <c r="BW659" s="296"/>
      <c r="BX659" s="296"/>
      <c r="BY659" s="296"/>
      <c r="BZ659" s="9"/>
      <c r="CA659" s="9"/>
      <c r="CB659" s="9"/>
      <c r="CC659" s="9"/>
      <c r="CD659" s="9"/>
    </row>
    <row r="660" spans="1:82">
      <c r="A660" s="36" t="s">
        <v>1043</v>
      </c>
      <c r="B660" s="245">
        <f ca="1">+INDEX(Segment!$A$427:$BR$431,MATCH($A660,Segment!$A$427:$A$431,0),MATCH(Charts_Support!B$663,IS!$A$60:$BR$60,0))</f>
        <v>0.03</v>
      </c>
      <c r="C660" s="245">
        <f ca="1">+INDEX(Segment!$A$427:$BR$431,MATCH($A660,Segment!$A$427:$A$431,0),MATCH(Charts_Support!C$663,IS!$A$60:$BR$60,0))</f>
        <v>0.03</v>
      </c>
      <c r="D660" s="245">
        <f ca="1">+INDEX(Segment!$A$427:$BR$431,MATCH($A660,Segment!$A$427:$A$431,0),MATCH(Charts_Support!D$663,IS!$A$60:$BR$60,0))</f>
        <v>0.03</v>
      </c>
      <c r="E660" s="245">
        <f ca="1">+INDEX(Segment!$A$427:$BR$431,MATCH($A660,Segment!$A$427:$A$431,0),MATCH(Charts_Support!E$663,IS!$A$60:$BR$60,0))</f>
        <v>0.03</v>
      </c>
      <c r="F660" s="91"/>
      <c r="G660" s="36" t="s">
        <v>738</v>
      </c>
      <c r="H660" s="446">
        <f ca="1">+INDEX(Segment!$A$445:$BR$448,MATCH(Charts_Support!$A667,Segment!$A$445:$A$448,0),MATCH(H$655,IS!$A$60:$BR$60,0))</f>
        <v>0.10202238209432454</v>
      </c>
      <c r="I660" s="446">
        <f ca="1">+INDEX(Segment!$A$445:$BR$448,MATCH(Charts_Support!$A667,Segment!$A$445:$A$448,0),MATCH(I$655,IS!$A$60:$BR$60,0))</f>
        <v>0.11</v>
      </c>
      <c r="J660" s="446">
        <f ca="1">+INDEX(Segment!$A$445:$BR$448,MATCH(Charts_Support!$A667,Segment!$A$445:$A$448,0),MATCH(J$655,IS!$A$60:$BR$60,0))</f>
        <v>0.11</v>
      </c>
      <c r="K660" s="446">
        <f ca="1">+INDEX(Segment!$A$445:$BR$448,MATCH(Charts_Support!$A667,Segment!$A$445:$A$448,0),MATCH(K$655,IS!$A$60:$BR$60,0))</f>
        <v>0.11303373748023196</v>
      </c>
      <c r="L660" s="91"/>
      <c r="M660" s="91"/>
      <c r="N660" s="91"/>
      <c r="O660" s="91"/>
      <c r="P660" s="91"/>
      <c r="Q660" s="91"/>
      <c r="R660" s="91"/>
      <c r="S660" s="91"/>
      <c r="T660" s="91"/>
      <c r="U660" s="91"/>
      <c r="V660" s="91"/>
      <c r="W660" s="91"/>
      <c r="X660" s="91"/>
      <c r="Y660" s="91"/>
      <c r="Z660" s="91"/>
      <c r="AA660" s="91"/>
      <c r="AB660" s="91"/>
      <c r="AC660" s="91"/>
      <c r="AD660" s="91"/>
      <c r="AE660" s="91"/>
      <c r="AF660" s="91"/>
      <c r="AG660" s="91"/>
      <c r="AH660" s="91"/>
      <c r="AI660" s="91"/>
      <c r="AJ660" s="91"/>
      <c r="AK660" s="91"/>
      <c r="AL660" s="91"/>
      <c r="AM660" s="91"/>
      <c r="AN660" s="91"/>
      <c r="AO660" s="91"/>
      <c r="AP660" s="91"/>
      <c r="AQ660" s="91"/>
      <c r="AR660" s="91"/>
      <c r="AS660" s="91"/>
      <c r="AT660" s="91"/>
      <c r="AU660" s="91"/>
      <c r="AV660" s="296"/>
      <c r="AW660" s="296"/>
      <c r="AX660" s="296"/>
      <c r="AY660" s="296"/>
      <c r="AZ660" s="296"/>
      <c r="BA660" s="296"/>
      <c r="BB660" s="296"/>
      <c r="BC660" s="296"/>
      <c r="BD660" s="296"/>
      <c r="BE660" s="296"/>
      <c r="BF660" s="296"/>
      <c r="BG660" s="296"/>
      <c r="BH660" s="296"/>
      <c r="BI660" s="296"/>
      <c r="BJ660" s="296"/>
      <c r="BK660" s="296"/>
      <c r="BL660" s="296"/>
      <c r="BM660" s="296"/>
      <c r="BN660" s="296"/>
      <c r="BO660" s="296"/>
      <c r="BP660" s="296"/>
      <c r="BQ660" s="296"/>
      <c r="BR660" s="296"/>
      <c r="BS660" s="296"/>
      <c r="BT660" s="296"/>
      <c r="BU660" s="296"/>
      <c r="BV660" s="296"/>
      <c r="BW660" s="296"/>
      <c r="BX660" s="296"/>
      <c r="BY660" s="296"/>
      <c r="BZ660" s="9"/>
      <c r="CA660" s="9"/>
      <c r="CB660" s="9"/>
      <c r="CC660" s="9"/>
      <c r="CD660" s="9"/>
    </row>
    <row r="661" spans="1:82">
      <c r="A661" s="513" t="s">
        <v>325</v>
      </c>
      <c r="B661" s="1086">
        <f ca="1">SUM(B656:B660)</f>
        <v>1</v>
      </c>
      <c r="C661" s="1086">
        <f ca="1">SUM(C656:C660)</f>
        <v>0.99999999999999989</v>
      </c>
      <c r="D661" s="1086">
        <f ca="1">SUM(D656:D660)</f>
        <v>0.99999999999999989</v>
      </c>
      <c r="E661" s="1086">
        <f ca="1">SUM(E656:E660)</f>
        <v>0.99999999999999989</v>
      </c>
      <c r="F661" s="91"/>
      <c r="G661" s="513" t="s">
        <v>325</v>
      </c>
      <c r="H661" s="1089">
        <f ca="1">SUM(H657:H660)</f>
        <v>0.98196642685851321</v>
      </c>
      <c r="I661" s="1089">
        <f ca="1">SUM(I657:I660)</f>
        <v>0.98208734270910436</v>
      </c>
      <c r="J661" s="1089">
        <f ca="1">SUM(J657:J660)</f>
        <v>0.97964824120603022</v>
      </c>
      <c r="K661" s="1089">
        <f ca="1">SUM(K657:K660)</f>
        <v>0.97910121244069592</v>
      </c>
      <c r="L661" s="91"/>
      <c r="M661" s="91"/>
      <c r="N661" s="91"/>
      <c r="O661" s="91"/>
      <c r="P661" s="91"/>
      <c r="Q661" s="91"/>
      <c r="R661" s="91"/>
      <c r="S661" s="91"/>
      <c r="T661" s="91"/>
      <c r="U661" s="91"/>
      <c r="V661" s="91"/>
      <c r="W661" s="91"/>
      <c r="X661" s="91"/>
      <c r="Y661" s="91"/>
      <c r="Z661" s="91"/>
      <c r="AA661" s="91"/>
      <c r="AB661" s="91"/>
      <c r="AC661" s="91"/>
      <c r="AD661" s="91"/>
      <c r="AE661" s="91"/>
      <c r="AF661" s="91"/>
      <c r="AG661" s="91"/>
      <c r="AH661" s="91"/>
      <c r="AI661" s="91"/>
      <c r="AJ661" s="91"/>
      <c r="AK661" s="91"/>
      <c r="AL661" s="91"/>
      <c r="AM661" s="91"/>
      <c r="AN661" s="91"/>
      <c r="AO661" s="91"/>
      <c r="AP661" s="91"/>
      <c r="AQ661" s="91"/>
      <c r="AR661" s="91"/>
      <c r="AS661" s="91"/>
      <c r="AT661" s="91"/>
      <c r="AU661" s="91"/>
      <c r="AV661" s="296"/>
      <c r="AW661" s="296"/>
      <c r="AX661" s="296"/>
      <c r="AY661" s="296"/>
      <c r="AZ661" s="296"/>
      <c r="BA661" s="296"/>
      <c r="BB661" s="296"/>
      <c r="BC661" s="296"/>
      <c r="BD661" s="296"/>
      <c r="BE661" s="296"/>
      <c r="BF661" s="296"/>
      <c r="BG661" s="296"/>
      <c r="BH661" s="296"/>
      <c r="BI661" s="296"/>
      <c r="BJ661" s="296"/>
      <c r="BK661" s="296"/>
      <c r="BL661" s="296"/>
      <c r="BM661" s="296"/>
      <c r="BN661" s="296"/>
      <c r="BO661" s="296"/>
      <c r="BP661" s="296"/>
      <c r="BQ661" s="296"/>
      <c r="BR661" s="296"/>
      <c r="BS661" s="296"/>
      <c r="BT661" s="296"/>
      <c r="BU661" s="296"/>
      <c r="BV661" s="296"/>
      <c r="BW661" s="296"/>
      <c r="BX661" s="296"/>
      <c r="BY661" s="296"/>
      <c r="BZ661" s="9"/>
      <c r="CA661" s="9"/>
      <c r="CB661" s="9"/>
      <c r="CC661" s="9"/>
      <c r="CD661" s="9"/>
    </row>
    <row r="662" spans="1:82">
      <c r="A662" s="513"/>
      <c r="B662" s="1089"/>
      <c r="C662" s="1089"/>
      <c r="D662" s="1089"/>
      <c r="E662" s="1089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91"/>
      <c r="S662" s="91"/>
      <c r="T662" s="91"/>
      <c r="U662" s="91"/>
      <c r="V662" s="91"/>
      <c r="W662" s="91"/>
      <c r="X662" s="91"/>
      <c r="Y662" s="91"/>
      <c r="Z662" s="91"/>
      <c r="AA662" s="91"/>
      <c r="AB662" s="91"/>
      <c r="AC662" s="91"/>
      <c r="AD662" s="91"/>
      <c r="AE662" s="91"/>
      <c r="AF662" s="91"/>
      <c r="AG662" s="91"/>
      <c r="AH662" s="91"/>
      <c r="AI662" s="91"/>
      <c r="AJ662" s="91"/>
      <c r="AK662" s="91"/>
      <c r="AL662" s="91"/>
      <c r="AM662" s="91"/>
      <c r="AN662" s="91"/>
      <c r="AO662" s="91"/>
      <c r="AP662" s="91"/>
      <c r="AQ662" s="91"/>
      <c r="AR662" s="91"/>
      <c r="AS662" s="91"/>
      <c r="AT662" s="91"/>
      <c r="AU662" s="91"/>
      <c r="AV662" s="296"/>
      <c r="AW662" s="296"/>
      <c r="AX662" s="296"/>
      <c r="AY662" s="296"/>
      <c r="AZ662" s="296"/>
      <c r="BA662" s="296"/>
      <c r="BB662" s="296"/>
      <c r="BC662" s="296"/>
      <c r="BD662" s="296"/>
      <c r="BE662" s="296"/>
      <c r="BF662" s="296"/>
      <c r="BG662" s="296"/>
      <c r="BH662" s="296"/>
      <c r="BI662" s="296"/>
      <c r="BJ662" s="296"/>
      <c r="BK662" s="296"/>
      <c r="BL662" s="296"/>
      <c r="BM662" s="296"/>
      <c r="BN662" s="296"/>
      <c r="BO662" s="296"/>
      <c r="BP662" s="296"/>
      <c r="BQ662" s="296"/>
      <c r="BR662" s="296"/>
      <c r="BS662" s="296"/>
      <c r="BT662" s="296"/>
      <c r="BU662" s="296"/>
      <c r="BV662" s="296"/>
      <c r="BW662" s="296"/>
      <c r="BX662" s="296"/>
      <c r="BY662" s="296"/>
      <c r="BZ662" s="9"/>
      <c r="CA662" s="9"/>
      <c r="CB662" s="9"/>
      <c r="CC662" s="9"/>
      <c r="CD662" s="9"/>
    </row>
    <row r="663" spans="1:82">
      <c r="A663" s="242" t="s">
        <v>1013</v>
      </c>
      <c r="B663" s="595" t="str">
        <f ca="1">Charts_Support!H621</f>
        <v>3Q23</v>
      </c>
      <c r="C663" s="595" t="str">
        <f ca="1">Charts_Support!I621</f>
        <v>4Q23</v>
      </c>
      <c r="D663" s="595" t="str">
        <f ca="1">Charts_Support!J621</f>
        <v>1Q24</v>
      </c>
      <c r="E663" s="595" t="str">
        <f ca="1">Charts_Support!K621</f>
        <v>2Q24</v>
      </c>
      <c r="F663" s="91"/>
      <c r="G663" s="91"/>
      <c r="H663" s="91"/>
      <c r="I663" s="91"/>
      <c r="J663" s="91"/>
      <c r="K663" s="91"/>
      <c r="L663" s="91"/>
      <c r="M663" s="91"/>
      <c r="N663" s="91"/>
      <c r="O663" s="91"/>
      <c r="P663" s="91"/>
      <c r="Q663" s="91"/>
      <c r="R663" s="91"/>
      <c r="S663" s="91"/>
      <c r="T663" s="91"/>
      <c r="U663" s="91"/>
      <c r="V663" s="91"/>
      <c r="W663" s="91"/>
      <c r="X663" s="91"/>
      <c r="Y663" s="91"/>
      <c r="Z663" s="91"/>
      <c r="AA663" s="91"/>
      <c r="AB663" s="91"/>
      <c r="AC663" s="91"/>
      <c r="AD663" s="91"/>
      <c r="AE663" s="91"/>
      <c r="AF663" s="91"/>
      <c r="AG663" s="91"/>
      <c r="AH663" s="91"/>
      <c r="AI663" s="91"/>
      <c r="AJ663" s="91"/>
      <c r="AK663" s="91"/>
      <c r="AL663" s="91"/>
      <c r="AM663" s="91"/>
      <c r="AN663" s="91"/>
      <c r="AO663" s="91"/>
      <c r="AP663" s="91"/>
      <c r="AQ663" s="91"/>
      <c r="AR663" s="91"/>
      <c r="AS663" s="91"/>
      <c r="AT663" s="91"/>
      <c r="AU663" s="91"/>
      <c r="AV663" s="296"/>
      <c r="AW663" s="296"/>
      <c r="AX663" s="296"/>
      <c r="AY663" s="296"/>
      <c r="AZ663" s="296"/>
      <c r="BA663" s="296"/>
      <c r="BB663" s="296"/>
      <c r="BC663" s="296"/>
      <c r="BD663" s="296"/>
      <c r="BE663" s="296"/>
      <c r="BF663" s="296"/>
      <c r="BG663" s="296"/>
      <c r="BH663" s="296"/>
      <c r="BI663" s="296"/>
      <c r="BJ663" s="296"/>
      <c r="BK663" s="296"/>
      <c r="BL663" s="296"/>
      <c r="BM663" s="296"/>
      <c r="BN663" s="296"/>
      <c r="BO663" s="296"/>
      <c r="BP663" s="296"/>
      <c r="BQ663" s="296"/>
      <c r="BR663" s="296"/>
      <c r="BS663" s="296"/>
      <c r="BT663" s="296"/>
      <c r="BU663" s="296"/>
      <c r="BV663" s="296"/>
      <c r="BW663" s="296"/>
      <c r="BX663" s="296"/>
      <c r="BY663" s="296"/>
      <c r="BZ663" s="9"/>
      <c r="CA663" s="9"/>
      <c r="CB663" s="9"/>
      <c r="CC663" s="9"/>
      <c r="CD663" s="9"/>
    </row>
    <row r="664" spans="1:82">
      <c r="A664" s="36" t="s">
        <v>735</v>
      </c>
      <c r="B664" s="245">
        <f ca="1">+INDEX(Segment!$A$410:$BR$414,MATCH($A664,Segment!$A$410:$A$414,0),MATCH(B$663,IS!$A$60:$BR$60,0))</f>
        <v>0.40212577502214347</v>
      </c>
      <c r="C664" s="245">
        <f ca="1">+INDEX(Segment!$A$410:$BR$414,MATCH($A664,Segment!$A$410:$A$414,0),MATCH(C$663,IS!$A$60:$BR$60,0))</f>
        <v>0.4037213327563825</v>
      </c>
      <c r="D664" s="245">
        <f ca="1">+INDEX(Segment!$A$410:$BR$414,MATCH($A664,Segment!$A$410:$A$414,0),MATCH(D$663,IS!$A$60:$BR$60,0))</f>
        <v>0.40422322775263952</v>
      </c>
      <c r="E664" s="245">
        <f ca="1">+INDEX(Segment!$A$410:$BR$414,MATCH($A664,Segment!$A$410:$A$414,0),MATCH(E$663,IS!$A$60:$BR$60,0))</f>
        <v>0.40332906530089629</v>
      </c>
      <c r="F664" s="91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  <c r="AA664" s="91"/>
      <c r="AB664" s="91"/>
      <c r="AC664" s="91"/>
      <c r="AD664" s="91"/>
      <c r="AE664" s="91"/>
      <c r="AF664" s="91"/>
      <c r="AG664" s="91"/>
      <c r="AH664" s="91"/>
      <c r="AI664" s="91"/>
      <c r="AJ664" s="91"/>
      <c r="AK664" s="91"/>
      <c r="AL664" s="91"/>
      <c r="AM664" s="91"/>
      <c r="AN664" s="91"/>
      <c r="AO664" s="91"/>
      <c r="AP664" s="91"/>
      <c r="AQ664" s="91"/>
      <c r="AR664" s="91"/>
      <c r="AS664" s="91"/>
      <c r="AT664" s="91"/>
      <c r="AU664" s="91"/>
      <c r="AV664" s="296"/>
      <c r="AW664" s="296"/>
      <c r="AX664" s="296"/>
      <c r="AY664" s="296"/>
      <c r="AZ664" s="296"/>
      <c r="BA664" s="296"/>
      <c r="BB664" s="296"/>
      <c r="BC664" s="296"/>
      <c r="BD664" s="296"/>
      <c r="BE664" s="296"/>
      <c r="BF664" s="296"/>
      <c r="BG664" s="296"/>
      <c r="BH664" s="296"/>
      <c r="BI664" s="296"/>
      <c r="BJ664" s="296"/>
      <c r="BK664" s="296"/>
      <c r="BL664" s="296"/>
      <c r="BM664" s="296"/>
      <c r="BN664" s="296"/>
      <c r="BO664" s="296"/>
      <c r="BP664" s="296"/>
      <c r="BQ664" s="296"/>
      <c r="BR664" s="296"/>
      <c r="BS664" s="296"/>
      <c r="BT664" s="296"/>
      <c r="BU664" s="296"/>
      <c r="BV664" s="296"/>
      <c r="BW664" s="296"/>
      <c r="BX664" s="296"/>
      <c r="BY664" s="296"/>
      <c r="BZ664" s="9"/>
      <c r="CA664" s="9"/>
      <c r="CB664" s="9"/>
      <c r="CC664" s="9"/>
      <c r="CD664" s="9"/>
    </row>
    <row r="665" spans="1:82">
      <c r="A665" s="36" t="s">
        <v>737</v>
      </c>
      <c r="B665" s="245">
        <f ca="1">+INDEX(Segment!$A$410:$BR$414,MATCH($A665,Segment!$A$410:$A$414,0),MATCH(B$663,IS!$A$60:$BR$60,0))</f>
        <v>0.38241806908768822</v>
      </c>
      <c r="C665" s="245">
        <f ca="1">+INDEX(Segment!$A$410:$BR$414,MATCH($A665,Segment!$A$410:$A$414,0),MATCH(C$663,IS!$A$60:$BR$60,0))</f>
        <v>0.384465599307659</v>
      </c>
      <c r="D665" s="245">
        <f ca="1">+INDEX(Segment!$A$410:$BR$414,MATCH($A665,Segment!$A$410:$A$414,0),MATCH(D$663,IS!$A$60:$BR$60,0))</f>
        <v>0.38612368024132732</v>
      </c>
      <c r="E665" s="245">
        <f ca="1">+INDEX(Segment!$A$410:$BR$414,MATCH($A665,Segment!$A$410:$A$414,0),MATCH(E$663,IS!$A$60:$BR$60,0))</f>
        <v>0.38945795988049509</v>
      </c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  <c r="AA665" s="91"/>
      <c r="AB665" s="91"/>
      <c r="AC665" s="91"/>
      <c r="AD665" s="91"/>
      <c r="AE665" s="91"/>
      <c r="AF665" s="91"/>
      <c r="AG665" s="91"/>
      <c r="AH665" s="91"/>
      <c r="AI665" s="91"/>
      <c r="AJ665" s="91"/>
      <c r="AK665" s="91"/>
      <c r="AL665" s="91"/>
      <c r="AM665" s="91"/>
      <c r="AN665" s="91"/>
      <c r="AO665" s="91"/>
      <c r="AP665" s="91"/>
      <c r="AQ665" s="91"/>
      <c r="AR665" s="91"/>
      <c r="AS665" s="91"/>
      <c r="AT665" s="91"/>
      <c r="AU665" s="91"/>
      <c r="AV665" s="296"/>
      <c r="AW665" s="296"/>
      <c r="AX665" s="296"/>
      <c r="AY665" s="296"/>
      <c r="AZ665" s="296"/>
      <c r="BA665" s="296"/>
      <c r="BB665" s="296"/>
      <c r="BC665" s="296"/>
      <c r="BD665" s="296"/>
      <c r="BE665" s="296"/>
      <c r="BF665" s="296"/>
      <c r="BG665" s="296"/>
      <c r="BH665" s="296"/>
      <c r="BI665" s="296"/>
      <c r="BJ665" s="296"/>
      <c r="BK665" s="296"/>
      <c r="BL665" s="296"/>
      <c r="BM665" s="296"/>
      <c r="BN665" s="296"/>
      <c r="BO665" s="296"/>
      <c r="BP665" s="296"/>
      <c r="BQ665" s="296"/>
      <c r="BR665" s="296"/>
      <c r="BS665" s="296"/>
      <c r="BT665" s="296"/>
      <c r="BU665" s="296"/>
      <c r="BV665" s="296"/>
      <c r="BW665" s="296"/>
      <c r="BX665" s="296"/>
      <c r="BY665" s="296"/>
      <c r="BZ665" s="9"/>
      <c r="CA665" s="9"/>
      <c r="CB665" s="9"/>
      <c r="CC665" s="9"/>
      <c r="CD665" s="9"/>
    </row>
    <row r="666" spans="1:82">
      <c r="A666" s="36" t="s">
        <v>736</v>
      </c>
      <c r="B666" s="245">
        <f ca="1">+INDEX(Segment!$A$410:$BR$414,MATCH($A666,Segment!$A$410:$A$414,0),MATCH(B$663,IS!$A$60:$BR$60,0))</f>
        <v>0.13175376439326839</v>
      </c>
      <c r="C666" s="245">
        <f ca="1">+INDEX(Segment!$A$410:$BR$414,MATCH($A666,Segment!$A$410:$A$414,0),MATCH(C$663,IS!$A$60:$BR$60,0))</f>
        <v>0.12418866291648636</v>
      </c>
      <c r="D666" s="245">
        <f ca="1">+INDEX(Segment!$A$410:$BR$414,MATCH($A666,Segment!$A$410:$A$414,0),MATCH(D$663,IS!$A$60:$BR$60,0))</f>
        <v>0.12281835811247575</v>
      </c>
      <c r="E666" s="245">
        <f ca="1">+INDEX(Segment!$A$410:$BR$414,MATCH($A666,Segment!$A$410:$A$414,0),MATCH(E$663,IS!$A$60:$BR$60,0))</f>
        <v>0.12099871959026888</v>
      </c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  <c r="AA666" s="91"/>
      <c r="AB666" s="91"/>
      <c r="AC666" s="91"/>
      <c r="AD666" s="91"/>
      <c r="AE666" s="91"/>
      <c r="AF666" s="91"/>
      <c r="AG666" s="91"/>
      <c r="AH666" s="91"/>
      <c r="AI666" s="91"/>
      <c r="AJ666" s="91"/>
      <c r="AK666" s="91"/>
      <c r="AL666" s="91"/>
      <c r="AM666" s="91"/>
      <c r="AN666" s="91"/>
      <c r="AO666" s="91"/>
      <c r="AP666" s="91"/>
      <c r="AQ666" s="91"/>
      <c r="AR666" s="91"/>
      <c r="AS666" s="91"/>
      <c r="AT666" s="91"/>
      <c r="AU666" s="91"/>
      <c r="AV666" s="296"/>
      <c r="AW666" s="296"/>
      <c r="AX666" s="296"/>
      <c r="AY666" s="296"/>
      <c r="AZ666" s="296"/>
      <c r="BA666" s="296"/>
      <c r="BB666" s="296"/>
      <c r="BC666" s="296"/>
      <c r="BD666" s="296"/>
      <c r="BE666" s="296"/>
      <c r="BF666" s="296"/>
      <c r="BG666" s="296"/>
      <c r="BH666" s="296"/>
      <c r="BI666" s="296"/>
      <c r="BJ666" s="296"/>
      <c r="BK666" s="296"/>
      <c r="BL666" s="296"/>
      <c r="BM666" s="296"/>
      <c r="BN666" s="296"/>
      <c r="BO666" s="296"/>
      <c r="BP666" s="296"/>
      <c r="BQ666" s="296"/>
      <c r="BR666" s="296"/>
      <c r="BS666" s="296"/>
      <c r="BT666" s="296"/>
      <c r="BU666" s="296"/>
      <c r="BV666" s="296"/>
      <c r="BW666" s="296"/>
      <c r="BX666" s="296"/>
      <c r="BY666" s="296"/>
      <c r="BZ666" s="9"/>
      <c r="CA666" s="9"/>
      <c r="CB666" s="9"/>
      <c r="CC666" s="9"/>
      <c r="CD666" s="9"/>
    </row>
    <row r="667" spans="1:82">
      <c r="A667" s="36" t="s">
        <v>738</v>
      </c>
      <c r="B667" s="245">
        <f ca="1">+INDEX(Segment!$A$410:$BR$414,MATCH($A667,Segment!$A$410:$A$414,0),MATCH(B$663,IS!$A$60:$BR$60,0))</f>
        <v>8.3702391496899911E-2</v>
      </c>
      <c r="C667" s="245">
        <f ca="1">+INDEX(Segment!$A$410:$BR$414,MATCH($A667,Segment!$A$410:$A$414,0),MATCH(C$663,IS!$A$60:$BR$60,0))</f>
        <v>8.7624405019472093E-2</v>
      </c>
      <c r="D667" s="245">
        <f ca="1">+INDEX(Segment!$A$410:$BR$414,MATCH($A667,Segment!$A$410:$A$414,0),MATCH(D$663,IS!$A$60:$BR$60,0))</f>
        <v>8.683473389355742E-2</v>
      </c>
      <c r="E667" s="245">
        <f ca="1">+INDEX(Segment!$A$410:$BR$414,MATCH($A667,Segment!$A$410:$A$414,0),MATCH(E$663,IS!$A$60:$BR$60,0))</f>
        <v>8.621425522833974E-2</v>
      </c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  <c r="AA667" s="91"/>
      <c r="AB667" s="91"/>
      <c r="AC667" s="91"/>
      <c r="AD667" s="91"/>
      <c r="AE667" s="91"/>
      <c r="AF667" s="91"/>
      <c r="AG667" s="91"/>
      <c r="AH667" s="91"/>
      <c r="AI667" s="91"/>
      <c r="AJ667" s="91"/>
      <c r="AK667" s="91"/>
      <c r="AL667" s="91"/>
      <c r="AM667" s="91"/>
      <c r="AN667" s="91"/>
      <c r="AO667" s="91"/>
      <c r="AP667" s="91"/>
      <c r="AQ667" s="91"/>
      <c r="AR667" s="91"/>
      <c r="AS667" s="91"/>
      <c r="AT667" s="91"/>
      <c r="AU667" s="91"/>
      <c r="AV667" s="296"/>
      <c r="AW667" s="296"/>
      <c r="AX667" s="296"/>
      <c r="AY667" s="296"/>
      <c r="AZ667" s="296"/>
      <c r="BA667" s="296"/>
      <c r="BB667" s="296"/>
      <c r="BC667" s="296"/>
      <c r="BD667" s="296"/>
      <c r="BE667" s="296"/>
      <c r="BF667" s="296"/>
      <c r="BG667" s="296"/>
      <c r="BH667" s="296"/>
      <c r="BI667" s="296"/>
      <c r="BJ667" s="296"/>
      <c r="BK667" s="296"/>
      <c r="BL667" s="296"/>
      <c r="BM667" s="296"/>
      <c r="BN667" s="296"/>
      <c r="BO667" s="296"/>
      <c r="BP667" s="296"/>
      <c r="BQ667" s="296"/>
      <c r="BR667" s="296"/>
      <c r="BS667" s="296"/>
      <c r="BT667" s="296"/>
      <c r="BU667" s="296"/>
      <c r="BV667" s="296"/>
      <c r="BW667" s="296"/>
      <c r="BX667" s="296"/>
      <c r="BY667" s="296"/>
      <c r="BZ667" s="9"/>
      <c r="CA667" s="9"/>
      <c r="CB667" s="9"/>
      <c r="CC667" s="9"/>
      <c r="CD667" s="9"/>
    </row>
    <row r="668" spans="1:82">
      <c r="A668" s="513" t="s">
        <v>325</v>
      </c>
      <c r="B668" s="1086">
        <f ca="1">SUM(B664:B667)</f>
        <v>1</v>
      </c>
      <c r="C668" s="1086">
        <f ca="1">SUM(C664:C667)</f>
        <v>1</v>
      </c>
      <c r="D668" s="1086">
        <f ca="1">SUM(D664:D667)</f>
        <v>1</v>
      </c>
      <c r="E668" s="1086">
        <f ca="1">SUM(E664:E667)</f>
        <v>0.99999999999999989</v>
      </c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  <c r="AA668" s="91"/>
      <c r="AB668" s="91"/>
      <c r="AC668" s="91"/>
      <c r="AD668" s="91"/>
      <c r="AE668" s="91"/>
      <c r="AF668" s="91"/>
      <c r="AG668" s="91"/>
      <c r="AH668" s="91"/>
      <c r="AI668" s="91"/>
      <c r="AJ668" s="91"/>
      <c r="AK668" s="91"/>
      <c r="AL668" s="91"/>
      <c r="AM668" s="91"/>
      <c r="AN668" s="91"/>
      <c r="AO668" s="91"/>
      <c r="AP668" s="91"/>
      <c r="AQ668" s="91"/>
      <c r="AR668" s="91"/>
      <c r="AS668" s="91"/>
      <c r="AT668" s="91"/>
      <c r="AU668" s="91"/>
      <c r="AV668" s="296"/>
      <c r="AW668" s="296"/>
      <c r="AX668" s="296"/>
      <c r="AY668" s="296"/>
      <c r="AZ668" s="296"/>
      <c r="BA668" s="296"/>
      <c r="BB668" s="296"/>
      <c r="BC668" s="296"/>
      <c r="BD668" s="296"/>
      <c r="BE668" s="296"/>
      <c r="BF668" s="296"/>
      <c r="BG668" s="296"/>
      <c r="BH668" s="296"/>
      <c r="BI668" s="296"/>
      <c r="BJ668" s="296"/>
      <c r="BK668" s="296"/>
      <c r="BL668" s="296"/>
      <c r="BM668" s="296"/>
      <c r="BN668" s="296"/>
      <c r="BO668" s="296"/>
      <c r="BP668" s="296"/>
      <c r="BQ668" s="296"/>
      <c r="BR668" s="296"/>
      <c r="BS668" s="296"/>
      <c r="BT668" s="296"/>
      <c r="BU668" s="296"/>
      <c r="BV668" s="296"/>
      <c r="BW668" s="296"/>
      <c r="BX668" s="296"/>
      <c r="BY668" s="296"/>
      <c r="BZ668" s="9"/>
      <c r="CA668" s="9"/>
      <c r="CB668" s="9"/>
      <c r="CC668" s="9"/>
      <c r="CD668" s="9"/>
    </row>
    <row r="669" spans="1:82">
      <c r="A669" s="9"/>
      <c r="B669" s="9"/>
      <c r="C669" s="9"/>
      <c r="D669" s="9"/>
      <c r="E669" s="9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  <c r="AA669" s="91"/>
      <c r="AB669" s="91"/>
      <c r="AC669" s="91"/>
      <c r="AD669" s="91"/>
      <c r="AE669" s="91"/>
      <c r="AF669" s="91"/>
      <c r="AG669" s="91"/>
      <c r="AH669" s="91"/>
      <c r="AI669" s="91"/>
      <c r="AJ669" s="91"/>
      <c r="AK669" s="91"/>
      <c r="AL669" s="91"/>
      <c r="AM669" s="91"/>
      <c r="AN669" s="91"/>
      <c r="AO669" s="91"/>
      <c r="AP669" s="91"/>
      <c r="AQ669" s="91"/>
      <c r="AR669" s="91"/>
      <c r="AS669" s="91"/>
      <c r="AT669" s="91"/>
      <c r="AU669" s="91"/>
      <c r="AV669" s="296"/>
      <c r="AW669" s="296"/>
      <c r="AX669" s="296"/>
      <c r="AY669" s="296"/>
      <c r="AZ669" s="296"/>
      <c r="BA669" s="296"/>
      <c r="BB669" s="296"/>
      <c r="BC669" s="296"/>
      <c r="BD669" s="296"/>
      <c r="BE669" s="296"/>
      <c r="BF669" s="296"/>
      <c r="BG669" s="296"/>
      <c r="BH669" s="296"/>
      <c r="BI669" s="296"/>
      <c r="BJ669" s="296"/>
      <c r="BK669" s="296"/>
      <c r="BL669" s="296"/>
      <c r="BM669" s="296"/>
      <c r="BN669" s="296"/>
      <c r="BO669" s="296"/>
      <c r="BP669" s="296"/>
      <c r="BQ669" s="296"/>
      <c r="BR669" s="296"/>
      <c r="BS669" s="296"/>
      <c r="BT669" s="296"/>
      <c r="BU669" s="296"/>
      <c r="BV669" s="296"/>
      <c r="BW669" s="296"/>
      <c r="BX669" s="296"/>
      <c r="BY669" s="296"/>
      <c r="BZ669" s="9"/>
      <c r="CA669" s="9"/>
      <c r="CB669" s="9"/>
      <c r="CC669" s="9"/>
      <c r="CD669" s="9"/>
    </row>
    <row r="670" spans="1:82">
      <c r="A670" s="1145" t="s">
        <v>1042</v>
      </c>
      <c r="B670" s="1145"/>
      <c r="C670" s="1145"/>
      <c r="D670" s="1145"/>
      <c r="E670" s="1145"/>
      <c r="F670" s="1145"/>
      <c r="G670" s="1145"/>
      <c r="H670" s="1145"/>
      <c r="I670" s="1145"/>
      <c r="J670" s="1145"/>
      <c r="K670" s="1145"/>
      <c r="L670" s="1145"/>
      <c r="M670" s="1145"/>
      <c r="N670" s="1145"/>
      <c r="O670" s="1145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  <c r="AA670" s="91"/>
      <c r="AB670" s="91"/>
      <c r="AC670" s="91"/>
      <c r="AD670" s="91"/>
      <c r="AE670" s="91"/>
      <c r="AF670" s="91"/>
      <c r="AG670" s="91"/>
      <c r="AH670" s="91"/>
      <c r="AI670" s="91"/>
      <c r="AJ670" s="91"/>
      <c r="AK670" s="91"/>
      <c r="AL670" s="91"/>
      <c r="AM670" s="91"/>
      <c r="AN670" s="91"/>
      <c r="AO670" s="91"/>
      <c r="AP670" s="91"/>
      <c r="AQ670" s="91"/>
      <c r="AR670" s="91"/>
      <c r="AS670" s="91"/>
      <c r="AT670" s="91"/>
      <c r="AU670" s="91"/>
      <c r="AV670" s="296"/>
      <c r="AW670" s="296"/>
      <c r="AX670" s="296"/>
      <c r="AY670" s="296"/>
      <c r="AZ670" s="296"/>
      <c r="BA670" s="296"/>
      <c r="BB670" s="296"/>
      <c r="BC670" s="296"/>
      <c r="BD670" s="296"/>
      <c r="BE670" s="296"/>
      <c r="BF670" s="296"/>
      <c r="BG670" s="296"/>
      <c r="BH670" s="296"/>
      <c r="BI670" s="296"/>
      <c r="BJ670" s="296"/>
      <c r="BK670" s="296"/>
      <c r="BL670" s="296"/>
      <c r="BM670" s="296"/>
      <c r="BN670" s="296"/>
      <c r="BO670" s="296"/>
      <c r="BP670" s="296"/>
      <c r="BQ670" s="296"/>
      <c r="BR670" s="296"/>
      <c r="BS670" s="296"/>
      <c r="BT670" s="296"/>
      <c r="BU670" s="296"/>
      <c r="BV670" s="296"/>
      <c r="BW670" s="296"/>
      <c r="BX670" s="296"/>
      <c r="BY670" s="296"/>
      <c r="BZ670" s="9"/>
      <c r="CA670" s="9"/>
      <c r="CB670" s="9"/>
      <c r="CC670" s="9"/>
      <c r="CD670" s="9"/>
    </row>
    <row r="671" spans="1:82">
      <c r="A671" s="242" t="s">
        <v>1144</v>
      </c>
      <c r="B671" s="595" t="str">
        <f ca="1">+B$569</f>
        <v>3Q23</v>
      </c>
      <c r="C671" s="595" t="str">
        <f ca="1">+C$569</f>
        <v>4Q23</v>
      </c>
      <c r="D671" s="595" t="str">
        <f ca="1">+D$569</f>
        <v>1Q24</v>
      </c>
      <c r="E671" s="595" t="str">
        <f ca="1">+E$569</f>
        <v>2Q24</v>
      </c>
      <c r="F671" s="242" t="s">
        <v>1145</v>
      </c>
      <c r="G671" s="242" t="s">
        <v>1147</v>
      </c>
      <c r="H671" s="9"/>
      <c r="I671" s="242" t="s">
        <v>1146</v>
      </c>
      <c r="J671" s="595" t="str">
        <f ca="1">+B$569</f>
        <v>3Q23</v>
      </c>
      <c r="K671" s="595" t="str">
        <f ca="1">+C$569</f>
        <v>4Q23</v>
      </c>
      <c r="L671" s="595" t="str">
        <f ca="1">+D$569</f>
        <v>1Q24</v>
      </c>
      <c r="M671" s="595" t="str">
        <f ca="1">+E$569</f>
        <v>2Q24</v>
      </c>
      <c r="N671" s="242" t="s">
        <v>1148</v>
      </c>
      <c r="O671" s="242" t="s">
        <v>1149</v>
      </c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  <c r="AA671" s="91"/>
      <c r="AB671" s="91"/>
      <c r="AC671" s="91"/>
      <c r="AD671" s="91"/>
      <c r="AE671" s="91"/>
      <c r="AF671" s="91"/>
      <c r="AG671" s="91"/>
      <c r="AH671" s="91"/>
      <c r="AI671" s="91"/>
      <c r="AJ671" s="91"/>
      <c r="AK671" s="91"/>
      <c r="AL671" s="91"/>
      <c r="AM671" s="91"/>
      <c r="AN671" s="91"/>
      <c r="AO671" s="91"/>
      <c r="AP671" s="91"/>
      <c r="AQ671" s="91"/>
      <c r="AR671" s="91"/>
      <c r="AS671" s="91"/>
      <c r="AT671" s="91"/>
      <c r="AU671" s="91"/>
      <c r="AV671" s="296"/>
      <c r="AW671" s="296"/>
      <c r="AX671" s="296"/>
      <c r="AY671" s="296"/>
      <c r="AZ671" s="296"/>
      <c r="BA671" s="296"/>
      <c r="BB671" s="296"/>
      <c r="BC671" s="296"/>
      <c r="BD671" s="296"/>
      <c r="BE671" s="296"/>
      <c r="BF671" s="296"/>
      <c r="BG671" s="296"/>
      <c r="BH671" s="296"/>
      <c r="BI671" s="296"/>
      <c r="BJ671" s="296"/>
      <c r="BK671" s="296"/>
      <c r="BL671" s="296"/>
      <c r="BM671" s="296"/>
      <c r="BN671" s="296"/>
      <c r="BO671" s="296"/>
      <c r="BP671" s="296"/>
      <c r="BQ671" s="296"/>
      <c r="BR671" s="296"/>
      <c r="BS671" s="296"/>
      <c r="BT671" s="296"/>
      <c r="BU671" s="296"/>
      <c r="BV671" s="296"/>
      <c r="BW671" s="296"/>
      <c r="BX671" s="296"/>
      <c r="BY671" s="296"/>
      <c r="BZ671" s="9"/>
      <c r="CA671" s="9"/>
      <c r="CB671" s="9"/>
      <c r="CC671" s="9"/>
      <c r="CD671" s="9"/>
    </row>
    <row r="672" spans="1:82">
      <c r="A672" s="36" t="s">
        <v>735</v>
      </c>
      <c r="B672" s="1092">
        <f ca="1">+OFFSET(Segment!$A$417,MATCH($A672,Segment!$A$417:$A$422,0)-1,MATCH(Charts_Support!B$671,Segment!$B$3:$BR$3,0))</f>
        <v>6035.6919399999997</v>
      </c>
      <c r="C672" s="1092">
        <f ca="1">+OFFSET(Segment!$A$417,MATCH($A672,Segment!$A$417:$A$422,0)-1,MATCH(Charts_Support!C$671,Segment!$B$3:$BR$3,0))</f>
        <v>6044.0078999999996</v>
      </c>
      <c r="D672" s="1092">
        <f ca="1">+OFFSET(Segment!$A$417,MATCH($A672,Segment!$A$417:$A$422,0)-1,MATCH(Charts_Support!D$671,Segment!$B$3:$BR$3,0))</f>
        <v>5460.8483999999999</v>
      </c>
      <c r="E672" s="1092">
        <f ca="1">+OFFSET(Segment!$A$417,MATCH($A672,Segment!$A$417:$A$422,0)-1,MATCH(Charts_Support!E$671,Segment!$B$3:$BR$3,0))</f>
        <v>5776.2123000000001</v>
      </c>
      <c r="F672" s="1093">
        <f t="shared" ref="F672:F677" ca="1" si="410">+SUM(B672:E672)</f>
        <v>23316.760539999999</v>
      </c>
      <c r="G672" s="303">
        <f ca="1">+F672/F$677</f>
        <v>0.30348182577590982</v>
      </c>
      <c r="H672" s="9"/>
      <c r="I672" s="245"/>
      <c r="J672" s="1092">
        <f ca="1">+OFFSET(Segment!$A$435,MATCH($A672,Segment!$A$435:$A$440,0)-1,MATCH(Charts_Support!J$671,Segment!$B$3:$BR$3,0))</f>
        <v>802.8900000000001</v>
      </c>
      <c r="K672" s="1092">
        <f ca="1">+OFFSET(Segment!$A$435,MATCH($A672,Segment!$A$435:$A$440,0)-1,MATCH(Charts_Support!K$671,Segment!$B$3:$BR$3,0))</f>
        <v>900.71</v>
      </c>
      <c r="L672" s="1092">
        <f ca="1">+OFFSET(Segment!$A$435,MATCH($A672,Segment!$A$435:$A$440,0)-1,MATCH(Charts_Support!L$671,Segment!$B$3:$BR$3,0))</f>
        <v>749.7</v>
      </c>
      <c r="M672" s="1092">
        <f ca="1">+OFFSET(Segment!$A$435,MATCH($A672,Segment!$A$435:$A$440,0)-1,MATCH(Charts_Support!M$671,Segment!$B$3:$BR$3,0))</f>
        <v>812.94</v>
      </c>
      <c r="N672" s="1093">
        <f t="shared" ref="N672:N677" ca="1" si="411">+SUM(J672:M672)</f>
        <v>3266.2400000000002</v>
      </c>
      <c r="O672" s="303">
        <f ca="1">+N672/N$677</f>
        <v>0.21513898037149257</v>
      </c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  <c r="AA672" s="91"/>
      <c r="AB672" s="91"/>
      <c r="AC672" s="91"/>
      <c r="AD672" s="91"/>
      <c r="AE672" s="91"/>
      <c r="AF672" s="91"/>
      <c r="AG672" s="91"/>
      <c r="AH672" s="91"/>
      <c r="AI672" s="91"/>
      <c r="AJ672" s="91"/>
      <c r="AK672" s="91"/>
      <c r="AL672" s="91"/>
      <c r="AM672" s="91"/>
      <c r="AN672" s="91"/>
      <c r="AO672" s="91"/>
      <c r="AP672" s="91"/>
      <c r="AQ672" s="91"/>
      <c r="AR672" s="91"/>
      <c r="AS672" s="91"/>
      <c r="AT672" s="91"/>
      <c r="AU672" s="91"/>
      <c r="AV672" s="296"/>
      <c r="AW672" s="296"/>
      <c r="AX672" s="296"/>
      <c r="AY672" s="296"/>
      <c r="AZ672" s="296"/>
      <c r="BA672" s="296"/>
      <c r="BB672" s="296"/>
      <c r="BC672" s="296"/>
      <c r="BD672" s="296"/>
      <c r="BE672" s="296"/>
      <c r="BF672" s="296"/>
      <c r="BG672" s="296"/>
      <c r="BH672" s="296"/>
      <c r="BI672" s="296"/>
      <c r="BJ672" s="296"/>
      <c r="BK672" s="296"/>
      <c r="BL672" s="296"/>
      <c r="BM672" s="296"/>
      <c r="BN672" s="296"/>
      <c r="BO672" s="296"/>
      <c r="BP672" s="296"/>
      <c r="BQ672" s="296"/>
      <c r="BR672" s="296"/>
      <c r="BS672" s="296"/>
      <c r="BT672" s="296"/>
      <c r="BU672" s="296"/>
      <c r="BV672" s="296"/>
      <c r="BW672" s="296"/>
      <c r="BX672" s="296"/>
      <c r="BY672" s="296"/>
      <c r="BZ672" s="9"/>
      <c r="CA672" s="9"/>
      <c r="CB672" s="9"/>
      <c r="CC672" s="9"/>
      <c r="CD672" s="9"/>
    </row>
    <row r="673" spans="1:82">
      <c r="A673" s="36" t="s">
        <v>737</v>
      </c>
      <c r="B673" s="1092">
        <f ca="1">+OFFSET(Segment!$A$417,MATCH($A673,Segment!$A$417:$A$422,0)-1,MATCH(Charts_Support!B$671,Segment!$B$3:$BR$3,0))</f>
        <v>7398.5901199999998</v>
      </c>
      <c r="C673" s="1092">
        <f ca="1">+OFFSET(Segment!$A$417,MATCH($A673,Segment!$A$417:$A$422,0)-1,MATCH(Charts_Support!C$671,Segment!$B$3:$BR$3,0))</f>
        <v>7655.74334</v>
      </c>
      <c r="D673" s="1092">
        <f ca="1">+OFFSET(Segment!$A$417,MATCH($A673,Segment!$A$417:$A$422,0)-1,MATCH(Charts_Support!D$671,Segment!$B$3:$BR$3,0))</f>
        <v>6917.0746400000007</v>
      </c>
      <c r="E673" s="1092">
        <f ca="1">+OFFSET(Segment!$A$417,MATCH($A673,Segment!$A$417:$A$422,0)-1,MATCH(Charts_Support!E$671,Segment!$B$3:$BR$3,0))</f>
        <v>7316.5355800000007</v>
      </c>
      <c r="F673" s="1093">
        <f t="shared" ca="1" si="410"/>
        <v>29287.94368</v>
      </c>
      <c r="G673" s="303">
        <f ca="1">+F673/F$677</f>
        <v>0.38120040757721907</v>
      </c>
      <c r="H673" s="9"/>
      <c r="I673" s="245"/>
      <c r="J673" s="1092">
        <f ca="1">+OFFSET(Segment!$A$435,MATCH($A673,Segment!$A$435:$A$440,0)-1,MATCH(Charts_Support!J$671,Segment!$B$3:$BR$3,0))</f>
        <v>1884.09</v>
      </c>
      <c r="K673" s="1092">
        <f ca="1">+OFFSET(Segment!$A$435,MATCH($A673,Segment!$A$435:$A$440,0)-1,MATCH(Charts_Support!K$671,Segment!$B$3:$BR$3,0))</f>
        <v>1903.73</v>
      </c>
      <c r="L673" s="1092">
        <f ca="1">+OFFSET(Segment!$A$435,MATCH($A673,Segment!$A$435:$A$440,0)-1,MATCH(Charts_Support!L$671,Segment!$B$3:$BR$3,0))</f>
        <v>1769.22</v>
      </c>
      <c r="M673" s="1092">
        <f ca="1">+OFFSET(Segment!$A$435,MATCH($A673,Segment!$A$435:$A$440,0)-1,MATCH(Charts_Support!M$671,Segment!$B$3:$BR$3,0))</f>
        <v>1831.35</v>
      </c>
      <c r="N673" s="1093">
        <f t="shared" ca="1" si="411"/>
        <v>7388.3899999999994</v>
      </c>
      <c r="O673" s="303">
        <f ca="1">+N673/N$677</f>
        <v>0.48665459096298241</v>
      </c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  <c r="AA673" s="91"/>
      <c r="AB673" s="91"/>
      <c r="AC673" s="91"/>
      <c r="AD673" s="91"/>
      <c r="AE673" s="91"/>
      <c r="AF673" s="91"/>
      <c r="AG673" s="91"/>
      <c r="AH673" s="91"/>
      <c r="AI673" s="91"/>
      <c r="AJ673" s="91"/>
      <c r="AK673" s="91"/>
      <c r="AL673" s="91"/>
      <c r="AM673" s="91"/>
      <c r="AN673" s="91"/>
      <c r="AO673" s="91"/>
      <c r="AP673" s="91"/>
      <c r="AQ673" s="91"/>
      <c r="AR673" s="91"/>
      <c r="AS673" s="91"/>
      <c r="AT673" s="91"/>
      <c r="AU673" s="91"/>
      <c r="AV673" s="296"/>
      <c r="AW673" s="296"/>
      <c r="AX673" s="296"/>
      <c r="AY673" s="296"/>
      <c r="AZ673" s="296"/>
      <c r="BA673" s="296"/>
      <c r="BB673" s="296"/>
      <c r="BC673" s="296"/>
      <c r="BD673" s="296"/>
      <c r="BE673" s="296"/>
      <c r="BF673" s="296"/>
      <c r="BG673" s="296"/>
      <c r="BH673" s="296"/>
      <c r="BI673" s="296"/>
      <c r="BJ673" s="296"/>
      <c r="BK673" s="296"/>
      <c r="BL673" s="296"/>
      <c r="BM673" s="296"/>
      <c r="BN673" s="296"/>
      <c r="BO673" s="296"/>
      <c r="BP673" s="296"/>
      <c r="BQ673" s="296"/>
      <c r="BR673" s="296"/>
      <c r="BS673" s="296"/>
      <c r="BT673" s="296"/>
      <c r="BU673" s="296"/>
      <c r="BV673" s="296"/>
      <c r="BW673" s="296"/>
      <c r="BX673" s="296"/>
      <c r="BY673" s="296"/>
      <c r="BZ673" s="9"/>
      <c r="CA673" s="9"/>
      <c r="CB673" s="9"/>
      <c r="CC673" s="9"/>
      <c r="CD673" s="9"/>
    </row>
    <row r="674" spans="1:82">
      <c r="A674" s="36" t="s">
        <v>736</v>
      </c>
      <c r="B674" s="1092">
        <f ca="1">+OFFSET(Segment!$A$417,MATCH($A674,Segment!$A$417:$A$422,0)-1,MATCH(Charts_Support!B$671,Segment!$B$3:$BR$3,0))</f>
        <v>2920.4960999999998</v>
      </c>
      <c r="C674" s="1092">
        <f ca="1">+OFFSET(Segment!$A$417,MATCH($A674,Segment!$A$417:$A$422,0)-1,MATCH(Charts_Support!C$671,Segment!$B$3:$BR$3,0))</f>
        <v>3022.0039499999993</v>
      </c>
      <c r="D674" s="1092">
        <f ca="1">+OFFSET(Segment!$A$417,MATCH($A674,Segment!$A$417:$A$422,0)-1,MATCH(Charts_Support!D$671,Segment!$B$3:$BR$3,0))</f>
        <v>2730.4241999999995</v>
      </c>
      <c r="E674" s="1092">
        <f ca="1">+OFFSET(Segment!$A$417,MATCH($A674,Segment!$A$417:$A$422,0)-1,MATCH(Charts_Support!E$671,Segment!$B$3:$BR$3,0))</f>
        <v>2888.1061499999996</v>
      </c>
      <c r="F674" s="1093">
        <f t="shared" ca="1" si="410"/>
        <v>11561.030399999998</v>
      </c>
      <c r="G674" s="303">
        <f ca="1">+F674/F$677</f>
        <v>0.15047384509627065</v>
      </c>
      <c r="H674" s="9"/>
      <c r="I674" s="245"/>
      <c r="J674" s="1092">
        <f ca="1">+OFFSET(Segment!$A$435,MATCH($A674,Segment!$A$435:$A$440,0)-1,MATCH(Charts_Support!J$671,Segment!$B$3:$BR$3,0))</f>
        <v>615.45000000000005</v>
      </c>
      <c r="K674" s="1092">
        <f ca="1">+OFFSET(Segment!$A$435,MATCH($A674,Segment!$A$435:$A$440,0)-1,MATCH(Charts_Support!K$671,Segment!$B$3:$BR$3,0))</f>
        <v>730.13000000000011</v>
      </c>
      <c r="L674" s="1092">
        <f ca="1">+OFFSET(Segment!$A$435,MATCH($A674,Segment!$A$435:$A$440,0)-1,MATCH(Charts_Support!L$671,Segment!$B$3:$BR$3,0))</f>
        <v>596.16000000000008</v>
      </c>
      <c r="M674" s="1092">
        <f ca="1">+OFFSET(Segment!$A$435,MATCH($A674,Segment!$A$435:$A$440,0)-1,MATCH(Charts_Support!M$671,Segment!$B$3:$BR$3,0))</f>
        <v>641.56999999999994</v>
      </c>
      <c r="N674" s="1093">
        <f t="shared" ca="1" si="411"/>
        <v>2583.3100000000004</v>
      </c>
      <c r="O674" s="303">
        <f ca="1">+N674/N$677</f>
        <v>0.17015610591489924</v>
      </c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  <c r="AA674" s="91"/>
      <c r="AB674" s="91"/>
      <c r="AC674" s="91"/>
      <c r="AD674" s="91"/>
      <c r="AE674" s="91"/>
      <c r="AF674" s="91"/>
      <c r="AG674" s="91"/>
      <c r="AH674" s="91"/>
      <c r="AI674" s="91"/>
      <c r="AJ674" s="91"/>
      <c r="AK674" s="91"/>
      <c r="AL674" s="91"/>
      <c r="AM674" s="91"/>
      <c r="AN674" s="91"/>
      <c r="AO674" s="91"/>
      <c r="AP674" s="91"/>
      <c r="AQ674" s="91"/>
      <c r="AR674" s="91"/>
      <c r="AS674" s="91"/>
      <c r="AT674" s="91"/>
      <c r="AU674" s="91"/>
      <c r="AV674" s="296"/>
      <c r="AW674" s="296"/>
      <c r="AX674" s="296"/>
      <c r="AY674" s="296"/>
      <c r="AZ674" s="296"/>
      <c r="BA674" s="296"/>
      <c r="BB674" s="296"/>
      <c r="BC674" s="296"/>
      <c r="BD674" s="296"/>
      <c r="BE674" s="296"/>
      <c r="BF674" s="296"/>
      <c r="BG674" s="296"/>
      <c r="BH674" s="296"/>
      <c r="BI674" s="296"/>
      <c r="BJ674" s="296"/>
      <c r="BK674" s="296"/>
      <c r="BL674" s="296"/>
      <c r="BM674" s="296"/>
      <c r="BN674" s="296"/>
      <c r="BO674" s="296"/>
      <c r="BP674" s="296"/>
      <c r="BQ674" s="296"/>
      <c r="BR674" s="296"/>
      <c r="BS674" s="296"/>
      <c r="BT674" s="296"/>
      <c r="BU674" s="296"/>
      <c r="BV674" s="296"/>
      <c r="BW674" s="296"/>
      <c r="BX674" s="296"/>
      <c r="BY674" s="296"/>
      <c r="BZ674" s="9"/>
      <c r="CA674" s="9"/>
      <c r="CB674" s="9"/>
      <c r="CC674" s="9"/>
      <c r="CD674" s="9"/>
    </row>
    <row r="675" spans="1:82">
      <c r="A675" s="36" t="s">
        <v>738</v>
      </c>
      <c r="B675" s="1092">
        <f ca="1">+OFFSET(Segment!$A$417,MATCH($A675,Segment!$A$417:$A$422,0)-1,MATCH(Charts_Support!B$671,Segment!$B$3:$BR$3,0))</f>
        <v>2531.0966199999998</v>
      </c>
      <c r="C675" s="1092">
        <f ca="1">+OFFSET(Segment!$A$417,MATCH($A675,Segment!$A$417:$A$422,0)-1,MATCH(Charts_Support!C$671,Segment!$B$3:$BR$3,0))</f>
        <v>2820.5370200000002</v>
      </c>
      <c r="D675" s="1092">
        <f ca="1">+OFFSET(Segment!$A$417,MATCH($A675,Segment!$A$417:$A$422,0)-1,MATCH(Charts_Support!D$671,Segment!$B$3:$BR$3,0))</f>
        <v>2548.3959200000004</v>
      </c>
      <c r="E675" s="1092">
        <f ca="1">+OFFSET(Segment!$A$417,MATCH($A675,Segment!$A$417:$A$422,0)-1,MATCH(Charts_Support!E$671,Segment!$B$3:$BR$3,0))</f>
        <v>2695.5657400000005</v>
      </c>
      <c r="F675" s="1093">
        <f t="shared" ca="1" si="410"/>
        <v>10595.595300000001</v>
      </c>
      <c r="G675" s="303">
        <f ca="1">+F675/F$677</f>
        <v>0.13790811983981754</v>
      </c>
      <c r="H675" s="9"/>
      <c r="I675" s="245"/>
      <c r="J675" s="1092">
        <f ca="1">+OFFSET(Segment!$A$435,MATCH($A675,Segment!$A$435:$A$440,0)-1,MATCH(Charts_Support!J$671,Segment!$B$3:$BR$3,0))</f>
        <v>382.89</v>
      </c>
      <c r="K675" s="1092">
        <f ca="1">+OFFSET(Segment!$A$435,MATCH($A675,Segment!$A$435:$A$440,0)-1,MATCH(Charts_Support!K$671,Segment!$B$3:$BR$3,0))</f>
        <v>445.83</v>
      </c>
      <c r="L675" s="1092">
        <f ca="1">+OFFSET(Segment!$A$435,MATCH($A675,Segment!$A$435:$A$440,0)-1,MATCH(Charts_Support!L$671,Segment!$B$3:$BR$3,0))</f>
        <v>394.02</v>
      </c>
      <c r="M675" s="1092">
        <f ca="1">+OFFSET(Segment!$A$435,MATCH($A675,Segment!$A$435:$A$440,0)-1,MATCH(Charts_Support!M$671,Segment!$B$3:$BR$3,0))</f>
        <v>428.85</v>
      </c>
      <c r="N675" s="1093">
        <f t="shared" ca="1" si="411"/>
        <v>1651.5900000000001</v>
      </c>
      <c r="O675" s="303">
        <f ca="1">+N675/N$677</f>
        <v>0.10878606244236597</v>
      </c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  <c r="AA675" s="91"/>
      <c r="AB675" s="91"/>
      <c r="AC675" s="91"/>
      <c r="AD675" s="91"/>
      <c r="AE675" s="91"/>
      <c r="AF675" s="91"/>
      <c r="AG675" s="91"/>
      <c r="AH675" s="91"/>
      <c r="AI675" s="91"/>
      <c r="AJ675" s="91"/>
      <c r="AK675" s="91"/>
      <c r="AL675" s="91"/>
      <c r="AM675" s="91"/>
      <c r="AN675" s="91"/>
      <c r="AO675" s="91"/>
      <c r="AP675" s="91"/>
      <c r="AQ675" s="91"/>
      <c r="AR675" s="91"/>
      <c r="AS675" s="91"/>
      <c r="AT675" s="91"/>
      <c r="AU675" s="91"/>
      <c r="AV675" s="296"/>
      <c r="AW675" s="296"/>
      <c r="AX675" s="296"/>
      <c r="AY675" s="296"/>
      <c r="AZ675" s="296"/>
      <c r="BA675" s="296"/>
      <c r="BB675" s="296"/>
      <c r="BC675" s="296"/>
      <c r="BD675" s="296"/>
      <c r="BE675" s="296"/>
      <c r="BF675" s="296"/>
      <c r="BG675" s="296"/>
      <c r="BH675" s="296"/>
      <c r="BI675" s="296"/>
      <c r="BJ675" s="296"/>
      <c r="BK675" s="296"/>
      <c r="BL675" s="296"/>
      <c r="BM675" s="296"/>
      <c r="BN675" s="296"/>
      <c r="BO675" s="296"/>
      <c r="BP675" s="296"/>
      <c r="BQ675" s="296"/>
      <c r="BR675" s="296"/>
      <c r="BS675" s="296"/>
      <c r="BT675" s="296"/>
      <c r="BU675" s="296"/>
      <c r="BV675" s="296"/>
      <c r="BW675" s="296"/>
      <c r="BX675" s="296"/>
      <c r="BY675" s="296"/>
      <c r="BZ675" s="9"/>
      <c r="CA675" s="9"/>
      <c r="CB675" s="9"/>
      <c r="CC675" s="9"/>
      <c r="CD675" s="9"/>
    </row>
    <row r="676" spans="1:82">
      <c r="A676" s="36" t="s">
        <v>1043</v>
      </c>
      <c r="B676" s="1092">
        <f ca="1">+OFFSET(Segment!$A$276,MATCH($A676,Segment!$A$276:$A$290,0)-1,MATCH(Charts_Support!B$671,Segment!$B$3:$BR$3,0))</f>
        <v>495</v>
      </c>
      <c r="C676" s="1092">
        <f ca="1">+OFFSET(Segment!$A$276,MATCH($A676,Segment!$A$276:$A$290,0)-1,MATCH(Charts_Support!C$671,Segment!$B$3:$BR$3,0))</f>
        <v>533.70000000000005</v>
      </c>
      <c r="D676" s="1092">
        <f ca="1">+OFFSET(Segment!$A$276,MATCH($A676,Segment!$A$276:$A$290,0)-1,MATCH(Charts_Support!D$671,Segment!$B$3:$BR$3,0))</f>
        <v>506.1</v>
      </c>
      <c r="E676" s="1092">
        <f ca="1">+OFFSET(Segment!$A$276,MATCH($A676,Segment!$A$276:$A$290,0)-1,MATCH(Charts_Support!E$671,Segment!$B$3:$BR$3,0))</f>
        <v>534.70000000000005</v>
      </c>
      <c r="F676" s="1093">
        <f t="shared" ca="1" si="410"/>
        <v>2069.5</v>
      </c>
      <c r="G676" s="303">
        <f ca="1">+F676/F$677</f>
        <v>2.693580171078282E-2</v>
      </c>
      <c r="H676" s="9"/>
      <c r="I676" s="245"/>
      <c r="J676" s="1092">
        <f ca="1">+OFFSET(Segment!$A$311,MATCH($A676,Segment!$A$311:$A$325,0)-1,MATCH(Charts_Support!J$671,Segment!$B$3:$BR$3,0))</f>
        <v>67.679999999999993</v>
      </c>
      <c r="K676" s="1092">
        <f ca="1">+OFFSET(Segment!$A$311,MATCH($A676,Segment!$A$311:$A$325,0)-1,MATCH(Charts_Support!K$671,Segment!$B$3:$BR$3,0))</f>
        <v>72.599999999999994</v>
      </c>
      <c r="L676" s="1092">
        <f ca="1">+OFFSET(Segment!$A$311,MATCH($A676,Segment!$A$311:$A$325,0)-1,MATCH(Charts_Support!L$671,Segment!$B$3:$BR$3,0))</f>
        <v>72.899999999999991</v>
      </c>
      <c r="M676" s="1092">
        <f ca="1">+OFFSET(Segment!$A$311,MATCH($A676,Segment!$A$311:$A$325,0)-1,MATCH(Charts_Support!M$671,Segment!$B$3:$BR$3,0))</f>
        <v>79.289999999999992</v>
      </c>
      <c r="N676" s="1093">
        <f t="shared" ca="1" si="411"/>
        <v>292.46999999999991</v>
      </c>
      <c r="O676" s="303">
        <f ca="1">+N676/N$677</f>
        <v>1.9264260308259777E-2</v>
      </c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  <c r="AA676" s="91"/>
      <c r="AB676" s="91"/>
      <c r="AC676" s="91"/>
      <c r="AD676" s="91"/>
      <c r="AE676" s="91"/>
      <c r="AF676" s="91"/>
      <c r="AG676" s="91"/>
      <c r="AH676" s="91"/>
      <c r="AI676" s="91"/>
      <c r="AJ676" s="91"/>
      <c r="AK676" s="91"/>
      <c r="AL676" s="91"/>
      <c r="AM676" s="91"/>
      <c r="AN676" s="91"/>
      <c r="AO676" s="91"/>
      <c r="AP676" s="91"/>
      <c r="AQ676" s="91"/>
      <c r="AR676" s="91"/>
      <c r="AS676" s="91"/>
      <c r="AT676" s="91"/>
      <c r="AU676" s="91"/>
      <c r="AV676" s="296"/>
      <c r="AW676" s="296"/>
      <c r="AX676" s="296"/>
      <c r="AY676" s="296"/>
      <c r="AZ676" s="296"/>
      <c r="BA676" s="296"/>
      <c r="BB676" s="296"/>
      <c r="BC676" s="296"/>
      <c r="BD676" s="296"/>
      <c r="BE676" s="296"/>
      <c r="BF676" s="296"/>
      <c r="BG676" s="296"/>
      <c r="BH676" s="296"/>
      <c r="BI676" s="296"/>
      <c r="BJ676" s="296"/>
      <c r="BK676" s="296"/>
      <c r="BL676" s="296"/>
      <c r="BM676" s="296"/>
      <c r="BN676" s="296"/>
      <c r="BO676" s="296"/>
      <c r="BP676" s="296"/>
      <c r="BQ676" s="296"/>
      <c r="BR676" s="296"/>
      <c r="BS676" s="296"/>
      <c r="BT676" s="296"/>
      <c r="BU676" s="296"/>
      <c r="BV676" s="296"/>
      <c r="BW676" s="296"/>
      <c r="BX676" s="296"/>
      <c r="BY676" s="296"/>
      <c r="BZ676" s="9"/>
      <c r="CA676" s="9"/>
      <c r="CB676" s="9"/>
      <c r="CC676" s="9"/>
      <c r="CD676" s="9"/>
    </row>
    <row r="677" spans="1:82">
      <c r="A677" s="513" t="s">
        <v>325</v>
      </c>
      <c r="B677" s="1142">
        <f ca="1">+SUM(B672:B676)</f>
        <v>19380.874779999998</v>
      </c>
      <c r="C677" s="1142">
        <f ca="1">+SUM(C672:C676)</f>
        <v>20075.99221</v>
      </c>
      <c r="D677" s="1142">
        <f ca="1">+SUM(D672:D676)</f>
        <v>18162.84316</v>
      </c>
      <c r="E677" s="1142">
        <f ca="1">+SUM(E672:E676)</f>
        <v>19211.119770000001</v>
      </c>
      <c r="F677" s="1093">
        <f t="shared" ca="1" si="410"/>
        <v>76830.829920000004</v>
      </c>
      <c r="G677" s="1144">
        <f ca="1">+SUM(G672:G676)</f>
        <v>0.99999999999999978</v>
      </c>
      <c r="H677" s="9"/>
      <c r="I677" s="245"/>
      <c r="J677" s="1142">
        <f ca="1">+SUM(J672:J676)</f>
        <v>3753</v>
      </c>
      <c r="K677" s="1142">
        <f ca="1">+SUM(K672:K676)</f>
        <v>4053</v>
      </c>
      <c r="L677" s="1142">
        <f ca="1">+SUM(L672:L676)</f>
        <v>3582</v>
      </c>
      <c r="M677" s="1142">
        <f ca="1">+SUM(M672:M676)</f>
        <v>3793.9999999999995</v>
      </c>
      <c r="N677" s="1093">
        <f t="shared" ca="1" si="411"/>
        <v>15182</v>
      </c>
      <c r="O677" s="1144">
        <f ca="1">+SUM(O672:O676)</f>
        <v>1</v>
      </c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  <c r="AA677" s="91"/>
      <c r="AB677" s="91"/>
      <c r="AC677" s="91"/>
      <c r="AD677" s="91"/>
      <c r="AE677" s="91"/>
      <c r="AF677" s="91"/>
      <c r="AG677" s="91"/>
      <c r="AH677" s="91"/>
      <c r="AI677" s="91"/>
      <c r="AJ677" s="91"/>
      <c r="AK677" s="91"/>
      <c r="AL677" s="91"/>
      <c r="AM677" s="91"/>
      <c r="AN677" s="91"/>
      <c r="AO677" s="91"/>
      <c r="AP677" s="91"/>
      <c r="AQ677" s="91"/>
      <c r="AR677" s="91"/>
      <c r="AS677" s="91"/>
      <c r="AT677" s="91"/>
      <c r="AU677" s="91"/>
      <c r="AV677" s="296"/>
      <c r="AW677" s="296"/>
      <c r="AX677" s="296"/>
      <c r="AY677" s="296"/>
      <c r="AZ677" s="296"/>
      <c r="BA677" s="296"/>
      <c r="BB677" s="296"/>
      <c r="BC677" s="296"/>
      <c r="BD677" s="296"/>
      <c r="BE677" s="296"/>
      <c r="BF677" s="296"/>
      <c r="BG677" s="296"/>
      <c r="BH677" s="296"/>
      <c r="BI677" s="296"/>
      <c r="BJ677" s="296"/>
      <c r="BK677" s="296"/>
      <c r="BL677" s="296"/>
      <c r="BM677" s="296"/>
      <c r="BN677" s="296"/>
      <c r="BO677" s="296"/>
      <c r="BP677" s="296"/>
      <c r="BQ677" s="296"/>
      <c r="BR677" s="296"/>
      <c r="BS677" s="296"/>
      <c r="BT677" s="296"/>
      <c r="BU677" s="296"/>
      <c r="BV677" s="296"/>
      <c r="BW677" s="296"/>
      <c r="BX677" s="296"/>
      <c r="BY677" s="296"/>
      <c r="BZ677" s="9"/>
      <c r="CA677" s="9"/>
      <c r="CB677" s="9"/>
      <c r="CC677" s="9"/>
      <c r="CD677" s="9"/>
    </row>
    <row r="678" spans="1:82">
      <c r="A678" s="342"/>
      <c r="B678" s="1092"/>
      <c r="C678" s="1092"/>
      <c r="D678" s="1092"/>
      <c r="E678" s="1092"/>
      <c r="F678" s="1093"/>
      <c r="G678" s="303"/>
      <c r="H678" s="9"/>
      <c r="I678" s="245"/>
      <c r="J678" s="1092"/>
      <c r="K678" s="1092"/>
      <c r="L678" s="1092"/>
      <c r="M678" s="1092"/>
      <c r="N678" s="1093"/>
      <c r="O678" s="303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  <c r="AA678" s="91"/>
      <c r="AB678" s="91"/>
      <c r="AC678" s="91"/>
      <c r="AD678" s="91"/>
      <c r="AE678" s="91"/>
      <c r="AF678" s="91"/>
      <c r="AG678" s="91"/>
      <c r="AH678" s="91"/>
      <c r="AI678" s="91"/>
      <c r="AJ678" s="91"/>
      <c r="AK678" s="91"/>
      <c r="AL678" s="91"/>
      <c r="AM678" s="91"/>
      <c r="AN678" s="91"/>
      <c r="AO678" s="91"/>
      <c r="AP678" s="91"/>
      <c r="AQ678" s="91"/>
      <c r="AR678" s="91"/>
      <c r="AS678" s="91"/>
      <c r="AT678" s="91"/>
      <c r="AU678" s="91"/>
      <c r="AV678" s="296"/>
      <c r="AW678" s="296"/>
      <c r="AX678" s="296"/>
      <c r="AY678" s="296"/>
      <c r="AZ678" s="296"/>
      <c r="BA678" s="296"/>
      <c r="BB678" s="296"/>
      <c r="BC678" s="296"/>
      <c r="BD678" s="296"/>
      <c r="BE678" s="296"/>
      <c r="BF678" s="296"/>
      <c r="BG678" s="296"/>
      <c r="BH678" s="296"/>
      <c r="BI678" s="296"/>
      <c r="BJ678" s="296"/>
      <c r="BK678" s="296"/>
      <c r="BL678" s="296"/>
      <c r="BM678" s="296"/>
      <c r="BN678" s="296"/>
      <c r="BO678" s="296"/>
      <c r="BP678" s="296"/>
      <c r="BQ678" s="296"/>
      <c r="BR678" s="296"/>
      <c r="BS678" s="296"/>
      <c r="BT678" s="296"/>
      <c r="BU678" s="296"/>
      <c r="BV678" s="296"/>
      <c r="BW678" s="296"/>
      <c r="BX678" s="296"/>
      <c r="BY678" s="296"/>
      <c r="BZ678" s="9"/>
      <c r="CA678" s="9"/>
      <c r="CB678" s="9"/>
      <c r="CC678" s="9"/>
      <c r="CD678" s="9"/>
    </row>
    <row r="679" spans="1:82">
      <c r="A679" s="9"/>
      <c r="B679" s="9"/>
      <c r="C679" s="9"/>
      <c r="D679" s="9"/>
      <c r="E679" s="9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  <c r="AA679" s="91"/>
      <c r="AB679" s="91"/>
      <c r="AC679" s="91"/>
      <c r="AD679" s="91"/>
      <c r="AE679" s="91"/>
      <c r="AF679" s="91"/>
      <c r="AG679" s="91"/>
      <c r="AH679" s="91"/>
      <c r="AI679" s="91"/>
      <c r="AJ679" s="91"/>
      <c r="AK679" s="91"/>
      <c r="AL679" s="91"/>
      <c r="AM679" s="91"/>
      <c r="AN679" s="91"/>
      <c r="AO679" s="91"/>
      <c r="AP679" s="91"/>
      <c r="AQ679" s="91"/>
      <c r="AR679" s="91"/>
      <c r="AS679" s="91"/>
      <c r="AT679" s="91"/>
      <c r="AU679" s="91"/>
      <c r="AV679" s="296"/>
      <c r="AW679" s="296"/>
      <c r="AX679" s="296"/>
      <c r="AY679" s="296"/>
      <c r="AZ679" s="296"/>
      <c r="BA679" s="296"/>
      <c r="BB679" s="296"/>
      <c r="BC679" s="296"/>
      <c r="BD679" s="296"/>
      <c r="BE679" s="296"/>
      <c r="BF679" s="296"/>
      <c r="BG679" s="296"/>
      <c r="BH679" s="296"/>
      <c r="BI679" s="296"/>
      <c r="BJ679" s="296"/>
      <c r="BK679" s="296"/>
      <c r="BL679" s="296"/>
      <c r="BM679" s="296"/>
      <c r="BN679" s="296"/>
      <c r="BO679" s="296"/>
      <c r="BP679" s="296"/>
      <c r="BQ679" s="296"/>
      <c r="BR679" s="296"/>
      <c r="BS679" s="296"/>
      <c r="BT679" s="296"/>
      <c r="BU679" s="296"/>
      <c r="BV679" s="296"/>
      <c r="BW679" s="296"/>
      <c r="BX679" s="296"/>
      <c r="BY679" s="296"/>
      <c r="BZ679" s="9"/>
      <c r="CA679" s="9"/>
      <c r="CB679" s="9"/>
      <c r="CC679" s="9"/>
      <c r="CD679" s="9"/>
    </row>
    <row r="680" spans="1:82">
      <c r="A680" s="239" t="s">
        <v>1046</v>
      </c>
      <c r="B680" s="1085"/>
      <c r="C680" s="1085"/>
      <c r="D680" s="1085"/>
      <c r="E680" s="1085"/>
      <c r="F680" s="1085"/>
      <c r="G680" s="1085"/>
      <c r="H680" s="1085"/>
      <c r="I680" s="1085"/>
      <c r="J680" s="1085"/>
      <c r="K680" s="1085"/>
      <c r="L680" s="1085"/>
      <c r="M680" s="1085"/>
      <c r="N680" s="1085"/>
      <c r="O680" s="1085"/>
      <c r="P680" s="1085"/>
      <c r="Q680" s="1085"/>
      <c r="R680" s="1085"/>
      <c r="S680" s="1085"/>
      <c r="T680" s="1085"/>
      <c r="U680" s="1085"/>
      <c r="V680" s="1085"/>
      <c r="W680" s="1085"/>
      <c r="X680" s="1085"/>
      <c r="Y680" s="1085"/>
      <c r="Z680" s="1085"/>
      <c r="AA680" s="1085"/>
      <c r="AB680" s="1085"/>
      <c r="AC680" s="1085"/>
      <c r="AD680" s="1085"/>
      <c r="AE680" s="1085"/>
      <c r="AF680" s="1085"/>
      <c r="AG680" s="1085"/>
      <c r="AH680" s="1085"/>
      <c r="AI680" s="1085"/>
      <c r="AJ680" s="1085"/>
      <c r="AK680" s="1085"/>
      <c r="AL680" s="1085"/>
      <c r="AM680" s="1085"/>
      <c r="AN680" s="1085"/>
      <c r="AO680" s="1085"/>
      <c r="AP680" s="1085"/>
      <c r="AQ680" s="1085"/>
      <c r="AR680" s="1085"/>
      <c r="AS680" s="1085"/>
      <c r="AT680" s="1085"/>
      <c r="AU680" s="1085"/>
      <c r="AV680" s="1085"/>
      <c r="AW680" s="1085"/>
      <c r="AX680" s="1085"/>
      <c r="AY680" s="1085"/>
      <c r="AZ680" s="1085"/>
      <c r="BA680" s="1085"/>
      <c r="BB680" s="1085"/>
      <c r="BC680" s="1085"/>
      <c r="BD680" s="1085"/>
      <c r="BE680" s="1085"/>
      <c r="BF680" s="1085"/>
      <c r="BG680" s="1085"/>
      <c r="BH680" s="1085"/>
      <c r="BI680" s="1085"/>
      <c r="BJ680" s="1085"/>
      <c r="BK680" s="1085"/>
      <c r="BL680" s="1085"/>
      <c r="BM680" s="1085"/>
      <c r="BN680" s="1085"/>
      <c r="BO680" s="1085"/>
      <c r="BP680" s="1085"/>
      <c r="BQ680" s="1085"/>
      <c r="BR680" s="1085"/>
      <c r="BS680" s="1085"/>
      <c r="BT680" s="1085"/>
      <c r="BU680" s="1085"/>
      <c r="BV680" s="1085"/>
      <c r="BW680" s="1085"/>
      <c r="BX680" s="1085"/>
      <c r="BY680" s="1085"/>
      <c r="BZ680" s="1085"/>
      <c r="CA680" s="1085"/>
      <c r="CB680" s="1085"/>
      <c r="CC680" s="1085"/>
      <c r="CD680" s="1085"/>
    </row>
    <row r="681" spans="1:82">
      <c r="A681" s="242" t="s">
        <v>1056</v>
      </c>
      <c r="B681" s="595" t="str">
        <f ca="1">Charts_Support!H655</f>
        <v>3Q23</v>
      </c>
      <c r="C681" s="595" t="str">
        <f ca="1">Charts_Support!I655</f>
        <v>4Q23</v>
      </c>
      <c r="D681" s="595" t="str">
        <f ca="1">Charts_Support!J655</f>
        <v>1Q24</v>
      </c>
      <c r="E681" s="595" t="str">
        <f ca="1">Charts_Support!K655</f>
        <v>2Q24</v>
      </c>
      <c r="F681" s="91"/>
      <c r="G681" s="9"/>
      <c r="H681" s="9"/>
      <c r="I681" s="9"/>
      <c r="J681" s="9"/>
      <c r="K681" s="9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  <c r="AA681" s="91"/>
      <c r="AB681" s="91"/>
      <c r="AC681" s="91"/>
      <c r="AD681" s="91"/>
      <c r="AE681" s="91"/>
      <c r="AF681" s="91"/>
      <c r="AG681" s="91"/>
      <c r="AH681" s="91"/>
      <c r="AI681" s="91"/>
      <c r="AJ681" s="91"/>
      <c r="AK681" s="91"/>
      <c r="AL681" s="91"/>
      <c r="AM681" s="91"/>
      <c r="AN681" s="91"/>
      <c r="AO681" s="91"/>
      <c r="AP681" s="91"/>
      <c r="AQ681" s="91"/>
      <c r="AR681" s="91"/>
      <c r="AS681" s="91"/>
      <c r="AT681" s="91"/>
      <c r="AU681" s="91"/>
      <c r="AV681" s="296"/>
      <c r="AW681" s="296"/>
      <c r="AX681" s="296"/>
      <c r="AY681" s="296"/>
      <c r="AZ681" s="296"/>
      <c r="BA681" s="296"/>
      <c r="BB681" s="296"/>
      <c r="BC681" s="296"/>
      <c r="BD681" s="296"/>
      <c r="BE681" s="296"/>
      <c r="BF681" s="296"/>
      <c r="BG681" s="296"/>
      <c r="BH681" s="296"/>
      <c r="BI681" s="296"/>
      <c r="BJ681" s="296"/>
      <c r="BK681" s="296"/>
      <c r="BL681" s="296"/>
      <c r="BM681" s="296"/>
      <c r="BN681" s="296"/>
      <c r="BO681" s="296"/>
      <c r="BP681" s="296"/>
      <c r="BQ681" s="296"/>
      <c r="BR681" s="296"/>
      <c r="BS681" s="296"/>
      <c r="BT681" s="296"/>
      <c r="BU681" s="296"/>
      <c r="BV681" s="296"/>
      <c r="BW681" s="296"/>
      <c r="BX681" s="296"/>
      <c r="BY681" s="296"/>
      <c r="BZ681" s="9"/>
      <c r="CA681" s="9"/>
      <c r="CB681" s="9"/>
      <c r="CC681" s="9"/>
      <c r="CD681" s="9"/>
    </row>
    <row r="682" spans="1:82">
      <c r="A682" s="36" t="s">
        <v>731</v>
      </c>
      <c r="B682" s="1092">
        <f ca="1">+INDEX(Segment!$A$462:$BR$468,MATCH($A682,Segment!$A$462:$A$468,0),MATCH(B$681,IS!$A$60:$BR$60,0))</f>
        <v>2248</v>
      </c>
      <c r="C682" s="1092">
        <f ca="1">+INDEX(Segment!$A$462:$BR$468,MATCH($A682,Segment!$A$462:$A$468,0),MATCH(C$681,IS!$A$60:$BR$60,0))</f>
        <v>2313</v>
      </c>
      <c r="D682" s="1092">
        <f ca="1">+INDEX(Segment!$A$462:$BR$468,MATCH($A682,Segment!$A$462:$A$468,0),MATCH(D$681,IS!$A$60:$BR$60,0))</f>
        <v>2331</v>
      </c>
      <c r="E682" s="1092">
        <f ca="1">+INDEX(Segment!$A$462:$BR$468,MATCH($A682,Segment!$A$462:$A$468,0),MATCH(E$681,IS!$A$60:$BR$60,0))</f>
        <v>2358</v>
      </c>
      <c r="F682" s="91"/>
      <c r="G682" s="9"/>
      <c r="H682" s="9"/>
      <c r="I682" s="9"/>
      <c r="J682" s="9"/>
      <c r="K682" s="9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  <c r="AA682" s="91"/>
      <c r="AB682" s="91"/>
      <c r="AC682" s="91"/>
      <c r="AD682" s="91"/>
      <c r="AE682" s="91"/>
      <c r="AF682" s="91"/>
      <c r="AG682" s="91"/>
      <c r="AH682" s="91"/>
      <c r="AI682" s="91"/>
      <c r="AJ682" s="91"/>
      <c r="AK682" s="91"/>
      <c r="AL682" s="91"/>
      <c r="AM682" s="91"/>
      <c r="AN682" s="91"/>
      <c r="AO682" s="91"/>
      <c r="AP682" s="91"/>
      <c r="AQ682" s="91"/>
      <c r="AR682" s="91"/>
      <c r="AS682" s="91"/>
      <c r="AT682" s="91"/>
      <c r="AU682" s="91"/>
      <c r="AV682" s="296"/>
      <c r="AW682" s="296"/>
      <c r="AX682" s="296"/>
      <c r="AY682" s="296"/>
      <c r="AZ682" s="296"/>
      <c r="BA682" s="296"/>
      <c r="BB682" s="296"/>
      <c r="BC682" s="296"/>
      <c r="BD682" s="296"/>
      <c r="BE682" s="296"/>
      <c r="BF682" s="296"/>
      <c r="BG682" s="296"/>
      <c r="BH682" s="296"/>
      <c r="BI682" s="296"/>
      <c r="BJ682" s="296"/>
      <c r="BK682" s="296"/>
      <c r="BL682" s="296"/>
      <c r="BM682" s="296"/>
      <c r="BN682" s="296"/>
      <c r="BO682" s="296"/>
      <c r="BP682" s="296"/>
      <c r="BQ682" s="296"/>
      <c r="BR682" s="296"/>
      <c r="BS682" s="296"/>
      <c r="BT682" s="296"/>
      <c r="BU682" s="296"/>
      <c r="BV682" s="296"/>
      <c r="BW682" s="296"/>
      <c r="BX682" s="296"/>
      <c r="BY682" s="296"/>
      <c r="BZ682" s="9"/>
      <c r="CA682" s="9"/>
      <c r="CB682" s="9"/>
      <c r="CC682" s="9"/>
      <c r="CD682" s="9"/>
    </row>
    <row r="683" spans="1:82">
      <c r="A683" s="36" t="s">
        <v>949</v>
      </c>
      <c r="B683" s="1092">
        <f ca="1">+INDEX(Segment!$A$462:$BR$468,MATCH($A683,Segment!$A$462:$A$468,0),MATCH(B$681,IS!$A$60:$BR$60,0))</f>
        <v>1514</v>
      </c>
      <c r="C683" s="1092">
        <f ca="1">+INDEX(Segment!$A$462:$BR$468,MATCH($A683,Segment!$A$462:$A$468,0),MATCH(C$681,IS!$A$60:$BR$60,0))</f>
        <v>1534</v>
      </c>
      <c r="D683" s="1092">
        <f ca="1">+INDEX(Segment!$A$462:$BR$468,MATCH($A683,Segment!$A$462:$A$468,0),MATCH(D$681,IS!$A$60:$BR$60,0))</f>
        <v>1534</v>
      </c>
      <c r="E683" s="1092">
        <f ca="1">+INDEX(Segment!$A$462:$BR$468,MATCH($A683,Segment!$A$462:$A$468,0),MATCH(E$681,IS!$A$60:$BR$60,0))</f>
        <v>1548</v>
      </c>
      <c r="F683" s="91"/>
      <c r="G683" s="9"/>
      <c r="H683" s="9"/>
      <c r="I683" s="9"/>
      <c r="J683" s="9"/>
      <c r="K683" s="9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  <c r="AA683" s="91"/>
      <c r="AB683" s="91"/>
      <c r="AC683" s="91"/>
      <c r="AD683" s="91"/>
      <c r="AE683" s="91"/>
      <c r="AF683" s="91"/>
      <c r="AG683" s="91"/>
      <c r="AH683" s="91"/>
      <c r="AI683" s="91"/>
      <c r="AJ683" s="91"/>
      <c r="AK683" s="91"/>
      <c r="AL683" s="91"/>
      <c r="AM683" s="91"/>
      <c r="AN683" s="91"/>
      <c r="AO683" s="91"/>
      <c r="AP683" s="91"/>
      <c r="AQ683" s="91"/>
      <c r="AR683" s="91"/>
      <c r="AS683" s="91"/>
      <c r="AT683" s="91"/>
      <c r="AU683" s="91"/>
      <c r="AV683" s="296"/>
      <c r="AW683" s="296"/>
      <c r="AX683" s="296"/>
      <c r="AY683" s="296"/>
      <c r="AZ683" s="296"/>
      <c r="BA683" s="296"/>
      <c r="BB683" s="296"/>
      <c r="BC683" s="296"/>
      <c r="BD683" s="296"/>
      <c r="BE683" s="296"/>
      <c r="BF683" s="296"/>
      <c r="BG683" s="296"/>
      <c r="BH683" s="296"/>
      <c r="BI683" s="296"/>
      <c r="BJ683" s="296"/>
      <c r="BK683" s="296"/>
      <c r="BL683" s="296"/>
      <c r="BM683" s="296"/>
      <c r="BN683" s="296"/>
      <c r="BO683" s="296"/>
      <c r="BP683" s="296"/>
      <c r="BQ683" s="296"/>
      <c r="BR683" s="296"/>
      <c r="BS683" s="296"/>
      <c r="BT683" s="296"/>
      <c r="BU683" s="296"/>
      <c r="BV683" s="296"/>
      <c r="BW683" s="296"/>
      <c r="BX683" s="296"/>
      <c r="BY683" s="296"/>
      <c r="BZ683" s="9"/>
      <c r="CA683" s="9"/>
      <c r="CB683" s="9"/>
      <c r="CC683" s="9"/>
      <c r="CD683" s="9"/>
    </row>
    <row r="684" spans="1:82">
      <c r="A684" s="36" t="s">
        <v>746</v>
      </c>
      <c r="B684" s="1092">
        <f ca="1">+INDEX(Segment!$A$462:$BR$468,MATCH($A684,Segment!$A$462:$A$468,0),MATCH(B$681,IS!$A$60:$BR$60,0))</f>
        <v>247</v>
      </c>
      <c r="C684" s="1092">
        <f ca="1">+INDEX(Segment!$A$462:$BR$468,MATCH($A684,Segment!$A$462:$A$468,0),MATCH(C$681,IS!$A$60:$BR$60,0))</f>
        <v>250</v>
      </c>
      <c r="D684" s="1092">
        <f ca="1">+INDEX(Segment!$A$462:$BR$468,MATCH($A684,Segment!$A$462:$A$468,0),MATCH(D$681,IS!$A$60:$BR$60,0))</f>
        <v>250</v>
      </c>
      <c r="E684" s="1092">
        <f ca="1">+INDEX(Segment!$A$462:$BR$468,MATCH($A684,Segment!$A$462:$A$468,0),MATCH(E$681,IS!$A$60:$BR$60,0))</f>
        <v>250</v>
      </c>
      <c r="F684" s="91"/>
      <c r="G684" s="9"/>
      <c r="H684" s="9"/>
      <c r="I684" s="9"/>
      <c r="J684" s="9"/>
      <c r="K684" s="9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  <c r="AA684" s="91"/>
      <c r="AB684" s="91"/>
      <c r="AC684" s="91"/>
      <c r="AD684" s="91"/>
      <c r="AE684" s="91"/>
      <c r="AF684" s="91"/>
      <c r="AG684" s="91"/>
      <c r="AH684" s="91"/>
      <c r="AI684" s="91"/>
      <c r="AJ684" s="91"/>
      <c r="AK684" s="91"/>
      <c r="AL684" s="91"/>
      <c r="AM684" s="91"/>
      <c r="AN684" s="91"/>
      <c r="AO684" s="91"/>
      <c r="AP684" s="91"/>
      <c r="AQ684" s="91"/>
      <c r="AR684" s="91"/>
      <c r="AS684" s="91"/>
      <c r="AT684" s="91"/>
      <c r="AU684" s="91"/>
      <c r="AV684" s="296"/>
      <c r="AW684" s="296"/>
      <c r="AX684" s="296"/>
      <c r="AY684" s="296"/>
      <c r="AZ684" s="296"/>
      <c r="BA684" s="296"/>
      <c r="BB684" s="296"/>
      <c r="BC684" s="296"/>
      <c r="BD684" s="296"/>
      <c r="BE684" s="296"/>
      <c r="BF684" s="296"/>
      <c r="BG684" s="296"/>
      <c r="BH684" s="296"/>
      <c r="BI684" s="296"/>
      <c r="BJ684" s="296"/>
      <c r="BK684" s="296"/>
      <c r="BL684" s="296"/>
      <c r="BM684" s="296"/>
      <c r="BN684" s="296"/>
      <c r="BO684" s="296"/>
      <c r="BP684" s="296"/>
      <c r="BQ684" s="296"/>
      <c r="BR684" s="296"/>
      <c r="BS684" s="296"/>
      <c r="BT684" s="296"/>
      <c r="BU684" s="296"/>
      <c r="BV684" s="296"/>
      <c r="BW684" s="296"/>
      <c r="BX684" s="296"/>
      <c r="BY684" s="296"/>
      <c r="BZ684" s="9"/>
      <c r="CA684" s="9"/>
      <c r="CB684" s="9"/>
      <c r="CC684" s="9"/>
      <c r="CD684" s="9"/>
    </row>
    <row r="685" spans="1:82">
      <c r="A685" s="36" t="s">
        <v>747</v>
      </c>
      <c r="B685" s="1092">
        <f ca="1">+INDEX(Segment!$A$462:$BR$468,MATCH($A685,Segment!$A$462:$A$468,0),MATCH(B$681,IS!$A$60:$BR$60,0))</f>
        <v>239</v>
      </c>
      <c r="C685" s="1092">
        <f ca="1">+INDEX(Segment!$A$462:$BR$468,MATCH($A685,Segment!$A$462:$A$468,0),MATCH(C$681,IS!$A$60:$BR$60,0))</f>
        <v>248</v>
      </c>
      <c r="D685" s="1092">
        <f ca="1">+INDEX(Segment!$A$462:$BR$468,MATCH($A685,Segment!$A$462:$A$468,0),MATCH(D$681,IS!$A$60:$BR$60,0))</f>
        <v>247</v>
      </c>
      <c r="E685" s="1092">
        <f ca="1">+INDEX(Segment!$A$462:$BR$468,MATCH($A685,Segment!$A$462:$A$468,0),MATCH(E$681,IS!$A$60:$BR$60,0))</f>
        <v>253</v>
      </c>
      <c r="F685" s="91"/>
      <c r="G685" s="9"/>
      <c r="H685" s="9"/>
      <c r="I685" s="9"/>
      <c r="J685" s="9"/>
      <c r="K685" s="9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  <c r="AA685" s="91"/>
      <c r="AB685" s="91"/>
      <c r="AC685" s="91"/>
      <c r="AD685" s="91"/>
      <c r="AE685" s="91"/>
      <c r="AF685" s="91"/>
      <c r="AG685" s="91"/>
      <c r="AH685" s="91"/>
      <c r="AI685" s="91"/>
      <c r="AJ685" s="91"/>
      <c r="AK685" s="91"/>
      <c r="AL685" s="91"/>
      <c r="AM685" s="91"/>
      <c r="AN685" s="91"/>
      <c r="AO685" s="91"/>
      <c r="AP685" s="91"/>
      <c r="AQ685" s="91"/>
      <c r="AR685" s="91"/>
      <c r="AS685" s="91"/>
      <c r="AT685" s="91"/>
      <c r="AU685" s="91"/>
      <c r="AV685" s="296"/>
      <c r="AW685" s="296"/>
      <c r="AX685" s="296"/>
      <c r="AY685" s="296"/>
      <c r="AZ685" s="296"/>
      <c r="BA685" s="296"/>
      <c r="BB685" s="296"/>
      <c r="BC685" s="296"/>
      <c r="BD685" s="296"/>
      <c r="BE685" s="296"/>
      <c r="BF685" s="296"/>
      <c r="BG685" s="296"/>
      <c r="BH685" s="296"/>
      <c r="BI685" s="296"/>
      <c r="BJ685" s="296"/>
      <c r="BK685" s="296"/>
      <c r="BL685" s="296"/>
      <c r="BM685" s="296"/>
      <c r="BN685" s="296"/>
      <c r="BO685" s="296"/>
      <c r="BP685" s="296"/>
      <c r="BQ685" s="296"/>
      <c r="BR685" s="296"/>
      <c r="BS685" s="296"/>
      <c r="BT685" s="296"/>
      <c r="BU685" s="296"/>
      <c r="BV685" s="296"/>
      <c r="BW685" s="296"/>
      <c r="BX685" s="296"/>
      <c r="BY685" s="296"/>
      <c r="BZ685" s="9"/>
      <c r="CA685" s="9"/>
      <c r="CB685" s="9"/>
      <c r="CC685" s="9"/>
      <c r="CD685" s="9"/>
    </row>
    <row r="686" spans="1:82">
      <c r="A686" s="36" t="s">
        <v>748</v>
      </c>
      <c r="B686" s="1092">
        <f ca="1">+INDEX(Segment!$A$462:$BR$468,MATCH($A686,Segment!$A$462:$A$468,0),MATCH(B$681,IS!$A$60:$BR$60,0))</f>
        <v>249</v>
      </c>
      <c r="C686" s="1092">
        <f ca="1">+INDEX(Segment!$A$462:$BR$468,MATCH($A686,Segment!$A$462:$A$468,0),MATCH(C$681,IS!$A$60:$BR$60,0))</f>
        <v>255</v>
      </c>
      <c r="D686" s="1092">
        <f ca="1">+INDEX(Segment!$A$462:$BR$468,MATCH($A686,Segment!$A$462:$A$468,0),MATCH(D$681,IS!$A$60:$BR$60,0))</f>
        <v>257</v>
      </c>
      <c r="E686" s="1092">
        <f ca="1">+INDEX(Segment!$A$462:$BR$468,MATCH($A686,Segment!$A$462:$A$468,0),MATCH(E$681,IS!$A$60:$BR$60,0))</f>
        <v>255</v>
      </c>
      <c r="F686" s="91"/>
      <c r="G686" s="9"/>
      <c r="H686" s="9"/>
      <c r="I686" s="9"/>
      <c r="J686" s="9"/>
      <c r="K686" s="9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  <c r="AA686" s="91"/>
      <c r="AB686" s="91"/>
      <c r="AC686" s="91"/>
      <c r="AD686" s="91"/>
      <c r="AE686" s="91"/>
      <c r="AF686" s="91"/>
      <c r="AG686" s="91"/>
      <c r="AH686" s="91"/>
      <c r="AI686" s="91"/>
      <c r="AJ686" s="91"/>
      <c r="AK686" s="91"/>
      <c r="AL686" s="91"/>
      <c r="AM686" s="91"/>
      <c r="AN686" s="91"/>
      <c r="AO686" s="91"/>
      <c r="AP686" s="91"/>
      <c r="AQ686" s="91"/>
      <c r="AR686" s="91"/>
      <c r="AS686" s="91"/>
      <c r="AT686" s="91"/>
      <c r="AU686" s="91"/>
      <c r="AV686" s="296"/>
      <c r="AW686" s="296"/>
      <c r="AX686" s="296"/>
      <c r="AY686" s="296"/>
      <c r="AZ686" s="296"/>
      <c r="BA686" s="296"/>
      <c r="BB686" s="296"/>
      <c r="BC686" s="296"/>
      <c r="BD686" s="296"/>
      <c r="BE686" s="296"/>
      <c r="BF686" s="296"/>
      <c r="BG686" s="296"/>
      <c r="BH686" s="296"/>
      <c r="BI686" s="296"/>
      <c r="BJ686" s="296"/>
      <c r="BK686" s="296"/>
      <c r="BL686" s="296"/>
      <c r="BM686" s="296"/>
      <c r="BN686" s="296"/>
      <c r="BO686" s="296"/>
      <c r="BP686" s="296"/>
      <c r="BQ686" s="296"/>
      <c r="BR686" s="296"/>
      <c r="BS686" s="296"/>
      <c r="BT686" s="296"/>
      <c r="BU686" s="296"/>
      <c r="BV686" s="296"/>
      <c r="BW686" s="296"/>
      <c r="BX686" s="296"/>
      <c r="BY686" s="296"/>
      <c r="BZ686" s="9"/>
      <c r="CA686" s="9"/>
      <c r="CB686" s="9"/>
      <c r="CC686" s="9"/>
      <c r="CD686" s="9"/>
    </row>
    <row r="687" spans="1:82">
      <c r="A687" s="36" t="s">
        <v>749</v>
      </c>
      <c r="B687" s="1092">
        <f ca="1">+INDEX(Segment!$A$462:$BR$468,MATCH($A687,Segment!$A$462:$A$468,0),MATCH(B$681,IS!$A$60:$BR$60,0))</f>
        <v>0</v>
      </c>
      <c r="C687" s="1092">
        <f ca="1">+INDEX(Segment!$A$462:$BR$468,MATCH($A687,Segment!$A$462:$A$468,0),MATCH(C$681,IS!$A$60:$BR$60,0))</f>
        <v>0</v>
      </c>
      <c r="D687" s="1092">
        <f ca="1">+INDEX(Segment!$A$462:$BR$468,MATCH($A687,Segment!$A$462:$A$468,0),MATCH(D$681,IS!$A$60:$BR$60,0))</f>
        <v>0</v>
      </c>
      <c r="E687" s="1092">
        <f ca="1">+INDEX(Segment!$A$462:$BR$468,MATCH($A687,Segment!$A$462:$A$468,0),MATCH(E$681,IS!$A$60:$BR$60,0))</f>
        <v>0</v>
      </c>
      <c r="F687" s="91"/>
      <c r="G687" s="9"/>
      <c r="H687" s="9"/>
      <c r="I687" s="9"/>
      <c r="J687" s="9"/>
      <c r="K687" s="9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  <c r="AA687" s="91"/>
      <c r="AB687" s="91"/>
      <c r="AC687" s="91"/>
      <c r="AD687" s="91"/>
      <c r="AE687" s="91"/>
      <c r="AF687" s="91"/>
      <c r="AG687" s="91"/>
      <c r="AH687" s="91"/>
      <c r="AI687" s="91"/>
      <c r="AJ687" s="91"/>
      <c r="AK687" s="91"/>
      <c r="AL687" s="91"/>
      <c r="AM687" s="91"/>
      <c r="AN687" s="91"/>
      <c r="AO687" s="91"/>
      <c r="AP687" s="91"/>
      <c r="AQ687" s="91"/>
      <c r="AR687" s="91"/>
      <c r="AS687" s="91"/>
      <c r="AT687" s="91"/>
      <c r="AU687" s="91"/>
      <c r="AV687" s="296"/>
      <c r="AW687" s="296"/>
      <c r="AX687" s="296"/>
      <c r="AY687" s="296"/>
      <c r="AZ687" s="296"/>
      <c r="BA687" s="296"/>
      <c r="BB687" s="296"/>
      <c r="BC687" s="296"/>
      <c r="BD687" s="296"/>
      <c r="BE687" s="296"/>
      <c r="BF687" s="296"/>
      <c r="BG687" s="296"/>
      <c r="BH687" s="296"/>
      <c r="BI687" s="296"/>
      <c r="BJ687" s="296"/>
      <c r="BK687" s="296"/>
      <c r="BL687" s="296"/>
      <c r="BM687" s="296"/>
      <c r="BN687" s="296"/>
      <c r="BO687" s="296"/>
      <c r="BP687" s="296"/>
      <c r="BQ687" s="296"/>
      <c r="BR687" s="296"/>
      <c r="BS687" s="296"/>
      <c r="BT687" s="296"/>
      <c r="BU687" s="296"/>
      <c r="BV687" s="296"/>
      <c r="BW687" s="296"/>
      <c r="BX687" s="296"/>
      <c r="BY687" s="296"/>
      <c r="BZ687" s="9"/>
      <c r="CA687" s="9"/>
      <c r="CB687" s="9"/>
      <c r="CC687" s="9"/>
      <c r="CD687" s="9"/>
    </row>
    <row r="688" spans="1:82">
      <c r="A688" s="36" t="s">
        <v>985</v>
      </c>
      <c r="B688" s="1092">
        <f ca="1">+INDEX(Segment!$A$462:$BR$468,MATCH($A688,Segment!$A$462:$A$468,0),MATCH(B$681,IS!$A$60:$BR$60,0))</f>
        <v>19</v>
      </c>
      <c r="C688" s="1092">
        <f ca="1">+INDEX(Segment!$A$462:$BR$468,MATCH($A688,Segment!$A$462:$A$468,0),MATCH(C$681,IS!$A$60:$BR$60,0))</f>
        <v>22</v>
      </c>
      <c r="D688" s="1092">
        <f ca="1">+INDEX(Segment!$A$462:$BR$468,MATCH($A688,Segment!$A$462:$A$468,0),MATCH(D$681,IS!$A$60:$BR$60,0))</f>
        <v>22</v>
      </c>
      <c r="E688" s="1092">
        <f ca="1">+INDEX(Segment!$A$462:$BR$468,MATCH($A688,Segment!$A$462:$A$468,0),MATCH(E$681,IS!$A$60:$BR$60,0))</f>
        <v>22</v>
      </c>
      <c r="F688" s="91"/>
      <c r="G688" s="9"/>
      <c r="H688" s="9"/>
      <c r="I688" s="9"/>
      <c r="J688" s="9"/>
      <c r="K688" s="9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  <c r="AA688" s="91"/>
      <c r="AB688" s="91"/>
      <c r="AC688" s="91"/>
      <c r="AD688" s="91"/>
      <c r="AE688" s="91"/>
      <c r="AF688" s="91"/>
      <c r="AG688" s="91"/>
      <c r="AH688" s="91"/>
      <c r="AI688" s="91"/>
      <c r="AJ688" s="91"/>
      <c r="AK688" s="91"/>
      <c r="AL688" s="91"/>
      <c r="AM688" s="91"/>
      <c r="AN688" s="91"/>
      <c r="AO688" s="91"/>
      <c r="AP688" s="91"/>
      <c r="AQ688" s="91"/>
      <c r="AR688" s="91"/>
      <c r="AS688" s="91"/>
      <c r="AT688" s="91"/>
      <c r="AU688" s="91"/>
      <c r="AV688" s="296"/>
      <c r="AW688" s="296"/>
      <c r="AX688" s="296"/>
      <c r="AY688" s="296"/>
      <c r="AZ688" s="296"/>
      <c r="BA688" s="296"/>
      <c r="BB688" s="296"/>
      <c r="BC688" s="296"/>
      <c r="BD688" s="296"/>
      <c r="BE688" s="296"/>
      <c r="BF688" s="296"/>
      <c r="BG688" s="296"/>
      <c r="BH688" s="296"/>
      <c r="BI688" s="296"/>
      <c r="BJ688" s="296"/>
      <c r="BK688" s="296"/>
      <c r="BL688" s="296"/>
      <c r="BM688" s="296"/>
      <c r="BN688" s="296"/>
      <c r="BO688" s="296"/>
      <c r="BP688" s="296"/>
      <c r="BQ688" s="296"/>
      <c r="BR688" s="296"/>
      <c r="BS688" s="296"/>
      <c r="BT688" s="296"/>
      <c r="BU688" s="296"/>
      <c r="BV688" s="296"/>
      <c r="BW688" s="296"/>
      <c r="BX688" s="296"/>
      <c r="BY688" s="296"/>
      <c r="BZ688" s="9"/>
      <c r="CA688" s="9"/>
      <c r="CB688" s="9"/>
      <c r="CC688" s="9"/>
      <c r="CD688" s="9"/>
    </row>
    <row r="689" spans="1:82">
      <c r="A689" s="513" t="s">
        <v>325</v>
      </c>
      <c r="B689" s="1093">
        <f ca="1">SUM(B682:B688)</f>
        <v>4516</v>
      </c>
      <c r="C689" s="1093">
        <f ca="1">SUM(C682:C688)</f>
        <v>4622</v>
      </c>
      <c r="D689" s="1093">
        <f ca="1">SUM(D682:D688)</f>
        <v>4641</v>
      </c>
      <c r="E689" s="1093">
        <f ca="1">SUM(E682:E688)</f>
        <v>4686</v>
      </c>
      <c r="F689" s="91"/>
      <c r="G689" s="9"/>
      <c r="H689" s="9"/>
      <c r="I689" s="9"/>
      <c r="J689" s="9"/>
      <c r="K689" s="9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  <c r="AA689" s="91"/>
      <c r="AB689" s="91"/>
      <c r="AC689" s="91"/>
      <c r="AD689" s="91"/>
      <c r="AE689" s="91"/>
      <c r="AF689" s="91"/>
      <c r="AG689" s="91"/>
      <c r="AH689" s="91"/>
      <c r="AI689" s="91"/>
      <c r="AJ689" s="91"/>
      <c r="AK689" s="91"/>
      <c r="AL689" s="91"/>
      <c r="AM689" s="91"/>
      <c r="AN689" s="91"/>
      <c r="AO689" s="91"/>
      <c r="AP689" s="91"/>
      <c r="AQ689" s="91"/>
      <c r="AR689" s="91"/>
      <c r="AS689" s="91"/>
      <c r="AT689" s="91"/>
      <c r="AU689" s="91"/>
      <c r="AV689" s="296"/>
      <c r="AW689" s="296"/>
      <c r="AX689" s="296"/>
      <c r="AY689" s="296"/>
      <c r="AZ689" s="296"/>
      <c r="BA689" s="296"/>
      <c r="BB689" s="296"/>
      <c r="BC689" s="296"/>
      <c r="BD689" s="296"/>
      <c r="BE689" s="296"/>
      <c r="BF689" s="296"/>
      <c r="BG689" s="296"/>
      <c r="BH689" s="296"/>
      <c r="BI689" s="296"/>
      <c r="BJ689" s="296"/>
      <c r="BK689" s="296"/>
      <c r="BL689" s="296"/>
      <c r="BM689" s="296"/>
      <c r="BN689" s="296"/>
      <c r="BO689" s="296"/>
      <c r="BP689" s="296"/>
      <c r="BQ689" s="296"/>
      <c r="BR689" s="296"/>
      <c r="BS689" s="296"/>
      <c r="BT689" s="296"/>
      <c r="BU689" s="296"/>
      <c r="BV689" s="296"/>
      <c r="BW689" s="296"/>
      <c r="BX689" s="296"/>
      <c r="BY689" s="296"/>
      <c r="BZ689" s="9"/>
      <c r="CA689" s="9"/>
      <c r="CB689" s="9"/>
      <c r="CC689" s="9"/>
      <c r="CD689" s="9"/>
    </row>
    <row r="690" spans="1:82">
      <c r="A690" s="513"/>
      <c r="B690" s="1093"/>
      <c r="C690" s="1093"/>
      <c r="D690" s="1093"/>
      <c r="E690" s="1093"/>
      <c r="F690" s="91"/>
      <c r="G690" s="513"/>
      <c r="H690" s="1086"/>
      <c r="I690" s="1086"/>
      <c r="J690" s="1086"/>
      <c r="K690" s="1086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  <c r="AA690" s="91"/>
      <c r="AB690" s="91"/>
      <c r="AC690" s="91"/>
      <c r="AD690" s="91"/>
      <c r="AE690" s="91"/>
      <c r="AF690" s="91"/>
      <c r="AG690" s="91"/>
      <c r="AH690" s="91"/>
      <c r="AI690" s="91"/>
      <c r="AJ690" s="91"/>
      <c r="AK690" s="91"/>
      <c r="AL690" s="91"/>
      <c r="AM690" s="91"/>
      <c r="AN690" s="91"/>
      <c r="AO690" s="91"/>
      <c r="AP690" s="91"/>
      <c r="AQ690" s="91"/>
      <c r="AR690" s="91"/>
      <c r="AS690" s="91"/>
      <c r="AT690" s="91"/>
      <c r="AU690" s="91"/>
      <c r="AV690" s="296"/>
      <c r="AW690" s="296"/>
      <c r="AX690" s="296"/>
      <c r="AY690" s="296"/>
      <c r="AZ690" s="296"/>
      <c r="BA690" s="296"/>
      <c r="BB690" s="296"/>
      <c r="BC690" s="296"/>
      <c r="BD690" s="296"/>
      <c r="BE690" s="296"/>
      <c r="BF690" s="296"/>
      <c r="BG690" s="296"/>
      <c r="BH690" s="296"/>
      <c r="BI690" s="296"/>
      <c r="BJ690" s="296"/>
      <c r="BK690" s="296"/>
      <c r="BL690" s="296"/>
      <c r="BM690" s="296"/>
      <c r="BN690" s="296"/>
      <c r="BO690" s="296"/>
      <c r="BP690" s="296"/>
      <c r="BQ690" s="296"/>
      <c r="BR690" s="296"/>
      <c r="BS690" s="296"/>
      <c r="BT690" s="296"/>
      <c r="BU690" s="296"/>
      <c r="BV690" s="296"/>
      <c r="BW690" s="296"/>
      <c r="BX690" s="296"/>
      <c r="BY690" s="296"/>
      <c r="BZ690" s="9"/>
      <c r="CA690" s="9"/>
      <c r="CB690" s="9"/>
      <c r="CC690" s="9"/>
      <c r="CD690" s="9"/>
    </row>
    <row r="691" spans="1:82">
      <c r="A691" s="242" t="s">
        <v>1057</v>
      </c>
      <c r="B691" s="595" t="str">
        <f ca="1">Charts_Support!H655</f>
        <v>3Q23</v>
      </c>
      <c r="C691" s="595" t="str">
        <f ca="1">Charts_Support!I655</f>
        <v>4Q23</v>
      </c>
      <c r="D691" s="595" t="str">
        <f ca="1">Charts_Support!J655</f>
        <v>1Q24</v>
      </c>
      <c r="E691" s="595" t="str">
        <f ca="1">Charts_Support!K655</f>
        <v>2Q24</v>
      </c>
      <c r="F691" s="91"/>
      <c r="G691" s="513"/>
      <c r="H691" s="1086"/>
      <c r="I691" s="1086"/>
      <c r="J691" s="1086"/>
      <c r="K691" s="1086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  <c r="AA691" s="91"/>
      <c r="AB691" s="91"/>
      <c r="AC691" s="91"/>
      <c r="AD691" s="91"/>
      <c r="AE691" s="91"/>
      <c r="AF691" s="91"/>
      <c r="AG691" s="91"/>
      <c r="AH691" s="91"/>
      <c r="AI691" s="91"/>
      <c r="AJ691" s="91"/>
      <c r="AK691" s="91"/>
      <c r="AL691" s="91"/>
      <c r="AM691" s="91"/>
      <c r="AN691" s="91"/>
      <c r="AO691" s="91"/>
      <c r="AP691" s="91"/>
      <c r="AQ691" s="91"/>
      <c r="AR691" s="91"/>
      <c r="AS691" s="91"/>
      <c r="AT691" s="91"/>
      <c r="AU691" s="91"/>
      <c r="AV691" s="296"/>
      <c r="AW691" s="296"/>
      <c r="AX691" s="296"/>
      <c r="AY691" s="296"/>
      <c r="AZ691" s="296"/>
      <c r="BA691" s="296"/>
      <c r="BB691" s="296"/>
      <c r="BC691" s="296"/>
      <c r="BD691" s="296"/>
      <c r="BE691" s="296"/>
      <c r="BF691" s="296"/>
      <c r="BG691" s="296"/>
      <c r="BH691" s="296"/>
      <c r="BI691" s="296"/>
      <c r="BJ691" s="296"/>
      <c r="BK691" s="296"/>
      <c r="BL691" s="296"/>
      <c r="BM691" s="296"/>
      <c r="BN691" s="296"/>
      <c r="BO691" s="296"/>
      <c r="BP691" s="296"/>
      <c r="BQ691" s="296"/>
      <c r="BR691" s="296"/>
      <c r="BS691" s="296"/>
      <c r="BT691" s="296"/>
      <c r="BU691" s="296"/>
      <c r="BV691" s="296"/>
      <c r="BW691" s="296"/>
      <c r="BX691" s="296"/>
      <c r="BY691" s="296"/>
      <c r="BZ691" s="9"/>
      <c r="CA691" s="9"/>
      <c r="CB691" s="9"/>
      <c r="CC691" s="9"/>
      <c r="CD691" s="9"/>
    </row>
    <row r="692" spans="1:82">
      <c r="A692" s="36" t="s">
        <v>731</v>
      </c>
      <c r="B692" s="245">
        <f ca="1">Charts_Support!B682/Charts_Support!B$689</f>
        <v>0.49778565101860051</v>
      </c>
      <c r="C692" s="245">
        <f ca="1">Charts_Support!C682/Charts_Support!C$689</f>
        <v>0.50043271311120729</v>
      </c>
      <c r="D692" s="245">
        <f ca="1">Charts_Support!D682/Charts_Support!D$689</f>
        <v>0.50226244343891402</v>
      </c>
      <c r="E692" s="245">
        <f ca="1">Charts_Support!E682/Charts_Support!E$689</f>
        <v>0.50320102432778491</v>
      </c>
      <c r="F692" s="91"/>
      <c r="G692" s="513"/>
      <c r="H692" s="1086"/>
      <c r="I692" s="1086"/>
      <c r="J692" s="1086"/>
      <c r="K692" s="1086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  <c r="AA692" s="91"/>
      <c r="AB692" s="91"/>
      <c r="AC692" s="91"/>
      <c r="AD692" s="91"/>
      <c r="AE692" s="91"/>
      <c r="AF692" s="91"/>
      <c r="AG692" s="91"/>
      <c r="AH692" s="91"/>
      <c r="AI692" s="91"/>
      <c r="AJ692" s="91"/>
      <c r="AK692" s="91"/>
      <c r="AL692" s="91"/>
      <c r="AM692" s="91"/>
      <c r="AN692" s="91"/>
      <c r="AO692" s="91"/>
      <c r="AP692" s="91"/>
      <c r="AQ692" s="91"/>
      <c r="AR692" s="91"/>
      <c r="AS692" s="91"/>
      <c r="AT692" s="91"/>
      <c r="AU692" s="91"/>
      <c r="AV692" s="296"/>
      <c r="AW692" s="296"/>
      <c r="AX692" s="296"/>
      <c r="AY692" s="296"/>
      <c r="AZ692" s="296"/>
      <c r="BA692" s="296"/>
      <c r="BB692" s="296"/>
      <c r="BC692" s="296"/>
      <c r="BD692" s="296"/>
      <c r="BE692" s="296"/>
      <c r="BF692" s="296"/>
      <c r="BG692" s="296"/>
      <c r="BH692" s="296"/>
      <c r="BI692" s="296"/>
      <c r="BJ692" s="296"/>
      <c r="BK692" s="296"/>
      <c r="BL692" s="296"/>
      <c r="BM692" s="296"/>
      <c r="BN692" s="296"/>
      <c r="BO692" s="296"/>
      <c r="BP692" s="296"/>
      <c r="BQ692" s="296"/>
      <c r="BR692" s="296"/>
      <c r="BS692" s="296"/>
      <c r="BT692" s="296"/>
      <c r="BU692" s="296"/>
      <c r="BV692" s="296"/>
      <c r="BW692" s="296"/>
      <c r="BX692" s="296"/>
      <c r="BY692" s="296"/>
      <c r="BZ692" s="9"/>
      <c r="CA692" s="9"/>
      <c r="CB692" s="9"/>
      <c r="CC692" s="9"/>
      <c r="CD692" s="9"/>
    </row>
    <row r="693" spans="1:82">
      <c r="A693" s="36" t="s">
        <v>949</v>
      </c>
      <c r="B693" s="245">
        <f ca="1">Charts_Support!B683/Charts_Support!B$689</f>
        <v>0.33525243578387953</v>
      </c>
      <c r="C693" s="245">
        <f ca="1">Charts_Support!C683/Charts_Support!C$689</f>
        <v>0.33189095629597576</v>
      </c>
      <c r="D693" s="245">
        <f ca="1">Charts_Support!D683/Charts_Support!D$689</f>
        <v>0.33053221288515405</v>
      </c>
      <c r="E693" s="245">
        <f ca="1">Charts_Support!E683/Charts_Support!E$689</f>
        <v>0.33034571062740076</v>
      </c>
      <c r="F693" s="91"/>
      <c r="G693" s="513"/>
      <c r="H693" s="1086"/>
      <c r="I693" s="1086"/>
      <c r="J693" s="1086"/>
      <c r="K693" s="1086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  <c r="AA693" s="91"/>
      <c r="AB693" s="91"/>
      <c r="AC693" s="91"/>
      <c r="AD693" s="91"/>
      <c r="AE693" s="91"/>
      <c r="AF693" s="91"/>
      <c r="AG693" s="91"/>
      <c r="AH693" s="91"/>
      <c r="AI693" s="91"/>
      <c r="AJ693" s="91"/>
      <c r="AK693" s="91"/>
      <c r="AL693" s="91"/>
      <c r="AM693" s="91"/>
      <c r="AN693" s="91"/>
      <c r="AO693" s="91"/>
      <c r="AP693" s="91"/>
      <c r="AQ693" s="91"/>
      <c r="AR693" s="91"/>
      <c r="AS693" s="91"/>
      <c r="AT693" s="91"/>
      <c r="AU693" s="91"/>
      <c r="AV693" s="296"/>
      <c r="AW693" s="296"/>
      <c r="AX693" s="296"/>
      <c r="AY693" s="296"/>
      <c r="AZ693" s="296"/>
      <c r="BA693" s="296"/>
      <c r="BB693" s="296"/>
      <c r="BC693" s="296"/>
      <c r="BD693" s="296"/>
      <c r="BE693" s="296"/>
      <c r="BF693" s="296"/>
      <c r="BG693" s="296"/>
      <c r="BH693" s="296"/>
      <c r="BI693" s="296"/>
      <c r="BJ693" s="296"/>
      <c r="BK693" s="296"/>
      <c r="BL693" s="296"/>
      <c r="BM693" s="296"/>
      <c r="BN693" s="296"/>
      <c r="BO693" s="296"/>
      <c r="BP693" s="296"/>
      <c r="BQ693" s="296"/>
      <c r="BR693" s="296"/>
      <c r="BS693" s="296"/>
      <c r="BT693" s="296"/>
      <c r="BU693" s="296"/>
      <c r="BV693" s="296"/>
      <c r="BW693" s="296"/>
      <c r="BX693" s="296"/>
      <c r="BY693" s="296"/>
      <c r="BZ693" s="9"/>
      <c r="CA693" s="9"/>
      <c r="CB693" s="9"/>
      <c r="CC693" s="9"/>
      <c r="CD693" s="9"/>
    </row>
    <row r="694" spans="1:82">
      <c r="A694" s="36" t="s">
        <v>746</v>
      </c>
      <c r="B694" s="245">
        <f ca="1">Charts_Support!B684/Charts_Support!B$689</f>
        <v>5.4694419840566874E-2</v>
      </c>
      <c r="C694" s="245">
        <f ca="1">Charts_Support!C684/Charts_Support!C$689</f>
        <v>5.4089138900908697E-2</v>
      </c>
      <c r="D694" s="245">
        <f ca="1">Charts_Support!D684/Charts_Support!D$689</f>
        <v>5.3867700926524459E-2</v>
      </c>
      <c r="E694" s="245">
        <f ca="1">Charts_Support!E684/Charts_Support!E$689</f>
        <v>5.3350405463081521E-2</v>
      </c>
      <c r="F694" s="91"/>
      <c r="G694" s="513"/>
      <c r="H694" s="1086"/>
      <c r="I694" s="1086"/>
      <c r="J694" s="1086"/>
      <c r="K694" s="1086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  <c r="AA694" s="91"/>
      <c r="AB694" s="91"/>
      <c r="AC694" s="91"/>
      <c r="AD694" s="91"/>
      <c r="AE694" s="91"/>
      <c r="AF694" s="91"/>
      <c r="AG694" s="91"/>
      <c r="AH694" s="91"/>
      <c r="AI694" s="91"/>
      <c r="AJ694" s="91"/>
      <c r="AK694" s="91"/>
      <c r="AL694" s="91"/>
      <c r="AM694" s="91"/>
      <c r="AN694" s="91"/>
      <c r="AO694" s="91"/>
      <c r="AP694" s="91"/>
      <c r="AQ694" s="91"/>
      <c r="AR694" s="91"/>
      <c r="AS694" s="91"/>
      <c r="AT694" s="91"/>
      <c r="AU694" s="91"/>
      <c r="AV694" s="296"/>
      <c r="AW694" s="296"/>
      <c r="AX694" s="296"/>
      <c r="AY694" s="296"/>
      <c r="AZ694" s="296"/>
      <c r="BA694" s="296"/>
      <c r="BB694" s="296"/>
      <c r="BC694" s="296"/>
      <c r="BD694" s="296"/>
      <c r="BE694" s="296"/>
      <c r="BF694" s="296"/>
      <c r="BG694" s="296"/>
      <c r="BH694" s="296"/>
      <c r="BI694" s="296"/>
      <c r="BJ694" s="296"/>
      <c r="BK694" s="296"/>
      <c r="BL694" s="296"/>
      <c r="BM694" s="296"/>
      <c r="BN694" s="296"/>
      <c r="BO694" s="296"/>
      <c r="BP694" s="296"/>
      <c r="BQ694" s="296"/>
      <c r="BR694" s="296"/>
      <c r="BS694" s="296"/>
      <c r="BT694" s="296"/>
      <c r="BU694" s="296"/>
      <c r="BV694" s="296"/>
      <c r="BW694" s="296"/>
      <c r="BX694" s="296"/>
      <c r="BY694" s="296"/>
      <c r="BZ694" s="9"/>
      <c r="CA694" s="9"/>
      <c r="CB694" s="9"/>
      <c r="CC694" s="9"/>
      <c r="CD694" s="9"/>
    </row>
    <row r="695" spans="1:82">
      <c r="A695" s="36" t="s">
        <v>747</v>
      </c>
      <c r="B695" s="245">
        <f ca="1">Charts_Support!B685/Charts_Support!B$689</f>
        <v>5.2922940655447295E-2</v>
      </c>
      <c r="C695" s="245">
        <f ca="1">Charts_Support!C685/Charts_Support!C$689</f>
        <v>5.365642578970143E-2</v>
      </c>
      <c r="D695" s="245">
        <f ca="1">Charts_Support!D685/Charts_Support!D$689</f>
        <v>5.3221288515406161E-2</v>
      </c>
      <c r="E695" s="245">
        <f ca="1">Charts_Support!E685/Charts_Support!E$689</f>
        <v>5.39906103286385E-2</v>
      </c>
      <c r="F695" s="91"/>
      <c r="G695" s="513"/>
      <c r="H695" s="1086"/>
      <c r="I695" s="1086"/>
      <c r="J695" s="1086"/>
      <c r="K695" s="1086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  <c r="AA695" s="91"/>
      <c r="AB695" s="91"/>
      <c r="AC695" s="91"/>
      <c r="AD695" s="91"/>
      <c r="AE695" s="91"/>
      <c r="AF695" s="91"/>
      <c r="AG695" s="91"/>
      <c r="AH695" s="91"/>
      <c r="AI695" s="91"/>
      <c r="AJ695" s="91"/>
      <c r="AK695" s="91"/>
      <c r="AL695" s="91"/>
      <c r="AM695" s="91"/>
      <c r="AN695" s="91"/>
      <c r="AO695" s="91"/>
      <c r="AP695" s="91"/>
      <c r="AQ695" s="91"/>
      <c r="AR695" s="91"/>
      <c r="AS695" s="91"/>
      <c r="AT695" s="91"/>
      <c r="AU695" s="91"/>
      <c r="AV695" s="296"/>
      <c r="AW695" s="296"/>
      <c r="AX695" s="296"/>
      <c r="AY695" s="296"/>
      <c r="AZ695" s="296"/>
      <c r="BA695" s="296"/>
      <c r="BB695" s="296"/>
      <c r="BC695" s="296"/>
      <c r="BD695" s="296"/>
      <c r="BE695" s="296"/>
      <c r="BF695" s="296"/>
      <c r="BG695" s="296"/>
      <c r="BH695" s="296"/>
      <c r="BI695" s="296"/>
      <c r="BJ695" s="296"/>
      <c r="BK695" s="296"/>
      <c r="BL695" s="296"/>
      <c r="BM695" s="296"/>
      <c r="BN695" s="296"/>
      <c r="BO695" s="296"/>
      <c r="BP695" s="296"/>
      <c r="BQ695" s="296"/>
      <c r="BR695" s="296"/>
      <c r="BS695" s="296"/>
      <c r="BT695" s="296"/>
      <c r="BU695" s="296"/>
      <c r="BV695" s="296"/>
      <c r="BW695" s="296"/>
      <c r="BX695" s="296"/>
      <c r="BY695" s="296"/>
      <c r="BZ695" s="9"/>
      <c r="CA695" s="9"/>
      <c r="CB695" s="9"/>
      <c r="CC695" s="9"/>
      <c r="CD695" s="9"/>
    </row>
    <row r="696" spans="1:82">
      <c r="A696" s="36" t="s">
        <v>748</v>
      </c>
      <c r="B696" s="245">
        <f ca="1">Charts_Support!B686/Charts_Support!B$689</f>
        <v>5.5137289636846769E-2</v>
      </c>
      <c r="C696" s="245">
        <f ca="1">Charts_Support!C686/Charts_Support!C$689</f>
        <v>5.5170921678926871E-2</v>
      </c>
      <c r="D696" s="245">
        <f ca="1">Charts_Support!D686/Charts_Support!D$689</f>
        <v>5.5375996552467138E-2</v>
      </c>
      <c r="E696" s="245">
        <f ca="1">Charts_Support!E686/Charts_Support!E$689</f>
        <v>5.441741357234315E-2</v>
      </c>
      <c r="F696" s="91"/>
      <c r="G696" s="513"/>
      <c r="H696" s="1086"/>
      <c r="I696" s="1086"/>
      <c r="J696" s="1086"/>
      <c r="K696" s="1086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  <c r="AA696" s="91"/>
      <c r="AB696" s="91"/>
      <c r="AC696" s="91"/>
      <c r="AD696" s="91"/>
      <c r="AE696" s="91"/>
      <c r="AF696" s="91"/>
      <c r="AG696" s="91"/>
      <c r="AH696" s="91"/>
      <c r="AI696" s="91"/>
      <c r="AJ696" s="91"/>
      <c r="AK696" s="91"/>
      <c r="AL696" s="91"/>
      <c r="AM696" s="91"/>
      <c r="AN696" s="91"/>
      <c r="AO696" s="91"/>
      <c r="AP696" s="91"/>
      <c r="AQ696" s="91"/>
      <c r="AR696" s="91"/>
      <c r="AS696" s="91"/>
      <c r="AT696" s="91"/>
      <c r="AU696" s="91"/>
      <c r="AV696" s="296"/>
      <c r="AW696" s="296"/>
      <c r="AX696" s="296"/>
      <c r="AY696" s="296"/>
      <c r="AZ696" s="296"/>
      <c r="BA696" s="296"/>
      <c r="BB696" s="296"/>
      <c r="BC696" s="296"/>
      <c r="BD696" s="296"/>
      <c r="BE696" s="296"/>
      <c r="BF696" s="296"/>
      <c r="BG696" s="296"/>
      <c r="BH696" s="296"/>
      <c r="BI696" s="296"/>
      <c r="BJ696" s="296"/>
      <c r="BK696" s="296"/>
      <c r="BL696" s="296"/>
      <c r="BM696" s="296"/>
      <c r="BN696" s="296"/>
      <c r="BO696" s="296"/>
      <c r="BP696" s="296"/>
      <c r="BQ696" s="296"/>
      <c r="BR696" s="296"/>
      <c r="BS696" s="296"/>
      <c r="BT696" s="296"/>
      <c r="BU696" s="296"/>
      <c r="BV696" s="296"/>
      <c r="BW696" s="296"/>
      <c r="BX696" s="296"/>
      <c r="BY696" s="296"/>
      <c r="BZ696" s="9"/>
      <c r="CA696" s="9"/>
      <c r="CB696" s="9"/>
      <c r="CC696" s="9"/>
      <c r="CD696" s="9"/>
    </row>
    <row r="697" spans="1:82">
      <c r="A697" s="36" t="s">
        <v>749</v>
      </c>
      <c r="B697" s="245">
        <f ca="1">Charts_Support!B687/Charts_Support!B$689</f>
        <v>0</v>
      </c>
      <c r="C697" s="245">
        <f ca="1">Charts_Support!C687/Charts_Support!C$689</f>
        <v>0</v>
      </c>
      <c r="D697" s="245">
        <f ca="1">Charts_Support!D687/Charts_Support!D$689</f>
        <v>0</v>
      </c>
      <c r="E697" s="245">
        <f ca="1">Charts_Support!E687/Charts_Support!E$689</f>
        <v>0</v>
      </c>
      <c r="F697" s="91"/>
      <c r="G697" s="513"/>
      <c r="H697" s="1086"/>
      <c r="I697" s="1086"/>
      <c r="J697" s="1086"/>
      <c r="K697" s="1086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  <c r="AA697" s="91"/>
      <c r="AB697" s="91"/>
      <c r="AC697" s="91"/>
      <c r="AD697" s="91"/>
      <c r="AE697" s="91"/>
      <c r="AF697" s="91"/>
      <c r="AG697" s="91"/>
      <c r="AH697" s="91"/>
      <c r="AI697" s="91"/>
      <c r="AJ697" s="91"/>
      <c r="AK697" s="91"/>
      <c r="AL697" s="91"/>
      <c r="AM697" s="91"/>
      <c r="AN697" s="91"/>
      <c r="AO697" s="91"/>
      <c r="AP697" s="91"/>
      <c r="AQ697" s="91"/>
      <c r="AR697" s="91"/>
      <c r="AS697" s="91"/>
      <c r="AT697" s="91"/>
      <c r="AU697" s="91"/>
      <c r="AV697" s="296"/>
      <c r="AW697" s="296"/>
      <c r="AX697" s="296"/>
      <c r="AY697" s="296"/>
      <c r="AZ697" s="296"/>
      <c r="BA697" s="296"/>
      <c r="BB697" s="296"/>
      <c r="BC697" s="296"/>
      <c r="BD697" s="296"/>
      <c r="BE697" s="296"/>
      <c r="BF697" s="296"/>
      <c r="BG697" s="296"/>
      <c r="BH697" s="296"/>
      <c r="BI697" s="296"/>
      <c r="BJ697" s="296"/>
      <c r="BK697" s="296"/>
      <c r="BL697" s="296"/>
      <c r="BM697" s="296"/>
      <c r="BN697" s="296"/>
      <c r="BO697" s="296"/>
      <c r="BP697" s="296"/>
      <c r="BQ697" s="296"/>
      <c r="BR697" s="296"/>
      <c r="BS697" s="296"/>
      <c r="BT697" s="296"/>
      <c r="BU697" s="296"/>
      <c r="BV697" s="296"/>
      <c r="BW697" s="296"/>
      <c r="BX697" s="296"/>
      <c r="BY697" s="296"/>
      <c r="BZ697" s="9"/>
      <c r="CA697" s="9"/>
      <c r="CB697" s="9"/>
      <c r="CC697" s="9"/>
      <c r="CD697" s="9"/>
    </row>
    <row r="698" spans="1:82">
      <c r="A698" s="36" t="s">
        <v>985</v>
      </c>
      <c r="B698" s="245">
        <f ca="1">Charts_Support!B688/Charts_Support!B$689</f>
        <v>4.2072630646589901E-3</v>
      </c>
      <c r="C698" s="245">
        <f ca="1">Charts_Support!C688/Charts_Support!C$689</f>
        <v>4.7598442232799658E-3</v>
      </c>
      <c r="D698" s="245">
        <f ca="1">Charts_Support!D688/Charts_Support!D$689</f>
        <v>4.7403576815341518E-3</v>
      </c>
      <c r="E698" s="245">
        <f ca="1">Charts_Support!E688/Charts_Support!E$689</f>
        <v>4.6948356807511738E-3</v>
      </c>
      <c r="F698" s="91"/>
      <c r="G698" s="513"/>
      <c r="H698" s="1086"/>
      <c r="I698" s="1086"/>
      <c r="J698" s="1086"/>
      <c r="K698" s="1086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  <c r="AA698" s="91"/>
      <c r="AB698" s="91"/>
      <c r="AC698" s="91"/>
      <c r="AD698" s="91"/>
      <c r="AE698" s="91"/>
      <c r="AF698" s="91"/>
      <c r="AG698" s="91"/>
      <c r="AH698" s="91"/>
      <c r="AI698" s="91"/>
      <c r="AJ698" s="91"/>
      <c r="AK698" s="91"/>
      <c r="AL698" s="91"/>
      <c r="AM698" s="91"/>
      <c r="AN698" s="91"/>
      <c r="AO698" s="91"/>
      <c r="AP698" s="91"/>
      <c r="AQ698" s="91"/>
      <c r="AR698" s="91"/>
      <c r="AS698" s="91"/>
      <c r="AT698" s="91"/>
      <c r="AU698" s="91"/>
      <c r="AV698" s="296"/>
      <c r="AW698" s="296"/>
      <c r="AX698" s="296"/>
      <c r="AY698" s="296"/>
      <c r="AZ698" s="296"/>
      <c r="BA698" s="296"/>
      <c r="BB698" s="296"/>
      <c r="BC698" s="296"/>
      <c r="BD698" s="296"/>
      <c r="BE698" s="296"/>
      <c r="BF698" s="296"/>
      <c r="BG698" s="296"/>
      <c r="BH698" s="296"/>
      <c r="BI698" s="296"/>
      <c r="BJ698" s="296"/>
      <c r="BK698" s="296"/>
      <c r="BL698" s="296"/>
      <c r="BM698" s="296"/>
      <c r="BN698" s="296"/>
      <c r="BO698" s="296"/>
      <c r="BP698" s="296"/>
      <c r="BQ698" s="296"/>
      <c r="BR698" s="296"/>
      <c r="BS698" s="296"/>
      <c r="BT698" s="296"/>
      <c r="BU698" s="296"/>
      <c r="BV698" s="296"/>
      <c r="BW698" s="296"/>
      <c r="BX698" s="296"/>
      <c r="BY698" s="296"/>
      <c r="BZ698" s="9"/>
      <c r="CA698" s="9"/>
      <c r="CB698" s="9"/>
      <c r="CC698" s="9"/>
      <c r="CD698" s="9"/>
    </row>
    <row r="699" spans="1:82">
      <c r="A699" s="513" t="s">
        <v>325</v>
      </c>
      <c r="B699" s="1086">
        <f ca="1">SUM(B692:B698)</f>
        <v>1</v>
      </c>
      <c r="C699" s="1086">
        <f ca="1">SUM(C692:C698)</f>
        <v>1</v>
      </c>
      <c r="D699" s="1086">
        <f ca="1">SUM(D692:D698)</f>
        <v>1</v>
      </c>
      <c r="E699" s="1086">
        <f ca="1">SUM(E692:E698)</f>
        <v>1.0000000000000002</v>
      </c>
      <c r="F699" s="91"/>
      <c r="G699" s="513"/>
      <c r="H699" s="1086"/>
      <c r="I699" s="1086"/>
      <c r="J699" s="1086"/>
      <c r="K699" s="1086"/>
      <c r="L699" s="91"/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  <c r="X699" s="91"/>
      <c r="Y699" s="91"/>
      <c r="Z699" s="91"/>
      <c r="AA699" s="91"/>
      <c r="AB699" s="91"/>
      <c r="AC699" s="91"/>
      <c r="AD699" s="91"/>
      <c r="AE699" s="91"/>
      <c r="AF699" s="91"/>
      <c r="AG699" s="91"/>
      <c r="AH699" s="91"/>
      <c r="AI699" s="91"/>
      <c r="AJ699" s="91"/>
      <c r="AK699" s="91"/>
      <c r="AL699" s="91"/>
      <c r="AM699" s="91"/>
      <c r="AN699" s="91"/>
      <c r="AO699" s="91"/>
      <c r="AP699" s="91"/>
      <c r="AQ699" s="91"/>
      <c r="AR699" s="91"/>
      <c r="AS699" s="91"/>
      <c r="AT699" s="91"/>
      <c r="AU699" s="91"/>
      <c r="AV699" s="296"/>
      <c r="AW699" s="296"/>
      <c r="AX699" s="296"/>
      <c r="AY699" s="296"/>
      <c r="AZ699" s="296"/>
      <c r="BA699" s="296"/>
      <c r="BB699" s="296"/>
      <c r="BC699" s="296"/>
      <c r="BD699" s="296"/>
      <c r="BE699" s="296"/>
      <c r="BF699" s="296"/>
      <c r="BG699" s="296"/>
      <c r="BH699" s="296"/>
      <c r="BI699" s="296"/>
      <c r="BJ699" s="296"/>
      <c r="BK699" s="296"/>
      <c r="BL699" s="296"/>
      <c r="BM699" s="296"/>
      <c r="BN699" s="296"/>
      <c r="BO699" s="296"/>
      <c r="BP699" s="296"/>
      <c r="BQ699" s="296"/>
      <c r="BR699" s="296"/>
      <c r="BS699" s="296"/>
      <c r="BT699" s="296"/>
      <c r="BU699" s="296"/>
      <c r="BV699" s="296"/>
      <c r="BW699" s="296"/>
      <c r="BX699" s="296"/>
      <c r="BY699" s="296"/>
      <c r="BZ699" s="9"/>
      <c r="CA699" s="9"/>
      <c r="CB699" s="9"/>
      <c r="CC699" s="9"/>
      <c r="CD699" s="9"/>
    </row>
    <row r="700" spans="1:82">
      <c r="A700" s="513"/>
      <c r="B700" s="1089"/>
      <c r="C700" s="1089"/>
      <c r="D700" s="1089"/>
      <c r="E700" s="1089"/>
      <c r="F700" s="91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  <c r="X700" s="91"/>
      <c r="Y700" s="91"/>
      <c r="Z700" s="91"/>
      <c r="AA700" s="91"/>
      <c r="AB700" s="91"/>
      <c r="AC700" s="91"/>
      <c r="AD700" s="91"/>
      <c r="AE700" s="91"/>
      <c r="AF700" s="91"/>
      <c r="AG700" s="91"/>
      <c r="AH700" s="91"/>
      <c r="AI700" s="91"/>
      <c r="AJ700" s="91"/>
      <c r="AK700" s="91"/>
      <c r="AL700" s="91"/>
      <c r="AM700" s="91"/>
      <c r="AN700" s="91"/>
      <c r="AO700" s="91"/>
      <c r="AP700" s="91"/>
      <c r="AQ700" s="91"/>
      <c r="AR700" s="91"/>
      <c r="AS700" s="91"/>
      <c r="AT700" s="91"/>
      <c r="AU700" s="91"/>
      <c r="AV700" s="296"/>
      <c r="AW700" s="296"/>
      <c r="AX700" s="296"/>
      <c r="AY700" s="296"/>
      <c r="AZ700" s="296"/>
      <c r="BA700" s="296"/>
      <c r="BB700" s="296"/>
      <c r="BC700" s="296"/>
      <c r="BD700" s="296"/>
      <c r="BE700" s="296"/>
      <c r="BF700" s="296"/>
      <c r="BG700" s="296"/>
      <c r="BH700" s="296"/>
      <c r="BI700" s="296"/>
      <c r="BJ700" s="296"/>
      <c r="BK700" s="296"/>
      <c r="BL700" s="296"/>
      <c r="BM700" s="296"/>
      <c r="BN700" s="296"/>
      <c r="BO700" s="296"/>
      <c r="BP700" s="296"/>
      <c r="BQ700" s="296"/>
      <c r="BR700" s="296"/>
      <c r="BS700" s="296"/>
      <c r="BT700" s="296"/>
      <c r="BU700" s="296"/>
      <c r="BV700" s="296"/>
      <c r="BW700" s="296"/>
      <c r="BX700" s="296"/>
      <c r="BY700" s="296"/>
      <c r="BZ700" s="9"/>
      <c r="CA700" s="9"/>
      <c r="CB700" s="9"/>
      <c r="CC700" s="9"/>
      <c r="CD700" s="9"/>
    </row>
    <row r="701" spans="1:82">
      <c r="A701" s="239" t="s">
        <v>906</v>
      </c>
      <c r="B701" s="1085"/>
      <c r="C701" s="1085"/>
      <c r="D701" s="1085"/>
      <c r="E701" s="1085"/>
      <c r="F701" s="1085"/>
      <c r="G701" s="1085"/>
      <c r="H701" s="1085"/>
      <c r="I701" s="1085"/>
      <c r="J701" s="1085"/>
      <c r="K701" s="1085"/>
      <c r="L701" s="1085"/>
      <c r="M701" s="1085"/>
      <c r="N701" s="1085"/>
      <c r="O701" s="1085"/>
      <c r="P701" s="1085"/>
      <c r="Q701" s="1085"/>
      <c r="R701" s="1085"/>
      <c r="S701" s="1085"/>
      <c r="T701" s="1085"/>
      <c r="U701" s="1085"/>
      <c r="V701" s="1085"/>
      <c r="W701" s="1085"/>
      <c r="X701" s="1085"/>
      <c r="Y701" s="1085"/>
      <c r="Z701" s="1085"/>
      <c r="AA701" s="1085"/>
      <c r="AB701" s="1085"/>
      <c r="AC701" s="1085"/>
      <c r="AD701" s="1085"/>
      <c r="AE701" s="1085"/>
      <c r="AF701" s="1085"/>
      <c r="AG701" s="1085"/>
      <c r="AH701" s="1085"/>
      <c r="AI701" s="1085"/>
      <c r="AJ701" s="1085"/>
      <c r="AK701" s="1085"/>
      <c r="AL701" s="1085"/>
      <c r="AM701" s="1085"/>
      <c r="AN701" s="1085"/>
      <c r="AO701" s="1085"/>
      <c r="AP701" s="1085"/>
      <c r="AQ701" s="1085"/>
      <c r="AR701" s="1085"/>
      <c r="AS701" s="1085"/>
      <c r="AT701" s="1085"/>
      <c r="AU701" s="1085"/>
      <c r="AV701" s="1085"/>
      <c r="AW701" s="1085"/>
      <c r="AX701" s="1085"/>
      <c r="AY701" s="1085"/>
      <c r="AZ701" s="1085"/>
      <c r="BA701" s="1085"/>
      <c r="BB701" s="1085"/>
      <c r="BC701" s="1085"/>
      <c r="BD701" s="1085"/>
      <c r="BE701" s="1085"/>
      <c r="BF701" s="1085"/>
      <c r="BG701" s="1085"/>
      <c r="BH701" s="1085"/>
      <c r="BI701" s="1085"/>
      <c r="BJ701" s="1085"/>
      <c r="BK701" s="1085"/>
      <c r="BL701" s="1085"/>
      <c r="BM701" s="1085"/>
      <c r="BN701" s="1085"/>
      <c r="BO701" s="1085"/>
      <c r="BP701" s="1085"/>
      <c r="BQ701" s="1085"/>
      <c r="BR701" s="1085"/>
      <c r="BS701" s="1085"/>
      <c r="BT701" s="1085"/>
      <c r="BU701" s="1085"/>
      <c r="BV701" s="1085"/>
      <c r="BW701" s="1085"/>
      <c r="BX701" s="1085"/>
      <c r="BY701" s="1085"/>
      <c r="BZ701" s="1085"/>
      <c r="CA701" s="1085"/>
      <c r="CB701" s="1085"/>
      <c r="CC701" s="1085"/>
      <c r="CD701" s="1085"/>
    </row>
    <row r="702" spans="1:82">
      <c r="A702" s="242" t="s">
        <v>1059</v>
      </c>
      <c r="B702" s="595" t="str">
        <f ca="1">Charts_Support!B681</f>
        <v>3Q23</v>
      </c>
      <c r="C702" s="595" t="str">
        <f ca="1">Charts_Support!C681</f>
        <v>4Q23</v>
      </c>
      <c r="D702" s="595" t="str">
        <f ca="1">Charts_Support!D681</f>
        <v>1Q24</v>
      </c>
      <c r="E702" s="595" t="str">
        <f ca="1">Charts_Support!E681</f>
        <v>2Q24</v>
      </c>
      <c r="F702" s="91"/>
      <c r="G702" s="242" t="s">
        <v>1073</v>
      </c>
      <c r="H702" s="595" t="str">
        <f ca="1">Charts_Support!B702</f>
        <v>3Q23</v>
      </c>
      <c r="I702" s="595" t="str">
        <f ca="1">Charts_Support!C702</f>
        <v>4Q23</v>
      </c>
      <c r="J702" s="595" t="str">
        <f ca="1">Charts_Support!D702</f>
        <v>1Q24</v>
      </c>
      <c r="K702" s="595" t="str">
        <f ca="1">Charts_Support!E702</f>
        <v>2Q24</v>
      </c>
      <c r="L702" s="91"/>
      <c r="M702" s="91"/>
      <c r="N702" s="91"/>
      <c r="O702" s="91"/>
      <c r="P702" s="91"/>
      <c r="Q702" s="91"/>
      <c r="R702" s="91"/>
      <c r="S702" s="91"/>
      <c r="T702" s="91"/>
      <c r="U702" s="91"/>
      <c r="V702" s="91"/>
      <c r="W702" s="91"/>
      <c r="X702" s="91"/>
      <c r="Y702" s="91"/>
      <c r="Z702" s="91"/>
      <c r="AA702" s="91"/>
      <c r="AB702" s="91"/>
      <c r="AC702" s="91"/>
      <c r="AD702" s="91"/>
      <c r="AE702" s="91"/>
      <c r="AF702" s="91"/>
      <c r="AG702" s="91"/>
      <c r="AH702" s="91"/>
      <c r="AI702" s="91"/>
      <c r="AJ702" s="91"/>
      <c r="AK702" s="91"/>
      <c r="AL702" s="91"/>
      <c r="AM702" s="91"/>
      <c r="AN702" s="91"/>
      <c r="AO702" s="91"/>
      <c r="AP702" s="91"/>
      <c r="AQ702" s="91"/>
      <c r="AR702" s="91"/>
      <c r="AS702" s="91"/>
      <c r="AT702" s="91"/>
      <c r="AU702" s="91"/>
      <c r="AV702" s="296"/>
      <c r="AW702" s="296"/>
      <c r="AX702" s="296"/>
      <c r="AY702" s="296"/>
      <c r="AZ702" s="296"/>
      <c r="BA702" s="296"/>
      <c r="BB702" s="296"/>
      <c r="BC702" s="296"/>
      <c r="BD702" s="296"/>
      <c r="BE702" s="296"/>
      <c r="BF702" s="296"/>
      <c r="BG702" s="296"/>
      <c r="BH702" s="296"/>
      <c r="BI702" s="296"/>
      <c r="BJ702" s="296"/>
      <c r="BK702" s="296"/>
      <c r="BL702" s="296"/>
      <c r="BM702" s="296"/>
      <c r="BN702" s="296"/>
      <c r="BO702" s="296"/>
      <c r="BP702" s="296"/>
      <c r="BQ702" s="296"/>
      <c r="BR702" s="296"/>
      <c r="BS702" s="296"/>
      <c r="BT702" s="296"/>
      <c r="BU702" s="296"/>
      <c r="BV702" s="296"/>
      <c r="BW702" s="296"/>
      <c r="BX702" s="296"/>
      <c r="BY702" s="296"/>
      <c r="BZ702" s="9"/>
      <c r="CA702" s="9"/>
      <c r="CB702" s="9"/>
      <c r="CC702" s="9"/>
      <c r="CD702" s="9"/>
    </row>
    <row r="703" spans="1:82">
      <c r="A703" s="36" t="s">
        <v>731</v>
      </c>
      <c r="B703" s="245">
        <f ca="1">+INDEX(IS!$A$71:$BR$78,MATCH(Charts_Support!$A706,IS!$A$71:$A$78,0),MATCH(B$702,IS!$A$60:$BR$60,0))</f>
        <v>0.16200000000000001</v>
      </c>
      <c r="C703" s="245">
        <f ca="1">+INDEX(IS!$A$71:$BR$78,MATCH(Charts_Support!$A706,IS!$A$71:$A$78,0),MATCH(C$702,IS!$A$60:$BR$60,0))</f>
        <v>0.13500000000000001</v>
      </c>
      <c r="D703" s="245">
        <f ca="1">+INDEX(IS!$A$71:$BR$78,MATCH(Charts_Support!$A706,IS!$A$71:$A$78,0),MATCH(D$702,IS!$A$60:$BR$60,0))</f>
        <v>0.10100000000000001</v>
      </c>
      <c r="E703" s="245">
        <f ca="1">+INDEX(IS!$A$71:$BR$78,MATCH(Charts_Support!$A706,IS!$A$71:$A$78,0),MATCH(E$702,IS!$A$60:$BR$60,0))</f>
        <v>7.2999999999999995E-2</v>
      </c>
      <c r="F703" s="91"/>
      <c r="G703" s="36" t="s">
        <v>731</v>
      </c>
      <c r="H703" s="1094">
        <f ca="1">+INDEX(IS!$A$71:$BR$78,MATCH(Charts_Support!$G707,IS!$A$71:$A$78,0),MATCH(H$702,IS!$A$60:$BR$60,0))</f>
        <v>1818</v>
      </c>
      <c r="I703" s="1094">
        <f ca="1">+INDEX(IS!$A$71:$BR$78,MATCH(Charts_Support!$G707,IS!$A$71:$A$78,0),MATCH(I$702,IS!$A$60:$BR$60,0))</f>
        <v>1851</v>
      </c>
      <c r="J703" s="1094">
        <f ca="1">+INDEX(IS!$A$71:$BR$78,MATCH(Charts_Support!$G707,IS!$A$71:$A$78,0),MATCH(J$702,IS!$A$60:$BR$60,0))</f>
        <v>1866</v>
      </c>
      <c r="K703" s="1094">
        <f ca="1">+INDEX(IS!$A$71:$BR$78,MATCH(Charts_Support!$G707,IS!$A$71:$A$78,0),MATCH(K$702,IS!$A$60:$BR$60,0))</f>
        <v>1889</v>
      </c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/>
      <c r="W703" s="91"/>
      <c r="X703" s="91"/>
      <c r="Y703" s="91"/>
      <c r="Z703" s="91"/>
      <c r="AA703" s="91"/>
      <c r="AB703" s="91"/>
      <c r="AC703" s="91"/>
      <c r="AD703" s="91"/>
      <c r="AE703" s="91"/>
      <c r="AF703" s="91"/>
      <c r="AG703" s="91"/>
      <c r="AH703" s="91"/>
      <c r="AI703" s="91"/>
      <c r="AJ703" s="91"/>
      <c r="AK703" s="91"/>
      <c r="AL703" s="91"/>
      <c r="AM703" s="91"/>
      <c r="AN703" s="91"/>
      <c r="AO703" s="91"/>
      <c r="AP703" s="91"/>
      <c r="AQ703" s="91"/>
      <c r="AR703" s="91"/>
      <c r="AS703" s="91"/>
      <c r="AT703" s="91"/>
      <c r="AU703" s="91"/>
      <c r="AV703" s="296"/>
      <c r="AW703" s="296"/>
      <c r="AX703" s="296"/>
      <c r="AY703" s="296"/>
      <c r="AZ703" s="296"/>
      <c r="BA703" s="296"/>
      <c r="BB703" s="296"/>
      <c r="BC703" s="296"/>
      <c r="BD703" s="296"/>
      <c r="BE703" s="296"/>
      <c r="BF703" s="296"/>
      <c r="BG703" s="296"/>
      <c r="BH703" s="296"/>
      <c r="BI703" s="296"/>
      <c r="BJ703" s="296"/>
      <c r="BK703" s="296"/>
      <c r="BL703" s="296"/>
      <c r="BM703" s="296"/>
      <c r="BN703" s="296"/>
      <c r="BO703" s="296"/>
      <c r="BP703" s="296"/>
      <c r="BQ703" s="296"/>
      <c r="BR703" s="296"/>
      <c r="BS703" s="296"/>
      <c r="BT703" s="296"/>
      <c r="BU703" s="296"/>
      <c r="BV703" s="296"/>
      <c r="BW703" s="296"/>
      <c r="BX703" s="296"/>
      <c r="BY703" s="296"/>
      <c r="BZ703" s="9"/>
      <c r="CA703" s="9"/>
      <c r="CB703" s="9"/>
      <c r="CC703" s="9"/>
      <c r="CD703" s="9"/>
    </row>
    <row r="704" spans="1:82">
      <c r="A704" s="36" t="s">
        <v>949</v>
      </c>
      <c r="B704" s="245">
        <f ca="1">+INDEX(IS!$A$97:$BR$104,MATCH(Charts_Support!$A706,IS!$A$97:$A$104,0),MATCH(B$702,IS!$A$60:$BR$60,0))</f>
        <v>8.3000000000000004E-2</v>
      </c>
      <c r="C704" s="245">
        <f ca="1">+INDEX(IS!$A$97:$BR$104,MATCH(Charts_Support!$A706,IS!$A$97:$A$104,0),MATCH(C$702,IS!$A$60:$BR$60,0))</f>
        <v>3.7999999999999999E-2</v>
      </c>
      <c r="D704" s="245">
        <f ca="1">+INDEX(IS!$A$97:$BR$104,MATCH(Charts_Support!$A706,IS!$A$97:$A$104,0),MATCH(D$702,IS!$A$60:$BR$60,0))</f>
        <v>1.6E-2</v>
      </c>
      <c r="E704" s="245">
        <f ca="1">+INDEX(IS!$A$97:$BR$104,MATCH(Charts_Support!$A706,IS!$A$97:$A$104,0),MATCH(E$702,IS!$A$60:$BR$60,0))</f>
        <v>-2.5999999999999999E-2</v>
      </c>
      <c r="F704" s="91"/>
      <c r="G704" s="36" t="s">
        <v>949</v>
      </c>
      <c r="H704" s="1094">
        <f ca="1">+INDEX(IS!$A$97:$BR$104,MATCH(Charts_Support!$G707,IS!$A$97:$A$104,0),MATCH(H$702,IS!$A$60:$BR$60,0))</f>
        <v>958</v>
      </c>
      <c r="I704" s="1094">
        <f ca="1">+INDEX(IS!$A$97:$BR$104,MATCH(Charts_Support!$G707,IS!$A$97:$A$104,0),MATCH(I$702,IS!$A$60:$BR$60,0))</f>
        <v>976</v>
      </c>
      <c r="J704" s="1094">
        <f ca="1">+INDEX(IS!$A$97:$BR$104,MATCH(Charts_Support!$G707,IS!$A$97:$A$104,0),MATCH(J$702,IS!$A$60:$BR$60,0))</f>
        <v>979</v>
      </c>
      <c r="K704" s="1094">
        <f ca="1">+INDEX(IS!$A$97:$BR$104,MATCH(Charts_Support!$G707,IS!$A$97:$A$104,0),MATCH(K$702,IS!$A$60:$BR$60,0))</f>
        <v>989</v>
      </c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/>
      <c r="W704" s="91"/>
      <c r="X704" s="91"/>
      <c r="Y704" s="91"/>
      <c r="Z704" s="91"/>
      <c r="AA704" s="91"/>
      <c r="AB704" s="91"/>
      <c r="AC704" s="91"/>
      <c r="AD704" s="91"/>
      <c r="AE704" s="91"/>
      <c r="AF704" s="91"/>
      <c r="AG704" s="91"/>
      <c r="AH704" s="91"/>
      <c r="AI704" s="91"/>
      <c r="AJ704" s="91"/>
      <c r="AK704" s="91"/>
      <c r="AL704" s="91"/>
      <c r="AM704" s="91"/>
      <c r="AN704" s="91"/>
      <c r="AO704" s="91"/>
      <c r="AP704" s="91"/>
      <c r="AQ704" s="91"/>
      <c r="AR704" s="91"/>
      <c r="AS704" s="91"/>
      <c r="AT704" s="91"/>
      <c r="AU704" s="91"/>
      <c r="AV704" s="296"/>
      <c r="AW704" s="296"/>
      <c r="AX704" s="296"/>
      <c r="AY704" s="296"/>
      <c r="AZ704" s="296"/>
      <c r="BA704" s="296"/>
      <c r="BB704" s="296"/>
      <c r="BC704" s="296"/>
      <c r="BD704" s="296"/>
      <c r="BE704" s="296"/>
      <c r="BF704" s="296"/>
      <c r="BG704" s="296"/>
      <c r="BH704" s="296"/>
      <c r="BI704" s="296"/>
      <c r="BJ704" s="296"/>
      <c r="BK704" s="296"/>
      <c r="BL704" s="296"/>
      <c r="BM704" s="296"/>
      <c r="BN704" s="296"/>
      <c r="BO704" s="296"/>
      <c r="BP704" s="296"/>
      <c r="BQ704" s="296"/>
      <c r="BR704" s="296"/>
      <c r="BS704" s="296"/>
      <c r="BT704" s="296"/>
      <c r="BU704" s="296"/>
      <c r="BV704" s="296"/>
      <c r="BW704" s="296"/>
      <c r="BX704" s="296"/>
      <c r="BY704" s="296"/>
      <c r="BZ704" s="9"/>
      <c r="CA704" s="9"/>
      <c r="CB704" s="9"/>
      <c r="CC704" s="9"/>
      <c r="CD704" s="9"/>
    </row>
    <row r="705" spans="1:82">
      <c r="A705" s="36" t="s">
        <v>733</v>
      </c>
      <c r="B705" s="245">
        <f ca="1">+INDEX(IS!$A$108:$BR$115,MATCH(Charts_Support!$A706,IS!$A$108:$A$115,0),MATCH(B$702,IS!$A$60:$BR$60,0))</f>
        <v>0.41399999999999998</v>
      </c>
      <c r="C705" s="245">
        <f ca="1">+INDEX(IS!$A$108:$BR$115,MATCH(Charts_Support!$A706,IS!$A$108:$A$115,0),MATCH(C$702,IS!$A$60:$BR$60,0))</f>
        <v>0.28100000000000003</v>
      </c>
      <c r="D705" s="245">
        <f ca="1">+INDEX(IS!$A$108:$BR$115,MATCH(Charts_Support!$A706,IS!$A$108:$A$115,0),MATCH(D$702,IS!$A$60:$BR$60,0))</f>
        <v>0.33400000000000002</v>
      </c>
      <c r="E705" s="245">
        <f ca="1">+INDEX(IS!$A$108:$BR$115,MATCH(Charts_Support!$A706,IS!$A$108:$A$115,0),MATCH(E$702,IS!$A$60:$BR$60,0))</f>
        <v>0.48099999999999998</v>
      </c>
      <c r="F705" s="91"/>
      <c r="G705" s="36" t="s">
        <v>733</v>
      </c>
      <c r="H705" s="1094">
        <f ca="1">+INDEX(IS!$A$108:$BR$115,MATCH(Charts_Support!$G707,IS!$A$108:$A$115,0),MATCH(H$702,IS!$A$60:$BR$60,0))</f>
        <v>704</v>
      </c>
      <c r="I705" s="1094">
        <f ca="1">+INDEX(IS!$A$108:$BR$115,MATCH(Charts_Support!$G707,IS!$A$108:$A$115,0),MATCH(I$702,IS!$A$60:$BR$60,0))</f>
        <v>725</v>
      </c>
      <c r="J705" s="1094">
        <f ca="1">+INDEX(IS!$A$108:$BR$115,MATCH(Charts_Support!$G707,IS!$A$108:$A$115,0),MATCH(J$702,IS!$A$60:$BR$60,0))</f>
        <v>726</v>
      </c>
      <c r="K705" s="1094">
        <f ca="1">+INDEX(IS!$A$108:$BR$115,MATCH(Charts_Support!$G707,IS!$A$108:$A$115,0),MATCH(K$702,IS!$A$60:$BR$60,0))</f>
        <v>731</v>
      </c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/>
      <c r="W705" s="91"/>
      <c r="X705" s="91"/>
      <c r="Y705" s="91"/>
      <c r="Z705" s="91"/>
      <c r="AA705" s="91"/>
      <c r="AB705" s="91"/>
      <c r="AC705" s="91"/>
      <c r="AD705" s="91"/>
      <c r="AE705" s="91"/>
      <c r="AF705" s="91"/>
      <c r="AG705" s="91"/>
      <c r="AH705" s="91"/>
      <c r="AI705" s="91"/>
      <c r="AJ705" s="91"/>
      <c r="AK705" s="91"/>
      <c r="AL705" s="91"/>
      <c r="AM705" s="91"/>
      <c r="AN705" s="91"/>
      <c r="AO705" s="91"/>
      <c r="AP705" s="91"/>
      <c r="AQ705" s="91"/>
      <c r="AR705" s="91"/>
      <c r="AS705" s="91"/>
      <c r="AT705" s="91"/>
      <c r="AU705" s="91"/>
      <c r="AV705" s="296"/>
      <c r="AW705" s="296"/>
      <c r="AX705" s="296"/>
      <c r="AY705" s="296"/>
      <c r="AZ705" s="296"/>
      <c r="BA705" s="296"/>
      <c r="BB705" s="296"/>
      <c r="BC705" s="296"/>
      <c r="BD705" s="296"/>
      <c r="BE705" s="296"/>
      <c r="BF705" s="296"/>
      <c r="BG705" s="296"/>
      <c r="BH705" s="296"/>
      <c r="BI705" s="296"/>
      <c r="BJ705" s="296"/>
      <c r="BK705" s="296"/>
      <c r="BL705" s="296"/>
      <c r="BM705" s="296"/>
      <c r="BN705" s="296"/>
      <c r="BO705" s="296"/>
      <c r="BP705" s="296"/>
      <c r="BQ705" s="296"/>
      <c r="BR705" s="296"/>
      <c r="BS705" s="296"/>
      <c r="BT705" s="296"/>
      <c r="BU705" s="296"/>
      <c r="BV705" s="296"/>
      <c r="BW705" s="296"/>
      <c r="BX705" s="296"/>
      <c r="BY705" s="296"/>
      <c r="BZ705" s="9"/>
      <c r="CA705" s="9"/>
      <c r="CB705" s="9"/>
      <c r="CC705" s="9"/>
      <c r="CD705" s="9"/>
    </row>
    <row r="706" spans="1:82">
      <c r="A706" s="806" t="s">
        <v>740</v>
      </c>
      <c r="B706" s="9"/>
      <c r="C706" s="9"/>
      <c r="D706" s="9"/>
      <c r="E706" s="9"/>
      <c r="F706" s="91"/>
      <c r="G706" s="513" t="s">
        <v>325</v>
      </c>
      <c r="H706" s="1095">
        <f ca="1">SUM(H703:H705)</f>
        <v>3480</v>
      </c>
      <c r="I706" s="1095">
        <f ca="1">SUM(I703:I705)</f>
        <v>3552</v>
      </c>
      <c r="J706" s="1095">
        <f ca="1">SUM(J703:J705)</f>
        <v>3571</v>
      </c>
      <c r="K706" s="1095">
        <f ca="1">SUM(K703:K705)</f>
        <v>3609</v>
      </c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/>
      <c r="W706" s="91"/>
      <c r="X706" s="91"/>
      <c r="Y706" s="91"/>
      <c r="Z706" s="91"/>
      <c r="AA706" s="91"/>
      <c r="AB706" s="91"/>
      <c r="AC706" s="91"/>
      <c r="AD706" s="91"/>
      <c r="AE706" s="91"/>
      <c r="AF706" s="91"/>
      <c r="AG706" s="91"/>
      <c r="AH706" s="91"/>
      <c r="AI706" s="91"/>
      <c r="AJ706" s="91"/>
      <c r="AK706" s="91"/>
      <c r="AL706" s="91"/>
      <c r="AM706" s="91"/>
      <c r="AN706" s="91"/>
      <c r="AO706" s="91"/>
      <c r="AP706" s="91"/>
      <c r="AQ706" s="91"/>
      <c r="AR706" s="91"/>
      <c r="AS706" s="91"/>
      <c r="AT706" s="91"/>
      <c r="AU706" s="91"/>
      <c r="AV706" s="296"/>
      <c r="AW706" s="296"/>
      <c r="AX706" s="296"/>
      <c r="AY706" s="296"/>
      <c r="AZ706" s="296"/>
      <c r="BA706" s="296"/>
      <c r="BB706" s="296"/>
      <c r="BC706" s="296"/>
      <c r="BD706" s="296"/>
      <c r="BE706" s="296"/>
      <c r="BF706" s="296"/>
      <c r="BG706" s="296"/>
      <c r="BH706" s="296"/>
      <c r="BI706" s="296"/>
      <c r="BJ706" s="296"/>
      <c r="BK706" s="296"/>
      <c r="BL706" s="296"/>
      <c r="BM706" s="296"/>
      <c r="BN706" s="296"/>
      <c r="BO706" s="296"/>
      <c r="BP706" s="296"/>
      <c r="BQ706" s="296"/>
      <c r="BR706" s="296"/>
      <c r="BS706" s="296"/>
      <c r="BT706" s="296"/>
      <c r="BU706" s="296"/>
      <c r="BV706" s="296"/>
      <c r="BW706" s="296"/>
      <c r="BX706" s="296"/>
      <c r="BY706" s="296"/>
      <c r="BZ706" s="9"/>
      <c r="CA706" s="9"/>
      <c r="CB706" s="9"/>
      <c r="CC706" s="9"/>
      <c r="CD706" s="9"/>
    </row>
    <row r="707" spans="1:82">
      <c r="A707" s="9"/>
      <c r="B707" s="9"/>
      <c r="C707" s="9"/>
      <c r="D707" s="9"/>
      <c r="E707" s="9"/>
      <c r="F707" s="91"/>
      <c r="G707" s="806" t="s">
        <v>938</v>
      </c>
      <c r="H707" s="1095"/>
      <c r="I707" s="1095"/>
      <c r="J707" s="1095"/>
      <c r="K707" s="1095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/>
      <c r="W707" s="91"/>
      <c r="X707" s="91"/>
      <c r="Y707" s="91"/>
      <c r="Z707" s="91"/>
      <c r="AA707" s="91"/>
      <c r="AB707" s="91"/>
      <c r="AC707" s="91"/>
      <c r="AD707" s="91"/>
      <c r="AE707" s="91"/>
      <c r="AF707" s="91"/>
      <c r="AG707" s="91"/>
      <c r="AH707" s="91"/>
      <c r="AI707" s="91"/>
      <c r="AJ707" s="91"/>
      <c r="AK707" s="91"/>
      <c r="AL707" s="91"/>
      <c r="AM707" s="91"/>
      <c r="AN707" s="91"/>
      <c r="AO707" s="91"/>
      <c r="AP707" s="91"/>
      <c r="AQ707" s="91"/>
      <c r="AR707" s="91"/>
      <c r="AS707" s="91"/>
      <c r="AT707" s="91"/>
      <c r="AU707" s="91"/>
      <c r="AV707" s="296"/>
      <c r="AW707" s="296"/>
      <c r="AX707" s="296"/>
      <c r="AY707" s="296"/>
      <c r="AZ707" s="296"/>
      <c r="BA707" s="296"/>
      <c r="BB707" s="296"/>
      <c r="BC707" s="296"/>
      <c r="BD707" s="296"/>
      <c r="BE707" s="296"/>
      <c r="BF707" s="296"/>
      <c r="BG707" s="296"/>
      <c r="BH707" s="296"/>
      <c r="BI707" s="296"/>
      <c r="BJ707" s="296"/>
      <c r="BK707" s="296"/>
      <c r="BL707" s="296"/>
      <c r="BM707" s="296"/>
      <c r="BN707" s="296"/>
      <c r="BO707" s="296"/>
      <c r="BP707" s="296"/>
      <c r="BQ707" s="296"/>
      <c r="BR707" s="296"/>
      <c r="BS707" s="296"/>
      <c r="BT707" s="296"/>
      <c r="BU707" s="296"/>
      <c r="BV707" s="296"/>
      <c r="BW707" s="296"/>
      <c r="BX707" s="296"/>
      <c r="BY707" s="296"/>
      <c r="BZ707" s="9"/>
      <c r="CA707" s="9"/>
      <c r="CB707" s="9"/>
      <c r="CC707" s="9"/>
      <c r="CD707" s="9"/>
    </row>
    <row r="708" spans="1:82">
      <c r="A708" s="242" t="s">
        <v>1053</v>
      </c>
      <c r="B708" s="595" t="str">
        <f ca="1">Charts_Support!B691</f>
        <v>3Q23</v>
      </c>
      <c r="C708" s="595" t="str">
        <f ca="1">Charts_Support!C691</f>
        <v>4Q23</v>
      </c>
      <c r="D708" s="595" t="str">
        <f ca="1">Charts_Support!D691</f>
        <v>1Q24</v>
      </c>
      <c r="E708" s="595" t="str">
        <f ca="1">Charts_Support!E691</f>
        <v>2Q24</v>
      </c>
      <c r="F708" s="91"/>
      <c r="G708" s="242" t="s">
        <v>1074</v>
      </c>
      <c r="H708" s="595" t="str">
        <f ca="1">Charts_Support!B708</f>
        <v>3Q23</v>
      </c>
      <c r="I708" s="595" t="str">
        <f ca="1">Charts_Support!C708</f>
        <v>4Q23</v>
      </c>
      <c r="J708" s="595" t="str">
        <f ca="1">Charts_Support!D708</f>
        <v>1Q24</v>
      </c>
      <c r="K708" s="595" t="str">
        <f ca="1">Charts_Support!E708</f>
        <v>2Q24</v>
      </c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/>
      <c r="W708" s="91"/>
      <c r="X708" s="91"/>
      <c r="Y708" s="91"/>
      <c r="Z708" s="91"/>
      <c r="AA708" s="91"/>
      <c r="AB708" s="91"/>
      <c r="AC708" s="91"/>
      <c r="AD708" s="91"/>
      <c r="AE708" s="91"/>
      <c r="AF708" s="91"/>
      <c r="AG708" s="91"/>
      <c r="AH708" s="91"/>
      <c r="AI708" s="91"/>
      <c r="AJ708" s="91"/>
      <c r="AK708" s="91"/>
      <c r="AL708" s="91"/>
      <c r="AM708" s="91"/>
      <c r="AN708" s="91"/>
      <c r="AO708" s="91"/>
      <c r="AP708" s="91"/>
      <c r="AQ708" s="91"/>
      <c r="AR708" s="91"/>
      <c r="AS708" s="91"/>
      <c r="AT708" s="91"/>
      <c r="AU708" s="91"/>
      <c r="AV708" s="296"/>
      <c r="AW708" s="296"/>
      <c r="AX708" s="296"/>
      <c r="AY708" s="296"/>
      <c r="AZ708" s="296"/>
      <c r="BA708" s="296"/>
      <c r="BB708" s="296"/>
      <c r="BC708" s="296"/>
      <c r="BD708" s="296"/>
      <c r="BE708" s="296"/>
      <c r="BF708" s="296"/>
      <c r="BG708" s="296"/>
      <c r="BH708" s="296"/>
      <c r="BI708" s="296"/>
      <c r="BJ708" s="296"/>
      <c r="BK708" s="296"/>
      <c r="BL708" s="296"/>
      <c r="BM708" s="296"/>
      <c r="BN708" s="296"/>
      <c r="BO708" s="296"/>
      <c r="BP708" s="296"/>
      <c r="BQ708" s="296"/>
      <c r="BR708" s="296"/>
      <c r="BS708" s="296"/>
      <c r="BT708" s="296"/>
      <c r="BU708" s="296"/>
      <c r="BV708" s="296"/>
      <c r="BW708" s="296"/>
      <c r="BX708" s="296"/>
      <c r="BY708" s="296"/>
      <c r="BZ708" s="9"/>
      <c r="CA708" s="9"/>
      <c r="CB708" s="9"/>
      <c r="CC708" s="9"/>
      <c r="CD708" s="9"/>
    </row>
    <row r="709" spans="1:82">
      <c r="A709" s="36" t="s">
        <v>731</v>
      </c>
      <c r="B709" s="1094">
        <f ca="1">+INDEX(IS!$A$71:$BR$78,MATCH(Charts_Support!$A713,IS!$A$71:$A$78,0),MATCH(B$708,IS!$A$60:$BR$60,0))</f>
        <v>2248</v>
      </c>
      <c r="C709" s="1094">
        <f ca="1">+INDEX(IS!$A$71:$BR$78,MATCH(Charts_Support!$A713,IS!$A$71:$A$78,0),MATCH(C$708,IS!$A$60:$BR$60,0))</f>
        <v>2313</v>
      </c>
      <c r="D709" s="1094">
        <f ca="1">+INDEX(IS!$A$71:$BR$78,MATCH(Charts_Support!$A713,IS!$A$71:$A$78,0),MATCH(D$708,IS!$A$60:$BR$60,0))</f>
        <v>2331</v>
      </c>
      <c r="E709" s="1094">
        <f ca="1">+INDEX(IS!$A$71:$BR$78,MATCH(Charts_Support!$A713,IS!$A$71:$A$78,0),MATCH(E$708,IS!$A$60:$BR$60,0))</f>
        <v>2358</v>
      </c>
      <c r="F709" s="91"/>
      <c r="G709" s="36" t="s">
        <v>731</v>
      </c>
      <c r="H709" s="1094">
        <f ca="1">+INDEX(IS!$A$71:$BR$78,MATCH(Charts_Support!$G713,IS!$A$71:$A$78,0),MATCH(H$708,IS!$A$60:$BR$60,0))</f>
        <v>430</v>
      </c>
      <c r="I709" s="1094">
        <f ca="1">+INDEX(IS!$A$71:$BR$78,MATCH(Charts_Support!$G713,IS!$A$71:$A$78,0),MATCH(I$708,IS!$A$60:$BR$60,0))</f>
        <v>462</v>
      </c>
      <c r="J709" s="1094">
        <f ca="1">+INDEX(IS!$A$71:$BR$78,MATCH(Charts_Support!$G713,IS!$A$71:$A$78,0),MATCH(J$708,IS!$A$60:$BR$60,0))</f>
        <v>465</v>
      </c>
      <c r="K709" s="1094">
        <f ca="1">+INDEX(IS!$A$71:$BR$78,MATCH(Charts_Support!$G713,IS!$A$71:$A$78,0),MATCH(K$708,IS!$A$60:$BR$60,0))</f>
        <v>469</v>
      </c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/>
      <c r="W709" s="91"/>
      <c r="X709" s="91"/>
      <c r="Y709" s="91"/>
      <c r="Z709" s="91"/>
      <c r="AA709" s="91"/>
      <c r="AB709" s="91"/>
      <c r="AC709" s="91"/>
      <c r="AD709" s="91"/>
      <c r="AE709" s="91"/>
      <c r="AF709" s="91"/>
      <c r="AG709" s="91"/>
      <c r="AH709" s="91"/>
      <c r="AI709" s="91"/>
      <c r="AJ709" s="91"/>
      <c r="AK709" s="91"/>
      <c r="AL709" s="91"/>
      <c r="AM709" s="91"/>
      <c r="AN709" s="91"/>
      <c r="AO709" s="91"/>
      <c r="AP709" s="91"/>
      <c r="AQ709" s="91"/>
      <c r="AR709" s="91"/>
      <c r="AS709" s="91"/>
      <c r="AT709" s="91"/>
      <c r="AU709" s="91"/>
      <c r="AV709" s="296"/>
      <c r="AW709" s="296"/>
      <c r="AX709" s="296"/>
      <c r="AY709" s="296"/>
      <c r="AZ709" s="296"/>
      <c r="BA709" s="296"/>
      <c r="BB709" s="296"/>
      <c r="BC709" s="296"/>
      <c r="BD709" s="296"/>
      <c r="BE709" s="296"/>
      <c r="BF709" s="296"/>
      <c r="BG709" s="296"/>
      <c r="BH709" s="296"/>
      <c r="BI709" s="296"/>
      <c r="BJ709" s="296"/>
      <c r="BK709" s="296"/>
      <c r="BL709" s="296"/>
      <c r="BM709" s="296"/>
      <c r="BN709" s="296"/>
      <c r="BO709" s="296"/>
      <c r="BP709" s="296"/>
      <c r="BQ709" s="296"/>
      <c r="BR709" s="296"/>
      <c r="BS709" s="296"/>
      <c r="BT709" s="296"/>
      <c r="BU709" s="296"/>
      <c r="BV709" s="296"/>
      <c r="BW709" s="296"/>
      <c r="BX709" s="296"/>
      <c r="BY709" s="296"/>
      <c r="BZ709" s="9"/>
      <c r="CA709" s="9"/>
      <c r="CB709" s="9"/>
      <c r="CC709" s="9"/>
      <c r="CD709" s="9"/>
    </row>
    <row r="710" spans="1:82">
      <c r="A710" s="36" t="s">
        <v>949</v>
      </c>
      <c r="B710" s="1094">
        <f ca="1">+INDEX(IS!$A$97:$BR$104,MATCH(Charts_Support!$A713,IS!$A$97:$A$104,0),MATCH(B$708,IS!$A$60:$BR$60,0))</f>
        <v>1514</v>
      </c>
      <c r="C710" s="1094">
        <f ca="1">+INDEX(IS!$A$97:$BR$104,MATCH(Charts_Support!$A713,IS!$A$97:$A$104,0),MATCH(C$708,IS!$A$60:$BR$60,0))</f>
        <v>1534</v>
      </c>
      <c r="D710" s="1094">
        <f ca="1">+INDEX(IS!$A$97:$BR$104,MATCH(Charts_Support!$A713,IS!$A$97:$A$104,0),MATCH(D$708,IS!$A$60:$BR$60,0))</f>
        <v>1534</v>
      </c>
      <c r="E710" s="1094">
        <f ca="1">+INDEX(IS!$A$97:$BR$104,MATCH(Charts_Support!$A713,IS!$A$97:$A$104,0),MATCH(E$708,IS!$A$60:$BR$60,0))</f>
        <v>1548</v>
      </c>
      <c r="F710" s="91"/>
      <c r="G710" s="36" t="s">
        <v>949</v>
      </c>
      <c r="H710" s="1094">
        <f ca="1">+INDEX(IS!$A$97:$BR$104,MATCH(Charts_Support!$G713,IS!$A$97:$A$104,0),MATCH(H$708,IS!$A$60:$BR$60,0))</f>
        <v>556</v>
      </c>
      <c r="I710" s="1094">
        <f ca="1">+INDEX(IS!$A$97:$BR$104,MATCH(Charts_Support!$G713,IS!$A$97:$A$104,0),MATCH(I$708,IS!$A$60:$BR$60,0))</f>
        <v>558</v>
      </c>
      <c r="J710" s="1094">
        <f ca="1">+INDEX(IS!$A$97:$BR$104,MATCH(Charts_Support!$G713,IS!$A$97:$A$104,0),MATCH(J$708,IS!$A$60:$BR$60,0))</f>
        <v>555</v>
      </c>
      <c r="K710" s="1094">
        <f ca="1">+INDEX(IS!$A$97:$BR$104,MATCH(Charts_Support!$G713,IS!$A$97:$A$104,0),MATCH(K$708,IS!$A$60:$BR$60,0))</f>
        <v>559</v>
      </c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/>
      <c r="W710" s="91"/>
      <c r="X710" s="91"/>
      <c r="Y710" s="91"/>
      <c r="Z710" s="91"/>
      <c r="AA710" s="91"/>
      <c r="AB710" s="91"/>
      <c r="AC710" s="91"/>
      <c r="AD710" s="91"/>
      <c r="AE710" s="91"/>
      <c r="AF710" s="91"/>
      <c r="AG710" s="91"/>
      <c r="AH710" s="91"/>
      <c r="AI710" s="91"/>
      <c r="AJ710" s="91"/>
      <c r="AK710" s="91"/>
      <c r="AL710" s="91"/>
      <c r="AM710" s="91"/>
      <c r="AN710" s="91"/>
      <c r="AO710" s="91"/>
      <c r="AP710" s="91"/>
      <c r="AQ710" s="91"/>
      <c r="AR710" s="91"/>
      <c r="AS710" s="91"/>
      <c r="AT710" s="91"/>
      <c r="AU710" s="91"/>
      <c r="AV710" s="296"/>
      <c r="AW710" s="296"/>
      <c r="AX710" s="296"/>
      <c r="AY710" s="296"/>
      <c r="AZ710" s="296"/>
      <c r="BA710" s="296"/>
      <c r="BB710" s="296"/>
      <c r="BC710" s="296"/>
      <c r="BD710" s="296"/>
      <c r="BE710" s="296"/>
      <c r="BF710" s="296"/>
      <c r="BG710" s="296"/>
      <c r="BH710" s="296"/>
      <c r="BI710" s="296"/>
      <c r="BJ710" s="296"/>
      <c r="BK710" s="296"/>
      <c r="BL710" s="296"/>
      <c r="BM710" s="296"/>
      <c r="BN710" s="296"/>
      <c r="BO710" s="296"/>
      <c r="BP710" s="296"/>
      <c r="BQ710" s="296"/>
      <c r="BR710" s="296"/>
      <c r="BS710" s="296"/>
      <c r="BT710" s="296"/>
      <c r="BU710" s="296"/>
      <c r="BV710" s="296"/>
      <c r="BW710" s="296"/>
      <c r="BX710" s="296"/>
      <c r="BY710" s="296"/>
      <c r="BZ710" s="9"/>
      <c r="CA710" s="9"/>
      <c r="CB710" s="9"/>
      <c r="CC710" s="9"/>
      <c r="CD710" s="9"/>
    </row>
    <row r="711" spans="1:82">
      <c r="A711" s="36" t="s">
        <v>733</v>
      </c>
      <c r="B711" s="1094">
        <f ca="1">+INDEX(IS!$A$108:$BR$115,MATCH(Charts_Support!$A713,IS!$A$108:$A$115,0),MATCH(B$708,IS!$A$60:$BR$60,0))</f>
        <v>754</v>
      </c>
      <c r="C711" s="1094">
        <f ca="1">+INDEX(IS!$A$108:$BR$115,MATCH(Charts_Support!$A713,IS!$A$108:$A$115,0),MATCH(C$708,IS!$A$60:$BR$60,0))</f>
        <v>775</v>
      </c>
      <c r="D711" s="1094">
        <f ca="1">+INDEX(IS!$A$108:$BR$115,MATCH(Charts_Support!$A713,IS!$A$108:$A$115,0),MATCH(D$708,IS!$A$60:$BR$60,0))</f>
        <v>776</v>
      </c>
      <c r="E711" s="1094">
        <f ca="1">+INDEX(IS!$A$108:$BR$115,MATCH(Charts_Support!$A713,IS!$A$108:$A$115,0),MATCH(E$708,IS!$A$60:$BR$60,0))</f>
        <v>780</v>
      </c>
      <c r="F711" s="91"/>
      <c r="G711" s="36" t="s">
        <v>733</v>
      </c>
      <c r="H711" s="1094">
        <f ca="1">+INDEX(IS!$A$108:$BR$115,MATCH(Charts_Support!$G713,IS!$A$108:$A$115,0),MATCH(H$708,IS!$A$60:$BR$60,0))</f>
        <v>50</v>
      </c>
      <c r="I711" s="1094">
        <f ca="1">+INDEX(IS!$A$108:$BR$115,MATCH(Charts_Support!$G713,IS!$A$108:$A$115,0),MATCH(I$708,IS!$A$60:$BR$60,0))</f>
        <v>50</v>
      </c>
      <c r="J711" s="1094">
        <f ca="1">+INDEX(IS!$A$108:$BR$115,MATCH(Charts_Support!$G713,IS!$A$108:$A$115,0),MATCH(J$708,IS!$A$60:$BR$60,0))</f>
        <v>50</v>
      </c>
      <c r="K711" s="1094">
        <f ca="1">+INDEX(IS!$A$108:$BR$115,MATCH(Charts_Support!$G713,IS!$A$108:$A$115,0),MATCH(K$708,IS!$A$60:$BR$60,0))</f>
        <v>49</v>
      </c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/>
      <c r="W711" s="91"/>
      <c r="X711" s="91"/>
      <c r="Y711" s="91"/>
      <c r="Z711" s="91"/>
      <c r="AA711" s="91"/>
      <c r="AB711" s="91"/>
      <c r="AC711" s="91"/>
      <c r="AD711" s="91"/>
      <c r="AE711" s="91"/>
      <c r="AF711" s="91"/>
      <c r="AG711" s="91"/>
      <c r="AH711" s="91"/>
      <c r="AI711" s="91"/>
      <c r="AJ711" s="91"/>
      <c r="AK711" s="91"/>
      <c r="AL711" s="91"/>
      <c r="AM711" s="91"/>
      <c r="AN711" s="91"/>
      <c r="AO711" s="91"/>
      <c r="AP711" s="91"/>
      <c r="AQ711" s="91"/>
      <c r="AR711" s="91"/>
      <c r="AS711" s="91"/>
      <c r="AT711" s="91"/>
      <c r="AU711" s="91"/>
      <c r="AV711" s="296"/>
      <c r="AW711" s="296"/>
      <c r="AX711" s="296"/>
      <c r="AY711" s="296"/>
      <c r="AZ711" s="296"/>
      <c r="BA711" s="296"/>
      <c r="BB711" s="296"/>
      <c r="BC711" s="296"/>
      <c r="BD711" s="296"/>
      <c r="BE711" s="296"/>
      <c r="BF711" s="296"/>
      <c r="BG711" s="296"/>
      <c r="BH711" s="296"/>
      <c r="BI711" s="296"/>
      <c r="BJ711" s="296"/>
      <c r="BK711" s="296"/>
      <c r="BL711" s="296"/>
      <c r="BM711" s="296"/>
      <c r="BN711" s="296"/>
      <c r="BO711" s="296"/>
      <c r="BP711" s="296"/>
      <c r="BQ711" s="296"/>
      <c r="BR711" s="296"/>
      <c r="BS711" s="296"/>
      <c r="BT711" s="296"/>
      <c r="BU711" s="296"/>
      <c r="BV711" s="296"/>
      <c r="BW711" s="296"/>
      <c r="BX711" s="296"/>
      <c r="BY711" s="296"/>
      <c r="BZ711" s="9"/>
      <c r="CA711" s="9"/>
      <c r="CB711" s="9"/>
      <c r="CC711" s="9"/>
      <c r="CD711" s="9"/>
    </row>
    <row r="712" spans="1:82">
      <c r="A712" s="513" t="s">
        <v>325</v>
      </c>
      <c r="B712" s="1095">
        <f ca="1">SUM(B709:B711)</f>
        <v>4516</v>
      </c>
      <c r="C712" s="1095">
        <f ca="1">SUM(C709:C711)</f>
        <v>4622</v>
      </c>
      <c r="D712" s="1095">
        <f ca="1">SUM(D709:D711)</f>
        <v>4641</v>
      </c>
      <c r="E712" s="1095">
        <f ca="1">SUM(E709:E711)</f>
        <v>4686</v>
      </c>
      <c r="F712" s="91"/>
      <c r="G712" s="513" t="s">
        <v>325</v>
      </c>
      <c r="H712" s="1095">
        <f ca="1">SUM(H709:H711)</f>
        <v>1036</v>
      </c>
      <c r="I712" s="1095">
        <f ca="1">SUM(I709:I711)</f>
        <v>1070</v>
      </c>
      <c r="J712" s="1095">
        <f ca="1">SUM(J709:J711)</f>
        <v>1070</v>
      </c>
      <c r="K712" s="1095">
        <f ca="1">SUM(K709:K711)</f>
        <v>1077</v>
      </c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/>
      <c r="W712" s="91"/>
      <c r="X712" s="91"/>
      <c r="Y712" s="91"/>
      <c r="Z712" s="91"/>
      <c r="AA712" s="91"/>
      <c r="AB712" s="91"/>
      <c r="AC712" s="91"/>
      <c r="AD712" s="91"/>
      <c r="AE712" s="91"/>
      <c r="AF712" s="91"/>
      <c r="AG712" s="91"/>
      <c r="AH712" s="91"/>
      <c r="AI712" s="91"/>
      <c r="AJ712" s="91"/>
      <c r="AK712" s="91"/>
      <c r="AL712" s="91"/>
      <c r="AM712" s="91"/>
      <c r="AN712" s="91"/>
      <c r="AO712" s="91"/>
      <c r="AP712" s="91"/>
      <c r="AQ712" s="91"/>
      <c r="AR712" s="91"/>
      <c r="AS712" s="91"/>
      <c r="AT712" s="91"/>
      <c r="AU712" s="91"/>
      <c r="AV712" s="296"/>
      <c r="AW712" s="296"/>
      <c r="AX712" s="296"/>
      <c r="AY712" s="296"/>
      <c r="AZ712" s="296"/>
      <c r="BA712" s="296"/>
      <c r="BB712" s="296"/>
      <c r="BC712" s="296"/>
      <c r="BD712" s="296"/>
      <c r="BE712" s="296"/>
      <c r="BF712" s="296"/>
      <c r="BG712" s="296"/>
      <c r="BH712" s="296"/>
      <c r="BI712" s="296"/>
      <c r="BJ712" s="296"/>
      <c r="BK712" s="296"/>
      <c r="BL712" s="296"/>
      <c r="BM712" s="296"/>
      <c r="BN712" s="296"/>
      <c r="BO712" s="296"/>
      <c r="BP712" s="296"/>
      <c r="BQ712" s="296"/>
      <c r="BR712" s="296"/>
      <c r="BS712" s="296"/>
      <c r="BT712" s="296"/>
      <c r="BU712" s="296"/>
      <c r="BV712" s="296"/>
      <c r="BW712" s="296"/>
      <c r="BX712" s="296"/>
      <c r="BY712" s="296"/>
      <c r="BZ712" s="9"/>
      <c r="CA712" s="9"/>
      <c r="CB712" s="9"/>
      <c r="CC712" s="9"/>
      <c r="CD712" s="9"/>
    </row>
    <row r="713" spans="1:82">
      <c r="A713" s="806" t="s">
        <v>741</v>
      </c>
      <c r="B713" s="1089"/>
      <c r="C713" s="1089"/>
      <c r="D713" s="1089"/>
      <c r="E713" s="1089"/>
      <c r="F713" s="91"/>
      <c r="G713" s="806" t="s">
        <v>937</v>
      </c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  <c r="AA713" s="91"/>
      <c r="AB713" s="91"/>
      <c r="AC713" s="91"/>
      <c r="AD713" s="91"/>
      <c r="AE713" s="91"/>
      <c r="AF713" s="91"/>
      <c r="AG713" s="91"/>
      <c r="AH713" s="91"/>
      <c r="AI713" s="91"/>
      <c r="AJ713" s="91"/>
      <c r="AK713" s="91"/>
      <c r="AL713" s="91"/>
      <c r="AM713" s="91"/>
      <c r="AN713" s="91"/>
      <c r="AO713" s="91"/>
      <c r="AP713" s="91"/>
      <c r="AQ713" s="91"/>
      <c r="AR713" s="91"/>
      <c r="AS713" s="91"/>
      <c r="AT713" s="91"/>
      <c r="AU713" s="91"/>
      <c r="AV713" s="296"/>
      <c r="AW713" s="296"/>
      <c r="AX713" s="296"/>
      <c r="AY713" s="296"/>
      <c r="AZ713" s="296"/>
      <c r="BA713" s="296"/>
      <c r="BB713" s="296"/>
      <c r="BC713" s="296"/>
      <c r="BD713" s="296"/>
      <c r="BE713" s="296"/>
      <c r="BF713" s="296"/>
      <c r="BG713" s="296"/>
      <c r="BH713" s="296"/>
      <c r="BI713" s="296"/>
      <c r="BJ713" s="296"/>
      <c r="BK713" s="296"/>
      <c r="BL713" s="296"/>
      <c r="BM713" s="296"/>
      <c r="BN713" s="296"/>
      <c r="BO713" s="296"/>
      <c r="BP713" s="296"/>
      <c r="BQ713" s="296"/>
      <c r="BR713" s="296"/>
      <c r="BS713" s="296"/>
      <c r="BT713" s="296"/>
      <c r="BU713" s="296"/>
      <c r="BV713" s="296"/>
      <c r="BW713" s="296"/>
      <c r="BX713" s="296"/>
      <c r="BY713" s="296"/>
      <c r="BZ713" s="9"/>
      <c r="CA713" s="9"/>
      <c r="CB713" s="9"/>
      <c r="CC713" s="9"/>
      <c r="CD713" s="9"/>
    </row>
    <row r="714" spans="1:82">
      <c r="A714" s="242" t="s">
        <v>742</v>
      </c>
      <c r="B714" s="595" t="str">
        <f ca="1">Charts_Support!B691</f>
        <v>3Q23</v>
      </c>
      <c r="C714" s="595" t="str">
        <f ca="1">Charts_Support!C691</f>
        <v>4Q23</v>
      </c>
      <c r="D714" s="595" t="str">
        <f ca="1">Charts_Support!D691</f>
        <v>1Q24</v>
      </c>
      <c r="E714" s="595" t="str">
        <f ca="1">Charts_Support!E691</f>
        <v>2Q24</v>
      </c>
      <c r="F714" s="91"/>
      <c r="G714" s="242" t="s">
        <v>979</v>
      </c>
      <c r="H714" s="595" t="str">
        <f ca="1">Charts_Support!B714</f>
        <v>3Q23</v>
      </c>
      <c r="I714" s="595" t="str">
        <f ca="1">Charts_Support!C714</f>
        <v>4Q23</v>
      </c>
      <c r="J714" s="595" t="str">
        <f ca="1">Charts_Support!D714</f>
        <v>1Q24</v>
      </c>
      <c r="K714" s="595" t="str">
        <f ca="1">Charts_Support!E714</f>
        <v>2Q24</v>
      </c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/>
      <c r="W714" s="91"/>
      <c r="X714" s="91"/>
      <c r="Y714" s="91"/>
      <c r="Z714" s="91"/>
      <c r="AA714" s="91"/>
      <c r="AB714" s="91"/>
      <c r="AC714" s="91"/>
      <c r="AD714" s="91"/>
      <c r="AE714" s="91"/>
      <c r="AF714" s="91"/>
      <c r="AG714" s="91"/>
      <c r="AH714" s="91"/>
      <c r="AI714" s="91"/>
      <c r="AJ714" s="91"/>
      <c r="AK714" s="91"/>
      <c r="AL714" s="91"/>
      <c r="AM714" s="91"/>
      <c r="AN714" s="91"/>
      <c r="AO714" s="91"/>
      <c r="AP714" s="91"/>
      <c r="AQ714" s="91"/>
      <c r="AR714" s="91"/>
      <c r="AS714" s="91"/>
      <c r="AT714" s="91"/>
      <c r="AU714" s="91"/>
      <c r="AV714" s="296"/>
      <c r="AW714" s="296"/>
      <c r="AX714" s="296"/>
      <c r="AY714" s="296"/>
      <c r="AZ714" s="296"/>
      <c r="BA714" s="296"/>
      <c r="BB714" s="296"/>
      <c r="BC714" s="296"/>
      <c r="BD714" s="296"/>
      <c r="BE714" s="296"/>
      <c r="BF714" s="296"/>
      <c r="BG714" s="296"/>
      <c r="BH714" s="296"/>
      <c r="BI714" s="296"/>
      <c r="BJ714" s="296"/>
      <c r="BK714" s="296"/>
      <c r="BL714" s="296"/>
      <c r="BM714" s="296"/>
      <c r="BN714" s="296"/>
      <c r="BO714" s="296"/>
      <c r="BP714" s="296"/>
      <c r="BQ714" s="296"/>
      <c r="BR714" s="296"/>
      <c r="BS714" s="296"/>
      <c r="BT714" s="296"/>
      <c r="BU714" s="296"/>
      <c r="BV714" s="296"/>
      <c r="BW714" s="296"/>
      <c r="BX714" s="296"/>
      <c r="BY714" s="296"/>
      <c r="BZ714" s="9"/>
      <c r="CA714" s="9"/>
      <c r="CB714" s="9"/>
      <c r="CC714" s="9"/>
      <c r="CD714" s="9"/>
    </row>
    <row r="715" spans="1:82">
      <c r="A715" s="36" t="s">
        <v>731</v>
      </c>
      <c r="B715" s="1094">
        <f ca="1">+INDEX(IS!$A$71:$BR$78,MATCH(Charts_Support!$A719,IS!$A$71:$A$78,0),MATCH(B$714,IS!$A$60:$BR$60,0))</f>
        <v>9900</v>
      </c>
      <c r="C715" s="1094">
        <f ca="1">+INDEX(IS!$A$71:$BR$78,MATCH(Charts_Support!$A719,IS!$A$71:$A$78,0),MATCH(C$714,IS!$A$60:$BR$60,0))</f>
        <v>10674</v>
      </c>
      <c r="D715" s="1094">
        <f ca="1">+INDEX(IS!$A$71:$BR$78,MATCH(Charts_Support!$A719,IS!$A$71:$A$78,0),MATCH(D$714,IS!$A$60:$BR$60,0))</f>
        <v>10122</v>
      </c>
      <c r="E715" s="1094">
        <f ca="1">+INDEX(IS!$A$71:$BR$78,MATCH(Charts_Support!$A719,IS!$A$71:$A$78,0),MATCH(E$714,IS!$A$60:$BR$60,0))</f>
        <v>10694</v>
      </c>
      <c r="F715" s="91"/>
      <c r="G715" s="36" t="s">
        <v>731</v>
      </c>
      <c r="H715" s="245">
        <f ca="1">+INDEX(IS!$A$71:$BR$78,MATCH(Charts_Support!$G718,IS!$A$71:$A$78,0),MATCH(H$714,IS!$A$60:$BR$60,0))</f>
        <v>0.22900000000000001</v>
      </c>
      <c r="I715" s="245">
        <f ca="1">+INDEX(IS!$A$71:$BR$78,MATCH(Charts_Support!$G718,IS!$A$71:$A$78,0),MATCH(I$714,IS!$A$60:$BR$60,0))</f>
        <v>0.22700000000000001</v>
      </c>
      <c r="J715" s="245">
        <f ca="1">+INDEX(IS!$A$71:$BR$78,MATCH(Charts_Support!$G718,IS!$A$71:$A$78,0),MATCH(J$714,IS!$A$60:$BR$60,0))</f>
        <v>0.24</v>
      </c>
      <c r="K715" s="245">
        <f ca="1">+INDEX(IS!$A$71:$BR$78,MATCH(Charts_Support!$G718,IS!$A$71:$A$78,0),MATCH(K$714,IS!$A$60:$BR$60,0))</f>
        <v>0.2471479334206097</v>
      </c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/>
      <c r="W715" s="91"/>
      <c r="X715" s="91"/>
      <c r="Y715" s="91"/>
      <c r="Z715" s="91"/>
      <c r="AA715" s="91"/>
      <c r="AB715" s="91"/>
      <c r="AC715" s="91"/>
      <c r="AD715" s="91"/>
      <c r="AE715" s="91"/>
      <c r="AF715" s="91"/>
      <c r="AG715" s="91"/>
      <c r="AH715" s="91"/>
      <c r="AI715" s="91"/>
      <c r="AJ715" s="91"/>
      <c r="AK715" s="91"/>
      <c r="AL715" s="91"/>
      <c r="AM715" s="91"/>
      <c r="AN715" s="91"/>
      <c r="AO715" s="91"/>
      <c r="AP715" s="91"/>
      <c r="AQ715" s="91"/>
      <c r="AR715" s="91"/>
      <c r="AS715" s="91"/>
      <c r="AT715" s="91"/>
      <c r="AU715" s="91"/>
      <c r="AV715" s="296"/>
      <c r="AW715" s="296"/>
      <c r="AX715" s="296"/>
      <c r="AY715" s="296"/>
      <c r="AZ715" s="296"/>
      <c r="BA715" s="296"/>
      <c r="BB715" s="296"/>
      <c r="BC715" s="296"/>
      <c r="BD715" s="296"/>
      <c r="BE715" s="296"/>
      <c r="BF715" s="296"/>
      <c r="BG715" s="296"/>
      <c r="BH715" s="296"/>
      <c r="BI715" s="296"/>
      <c r="BJ715" s="296"/>
      <c r="BK715" s="296"/>
      <c r="BL715" s="296"/>
      <c r="BM715" s="296"/>
      <c r="BN715" s="296"/>
      <c r="BO715" s="296"/>
      <c r="BP715" s="296"/>
      <c r="BQ715" s="296"/>
      <c r="BR715" s="296"/>
      <c r="BS715" s="296"/>
      <c r="BT715" s="296"/>
      <c r="BU715" s="296"/>
      <c r="BV715" s="296"/>
      <c r="BW715" s="296"/>
      <c r="BX715" s="296"/>
      <c r="BY715" s="296"/>
      <c r="BZ715" s="9"/>
      <c r="CA715" s="9"/>
      <c r="CB715" s="9"/>
      <c r="CC715" s="9"/>
      <c r="CD715" s="9"/>
    </row>
    <row r="716" spans="1:82">
      <c r="A716" s="36" t="s">
        <v>949</v>
      </c>
      <c r="B716" s="1094">
        <f ca="1">+INDEX(IS!$A$97:$BR$104,MATCH(Charts_Support!$A719,IS!$A$97:$A$104,0),MATCH(B$714,IS!$A$60:$BR$60,0))</f>
        <v>5637</v>
      </c>
      <c r="C716" s="1094">
        <f ca="1">+INDEX(IS!$A$97:$BR$104,MATCH(Charts_Support!$A719,IS!$A$97:$A$104,0),MATCH(C$714,IS!$A$60:$BR$60,0))</f>
        <v>6094</v>
      </c>
      <c r="D716" s="1094">
        <f ca="1">+INDEX(IS!$A$97:$BR$104,MATCH(Charts_Support!$A719,IS!$A$97:$A$104,0),MATCH(D$714,IS!$A$60:$BR$60,0))</f>
        <v>5441</v>
      </c>
      <c r="E716" s="1094">
        <f ca="1">+INDEX(IS!$A$97:$BR$104,MATCH(Charts_Support!$A719,IS!$A$97:$A$104,0),MATCH(E$714,IS!$A$60:$BR$60,0))</f>
        <v>5503</v>
      </c>
      <c r="F716" s="91"/>
      <c r="G716" s="36" t="s">
        <v>949</v>
      </c>
      <c r="H716" s="245">
        <f ca="1">+INDEX(IS!$A$97:$BR$104,MATCH(Charts_Support!$G718,IS!$A$97:$A$104,0),MATCH(H$714,IS!$A$60:$BR$60,0))</f>
        <v>0.15682100408018448</v>
      </c>
      <c r="I716" s="245">
        <f ca="1">+INDEX(IS!$A$97:$BR$104,MATCH(Charts_Support!$G718,IS!$A$97:$A$104,0),MATCH(I$714,IS!$A$60:$BR$60,0))</f>
        <v>0.1747620610436495</v>
      </c>
      <c r="J716" s="245">
        <f ca="1">+INDEX(IS!$A$97:$BR$104,MATCH(Charts_Support!$G718,IS!$A$97:$A$104,0),MATCH(J$714,IS!$A$60:$BR$60,0))</f>
        <v>0.13582062120933652</v>
      </c>
      <c r="K716" s="245">
        <f ca="1">+INDEX(IS!$A$97:$BR$104,MATCH(Charts_Support!$G718,IS!$A$97:$A$104,0),MATCH(K$714,IS!$A$60:$BR$60,0))</f>
        <v>0.13392694893694349</v>
      </c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/>
      <c r="W716" s="91"/>
      <c r="X716" s="91"/>
      <c r="Y716" s="91"/>
      <c r="Z716" s="91"/>
      <c r="AA716" s="91"/>
      <c r="AB716" s="91"/>
      <c r="AC716" s="91"/>
      <c r="AD716" s="91"/>
      <c r="AE716" s="91"/>
      <c r="AF716" s="91"/>
      <c r="AG716" s="91"/>
      <c r="AH716" s="91"/>
      <c r="AI716" s="91"/>
      <c r="AJ716" s="91"/>
      <c r="AK716" s="91"/>
      <c r="AL716" s="91"/>
      <c r="AM716" s="91"/>
      <c r="AN716" s="91"/>
      <c r="AO716" s="91"/>
      <c r="AP716" s="91"/>
      <c r="AQ716" s="91"/>
      <c r="AR716" s="91"/>
      <c r="AS716" s="91"/>
      <c r="AT716" s="91"/>
      <c r="AU716" s="91"/>
      <c r="AV716" s="296"/>
      <c r="AW716" s="296"/>
      <c r="AX716" s="296"/>
      <c r="AY716" s="296"/>
      <c r="AZ716" s="296"/>
      <c r="BA716" s="296"/>
      <c r="BB716" s="296"/>
      <c r="BC716" s="296"/>
      <c r="BD716" s="296"/>
      <c r="BE716" s="296"/>
      <c r="BF716" s="296"/>
      <c r="BG716" s="296"/>
      <c r="BH716" s="296"/>
      <c r="BI716" s="296"/>
      <c r="BJ716" s="296"/>
      <c r="BK716" s="296"/>
      <c r="BL716" s="296"/>
      <c r="BM716" s="296"/>
      <c r="BN716" s="296"/>
      <c r="BO716" s="296"/>
      <c r="BP716" s="296"/>
      <c r="BQ716" s="296"/>
      <c r="BR716" s="296"/>
      <c r="BS716" s="296"/>
      <c r="BT716" s="296"/>
      <c r="BU716" s="296"/>
      <c r="BV716" s="296"/>
      <c r="BW716" s="296"/>
      <c r="BX716" s="296"/>
      <c r="BY716" s="296"/>
      <c r="BZ716" s="9"/>
      <c r="CA716" s="9"/>
      <c r="CB716" s="9"/>
      <c r="CC716" s="9"/>
      <c r="CD716" s="9"/>
    </row>
    <row r="717" spans="1:82">
      <c r="A717" s="36" t="s">
        <v>733</v>
      </c>
      <c r="B717" s="1094">
        <f ca="1">+INDEX(IS!$A$108:$BR$115,MATCH(Charts_Support!$A719,IS!$A$108:$A$115,0),MATCH(B$714,IS!$A$60:$BR$60,0))</f>
        <v>3038</v>
      </c>
      <c r="C717" s="1094">
        <f ca="1">+INDEX(IS!$A$108:$BR$115,MATCH(Charts_Support!$A719,IS!$A$108:$A$115,0),MATCH(C$714,IS!$A$60:$BR$60,0))</f>
        <v>3113</v>
      </c>
      <c r="D717" s="1094">
        <f ca="1">+INDEX(IS!$A$108:$BR$115,MATCH(Charts_Support!$A719,IS!$A$108:$A$115,0),MATCH(D$714,IS!$A$60:$BR$60,0))</f>
        <v>2493</v>
      </c>
      <c r="E717" s="1094">
        <f ca="1">+INDEX(IS!$A$108:$BR$115,MATCH(Charts_Support!$A719,IS!$A$108:$A$115,0),MATCH(E$714,IS!$A$60:$BR$60,0))</f>
        <v>2854</v>
      </c>
      <c r="F717" s="91"/>
      <c r="G717" s="36" t="s">
        <v>733</v>
      </c>
      <c r="H717" s="245">
        <f ca="1">+INDEX(IS!$A$108:$BR$115,MATCH(Charts_Support!$G718,IS!$A$108:$A$115,0),MATCH(H$714,IS!$A$60:$BR$60,0))</f>
        <v>0.20177748518762342</v>
      </c>
      <c r="I717" s="245">
        <f ca="1">+INDEX(IS!$A$108:$BR$115,MATCH(Charts_Support!$G718,IS!$A$108:$A$115,0),MATCH(I$714,IS!$A$60:$BR$60,0))</f>
        <v>0.18246064889174429</v>
      </c>
      <c r="J717" s="245">
        <f ca="1">+INDEX(IS!$A$108:$BR$115,MATCH(Charts_Support!$G718,IS!$A$108:$A$115,0),MATCH(J$714,IS!$A$60:$BR$60,0))</f>
        <v>0.16566385880465304</v>
      </c>
      <c r="K717" s="245">
        <f ca="1">+INDEX(IS!$A$108:$BR$115,MATCH(Charts_Support!$G718,IS!$A$108:$A$115,0),MATCH(K$714,IS!$A$60:$BR$60,0))</f>
        <v>0.14505956552207427</v>
      </c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/>
      <c r="W717" s="91"/>
      <c r="X717" s="91"/>
      <c r="Y717" s="91"/>
      <c r="Z717" s="91"/>
      <c r="AA717" s="91"/>
      <c r="AB717" s="91"/>
      <c r="AC717" s="91"/>
      <c r="AD717" s="91"/>
      <c r="AE717" s="91"/>
      <c r="AF717" s="91"/>
      <c r="AG717" s="91"/>
      <c r="AH717" s="91"/>
      <c r="AI717" s="91"/>
      <c r="AJ717" s="91"/>
      <c r="AK717" s="91"/>
      <c r="AL717" s="91"/>
      <c r="AM717" s="91"/>
      <c r="AN717" s="91"/>
      <c r="AO717" s="91"/>
      <c r="AP717" s="91"/>
      <c r="AQ717" s="91"/>
      <c r="AR717" s="91"/>
      <c r="AS717" s="91"/>
      <c r="AT717" s="91"/>
      <c r="AU717" s="91"/>
      <c r="AV717" s="296"/>
      <c r="AW717" s="296"/>
      <c r="AX717" s="296"/>
      <c r="AY717" s="296"/>
      <c r="AZ717" s="296"/>
      <c r="BA717" s="296"/>
      <c r="BB717" s="296"/>
      <c r="BC717" s="296"/>
      <c r="BD717" s="296"/>
      <c r="BE717" s="296"/>
      <c r="BF717" s="296"/>
      <c r="BG717" s="296"/>
      <c r="BH717" s="296"/>
      <c r="BI717" s="296"/>
      <c r="BJ717" s="296"/>
      <c r="BK717" s="296"/>
      <c r="BL717" s="296"/>
      <c r="BM717" s="296"/>
      <c r="BN717" s="296"/>
      <c r="BO717" s="296"/>
      <c r="BP717" s="296"/>
      <c r="BQ717" s="296"/>
      <c r="BR717" s="296"/>
      <c r="BS717" s="296"/>
      <c r="BT717" s="296"/>
      <c r="BU717" s="296"/>
      <c r="BV717" s="296"/>
      <c r="BW717" s="296"/>
      <c r="BX717" s="296"/>
      <c r="BY717" s="296"/>
      <c r="BZ717" s="9"/>
      <c r="CA717" s="9"/>
      <c r="CB717" s="9"/>
      <c r="CC717" s="9"/>
      <c r="CD717" s="9"/>
    </row>
    <row r="718" spans="1:82">
      <c r="A718" s="513" t="s">
        <v>325</v>
      </c>
      <c r="B718" s="1095">
        <f ca="1">SUM(B715:B717)</f>
        <v>18575</v>
      </c>
      <c r="C718" s="1095">
        <f ca="1">SUM(C715:C717)</f>
        <v>19881</v>
      </c>
      <c r="D718" s="1095">
        <f ca="1">SUM(D715:D717)</f>
        <v>18056</v>
      </c>
      <c r="E718" s="1095">
        <f ca="1">SUM(E715:E717)</f>
        <v>19051</v>
      </c>
      <c r="F718" s="91"/>
      <c r="G718" s="806" t="s">
        <v>743</v>
      </c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/>
      <c r="W718" s="91"/>
      <c r="X718" s="91"/>
      <c r="Y718" s="91"/>
      <c r="Z718" s="91"/>
      <c r="AA718" s="91"/>
      <c r="AB718" s="91"/>
      <c r="AC718" s="91"/>
      <c r="AD718" s="91"/>
      <c r="AE718" s="91"/>
      <c r="AF718" s="91"/>
      <c r="AG718" s="91"/>
      <c r="AH718" s="91"/>
      <c r="AI718" s="91"/>
      <c r="AJ718" s="91"/>
      <c r="AK718" s="91"/>
      <c r="AL718" s="91"/>
      <c r="AM718" s="91"/>
      <c r="AN718" s="91"/>
      <c r="AO718" s="91"/>
      <c r="AP718" s="91"/>
      <c r="AQ718" s="91"/>
      <c r="AR718" s="91"/>
      <c r="AS718" s="91"/>
      <c r="AT718" s="91"/>
      <c r="AU718" s="91"/>
      <c r="AV718" s="296"/>
      <c r="AW718" s="296"/>
      <c r="AX718" s="296"/>
      <c r="AY718" s="296"/>
      <c r="AZ718" s="296"/>
      <c r="BA718" s="296"/>
      <c r="BB718" s="296"/>
      <c r="BC718" s="296"/>
      <c r="BD718" s="296"/>
      <c r="BE718" s="296"/>
      <c r="BF718" s="296"/>
      <c r="BG718" s="296"/>
      <c r="BH718" s="296"/>
      <c r="BI718" s="296"/>
      <c r="BJ718" s="296"/>
      <c r="BK718" s="296"/>
      <c r="BL718" s="296"/>
      <c r="BM718" s="296"/>
      <c r="BN718" s="296"/>
      <c r="BO718" s="296"/>
      <c r="BP718" s="296"/>
      <c r="BQ718" s="296"/>
      <c r="BR718" s="296"/>
      <c r="BS718" s="296"/>
      <c r="BT718" s="296"/>
      <c r="BU718" s="296"/>
      <c r="BV718" s="296"/>
      <c r="BW718" s="296"/>
      <c r="BX718" s="296"/>
      <c r="BY718" s="296"/>
      <c r="BZ718" s="9"/>
      <c r="CA718" s="9"/>
      <c r="CB718" s="9"/>
      <c r="CC718" s="9"/>
      <c r="CD718" s="9"/>
    </row>
    <row r="719" spans="1:82">
      <c r="A719" s="541" t="s">
        <v>742</v>
      </c>
      <c r="B719" s="1089"/>
      <c r="C719" s="1089"/>
      <c r="D719" s="1089"/>
      <c r="E719" s="1089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/>
      <c r="W719" s="91"/>
      <c r="X719" s="91"/>
      <c r="Y719" s="91"/>
      <c r="Z719" s="91"/>
      <c r="AA719" s="91"/>
      <c r="AB719" s="91"/>
      <c r="AC719" s="91"/>
      <c r="AD719" s="91"/>
      <c r="AE719" s="91"/>
      <c r="AF719" s="91"/>
      <c r="AG719" s="91"/>
      <c r="AH719" s="91"/>
      <c r="AI719" s="91"/>
      <c r="AJ719" s="91"/>
      <c r="AK719" s="91"/>
      <c r="AL719" s="91"/>
      <c r="AM719" s="91"/>
      <c r="AN719" s="91"/>
      <c r="AO719" s="91"/>
      <c r="AP719" s="91"/>
      <c r="AQ719" s="91"/>
      <c r="AR719" s="91"/>
      <c r="AS719" s="91"/>
      <c r="AT719" s="91"/>
      <c r="AU719" s="91"/>
      <c r="AV719" s="296"/>
      <c r="AW719" s="296"/>
      <c r="AX719" s="296"/>
      <c r="AY719" s="296"/>
      <c r="AZ719" s="296"/>
      <c r="BA719" s="296"/>
      <c r="BB719" s="296"/>
      <c r="BC719" s="296"/>
      <c r="BD719" s="296"/>
      <c r="BE719" s="296"/>
      <c r="BF719" s="296"/>
      <c r="BG719" s="296"/>
      <c r="BH719" s="296"/>
      <c r="BI719" s="296"/>
      <c r="BJ719" s="296"/>
      <c r="BK719" s="296"/>
      <c r="BL719" s="296"/>
      <c r="BM719" s="296"/>
      <c r="BN719" s="296"/>
      <c r="BO719" s="296"/>
      <c r="BP719" s="296"/>
      <c r="BQ719" s="296"/>
      <c r="BR719" s="296"/>
      <c r="BS719" s="296"/>
      <c r="BT719" s="296"/>
      <c r="BU719" s="296"/>
      <c r="BV719" s="296"/>
      <c r="BW719" s="296"/>
      <c r="BX719" s="296"/>
      <c r="BY719" s="296"/>
      <c r="BZ719" s="9"/>
      <c r="CA719" s="9"/>
      <c r="CB719" s="9"/>
      <c r="CC719" s="9"/>
      <c r="CD719" s="9"/>
    </row>
    <row r="720" spans="1:82">
      <c r="A720" s="242" t="s">
        <v>191</v>
      </c>
      <c r="B720" s="595" t="str">
        <f ca="1">Charts_Support!B691</f>
        <v>3Q23</v>
      </c>
      <c r="C720" s="595" t="str">
        <f ca="1">Charts_Support!C691</f>
        <v>4Q23</v>
      </c>
      <c r="D720" s="595" t="str">
        <f ca="1">Charts_Support!D691</f>
        <v>1Q24</v>
      </c>
      <c r="E720" s="595" t="str">
        <f ca="1">Charts_Support!E691</f>
        <v>2Q24</v>
      </c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/>
      <c r="W720" s="91"/>
      <c r="X720" s="91"/>
      <c r="Y720" s="91"/>
      <c r="Z720" s="91"/>
      <c r="AA720" s="91"/>
      <c r="AB720" s="91"/>
      <c r="AC720" s="91"/>
      <c r="AD720" s="91"/>
      <c r="AE720" s="91"/>
      <c r="AF720" s="91"/>
      <c r="AG720" s="91"/>
      <c r="AH720" s="91"/>
      <c r="AI720" s="91"/>
      <c r="AJ720" s="91"/>
      <c r="AK720" s="91"/>
      <c r="AL720" s="91"/>
      <c r="AM720" s="91"/>
      <c r="AN720" s="91"/>
      <c r="AO720" s="91"/>
      <c r="AP720" s="91"/>
      <c r="AQ720" s="91"/>
      <c r="AR720" s="91"/>
      <c r="AS720" s="91"/>
      <c r="AT720" s="91"/>
      <c r="AU720" s="91"/>
      <c r="AV720" s="296"/>
      <c r="AW720" s="296"/>
      <c r="AX720" s="296"/>
      <c r="AY720" s="296"/>
      <c r="AZ720" s="296"/>
      <c r="BA720" s="296"/>
      <c r="BB720" s="296"/>
      <c r="BC720" s="296"/>
      <c r="BD720" s="296"/>
      <c r="BE720" s="296"/>
      <c r="BF720" s="296"/>
      <c r="BG720" s="296"/>
      <c r="BH720" s="296"/>
      <c r="BI720" s="296"/>
      <c r="BJ720" s="296"/>
      <c r="BK720" s="296"/>
      <c r="BL720" s="296"/>
      <c r="BM720" s="296"/>
      <c r="BN720" s="296"/>
      <c r="BO720" s="296"/>
      <c r="BP720" s="296"/>
      <c r="BQ720" s="296"/>
      <c r="BR720" s="296"/>
      <c r="BS720" s="296"/>
      <c r="BT720" s="296"/>
      <c r="BU720" s="296"/>
      <c r="BV720" s="296"/>
      <c r="BW720" s="296"/>
      <c r="BX720" s="296"/>
      <c r="BY720" s="296"/>
      <c r="BZ720" s="9"/>
      <c r="CA720" s="9"/>
      <c r="CB720" s="9"/>
      <c r="CC720" s="9"/>
      <c r="CD720" s="9"/>
    </row>
    <row r="721" spans="1:82">
      <c r="A721" s="36" t="s">
        <v>731</v>
      </c>
      <c r="B721" s="1094">
        <f ca="1">+INDEX(IS!$A$71:$BR$78,MATCH(Charts_Support!$A725,IS!$A$71:$A$78,0),MATCH(B$720,IS!$A$60:$BR$60,0))</f>
        <v>2256</v>
      </c>
      <c r="C721" s="1094">
        <f ca="1">+INDEX(IS!$A$71:$BR$78,MATCH(Charts_Support!$A725,IS!$A$71:$A$78,0),MATCH(C$720,IS!$A$60:$BR$60,0))</f>
        <v>2420</v>
      </c>
      <c r="D721" s="1094">
        <f ca="1">+INDEX(IS!$A$71:$BR$78,MATCH(Charts_Support!$A725,IS!$A$71:$A$78,0),MATCH(D$720,IS!$A$60:$BR$60,0))</f>
        <v>2430</v>
      </c>
      <c r="E721" s="1094">
        <f ca="1">+INDEX(IS!$A$71:$BR$78,MATCH(Charts_Support!$A725,IS!$A$71:$A$78,0),MATCH(E$720,IS!$A$60:$BR$60,0))</f>
        <v>2643</v>
      </c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  <c r="AA721" s="91"/>
      <c r="AB721" s="91"/>
      <c r="AC721" s="91"/>
      <c r="AD721" s="91"/>
      <c r="AE721" s="91"/>
      <c r="AF721" s="91"/>
      <c r="AG721" s="91"/>
      <c r="AH721" s="91"/>
      <c r="AI721" s="91"/>
      <c r="AJ721" s="91"/>
      <c r="AK721" s="91"/>
      <c r="AL721" s="91"/>
      <c r="AM721" s="91"/>
      <c r="AN721" s="91"/>
      <c r="AO721" s="91"/>
      <c r="AP721" s="91"/>
      <c r="AQ721" s="91"/>
      <c r="AR721" s="91"/>
      <c r="AS721" s="91"/>
      <c r="AT721" s="91"/>
      <c r="AU721" s="91"/>
      <c r="AV721" s="296"/>
      <c r="AW721" s="296"/>
      <c r="AX721" s="296"/>
      <c r="AY721" s="296"/>
      <c r="AZ721" s="296"/>
      <c r="BA721" s="296"/>
      <c r="BB721" s="296"/>
      <c r="BC721" s="296"/>
      <c r="BD721" s="296"/>
      <c r="BE721" s="296"/>
      <c r="BF721" s="296"/>
      <c r="BG721" s="296"/>
      <c r="BH721" s="296"/>
      <c r="BI721" s="296"/>
      <c r="BJ721" s="296"/>
      <c r="BK721" s="296"/>
      <c r="BL721" s="296"/>
      <c r="BM721" s="296"/>
      <c r="BN721" s="296"/>
      <c r="BO721" s="296"/>
      <c r="BP721" s="296"/>
      <c r="BQ721" s="296"/>
      <c r="BR721" s="296"/>
      <c r="BS721" s="296"/>
      <c r="BT721" s="296"/>
      <c r="BU721" s="296"/>
      <c r="BV721" s="296"/>
      <c r="BW721" s="296"/>
      <c r="BX721" s="296"/>
      <c r="BY721" s="296"/>
      <c r="BZ721" s="9"/>
      <c r="CA721" s="9"/>
      <c r="CB721" s="9"/>
      <c r="CC721" s="9"/>
      <c r="CD721" s="9"/>
    </row>
    <row r="722" spans="1:82">
      <c r="A722" s="36" t="s">
        <v>949</v>
      </c>
      <c r="B722" s="1094">
        <f ca="1">+INDEX(IS!$A$97:$BR$104,MATCH(Charts_Support!$A725,IS!$A$97:$A$104,0),MATCH(B$720,IS!$A$60:$BR$60,0))</f>
        <v>884</v>
      </c>
      <c r="C722" s="1094">
        <f ca="1">+INDEX(IS!$A$97:$BR$104,MATCH(Charts_Support!$A725,IS!$A$97:$A$104,0),MATCH(C$720,IS!$A$60:$BR$60,0))</f>
        <v>1065</v>
      </c>
      <c r="D722" s="1094">
        <f ca="1">+INDEX(IS!$A$97:$BR$104,MATCH(Charts_Support!$A725,IS!$A$97:$A$104,0),MATCH(D$720,IS!$A$60:$BR$60,0))</f>
        <v>739</v>
      </c>
      <c r="E722" s="1094">
        <f ca="1">+INDEX(IS!$A$97:$BR$104,MATCH(Charts_Support!$A725,IS!$A$97:$A$104,0),MATCH(E$720,IS!$A$60:$BR$60,0))</f>
        <v>737</v>
      </c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  <c r="AA722" s="91"/>
      <c r="AB722" s="91"/>
      <c r="AC722" s="91"/>
      <c r="AD722" s="91"/>
      <c r="AE722" s="91"/>
      <c r="AF722" s="91"/>
      <c r="AG722" s="91"/>
      <c r="AH722" s="91"/>
      <c r="AI722" s="91"/>
      <c r="AJ722" s="91"/>
      <c r="AK722" s="91"/>
      <c r="AL722" s="91"/>
      <c r="AM722" s="91"/>
      <c r="AN722" s="91"/>
      <c r="AO722" s="91"/>
      <c r="AP722" s="91"/>
      <c r="AQ722" s="91"/>
      <c r="AR722" s="91"/>
      <c r="AS722" s="91"/>
      <c r="AT722" s="91"/>
      <c r="AU722" s="91"/>
      <c r="AV722" s="296"/>
      <c r="AW722" s="296"/>
      <c r="AX722" s="296"/>
      <c r="AY722" s="296"/>
      <c r="AZ722" s="296"/>
      <c r="BA722" s="296"/>
      <c r="BB722" s="296"/>
      <c r="BC722" s="296"/>
      <c r="BD722" s="296"/>
      <c r="BE722" s="296"/>
      <c r="BF722" s="296"/>
      <c r="BG722" s="296"/>
      <c r="BH722" s="296"/>
      <c r="BI722" s="296"/>
      <c r="BJ722" s="296"/>
      <c r="BK722" s="296"/>
      <c r="BL722" s="296"/>
      <c r="BM722" s="296"/>
      <c r="BN722" s="296"/>
      <c r="BO722" s="296"/>
      <c r="BP722" s="296"/>
      <c r="BQ722" s="296"/>
      <c r="BR722" s="296"/>
      <c r="BS722" s="296"/>
      <c r="BT722" s="296"/>
      <c r="BU722" s="296"/>
      <c r="BV722" s="296"/>
      <c r="BW722" s="296"/>
      <c r="BX722" s="296"/>
      <c r="BY722" s="296"/>
      <c r="BZ722" s="9"/>
      <c r="CA722" s="9"/>
      <c r="CB722" s="9"/>
      <c r="CC722" s="9"/>
      <c r="CD722" s="9"/>
    </row>
    <row r="723" spans="1:82">
      <c r="A723" s="36" t="s">
        <v>733</v>
      </c>
      <c r="B723" s="1094">
        <f ca="1">+INDEX(IS!$A$108:$BR$115,MATCH(Charts_Support!$A725,IS!$A$108:$A$115,0),MATCH(B$720,IS!$A$60:$BR$60,0))</f>
        <v>613</v>
      </c>
      <c r="C723" s="1094">
        <f ca="1">+INDEX(IS!$A$108:$BR$115,MATCH(Charts_Support!$A725,IS!$A$108:$A$115,0),MATCH(C$720,IS!$A$60:$BR$60,0))</f>
        <v>568</v>
      </c>
      <c r="D723" s="1094">
        <f ca="1">+INDEX(IS!$A$108:$BR$115,MATCH(Charts_Support!$A725,IS!$A$108:$A$115,0),MATCH(D$720,IS!$A$60:$BR$60,0))</f>
        <v>413</v>
      </c>
      <c r="E723" s="1094">
        <f ca="1">+INDEX(IS!$A$108:$BR$115,MATCH(Charts_Support!$A725,IS!$A$108:$A$115,0),MATCH(E$720,IS!$A$60:$BR$60,0))</f>
        <v>414</v>
      </c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  <c r="AA723" s="91"/>
      <c r="AB723" s="91"/>
      <c r="AC723" s="91"/>
      <c r="AD723" s="91"/>
      <c r="AE723" s="91"/>
      <c r="AF723" s="91"/>
      <c r="AG723" s="91"/>
      <c r="AH723" s="91"/>
      <c r="AI723" s="91"/>
      <c r="AJ723" s="91"/>
      <c r="AK723" s="91"/>
      <c r="AL723" s="91"/>
      <c r="AM723" s="91"/>
      <c r="AN723" s="91"/>
      <c r="AO723" s="91"/>
      <c r="AP723" s="91"/>
      <c r="AQ723" s="91"/>
      <c r="AR723" s="91"/>
      <c r="AS723" s="91"/>
      <c r="AT723" s="91"/>
      <c r="AU723" s="91"/>
      <c r="AV723" s="296"/>
      <c r="AW723" s="296"/>
      <c r="AX723" s="296"/>
      <c r="AY723" s="296"/>
      <c r="AZ723" s="296"/>
      <c r="BA723" s="296"/>
      <c r="BB723" s="296"/>
      <c r="BC723" s="296"/>
      <c r="BD723" s="296"/>
      <c r="BE723" s="296"/>
      <c r="BF723" s="296"/>
      <c r="BG723" s="296"/>
      <c r="BH723" s="296"/>
      <c r="BI723" s="296"/>
      <c r="BJ723" s="296"/>
      <c r="BK723" s="296"/>
      <c r="BL723" s="296"/>
      <c r="BM723" s="296"/>
      <c r="BN723" s="296"/>
      <c r="BO723" s="296"/>
      <c r="BP723" s="296"/>
      <c r="BQ723" s="296"/>
      <c r="BR723" s="296"/>
      <c r="BS723" s="296"/>
      <c r="BT723" s="296"/>
      <c r="BU723" s="296"/>
      <c r="BV723" s="296"/>
      <c r="BW723" s="296"/>
      <c r="BX723" s="296"/>
      <c r="BY723" s="296"/>
      <c r="BZ723" s="9"/>
      <c r="CA723" s="9"/>
      <c r="CB723" s="9"/>
      <c r="CC723" s="9"/>
      <c r="CD723" s="9"/>
    </row>
    <row r="724" spans="1:82">
      <c r="A724" s="513" t="s">
        <v>325</v>
      </c>
      <c r="B724" s="1095">
        <f ca="1">SUM(B721:B723)</f>
        <v>3753</v>
      </c>
      <c r="C724" s="1095">
        <f ca="1">SUM(C721:C723)</f>
        <v>4053</v>
      </c>
      <c r="D724" s="1095">
        <f ca="1">SUM(D721:D723)</f>
        <v>3582</v>
      </c>
      <c r="E724" s="1095">
        <f ca="1">SUM(E721:E723)</f>
        <v>3794</v>
      </c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  <c r="AA724" s="91"/>
      <c r="AB724" s="91"/>
      <c r="AC724" s="91"/>
      <c r="AD724" s="91"/>
      <c r="AE724" s="91"/>
      <c r="AF724" s="91"/>
      <c r="AG724" s="91"/>
      <c r="AH724" s="91"/>
      <c r="AI724" s="91"/>
      <c r="AJ724" s="91"/>
      <c r="AK724" s="91"/>
      <c r="AL724" s="91"/>
      <c r="AM724" s="91"/>
      <c r="AN724" s="91"/>
      <c r="AO724" s="91"/>
      <c r="AP724" s="91"/>
      <c r="AQ724" s="91"/>
      <c r="AR724" s="91"/>
      <c r="AS724" s="91"/>
      <c r="AT724" s="91"/>
      <c r="AU724" s="91"/>
      <c r="AV724" s="296"/>
      <c r="AW724" s="296"/>
      <c r="AX724" s="296"/>
      <c r="AY724" s="296"/>
      <c r="AZ724" s="296"/>
      <c r="BA724" s="296"/>
      <c r="BB724" s="296"/>
      <c r="BC724" s="296"/>
      <c r="BD724" s="296"/>
      <c r="BE724" s="296"/>
      <c r="BF724" s="296"/>
      <c r="BG724" s="296"/>
      <c r="BH724" s="296"/>
      <c r="BI724" s="296"/>
      <c r="BJ724" s="296"/>
      <c r="BK724" s="296"/>
      <c r="BL724" s="296"/>
      <c r="BM724" s="296"/>
      <c r="BN724" s="296"/>
      <c r="BO724" s="296"/>
      <c r="BP724" s="296"/>
      <c r="BQ724" s="296"/>
      <c r="BR724" s="296"/>
      <c r="BS724" s="296"/>
      <c r="BT724" s="296"/>
      <c r="BU724" s="296"/>
      <c r="BV724" s="296"/>
      <c r="BW724" s="296"/>
      <c r="BX724" s="296"/>
      <c r="BY724" s="296"/>
      <c r="BZ724" s="9"/>
      <c r="CA724" s="9"/>
      <c r="CB724" s="9"/>
      <c r="CC724" s="9"/>
      <c r="CD724" s="9"/>
    </row>
    <row r="725" spans="1:82">
      <c r="A725" s="806" t="s">
        <v>187</v>
      </c>
      <c r="B725" s="1089"/>
      <c r="C725" s="1089"/>
      <c r="D725" s="1089"/>
      <c r="E725" s="1089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  <c r="AA725" s="91"/>
      <c r="AB725" s="91"/>
      <c r="AC725" s="91"/>
      <c r="AD725" s="91"/>
      <c r="AE725" s="91"/>
      <c r="AF725" s="91"/>
      <c r="AG725" s="91"/>
      <c r="AH725" s="91"/>
      <c r="AI725" s="91"/>
      <c r="AJ725" s="91"/>
      <c r="AK725" s="91"/>
      <c r="AL725" s="91"/>
      <c r="AM725" s="91"/>
      <c r="AN725" s="91"/>
      <c r="AO725" s="91"/>
      <c r="AP725" s="91"/>
      <c r="AQ725" s="91"/>
      <c r="AR725" s="91"/>
      <c r="AS725" s="91"/>
      <c r="AT725" s="91"/>
      <c r="AU725" s="91"/>
      <c r="AV725" s="296"/>
      <c r="AW725" s="296"/>
      <c r="AX725" s="296"/>
      <c r="AY725" s="296"/>
      <c r="AZ725" s="296"/>
      <c r="BA725" s="296"/>
      <c r="BB725" s="296"/>
      <c r="BC725" s="296"/>
      <c r="BD725" s="296"/>
      <c r="BE725" s="296"/>
      <c r="BF725" s="296"/>
      <c r="BG725" s="296"/>
      <c r="BH725" s="296"/>
      <c r="BI725" s="296"/>
      <c r="BJ725" s="296"/>
      <c r="BK725" s="296"/>
      <c r="BL725" s="296"/>
      <c r="BM725" s="296"/>
      <c r="BN725" s="296"/>
      <c r="BO725" s="296"/>
      <c r="BP725" s="296"/>
      <c r="BQ725" s="296"/>
      <c r="BR725" s="296"/>
      <c r="BS725" s="296"/>
      <c r="BT725" s="296"/>
      <c r="BU725" s="296"/>
      <c r="BV725" s="296"/>
      <c r="BW725" s="296"/>
      <c r="BX725" s="296"/>
      <c r="BY725" s="296"/>
      <c r="BZ725" s="9"/>
      <c r="CA725" s="9"/>
      <c r="CB725" s="9"/>
      <c r="CC725" s="9"/>
      <c r="CD725" s="9"/>
    </row>
    <row r="726" spans="1:82">
      <c r="A726" s="1145" t="s">
        <v>1042</v>
      </c>
      <c r="B726" s="1145"/>
      <c r="C726" s="1145"/>
      <c r="D726" s="1145"/>
      <c r="E726" s="1145"/>
      <c r="F726" s="1145"/>
      <c r="G726" s="1145"/>
      <c r="H726" s="1145"/>
      <c r="I726" s="1145"/>
      <c r="J726" s="1145"/>
      <c r="K726" s="1145"/>
      <c r="L726" s="1145"/>
      <c r="M726" s="1145"/>
      <c r="N726" s="1145"/>
      <c r="O726" s="1145"/>
      <c r="P726" s="91"/>
      <c r="Q726" s="91"/>
      <c r="R726" s="91"/>
      <c r="S726" s="91"/>
      <c r="T726" s="91"/>
      <c r="U726" s="91"/>
      <c r="V726" s="91"/>
      <c r="W726" s="91"/>
      <c r="X726" s="91"/>
      <c r="Y726" s="91"/>
      <c r="Z726" s="91"/>
      <c r="AA726" s="91"/>
      <c r="AB726" s="91"/>
      <c r="AC726" s="91"/>
      <c r="AD726" s="91"/>
      <c r="AE726" s="91"/>
      <c r="AF726" s="91"/>
      <c r="AG726" s="91"/>
      <c r="AH726" s="91"/>
      <c r="AI726" s="91"/>
      <c r="AJ726" s="91"/>
      <c r="AK726" s="91"/>
      <c r="AL726" s="91"/>
      <c r="AM726" s="91"/>
      <c r="AN726" s="91"/>
      <c r="AO726" s="91"/>
      <c r="AP726" s="91"/>
      <c r="AQ726" s="91"/>
      <c r="AR726" s="91"/>
      <c r="AS726" s="91"/>
      <c r="AT726" s="91"/>
      <c r="AU726" s="91"/>
      <c r="AV726" s="296"/>
      <c r="AW726" s="296"/>
      <c r="AX726" s="296"/>
      <c r="AY726" s="296"/>
      <c r="AZ726" s="296"/>
      <c r="BA726" s="296"/>
      <c r="BB726" s="296"/>
      <c r="BC726" s="296"/>
      <c r="BD726" s="296"/>
      <c r="BE726" s="296"/>
      <c r="BF726" s="296"/>
      <c r="BG726" s="296"/>
      <c r="BH726" s="296"/>
      <c r="BI726" s="296"/>
      <c r="BJ726" s="296"/>
      <c r="BK726" s="296"/>
      <c r="BL726" s="296"/>
      <c r="BM726" s="296"/>
      <c r="BN726" s="296"/>
      <c r="BO726" s="296"/>
      <c r="BP726" s="296"/>
      <c r="BQ726" s="296"/>
      <c r="BR726" s="296"/>
      <c r="BS726" s="296"/>
      <c r="BT726" s="296"/>
      <c r="BU726" s="296"/>
      <c r="BV726" s="296"/>
      <c r="BW726" s="296"/>
      <c r="BX726" s="296"/>
      <c r="BY726" s="296"/>
      <c r="BZ726" s="9"/>
      <c r="CA726" s="9"/>
      <c r="CB726" s="9"/>
      <c r="CC726" s="9"/>
      <c r="CD726" s="9"/>
    </row>
    <row r="727" spans="1:82">
      <c r="A727" s="242" t="s">
        <v>1144</v>
      </c>
      <c r="B727" s="595" t="str">
        <f ca="1">+B$569</f>
        <v>3Q23</v>
      </c>
      <c r="C727" s="595" t="str">
        <f ca="1">+C$569</f>
        <v>4Q23</v>
      </c>
      <c r="D727" s="595" t="str">
        <f ca="1">+D$569</f>
        <v>1Q24</v>
      </c>
      <c r="E727" s="595" t="str">
        <f ca="1">+E$569</f>
        <v>2Q24</v>
      </c>
      <c r="F727" s="242" t="s">
        <v>1145</v>
      </c>
      <c r="G727" s="242" t="s">
        <v>1147</v>
      </c>
      <c r="H727" s="9"/>
      <c r="I727" s="242" t="s">
        <v>1146</v>
      </c>
      <c r="J727" s="595" t="str">
        <f ca="1">+B$569</f>
        <v>3Q23</v>
      </c>
      <c r="K727" s="595" t="str">
        <f ca="1">+C$569</f>
        <v>4Q23</v>
      </c>
      <c r="L727" s="595" t="str">
        <f ca="1">+D$569</f>
        <v>1Q24</v>
      </c>
      <c r="M727" s="595" t="str">
        <f ca="1">+E$569</f>
        <v>2Q24</v>
      </c>
      <c r="N727" s="242" t="s">
        <v>1148</v>
      </c>
      <c r="O727" s="242" t="s">
        <v>1149</v>
      </c>
      <c r="P727" s="91"/>
      <c r="Q727" s="91"/>
      <c r="R727" s="91"/>
      <c r="S727" s="91"/>
      <c r="T727" s="91"/>
      <c r="U727" s="91"/>
      <c r="V727" s="91"/>
      <c r="W727" s="91"/>
      <c r="X727" s="91"/>
      <c r="Y727" s="91"/>
      <c r="Z727" s="91"/>
      <c r="AA727" s="91"/>
      <c r="AB727" s="91"/>
      <c r="AC727" s="91"/>
      <c r="AD727" s="91"/>
      <c r="AE727" s="91"/>
      <c r="AF727" s="91"/>
      <c r="AG727" s="91"/>
      <c r="AH727" s="91"/>
      <c r="AI727" s="91"/>
      <c r="AJ727" s="91"/>
      <c r="AK727" s="91"/>
      <c r="AL727" s="91"/>
      <c r="AM727" s="91"/>
      <c r="AN727" s="91"/>
      <c r="AO727" s="91"/>
      <c r="AP727" s="91"/>
      <c r="AQ727" s="91"/>
      <c r="AR727" s="91"/>
      <c r="AS727" s="91"/>
      <c r="AT727" s="91"/>
      <c r="AU727" s="91"/>
      <c r="AV727" s="296"/>
      <c r="AW727" s="296"/>
      <c r="AX727" s="296"/>
      <c r="AY727" s="296"/>
      <c r="AZ727" s="296"/>
      <c r="BA727" s="296"/>
      <c r="BB727" s="296"/>
      <c r="BC727" s="296"/>
      <c r="BD727" s="296"/>
      <c r="BE727" s="296"/>
      <c r="BF727" s="296"/>
      <c r="BG727" s="296"/>
      <c r="BH727" s="296"/>
      <c r="BI727" s="296"/>
      <c r="BJ727" s="296"/>
      <c r="BK727" s="296"/>
      <c r="BL727" s="296"/>
      <c r="BM727" s="296"/>
      <c r="BN727" s="296"/>
      <c r="BO727" s="296"/>
      <c r="BP727" s="296"/>
      <c r="BQ727" s="296"/>
      <c r="BR727" s="296"/>
      <c r="BS727" s="296"/>
      <c r="BT727" s="296"/>
      <c r="BU727" s="296"/>
      <c r="BV727" s="296"/>
      <c r="BW727" s="296"/>
      <c r="BX727" s="296"/>
      <c r="BY727" s="296"/>
      <c r="BZ727" s="9"/>
      <c r="CA727" s="9"/>
      <c r="CB727" s="9"/>
      <c r="CC727" s="9"/>
      <c r="CD727" s="9"/>
    </row>
    <row r="728" spans="1:82">
      <c r="A728" s="36" t="s">
        <v>731</v>
      </c>
      <c r="B728" s="1092">
        <f ca="1">+OFFSET(IS!$A$71,MATCH($A732,IS!$A$71:$A$78,0)-1,MATCH(Charts_Support!B$671,Segment!$B$3:$BR$3,0))</f>
        <v>9900</v>
      </c>
      <c r="C728" s="1092">
        <f ca="1">+OFFSET(IS!$A$71,MATCH($A732,IS!$A$71:$A$78,0)-1,MATCH(Charts_Support!C$671,Segment!$B$3:$BR$3,0))</f>
        <v>10674</v>
      </c>
      <c r="D728" s="1092">
        <f ca="1">+OFFSET(IS!$A$71,MATCH($A732,IS!$A$71:$A$78,0)-1,MATCH(Charts_Support!D$671,Segment!$B$3:$BR$3,0))</f>
        <v>10122</v>
      </c>
      <c r="E728" s="1092">
        <f ca="1">+OFFSET(IS!$A$71,MATCH($A732,IS!$A$71:$A$78,0)-1,MATCH(Charts_Support!E$671,Segment!$B$3:$BR$3,0))</f>
        <v>10694</v>
      </c>
      <c r="F728" s="1093">
        <f ca="1">+SUM(B728:E728)</f>
        <v>41390</v>
      </c>
      <c r="G728" s="303">
        <f ca="1">+F728/F$677</f>
        <v>0.53871603421565639</v>
      </c>
      <c r="H728" s="9"/>
      <c r="I728" s="245"/>
      <c r="J728" s="1092">
        <f ca="1">+OFFSET(IS!$A$71,MATCH($I732,IS!$A$71:$A$78,0)-1,MATCH(Charts_Support!B$671,Segment!$B$3:$BR$3,0))</f>
        <v>2256</v>
      </c>
      <c r="K728" s="1092">
        <f ca="1">+OFFSET(IS!$A$71,MATCH($I732,IS!$A$71:$A$78,0)-1,MATCH(Charts_Support!C$671,Segment!$B$3:$BR$3,0))</f>
        <v>2420</v>
      </c>
      <c r="L728" s="1092">
        <f ca="1">+OFFSET(IS!$A$71,MATCH($I732,IS!$A$71:$A$78,0)-1,MATCH(Charts_Support!D$671,Segment!$B$3:$BR$3,0))</f>
        <v>2430</v>
      </c>
      <c r="M728" s="1092">
        <f ca="1">+OFFSET(IS!$A$71,MATCH($I732,IS!$A$71:$A$78,0)-1,MATCH(Charts_Support!E$671,Segment!$B$3:$BR$3,0))</f>
        <v>2643</v>
      </c>
      <c r="N728" s="1093">
        <f ca="1">+SUM(J728:M728)</f>
        <v>9749</v>
      </c>
      <c r="O728" s="303">
        <f ca="1">+N728/N$677</f>
        <v>0.64214201027532603</v>
      </c>
      <c r="P728" s="91"/>
      <c r="Q728" s="91"/>
      <c r="R728" s="91"/>
      <c r="S728" s="91"/>
      <c r="T728" s="91"/>
      <c r="U728" s="91"/>
      <c r="V728" s="91"/>
      <c r="W728" s="91"/>
      <c r="X728" s="91"/>
      <c r="Y728" s="91"/>
      <c r="Z728" s="91"/>
      <c r="AA728" s="91"/>
      <c r="AB728" s="91"/>
      <c r="AC728" s="91"/>
      <c r="AD728" s="91"/>
      <c r="AE728" s="91"/>
      <c r="AF728" s="91"/>
      <c r="AG728" s="91"/>
      <c r="AH728" s="91"/>
      <c r="AI728" s="91"/>
      <c r="AJ728" s="91"/>
      <c r="AK728" s="91"/>
      <c r="AL728" s="91"/>
      <c r="AM728" s="91"/>
      <c r="AN728" s="91"/>
      <c r="AO728" s="91"/>
      <c r="AP728" s="91"/>
      <c r="AQ728" s="91"/>
      <c r="AR728" s="91"/>
      <c r="AS728" s="91"/>
      <c r="AT728" s="91"/>
      <c r="AU728" s="91"/>
      <c r="AV728" s="296"/>
      <c r="AW728" s="296"/>
      <c r="AX728" s="296"/>
      <c r="AY728" s="296"/>
      <c r="AZ728" s="296"/>
      <c r="BA728" s="296"/>
      <c r="BB728" s="296"/>
      <c r="BC728" s="296"/>
      <c r="BD728" s="296"/>
      <c r="BE728" s="296"/>
      <c r="BF728" s="296"/>
      <c r="BG728" s="296"/>
      <c r="BH728" s="296"/>
      <c r="BI728" s="296"/>
      <c r="BJ728" s="296"/>
      <c r="BK728" s="296"/>
      <c r="BL728" s="296"/>
      <c r="BM728" s="296"/>
      <c r="BN728" s="296"/>
      <c r="BO728" s="296"/>
      <c r="BP728" s="296"/>
      <c r="BQ728" s="296"/>
      <c r="BR728" s="296"/>
      <c r="BS728" s="296"/>
      <c r="BT728" s="296"/>
      <c r="BU728" s="296"/>
      <c r="BV728" s="296"/>
      <c r="BW728" s="296"/>
      <c r="BX728" s="296"/>
      <c r="BY728" s="296"/>
      <c r="BZ728" s="9"/>
      <c r="CA728" s="9"/>
      <c r="CB728" s="9"/>
      <c r="CC728" s="9"/>
      <c r="CD728" s="9"/>
    </row>
    <row r="729" spans="1:82">
      <c r="A729" s="36" t="s">
        <v>949</v>
      </c>
      <c r="B729" s="1092">
        <f ca="1">+OFFSET(IS!$A$97,MATCH($A732,IS!$A$97:$A$104,0)-1,MATCH(Charts_Support!B$671,Segment!$B$3:$BR$3,0))</f>
        <v>5637</v>
      </c>
      <c r="C729" s="1092">
        <f ca="1">+OFFSET(IS!$A$97,MATCH($A732,IS!$A$97:$A$104,0)-1,MATCH(Charts_Support!C$671,Segment!$B$3:$BR$3,0))</f>
        <v>6094</v>
      </c>
      <c r="D729" s="1092">
        <f ca="1">+OFFSET(IS!$A$97,MATCH($A732,IS!$A$97:$A$104,0)-1,MATCH(Charts_Support!D$671,Segment!$B$3:$BR$3,0))</f>
        <v>5441</v>
      </c>
      <c r="E729" s="1092">
        <f ca="1">+OFFSET(IS!$A$97,MATCH($A732,IS!$A$97:$A$104,0)-1,MATCH(Charts_Support!E$671,Segment!$B$3:$BR$3,0))</f>
        <v>5503</v>
      </c>
      <c r="F729" s="1093">
        <f ca="1">+SUM(B729:E729)</f>
        <v>22675</v>
      </c>
      <c r="G729" s="303">
        <f ca="1">+F729/F$677</f>
        <v>0.29512892186131939</v>
      </c>
      <c r="H729" s="9"/>
      <c r="I729" s="245"/>
      <c r="J729" s="1092">
        <f ca="1">+OFFSET(IS!$A$97,MATCH($I732,IS!$A$97:$A$104,0)-1,MATCH(Charts_Support!J$671,Segment!$B$3:$BR$3,0))</f>
        <v>884</v>
      </c>
      <c r="K729" s="1092">
        <f ca="1">+OFFSET(IS!$A$97,MATCH($I732,IS!$A$97:$A$104,0)-1,MATCH(Charts_Support!K$671,Segment!$B$3:$BR$3,0))</f>
        <v>1065</v>
      </c>
      <c r="L729" s="1092">
        <f ca="1">+OFFSET(IS!$A$97,MATCH($I732,IS!$A$97:$A$104,0)-1,MATCH(Charts_Support!L$671,Segment!$B$3:$BR$3,0))</f>
        <v>739</v>
      </c>
      <c r="M729" s="1092">
        <f ca="1">+OFFSET(IS!$A$97,MATCH($I732,IS!$A$97:$A$104,0)-1,MATCH(Charts_Support!M$671,Segment!$B$3:$BR$3,0))</f>
        <v>737</v>
      </c>
      <c r="N729" s="1093">
        <f ca="1">+SUM(J729:M729)</f>
        <v>3425</v>
      </c>
      <c r="O729" s="303">
        <f ca="1">+N729/N$677</f>
        <v>0.22559610064550126</v>
      </c>
      <c r="P729" s="91"/>
      <c r="Q729" s="91"/>
      <c r="R729" s="91"/>
      <c r="S729" s="91"/>
      <c r="T729" s="91"/>
      <c r="U729" s="91"/>
      <c r="V729" s="91"/>
      <c r="W729" s="91"/>
      <c r="X729" s="91"/>
      <c r="Y729" s="91"/>
      <c r="Z729" s="91"/>
      <c r="AA729" s="91"/>
      <c r="AB729" s="91"/>
      <c r="AC729" s="91"/>
      <c r="AD729" s="91"/>
      <c r="AE729" s="91"/>
      <c r="AF729" s="91"/>
      <c r="AG729" s="91"/>
      <c r="AH729" s="91"/>
      <c r="AI729" s="91"/>
      <c r="AJ729" s="91"/>
      <c r="AK729" s="91"/>
      <c r="AL729" s="91"/>
      <c r="AM729" s="91"/>
      <c r="AN729" s="91"/>
      <c r="AO729" s="91"/>
      <c r="AP729" s="91"/>
      <c r="AQ729" s="91"/>
      <c r="AR729" s="91"/>
      <c r="AS729" s="91"/>
      <c r="AT729" s="91"/>
      <c r="AU729" s="91"/>
      <c r="AV729" s="296"/>
      <c r="AW729" s="296"/>
      <c r="AX729" s="296"/>
      <c r="AY729" s="296"/>
      <c r="AZ729" s="296"/>
      <c r="BA729" s="296"/>
      <c r="BB729" s="296"/>
      <c r="BC729" s="296"/>
      <c r="BD729" s="296"/>
      <c r="BE729" s="296"/>
      <c r="BF729" s="296"/>
      <c r="BG729" s="296"/>
      <c r="BH729" s="296"/>
      <c r="BI729" s="296"/>
      <c r="BJ729" s="296"/>
      <c r="BK729" s="296"/>
      <c r="BL729" s="296"/>
      <c r="BM729" s="296"/>
      <c r="BN729" s="296"/>
      <c r="BO729" s="296"/>
      <c r="BP729" s="296"/>
      <c r="BQ729" s="296"/>
      <c r="BR729" s="296"/>
      <c r="BS729" s="296"/>
      <c r="BT729" s="296"/>
      <c r="BU729" s="296"/>
      <c r="BV729" s="296"/>
      <c r="BW729" s="296"/>
      <c r="BX729" s="296"/>
      <c r="BY729" s="296"/>
      <c r="BZ729" s="9"/>
      <c r="CA729" s="9"/>
      <c r="CB729" s="9"/>
      <c r="CC729" s="9"/>
      <c r="CD729" s="9"/>
    </row>
    <row r="730" spans="1:82">
      <c r="A730" s="36" t="s">
        <v>733</v>
      </c>
      <c r="B730" s="1092">
        <f ca="1">+OFFSET(IS!$A$108,MATCH($A732,IS!$A$108:$A$115,0)-1,MATCH(Charts_Support!B$671,Segment!$B$3:$BR$3,0))</f>
        <v>3038</v>
      </c>
      <c r="C730" s="1092">
        <f ca="1">+OFFSET(IS!$A$108,MATCH($A732,IS!$A$108:$A$115,0)-1,MATCH(Charts_Support!C$671,Segment!$B$3:$BR$3,0))</f>
        <v>3113</v>
      </c>
      <c r="D730" s="1092">
        <f ca="1">+OFFSET(IS!$A$108,MATCH($A732,IS!$A$108:$A$115,0)-1,MATCH(Charts_Support!D$671,Segment!$B$3:$BR$3,0))</f>
        <v>2493</v>
      </c>
      <c r="E730" s="1092">
        <f ca="1">+OFFSET(IS!$A$108,MATCH($A732,IS!$A$108:$A$115,0)-1,MATCH(Charts_Support!E$671,Segment!$B$3:$BR$3,0))</f>
        <v>2854</v>
      </c>
      <c r="F730" s="1093">
        <f ca="1">+SUM(B730:E730)</f>
        <v>11498</v>
      </c>
      <c r="G730" s="303">
        <f ca="1">+F730/F$677</f>
        <v>0.14965346608870783</v>
      </c>
      <c r="H730" s="9"/>
      <c r="I730" s="245"/>
      <c r="J730" s="1092">
        <f ca="1">+OFFSET(IS!$A$108,MATCH($I732,IS!$A$108:$A$115,0)-1,MATCH(Charts_Support!J$671,Segment!$B$3:$BR$3,0))</f>
        <v>613</v>
      </c>
      <c r="K730" s="1092">
        <f ca="1">+OFFSET(IS!$A$108,MATCH($I732,IS!$A$108:$A$115,0)-1,MATCH(Charts_Support!K$671,Segment!$B$3:$BR$3,0))</f>
        <v>568</v>
      </c>
      <c r="L730" s="1092">
        <f ca="1">+OFFSET(IS!$A$108,MATCH($I732,IS!$A$108:$A$115,0)-1,MATCH(Charts_Support!L$671,Segment!$B$3:$BR$3,0))</f>
        <v>413</v>
      </c>
      <c r="M730" s="1092">
        <f ca="1">+OFFSET(IS!$A$108,MATCH($I732,IS!$A$108:$A$115,0)-1,MATCH(Charts_Support!M$671,Segment!$B$3:$BR$3,0))</f>
        <v>414</v>
      </c>
      <c r="N730" s="1093">
        <f ca="1">+SUM(J730:M730)</f>
        <v>2008</v>
      </c>
      <c r="O730" s="303">
        <f ca="1">+N730/N$677</f>
        <v>0.13226188907917272</v>
      </c>
      <c r="P730" s="91"/>
      <c r="Q730" s="91"/>
      <c r="R730" s="91"/>
      <c r="S730" s="91"/>
      <c r="T730" s="91"/>
      <c r="U730" s="91"/>
      <c r="V730" s="91"/>
      <c r="W730" s="91"/>
      <c r="X730" s="91"/>
      <c r="Y730" s="91"/>
      <c r="Z730" s="91"/>
      <c r="AA730" s="91"/>
      <c r="AB730" s="91"/>
      <c r="AC730" s="91"/>
      <c r="AD730" s="91"/>
      <c r="AE730" s="91"/>
      <c r="AF730" s="91"/>
      <c r="AG730" s="91"/>
      <c r="AH730" s="91"/>
      <c r="AI730" s="91"/>
      <c r="AJ730" s="91"/>
      <c r="AK730" s="91"/>
      <c r="AL730" s="91"/>
      <c r="AM730" s="91"/>
      <c r="AN730" s="91"/>
      <c r="AO730" s="91"/>
      <c r="AP730" s="91"/>
      <c r="AQ730" s="91"/>
      <c r="AR730" s="91"/>
      <c r="AS730" s="91"/>
      <c r="AT730" s="91"/>
      <c r="AU730" s="91"/>
      <c r="AV730" s="296"/>
      <c r="AW730" s="296"/>
      <c r="AX730" s="296"/>
      <c r="AY730" s="296"/>
      <c r="AZ730" s="296"/>
      <c r="BA730" s="296"/>
      <c r="BB730" s="296"/>
      <c r="BC730" s="296"/>
      <c r="BD730" s="296"/>
      <c r="BE730" s="296"/>
      <c r="BF730" s="296"/>
      <c r="BG730" s="296"/>
      <c r="BH730" s="296"/>
      <c r="BI730" s="296"/>
      <c r="BJ730" s="296"/>
      <c r="BK730" s="296"/>
      <c r="BL730" s="296"/>
      <c r="BM730" s="296"/>
      <c r="BN730" s="296"/>
      <c r="BO730" s="296"/>
      <c r="BP730" s="296"/>
      <c r="BQ730" s="296"/>
      <c r="BR730" s="296"/>
      <c r="BS730" s="296"/>
      <c r="BT730" s="296"/>
      <c r="BU730" s="296"/>
      <c r="BV730" s="296"/>
      <c r="BW730" s="296"/>
      <c r="BX730" s="296"/>
      <c r="BY730" s="296"/>
      <c r="BZ730" s="9"/>
      <c r="CA730" s="9"/>
      <c r="CB730" s="9"/>
      <c r="CC730" s="9"/>
      <c r="CD730" s="9"/>
    </row>
    <row r="731" spans="1:82">
      <c r="A731" s="513" t="s">
        <v>325</v>
      </c>
      <c r="B731" s="1142">
        <f ca="1">+SUM(B728:B730)</f>
        <v>18575</v>
      </c>
      <c r="C731" s="1142">
        <f ca="1">+SUM(C728:C730)</f>
        <v>19881</v>
      </c>
      <c r="D731" s="1142">
        <f ca="1">+SUM(D728:D730)</f>
        <v>18056</v>
      </c>
      <c r="E731" s="1142">
        <f ca="1">+SUM(E728:E730)</f>
        <v>19051</v>
      </c>
      <c r="F731" s="1093">
        <f ca="1">+SUM(B731:E731)</f>
        <v>75563</v>
      </c>
      <c r="G731" s="1144">
        <f ca="1">+SUM(G728:G730)</f>
        <v>0.98349842216568373</v>
      </c>
      <c r="H731" s="9"/>
      <c r="I731" s="245"/>
      <c r="J731" s="1142">
        <f ca="1">+SUM(J728:J730)</f>
        <v>3753</v>
      </c>
      <c r="K731" s="1142">
        <f ca="1">+SUM(K728:K730)</f>
        <v>4053</v>
      </c>
      <c r="L731" s="1142">
        <f ca="1">+SUM(L728:L730)</f>
        <v>3582</v>
      </c>
      <c r="M731" s="1142">
        <f ca="1">+SUM(M728:M730)</f>
        <v>3794</v>
      </c>
      <c r="N731" s="1093">
        <f ca="1">+SUM(J731:M731)</f>
        <v>15182</v>
      </c>
      <c r="O731" s="1144">
        <f ca="1">+SUM(O728:O730)</f>
        <v>1</v>
      </c>
      <c r="P731" s="91"/>
      <c r="Q731" s="91"/>
      <c r="R731" s="91"/>
      <c r="S731" s="91"/>
      <c r="T731" s="91"/>
      <c r="U731" s="91"/>
      <c r="V731" s="91"/>
      <c r="W731" s="91"/>
      <c r="X731" s="91"/>
      <c r="Y731" s="91"/>
      <c r="Z731" s="91"/>
      <c r="AA731" s="91"/>
      <c r="AB731" s="91"/>
      <c r="AC731" s="91"/>
      <c r="AD731" s="91"/>
      <c r="AE731" s="91"/>
      <c r="AF731" s="91"/>
      <c r="AG731" s="91"/>
      <c r="AH731" s="91"/>
      <c r="AI731" s="91"/>
      <c r="AJ731" s="91"/>
      <c r="AK731" s="91"/>
      <c r="AL731" s="91"/>
      <c r="AM731" s="91"/>
      <c r="AN731" s="91"/>
      <c r="AO731" s="91"/>
      <c r="AP731" s="91"/>
      <c r="AQ731" s="91"/>
      <c r="AR731" s="91"/>
      <c r="AS731" s="91"/>
      <c r="AT731" s="91"/>
      <c r="AU731" s="91"/>
      <c r="AV731" s="296"/>
      <c r="AW731" s="296"/>
      <c r="AX731" s="296"/>
      <c r="AY731" s="296"/>
      <c r="AZ731" s="296"/>
      <c r="BA731" s="296"/>
      <c r="BB731" s="296"/>
      <c r="BC731" s="296"/>
      <c r="BD731" s="296"/>
      <c r="BE731" s="296"/>
      <c r="BF731" s="296"/>
      <c r="BG731" s="296"/>
      <c r="BH731" s="296"/>
      <c r="BI731" s="296"/>
      <c r="BJ731" s="296"/>
      <c r="BK731" s="296"/>
      <c r="BL731" s="296"/>
      <c r="BM731" s="296"/>
      <c r="BN731" s="296"/>
      <c r="BO731" s="296"/>
      <c r="BP731" s="296"/>
      <c r="BQ731" s="296"/>
      <c r="BR731" s="296"/>
      <c r="BS731" s="296"/>
      <c r="BT731" s="296"/>
      <c r="BU731" s="296"/>
      <c r="BV731" s="296"/>
      <c r="BW731" s="296"/>
      <c r="BX731" s="296"/>
      <c r="BY731" s="296"/>
      <c r="BZ731" s="9"/>
      <c r="CA731" s="9"/>
      <c r="CB731" s="9"/>
      <c r="CC731" s="9"/>
      <c r="CD731" s="9"/>
    </row>
    <row r="732" spans="1:82">
      <c r="A732" s="806" t="s">
        <v>742</v>
      </c>
      <c r="B732" s="1092"/>
      <c r="C732" s="1092"/>
      <c r="D732" s="1092"/>
      <c r="E732" s="1092"/>
      <c r="F732" s="1093"/>
      <c r="G732" s="303"/>
      <c r="H732" s="9"/>
      <c r="I732" s="1146" t="s">
        <v>187</v>
      </c>
      <c r="J732" s="1092"/>
      <c r="K732" s="1092"/>
      <c r="L732" s="1092"/>
      <c r="M732" s="1092"/>
      <c r="N732" s="1093"/>
      <c r="O732" s="303"/>
      <c r="P732" s="91"/>
      <c r="Q732" s="91"/>
      <c r="R732" s="91"/>
      <c r="S732" s="91"/>
      <c r="T732" s="91"/>
      <c r="U732" s="91"/>
      <c r="V732" s="91"/>
      <c r="W732" s="91"/>
      <c r="X732" s="91"/>
      <c r="Y732" s="91"/>
      <c r="Z732" s="91"/>
      <c r="AA732" s="91"/>
      <c r="AB732" s="91"/>
      <c r="AC732" s="91"/>
      <c r="AD732" s="91"/>
      <c r="AE732" s="91"/>
      <c r="AF732" s="91"/>
      <c r="AG732" s="91"/>
      <c r="AH732" s="91"/>
      <c r="AI732" s="91"/>
      <c r="AJ732" s="91"/>
      <c r="AK732" s="91"/>
      <c r="AL732" s="91"/>
      <c r="AM732" s="91"/>
      <c r="AN732" s="91"/>
      <c r="AO732" s="91"/>
      <c r="AP732" s="91"/>
      <c r="AQ732" s="91"/>
      <c r="AR732" s="91"/>
      <c r="AS732" s="91"/>
      <c r="AT732" s="91"/>
      <c r="AU732" s="91"/>
      <c r="AV732" s="296"/>
      <c r="AW732" s="296"/>
      <c r="AX732" s="296"/>
      <c r="AY732" s="296"/>
      <c r="AZ732" s="296"/>
      <c r="BA732" s="296"/>
      <c r="BB732" s="296"/>
      <c r="BC732" s="296"/>
      <c r="BD732" s="296"/>
      <c r="BE732" s="296"/>
      <c r="BF732" s="296"/>
      <c r="BG732" s="296"/>
      <c r="BH732" s="296"/>
      <c r="BI732" s="296"/>
      <c r="BJ732" s="296"/>
      <c r="BK732" s="296"/>
      <c r="BL732" s="296"/>
      <c r="BM732" s="296"/>
      <c r="BN732" s="296"/>
      <c r="BO732" s="296"/>
      <c r="BP732" s="296"/>
      <c r="BQ732" s="296"/>
      <c r="BR732" s="296"/>
      <c r="BS732" s="296"/>
      <c r="BT732" s="296"/>
      <c r="BU732" s="296"/>
      <c r="BV732" s="296"/>
      <c r="BW732" s="296"/>
      <c r="BX732" s="296"/>
      <c r="BY732" s="296"/>
      <c r="BZ732" s="9"/>
      <c r="CA732" s="9"/>
      <c r="CB732" s="9"/>
      <c r="CC732" s="9"/>
      <c r="CD732" s="9"/>
    </row>
    <row r="733" spans="1:82">
      <c r="A733" s="9"/>
      <c r="B733" s="9"/>
      <c r="C733" s="9"/>
      <c r="D733" s="9"/>
      <c r="E733" s="9"/>
      <c r="F733" s="9"/>
      <c r="G733" s="9"/>
      <c r="H733" s="9"/>
      <c r="I733" s="245"/>
      <c r="J733" s="9"/>
      <c r="K733" s="9"/>
      <c r="L733" s="9"/>
      <c r="M733" s="9"/>
      <c r="N733" s="9"/>
      <c r="O733" s="9"/>
      <c r="P733" s="91"/>
      <c r="Q733" s="91"/>
      <c r="R733" s="91"/>
      <c r="S733" s="91"/>
      <c r="T733" s="91"/>
      <c r="U733" s="91"/>
      <c r="V733" s="91"/>
      <c r="W733" s="91"/>
      <c r="X733" s="91"/>
      <c r="Y733" s="91"/>
      <c r="Z733" s="91"/>
      <c r="AA733" s="91"/>
      <c r="AB733" s="91"/>
      <c r="AC733" s="91"/>
      <c r="AD733" s="91"/>
      <c r="AE733" s="91"/>
      <c r="AF733" s="91"/>
      <c r="AG733" s="91"/>
      <c r="AH733" s="91"/>
      <c r="AI733" s="91"/>
      <c r="AJ733" s="91"/>
      <c r="AK733" s="91"/>
      <c r="AL733" s="91"/>
      <c r="AM733" s="91"/>
      <c r="AN733" s="91"/>
      <c r="AO733" s="91"/>
      <c r="AP733" s="91"/>
      <c r="AQ733" s="91"/>
      <c r="AR733" s="91"/>
      <c r="AS733" s="91"/>
      <c r="AT733" s="91"/>
      <c r="AU733" s="91"/>
      <c r="AV733" s="296"/>
      <c r="AW733" s="296"/>
      <c r="AX733" s="296"/>
      <c r="AY733" s="296"/>
      <c r="AZ733" s="296"/>
      <c r="BA733" s="296"/>
      <c r="BB733" s="296"/>
      <c r="BC733" s="296"/>
      <c r="BD733" s="296"/>
      <c r="BE733" s="296"/>
      <c r="BF733" s="296"/>
      <c r="BG733" s="296"/>
      <c r="BH733" s="296"/>
      <c r="BI733" s="296"/>
      <c r="BJ733" s="296"/>
      <c r="BK733" s="296"/>
      <c r="BL733" s="296"/>
      <c r="BM733" s="296"/>
      <c r="BN733" s="296"/>
      <c r="BO733" s="296"/>
      <c r="BP733" s="296"/>
      <c r="BQ733" s="296"/>
      <c r="BR733" s="296"/>
      <c r="BS733" s="296"/>
      <c r="BT733" s="296"/>
      <c r="BU733" s="296"/>
      <c r="BV733" s="296"/>
      <c r="BW733" s="296"/>
      <c r="BX733" s="296"/>
      <c r="BY733" s="296"/>
      <c r="BZ733" s="9"/>
      <c r="CA733" s="9"/>
      <c r="CB733" s="9"/>
      <c r="CC733" s="9"/>
      <c r="CD733" s="9"/>
    </row>
    <row r="734" spans="1:82">
      <c r="A734" s="806"/>
      <c r="B734" s="1089"/>
      <c r="C734" s="1089"/>
      <c r="D734" s="1089"/>
      <c r="E734" s="1089"/>
      <c r="F734" s="91"/>
      <c r="G734" s="91"/>
      <c r="H734" s="91"/>
      <c r="I734" s="91"/>
      <c r="J734" s="91"/>
      <c r="K734" s="242" t="s">
        <v>1150</v>
      </c>
      <c r="L734" s="242"/>
      <c r="M734" s="9"/>
      <c r="N734" s="9"/>
      <c r="O734" s="9"/>
      <c r="P734" s="91"/>
      <c r="Q734" s="91"/>
      <c r="R734" s="91"/>
      <c r="S734" s="91"/>
      <c r="T734" s="91"/>
      <c r="U734" s="91"/>
      <c r="V734" s="91"/>
      <c r="W734" s="91"/>
      <c r="X734" s="91"/>
      <c r="Y734" s="91"/>
      <c r="Z734" s="91"/>
      <c r="AA734" s="91"/>
      <c r="AB734" s="91"/>
      <c r="AC734" s="91"/>
      <c r="AD734" s="91"/>
      <c r="AE734" s="91"/>
      <c r="AF734" s="91"/>
      <c r="AG734" s="91"/>
      <c r="AH734" s="91"/>
      <c r="AI734" s="91"/>
      <c r="AJ734" s="91"/>
      <c r="AK734" s="91"/>
      <c r="AL734" s="91"/>
      <c r="AM734" s="91"/>
      <c r="AN734" s="91"/>
      <c r="AO734" s="91"/>
      <c r="AP734" s="91"/>
      <c r="AQ734" s="91"/>
      <c r="AR734" s="91"/>
      <c r="AS734" s="91"/>
      <c r="AT734" s="91"/>
      <c r="AU734" s="91"/>
      <c r="AV734" s="296"/>
      <c r="AW734" s="296"/>
      <c r="AX734" s="296"/>
      <c r="AY734" s="296"/>
      <c r="AZ734" s="296"/>
      <c r="BA734" s="296"/>
      <c r="BB734" s="296"/>
      <c r="BC734" s="296"/>
      <c r="BD734" s="296"/>
      <c r="BE734" s="296"/>
      <c r="BF734" s="296"/>
      <c r="BG734" s="296"/>
      <c r="BH734" s="296"/>
      <c r="BI734" s="296"/>
      <c r="BJ734" s="296"/>
      <c r="BK734" s="296"/>
      <c r="BL734" s="296"/>
      <c r="BM734" s="296"/>
      <c r="BN734" s="296"/>
      <c r="BO734" s="296"/>
      <c r="BP734" s="296"/>
      <c r="BQ734" s="296"/>
      <c r="BR734" s="296"/>
      <c r="BS734" s="296"/>
      <c r="BT734" s="296"/>
      <c r="BU734" s="296"/>
      <c r="BV734" s="296"/>
      <c r="BW734" s="296"/>
      <c r="BX734" s="296"/>
      <c r="BY734" s="296"/>
      <c r="BZ734" s="9"/>
      <c r="CA734" s="9"/>
      <c r="CB734" s="9"/>
      <c r="CC734" s="9"/>
      <c r="CD734" s="9"/>
    </row>
    <row r="735" spans="1:82">
      <c r="A735" s="9"/>
      <c r="B735" s="1089"/>
      <c r="C735" s="1089"/>
      <c r="D735" s="1089"/>
      <c r="E735" s="1089"/>
      <c r="F735" s="91"/>
      <c r="G735" s="91"/>
      <c r="H735" s="91"/>
      <c r="I735" s="245"/>
      <c r="J735" s="1147"/>
      <c r="K735" s="1147">
        <f ca="1">N728/$N$731</f>
        <v>0.64214201027532603</v>
      </c>
      <c r="L735" s="1147"/>
      <c r="M735" s="1147"/>
      <c r="N735" s="1143"/>
      <c r="O735" s="303"/>
      <c r="P735" s="91"/>
      <c r="Q735" s="91"/>
      <c r="R735" s="91"/>
      <c r="S735" s="91"/>
      <c r="T735" s="91"/>
      <c r="U735" s="91"/>
      <c r="V735" s="91"/>
      <c r="W735" s="91"/>
      <c r="X735" s="91"/>
      <c r="Y735" s="91"/>
      <c r="Z735" s="91"/>
      <c r="AA735" s="91"/>
      <c r="AB735" s="91"/>
      <c r="AC735" s="91"/>
      <c r="AD735" s="91"/>
      <c r="AE735" s="91"/>
      <c r="AF735" s="91"/>
      <c r="AG735" s="91"/>
      <c r="AH735" s="91"/>
      <c r="AI735" s="91"/>
      <c r="AJ735" s="91"/>
      <c r="AK735" s="91"/>
      <c r="AL735" s="91"/>
      <c r="AM735" s="91"/>
      <c r="AN735" s="91"/>
      <c r="AO735" s="91"/>
      <c r="AP735" s="91"/>
      <c r="AQ735" s="91"/>
      <c r="AR735" s="91"/>
      <c r="AS735" s="91"/>
      <c r="AT735" s="91"/>
      <c r="AU735" s="91"/>
      <c r="AV735" s="296"/>
      <c r="AW735" s="296"/>
      <c r="AX735" s="296"/>
      <c r="AY735" s="296"/>
      <c r="AZ735" s="296"/>
      <c r="BA735" s="296"/>
      <c r="BB735" s="296"/>
      <c r="BC735" s="296"/>
      <c r="BD735" s="296"/>
      <c r="BE735" s="296"/>
      <c r="BF735" s="296"/>
      <c r="BG735" s="296"/>
      <c r="BH735" s="296"/>
      <c r="BI735" s="296"/>
      <c r="BJ735" s="296"/>
      <c r="BK735" s="296"/>
      <c r="BL735" s="296"/>
      <c r="BM735" s="296"/>
      <c r="BN735" s="296"/>
      <c r="BO735" s="296"/>
      <c r="BP735" s="296"/>
      <c r="BQ735" s="296"/>
      <c r="BR735" s="296"/>
      <c r="BS735" s="296"/>
      <c r="BT735" s="296"/>
      <c r="BU735" s="296"/>
      <c r="BV735" s="296"/>
      <c r="BW735" s="296"/>
      <c r="BX735" s="296"/>
      <c r="BY735" s="296"/>
      <c r="BZ735" s="9"/>
      <c r="CA735" s="9"/>
      <c r="CB735" s="9"/>
      <c r="CC735" s="9"/>
      <c r="CD735" s="9"/>
    </row>
    <row r="736" spans="1:82">
      <c r="A736" s="806"/>
      <c r="B736" s="1089"/>
      <c r="C736" s="1089"/>
      <c r="D736" s="1089"/>
      <c r="E736" s="1089"/>
      <c r="F736" s="91"/>
      <c r="G736" s="91"/>
      <c r="H736" s="91"/>
      <c r="I736" s="245"/>
      <c r="J736" s="1147"/>
      <c r="K736" s="1147">
        <f ca="1">N729/$N$731</f>
        <v>0.22559610064550126</v>
      </c>
      <c r="L736" s="1147"/>
      <c r="M736" s="1147"/>
      <c r="N736" s="1143"/>
      <c r="O736" s="303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  <c r="AA736" s="91"/>
      <c r="AB736" s="91"/>
      <c r="AC736" s="91"/>
      <c r="AD736" s="91"/>
      <c r="AE736" s="91"/>
      <c r="AF736" s="91"/>
      <c r="AG736" s="91"/>
      <c r="AH736" s="91"/>
      <c r="AI736" s="91"/>
      <c r="AJ736" s="91"/>
      <c r="AK736" s="91"/>
      <c r="AL736" s="91"/>
      <c r="AM736" s="91"/>
      <c r="AN736" s="91"/>
      <c r="AO736" s="91"/>
      <c r="AP736" s="91"/>
      <c r="AQ736" s="91"/>
      <c r="AR736" s="91"/>
      <c r="AS736" s="91"/>
      <c r="AT736" s="91"/>
      <c r="AU736" s="91"/>
      <c r="AV736" s="296"/>
      <c r="AW736" s="296"/>
      <c r="AX736" s="296"/>
      <c r="AY736" s="296"/>
      <c r="AZ736" s="296"/>
      <c r="BA736" s="296"/>
      <c r="BB736" s="296"/>
      <c r="BC736" s="296"/>
      <c r="BD736" s="296"/>
      <c r="BE736" s="296"/>
      <c r="BF736" s="296"/>
      <c r="BG736" s="296"/>
      <c r="BH736" s="296"/>
      <c r="BI736" s="296"/>
      <c r="BJ736" s="296"/>
      <c r="BK736" s="296"/>
      <c r="BL736" s="296"/>
      <c r="BM736" s="296"/>
      <c r="BN736" s="296"/>
      <c r="BO736" s="296"/>
      <c r="BP736" s="296"/>
      <c r="BQ736" s="296"/>
      <c r="BR736" s="296"/>
      <c r="BS736" s="296"/>
      <c r="BT736" s="296"/>
      <c r="BU736" s="296"/>
      <c r="BV736" s="296"/>
      <c r="BW736" s="296"/>
      <c r="BX736" s="296"/>
      <c r="BY736" s="296"/>
      <c r="BZ736" s="9"/>
      <c r="CA736" s="9"/>
      <c r="CB736" s="9"/>
      <c r="CC736" s="9"/>
      <c r="CD736" s="9"/>
    </row>
    <row r="737" spans="1:82">
      <c r="A737" s="806"/>
      <c r="B737" s="1089"/>
      <c r="C737" s="1089"/>
      <c r="D737" s="1089"/>
      <c r="E737" s="1089"/>
      <c r="F737" s="91"/>
      <c r="G737" s="91"/>
      <c r="H737" s="91"/>
      <c r="I737" s="245"/>
      <c r="J737" s="1147"/>
      <c r="K737" s="1147">
        <f ca="1">N730/$N$731</f>
        <v>0.13226188907917272</v>
      </c>
      <c r="L737" s="1147"/>
      <c r="M737" s="1147"/>
      <c r="N737" s="1143"/>
      <c r="O737" s="303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  <c r="AA737" s="91"/>
      <c r="AB737" s="91"/>
      <c r="AC737" s="91"/>
      <c r="AD737" s="91"/>
      <c r="AE737" s="91"/>
      <c r="AF737" s="91"/>
      <c r="AG737" s="91"/>
      <c r="AH737" s="91"/>
      <c r="AI737" s="91"/>
      <c r="AJ737" s="91"/>
      <c r="AK737" s="91"/>
      <c r="AL737" s="91"/>
      <c r="AM737" s="91"/>
      <c r="AN737" s="91"/>
      <c r="AO737" s="91"/>
      <c r="AP737" s="91"/>
      <c r="AQ737" s="91"/>
      <c r="AR737" s="91"/>
      <c r="AS737" s="91"/>
      <c r="AT737" s="91"/>
      <c r="AU737" s="91"/>
      <c r="AV737" s="296"/>
      <c r="AW737" s="296"/>
      <c r="AX737" s="296"/>
      <c r="AY737" s="296"/>
      <c r="AZ737" s="296"/>
      <c r="BA737" s="296"/>
      <c r="BB737" s="296"/>
      <c r="BC737" s="296"/>
      <c r="BD737" s="296"/>
      <c r="BE737" s="296"/>
      <c r="BF737" s="296"/>
      <c r="BG737" s="296"/>
      <c r="BH737" s="296"/>
      <c r="BI737" s="296"/>
      <c r="BJ737" s="296"/>
      <c r="BK737" s="296"/>
      <c r="BL737" s="296"/>
      <c r="BM737" s="296"/>
      <c r="BN737" s="296"/>
      <c r="BO737" s="296"/>
      <c r="BP737" s="296"/>
      <c r="BQ737" s="296"/>
      <c r="BR737" s="296"/>
      <c r="BS737" s="296"/>
      <c r="BT737" s="296"/>
      <c r="BU737" s="296"/>
      <c r="BV737" s="296"/>
      <c r="BW737" s="296"/>
      <c r="BX737" s="296"/>
      <c r="BY737" s="296"/>
      <c r="BZ737" s="9"/>
      <c r="CA737" s="9"/>
      <c r="CB737" s="9"/>
      <c r="CC737" s="9"/>
      <c r="CD737" s="9"/>
    </row>
    <row r="738" spans="1:82">
      <c r="A738" s="806"/>
      <c r="B738" s="1089"/>
      <c r="C738" s="1089"/>
      <c r="D738" s="1089"/>
      <c r="E738" s="1089"/>
      <c r="F738" s="91"/>
      <c r="G738" s="91"/>
      <c r="H738" s="91"/>
      <c r="I738" s="245"/>
      <c r="J738" s="1144"/>
      <c r="K738" s="1144"/>
      <c r="L738" s="1144"/>
      <c r="M738" s="1144"/>
      <c r="N738" s="1093"/>
      <c r="O738" s="1144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  <c r="AA738" s="91"/>
      <c r="AB738" s="91"/>
      <c r="AC738" s="91"/>
      <c r="AD738" s="91"/>
      <c r="AE738" s="91"/>
      <c r="AF738" s="91"/>
      <c r="AG738" s="91"/>
      <c r="AH738" s="91"/>
      <c r="AI738" s="91"/>
      <c r="AJ738" s="91"/>
      <c r="AK738" s="91"/>
      <c r="AL738" s="91"/>
      <c r="AM738" s="91"/>
      <c r="AN738" s="91"/>
      <c r="AO738" s="91"/>
      <c r="AP738" s="91"/>
      <c r="AQ738" s="91"/>
      <c r="AR738" s="91"/>
      <c r="AS738" s="91"/>
      <c r="AT738" s="91"/>
      <c r="AU738" s="91"/>
      <c r="AV738" s="296"/>
      <c r="AW738" s="296"/>
      <c r="AX738" s="296"/>
      <c r="AY738" s="296"/>
      <c r="AZ738" s="296"/>
      <c r="BA738" s="296"/>
      <c r="BB738" s="296"/>
      <c r="BC738" s="296"/>
      <c r="BD738" s="296"/>
      <c r="BE738" s="296"/>
      <c r="BF738" s="296"/>
      <c r="BG738" s="296"/>
      <c r="BH738" s="296"/>
      <c r="BI738" s="296"/>
      <c r="BJ738" s="296"/>
      <c r="BK738" s="296"/>
      <c r="BL738" s="296"/>
      <c r="BM738" s="296"/>
      <c r="BN738" s="296"/>
      <c r="BO738" s="296"/>
      <c r="BP738" s="296"/>
      <c r="BQ738" s="296"/>
      <c r="BR738" s="296"/>
      <c r="BS738" s="296"/>
      <c r="BT738" s="296"/>
      <c r="BU738" s="296"/>
      <c r="BV738" s="296"/>
      <c r="BW738" s="296"/>
      <c r="BX738" s="296"/>
      <c r="BY738" s="296"/>
      <c r="BZ738" s="9"/>
      <c r="CA738" s="9"/>
      <c r="CB738" s="9"/>
      <c r="CC738" s="9"/>
      <c r="CD738" s="9"/>
    </row>
    <row r="739" spans="1:82">
      <c r="A739" s="806"/>
      <c r="B739" s="1089"/>
      <c r="C739" s="1089"/>
      <c r="D739" s="1089"/>
      <c r="E739" s="1089"/>
      <c r="F739" s="91"/>
      <c r="G739" s="91"/>
      <c r="H739" s="91"/>
      <c r="I739" s="1146"/>
      <c r="J739" s="91"/>
      <c r="K739" s="91"/>
      <c r="L739" s="91"/>
      <c r="M739" s="91"/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  <c r="AA739" s="91"/>
      <c r="AB739" s="91"/>
      <c r="AC739" s="91"/>
      <c r="AD739" s="91"/>
      <c r="AE739" s="91"/>
      <c r="AF739" s="91"/>
      <c r="AG739" s="91"/>
      <c r="AH739" s="91"/>
      <c r="AI739" s="91"/>
      <c r="AJ739" s="91"/>
      <c r="AK739" s="91"/>
      <c r="AL739" s="91"/>
      <c r="AM739" s="91"/>
      <c r="AN739" s="91"/>
      <c r="AO739" s="91"/>
      <c r="AP739" s="91"/>
      <c r="AQ739" s="91"/>
      <c r="AR739" s="91"/>
      <c r="AS739" s="91"/>
      <c r="AT739" s="91"/>
      <c r="AU739" s="91"/>
      <c r="AV739" s="296"/>
      <c r="AW739" s="296"/>
      <c r="AX739" s="296"/>
      <c r="AY739" s="296"/>
      <c r="AZ739" s="296"/>
      <c r="BA739" s="296"/>
      <c r="BB739" s="296"/>
      <c r="BC739" s="296"/>
      <c r="BD739" s="296"/>
      <c r="BE739" s="296"/>
      <c r="BF739" s="296"/>
      <c r="BG739" s="296"/>
      <c r="BH739" s="296"/>
      <c r="BI739" s="296"/>
      <c r="BJ739" s="296"/>
      <c r="BK739" s="296"/>
      <c r="BL739" s="296"/>
      <c r="BM739" s="296"/>
      <c r="BN739" s="296"/>
      <c r="BO739" s="296"/>
      <c r="BP739" s="296"/>
      <c r="BQ739" s="296"/>
      <c r="BR739" s="296"/>
      <c r="BS739" s="296"/>
      <c r="BT739" s="296"/>
      <c r="BU739" s="296"/>
      <c r="BV739" s="296"/>
      <c r="BW739" s="296"/>
      <c r="BX739" s="296"/>
      <c r="BY739" s="296"/>
      <c r="BZ739" s="9"/>
      <c r="CA739" s="9"/>
      <c r="CB739" s="9"/>
      <c r="CC739" s="9"/>
      <c r="CD739" s="9"/>
    </row>
    <row r="740" spans="1:82">
      <c r="A740" s="806"/>
      <c r="B740" s="1089"/>
      <c r="C740" s="1089"/>
      <c r="D740" s="1089"/>
      <c r="E740" s="1089"/>
      <c r="F740" s="91"/>
      <c r="G740" s="91"/>
      <c r="H740" s="91"/>
      <c r="I740" s="1146"/>
      <c r="J740" s="91"/>
      <c r="K740" s="91"/>
      <c r="L740" s="91"/>
      <c r="M740" s="91"/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  <c r="AA740" s="91"/>
      <c r="AB740" s="91"/>
      <c r="AC740" s="91"/>
      <c r="AD740" s="91"/>
      <c r="AE740" s="91"/>
      <c r="AF740" s="91"/>
      <c r="AG740" s="91"/>
      <c r="AH740" s="91"/>
      <c r="AI740" s="91"/>
      <c r="AJ740" s="91"/>
      <c r="AK740" s="91"/>
      <c r="AL740" s="91"/>
      <c r="AM740" s="91"/>
      <c r="AN740" s="91"/>
      <c r="AO740" s="91"/>
      <c r="AP740" s="91"/>
      <c r="AQ740" s="91"/>
      <c r="AR740" s="91"/>
      <c r="AS740" s="91"/>
      <c r="AT740" s="91"/>
      <c r="AU740" s="91"/>
      <c r="AV740" s="296"/>
      <c r="AW740" s="296"/>
      <c r="AX740" s="296"/>
      <c r="AY740" s="296"/>
      <c r="AZ740" s="296"/>
      <c r="BA740" s="296"/>
      <c r="BB740" s="296"/>
      <c r="BC740" s="296"/>
      <c r="BD740" s="296"/>
      <c r="BE740" s="296"/>
      <c r="BF740" s="296"/>
      <c r="BG740" s="296"/>
      <c r="BH740" s="296"/>
      <c r="BI740" s="296"/>
      <c r="BJ740" s="296"/>
      <c r="BK740" s="296"/>
      <c r="BL740" s="296"/>
      <c r="BM740" s="296"/>
      <c r="BN740" s="296"/>
      <c r="BO740" s="296"/>
      <c r="BP740" s="296"/>
      <c r="BQ740" s="296"/>
      <c r="BR740" s="296"/>
      <c r="BS740" s="296"/>
      <c r="BT740" s="296"/>
      <c r="BU740" s="296"/>
      <c r="BV740" s="296"/>
      <c r="BW740" s="296"/>
      <c r="BX740" s="296"/>
      <c r="BY740" s="296"/>
      <c r="BZ740" s="9"/>
      <c r="CA740" s="9"/>
      <c r="CB740" s="9"/>
      <c r="CC740" s="9"/>
      <c r="CD740" s="9"/>
    </row>
    <row r="741" spans="1:82">
      <c r="A741" s="239" t="s">
        <v>1086</v>
      </c>
      <c r="B741" s="1085"/>
      <c r="C741" s="1085"/>
      <c r="D741" s="1085"/>
      <c r="E741" s="1085"/>
      <c r="F741" s="1085"/>
      <c r="G741" s="1085"/>
      <c r="H741" s="1085"/>
      <c r="I741" s="1085"/>
      <c r="J741" s="1085"/>
      <c r="K741" s="1085"/>
      <c r="L741" s="1085"/>
      <c r="M741" s="1085"/>
      <c r="N741" s="1085"/>
      <c r="O741" s="1085"/>
      <c r="P741" s="1085"/>
      <c r="Q741" s="1085"/>
      <c r="R741" s="1085"/>
      <c r="S741" s="1085"/>
      <c r="T741" s="1085"/>
      <c r="U741" s="1085"/>
      <c r="V741" s="1085"/>
      <c r="W741" s="1085"/>
      <c r="X741" s="1085"/>
      <c r="Y741" s="1085"/>
      <c r="Z741" s="1085"/>
      <c r="AA741" s="1085"/>
      <c r="AB741" s="1085"/>
      <c r="AC741" s="1085"/>
      <c r="AD741" s="1085"/>
      <c r="AE741" s="1085"/>
      <c r="AF741" s="1085"/>
      <c r="AG741" s="1085"/>
      <c r="AH741" s="1085"/>
      <c r="AI741" s="1085"/>
      <c r="AJ741" s="1085"/>
      <c r="AK741" s="1085"/>
      <c r="AL741" s="1085"/>
      <c r="AM741" s="1085"/>
      <c r="AN741" s="1085"/>
      <c r="AO741" s="1085"/>
      <c r="AP741" s="1085"/>
      <c r="AQ741" s="1085"/>
      <c r="AR741" s="1085"/>
      <c r="AS741" s="1085"/>
      <c r="AT741" s="1085"/>
      <c r="AU741" s="1085"/>
      <c r="AV741" s="1085"/>
      <c r="AW741" s="1085"/>
      <c r="AX741" s="1085"/>
      <c r="AY741" s="1085"/>
      <c r="AZ741" s="1085"/>
      <c r="BA741" s="1085"/>
      <c r="BB741" s="1085"/>
      <c r="BC741" s="1085"/>
      <c r="BD741" s="1085"/>
      <c r="BE741" s="1085"/>
      <c r="BF741" s="1085"/>
      <c r="BG741" s="1085"/>
      <c r="BH741" s="1085"/>
      <c r="BI741" s="1085"/>
      <c r="BJ741" s="1085"/>
      <c r="BK741" s="1085"/>
      <c r="BL741" s="1085"/>
      <c r="BM741" s="1085"/>
      <c r="BN741" s="1085"/>
      <c r="BO741" s="1085"/>
      <c r="BP741" s="1085"/>
      <c r="BQ741" s="1085"/>
      <c r="BR741" s="1085"/>
      <c r="BS741" s="1085"/>
      <c r="BT741" s="1085"/>
      <c r="BU741" s="1085"/>
      <c r="BV741" s="1085"/>
      <c r="BW741" s="1085"/>
      <c r="BX741" s="1085"/>
      <c r="BY741" s="1085"/>
      <c r="BZ741" s="1085"/>
      <c r="CA741" s="1085"/>
      <c r="CB741" s="1085"/>
      <c r="CC741" s="1085"/>
      <c r="CD741" s="1085"/>
    </row>
    <row r="742" spans="1:82">
      <c r="A742" s="242" t="s">
        <v>731</v>
      </c>
      <c r="B742" s="595"/>
      <c r="C742" s="595"/>
      <c r="D742" s="595"/>
      <c r="E742" s="595"/>
      <c r="F742" s="595"/>
      <c r="G742" s="595"/>
      <c r="H742" s="595"/>
      <c r="I742" s="595"/>
      <c r="J742" s="595"/>
      <c r="K742" s="595"/>
      <c r="L742" s="595"/>
      <c r="M742" s="595"/>
      <c r="N742" s="595"/>
      <c r="O742" s="595"/>
      <c r="P742" s="595"/>
      <c r="Q742" s="595"/>
      <c r="R742" s="595"/>
      <c r="S742" s="595"/>
      <c r="T742" s="595"/>
      <c r="U742" s="595"/>
      <c r="V742" s="595"/>
      <c r="W742" s="595"/>
      <c r="X742" s="595"/>
      <c r="Y742" s="595"/>
      <c r="Z742" s="595"/>
      <c r="AA742" s="595"/>
      <c r="AB742" s="595"/>
      <c r="AC742" s="595"/>
      <c r="AD742" s="595"/>
      <c r="AE742" s="595"/>
      <c r="AF742" s="595"/>
      <c r="AG742" s="595"/>
      <c r="AH742" s="595"/>
      <c r="AI742" s="595"/>
      <c r="AJ742" s="595"/>
      <c r="AK742" s="595"/>
      <c r="AL742" s="595"/>
      <c r="AM742" s="595"/>
      <c r="AN742" s="595"/>
      <c r="AO742" s="595"/>
      <c r="AP742" s="595"/>
      <c r="AQ742" s="595"/>
      <c r="AR742" s="595"/>
      <c r="AS742" s="595"/>
      <c r="AT742" s="595"/>
      <c r="AU742" s="595"/>
      <c r="AV742" s="596"/>
      <c r="AW742" s="596"/>
      <c r="AX742" s="596"/>
      <c r="AY742" s="596"/>
      <c r="AZ742" s="596"/>
      <c r="BA742" s="596"/>
      <c r="BB742" s="596"/>
      <c r="BC742" s="596"/>
      <c r="BD742" s="596"/>
      <c r="BE742" s="596"/>
      <c r="BF742" s="596"/>
      <c r="BG742" s="596"/>
      <c r="BH742" s="596"/>
      <c r="BI742" s="596"/>
      <c r="BJ742" s="596"/>
      <c r="BK742" s="596"/>
      <c r="BL742" s="596"/>
      <c r="BM742" s="596"/>
      <c r="BN742" s="596"/>
      <c r="BO742" s="596"/>
      <c r="BP742" s="596"/>
      <c r="BQ742" s="596"/>
      <c r="BR742" s="596"/>
      <c r="BS742" s="596"/>
      <c r="BT742" s="596"/>
      <c r="BU742" s="596"/>
      <c r="BV742" s="596"/>
      <c r="BW742" s="596"/>
      <c r="BX742" s="596"/>
      <c r="BY742" s="596"/>
      <c r="BZ742" s="9"/>
      <c r="CA742" s="9"/>
      <c r="CB742" s="9"/>
      <c r="CC742" s="9"/>
      <c r="CD742" s="9"/>
    </row>
    <row r="743" spans="1:82">
      <c r="B743" s="62" t="s">
        <v>1068</v>
      </c>
      <c r="C743" s="62" t="s">
        <v>1069</v>
      </c>
      <c r="D743" s="62" t="s">
        <v>1018</v>
      </c>
      <c r="E743" s="62" t="s">
        <v>1009</v>
      </c>
      <c r="F743" s="62" t="s">
        <v>1078</v>
      </c>
      <c r="G743" s="62" t="s">
        <v>1015</v>
      </c>
      <c r="H743" s="62" t="s">
        <v>1010</v>
      </c>
      <c r="I743" s="62" t="s">
        <v>1079</v>
      </c>
      <c r="J743" s="62" t="s">
        <v>1075</v>
      </c>
      <c r="K743" s="62" t="s">
        <v>1011</v>
      </c>
      <c r="L743" s="91"/>
      <c r="M743" s="91"/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  <c r="AA743" s="91"/>
      <c r="AB743" s="91"/>
      <c r="AC743" s="91"/>
      <c r="AD743" s="91"/>
      <c r="AE743" s="91"/>
      <c r="AF743" s="91"/>
      <c r="AG743" s="91"/>
      <c r="AH743" s="91"/>
      <c r="AI743" s="91"/>
      <c r="AJ743" s="91"/>
      <c r="AK743" s="91"/>
      <c r="AL743" s="91"/>
      <c r="AM743" s="91"/>
      <c r="AN743" s="91"/>
      <c r="AO743" s="91"/>
      <c r="AP743" s="91"/>
      <c r="AQ743" s="91"/>
      <c r="AR743" s="91"/>
      <c r="AS743" s="91"/>
      <c r="AT743" s="91"/>
      <c r="AU743" s="91"/>
      <c r="AV743" s="296"/>
      <c r="AW743" s="296"/>
      <c r="AX743" s="296"/>
      <c r="AY743" s="296"/>
      <c r="AZ743" s="296"/>
      <c r="BA743" s="296"/>
      <c r="BB743" s="296"/>
      <c r="BC743" s="296"/>
      <c r="BD743" s="296"/>
      <c r="BE743" s="296"/>
      <c r="BF743" s="296"/>
      <c r="BG743" s="296"/>
      <c r="BH743" s="296"/>
      <c r="BI743" s="296"/>
      <c r="BJ743" s="296"/>
      <c r="BK743" s="296"/>
      <c r="BL743" s="296"/>
      <c r="BM743" s="296"/>
      <c r="BN743" s="296"/>
      <c r="BO743" s="296"/>
      <c r="BP743" s="296"/>
      <c r="BQ743" s="296"/>
      <c r="BR743" s="296"/>
      <c r="BS743" s="296"/>
      <c r="BT743" s="296"/>
      <c r="BU743" s="296"/>
      <c r="BV743" s="296"/>
      <c r="BW743" s="296"/>
      <c r="BX743" s="296"/>
      <c r="BY743" s="296"/>
      <c r="BZ743" s="9"/>
      <c r="CA743" s="9"/>
      <c r="CB743" s="9"/>
      <c r="CC743" s="9"/>
      <c r="CD743" s="9"/>
    </row>
    <row r="744" spans="1:82">
      <c r="A744" s="513" t="s">
        <v>1076</v>
      </c>
      <c r="B744" s="1100">
        <v>1010</v>
      </c>
      <c r="C744" s="1100">
        <v>605</v>
      </c>
      <c r="D744" s="1100">
        <v>1035</v>
      </c>
      <c r="E744" s="1100">
        <v>85</v>
      </c>
      <c r="F744" s="1469">
        <v>40</v>
      </c>
      <c r="G744" s="1100">
        <v>40</v>
      </c>
      <c r="H744" s="1100">
        <v>120</v>
      </c>
      <c r="I744" s="1100">
        <v>10</v>
      </c>
      <c r="J744" s="1100">
        <v>85</v>
      </c>
      <c r="K744" s="1100">
        <v>370</v>
      </c>
      <c r="L744" s="91"/>
      <c r="M744" s="91"/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  <c r="AA744" s="91"/>
      <c r="AB744" s="91"/>
      <c r="AC744" s="91"/>
      <c r="AD744" s="91"/>
      <c r="AE744" s="91"/>
      <c r="AF744" s="91"/>
      <c r="AG744" s="91"/>
      <c r="AH744" s="91"/>
      <c r="AI744" s="91"/>
      <c r="AJ744" s="91"/>
      <c r="AK744" s="91"/>
      <c r="AL744" s="91"/>
      <c r="AM744" s="91"/>
      <c r="AN744" s="91"/>
      <c r="AO744" s="91"/>
      <c r="AP744" s="91"/>
      <c r="AQ744" s="91"/>
      <c r="AR744" s="91"/>
      <c r="AS744" s="91"/>
      <c r="AT744" s="91"/>
      <c r="AU744" s="91"/>
      <c r="AV744" s="296"/>
      <c r="AW744" s="296"/>
      <c r="AX744" s="296"/>
      <c r="AY744" s="296"/>
      <c r="AZ744" s="296"/>
      <c r="BA744" s="296"/>
      <c r="BB744" s="296"/>
      <c r="BC744" s="296"/>
      <c r="BD744" s="296"/>
      <c r="BE744" s="296"/>
      <c r="BF744" s="296"/>
      <c r="BG744" s="296"/>
      <c r="BH744" s="296"/>
      <c r="BI744" s="296"/>
      <c r="BJ744" s="296"/>
      <c r="BK744" s="296"/>
      <c r="BL744" s="296"/>
      <c r="BM744" s="296"/>
      <c r="BN744" s="296"/>
      <c r="BO744" s="296"/>
      <c r="BP744" s="296"/>
      <c r="BQ744" s="296"/>
      <c r="BR744" s="296"/>
      <c r="BS744" s="296"/>
      <c r="BT744" s="296"/>
      <c r="BU744" s="296"/>
      <c r="BV744" s="296"/>
      <c r="BW744" s="296"/>
      <c r="BX744" s="296"/>
      <c r="BY744" s="296"/>
      <c r="BZ744" s="9"/>
      <c r="CA744" s="9"/>
      <c r="CB744" s="9"/>
      <c r="CC744" s="9"/>
      <c r="CD744" s="9"/>
    </row>
    <row r="745" spans="1:82">
      <c r="A745" s="36" t="s">
        <v>1077</v>
      </c>
      <c r="B745" s="1101">
        <f>Segment!$AR19/Charts_Support!B744</f>
        <v>0.2881188118811881</v>
      </c>
      <c r="C745" s="1101">
        <f>Segment!$AR21/Charts_Support!C744</f>
        <v>0.39008264462809916</v>
      </c>
      <c r="D745" s="1101">
        <f>Segment!$AR20/Charts_Support!D744</f>
        <v>0</v>
      </c>
      <c r="E745" s="1101">
        <f>Segment!$AR22/Charts_Support!E744</f>
        <v>0</v>
      </c>
      <c r="F745" s="1470">
        <f>2/F744</f>
        <v>0.05</v>
      </c>
      <c r="G745" s="1101">
        <f>0/G744</f>
        <v>0</v>
      </c>
      <c r="H745" s="1101">
        <f>Segment!$AR23/Charts_Support!H744</f>
        <v>0.11666666666666667</v>
      </c>
      <c r="I745" s="1101">
        <f>0/I744</f>
        <v>0</v>
      </c>
      <c r="J745" s="1101">
        <f>Segment!$AR25/Charts_Support!J744</f>
        <v>0</v>
      </c>
      <c r="K745" s="1101">
        <f>Segment!$AR24/Charts_Support!K744</f>
        <v>1.6216216216216217E-2</v>
      </c>
      <c r="L745" s="91"/>
      <c r="M745" s="91"/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  <c r="AA745" s="91"/>
      <c r="AB745" s="91"/>
      <c r="AC745" s="91"/>
      <c r="AD745" s="91"/>
      <c r="AE745" s="91"/>
      <c r="AF745" s="91"/>
      <c r="AG745" s="91"/>
      <c r="AH745" s="91"/>
      <c r="AI745" s="91"/>
      <c r="AJ745" s="91"/>
      <c r="AK745" s="91"/>
      <c r="AL745" s="91"/>
      <c r="AM745" s="91"/>
      <c r="AN745" s="91"/>
      <c r="AO745" s="91"/>
      <c r="AP745" s="91"/>
      <c r="AQ745" s="91"/>
      <c r="AR745" s="91"/>
      <c r="AS745" s="91"/>
      <c r="AT745" s="91"/>
      <c r="AU745" s="91"/>
      <c r="AV745" s="296"/>
      <c r="AW745" s="296"/>
      <c r="AX745" s="296"/>
      <c r="AY745" s="296"/>
      <c r="AZ745" s="296"/>
      <c r="BA745" s="296"/>
      <c r="BB745" s="296"/>
      <c r="BC745" s="296"/>
      <c r="BD745" s="296"/>
      <c r="BE745" s="296"/>
      <c r="BF745" s="296"/>
      <c r="BG745" s="296"/>
      <c r="BH745" s="296"/>
      <c r="BI745" s="296"/>
      <c r="BJ745" s="296"/>
      <c r="BK745" s="296"/>
      <c r="BL745" s="296"/>
      <c r="BM745" s="296"/>
      <c r="BN745" s="296"/>
      <c r="BO745" s="296"/>
      <c r="BP745" s="296"/>
      <c r="BQ745" s="296"/>
      <c r="BR745" s="296"/>
      <c r="BS745" s="296"/>
      <c r="BT745" s="296"/>
      <c r="BU745" s="296"/>
      <c r="BV745" s="296"/>
      <c r="BW745" s="296"/>
      <c r="BX745" s="296"/>
      <c r="BY745" s="296"/>
      <c r="BZ745" s="9"/>
      <c r="CA745" s="9"/>
      <c r="CB745" s="9"/>
      <c r="CC745" s="9"/>
      <c r="CD745" s="9"/>
    </row>
    <row r="746" spans="1:82">
      <c r="A746" s="36" t="s">
        <v>246</v>
      </c>
      <c r="B746" s="1101">
        <f>Segment!$AR7/Charts_Support!B744</f>
        <v>0.47227722772277225</v>
      </c>
      <c r="C746" s="1101">
        <f>Segment!$AR9/Charts_Support!C744</f>
        <v>0.29917355371900828</v>
      </c>
      <c r="D746" s="1101">
        <f>Segment!$AR8/Charts_Support!D744</f>
        <v>0.71207729468599035</v>
      </c>
      <c r="E746" s="1101">
        <f>Segment!$AR10/Charts_Support!E744</f>
        <v>0.85882352941176465</v>
      </c>
      <c r="F746" s="1470">
        <f>18/F744</f>
        <v>0.45</v>
      </c>
      <c r="G746" s="1101">
        <f>24/G744</f>
        <v>0.6</v>
      </c>
      <c r="H746" s="1101">
        <f>Segment!$AR11/Charts_Support!H744</f>
        <v>0.67500000000000004</v>
      </c>
      <c r="I746" s="1101">
        <f>4/I744</f>
        <v>0.4</v>
      </c>
      <c r="J746" s="1101">
        <f>Segment!$AR13/Charts_Support!J744</f>
        <v>0.6705882352941176</v>
      </c>
      <c r="K746" s="1101">
        <f>Segment!$AR12/Charts_Support!K744</f>
        <v>0.76216216216216215</v>
      </c>
      <c r="L746" s="91"/>
      <c r="M746" s="91"/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  <c r="AA746" s="91"/>
      <c r="AB746" s="91"/>
      <c r="AC746" s="91"/>
      <c r="AD746" s="91"/>
      <c r="AE746" s="91"/>
      <c r="AF746" s="91"/>
      <c r="AG746" s="91"/>
      <c r="AH746" s="91"/>
      <c r="AI746" s="91"/>
      <c r="AJ746" s="91"/>
      <c r="AK746" s="91"/>
      <c r="AL746" s="91"/>
      <c r="AM746" s="91"/>
      <c r="AN746" s="91"/>
      <c r="AO746" s="91"/>
      <c r="AP746" s="91"/>
      <c r="AQ746" s="91"/>
      <c r="AR746" s="91"/>
      <c r="AS746" s="91"/>
      <c r="AT746" s="91"/>
      <c r="AU746" s="91"/>
      <c r="AV746" s="296"/>
      <c r="AW746" s="296"/>
      <c r="AX746" s="296"/>
      <c r="AY746" s="296"/>
      <c r="AZ746" s="296"/>
      <c r="BA746" s="296"/>
      <c r="BB746" s="296"/>
      <c r="BC746" s="296"/>
      <c r="BD746" s="296"/>
      <c r="BE746" s="296"/>
      <c r="BF746" s="296"/>
      <c r="BG746" s="296"/>
      <c r="BH746" s="296"/>
      <c r="BI746" s="296"/>
      <c r="BJ746" s="296"/>
      <c r="BK746" s="296"/>
      <c r="BL746" s="296"/>
      <c r="BM746" s="296"/>
      <c r="BN746" s="296"/>
      <c r="BO746" s="296"/>
      <c r="BP746" s="296"/>
      <c r="BQ746" s="296"/>
      <c r="BR746" s="296"/>
      <c r="BS746" s="296"/>
      <c r="BT746" s="296"/>
      <c r="BU746" s="296"/>
      <c r="BV746" s="296"/>
      <c r="BW746" s="296"/>
      <c r="BX746" s="296"/>
      <c r="BY746" s="296"/>
      <c r="BZ746" s="9"/>
      <c r="CA746" s="9"/>
      <c r="CB746" s="9"/>
      <c r="CC746" s="9"/>
      <c r="CD746" s="9"/>
    </row>
    <row r="747" spans="1:82">
      <c r="A747" s="36" t="s">
        <v>1080</v>
      </c>
      <c r="B747" s="1101">
        <f t="shared" ref="B747:K747" si="412">1-SUM(B745:B746)</f>
        <v>0.23960396039603959</v>
      </c>
      <c r="C747" s="1101">
        <f t="shared" si="412"/>
        <v>0.3107438016528925</v>
      </c>
      <c r="D747" s="1101">
        <f t="shared" si="412"/>
        <v>0.28792270531400965</v>
      </c>
      <c r="E747" s="1101">
        <f t="shared" si="412"/>
        <v>0.14117647058823535</v>
      </c>
      <c r="F747" s="1470">
        <f t="shared" si="412"/>
        <v>0.5</v>
      </c>
      <c r="G747" s="1101">
        <f t="shared" si="412"/>
        <v>0.4</v>
      </c>
      <c r="H747" s="1101">
        <f t="shared" si="412"/>
        <v>0.20833333333333326</v>
      </c>
      <c r="I747" s="1101">
        <f t="shared" si="412"/>
        <v>0.6</v>
      </c>
      <c r="J747" s="1101">
        <f t="shared" si="412"/>
        <v>0.3294117647058824</v>
      </c>
      <c r="K747" s="1101">
        <f t="shared" si="412"/>
        <v>0.22162162162162158</v>
      </c>
      <c r="L747" s="91"/>
      <c r="M747" s="91"/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  <c r="AA747" s="91"/>
      <c r="AB747" s="91"/>
      <c r="AC747" s="91"/>
      <c r="AD747" s="91"/>
      <c r="AE747" s="91"/>
      <c r="AF747" s="91"/>
      <c r="AG747" s="91"/>
      <c r="AH747" s="91"/>
      <c r="AI747" s="91"/>
      <c r="AJ747" s="91"/>
      <c r="AK747" s="91"/>
      <c r="AL747" s="91"/>
      <c r="AM747" s="91"/>
      <c r="AN747" s="91"/>
      <c r="AO747" s="91"/>
      <c r="AP747" s="91"/>
      <c r="AQ747" s="91"/>
      <c r="AR747" s="91"/>
      <c r="AS747" s="91"/>
      <c r="AT747" s="91"/>
      <c r="AU747" s="91"/>
      <c r="AV747" s="296"/>
      <c r="AW747" s="296"/>
      <c r="AX747" s="296"/>
      <c r="AY747" s="296"/>
      <c r="AZ747" s="296"/>
      <c r="BA747" s="296"/>
      <c r="BB747" s="296"/>
      <c r="BC747" s="296"/>
      <c r="BD747" s="296"/>
      <c r="BE747" s="296"/>
      <c r="BF747" s="296"/>
      <c r="BG747" s="296"/>
      <c r="BH747" s="296"/>
      <c r="BI747" s="296"/>
      <c r="BJ747" s="296"/>
      <c r="BK747" s="296"/>
      <c r="BL747" s="296"/>
      <c r="BM747" s="296"/>
      <c r="BN747" s="296"/>
      <c r="BO747" s="296"/>
      <c r="BP747" s="296"/>
      <c r="BQ747" s="296"/>
      <c r="BR747" s="296"/>
      <c r="BS747" s="296"/>
      <c r="BT747" s="296"/>
      <c r="BU747" s="296"/>
      <c r="BV747" s="296"/>
      <c r="BW747" s="296"/>
      <c r="BX747" s="296"/>
      <c r="BY747" s="296"/>
      <c r="BZ747" s="9"/>
      <c r="CA747" s="9"/>
      <c r="CB747" s="9"/>
      <c r="CC747" s="9"/>
      <c r="CD747" s="9"/>
    </row>
    <row r="748" spans="1:82">
      <c r="A748" s="513" t="s">
        <v>325</v>
      </c>
      <c r="B748" s="1102">
        <f t="shared" ref="B748:K748" si="413">SUM(B745:B747)</f>
        <v>1</v>
      </c>
      <c r="C748" s="1102">
        <f t="shared" si="413"/>
        <v>1</v>
      </c>
      <c r="D748" s="1102">
        <f t="shared" si="413"/>
        <v>1</v>
      </c>
      <c r="E748" s="1102">
        <f t="shared" si="413"/>
        <v>1</v>
      </c>
      <c r="F748" s="1471">
        <f t="shared" si="413"/>
        <v>1</v>
      </c>
      <c r="G748" s="1102">
        <f t="shared" si="413"/>
        <v>1</v>
      </c>
      <c r="H748" s="1102">
        <f t="shared" si="413"/>
        <v>1</v>
      </c>
      <c r="I748" s="1102">
        <f t="shared" si="413"/>
        <v>1</v>
      </c>
      <c r="J748" s="1102">
        <f t="shared" si="413"/>
        <v>1</v>
      </c>
      <c r="K748" s="1102">
        <f t="shared" si="413"/>
        <v>1</v>
      </c>
      <c r="L748" s="91"/>
      <c r="M748" s="91"/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  <c r="AA748" s="91"/>
      <c r="AB748" s="91"/>
      <c r="AC748" s="91"/>
      <c r="AD748" s="91"/>
      <c r="AE748" s="91"/>
      <c r="AF748" s="91"/>
      <c r="AG748" s="91"/>
      <c r="AH748" s="91"/>
      <c r="AI748" s="91"/>
      <c r="AJ748" s="91"/>
      <c r="AK748" s="91"/>
      <c r="AL748" s="91"/>
      <c r="AM748" s="91"/>
      <c r="AN748" s="91"/>
      <c r="AO748" s="91"/>
      <c r="AP748" s="91"/>
      <c r="AQ748" s="91"/>
      <c r="AR748" s="91"/>
      <c r="AS748" s="91"/>
      <c r="AT748" s="91"/>
      <c r="AU748" s="91"/>
      <c r="AV748" s="296"/>
      <c r="AW748" s="296"/>
      <c r="AX748" s="296"/>
      <c r="AY748" s="296"/>
      <c r="AZ748" s="296"/>
      <c r="BA748" s="296"/>
      <c r="BB748" s="296"/>
      <c r="BC748" s="296"/>
      <c r="BD748" s="296"/>
      <c r="BE748" s="296"/>
      <c r="BF748" s="296"/>
      <c r="BG748" s="296"/>
      <c r="BH748" s="296"/>
      <c r="BI748" s="296"/>
      <c r="BJ748" s="296"/>
      <c r="BK748" s="296"/>
      <c r="BL748" s="296"/>
      <c r="BM748" s="296"/>
      <c r="BN748" s="296"/>
      <c r="BO748" s="296"/>
      <c r="BP748" s="296"/>
      <c r="BQ748" s="296"/>
      <c r="BR748" s="296"/>
      <c r="BS748" s="296"/>
      <c r="BT748" s="296"/>
      <c r="BU748" s="296"/>
      <c r="BV748" s="296"/>
      <c r="BW748" s="296"/>
      <c r="BX748" s="296"/>
      <c r="BY748" s="296"/>
      <c r="BZ748" s="9"/>
      <c r="CA748" s="9"/>
      <c r="CB748" s="9"/>
      <c r="CC748" s="9"/>
      <c r="CD748" s="9"/>
    </row>
    <row r="749" spans="1:82">
      <c r="A749" s="806"/>
      <c r="B749" s="1089"/>
      <c r="C749" s="1089"/>
      <c r="D749" s="1089"/>
      <c r="E749" s="1089"/>
      <c r="F749" s="91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  <c r="AA749" s="91"/>
      <c r="AB749" s="91"/>
      <c r="AC749" s="91"/>
      <c r="AD749" s="91"/>
      <c r="AE749" s="91"/>
      <c r="AF749" s="91"/>
      <c r="AG749" s="91"/>
      <c r="AH749" s="91"/>
      <c r="AI749" s="91"/>
      <c r="AJ749" s="91"/>
      <c r="AK749" s="91"/>
      <c r="AL749" s="91"/>
      <c r="AM749" s="91"/>
      <c r="AN749" s="91"/>
      <c r="AO749" s="91"/>
      <c r="AP749" s="91"/>
      <c r="AQ749" s="91"/>
      <c r="AR749" s="91"/>
      <c r="AS749" s="91"/>
      <c r="AT749" s="91"/>
      <c r="AU749" s="91"/>
      <c r="AV749" s="296"/>
      <c r="AW749" s="296"/>
      <c r="AX749" s="296"/>
      <c r="AY749" s="296"/>
      <c r="AZ749" s="296"/>
      <c r="BA749" s="296"/>
      <c r="BB749" s="296"/>
      <c r="BC749" s="296"/>
      <c r="BD749" s="296"/>
      <c r="BE749" s="296"/>
      <c r="BF749" s="296"/>
      <c r="BG749" s="296"/>
      <c r="BH749" s="296"/>
      <c r="BI749" s="296"/>
      <c r="BJ749" s="296"/>
      <c r="BK749" s="296"/>
      <c r="BL749" s="296"/>
      <c r="BM749" s="296"/>
      <c r="BN749" s="296"/>
      <c r="BO749" s="296"/>
      <c r="BP749" s="296"/>
      <c r="BQ749" s="296"/>
      <c r="BR749" s="296"/>
      <c r="BS749" s="296"/>
      <c r="BT749" s="296"/>
      <c r="BU749" s="296"/>
      <c r="BV749" s="296"/>
      <c r="BW749" s="296"/>
      <c r="BX749" s="296"/>
      <c r="BY749" s="296"/>
      <c r="BZ749" s="9"/>
      <c r="CA749" s="9"/>
      <c r="CB749" s="9"/>
      <c r="CC749" s="9"/>
      <c r="CD749" s="9"/>
    </row>
    <row r="750" spans="1:82">
      <c r="A750" s="242" t="s">
        <v>949</v>
      </c>
      <c r="B750" s="595"/>
      <c r="C750" s="595"/>
      <c r="D750" s="595"/>
      <c r="E750" s="595"/>
      <c r="F750" s="595"/>
      <c r="G750" s="595"/>
      <c r="H750" s="595"/>
      <c r="I750" s="595"/>
      <c r="J750" s="595"/>
      <c r="K750" s="595"/>
      <c r="L750" s="595"/>
      <c r="M750" s="595"/>
      <c r="N750" s="595"/>
      <c r="O750" s="595"/>
      <c r="P750" s="595"/>
      <c r="Q750" s="595"/>
      <c r="R750" s="595"/>
      <c r="S750" s="595"/>
      <c r="T750" s="595"/>
      <c r="U750" s="595"/>
      <c r="V750" s="595"/>
      <c r="W750" s="595"/>
      <c r="X750" s="595"/>
      <c r="Y750" s="595"/>
      <c r="Z750" s="595"/>
      <c r="AA750" s="595"/>
      <c r="AB750" s="595"/>
      <c r="AC750" s="595"/>
      <c r="AD750" s="595"/>
      <c r="AE750" s="595"/>
      <c r="AF750" s="595"/>
      <c r="AG750" s="595"/>
      <c r="AH750" s="595"/>
      <c r="AI750" s="595"/>
      <c r="AJ750" s="595"/>
      <c r="AK750" s="595"/>
      <c r="AL750" s="595"/>
      <c r="AM750" s="595"/>
      <c r="AN750" s="595"/>
      <c r="AO750" s="595"/>
      <c r="AP750" s="595"/>
      <c r="AQ750" s="595"/>
      <c r="AR750" s="595"/>
      <c r="AS750" s="595"/>
      <c r="AT750" s="595"/>
      <c r="AU750" s="595"/>
      <c r="AV750" s="596"/>
      <c r="AW750" s="596"/>
      <c r="AX750" s="596"/>
      <c r="AY750" s="596"/>
      <c r="AZ750" s="596"/>
      <c r="BA750" s="596"/>
      <c r="BB750" s="596"/>
      <c r="BC750" s="596"/>
      <c r="BD750" s="596"/>
      <c r="BE750" s="596"/>
      <c r="BF750" s="596"/>
      <c r="BG750" s="596"/>
      <c r="BH750" s="596"/>
      <c r="BI750" s="596"/>
      <c r="BJ750" s="596"/>
      <c r="BK750" s="596"/>
      <c r="BL750" s="596"/>
      <c r="BM750" s="596"/>
      <c r="BN750" s="596"/>
      <c r="BO750" s="596"/>
      <c r="BP750" s="596"/>
      <c r="BQ750" s="596"/>
      <c r="BR750" s="596"/>
      <c r="BS750" s="596"/>
      <c r="BT750" s="596"/>
      <c r="BU750" s="596"/>
      <c r="BV750" s="596"/>
      <c r="BW750" s="596"/>
      <c r="BX750" s="596"/>
      <c r="BY750" s="596"/>
      <c r="BZ750" s="9"/>
      <c r="CA750" s="9"/>
      <c r="CB750" s="9"/>
      <c r="CC750" s="9"/>
      <c r="CD750" s="9"/>
    </row>
    <row r="751" spans="1:82">
      <c r="B751" s="62" t="s">
        <v>1068</v>
      </c>
      <c r="C751" s="62" t="s">
        <v>1019</v>
      </c>
      <c r="D751" s="62" t="s">
        <v>1081</v>
      </c>
      <c r="E751" s="62" t="s">
        <v>1017</v>
      </c>
      <c r="F751" s="62" t="s">
        <v>1018</v>
      </c>
      <c r="G751" s="62" t="s">
        <v>1011</v>
      </c>
      <c r="H751" s="62" t="s">
        <v>1332</v>
      </c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  <c r="AA751" s="91"/>
      <c r="AB751" s="91"/>
      <c r="AC751" s="91"/>
      <c r="AD751" s="91"/>
      <c r="AE751" s="91"/>
      <c r="AF751" s="91"/>
      <c r="AG751" s="91"/>
      <c r="AH751" s="91"/>
      <c r="AI751" s="91"/>
      <c r="AJ751" s="91"/>
      <c r="AK751" s="91"/>
      <c r="AL751" s="91"/>
      <c r="AM751" s="91"/>
      <c r="AN751" s="91"/>
      <c r="AO751" s="91"/>
      <c r="AP751" s="91"/>
      <c r="AQ751" s="91"/>
      <c r="AR751" s="91"/>
      <c r="AS751" s="91"/>
      <c r="AT751" s="91"/>
      <c r="AU751" s="91"/>
      <c r="AV751" s="296"/>
      <c r="AW751" s="296"/>
      <c r="AX751" s="296"/>
      <c r="AY751" s="296"/>
      <c r="AZ751" s="296"/>
      <c r="BA751" s="296"/>
      <c r="BB751" s="296"/>
      <c r="BC751" s="296"/>
      <c r="BD751" s="296"/>
      <c r="BE751" s="296"/>
      <c r="BF751" s="296"/>
      <c r="BG751" s="296"/>
      <c r="BH751" s="296"/>
      <c r="BI751" s="296"/>
      <c r="BJ751" s="296"/>
      <c r="BK751" s="296"/>
      <c r="BL751" s="296"/>
      <c r="BM751" s="296"/>
      <c r="BN751" s="296"/>
      <c r="BO751" s="296"/>
      <c r="BP751" s="296"/>
      <c r="BQ751" s="296"/>
      <c r="BR751" s="296"/>
      <c r="BS751" s="296"/>
      <c r="BT751" s="296"/>
      <c r="BU751" s="296"/>
      <c r="BV751" s="296"/>
      <c r="BW751" s="296"/>
      <c r="BX751" s="296"/>
      <c r="BY751" s="296"/>
      <c r="BZ751" s="9"/>
      <c r="CA751" s="9"/>
      <c r="CB751" s="9"/>
      <c r="CC751" s="9"/>
      <c r="CD751" s="9"/>
    </row>
    <row r="752" spans="1:82">
      <c r="A752" s="513" t="s">
        <v>1076</v>
      </c>
      <c r="B752" s="1100">
        <v>350</v>
      </c>
      <c r="C752" s="1100">
        <v>310</v>
      </c>
      <c r="D752" s="1100">
        <v>30</v>
      </c>
      <c r="E752" s="1100">
        <v>90</v>
      </c>
      <c r="F752" s="1100">
        <v>770</v>
      </c>
      <c r="G752" s="1100">
        <v>225</v>
      </c>
      <c r="H752" s="1100">
        <v>25</v>
      </c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  <c r="AA752" s="91"/>
      <c r="AB752" s="91"/>
      <c r="AC752" s="91"/>
      <c r="AD752" s="91"/>
      <c r="AE752" s="91"/>
      <c r="AF752" s="91"/>
      <c r="AG752" s="91"/>
      <c r="AH752" s="91"/>
      <c r="AI752" s="91"/>
      <c r="AJ752" s="91"/>
      <c r="AK752" s="91"/>
      <c r="AL752" s="91"/>
      <c r="AM752" s="91"/>
      <c r="AN752" s="91"/>
      <c r="AO752" s="91"/>
      <c r="AP752" s="91"/>
      <c r="AQ752" s="91"/>
      <c r="AR752" s="91"/>
      <c r="AS752" s="91"/>
      <c r="AT752" s="91"/>
      <c r="AU752" s="91"/>
      <c r="AV752" s="296"/>
      <c r="AW752" s="296"/>
      <c r="AX752" s="296"/>
      <c r="AY752" s="296"/>
      <c r="AZ752" s="296"/>
      <c r="BA752" s="296"/>
      <c r="BB752" s="296"/>
      <c r="BC752" s="296"/>
      <c r="BD752" s="296"/>
      <c r="BE752" s="296"/>
      <c r="BF752" s="296"/>
      <c r="BG752" s="296"/>
      <c r="BH752" s="296"/>
      <c r="BI752" s="296"/>
      <c r="BJ752" s="296"/>
      <c r="BK752" s="296"/>
      <c r="BL752" s="296"/>
      <c r="BM752" s="296"/>
      <c r="BN752" s="296"/>
      <c r="BO752" s="296"/>
      <c r="BP752" s="296"/>
      <c r="BQ752" s="296"/>
      <c r="BR752" s="296"/>
      <c r="BS752" s="296"/>
      <c r="BT752" s="296"/>
      <c r="BU752" s="296"/>
      <c r="BV752" s="296"/>
      <c r="BW752" s="296"/>
      <c r="BX752" s="296"/>
      <c r="BY752" s="296"/>
      <c r="BZ752" s="9"/>
      <c r="CA752" s="9"/>
      <c r="CB752" s="9"/>
      <c r="CC752" s="9"/>
      <c r="CD752" s="9"/>
    </row>
    <row r="753" spans="1:82">
      <c r="A753" s="36" t="s">
        <v>1077</v>
      </c>
      <c r="B753" s="1101">
        <f>40/B752</f>
        <v>0.11428571428571428</v>
      </c>
      <c r="C753" s="1101">
        <f>134/C752</f>
        <v>0.43225806451612903</v>
      </c>
      <c r="D753" s="1101">
        <v>0</v>
      </c>
      <c r="E753" s="1101">
        <f>8/E752</f>
        <v>8.8888888888888892E-2</v>
      </c>
      <c r="F753" s="1470">
        <f>(116+23+68+28+3+4)/Charts_Support!F752</f>
        <v>0.31428571428571428</v>
      </c>
      <c r="G753" s="1470">
        <f>15/Charts_Support!G752</f>
        <v>6.6666666666666666E-2</v>
      </c>
      <c r="H753" s="1470">
        <f>1/Charts_Support!H752</f>
        <v>0.04</v>
      </c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  <c r="AA753" s="91"/>
      <c r="AB753" s="91"/>
      <c r="AC753" s="91"/>
      <c r="AD753" s="91"/>
      <c r="AE753" s="91"/>
      <c r="AF753" s="91"/>
      <c r="AG753" s="91"/>
      <c r="AH753" s="91"/>
      <c r="AI753" s="91"/>
      <c r="AJ753" s="91"/>
      <c r="AK753" s="91"/>
      <c r="AL753" s="91"/>
      <c r="AM753" s="91"/>
      <c r="AN753" s="91"/>
      <c r="AO753" s="91"/>
      <c r="AP753" s="91"/>
      <c r="AQ753" s="91"/>
      <c r="AR753" s="91"/>
      <c r="AS753" s="91"/>
      <c r="AT753" s="91"/>
      <c r="AU753" s="91"/>
      <c r="AV753" s="296"/>
      <c r="AW753" s="296"/>
      <c r="AX753" s="296"/>
      <c r="AY753" s="296"/>
      <c r="AZ753" s="296"/>
      <c r="BA753" s="296"/>
      <c r="BB753" s="296"/>
      <c r="BC753" s="296"/>
      <c r="BD753" s="296"/>
      <c r="BE753" s="296"/>
      <c r="BF753" s="296"/>
      <c r="BG753" s="296"/>
      <c r="BH753" s="296"/>
      <c r="BI753" s="296"/>
      <c r="BJ753" s="296"/>
      <c r="BK753" s="296"/>
      <c r="BL753" s="296"/>
      <c r="BM753" s="296"/>
      <c r="BN753" s="296"/>
      <c r="BO753" s="296"/>
      <c r="BP753" s="296"/>
      <c r="BQ753" s="296"/>
      <c r="BR753" s="296"/>
      <c r="BS753" s="296"/>
      <c r="BT753" s="296"/>
      <c r="BU753" s="296"/>
      <c r="BV753" s="296"/>
      <c r="BW753" s="296"/>
      <c r="BX753" s="296"/>
      <c r="BY753" s="296"/>
      <c r="BZ753" s="9"/>
      <c r="CA753" s="9"/>
      <c r="CB753" s="9"/>
      <c r="CC753" s="9"/>
      <c r="CD753" s="9"/>
    </row>
    <row r="754" spans="1:82">
      <c r="A754" s="36" t="s">
        <v>246</v>
      </c>
      <c r="B754" s="1101">
        <f>257/B752</f>
        <v>0.73428571428571432</v>
      </c>
      <c r="C754" s="1101">
        <f>99/C752</f>
        <v>0.3193548387096774</v>
      </c>
      <c r="D754" s="1101">
        <f>4/D752</f>
        <v>0.13333333333333333</v>
      </c>
      <c r="E754" s="1101">
        <f>10/E752</f>
        <v>0.1111111111111111</v>
      </c>
      <c r="F754" s="1470">
        <f>(68+127+15+18)/Charts_Support!F752</f>
        <v>0.29610389610389609</v>
      </c>
      <c r="G754" s="1470">
        <f>90/Charts_Support!G752</f>
        <v>0.4</v>
      </c>
      <c r="H754" s="1470">
        <f>18/Charts_Support!H752</f>
        <v>0.72</v>
      </c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  <c r="AA754" s="91"/>
      <c r="AB754" s="91"/>
      <c r="AC754" s="91"/>
      <c r="AD754" s="91"/>
      <c r="AE754" s="91"/>
      <c r="AF754" s="91"/>
      <c r="AG754" s="91"/>
      <c r="AH754" s="91"/>
      <c r="AI754" s="91"/>
      <c r="AJ754" s="91"/>
      <c r="AK754" s="91"/>
      <c r="AL754" s="91"/>
      <c r="AM754" s="91"/>
      <c r="AN754" s="91"/>
      <c r="AO754" s="91"/>
      <c r="AP754" s="91"/>
      <c r="AQ754" s="91"/>
      <c r="AR754" s="91"/>
      <c r="AS754" s="91"/>
      <c r="AT754" s="91"/>
      <c r="AU754" s="91"/>
      <c r="AV754" s="296"/>
      <c r="AW754" s="296"/>
      <c r="AX754" s="296"/>
      <c r="AY754" s="296"/>
      <c r="AZ754" s="296"/>
      <c r="BA754" s="296"/>
      <c r="BB754" s="296"/>
      <c r="BC754" s="296"/>
      <c r="BD754" s="296"/>
      <c r="BE754" s="296"/>
      <c r="BF754" s="296"/>
      <c r="BG754" s="296"/>
      <c r="BH754" s="296"/>
      <c r="BI754" s="296"/>
      <c r="BJ754" s="296"/>
      <c r="BK754" s="296"/>
      <c r="BL754" s="296"/>
      <c r="BM754" s="296"/>
      <c r="BN754" s="296"/>
      <c r="BO754" s="296"/>
      <c r="BP754" s="296"/>
      <c r="BQ754" s="296"/>
      <c r="BR754" s="296"/>
      <c r="BS754" s="296"/>
      <c r="BT754" s="296"/>
      <c r="BU754" s="296"/>
      <c r="BV754" s="296"/>
      <c r="BW754" s="296"/>
      <c r="BX754" s="296"/>
      <c r="BY754" s="296"/>
      <c r="BZ754" s="9"/>
      <c r="CA754" s="9"/>
      <c r="CB754" s="9"/>
      <c r="CC754" s="9"/>
      <c r="CD754" s="9"/>
    </row>
    <row r="755" spans="1:82">
      <c r="A755" s="36" t="s">
        <v>1080</v>
      </c>
      <c r="B755" s="1101">
        <f t="shared" ref="B755:H755" si="414">1-SUM(B753:B754)</f>
        <v>0.15142857142857136</v>
      </c>
      <c r="C755" s="1101">
        <f t="shared" si="414"/>
        <v>0.24838709677419357</v>
      </c>
      <c r="D755" s="1101">
        <f t="shared" si="414"/>
        <v>0.8666666666666667</v>
      </c>
      <c r="E755" s="1101">
        <f t="shared" si="414"/>
        <v>0.8</v>
      </c>
      <c r="F755" s="1101">
        <f t="shared" si="414"/>
        <v>0.38961038961038963</v>
      </c>
      <c r="G755" s="1101">
        <f t="shared" si="414"/>
        <v>0.53333333333333333</v>
      </c>
      <c r="H755" s="1101">
        <f t="shared" si="414"/>
        <v>0.24</v>
      </c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  <c r="AA755" s="91"/>
      <c r="AB755" s="91"/>
      <c r="AC755" s="91"/>
      <c r="AD755" s="91"/>
      <c r="AE755" s="91"/>
      <c r="AF755" s="91"/>
      <c r="AG755" s="91"/>
      <c r="AH755" s="91"/>
      <c r="AI755" s="91"/>
      <c r="AJ755" s="91"/>
      <c r="AK755" s="91"/>
      <c r="AL755" s="91"/>
      <c r="AM755" s="91"/>
      <c r="AN755" s="91"/>
      <c r="AO755" s="91"/>
      <c r="AP755" s="91"/>
      <c r="AQ755" s="91"/>
      <c r="AR755" s="91"/>
      <c r="AS755" s="91"/>
      <c r="AT755" s="91"/>
      <c r="AU755" s="91"/>
      <c r="AV755" s="296"/>
      <c r="AW755" s="296"/>
      <c r="AX755" s="296"/>
      <c r="AY755" s="296"/>
      <c r="AZ755" s="296"/>
      <c r="BA755" s="296"/>
      <c r="BB755" s="296"/>
      <c r="BC755" s="296"/>
      <c r="BD755" s="296"/>
      <c r="BE755" s="296"/>
      <c r="BF755" s="296"/>
      <c r="BG755" s="296"/>
      <c r="BH755" s="296"/>
      <c r="BI755" s="296"/>
      <c r="BJ755" s="296"/>
      <c r="BK755" s="296"/>
      <c r="BL755" s="296"/>
      <c r="BM755" s="296"/>
      <c r="BN755" s="296"/>
      <c r="BO755" s="296"/>
      <c r="BP755" s="296"/>
      <c r="BQ755" s="296"/>
      <c r="BR755" s="296"/>
      <c r="BS755" s="296"/>
      <c r="BT755" s="296"/>
      <c r="BU755" s="296"/>
      <c r="BV755" s="296"/>
      <c r="BW755" s="296"/>
      <c r="BX755" s="296"/>
      <c r="BY755" s="296"/>
      <c r="BZ755" s="9"/>
      <c r="CA755" s="9"/>
      <c r="CB755" s="9"/>
      <c r="CC755" s="9"/>
      <c r="CD755" s="9"/>
    </row>
    <row r="756" spans="1:82">
      <c r="A756" s="513" t="s">
        <v>325</v>
      </c>
      <c r="B756" s="1102">
        <f t="shared" ref="B756:H756" si="415">SUM(B753:B755)</f>
        <v>1</v>
      </c>
      <c r="C756" s="1102">
        <f t="shared" si="415"/>
        <v>1</v>
      </c>
      <c r="D756" s="1102">
        <f t="shared" si="415"/>
        <v>1</v>
      </c>
      <c r="E756" s="1102">
        <f t="shared" si="415"/>
        <v>1</v>
      </c>
      <c r="F756" s="1102">
        <f t="shared" si="415"/>
        <v>1</v>
      </c>
      <c r="G756" s="1102">
        <f t="shared" si="415"/>
        <v>1</v>
      </c>
      <c r="H756" s="1102">
        <f t="shared" si="415"/>
        <v>1</v>
      </c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  <c r="AA756" s="91"/>
      <c r="AB756" s="91"/>
      <c r="AC756" s="91"/>
      <c r="AD756" s="91"/>
      <c r="AE756" s="91"/>
      <c r="AF756" s="91"/>
      <c r="AG756" s="91"/>
      <c r="AH756" s="91"/>
      <c r="AI756" s="91"/>
      <c r="AJ756" s="91"/>
      <c r="AK756" s="91"/>
      <c r="AL756" s="91"/>
      <c r="AM756" s="91"/>
      <c r="AN756" s="91"/>
      <c r="AO756" s="91"/>
      <c r="AP756" s="91"/>
      <c r="AQ756" s="91"/>
      <c r="AR756" s="91"/>
      <c r="AS756" s="91"/>
      <c r="AT756" s="91"/>
      <c r="AU756" s="91"/>
      <c r="AV756" s="296"/>
      <c r="AW756" s="296"/>
      <c r="AX756" s="296"/>
      <c r="AY756" s="296"/>
      <c r="AZ756" s="296"/>
      <c r="BA756" s="296"/>
      <c r="BB756" s="296"/>
      <c r="BC756" s="296"/>
      <c r="BD756" s="296"/>
      <c r="BE756" s="296"/>
      <c r="BF756" s="296"/>
      <c r="BG756" s="296"/>
      <c r="BH756" s="296"/>
      <c r="BI756" s="296"/>
      <c r="BJ756" s="296"/>
      <c r="BK756" s="296"/>
      <c r="BL756" s="296"/>
      <c r="BM756" s="296"/>
      <c r="BN756" s="296"/>
      <c r="BO756" s="296"/>
      <c r="BP756" s="296"/>
      <c r="BQ756" s="296"/>
      <c r="BR756" s="296"/>
      <c r="BS756" s="296"/>
      <c r="BT756" s="296"/>
      <c r="BU756" s="296"/>
      <c r="BV756" s="296"/>
      <c r="BW756" s="296"/>
      <c r="BX756" s="296"/>
      <c r="BY756" s="296"/>
      <c r="BZ756" s="9"/>
      <c r="CA756" s="9"/>
      <c r="CB756" s="9"/>
      <c r="CC756" s="9"/>
      <c r="CD756" s="9"/>
    </row>
    <row r="757" spans="1:82">
      <c r="A757" s="9"/>
      <c r="B757" s="9"/>
      <c r="C757" s="9"/>
      <c r="D757" s="9"/>
      <c r="E757" s="9"/>
      <c r="F757" s="9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  <c r="AA757" s="91"/>
      <c r="AB757" s="91"/>
      <c r="AC757" s="91"/>
      <c r="AD757" s="91"/>
      <c r="AE757" s="91"/>
      <c r="AF757" s="91"/>
      <c r="AG757" s="91"/>
      <c r="AH757" s="91"/>
      <c r="AI757" s="91"/>
      <c r="AJ757" s="91"/>
      <c r="AK757" s="91"/>
      <c r="AL757" s="91"/>
      <c r="AM757" s="91"/>
      <c r="AN757" s="91"/>
      <c r="AO757" s="91"/>
      <c r="AP757" s="91"/>
      <c r="AQ757" s="91"/>
      <c r="AR757" s="91"/>
      <c r="AS757" s="91"/>
      <c r="AT757" s="91"/>
      <c r="AU757" s="91"/>
      <c r="AV757" s="296"/>
      <c r="AW757" s="296"/>
      <c r="AX757" s="296"/>
      <c r="AY757" s="296"/>
      <c r="AZ757" s="296"/>
      <c r="BA757" s="296"/>
      <c r="BB757" s="296"/>
      <c r="BC757" s="296"/>
      <c r="BD757" s="296"/>
      <c r="BE757" s="296"/>
      <c r="BF757" s="296"/>
      <c r="BG757" s="296"/>
      <c r="BH757" s="296"/>
      <c r="BI757" s="296"/>
      <c r="BJ757" s="296"/>
      <c r="BK757" s="296"/>
      <c r="BL757" s="296"/>
      <c r="BM757" s="296"/>
      <c r="BN757" s="296"/>
      <c r="BO757" s="296"/>
      <c r="BP757" s="296"/>
      <c r="BQ757" s="296"/>
      <c r="BR757" s="296"/>
      <c r="BS757" s="296"/>
      <c r="BT757" s="296"/>
      <c r="BU757" s="296"/>
      <c r="BV757" s="296"/>
      <c r="BW757" s="296"/>
      <c r="BX757" s="296"/>
      <c r="BY757" s="296"/>
      <c r="BZ757" s="9"/>
      <c r="CA757" s="9"/>
      <c r="CB757" s="9"/>
      <c r="CC757" s="9"/>
      <c r="CD757" s="9"/>
    </row>
    <row r="758" spans="1:82">
      <c r="A758" s="242" t="s">
        <v>733</v>
      </c>
      <c r="B758" s="1476" t="s">
        <v>746</v>
      </c>
      <c r="C758" s="1476"/>
      <c r="D758" s="1477"/>
      <c r="E758" s="1476" t="s">
        <v>747</v>
      </c>
      <c r="F758" s="1476"/>
      <c r="G758" s="1476"/>
      <c r="H758" s="1477"/>
      <c r="I758" s="1476" t="s">
        <v>748</v>
      </c>
      <c r="J758" s="1476"/>
      <c r="K758" s="1476"/>
      <c r="L758" s="1476"/>
      <c r="M758" s="1476"/>
      <c r="N758" s="595"/>
      <c r="O758" s="595"/>
      <c r="P758" s="595"/>
      <c r="Q758" s="595"/>
      <c r="R758" s="595"/>
      <c r="S758" s="595"/>
      <c r="T758" s="595"/>
      <c r="U758" s="595"/>
      <c r="V758" s="595"/>
      <c r="W758" s="595"/>
      <c r="X758" s="595"/>
      <c r="Y758" s="595"/>
      <c r="Z758" s="595"/>
      <c r="AA758" s="595"/>
      <c r="AB758" s="595"/>
      <c r="AC758" s="595"/>
      <c r="AD758" s="595"/>
      <c r="AE758" s="595"/>
      <c r="AF758" s="595"/>
      <c r="AG758" s="595"/>
      <c r="AH758" s="595"/>
      <c r="AI758" s="595"/>
      <c r="AJ758" s="595"/>
      <c r="AK758" s="595"/>
      <c r="AL758" s="595"/>
      <c r="AM758" s="595"/>
      <c r="AN758" s="595"/>
      <c r="AO758" s="595"/>
      <c r="AP758" s="595"/>
      <c r="AQ758" s="595"/>
      <c r="AR758" s="595"/>
      <c r="AS758" s="595"/>
      <c r="AT758" s="595"/>
      <c r="AU758" s="595"/>
      <c r="AV758" s="596"/>
      <c r="AW758" s="596"/>
      <c r="AX758" s="596"/>
      <c r="AY758" s="596"/>
      <c r="AZ758" s="596"/>
      <c r="BA758" s="596"/>
      <c r="BB758" s="596"/>
      <c r="BC758" s="596"/>
      <c r="BD758" s="596"/>
      <c r="BE758" s="596"/>
      <c r="BF758" s="596"/>
      <c r="BG758" s="596"/>
      <c r="BH758" s="596"/>
      <c r="BI758" s="596"/>
      <c r="BJ758" s="596"/>
      <c r="BK758" s="596"/>
      <c r="BL758" s="596"/>
      <c r="BM758" s="596"/>
      <c r="BN758" s="596"/>
      <c r="BO758" s="596"/>
      <c r="BP758" s="596"/>
      <c r="BQ758" s="596"/>
      <c r="BR758" s="596"/>
      <c r="BS758" s="596"/>
      <c r="BT758" s="596"/>
      <c r="BU758" s="596"/>
      <c r="BV758" s="596"/>
      <c r="BW758" s="596"/>
      <c r="BX758" s="596"/>
      <c r="BY758" s="596"/>
      <c r="BZ758" s="9"/>
      <c r="CA758" s="9"/>
      <c r="CB758" s="9"/>
      <c r="CC758" s="9"/>
      <c r="CD758" s="9"/>
    </row>
    <row r="759" spans="1:82">
      <c r="B759" s="62" t="s">
        <v>1069</v>
      </c>
      <c r="C759" s="62" t="s">
        <v>1018</v>
      </c>
      <c r="D759" s="1472" t="s">
        <v>1015</v>
      </c>
      <c r="E759" s="62" t="s">
        <v>1069</v>
      </c>
      <c r="F759" s="62" t="s">
        <v>1018</v>
      </c>
      <c r="G759" s="62" t="s">
        <v>1015</v>
      </c>
      <c r="H759" s="1472" t="s">
        <v>1009</v>
      </c>
      <c r="I759" s="62" t="s">
        <v>1068</v>
      </c>
      <c r="J759" s="62" t="s">
        <v>1069</v>
      </c>
      <c r="K759" s="62" t="s">
        <v>1018</v>
      </c>
      <c r="L759" s="62" t="s">
        <v>1015</v>
      </c>
      <c r="M759" s="62" t="s">
        <v>1016</v>
      </c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  <c r="AA759" s="91"/>
      <c r="AB759" s="91"/>
      <c r="AC759" s="91"/>
      <c r="AD759" s="91"/>
      <c r="AE759" s="91"/>
      <c r="AF759" s="91"/>
      <c r="AG759" s="91"/>
      <c r="AH759" s="91"/>
      <c r="AI759" s="91"/>
      <c r="AJ759" s="91"/>
      <c r="AK759" s="91"/>
      <c r="AL759" s="91"/>
      <c r="AM759" s="91"/>
      <c r="AN759" s="91"/>
      <c r="AO759" s="91"/>
      <c r="AP759" s="91"/>
      <c r="AQ759" s="91"/>
      <c r="AR759" s="91"/>
      <c r="AS759" s="91"/>
      <c r="AT759" s="91"/>
      <c r="AU759" s="91"/>
      <c r="AV759" s="296"/>
      <c r="AW759" s="296"/>
      <c r="AX759" s="296"/>
      <c r="AY759" s="296"/>
      <c r="AZ759" s="296"/>
      <c r="BA759" s="296"/>
      <c r="BB759" s="296"/>
      <c r="BC759" s="296"/>
      <c r="BD759" s="296"/>
      <c r="BE759" s="296"/>
      <c r="BF759" s="296"/>
      <c r="BG759" s="296"/>
      <c r="BH759" s="296"/>
      <c r="BI759" s="296"/>
      <c r="BJ759" s="296"/>
      <c r="BK759" s="296"/>
      <c r="BL759" s="296"/>
      <c r="BM759" s="296"/>
      <c r="BN759" s="296"/>
      <c r="BO759" s="296"/>
      <c r="BP759" s="296"/>
      <c r="BQ759" s="296"/>
      <c r="BR759" s="296"/>
      <c r="BS759" s="296"/>
      <c r="BT759" s="296"/>
      <c r="BU759" s="296"/>
      <c r="BV759" s="296"/>
      <c r="BW759" s="296"/>
      <c r="BX759" s="296"/>
      <c r="BY759" s="296"/>
      <c r="BZ759" s="9"/>
      <c r="CA759" s="9"/>
      <c r="CB759" s="9"/>
      <c r="CC759" s="9"/>
      <c r="CD759" s="9"/>
    </row>
    <row r="760" spans="1:82">
      <c r="A760" s="513" t="s">
        <v>1076</v>
      </c>
      <c r="B760" s="1100">
        <v>240</v>
      </c>
      <c r="C760" s="1100">
        <v>250</v>
      </c>
      <c r="D760" s="1473">
        <v>7</v>
      </c>
      <c r="E760" s="1100">
        <v>75</v>
      </c>
      <c r="F760" s="1100">
        <v>190</v>
      </c>
      <c r="G760" s="1480">
        <v>5</v>
      </c>
      <c r="H760" s="1473">
        <v>15</v>
      </c>
      <c r="I760" s="1100">
        <v>250</v>
      </c>
      <c r="J760" s="1100">
        <v>80</v>
      </c>
      <c r="K760" s="1100">
        <v>140</v>
      </c>
      <c r="L760" s="1100">
        <v>5</v>
      </c>
      <c r="M760" s="1100">
        <v>85</v>
      </c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  <c r="AA760" s="91"/>
      <c r="AB760" s="91"/>
      <c r="AC760" s="91"/>
      <c r="AD760" s="91"/>
      <c r="AE760" s="91"/>
      <c r="AF760" s="91"/>
      <c r="AG760" s="91"/>
      <c r="AH760" s="91"/>
      <c r="AI760" s="91"/>
      <c r="AJ760" s="91"/>
      <c r="AK760" s="91"/>
      <c r="AL760" s="91"/>
      <c r="AM760" s="91"/>
      <c r="AN760" s="91"/>
      <c r="AO760" s="91"/>
      <c r="AP760" s="91"/>
      <c r="AQ760" s="91"/>
      <c r="AR760" s="91"/>
      <c r="AS760" s="91"/>
      <c r="AT760" s="91"/>
      <c r="AU760" s="91"/>
      <c r="AV760" s="296"/>
      <c r="AW760" s="296"/>
      <c r="AX760" s="296"/>
      <c r="AY760" s="296"/>
      <c r="AZ760" s="296"/>
      <c r="BA760" s="296"/>
      <c r="BB760" s="296"/>
      <c r="BC760" s="296"/>
      <c r="BD760" s="296"/>
      <c r="BE760" s="296"/>
      <c r="BF760" s="296"/>
      <c r="BG760" s="296"/>
      <c r="BH760" s="296"/>
      <c r="BI760" s="296"/>
      <c r="BJ760" s="296"/>
      <c r="BK760" s="296"/>
      <c r="BL760" s="296"/>
      <c r="BM760" s="296"/>
      <c r="BN760" s="296"/>
      <c r="BO760" s="296"/>
      <c r="BP760" s="296"/>
      <c r="BQ760" s="296"/>
      <c r="BR760" s="296"/>
      <c r="BS760" s="296"/>
      <c r="BT760" s="296"/>
      <c r="BU760" s="296"/>
      <c r="BV760" s="296"/>
      <c r="BW760" s="296"/>
      <c r="BX760" s="296"/>
      <c r="BY760" s="296"/>
      <c r="BZ760" s="9"/>
      <c r="CA760" s="9"/>
      <c r="CB760" s="9"/>
      <c r="CC760" s="9"/>
      <c r="CD760" s="9"/>
    </row>
    <row r="761" spans="1:82">
      <c r="A761" s="36" t="s">
        <v>1077</v>
      </c>
      <c r="B761" s="1101">
        <v>0</v>
      </c>
      <c r="C761" s="1101">
        <v>0</v>
      </c>
      <c r="D761" s="1474">
        <v>0</v>
      </c>
      <c r="E761" s="1101">
        <v>0</v>
      </c>
      <c r="F761" s="1101">
        <v>0</v>
      </c>
      <c r="G761" s="1478">
        <v>0</v>
      </c>
      <c r="H761" s="1479">
        <v>0</v>
      </c>
      <c r="I761" s="1101">
        <f>22/I760</f>
        <v>8.7999999999999995E-2</v>
      </c>
      <c r="J761" s="1101">
        <v>0</v>
      </c>
      <c r="K761" s="1101">
        <v>0</v>
      </c>
      <c r="L761" s="1101">
        <v>0</v>
      </c>
      <c r="M761" s="1101">
        <v>0</v>
      </c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  <c r="AA761" s="91"/>
      <c r="AB761" s="91"/>
      <c r="AC761" s="91"/>
      <c r="AD761" s="91"/>
      <c r="AE761" s="91"/>
      <c r="AF761" s="91"/>
      <c r="AG761" s="91"/>
      <c r="AH761" s="91"/>
      <c r="AI761" s="91"/>
      <c r="AJ761" s="91"/>
      <c r="AK761" s="91"/>
      <c r="AL761" s="91"/>
      <c r="AM761" s="91"/>
      <c r="AN761" s="91"/>
      <c r="AO761" s="91"/>
      <c r="AP761" s="91"/>
      <c r="AQ761" s="91"/>
      <c r="AR761" s="91"/>
      <c r="AS761" s="91"/>
      <c r="AT761" s="91"/>
      <c r="AU761" s="91"/>
      <c r="AV761" s="296"/>
      <c r="AW761" s="296"/>
      <c r="AX761" s="296"/>
      <c r="AY761" s="296"/>
      <c r="AZ761" s="296"/>
      <c r="BA761" s="296"/>
      <c r="BB761" s="296"/>
      <c r="BC761" s="296"/>
      <c r="BD761" s="296"/>
      <c r="BE761" s="296"/>
      <c r="BF761" s="296"/>
      <c r="BG761" s="296"/>
      <c r="BH761" s="296"/>
      <c r="BI761" s="296"/>
      <c r="BJ761" s="296"/>
      <c r="BK761" s="296"/>
      <c r="BL761" s="296"/>
      <c r="BM761" s="296"/>
      <c r="BN761" s="296"/>
      <c r="BO761" s="296"/>
      <c r="BP761" s="296"/>
      <c r="BQ761" s="296"/>
      <c r="BR761" s="296"/>
      <c r="BS761" s="296"/>
      <c r="BT761" s="296"/>
      <c r="BU761" s="296"/>
      <c r="BV761" s="296"/>
      <c r="BW761" s="296"/>
      <c r="BX761" s="296"/>
      <c r="BY761" s="296"/>
      <c r="BZ761" s="9"/>
      <c r="CA761" s="9"/>
      <c r="CB761" s="9"/>
      <c r="CC761" s="9"/>
      <c r="CD761" s="9"/>
    </row>
    <row r="762" spans="1:82">
      <c r="A762" s="36" t="s">
        <v>246</v>
      </c>
      <c r="B762" s="1101">
        <f>121/B760</f>
        <v>0.50416666666666665</v>
      </c>
      <c r="C762" s="1101">
        <f>146/C760</f>
        <v>0.58399999999999996</v>
      </c>
      <c r="D762" s="1474">
        <f>1/D760</f>
        <v>0.14285714285714285</v>
      </c>
      <c r="E762" s="1101">
        <f>49/E760</f>
        <v>0.65333333333333332</v>
      </c>
      <c r="F762" s="1101">
        <f>125/F760</f>
        <v>0.65789473684210531</v>
      </c>
      <c r="G762" s="1478">
        <f>3/G760</f>
        <v>0.6</v>
      </c>
      <c r="H762" s="1479">
        <f>3/H760</f>
        <v>0.2</v>
      </c>
      <c r="I762" s="1101">
        <f>80/I760</f>
        <v>0.32</v>
      </c>
      <c r="J762" s="1101">
        <f>16/J760</f>
        <v>0.2</v>
      </c>
      <c r="K762" s="1101">
        <f>33/K760</f>
        <v>0.23571428571428571</v>
      </c>
      <c r="L762" s="1101">
        <f>2/L760</f>
        <v>0.4</v>
      </c>
      <c r="M762" s="1101">
        <f>31/M760</f>
        <v>0.36470588235294116</v>
      </c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  <c r="AA762" s="91"/>
      <c r="AB762" s="91"/>
      <c r="AC762" s="91"/>
      <c r="AD762" s="91"/>
      <c r="AE762" s="91"/>
      <c r="AF762" s="91"/>
      <c r="AG762" s="91"/>
      <c r="AH762" s="91"/>
      <c r="AI762" s="91"/>
      <c r="AJ762" s="91"/>
      <c r="AK762" s="91"/>
      <c r="AL762" s="91"/>
      <c r="AM762" s="91"/>
      <c r="AN762" s="91"/>
      <c r="AO762" s="91"/>
      <c r="AP762" s="91"/>
      <c r="AQ762" s="91"/>
      <c r="AR762" s="91"/>
      <c r="AS762" s="91"/>
      <c r="AT762" s="91"/>
      <c r="AU762" s="91"/>
      <c r="AV762" s="296"/>
      <c r="AW762" s="296"/>
      <c r="AX762" s="296"/>
      <c r="AY762" s="296"/>
      <c r="AZ762" s="296"/>
      <c r="BA762" s="296"/>
      <c r="BB762" s="296"/>
      <c r="BC762" s="296"/>
      <c r="BD762" s="296"/>
      <c r="BE762" s="296"/>
      <c r="BF762" s="296"/>
      <c r="BG762" s="296"/>
      <c r="BH762" s="296"/>
      <c r="BI762" s="296"/>
      <c r="BJ762" s="296"/>
      <c r="BK762" s="296"/>
      <c r="BL762" s="296"/>
      <c r="BM762" s="296"/>
      <c r="BN762" s="296"/>
      <c r="BO762" s="296"/>
      <c r="BP762" s="296"/>
      <c r="BQ762" s="296"/>
      <c r="BR762" s="296"/>
      <c r="BS762" s="296"/>
      <c r="BT762" s="296"/>
      <c r="BU762" s="296"/>
      <c r="BV762" s="296"/>
      <c r="BW762" s="296"/>
      <c r="BX762" s="296"/>
      <c r="BY762" s="296"/>
      <c r="BZ762" s="9"/>
      <c r="CA762" s="9"/>
      <c r="CB762" s="9"/>
      <c r="CC762" s="9"/>
      <c r="CD762" s="9"/>
    </row>
    <row r="763" spans="1:82">
      <c r="A763" s="36" t="s">
        <v>1080</v>
      </c>
      <c r="B763" s="1101">
        <f t="shared" ref="B763:M763" si="416">1-SUM(B761:B762)</f>
        <v>0.49583333333333335</v>
      </c>
      <c r="C763" s="1101">
        <f t="shared" si="416"/>
        <v>0.41600000000000004</v>
      </c>
      <c r="D763" s="1474">
        <f t="shared" si="416"/>
        <v>0.85714285714285721</v>
      </c>
      <c r="E763" s="1101">
        <f t="shared" si="416"/>
        <v>0.34666666666666668</v>
      </c>
      <c r="F763" s="1101">
        <f t="shared" si="416"/>
        <v>0.34210526315789469</v>
      </c>
      <c r="G763" s="1478">
        <f t="shared" si="416"/>
        <v>0.4</v>
      </c>
      <c r="H763" s="1474">
        <f t="shared" si="416"/>
        <v>0.8</v>
      </c>
      <c r="I763" s="1101">
        <f t="shared" si="416"/>
        <v>0.59199999999999997</v>
      </c>
      <c r="J763" s="1101">
        <f t="shared" si="416"/>
        <v>0.8</v>
      </c>
      <c r="K763" s="1101">
        <f t="shared" si="416"/>
        <v>0.76428571428571423</v>
      </c>
      <c r="L763" s="1101">
        <f t="shared" si="416"/>
        <v>0.6</v>
      </c>
      <c r="M763" s="1101">
        <f t="shared" si="416"/>
        <v>0.63529411764705879</v>
      </c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  <c r="AA763" s="91"/>
      <c r="AB763" s="91"/>
      <c r="AC763" s="91"/>
      <c r="AD763" s="91"/>
      <c r="AE763" s="91"/>
      <c r="AF763" s="91"/>
      <c r="AG763" s="91"/>
      <c r="AH763" s="91"/>
      <c r="AI763" s="91"/>
      <c r="AJ763" s="91"/>
      <c r="AK763" s="91"/>
      <c r="AL763" s="91"/>
      <c r="AM763" s="91"/>
      <c r="AN763" s="91"/>
      <c r="AO763" s="91"/>
      <c r="AP763" s="91"/>
      <c r="AQ763" s="91"/>
      <c r="AR763" s="91"/>
      <c r="AS763" s="91"/>
      <c r="AT763" s="91"/>
      <c r="AU763" s="91"/>
      <c r="AV763" s="296"/>
      <c r="AW763" s="296"/>
      <c r="AX763" s="296"/>
      <c r="AY763" s="296"/>
      <c r="AZ763" s="296"/>
      <c r="BA763" s="296"/>
      <c r="BB763" s="296"/>
      <c r="BC763" s="296"/>
      <c r="BD763" s="296"/>
      <c r="BE763" s="296"/>
      <c r="BF763" s="296"/>
      <c r="BG763" s="296"/>
      <c r="BH763" s="296"/>
      <c r="BI763" s="296"/>
      <c r="BJ763" s="296"/>
      <c r="BK763" s="296"/>
      <c r="BL763" s="296"/>
      <c r="BM763" s="296"/>
      <c r="BN763" s="296"/>
      <c r="BO763" s="296"/>
      <c r="BP763" s="296"/>
      <c r="BQ763" s="296"/>
      <c r="BR763" s="296"/>
      <c r="BS763" s="296"/>
      <c r="BT763" s="296"/>
      <c r="BU763" s="296"/>
      <c r="BV763" s="296"/>
      <c r="BW763" s="296"/>
      <c r="BX763" s="296"/>
      <c r="BY763" s="296"/>
      <c r="BZ763" s="9"/>
      <c r="CA763" s="9"/>
      <c r="CB763" s="9"/>
      <c r="CC763" s="9"/>
      <c r="CD763" s="9"/>
    </row>
    <row r="764" spans="1:82">
      <c r="A764" s="513" t="s">
        <v>325</v>
      </c>
      <c r="B764" s="1102">
        <f t="shared" ref="B764:M764" si="417">SUM(B761:B763)</f>
        <v>1</v>
      </c>
      <c r="C764" s="1102">
        <f t="shared" si="417"/>
        <v>1</v>
      </c>
      <c r="D764" s="1475">
        <f t="shared" si="417"/>
        <v>1</v>
      </c>
      <c r="E764" s="1102">
        <f t="shared" si="417"/>
        <v>1</v>
      </c>
      <c r="F764" s="1102">
        <f t="shared" si="417"/>
        <v>1</v>
      </c>
      <c r="G764" s="1481">
        <f t="shared" si="417"/>
        <v>1</v>
      </c>
      <c r="H764" s="1475">
        <f t="shared" si="417"/>
        <v>1</v>
      </c>
      <c r="I764" s="1102">
        <f t="shared" si="417"/>
        <v>1</v>
      </c>
      <c r="J764" s="1102">
        <f t="shared" si="417"/>
        <v>1</v>
      </c>
      <c r="K764" s="1102">
        <f t="shared" si="417"/>
        <v>1</v>
      </c>
      <c r="L764" s="1102">
        <f t="shared" si="417"/>
        <v>1</v>
      </c>
      <c r="M764" s="1102">
        <f t="shared" si="417"/>
        <v>1</v>
      </c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  <c r="AA764" s="91"/>
      <c r="AB764" s="91"/>
      <c r="AC764" s="91"/>
      <c r="AD764" s="91"/>
      <c r="AE764" s="91"/>
      <c r="AF764" s="91"/>
      <c r="AG764" s="91"/>
      <c r="AH764" s="91"/>
      <c r="AI764" s="91"/>
      <c r="AJ764" s="91"/>
      <c r="AK764" s="91"/>
      <c r="AL764" s="91"/>
      <c r="AM764" s="91"/>
      <c r="AN764" s="91"/>
      <c r="AO764" s="91"/>
      <c r="AP764" s="91"/>
      <c r="AQ764" s="91"/>
      <c r="AR764" s="91"/>
      <c r="AS764" s="91"/>
      <c r="AT764" s="91"/>
      <c r="AU764" s="91"/>
      <c r="AV764" s="296"/>
      <c r="AW764" s="296"/>
      <c r="AX764" s="296"/>
      <c r="AY764" s="296"/>
      <c r="AZ764" s="296"/>
      <c r="BA764" s="296"/>
      <c r="BB764" s="296"/>
      <c r="BC764" s="296"/>
      <c r="BD764" s="296"/>
      <c r="BE764" s="296"/>
      <c r="BF764" s="296"/>
      <c r="BG764" s="296"/>
      <c r="BH764" s="296"/>
      <c r="BI764" s="296"/>
      <c r="BJ764" s="296"/>
      <c r="BK764" s="296"/>
      <c r="BL764" s="296"/>
      <c r="BM764" s="296"/>
      <c r="BN764" s="296"/>
      <c r="BO764" s="296"/>
      <c r="BP764" s="296"/>
      <c r="BQ764" s="296"/>
      <c r="BR764" s="296"/>
      <c r="BS764" s="296"/>
      <c r="BT764" s="296"/>
      <c r="BU764" s="296"/>
      <c r="BV764" s="296"/>
      <c r="BW764" s="296"/>
      <c r="BX764" s="296"/>
      <c r="BY764" s="296"/>
      <c r="BZ764" s="9"/>
      <c r="CA764" s="9"/>
      <c r="CB764" s="9"/>
      <c r="CC764" s="9"/>
      <c r="CD764" s="9"/>
    </row>
    <row r="765" spans="1:82">
      <c r="A765" s="513"/>
      <c r="B765" s="1102"/>
      <c r="C765" s="1102"/>
      <c r="D765" s="1102"/>
      <c r="E765" s="1089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  <c r="AA765" s="91"/>
      <c r="AB765" s="91"/>
      <c r="AC765" s="91"/>
      <c r="AD765" s="91"/>
      <c r="AE765" s="91"/>
      <c r="AF765" s="91"/>
      <c r="AG765" s="91"/>
      <c r="AH765" s="91"/>
      <c r="AI765" s="91"/>
      <c r="AJ765" s="91"/>
      <c r="AK765" s="91"/>
      <c r="AL765" s="91"/>
      <c r="AM765" s="91"/>
      <c r="AN765" s="91"/>
      <c r="AO765" s="91"/>
      <c r="AP765" s="91"/>
      <c r="AQ765" s="91"/>
      <c r="AR765" s="91"/>
      <c r="AS765" s="91"/>
      <c r="AT765" s="91"/>
      <c r="AU765" s="91"/>
      <c r="AV765" s="296"/>
      <c r="AW765" s="296"/>
      <c r="AX765" s="296"/>
      <c r="AY765" s="296"/>
      <c r="AZ765" s="296"/>
      <c r="BA765" s="296"/>
      <c r="BB765" s="296"/>
      <c r="BC765" s="296"/>
      <c r="BD765" s="296"/>
      <c r="BE765" s="296"/>
      <c r="BF765" s="296"/>
      <c r="BG765" s="296"/>
      <c r="BH765" s="296"/>
      <c r="BI765" s="296"/>
      <c r="BJ765" s="296"/>
      <c r="BK765" s="296"/>
      <c r="BL765" s="296"/>
      <c r="BM765" s="296"/>
      <c r="BN765" s="296"/>
      <c r="BO765" s="296"/>
      <c r="BP765" s="296"/>
      <c r="BQ765" s="296"/>
      <c r="BR765" s="296"/>
      <c r="BS765" s="296"/>
      <c r="BT765" s="296"/>
      <c r="BU765" s="296"/>
      <c r="BV765" s="296"/>
      <c r="BW765" s="296"/>
      <c r="BX765" s="296"/>
      <c r="BY765" s="296"/>
      <c r="BZ765" s="9"/>
      <c r="CA765" s="9"/>
      <c r="CB765" s="9"/>
      <c r="CC765" s="9"/>
      <c r="CD765" s="9"/>
    </row>
    <row r="766" spans="1:82">
      <c r="A766" s="242" t="s">
        <v>748</v>
      </c>
      <c r="B766" s="595"/>
      <c r="C766" s="595"/>
      <c r="D766" s="595"/>
      <c r="E766" s="595"/>
      <c r="F766" s="595"/>
      <c r="G766" s="595"/>
      <c r="H766" s="595"/>
      <c r="I766" s="595"/>
      <c r="J766" s="595"/>
      <c r="K766" s="595"/>
      <c r="L766" s="595"/>
      <c r="M766" s="595"/>
      <c r="N766" s="595"/>
      <c r="O766" s="595"/>
      <c r="P766" s="595"/>
      <c r="Q766" s="595"/>
      <c r="R766" s="595"/>
      <c r="S766" s="595"/>
      <c r="T766" s="595"/>
      <c r="U766" s="595"/>
      <c r="V766" s="595"/>
      <c r="W766" s="595"/>
      <c r="X766" s="595"/>
      <c r="Y766" s="595"/>
      <c r="Z766" s="595"/>
      <c r="AA766" s="595"/>
      <c r="AB766" s="595"/>
      <c r="AC766" s="595"/>
      <c r="AD766" s="595"/>
      <c r="AE766" s="595"/>
      <c r="AF766" s="595"/>
      <c r="AG766" s="595"/>
      <c r="AH766" s="595"/>
      <c r="AI766" s="595"/>
      <c r="AJ766" s="595"/>
      <c r="AK766" s="595"/>
      <c r="AL766" s="595"/>
      <c r="AM766" s="595"/>
      <c r="AN766" s="595"/>
      <c r="AO766" s="595"/>
      <c r="AP766" s="595"/>
      <c r="AQ766" s="595"/>
      <c r="AR766" s="595"/>
      <c r="AS766" s="595"/>
      <c r="AT766" s="595"/>
      <c r="AU766" s="595"/>
      <c r="AV766" s="596"/>
      <c r="AW766" s="596"/>
      <c r="AX766" s="596"/>
      <c r="AY766" s="596"/>
      <c r="AZ766" s="596"/>
      <c r="BA766" s="596"/>
      <c r="BB766" s="596"/>
      <c r="BC766" s="596"/>
      <c r="BD766" s="596"/>
      <c r="BE766" s="596"/>
      <c r="BF766" s="596"/>
      <c r="BG766" s="596"/>
      <c r="BH766" s="596"/>
      <c r="BI766" s="596"/>
      <c r="BJ766" s="596"/>
      <c r="BK766" s="596"/>
      <c r="BL766" s="596"/>
      <c r="BM766" s="596"/>
      <c r="BN766" s="596"/>
      <c r="BO766" s="596"/>
      <c r="BP766" s="596"/>
      <c r="BQ766" s="596"/>
      <c r="BR766" s="596"/>
      <c r="BS766" s="596"/>
      <c r="BT766" s="596"/>
      <c r="BU766" s="596"/>
      <c r="BV766" s="596"/>
      <c r="BW766" s="596"/>
      <c r="BX766" s="596"/>
      <c r="BY766" s="596"/>
      <c r="BZ766" s="9"/>
      <c r="CA766" s="9"/>
      <c r="CB766" s="9"/>
      <c r="CC766" s="9"/>
      <c r="CD766" s="9"/>
    </row>
    <row r="767" spans="1:82">
      <c r="B767" s="9"/>
      <c r="C767" s="9"/>
      <c r="D767" s="9"/>
      <c r="E767" s="9"/>
      <c r="F767" s="9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  <c r="AA767" s="91"/>
      <c r="AB767" s="91"/>
      <c r="AC767" s="91"/>
      <c r="AD767" s="91"/>
      <c r="AE767" s="91"/>
      <c r="AF767" s="91"/>
      <c r="AG767" s="91"/>
      <c r="AH767" s="91"/>
      <c r="AI767" s="91"/>
      <c r="AJ767" s="91"/>
      <c r="AK767" s="91"/>
      <c r="AL767" s="91"/>
      <c r="AM767" s="91"/>
      <c r="AN767" s="91"/>
      <c r="AO767" s="91"/>
      <c r="AP767" s="91"/>
      <c r="AQ767" s="91"/>
      <c r="AR767" s="91"/>
      <c r="AS767" s="91"/>
      <c r="AT767" s="91"/>
      <c r="AU767" s="91"/>
      <c r="AV767" s="296"/>
      <c r="AW767" s="296"/>
      <c r="AX767" s="296"/>
      <c r="AY767" s="296"/>
      <c r="AZ767" s="296"/>
      <c r="BA767" s="296"/>
      <c r="BB767" s="296"/>
      <c r="BC767" s="296"/>
      <c r="BD767" s="296"/>
      <c r="BE767" s="296"/>
      <c r="BF767" s="296"/>
      <c r="BG767" s="296"/>
      <c r="BH767" s="296"/>
      <c r="BI767" s="296"/>
      <c r="BJ767" s="296"/>
      <c r="BK767" s="296"/>
      <c r="BL767" s="296"/>
      <c r="BM767" s="296"/>
      <c r="BN767" s="296"/>
      <c r="BO767" s="296"/>
      <c r="BP767" s="296"/>
      <c r="BQ767" s="296"/>
      <c r="BR767" s="296"/>
      <c r="BS767" s="296"/>
      <c r="BT767" s="296"/>
      <c r="BU767" s="296"/>
      <c r="BV767" s="296"/>
      <c r="BW767" s="296"/>
      <c r="BX767" s="296"/>
      <c r="BY767" s="296"/>
      <c r="BZ767" s="9"/>
      <c r="CA767" s="9"/>
      <c r="CB767" s="9"/>
      <c r="CC767" s="9"/>
      <c r="CD767" s="9"/>
    </row>
    <row r="768" spans="1:82">
      <c r="A768" s="513" t="s">
        <v>1076</v>
      </c>
      <c r="B768" s="9"/>
      <c r="C768" s="9"/>
      <c r="D768" s="9"/>
      <c r="E768" s="9"/>
      <c r="F768" s="9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  <c r="AA768" s="91"/>
      <c r="AB768" s="91"/>
      <c r="AC768" s="91"/>
      <c r="AD768" s="91"/>
      <c r="AE768" s="91"/>
      <c r="AF768" s="91"/>
      <c r="AG768" s="91"/>
      <c r="AH768" s="91"/>
      <c r="AI768" s="91"/>
      <c r="AJ768" s="91"/>
      <c r="AK768" s="91"/>
      <c r="AL768" s="91"/>
      <c r="AM768" s="91"/>
      <c r="AN768" s="91"/>
      <c r="AO768" s="91"/>
      <c r="AP768" s="91"/>
      <c r="AQ768" s="91"/>
      <c r="AR768" s="91"/>
      <c r="AS768" s="91"/>
      <c r="AT768" s="91"/>
      <c r="AU768" s="91"/>
      <c r="AV768" s="296"/>
      <c r="AW768" s="296"/>
      <c r="AX768" s="296"/>
      <c r="AY768" s="296"/>
      <c r="AZ768" s="296"/>
      <c r="BA768" s="296"/>
      <c r="BB768" s="296"/>
      <c r="BC768" s="296"/>
      <c r="BD768" s="296"/>
      <c r="BE768" s="296"/>
      <c r="BF768" s="296"/>
      <c r="BG768" s="296"/>
      <c r="BH768" s="296"/>
      <c r="BI768" s="296"/>
      <c r="BJ768" s="296"/>
      <c r="BK768" s="296"/>
      <c r="BL768" s="296"/>
      <c r="BM768" s="296"/>
      <c r="BN768" s="296"/>
      <c r="BO768" s="296"/>
      <c r="BP768" s="296"/>
      <c r="BQ768" s="296"/>
      <c r="BR768" s="296"/>
      <c r="BS768" s="296"/>
      <c r="BT768" s="296"/>
      <c r="BU768" s="296"/>
      <c r="BV768" s="296"/>
      <c r="BW768" s="296"/>
      <c r="BX768" s="296"/>
      <c r="BY768" s="296"/>
      <c r="BZ768" s="9"/>
      <c r="CA768" s="9"/>
      <c r="CB768" s="9"/>
      <c r="CC768" s="9"/>
      <c r="CD768" s="9"/>
    </row>
    <row r="769" spans="1:82">
      <c r="A769" s="36" t="s">
        <v>1077</v>
      </c>
      <c r="B769" s="9"/>
      <c r="C769" s="9"/>
      <c r="D769" s="9"/>
      <c r="E769" s="9"/>
      <c r="F769" s="9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  <c r="AA769" s="91"/>
      <c r="AB769" s="91"/>
      <c r="AC769" s="91"/>
      <c r="AD769" s="91"/>
      <c r="AE769" s="91"/>
      <c r="AF769" s="91"/>
      <c r="AG769" s="91"/>
      <c r="AH769" s="91"/>
      <c r="AI769" s="91"/>
      <c r="AJ769" s="91"/>
      <c r="AK769" s="91"/>
      <c r="AL769" s="91"/>
      <c r="AM769" s="91"/>
      <c r="AN769" s="91"/>
      <c r="AO769" s="91"/>
      <c r="AP769" s="91"/>
      <c r="AQ769" s="91"/>
      <c r="AR769" s="91"/>
      <c r="AS769" s="91"/>
      <c r="AT769" s="91"/>
      <c r="AU769" s="91"/>
      <c r="AV769" s="296"/>
      <c r="AW769" s="296"/>
      <c r="AX769" s="296"/>
      <c r="AY769" s="296"/>
      <c r="AZ769" s="296"/>
      <c r="BA769" s="296"/>
      <c r="BB769" s="296"/>
      <c r="BC769" s="296"/>
      <c r="BD769" s="296"/>
      <c r="BE769" s="296"/>
      <c r="BF769" s="296"/>
      <c r="BG769" s="296"/>
      <c r="BH769" s="296"/>
      <c r="BI769" s="296"/>
      <c r="BJ769" s="296"/>
      <c r="BK769" s="296"/>
      <c r="BL769" s="296"/>
      <c r="BM769" s="296"/>
      <c r="BN769" s="296"/>
      <c r="BO769" s="296"/>
      <c r="BP769" s="296"/>
      <c r="BQ769" s="296"/>
      <c r="BR769" s="296"/>
      <c r="BS769" s="296"/>
      <c r="BT769" s="296"/>
      <c r="BU769" s="296"/>
      <c r="BV769" s="296"/>
      <c r="BW769" s="296"/>
      <c r="BX769" s="296"/>
      <c r="BY769" s="296"/>
      <c r="BZ769" s="9"/>
      <c r="CA769" s="9"/>
      <c r="CB769" s="9"/>
      <c r="CC769" s="9"/>
      <c r="CD769" s="9"/>
    </row>
    <row r="770" spans="1:82">
      <c r="A770" s="36" t="s">
        <v>246</v>
      </c>
      <c r="B770" s="9"/>
      <c r="C770" s="9"/>
      <c r="D770" s="9"/>
      <c r="E770" s="9"/>
      <c r="F770" s="9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  <c r="AA770" s="91"/>
      <c r="AB770" s="91"/>
      <c r="AC770" s="91"/>
      <c r="AD770" s="91"/>
      <c r="AE770" s="91"/>
      <c r="AF770" s="91"/>
      <c r="AG770" s="91"/>
      <c r="AH770" s="91"/>
      <c r="AI770" s="91"/>
      <c r="AJ770" s="91"/>
      <c r="AK770" s="91"/>
      <c r="AL770" s="91"/>
      <c r="AM770" s="91"/>
      <c r="AN770" s="91"/>
      <c r="AO770" s="91"/>
      <c r="AP770" s="91"/>
      <c r="AQ770" s="91"/>
      <c r="AR770" s="91"/>
      <c r="AS770" s="91"/>
      <c r="AT770" s="91"/>
      <c r="AU770" s="91"/>
      <c r="AV770" s="296"/>
      <c r="AW770" s="296"/>
      <c r="AX770" s="296"/>
      <c r="AY770" s="296"/>
      <c r="AZ770" s="296"/>
      <c r="BA770" s="296"/>
      <c r="BB770" s="296"/>
      <c r="BC770" s="296"/>
      <c r="BD770" s="296"/>
      <c r="BE770" s="296"/>
      <c r="BF770" s="296"/>
      <c r="BG770" s="296"/>
      <c r="BH770" s="296"/>
      <c r="BI770" s="296"/>
      <c r="BJ770" s="296"/>
      <c r="BK770" s="296"/>
      <c r="BL770" s="296"/>
      <c r="BM770" s="296"/>
      <c r="BN770" s="296"/>
      <c r="BO770" s="296"/>
      <c r="BP770" s="296"/>
      <c r="BQ770" s="296"/>
      <c r="BR770" s="296"/>
      <c r="BS770" s="296"/>
      <c r="BT770" s="296"/>
      <c r="BU770" s="296"/>
      <c r="BV770" s="296"/>
      <c r="BW770" s="296"/>
      <c r="BX770" s="296"/>
      <c r="BY770" s="296"/>
      <c r="BZ770" s="9"/>
      <c r="CA770" s="9"/>
      <c r="CB770" s="9"/>
      <c r="CC770" s="9"/>
      <c r="CD770" s="9"/>
    </row>
    <row r="771" spans="1:82">
      <c r="A771" s="36" t="s">
        <v>1080</v>
      </c>
      <c r="B771" s="9"/>
      <c r="C771" s="9"/>
      <c r="D771" s="9"/>
      <c r="E771" s="9"/>
      <c r="F771" s="9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  <c r="AA771" s="91"/>
      <c r="AB771" s="91"/>
      <c r="AC771" s="91"/>
      <c r="AD771" s="91"/>
      <c r="AE771" s="91"/>
      <c r="AF771" s="91"/>
      <c r="AG771" s="91"/>
      <c r="AH771" s="91"/>
      <c r="AI771" s="91"/>
      <c r="AJ771" s="91"/>
      <c r="AK771" s="91"/>
      <c r="AL771" s="91"/>
      <c r="AM771" s="91"/>
      <c r="AN771" s="91"/>
      <c r="AO771" s="91"/>
      <c r="AP771" s="91"/>
      <c r="AQ771" s="91"/>
      <c r="AR771" s="91"/>
      <c r="AS771" s="91"/>
      <c r="AT771" s="91"/>
      <c r="AU771" s="91"/>
      <c r="AV771" s="296"/>
      <c r="AW771" s="296"/>
      <c r="AX771" s="296"/>
      <c r="AY771" s="296"/>
      <c r="AZ771" s="296"/>
      <c r="BA771" s="296"/>
      <c r="BB771" s="296"/>
      <c r="BC771" s="296"/>
      <c r="BD771" s="296"/>
      <c r="BE771" s="296"/>
      <c r="BF771" s="296"/>
      <c r="BG771" s="296"/>
      <c r="BH771" s="296"/>
      <c r="BI771" s="296"/>
      <c r="BJ771" s="296"/>
      <c r="BK771" s="296"/>
      <c r="BL771" s="296"/>
      <c r="BM771" s="296"/>
      <c r="BN771" s="296"/>
      <c r="BO771" s="296"/>
      <c r="BP771" s="296"/>
      <c r="BQ771" s="296"/>
      <c r="BR771" s="296"/>
      <c r="BS771" s="296"/>
      <c r="BT771" s="296"/>
      <c r="BU771" s="296"/>
      <c r="BV771" s="296"/>
      <c r="BW771" s="296"/>
      <c r="BX771" s="296"/>
      <c r="BY771" s="296"/>
      <c r="BZ771" s="9"/>
      <c r="CA771" s="9"/>
      <c r="CB771" s="9"/>
      <c r="CC771" s="9"/>
      <c r="CD771" s="9"/>
    </row>
    <row r="772" spans="1:82">
      <c r="A772" s="513" t="s">
        <v>325</v>
      </c>
      <c r="B772" s="9"/>
      <c r="C772" s="9"/>
      <c r="D772" s="9"/>
      <c r="E772" s="9"/>
      <c r="F772" s="9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  <c r="AA772" s="91"/>
      <c r="AB772" s="91"/>
      <c r="AC772" s="91"/>
      <c r="AD772" s="91"/>
      <c r="AE772" s="91"/>
      <c r="AF772" s="91"/>
      <c r="AG772" s="91"/>
      <c r="AH772" s="91"/>
      <c r="AI772" s="91"/>
      <c r="AJ772" s="91"/>
      <c r="AK772" s="91"/>
      <c r="AL772" s="91"/>
      <c r="AM772" s="91"/>
      <c r="AN772" s="91"/>
      <c r="AO772" s="91"/>
      <c r="AP772" s="91"/>
      <c r="AQ772" s="91"/>
      <c r="AR772" s="91"/>
      <c r="AS772" s="91"/>
      <c r="AT772" s="91"/>
      <c r="AU772" s="91"/>
      <c r="AV772" s="296"/>
      <c r="AW772" s="296"/>
      <c r="AX772" s="296"/>
      <c r="AY772" s="296"/>
      <c r="AZ772" s="296"/>
      <c r="BA772" s="296"/>
      <c r="BB772" s="296"/>
      <c r="BC772" s="296"/>
      <c r="BD772" s="296"/>
      <c r="BE772" s="296"/>
      <c r="BF772" s="296"/>
      <c r="BG772" s="296"/>
      <c r="BH772" s="296"/>
      <c r="BI772" s="296"/>
      <c r="BJ772" s="296"/>
      <c r="BK772" s="296"/>
      <c r="BL772" s="296"/>
      <c r="BM772" s="296"/>
      <c r="BN772" s="296"/>
      <c r="BO772" s="296"/>
      <c r="BP772" s="296"/>
      <c r="BQ772" s="296"/>
      <c r="BR772" s="296"/>
      <c r="BS772" s="296"/>
      <c r="BT772" s="296"/>
      <c r="BU772" s="296"/>
      <c r="BV772" s="296"/>
      <c r="BW772" s="296"/>
      <c r="BX772" s="296"/>
      <c r="BY772" s="296"/>
      <c r="BZ772" s="9"/>
      <c r="CA772" s="9"/>
      <c r="CB772" s="9"/>
      <c r="CC772" s="9"/>
      <c r="CD772" s="9"/>
    </row>
    <row r="773" spans="1:82"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  <c r="AA773" s="91"/>
      <c r="AB773" s="91"/>
      <c r="AC773" s="91"/>
      <c r="AD773" s="91"/>
      <c r="AE773" s="91"/>
      <c r="AF773" s="91"/>
      <c r="AG773" s="91"/>
      <c r="AH773" s="91"/>
      <c r="AI773" s="91"/>
      <c r="AJ773" s="91"/>
      <c r="AK773" s="91"/>
      <c r="AL773" s="91"/>
      <c r="AM773" s="91"/>
      <c r="AN773" s="91"/>
      <c r="AO773" s="91"/>
      <c r="AP773" s="91"/>
      <c r="AQ773" s="91"/>
      <c r="AR773" s="91"/>
      <c r="AS773" s="91"/>
      <c r="AT773" s="91"/>
      <c r="AU773" s="91"/>
      <c r="AV773" s="296"/>
      <c r="AW773" s="296"/>
      <c r="AX773" s="296"/>
      <c r="AY773" s="296"/>
      <c r="AZ773" s="296"/>
      <c r="BA773" s="296"/>
      <c r="BB773" s="296"/>
      <c r="BC773" s="296"/>
      <c r="BD773" s="296"/>
      <c r="BE773" s="296"/>
      <c r="BF773" s="296"/>
      <c r="BG773" s="296"/>
      <c r="BH773" s="296"/>
      <c r="BI773" s="296"/>
      <c r="BJ773" s="296"/>
      <c r="BK773" s="296"/>
      <c r="BL773" s="296"/>
      <c r="BM773" s="296"/>
      <c r="BN773" s="296"/>
      <c r="BO773" s="296"/>
      <c r="BP773" s="296"/>
      <c r="BQ773" s="296"/>
      <c r="BR773" s="296"/>
      <c r="BS773" s="296"/>
      <c r="BT773" s="296"/>
      <c r="BU773" s="296"/>
      <c r="BV773" s="296"/>
      <c r="BW773" s="296"/>
      <c r="BX773" s="296"/>
      <c r="BY773" s="296"/>
      <c r="BZ773" s="9"/>
      <c r="CA773" s="9"/>
      <c r="CB773" s="9"/>
      <c r="CC773" s="9"/>
      <c r="CD773" s="9"/>
    </row>
    <row r="774" spans="1:82">
      <c r="A774" s="242" t="s">
        <v>747</v>
      </c>
      <c r="B774" s="595"/>
      <c r="C774" s="595"/>
      <c r="D774" s="595"/>
      <c r="E774" s="595"/>
      <c r="F774" s="595"/>
      <c r="G774" s="595"/>
      <c r="H774" s="595"/>
      <c r="I774" s="595"/>
      <c r="J774" s="595"/>
      <c r="K774" s="595"/>
      <c r="L774" s="595"/>
      <c r="M774" s="595"/>
      <c r="N774" s="595"/>
      <c r="O774" s="595"/>
      <c r="P774" s="595"/>
      <c r="Q774" s="595"/>
      <c r="R774" s="595"/>
      <c r="S774" s="595"/>
      <c r="T774" s="595"/>
      <c r="U774" s="595"/>
      <c r="V774" s="595"/>
      <c r="W774" s="595"/>
      <c r="X774" s="595"/>
      <c r="Y774" s="595"/>
      <c r="Z774" s="595"/>
      <c r="AA774" s="595"/>
      <c r="AB774" s="595"/>
      <c r="AC774" s="595"/>
      <c r="AD774" s="595"/>
      <c r="AE774" s="595"/>
      <c r="AF774" s="595"/>
      <c r="AG774" s="595"/>
      <c r="AH774" s="595"/>
      <c r="AI774" s="595"/>
      <c r="AJ774" s="595"/>
      <c r="AK774" s="595"/>
      <c r="AL774" s="595"/>
      <c r="AM774" s="595"/>
      <c r="AN774" s="595"/>
      <c r="AO774" s="595"/>
      <c r="AP774" s="595"/>
      <c r="AQ774" s="595"/>
      <c r="AR774" s="595"/>
      <c r="AS774" s="595"/>
      <c r="AT774" s="595"/>
      <c r="AU774" s="595"/>
      <c r="AV774" s="596"/>
      <c r="AW774" s="596"/>
      <c r="AX774" s="596"/>
      <c r="AY774" s="596"/>
      <c r="AZ774" s="596"/>
      <c r="BA774" s="596"/>
      <c r="BB774" s="596"/>
      <c r="BC774" s="596"/>
      <c r="BD774" s="596"/>
      <c r="BE774" s="596"/>
      <c r="BF774" s="596"/>
      <c r="BG774" s="596"/>
      <c r="BH774" s="596"/>
      <c r="BI774" s="596"/>
      <c r="BJ774" s="596"/>
      <c r="BK774" s="596"/>
      <c r="BL774" s="596"/>
      <c r="BM774" s="596"/>
      <c r="BN774" s="596"/>
      <c r="BO774" s="596"/>
      <c r="BP774" s="596"/>
      <c r="BQ774" s="596"/>
      <c r="BR774" s="596"/>
      <c r="BS774" s="596"/>
      <c r="BT774" s="596"/>
      <c r="BU774" s="596"/>
      <c r="BV774" s="596"/>
      <c r="BW774" s="596"/>
      <c r="BX774" s="596"/>
      <c r="BY774" s="596"/>
      <c r="BZ774" s="9"/>
      <c r="CA774" s="9"/>
      <c r="CB774" s="9"/>
      <c r="CC774" s="9"/>
      <c r="CD774" s="9"/>
    </row>
    <row r="775" spans="1:82">
      <c r="B775" s="9"/>
      <c r="C775" s="9"/>
      <c r="D775" s="9"/>
      <c r="E775" s="1089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  <c r="AA775" s="91"/>
      <c r="AB775" s="91"/>
      <c r="AC775" s="91"/>
      <c r="AD775" s="91"/>
      <c r="AE775" s="91"/>
      <c r="AF775" s="91"/>
      <c r="AG775" s="91"/>
      <c r="AH775" s="91"/>
      <c r="AI775" s="91"/>
      <c r="AJ775" s="91"/>
      <c r="AK775" s="91"/>
      <c r="AL775" s="91"/>
      <c r="AM775" s="91"/>
      <c r="AN775" s="91"/>
      <c r="AO775" s="91"/>
      <c r="AP775" s="91"/>
      <c r="AQ775" s="91"/>
      <c r="AR775" s="91"/>
      <c r="AS775" s="91"/>
      <c r="AT775" s="91"/>
      <c r="AU775" s="91"/>
      <c r="AV775" s="296"/>
      <c r="AW775" s="296"/>
      <c r="AX775" s="296"/>
      <c r="AY775" s="296"/>
      <c r="AZ775" s="296"/>
      <c r="BA775" s="296"/>
      <c r="BB775" s="296"/>
      <c r="BC775" s="296"/>
      <c r="BD775" s="296"/>
      <c r="BE775" s="296"/>
      <c r="BF775" s="296"/>
      <c r="BG775" s="296"/>
      <c r="BH775" s="296"/>
      <c r="BI775" s="296"/>
      <c r="BJ775" s="296"/>
      <c r="BK775" s="296"/>
      <c r="BL775" s="296"/>
      <c r="BM775" s="296"/>
      <c r="BN775" s="296"/>
      <c r="BO775" s="296"/>
      <c r="BP775" s="296"/>
      <c r="BQ775" s="296"/>
      <c r="BR775" s="296"/>
      <c r="BS775" s="296"/>
      <c r="BT775" s="296"/>
      <c r="BU775" s="296"/>
      <c r="BV775" s="296"/>
      <c r="BW775" s="296"/>
      <c r="BX775" s="296"/>
      <c r="BY775" s="296"/>
      <c r="BZ775" s="9"/>
      <c r="CA775" s="9"/>
      <c r="CB775" s="9"/>
      <c r="CC775" s="9"/>
      <c r="CD775" s="9"/>
    </row>
    <row r="776" spans="1:82">
      <c r="A776" s="513" t="s">
        <v>1076</v>
      </c>
      <c r="B776" s="9"/>
      <c r="C776" s="9"/>
      <c r="D776" s="9"/>
      <c r="E776" s="1089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  <c r="AA776" s="91"/>
      <c r="AB776" s="91"/>
      <c r="AC776" s="91"/>
      <c r="AD776" s="91"/>
      <c r="AE776" s="91"/>
      <c r="AF776" s="91"/>
      <c r="AG776" s="91"/>
      <c r="AH776" s="91"/>
      <c r="AI776" s="91"/>
      <c r="AJ776" s="91"/>
      <c r="AK776" s="91"/>
      <c r="AL776" s="91"/>
      <c r="AM776" s="91"/>
      <c r="AN776" s="91"/>
      <c r="AO776" s="91"/>
      <c r="AP776" s="91"/>
      <c r="AQ776" s="91"/>
      <c r="AR776" s="91"/>
      <c r="AS776" s="91"/>
      <c r="AT776" s="91"/>
      <c r="AU776" s="91"/>
      <c r="AV776" s="296"/>
      <c r="AW776" s="296"/>
      <c r="AX776" s="296"/>
      <c r="AY776" s="296"/>
      <c r="AZ776" s="296"/>
      <c r="BA776" s="296"/>
      <c r="BB776" s="296"/>
      <c r="BC776" s="296"/>
      <c r="BD776" s="296"/>
      <c r="BE776" s="296"/>
      <c r="BF776" s="296"/>
      <c r="BG776" s="296"/>
      <c r="BH776" s="296"/>
      <c r="BI776" s="296"/>
      <c r="BJ776" s="296"/>
      <c r="BK776" s="296"/>
      <c r="BL776" s="296"/>
      <c r="BM776" s="296"/>
      <c r="BN776" s="296"/>
      <c r="BO776" s="296"/>
      <c r="BP776" s="296"/>
      <c r="BQ776" s="296"/>
      <c r="BR776" s="296"/>
      <c r="BS776" s="296"/>
      <c r="BT776" s="296"/>
      <c r="BU776" s="296"/>
      <c r="BV776" s="296"/>
      <c r="BW776" s="296"/>
      <c r="BX776" s="296"/>
      <c r="BY776" s="296"/>
      <c r="BZ776" s="9"/>
      <c r="CA776" s="9"/>
      <c r="CB776" s="9"/>
      <c r="CC776" s="9"/>
      <c r="CD776" s="9"/>
    </row>
    <row r="777" spans="1:82">
      <c r="A777" s="36" t="s">
        <v>1077</v>
      </c>
      <c r="B777" s="9"/>
      <c r="C777" s="9"/>
      <c r="D777" s="9"/>
      <c r="E777" s="1089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  <c r="AA777" s="91"/>
      <c r="AB777" s="91"/>
      <c r="AC777" s="91"/>
      <c r="AD777" s="91"/>
      <c r="AE777" s="91"/>
      <c r="AF777" s="91"/>
      <c r="AG777" s="91"/>
      <c r="AH777" s="91"/>
      <c r="AI777" s="91"/>
      <c r="AJ777" s="91"/>
      <c r="AK777" s="91"/>
      <c r="AL777" s="91"/>
      <c r="AM777" s="91"/>
      <c r="AN777" s="91"/>
      <c r="AO777" s="91"/>
      <c r="AP777" s="91"/>
      <c r="AQ777" s="91"/>
      <c r="AR777" s="91"/>
      <c r="AS777" s="91"/>
      <c r="AT777" s="91"/>
      <c r="AU777" s="91"/>
      <c r="AV777" s="296"/>
      <c r="AW777" s="296"/>
      <c r="AX777" s="296"/>
      <c r="AY777" s="296"/>
      <c r="AZ777" s="296"/>
      <c r="BA777" s="296"/>
      <c r="BB777" s="296"/>
      <c r="BC777" s="296"/>
      <c r="BD777" s="296"/>
      <c r="BE777" s="296"/>
      <c r="BF777" s="296"/>
      <c r="BG777" s="296"/>
      <c r="BH777" s="296"/>
      <c r="BI777" s="296"/>
      <c r="BJ777" s="296"/>
      <c r="BK777" s="296"/>
      <c r="BL777" s="296"/>
      <c r="BM777" s="296"/>
      <c r="BN777" s="296"/>
      <c r="BO777" s="296"/>
      <c r="BP777" s="296"/>
      <c r="BQ777" s="296"/>
      <c r="BR777" s="296"/>
      <c r="BS777" s="296"/>
      <c r="BT777" s="296"/>
      <c r="BU777" s="296"/>
      <c r="BV777" s="296"/>
      <c r="BW777" s="296"/>
      <c r="BX777" s="296"/>
      <c r="BY777" s="296"/>
      <c r="BZ777" s="9"/>
      <c r="CA777" s="9"/>
      <c r="CB777" s="9"/>
      <c r="CC777" s="9"/>
      <c r="CD777" s="9"/>
    </row>
    <row r="778" spans="1:82">
      <c r="A778" s="36" t="s">
        <v>246</v>
      </c>
      <c r="B778" s="9"/>
      <c r="C778" s="9"/>
      <c r="D778" s="9"/>
      <c r="E778" s="1089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  <c r="AA778" s="91"/>
      <c r="AB778" s="91"/>
      <c r="AC778" s="91"/>
      <c r="AD778" s="91"/>
      <c r="AE778" s="91"/>
      <c r="AF778" s="91"/>
      <c r="AG778" s="91"/>
      <c r="AH778" s="91"/>
      <c r="AI778" s="91"/>
      <c r="AJ778" s="91"/>
      <c r="AK778" s="91"/>
      <c r="AL778" s="91"/>
      <c r="AM778" s="91"/>
      <c r="AN778" s="91"/>
      <c r="AO778" s="91"/>
      <c r="AP778" s="91"/>
      <c r="AQ778" s="91"/>
      <c r="AR778" s="91"/>
      <c r="AS778" s="91"/>
      <c r="AT778" s="91"/>
      <c r="AU778" s="91"/>
      <c r="AV778" s="296"/>
      <c r="AW778" s="296"/>
      <c r="AX778" s="296"/>
      <c r="AY778" s="296"/>
      <c r="AZ778" s="296"/>
      <c r="BA778" s="296"/>
      <c r="BB778" s="296"/>
      <c r="BC778" s="296"/>
      <c r="BD778" s="296"/>
      <c r="BE778" s="296"/>
      <c r="BF778" s="296"/>
      <c r="BG778" s="296"/>
      <c r="BH778" s="296"/>
      <c r="BI778" s="296"/>
      <c r="BJ778" s="296"/>
      <c r="BK778" s="296"/>
      <c r="BL778" s="296"/>
      <c r="BM778" s="296"/>
      <c r="BN778" s="296"/>
      <c r="BO778" s="296"/>
      <c r="BP778" s="296"/>
      <c r="BQ778" s="296"/>
      <c r="BR778" s="296"/>
      <c r="BS778" s="296"/>
      <c r="BT778" s="296"/>
      <c r="BU778" s="296"/>
      <c r="BV778" s="296"/>
      <c r="BW778" s="296"/>
      <c r="BX778" s="296"/>
      <c r="BY778" s="296"/>
      <c r="BZ778" s="9"/>
      <c r="CA778" s="9"/>
      <c r="CB778" s="9"/>
      <c r="CC778" s="9"/>
      <c r="CD778" s="9"/>
    </row>
    <row r="779" spans="1:82">
      <c r="A779" s="36" t="s">
        <v>1080</v>
      </c>
      <c r="B779" s="9"/>
      <c r="C779" s="9"/>
      <c r="D779" s="9"/>
      <c r="E779" s="1089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  <c r="AA779" s="91"/>
      <c r="AB779" s="91"/>
      <c r="AC779" s="91"/>
      <c r="AD779" s="91"/>
      <c r="AE779" s="91"/>
      <c r="AF779" s="91"/>
      <c r="AG779" s="91"/>
      <c r="AH779" s="91"/>
      <c r="AI779" s="91"/>
      <c r="AJ779" s="91"/>
      <c r="AK779" s="91"/>
      <c r="AL779" s="91"/>
      <c r="AM779" s="91"/>
      <c r="AN779" s="91"/>
      <c r="AO779" s="91"/>
      <c r="AP779" s="91"/>
      <c r="AQ779" s="91"/>
      <c r="AR779" s="91"/>
      <c r="AS779" s="91"/>
      <c r="AT779" s="91"/>
      <c r="AU779" s="91"/>
      <c r="AV779" s="296"/>
      <c r="AW779" s="296"/>
      <c r="AX779" s="296"/>
      <c r="AY779" s="296"/>
      <c r="AZ779" s="296"/>
      <c r="BA779" s="296"/>
      <c r="BB779" s="296"/>
      <c r="BC779" s="296"/>
      <c r="BD779" s="296"/>
      <c r="BE779" s="296"/>
      <c r="BF779" s="296"/>
      <c r="BG779" s="296"/>
      <c r="BH779" s="296"/>
      <c r="BI779" s="296"/>
      <c r="BJ779" s="296"/>
      <c r="BK779" s="296"/>
      <c r="BL779" s="296"/>
      <c r="BM779" s="296"/>
      <c r="BN779" s="296"/>
      <c r="BO779" s="296"/>
      <c r="BP779" s="296"/>
      <c r="BQ779" s="296"/>
      <c r="BR779" s="296"/>
      <c r="BS779" s="296"/>
      <c r="BT779" s="296"/>
      <c r="BU779" s="296"/>
      <c r="BV779" s="296"/>
      <c r="BW779" s="296"/>
      <c r="BX779" s="296"/>
      <c r="BY779" s="296"/>
      <c r="BZ779" s="9"/>
      <c r="CA779" s="9"/>
      <c r="CB779" s="9"/>
      <c r="CC779" s="9"/>
      <c r="CD779" s="9"/>
    </row>
    <row r="780" spans="1:82">
      <c r="A780" s="513" t="s">
        <v>325</v>
      </c>
      <c r="B780" s="9"/>
      <c r="C780" s="9"/>
      <c r="D780" s="9"/>
      <c r="E780" s="1089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  <c r="AA780" s="91"/>
      <c r="AB780" s="91"/>
      <c r="AC780" s="91"/>
      <c r="AD780" s="91"/>
      <c r="AE780" s="91"/>
      <c r="AF780" s="91"/>
      <c r="AG780" s="91"/>
      <c r="AH780" s="91"/>
      <c r="AI780" s="91"/>
      <c r="AJ780" s="91"/>
      <c r="AK780" s="91"/>
      <c r="AL780" s="91"/>
      <c r="AM780" s="91"/>
      <c r="AN780" s="91"/>
      <c r="AO780" s="91"/>
      <c r="AP780" s="91"/>
      <c r="AQ780" s="91"/>
      <c r="AR780" s="91"/>
      <c r="AS780" s="91"/>
      <c r="AT780" s="91"/>
      <c r="AU780" s="91"/>
      <c r="AV780" s="296"/>
      <c r="AW780" s="296"/>
      <c r="AX780" s="296"/>
      <c r="AY780" s="296"/>
      <c r="AZ780" s="296"/>
      <c r="BA780" s="296"/>
      <c r="BB780" s="296"/>
      <c r="BC780" s="296"/>
      <c r="BD780" s="296"/>
      <c r="BE780" s="296"/>
      <c r="BF780" s="296"/>
      <c r="BG780" s="296"/>
      <c r="BH780" s="296"/>
      <c r="BI780" s="296"/>
      <c r="BJ780" s="296"/>
      <c r="BK780" s="296"/>
      <c r="BL780" s="296"/>
      <c r="BM780" s="296"/>
      <c r="BN780" s="296"/>
      <c r="BO780" s="296"/>
      <c r="BP780" s="296"/>
      <c r="BQ780" s="296"/>
      <c r="BR780" s="296"/>
      <c r="BS780" s="296"/>
      <c r="BT780" s="296"/>
      <c r="BU780" s="296"/>
      <c r="BV780" s="296"/>
      <c r="BW780" s="296"/>
      <c r="BX780" s="296"/>
      <c r="BY780" s="296"/>
      <c r="BZ780" s="9"/>
      <c r="CA780" s="9"/>
      <c r="CB780" s="9"/>
      <c r="CC780" s="9"/>
      <c r="CD780" s="9"/>
    </row>
    <row r="781" spans="1:82">
      <c r="A781" s="806"/>
      <c r="B781" s="1089"/>
      <c r="C781" s="1089"/>
      <c r="D781" s="1089"/>
      <c r="E781" s="1089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  <c r="AA781" s="91"/>
      <c r="AB781" s="91"/>
      <c r="AC781" s="91"/>
      <c r="AD781" s="91"/>
      <c r="AE781" s="91"/>
      <c r="AF781" s="91"/>
      <c r="AG781" s="91"/>
      <c r="AH781" s="91"/>
      <c r="AI781" s="91"/>
      <c r="AJ781" s="91"/>
      <c r="AK781" s="91"/>
      <c r="AL781" s="91"/>
      <c r="AM781" s="91"/>
      <c r="AN781" s="91"/>
      <c r="AO781" s="91"/>
      <c r="AP781" s="91"/>
      <c r="AQ781" s="91"/>
      <c r="AR781" s="91"/>
      <c r="AS781" s="91"/>
      <c r="AT781" s="91"/>
      <c r="AU781" s="91"/>
      <c r="AV781" s="296"/>
      <c r="AW781" s="296"/>
      <c r="AX781" s="296"/>
      <c r="AY781" s="296"/>
      <c r="AZ781" s="296"/>
      <c r="BA781" s="296"/>
      <c r="BB781" s="296"/>
      <c r="BC781" s="296"/>
      <c r="BD781" s="296"/>
      <c r="BE781" s="296"/>
      <c r="BF781" s="296"/>
      <c r="BG781" s="296"/>
      <c r="BH781" s="296"/>
      <c r="BI781" s="296"/>
      <c r="BJ781" s="296"/>
      <c r="BK781" s="296"/>
      <c r="BL781" s="296"/>
      <c r="BM781" s="296"/>
      <c r="BN781" s="296"/>
      <c r="BO781" s="296"/>
      <c r="BP781" s="296"/>
      <c r="BQ781" s="296"/>
      <c r="BR781" s="296"/>
      <c r="BS781" s="296"/>
      <c r="BT781" s="296"/>
      <c r="BU781" s="296"/>
      <c r="BV781" s="296"/>
      <c r="BW781" s="296"/>
      <c r="BX781" s="296"/>
      <c r="BY781" s="296"/>
      <c r="BZ781" s="9"/>
      <c r="CA781" s="9"/>
      <c r="CB781" s="9"/>
      <c r="CC781" s="9"/>
      <c r="CD781" s="9"/>
    </row>
    <row r="782" spans="1:82">
      <c r="A782" s="239" t="s">
        <v>1089</v>
      </c>
      <c r="B782" s="1085"/>
      <c r="C782" s="1085"/>
      <c r="D782" s="1085"/>
      <c r="E782" s="1085"/>
      <c r="F782" s="1085"/>
      <c r="G782" s="1085"/>
      <c r="H782" s="1085"/>
      <c r="I782" s="1085"/>
      <c r="J782" s="1085"/>
      <c r="K782" s="1085"/>
      <c r="L782" s="1085"/>
      <c r="M782" s="1085"/>
      <c r="N782" s="1085"/>
      <c r="O782" s="1085"/>
      <c r="P782" s="1085"/>
      <c r="Q782" s="1085"/>
      <c r="R782" s="1085"/>
      <c r="S782" s="1085"/>
      <c r="T782" s="1085"/>
      <c r="U782" s="1085"/>
      <c r="V782" s="1085"/>
      <c r="W782" s="1085"/>
      <c r="X782" s="1085"/>
      <c r="Y782" s="1085"/>
      <c r="Z782" s="1085"/>
      <c r="AA782" s="1085"/>
      <c r="AB782" s="1085"/>
      <c r="AC782" s="1085"/>
      <c r="AD782" s="1085"/>
      <c r="AE782" s="1085"/>
      <c r="AF782" s="1085"/>
      <c r="AG782" s="1085"/>
      <c r="AH782" s="1085"/>
      <c r="AI782" s="1085"/>
      <c r="AJ782" s="1085"/>
      <c r="AK782" s="1085"/>
      <c r="AL782" s="1085"/>
      <c r="AM782" s="1085"/>
      <c r="AN782" s="1085"/>
      <c r="AO782" s="1085"/>
      <c r="AP782" s="1085"/>
      <c r="AQ782" s="1085"/>
      <c r="AR782" s="1085"/>
      <c r="AS782" s="1085"/>
      <c r="AT782" s="1085"/>
      <c r="AU782" s="1085"/>
      <c r="AV782" s="1085"/>
      <c r="AW782" s="1085"/>
      <c r="AX782" s="1085"/>
      <c r="AY782" s="1085"/>
      <c r="AZ782" s="1085"/>
      <c r="BA782" s="1085"/>
      <c r="BB782" s="1085"/>
      <c r="BC782" s="1085"/>
      <c r="BD782" s="1085"/>
      <c r="BE782" s="1085"/>
      <c r="BF782" s="1085"/>
      <c r="BG782" s="1085"/>
      <c r="BH782" s="1085"/>
      <c r="BI782" s="1085"/>
      <c r="BJ782" s="1085"/>
      <c r="BK782" s="1085"/>
      <c r="BL782" s="1085"/>
      <c r="BM782" s="1085"/>
      <c r="BN782" s="1085"/>
      <c r="BO782" s="1085"/>
      <c r="BP782" s="1085"/>
      <c r="BQ782" s="1085"/>
      <c r="BR782" s="1085"/>
      <c r="BS782" s="1085"/>
      <c r="BT782" s="1085"/>
      <c r="BU782" s="1085"/>
      <c r="BV782" s="1085"/>
      <c r="BW782" s="1085"/>
      <c r="BX782" s="1085"/>
      <c r="BY782" s="1085"/>
      <c r="BZ782" s="1085"/>
      <c r="CA782" s="1085"/>
      <c r="CB782" s="1085"/>
      <c r="CC782" s="1085"/>
      <c r="CD782" s="1085"/>
    </row>
    <row r="783" spans="1:82">
      <c r="A783" s="9"/>
      <c r="B783" s="62" t="s">
        <v>748</v>
      </c>
      <c r="C783" s="62" t="s">
        <v>747</v>
      </c>
      <c r="D783" s="62" t="s">
        <v>731</v>
      </c>
      <c r="E783" s="62" t="s">
        <v>746</v>
      </c>
      <c r="F783" s="62" t="s">
        <v>749</v>
      </c>
      <c r="G783" s="62" t="s">
        <v>1087</v>
      </c>
      <c r="H783" s="62" t="s">
        <v>949</v>
      </c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  <c r="AA783" s="91"/>
      <c r="AB783" s="91"/>
      <c r="AC783" s="91"/>
      <c r="AD783" s="91"/>
      <c r="AE783" s="91"/>
      <c r="AF783" s="91"/>
      <c r="AG783" s="91"/>
      <c r="AH783" s="91"/>
      <c r="AI783" s="91"/>
      <c r="AJ783" s="91"/>
      <c r="AK783" s="91"/>
      <c r="AL783" s="91"/>
      <c r="AM783" s="91"/>
      <c r="AN783" s="91"/>
      <c r="AO783" s="91"/>
      <c r="AP783" s="91"/>
      <c r="AQ783" s="91"/>
      <c r="AR783" s="91"/>
      <c r="AS783" s="91"/>
      <c r="AT783" s="91"/>
      <c r="AU783" s="91"/>
      <c r="AV783" s="296"/>
      <c r="AW783" s="296"/>
      <c r="AX783" s="296"/>
      <c r="AY783" s="296"/>
      <c r="AZ783" s="296"/>
      <c r="BA783" s="296"/>
      <c r="BB783" s="296"/>
      <c r="BC783" s="296"/>
      <c r="BD783" s="296"/>
      <c r="BE783" s="296"/>
      <c r="BF783" s="296"/>
      <c r="BG783" s="296"/>
      <c r="BH783" s="296"/>
      <c r="BI783" s="296"/>
      <c r="BJ783" s="296"/>
      <c r="BK783" s="296"/>
      <c r="BL783" s="296"/>
      <c r="BM783" s="296"/>
      <c r="BN783" s="296"/>
      <c r="BO783" s="296"/>
      <c r="BP783" s="296"/>
      <c r="BQ783" s="296"/>
      <c r="BR783" s="296"/>
      <c r="BS783" s="296"/>
      <c r="BT783" s="296"/>
      <c r="BU783" s="296"/>
      <c r="BV783" s="296"/>
      <c r="BW783" s="296"/>
      <c r="BX783" s="296"/>
      <c r="BY783" s="296"/>
      <c r="BZ783" s="9"/>
      <c r="CA783" s="9"/>
      <c r="CB783" s="9"/>
      <c r="CC783" s="9"/>
      <c r="CD783" s="9"/>
    </row>
    <row r="784" spans="1:82">
      <c r="A784" s="36" t="s">
        <v>1122</v>
      </c>
      <c r="B784" s="1103">
        <v>325</v>
      </c>
      <c r="C784" s="1103">
        <v>328</v>
      </c>
      <c r="D784" s="1103">
        <v>500</v>
      </c>
      <c r="E784" s="1103">
        <v>515</v>
      </c>
      <c r="F784" s="1103">
        <v>750</v>
      </c>
      <c r="G784" s="1103">
        <v>1580</v>
      </c>
      <c r="H784" s="1103">
        <v>1980</v>
      </c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  <c r="AA784" s="91"/>
      <c r="AB784" s="91"/>
      <c r="AC784" s="91"/>
      <c r="AD784" s="91"/>
      <c r="AE784" s="91"/>
      <c r="AF784" s="91"/>
      <c r="AG784" s="91"/>
      <c r="AH784" s="91"/>
      <c r="AI784" s="91"/>
      <c r="AJ784" s="91"/>
      <c r="AK784" s="91"/>
      <c r="AL784" s="91"/>
      <c r="AM784" s="91"/>
      <c r="AN784" s="91"/>
      <c r="AO784" s="91"/>
      <c r="AP784" s="91"/>
      <c r="AQ784" s="91"/>
      <c r="AR784" s="91"/>
      <c r="AS784" s="91"/>
      <c r="AT784" s="91"/>
      <c r="AU784" s="91"/>
      <c r="AV784" s="296"/>
      <c r="AW784" s="296"/>
      <c r="AX784" s="296"/>
      <c r="AY784" s="296"/>
      <c r="AZ784" s="296"/>
      <c r="BA784" s="296"/>
      <c r="BB784" s="296"/>
      <c r="BC784" s="296"/>
      <c r="BD784" s="296"/>
      <c r="BE784" s="296"/>
      <c r="BF784" s="296"/>
      <c r="BG784" s="296"/>
      <c r="BH784" s="296"/>
      <c r="BI784" s="296"/>
      <c r="BJ784" s="296"/>
      <c r="BK784" s="296"/>
      <c r="BL784" s="296"/>
      <c r="BM784" s="296"/>
      <c r="BN784" s="296"/>
      <c r="BO784" s="296"/>
      <c r="BP784" s="296"/>
      <c r="BQ784" s="296"/>
      <c r="BR784" s="296"/>
      <c r="BS784" s="296"/>
      <c r="BT784" s="296"/>
      <c r="BU784" s="296"/>
      <c r="BV784" s="296"/>
      <c r="BW784" s="296"/>
      <c r="BX784" s="296"/>
      <c r="BY784" s="296"/>
      <c r="BZ784" s="9"/>
      <c r="CA784" s="9"/>
      <c r="CB784" s="9"/>
      <c r="CC784" s="9"/>
      <c r="CD784" s="9"/>
    </row>
    <row r="785" spans="1:97">
      <c r="A785" s="806"/>
      <c r="B785" s="1089"/>
      <c r="C785" s="1089"/>
      <c r="D785" s="1089"/>
      <c r="E785" s="1089"/>
      <c r="F785" s="91"/>
      <c r="G785" s="91"/>
      <c r="H785" s="91"/>
      <c r="I785" s="91"/>
      <c r="J785" s="91"/>
      <c r="K785" s="91"/>
      <c r="L785" s="91"/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  <c r="X785" s="91"/>
      <c r="Y785" s="91"/>
      <c r="Z785" s="91"/>
      <c r="AA785" s="91"/>
      <c r="AB785" s="91"/>
      <c r="AC785" s="91"/>
      <c r="AD785" s="91"/>
      <c r="AE785" s="91"/>
      <c r="AF785" s="91"/>
      <c r="AG785" s="91"/>
      <c r="AH785" s="91"/>
      <c r="AI785" s="91"/>
      <c r="AJ785" s="91"/>
      <c r="AK785" s="91"/>
      <c r="AL785" s="91"/>
      <c r="AM785" s="91"/>
      <c r="AN785" s="91"/>
      <c r="AO785" s="91"/>
      <c r="AP785" s="91"/>
      <c r="AQ785" s="91"/>
      <c r="AR785" s="91"/>
      <c r="AS785" s="91"/>
      <c r="AT785" s="91"/>
      <c r="AU785" s="91"/>
      <c r="AV785" s="296"/>
      <c r="AW785" s="296"/>
      <c r="AX785" s="296"/>
      <c r="AY785" s="296"/>
      <c r="AZ785" s="296"/>
      <c r="BA785" s="296"/>
      <c r="BB785" s="296"/>
      <c r="BC785" s="296"/>
      <c r="BD785" s="296"/>
      <c r="BE785" s="296"/>
      <c r="BF785" s="296"/>
      <c r="BG785" s="296"/>
      <c r="BH785" s="296"/>
      <c r="BI785" s="296"/>
      <c r="BJ785" s="296"/>
      <c r="BK785" s="296"/>
      <c r="BL785" s="296"/>
      <c r="BM785" s="296"/>
      <c r="BN785" s="296"/>
      <c r="BO785" s="296"/>
      <c r="BP785" s="296"/>
      <c r="BQ785" s="296"/>
      <c r="BR785" s="296"/>
      <c r="BS785" s="296"/>
      <c r="BT785" s="296"/>
      <c r="BU785" s="296"/>
      <c r="BV785" s="296"/>
      <c r="BW785" s="296"/>
      <c r="BX785" s="296"/>
      <c r="BY785" s="296"/>
      <c r="BZ785" s="9"/>
      <c r="CA785" s="9"/>
      <c r="CB785" s="9"/>
      <c r="CC785" s="9"/>
      <c r="CD785" s="9"/>
    </row>
    <row r="786" spans="1:97">
      <c r="A786" s="510" t="s">
        <v>526</v>
      </c>
      <c r="B786" s="595"/>
      <c r="C786" s="595"/>
      <c r="D786" s="595"/>
      <c r="E786" s="595"/>
      <c r="F786" s="595"/>
      <c r="G786" s="595"/>
      <c r="H786" s="595"/>
      <c r="I786" s="595"/>
      <c r="J786" s="595" t="str">
        <f t="shared" ref="J786:AO786" si="418">J$453</f>
        <v>1Q09</v>
      </c>
      <c r="K786" s="595" t="str">
        <f t="shared" si="418"/>
        <v>2Q09</v>
      </c>
      <c r="L786" s="595" t="str">
        <f t="shared" si="418"/>
        <v>3Q09</v>
      </c>
      <c r="M786" s="595" t="str">
        <f t="shared" si="418"/>
        <v>4Q09</v>
      </c>
      <c r="N786" s="595" t="str">
        <f t="shared" si="418"/>
        <v>1Q10</v>
      </c>
      <c r="O786" s="595" t="str">
        <f t="shared" si="418"/>
        <v>2Q10</v>
      </c>
      <c r="P786" s="595" t="str">
        <f t="shared" si="418"/>
        <v>3Q10</v>
      </c>
      <c r="Q786" s="595" t="str">
        <f t="shared" si="418"/>
        <v>4Q10</v>
      </c>
      <c r="R786" s="595" t="str">
        <f t="shared" si="418"/>
        <v>1Q11</v>
      </c>
      <c r="S786" s="595" t="str">
        <f t="shared" si="418"/>
        <v>2Q11</v>
      </c>
      <c r="T786" s="595" t="str">
        <f t="shared" si="418"/>
        <v>3Q11</v>
      </c>
      <c r="U786" s="595" t="str">
        <f t="shared" si="418"/>
        <v>4Q11</v>
      </c>
      <c r="V786" s="595" t="str">
        <f t="shared" si="418"/>
        <v>1Q12</v>
      </c>
      <c r="W786" s="595" t="str">
        <f t="shared" si="418"/>
        <v>2Q12</v>
      </c>
      <c r="X786" s="595" t="str">
        <f t="shared" si="418"/>
        <v>3Q12</v>
      </c>
      <c r="Y786" s="595" t="str">
        <f t="shared" si="418"/>
        <v>4Q12</v>
      </c>
      <c r="Z786" s="595" t="str">
        <f t="shared" si="418"/>
        <v>1Q13</v>
      </c>
      <c r="AA786" s="595" t="str">
        <f t="shared" si="418"/>
        <v>2Q13</v>
      </c>
      <c r="AB786" s="595" t="str">
        <f t="shared" si="418"/>
        <v>3Q13</v>
      </c>
      <c r="AC786" s="595" t="str">
        <f t="shared" si="418"/>
        <v>4Q13</v>
      </c>
      <c r="AD786" s="595" t="str">
        <f t="shared" si="418"/>
        <v>1Q14</v>
      </c>
      <c r="AE786" s="595" t="str">
        <f t="shared" si="418"/>
        <v>2Q14</v>
      </c>
      <c r="AF786" s="595" t="str">
        <f t="shared" si="418"/>
        <v>3Q14</v>
      </c>
      <c r="AG786" s="595" t="str">
        <f t="shared" si="418"/>
        <v>4Q14</v>
      </c>
      <c r="AH786" s="595" t="str">
        <f t="shared" si="418"/>
        <v>1Q15</v>
      </c>
      <c r="AI786" s="595" t="str">
        <f t="shared" si="418"/>
        <v>2Q15</v>
      </c>
      <c r="AJ786" s="595" t="str">
        <f t="shared" si="418"/>
        <v>3Q15</v>
      </c>
      <c r="AK786" s="595" t="str">
        <f t="shared" si="418"/>
        <v>4Q15</v>
      </c>
      <c r="AL786" s="595" t="str">
        <f t="shared" si="418"/>
        <v>1Q16</v>
      </c>
      <c r="AM786" s="595" t="str">
        <f t="shared" si="418"/>
        <v>2Q16</v>
      </c>
      <c r="AN786" s="595" t="str">
        <f t="shared" si="418"/>
        <v>3Q16</v>
      </c>
      <c r="AO786" s="595" t="str">
        <f t="shared" si="418"/>
        <v>4Q16</v>
      </c>
      <c r="AP786" s="595" t="str">
        <f t="shared" ref="AP786:CS786" si="419">AP$453</f>
        <v>1Q17</v>
      </c>
      <c r="AQ786" s="595" t="str">
        <f t="shared" si="419"/>
        <v>2Q17</v>
      </c>
      <c r="AR786" s="595" t="str">
        <f t="shared" si="419"/>
        <v>3Q17</v>
      </c>
      <c r="AS786" s="595" t="str">
        <f t="shared" si="419"/>
        <v>4Q17</v>
      </c>
      <c r="AT786" s="595" t="str">
        <f t="shared" si="419"/>
        <v>1Q18</v>
      </c>
      <c r="AU786" s="595" t="str">
        <f t="shared" si="419"/>
        <v>2Q18</v>
      </c>
      <c r="AV786" s="264" t="str">
        <f t="shared" si="419"/>
        <v>3Q18</v>
      </c>
      <c r="AW786" s="595" t="str">
        <f t="shared" si="419"/>
        <v>4Q18</v>
      </c>
      <c r="AX786" s="595" t="str">
        <f t="shared" si="419"/>
        <v>1Q19</v>
      </c>
      <c r="AY786" s="595" t="str">
        <f t="shared" si="419"/>
        <v>2Q19</v>
      </c>
      <c r="AZ786" s="595" t="str">
        <f t="shared" si="419"/>
        <v>3Q19</v>
      </c>
      <c r="BA786" s="595" t="str">
        <f t="shared" si="419"/>
        <v>4Q19</v>
      </c>
      <c r="BB786" s="595" t="str">
        <f t="shared" si="419"/>
        <v>1Q20</v>
      </c>
      <c r="BC786" s="595" t="str">
        <f t="shared" si="419"/>
        <v>2Q20</v>
      </c>
      <c r="BD786" s="595" t="str">
        <f t="shared" si="419"/>
        <v>3Q20</v>
      </c>
      <c r="BE786" s="595" t="str">
        <f t="shared" si="419"/>
        <v>4Q20</v>
      </c>
      <c r="BF786" s="595" t="str">
        <f t="shared" si="419"/>
        <v>1Q21</v>
      </c>
      <c r="BG786" s="595" t="str">
        <f t="shared" si="419"/>
        <v>2Q21</v>
      </c>
      <c r="BH786" s="595" t="str">
        <f t="shared" si="419"/>
        <v>3Q21</v>
      </c>
      <c r="BI786" s="595" t="str">
        <f t="shared" si="419"/>
        <v>4Q21</v>
      </c>
      <c r="BJ786" s="595" t="str">
        <f t="shared" si="419"/>
        <v>1Q22</v>
      </c>
      <c r="BK786" s="595" t="str">
        <f t="shared" si="419"/>
        <v>2Q22</v>
      </c>
      <c r="BL786" s="595" t="str">
        <f t="shared" si="419"/>
        <v>3Q22</v>
      </c>
      <c r="BM786" s="595" t="str">
        <f t="shared" si="419"/>
        <v>4Q22</v>
      </c>
      <c r="BN786" s="596" t="str">
        <f t="shared" si="419"/>
        <v>1Q23</v>
      </c>
      <c r="BO786" s="596" t="str">
        <f t="shared" si="419"/>
        <v>2Q23</v>
      </c>
      <c r="BP786" s="596" t="str">
        <f t="shared" si="419"/>
        <v>3Q23</v>
      </c>
      <c r="BQ786" s="596" t="str">
        <f t="shared" si="419"/>
        <v>4Q23</v>
      </c>
      <c r="BR786" s="596" t="str">
        <f t="shared" si="419"/>
        <v>1Q24</v>
      </c>
      <c r="BS786" s="596" t="str">
        <f t="shared" si="419"/>
        <v>2Q24e</v>
      </c>
      <c r="BT786" s="596" t="str">
        <f t="shared" si="419"/>
        <v>3Q24e</v>
      </c>
      <c r="BU786" s="596" t="str">
        <f t="shared" si="419"/>
        <v>4Q24e</v>
      </c>
      <c r="BV786" s="596" t="str">
        <f t="shared" si="419"/>
        <v>1Q25e</v>
      </c>
      <c r="BW786" s="596" t="str">
        <f t="shared" si="419"/>
        <v>2Q25e</v>
      </c>
      <c r="BX786" s="596" t="str">
        <f t="shared" si="419"/>
        <v>3Q25e</v>
      </c>
      <c r="BY786" s="596" t="str">
        <f t="shared" si="419"/>
        <v>4Q25e</v>
      </c>
      <c r="BZ786" s="596" t="str">
        <f t="shared" si="419"/>
        <v>1Q26e</v>
      </c>
      <c r="CA786" s="596" t="str">
        <f t="shared" si="419"/>
        <v>2Q26e</v>
      </c>
      <c r="CB786" s="596" t="str">
        <f t="shared" si="419"/>
        <v>3Q26e</v>
      </c>
      <c r="CC786" s="596" t="str">
        <f t="shared" si="419"/>
        <v>4Q26e</v>
      </c>
      <c r="CD786" s="596" t="str">
        <f t="shared" si="419"/>
        <v>1Q27e</v>
      </c>
      <c r="CE786" s="596" t="str">
        <f t="shared" si="419"/>
        <v>2Q27e</v>
      </c>
      <c r="CF786" s="596" t="str">
        <f t="shared" si="419"/>
        <v>3Q27e</v>
      </c>
      <c r="CG786" s="596" t="str">
        <f t="shared" si="419"/>
        <v>4Q27e</v>
      </c>
      <c r="CH786" s="596" t="str">
        <f t="shared" si="419"/>
        <v>1Q28e</v>
      </c>
      <c r="CI786" s="596" t="str">
        <f t="shared" si="419"/>
        <v>2Q28e</v>
      </c>
      <c r="CJ786" s="596" t="str">
        <f t="shared" si="419"/>
        <v>3Q28e</v>
      </c>
      <c r="CK786" s="596" t="str">
        <f t="shared" si="419"/>
        <v>4Q28e</v>
      </c>
      <c r="CL786" s="596" t="str">
        <f t="shared" si="419"/>
        <v>1Q29e</v>
      </c>
      <c r="CM786" s="596" t="str">
        <f t="shared" si="419"/>
        <v>2Q29e</v>
      </c>
      <c r="CN786" s="596" t="str">
        <f t="shared" si="419"/>
        <v>3Q29e</v>
      </c>
      <c r="CO786" s="596" t="str">
        <f t="shared" si="419"/>
        <v>4Q29e</v>
      </c>
      <c r="CP786" s="596" t="str">
        <f t="shared" si="419"/>
        <v>1Q30e</v>
      </c>
      <c r="CQ786" s="596" t="str">
        <f t="shared" si="419"/>
        <v>2Q30e</v>
      </c>
      <c r="CR786" s="596" t="str">
        <f t="shared" si="419"/>
        <v>3Q30e</v>
      </c>
      <c r="CS786" s="596" t="str">
        <f t="shared" si="419"/>
        <v>4Q30e</v>
      </c>
    </row>
    <row r="787" spans="1:97">
      <c r="A787" s="36" t="s">
        <v>519</v>
      </c>
      <c r="B787" s="440"/>
      <c r="C787" s="440"/>
      <c r="D787" s="440"/>
      <c r="E787" s="440"/>
      <c r="F787" s="440"/>
      <c r="G787" s="440"/>
      <c r="H787" s="440"/>
      <c r="I787" s="440"/>
      <c r="J787" s="440">
        <v>1</v>
      </c>
      <c r="K787" s="440">
        <v>2</v>
      </c>
      <c r="L787" s="440">
        <v>3</v>
      </c>
      <c r="M787" s="440">
        <v>4</v>
      </c>
      <c r="N787" s="440">
        <v>5</v>
      </c>
      <c r="O787" s="440">
        <v>6</v>
      </c>
      <c r="P787" s="440">
        <v>7</v>
      </c>
      <c r="Q787" s="440">
        <v>8</v>
      </c>
      <c r="R787" s="440">
        <v>9</v>
      </c>
      <c r="S787" s="440">
        <v>10</v>
      </c>
      <c r="T787" s="440">
        <v>11</v>
      </c>
      <c r="U787" s="440">
        <v>12</v>
      </c>
      <c r="V787" s="440">
        <v>13</v>
      </c>
      <c r="W787" s="440">
        <v>14</v>
      </c>
      <c r="X787" s="440">
        <v>15</v>
      </c>
      <c r="Y787" s="440">
        <v>16</v>
      </c>
      <c r="Z787" s="440">
        <v>17</v>
      </c>
      <c r="AA787" s="440">
        <v>18</v>
      </c>
      <c r="AB787" s="440">
        <v>19</v>
      </c>
      <c r="AC787" s="440">
        <v>20</v>
      </c>
      <c r="AD787" s="440">
        <v>21</v>
      </c>
      <c r="AE787" s="440">
        <v>22</v>
      </c>
      <c r="AF787" s="440">
        <v>23</v>
      </c>
      <c r="AG787" s="440">
        <v>24</v>
      </c>
      <c r="AH787" s="440">
        <v>25</v>
      </c>
      <c r="AI787" s="440">
        <v>26</v>
      </c>
      <c r="AJ787" s="440">
        <v>27</v>
      </c>
      <c r="AK787" s="440">
        <v>28</v>
      </c>
      <c r="AL787" s="440">
        <v>29</v>
      </c>
      <c r="AM787" s="440">
        <v>30</v>
      </c>
      <c r="AN787" s="440">
        <v>31</v>
      </c>
      <c r="AO787" s="440">
        <v>32</v>
      </c>
      <c r="AP787" s="440">
        <v>33</v>
      </c>
      <c r="AQ787" s="440">
        <v>34</v>
      </c>
      <c r="AR787" s="440">
        <v>35</v>
      </c>
      <c r="AS787" s="440">
        <v>36</v>
      </c>
      <c r="AT787" s="440">
        <v>37</v>
      </c>
      <c r="AU787" s="440">
        <v>38</v>
      </c>
      <c r="AV787" s="463">
        <v>39</v>
      </c>
      <c r="AW787" s="463">
        <v>40</v>
      </c>
      <c r="AX787" s="463">
        <v>41</v>
      </c>
      <c r="AY787" s="463">
        <v>42</v>
      </c>
      <c r="AZ787" s="463">
        <v>43</v>
      </c>
      <c r="BA787" s="463">
        <v>44</v>
      </c>
      <c r="BB787" s="463">
        <v>45</v>
      </c>
      <c r="BC787" s="463">
        <v>46</v>
      </c>
      <c r="BD787" s="463">
        <v>47</v>
      </c>
      <c r="BE787" s="463">
        <v>48</v>
      </c>
      <c r="BF787" s="463">
        <v>49</v>
      </c>
      <c r="BG787" s="463">
        <v>50</v>
      </c>
      <c r="BH787" s="463">
        <v>51</v>
      </c>
      <c r="BI787" s="463">
        <v>52</v>
      </c>
      <c r="BJ787" s="463">
        <v>53</v>
      </c>
      <c r="BK787" s="463">
        <v>54</v>
      </c>
      <c r="BL787" s="463">
        <v>55</v>
      </c>
      <c r="BM787" s="463">
        <v>56</v>
      </c>
      <c r="BN787" s="463">
        <v>57</v>
      </c>
      <c r="BO787" s="463">
        <v>58</v>
      </c>
      <c r="BP787" s="463">
        <v>58</v>
      </c>
      <c r="BQ787" s="463">
        <v>60</v>
      </c>
      <c r="BR787" s="463">
        <v>61</v>
      </c>
      <c r="BS787" s="463">
        <v>62</v>
      </c>
      <c r="BT787" s="463">
        <v>63</v>
      </c>
      <c r="BU787" s="463">
        <v>64</v>
      </c>
      <c r="BV787" s="463">
        <v>65</v>
      </c>
      <c r="BW787" s="463">
        <v>66</v>
      </c>
      <c r="BX787" s="463">
        <v>67</v>
      </c>
      <c r="BY787" s="463">
        <v>68</v>
      </c>
      <c r="BZ787" s="463">
        <v>69</v>
      </c>
      <c r="CA787" s="463">
        <v>70</v>
      </c>
      <c r="CB787" s="463">
        <v>71</v>
      </c>
      <c r="CC787" s="463">
        <v>72</v>
      </c>
      <c r="CD787" s="463">
        <v>73</v>
      </c>
      <c r="CE787" s="463">
        <v>74</v>
      </c>
      <c r="CF787" s="463">
        <v>75</v>
      </c>
      <c r="CG787" s="463">
        <v>76</v>
      </c>
      <c r="CH787" s="463">
        <v>77</v>
      </c>
      <c r="CI787" s="463">
        <v>78</v>
      </c>
      <c r="CJ787" s="463">
        <v>79</v>
      </c>
      <c r="CK787" s="463">
        <v>80</v>
      </c>
      <c r="CL787" s="463">
        <v>81</v>
      </c>
      <c r="CM787" s="463">
        <v>82</v>
      </c>
      <c r="CN787" s="463">
        <v>83</v>
      </c>
      <c r="CO787" s="463">
        <v>84</v>
      </c>
      <c r="CP787" s="463">
        <v>85</v>
      </c>
      <c r="CQ787" s="463">
        <v>86</v>
      </c>
      <c r="CR787" s="463">
        <v>87</v>
      </c>
      <c r="CS787" s="463">
        <v>88</v>
      </c>
    </row>
    <row r="788" spans="1:97">
      <c r="A788" s="36" t="s">
        <v>481</v>
      </c>
      <c r="B788" s="440"/>
      <c r="C788" s="440"/>
      <c r="D788" s="440"/>
      <c r="E788" s="440"/>
      <c r="F788" s="440"/>
      <c r="G788" s="440"/>
      <c r="H788" s="440"/>
      <c r="I788" s="440"/>
      <c r="J788" s="440">
        <v>0</v>
      </c>
      <c r="K788" s="440">
        <v>0</v>
      </c>
      <c r="L788" s="440">
        <v>0</v>
      </c>
      <c r="M788" s="440">
        <v>0</v>
      </c>
      <c r="N788" s="440">
        <v>0</v>
      </c>
      <c r="O788" s="440">
        <v>0</v>
      </c>
      <c r="P788" s="440">
        <v>0</v>
      </c>
      <c r="Q788" s="440">
        <v>0</v>
      </c>
      <c r="R788" s="440">
        <v>0</v>
      </c>
      <c r="S788" s="440">
        <v>0</v>
      </c>
      <c r="T788" s="440">
        <v>0</v>
      </c>
      <c r="U788" s="440">
        <v>0</v>
      </c>
      <c r="V788" s="440">
        <v>0</v>
      </c>
      <c r="W788" s="440">
        <v>0</v>
      </c>
      <c r="X788" s="440">
        <v>0</v>
      </c>
      <c r="Y788" s="440">
        <v>0</v>
      </c>
      <c r="Z788" s="440">
        <v>0</v>
      </c>
      <c r="AA788" s="440">
        <v>0</v>
      </c>
      <c r="AB788" s="440">
        <v>0</v>
      </c>
      <c r="AC788" s="440">
        <v>0</v>
      </c>
      <c r="AD788" s="440">
        <v>0</v>
      </c>
      <c r="AE788" s="440">
        <v>0</v>
      </c>
      <c r="AF788" s="440">
        <v>0</v>
      </c>
      <c r="AG788" s="440">
        <v>0</v>
      </c>
      <c r="AH788" s="440">
        <v>0</v>
      </c>
      <c r="AI788" s="440">
        <v>0</v>
      </c>
      <c r="AJ788" s="440">
        <v>0</v>
      </c>
      <c r="AK788" s="440">
        <v>0</v>
      </c>
      <c r="AL788" s="440">
        <v>0</v>
      </c>
      <c r="AM788" s="440">
        <v>0</v>
      </c>
      <c r="AN788" s="440">
        <v>0</v>
      </c>
      <c r="AO788" s="440">
        <v>0</v>
      </c>
      <c r="AP788" s="440">
        <v>0</v>
      </c>
      <c r="AQ788" s="440">
        <v>0</v>
      </c>
      <c r="AR788" s="440">
        <v>0</v>
      </c>
      <c r="AS788" s="440">
        <v>0</v>
      </c>
      <c r="AT788" s="440">
        <v>0</v>
      </c>
      <c r="AU788" s="440">
        <v>0</v>
      </c>
      <c r="AV788" s="463">
        <v>0</v>
      </c>
      <c r="AW788" s="463">
        <v>0</v>
      </c>
      <c r="AX788" s="463">
        <v>0</v>
      </c>
      <c r="AY788" s="463">
        <v>0</v>
      </c>
      <c r="AZ788" s="463">
        <v>0</v>
      </c>
      <c r="BA788" s="463">
        <v>0</v>
      </c>
      <c r="BB788" s="463">
        <v>0</v>
      </c>
      <c r="BC788" s="463">
        <v>0</v>
      </c>
      <c r="BD788" s="463">
        <v>0</v>
      </c>
      <c r="BE788" s="463">
        <v>0</v>
      </c>
      <c r="BF788" s="463">
        <v>0</v>
      </c>
      <c r="BG788" s="463">
        <v>0</v>
      </c>
      <c r="BH788" s="463">
        <v>0</v>
      </c>
      <c r="BI788" s="463">
        <v>0</v>
      </c>
      <c r="BJ788" s="463">
        <v>0</v>
      </c>
      <c r="BK788" s="463">
        <v>0</v>
      </c>
      <c r="BL788" s="463">
        <v>0</v>
      </c>
      <c r="BM788" s="463">
        <v>0</v>
      </c>
      <c r="BN788" s="463">
        <v>0</v>
      </c>
      <c r="BO788" s="463">
        <v>0</v>
      </c>
      <c r="BP788" s="463">
        <v>0</v>
      </c>
      <c r="BQ788" s="463">
        <v>0</v>
      </c>
      <c r="BR788" s="463">
        <v>0</v>
      </c>
      <c r="BS788" s="463">
        <v>0</v>
      </c>
      <c r="BT788" s="463">
        <v>0</v>
      </c>
      <c r="BU788" s="463">
        <v>0</v>
      </c>
      <c r="BV788" s="463">
        <v>0</v>
      </c>
      <c r="BW788" s="463">
        <v>0</v>
      </c>
      <c r="BX788" s="463">
        <v>0</v>
      </c>
      <c r="BY788" s="463">
        <v>0</v>
      </c>
      <c r="BZ788" s="463">
        <v>0</v>
      </c>
      <c r="CA788" s="463">
        <v>0</v>
      </c>
      <c r="CB788" s="463">
        <v>0</v>
      </c>
      <c r="CC788" s="463">
        <v>0</v>
      </c>
      <c r="CD788" s="463">
        <v>0</v>
      </c>
      <c r="CE788" s="463">
        <v>0</v>
      </c>
      <c r="CF788" s="463">
        <v>0</v>
      </c>
      <c r="CG788" s="463">
        <v>0</v>
      </c>
      <c r="CH788" s="463">
        <v>0</v>
      </c>
      <c r="CI788" s="463">
        <v>0</v>
      </c>
      <c r="CJ788" s="463">
        <v>0</v>
      </c>
      <c r="CK788" s="463">
        <v>0</v>
      </c>
      <c r="CL788" s="463">
        <v>0</v>
      </c>
      <c r="CM788" s="463">
        <v>0</v>
      </c>
      <c r="CN788" s="463">
        <v>0</v>
      </c>
      <c r="CO788" s="463">
        <v>0</v>
      </c>
      <c r="CP788" s="463">
        <v>0</v>
      </c>
      <c r="CQ788" s="463">
        <v>0</v>
      </c>
      <c r="CR788" s="463">
        <v>0</v>
      </c>
      <c r="CS788" s="463">
        <v>0</v>
      </c>
    </row>
    <row r="789" spans="1:97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  <c r="CA789" s="9"/>
      <c r="CB789" s="9"/>
      <c r="CC789" s="9"/>
      <c r="CD789" s="9"/>
    </row>
    <row r="790" spans="1:97">
      <c r="A790" s="242" t="s">
        <v>145</v>
      </c>
      <c r="B790" s="469"/>
      <c r="C790" s="469"/>
      <c r="D790" s="469"/>
      <c r="E790" s="469"/>
      <c r="F790" s="469"/>
      <c r="G790" s="469"/>
      <c r="H790" s="469"/>
      <c r="I790" s="469"/>
      <c r="J790" s="469"/>
      <c r="K790" s="468"/>
      <c r="L790" s="2112" t="s">
        <v>1627</v>
      </c>
      <c r="M790" s="2112"/>
      <c r="N790" s="2112" t="s">
        <v>1627</v>
      </c>
      <c r="O790" s="2112"/>
      <c r="P790" s="2112" t="s">
        <v>1627</v>
      </c>
      <c r="Q790" s="2112"/>
      <c r="R790" s="2112" t="s">
        <v>1627</v>
      </c>
      <c r="S790" s="2112"/>
      <c r="T790" s="2112" t="s">
        <v>1627</v>
      </c>
      <c r="U790" s="2112"/>
      <c r="V790" s="2112" t="s">
        <v>1627</v>
      </c>
      <c r="W790" s="2112"/>
      <c r="X790" s="2112" t="s">
        <v>1154</v>
      </c>
      <c r="Y790" s="2112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  <c r="CA790" s="9"/>
      <c r="CB790" s="9"/>
      <c r="CC790" s="9"/>
      <c r="CD790" s="9"/>
    </row>
    <row r="791" spans="1:97">
      <c r="A791" s="36" t="s">
        <v>146</v>
      </c>
      <c r="B791" s="9" t="s">
        <v>149</v>
      </c>
      <c r="C791" s="9" t="str">
        <f>LEFT(Index!$H$39,2)&amp;MID(Index!$H$39,3,2)-E791</f>
        <v>3Q22</v>
      </c>
      <c r="D791" s="9"/>
      <c r="E791" s="9">
        <v>2</v>
      </c>
      <c r="F791" s="9" t="e" cm="1">
        <f t="array" ref="F791">-Years</f>
        <v>#NAME?</v>
      </c>
      <c r="G791" s="9"/>
      <c r="H791" s="9"/>
      <c r="I791" s="9"/>
      <c r="J791" s="9" t="s">
        <v>149</v>
      </c>
      <c r="K791" s="9"/>
      <c r="L791" s="699">
        <f t="shared" ref="L791:Y792" si="420">L792-4</f>
        <v>55</v>
      </c>
      <c r="M791" s="699">
        <f t="shared" si="420"/>
        <v>55</v>
      </c>
      <c r="N791" s="699">
        <f t="shared" si="420"/>
        <v>51</v>
      </c>
      <c r="O791" s="699">
        <f t="shared" si="420"/>
        <v>51</v>
      </c>
      <c r="P791" s="699">
        <f t="shared" si="420"/>
        <v>43</v>
      </c>
      <c r="Q791" s="699">
        <f t="shared" si="420"/>
        <v>43</v>
      </c>
      <c r="R791" s="699">
        <f t="shared" si="420"/>
        <v>37</v>
      </c>
      <c r="S791" s="699">
        <f t="shared" si="420"/>
        <v>37</v>
      </c>
      <c r="T791" s="699">
        <f t="shared" si="420"/>
        <v>32</v>
      </c>
      <c r="U791" s="699">
        <f t="shared" si="420"/>
        <v>32</v>
      </c>
      <c r="V791" s="699">
        <f t="shared" si="420"/>
        <v>32</v>
      </c>
      <c r="W791" s="699">
        <f t="shared" si="420"/>
        <v>32</v>
      </c>
      <c r="X791" s="699">
        <f t="shared" si="420"/>
        <v>22</v>
      </c>
      <c r="Y791" s="699">
        <f t="shared" si="420"/>
        <v>17</v>
      </c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  <c r="CA791" s="9"/>
      <c r="CB791" s="9"/>
      <c r="CC791" s="9"/>
      <c r="CD791" s="9"/>
    </row>
    <row r="792" spans="1:97">
      <c r="A792" s="36" t="s">
        <v>147</v>
      </c>
      <c r="B792" s="9" t="s">
        <v>150</v>
      </c>
      <c r="C792" s="9"/>
      <c r="D792" s="9"/>
      <c r="E792" s="9"/>
      <c r="F792" s="9"/>
      <c r="G792" s="9"/>
      <c r="H792" s="9"/>
      <c r="I792" s="9"/>
      <c r="J792" s="9" t="s">
        <v>150</v>
      </c>
      <c r="K792" s="9"/>
      <c r="L792" s="699">
        <f t="shared" si="420"/>
        <v>59</v>
      </c>
      <c r="M792" s="699">
        <f t="shared" si="420"/>
        <v>59</v>
      </c>
      <c r="N792" s="699">
        <f t="shared" si="420"/>
        <v>55</v>
      </c>
      <c r="O792" s="699">
        <f t="shared" si="420"/>
        <v>55</v>
      </c>
      <c r="P792" s="699">
        <f t="shared" si="420"/>
        <v>47</v>
      </c>
      <c r="Q792" s="699">
        <f t="shared" si="420"/>
        <v>47</v>
      </c>
      <c r="R792" s="699">
        <f t="shared" si="420"/>
        <v>41</v>
      </c>
      <c r="S792" s="699">
        <f t="shared" si="420"/>
        <v>41</v>
      </c>
      <c r="T792" s="699">
        <f t="shared" si="420"/>
        <v>36</v>
      </c>
      <c r="U792" s="699">
        <f t="shared" si="420"/>
        <v>36</v>
      </c>
      <c r="V792" s="699">
        <f t="shared" si="420"/>
        <v>36</v>
      </c>
      <c r="W792" s="699">
        <f t="shared" si="420"/>
        <v>36</v>
      </c>
      <c r="X792" s="699">
        <f t="shared" si="420"/>
        <v>26</v>
      </c>
      <c r="Y792" s="699">
        <f t="shared" si="420"/>
        <v>21</v>
      </c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</row>
    <row r="793" spans="1:97">
      <c r="A793" s="36" t="s">
        <v>148</v>
      </c>
      <c r="B793" s="9" t="s">
        <v>151</v>
      </c>
      <c r="C793" s="9"/>
      <c r="D793" s="9"/>
      <c r="E793" s="9"/>
      <c r="F793" s="9"/>
      <c r="G793" s="9"/>
      <c r="H793" s="9"/>
      <c r="I793" s="9"/>
      <c r="J793" s="9" t="s">
        <v>151</v>
      </c>
      <c r="K793" s="9"/>
      <c r="L793" s="266">
        <v>63</v>
      </c>
      <c r="M793" s="265">
        <f>L793</f>
        <v>63</v>
      </c>
      <c r="N793" s="699">
        <f>L793-4</f>
        <v>59</v>
      </c>
      <c r="O793" s="699">
        <f>N793</f>
        <v>59</v>
      </c>
      <c r="P793" s="699">
        <f>N793-8</f>
        <v>51</v>
      </c>
      <c r="Q793" s="699">
        <f>P793</f>
        <v>51</v>
      </c>
      <c r="R793" s="699">
        <f>L793-18</f>
        <v>45</v>
      </c>
      <c r="S793" s="699">
        <f>+R793</f>
        <v>45</v>
      </c>
      <c r="T793" s="699">
        <f>R793-5</f>
        <v>40</v>
      </c>
      <c r="U793" s="699">
        <f>T793</f>
        <v>40</v>
      </c>
      <c r="V793" s="699">
        <f>P793-11</f>
        <v>40</v>
      </c>
      <c r="W793" s="699">
        <f>V793</f>
        <v>40</v>
      </c>
      <c r="X793" s="699">
        <v>30</v>
      </c>
      <c r="Y793" s="699">
        <v>25</v>
      </c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  <c r="CA793" s="9"/>
      <c r="CB793" s="9"/>
      <c r="CC793" s="9"/>
      <c r="CD793" s="9"/>
    </row>
    <row r="794" spans="1:97">
      <c r="A794" s="36" t="s">
        <v>521</v>
      </c>
      <c r="B794" s="9" t="s">
        <v>520</v>
      </c>
      <c r="C794" s="9"/>
      <c r="D794" s="9"/>
      <c r="E794" s="9"/>
      <c r="F794" s="9"/>
      <c r="G794" s="9"/>
      <c r="H794" s="9"/>
      <c r="I794" s="9"/>
      <c r="J794" s="9" t="s">
        <v>520</v>
      </c>
      <c r="K794" s="9"/>
      <c r="L794" s="267">
        <v>0</v>
      </c>
      <c r="M794" s="268">
        <v>10000</v>
      </c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</row>
    <row r="795" spans="1:97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  <c r="CA795" s="9"/>
      <c r="CB795" s="9"/>
      <c r="CC795" s="9"/>
      <c r="CD795" s="9"/>
    </row>
    <row r="796" spans="1:97">
      <c r="A796" s="242" t="s">
        <v>854</v>
      </c>
      <c r="B796" s="264"/>
      <c r="C796" s="264"/>
      <c r="D796" s="264"/>
      <c r="E796" s="264"/>
      <c r="F796" s="264"/>
      <c r="G796" s="264"/>
      <c r="H796" s="264"/>
      <c r="I796" s="264"/>
      <c r="J796" s="264">
        <f t="shared" ref="J796:AE796" si="421">J6</f>
        <v>2009</v>
      </c>
      <c r="K796" s="264">
        <f t="shared" si="421"/>
        <v>2010</v>
      </c>
      <c r="L796" s="264">
        <f t="shared" si="421"/>
        <v>2011</v>
      </c>
      <c r="M796" s="264">
        <f t="shared" si="421"/>
        <v>2012</v>
      </c>
      <c r="N796" s="264">
        <f t="shared" si="421"/>
        <v>2013</v>
      </c>
      <c r="O796" s="264">
        <f t="shared" si="421"/>
        <v>2014</v>
      </c>
      <c r="P796" s="264">
        <f t="shared" si="421"/>
        <v>2015</v>
      </c>
      <c r="Q796" s="264">
        <f t="shared" si="421"/>
        <v>2016</v>
      </c>
      <c r="R796" s="264">
        <f t="shared" si="421"/>
        <v>2017</v>
      </c>
      <c r="S796" s="264">
        <f t="shared" si="421"/>
        <v>2018</v>
      </c>
      <c r="T796" s="264">
        <f t="shared" si="421"/>
        <v>2019</v>
      </c>
      <c r="U796" s="264">
        <f>U$6</f>
        <v>2020</v>
      </c>
      <c r="V796" s="264">
        <f>V$6</f>
        <v>2021</v>
      </c>
      <c r="W796" s="264">
        <f>W$6</f>
        <v>2022</v>
      </c>
      <c r="X796" s="264">
        <f>X$6</f>
        <v>2023</v>
      </c>
      <c r="Y796" s="594">
        <f t="shared" si="421"/>
        <v>2024</v>
      </c>
      <c r="Z796" s="594">
        <f t="shared" si="421"/>
        <v>2025</v>
      </c>
      <c r="AA796" s="594">
        <f t="shared" si="421"/>
        <v>2026</v>
      </c>
      <c r="AB796" s="594">
        <f t="shared" si="421"/>
        <v>2027</v>
      </c>
      <c r="AC796" s="594">
        <f t="shared" si="421"/>
        <v>2028</v>
      </c>
      <c r="AD796" s="594">
        <f t="shared" si="421"/>
        <v>2029</v>
      </c>
      <c r="AE796" s="594">
        <f t="shared" si="421"/>
        <v>2030</v>
      </c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  <c r="CA796" s="9"/>
      <c r="CB796" s="9"/>
      <c r="CC796" s="9"/>
      <c r="CD796" s="9"/>
    </row>
    <row r="797" spans="1:97">
      <c r="A797" s="36" t="s">
        <v>200</v>
      </c>
      <c r="B797" s="795"/>
      <c r="C797" s="795"/>
      <c r="D797" s="795"/>
      <c r="E797" s="795"/>
      <c r="F797" s="795"/>
      <c r="G797" s="795"/>
      <c r="H797" s="795"/>
      <c r="I797" s="795"/>
      <c r="J797" s="173">
        <f>Base!J70</f>
        <v>0.11648149120754761</v>
      </c>
      <c r="K797" s="173">
        <f>Base!K70</f>
        <v>0.1111882949727438</v>
      </c>
      <c r="L797" s="173">
        <f>Base!L70</f>
        <v>0.10422536185654681</v>
      </c>
      <c r="M797" s="173">
        <f>Base!M70</f>
        <v>0.11894400338237031</v>
      </c>
      <c r="N797" s="173">
        <f>Base!N70</f>
        <v>0.12975023651302947</v>
      </c>
      <c r="O797" s="173">
        <f>Base!O70</f>
        <v>0.12250266499212399</v>
      </c>
      <c r="P797" s="173">
        <f>Base!P70</f>
        <v>0.13322841012505554</v>
      </c>
      <c r="Q797" s="173">
        <f>Base!Q70</f>
        <v>0.13673694196629571</v>
      </c>
      <c r="R797" s="173">
        <f>Base!R70</f>
        <v>0.15204273796300657</v>
      </c>
      <c r="S797" s="865">
        <f>Base!S70</f>
        <v>0.13883861136971748</v>
      </c>
      <c r="T797" s="865">
        <f>Base!T70</f>
        <v>0.13185829658689707</v>
      </c>
      <c r="U797" s="865">
        <f>Base!U70</f>
        <v>3.732241490864141E-2</v>
      </c>
      <c r="V797" s="865">
        <f>Base!V70</f>
        <v>0.12244945711243399</v>
      </c>
      <c r="W797" s="865">
        <f>Base!W70</f>
        <v>0.12820483354194717</v>
      </c>
      <c r="X797" s="865">
        <f>Base!X70</f>
        <v>0.14160410073333896</v>
      </c>
      <c r="Y797" s="865">
        <f>Base!Y70</f>
        <v>0.14469733938479157</v>
      </c>
      <c r="Z797" s="865">
        <f>Base!Z70</f>
        <v>0.14414857865421746</v>
      </c>
      <c r="AA797" s="865">
        <f>Base!AA70</f>
        <v>0.1451446680114471</v>
      </c>
      <c r="AB797" s="865">
        <f>Base!AB70</f>
        <v>0.14645393086732794</v>
      </c>
      <c r="AC797" s="865">
        <f>Base!AC70</f>
        <v>0.1464093871457442</v>
      </c>
      <c r="AD797" s="865">
        <f>Base!AD70</f>
        <v>0.1463724656849032</v>
      </c>
      <c r="AE797" s="865">
        <f>Base!AE70</f>
        <v>0.14633513536466855</v>
      </c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  <c r="CA797" s="9"/>
      <c r="CB797" s="9"/>
      <c r="CC797" s="9"/>
      <c r="CD797" s="9"/>
    </row>
    <row r="798" spans="1:97">
      <c r="A798" s="36" t="s">
        <v>201</v>
      </c>
      <c r="B798" s="173"/>
      <c r="C798" s="173"/>
      <c r="D798" s="173"/>
      <c r="E798" s="173"/>
      <c r="F798" s="173"/>
      <c r="G798" s="173"/>
      <c r="H798" s="173"/>
      <c r="I798" s="173"/>
      <c r="J798" s="173">
        <f>Bull!J70</f>
        <v>0.11648149120754761</v>
      </c>
      <c r="K798" s="173">
        <f>Bull!K70</f>
        <v>0.1111882949727438</v>
      </c>
      <c r="L798" s="173">
        <f>Bull!L70</f>
        <v>0.10422536185654681</v>
      </c>
      <c r="M798" s="173">
        <f>Bull!M70</f>
        <v>0.11894400338237031</v>
      </c>
      <c r="N798" s="173">
        <f>Bull!N70</f>
        <v>0.12975023651302947</v>
      </c>
      <c r="O798" s="173">
        <f>Bull!O70</f>
        <v>0.12250266499212399</v>
      </c>
      <c r="P798" s="173">
        <f>Bull!P70</f>
        <v>0.13322841012505554</v>
      </c>
      <c r="Q798" s="173">
        <f>Bull!Q70</f>
        <v>0.13673694196629571</v>
      </c>
      <c r="R798" s="173">
        <f>Bull!R70</f>
        <v>0.15204273796300657</v>
      </c>
      <c r="S798" s="865">
        <f>Bull!S70</f>
        <v>0.13883861136971748</v>
      </c>
      <c r="T798" s="865">
        <f>Bull!T70</f>
        <v>0.13185829658689707</v>
      </c>
      <c r="U798" s="865">
        <f>Bull!U70</f>
        <v>3.732241490864141E-2</v>
      </c>
      <c r="V798" s="865">
        <f>Bull!V70</f>
        <v>0.12244945711243399</v>
      </c>
      <c r="W798" s="865">
        <f>Bull!W70</f>
        <v>0.12820483354194717</v>
      </c>
      <c r="X798" s="865">
        <f>Bull!X70</f>
        <v>0.14160410073333896</v>
      </c>
      <c r="Y798" s="865">
        <f>Bull!Y70</f>
        <v>0.14627861608988468</v>
      </c>
      <c r="Z798" s="865">
        <f>Bull!Z70</f>
        <v>0.14717788740932722</v>
      </c>
      <c r="AA798" s="865">
        <f>Bull!AA70</f>
        <v>0.14810615487712794</v>
      </c>
      <c r="AB798" s="865">
        <f>Bull!AB70</f>
        <v>0.14936063027952426</v>
      </c>
      <c r="AC798" s="865">
        <f>Bull!AC70</f>
        <v>0.15214701604189462</v>
      </c>
      <c r="AD798" s="865">
        <f>Bull!AD70</f>
        <v>0.15207711364211576</v>
      </c>
      <c r="AE798" s="865">
        <f>Bull!AE70</f>
        <v>0.15201000066028225</v>
      </c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  <c r="CA798" s="9"/>
      <c r="CB798" s="9"/>
      <c r="CC798" s="9"/>
      <c r="CD798" s="9"/>
    </row>
    <row r="799" spans="1:97">
      <c r="A799" s="36" t="s">
        <v>202</v>
      </c>
      <c r="B799" s="173"/>
      <c r="C799" s="173"/>
      <c r="D799" s="173"/>
      <c r="E799" s="173"/>
      <c r="F799" s="173"/>
      <c r="G799" s="173"/>
      <c r="H799" s="173"/>
      <c r="I799" s="173"/>
      <c r="J799" s="173">
        <f>Bear!J70</f>
        <v>0.11648149120754761</v>
      </c>
      <c r="K799" s="173">
        <f>Bear!K70</f>
        <v>0.1111882949727438</v>
      </c>
      <c r="L799" s="173">
        <f>Bear!L70</f>
        <v>0.10422536185654681</v>
      </c>
      <c r="M799" s="173">
        <f>Bear!M70</f>
        <v>0.11894400338237031</v>
      </c>
      <c r="N799" s="173">
        <f>Bear!N70</f>
        <v>0.12975023651302947</v>
      </c>
      <c r="O799" s="173">
        <f>Bear!O70</f>
        <v>0.12250266499212399</v>
      </c>
      <c r="P799" s="173">
        <f>Bear!P70</f>
        <v>0.13322841012505554</v>
      </c>
      <c r="Q799" s="173">
        <f>Bear!Q70</f>
        <v>0.13673694196629571</v>
      </c>
      <c r="R799" s="173">
        <f>Bear!R70</f>
        <v>0.15204273796300657</v>
      </c>
      <c r="S799" s="865">
        <f>Bear!S70</f>
        <v>0.13883861136971748</v>
      </c>
      <c r="T799" s="865">
        <f>Bear!T70</f>
        <v>0.13185829658689707</v>
      </c>
      <c r="U799" s="865">
        <f>Bear!U70</f>
        <v>3.732241490864141E-2</v>
      </c>
      <c r="V799" s="865">
        <f>Bear!V70</f>
        <v>0.12244945711243399</v>
      </c>
      <c r="W799" s="865">
        <f>Bear!W70</f>
        <v>0.12820483354194717</v>
      </c>
      <c r="X799" s="865">
        <f>Bear!X70</f>
        <v>0.14160410073333896</v>
      </c>
      <c r="Y799" s="865">
        <f>Bear!Y70</f>
        <v>0.14125075234290496</v>
      </c>
      <c r="Z799" s="865">
        <f>Bear!Z70</f>
        <v>0.13738244818065184</v>
      </c>
      <c r="AA799" s="865">
        <f>Bear!AA70</f>
        <v>0.13842246604154979</v>
      </c>
      <c r="AB799" s="865">
        <f>Bear!AB70</f>
        <v>0.13973350889772235</v>
      </c>
      <c r="AC799" s="865">
        <f>Bear!AC70</f>
        <v>0.13359380206214011</v>
      </c>
      <c r="AD799" s="865">
        <f>Bear!AD70</f>
        <v>0.13345025982993164</v>
      </c>
      <c r="AE799" s="865">
        <f>Bear!AE70</f>
        <v>0.13331025298782001</v>
      </c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  <c r="CA799" s="9"/>
      <c r="CB799" s="9"/>
      <c r="CC799" s="9"/>
      <c r="CD799" s="9"/>
    </row>
    <row r="800" spans="1:97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  <c r="CA800" s="9"/>
      <c r="CB800" s="9"/>
      <c r="CC800" s="9"/>
      <c r="CD800" s="9"/>
    </row>
    <row r="801" spans="1:82">
      <c r="A801" s="242" t="s">
        <v>1631</v>
      </c>
      <c r="B801" s="264">
        <v>2004</v>
      </c>
      <c r="C801" s="264">
        <v>2005</v>
      </c>
      <c r="D801" s="264">
        <v>2006</v>
      </c>
      <c r="E801" s="264">
        <v>2007</v>
      </c>
      <c r="F801" s="264">
        <v>2008</v>
      </c>
      <c r="G801" s="264">
        <v>2009</v>
      </c>
      <c r="H801" s="264">
        <v>2010</v>
      </c>
      <c r="I801" s="264">
        <v>2011</v>
      </c>
      <c r="J801" s="264">
        <v>2012</v>
      </c>
      <c r="K801" s="264">
        <v>2013</v>
      </c>
      <c r="L801" s="264">
        <v>2014</v>
      </c>
      <c r="M801" s="264">
        <v>2015</v>
      </c>
      <c r="N801" s="264">
        <v>2016</v>
      </c>
      <c r="O801" s="264">
        <v>2017</v>
      </c>
      <c r="P801" s="264">
        <v>2018</v>
      </c>
      <c r="Q801" s="264">
        <v>2019</v>
      </c>
      <c r="R801" s="264">
        <v>2020</v>
      </c>
      <c r="S801" s="264">
        <v>2021</v>
      </c>
      <c r="T801" s="264">
        <v>2022</v>
      </c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</row>
    <row r="802" spans="1:82">
      <c r="A802" s="36" t="s">
        <v>1632</v>
      </c>
      <c r="B802" s="795">
        <v>0</v>
      </c>
      <c r="C802" s="173">
        <v>0</v>
      </c>
      <c r="D802" s="173">
        <v>0</v>
      </c>
      <c r="E802" s="173">
        <v>0</v>
      </c>
      <c r="F802" s="173">
        <v>0</v>
      </c>
      <c r="G802" s="173">
        <v>0</v>
      </c>
      <c r="H802" s="173">
        <v>0</v>
      </c>
      <c r="I802" s="173">
        <v>0</v>
      </c>
      <c r="J802" s="173">
        <v>0</v>
      </c>
      <c r="K802" s="173">
        <v>0</v>
      </c>
      <c r="L802" s="173">
        <v>0</v>
      </c>
      <c r="M802" s="173">
        <v>0</v>
      </c>
      <c r="N802" s="173">
        <v>0</v>
      </c>
      <c r="O802" s="173">
        <v>0</v>
      </c>
      <c r="P802" s="173">
        <v>0</v>
      </c>
      <c r="Q802" s="173">
        <v>0</v>
      </c>
      <c r="R802" s="865">
        <v>0</v>
      </c>
      <c r="S802" s="865">
        <v>0</v>
      </c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  <c r="CA802" s="9"/>
      <c r="CB802" s="9"/>
      <c r="CC802" s="9"/>
      <c r="CD802" s="9"/>
    </row>
    <row r="803" spans="1:82">
      <c r="A803" s="36" t="s">
        <v>1633</v>
      </c>
      <c r="B803" s="173">
        <v>0</v>
      </c>
      <c r="C803" s="173">
        <v>0</v>
      </c>
      <c r="D803" s="173">
        <v>0</v>
      </c>
      <c r="E803" s="173">
        <v>0</v>
      </c>
      <c r="F803" s="173">
        <v>0</v>
      </c>
      <c r="G803" s="173">
        <v>0</v>
      </c>
      <c r="H803" s="173">
        <v>0</v>
      </c>
      <c r="I803" s="173">
        <v>0</v>
      </c>
      <c r="J803" s="173">
        <v>0</v>
      </c>
      <c r="K803" s="173">
        <v>0</v>
      </c>
      <c r="L803" s="173">
        <v>0</v>
      </c>
      <c r="M803" s="173">
        <v>0</v>
      </c>
      <c r="N803" s="173">
        <v>0</v>
      </c>
      <c r="O803" s="173">
        <v>0</v>
      </c>
      <c r="P803" s="173">
        <v>0</v>
      </c>
      <c r="Q803" s="173">
        <v>0</v>
      </c>
      <c r="R803" s="865">
        <v>0</v>
      </c>
      <c r="S803" s="865">
        <v>0</v>
      </c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  <c r="CA803" s="9"/>
      <c r="CB803" s="9"/>
      <c r="CC803" s="9"/>
      <c r="CD803" s="9"/>
    </row>
    <row r="804" spans="1:82">
      <c r="A804" s="36" t="s">
        <v>1634</v>
      </c>
      <c r="B804" s="1067">
        <v>0</v>
      </c>
      <c r="C804" s="1067">
        <v>0</v>
      </c>
      <c r="D804" s="1067">
        <v>0</v>
      </c>
      <c r="E804" s="1067">
        <v>0</v>
      </c>
      <c r="F804" s="1067">
        <v>0</v>
      </c>
      <c r="G804" s="1067">
        <v>0</v>
      </c>
      <c r="H804" s="1067">
        <v>0</v>
      </c>
      <c r="I804" s="1067">
        <v>0</v>
      </c>
      <c r="J804" s="1067">
        <v>0</v>
      </c>
      <c r="K804" s="1067">
        <v>0</v>
      </c>
      <c r="L804" s="1067">
        <v>0</v>
      </c>
      <c r="M804" s="1067">
        <v>0</v>
      </c>
      <c r="N804" s="1067">
        <v>0</v>
      </c>
      <c r="O804" s="1067">
        <v>0</v>
      </c>
      <c r="P804" s="1067">
        <v>0</v>
      </c>
      <c r="Q804" s="1067">
        <v>0</v>
      </c>
      <c r="R804" s="1422">
        <v>0</v>
      </c>
      <c r="S804" s="1422">
        <v>0</v>
      </c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  <c r="CA804" s="9"/>
      <c r="CB804" s="9"/>
      <c r="CC804" s="9"/>
      <c r="CD804" s="9"/>
    </row>
    <row r="805" spans="1:82">
      <c r="A805" s="36" t="s">
        <v>748</v>
      </c>
      <c r="B805" s="173">
        <v>0</v>
      </c>
      <c r="C805" s="173">
        <v>0</v>
      </c>
      <c r="D805" s="173">
        <v>0</v>
      </c>
      <c r="E805" s="173">
        <v>0</v>
      </c>
      <c r="F805" s="173">
        <v>0</v>
      </c>
      <c r="G805" s="173">
        <v>0</v>
      </c>
      <c r="H805" s="173">
        <v>0</v>
      </c>
      <c r="I805" s="173">
        <v>0</v>
      </c>
      <c r="J805" s="173">
        <v>0</v>
      </c>
      <c r="K805" s="173">
        <v>0</v>
      </c>
      <c r="L805" s="173">
        <v>0</v>
      </c>
      <c r="M805" s="173">
        <v>0</v>
      </c>
      <c r="N805" s="173">
        <v>0</v>
      </c>
      <c r="O805" s="173">
        <v>0</v>
      </c>
      <c r="P805" s="173">
        <v>0</v>
      </c>
      <c r="Q805" s="173">
        <v>0</v>
      </c>
      <c r="R805" s="865">
        <v>0</v>
      </c>
      <c r="S805" s="865">
        <v>0</v>
      </c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  <c r="CA805" s="9"/>
      <c r="CB805" s="9"/>
      <c r="CC805" s="9"/>
      <c r="CD805" s="9"/>
    </row>
    <row r="806" spans="1:82">
      <c r="A806" s="36" t="s">
        <v>1279</v>
      </c>
      <c r="B806" s="9"/>
      <c r="C806" s="37" t="e">
        <f t="shared" ref="C806:S806" si="422">C804/B804-1</f>
        <v>#DIV/0!</v>
      </c>
      <c r="D806" s="37" t="e">
        <f t="shared" si="422"/>
        <v>#DIV/0!</v>
      </c>
      <c r="E806" s="37" t="e">
        <f t="shared" si="422"/>
        <v>#DIV/0!</v>
      </c>
      <c r="F806" s="37" t="e">
        <f t="shared" si="422"/>
        <v>#DIV/0!</v>
      </c>
      <c r="G806" s="37" t="e">
        <f t="shared" si="422"/>
        <v>#DIV/0!</v>
      </c>
      <c r="H806" s="37" t="e">
        <f t="shared" si="422"/>
        <v>#DIV/0!</v>
      </c>
      <c r="I806" s="37" t="e">
        <f t="shared" si="422"/>
        <v>#DIV/0!</v>
      </c>
      <c r="J806" s="37" t="e">
        <f t="shared" si="422"/>
        <v>#DIV/0!</v>
      </c>
      <c r="K806" s="37" t="e">
        <f t="shared" si="422"/>
        <v>#DIV/0!</v>
      </c>
      <c r="L806" s="37" t="e">
        <f t="shared" si="422"/>
        <v>#DIV/0!</v>
      </c>
      <c r="M806" s="37" t="e">
        <f t="shared" si="422"/>
        <v>#DIV/0!</v>
      </c>
      <c r="N806" s="37" t="e">
        <f t="shared" si="422"/>
        <v>#DIV/0!</v>
      </c>
      <c r="O806" s="37" t="e">
        <f t="shared" si="422"/>
        <v>#DIV/0!</v>
      </c>
      <c r="P806" s="37" t="e">
        <f t="shared" si="422"/>
        <v>#DIV/0!</v>
      </c>
      <c r="Q806" s="37" t="e">
        <f t="shared" si="422"/>
        <v>#DIV/0!</v>
      </c>
      <c r="R806" s="37" t="e">
        <f t="shared" si="422"/>
        <v>#DIV/0!</v>
      </c>
      <c r="S806" s="37" t="e">
        <f t="shared" si="422"/>
        <v>#DIV/0!</v>
      </c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  <c r="CA806" s="9"/>
      <c r="CB806" s="9"/>
      <c r="CC806" s="9"/>
      <c r="CD806" s="9"/>
    </row>
    <row r="807" spans="1:8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  <c r="CA807" s="9"/>
      <c r="CB807" s="9"/>
      <c r="CC807" s="9"/>
      <c r="CD807" s="9"/>
    </row>
    <row r="808" spans="1:82">
      <c r="A808" s="242" t="s">
        <v>1399</v>
      </c>
      <c r="B808" s="264">
        <v>2001</v>
      </c>
      <c r="C808" s="264">
        <v>2002</v>
      </c>
      <c r="D808" s="264">
        <v>2003</v>
      </c>
      <c r="E808" s="264">
        <v>2004</v>
      </c>
      <c r="F808" s="264">
        <v>2005</v>
      </c>
      <c r="G808" s="264">
        <v>2006</v>
      </c>
      <c r="H808" s="264">
        <v>2007</v>
      </c>
      <c r="I808" s="264">
        <v>2008</v>
      </c>
      <c r="J808" s="264">
        <v>2009</v>
      </c>
      <c r="K808" s="264">
        <v>2010</v>
      </c>
      <c r="L808" s="264">
        <v>2011</v>
      </c>
      <c r="M808" s="264">
        <v>2012</v>
      </c>
      <c r="N808" s="264">
        <v>2013</v>
      </c>
      <c r="O808" s="264">
        <v>2014</v>
      </c>
      <c r="P808" s="264">
        <v>2015</v>
      </c>
      <c r="Q808" s="264">
        <v>2016</v>
      </c>
      <c r="R808" s="264">
        <v>2017</v>
      </c>
      <c r="S808" s="264">
        <f t="shared" ref="S808:X808" si="423">S$6</f>
        <v>2018</v>
      </c>
      <c r="T808" s="264">
        <f t="shared" si="423"/>
        <v>2019</v>
      </c>
      <c r="U808" s="264">
        <f t="shared" si="423"/>
        <v>2020</v>
      </c>
      <c r="V808" s="264">
        <f t="shared" si="423"/>
        <v>2021</v>
      </c>
      <c r="W808" s="264">
        <f t="shared" si="423"/>
        <v>2022</v>
      </c>
      <c r="X808" s="264">
        <f t="shared" si="423"/>
        <v>2023</v>
      </c>
      <c r="Y808" s="594">
        <v>2024</v>
      </c>
      <c r="Z808" s="594">
        <v>2025</v>
      </c>
      <c r="AA808" s="594">
        <v>2026</v>
      </c>
      <c r="AB808" s="594">
        <v>2027</v>
      </c>
      <c r="AC808" s="594">
        <v>2028</v>
      </c>
      <c r="AD808" s="594">
        <v>2029</v>
      </c>
      <c r="AE808" s="594">
        <v>2030</v>
      </c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  <c r="CA808" s="9"/>
      <c r="CB808" s="9"/>
      <c r="CC808" s="9"/>
      <c r="CD808" s="9"/>
    </row>
    <row r="809" spans="1:82">
      <c r="A809" s="9" t="s">
        <v>1400</v>
      </c>
      <c r="B809" s="84" t="e">
        <f>+NA()</f>
        <v>#N/A</v>
      </c>
      <c r="C809" s="84" t="e">
        <f>+NA()</f>
        <v>#N/A</v>
      </c>
      <c r="D809" s="84" t="e">
        <f>+NA()</f>
        <v>#N/A</v>
      </c>
      <c r="E809" s="84">
        <v>4.2000000000000003E-2</v>
      </c>
      <c r="F809" s="84">
        <v>3.1E-2</v>
      </c>
      <c r="G809" s="84">
        <v>4.9000000000000002E-2</v>
      </c>
      <c r="H809" s="84">
        <v>3.2000000000000001E-2</v>
      </c>
      <c r="I809" s="84">
        <v>1.2E-2</v>
      </c>
      <c r="J809" s="84">
        <v>-6.0999999999999999E-2</v>
      </c>
      <c r="K809" s="84">
        <v>5.3999999999999999E-2</v>
      </c>
      <c r="L809" s="84">
        <v>4.0399999999999998E-2</v>
      </c>
      <c r="M809" s="84">
        <v>3.5532108214104019E-2</v>
      </c>
      <c r="N809" s="84">
        <v>8.5210151223158448E-3</v>
      </c>
      <c r="O809" s="84">
        <v>2.5037634374001527E-2</v>
      </c>
      <c r="P809" s="84">
        <v>2.7023235204256091E-2</v>
      </c>
      <c r="Q809" s="84">
        <v>1.7724931803662303E-2</v>
      </c>
      <c r="R809" s="84">
        <v>1.8717285674045403E-2</v>
      </c>
      <c r="S809" s="84">
        <v>1.9720820509635084E-2</v>
      </c>
      <c r="T809" s="84">
        <v>-2.6051943474039163E-3</v>
      </c>
      <c r="U809" s="453">
        <v>-8.6161421874233035E-2</v>
      </c>
      <c r="V809" s="453">
        <v>5.7392083649113301E-2</v>
      </c>
      <c r="W809" s="453">
        <v>3.9490000237718315E-2</v>
      </c>
      <c r="X809" s="453">
        <v>3.2287368076647338E-2</v>
      </c>
      <c r="Y809" s="453">
        <v>1.7464451937096486E-2</v>
      </c>
      <c r="Z809" s="453">
        <v>1.6272700474236013E-2</v>
      </c>
      <c r="AA809" s="453">
        <v>1.93553190479634E-2</v>
      </c>
      <c r="AB809" s="1788">
        <f>+AA809</f>
        <v>1.93553190479634E-2</v>
      </c>
      <c r="AC809" s="1788">
        <f t="shared" ref="AC809:AE812" si="424">+AB809</f>
        <v>1.93553190479634E-2</v>
      </c>
      <c r="AD809" s="1788">
        <f t="shared" si="424"/>
        <v>1.93553190479634E-2</v>
      </c>
      <c r="AE809" s="1788">
        <f t="shared" si="424"/>
        <v>1.93553190479634E-2</v>
      </c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  <c r="CA809" s="9"/>
      <c r="CB809" s="9"/>
      <c r="CC809" s="9"/>
      <c r="CD809" s="9"/>
    </row>
    <row r="810" spans="1:82">
      <c r="A810" s="9" t="s">
        <v>1401</v>
      </c>
      <c r="B810" s="84" t="e">
        <f>+NA()</f>
        <v>#N/A</v>
      </c>
      <c r="C810" s="84" t="e">
        <f>+NA()</f>
        <v>#N/A</v>
      </c>
      <c r="D810" s="84" t="e">
        <f>+NA()</f>
        <v>#N/A</v>
      </c>
      <c r="E810" s="84">
        <v>5.1999999999999998E-2</v>
      </c>
      <c r="F810" s="84">
        <v>3.3000000000000002E-2</v>
      </c>
      <c r="G810" s="84">
        <v>4.1000000000000002E-2</v>
      </c>
      <c r="H810" s="84">
        <v>3.7999999999999999E-2</v>
      </c>
      <c r="I810" s="84">
        <v>6.5000000000000002E-2</v>
      </c>
      <c r="J810" s="84">
        <v>3.5999999999999997E-2</v>
      </c>
      <c r="K810" s="84">
        <v>4.3999999999999997E-2</v>
      </c>
      <c r="L810" s="84">
        <v>3.4000000000000002E-2</v>
      </c>
      <c r="M810" s="84">
        <v>3.5682148898864119E-2</v>
      </c>
      <c r="N810" s="84">
        <v>3.9741486095010048E-2</v>
      </c>
      <c r="O810" s="84">
        <v>4.0812891473210433E-2</v>
      </c>
      <c r="P810" s="84">
        <v>2.1307733773755944E-2</v>
      </c>
      <c r="Q810" s="84">
        <v>3.3602555060934236E-2</v>
      </c>
      <c r="R810" s="84">
        <v>6.7731070524451598E-2</v>
      </c>
      <c r="S810" s="84">
        <v>4.8305280499506775E-2</v>
      </c>
      <c r="T810" s="84">
        <v>2.8285769753445988E-2</v>
      </c>
      <c r="U810" s="453">
        <v>3.1500745747352177E-2</v>
      </c>
      <c r="V810" s="453">
        <v>7.3551079426380284E-2</v>
      </c>
      <c r="W810" s="453">
        <v>7.8170286766460872E-2</v>
      </c>
      <c r="X810" s="453">
        <v>4.6608896408861566E-2</v>
      </c>
      <c r="Y810" s="453">
        <v>3.9895529877053804E-2</v>
      </c>
      <c r="Z810" s="453">
        <v>3.6874784217962642E-2</v>
      </c>
      <c r="AA810" s="453">
        <v>4.3866829932875023E-2</v>
      </c>
      <c r="AB810" s="1788">
        <f>+AA810</f>
        <v>4.3866829932875023E-2</v>
      </c>
      <c r="AC810" s="1788">
        <f t="shared" si="424"/>
        <v>4.3866829932875023E-2</v>
      </c>
      <c r="AD810" s="1788">
        <f t="shared" si="424"/>
        <v>4.3866829932875023E-2</v>
      </c>
      <c r="AE810" s="1788">
        <f t="shared" si="424"/>
        <v>4.3866829932875023E-2</v>
      </c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  <c r="CA810" s="9"/>
      <c r="CB810" s="9"/>
      <c r="CC810" s="9"/>
      <c r="CD810" s="9"/>
    </row>
    <row r="811" spans="1:82">
      <c r="A811" s="9" t="s">
        <v>1402</v>
      </c>
      <c r="B811" s="84" t="e">
        <f>+NA()</f>
        <v>#N/A</v>
      </c>
      <c r="C811" s="84" t="e">
        <f>+NA()</f>
        <v>#N/A</v>
      </c>
      <c r="D811" s="84" t="e">
        <f>+NA()</f>
        <v>#N/A</v>
      </c>
      <c r="E811" s="1665">
        <v>11.15</v>
      </c>
      <c r="F811" s="1665">
        <v>10.63</v>
      </c>
      <c r="G811" s="1665">
        <v>10.82</v>
      </c>
      <c r="H811" s="1665">
        <v>10.91</v>
      </c>
      <c r="I811" s="1665">
        <v>13.69</v>
      </c>
      <c r="J811" s="1665">
        <v>13.09</v>
      </c>
      <c r="K811" s="1665">
        <v>12.36</v>
      </c>
      <c r="L811" s="1665">
        <v>13.95</v>
      </c>
      <c r="M811" s="1665">
        <v>12.85</v>
      </c>
      <c r="N811" s="1665">
        <v>13.04</v>
      </c>
      <c r="O811" s="1665">
        <v>14.72</v>
      </c>
      <c r="P811" s="262">
        <v>17.21</v>
      </c>
      <c r="Q811" s="262">
        <v>20.73</v>
      </c>
      <c r="R811" s="262">
        <v>19.79</v>
      </c>
      <c r="S811" s="262">
        <v>19.68</v>
      </c>
      <c r="T811" s="262">
        <v>18.850000000000001</v>
      </c>
      <c r="U811" s="1666">
        <v>19.95</v>
      </c>
      <c r="V811" s="1666">
        <v>20.322500000000002</v>
      </c>
      <c r="W811" s="1666">
        <v>20.095758081840049</v>
      </c>
      <c r="X811" s="1666">
        <v>17.724751923076898</v>
      </c>
      <c r="Y811" s="1666">
        <v>17.475287307692302</v>
      </c>
      <c r="Z811" s="1666">
        <v>17.729632833963166</v>
      </c>
      <c r="AA811" s="1666">
        <v>18.108978103975485</v>
      </c>
      <c r="AB811" s="1666">
        <v>18.108978103975485</v>
      </c>
      <c r="AC811" s="1666">
        <v>18.108978103975485</v>
      </c>
      <c r="AD811" s="1666">
        <v>18.108978103975485</v>
      </c>
      <c r="AE811" s="1666">
        <v>18.108978103975485</v>
      </c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  <c r="CA811" s="9"/>
      <c r="CB811" s="9"/>
      <c r="CC811" s="9"/>
      <c r="CD811" s="9"/>
    </row>
    <row r="812" spans="1:82">
      <c r="A812" s="9" t="s">
        <v>928</v>
      </c>
      <c r="B812" s="84" t="e">
        <f>+NA()</f>
        <v>#N/A</v>
      </c>
      <c r="C812" s="84" t="e">
        <f>+NA()</f>
        <v>#N/A</v>
      </c>
      <c r="D812" s="84" t="e">
        <f>+NA()</f>
        <v>#N/A</v>
      </c>
      <c r="E812" s="1667">
        <v>8.7499999999999994E-2</v>
      </c>
      <c r="F812" s="1667">
        <v>8.2500000000000004E-2</v>
      </c>
      <c r="G812" s="1667">
        <v>7.0000000000000007E-2</v>
      </c>
      <c r="H812" s="1667">
        <v>7.4999999999999997E-2</v>
      </c>
      <c r="I812" s="1667">
        <v>8.2500000000000004E-2</v>
      </c>
      <c r="J812" s="1667">
        <v>4.4999999999999998E-2</v>
      </c>
      <c r="K812" s="1667">
        <v>4.4999999999999998E-2</v>
      </c>
      <c r="L812" s="1667">
        <v>4.4999999999999998E-2</v>
      </c>
      <c r="M812" s="1667">
        <v>4.4999999999999998E-2</v>
      </c>
      <c r="N812" s="1667">
        <v>3.5000000000000003E-2</v>
      </c>
      <c r="O812" s="1667">
        <v>0.03</v>
      </c>
      <c r="P812" s="1667">
        <v>3.2500000000000001E-2</v>
      </c>
      <c r="Q812" s="1667">
        <v>5.7500000000000002E-2</v>
      </c>
      <c r="R812" s="1667">
        <v>7.2499999999999995E-2</v>
      </c>
      <c r="S812" s="1667">
        <v>8.2500000000000004E-2</v>
      </c>
      <c r="T812" s="1667">
        <v>7.2499999999999995E-2</v>
      </c>
      <c r="U812" s="1668">
        <v>4.2500000000000003E-2</v>
      </c>
      <c r="V812" s="1668">
        <v>5.5E-2</v>
      </c>
      <c r="W812" s="1668">
        <v>0.105</v>
      </c>
      <c r="X812" s="1668">
        <v>0.1125</v>
      </c>
      <c r="Y812" s="1668">
        <v>9.7500000000000003E-2</v>
      </c>
      <c r="Z812" s="1668">
        <v>7.7499999999999999E-2</v>
      </c>
      <c r="AA812" s="1668">
        <v>6.5909090909090903E-2</v>
      </c>
      <c r="AB812" s="1788">
        <f>+AA812</f>
        <v>6.5909090909090903E-2</v>
      </c>
      <c r="AC812" s="1788">
        <f t="shared" si="424"/>
        <v>6.5909090909090903E-2</v>
      </c>
      <c r="AD812" s="1788">
        <f t="shared" si="424"/>
        <v>6.5909090909090903E-2</v>
      </c>
      <c r="AE812" s="1788">
        <f t="shared" si="424"/>
        <v>6.5909090909090903E-2</v>
      </c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  <c r="CA812" s="9"/>
      <c r="CB812" s="9"/>
      <c r="CC812" s="9"/>
      <c r="CD812" s="9"/>
    </row>
    <row r="813" spans="1:8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  <c r="CA813" s="9"/>
      <c r="CB813" s="9"/>
      <c r="CC813" s="9"/>
      <c r="CD813" s="9"/>
    </row>
    <row r="814" spans="1:82">
      <c r="A814" s="242" t="s">
        <v>1283</v>
      </c>
      <c r="B814" s="264">
        <v>2001</v>
      </c>
      <c r="C814" s="264">
        <v>2002</v>
      </c>
      <c r="D814" s="264">
        <v>2003</v>
      </c>
      <c r="E814" s="264">
        <v>2004</v>
      </c>
      <c r="F814" s="264">
        <v>2005</v>
      </c>
      <c r="G814" s="264">
        <v>2006</v>
      </c>
      <c r="H814" s="264">
        <v>2007</v>
      </c>
      <c r="I814" s="264">
        <v>2008</v>
      </c>
      <c r="J814" s="264">
        <v>2009</v>
      </c>
      <c r="K814" s="264">
        <v>2010</v>
      </c>
      <c r="L814" s="264">
        <v>2011</v>
      </c>
      <c r="M814" s="264">
        <v>2012</v>
      </c>
      <c r="N814" s="264">
        <v>2013</v>
      </c>
      <c r="O814" s="264">
        <v>2014</v>
      </c>
      <c r="P814" s="264">
        <v>2015</v>
      </c>
      <c r="Q814" s="264">
        <v>2016</v>
      </c>
      <c r="R814" s="264">
        <v>2017</v>
      </c>
      <c r="S814" s="264">
        <f t="shared" ref="S814:X814" si="425">S$6</f>
        <v>2018</v>
      </c>
      <c r="T814" s="264">
        <f t="shared" si="425"/>
        <v>2019</v>
      </c>
      <c r="U814" s="264">
        <f t="shared" si="425"/>
        <v>2020</v>
      </c>
      <c r="V814" s="264">
        <f t="shared" si="425"/>
        <v>2021</v>
      </c>
      <c r="W814" s="264">
        <f t="shared" si="425"/>
        <v>2022</v>
      </c>
      <c r="X814" s="264">
        <f t="shared" si="425"/>
        <v>2023</v>
      </c>
      <c r="Y814" s="594">
        <v>2024</v>
      </c>
      <c r="Z814" s="594">
        <v>2025</v>
      </c>
      <c r="AA814" s="594">
        <v>2026</v>
      </c>
      <c r="AB814" s="594">
        <v>2027</v>
      </c>
      <c r="AC814" s="594">
        <v>2028</v>
      </c>
      <c r="AD814" s="594">
        <v>2029</v>
      </c>
      <c r="AE814" s="594">
        <v>2030</v>
      </c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  <c r="CA814" s="9"/>
      <c r="CB814" s="9"/>
      <c r="CC814" s="9"/>
      <c r="CD814" s="9"/>
    </row>
    <row r="815" spans="1:82">
      <c r="A815" s="36" t="s">
        <v>200</v>
      </c>
      <c r="B815" s="92">
        <f>Base!B10</f>
        <v>283</v>
      </c>
      <c r="C815" s="92">
        <f>Base!C10</f>
        <v>342</v>
      </c>
      <c r="D815" s="92">
        <f>Base!D10</f>
        <v>363</v>
      </c>
      <c r="E815" s="92">
        <f>Base!E10</f>
        <v>425</v>
      </c>
      <c r="F815" s="92">
        <f>Base!F10</f>
        <v>559</v>
      </c>
      <c r="G815" s="92">
        <f>Base!G10</f>
        <v>639</v>
      </c>
      <c r="H815" s="92">
        <f>Base!H10</f>
        <v>745</v>
      </c>
      <c r="I815" s="92">
        <f>Base!I10</f>
        <v>831</v>
      </c>
      <c r="J815" s="92">
        <f>Base!J10</f>
        <v>836</v>
      </c>
      <c r="K815" s="92">
        <f>Base!K10</f>
        <v>873</v>
      </c>
      <c r="L815" s="92">
        <f>Base!L10</f>
        <v>905</v>
      </c>
      <c r="M815" s="92">
        <f>Base!M10</f>
        <v>953</v>
      </c>
      <c r="N815" s="92">
        <f>Base!N10</f>
        <v>1128</v>
      </c>
      <c r="O815" s="92">
        <f>Base!O10</f>
        <v>1532</v>
      </c>
      <c r="P815" s="92">
        <f>Base!P10</f>
        <v>1594</v>
      </c>
      <c r="Q815" s="92">
        <f>Base!Q10</f>
        <v>1698</v>
      </c>
      <c r="R815" s="92">
        <f>Base!R10</f>
        <v>1813</v>
      </c>
      <c r="S815" s="92">
        <f>Base!S10</f>
        <v>1917</v>
      </c>
      <c r="T815" s="92">
        <f>Base!T10</f>
        <v>1916</v>
      </c>
      <c r="U815" s="92">
        <f>Base!U10</f>
        <v>1821</v>
      </c>
      <c r="V815" s="92">
        <f>Base!V10</f>
        <v>1789</v>
      </c>
      <c r="W815" s="92">
        <f>Base!W10</f>
        <v>1833</v>
      </c>
      <c r="X815" s="92">
        <f>Base!X10</f>
        <v>1851</v>
      </c>
      <c r="Y815" s="92">
        <f>Base!Y10</f>
        <v>1903</v>
      </c>
      <c r="Z815" s="92">
        <f>Base!Z10</f>
        <v>1968</v>
      </c>
      <c r="AA815" s="92">
        <f>Base!AA10</f>
        <v>2020</v>
      </c>
      <c r="AB815" s="92">
        <f>Base!AB10</f>
        <v>2065</v>
      </c>
      <c r="AC815" s="92">
        <f>Base!AC10</f>
        <v>2110</v>
      </c>
      <c r="AD815" s="92">
        <f>Base!AD10</f>
        <v>2155</v>
      </c>
      <c r="AE815" s="92">
        <f>Base!AE10</f>
        <v>2193</v>
      </c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  <c r="CA815" s="9"/>
      <c r="CB815" s="9"/>
      <c r="CC815" s="9"/>
      <c r="CD815" s="9"/>
    </row>
    <row r="816" spans="1:82">
      <c r="A816" s="36" t="s">
        <v>201</v>
      </c>
      <c r="B816" s="92">
        <f>Bull!B10</f>
        <v>283</v>
      </c>
      <c r="C816" s="92">
        <f>Bull!C10</f>
        <v>342</v>
      </c>
      <c r="D816" s="92">
        <f>Bull!D10</f>
        <v>363</v>
      </c>
      <c r="E816" s="92">
        <f>Bull!E10</f>
        <v>425</v>
      </c>
      <c r="F816" s="92">
        <f>Bull!F10</f>
        <v>559</v>
      </c>
      <c r="G816" s="92">
        <f>Bull!G10</f>
        <v>639</v>
      </c>
      <c r="H816" s="92">
        <f>Bull!H10</f>
        <v>745</v>
      </c>
      <c r="I816" s="92">
        <f>Bull!I10</f>
        <v>831</v>
      </c>
      <c r="J816" s="92">
        <f>Bull!J10</f>
        <v>836</v>
      </c>
      <c r="K816" s="92">
        <f>Bull!K10</f>
        <v>873</v>
      </c>
      <c r="L816" s="92">
        <f>Bull!L10</f>
        <v>905</v>
      </c>
      <c r="M816" s="92">
        <f>Bull!M10</f>
        <v>953</v>
      </c>
      <c r="N816" s="92">
        <f>Bull!N10</f>
        <v>1128</v>
      </c>
      <c r="O816" s="92">
        <f>Bull!O10</f>
        <v>1532</v>
      </c>
      <c r="P816" s="92">
        <f>Bull!P10</f>
        <v>1594</v>
      </c>
      <c r="Q816" s="92">
        <f>Bull!Q10</f>
        <v>1698</v>
      </c>
      <c r="R816" s="92">
        <f>Bull!R10</f>
        <v>1813</v>
      </c>
      <c r="S816" s="92">
        <f>Bull!S10</f>
        <v>1917</v>
      </c>
      <c r="T816" s="92">
        <f>Bull!T10</f>
        <v>1916</v>
      </c>
      <c r="U816" s="92">
        <f>Bull!U10</f>
        <v>1821</v>
      </c>
      <c r="V816" s="92">
        <f>Bull!V10</f>
        <v>1789</v>
      </c>
      <c r="W816" s="92">
        <f>Bull!W10</f>
        <v>1833</v>
      </c>
      <c r="X816" s="92">
        <f>Bull!X10</f>
        <v>1851</v>
      </c>
      <c r="Y816" s="92">
        <f>Bull!Y10</f>
        <v>1903</v>
      </c>
      <c r="Z816" s="92">
        <f>Bull!Z10</f>
        <v>1968</v>
      </c>
      <c r="AA816" s="92">
        <f>Bull!AA10</f>
        <v>2020</v>
      </c>
      <c r="AB816" s="92">
        <f>Bull!AB10</f>
        <v>2065</v>
      </c>
      <c r="AC816" s="92">
        <f>Bull!AC10</f>
        <v>2110</v>
      </c>
      <c r="AD816" s="92">
        <f>Bull!AD10</f>
        <v>2155</v>
      </c>
      <c r="AE816" s="92">
        <f>Bull!AE10</f>
        <v>2193</v>
      </c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  <c r="CA816" s="9"/>
      <c r="CB816" s="9"/>
      <c r="CC816" s="9"/>
      <c r="CD816" s="9"/>
    </row>
    <row r="817" spans="1:82">
      <c r="A817" s="36" t="s">
        <v>202</v>
      </c>
      <c r="B817" s="92">
        <f>Bear!B10</f>
        <v>283</v>
      </c>
      <c r="C817" s="92">
        <f>Bear!C10</f>
        <v>342</v>
      </c>
      <c r="D817" s="92">
        <f>Bear!D10</f>
        <v>363</v>
      </c>
      <c r="E817" s="92">
        <f>Bear!E10</f>
        <v>425</v>
      </c>
      <c r="F817" s="92">
        <f>Bear!F10</f>
        <v>559</v>
      </c>
      <c r="G817" s="92">
        <f>Bear!G10</f>
        <v>639</v>
      </c>
      <c r="H817" s="92">
        <f>Bear!H10</f>
        <v>745</v>
      </c>
      <c r="I817" s="92">
        <f>Bear!I10</f>
        <v>831</v>
      </c>
      <c r="J817" s="92">
        <f>Bear!J10</f>
        <v>836</v>
      </c>
      <c r="K817" s="92">
        <f>Bear!K10</f>
        <v>873</v>
      </c>
      <c r="L817" s="92">
        <f>Bear!L10</f>
        <v>905</v>
      </c>
      <c r="M817" s="92">
        <f>Bear!M10</f>
        <v>953</v>
      </c>
      <c r="N817" s="92">
        <f>Bear!N10</f>
        <v>1128</v>
      </c>
      <c r="O817" s="92">
        <f>Bear!O10</f>
        <v>1532</v>
      </c>
      <c r="P817" s="92">
        <f>Bear!P10</f>
        <v>1594</v>
      </c>
      <c r="Q817" s="92">
        <f>Bear!Q10</f>
        <v>1698</v>
      </c>
      <c r="R817" s="92">
        <f>Bear!R10</f>
        <v>1813</v>
      </c>
      <c r="S817" s="92">
        <f>Bear!S10</f>
        <v>1917</v>
      </c>
      <c r="T817" s="92">
        <f>Bear!T10</f>
        <v>1916</v>
      </c>
      <c r="U817" s="92">
        <f>Bear!U10</f>
        <v>1821</v>
      </c>
      <c r="V817" s="92">
        <f>Bear!V10</f>
        <v>1789</v>
      </c>
      <c r="W817" s="92">
        <f>Bear!W10</f>
        <v>1833</v>
      </c>
      <c r="X817" s="92">
        <f>Bear!X10</f>
        <v>1851</v>
      </c>
      <c r="Y817" s="92">
        <f>Bear!Y10</f>
        <v>1900</v>
      </c>
      <c r="Z817" s="92">
        <f>Bear!Z10</f>
        <v>1951</v>
      </c>
      <c r="AA817" s="92">
        <f>Bear!AA10</f>
        <v>1993</v>
      </c>
      <c r="AB817" s="92">
        <f>Bear!AB10</f>
        <v>2028</v>
      </c>
      <c r="AC817" s="92">
        <f>Bear!AC10</f>
        <v>2063</v>
      </c>
      <c r="AD817" s="92">
        <f>Bear!AD10</f>
        <v>2098</v>
      </c>
      <c r="AE817" s="92">
        <f>Bear!AE10</f>
        <v>2127</v>
      </c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  <c r="CA817" s="9"/>
      <c r="CB817" s="9"/>
      <c r="CC817" s="9"/>
      <c r="CD817" s="9"/>
    </row>
    <row r="818" spans="1:8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  <c r="CA818" s="9"/>
      <c r="CB818" s="9"/>
      <c r="CC818" s="9"/>
      <c r="CD818" s="9"/>
    </row>
    <row r="819" spans="1:82">
      <c r="A819" s="242" t="s">
        <v>1284</v>
      </c>
      <c r="B819" s="264">
        <v>2001</v>
      </c>
      <c r="C819" s="264">
        <v>2002</v>
      </c>
      <c r="D819" s="264">
        <v>2003</v>
      </c>
      <c r="E819" s="264">
        <v>2004</v>
      </c>
      <c r="F819" s="264">
        <v>2005</v>
      </c>
      <c r="G819" s="264">
        <v>2006</v>
      </c>
      <c r="H819" s="264">
        <v>2007</v>
      </c>
      <c r="I819" s="264">
        <v>2008</v>
      </c>
      <c r="J819" s="264">
        <v>2009</v>
      </c>
      <c r="K819" s="264">
        <v>2010</v>
      </c>
      <c r="L819" s="264">
        <v>2011</v>
      </c>
      <c r="M819" s="264">
        <v>2012</v>
      </c>
      <c r="N819" s="264">
        <v>2013</v>
      </c>
      <c r="O819" s="264">
        <v>2014</v>
      </c>
      <c r="P819" s="264">
        <v>2015</v>
      </c>
      <c r="Q819" s="264">
        <v>2016</v>
      </c>
      <c r="R819" s="264">
        <v>2017</v>
      </c>
      <c r="S819" s="264">
        <f t="shared" ref="S819:X819" si="426">S$6</f>
        <v>2018</v>
      </c>
      <c r="T819" s="264">
        <f t="shared" si="426"/>
        <v>2019</v>
      </c>
      <c r="U819" s="264">
        <f t="shared" si="426"/>
        <v>2020</v>
      </c>
      <c r="V819" s="264">
        <f t="shared" si="426"/>
        <v>2021</v>
      </c>
      <c r="W819" s="264">
        <f t="shared" si="426"/>
        <v>2022</v>
      </c>
      <c r="X819" s="264">
        <f t="shared" si="426"/>
        <v>2023</v>
      </c>
      <c r="Y819" s="594">
        <v>2024</v>
      </c>
      <c r="Z819" s="594">
        <v>2025</v>
      </c>
      <c r="AA819" s="594">
        <v>2026</v>
      </c>
      <c r="AB819" s="594">
        <v>2027</v>
      </c>
      <c r="AC819" s="594">
        <v>2028</v>
      </c>
      <c r="AD819" s="594">
        <v>2029</v>
      </c>
      <c r="AE819" s="594">
        <v>2030</v>
      </c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  <c r="CA819" s="9"/>
      <c r="CB819" s="9"/>
      <c r="CC819" s="9"/>
      <c r="CD819" s="9"/>
    </row>
    <row r="820" spans="1:82">
      <c r="A820" s="36" t="s">
        <v>200</v>
      </c>
      <c r="B820" s="92">
        <f>Base!B11</f>
        <v>0</v>
      </c>
      <c r="C820" s="92">
        <f>Base!C11</f>
        <v>0</v>
      </c>
      <c r="D820" s="92">
        <f>Base!D11</f>
        <v>0</v>
      </c>
      <c r="E820" s="92">
        <f>Base!E11</f>
        <v>0</v>
      </c>
      <c r="F820" s="92">
        <f>Base!F11</f>
        <v>0</v>
      </c>
      <c r="G820" s="92">
        <f>Base!G11</f>
        <v>0</v>
      </c>
      <c r="H820" s="92">
        <f>Base!H11</f>
        <v>0</v>
      </c>
      <c r="I820" s="92">
        <f>Base!I11</f>
        <v>0</v>
      </c>
      <c r="J820" s="92">
        <f>Base!J11</f>
        <v>0</v>
      </c>
      <c r="K820" s="92">
        <f>Base!K11</f>
        <v>0</v>
      </c>
      <c r="L820" s="92">
        <f>Base!L11</f>
        <v>0</v>
      </c>
      <c r="M820" s="92">
        <f>Base!M11</f>
        <v>0</v>
      </c>
      <c r="N820" s="92">
        <f>Base!N11</f>
        <v>0</v>
      </c>
      <c r="O820" s="92">
        <f>Base!O11</f>
        <v>302</v>
      </c>
      <c r="P820" s="92">
        <f>Base!P11</f>
        <v>313</v>
      </c>
      <c r="Q820" s="92">
        <f>Base!Q11</f>
        <v>344</v>
      </c>
      <c r="R820" s="92">
        <f>Base!R11</f>
        <v>381</v>
      </c>
      <c r="S820" s="92">
        <f>Base!S11</f>
        <v>420</v>
      </c>
      <c r="T820" s="92">
        <f>Base!T11</f>
        <v>888</v>
      </c>
      <c r="U820" s="92">
        <f>Base!U11</f>
        <v>862</v>
      </c>
      <c r="V820" s="92">
        <f>Base!V11</f>
        <v>878</v>
      </c>
      <c r="W820" s="92">
        <f>Base!W11</f>
        <v>928</v>
      </c>
      <c r="X820" s="92">
        <f>Base!X11</f>
        <v>976</v>
      </c>
      <c r="Y820" s="92">
        <f>Base!Y11</f>
        <v>1011</v>
      </c>
      <c r="Z820" s="92">
        <f>Base!Z11</f>
        <v>1038</v>
      </c>
      <c r="AA820" s="92">
        <f>Base!AA11</f>
        <v>1060</v>
      </c>
      <c r="AB820" s="92">
        <f>Base!AB11</f>
        <v>1079</v>
      </c>
      <c r="AC820" s="92">
        <f>Base!AC11</f>
        <v>1098</v>
      </c>
      <c r="AD820" s="92">
        <f>Base!AD11</f>
        <v>1117</v>
      </c>
      <c r="AE820" s="92">
        <f>Base!AE11</f>
        <v>1134</v>
      </c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  <c r="CA820" s="9"/>
      <c r="CB820" s="9"/>
      <c r="CC820" s="9"/>
      <c r="CD820" s="9"/>
    </row>
    <row r="821" spans="1:82">
      <c r="A821" s="36" t="s">
        <v>201</v>
      </c>
      <c r="B821" s="92">
        <f>Bull!B11</f>
        <v>0</v>
      </c>
      <c r="C821" s="92">
        <f>Bull!C11</f>
        <v>0</v>
      </c>
      <c r="D821" s="92">
        <f>Bull!D11</f>
        <v>0</v>
      </c>
      <c r="E821" s="92">
        <f>Bull!E11</f>
        <v>0</v>
      </c>
      <c r="F821" s="92">
        <f>Bull!F11</f>
        <v>0</v>
      </c>
      <c r="G821" s="92">
        <f>Bull!G11</f>
        <v>0</v>
      </c>
      <c r="H821" s="92">
        <f>Bull!H11</f>
        <v>0</v>
      </c>
      <c r="I821" s="92">
        <f>Bull!I11</f>
        <v>0</v>
      </c>
      <c r="J821" s="92">
        <f>Bull!J11</f>
        <v>0</v>
      </c>
      <c r="K821" s="92">
        <f>Bull!K11</f>
        <v>0</v>
      </c>
      <c r="L821" s="92">
        <f>Bull!L11</f>
        <v>0</v>
      </c>
      <c r="M821" s="92">
        <f>Bull!M11</f>
        <v>0</v>
      </c>
      <c r="N821" s="92">
        <f>Bull!N11</f>
        <v>0</v>
      </c>
      <c r="O821" s="92">
        <f>Bull!O11</f>
        <v>302</v>
      </c>
      <c r="P821" s="92">
        <f>Bull!P11</f>
        <v>313</v>
      </c>
      <c r="Q821" s="92">
        <f>Bull!Q11</f>
        <v>344</v>
      </c>
      <c r="R821" s="92">
        <f>Bull!R11</f>
        <v>381</v>
      </c>
      <c r="S821" s="92">
        <f>Bull!S11</f>
        <v>420</v>
      </c>
      <c r="T821" s="92">
        <f>Bull!T11</f>
        <v>888</v>
      </c>
      <c r="U821" s="92">
        <f>Bull!U11</f>
        <v>862</v>
      </c>
      <c r="V821" s="92">
        <f>Bull!V11</f>
        <v>878</v>
      </c>
      <c r="W821" s="92">
        <f>Bull!W11</f>
        <v>928</v>
      </c>
      <c r="X821" s="92">
        <f>Bull!X11</f>
        <v>976</v>
      </c>
      <c r="Y821" s="92">
        <f>Bull!Y11</f>
        <v>1011</v>
      </c>
      <c r="Z821" s="92">
        <f>Bull!Z11</f>
        <v>1038</v>
      </c>
      <c r="AA821" s="92">
        <f>Bull!AA11</f>
        <v>1060</v>
      </c>
      <c r="AB821" s="92">
        <f>Bull!AB11</f>
        <v>1079</v>
      </c>
      <c r="AC821" s="92">
        <f>Bull!AC11</f>
        <v>1098</v>
      </c>
      <c r="AD821" s="92">
        <f>Bull!AD11</f>
        <v>1117</v>
      </c>
      <c r="AE821" s="92">
        <f>Bull!AE11</f>
        <v>1134</v>
      </c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  <c r="CA821" s="9"/>
      <c r="CB821" s="9"/>
      <c r="CC821" s="9"/>
      <c r="CD821" s="9"/>
    </row>
    <row r="822" spans="1:82">
      <c r="A822" s="36" t="s">
        <v>202</v>
      </c>
      <c r="B822" s="92">
        <f>Bear!B11</f>
        <v>0</v>
      </c>
      <c r="C822" s="92">
        <f>Bear!C11</f>
        <v>0</v>
      </c>
      <c r="D822" s="92">
        <f>Bear!D11</f>
        <v>0</v>
      </c>
      <c r="E822" s="92">
        <f>Bear!E11</f>
        <v>0</v>
      </c>
      <c r="F822" s="92">
        <f>Bear!F11</f>
        <v>0</v>
      </c>
      <c r="G822" s="92">
        <f>Bear!G11</f>
        <v>0</v>
      </c>
      <c r="H822" s="92">
        <f>Bear!H11</f>
        <v>0</v>
      </c>
      <c r="I822" s="92">
        <f>Bear!I11</f>
        <v>0</v>
      </c>
      <c r="J822" s="92">
        <f>Bear!J11</f>
        <v>0</v>
      </c>
      <c r="K822" s="92">
        <f>Bear!K11</f>
        <v>0</v>
      </c>
      <c r="L822" s="92">
        <f>Bear!L11</f>
        <v>0</v>
      </c>
      <c r="M822" s="92">
        <f>Bear!M11</f>
        <v>0</v>
      </c>
      <c r="N822" s="92">
        <f>Bear!N11</f>
        <v>0</v>
      </c>
      <c r="O822" s="92">
        <f>Bear!O11</f>
        <v>302</v>
      </c>
      <c r="P822" s="92">
        <f>Bear!P11</f>
        <v>313</v>
      </c>
      <c r="Q822" s="92">
        <f>Bear!Q11</f>
        <v>344</v>
      </c>
      <c r="R822" s="92">
        <f>Bear!R11</f>
        <v>381</v>
      </c>
      <c r="S822" s="92">
        <f>Bear!S11</f>
        <v>420</v>
      </c>
      <c r="T822" s="92">
        <f>Bear!T11</f>
        <v>888</v>
      </c>
      <c r="U822" s="92">
        <f>Bear!U11</f>
        <v>862</v>
      </c>
      <c r="V822" s="92">
        <f>Bear!V11</f>
        <v>878</v>
      </c>
      <c r="W822" s="92">
        <f>Bear!W11</f>
        <v>928</v>
      </c>
      <c r="X822" s="92">
        <f>Bear!X11</f>
        <v>976</v>
      </c>
      <c r="Y822" s="92">
        <f>Bear!Y11</f>
        <v>1007</v>
      </c>
      <c r="Z822" s="92">
        <f>Bear!Z11</f>
        <v>1029</v>
      </c>
      <c r="AA822" s="92">
        <f>Bear!AA11</f>
        <v>1046</v>
      </c>
      <c r="AB822" s="92">
        <f>Bear!AB11</f>
        <v>1061</v>
      </c>
      <c r="AC822" s="92">
        <f>Bear!AC11</f>
        <v>1076</v>
      </c>
      <c r="AD822" s="92">
        <f>Bear!AD11</f>
        <v>1091</v>
      </c>
      <c r="AE822" s="92">
        <f>Bear!AE11</f>
        <v>1103</v>
      </c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  <c r="CA822" s="9"/>
      <c r="CB822" s="9"/>
      <c r="CC822" s="9"/>
      <c r="CD822" s="9"/>
    </row>
    <row r="823" spans="1:8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  <c r="CA823" s="9"/>
      <c r="CB823" s="9"/>
      <c r="CC823" s="9"/>
      <c r="CD823" s="9"/>
    </row>
    <row r="824" spans="1:82">
      <c r="A824" s="242" t="s">
        <v>1285</v>
      </c>
      <c r="B824" s="264">
        <v>2001</v>
      </c>
      <c r="C824" s="264">
        <v>2002</v>
      </c>
      <c r="D824" s="264">
        <v>2003</v>
      </c>
      <c r="E824" s="264">
        <v>2004</v>
      </c>
      <c r="F824" s="264">
        <v>2005</v>
      </c>
      <c r="G824" s="264">
        <v>2006</v>
      </c>
      <c r="H824" s="264">
        <v>2007</v>
      </c>
      <c r="I824" s="264">
        <v>2008</v>
      </c>
      <c r="J824" s="264">
        <v>2009</v>
      </c>
      <c r="K824" s="264">
        <v>2010</v>
      </c>
      <c r="L824" s="264">
        <v>2011</v>
      </c>
      <c r="M824" s="264">
        <v>2012</v>
      </c>
      <c r="N824" s="264">
        <v>2013</v>
      </c>
      <c r="O824" s="264">
        <v>2014</v>
      </c>
      <c r="P824" s="264">
        <v>2015</v>
      </c>
      <c r="Q824" s="264">
        <v>2016</v>
      </c>
      <c r="R824" s="264">
        <v>2017</v>
      </c>
      <c r="S824" s="264">
        <f t="shared" ref="S824:X824" si="427">S$6</f>
        <v>2018</v>
      </c>
      <c r="T824" s="264">
        <f t="shared" si="427"/>
        <v>2019</v>
      </c>
      <c r="U824" s="264">
        <f t="shared" si="427"/>
        <v>2020</v>
      </c>
      <c r="V824" s="264">
        <f t="shared" si="427"/>
        <v>2021</v>
      </c>
      <c r="W824" s="264">
        <f t="shared" si="427"/>
        <v>2022</v>
      </c>
      <c r="X824" s="264">
        <f t="shared" si="427"/>
        <v>2023</v>
      </c>
      <c r="Y824" s="594">
        <v>2024</v>
      </c>
      <c r="Z824" s="594">
        <v>2025</v>
      </c>
      <c r="AA824" s="594">
        <v>2026</v>
      </c>
      <c r="AB824" s="594">
        <v>2027</v>
      </c>
      <c r="AC824" s="594">
        <v>2028</v>
      </c>
      <c r="AD824" s="594">
        <v>2029</v>
      </c>
      <c r="AE824" s="594">
        <v>2030</v>
      </c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  <c r="CA824" s="9"/>
      <c r="CB824" s="9"/>
      <c r="CC824" s="9"/>
      <c r="CD824" s="9"/>
    </row>
    <row r="825" spans="1:82">
      <c r="A825" s="36" t="s">
        <v>200</v>
      </c>
      <c r="B825" s="92">
        <f>Base!B12</f>
        <v>0</v>
      </c>
      <c r="C825" s="92">
        <f>Base!C12</f>
        <v>0</v>
      </c>
      <c r="D825" s="92">
        <f>Base!D12</f>
        <v>0</v>
      </c>
      <c r="E825" s="92">
        <f>Base!E12</f>
        <v>0</v>
      </c>
      <c r="F825" s="92">
        <f>Base!F12</f>
        <v>0</v>
      </c>
      <c r="G825" s="92">
        <f>Base!G12</f>
        <v>50</v>
      </c>
      <c r="H825" s="92">
        <f>Base!H12</f>
        <v>61</v>
      </c>
      <c r="I825" s="92">
        <f>Base!I12</f>
        <v>98</v>
      </c>
      <c r="J825" s="92">
        <f>Base!J12</f>
        <v>116</v>
      </c>
      <c r="K825" s="92">
        <f>Base!K12</f>
        <v>138</v>
      </c>
      <c r="L825" s="92">
        <f>Base!L12</f>
        <v>172</v>
      </c>
      <c r="M825" s="92">
        <f>Base!M12</f>
        <v>208</v>
      </c>
      <c r="N825" s="92">
        <f>Base!N12</f>
        <v>283</v>
      </c>
      <c r="O825" s="92">
        <f>Base!O12</f>
        <v>327</v>
      </c>
      <c r="P825" s="92">
        <f>Base!P12</f>
        <v>376</v>
      </c>
      <c r="Q825" s="92">
        <f>Base!Q12</f>
        <v>460</v>
      </c>
      <c r="R825" s="92">
        <f>Base!R12</f>
        <v>522</v>
      </c>
      <c r="S825" s="92">
        <f>Base!S12</f>
        <v>610</v>
      </c>
      <c r="T825" s="92">
        <f>Base!T12</f>
        <v>615</v>
      </c>
      <c r="U825" s="92">
        <f>Base!U12</f>
        <v>601</v>
      </c>
      <c r="V825" s="92">
        <f>Base!V12</f>
        <v>622</v>
      </c>
      <c r="W825" s="92">
        <f>Base!W12</f>
        <v>675</v>
      </c>
      <c r="X825" s="92">
        <f>Base!X12</f>
        <v>725</v>
      </c>
      <c r="Y825" s="92">
        <f>Base!Y12</f>
        <v>755</v>
      </c>
      <c r="Z825" s="92">
        <f>Base!Z12</f>
        <v>774</v>
      </c>
      <c r="AA825" s="92">
        <f>Base!AA12</f>
        <v>788</v>
      </c>
      <c r="AB825" s="92">
        <f>Base!AB12</f>
        <v>800</v>
      </c>
      <c r="AC825" s="92">
        <f>Base!AC12</f>
        <v>812</v>
      </c>
      <c r="AD825" s="92">
        <f>Base!AD12</f>
        <v>824</v>
      </c>
      <c r="AE825" s="92">
        <f>Base!AE12</f>
        <v>835</v>
      </c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  <c r="CA825" s="9"/>
      <c r="CB825" s="9"/>
      <c r="CC825" s="9"/>
      <c r="CD825" s="9"/>
    </row>
    <row r="826" spans="1:82">
      <c r="A826" s="36" t="s">
        <v>201</v>
      </c>
      <c r="B826" s="92">
        <f>Bull!B12</f>
        <v>0</v>
      </c>
      <c r="C826" s="92">
        <f>Bull!C12</f>
        <v>0</v>
      </c>
      <c r="D826" s="92">
        <f>Bull!D12</f>
        <v>0</v>
      </c>
      <c r="E826" s="92">
        <f>Bull!E12</f>
        <v>0</v>
      </c>
      <c r="F826" s="92">
        <f>Bull!F12</f>
        <v>0</v>
      </c>
      <c r="G826" s="92">
        <f>Bull!G12</f>
        <v>50</v>
      </c>
      <c r="H826" s="92">
        <f>Bull!H12</f>
        <v>61</v>
      </c>
      <c r="I826" s="92">
        <f>Bull!I12</f>
        <v>98</v>
      </c>
      <c r="J826" s="92">
        <f>Bull!J12</f>
        <v>116</v>
      </c>
      <c r="K826" s="92">
        <f>Bull!K12</f>
        <v>138</v>
      </c>
      <c r="L826" s="92">
        <f>Bull!L12</f>
        <v>172</v>
      </c>
      <c r="M826" s="92">
        <f>Bull!M12</f>
        <v>208</v>
      </c>
      <c r="N826" s="92">
        <f>Bull!N12</f>
        <v>283</v>
      </c>
      <c r="O826" s="92">
        <f>Bull!O12</f>
        <v>327</v>
      </c>
      <c r="P826" s="92">
        <f>Bull!P12</f>
        <v>376</v>
      </c>
      <c r="Q826" s="92">
        <f>Bull!Q12</f>
        <v>460</v>
      </c>
      <c r="R826" s="92">
        <f>Bull!R12</f>
        <v>522</v>
      </c>
      <c r="S826" s="92">
        <f>Bull!S12</f>
        <v>610</v>
      </c>
      <c r="T826" s="92">
        <f>Bull!T12</f>
        <v>615</v>
      </c>
      <c r="U826" s="92">
        <f>Bull!U12</f>
        <v>601</v>
      </c>
      <c r="V826" s="92">
        <f>Bull!V12</f>
        <v>622</v>
      </c>
      <c r="W826" s="92">
        <f>Bull!W12</f>
        <v>675</v>
      </c>
      <c r="X826" s="92">
        <f>Bull!X12</f>
        <v>725</v>
      </c>
      <c r="Y826" s="92">
        <f>Bull!Y12</f>
        <v>755</v>
      </c>
      <c r="Z826" s="92">
        <f>Bull!Z12</f>
        <v>774</v>
      </c>
      <c r="AA826" s="92">
        <f>Bull!AA12</f>
        <v>788</v>
      </c>
      <c r="AB826" s="92">
        <f>Bull!AB12</f>
        <v>800</v>
      </c>
      <c r="AC826" s="92">
        <f>Bull!AC12</f>
        <v>812</v>
      </c>
      <c r="AD826" s="92">
        <f>Bull!AD12</f>
        <v>824</v>
      </c>
      <c r="AE826" s="92">
        <f>Bull!AE12</f>
        <v>835</v>
      </c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  <c r="CA826" s="9"/>
      <c r="CB826" s="9"/>
      <c r="CC826" s="9"/>
      <c r="CD826" s="9"/>
    </row>
    <row r="827" spans="1:82">
      <c r="A827" s="36" t="s">
        <v>202</v>
      </c>
      <c r="B827" s="92">
        <f>Bear!B12</f>
        <v>0</v>
      </c>
      <c r="C827" s="92">
        <f>Bear!C12</f>
        <v>0</v>
      </c>
      <c r="D827" s="92">
        <f>Bear!D12</f>
        <v>0</v>
      </c>
      <c r="E827" s="92">
        <f>Bear!E12</f>
        <v>0</v>
      </c>
      <c r="F827" s="92">
        <f>Bear!F12</f>
        <v>0</v>
      </c>
      <c r="G827" s="92">
        <f>Bear!G12</f>
        <v>50</v>
      </c>
      <c r="H827" s="92">
        <f>Bear!H12</f>
        <v>61</v>
      </c>
      <c r="I827" s="92">
        <f>Bear!I12</f>
        <v>98</v>
      </c>
      <c r="J827" s="92">
        <f>Bear!J12</f>
        <v>116</v>
      </c>
      <c r="K827" s="92">
        <f>Bear!K12</f>
        <v>138</v>
      </c>
      <c r="L827" s="92">
        <f>Bear!L12</f>
        <v>172</v>
      </c>
      <c r="M827" s="92">
        <f>Bear!M12</f>
        <v>208</v>
      </c>
      <c r="N827" s="92">
        <f>Bear!N12</f>
        <v>283</v>
      </c>
      <c r="O827" s="92">
        <f>Bear!O12</f>
        <v>327</v>
      </c>
      <c r="P827" s="92">
        <f>Bear!P12</f>
        <v>376</v>
      </c>
      <c r="Q827" s="92">
        <f>Bear!Q12</f>
        <v>460</v>
      </c>
      <c r="R827" s="92">
        <f>Bear!R12</f>
        <v>522</v>
      </c>
      <c r="S827" s="92">
        <f>Bear!S12</f>
        <v>610</v>
      </c>
      <c r="T827" s="92">
        <f>Bear!T12</f>
        <v>615</v>
      </c>
      <c r="U827" s="92">
        <f>Bear!U12</f>
        <v>601</v>
      </c>
      <c r="V827" s="92">
        <f>Bear!V12</f>
        <v>622</v>
      </c>
      <c r="W827" s="92">
        <f>Bear!W12</f>
        <v>675</v>
      </c>
      <c r="X827" s="92">
        <f>Bear!X12</f>
        <v>725</v>
      </c>
      <c r="Y827" s="92">
        <f>Bear!Y12</f>
        <v>750</v>
      </c>
      <c r="Z827" s="92">
        <f>Bear!Z12</f>
        <v>765</v>
      </c>
      <c r="AA827" s="92">
        <f>Bear!AA12</f>
        <v>775</v>
      </c>
      <c r="AB827" s="92">
        <f>Bear!AB12</f>
        <v>786</v>
      </c>
      <c r="AC827" s="92">
        <f>Bear!AC12</f>
        <v>797</v>
      </c>
      <c r="AD827" s="92">
        <f>Bear!AD12</f>
        <v>808</v>
      </c>
      <c r="AE827" s="92">
        <f>Bear!AE12</f>
        <v>818</v>
      </c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  <c r="CA827" s="9"/>
      <c r="CB827" s="9"/>
      <c r="CC827" s="9"/>
      <c r="CD827" s="9"/>
    </row>
    <row r="828" spans="1:8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  <c r="CA828" s="9"/>
      <c r="CB828" s="9"/>
      <c r="CC828" s="9"/>
      <c r="CD828" s="9"/>
    </row>
    <row r="829" spans="1:82">
      <c r="A829" s="242" t="s">
        <v>1286</v>
      </c>
      <c r="B829" s="264">
        <v>2001</v>
      </c>
      <c r="C829" s="264">
        <v>2002</v>
      </c>
      <c r="D829" s="264">
        <v>2003</v>
      </c>
      <c r="E829" s="264">
        <v>2004</v>
      </c>
      <c r="F829" s="264">
        <v>2005</v>
      </c>
      <c r="G829" s="264">
        <v>2006</v>
      </c>
      <c r="H829" s="264">
        <v>2007</v>
      </c>
      <c r="I829" s="264">
        <v>2008</v>
      </c>
      <c r="J829" s="264">
        <f t="shared" ref="J829:R829" si="428">J$50</f>
        <v>2009</v>
      </c>
      <c r="K829" s="264">
        <f t="shared" si="428"/>
        <v>2010</v>
      </c>
      <c r="L829" s="264">
        <f t="shared" si="428"/>
        <v>2011</v>
      </c>
      <c r="M829" s="264">
        <f t="shared" si="428"/>
        <v>2012</v>
      </c>
      <c r="N829" s="264">
        <f t="shared" si="428"/>
        <v>2013</v>
      </c>
      <c r="O829" s="264">
        <f t="shared" si="428"/>
        <v>2014</v>
      </c>
      <c r="P829" s="264">
        <f t="shared" si="428"/>
        <v>2015</v>
      </c>
      <c r="Q829" s="264">
        <f t="shared" si="428"/>
        <v>2016</v>
      </c>
      <c r="R829" s="264">
        <f t="shared" si="428"/>
        <v>2017</v>
      </c>
      <c r="S829" s="264">
        <f t="shared" ref="S829:X829" si="429">S$6</f>
        <v>2018</v>
      </c>
      <c r="T829" s="264">
        <f t="shared" si="429"/>
        <v>2019</v>
      </c>
      <c r="U829" s="264">
        <f t="shared" si="429"/>
        <v>2020</v>
      </c>
      <c r="V829" s="264">
        <f t="shared" si="429"/>
        <v>2021</v>
      </c>
      <c r="W829" s="264">
        <f t="shared" si="429"/>
        <v>2022</v>
      </c>
      <c r="X829" s="264">
        <f t="shared" si="429"/>
        <v>2023</v>
      </c>
      <c r="Y829" s="1148">
        <f t="shared" ref="Y829:AE829" si="430">Y$50</f>
        <v>2024</v>
      </c>
      <c r="Z829" s="1148">
        <f t="shared" si="430"/>
        <v>2025</v>
      </c>
      <c r="AA829" s="1148">
        <f t="shared" si="430"/>
        <v>2026</v>
      </c>
      <c r="AB829" s="1148">
        <f t="shared" si="430"/>
        <v>2027</v>
      </c>
      <c r="AC829" s="1148">
        <f t="shared" si="430"/>
        <v>2028</v>
      </c>
      <c r="AD829" s="1148">
        <f t="shared" si="430"/>
        <v>2029</v>
      </c>
      <c r="AE829" s="1148">
        <f t="shared" si="430"/>
        <v>2030</v>
      </c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  <c r="CA829" s="9"/>
      <c r="CB829" s="9"/>
      <c r="CC829" s="9"/>
      <c r="CD829" s="9"/>
    </row>
    <row r="830" spans="1:82">
      <c r="A830" s="36" t="s">
        <v>200</v>
      </c>
      <c r="B830" s="9" t="e">
        <f>IF(Base!B18="",NA(),Base!B18)</f>
        <v>#N/A</v>
      </c>
      <c r="C830" s="9">
        <f>IF(Base!C18="",NA(),Base!C18)</f>
        <v>59</v>
      </c>
      <c r="D830" s="9">
        <f>IF(Base!D18="",NA(),Base!D18)</f>
        <v>21</v>
      </c>
      <c r="E830" s="9">
        <f>IF(Base!E18="",NA(),Base!E18)</f>
        <v>62</v>
      </c>
      <c r="F830" s="9">
        <f>IF(Base!F18="",NA(),Base!F18)</f>
        <v>134</v>
      </c>
      <c r="G830" s="9">
        <f>IF(Base!G18="",NA(),Base!G18)</f>
        <v>80</v>
      </c>
      <c r="H830" s="9">
        <f>IF(Base!H18="",NA(),Base!H18)</f>
        <v>106</v>
      </c>
      <c r="I830" s="9">
        <f>IF(Base!I18="",NA(),Base!I18)</f>
        <v>86</v>
      </c>
      <c r="J830" s="9">
        <f>IF(Base!J18="",NA(),Base!J18)</f>
        <v>5</v>
      </c>
      <c r="K830" s="9">
        <f>IF(Base!K18="",NA(),Base!K18)</f>
        <v>37</v>
      </c>
      <c r="L830" s="9">
        <f>IF(Base!L18="",NA(),Base!L18)</f>
        <v>32</v>
      </c>
      <c r="M830" s="9">
        <f>IF(Base!M18="",NA(),Base!M18)</f>
        <v>48</v>
      </c>
      <c r="N830" s="9">
        <f>IF(Base!N18="",NA(),Base!N18)</f>
        <v>175</v>
      </c>
      <c r="O830" s="9">
        <f>IF(Base!O18="",NA(),Base!O18)</f>
        <v>404</v>
      </c>
      <c r="P830" s="9">
        <f>IF(Base!P18="",NA(),Base!P18)</f>
        <v>62</v>
      </c>
      <c r="Q830" s="9">
        <f>IF(Base!Q18="",NA(),Base!Q18)</f>
        <v>104</v>
      </c>
      <c r="R830" s="9">
        <f>IF(Base!R18="",NA(),Base!R18)</f>
        <v>115</v>
      </c>
      <c r="S830" s="9">
        <f>IF(Base!S18="",NA(),Base!S18)</f>
        <v>104</v>
      </c>
      <c r="T830" s="9">
        <f>IF(Base!T18="",NA(),Base!T18)</f>
        <v>-1</v>
      </c>
      <c r="U830" s="9">
        <f>IF(Base!U18="",NA(),Base!U18)</f>
        <v>-95</v>
      </c>
      <c r="V830" s="9">
        <f>IF(Base!V18="",NA(),Base!V18)</f>
        <v>-32</v>
      </c>
      <c r="W830" s="9">
        <f>IF(Base!W18="",NA(),Base!W18)</f>
        <v>44</v>
      </c>
      <c r="X830" s="9">
        <f>IF(Base!X18="",NA(),Base!X18)</f>
        <v>18</v>
      </c>
      <c r="Y830" s="9">
        <f>IF(Base!Y18="",NA(),Base!Y18)</f>
        <v>52</v>
      </c>
      <c r="Z830" s="9">
        <f>IF(Base!Z18="",NA(),Base!Z18)</f>
        <v>65</v>
      </c>
      <c r="AA830" s="9">
        <f>IF(Base!AA18="",NA(),Base!AA18)</f>
        <v>52</v>
      </c>
      <c r="AB830" s="9">
        <f>IF(Base!AB18="",NA(),Base!AB18)</f>
        <v>45</v>
      </c>
      <c r="AC830" s="9">
        <f>IF(Base!AC18="",NA(),Base!AC18)</f>
        <v>45</v>
      </c>
      <c r="AD830" s="9">
        <f>IF(Base!AD18="",NA(),Base!AD18)</f>
        <v>45</v>
      </c>
      <c r="AE830" s="9">
        <f>IF(Base!AE18="",NA(),Base!AE18)</f>
        <v>38</v>
      </c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  <c r="CA830" s="9"/>
      <c r="CB830" s="9"/>
      <c r="CC830" s="9"/>
      <c r="CD830" s="9"/>
    </row>
    <row r="831" spans="1:82">
      <c r="A831" s="36" t="s">
        <v>201</v>
      </c>
      <c r="B831" s="9" t="e">
        <f>IF(Bull!B18="",NA(),Bull!B18)</f>
        <v>#N/A</v>
      </c>
      <c r="C831" s="9">
        <f>IF(Bull!C18="",NA(),Bull!C18)</f>
        <v>59</v>
      </c>
      <c r="D831" s="9">
        <f>IF(Bull!D18="",NA(),Bull!D18)</f>
        <v>21</v>
      </c>
      <c r="E831" s="9">
        <f>IF(Bull!E18="",NA(),Bull!E18)</f>
        <v>62</v>
      </c>
      <c r="F831" s="9">
        <f>IF(Bull!F18="",NA(),Bull!F18)</f>
        <v>134</v>
      </c>
      <c r="G831" s="9">
        <f>IF(Bull!G18="",NA(),Bull!G18)</f>
        <v>80</v>
      </c>
      <c r="H831" s="9">
        <f>IF(Bull!H18="",NA(),Bull!H18)</f>
        <v>106</v>
      </c>
      <c r="I831" s="9">
        <f>IF(Bull!I18="",NA(),Bull!I18)</f>
        <v>86</v>
      </c>
      <c r="J831" s="9">
        <f>IF(Bull!J18="",NA(),Bull!J18)</f>
        <v>5</v>
      </c>
      <c r="K831" s="9">
        <f>IF(Bull!K18="",NA(),Bull!K18)</f>
        <v>37</v>
      </c>
      <c r="L831" s="9">
        <f>IF(Bull!L18="",NA(),Bull!L18)</f>
        <v>32</v>
      </c>
      <c r="M831" s="9">
        <f>IF(Bull!M18="",NA(),Bull!M18)</f>
        <v>48</v>
      </c>
      <c r="N831" s="9">
        <f>IF(Bull!N18="",NA(),Bull!N18)</f>
        <v>175</v>
      </c>
      <c r="O831" s="9">
        <f>IF(Bull!O18="",NA(),Bull!O18)</f>
        <v>404</v>
      </c>
      <c r="P831" s="9">
        <f>IF(Bull!P18="",NA(),Bull!P18)</f>
        <v>62</v>
      </c>
      <c r="Q831" s="9">
        <f>IF(Bull!Q18="",NA(),Bull!Q18)</f>
        <v>104</v>
      </c>
      <c r="R831" s="9">
        <f>IF(Bull!R18="",NA(),Bull!R18)</f>
        <v>115</v>
      </c>
      <c r="S831" s="9">
        <f>IF(Bull!S18="",NA(),Bull!S18)</f>
        <v>104</v>
      </c>
      <c r="T831" s="9">
        <f>IF(Bull!T18="",NA(),Bull!T18)</f>
        <v>-1</v>
      </c>
      <c r="U831" s="9">
        <f>IF(Bull!U18="",NA(),Bull!U18)</f>
        <v>-95</v>
      </c>
      <c r="V831" s="9">
        <f>IF(Bull!V18="",NA(),Bull!V18)</f>
        <v>-32</v>
      </c>
      <c r="W831" s="9">
        <f>IF(Bull!W18="",NA(),Bull!W18)</f>
        <v>44</v>
      </c>
      <c r="X831" s="9">
        <f>IF(Bull!X18="",NA(),Bull!X18)</f>
        <v>18</v>
      </c>
      <c r="Y831" s="9">
        <f>IF(Bull!Y18="",NA(),Bull!Y18)</f>
        <v>52</v>
      </c>
      <c r="Z831" s="9">
        <f>IF(Bull!Z18="",NA(),Bull!Z18)</f>
        <v>65</v>
      </c>
      <c r="AA831" s="9">
        <f>IF(Bull!AA18="",NA(),Bull!AA18)</f>
        <v>52</v>
      </c>
      <c r="AB831" s="9">
        <f>IF(Bull!AB18="",NA(),Bull!AB18)</f>
        <v>45</v>
      </c>
      <c r="AC831" s="9">
        <f>IF(Bull!AC18="",NA(),Bull!AC18)</f>
        <v>45</v>
      </c>
      <c r="AD831" s="9">
        <f>IF(Bull!AD18="",NA(),Bull!AD18)</f>
        <v>45</v>
      </c>
      <c r="AE831" s="9">
        <f>IF(Bull!AE18="",NA(),Bull!AE18)</f>
        <v>38</v>
      </c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  <c r="CA831" s="9"/>
      <c r="CB831" s="9"/>
      <c r="CC831" s="9"/>
      <c r="CD831" s="9"/>
    </row>
    <row r="832" spans="1:82">
      <c r="A832" s="36" t="s">
        <v>202</v>
      </c>
      <c r="B832" s="9" t="e">
        <f>IF(Bear!B18="",NA(),Bear!B18)</f>
        <v>#N/A</v>
      </c>
      <c r="C832" s="9">
        <f>IF(Bear!C18="",NA(),Bear!C18)</f>
        <v>59</v>
      </c>
      <c r="D832" s="9">
        <f>IF(Bear!D18="",NA(),Bear!D18)</f>
        <v>21</v>
      </c>
      <c r="E832" s="9">
        <f>IF(Bear!E18="",NA(),Bear!E18)</f>
        <v>62</v>
      </c>
      <c r="F832" s="9">
        <f>IF(Bear!F18="",NA(),Bear!F18)</f>
        <v>134</v>
      </c>
      <c r="G832" s="9">
        <f>IF(Bear!G18="",NA(),Bear!G18)</f>
        <v>80</v>
      </c>
      <c r="H832" s="9">
        <f>IF(Bear!H18="",NA(),Bear!H18)</f>
        <v>106</v>
      </c>
      <c r="I832" s="9">
        <f>IF(Bear!I18="",NA(),Bear!I18)</f>
        <v>86</v>
      </c>
      <c r="J832" s="9">
        <f>IF(Bear!J18="",NA(),Bear!J18)</f>
        <v>5</v>
      </c>
      <c r="K832" s="9">
        <f>IF(Bear!K18="",NA(),Bear!K18)</f>
        <v>37</v>
      </c>
      <c r="L832" s="9">
        <f>IF(Bear!L18="",NA(),Bear!L18)</f>
        <v>32</v>
      </c>
      <c r="M832" s="9">
        <f>IF(Bear!M18="",NA(),Bear!M18)</f>
        <v>48</v>
      </c>
      <c r="N832" s="9">
        <f>IF(Bear!N18="",NA(),Bear!N18)</f>
        <v>175</v>
      </c>
      <c r="O832" s="9">
        <f>IF(Bear!O18="",NA(),Bear!O18)</f>
        <v>404</v>
      </c>
      <c r="P832" s="9">
        <f>IF(Bear!P18="",NA(),Bear!P18)</f>
        <v>62</v>
      </c>
      <c r="Q832" s="9">
        <f>IF(Bear!Q18="",NA(),Bear!Q18)</f>
        <v>104</v>
      </c>
      <c r="R832" s="9">
        <f>IF(Bear!R18="",NA(),Bear!R18)</f>
        <v>115</v>
      </c>
      <c r="S832" s="9">
        <f>IF(Bear!S18="",NA(),Bear!S18)</f>
        <v>104</v>
      </c>
      <c r="T832" s="9">
        <f>IF(Bear!T18="",NA(),Bear!T18)</f>
        <v>-1</v>
      </c>
      <c r="U832" s="9">
        <f>IF(Bear!U18="",NA(),Bear!U18)</f>
        <v>-95</v>
      </c>
      <c r="V832" s="9">
        <f>IF(Bear!V18="",NA(),Bear!V18)</f>
        <v>-32</v>
      </c>
      <c r="W832" s="9">
        <f>IF(Bear!W18="",NA(),Bear!W18)</f>
        <v>44</v>
      </c>
      <c r="X832" s="9">
        <f>IF(Bear!X18="",NA(),Bear!X18)</f>
        <v>18</v>
      </c>
      <c r="Y832" s="9">
        <f>IF(Bear!Y18="",NA(),Bear!Y18)</f>
        <v>49</v>
      </c>
      <c r="Z832" s="9">
        <f>IF(Bear!Z18="",NA(),Bear!Z18)</f>
        <v>51</v>
      </c>
      <c r="AA832" s="9">
        <f>IF(Bear!AA18="",NA(),Bear!AA18)</f>
        <v>42</v>
      </c>
      <c r="AB832" s="9">
        <f>IF(Bear!AB18="",NA(),Bear!AB18)</f>
        <v>35</v>
      </c>
      <c r="AC832" s="9">
        <f>IF(Bear!AC18="",NA(),Bear!AC18)</f>
        <v>35</v>
      </c>
      <c r="AD832" s="9">
        <f>IF(Bear!AD18="",NA(),Bear!AD18)</f>
        <v>35</v>
      </c>
      <c r="AE832" s="9">
        <f>IF(Bear!AE18="",NA(),Bear!AE18)</f>
        <v>29</v>
      </c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  <c r="CA832" s="9"/>
      <c r="CB832" s="9"/>
      <c r="CC832" s="9"/>
      <c r="CD832" s="9"/>
    </row>
    <row r="833" spans="1:8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  <c r="CA833" s="9"/>
      <c r="CB833" s="9"/>
      <c r="CC833" s="9"/>
      <c r="CD833" s="9"/>
    </row>
    <row r="834" spans="1:82">
      <c r="A834" s="242" t="s">
        <v>1288</v>
      </c>
      <c r="B834" s="264">
        <v>2001</v>
      </c>
      <c r="C834" s="264">
        <v>2002</v>
      </c>
      <c r="D834" s="264">
        <v>2003</v>
      </c>
      <c r="E834" s="264">
        <v>2004</v>
      </c>
      <c r="F834" s="264">
        <v>2005</v>
      </c>
      <c r="G834" s="264">
        <v>2006</v>
      </c>
      <c r="H834" s="264">
        <v>2007</v>
      </c>
      <c r="I834" s="264">
        <v>2008</v>
      </c>
      <c r="J834" s="264">
        <f t="shared" ref="J834:R834" si="431">J$50</f>
        <v>2009</v>
      </c>
      <c r="K834" s="264">
        <f t="shared" si="431"/>
        <v>2010</v>
      </c>
      <c r="L834" s="264">
        <f t="shared" si="431"/>
        <v>2011</v>
      </c>
      <c r="M834" s="264">
        <f t="shared" si="431"/>
        <v>2012</v>
      </c>
      <c r="N834" s="264">
        <f t="shared" si="431"/>
        <v>2013</v>
      </c>
      <c r="O834" s="264">
        <f t="shared" si="431"/>
        <v>2014</v>
      </c>
      <c r="P834" s="264">
        <f t="shared" si="431"/>
        <v>2015</v>
      </c>
      <c r="Q834" s="264">
        <f t="shared" si="431"/>
        <v>2016</v>
      </c>
      <c r="R834" s="264">
        <f t="shared" si="431"/>
        <v>2017</v>
      </c>
      <c r="S834" s="264">
        <f t="shared" ref="S834:X834" si="432">S$6</f>
        <v>2018</v>
      </c>
      <c r="T834" s="264">
        <f t="shared" si="432"/>
        <v>2019</v>
      </c>
      <c r="U834" s="264">
        <f t="shared" si="432"/>
        <v>2020</v>
      </c>
      <c r="V834" s="264">
        <f t="shared" si="432"/>
        <v>2021</v>
      </c>
      <c r="W834" s="264">
        <f t="shared" si="432"/>
        <v>2022</v>
      </c>
      <c r="X834" s="264">
        <f t="shared" si="432"/>
        <v>2023</v>
      </c>
      <c r="Y834" s="1148">
        <f t="shared" ref="Y834:AE834" si="433">Y$50</f>
        <v>2024</v>
      </c>
      <c r="Z834" s="1148">
        <f t="shared" si="433"/>
        <v>2025</v>
      </c>
      <c r="AA834" s="1148">
        <f t="shared" si="433"/>
        <v>2026</v>
      </c>
      <c r="AB834" s="1148">
        <f t="shared" si="433"/>
        <v>2027</v>
      </c>
      <c r="AC834" s="1148">
        <f t="shared" si="433"/>
        <v>2028</v>
      </c>
      <c r="AD834" s="1148">
        <f t="shared" si="433"/>
        <v>2029</v>
      </c>
      <c r="AE834" s="1148">
        <f t="shared" si="433"/>
        <v>2030</v>
      </c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  <c r="CA834" s="9"/>
      <c r="CB834" s="9"/>
      <c r="CC834" s="9"/>
      <c r="CD834" s="9"/>
    </row>
    <row r="835" spans="1:82">
      <c r="A835" s="36" t="s">
        <v>200</v>
      </c>
      <c r="B835" s="9" t="e">
        <f>IF(Base!B20="",NA(),Base!B20)</f>
        <v>#N/A</v>
      </c>
      <c r="C835" s="9">
        <f>IF(Base!C20="",NA(),Base!C20)</f>
        <v>0</v>
      </c>
      <c r="D835" s="9">
        <f>IF(Base!D20="",NA(),Base!D20)</f>
        <v>0</v>
      </c>
      <c r="E835" s="9">
        <f>IF(Base!E20="",NA(),Base!E20)</f>
        <v>0</v>
      </c>
      <c r="F835" s="9">
        <f>IF(Base!F20="",NA(),Base!F20)</f>
        <v>0</v>
      </c>
      <c r="G835" s="9">
        <f>IF(Base!G20="",NA(),Base!G20)</f>
        <v>50</v>
      </c>
      <c r="H835" s="9">
        <f>IF(Base!H20="",NA(),Base!H20)</f>
        <v>11</v>
      </c>
      <c r="I835" s="9">
        <f>IF(Base!I20="",NA(),Base!I20)</f>
        <v>37</v>
      </c>
      <c r="J835" s="9">
        <f>IF(Base!J20="",NA(),Base!J20)</f>
        <v>18</v>
      </c>
      <c r="K835" s="9">
        <f>IF(Base!K20="",NA(),Base!K20)</f>
        <v>22</v>
      </c>
      <c r="L835" s="9">
        <f>IF(Base!L20="",NA(),Base!L20)</f>
        <v>34</v>
      </c>
      <c r="M835" s="9">
        <f>IF(Base!M20="",NA(),Base!M20)</f>
        <v>36</v>
      </c>
      <c r="N835" s="9">
        <f>IF(Base!N20="",NA(),Base!N20)</f>
        <v>75</v>
      </c>
      <c r="O835" s="9">
        <f>IF(Base!O20="",NA(),Base!O20)</f>
        <v>44</v>
      </c>
      <c r="P835" s="9">
        <f>IF(Base!P20="",NA(),Base!P20)</f>
        <v>49</v>
      </c>
      <c r="Q835" s="9">
        <f>IF(Base!Q20="",NA(),Base!Q20)</f>
        <v>84</v>
      </c>
      <c r="R835" s="9">
        <f>IF(Base!R20="",NA(),Base!R20)</f>
        <v>62</v>
      </c>
      <c r="S835" s="9">
        <f>IF(Base!S20="",NA(),Base!S20)</f>
        <v>88</v>
      </c>
      <c r="T835" s="9">
        <f>IF(Base!T20="",NA(),Base!T20)</f>
        <v>5</v>
      </c>
      <c r="U835" s="9">
        <f>IF(Base!U20="",NA(),Base!U20)</f>
        <v>-14</v>
      </c>
      <c r="V835" s="9">
        <f>IF(Base!V20="",NA(),Base!V20)</f>
        <v>21</v>
      </c>
      <c r="W835" s="9">
        <f>IF(Base!W20="",NA(),Base!W20)</f>
        <v>53</v>
      </c>
      <c r="X835" s="9">
        <f>IF(Base!X20="",NA(),Base!X20)</f>
        <v>50</v>
      </c>
      <c r="Y835" s="9">
        <f>IF(Base!Y20="",NA(),Base!Y20)</f>
        <v>30</v>
      </c>
      <c r="Z835" s="9">
        <f>IF(Base!Z20="",NA(),Base!Z20)</f>
        <v>19</v>
      </c>
      <c r="AA835" s="9">
        <f>IF(Base!AA20="",NA(),Base!AA20)</f>
        <v>14</v>
      </c>
      <c r="AB835" s="9">
        <f>IF(Base!AB20="",NA(),Base!AB20)</f>
        <v>12</v>
      </c>
      <c r="AC835" s="9">
        <f>IF(Base!AC20="",NA(),Base!AC20)</f>
        <v>12</v>
      </c>
      <c r="AD835" s="9">
        <f>IF(Base!AD20="",NA(),Base!AD20)</f>
        <v>12</v>
      </c>
      <c r="AE835" s="9">
        <f>IF(Base!AE20="",NA(),Base!AE20)</f>
        <v>11</v>
      </c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  <c r="CA835" s="9"/>
      <c r="CB835" s="9"/>
      <c r="CC835" s="9"/>
      <c r="CD835" s="9"/>
    </row>
    <row r="836" spans="1:82">
      <c r="A836" s="36" t="s">
        <v>201</v>
      </c>
      <c r="B836" s="9" t="e">
        <f>IF(Bull!B20="",NA(),Bull!B20)</f>
        <v>#N/A</v>
      </c>
      <c r="C836" s="9">
        <f>IF(Bull!C20="",NA(),Bull!C20)</f>
        <v>0</v>
      </c>
      <c r="D836" s="9">
        <f>IF(Bull!D20="",NA(),Bull!D20)</f>
        <v>0</v>
      </c>
      <c r="E836" s="9">
        <f>IF(Bull!E20="",NA(),Bull!E20)</f>
        <v>0</v>
      </c>
      <c r="F836" s="9">
        <f>IF(Bull!F20="",NA(),Bull!F20)</f>
        <v>0</v>
      </c>
      <c r="G836" s="9">
        <f>IF(Bull!G20="",NA(),Bull!G20)</f>
        <v>50</v>
      </c>
      <c r="H836" s="9">
        <f>IF(Bull!H20="",NA(),Bull!H20)</f>
        <v>11</v>
      </c>
      <c r="I836" s="9">
        <f>IF(Bull!I20="",NA(),Bull!I20)</f>
        <v>37</v>
      </c>
      <c r="J836" s="9">
        <f>IF(Bull!J20="",NA(),Bull!J20)</f>
        <v>18</v>
      </c>
      <c r="K836" s="9">
        <f>IF(Bull!K20="",NA(),Bull!K20)</f>
        <v>22</v>
      </c>
      <c r="L836" s="9">
        <f>IF(Bull!L20="",NA(),Bull!L20)</f>
        <v>34</v>
      </c>
      <c r="M836" s="9">
        <f>IF(Bull!M20="",NA(),Bull!M20)</f>
        <v>36</v>
      </c>
      <c r="N836" s="9">
        <f>IF(Bull!N20="",NA(),Bull!N20)</f>
        <v>75</v>
      </c>
      <c r="O836" s="9">
        <f>IF(Bull!O20="",NA(),Bull!O20)</f>
        <v>44</v>
      </c>
      <c r="P836" s="9">
        <f>IF(Bull!P20="",NA(),Bull!P20)</f>
        <v>49</v>
      </c>
      <c r="Q836" s="9">
        <f>IF(Bull!Q20="",NA(),Bull!Q20)</f>
        <v>84</v>
      </c>
      <c r="R836" s="9">
        <f>IF(Bull!R20="",NA(),Bull!R20)</f>
        <v>62</v>
      </c>
      <c r="S836" s="9">
        <f>IF(Bull!S20="",NA(),Bull!S20)</f>
        <v>88</v>
      </c>
      <c r="T836" s="9">
        <f>IF(Bull!T20="",NA(),Bull!T20)</f>
        <v>5</v>
      </c>
      <c r="U836" s="9">
        <f>IF(Bull!U20="",NA(),Bull!U20)</f>
        <v>-14</v>
      </c>
      <c r="V836" s="9">
        <f>IF(Bull!V20="",NA(),Bull!V20)</f>
        <v>21</v>
      </c>
      <c r="W836" s="9">
        <f>IF(Bull!W20="",NA(),Bull!W20)</f>
        <v>53</v>
      </c>
      <c r="X836" s="9">
        <f>IF(Bull!X20="",NA(),Bull!X20)</f>
        <v>50</v>
      </c>
      <c r="Y836" s="9">
        <f>IF(Bull!Y20="",NA(),Bull!Y20)</f>
        <v>30</v>
      </c>
      <c r="Z836" s="9">
        <f>IF(Bull!Z20="",NA(),Bull!Z20)</f>
        <v>19</v>
      </c>
      <c r="AA836" s="9">
        <f>IF(Bull!AA20="",NA(),Bull!AA20)</f>
        <v>14</v>
      </c>
      <c r="AB836" s="9">
        <f>IF(Bull!AB20="",NA(),Bull!AB20)</f>
        <v>12</v>
      </c>
      <c r="AC836" s="9">
        <f>IF(Bull!AC20="",NA(),Bull!AC20)</f>
        <v>12</v>
      </c>
      <c r="AD836" s="9">
        <f>IF(Bull!AD20="",NA(),Bull!AD20)</f>
        <v>12</v>
      </c>
      <c r="AE836" s="9">
        <f>IF(Bull!AE20="",NA(),Bull!AE20)</f>
        <v>11</v>
      </c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  <c r="CA836" s="9"/>
      <c r="CB836" s="9"/>
      <c r="CC836" s="9"/>
      <c r="CD836" s="9"/>
    </row>
    <row r="837" spans="1:82">
      <c r="A837" s="36" t="s">
        <v>202</v>
      </c>
      <c r="B837" s="9" t="e">
        <f>IF(Bear!B20="",NA(),Bear!B20)</f>
        <v>#N/A</v>
      </c>
      <c r="C837" s="9">
        <f>IF(Bear!C20="",NA(),Bear!C20)</f>
        <v>0</v>
      </c>
      <c r="D837" s="9">
        <f>IF(Bear!D20="",NA(),Bear!D20)</f>
        <v>0</v>
      </c>
      <c r="E837" s="9">
        <f>IF(Bear!E20="",NA(),Bear!E20)</f>
        <v>0</v>
      </c>
      <c r="F837" s="9">
        <f>IF(Bear!F20="",NA(),Bear!F20)</f>
        <v>0</v>
      </c>
      <c r="G837" s="9">
        <f>IF(Bear!G20="",NA(),Bear!G20)</f>
        <v>50</v>
      </c>
      <c r="H837" s="9">
        <f>IF(Bear!H20="",NA(),Bear!H20)</f>
        <v>11</v>
      </c>
      <c r="I837" s="9">
        <f>IF(Bear!I20="",NA(),Bear!I20)</f>
        <v>37</v>
      </c>
      <c r="J837" s="9">
        <f>IF(Bear!J20="",NA(),Bear!J20)</f>
        <v>18</v>
      </c>
      <c r="K837" s="9">
        <f>IF(Bear!K20="",NA(),Bear!K20)</f>
        <v>22</v>
      </c>
      <c r="L837" s="9">
        <f>IF(Bear!L20="",NA(),Bear!L20)</f>
        <v>34</v>
      </c>
      <c r="M837" s="9">
        <f>IF(Bear!M20="",NA(),Bear!M20)</f>
        <v>36</v>
      </c>
      <c r="N837" s="9">
        <f>IF(Bear!N20="",NA(),Bear!N20)</f>
        <v>75</v>
      </c>
      <c r="O837" s="9">
        <f>IF(Bear!O20="",NA(),Bear!O20)</f>
        <v>44</v>
      </c>
      <c r="P837" s="9">
        <f>IF(Bear!P20="",NA(),Bear!P20)</f>
        <v>49</v>
      </c>
      <c r="Q837" s="9">
        <f>IF(Bear!Q20="",NA(),Bear!Q20)</f>
        <v>84</v>
      </c>
      <c r="R837" s="9">
        <f>IF(Bear!R20="",NA(),Bear!R20)</f>
        <v>62</v>
      </c>
      <c r="S837" s="9">
        <f>IF(Bear!S20="",NA(),Bear!S20)</f>
        <v>88</v>
      </c>
      <c r="T837" s="9">
        <f>IF(Bear!T20="",NA(),Bear!T20)</f>
        <v>5</v>
      </c>
      <c r="U837" s="9">
        <f>IF(Bear!U20="",NA(),Bear!U20)</f>
        <v>-14</v>
      </c>
      <c r="V837" s="9">
        <f>IF(Bear!V20="",NA(),Bear!V20)</f>
        <v>21</v>
      </c>
      <c r="W837" s="9">
        <f>IF(Bear!W20="",NA(),Bear!W20)</f>
        <v>53</v>
      </c>
      <c r="X837" s="9">
        <f>IF(Bear!X20="",NA(),Bear!X20)</f>
        <v>50</v>
      </c>
      <c r="Y837" s="9">
        <f>IF(Bear!Y20="",NA(),Bear!Y20)</f>
        <v>25</v>
      </c>
      <c r="Z837" s="9">
        <f>IF(Bear!Z20="",NA(),Bear!Z20)</f>
        <v>15</v>
      </c>
      <c r="AA837" s="9">
        <f>IF(Bear!AA20="",NA(),Bear!AA20)</f>
        <v>10</v>
      </c>
      <c r="AB837" s="9">
        <f>IF(Bear!AB20="",NA(),Bear!AB20)</f>
        <v>11</v>
      </c>
      <c r="AC837" s="9">
        <f>IF(Bear!AC20="",NA(),Bear!AC20)</f>
        <v>11</v>
      </c>
      <c r="AD837" s="9">
        <f>IF(Bear!AD20="",NA(),Bear!AD20)</f>
        <v>11</v>
      </c>
      <c r="AE837" s="9">
        <f>IF(Bear!AE20="",NA(),Bear!AE20)</f>
        <v>10</v>
      </c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  <c r="CA837" s="9"/>
      <c r="CB837" s="9"/>
      <c r="CC837" s="9"/>
      <c r="CD837" s="9"/>
    </row>
    <row r="838" spans="1:8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  <c r="CA838" s="9"/>
      <c r="CB838" s="9"/>
      <c r="CC838" s="9"/>
      <c r="CD838" s="9"/>
    </row>
    <row r="839" spans="1:82">
      <c r="A839" s="242" t="s">
        <v>1287</v>
      </c>
      <c r="B839" s="264">
        <v>2001</v>
      </c>
      <c r="C839" s="264">
        <v>2002</v>
      </c>
      <c r="D839" s="264">
        <v>2003</v>
      </c>
      <c r="E839" s="264">
        <v>2004</v>
      </c>
      <c r="F839" s="264">
        <v>2005</v>
      </c>
      <c r="G839" s="264">
        <v>2006</v>
      </c>
      <c r="H839" s="264">
        <v>2007</v>
      </c>
      <c r="I839" s="264">
        <v>2008</v>
      </c>
      <c r="J839" s="264">
        <f t="shared" ref="J839:R839" si="434">J$50</f>
        <v>2009</v>
      </c>
      <c r="K839" s="264">
        <f t="shared" si="434"/>
        <v>2010</v>
      </c>
      <c r="L839" s="264">
        <f t="shared" si="434"/>
        <v>2011</v>
      </c>
      <c r="M839" s="264">
        <f t="shared" si="434"/>
        <v>2012</v>
      </c>
      <c r="N839" s="264">
        <f t="shared" si="434"/>
        <v>2013</v>
      </c>
      <c r="O839" s="264">
        <f t="shared" si="434"/>
        <v>2014</v>
      </c>
      <c r="P839" s="264">
        <f t="shared" si="434"/>
        <v>2015</v>
      </c>
      <c r="Q839" s="264">
        <f t="shared" si="434"/>
        <v>2016</v>
      </c>
      <c r="R839" s="264">
        <f t="shared" si="434"/>
        <v>2017</v>
      </c>
      <c r="S839" s="264">
        <f t="shared" ref="S839:X839" si="435">S$6</f>
        <v>2018</v>
      </c>
      <c r="T839" s="264">
        <f t="shared" si="435"/>
        <v>2019</v>
      </c>
      <c r="U839" s="264">
        <f t="shared" si="435"/>
        <v>2020</v>
      </c>
      <c r="V839" s="264">
        <f t="shared" si="435"/>
        <v>2021</v>
      </c>
      <c r="W839" s="264">
        <f t="shared" si="435"/>
        <v>2022</v>
      </c>
      <c r="X839" s="264">
        <f t="shared" si="435"/>
        <v>2023</v>
      </c>
      <c r="Y839" s="1148">
        <f t="shared" ref="Y839:AE839" si="436">Y$50</f>
        <v>2024</v>
      </c>
      <c r="Z839" s="1148">
        <f t="shared" si="436"/>
        <v>2025</v>
      </c>
      <c r="AA839" s="1148">
        <f t="shared" si="436"/>
        <v>2026</v>
      </c>
      <c r="AB839" s="1148">
        <f t="shared" si="436"/>
        <v>2027</v>
      </c>
      <c r="AC839" s="1148">
        <f t="shared" si="436"/>
        <v>2028</v>
      </c>
      <c r="AD839" s="1148">
        <f t="shared" si="436"/>
        <v>2029</v>
      </c>
      <c r="AE839" s="1148">
        <f t="shared" si="436"/>
        <v>2030</v>
      </c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  <c r="CA839" s="9"/>
      <c r="CB839" s="9"/>
      <c r="CC839" s="9"/>
      <c r="CD839" s="9"/>
    </row>
    <row r="840" spans="1:82">
      <c r="A840" s="36" t="s">
        <v>200</v>
      </c>
      <c r="B840" s="9" t="e">
        <f>IF(Base!B19="",NA(),Base!B19)</f>
        <v>#N/A</v>
      </c>
      <c r="C840" s="9">
        <f>IF(Base!C19="",NA(),Base!C19)</f>
        <v>0</v>
      </c>
      <c r="D840" s="9">
        <f>IF(Base!D19="",NA(),Base!D19)</f>
        <v>0</v>
      </c>
      <c r="E840" s="9">
        <f>IF(Base!E19="",NA(),Base!E19)</f>
        <v>0</v>
      </c>
      <c r="F840" s="9">
        <f>IF(Base!F19="",NA(),Base!F19)</f>
        <v>0</v>
      </c>
      <c r="G840" s="9">
        <f>IF(Base!G19="",NA(),Base!G19)</f>
        <v>0</v>
      </c>
      <c r="H840" s="9">
        <f>IF(Base!H19="",NA(),Base!H19)</f>
        <v>0</v>
      </c>
      <c r="I840" s="9">
        <f>IF(Base!I19="",NA(),Base!I19)</f>
        <v>0</v>
      </c>
      <c r="J840" s="9">
        <f>IF(Base!J19="",NA(),Base!J19)</f>
        <v>0</v>
      </c>
      <c r="K840" s="9">
        <f>IF(Base!K19="",NA(),Base!K19)</f>
        <v>0</v>
      </c>
      <c r="L840" s="9">
        <f>IF(Base!L19="",NA(),Base!L19)</f>
        <v>0</v>
      </c>
      <c r="M840" s="9">
        <f>IF(Base!M19="",NA(),Base!M19)</f>
        <v>0</v>
      </c>
      <c r="N840" s="9">
        <f>IF(Base!N19="",NA(),Base!N19)</f>
        <v>0</v>
      </c>
      <c r="O840" s="9">
        <f>IF(Base!O19="",NA(),Base!O19)</f>
        <v>302</v>
      </c>
      <c r="P840" s="9">
        <f>IF(Base!P19="",NA(),Base!P19)</f>
        <v>11</v>
      </c>
      <c r="Q840" s="9">
        <f>IF(Base!Q19="",NA(),Base!Q19)</f>
        <v>31</v>
      </c>
      <c r="R840" s="9">
        <f>IF(Base!R19="",NA(),Base!R19)</f>
        <v>37</v>
      </c>
      <c r="S840" s="9">
        <f>IF(Base!S19="",NA(),Base!S19)</f>
        <v>39</v>
      </c>
      <c r="T840" s="9">
        <f>IF(Base!T19="",NA(),Base!T19)</f>
        <v>468</v>
      </c>
      <c r="U840" s="9">
        <f>IF(Base!U19="",NA(),Base!U19)</f>
        <v>-26</v>
      </c>
      <c r="V840" s="9">
        <f>IF(Base!V19="",NA(),Base!V19)</f>
        <v>16</v>
      </c>
      <c r="W840" s="9">
        <f>IF(Base!W19="",NA(),Base!W19)</f>
        <v>50</v>
      </c>
      <c r="X840" s="9">
        <f>IF(Base!X19="",NA(),Base!X19)</f>
        <v>48</v>
      </c>
      <c r="Y840" s="9">
        <f>IF(Base!Y19="",NA(),Base!Y19)</f>
        <v>35</v>
      </c>
      <c r="Z840" s="9">
        <f>IF(Base!Z19="",NA(),Base!Z19)</f>
        <v>27</v>
      </c>
      <c r="AA840" s="9">
        <f>IF(Base!AA19="",NA(),Base!AA19)</f>
        <v>22</v>
      </c>
      <c r="AB840" s="9">
        <f>IF(Base!AB19="",NA(),Base!AB19)</f>
        <v>19</v>
      </c>
      <c r="AC840" s="9">
        <f>IF(Base!AC19="",NA(),Base!AC19)</f>
        <v>19</v>
      </c>
      <c r="AD840" s="9">
        <f>IF(Base!AD19="",NA(),Base!AD19)</f>
        <v>19</v>
      </c>
      <c r="AE840" s="9">
        <f>IF(Base!AE19="",NA(),Base!AE19)</f>
        <v>17</v>
      </c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  <c r="CA840" s="9"/>
      <c r="CB840" s="9"/>
      <c r="CC840" s="9"/>
      <c r="CD840" s="9"/>
    </row>
    <row r="841" spans="1:82">
      <c r="A841" s="36" t="s">
        <v>201</v>
      </c>
      <c r="B841" s="9" t="e">
        <f>IF(Bull!B19="",NA(),Bull!B19)</f>
        <v>#N/A</v>
      </c>
      <c r="C841" s="9">
        <f>IF(Bull!C19="",NA(),Bull!C19)</f>
        <v>0</v>
      </c>
      <c r="D841" s="9">
        <f>IF(Bull!D19="",NA(),Bull!D19)</f>
        <v>0</v>
      </c>
      <c r="E841" s="9">
        <f>IF(Bull!E19="",NA(),Bull!E19)</f>
        <v>0</v>
      </c>
      <c r="F841" s="9">
        <f>IF(Bull!F19="",NA(),Bull!F19)</f>
        <v>0</v>
      </c>
      <c r="G841" s="9">
        <f>IF(Bull!G19="",NA(),Bull!G19)</f>
        <v>0</v>
      </c>
      <c r="H841" s="9">
        <f>IF(Bull!H19="",NA(),Bull!H19)</f>
        <v>0</v>
      </c>
      <c r="I841" s="9">
        <f>IF(Bull!I19="",NA(),Bull!I19)</f>
        <v>0</v>
      </c>
      <c r="J841" s="9">
        <f>IF(Bull!J19="",NA(),Bull!J19)</f>
        <v>0</v>
      </c>
      <c r="K841" s="9">
        <f>IF(Bull!K19="",NA(),Bull!K19)</f>
        <v>0</v>
      </c>
      <c r="L841" s="9">
        <f>IF(Bull!L19="",NA(),Bull!L19)</f>
        <v>0</v>
      </c>
      <c r="M841" s="9">
        <f>IF(Bull!M19="",NA(),Bull!M19)</f>
        <v>0</v>
      </c>
      <c r="N841" s="9">
        <f>IF(Bull!N19="",NA(),Bull!N19)</f>
        <v>0</v>
      </c>
      <c r="O841" s="9">
        <f>IF(Bull!O19="",NA(),Bull!O19)</f>
        <v>302</v>
      </c>
      <c r="P841" s="9">
        <f>IF(Bull!P19="",NA(),Bull!P19)</f>
        <v>11</v>
      </c>
      <c r="Q841" s="9">
        <f>IF(Bull!Q19="",NA(),Bull!Q19)</f>
        <v>31</v>
      </c>
      <c r="R841" s="9">
        <f>IF(Bull!R19="",NA(),Bull!R19)</f>
        <v>37</v>
      </c>
      <c r="S841" s="9">
        <f>IF(Bull!S19="",NA(),Bull!S19)</f>
        <v>39</v>
      </c>
      <c r="T841" s="9">
        <f>IF(Bull!T19="",NA(),Bull!T19)</f>
        <v>468</v>
      </c>
      <c r="U841" s="9">
        <f>IF(Bull!U19="",NA(),Bull!U19)</f>
        <v>-26</v>
      </c>
      <c r="V841" s="9">
        <f>IF(Bull!V19="",NA(),Bull!V19)</f>
        <v>16</v>
      </c>
      <c r="W841" s="9">
        <f>IF(Bull!W19="",NA(),Bull!W19)</f>
        <v>50</v>
      </c>
      <c r="X841" s="9">
        <f>IF(Bull!X19="",NA(),Bull!X19)</f>
        <v>48</v>
      </c>
      <c r="Y841" s="9">
        <f>IF(Bull!Y19="",NA(),Bull!Y19)</f>
        <v>35</v>
      </c>
      <c r="Z841" s="9">
        <f>IF(Bull!Z19="",NA(),Bull!Z19)</f>
        <v>27</v>
      </c>
      <c r="AA841" s="9">
        <f>IF(Bull!AA19="",NA(),Bull!AA19)</f>
        <v>22</v>
      </c>
      <c r="AB841" s="9">
        <f>IF(Bull!AB19="",NA(),Bull!AB19)</f>
        <v>19</v>
      </c>
      <c r="AC841" s="9">
        <f>IF(Bull!AC19="",NA(),Bull!AC19)</f>
        <v>19</v>
      </c>
      <c r="AD841" s="9">
        <f>IF(Bull!AD19="",NA(),Bull!AD19)</f>
        <v>19</v>
      </c>
      <c r="AE841" s="9">
        <f>IF(Bull!AE19="",NA(),Bull!AE19)</f>
        <v>17</v>
      </c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  <c r="CA841" s="9"/>
      <c r="CB841" s="9"/>
      <c r="CC841" s="9"/>
      <c r="CD841" s="9"/>
    </row>
    <row r="842" spans="1:82">
      <c r="A842" s="36" t="s">
        <v>202</v>
      </c>
      <c r="B842" s="9" t="e">
        <f>IF(Bear!B19="",NA(),Bear!B19)</f>
        <v>#N/A</v>
      </c>
      <c r="C842" s="9">
        <f>IF(Bear!C19="",NA(),Bear!C19)</f>
        <v>0</v>
      </c>
      <c r="D842" s="9">
        <f>IF(Bear!D19="",NA(),Bear!D19)</f>
        <v>0</v>
      </c>
      <c r="E842" s="9">
        <f>IF(Bear!E19="",NA(),Bear!E19)</f>
        <v>0</v>
      </c>
      <c r="F842" s="9">
        <f>IF(Bear!F19="",NA(),Bear!F19)</f>
        <v>0</v>
      </c>
      <c r="G842" s="9">
        <f>IF(Bear!G19="",NA(),Bear!G19)</f>
        <v>0</v>
      </c>
      <c r="H842" s="9">
        <f>IF(Bear!H19="",NA(),Bear!H19)</f>
        <v>0</v>
      </c>
      <c r="I842" s="9">
        <f>IF(Bear!I19="",NA(),Bear!I19)</f>
        <v>0</v>
      </c>
      <c r="J842" s="9">
        <f>IF(Bear!J19="",NA(),Bear!J19)</f>
        <v>0</v>
      </c>
      <c r="K842" s="9">
        <f>IF(Bear!K19="",NA(),Bear!K19)</f>
        <v>0</v>
      </c>
      <c r="L842" s="9">
        <f>IF(Bear!L19="",NA(),Bear!L19)</f>
        <v>0</v>
      </c>
      <c r="M842" s="9">
        <f>IF(Bear!M19="",NA(),Bear!M19)</f>
        <v>0</v>
      </c>
      <c r="N842" s="9">
        <f>IF(Bear!N19="",NA(),Bear!N19)</f>
        <v>0</v>
      </c>
      <c r="O842" s="9">
        <f>IF(Bear!O19="",NA(),Bear!O19)</f>
        <v>302</v>
      </c>
      <c r="P842" s="9">
        <f>IF(Bear!P19="",NA(),Bear!P19)</f>
        <v>11</v>
      </c>
      <c r="Q842" s="9">
        <f>IF(Bear!Q19="",NA(),Bear!Q19)</f>
        <v>31</v>
      </c>
      <c r="R842" s="9">
        <f>IF(Bear!R19="",NA(),Bear!R19)</f>
        <v>37</v>
      </c>
      <c r="S842" s="9">
        <f>IF(Bear!S19="",NA(),Bear!S19)</f>
        <v>39</v>
      </c>
      <c r="T842" s="9">
        <f>IF(Bear!T19="",NA(),Bear!T19)</f>
        <v>468</v>
      </c>
      <c r="U842" s="9">
        <f>IF(Bear!U19="",NA(),Bear!U19)</f>
        <v>-26</v>
      </c>
      <c r="V842" s="9">
        <f>IF(Bear!V19="",NA(),Bear!V19)</f>
        <v>16</v>
      </c>
      <c r="W842" s="9">
        <f>IF(Bear!W19="",NA(),Bear!W19)</f>
        <v>50</v>
      </c>
      <c r="X842" s="9">
        <f>IF(Bear!X19="",NA(),Bear!X19)</f>
        <v>48</v>
      </c>
      <c r="Y842" s="9">
        <f>IF(Bear!Y19="",NA(),Bear!Y19)</f>
        <v>31</v>
      </c>
      <c r="Z842" s="9">
        <f>IF(Bear!Z19="",NA(),Bear!Z19)</f>
        <v>22</v>
      </c>
      <c r="AA842" s="9">
        <f>IF(Bear!AA19="",NA(),Bear!AA19)</f>
        <v>17</v>
      </c>
      <c r="AB842" s="9">
        <f>IF(Bear!AB19="",NA(),Bear!AB19)</f>
        <v>15</v>
      </c>
      <c r="AC842" s="9">
        <f>IF(Bear!AC19="",NA(),Bear!AC19)</f>
        <v>15</v>
      </c>
      <c r="AD842" s="9">
        <f>IF(Bear!AD19="",NA(),Bear!AD19)</f>
        <v>15</v>
      </c>
      <c r="AE842" s="9">
        <f>IF(Bear!AE19="",NA(),Bear!AE19)</f>
        <v>12</v>
      </c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  <c r="CA842" s="9"/>
      <c r="CB842" s="9"/>
      <c r="CC842" s="9"/>
      <c r="CD842" s="9"/>
    </row>
    <row r="843" spans="1:8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  <c r="CA843" s="9"/>
      <c r="CB843" s="9"/>
      <c r="CC843" s="9"/>
      <c r="CD843" s="9"/>
    </row>
    <row r="844" spans="1:82">
      <c r="A844" s="242"/>
      <c r="B844" s="1487">
        <f>Financials!B4</f>
        <v>2001</v>
      </c>
      <c r="C844" s="1461">
        <f>Financials!C4</f>
        <v>2002</v>
      </c>
      <c r="D844" s="1461">
        <f>Financials!D4</f>
        <v>2003</v>
      </c>
      <c r="E844" s="1461">
        <f>Financials!E4</f>
        <v>2004</v>
      </c>
      <c r="F844" s="1461">
        <f>Financials!F4</f>
        <v>2005</v>
      </c>
      <c r="G844" s="1461">
        <f>Financials!G4</f>
        <v>2006</v>
      </c>
      <c r="H844" s="1461">
        <f>Financials!H4</f>
        <v>2007</v>
      </c>
      <c r="I844" s="1461">
        <f>Financials!I4</f>
        <v>2008</v>
      </c>
      <c r="J844" s="1461">
        <f>Financials!J4</f>
        <v>2009</v>
      </c>
      <c r="K844" s="1461">
        <f>Financials!K4</f>
        <v>2010</v>
      </c>
      <c r="L844" s="1461">
        <f>Financials!L4</f>
        <v>2011</v>
      </c>
      <c r="M844" s="1461">
        <f>Financials!M4</f>
        <v>2012</v>
      </c>
      <c r="N844" s="1461">
        <f>Financials!N4</f>
        <v>2013</v>
      </c>
      <c r="O844" s="1461">
        <f>Financials!O4</f>
        <v>2014</v>
      </c>
      <c r="P844" s="1461">
        <f>Financials!P4</f>
        <v>2015</v>
      </c>
      <c r="Q844" s="1461">
        <f>Financials!Q4</f>
        <v>2016</v>
      </c>
      <c r="R844" s="1461">
        <f>Financials!R4</f>
        <v>2017</v>
      </c>
      <c r="S844" s="264">
        <f t="shared" ref="S844:X844" si="437">S$6</f>
        <v>2018</v>
      </c>
      <c r="T844" s="264">
        <f t="shared" si="437"/>
        <v>2019</v>
      </c>
      <c r="U844" s="264">
        <f t="shared" si="437"/>
        <v>2020</v>
      </c>
      <c r="V844" s="264">
        <f t="shared" si="437"/>
        <v>2021</v>
      </c>
      <c r="W844" s="264">
        <f t="shared" si="437"/>
        <v>2022</v>
      </c>
      <c r="X844" s="264">
        <f t="shared" si="437"/>
        <v>2023</v>
      </c>
      <c r="Y844" s="1462">
        <f>Financials!Y4</f>
        <v>2024</v>
      </c>
      <c r="Z844" s="1462">
        <f>Financials!Z4</f>
        <v>2025</v>
      </c>
      <c r="AA844" s="1462">
        <f>Financials!AA4</f>
        <v>2026</v>
      </c>
      <c r="AB844" s="1462">
        <f>Financials!AB4</f>
        <v>2027</v>
      </c>
      <c r="AC844" s="1462">
        <f>Financials!AC4</f>
        <v>2028</v>
      </c>
      <c r="AD844" s="1462">
        <f>Financials!AD4</f>
        <v>2029</v>
      </c>
      <c r="AE844" s="1462">
        <f>Financials!AE4</f>
        <v>2030</v>
      </c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  <c r="CA844" s="9"/>
      <c r="CB844" s="9"/>
      <c r="CC844" s="9"/>
      <c r="CD844" s="9"/>
    </row>
    <row r="845" spans="1:82">
      <c r="A845" s="9" t="s">
        <v>1321</v>
      </c>
      <c r="B845" s="9"/>
      <c r="C845" s="356">
        <f>+Financials!C104/Financials!C36</f>
        <v>5.6671141695548884E-2</v>
      </c>
      <c r="D845" s="356">
        <f>+Financials!D104/Financials!D36</f>
        <v>4.4627686452787092E-2</v>
      </c>
      <c r="E845" s="356">
        <f>+Financials!E104/Financials!E36</f>
        <v>4.1689384170928385E-2</v>
      </c>
      <c r="F845" s="356">
        <f>+Financials!F104/Financials!F36</f>
        <v>6.03386706106789E-2</v>
      </c>
      <c r="G845" s="356">
        <f>+Financials!G104/Financials!G36</f>
        <v>3.6867014776873534E-2</v>
      </c>
      <c r="H845" s="356">
        <f>+Financials!H104/Financials!H36</f>
        <v>6.8490679778961908E-2</v>
      </c>
      <c r="I845" s="356">
        <f>+Financials!I104/Financials!I36</f>
        <v>1.6538024459976913E-2</v>
      </c>
      <c r="J845" s="356">
        <f>+Financials!J104/Financials!J36</f>
        <v>1.2081870428379507E-2</v>
      </c>
      <c r="K845" s="356">
        <f>+Financials!K104/Financials!K36</f>
        <v>1.6837611786083295E-2</v>
      </c>
      <c r="L845" s="356">
        <f>+Financials!L104/Financials!L36</f>
        <v>1.9599300855681484E-2</v>
      </c>
      <c r="M845" s="356">
        <f>+Financials!M104/Financials!M36</f>
        <v>2.7113772515326512E-2</v>
      </c>
      <c r="N845" s="356">
        <f>+Financials!N104/Financials!N36</f>
        <v>4.3341661010401503E-2</v>
      </c>
      <c r="O845" s="356">
        <f>+Financials!O104/Financials!O36</f>
        <v>2.9239409822390157E-2</v>
      </c>
      <c r="P845" s="356">
        <f>+Financials!P104/Financials!P36</f>
        <v>3.0388830952662357E-2</v>
      </c>
      <c r="Q845" s="356">
        <f>+Financials!Q104/Financials!Q36</f>
        <v>2.6430309140923959E-2</v>
      </c>
      <c r="R845" s="356">
        <f>+Financials!R104/Financials!R36</f>
        <v>2.5617011929308382E-2</v>
      </c>
      <c r="S845" s="356">
        <f>+Financials!S104/Financials!S36</f>
        <v>2.0652586756244606E-2</v>
      </c>
      <c r="T845" s="356">
        <f>+Financials!T104/Financials!T36</f>
        <v>1.3144510498813485E-2</v>
      </c>
      <c r="U845" s="356">
        <f>+Financials!U104/Financials!U36</f>
        <v>-9.632870861855021E-2</v>
      </c>
      <c r="V845" s="356">
        <f>+Financials!V104/Financials!V36</f>
        <v>9.1399747719483806E-3</v>
      </c>
      <c r="W845" s="356">
        <f>+Financials!W104/Financials!W36</f>
        <v>2.4144246575014051E-2</v>
      </c>
      <c r="X845" s="356">
        <f>+Financials!X104/Financials!X36</f>
        <v>3.6597896437157711E-2</v>
      </c>
      <c r="Y845" s="356">
        <f>+Financials!Y104/Financials!Y36</f>
        <v>1.8715819289186544E-2</v>
      </c>
      <c r="Z845" s="356">
        <f>+Financials!Z104/Financials!Z36</f>
        <v>2.5655771266106939E-2</v>
      </c>
      <c r="AA845" s="356">
        <f>+Financials!AA104/Financials!AA36</f>
        <v>3.2234771989718504E-2</v>
      </c>
      <c r="AB845" s="356">
        <f>+Financials!AB104/Financials!AB36</f>
        <v>4.0376939764898978E-2</v>
      </c>
      <c r="AC845" s="356">
        <f>+Financials!AC104/Financials!AC36</f>
        <v>3.9132215116498593E-2</v>
      </c>
      <c r="AD845" s="356">
        <f>+Financials!AD104/Financials!AD36</f>
        <v>3.9062767255479448E-2</v>
      </c>
      <c r="AE845" s="356">
        <f>+Financials!AE104/Financials!AE36</f>
        <v>3.8908668845581446E-2</v>
      </c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  <c r="CA845" s="9"/>
      <c r="CB845" s="9"/>
      <c r="CC845" s="9"/>
      <c r="CD845" s="9"/>
    </row>
    <row r="846" spans="1:82">
      <c r="A846" s="9" t="s">
        <v>1322</v>
      </c>
      <c r="B846" s="151"/>
      <c r="C846" s="1463">
        <f>+Financials!C36/(AVERAGE(Financials!C133-Financials!C126,Financials!B133-Financials!B126))</f>
        <v>1.6821741451555294</v>
      </c>
      <c r="D846" s="1463">
        <f>+Financials!D36/(AVERAGE(Financials!D133-Financials!D126,Financials!C133-Financials!C126))</f>
        <v>1.6647931524984876</v>
      </c>
      <c r="E846" s="1463">
        <f>+Financials!E36/(AVERAGE(Financials!E133-Financials!E126,Financials!D133-Financials!D126))</f>
        <v>1.8523284379525657</v>
      </c>
      <c r="F846" s="1463">
        <f>+Financials!F36/(AVERAGE(Financials!F133-Financials!F126,Financials!E133-Financials!E126))</f>
        <v>1.7120561738500513</v>
      </c>
      <c r="G846" s="1463">
        <f>+Financials!G36/(AVERAGE(Financials!G133-Financials!G126,Financials!F133-Financials!F126))</f>
        <v>1.6546209835291408</v>
      </c>
      <c r="H846" s="1463">
        <f>+Financials!H36/(AVERAGE(Financials!H133-Financials!H126,Financials!G133-Financials!G126))</f>
        <v>1.4964145426821465</v>
      </c>
      <c r="I846" s="1463">
        <f>+Financials!I36/(AVERAGE(Financials!I133-Financials!I126,Financials!H133-Financials!H126))</f>
        <v>1.319092817846244</v>
      </c>
      <c r="J846" s="1463">
        <f>+Financials!J36/(AVERAGE(Financials!J133-Financials!J126,Financials!I133-Financials!I126))</f>
        <v>1.3940690042225106</v>
      </c>
      <c r="K846" s="1463">
        <f>+Financials!K36/(AVERAGE(Financials!K133-Financials!K126,Financials!J133-Financials!J126))</f>
        <v>1.5031650945377744</v>
      </c>
      <c r="L846" s="1463">
        <f>+Financials!L36/(AVERAGE(Financials!L133-Financials!L126,Financials!K133-Financials!K126))</f>
        <v>1.3788239582835173</v>
      </c>
      <c r="M846" s="1463">
        <f>+Financials!M36/(AVERAGE(Financials!M133-Financials!M126,Financials!L133-Financials!L126))</f>
        <v>1.4103565628748023</v>
      </c>
      <c r="N846" s="1463">
        <f>+Financials!N36/(AVERAGE(Financials!N133-Financials!N126,Financials!M133-Financials!M126))</f>
        <v>1.414680597511593</v>
      </c>
      <c r="O846" s="1463">
        <f>+Financials!O36/(AVERAGE(Financials!O133-Financials!O126,Financials!N133-Financials!N126))</f>
        <v>1.0808950592768309</v>
      </c>
      <c r="P846" s="1463">
        <f>+Financials!P36/(AVERAGE(Financials!P133-Financials!P126,Financials!O133-Financials!O126))</f>
        <v>1.048085303567988</v>
      </c>
      <c r="Q846" s="1463">
        <f>+Financials!Q36/(AVERAGE(Financials!Q133-Financials!Q126,Financials!P133-Financials!P126))</f>
        <v>1.0797016012928744</v>
      </c>
      <c r="R846" s="1463">
        <f>+Financials!R36/(AVERAGE(Financials!R133-Financials!R126,Financials!Q133-Financials!Q126))</f>
        <v>1.0953435245225904</v>
      </c>
      <c r="S846" s="1463">
        <f>+Financials!S36/(AVERAGE(Financials!S133-Financials!S126,Financials!R133-Financials!R126))</f>
        <v>0.9956190711760482</v>
      </c>
      <c r="T846" s="1463">
        <f>+Financials!T36/(AVERAGE(Financials!T133-Financials!T126,Financials!S133-Financials!S126))</f>
        <v>1.0658323826063301</v>
      </c>
      <c r="U846" s="1463">
        <f>+Financials!U36/(AVERAGE(Financials!U133-Financials!U126,Financials!T133-Financials!T126))</f>
        <v>0.66325590234470788</v>
      </c>
      <c r="V846" s="1463">
        <f>+Financials!V36/(AVERAGE(Financials!V133-Financials!V126,Financials!U133-Financials!U126))</f>
        <v>0.88436411624265154</v>
      </c>
      <c r="W846" s="1463">
        <f>+Financials!W36/(AVERAGE(Financials!W133-Financials!W126,Financials!V133-Financials!V126))</f>
        <v>1.141780326575661</v>
      </c>
      <c r="X846" s="1463">
        <f>+Financials!X36/(AVERAGE(Financials!X133-Financials!X126,Financials!W133-Financials!W126))</f>
        <v>1.2735936304286424</v>
      </c>
      <c r="Y846" s="1463">
        <f>+Financials!Y36/(AVERAGE(Financials!Y133-Financials!Y126,Financials!X133-Financials!X126))</f>
        <v>1.2956845496414815</v>
      </c>
      <c r="Z846" s="1463">
        <f>+Financials!Z36/(AVERAGE(Financials!Z133-Financials!Z126,Financials!Y133-Financials!Y126))</f>
        <v>1.332388515379701</v>
      </c>
      <c r="AA846" s="1463">
        <f>+Financials!AA36/(AVERAGE(Financials!AA133-Financials!AA126,Financials!Z133-Financials!Z126))</f>
        <v>1.2852203537967668</v>
      </c>
      <c r="AB846" s="1463">
        <f>+Financials!AB36/(AVERAGE(Financials!AB133-Financials!AB126,Financials!AA133-Financials!AA126))</f>
        <v>1.226930308191811</v>
      </c>
      <c r="AC846" s="1463">
        <f>+Financials!AC36/(AVERAGE(Financials!AC133-Financials!AC126,Financials!AB133-Financials!AB126))</f>
        <v>1.1902698535389751</v>
      </c>
      <c r="AD846" s="1463">
        <f>+Financials!AD36/(AVERAGE(Financials!AD133-Financials!AD126,Financials!AC133-Financials!AC126))</f>
        <v>1.1785048664775919</v>
      </c>
      <c r="AE846" s="1463">
        <f>+Financials!AE36/(AVERAGE(Financials!AE133-Financials!AE126,Financials!AD133-Financials!AD126))</f>
        <v>1.1688284953236385</v>
      </c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</row>
    <row r="847" spans="1:82">
      <c r="A847" s="9" t="s">
        <v>1323</v>
      </c>
      <c r="B847" s="151"/>
      <c r="C847" s="1463">
        <f>AVERAGE(Financials!C133-Financials!C126,Financials!B133-Financials!B126)/AVERAGE(Financials!C140,Financials!B140)</f>
        <v>1.5595892113572858</v>
      </c>
      <c r="D847" s="1463">
        <f>AVERAGE(Financials!D133-Financials!D126,Financials!C133-Financials!C126)/AVERAGE(Financials!D140,Financials!C140)</f>
        <v>1.5048270350606199</v>
      </c>
      <c r="E847" s="1463">
        <f>AVERAGE(Financials!E133-Financials!E126,Financials!D133-Financials!D126)/AVERAGE(Financials!E140,Financials!D140)</f>
        <v>1.51829499031977</v>
      </c>
      <c r="F847" s="1463">
        <f>AVERAGE(Financials!F133-Financials!F126,Financials!E133-Financials!E126)/AVERAGE(Financials!F140,Financials!E140)</f>
        <v>1.7069013468701026</v>
      </c>
      <c r="G847" s="1463">
        <f>AVERAGE(Financials!G133-Financials!G126,Financials!F133-Financials!F126)/AVERAGE(Financials!G140,Financials!F140)</f>
        <v>1.6475376206581935</v>
      </c>
      <c r="H847" s="1463">
        <f>AVERAGE(Financials!H133-Financials!H126,Financials!G133-Financials!G126)/AVERAGE(Financials!H140,Financials!G140)</f>
        <v>1.6520251146671092</v>
      </c>
      <c r="I847" s="1463">
        <f>AVERAGE(Financials!I133-Financials!I126,Financials!H133-Financials!H126)/AVERAGE(Financials!I140,Financials!H140)</f>
        <v>1.969514495990861</v>
      </c>
      <c r="J847" s="1463">
        <f>AVERAGE(Financials!J133-Financials!J126,Financials!I133-Financials!I126)/AVERAGE(Financials!J140,Financials!I140)</f>
        <v>2.0860410182773816</v>
      </c>
      <c r="K847" s="1463">
        <f>AVERAGE(Financials!K133-Financials!K126,Financials!J133-Financials!J126)/AVERAGE(Financials!K140,Financials!J140)</f>
        <v>2.069658777568157</v>
      </c>
      <c r="L847" s="1463">
        <f>AVERAGE(Financials!L133-Financials!L126,Financials!K133-Financials!K126)/AVERAGE(Financials!L140,Financials!K140)</f>
        <v>2.6480441931166969</v>
      </c>
      <c r="M847" s="1463">
        <f>AVERAGE(Financials!M133-Financials!M126,Financials!L133-Financials!L126)/AVERAGE(Financials!M140,Financials!L140)</f>
        <v>2.5512774840892538</v>
      </c>
      <c r="N847" s="1463">
        <f>AVERAGE(Financials!N133-Financials!N126,Financials!M133-Financials!M126)/AVERAGE(Financials!N140,Financials!M140)</f>
        <v>2.5265447979256921</v>
      </c>
      <c r="O847" s="1463">
        <f>AVERAGE(Financials!O133-Financials!O126,Financials!N133-Financials!N126)/AVERAGE(Financials!O140,Financials!N140)</f>
        <v>3.2274454722487111</v>
      </c>
      <c r="P847" s="1463">
        <f>AVERAGE(Financials!P133-Financials!P126,Financials!O133-Financials!O126)/AVERAGE(Financials!P140,Financials!O140)</f>
        <v>3.4480176032721852</v>
      </c>
      <c r="Q847" s="1463">
        <f>AVERAGE(Financials!Q133-Financials!Q126,Financials!P133-Financials!P126)/AVERAGE(Financials!Q140,Financials!P140)</f>
        <v>3.8842022480658964</v>
      </c>
      <c r="R847" s="1463">
        <f>AVERAGE(Financials!R133-Financials!R126,Financials!Q133-Financials!Q126)/AVERAGE(Financials!R140,Financials!Q140)</f>
        <v>4.227007091389412</v>
      </c>
      <c r="S847" s="1463">
        <f>AVERAGE(Financials!S133-Financials!S126,Financials!R133-Financials!R126)/AVERAGE(Financials!S140,Financials!R140)</f>
        <v>4.5139854888415654</v>
      </c>
      <c r="T847" s="1463">
        <f>AVERAGE(Financials!T133-Financials!T126,Financials!S133-Financials!S126)/AVERAGE(Financials!T140,Financials!S140)</f>
        <v>5.2816828821806867</v>
      </c>
      <c r="U847" s="1463">
        <f>AVERAGE(Financials!U133-Financials!U126,Financials!T133-Financials!T126)/AVERAGE(Financials!U140,Financials!T140)</f>
        <v>7.3081080931344466</v>
      </c>
      <c r="V847" s="1463">
        <f>AVERAGE(Financials!V133-Financials!V126,Financials!U133-Financials!U126)/AVERAGE(Financials!V140,Financials!U140)</f>
        <v>8.6586603059909653</v>
      </c>
      <c r="W847" s="1463">
        <f>AVERAGE(Financials!W133-Financials!W126,Financials!V133-Financials!V126)/AVERAGE(Financials!W140,Financials!V140)</f>
        <v>7.9024791386372435</v>
      </c>
      <c r="X847" s="1463">
        <f>AVERAGE(Financials!X133-Financials!X126,Financials!W133-Financials!W126)/AVERAGE(Financials!X140,Financials!W140)</f>
        <v>7.4851742037391542</v>
      </c>
      <c r="Y847" s="1463">
        <f>AVERAGE(Financials!Y133-Financials!Y126,Financials!X133-Financials!X126)/AVERAGE(Financials!Y140,Financials!X140)</f>
        <v>7.6144321381231315</v>
      </c>
      <c r="Z847" s="1463">
        <f>AVERAGE(Financials!Z133-Financials!Z126,Financials!Y133-Financials!Y126)/AVERAGE(Financials!Z140,Financials!Y140)</f>
        <v>7.5947492818511417</v>
      </c>
      <c r="AA847" s="1463">
        <f>AVERAGE(Financials!AA133-Financials!AA126,Financials!Z133-Financials!Z126)/AVERAGE(Financials!AA140,Financials!Z140)</f>
        <v>6.5861795465266768</v>
      </c>
      <c r="AB847" s="1463">
        <f>AVERAGE(Financials!AB133-Financials!AB126,Financials!AA133-Financials!AA126)/AVERAGE(Financials!AB140,Financials!AA140)</f>
        <v>5.5931331195747633</v>
      </c>
      <c r="AC847" s="1463">
        <f>AVERAGE(Financials!AC133-Financials!AC126,Financials!AB133-Financials!AB126)/AVERAGE(Financials!AC140,Financials!AB140)</f>
        <v>4.7463510418170003</v>
      </c>
      <c r="AD847" s="1463">
        <f>AVERAGE(Financials!AD133-Financials!AD126,Financials!AC133-Financials!AC126)/AVERAGE(Financials!AD140,Financials!AC140)</f>
        <v>4.0922233583606351</v>
      </c>
      <c r="AE847" s="1463">
        <f>AVERAGE(Financials!AE133-Financials!AE126,Financials!AD133-Financials!AD126)/AVERAGE(Financials!AE140,Financials!AD140)</f>
        <v>3.6060856610595478</v>
      </c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  <c r="CA847" s="9"/>
      <c r="CB847" s="9"/>
      <c r="CC847" s="9"/>
      <c r="CD847" s="9"/>
    </row>
    <row r="848" spans="1:82">
      <c r="A848" s="9" t="s">
        <v>1324</v>
      </c>
      <c r="B848" s="9"/>
      <c r="C848" s="356">
        <f t="shared" ref="C848:Z848" si="438">+C845*C846*C847</f>
        <v>0.14867677698433543</v>
      </c>
      <c r="D848" s="356">
        <f t="shared" si="438"/>
        <v>0.11180242898166602</v>
      </c>
      <c r="E848" s="356">
        <f t="shared" si="438"/>
        <v>0.11724643143416799</v>
      </c>
      <c r="F848" s="356">
        <f t="shared" si="438"/>
        <v>0.17632836019097489</v>
      </c>
      <c r="G848" s="356">
        <f t="shared" si="438"/>
        <v>0.10050133736707227</v>
      </c>
      <c r="H848" s="356">
        <f t="shared" si="438"/>
        <v>0.1693167961900845</v>
      </c>
      <c r="I848" s="356">
        <f t="shared" si="438"/>
        <v>4.296533153258774E-2</v>
      </c>
      <c r="J848" s="356">
        <f t="shared" si="438"/>
        <v>3.5135107676364553E-2</v>
      </c>
      <c r="K848" s="356">
        <f t="shared" si="438"/>
        <v>5.2382464105389777E-2</v>
      </c>
      <c r="L848" s="356">
        <f t="shared" si="438"/>
        <v>7.1560708104341467E-2</v>
      </c>
      <c r="M848" s="356">
        <f t="shared" si="438"/>
        <v>9.7561072981505806E-2</v>
      </c>
      <c r="N848" s="356">
        <f t="shared" si="438"/>
        <v>0.15491410108827933</v>
      </c>
      <c r="O848" s="356">
        <f t="shared" si="438"/>
        <v>0.10200255440152303</v>
      </c>
      <c r="P848" s="356">
        <f t="shared" si="438"/>
        <v>0.10981966103516042</v>
      </c>
      <c r="Q848" s="356">
        <f t="shared" si="438"/>
        <v>0.11084288566677229</v>
      </c>
      <c r="R848" s="356">
        <f t="shared" si="438"/>
        <v>0.11860740170438074</v>
      </c>
      <c r="S848" s="356">
        <f t="shared" si="438"/>
        <v>9.2817062745743445E-2</v>
      </c>
      <c r="T848" s="356">
        <f t="shared" si="438"/>
        <v>7.3995558218210897E-2</v>
      </c>
      <c r="U848" s="356">
        <f t="shared" si="438"/>
        <v>-0.4669192980724261</v>
      </c>
      <c r="V848" s="356">
        <f t="shared" si="438"/>
        <v>6.9988520228390527E-2</v>
      </c>
      <c r="W848" s="356">
        <f t="shared" si="438"/>
        <v>0.21785100681108807</v>
      </c>
      <c r="X848" s="356">
        <f t="shared" si="438"/>
        <v>0.34889031548801208</v>
      </c>
      <c r="Y848" s="356">
        <f t="shared" si="438"/>
        <v>0.18464844037285724</v>
      </c>
      <c r="Z848" s="356">
        <f t="shared" si="438"/>
        <v>0.2596147702225905</v>
      </c>
      <c r="AA848" s="356">
        <f>+AA845*AA846*AA847</f>
        <v>0.27285741680742082</v>
      </c>
      <c r="AB848" s="356">
        <f>+AB845*AB846*AB847</f>
        <v>0.2770820873022749</v>
      </c>
      <c r="AC848" s="356">
        <f>+AC845*AC846*AC847</f>
        <v>0.22107504499341638</v>
      </c>
      <c r="AD848" s="356">
        <f>+AD845*AD846*AD847</f>
        <v>0.18838820852489399</v>
      </c>
      <c r="AE848" s="356">
        <f>+AE845*AE846*AE847</f>
        <v>0.16399598012379613</v>
      </c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  <c r="CA848" s="9"/>
      <c r="CB848" s="9"/>
      <c r="CC848" s="9"/>
      <c r="CD848" s="9"/>
    </row>
    <row r="849" spans="1:82">
      <c r="A849" s="9"/>
      <c r="B849" s="9"/>
      <c r="C849" s="464"/>
      <c r="D849" s="464"/>
      <c r="E849" s="464"/>
      <c r="F849" s="464"/>
      <c r="G849" s="464"/>
      <c r="H849" s="464"/>
      <c r="I849" s="464"/>
      <c r="J849" s="464"/>
      <c r="K849" s="464"/>
      <c r="L849" s="464"/>
      <c r="M849" s="464"/>
      <c r="N849" s="464"/>
      <c r="O849" s="464"/>
      <c r="P849" s="464"/>
      <c r="Q849" s="96"/>
      <c r="R849" s="96"/>
      <c r="S849" s="96"/>
      <c r="T849" s="96"/>
      <c r="U849" s="96"/>
      <c r="V849" s="96"/>
      <c r="W849" s="96"/>
      <c r="X849" s="96"/>
      <c r="Y849" s="96"/>
      <c r="Z849" s="96"/>
      <c r="AA849" s="96"/>
      <c r="AB849" s="96"/>
      <c r="AC849" s="96"/>
      <c r="AD849" s="96"/>
      <c r="AE849" s="96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  <c r="CA849" s="9"/>
      <c r="CB849" s="9"/>
      <c r="CC849" s="9"/>
      <c r="CD849" s="9"/>
    </row>
    <row r="850" spans="1:82">
      <c r="A850" s="9" t="s">
        <v>1311</v>
      </c>
      <c r="B850" s="9"/>
      <c r="C850" s="356">
        <f>+Financials!B89/Financials!B36</f>
        <v>-4.4926684700164143E-2</v>
      </c>
      <c r="D850" s="356">
        <f>+Financials!C89/Financials!C36</f>
        <v>-4.3377718313675165E-2</v>
      </c>
      <c r="E850" s="356">
        <f>+Financials!D89/Financials!D36</f>
        <v>-5.6228628263156673E-2</v>
      </c>
      <c r="F850" s="356">
        <f>+Financials!E89/Financials!E36</f>
        <v>-4.9347542491844615E-2</v>
      </c>
      <c r="G850" s="356">
        <f>+Financials!F89/Financials!F36</f>
        <v>-4.5212526525625359E-2</v>
      </c>
      <c r="H850" s="356">
        <f>+Financials!G89/Financials!G36</f>
        <v>-9.4808480755815522E-2</v>
      </c>
      <c r="I850" s="356">
        <f>+Financials!H89/Financials!H36</f>
        <v>-8.2025331967246554E-2</v>
      </c>
      <c r="J850" s="356">
        <f>+Financials!I89/Financials!I36</f>
        <v>-7.3583093944490724E-2</v>
      </c>
      <c r="K850" s="356">
        <f>+Financials!J89/Financials!J36</f>
        <v>-7.7461363180340304E-2</v>
      </c>
      <c r="L850" s="356">
        <f>+Financials!K89/Financials!K36</f>
        <v>-7.4656847899668657E-2</v>
      </c>
      <c r="M850" s="356">
        <f>+Financials!L89/Financials!L36</f>
        <v>-6.1868718975844811E-2</v>
      </c>
      <c r="N850" s="356">
        <f>+Financials!M89/Financials!M36</f>
        <v>-5.9602812616105318E-2</v>
      </c>
      <c r="O850" s="356">
        <f>+Financials!N89/Financials!N36</f>
        <v>-5.8683488765273094E-2</v>
      </c>
      <c r="P850" s="356">
        <f>+Financials!O89/Financials!O36</f>
        <v>-5.8599388471751737E-2</v>
      </c>
      <c r="Q850" s="356">
        <f>+Financials!P89/Financials!P36</f>
        <v>-6.0328088349813562E-2</v>
      </c>
      <c r="R850" s="356">
        <f>+Financials!Q89/Financials!Q36</f>
        <v>-6.3345297992802321E-2</v>
      </c>
      <c r="S850" s="356">
        <f>+Financials!R89/Financials!R36</f>
        <v>-6.4700984532457179E-2</v>
      </c>
      <c r="T850" s="356">
        <f>+Financials!S89/Financials!S36</f>
        <v>-6.7481760080591743E-2</v>
      </c>
      <c r="U850" s="356">
        <f>+Financials!T89/Financials!T36</f>
        <v>-7.3206291661888467E-2</v>
      </c>
      <c r="V850" s="356">
        <f>+Financials!U89/Financials!U36</f>
        <v>-0.11308784559534214</v>
      </c>
      <c r="W850" s="356">
        <f>+Financials!V89/Financials!V36</f>
        <v>-7.0065215523219232E-2</v>
      </c>
      <c r="X850" s="356">
        <f>+Financials!W89/Financials!W36</f>
        <v>-4.8684170669145377E-2</v>
      </c>
      <c r="Y850" s="356">
        <f>+Financials!X89/Financials!X36</f>
        <v>-5.1338727495914789E-2</v>
      </c>
      <c r="Z850" s="356">
        <f>+Financials!Y89/Financials!Y36</f>
        <v>-5.2544597131942539E-2</v>
      </c>
      <c r="AA850" s="356">
        <f>+Financials!Z89/Financials!Z36</f>
        <v>-5.2056998292282261E-2</v>
      </c>
      <c r="AB850" s="356">
        <f>+Financials!AA89/Financials!AA36</f>
        <v>-5.0717182965087634E-2</v>
      </c>
      <c r="AC850" s="356">
        <f>+Financials!AB89/Financials!AB36</f>
        <v>-4.9447478083419039E-2</v>
      </c>
      <c r="AD850" s="356">
        <f>+Financials!AC89/Financials!AC36</f>
        <v>-4.9612352430701799E-2</v>
      </c>
      <c r="AE850" s="356">
        <f>+Financials!AD89/Financials!AD36</f>
        <v>-5.3252914243866648E-2</v>
      </c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  <c r="CA850" s="9"/>
      <c r="CB850" s="9"/>
      <c r="CC850" s="9"/>
      <c r="CD850" s="9"/>
    </row>
    <row r="851" spans="1:8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  <c r="AM851" s="9"/>
      <c r="AN851" s="9"/>
      <c r="AO851" s="9"/>
      <c r="AP851" s="9"/>
      <c r="AQ851" s="9"/>
      <c r="AR851" s="9"/>
      <c r="AS851" s="9"/>
      <c r="AT851" s="9"/>
      <c r="AU851" s="9"/>
      <c r="AV851" s="9"/>
      <c r="AW851" s="9"/>
      <c r="AX851" s="9"/>
      <c r="AY851" s="9"/>
      <c r="AZ851" s="9"/>
      <c r="BA851" s="9"/>
      <c r="BB851" s="9"/>
      <c r="BC851" s="9"/>
      <c r="BD851" s="9"/>
      <c r="BE851" s="9"/>
      <c r="BF851" s="9"/>
      <c r="BG851" s="9"/>
      <c r="BH851" s="9"/>
      <c r="BI851" s="9"/>
      <c r="BJ851" s="9"/>
      <c r="BK851" s="9"/>
      <c r="BL851" s="9"/>
      <c r="BM851" s="9"/>
      <c r="BN851" s="9"/>
      <c r="BO851" s="9"/>
      <c r="BP851" s="9"/>
      <c r="BQ851" s="9"/>
      <c r="BR851" s="9"/>
      <c r="BS851" s="9"/>
      <c r="BT851" s="9"/>
      <c r="BU851" s="9"/>
      <c r="BV851" s="9"/>
      <c r="BW851" s="9"/>
      <c r="BX851" s="9"/>
      <c r="BY851" s="9"/>
      <c r="BZ851" s="9"/>
      <c r="CA851" s="9"/>
      <c r="CB851" s="9"/>
      <c r="CC851" s="9"/>
      <c r="CD851" s="9"/>
    </row>
    <row r="852" spans="1:82">
      <c r="A852" s="242"/>
      <c r="B852" s="1461">
        <v>2017</v>
      </c>
      <c r="C852" s="1461">
        <v>2018</v>
      </c>
      <c r="D852" s="1461">
        <v>2019</v>
      </c>
      <c r="E852" s="1461">
        <v>2020</v>
      </c>
      <c r="F852" s="1461">
        <v>2021</v>
      </c>
      <c r="G852" s="1461">
        <v>2022</v>
      </c>
      <c r="H852" s="1461">
        <v>2023</v>
      </c>
      <c r="I852" s="1461">
        <v>2024</v>
      </c>
      <c r="J852" s="1461">
        <v>2025</v>
      </c>
      <c r="K852" s="1461"/>
      <c r="L852" s="1461"/>
      <c r="M852" s="1461"/>
      <c r="N852" s="1461"/>
      <c r="O852" s="1461"/>
      <c r="P852" s="1461"/>
      <c r="Q852" s="1461"/>
      <c r="R852" s="1461"/>
      <c r="S852" s="1461"/>
      <c r="T852" s="1462"/>
      <c r="U852" s="1462"/>
      <c r="V852" s="1462"/>
      <c r="W852" s="1462"/>
      <c r="X852" s="1462"/>
      <c r="Y852" s="1462"/>
      <c r="Z852" s="1462"/>
      <c r="AA852" s="1462"/>
      <c r="AB852" s="1462"/>
      <c r="AC852" s="1462"/>
      <c r="AD852" s="1462"/>
      <c r="AE852" s="1462"/>
      <c r="AF852" s="9"/>
      <c r="AG852" s="9"/>
      <c r="AH852" s="9"/>
      <c r="AI852" s="9"/>
      <c r="AJ852" s="9"/>
      <c r="AK852" s="9"/>
      <c r="AL852" s="9"/>
      <c r="AM852" s="9"/>
      <c r="AN852" s="9"/>
      <c r="AO852" s="9"/>
      <c r="AP852" s="9"/>
      <c r="AQ852" s="9"/>
      <c r="AR852" s="9"/>
      <c r="AS852" s="9"/>
      <c r="AT852" s="9"/>
      <c r="AU852" s="9"/>
      <c r="AV852" s="9"/>
      <c r="AW852" s="9"/>
      <c r="AX852" s="9"/>
      <c r="AY852" s="9"/>
      <c r="AZ852" s="9"/>
      <c r="BA852" s="9"/>
      <c r="BB852" s="9"/>
      <c r="BC852" s="9"/>
      <c r="BD852" s="9"/>
      <c r="BE852" s="9"/>
      <c r="BF852" s="9"/>
      <c r="BG852" s="9"/>
      <c r="BH852" s="9"/>
      <c r="BI852" s="9"/>
      <c r="BJ852" s="9"/>
      <c r="BK852" s="9"/>
      <c r="BL852" s="9"/>
      <c r="BM852" s="9"/>
      <c r="BN852" s="9"/>
      <c r="BO852" s="9"/>
      <c r="BP852" s="9"/>
      <c r="BQ852" s="9"/>
      <c r="BR852" s="9"/>
      <c r="BS852" s="9"/>
      <c r="BT852" s="9"/>
      <c r="BU852" s="9"/>
      <c r="BV852" s="9"/>
      <c r="BW852" s="9"/>
      <c r="BX852" s="9"/>
      <c r="BY852" s="9"/>
      <c r="BZ852" s="9"/>
      <c r="CA852" s="9"/>
      <c r="CB852" s="9"/>
      <c r="CC852" s="9"/>
      <c r="CD852" s="9"/>
    </row>
    <row r="853" spans="1:82">
      <c r="A853" s="9" t="s">
        <v>1336</v>
      </c>
      <c r="B853" s="254">
        <v>2716</v>
      </c>
      <c r="C853" s="96">
        <v>2921</v>
      </c>
      <c r="D853" s="96">
        <v>3116</v>
      </c>
      <c r="E853" s="96">
        <v>3312</v>
      </c>
      <c r="F853" s="96">
        <v>3508</v>
      </c>
      <c r="G853" s="96">
        <v>3704</v>
      </c>
      <c r="H853" s="96">
        <v>3900</v>
      </c>
      <c r="I853" s="96">
        <v>4038</v>
      </c>
      <c r="J853" s="96">
        <v>4135</v>
      </c>
      <c r="K853" s="356"/>
      <c r="L853" s="356"/>
      <c r="M853" s="356"/>
      <c r="N853" s="356"/>
      <c r="O853" s="356"/>
      <c r="P853" s="356"/>
      <c r="Q853" s="356"/>
      <c r="R853" s="356"/>
      <c r="S853" s="356"/>
      <c r="T853" s="356"/>
      <c r="U853" s="356"/>
      <c r="V853" s="356"/>
      <c r="W853" s="356"/>
      <c r="X853" s="356"/>
      <c r="Y853" s="356"/>
      <c r="Z853" s="356"/>
      <c r="AA853" s="356"/>
      <c r="AB853" s="356"/>
      <c r="AC853" s="356"/>
      <c r="AD853" s="356"/>
      <c r="AE853" s="356"/>
      <c r="AF853" s="9"/>
      <c r="AG853" s="9"/>
      <c r="AH853" s="9"/>
      <c r="AI853" s="9"/>
      <c r="AJ853" s="9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  <c r="BL853" s="9"/>
      <c r="BM853" s="9"/>
      <c r="BN853" s="9"/>
      <c r="BO853" s="9"/>
      <c r="BP853" s="9"/>
      <c r="BQ853" s="9"/>
      <c r="BR853" s="9"/>
      <c r="BS853" s="9"/>
      <c r="BT853" s="9"/>
      <c r="BU853" s="9"/>
      <c r="BV853" s="9"/>
      <c r="BW853" s="9"/>
      <c r="BX853" s="9"/>
      <c r="BY853" s="9"/>
      <c r="BZ853" s="9"/>
      <c r="CA853" s="9"/>
      <c r="CB853" s="9"/>
      <c r="CC853" s="9"/>
      <c r="CD853" s="9"/>
    </row>
    <row r="854" spans="1:82">
      <c r="A854" s="9" t="s">
        <v>1337</v>
      </c>
      <c r="B854" s="254">
        <v>722</v>
      </c>
      <c r="C854" s="96">
        <v>777</v>
      </c>
      <c r="D854" s="96">
        <v>833</v>
      </c>
      <c r="E854" s="96">
        <v>891</v>
      </c>
      <c r="F854" s="96">
        <v>949</v>
      </c>
      <c r="G854" s="96">
        <v>1007</v>
      </c>
      <c r="H854" s="96">
        <v>1065</v>
      </c>
      <c r="I854" s="96">
        <v>1106</v>
      </c>
      <c r="J854" s="96">
        <v>1133</v>
      </c>
      <c r="K854" s="1463"/>
      <c r="L854" s="1463"/>
      <c r="M854" s="1463"/>
      <c r="N854" s="1463"/>
      <c r="O854" s="1463"/>
      <c r="P854" s="1463"/>
      <c r="Q854" s="1463"/>
      <c r="R854" s="1463"/>
      <c r="S854" s="1463"/>
      <c r="T854" s="1463"/>
      <c r="U854" s="1463"/>
      <c r="V854" s="1463"/>
      <c r="W854" s="1463"/>
      <c r="X854" s="1463"/>
      <c r="Y854" s="1463"/>
      <c r="Z854" s="1463"/>
      <c r="AA854" s="1463"/>
      <c r="AB854" s="1463"/>
      <c r="AC854" s="1463"/>
      <c r="AD854" s="1463"/>
      <c r="AE854" s="1463"/>
      <c r="AF854" s="9"/>
      <c r="AG854" s="9"/>
      <c r="AH854" s="9"/>
      <c r="AI854" s="9"/>
      <c r="AJ854" s="9"/>
      <c r="AK854" s="9"/>
      <c r="AL854" s="9"/>
      <c r="AM854" s="9"/>
      <c r="AN854" s="9"/>
      <c r="AO854" s="9"/>
      <c r="AP854" s="9"/>
      <c r="AQ854" s="9"/>
      <c r="AR854" s="9"/>
      <c r="AS854" s="9"/>
      <c r="AT854" s="9"/>
      <c r="AU854" s="9"/>
      <c r="AV854" s="9"/>
      <c r="AW854" s="9"/>
      <c r="AX854" s="9"/>
      <c r="AY854" s="9"/>
      <c r="AZ854" s="9"/>
      <c r="BA854" s="9"/>
      <c r="BB854" s="9"/>
      <c r="BC854" s="9"/>
      <c r="BD854" s="9"/>
      <c r="BE854" s="9"/>
      <c r="BF854" s="9"/>
      <c r="BG854" s="9"/>
      <c r="BH854" s="9"/>
      <c r="BI854" s="9"/>
      <c r="BJ854" s="9"/>
      <c r="BK854" s="9"/>
      <c r="BL854" s="9"/>
      <c r="BM854" s="9"/>
      <c r="BN854" s="9"/>
      <c r="BO854" s="9"/>
      <c r="BP854" s="9"/>
      <c r="BQ854" s="9"/>
      <c r="BR854" s="9"/>
      <c r="BS854" s="9"/>
      <c r="BT854" s="9"/>
      <c r="BU854" s="9"/>
      <c r="BV854" s="9"/>
      <c r="BW854" s="9"/>
      <c r="BX854" s="9"/>
      <c r="BY854" s="9"/>
      <c r="BZ854" s="9"/>
      <c r="CA854" s="9"/>
      <c r="CB854" s="9"/>
      <c r="CC854" s="9"/>
      <c r="CD854" s="9"/>
    </row>
    <row r="855" spans="1:82">
      <c r="A855" s="9" t="s">
        <v>325</v>
      </c>
      <c r="B855" s="254">
        <f t="shared" ref="B855:J855" si="439">+SUM(B853:B854)</f>
        <v>3438</v>
      </c>
      <c r="C855" s="96">
        <f t="shared" si="439"/>
        <v>3698</v>
      </c>
      <c r="D855" s="96">
        <f t="shared" si="439"/>
        <v>3949</v>
      </c>
      <c r="E855" s="96">
        <f t="shared" si="439"/>
        <v>4203</v>
      </c>
      <c r="F855" s="96">
        <f t="shared" si="439"/>
        <v>4457</v>
      </c>
      <c r="G855" s="96">
        <f t="shared" si="439"/>
        <v>4711</v>
      </c>
      <c r="H855" s="96">
        <f t="shared" si="439"/>
        <v>4965</v>
      </c>
      <c r="I855" s="96">
        <f t="shared" si="439"/>
        <v>5144</v>
      </c>
      <c r="J855" s="96">
        <f t="shared" si="439"/>
        <v>5268</v>
      </c>
      <c r="K855" s="1463"/>
      <c r="L855" s="1463"/>
      <c r="M855" s="1463"/>
      <c r="N855" s="1463"/>
      <c r="O855" s="1463"/>
      <c r="P855" s="1463"/>
      <c r="Q855" s="1463"/>
      <c r="R855" s="1463"/>
      <c r="S855" s="1463"/>
      <c r="T855" s="1463"/>
      <c r="U855" s="1463"/>
      <c r="V855" s="1463"/>
      <c r="W855" s="1463"/>
      <c r="X855" s="1463"/>
      <c r="Y855" s="1463"/>
      <c r="Z855" s="1463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  <c r="AM855" s="9"/>
      <c r="AN855" s="9"/>
      <c r="AO855" s="9"/>
      <c r="AP855" s="9"/>
      <c r="AQ855" s="9"/>
      <c r="AR855" s="9"/>
      <c r="AS855" s="9"/>
      <c r="AT855" s="9"/>
      <c r="AU855" s="9"/>
      <c r="AV855" s="9"/>
      <c r="AW855" s="9"/>
      <c r="AX855" s="9"/>
      <c r="AY855" s="9"/>
      <c r="AZ855" s="9"/>
      <c r="BA855" s="9"/>
      <c r="BB855" s="9"/>
      <c r="BC855" s="9"/>
      <c r="BD855" s="9"/>
      <c r="BE855" s="9"/>
      <c r="BF855" s="9"/>
      <c r="BG855" s="9"/>
      <c r="BH855" s="9"/>
      <c r="BI855" s="9"/>
      <c r="BJ855" s="9"/>
      <c r="BK855" s="9"/>
      <c r="BL855" s="9"/>
      <c r="BM855" s="9"/>
      <c r="BN855" s="9"/>
      <c r="BO855" s="9"/>
      <c r="BP855" s="9"/>
      <c r="BQ855" s="9"/>
      <c r="BR855" s="9"/>
      <c r="BS855" s="9"/>
      <c r="BT855" s="9"/>
      <c r="BU855" s="9"/>
      <c r="BV855" s="9"/>
      <c r="BW855" s="9"/>
      <c r="BX855" s="9"/>
      <c r="BY855" s="9"/>
      <c r="BZ855" s="9"/>
      <c r="CA855" s="9"/>
      <c r="CB855" s="9"/>
      <c r="CC855" s="9"/>
      <c r="CD855" s="9"/>
    </row>
    <row r="856" spans="1:8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  <c r="AM856" s="9"/>
      <c r="AN856" s="9"/>
      <c r="AO856" s="9"/>
      <c r="AP856" s="9"/>
      <c r="AQ856" s="9"/>
      <c r="AR856" s="9"/>
      <c r="AS856" s="9"/>
      <c r="AT856" s="9"/>
      <c r="AU856" s="9"/>
      <c r="AV856" s="9"/>
      <c r="AW856" s="9"/>
      <c r="AX856" s="9"/>
      <c r="AY856" s="9"/>
      <c r="AZ856" s="9"/>
      <c r="BA856" s="9"/>
      <c r="BB856" s="9"/>
      <c r="BC856" s="9"/>
      <c r="BD856" s="9"/>
      <c r="BE856" s="9"/>
      <c r="BF856" s="9"/>
      <c r="BG856" s="9"/>
      <c r="BH856" s="9"/>
      <c r="BI856" s="9"/>
      <c r="BJ856" s="9"/>
      <c r="BK856" s="9"/>
      <c r="BL856" s="9"/>
      <c r="BM856" s="9"/>
      <c r="BN856" s="9"/>
      <c r="BO856" s="9"/>
      <c r="BP856" s="9"/>
      <c r="BQ856" s="9"/>
      <c r="BR856" s="9"/>
      <c r="BS856" s="9"/>
      <c r="BT856" s="9"/>
      <c r="BU856" s="9"/>
      <c r="BV856" s="9"/>
      <c r="BW856" s="9"/>
      <c r="BX856" s="9"/>
      <c r="BY856" s="9"/>
      <c r="BZ856" s="9"/>
      <c r="CA856" s="9"/>
      <c r="CB856" s="9"/>
      <c r="CC856" s="9"/>
      <c r="CD856" s="9"/>
    </row>
    <row r="857" spans="1:8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  <c r="AM857" s="9"/>
      <c r="AN857" s="9"/>
      <c r="AO857" s="9"/>
      <c r="AP857" s="9"/>
      <c r="AQ857" s="9"/>
      <c r="AR857" s="9"/>
      <c r="AS857" s="9"/>
      <c r="AT857" s="9"/>
      <c r="AU857" s="9"/>
      <c r="AV857" s="9"/>
      <c r="AW857" s="9"/>
      <c r="AX857" s="9"/>
      <c r="AY857" s="9"/>
      <c r="AZ857" s="9"/>
      <c r="BA857" s="9"/>
      <c r="BB857" s="9"/>
      <c r="BC857" s="9"/>
      <c r="BD857" s="9"/>
      <c r="BE857" s="9"/>
      <c r="BF857" s="9"/>
      <c r="BG857" s="9"/>
      <c r="BH857" s="9"/>
      <c r="BI857" s="9"/>
      <c r="BJ857" s="9"/>
      <c r="BK857" s="9"/>
      <c r="BL857" s="9"/>
      <c r="BM857" s="9"/>
      <c r="BN857" s="9"/>
      <c r="BO857" s="9"/>
      <c r="BP857" s="9"/>
      <c r="BQ857" s="9"/>
      <c r="BR857" s="9"/>
      <c r="BS857" s="9"/>
      <c r="BT857" s="9"/>
      <c r="BU857" s="9"/>
      <c r="BV857" s="9"/>
      <c r="BW857" s="9"/>
      <c r="BX857" s="9"/>
      <c r="BY857" s="9"/>
      <c r="BZ857" s="9"/>
      <c r="CA857" s="9"/>
      <c r="CB857" s="9"/>
      <c r="CC857" s="9"/>
      <c r="CD857" s="9"/>
    </row>
    <row r="858" spans="1:8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  <c r="AM858" s="9"/>
      <c r="AN858" s="9"/>
      <c r="AO858" s="9"/>
      <c r="AP858" s="9"/>
      <c r="AQ858" s="9"/>
      <c r="AR858" s="9"/>
      <c r="AS858" s="9"/>
      <c r="AT858" s="9"/>
      <c r="AU858" s="9"/>
      <c r="AV858" s="9"/>
      <c r="AW858" s="9"/>
      <c r="AX858" s="9"/>
      <c r="AY858" s="9"/>
      <c r="AZ858" s="9"/>
      <c r="BA858" s="9"/>
      <c r="BB858" s="9"/>
      <c r="BC858" s="9"/>
      <c r="BD858" s="9"/>
      <c r="BE858" s="9"/>
      <c r="BF858" s="9"/>
      <c r="BG858" s="9"/>
      <c r="BH858" s="9"/>
      <c r="BI858" s="9"/>
      <c r="BJ858" s="9"/>
      <c r="BK858" s="9"/>
      <c r="BL858" s="9"/>
      <c r="BM858" s="9"/>
      <c r="BN858" s="9"/>
      <c r="BO858" s="9"/>
      <c r="BP858" s="9"/>
      <c r="BQ858" s="9"/>
      <c r="BR858" s="9"/>
      <c r="BS858" s="9"/>
      <c r="BT858" s="9"/>
      <c r="BU858" s="9"/>
      <c r="BV858" s="9"/>
      <c r="BW858" s="9"/>
      <c r="BX858" s="9"/>
      <c r="BY858" s="9"/>
      <c r="BZ858" s="9"/>
      <c r="CA858" s="9"/>
      <c r="CB858" s="9"/>
      <c r="CC858" s="9"/>
      <c r="CD858" s="9"/>
    </row>
    <row r="859" spans="1:8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  <c r="AM859" s="9"/>
      <c r="AN859" s="9"/>
      <c r="AO859" s="9"/>
      <c r="AP859" s="9"/>
      <c r="AQ859" s="9"/>
      <c r="AR859" s="9"/>
      <c r="AS859" s="9"/>
      <c r="AT859" s="9"/>
      <c r="AU859" s="9"/>
      <c r="AV859" s="9"/>
      <c r="AW859" s="9"/>
      <c r="AX859" s="9"/>
      <c r="AY859" s="9"/>
      <c r="AZ859" s="9"/>
      <c r="BA859" s="9"/>
      <c r="BB859" s="9"/>
      <c r="BC859" s="9"/>
      <c r="BD859" s="9"/>
      <c r="BE859" s="9"/>
      <c r="BF859" s="9"/>
      <c r="BG859" s="9"/>
      <c r="BH859" s="9"/>
      <c r="BI859" s="9"/>
      <c r="BJ859" s="9"/>
      <c r="BK859" s="9"/>
      <c r="BL859" s="9"/>
      <c r="BM859" s="9"/>
      <c r="BN859" s="9"/>
      <c r="BO859" s="9"/>
      <c r="BP859" s="9"/>
      <c r="BQ859" s="9"/>
      <c r="BR859" s="9"/>
      <c r="BS859" s="9"/>
      <c r="BT859" s="9"/>
      <c r="BU859" s="9"/>
      <c r="BV859" s="9"/>
      <c r="BW859" s="9"/>
      <c r="BX859" s="9"/>
      <c r="BY859" s="9"/>
      <c r="BZ859" s="9"/>
      <c r="CA859" s="9"/>
      <c r="CB859" s="9"/>
      <c r="CC859" s="9"/>
      <c r="CD859" s="9"/>
    </row>
    <row r="860" spans="1:8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9"/>
      <c r="AW860" s="9"/>
      <c r="AX860" s="9"/>
      <c r="AY860" s="9"/>
      <c r="AZ860" s="9"/>
      <c r="BA860" s="9"/>
      <c r="BB860" s="9"/>
      <c r="BC860" s="9"/>
      <c r="BD860" s="9"/>
      <c r="BE860" s="9"/>
      <c r="BF860" s="9"/>
      <c r="BG860" s="9"/>
      <c r="BH860" s="9"/>
      <c r="BI860" s="9"/>
      <c r="BJ860" s="9"/>
      <c r="BK860" s="9"/>
      <c r="BL860" s="9"/>
      <c r="BM860" s="9"/>
      <c r="BN860" s="9"/>
      <c r="BO860" s="9"/>
      <c r="BP860" s="9"/>
      <c r="BQ860" s="9"/>
      <c r="BR860" s="9"/>
      <c r="BS860" s="9"/>
      <c r="BT860" s="9"/>
      <c r="BU860" s="9"/>
      <c r="BV860" s="9"/>
      <c r="BW860" s="9"/>
      <c r="BX860" s="9"/>
      <c r="BY860" s="9"/>
      <c r="BZ860" s="9"/>
      <c r="CA860" s="9"/>
      <c r="CB860" s="9"/>
      <c r="CC860" s="9"/>
      <c r="CD860" s="9"/>
    </row>
    <row r="861" spans="1:8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  <c r="AM861" s="9"/>
      <c r="AN861" s="9"/>
      <c r="AO861" s="9"/>
      <c r="AP861" s="9"/>
      <c r="AQ861" s="9"/>
      <c r="AR861" s="9"/>
      <c r="AS861" s="9"/>
      <c r="AT861" s="9"/>
      <c r="AU861" s="9"/>
      <c r="AV861" s="9"/>
      <c r="AW861" s="9"/>
      <c r="AX861" s="9"/>
      <c r="AY861" s="9"/>
      <c r="AZ861" s="9"/>
      <c r="BA861" s="9"/>
      <c r="BB861" s="9"/>
      <c r="BC861" s="9"/>
      <c r="BD861" s="9"/>
      <c r="BE861" s="9"/>
      <c r="BF861" s="9"/>
      <c r="BG861" s="9"/>
      <c r="BH861" s="9"/>
      <c r="BI861" s="9"/>
      <c r="BJ861" s="9"/>
      <c r="BK861" s="9"/>
      <c r="BL861" s="9"/>
      <c r="BM861" s="9"/>
      <c r="BN861" s="9"/>
      <c r="BO861" s="9"/>
      <c r="BP861" s="9"/>
      <c r="BQ861" s="9"/>
      <c r="BR861" s="9"/>
      <c r="BS861" s="9"/>
      <c r="BT861" s="9"/>
      <c r="BU861" s="9"/>
      <c r="BV861" s="9"/>
      <c r="BW861" s="9"/>
      <c r="BX861" s="9"/>
      <c r="BY861" s="9"/>
      <c r="BZ861" s="9"/>
      <c r="CA861" s="9"/>
      <c r="CB861" s="9"/>
      <c r="CC861" s="9"/>
      <c r="CD861" s="9"/>
    </row>
    <row r="862" spans="1:82" s="9" customFormat="1" ht="11.25"/>
    <row r="863" spans="1:82" s="9" customFormat="1" ht="11.25"/>
    <row r="864" spans="1:82" s="9" customFormat="1" ht="11.25"/>
    <row r="865" spans="1:82" s="9" customFormat="1" ht="11.25"/>
    <row r="866" spans="1:82" s="9" customFormat="1" ht="11.25"/>
    <row r="867" spans="1:82" s="9" customFormat="1" ht="11.25"/>
    <row r="868" spans="1:82" s="9" customFormat="1" ht="11.25"/>
    <row r="869" spans="1:82">
      <c r="A869" s="242" t="s">
        <v>1341</v>
      </c>
      <c r="B869" s="1487">
        <f>Financials!B4</f>
        <v>2001</v>
      </c>
      <c r="C869" s="1487">
        <f>Financials!C4</f>
        <v>2002</v>
      </c>
      <c r="D869" s="1487">
        <f>Financials!D4</f>
        <v>2003</v>
      </c>
      <c r="E869" s="1487">
        <f>Financials!E4</f>
        <v>2004</v>
      </c>
      <c r="F869" s="1487">
        <f>Financials!F4</f>
        <v>2005</v>
      </c>
      <c r="G869" s="1487">
        <f>Financials!G4</f>
        <v>2006</v>
      </c>
      <c r="H869" s="1487">
        <f>Financials!H4</f>
        <v>2007</v>
      </c>
      <c r="I869" s="1487">
        <f>Financials!I4</f>
        <v>2008</v>
      </c>
      <c r="J869" s="1487">
        <f>Financials!J4</f>
        <v>2009</v>
      </c>
      <c r="K869" s="1487">
        <f>Financials!K4</f>
        <v>2010</v>
      </c>
      <c r="L869" s="1487">
        <f>Financials!L4</f>
        <v>2011</v>
      </c>
      <c r="M869" s="1487">
        <f>Financials!M4</f>
        <v>2012</v>
      </c>
      <c r="N869" s="1487">
        <f>Financials!N4</f>
        <v>2013</v>
      </c>
      <c r="O869" s="1487">
        <f>Financials!O4</f>
        <v>2014</v>
      </c>
      <c r="P869" s="1487">
        <f>Financials!P4</f>
        <v>2015</v>
      </c>
      <c r="Q869" s="1487">
        <f>Financials!Q4</f>
        <v>2016</v>
      </c>
      <c r="R869" s="1487">
        <f>Financials!R4</f>
        <v>2017</v>
      </c>
      <c r="S869" s="264">
        <f t="shared" ref="S869:X869" si="440">S$6</f>
        <v>2018</v>
      </c>
      <c r="T869" s="264">
        <f t="shared" si="440"/>
        <v>2019</v>
      </c>
      <c r="U869" s="264">
        <f t="shared" si="440"/>
        <v>2020</v>
      </c>
      <c r="V869" s="264">
        <f t="shared" si="440"/>
        <v>2021</v>
      </c>
      <c r="W869" s="264">
        <f t="shared" si="440"/>
        <v>2022</v>
      </c>
      <c r="X869" s="264">
        <f t="shared" si="440"/>
        <v>2023</v>
      </c>
      <c r="Y869" s="1462">
        <f>Financials!Y4</f>
        <v>2024</v>
      </c>
      <c r="Z869" s="1462">
        <f>Financials!Z4</f>
        <v>2025</v>
      </c>
      <c r="AA869" s="1462">
        <f>Financials!AA4</f>
        <v>2026</v>
      </c>
      <c r="AB869" s="1462">
        <f>Financials!AB4</f>
        <v>2027</v>
      </c>
      <c r="AC869" s="1462">
        <f>Financials!AC4</f>
        <v>2028</v>
      </c>
      <c r="AD869" s="1462">
        <f>Financials!AD4</f>
        <v>2029</v>
      </c>
      <c r="AE869" s="1462">
        <f>Financials!AE4</f>
        <v>2030</v>
      </c>
      <c r="AF869" s="9"/>
      <c r="AG869" s="9"/>
      <c r="AH869" s="9"/>
      <c r="AI869" s="9"/>
      <c r="AJ869" s="9"/>
      <c r="AK869" s="9"/>
      <c r="AL869" s="9"/>
      <c r="AM869" s="9"/>
      <c r="AN869" s="9"/>
      <c r="AO869" s="9"/>
      <c r="AP869" s="9"/>
      <c r="AQ869" s="9"/>
      <c r="AR869" s="9"/>
      <c r="AS869" s="9"/>
      <c r="AT869" s="9"/>
      <c r="AU869" s="9"/>
      <c r="AV869" s="9"/>
      <c r="AW869" s="9"/>
      <c r="AX869" s="9"/>
      <c r="AY869" s="9"/>
      <c r="AZ869" s="9"/>
      <c r="BA869" s="9"/>
      <c r="BB869" s="9"/>
      <c r="BC869" s="9"/>
      <c r="BD869" s="9"/>
      <c r="BE869" s="9"/>
      <c r="BF869" s="9"/>
      <c r="BG869" s="9"/>
      <c r="BH869" s="9"/>
      <c r="BI869" s="9"/>
      <c r="BJ869" s="9"/>
      <c r="BK869" s="9"/>
      <c r="BL869" s="9"/>
      <c r="BM869" s="9"/>
      <c r="BN869" s="9"/>
      <c r="BO869" s="9"/>
      <c r="BP869" s="9"/>
      <c r="BQ869" s="9"/>
      <c r="BR869" s="9"/>
      <c r="BS869" s="9"/>
      <c r="BT869" s="9"/>
      <c r="BU869" s="9"/>
      <c r="BV869" s="9"/>
      <c r="BW869" s="9"/>
      <c r="BX869" s="9"/>
      <c r="BY869" s="9"/>
      <c r="BZ869" s="9"/>
      <c r="CA869" s="9"/>
      <c r="CB869" s="9"/>
      <c r="CC869" s="9"/>
      <c r="CD869" s="9"/>
    </row>
    <row r="870" spans="1:82">
      <c r="A870" s="36" t="s">
        <v>731</v>
      </c>
      <c r="B870" s="9"/>
      <c r="C870" s="9"/>
      <c r="D870" s="9"/>
      <c r="E870" s="9"/>
      <c r="F870" s="9"/>
      <c r="G870" s="9"/>
      <c r="H870" s="9"/>
      <c r="I870" s="92"/>
      <c r="J870" s="92">
        <f>+SUM(Q_IS!B41:E41)</f>
        <v>6032</v>
      </c>
      <c r="K870" s="92">
        <f>+SUM(Q_IS!F41:I41)</f>
        <v>6111.2000000000007</v>
      </c>
      <c r="L870" s="92">
        <f>+SUM(Q_IS!J41:M41)</f>
        <v>6889.9189999999999</v>
      </c>
      <c r="M870" s="92">
        <f>+SUM(Q_IS!N41:Q41)</f>
        <v>8537.4189999999981</v>
      </c>
      <c r="N870" s="92">
        <f>+SUM(Q_IS!R41:U41)</f>
        <v>10051.842000000001</v>
      </c>
      <c r="O870" s="92">
        <f>+SUM(Q_IS!V41:Y41)</f>
        <v>15158.991</v>
      </c>
      <c r="P870" s="92">
        <f>+SUM(Q_IS!Z41:AC41)</f>
        <v>12882.855</v>
      </c>
      <c r="Q870" s="92">
        <f>+SUM(Q_IS!AD41:AG41)</f>
        <v>13940.262000000001</v>
      </c>
      <c r="R870" s="92">
        <f>+SUM(Q_IS!AH41:AK41)</f>
        <v>15839.212</v>
      </c>
      <c r="S870" s="92">
        <f>+SUM(Q_IS!AL41:AO41)</f>
        <v>23824.762999999999</v>
      </c>
      <c r="T870" s="92">
        <f>+SUM(Q_IS!AP41:AS41)</f>
        <v>26086.892999999996</v>
      </c>
      <c r="U870" s="92">
        <f>+SUM(Q_IS!AT41:AW41)</f>
        <v>18285.574000000001</v>
      </c>
      <c r="V870" s="92">
        <f>+SUM(Q_IS!AX41:BA41)</f>
        <v>25377.499</v>
      </c>
      <c r="W870" s="92">
        <f>+SUM(Q_IS!BB41:BE41)</f>
        <v>32773.726999999999</v>
      </c>
      <c r="X870" s="92">
        <f>+SUM(Q_IS!BF41:BI41)</f>
        <v>37509.160000000003</v>
      </c>
      <c r="Y870" s="92">
        <f>+SUM(Q_IS!BJ41:BM41)</f>
        <v>40863.105412432342</v>
      </c>
      <c r="Z870" s="92">
        <f>+SUM(Q_IS!BN41:BQ41)</f>
        <v>43146.881227156191</v>
      </c>
      <c r="AA870" s="92">
        <f>+SUM(Q_IS!BR41:BU41)</f>
        <v>45637.05111813551</v>
      </c>
      <c r="AB870" s="92">
        <f>+SUM(Q_IS!BV41:BY41)</f>
        <v>48109.902576968554</v>
      </c>
      <c r="AC870" s="92">
        <f>+SUM(Q_IS!BZ41:CC41)</f>
        <v>50141.680561681002</v>
      </c>
      <c r="AD870" s="92">
        <f>+SUM(Q_IS!CD41:CG41)</f>
        <v>52246.953982759165</v>
      </c>
      <c r="AE870" s="92">
        <f>+SUM(Q_IS!CH41:CK41)</f>
        <v>54380.768535681287</v>
      </c>
      <c r="AF870" s="9"/>
      <c r="AG870" s="9"/>
      <c r="AH870" s="9"/>
      <c r="AI870" s="9"/>
      <c r="AJ870" s="9"/>
      <c r="AK870" s="9"/>
      <c r="AL870" s="9"/>
      <c r="AM870" s="9"/>
      <c r="AN870" s="9"/>
      <c r="AO870" s="9"/>
      <c r="AP870" s="9"/>
      <c r="AQ870" s="9"/>
      <c r="AR870" s="9"/>
      <c r="AS870" s="9"/>
      <c r="AT870" s="9"/>
      <c r="AU870" s="9"/>
      <c r="AV870" s="9"/>
      <c r="AW870" s="9"/>
      <c r="AX870" s="9"/>
      <c r="AY870" s="9"/>
      <c r="AZ870" s="9"/>
      <c r="BA870" s="9"/>
      <c r="BB870" s="9"/>
      <c r="BC870" s="9"/>
      <c r="BD870" s="9"/>
      <c r="BE870" s="9"/>
      <c r="BF870" s="9"/>
      <c r="BG870" s="9"/>
      <c r="BH870" s="9"/>
      <c r="BI870" s="9"/>
      <c r="BJ870" s="9"/>
      <c r="BK870" s="9"/>
      <c r="BL870" s="9"/>
      <c r="BM870" s="9"/>
      <c r="BN870" s="9"/>
      <c r="BO870" s="9"/>
      <c r="BP870" s="9"/>
      <c r="BQ870" s="9"/>
      <c r="BR870" s="9"/>
      <c r="BS870" s="9"/>
      <c r="BT870" s="9"/>
      <c r="BU870" s="9"/>
      <c r="BV870" s="9"/>
      <c r="BW870" s="9"/>
      <c r="BX870" s="9"/>
      <c r="BY870" s="9"/>
      <c r="BZ870" s="9"/>
      <c r="CA870" s="9"/>
      <c r="CB870" s="9"/>
      <c r="CC870" s="9"/>
      <c r="CD870" s="9"/>
    </row>
    <row r="871" spans="1:82">
      <c r="A871" s="36" t="s">
        <v>733</v>
      </c>
      <c r="B871" s="9"/>
      <c r="C871" s="9"/>
      <c r="D871" s="9"/>
      <c r="E871" s="9"/>
      <c r="F871" s="9"/>
      <c r="G871" s="9"/>
      <c r="H871" s="9"/>
      <c r="I871" s="9"/>
      <c r="J871" s="92">
        <f>+SUM(Q_IS!B192:E192)</f>
        <v>1384.3132538762447</v>
      </c>
      <c r="K871" s="92">
        <f>+SUM(Q_IS!F192:I192)</f>
        <v>1781.8007599895641</v>
      </c>
      <c r="L871" s="92">
        <f>+SUM(Q_IS!J192:M192)</f>
        <v>2378.4007205977541</v>
      </c>
      <c r="M871" s="92">
        <f>+SUM(Q_IS!N192:Q192)</f>
        <v>3383.8830573556043</v>
      </c>
      <c r="N871" s="92">
        <f>+SUM(Q_IS!R192:U192)</f>
        <v>4197.4318448859976</v>
      </c>
      <c r="O871" s="92">
        <f>+SUM(Q_IS!V192:Y192)</f>
        <v>4615.516281740368</v>
      </c>
      <c r="P871" s="92">
        <f>+SUM(Q_IS!Z192:AC192)</f>
        <v>6703.1892977195157</v>
      </c>
      <c r="Q871" s="92">
        <f>+SUM(Q_IS!AD192:AG192)</f>
        <v>8107.6108767075912</v>
      </c>
      <c r="R871" s="92">
        <f>+SUM(Q_IS!AH192:AK192)</f>
        <v>10263.983059441645</v>
      </c>
      <c r="S871" s="92">
        <f>+SUM(Q_IS!AL192:AO192)</f>
        <v>10179.18941494406</v>
      </c>
      <c r="T871" s="92">
        <f>+SUM(Q_IS!AP192:AS192)</f>
        <v>9717.4243793580372</v>
      </c>
      <c r="U871" s="92">
        <f>+SUM(Q_IS!AT192:AW192)</f>
        <v>5576.5498527205646</v>
      </c>
      <c r="V871" s="92">
        <f>+SUM(Q_IS!AX192:BA192)</f>
        <v>8938.5931358583257</v>
      </c>
      <c r="W871" s="92">
        <f>+SUM(Q_IS!BB192:BE192)</f>
        <v>13346.410158554427</v>
      </c>
      <c r="X871" s="92">
        <f>+SUM(Q_IS!BF192:BI192)</f>
        <v>13863.183968899175</v>
      </c>
      <c r="Y871" s="92">
        <f>+SUM(Q_IS!BJ192:BM192)</f>
        <v>11424.533145195295</v>
      </c>
      <c r="Z871" s="92">
        <f>+SUM(Q_IS!BN192:BQ192)</f>
        <v>12412.774785164112</v>
      </c>
      <c r="AA871" s="92">
        <f>+SUM(Q_IS!BR192:BU192)</f>
        <v>12986.857217461753</v>
      </c>
      <c r="AB871" s="92">
        <f>+SUM(Q_IS!BV192:BY192)</f>
        <v>13229.090261989935</v>
      </c>
      <c r="AC871" s="92">
        <f>+SUM(Q_IS!BZ192:CC192)</f>
        <v>13567.182691376829</v>
      </c>
      <c r="AD871" s="92">
        <f>+SUM(Q_IS!CD192:CG192)</f>
        <v>13907.765558043888</v>
      </c>
      <c r="AE871" s="92">
        <f>+SUM(Q_IS!CH192:CK192)</f>
        <v>14248.935875387167</v>
      </c>
      <c r="AF871" s="9"/>
      <c r="AG871" s="9"/>
      <c r="AH871" s="9"/>
      <c r="AI871" s="9"/>
      <c r="AJ871" s="9"/>
      <c r="AK871" s="9"/>
      <c r="AL871" s="9"/>
      <c r="AM871" s="9"/>
      <c r="AN871" s="9"/>
      <c r="AO871" s="9"/>
      <c r="AP871" s="9"/>
      <c r="AQ871" s="9"/>
      <c r="AR871" s="9"/>
      <c r="AS871" s="9"/>
      <c r="AT871" s="9"/>
      <c r="AU871" s="9"/>
      <c r="AV871" s="9"/>
      <c r="AW871" s="9"/>
      <c r="AX871" s="9"/>
      <c r="AY871" s="9"/>
      <c r="AZ871" s="9"/>
      <c r="BA871" s="9"/>
      <c r="BB871" s="9"/>
      <c r="BC871" s="9"/>
      <c r="BD871" s="9"/>
      <c r="BE871" s="9"/>
      <c r="BF871" s="9"/>
      <c r="BG871" s="9"/>
      <c r="BH871" s="9"/>
      <c r="BI871" s="9"/>
      <c r="BJ871" s="9"/>
      <c r="BK871" s="9"/>
      <c r="BL871" s="9"/>
      <c r="BM871" s="9"/>
      <c r="BN871" s="9"/>
      <c r="BO871" s="9"/>
      <c r="BP871" s="9"/>
      <c r="BQ871" s="9"/>
      <c r="BR871" s="9"/>
      <c r="BS871" s="9"/>
      <c r="BT871" s="9"/>
      <c r="BU871" s="9"/>
      <c r="BV871" s="9"/>
      <c r="BW871" s="9"/>
      <c r="BX871" s="9"/>
      <c r="BY871" s="9"/>
      <c r="BZ871" s="9"/>
      <c r="CA871" s="9"/>
      <c r="CB871" s="9"/>
      <c r="CC871" s="9"/>
      <c r="CD871" s="9"/>
    </row>
    <row r="872" spans="1:82">
      <c r="A872" s="36" t="s">
        <v>949</v>
      </c>
      <c r="B872" s="9"/>
      <c r="C872" s="9"/>
      <c r="D872" s="9"/>
      <c r="E872" s="9"/>
      <c r="F872" s="9"/>
      <c r="G872" s="9"/>
      <c r="H872" s="9"/>
      <c r="I872" s="9"/>
      <c r="J872" s="92">
        <f>+SUM(Q_IS!B108:E108)</f>
        <v>0</v>
      </c>
      <c r="K872" s="92">
        <f>+SUM(Q_IS!F108:I108)</f>
        <v>0</v>
      </c>
      <c r="L872" s="92">
        <f>+SUM(Q_IS!J108:M108)</f>
        <v>0</v>
      </c>
      <c r="M872" s="92">
        <f>+SUM(Q_IS!N108:Q108)</f>
        <v>0</v>
      </c>
      <c r="N872" s="92">
        <f>+SUM(Q_IS!R108:U108)</f>
        <v>0</v>
      </c>
      <c r="O872" s="92">
        <f>+SUM(Q_IS!V108:Y108)</f>
        <v>1438.0019461563413</v>
      </c>
      <c r="P872" s="92">
        <f>+SUM(Q_IS!Z108:AC108)</f>
        <v>5553.0794698838818</v>
      </c>
      <c r="Q872" s="92">
        <f>+SUM(Q_IS!AD108:AG108)</f>
        <v>7437.0882252644215</v>
      </c>
      <c r="R872" s="92">
        <f>+SUM(Q_IS!AH108:AK108)</f>
        <v>8401.3262225735634</v>
      </c>
      <c r="S872" s="92">
        <f>+SUM(Q_IS!AL108:AO108)</f>
        <v>9703.3249278333606</v>
      </c>
      <c r="T872" s="92">
        <f>+SUM(Q_IS!AP108:AS108)</f>
        <v>20698.116579915404</v>
      </c>
      <c r="U872" s="92">
        <f>+SUM(Q_IS!AT108:AW108)</f>
        <v>13505.364833031459</v>
      </c>
      <c r="V872" s="92">
        <f>+SUM(Q_IS!AX108:BA108)</f>
        <v>17924.478099027656</v>
      </c>
      <c r="W872" s="92">
        <f>+SUM(Q_IS!BB108:BE108)</f>
        <v>21388.628863315877</v>
      </c>
      <c r="X872" s="92">
        <f>+SUM(Q_IS!BF108:BI108)</f>
        <v>22380.611228129557</v>
      </c>
      <c r="Y872" s="92">
        <f>+SUM(Q_IS!BJ108:BM108)</f>
        <v>23438.526543660075</v>
      </c>
      <c r="Z872" s="92">
        <f>+SUM(Q_IS!BN108:BQ108)</f>
        <v>27243.572919513805</v>
      </c>
      <c r="AA872" s="92">
        <f>+SUM(Q_IS!BR108:BU108)</f>
        <v>29752.930079946498</v>
      </c>
      <c r="AB872" s="92">
        <f>+SUM(Q_IS!BV108:BY108)</f>
        <v>32147.211307225676</v>
      </c>
      <c r="AC872" s="92">
        <f>+SUM(Q_IS!BZ108:CC108)</f>
        <v>34619.631649755655</v>
      </c>
      <c r="AD872" s="92">
        <f>+SUM(Q_IS!CD108:CG108)</f>
        <v>37245.190885140706</v>
      </c>
      <c r="AE872" s="92">
        <f>+SUM(Q_IS!CH108:CK108)</f>
        <v>39975.566389724452</v>
      </c>
      <c r="AF872" s="9"/>
      <c r="AG872" s="9"/>
      <c r="AH872" s="9"/>
      <c r="AI872" s="9"/>
      <c r="AJ872" s="9"/>
      <c r="AK872" s="9"/>
      <c r="AL872" s="9"/>
      <c r="AM872" s="9"/>
      <c r="AN872" s="9"/>
      <c r="AO872" s="9"/>
      <c r="AP872" s="9"/>
      <c r="AQ872" s="9"/>
      <c r="AR872" s="9"/>
      <c r="AS872" s="9"/>
      <c r="AT872" s="9"/>
      <c r="AU872" s="9"/>
      <c r="AV872" s="9"/>
      <c r="AW872" s="9"/>
      <c r="AX872" s="9"/>
      <c r="AY872" s="9"/>
      <c r="AZ872" s="9"/>
      <c r="BA872" s="9"/>
      <c r="BB872" s="9"/>
      <c r="BC872" s="9"/>
      <c r="BD872" s="9"/>
      <c r="BE872" s="9"/>
      <c r="BF872" s="9"/>
      <c r="BG872" s="9"/>
      <c r="BH872" s="9"/>
      <c r="BI872" s="9"/>
      <c r="BJ872" s="9"/>
      <c r="BK872" s="9"/>
      <c r="BL872" s="9"/>
      <c r="BM872" s="9"/>
      <c r="BN872" s="9"/>
      <c r="BO872" s="9"/>
      <c r="BP872" s="9"/>
      <c r="BQ872" s="9"/>
      <c r="BR872" s="9"/>
      <c r="BS872" s="9"/>
      <c r="BT872" s="9"/>
      <c r="BU872" s="9"/>
      <c r="BV872" s="9"/>
      <c r="BW872" s="9"/>
      <c r="BX872" s="9"/>
      <c r="BY872" s="9"/>
      <c r="BZ872" s="9"/>
      <c r="CA872" s="9"/>
      <c r="CB872" s="9"/>
      <c r="CC872" s="9"/>
      <c r="CD872" s="9"/>
    </row>
    <row r="873" spans="1:8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  <c r="AM873" s="9"/>
      <c r="AN873" s="9"/>
      <c r="AO873" s="9"/>
      <c r="AP873" s="9"/>
      <c r="AQ873" s="9"/>
      <c r="AR873" s="9"/>
      <c r="AS873" s="9"/>
      <c r="AT873" s="9"/>
      <c r="AU873" s="9"/>
      <c r="AV873" s="9"/>
      <c r="AW873" s="9"/>
      <c r="AX873" s="9"/>
      <c r="AY873" s="9"/>
      <c r="AZ873" s="9"/>
      <c r="BA873" s="9"/>
      <c r="BB873" s="9"/>
      <c r="BC873" s="9"/>
      <c r="BD873" s="9"/>
      <c r="BE873" s="9"/>
      <c r="BF873" s="9"/>
      <c r="BG873" s="9"/>
      <c r="BH873" s="9"/>
      <c r="BI873" s="9"/>
      <c r="BJ873" s="9"/>
      <c r="BK873" s="9"/>
      <c r="BL873" s="9"/>
      <c r="BM873" s="9"/>
      <c r="BN873" s="9"/>
      <c r="BO873" s="9"/>
      <c r="BP873" s="9"/>
      <c r="BQ873" s="9"/>
      <c r="BR873" s="9"/>
      <c r="BS873" s="9"/>
      <c r="BT873" s="9"/>
      <c r="BU873" s="9"/>
      <c r="BV873" s="9"/>
      <c r="BW873" s="9"/>
      <c r="BX873" s="9"/>
      <c r="BY873" s="9"/>
      <c r="BZ873" s="9"/>
      <c r="CA873" s="9"/>
      <c r="CB873" s="9"/>
      <c r="CC873" s="9"/>
      <c r="CD873" s="9"/>
    </row>
    <row r="874" spans="1:82">
      <c r="A874" s="242" t="s">
        <v>1342</v>
      </c>
      <c r="B874" s="1487">
        <f>Financials!B4</f>
        <v>2001</v>
      </c>
      <c r="C874" s="1487">
        <f>Financials!C4</f>
        <v>2002</v>
      </c>
      <c r="D874" s="1487">
        <f>Financials!D4</f>
        <v>2003</v>
      </c>
      <c r="E874" s="1487">
        <f>Financials!E4</f>
        <v>2004</v>
      </c>
      <c r="F874" s="1487">
        <f>Financials!F4</f>
        <v>2005</v>
      </c>
      <c r="G874" s="1487">
        <f>Financials!G4</f>
        <v>2006</v>
      </c>
      <c r="H874" s="1487">
        <f>Financials!H4</f>
        <v>2007</v>
      </c>
      <c r="I874" s="1487">
        <f>Financials!I4</f>
        <v>2008</v>
      </c>
      <c r="J874" s="1487">
        <f>Financials!J4</f>
        <v>2009</v>
      </c>
      <c r="K874" s="1487">
        <f>Financials!K4</f>
        <v>2010</v>
      </c>
      <c r="L874" s="1487">
        <f>Financials!L4</f>
        <v>2011</v>
      </c>
      <c r="M874" s="1487">
        <f>Financials!M4</f>
        <v>2012</v>
      </c>
      <c r="N874" s="1487">
        <f>Financials!N4</f>
        <v>2013</v>
      </c>
      <c r="O874" s="1487">
        <f>Financials!O4</f>
        <v>2014</v>
      </c>
      <c r="P874" s="1487">
        <f>Financials!P4</f>
        <v>2015</v>
      </c>
      <c r="Q874" s="1487">
        <f>Financials!Q4</f>
        <v>2016</v>
      </c>
      <c r="R874" s="1487">
        <f>Financials!R4</f>
        <v>2017</v>
      </c>
      <c r="S874" s="264">
        <f t="shared" ref="S874:X874" si="441">S$6</f>
        <v>2018</v>
      </c>
      <c r="T874" s="264">
        <f t="shared" si="441"/>
        <v>2019</v>
      </c>
      <c r="U874" s="264">
        <f t="shared" si="441"/>
        <v>2020</v>
      </c>
      <c r="V874" s="264">
        <f t="shared" si="441"/>
        <v>2021</v>
      </c>
      <c r="W874" s="264">
        <f t="shared" si="441"/>
        <v>2022</v>
      </c>
      <c r="X874" s="264">
        <f t="shared" si="441"/>
        <v>2023</v>
      </c>
      <c r="Y874" s="1462">
        <f>Financials!Y4</f>
        <v>2024</v>
      </c>
      <c r="Z874" s="1462">
        <f>Financials!Z4</f>
        <v>2025</v>
      </c>
      <c r="AA874" s="1462">
        <f>Financials!AA4</f>
        <v>2026</v>
      </c>
      <c r="AB874" s="1462">
        <f>Financials!AB4</f>
        <v>2027</v>
      </c>
      <c r="AC874" s="1462">
        <f>Financials!AC4</f>
        <v>2028</v>
      </c>
      <c r="AD874" s="1462">
        <f>Financials!AD4</f>
        <v>2029</v>
      </c>
      <c r="AE874" s="1462">
        <f>Financials!AE4</f>
        <v>2030</v>
      </c>
      <c r="AF874" s="9"/>
      <c r="AG874" s="9"/>
      <c r="AH874" s="9"/>
      <c r="AI874" s="9"/>
      <c r="AJ874" s="9"/>
      <c r="AK874" s="9"/>
      <c r="AL874" s="9"/>
      <c r="AM874" s="9"/>
      <c r="AN874" s="9"/>
      <c r="AO874" s="9"/>
      <c r="AP874" s="9"/>
      <c r="AQ874" s="9"/>
      <c r="AR874" s="9"/>
      <c r="AS874" s="9"/>
      <c r="AT874" s="9"/>
      <c r="AU874" s="9"/>
      <c r="AV874" s="9"/>
      <c r="AW874" s="9"/>
      <c r="AX874" s="9"/>
      <c r="AY874" s="9"/>
      <c r="AZ874" s="9"/>
      <c r="BA874" s="9"/>
      <c r="BB874" s="9"/>
      <c r="BC874" s="9"/>
      <c r="BD874" s="9"/>
      <c r="BE874" s="9"/>
      <c r="BF874" s="9"/>
      <c r="BG874" s="9"/>
      <c r="BH874" s="9"/>
      <c r="BI874" s="9"/>
      <c r="BJ874" s="9"/>
      <c r="BK874" s="9"/>
      <c r="BL874" s="9"/>
      <c r="BM874" s="9"/>
      <c r="BN874" s="9"/>
      <c r="BO874" s="9"/>
      <c r="BP874" s="9"/>
      <c r="BQ874" s="9"/>
      <c r="BR874" s="9"/>
      <c r="BS874" s="9"/>
      <c r="BT874" s="9"/>
      <c r="BU874" s="9"/>
      <c r="BV874" s="9"/>
      <c r="BW874" s="9"/>
      <c r="BX874" s="9"/>
      <c r="BY874" s="9"/>
      <c r="BZ874" s="9"/>
      <c r="CA874" s="9"/>
      <c r="CB874" s="9"/>
      <c r="CC874" s="9"/>
      <c r="CD874" s="9"/>
    </row>
    <row r="875" spans="1:82">
      <c r="A875" s="36" t="s">
        <v>731</v>
      </c>
      <c r="B875" s="9"/>
      <c r="C875" s="9"/>
      <c r="D875" s="9"/>
      <c r="E875" s="9"/>
      <c r="F875" s="9"/>
      <c r="G875" s="9"/>
      <c r="H875" s="9"/>
      <c r="I875" s="92"/>
      <c r="J875" s="92">
        <f>+AVERAGE(Q_IS!B14:E14)</f>
        <v>833</v>
      </c>
      <c r="K875" s="92">
        <f>+AVERAGE(Q_IS!F14:I14)</f>
        <v>850.5</v>
      </c>
      <c r="L875" s="92">
        <f>+AVERAGE(Q_IS!J14:M14)</f>
        <v>888</v>
      </c>
      <c r="M875" s="92">
        <f>+AVERAGE(Q_IS!N14:Q14)</f>
        <v>946.25</v>
      </c>
      <c r="N875" s="92">
        <f>+AVERAGE(Q_IS!R14:U14)</f>
        <v>1063</v>
      </c>
      <c r="O875" s="92">
        <f>+AVERAGE(Q_IS!V14:Y14)</f>
        <v>1416.5</v>
      </c>
      <c r="P875" s="92">
        <f>+AVERAGE(Q_IS!Z14:AC14)</f>
        <v>1563</v>
      </c>
      <c r="Q875" s="92">
        <f>+AVERAGE(Q_IS!AD14:AG14)</f>
        <v>1632.25</v>
      </c>
      <c r="R875" s="92">
        <f>+AVERAGE(Q_IS!AH14:AK14)</f>
        <v>1766</v>
      </c>
      <c r="S875" s="92">
        <f>+AVERAGE(Q_IS!AL14:AO14)</f>
        <v>1859.25</v>
      </c>
      <c r="T875" s="92">
        <f>+AVERAGE(Q_IS!AP14:AS14)</f>
        <v>1919</v>
      </c>
      <c r="U875" s="92">
        <f>+AVERAGE(Q_IS!AT14:AW14)</f>
        <v>1864</v>
      </c>
      <c r="V875" s="92">
        <f>+AVERAGE(Q_IS!AX14:BA14)</f>
        <v>1793</v>
      </c>
      <c r="W875" s="92">
        <f>+AVERAGE(Q_IS!BB14:BE14)</f>
        <v>1803.5</v>
      </c>
      <c r="X875" s="92">
        <f>+AVERAGE(Q_IS!BF14:BI14)</f>
        <v>1828.75</v>
      </c>
      <c r="Y875" s="92">
        <f>+AVERAGE(Q_IS!BJ14:BM14)</f>
        <v>1888</v>
      </c>
      <c r="Z875" s="92">
        <f>+AVERAGE(Q_IS!BN14:BQ14)</f>
        <v>1927.75</v>
      </c>
      <c r="AA875" s="92">
        <f>+AVERAGE(Q_IS!BR14:BU14)</f>
        <v>1973.5</v>
      </c>
      <c r="AB875" s="92">
        <f>+AVERAGE(Q_IS!BV14:BY14)</f>
        <v>2012.25</v>
      </c>
      <c r="AC875" s="92">
        <f>+AVERAGE(Q_IS!BZ14:CC14)</f>
        <v>2047.25</v>
      </c>
      <c r="AD875" s="92">
        <f>+AVERAGE(Q_IS!CD14:CG14)</f>
        <v>2082.25</v>
      </c>
      <c r="AE875" s="92">
        <f>+AVERAGE(Q_IS!CH14:CK14)</f>
        <v>2114.25</v>
      </c>
      <c r="AF875" s="9"/>
      <c r="AG875" s="9"/>
      <c r="AH875" s="9"/>
      <c r="AI875" s="9"/>
      <c r="AJ875" s="9"/>
      <c r="AK875" s="9"/>
      <c r="AL875" s="9"/>
      <c r="AM875" s="9"/>
      <c r="AN875" s="9"/>
      <c r="AO875" s="9"/>
      <c r="AP875" s="9"/>
      <c r="AQ875" s="9"/>
      <c r="AR875" s="9"/>
      <c r="AS875" s="9"/>
      <c r="AT875" s="9"/>
      <c r="AU875" s="9"/>
      <c r="AV875" s="9"/>
      <c r="AW875" s="9"/>
      <c r="AX875" s="9"/>
      <c r="AY875" s="9"/>
      <c r="AZ875" s="9"/>
      <c r="BA875" s="9"/>
      <c r="BB875" s="9"/>
      <c r="BC875" s="9"/>
      <c r="BD875" s="9"/>
      <c r="BE875" s="9"/>
      <c r="BF875" s="9"/>
      <c r="BG875" s="9"/>
      <c r="BH875" s="9"/>
      <c r="BI875" s="9"/>
      <c r="BJ875" s="9"/>
      <c r="BK875" s="9"/>
      <c r="BL875" s="9"/>
      <c r="BM875" s="9"/>
      <c r="BN875" s="9"/>
      <c r="BO875" s="9"/>
      <c r="BP875" s="9"/>
      <c r="BQ875" s="9"/>
      <c r="BR875" s="9"/>
      <c r="BS875" s="9"/>
      <c r="BT875" s="9"/>
      <c r="BU875" s="9"/>
      <c r="BV875" s="9"/>
      <c r="BW875" s="9"/>
      <c r="BX875" s="9"/>
      <c r="BY875" s="9"/>
      <c r="BZ875" s="9"/>
      <c r="CA875" s="9"/>
      <c r="CB875" s="9"/>
      <c r="CC875" s="9"/>
      <c r="CD875" s="9"/>
    </row>
    <row r="876" spans="1:82">
      <c r="A876" s="36" t="s">
        <v>733</v>
      </c>
      <c r="B876" s="9"/>
      <c r="C876" s="9"/>
      <c r="D876" s="9"/>
      <c r="E876" s="9"/>
      <c r="F876" s="9"/>
      <c r="G876" s="9"/>
      <c r="H876" s="9"/>
      <c r="I876" s="9"/>
      <c r="J876" s="92">
        <f>+AVERAGE(Q_IS!B146:E146)</f>
        <v>110.75</v>
      </c>
      <c r="K876" s="92">
        <f>+AVERAGE(Q_IS!F146:I146)</f>
        <v>126.75</v>
      </c>
      <c r="L876" s="92">
        <f>+AVERAGE(Q_IS!J146:M146)</f>
        <v>153</v>
      </c>
      <c r="M876" s="92">
        <f>+AVERAGE(Q_IS!N146:Q146)</f>
        <v>190.25</v>
      </c>
      <c r="N876" s="92">
        <f>+AVERAGE(Q_IS!R146:U146)</f>
        <v>246</v>
      </c>
      <c r="O876" s="92">
        <f>+AVERAGE(Q_IS!V146:Y146)</f>
        <v>303.75</v>
      </c>
      <c r="P876" s="92">
        <f>+AVERAGE(Q_IS!Z146:AC146)</f>
        <v>355.25</v>
      </c>
      <c r="Q876" s="92">
        <f>+AVERAGE(Q_IS!AD146:AG146)</f>
        <v>442.75</v>
      </c>
      <c r="R876" s="92">
        <f>+AVERAGE(Q_IS!AH146:AK146)</f>
        <v>499.25</v>
      </c>
      <c r="S876" s="92">
        <f>+AVERAGE(Q_IS!AL146:AO146)</f>
        <v>571.75</v>
      </c>
      <c r="T876" s="92">
        <f>+AVERAGE(Q_IS!AP146:AS146)</f>
        <v>613</v>
      </c>
      <c r="U876" s="92">
        <f>+AVERAGE(Q_IS!AT146:AW146)</f>
        <v>606</v>
      </c>
      <c r="V876" s="92">
        <f>+AVERAGE(Q_IS!AX146:BA146)</f>
        <v>613.75</v>
      </c>
      <c r="W876" s="92">
        <f>+AVERAGE(Q_IS!BB146:BE146)</f>
        <v>650.75</v>
      </c>
      <c r="X876" s="92">
        <f>+AVERAGE(Q_IS!BF146:BI146)</f>
        <v>701.5</v>
      </c>
      <c r="Y876" s="92">
        <f>+AVERAGE(Q_IS!BJ146:BM146)</f>
        <v>735.75</v>
      </c>
      <c r="Z876" s="92">
        <f>+AVERAGE(Q_IS!BN146:BQ146)</f>
        <v>758.25</v>
      </c>
      <c r="AA876" s="92">
        <f>+AVERAGE(Q_IS!BR146:BU146)</f>
        <v>770.5</v>
      </c>
      <c r="AB876" s="92">
        <f>+AVERAGE(Q_IS!BV146:BY146)</f>
        <v>780.75</v>
      </c>
      <c r="AC876" s="92">
        <f>+AVERAGE(Q_IS!BZ146:CC146)</f>
        <v>791.75</v>
      </c>
      <c r="AD876" s="92">
        <f>+AVERAGE(Q_IS!CD146:CG146)</f>
        <v>802.75</v>
      </c>
      <c r="AE876" s="92">
        <f>+AVERAGE(Q_IS!CH146:CK146)</f>
        <v>813.5</v>
      </c>
      <c r="AF876" s="9"/>
      <c r="AG876" s="9"/>
      <c r="AH876" s="9"/>
      <c r="AI876" s="9"/>
      <c r="AJ876" s="9"/>
      <c r="AK876" s="9"/>
      <c r="AL876" s="9"/>
      <c r="AM876" s="9"/>
      <c r="AN876" s="9"/>
      <c r="AO876" s="9"/>
      <c r="AP876" s="9"/>
      <c r="AQ876" s="9"/>
      <c r="AR876" s="9"/>
      <c r="AS876" s="9"/>
      <c r="AT876" s="9"/>
      <c r="AU876" s="9"/>
      <c r="AV876" s="9"/>
      <c r="AW876" s="9"/>
      <c r="AX876" s="9"/>
      <c r="AY876" s="9"/>
      <c r="AZ876" s="9"/>
      <c r="BA876" s="9"/>
      <c r="BB876" s="9"/>
      <c r="BC876" s="9"/>
      <c r="BD876" s="9"/>
      <c r="BE876" s="9"/>
      <c r="BF876" s="9"/>
      <c r="BG876" s="9"/>
      <c r="BH876" s="9"/>
      <c r="BI876" s="9"/>
      <c r="BJ876" s="9"/>
      <c r="BK876" s="9"/>
      <c r="BL876" s="9"/>
      <c r="BM876" s="9"/>
      <c r="BN876" s="9"/>
      <c r="BO876" s="9"/>
      <c r="BP876" s="9"/>
      <c r="BQ876" s="9"/>
      <c r="BR876" s="9"/>
      <c r="BS876" s="9"/>
      <c r="BT876" s="9"/>
      <c r="BU876" s="9"/>
      <c r="BV876" s="9"/>
      <c r="BW876" s="9"/>
      <c r="BX876" s="9"/>
      <c r="BY876" s="9"/>
      <c r="BZ876" s="9"/>
      <c r="CA876" s="9"/>
      <c r="CB876" s="9"/>
      <c r="CC876" s="9"/>
      <c r="CD876" s="9"/>
    </row>
    <row r="877" spans="1:82">
      <c r="A877" s="36" t="s">
        <v>949</v>
      </c>
      <c r="B877" s="9"/>
      <c r="C877" s="9"/>
      <c r="D877" s="9"/>
      <c r="E877" s="9"/>
      <c r="F877" s="9"/>
      <c r="G877" s="9"/>
      <c r="H877" s="9"/>
      <c r="I877" s="9"/>
      <c r="J877" s="92">
        <f>+AVERAGE(Q_IS!B81:E81)</f>
        <v>0</v>
      </c>
      <c r="K877" s="92">
        <f>+AVERAGE(Q_IS!F81:I81)</f>
        <v>0</v>
      </c>
      <c r="L877" s="92">
        <f>+AVERAGE(Q_IS!J81:M81)</f>
        <v>0</v>
      </c>
      <c r="M877" s="92">
        <f>+AVERAGE(Q_IS!N81:Q81)</f>
        <v>0</v>
      </c>
      <c r="N877" s="92">
        <f>+AVERAGE(Q_IS!R81:U81)</f>
        <v>0</v>
      </c>
      <c r="O877" s="92">
        <f>+AVERAGE(Q_IS!V81:Y81)</f>
        <v>75.5</v>
      </c>
      <c r="P877" s="92">
        <f>+AVERAGE(Q_IS!Z81:AC81)</f>
        <v>305</v>
      </c>
      <c r="Q877" s="92">
        <f>+AVERAGE(Q_IS!AD81:AG81)</f>
        <v>330.75</v>
      </c>
      <c r="R877" s="92">
        <f>+AVERAGE(Q_IS!AH81:AK81)</f>
        <v>364</v>
      </c>
      <c r="S877" s="92">
        <f>+AVERAGE(Q_IS!AL81:AO81)</f>
        <v>402.25</v>
      </c>
      <c r="T877" s="92">
        <f>+AVERAGE(Q_IS!AP81:AS81)</f>
        <v>884.25</v>
      </c>
      <c r="U877" s="92">
        <f>+AVERAGE(Q_IS!AT81:AW81)</f>
        <v>877.25</v>
      </c>
      <c r="V877" s="92">
        <f>+AVERAGE(Q_IS!AX81:BA81)</f>
        <v>869</v>
      </c>
      <c r="W877" s="92">
        <f>+AVERAGE(Q_IS!BB81:BE81)</f>
        <v>907</v>
      </c>
      <c r="X877" s="92">
        <f>+AVERAGE(Q_IS!BF81:BI81)</f>
        <v>953</v>
      </c>
      <c r="Y877" s="92">
        <f>+AVERAGE(Q_IS!BJ81:BM81)</f>
        <v>992.5</v>
      </c>
      <c r="Z877" s="92">
        <f>+AVERAGE(Q_IS!BN81:BQ81)</f>
        <v>1018.5</v>
      </c>
      <c r="AA877" s="92">
        <f>+AVERAGE(Q_IS!BR81:BU81)</f>
        <v>1037.75</v>
      </c>
      <c r="AB877" s="92">
        <f>+AVERAGE(Q_IS!BV81:BY81)</f>
        <v>1054.25</v>
      </c>
      <c r="AC877" s="92">
        <f>+AVERAGE(Q_IS!BZ81:CC81)</f>
        <v>1069.25</v>
      </c>
      <c r="AD877" s="92">
        <f>+AVERAGE(Q_IS!CD81:CG81)</f>
        <v>1084.25</v>
      </c>
      <c r="AE877" s="92">
        <f>+AVERAGE(Q_IS!CH81:CK81)</f>
        <v>1097</v>
      </c>
      <c r="AF877" s="9"/>
      <c r="AG877" s="9"/>
      <c r="AH877" s="9"/>
      <c r="AI877" s="9"/>
      <c r="AJ877" s="9"/>
      <c r="AK877" s="9"/>
      <c r="AL877" s="9"/>
      <c r="AM877" s="9"/>
      <c r="AN877" s="9"/>
      <c r="AO877" s="9"/>
      <c r="AP877" s="9"/>
      <c r="AQ877" s="9"/>
      <c r="AR877" s="9"/>
      <c r="AS877" s="9"/>
      <c r="AT877" s="9"/>
      <c r="AU877" s="9"/>
      <c r="AV877" s="9"/>
      <c r="AW877" s="9"/>
      <c r="AX877" s="9"/>
      <c r="AY877" s="9"/>
      <c r="AZ877" s="9"/>
      <c r="BA877" s="9"/>
      <c r="BB877" s="9"/>
      <c r="BC877" s="9"/>
      <c r="BD877" s="9"/>
      <c r="BE877" s="9"/>
      <c r="BF877" s="9"/>
      <c r="BG877" s="9"/>
      <c r="BH877" s="9"/>
      <c r="BI877" s="9"/>
      <c r="BJ877" s="9"/>
      <c r="BK877" s="9"/>
      <c r="BL877" s="9"/>
      <c r="BM877" s="9"/>
      <c r="BN877" s="9"/>
      <c r="BO877" s="9"/>
      <c r="BP877" s="9"/>
      <c r="BQ877" s="9"/>
      <c r="BR877" s="9"/>
      <c r="BS877" s="9"/>
      <c r="BT877" s="9"/>
      <c r="BU877" s="9"/>
      <c r="BV877" s="9"/>
      <c r="BW877" s="9"/>
      <c r="BX877" s="9"/>
      <c r="BY877" s="9"/>
      <c r="BZ877" s="9"/>
      <c r="CA877" s="9"/>
      <c r="CB877" s="9"/>
      <c r="CC877" s="9"/>
      <c r="CD877" s="9"/>
    </row>
    <row r="878" spans="1:8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  <c r="AM878" s="9"/>
      <c r="AN878" s="9"/>
      <c r="AO878" s="9"/>
      <c r="AP878" s="9"/>
      <c r="AQ878" s="9"/>
      <c r="AR878" s="9"/>
      <c r="AS878" s="9"/>
      <c r="AT878" s="9"/>
      <c r="AU878" s="9"/>
      <c r="AV878" s="9"/>
      <c r="AW878" s="9"/>
      <c r="AX878" s="9"/>
      <c r="AY878" s="9"/>
      <c r="AZ878" s="9"/>
      <c r="BA878" s="9"/>
      <c r="BB878" s="9"/>
      <c r="BC878" s="9"/>
      <c r="BD878" s="9"/>
      <c r="BE878" s="9"/>
      <c r="BF878" s="9"/>
      <c r="BG878" s="9"/>
      <c r="BH878" s="9"/>
      <c r="BI878" s="9"/>
      <c r="BJ878" s="9"/>
      <c r="BK878" s="9"/>
      <c r="BL878" s="9"/>
      <c r="BM878" s="9"/>
      <c r="BN878" s="9"/>
      <c r="BO878" s="9"/>
      <c r="BP878" s="9"/>
      <c r="BQ878" s="9"/>
      <c r="BR878" s="9"/>
      <c r="BS878" s="9"/>
      <c r="BT878" s="9"/>
      <c r="BU878" s="9"/>
      <c r="BV878" s="9"/>
      <c r="BW878" s="9"/>
      <c r="BX878" s="9"/>
      <c r="BY878" s="9"/>
      <c r="BZ878" s="9"/>
      <c r="CA878" s="9"/>
      <c r="CB878" s="9"/>
      <c r="CC878" s="9"/>
      <c r="CD878" s="9"/>
    </row>
    <row r="879" spans="1:82">
      <c r="A879" s="242" t="s">
        <v>951</v>
      </c>
      <c r="B879" s="1487">
        <f>Financials!B4</f>
        <v>2001</v>
      </c>
      <c r="C879" s="1487">
        <f>Financials!C4</f>
        <v>2002</v>
      </c>
      <c r="D879" s="1487">
        <f>Financials!D4</f>
        <v>2003</v>
      </c>
      <c r="E879" s="1487">
        <f>Financials!E4</f>
        <v>2004</v>
      </c>
      <c r="F879" s="1487">
        <f>Financials!F4</f>
        <v>2005</v>
      </c>
      <c r="G879" s="1487">
        <f>Financials!G4</f>
        <v>2006</v>
      </c>
      <c r="H879" s="1487">
        <f>Financials!H4</f>
        <v>2007</v>
      </c>
      <c r="I879" s="1487">
        <f>Financials!I4</f>
        <v>2008</v>
      </c>
      <c r="J879" s="1487">
        <f>Financials!J4</f>
        <v>2009</v>
      </c>
      <c r="K879" s="1487">
        <f>Financials!K4</f>
        <v>2010</v>
      </c>
      <c r="L879" s="1487">
        <f>Financials!L4</f>
        <v>2011</v>
      </c>
      <c r="M879" s="1487">
        <f>Financials!M4</f>
        <v>2012</v>
      </c>
      <c r="N879" s="1487">
        <f>Financials!N4</f>
        <v>2013</v>
      </c>
      <c r="O879" s="1487">
        <f>Financials!O4</f>
        <v>2014</v>
      </c>
      <c r="P879" s="1487">
        <f>Financials!P4</f>
        <v>2015</v>
      </c>
      <c r="Q879" s="1487">
        <f>Financials!Q4</f>
        <v>2016</v>
      </c>
      <c r="R879" s="1487">
        <f>Financials!R4</f>
        <v>2017</v>
      </c>
      <c r="S879" s="264">
        <f t="shared" ref="S879:X879" si="442">S$6</f>
        <v>2018</v>
      </c>
      <c r="T879" s="264">
        <f t="shared" si="442"/>
        <v>2019</v>
      </c>
      <c r="U879" s="264">
        <f t="shared" si="442"/>
        <v>2020</v>
      </c>
      <c r="V879" s="264">
        <f t="shared" si="442"/>
        <v>2021</v>
      </c>
      <c r="W879" s="264">
        <f t="shared" si="442"/>
        <v>2022</v>
      </c>
      <c r="X879" s="264">
        <f t="shared" si="442"/>
        <v>2023</v>
      </c>
      <c r="Y879" s="1462">
        <f>Financials!Y4</f>
        <v>2024</v>
      </c>
      <c r="Z879" s="1462">
        <f>Financials!Z4</f>
        <v>2025</v>
      </c>
      <c r="AA879" s="1462">
        <f>Financials!AA4</f>
        <v>2026</v>
      </c>
      <c r="AB879" s="1462">
        <f>Financials!AB4</f>
        <v>2027</v>
      </c>
      <c r="AC879" s="1462">
        <f>Financials!AC4</f>
        <v>2028</v>
      </c>
      <c r="AD879" s="1462">
        <f>Financials!AD4</f>
        <v>2029</v>
      </c>
      <c r="AE879" s="1462">
        <f>Financials!AE4</f>
        <v>2030</v>
      </c>
      <c r="AF879" s="9"/>
      <c r="AG879" s="9"/>
      <c r="AH879" s="9"/>
      <c r="AI879" s="9"/>
      <c r="AJ879" s="9"/>
      <c r="AK879" s="9"/>
      <c r="AL879" s="9"/>
      <c r="AM879" s="9"/>
      <c r="AN879" s="9"/>
      <c r="AO879" s="9"/>
      <c r="AP879" s="9"/>
      <c r="AQ879" s="9"/>
      <c r="AR879" s="9"/>
      <c r="AS879" s="9"/>
      <c r="AT879" s="9"/>
      <c r="AU879" s="9"/>
      <c r="AV879" s="9"/>
      <c r="AW879" s="9"/>
      <c r="AX879" s="9"/>
      <c r="AY879" s="9"/>
      <c r="AZ879" s="9"/>
      <c r="BA879" s="9"/>
      <c r="BB879" s="9"/>
      <c r="BC879" s="9"/>
      <c r="BD879" s="9"/>
      <c r="BE879" s="9"/>
      <c r="BF879" s="9"/>
      <c r="BG879" s="9"/>
      <c r="BH879" s="9"/>
      <c r="BI879" s="9"/>
      <c r="BJ879" s="9"/>
      <c r="BK879" s="9"/>
      <c r="BL879" s="9"/>
      <c r="BM879" s="9"/>
      <c r="BN879" s="9"/>
      <c r="BO879" s="9"/>
      <c r="BP879" s="9"/>
      <c r="BQ879" s="9"/>
      <c r="BR879" s="9"/>
      <c r="BS879" s="9"/>
      <c r="BT879" s="9"/>
      <c r="BU879" s="9"/>
      <c r="BV879" s="9"/>
      <c r="BW879" s="9"/>
      <c r="BX879" s="9"/>
      <c r="BY879" s="9"/>
      <c r="BZ879" s="9"/>
      <c r="CA879" s="9"/>
      <c r="CB879" s="9"/>
      <c r="CC879" s="9"/>
      <c r="CD879" s="9"/>
    </row>
    <row r="880" spans="1:82">
      <c r="A880" s="36" t="s">
        <v>731</v>
      </c>
      <c r="B880" s="9"/>
      <c r="C880" s="9"/>
      <c r="D880" s="9"/>
      <c r="E880" s="9"/>
      <c r="F880" s="9"/>
      <c r="G880" s="9"/>
      <c r="H880" s="9"/>
      <c r="I880" s="9"/>
      <c r="J880" s="1488">
        <f t="shared" ref="J880:Z880" si="443">+IFERROR(J870/J875,"NA")</f>
        <v>7.2412965186074434</v>
      </c>
      <c r="K880" s="1488">
        <f t="shared" si="443"/>
        <v>7.185420340975897</v>
      </c>
      <c r="L880" s="1488">
        <f t="shared" si="443"/>
        <v>7.7589177927927926</v>
      </c>
      <c r="M880" s="1488">
        <f t="shared" si="443"/>
        <v>9.0223714663143966</v>
      </c>
      <c r="N880" s="1488">
        <f t="shared" si="443"/>
        <v>9.4561072436500471</v>
      </c>
      <c r="O880" s="1488">
        <f t="shared" si="443"/>
        <v>10.701723261560183</v>
      </c>
      <c r="P880" s="1488">
        <f t="shared" si="443"/>
        <v>8.2423896353166981</v>
      </c>
      <c r="Q880" s="1488">
        <f t="shared" si="443"/>
        <v>8.5405189156072918</v>
      </c>
      <c r="R880" s="1488">
        <f t="shared" si="443"/>
        <v>8.9689762174405434</v>
      </c>
      <c r="S880" s="1488">
        <f t="shared" si="443"/>
        <v>12.814179373403254</v>
      </c>
      <c r="T880" s="1488">
        <f t="shared" si="443"/>
        <v>13.594003647733192</v>
      </c>
      <c r="U880" s="1488">
        <f t="shared" si="443"/>
        <v>9.8098572961373396</v>
      </c>
      <c r="V880" s="1488">
        <f t="shared" si="443"/>
        <v>14.153652537646403</v>
      </c>
      <c r="W880" s="1488">
        <f t="shared" si="443"/>
        <v>18.172291100637647</v>
      </c>
      <c r="X880" s="1488">
        <f t="shared" si="443"/>
        <v>20.510818865345183</v>
      </c>
      <c r="Y880" s="1488">
        <f t="shared" si="443"/>
        <v>21.643593968449334</v>
      </c>
      <c r="Z880" s="1488">
        <f t="shared" si="443"/>
        <v>22.38199000241535</v>
      </c>
      <c r="AA880" s="1488">
        <f t="shared" ref="AA880:AE882" si="444">+IFERROR(AA870/AA875,"NA")</f>
        <v>23.124930893405377</v>
      </c>
      <c r="AB880" s="1488">
        <f t="shared" si="444"/>
        <v>23.908511654599852</v>
      </c>
      <c r="AC880" s="1488">
        <f t="shared" si="444"/>
        <v>24.492211777594822</v>
      </c>
      <c r="AD880" s="1488">
        <f t="shared" si="444"/>
        <v>25.091585536203226</v>
      </c>
      <c r="AE880" s="1488">
        <f t="shared" si="444"/>
        <v>25.721068244380412</v>
      </c>
      <c r="AF880" s="9"/>
      <c r="AG880" s="9"/>
      <c r="AH880" s="9"/>
      <c r="AI880" s="9"/>
      <c r="AJ880" s="9"/>
      <c r="AK880" s="9"/>
      <c r="AL880" s="9"/>
      <c r="AM880" s="9"/>
      <c r="AN880" s="9"/>
      <c r="AO880" s="9"/>
      <c r="AP880" s="9"/>
      <c r="AQ880" s="9"/>
      <c r="AR880" s="9"/>
      <c r="AS880" s="9"/>
      <c r="AT880" s="9"/>
      <c r="AU880" s="9"/>
      <c r="AV880" s="9"/>
      <c r="AW880" s="9"/>
      <c r="AX880" s="9"/>
      <c r="AY880" s="9"/>
      <c r="AZ880" s="9"/>
      <c r="BA880" s="9"/>
      <c r="BB880" s="9"/>
      <c r="BC880" s="9"/>
      <c r="BD880" s="9"/>
      <c r="BE880" s="9"/>
      <c r="BF880" s="9"/>
      <c r="BG880" s="9"/>
      <c r="BH880" s="9"/>
      <c r="BI880" s="9"/>
      <c r="BJ880" s="9"/>
      <c r="BK880" s="9"/>
      <c r="BL880" s="9"/>
      <c r="BM880" s="9"/>
      <c r="BN880" s="9"/>
      <c r="BO880" s="9"/>
      <c r="BP880" s="9"/>
      <c r="BQ880" s="9"/>
      <c r="BR880" s="9"/>
      <c r="BS880" s="9"/>
      <c r="BT880" s="9"/>
      <c r="BU880" s="9"/>
      <c r="BV880" s="9"/>
      <c r="BW880" s="9"/>
      <c r="BX880" s="9"/>
      <c r="BY880" s="9"/>
      <c r="BZ880" s="9"/>
      <c r="CA880" s="9"/>
      <c r="CB880" s="9"/>
      <c r="CC880" s="9"/>
      <c r="CD880" s="9"/>
    </row>
    <row r="881" spans="1:82">
      <c r="A881" s="36" t="s">
        <v>733</v>
      </c>
      <c r="B881" s="9"/>
      <c r="C881" s="9"/>
      <c r="D881" s="9"/>
      <c r="E881" s="9"/>
      <c r="F881" s="9"/>
      <c r="G881" s="9"/>
      <c r="H881" s="9"/>
      <c r="I881" s="9"/>
      <c r="J881" s="1488">
        <f t="shared" ref="J881:Z881" si="445">+IFERROR(J871/J876,"NA")</f>
        <v>12.499442472923203</v>
      </c>
      <c r="K881" s="1488">
        <f t="shared" si="445"/>
        <v>14.057599684335811</v>
      </c>
      <c r="L881" s="1488">
        <f t="shared" si="445"/>
        <v>15.545102749004929</v>
      </c>
      <c r="M881" s="1488">
        <f t="shared" si="445"/>
        <v>17.78650752880738</v>
      </c>
      <c r="N881" s="1488">
        <f t="shared" si="445"/>
        <v>17.062731076772348</v>
      </c>
      <c r="O881" s="1488">
        <f t="shared" si="445"/>
        <v>15.195115330832486</v>
      </c>
      <c r="P881" s="1488">
        <f t="shared" si="445"/>
        <v>18.868935391187939</v>
      </c>
      <c r="Q881" s="1488">
        <f t="shared" si="445"/>
        <v>18.311938739034648</v>
      </c>
      <c r="R881" s="1488">
        <f t="shared" si="445"/>
        <v>20.558804325371348</v>
      </c>
      <c r="S881" s="1488">
        <f t="shared" si="445"/>
        <v>17.80356696973163</v>
      </c>
      <c r="T881" s="1488">
        <f t="shared" si="445"/>
        <v>15.85224205441768</v>
      </c>
      <c r="U881" s="1488">
        <f t="shared" si="445"/>
        <v>9.202227479736905</v>
      </c>
      <c r="V881" s="1488">
        <f t="shared" si="445"/>
        <v>14.563899203027821</v>
      </c>
      <c r="W881" s="1488">
        <f t="shared" si="445"/>
        <v>20.509274158362548</v>
      </c>
      <c r="X881" s="1488">
        <f t="shared" si="445"/>
        <v>19.762200953526978</v>
      </c>
      <c r="Y881" s="1488">
        <f t="shared" si="445"/>
        <v>15.527737879980014</v>
      </c>
      <c r="Z881" s="1488">
        <f t="shared" si="445"/>
        <v>16.370293155508225</v>
      </c>
      <c r="AA881" s="1488">
        <f t="shared" si="444"/>
        <v>16.855103461987998</v>
      </c>
      <c r="AB881" s="1488">
        <f t="shared" si="444"/>
        <v>16.944079746384805</v>
      </c>
      <c r="AC881" s="1488">
        <f t="shared" si="444"/>
        <v>17.135690169089774</v>
      </c>
      <c r="AD881" s="1488">
        <f t="shared" si="444"/>
        <v>17.325151738453926</v>
      </c>
      <c r="AE881" s="1488">
        <f t="shared" si="444"/>
        <v>17.515594192239909</v>
      </c>
      <c r="AF881" s="9"/>
      <c r="AG881" s="9"/>
      <c r="AH881" s="9"/>
      <c r="AI881" s="9"/>
      <c r="AJ881" s="9"/>
      <c r="AK881" s="9"/>
      <c r="AL881" s="9"/>
      <c r="AM881" s="9"/>
      <c r="AN881" s="9"/>
      <c r="AO881" s="9"/>
      <c r="AP881" s="9"/>
      <c r="AQ881" s="9"/>
      <c r="AR881" s="9"/>
      <c r="AS881" s="9"/>
      <c r="AT881" s="9"/>
      <c r="AU881" s="9"/>
      <c r="AV881" s="9"/>
      <c r="AW881" s="9"/>
      <c r="AX881" s="9"/>
      <c r="AY881" s="9"/>
      <c r="AZ881" s="9"/>
      <c r="BA881" s="9"/>
      <c r="BB881" s="9"/>
      <c r="BC881" s="9"/>
      <c r="BD881" s="9"/>
      <c r="BE881" s="9"/>
      <c r="BF881" s="9"/>
      <c r="BG881" s="9"/>
      <c r="BH881" s="9"/>
      <c r="BI881" s="9"/>
      <c r="BJ881" s="9"/>
      <c r="BK881" s="9"/>
      <c r="BL881" s="9"/>
      <c r="BM881" s="9"/>
      <c r="BN881" s="9"/>
      <c r="BO881" s="9"/>
      <c r="BP881" s="9"/>
      <c r="BQ881" s="9"/>
      <c r="BR881" s="9"/>
      <c r="BS881" s="9"/>
      <c r="BT881" s="9"/>
      <c r="BU881" s="9"/>
      <c r="BV881" s="9"/>
      <c r="BW881" s="9"/>
      <c r="BX881" s="9"/>
      <c r="BY881" s="9"/>
      <c r="BZ881" s="9"/>
      <c r="CA881" s="9"/>
      <c r="CB881" s="9"/>
      <c r="CC881" s="9"/>
      <c r="CD881" s="9"/>
    </row>
    <row r="882" spans="1:82">
      <c r="A882" s="36" t="s">
        <v>949</v>
      </c>
      <c r="B882" s="9"/>
      <c r="C882" s="9"/>
      <c r="D882" s="9"/>
      <c r="E882" s="9"/>
      <c r="F882" s="9"/>
      <c r="G882" s="9"/>
      <c r="H882" s="9"/>
      <c r="I882" s="9"/>
      <c r="J882" s="1488" t="str">
        <f t="shared" ref="J882:Z882" si="446">+IFERROR(J872/J877,"NA")</f>
        <v>NA</v>
      </c>
      <c r="K882" s="1488" t="str">
        <f t="shared" si="446"/>
        <v>NA</v>
      </c>
      <c r="L882" s="1488" t="str">
        <f t="shared" si="446"/>
        <v>NA</v>
      </c>
      <c r="M882" s="1488" t="str">
        <f t="shared" si="446"/>
        <v>NA</v>
      </c>
      <c r="N882" s="1488" t="str">
        <f t="shared" si="446"/>
        <v>NA</v>
      </c>
      <c r="O882" s="1488">
        <f t="shared" si="446"/>
        <v>19.046383392799221</v>
      </c>
      <c r="P882" s="1488">
        <f t="shared" si="446"/>
        <v>18.206817934045514</v>
      </c>
      <c r="Q882" s="1488">
        <f t="shared" si="446"/>
        <v>22.485527514026973</v>
      </c>
      <c r="R882" s="1488">
        <f t="shared" si="446"/>
        <v>23.080566545531767</v>
      </c>
      <c r="S882" s="1488">
        <f t="shared" si="446"/>
        <v>24.122622567640423</v>
      </c>
      <c r="T882" s="1488">
        <f t="shared" si="446"/>
        <v>23.407539247854572</v>
      </c>
      <c r="U882" s="1488">
        <f t="shared" si="446"/>
        <v>15.395115227166098</v>
      </c>
      <c r="V882" s="1488">
        <f t="shared" si="446"/>
        <v>20.626557075981193</v>
      </c>
      <c r="W882" s="1488">
        <f t="shared" si="446"/>
        <v>23.581729728021916</v>
      </c>
      <c r="X882" s="1488">
        <f t="shared" si="446"/>
        <v>23.484376944522097</v>
      </c>
      <c r="Y882" s="1488">
        <f t="shared" si="446"/>
        <v>23.615643872705366</v>
      </c>
      <c r="Z882" s="1488">
        <f t="shared" si="446"/>
        <v>26.74872157046029</v>
      </c>
      <c r="AA882" s="1488">
        <f t="shared" si="444"/>
        <v>28.67061438684317</v>
      </c>
      <c r="AB882" s="1488">
        <f t="shared" si="444"/>
        <v>30.492967803865948</v>
      </c>
      <c r="AC882" s="1488">
        <f t="shared" si="444"/>
        <v>32.377490436993831</v>
      </c>
      <c r="AD882" s="1488">
        <f t="shared" si="444"/>
        <v>34.351109877925481</v>
      </c>
      <c r="AE882" s="1488">
        <f t="shared" si="444"/>
        <v>36.440808012510892</v>
      </c>
      <c r="AF882" s="9"/>
      <c r="AG882" s="9"/>
      <c r="AH882" s="9"/>
      <c r="AI882" s="9"/>
      <c r="AJ882" s="9"/>
      <c r="AK882" s="9"/>
      <c r="AL882" s="9"/>
      <c r="AM882" s="9"/>
      <c r="AN882" s="9"/>
      <c r="AO882" s="9"/>
      <c r="AP882" s="9"/>
      <c r="AQ882" s="9"/>
      <c r="AR882" s="9"/>
      <c r="AS882" s="9"/>
      <c r="AT882" s="9"/>
      <c r="AU882" s="9"/>
      <c r="AV882" s="9"/>
      <c r="AW882" s="9"/>
      <c r="AX882" s="9"/>
      <c r="AY882" s="9"/>
      <c r="AZ882" s="9"/>
      <c r="BA882" s="9"/>
      <c r="BB882" s="9"/>
      <c r="BC882" s="9"/>
      <c r="BD882" s="9"/>
      <c r="BE882" s="9"/>
      <c r="BF882" s="9"/>
      <c r="BG882" s="9"/>
      <c r="BH882" s="9"/>
      <c r="BI882" s="9"/>
      <c r="BJ882" s="9"/>
      <c r="BK882" s="9"/>
      <c r="BL882" s="9"/>
      <c r="BM882" s="9"/>
      <c r="BN882" s="9"/>
      <c r="BO882" s="9"/>
      <c r="BP882" s="9"/>
      <c r="BQ882" s="9"/>
      <c r="BR882" s="9"/>
      <c r="BS882" s="9"/>
      <c r="BT882" s="9"/>
      <c r="BU882" s="9"/>
      <c r="BV882" s="9"/>
      <c r="BW882" s="9"/>
      <c r="BX882" s="9"/>
      <c r="BY882" s="9"/>
      <c r="BZ882" s="9"/>
      <c r="CA882" s="9"/>
      <c r="CB882" s="9"/>
      <c r="CC882" s="9"/>
      <c r="CD882" s="9"/>
    </row>
    <row r="883" spans="1:8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9"/>
      <c r="AU883" s="9"/>
      <c r="AV883" s="9"/>
      <c r="AW883" s="9"/>
      <c r="AX883" s="9"/>
      <c r="AY883" s="9"/>
      <c r="AZ883" s="9"/>
      <c r="BA883" s="9"/>
      <c r="BB883" s="9"/>
      <c r="BC883" s="9"/>
      <c r="BD883" s="9"/>
      <c r="BE883" s="9"/>
      <c r="BF883" s="9"/>
      <c r="BG883" s="9"/>
      <c r="BH883" s="9"/>
      <c r="BI883" s="9"/>
      <c r="BJ883" s="9"/>
      <c r="BK883" s="9"/>
      <c r="BL883" s="9"/>
      <c r="BM883" s="9"/>
      <c r="BN883" s="9"/>
      <c r="BO883" s="9"/>
      <c r="BP883" s="9"/>
      <c r="BQ883" s="9"/>
      <c r="BR883" s="9"/>
      <c r="BS883" s="9"/>
      <c r="BT883" s="9"/>
      <c r="BU883" s="9"/>
      <c r="BV883" s="9"/>
      <c r="BW883" s="9"/>
      <c r="BX883" s="9"/>
      <c r="BY883" s="9"/>
      <c r="BZ883" s="9"/>
      <c r="CA883" s="9"/>
      <c r="CB883" s="9"/>
      <c r="CC883" s="9"/>
      <c r="CD883" s="9"/>
    </row>
    <row r="884" spans="1:82">
      <c r="A884" s="242" t="s">
        <v>1343</v>
      </c>
      <c r="B884" s="1487">
        <f>Financials!B4</f>
        <v>2001</v>
      </c>
      <c r="C884" s="1487">
        <f>Financials!C4</f>
        <v>2002</v>
      </c>
      <c r="D884" s="1487">
        <f>Financials!D4</f>
        <v>2003</v>
      </c>
      <c r="E884" s="1487">
        <f>Financials!E4</f>
        <v>2004</v>
      </c>
      <c r="F884" s="1487">
        <f>Financials!F4</f>
        <v>2005</v>
      </c>
      <c r="G884" s="1487">
        <f>Financials!G4</f>
        <v>2006</v>
      </c>
      <c r="H884" s="1487">
        <f>Financials!H4</f>
        <v>2007</v>
      </c>
      <c r="I884" s="1487">
        <f>Financials!I4</f>
        <v>2008</v>
      </c>
      <c r="J884" s="1487">
        <f>Financials!J4</f>
        <v>2009</v>
      </c>
      <c r="K884" s="1487">
        <f>Financials!K4</f>
        <v>2010</v>
      </c>
      <c r="L884" s="1487">
        <f>Financials!L4</f>
        <v>2011</v>
      </c>
      <c r="M884" s="1487">
        <f>Financials!M4</f>
        <v>2012</v>
      </c>
      <c r="N884" s="1487">
        <f>Financials!N4</f>
        <v>2013</v>
      </c>
      <c r="O884" s="1487">
        <f>Financials!O4</f>
        <v>2014</v>
      </c>
      <c r="P884" s="1487">
        <f>Financials!P4</f>
        <v>2015</v>
      </c>
      <c r="Q884" s="1487">
        <f>Financials!Q4</f>
        <v>2016</v>
      </c>
      <c r="R884" s="1487">
        <f>Financials!R4</f>
        <v>2017</v>
      </c>
      <c r="S884" s="264">
        <f t="shared" ref="S884:X884" si="447">S$6</f>
        <v>2018</v>
      </c>
      <c r="T884" s="264">
        <f t="shared" si="447"/>
        <v>2019</v>
      </c>
      <c r="U884" s="264">
        <f t="shared" si="447"/>
        <v>2020</v>
      </c>
      <c r="V884" s="264">
        <f t="shared" si="447"/>
        <v>2021</v>
      </c>
      <c r="W884" s="264">
        <f t="shared" si="447"/>
        <v>2022</v>
      </c>
      <c r="X884" s="264">
        <f t="shared" si="447"/>
        <v>2023</v>
      </c>
      <c r="Y884" s="1462">
        <f>Financials!Y4</f>
        <v>2024</v>
      </c>
      <c r="Z884" s="1462">
        <f>Financials!Z4</f>
        <v>2025</v>
      </c>
      <c r="AA884" s="1462">
        <f>Financials!AA4</f>
        <v>2026</v>
      </c>
      <c r="AB884" s="1462">
        <f>Financials!AB4</f>
        <v>2027</v>
      </c>
      <c r="AC884" s="1462">
        <f>Financials!AC4</f>
        <v>2028</v>
      </c>
      <c r="AD884" s="1462">
        <f>Financials!AD4</f>
        <v>2029</v>
      </c>
      <c r="AE884" s="1462">
        <f>Financials!AE4</f>
        <v>2030</v>
      </c>
      <c r="AF884" s="9"/>
      <c r="AG884" s="9"/>
      <c r="AH884" s="9"/>
      <c r="AI884" s="9"/>
      <c r="AJ884" s="9"/>
      <c r="AK884" s="9"/>
      <c r="AL884" s="9"/>
      <c r="AM884" s="9"/>
      <c r="AN884" s="9"/>
      <c r="AO884" s="9"/>
      <c r="AP884" s="9"/>
      <c r="AQ884" s="9"/>
      <c r="AR884" s="9"/>
      <c r="AS884" s="9"/>
      <c r="AT884" s="9"/>
      <c r="AU884" s="9"/>
      <c r="AV884" s="9"/>
      <c r="AW884" s="9"/>
      <c r="AX884" s="9"/>
      <c r="AY884" s="9"/>
      <c r="AZ884" s="9"/>
      <c r="BA884" s="9"/>
      <c r="BB884" s="9"/>
      <c r="BC884" s="9"/>
      <c r="BD884" s="9"/>
      <c r="BE884" s="9"/>
      <c r="BF884" s="9"/>
      <c r="BG884" s="9"/>
      <c r="BH884" s="9"/>
      <c r="BI884" s="9"/>
      <c r="BJ884" s="9"/>
      <c r="BK884" s="9"/>
      <c r="BL884" s="9"/>
      <c r="BM884" s="9"/>
      <c r="BN884" s="9"/>
      <c r="BO884" s="9"/>
      <c r="BP884" s="9"/>
      <c r="BQ884" s="9"/>
      <c r="BR884" s="9"/>
      <c r="BS884" s="9"/>
      <c r="BT884" s="9"/>
      <c r="BU884" s="9"/>
      <c r="BV884" s="9"/>
      <c r="BW884" s="9"/>
      <c r="BX884" s="9"/>
      <c r="BY884" s="9"/>
      <c r="BZ884" s="9"/>
      <c r="CA884" s="9"/>
      <c r="CB884" s="9"/>
      <c r="CC884" s="9"/>
      <c r="CD884" s="9"/>
    </row>
    <row r="885" spans="1:82">
      <c r="A885" s="36" t="s">
        <v>731</v>
      </c>
      <c r="B885" s="9"/>
      <c r="C885" s="9"/>
      <c r="D885" s="9"/>
      <c r="E885" s="9"/>
      <c r="F885" s="9"/>
      <c r="G885" s="9"/>
      <c r="H885" s="9"/>
      <c r="I885" s="9"/>
      <c r="J885" s="9"/>
      <c r="K885" s="825">
        <f t="shared" ref="K885:Z885" si="448">+IFERROR(K880/J880-1,"NA")</f>
        <v>-7.7163222757092864E-3</v>
      </c>
      <c r="L885" s="825">
        <f t="shared" si="448"/>
        <v>7.981404352177468E-2</v>
      </c>
      <c r="M885" s="825">
        <f t="shared" si="448"/>
        <v>0.16283890450485483</v>
      </c>
      <c r="N885" s="825">
        <f t="shared" si="448"/>
        <v>4.8073367290964564E-2</v>
      </c>
      <c r="O885" s="825">
        <f t="shared" si="448"/>
        <v>0.13172608831679544</v>
      </c>
      <c r="P885" s="825">
        <f t="shared" si="448"/>
        <v>-0.22980725310635097</v>
      </c>
      <c r="Q885" s="825">
        <f t="shared" si="448"/>
        <v>3.6170248372290104E-2</v>
      </c>
      <c r="R885" s="825">
        <f t="shared" si="448"/>
        <v>5.0167595911563501E-2</v>
      </c>
      <c r="S885" s="825">
        <f t="shared" si="448"/>
        <v>0.42872263932259691</v>
      </c>
      <c r="T885" s="825">
        <f t="shared" si="448"/>
        <v>6.0856356978154835E-2</v>
      </c>
      <c r="U885" s="825">
        <f t="shared" si="448"/>
        <v>-0.27836879036198148</v>
      </c>
      <c r="V885" s="825">
        <f t="shared" si="448"/>
        <v>0.44279902453009634</v>
      </c>
      <c r="W885" s="825">
        <f t="shared" si="448"/>
        <v>0.28392943463196674</v>
      </c>
      <c r="X885" s="825">
        <f t="shared" si="448"/>
        <v>0.12868645740687468</v>
      </c>
      <c r="Y885" s="825">
        <f t="shared" si="448"/>
        <v>5.5228175459053563E-2</v>
      </c>
      <c r="Z885" s="825">
        <f t="shared" si="448"/>
        <v>3.4116147024491505E-2</v>
      </c>
      <c r="AA885" s="825">
        <f t="shared" ref="AA885:AE887" si="449">+IFERROR(AA880/Z880-1,"NA")</f>
        <v>3.3193692379893447E-2</v>
      </c>
      <c r="AB885" s="825">
        <f t="shared" si="449"/>
        <v>3.3884674717792551E-2</v>
      </c>
      <c r="AC885" s="825">
        <f t="shared" si="449"/>
        <v>2.441390461386872E-2</v>
      </c>
      <c r="AD885" s="825">
        <f t="shared" si="449"/>
        <v>2.4472014371389017E-2</v>
      </c>
      <c r="AE885" s="825">
        <f t="shared" si="449"/>
        <v>2.5087402598330755E-2</v>
      </c>
      <c r="AF885" s="9"/>
      <c r="AG885" s="9"/>
      <c r="AH885" s="9"/>
      <c r="AI885" s="9"/>
      <c r="AJ885" s="9"/>
      <c r="AK885" s="9"/>
      <c r="AL885" s="9"/>
      <c r="AM885" s="9"/>
      <c r="AN885" s="9"/>
      <c r="AO885" s="9"/>
      <c r="AP885" s="9"/>
      <c r="AQ885" s="9"/>
      <c r="AR885" s="9"/>
      <c r="AS885" s="9"/>
      <c r="AT885" s="9"/>
      <c r="AU885" s="9"/>
      <c r="AV885" s="9"/>
      <c r="AW885" s="9"/>
      <c r="AX885" s="9"/>
      <c r="AY885" s="9"/>
      <c r="AZ885" s="9"/>
      <c r="BA885" s="9"/>
      <c r="BB885" s="9"/>
      <c r="BC885" s="9"/>
      <c r="BD885" s="9"/>
      <c r="BE885" s="9"/>
      <c r="BF885" s="9"/>
      <c r="BG885" s="9"/>
      <c r="BH885" s="9"/>
      <c r="BI885" s="9"/>
      <c r="BJ885" s="9"/>
      <c r="BK885" s="9"/>
      <c r="BL885" s="9"/>
      <c r="BM885" s="9"/>
      <c r="BN885" s="9"/>
      <c r="BO885" s="9"/>
      <c r="BP885" s="9"/>
      <c r="BQ885" s="9"/>
      <c r="BR885" s="9"/>
      <c r="BS885" s="9"/>
      <c r="BT885" s="9"/>
      <c r="BU885" s="9"/>
      <c r="BV885" s="9"/>
      <c r="BW885" s="9"/>
      <c r="BX885" s="9"/>
      <c r="BY885" s="9"/>
      <c r="BZ885" s="9"/>
      <c r="CA885" s="9"/>
      <c r="CB885" s="9"/>
      <c r="CC885" s="9"/>
      <c r="CD885" s="9"/>
    </row>
    <row r="886" spans="1:82">
      <c r="A886" s="36" t="s">
        <v>733</v>
      </c>
      <c r="B886" s="9"/>
      <c r="C886" s="9"/>
      <c r="D886" s="9"/>
      <c r="E886" s="9"/>
      <c r="F886" s="9"/>
      <c r="G886" s="9"/>
      <c r="H886" s="9"/>
      <c r="I886" s="9"/>
      <c r="J886" s="9"/>
      <c r="K886" s="825">
        <f t="shared" ref="K886:Z886" si="450">+IFERROR(K881/J881-1,"NA")</f>
        <v>0.12465813693594341</v>
      </c>
      <c r="L886" s="825">
        <f t="shared" si="450"/>
        <v>0.10581486868818879</v>
      </c>
      <c r="M886" s="825">
        <f t="shared" si="450"/>
        <v>0.14418719618600973</v>
      </c>
      <c r="N886" s="825">
        <f t="shared" si="450"/>
        <v>-4.0692443463832939E-2</v>
      </c>
      <c r="O886" s="825">
        <f t="shared" si="450"/>
        <v>-0.10945585073905695</v>
      </c>
      <c r="P886" s="825">
        <f t="shared" si="450"/>
        <v>0.241776385395436</v>
      </c>
      <c r="Q886" s="825">
        <f t="shared" si="450"/>
        <v>-2.9519241049148826E-2</v>
      </c>
      <c r="R886" s="825">
        <f t="shared" si="450"/>
        <v>0.12269949230155341</v>
      </c>
      <c r="S886" s="825">
        <f t="shared" si="450"/>
        <v>-0.13401739284222458</v>
      </c>
      <c r="T886" s="825">
        <f t="shared" si="450"/>
        <v>-0.10960303172007357</v>
      </c>
      <c r="U886" s="825">
        <f t="shared" si="450"/>
        <v>-0.41949993898986415</v>
      </c>
      <c r="V886" s="825">
        <f t="shared" si="450"/>
        <v>0.5826493351851163</v>
      </c>
      <c r="W886" s="825">
        <f t="shared" si="450"/>
        <v>0.40822686784997031</v>
      </c>
      <c r="X886" s="825">
        <f t="shared" si="450"/>
        <v>-3.6426116256823016E-2</v>
      </c>
      <c r="Y886" s="825">
        <f t="shared" si="450"/>
        <v>-0.21427082355375171</v>
      </c>
      <c r="Z886" s="825">
        <f t="shared" si="450"/>
        <v>5.4261302067348804E-2</v>
      </c>
      <c r="AA886" s="825">
        <f t="shared" si="449"/>
        <v>2.9615248906929015E-2</v>
      </c>
      <c r="AB886" s="825">
        <f t="shared" si="449"/>
        <v>5.2788928052247552E-3</v>
      </c>
      <c r="AC886" s="825">
        <f t="shared" si="449"/>
        <v>1.1308399486602339E-2</v>
      </c>
      <c r="AD886" s="825">
        <f t="shared" si="449"/>
        <v>1.1056547328680777E-2</v>
      </c>
      <c r="AE886" s="825">
        <f t="shared" si="449"/>
        <v>1.0992253150850617E-2</v>
      </c>
      <c r="AF886" s="9"/>
      <c r="AG886" s="9"/>
      <c r="AH886" s="9"/>
      <c r="AI886" s="9"/>
      <c r="AJ886" s="9"/>
      <c r="AK886" s="9"/>
      <c r="AL886" s="9"/>
      <c r="AM886" s="9"/>
      <c r="AN886" s="9"/>
      <c r="AO886" s="9"/>
      <c r="AP886" s="9"/>
      <c r="AQ886" s="9"/>
      <c r="AR886" s="9"/>
      <c r="AS886" s="9"/>
      <c r="AT886" s="9"/>
      <c r="AU886" s="9"/>
      <c r="AV886" s="9"/>
      <c r="AW886" s="9"/>
      <c r="AX886" s="9"/>
      <c r="AY886" s="9"/>
      <c r="AZ886" s="9"/>
      <c r="BA886" s="9"/>
      <c r="BB886" s="9"/>
      <c r="BC886" s="9"/>
      <c r="BD886" s="9"/>
      <c r="BE886" s="9"/>
      <c r="BF886" s="9"/>
      <c r="BG886" s="9"/>
      <c r="BH886" s="9"/>
      <c r="BI886" s="9"/>
      <c r="BJ886" s="9"/>
      <c r="BK886" s="9"/>
      <c r="BL886" s="9"/>
      <c r="BM886" s="9"/>
      <c r="BN886" s="9"/>
      <c r="BO886" s="9"/>
      <c r="BP886" s="9"/>
      <c r="BQ886" s="9"/>
      <c r="BR886" s="9"/>
      <c r="BS886" s="9"/>
      <c r="BT886" s="9"/>
      <c r="BU886" s="9"/>
      <c r="BV886" s="9"/>
      <c r="BW886" s="9"/>
      <c r="BX886" s="9"/>
      <c r="BY886" s="9"/>
      <c r="BZ886" s="9"/>
      <c r="CA886" s="9"/>
      <c r="CB886" s="9"/>
      <c r="CC886" s="9"/>
      <c r="CD886" s="9"/>
    </row>
    <row r="887" spans="1:82">
      <c r="A887" s="36" t="s">
        <v>949</v>
      </c>
      <c r="B887" s="9"/>
      <c r="C887" s="9"/>
      <c r="D887" s="9"/>
      <c r="E887" s="9"/>
      <c r="F887" s="9"/>
      <c r="G887" s="9"/>
      <c r="H887" s="9"/>
      <c r="I887" s="9"/>
      <c r="J887" s="9"/>
      <c r="K887" s="825"/>
      <c r="L887" s="825"/>
      <c r="M887" s="825"/>
      <c r="N887" s="825"/>
      <c r="O887" s="825"/>
      <c r="P887" s="825"/>
      <c r="Q887" s="825">
        <f t="shared" ref="Q887:Z887" si="451">+IFERROR(Q882/P882-1,"NA")</f>
        <v>0.23500589699315677</v>
      </c>
      <c r="R887" s="825">
        <f t="shared" si="451"/>
        <v>2.6463200880370463E-2</v>
      </c>
      <c r="S887" s="825">
        <f t="shared" si="451"/>
        <v>4.5148632727578741E-2</v>
      </c>
      <c r="T887" s="825">
        <f t="shared" si="451"/>
        <v>-2.9643680647936987E-2</v>
      </c>
      <c r="U887" s="825">
        <f t="shared" si="451"/>
        <v>-0.34230099695006844</v>
      </c>
      <c r="V887" s="825">
        <f t="shared" si="451"/>
        <v>0.3398118020957539</v>
      </c>
      <c r="W887" s="825">
        <f t="shared" si="451"/>
        <v>0.14327028214911852</v>
      </c>
      <c r="X887" s="825">
        <f t="shared" si="451"/>
        <v>-4.1283139372144673E-3</v>
      </c>
      <c r="Y887" s="825">
        <f t="shared" si="451"/>
        <v>5.5895427199692538E-3</v>
      </c>
      <c r="Z887" s="825">
        <f t="shared" si="451"/>
        <v>0.13266958608636936</v>
      </c>
      <c r="AA887" s="825">
        <f t="shared" si="449"/>
        <v>7.1849894258322333E-2</v>
      </c>
      <c r="AB887" s="825">
        <f t="shared" si="449"/>
        <v>6.3561714877622189E-2</v>
      </c>
      <c r="AC887" s="825">
        <f t="shared" si="449"/>
        <v>6.180187659165659E-2</v>
      </c>
      <c r="AD887" s="825">
        <f t="shared" si="449"/>
        <v>6.0956529190311581E-2</v>
      </c>
      <c r="AE887" s="825">
        <f t="shared" si="449"/>
        <v>6.0833496850949853E-2</v>
      </c>
      <c r="AF887" s="9"/>
      <c r="AG887" s="9"/>
      <c r="AH887" s="9"/>
      <c r="AI887" s="9"/>
      <c r="AJ887" s="9"/>
      <c r="AK887" s="9"/>
      <c r="AL887" s="9"/>
      <c r="AM887" s="9"/>
      <c r="AN887" s="9"/>
      <c r="AO887" s="9"/>
      <c r="AP887" s="9"/>
      <c r="AQ887" s="9"/>
      <c r="AR887" s="9"/>
      <c r="AS887" s="9"/>
      <c r="AT887" s="9"/>
      <c r="AU887" s="9"/>
      <c r="AV887" s="9"/>
      <c r="AW887" s="9"/>
      <c r="AX887" s="9"/>
      <c r="AY887" s="9"/>
      <c r="AZ887" s="9"/>
      <c r="BA887" s="9"/>
      <c r="BB887" s="9"/>
      <c r="BC887" s="9"/>
      <c r="BD887" s="9"/>
      <c r="BE887" s="9"/>
      <c r="BF887" s="9"/>
      <c r="BG887" s="9"/>
      <c r="BH887" s="9"/>
      <c r="BI887" s="9"/>
      <c r="BJ887" s="9"/>
      <c r="BK887" s="9"/>
      <c r="BL887" s="9"/>
      <c r="BM887" s="9"/>
      <c r="BN887" s="9"/>
      <c r="BO887" s="9"/>
      <c r="BP887" s="9"/>
      <c r="BQ887" s="9"/>
      <c r="BR887" s="9"/>
      <c r="BS887" s="9"/>
      <c r="BT887" s="9"/>
      <c r="BU887" s="9"/>
      <c r="BV887" s="9"/>
      <c r="BW887" s="9"/>
      <c r="BX887" s="9"/>
      <c r="BY887" s="9"/>
      <c r="BZ887" s="9"/>
      <c r="CA887" s="9"/>
      <c r="CB887" s="9"/>
      <c r="CC887" s="9"/>
      <c r="CD887" s="9"/>
    </row>
    <row r="888" spans="1:8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  <c r="AM888" s="9"/>
      <c r="AN888" s="9"/>
      <c r="AO888" s="9"/>
      <c r="AP888" s="9"/>
      <c r="AQ888" s="9"/>
      <c r="AR888" s="9"/>
      <c r="AS888" s="9"/>
      <c r="AT888" s="9"/>
      <c r="AU888" s="9"/>
      <c r="AV888" s="9"/>
      <c r="AW888" s="9"/>
      <c r="AX888" s="9"/>
      <c r="AY888" s="9"/>
      <c r="AZ888" s="9"/>
      <c r="BA888" s="9"/>
      <c r="BB888" s="9"/>
      <c r="BC888" s="9"/>
      <c r="BD888" s="9"/>
      <c r="BE888" s="9"/>
      <c r="BF888" s="9"/>
      <c r="BG888" s="9"/>
      <c r="BH888" s="9"/>
      <c r="BI888" s="9"/>
      <c r="BJ888" s="9"/>
      <c r="BK888" s="9"/>
      <c r="BL888" s="9"/>
      <c r="BM888" s="9"/>
      <c r="BN888" s="9"/>
      <c r="BO888" s="9"/>
      <c r="BP888" s="9"/>
      <c r="BQ888" s="9"/>
      <c r="BR888" s="9"/>
      <c r="BS888" s="9"/>
      <c r="BT888" s="9"/>
      <c r="BU888" s="9"/>
      <c r="BV888" s="9"/>
      <c r="BW888" s="9"/>
      <c r="BX888" s="9"/>
      <c r="BY888" s="9"/>
      <c r="BZ888" s="9"/>
      <c r="CA888" s="9"/>
      <c r="CB888" s="9"/>
      <c r="CC888" s="9"/>
      <c r="CD888" s="9"/>
    </row>
    <row r="889" spans="1:82">
      <c r="A889" s="242" t="s">
        <v>1390</v>
      </c>
      <c r="B889" s="1487">
        <f>Financials!B4</f>
        <v>2001</v>
      </c>
      <c r="C889" s="1487"/>
      <c r="D889" s="1487"/>
      <c r="E889" s="1487"/>
      <c r="F889" s="1487"/>
      <c r="G889" s="1487"/>
      <c r="H889" s="1487"/>
      <c r="I889" s="1487"/>
      <c r="J889" s="1487"/>
      <c r="K889" s="1487"/>
      <c r="L889" s="1487"/>
      <c r="M889" s="1487"/>
      <c r="N889" s="1487"/>
      <c r="O889" s="1487"/>
      <c r="P889" s="1487"/>
      <c r="Q889" s="1487"/>
      <c r="R889" s="1487"/>
      <c r="S889" s="264"/>
      <c r="T889" s="264"/>
      <c r="U889" s="1462"/>
      <c r="V889" s="1462"/>
      <c r="W889" s="1462"/>
      <c r="X889" s="1462"/>
      <c r="Y889" s="1462"/>
      <c r="Z889" s="1462"/>
      <c r="AA889" s="1462"/>
      <c r="AB889" s="1462"/>
      <c r="AC889" s="1462"/>
      <c r="AD889" s="1462"/>
      <c r="AE889" s="1462"/>
      <c r="AF889" s="9"/>
      <c r="AG889" s="9"/>
      <c r="AH889" s="9"/>
      <c r="AI889" s="9"/>
      <c r="AJ889" s="9"/>
      <c r="AK889" s="9"/>
      <c r="AL889" s="9"/>
      <c r="AM889" s="9"/>
      <c r="AN889" s="9"/>
      <c r="AO889" s="9"/>
      <c r="AP889" s="9"/>
      <c r="AQ889" s="9"/>
      <c r="AR889" s="9"/>
      <c r="AS889" s="9"/>
      <c r="AT889" s="9"/>
      <c r="AU889" s="9"/>
      <c r="AV889" s="9"/>
      <c r="AW889" s="9"/>
      <c r="AX889" s="9"/>
      <c r="AY889" s="9"/>
      <c r="AZ889" s="9"/>
      <c r="BA889" s="9"/>
      <c r="BB889" s="9"/>
      <c r="BC889" s="9"/>
      <c r="BD889" s="9"/>
      <c r="BE889" s="9"/>
      <c r="BF889" s="9"/>
      <c r="BG889" s="9"/>
      <c r="BH889" s="9"/>
      <c r="BI889" s="9"/>
      <c r="BJ889" s="9"/>
      <c r="BK889" s="9"/>
      <c r="BL889" s="9"/>
      <c r="BM889" s="9"/>
      <c r="BN889" s="9"/>
      <c r="BO889" s="9"/>
      <c r="BP889" s="9"/>
      <c r="BQ889" s="9"/>
      <c r="BR889" s="9"/>
      <c r="BS889" s="9"/>
      <c r="BT889" s="9"/>
      <c r="BU889" s="9"/>
      <c r="BV889" s="9"/>
      <c r="BW889" s="9"/>
      <c r="BX889" s="9"/>
      <c r="BY889" s="9"/>
      <c r="BZ889" s="9"/>
      <c r="CA889" s="9"/>
      <c r="CB889" s="9"/>
      <c r="CC889" s="9"/>
      <c r="CD889" s="9"/>
    </row>
    <row r="890" spans="1:82">
      <c r="A890" s="36"/>
      <c r="B890" s="9"/>
      <c r="C890" s="9"/>
      <c r="D890" s="9"/>
      <c r="E890" s="9"/>
      <c r="F890" s="9"/>
      <c r="G890" s="9"/>
      <c r="H890" s="9"/>
      <c r="I890" s="9"/>
      <c r="J890" s="9"/>
      <c r="K890" s="825"/>
      <c r="L890" s="825"/>
      <c r="M890" s="825"/>
      <c r="N890" s="825"/>
      <c r="O890" s="825"/>
      <c r="P890" s="825"/>
      <c r="Q890" s="825"/>
      <c r="R890" s="825"/>
      <c r="S890" s="825"/>
      <c r="T890" s="825"/>
      <c r="U890" s="825"/>
      <c r="V890" s="825"/>
      <c r="W890" s="825"/>
      <c r="X890" s="825"/>
      <c r="Y890" s="825"/>
      <c r="Z890" s="825"/>
      <c r="AA890" s="825"/>
      <c r="AB890" s="825"/>
      <c r="AC890" s="825"/>
      <c r="AD890" s="825"/>
      <c r="AE890" s="825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  <c r="CA890" s="9"/>
      <c r="CB890" s="9"/>
      <c r="CC890" s="9"/>
      <c r="CD890" s="9"/>
    </row>
    <row r="891" spans="1:82">
      <c r="A891" s="36"/>
      <c r="B891" s="9"/>
      <c r="C891" s="9"/>
      <c r="D891" s="9"/>
      <c r="E891" s="9"/>
      <c r="F891" s="9"/>
      <c r="G891" s="9"/>
      <c r="H891" s="9"/>
      <c r="I891" s="9"/>
      <c r="J891" s="9"/>
      <c r="K891" s="825"/>
      <c r="L891" s="825"/>
      <c r="M891" s="825"/>
      <c r="N891" s="825"/>
      <c r="O891" s="825"/>
      <c r="P891" s="825"/>
      <c r="Q891" s="825"/>
      <c r="R891" s="825"/>
      <c r="S891" s="825"/>
      <c r="T891" s="825"/>
      <c r="U891" s="825"/>
      <c r="V891" s="825"/>
      <c r="W891" s="825"/>
      <c r="X891" s="825"/>
      <c r="Y891" s="825"/>
      <c r="Z891" s="825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  <c r="CA891" s="9"/>
      <c r="CB891" s="9"/>
      <c r="CC891" s="9"/>
      <c r="CD891" s="9"/>
    </row>
    <row r="892" spans="1:82">
      <c r="A892" s="242" t="s">
        <v>1411</v>
      </c>
      <c r="B892" s="1487"/>
      <c r="C892" s="1487"/>
      <c r="D892" s="1487"/>
      <c r="E892" s="1487"/>
      <c r="F892" s="1487"/>
      <c r="G892" s="1487"/>
      <c r="H892" s="1487"/>
      <c r="I892" s="1487"/>
      <c r="J892" s="1487"/>
      <c r="K892" s="1487"/>
      <c r="L892" s="1487"/>
      <c r="M892" s="1487"/>
      <c r="N892" s="1487"/>
      <c r="O892" s="1487"/>
      <c r="P892" s="1487"/>
      <c r="Q892" s="1487"/>
      <c r="R892" s="1487"/>
      <c r="S892" s="264"/>
      <c r="T892" s="264"/>
      <c r="U892" s="264"/>
      <c r="V892" s="264"/>
      <c r="W892" s="264" t="s">
        <v>1467</v>
      </c>
      <c r="X892" s="264">
        <v>2023</v>
      </c>
      <c r="Y892" s="1462">
        <v>2024</v>
      </c>
      <c r="Z892" s="1462">
        <v>2025</v>
      </c>
      <c r="AA892" s="1462">
        <f>+Z892+1</f>
        <v>2026</v>
      </c>
      <c r="AB892" s="1462">
        <f>+AA892+1</f>
        <v>2027</v>
      </c>
      <c r="AC892" s="9"/>
      <c r="AD892" s="9"/>
      <c r="AE892" s="9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  <c r="CA892" s="9"/>
      <c r="CB892" s="9"/>
      <c r="CC892" s="9"/>
      <c r="CD892" s="9"/>
    </row>
    <row r="893" spans="1:82">
      <c r="A893" s="36"/>
      <c r="B893" s="9"/>
      <c r="C893" s="9"/>
      <c r="D893" s="9"/>
      <c r="E893" s="9"/>
      <c r="F893" s="9"/>
      <c r="G893" s="9"/>
      <c r="H893" s="9"/>
      <c r="I893" s="9"/>
      <c r="J893" s="9"/>
      <c r="K893" s="825"/>
      <c r="L893" s="825"/>
      <c r="M893" s="825"/>
      <c r="N893" s="825"/>
      <c r="O893" s="825"/>
      <c r="P893" s="825"/>
      <c r="Q893" s="825"/>
      <c r="R893" s="825"/>
      <c r="S893" s="825"/>
      <c r="U893" s="92"/>
      <c r="V893" s="92"/>
      <c r="W893" s="92">
        <f>+BS!BE4</f>
        <v>6099.7089999999998</v>
      </c>
      <c r="X893" s="92">
        <f>BS!AW69</f>
        <v>0</v>
      </c>
      <c r="Y893" s="92">
        <f>BS!AX69</f>
        <v>0</v>
      </c>
      <c r="Z893" s="92">
        <f>BS!AY69</f>
        <v>0</v>
      </c>
      <c r="AA893" s="92">
        <f>BS!AZ69</f>
        <v>0</v>
      </c>
      <c r="AB893" s="92">
        <f>BS!BA69</f>
        <v>0</v>
      </c>
      <c r="AC893" s="9"/>
      <c r="AD893" s="9"/>
      <c r="AE893" s="9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  <c r="CA893" s="9"/>
      <c r="CB893" s="9"/>
      <c r="CC893" s="9"/>
      <c r="CD893" s="9"/>
    </row>
    <row r="894" spans="1:82">
      <c r="A894" s="36"/>
      <c r="B894" s="9"/>
      <c r="C894" s="9"/>
      <c r="D894" s="9"/>
      <c r="E894" s="9"/>
      <c r="F894" s="9"/>
      <c r="G894" s="9"/>
      <c r="H894" s="9"/>
      <c r="I894" s="9"/>
      <c r="J894" s="9"/>
      <c r="K894" s="825"/>
      <c r="L894" s="825"/>
      <c r="M894" s="825"/>
      <c r="N894" s="825"/>
      <c r="O894" s="825"/>
      <c r="P894" s="825"/>
      <c r="Q894" s="825"/>
      <c r="R894" s="825"/>
      <c r="S894" s="825"/>
      <c r="W894" s="92">
        <f>+W893</f>
        <v>6099.7089999999998</v>
      </c>
      <c r="X894" s="92">
        <f>+W894+($Z$894-$W$894)/3</f>
        <v>4066.4726666666666</v>
      </c>
      <c r="Y894" s="92">
        <f>+X894+($Z$894-$W$894)/3</f>
        <v>2033.2363333333333</v>
      </c>
      <c r="Z894" s="92">
        <v>0</v>
      </c>
      <c r="AA894" s="92"/>
      <c r="AB894" s="92"/>
      <c r="AC894" s="9"/>
      <c r="AD894" s="9"/>
      <c r="AE894" s="9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  <c r="CA894" s="9"/>
      <c r="CB894" s="9"/>
      <c r="CC894" s="9"/>
      <c r="CD894" s="9"/>
    </row>
    <row r="895" spans="1:82">
      <c r="A895" s="36"/>
      <c r="B895" s="9"/>
      <c r="C895" s="9"/>
      <c r="D895" s="9"/>
      <c r="E895" s="9"/>
      <c r="F895" s="9"/>
      <c r="G895" s="9"/>
      <c r="H895" s="9"/>
      <c r="I895" s="9"/>
      <c r="J895" s="9"/>
      <c r="K895" s="825"/>
      <c r="L895" s="825"/>
      <c r="M895" s="825"/>
      <c r="N895" s="825"/>
      <c r="O895" s="825"/>
      <c r="P895" s="825"/>
      <c r="Q895" s="825"/>
      <c r="R895" s="825"/>
      <c r="S895" s="825"/>
      <c r="T895" s="825"/>
      <c r="U895" s="825"/>
      <c r="V895" s="825"/>
      <c r="W895" s="825"/>
      <c r="X895" s="825"/>
      <c r="Y895" s="825"/>
      <c r="Z895" s="825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  <c r="CA895" s="9"/>
      <c r="CB895" s="9"/>
      <c r="CC895" s="9"/>
      <c r="CD895" s="9"/>
    </row>
    <row r="896" spans="1:82">
      <c r="A896" s="242" t="s">
        <v>1466</v>
      </c>
      <c r="B896" s="264">
        <v>2001</v>
      </c>
      <c r="C896" s="264">
        <v>2002</v>
      </c>
      <c r="D896" s="264">
        <v>2003</v>
      </c>
      <c r="E896" s="264">
        <v>2004</v>
      </c>
      <c r="F896" s="264">
        <v>2005</v>
      </c>
      <c r="G896" s="264">
        <v>2006</v>
      </c>
      <c r="H896" s="264">
        <v>2007</v>
      </c>
      <c r="I896" s="264">
        <v>2008</v>
      </c>
      <c r="J896" s="264">
        <f t="shared" ref="J896:R896" si="452">J$50</f>
        <v>2009</v>
      </c>
      <c r="K896" s="264">
        <f t="shared" si="452"/>
        <v>2010</v>
      </c>
      <c r="L896" s="264">
        <f t="shared" si="452"/>
        <v>2011</v>
      </c>
      <c r="M896" s="264">
        <f t="shared" si="452"/>
        <v>2012</v>
      </c>
      <c r="N896" s="264">
        <f t="shared" si="452"/>
        <v>2013</v>
      </c>
      <c r="O896" s="264">
        <f t="shared" si="452"/>
        <v>2014</v>
      </c>
      <c r="P896" s="264">
        <f t="shared" si="452"/>
        <v>2015</v>
      </c>
      <c r="Q896" s="264">
        <f t="shared" si="452"/>
        <v>2016</v>
      </c>
      <c r="R896" s="264">
        <f t="shared" si="452"/>
        <v>2017</v>
      </c>
      <c r="S896" s="264">
        <f t="shared" ref="S896:X896" si="453">S$6</f>
        <v>2018</v>
      </c>
      <c r="T896" s="264">
        <f t="shared" si="453"/>
        <v>2019</v>
      </c>
      <c r="U896" s="264">
        <f t="shared" si="453"/>
        <v>2020</v>
      </c>
      <c r="V896" s="264">
        <f t="shared" si="453"/>
        <v>2021</v>
      </c>
      <c r="W896" s="264">
        <f t="shared" si="453"/>
        <v>2022</v>
      </c>
      <c r="X896" s="264">
        <f t="shared" si="453"/>
        <v>2023</v>
      </c>
      <c r="Y896" s="594">
        <f t="shared" ref="Y896:AE896" si="454">Y$50</f>
        <v>2024</v>
      </c>
      <c r="Z896" s="594">
        <f t="shared" si="454"/>
        <v>2025</v>
      </c>
      <c r="AA896" s="594">
        <f t="shared" si="454"/>
        <v>2026</v>
      </c>
      <c r="AB896" s="594">
        <f t="shared" si="454"/>
        <v>2027</v>
      </c>
      <c r="AC896" s="594">
        <f t="shared" si="454"/>
        <v>2028</v>
      </c>
      <c r="AD896" s="594">
        <f t="shared" si="454"/>
        <v>2029</v>
      </c>
      <c r="AE896" s="594">
        <f t="shared" si="454"/>
        <v>2030</v>
      </c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  <c r="CA896" s="9"/>
      <c r="CB896" s="9"/>
      <c r="CC896" s="9"/>
      <c r="CD896" s="9"/>
    </row>
    <row r="897" spans="1:82">
      <c r="A897" s="244" t="s">
        <v>200</v>
      </c>
      <c r="B897" s="452">
        <f>Base!B64</f>
        <v>0.39901214472811147</v>
      </c>
      <c r="C897" s="452">
        <f>Base!C64</f>
        <v>0.41218592983946212</v>
      </c>
      <c r="D897" s="452">
        <f>Base!D64</f>
        <v>0.41794175917667858</v>
      </c>
      <c r="E897" s="452">
        <f>Base!E64</f>
        <v>0.42922277283520388</v>
      </c>
      <c r="F897" s="452">
        <f>Base!F64</f>
        <v>0.47064175937238761</v>
      </c>
      <c r="G897" s="452">
        <f>Base!G64</f>
        <v>0.48992241527507757</v>
      </c>
      <c r="H897" s="452">
        <f>Base!H64</f>
        <v>0.4828683470373864</v>
      </c>
      <c r="I897" s="452">
        <f>Base!I64</f>
        <v>0.51027765681162451</v>
      </c>
      <c r="J897" s="452">
        <f>Base!J64</f>
        <v>0.51477166687958331</v>
      </c>
      <c r="K897" s="452">
        <f>Base!K64</f>
        <v>0.53551167741475769</v>
      </c>
      <c r="L897" s="452">
        <f>Base!L64</f>
        <v>0.54167772947123649</v>
      </c>
      <c r="M897" s="452">
        <f>Base!M64</f>
        <v>0.52901905564201901</v>
      </c>
      <c r="N897" s="452">
        <f>Base!N64</f>
        <v>0.53766792584198797</v>
      </c>
      <c r="O897" s="452">
        <f>Base!O64</f>
        <v>0.55835594821198264</v>
      </c>
      <c r="P897" s="452">
        <f>Base!P64</f>
        <v>0.55243939800502817</v>
      </c>
      <c r="Q897" s="452">
        <f>Base!Q64</f>
        <v>0.55082147523357394</v>
      </c>
      <c r="R897" s="452">
        <f>Base!R64</f>
        <v>0.54409045980517678</v>
      </c>
      <c r="S897" s="452">
        <f>Base!S64</f>
        <v>0.55378366222930109</v>
      </c>
      <c r="T897" s="452">
        <f>-(Base!T63+SUMIFS(Q_Financials!$AP$16:$CK$16,Q_Financials!$AP$3:$CK$3,Charts_Support!T149))/Base!T36</f>
        <v>0.57299709933616794</v>
      </c>
      <c r="U897" s="452">
        <f>-(Base!U63+SUMIFS(Q_Financials!$AP$16:$CK$16,Q_Financials!$AP$3:$CK$3,Charts_Support!U149))/Base!U36</f>
        <v>0.66511272419193557</v>
      </c>
      <c r="V897" s="452">
        <f>-(Base!V63+SUMIFS(Q_Financials!$AP$16:$CK$16,Q_Financials!$AP$3:$CK$3,Charts_Support!V149))/Base!V36</f>
        <v>0.5637021417354301</v>
      </c>
      <c r="W897" s="452">
        <f>-(Base!W63+SUMIFS(Q_Financials!$AP$16:$CK$16,Q_Financials!$AP$3:$CK$3,Charts_Support!W149))/Base!W36</f>
        <v>0.54473359178646985</v>
      </c>
      <c r="X897" s="452">
        <f>-(Base!X63+SUMIFS(Q_Financials!$AP$16:$CK$16,Q_Financials!$AP$3:$CK$3,Charts_Support!X149))/Base!X36</f>
        <v>0.53039895240584922</v>
      </c>
      <c r="Y897" s="452">
        <f>-(Base!Y63+SUMIFS(Q_Financials!$AP$16:$CK$16,Q_Financials!$AP$3:$CK$3,Charts_Support!Y149))/Base!Y36</f>
        <v>0.53043130566902286</v>
      </c>
      <c r="Z897" s="452">
        <f>-(Base!Z63+SUMIFS(Q_Financials!$AP$16:$CK$16,Q_Financials!$AP$3:$CK$3,Charts_Support!Z149))/Base!Z36</f>
        <v>0.52553096992534976</v>
      </c>
      <c r="AA897" s="452">
        <f>-(Base!AA63+SUMIFS(Q_Financials!$AP$16:$CK$16,Q_Financials!$AP$3:$CK$3,Charts_Support!AA149))/Base!AA36</f>
        <v>0.52273568794127134</v>
      </c>
      <c r="AB897" s="452">
        <f>-(Base!AB63+SUMIFS(Q_Financials!$AP$16:$CK$16,Q_Financials!$AP$3:$CK$3,Charts_Support!AB149))/Base!AB36</f>
        <v>0.51983466485419239</v>
      </c>
      <c r="AC897" s="452">
        <f>-(Base!AC63+SUMIFS(Q_Financials!$AP$16:$CK$16,Q_Financials!$AP$3:$CK$3,Charts_Support!AC149))/Base!AC36</f>
        <v>0.51951218589730785</v>
      </c>
      <c r="AD897" s="452">
        <f>-(Base!AD63+SUMIFS(Q_Financials!$AP$16:$CK$16,Q_Financials!$AP$3:$CK$3,Charts_Support!AD149))/Base!AD36</f>
        <v>0.51920788861073808</v>
      </c>
      <c r="AE897" s="452">
        <f>-(Base!AE63+SUMIFS(Q_Financials!$AP$16:$CK$16,Q_Financials!$AP$3:$CK$3,Charts_Support!AE149))/Base!AE36</f>
        <v>0.51890962526965112</v>
      </c>
    </row>
    <row r="898" spans="1:82">
      <c r="A898" s="244" t="s">
        <v>201</v>
      </c>
      <c r="B898" s="452">
        <f>Bull!B64</f>
        <v>0.39901214472811147</v>
      </c>
      <c r="C898" s="452">
        <f>Bull!C64</f>
        <v>0.41218592983946212</v>
      </c>
      <c r="D898" s="452">
        <f>Bull!D64</f>
        <v>0.41794175917667858</v>
      </c>
      <c r="E898" s="452">
        <f>Bull!E64</f>
        <v>0.42922277283520388</v>
      </c>
      <c r="F898" s="452">
        <f>Bull!F64</f>
        <v>0.47064175937238761</v>
      </c>
      <c r="G898" s="452">
        <f>Bull!G64</f>
        <v>0.48992241527507757</v>
      </c>
      <c r="H898" s="452">
        <f>Bull!H64</f>
        <v>0.4828683470373864</v>
      </c>
      <c r="I898" s="452">
        <f>Bull!I64</f>
        <v>0.51027765681162451</v>
      </c>
      <c r="J898" s="452">
        <f>Bull!J64</f>
        <v>0.51477166687958331</v>
      </c>
      <c r="K898" s="452">
        <f>Bull!K64</f>
        <v>0.53551167741475769</v>
      </c>
      <c r="L898" s="452">
        <f>Bull!L64</f>
        <v>0.54167772947123649</v>
      </c>
      <c r="M898" s="452">
        <f>Bull!M64</f>
        <v>0.52901905564201901</v>
      </c>
      <c r="N898" s="452">
        <f>Bull!N64</f>
        <v>0.53766792584198797</v>
      </c>
      <c r="O898" s="452">
        <f>Bull!O64</f>
        <v>0.55835594821198264</v>
      </c>
      <c r="P898" s="452">
        <f>Bull!P64</f>
        <v>0.55243939800502817</v>
      </c>
      <c r="Q898" s="452">
        <f>Bull!Q64</f>
        <v>0.55082147523357394</v>
      </c>
      <c r="R898" s="452">
        <f>Bull!R64</f>
        <v>0.54409045980517678</v>
      </c>
      <c r="S898" s="452">
        <f>Bull!S64</f>
        <v>0.55378366222930109</v>
      </c>
      <c r="T898" s="452">
        <f>-(Bull!T63+SUMIFS(Q_Financials!$AP$16:$CK$16,Q_Financials!$AP$3:$CK$3,Charts_Support!T149))/Bull!T36</f>
        <v>0.57299709933616794</v>
      </c>
      <c r="U898" s="452">
        <f>-(Bull!U63+SUMIFS(Q_Financials!$AP$16:$CK$16,Q_Financials!$AP$3:$CK$3,Charts_Support!U149))/Bull!U36</f>
        <v>0.66511272419193557</v>
      </c>
      <c r="V898" s="452">
        <f>-(Bull!V63+SUMIFS(Q_Financials!$AP$16:$CK$16,Q_Financials!$AP$3:$CK$3,Charts_Support!V149))/Bull!V36</f>
        <v>0.5637021417354301</v>
      </c>
      <c r="W898" s="452">
        <f>-(Bull!W63+SUMIFS(Q_Financials!$AP$16:$CK$16,Q_Financials!$AP$3:$CK$3,Charts_Support!W149))/Bull!W36</f>
        <v>0.54473359178646985</v>
      </c>
      <c r="X898" s="452">
        <f>-(Bull!X63+-4272.27131597646)/Bull!X36</f>
        <v>0.51867815481136326</v>
      </c>
      <c r="Y898" s="452">
        <f>-(Bull!Y63+-4360.2422975601)/Bull!Y36</f>
        <v>0.52486358804418654</v>
      </c>
      <c r="Z898" s="452">
        <f>-(Bull!Z63+-4770.91335726098)/Bull!Z36</f>
        <v>0.52155441095348221</v>
      </c>
      <c r="AA898" s="452">
        <f>-(Bull!AA63+-5212.58443673671)/Bull!AA36</f>
        <v>0.52068401135574294</v>
      </c>
      <c r="AB898" s="452">
        <f>-(Bull!AB63+-5655.026082829)/Bull!AB36</f>
        <v>0.52003051585752114</v>
      </c>
      <c r="AC898" s="452">
        <f>-(Bull!AC63+-6130.1331827011)/Bull!AC36</f>
        <v>0.51793122272444958</v>
      </c>
      <c r="AD898" s="452">
        <f>-(Bull!AD63+-6641.27085102797)/Bull!AD36</f>
        <v>0.51884589784499857</v>
      </c>
      <c r="AE898" s="452">
        <f>-(Bull!AE63+-7179.50945913729)/Bull!AE36</f>
        <v>0.51973836213917202</v>
      </c>
    </row>
    <row r="899" spans="1:82">
      <c r="A899" s="244" t="s">
        <v>202</v>
      </c>
      <c r="B899" s="452">
        <f>Bear!B64</f>
        <v>0.39901214472811147</v>
      </c>
      <c r="C899" s="452">
        <f>Bear!C64</f>
        <v>0.41218592983946212</v>
      </c>
      <c r="D899" s="452">
        <f>Bear!D64</f>
        <v>0.41794175917667858</v>
      </c>
      <c r="E899" s="452">
        <f>Bear!E64</f>
        <v>0.42922277283520388</v>
      </c>
      <c r="F899" s="452">
        <f>Bear!F64</f>
        <v>0.47064175937238761</v>
      </c>
      <c r="G899" s="452">
        <f>Bear!G64</f>
        <v>0.48992241527507757</v>
      </c>
      <c r="H899" s="452">
        <f>Bear!H64</f>
        <v>0.4828683470373864</v>
      </c>
      <c r="I899" s="452">
        <f>Bear!I64</f>
        <v>0.51027765681162451</v>
      </c>
      <c r="J899" s="452">
        <f>Bear!J64</f>
        <v>0.51477166687958331</v>
      </c>
      <c r="K899" s="452">
        <f>Bear!K64</f>
        <v>0.53551167741475769</v>
      </c>
      <c r="L899" s="452">
        <f>Bear!L64</f>
        <v>0.54167772947123649</v>
      </c>
      <c r="M899" s="452">
        <f>Bear!M64</f>
        <v>0.52901905564201901</v>
      </c>
      <c r="N899" s="452">
        <f>Bear!N64</f>
        <v>0.53766792584198797</v>
      </c>
      <c r="O899" s="452">
        <f>Bear!O64</f>
        <v>0.55835594821198264</v>
      </c>
      <c r="P899" s="452">
        <f>Bear!P64</f>
        <v>0.55243939800502817</v>
      </c>
      <c r="Q899" s="452">
        <f>Bear!Q64</f>
        <v>0.55082147523357394</v>
      </c>
      <c r="R899" s="452">
        <f>Bear!R64</f>
        <v>0.54409045980517678</v>
      </c>
      <c r="S899" s="452">
        <f>Bear!S64</f>
        <v>0.55378366222930109</v>
      </c>
      <c r="T899" s="452">
        <f>-(Bear!T63++SUMIFS(Q_Financials!$AP$16:$CK$16,Q_Financials!$AP$3:$CK$3,Charts_Support!T149))/Bear!T36</f>
        <v>0.57299709933616794</v>
      </c>
      <c r="U899" s="452">
        <f>-(Bear!U63++SUMIFS(Q_Financials!$AP$16:$CK$16,Q_Financials!$AP$3:$CK$3,Charts_Support!U149))/Bear!U36</f>
        <v>0.66511272419193557</v>
      </c>
      <c r="V899" s="452">
        <f>-(Bear!V63++SUMIFS(Q_Financials!$AP$16:$CK$16,Q_Financials!$AP$3:$CK$3,Charts_Support!V149))/Bear!V36</f>
        <v>0.5637021417354301</v>
      </c>
      <c r="W899" s="452">
        <f>-(Bear!W63++SUMIFS(Q_Financials!$AP$16:$CK$16,Q_Financials!$AP$3:$CK$3,Charts_Support!W149))/Bear!W36</f>
        <v>0.54473359178646985</v>
      </c>
      <c r="X899" s="452">
        <f>-(Bear!X63+-5825.85412578285)/Bear!X36</f>
        <v>0.53905807677972428</v>
      </c>
      <c r="Y899" s="452">
        <f>-(Bear!Y63+-5849.78575068924)/Bear!Y36</f>
        <v>0.5483786197206314</v>
      </c>
      <c r="Z899" s="452">
        <f>-(Bear!Z63+-6247.55251289446)/Bear!Z36</f>
        <v>0.54758713457060992</v>
      </c>
      <c r="AA899" s="452">
        <f>-(Bear!AA63+-6683.66044637745)/Bear!AA36</f>
        <v>0.54670862005684862</v>
      </c>
      <c r="AB899" s="452">
        <f>-(Bear!AB63+-7131.8689759654)/Bear!AB36</f>
        <v>0.54626039666356241</v>
      </c>
      <c r="AC899" s="452">
        <f>-(Bear!AC63+-7621.61268510428)/Bear!AC36</f>
        <v>0.54836931230155506</v>
      </c>
      <c r="AD899" s="452">
        <f>-(Bear!AD63+-8155.46631068784)/Bear!AD36</f>
        <v>0.54960977863954852</v>
      </c>
      <c r="AE899" s="452">
        <f>-(Bear!AE63+-8719.87603410261)/Bear!AE36</f>
        <v>0.55090935519417616</v>
      </c>
    </row>
    <row r="901" spans="1:82">
      <c r="A901" s="1965" t="s">
        <v>1507</v>
      </c>
      <c r="B901" s="264">
        <v>2001</v>
      </c>
      <c r="C901" s="264">
        <v>2002</v>
      </c>
      <c r="D901" s="264">
        <v>2003</v>
      </c>
      <c r="E901" s="264">
        <v>2004</v>
      </c>
      <c r="F901" s="264">
        <v>2005</v>
      </c>
      <c r="G901" s="264">
        <v>2006</v>
      </c>
      <c r="H901" s="264">
        <v>2007</v>
      </c>
      <c r="I901" s="264">
        <v>2008</v>
      </c>
      <c r="J901" s="264">
        <f t="shared" ref="J901:R901" si="455">J$50</f>
        <v>2009</v>
      </c>
      <c r="K901" s="264">
        <f t="shared" si="455"/>
        <v>2010</v>
      </c>
      <c r="L901" s="264">
        <f t="shared" si="455"/>
        <v>2011</v>
      </c>
      <c r="M901" s="264">
        <f t="shared" si="455"/>
        <v>2012</v>
      </c>
      <c r="N901" s="264">
        <f t="shared" si="455"/>
        <v>2013</v>
      </c>
      <c r="O901" s="264">
        <f t="shared" si="455"/>
        <v>2014</v>
      </c>
      <c r="P901" s="264">
        <f t="shared" si="455"/>
        <v>2015</v>
      </c>
      <c r="Q901" s="264">
        <f t="shared" si="455"/>
        <v>2016</v>
      </c>
      <c r="R901" s="264">
        <f t="shared" si="455"/>
        <v>2017</v>
      </c>
      <c r="S901" s="264">
        <f t="shared" ref="S901:X901" si="456">S$6</f>
        <v>2018</v>
      </c>
      <c r="T901" s="264">
        <f t="shared" si="456"/>
        <v>2019</v>
      </c>
      <c r="U901" s="264">
        <f t="shared" si="456"/>
        <v>2020</v>
      </c>
      <c r="V901" s="264">
        <f t="shared" si="456"/>
        <v>2021</v>
      </c>
      <c r="W901" s="264">
        <f t="shared" si="456"/>
        <v>2022</v>
      </c>
      <c r="X901" s="264">
        <f t="shared" si="456"/>
        <v>2023</v>
      </c>
      <c r="Y901" s="594">
        <f t="shared" ref="Y901:AE901" si="457">Y$50</f>
        <v>2024</v>
      </c>
      <c r="Z901" s="594">
        <f t="shared" si="457"/>
        <v>2025</v>
      </c>
      <c r="AA901" s="594">
        <f t="shared" si="457"/>
        <v>2026</v>
      </c>
      <c r="AB901" s="594">
        <f t="shared" si="457"/>
        <v>2027</v>
      </c>
      <c r="AC901" s="594">
        <f t="shared" si="457"/>
        <v>2028</v>
      </c>
      <c r="AD901" s="594">
        <f t="shared" si="457"/>
        <v>2029</v>
      </c>
      <c r="AE901" s="594">
        <f t="shared" si="457"/>
        <v>2030</v>
      </c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  <c r="CA901" s="9"/>
      <c r="CB901" s="9"/>
      <c r="CC901" s="9"/>
      <c r="CD901" s="9"/>
    </row>
    <row r="902" spans="1:82">
      <c r="A902" s="36" t="s">
        <v>200</v>
      </c>
      <c r="B902" s="263">
        <f>Base!B$195</f>
        <v>0.2775542554285681</v>
      </c>
      <c r="C902" s="263">
        <f>Base!C$195</f>
        <v>-0.29711411476336475</v>
      </c>
      <c r="D902" s="263">
        <f>Base!D$195</f>
        <v>2.7980800030827844</v>
      </c>
      <c r="E902" s="263">
        <f>Base!E$195</f>
        <v>5.3370702883658172</v>
      </c>
      <c r="F902" s="263">
        <f>Base!F$195</f>
        <v>7.094653524705409</v>
      </c>
      <c r="G902" s="263">
        <f>Base!G$195</f>
        <v>10.34062409733988</v>
      </c>
      <c r="H902" s="263">
        <f>Base!H$195</f>
        <v>7.2408363312422974</v>
      </c>
      <c r="I902" s="263">
        <f>Base!I$195</f>
        <v>4.2169326216224325</v>
      </c>
      <c r="J902" s="263">
        <f>Base!J$195</f>
        <v>6.5996244886206892</v>
      </c>
      <c r="K902" s="263">
        <f>Base!K$195</f>
        <v>8.5961731610574876</v>
      </c>
      <c r="L902" s="263">
        <f>Base!L$195</f>
        <v>10.549121090158556</v>
      </c>
      <c r="M902" s="263">
        <f>Base!M$195</f>
        <v>11.907631221374759</v>
      </c>
      <c r="N902" s="263">
        <f>Base!N$195</f>
        <v>16.023928225623699</v>
      </c>
      <c r="O902" s="263">
        <f>Base!O$195</f>
        <v>16.313379938791847</v>
      </c>
      <c r="P902" s="263">
        <f>Base!P$195</f>
        <v>14.533249072640325</v>
      </c>
      <c r="Q902" s="263">
        <f>Base!Q$195</f>
        <v>12.182660431972296</v>
      </c>
      <c r="R902" s="263">
        <f>Base!R$195</f>
        <v>11.018932474555553</v>
      </c>
      <c r="S902" s="263">
        <f>Base!S$195</f>
        <v>11.039990218960767</v>
      </c>
      <c r="T902" s="458">
        <f>Base!T$195</f>
        <v>8.9728557104049234</v>
      </c>
      <c r="U902" s="458">
        <f>Base!U$195</f>
        <v>40.003953388987085</v>
      </c>
      <c r="V902" s="458">
        <f>Base!V$195</f>
        <v>9.7019780496174679</v>
      </c>
      <c r="W902" s="458">
        <f>Base!W$195</f>
        <v>6.5428546368487952</v>
      </c>
      <c r="X902" s="458">
        <f>Base!X$195</f>
        <v>7.2163012735314958</v>
      </c>
      <c r="Y902" s="458">
        <f>Base!Y$195</f>
        <v>6.9328600465963648</v>
      </c>
      <c r="Z902" s="458">
        <f>Base!Z$195</f>
        <v>6.1788540912699936</v>
      </c>
      <c r="AA902" s="458">
        <f>Base!AA$195</f>
        <v>5.54271199349055</v>
      </c>
      <c r="AB902" s="458">
        <f>Base!AB$195</f>
        <v>4.9727054847384595</v>
      </c>
      <c r="AC902" s="458">
        <f>Base!AC$195</f>
        <v>4.562431024636874</v>
      </c>
      <c r="AD902" s="458">
        <f>Base!AD$195</f>
        <v>4.1734545064239974</v>
      </c>
      <c r="AE902" s="458">
        <f>Base!AE$195</f>
        <v>3.7946795122801249</v>
      </c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  <c r="CA902" s="9"/>
      <c r="CB902" s="9"/>
      <c r="CC902" s="9"/>
      <c r="CD902" s="9"/>
    </row>
    <row r="903" spans="1:82">
      <c r="A903" s="36" t="s">
        <v>201</v>
      </c>
      <c r="B903" s="263">
        <f>Bull!B$195</f>
        <v>0.2775542554285681</v>
      </c>
      <c r="C903" s="263">
        <f>Bull!C$195</f>
        <v>-0.29711411476336475</v>
      </c>
      <c r="D903" s="263">
        <f>Bull!D$195</f>
        <v>2.7980800030827844</v>
      </c>
      <c r="E903" s="263">
        <f>Bull!E$195</f>
        <v>5.3370702883658172</v>
      </c>
      <c r="F903" s="263">
        <f>Bull!F$195</f>
        <v>7.094653524705409</v>
      </c>
      <c r="G903" s="263">
        <f>Bull!G$195</f>
        <v>10.34062409733988</v>
      </c>
      <c r="H903" s="263">
        <f>Bull!H$195</f>
        <v>7.2408363312422974</v>
      </c>
      <c r="I903" s="263">
        <f>Bull!I$195</f>
        <v>4.2169326216224325</v>
      </c>
      <c r="J903" s="263">
        <f>Bull!J$195</f>
        <v>6.5996244886206892</v>
      </c>
      <c r="K903" s="263">
        <f>Bull!K$195</f>
        <v>8.5961731610574876</v>
      </c>
      <c r="L903" s="263">
        <f>Bull!L$195</f>
        <v>10.549121090158556</v>
      </c>
      <c r="M903" s="263">
        <f>Bull!M$195</f>
        <v>11.907631221374759</v>
      </c>
      <c r="N903" s="263">
        <f>Bull!N$195</f>
        <v>16.023928225623699</v>
      </c>
      <c r="O903" s="263">
        <f>Bull!O$195</f>
        <v>16.313379938791847</v>
      </c>
      <c r="P903" s="263">
        <f>Bull!P$195</f>
        <v>14.533249072640325</v>
      </c>
      <c r="Q903" s="263">
        <f>Bull!Q$195</f>
        <v>12.182660431972296</v>
      </c>
      <c r="R903" s="263">
        <f>Bull!R$195</f>
        <v>11.018932474555553</v>
      </c>
      <c r="S903" s="263">
        <f>Bull!S$195</f>
        <v>11.039990218960767</v>
      </c>
      <c r="T903" s="458">
        <f>Bull!T$195</f>
        <v>8.9728557104049234</v>
      </c>
      <c r="U903" s="458">
        <f>Bull!U$195</f>
        <v>40.003953388987085</v>
      </c>
      <c r="V903" s="458">
        <f>Bull!V$195</f>
        <v>9.7019780496174679</v>
      </c>
      <c r="W903" s="458">
        <f>Bull!W$195</f>
        <v>6.5428546368487952</v>
      </c>
      <c r="X903" s="458">
        <f>Bull!X$195</f>
        <v>7.2163012735314958</v>
      </c>
      <c r="Y903" s="458">
        <f>Bull!Y$195</f>
        <v>6.7923410288079262</v>
      </c>
      <c r="Z903" s="458">
        <f>Bull!Z$195</f>
        <v>5.9263468630992859</v>
      </c>
      <c r="AA903" s="458">
        <f>Bull!AA$195</f>
        <v>5.2646297481127977</v>
      </c>
      <c r="AB903" s="458">
        <f>Bull!AB$195</f>
        <v>4.6775242730933337</v>
      </c>
      <c r="AC903" s="458">
        <f>Bull!AC$195</f>
        <v>4.1286875740812672</v>
      </c>
      <c r="AD903" s="458">
        <f>Bull!AD$195</f>
        <v>3.7024956482121012</v>
      </c>
      <c r="AE903" s="458">
        <f>Bull!AE$195</f>
        <v>3.2936472644620323</v>
      </c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  <c r="CA903" s="9"/>
      <c r="CB903" s="9"/>
      <c r="CC903" s="9"/>
      <c r="CD903" s="9"/>
    </row>
    <row r="904" spans="1:82">
      <c r="A904" s="36" t="s">
        <v>202</v>
      </c>
      <c r="B904" s="263">
        <f>Bear!B$195</f>
        <v>0.2775542554285681</v>
      </c>
      <c r="C904" s="263">
        <f>Bear!C$195</f>
        <v>-0.29711411476336475</v>
      </c>
      <c r="D904" s="263">
        <f>Bear!D$195</f>
        <v>2.7980800030827844</v>
      </c>
      <c r="E904" s="263">
        <f>Bear!E$195</f>
        <v>5.3370702883658172</v>
      </c>
      <c r="F904" s="263">
        <f>Bear!F$195</f>
        <v>7.094653524705409</v>
      </c>
      <c r="G904" s="263">
        <f>Bear!G$195</f>
        <v>10.34062409733988</v>
      </c>
      <c r="H904" s="263">
        <f>Bear!H$195</f>
        <v>7.2408363312422974</v>
      </c>
      <c r="I904" s="263">
        <f>Bear!I$195</f>
        <v>4.2169326216224325</v>
      </c>
      <c r="J904" s="263">
        <f>Bear!J$195</f>
        <v>6.5996244886206892</v>
      </c>
      <c r="K904" s="263">
        <f>Bear!K$195</f>
        <v>8.5961731610574876</v>
      </c>
      <c r="L904" s="263">
        <f>Bear!L$195</f>
        <v>10.549121090158556</v>
      </c>
      <c r="M904" s="263">
        <f>Bear!M$195</f>
        <v>11.907631221374759</v>
      </c>
      <c r="N904" s="263">
        <f>Bear!N$195</f>
        <v>16.023928225623699</v>
      </c>
      <c r="O904" s="263">
        <f>Bear!O$195</f>
        <v>16.313379938791847</v>
      </c>
      <c r="P904" s="263">
        <f>Bear!P$195</f>
        <v>14.533249072640325</v>
      </c>
      <c r="Q904" s="263">
        <f>Bear!Q$195</f>
        <v>12.182660431972296</v>
      </c>
      <c r="R904" s="263">
        <f>Bear!R$195</f>
        <v>11.018932474555553</v>
      </c>
      <c r="S904" s="263">
        <f>Bear!S$195</f>
        <v>11.039990218960767</v>
      </c>
      <c r="T904" s="458">
        <f>Bear!T$195</f>
        <v>8.9728557104049234</v>
      </c>
      <c r="U904" s="458">
        <f>Bear!U$195</f>
        <v>40.003953388987085</v>
      </c>
      <c r="V904" s="458">
        <f>Bear!V$195</f>
        <v>9.7019780496174679</v>
      </c>
      <c r="W904" s="458">
        <f>Bear!W$195</f>
        <v>6.5428546368487952</v>
      </c>
      <c r="X904" s="458">
        <f>Bear!X$195</f>
        <v>7.2163012735314958</v>
      </c>
      <c r="Y904" s="458">
        <f>Bear!Y$195</f>
        <v>7.1697345349939141</v>
      </c>
      <c r="Z904" s="458">
        <f>Bear!Z$195</f>
        <v>6.550105466988672</v>
      </c>
      <c r="AA904" s="458">
        <f>Bear!AA$195</f>
        <v>5.845479707406926</v>
      </c>
      <c r="AB904" s="458">
        <f>Bear!AB$195</f>
        <v>5.1730279304390647</v>
      </c>
      <c r="AC904" s="458">
        <f>Bear!AC$195</f>
        <v>4.9086716725034458</v>
      </c>
      <c r="AD904" s="458">
        <f>Bear!AD$195</f>
        <v>4.444563918087689</v>
      </c>
      <c r="AE904" s="458">
        <f>Bear!AE$195</f>
        <v>3.988636710410209</v>
      </c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  <c r="CA904" s="9"/>
      <c r="CB904" s="9"/>
      <c r="CC904" s="9"/>
      <c r="CD904" s="9"/>
    </row>
    <row r="905" spans="1:82">
      <c r="A905" s="36" t="s">
        <v>1162</v>
      </c>
      <c r="B905" s="41" t="e">
        <v>#N/A</v>
      </c>
      <c r="C905" s="41" t="e">
        <v>#N/A</v>
      </c>
      <c r="D905" s="41" t="e">
        <v>#N/A</v>
      </c>
      <c r="E905" s="41" t="e">
        <v>#N/A</v>
      </c>
      <c r="F905" s="41" t="e">
        <v>#N/A</v>
      </c>
      <c r="G905" s="41" t="e">
        <v>#N/A</v>
      </c>
      <c r="H905" s="41" t="e">
        <v>#N/A</v>
      </c>
      <c r="I905" s="41" t="e">
        <v>#N/A</v>
      </c>
      <c r="J905" s="41" t="e">
        <v>#N/A</v>
      </c>
      <c r="K905" s="41" t="e">
        <v>#N/A</v>
      </c>
      <c r="L905" s="41" t="e">
        <v>#N/A</v>
      </c>
      <c r="M905" s="41" t="e">
        <v>#N/A</v>
      </c>
      <c r="N905" s="41" t="e">
        <v>#N/A</v>
      </c>
      <c r="O905" s="41" t="e">
        <v>#N/A</v>
      </c>
      <c r="P905" s="41" t="e">
        <v>#N/A</v>
      </c>
      <c r="Q905" s="41" t="e">
        <v>#N/A</v>
      </c>
      <c r="R905" s="41" t="e">
        <v>#N/A</v>
      </c>
      <c r="S905" s="41">
        <f>Financials!S699</f>
        <v>0</v>
      </c>
      <c r="T905" s="458">
        <f>Financials!T699</f>
        <v>0</v>
      </c>
      <c r="U905" s="458">
        <f>Financials!U699</f>
        <v>0</v>
      </c>
      <c r="V905" s="458">
        <f>Financials!V699</f>
        <v>0</v>
      </c>
      <c r="W905" s="458">
        <f>Financials!W699</f>
        <v>0</v>
      </c>
      <c r="X905" s="458">
        <f>Financials!X699</f>
        <v>0</v>
      </c>
      <c r="Y905" s="458">
        <f>Financials!Y699</f>
        <v>0</v>
      </c>
      <c r="Z905" s="458">
        <f>Financials!Z699</f>
        <v>0</v>
      </c>
      <c r="AA905" s="458">
        <f>Financials!AA699</f>
        <v>0</v>
      </c>
      <c r="AB905" s="458">
        <f>Financials!AB699</f>
        <v>0</v>
      </c>
      <c r="AC905" s="458">
        <f>Financials!AC699</f>
        <v>0</v>
      </c>
      <c r="AD905" s="458">
        <f>Financials!AD699</f>
        <v>0</v>
      </c>
      <c r="AE905" s="458">
        <f>Financials!AE699</f>
        <v>0</v>
      </c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  <c r="CA905" s="9"/>
      <c r="CB905" s="9"/>
      <c r="CC905" s="9"/>
      <c r="CD905" s="9"/>
    </row>
    <row r="906" spans="1:82">
      <c r="A906" s="1965" t="s">
        <v>1508</v>
      </c>
      <c r="B906" s="264">
        <v>2001</v>
      </c>
      <c r="C906" s="264">
        <v>2002</v>
      </c>
      <c r="D906" s="264">
        <v>2003</v>
      </c>
      <c r="E906" s="264">
        <v>2004</v>
      </c>
      <c r="F906" s="264">
        <v>2005</v>
      </c>
      <c r="G906" s="264">
        <v>2006</v>
      </c>
      <c r="H906" s="264">
        <v>2007</v>
      </c>
      <c r="I906" s="264">
        <v>2008</v>
      </c>
      <c r="J906" s="264">
        <f t="shared" ref="J906:R906" si="458">J$50</f>
        <v>2009</v>
      </c>
      <c r="K906" s="264">
        <f t="shared" si="458"/>
        <v>2010</v>
      </c>
      <c r="L906" s="264">
        <f t="shared" si="458"/>
        <v>2011</v>
      </c>
      <c r="M906" s="264">
        <f t="shared" si="458"/>
        <v>2012</v>
      </c>
      <c r="N906" s="264">
        <f t="shared" si="458"/>
        <v>2013</v>
      </c>
      <c r="O906" s="264">
        <f t="shared" si="458"/>
        <v>2014</v>
      </c>
      <c r="P906" s="264">
        <f t="shared" si="458"/>
        <v>2015</v>
      </c>
      <c r="Q906" s="264">
        <f t="shared" si="458"/>
        <v>2016</v>
      </c>
      <c r="R906" s="264">
        <f t="shared" si="458"/>
        <v>2017</v>
      </c>
      <c r="S906" s="264">
        <f t="shared" ref="S906:X906" si="459">S$6</f>
        <v>2018</v>
      </c>
      <c r="T906" s="264">
        <f t="shared" si="459"/>
        <v>2019</v>
      </c>
      <c r="U906" s="264">
        <f t="shared" si="459"/>
        <v>2020</v>
      </c>
      <c r="V906" s="264">
        <f t="shared" si="459"/>
        <v>2021</v>
      </c>
      <c r="W906" s="264">
        <f t="shared" si="459"/>
        <v>2022</v>
      </c>
      <c r="X906" s="264">
        <f t="shared" si="459"/>
        <v>2023</v>
      </c>
      <c r="Y906" s="594">
        <f t="shared" ref="Y906:AE906" si="460">Y$50</f>
        <v>2024</v>
      </c>
      <c r="Z906" s="594">
        <f t="shared" si="460"/>
        <v>2025</v>
      </c>
      <c r="AA906" s="594">
        <f t="shared" si="460"/>
        <v>2026</v>
      </c>
      <c r="AB906" s="594">
        <f t="shared" si="460"/>
        <v>2027</v>
      </c>
      <c r="AC906" s="594">
        <f t="shared" si="460"/>
        <v>2028</v>
      </c>
      <c r="AD906" s="594">
        <f t="shared" si="460"/>
        <v>2029</v>
      </c>
      <c r="AE906" s="594">
        <f t="shared" si="460"/>
        <v>2030</v>
      </c>
      <c r="AF906" s="9"/>
      <c r="AG906" s="9"/>
      <c r="AH906" s="9"/>
      <c r="AI906" s="9"/>
      <c r="AJ906" s="9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  <c r="BL906" s="9"/>
      <c r="BM906" s="9"/>
      <c r="BN906" s="9"/>
      <c r="BO906" s="9"/>
      <c r="BP906" s="9"/>
      <c r="BQ906" s="9"/>
      <c r="BR906" s="9"/>
      <c r="BS906" s="9"/>
      <c r="BT906" s="9"/>
      <c r="BU906" s="9"/>
      <c r="BV906" s="9"/>
      <c r="BW906" s="9"/>
      <c r="BX906" s="9"/>
      <c r="BY906" s="9"/>
      <c r="BZ906" s="9"/>
      <c r="CA906" s="9"/>
      <c r="CB906" s="9"/>
      <c r="CC906" s="9"/>
      <c r="CD906" s="9"/>
    </row>
    <row r="907" spans="1:82">
      <c r="A907" s="36" t="s">
        <v>200</v>
      </c>
      <c r="B907" s="263" t="e">
        <f>NA()</f>
        <v>#N/A</v>
      </c>
      <c r="C907" s="263" t="e">
        <f>NA()</f>
        <v>#N/A</v>
      </c>
      <c r="D907" s="263">
        <f>Base!D$197</f>
        <v>9.9894496987857764</v>
      </c>
      <c r="E907" s="263">
        <f>Base!E$197</f>
        <v>18.090693297285412</v>
      </c>
      <c r="F907" s="263">
        <f>Base!F$197</f>
        <v>15.217784851046884</v>
      </c>
      <c r="G907" s="263">
        <f>Base!G$197</f>
        <v>45.440527147274295</v>
      </c>
      <c r="H907" s="263">
        <f>Base!H$197</f>
        <v>17.499480598200385</v>
      </c>
      <c r="I907" s="263">
        <f>Base!I$197</f>
        <v>23.226768339558468</v>
      </c>
      <c r="J907" s="263">
        <f>Base!J$197</f>
        <v>53.133438716891156</v>
      </c>
      <c r="K907" s="263">
        <f>Base!K$197</f>
        <v>48.423683758083961</v>
      </c>
      <c r="L907" s="263">
        <f>Base!L$197</f>
        <v>38.849859762263563</v>
      </c>
      <c r="M907" s="263">
        <f>Base!M$197</f>
        <v>47.189911748257529</v>
      </c>
      <c r="N907" s="263">
        <f>Base!N$197</f>
        <v>41.186414943620726</v>
      </c>
      <c r="O907" s="263">
        <f>Base!O$197</f>
        <v>51.223479223479202</v>
      </c>
      <c r="P907" s="263">
        <f>Base!P$197</f>
        <v>51.084456271160164</v>
      </c>
      <c r="Q907" s="263">
        <f>Base!Q$197</f>
        <v>49.674269823938886</v>
      </c>
      <c r="R907" s="263">
        <f>Base!R$197</f>
        <v>49.205012717204461</v>
      </c>
      <c r="S907" s="263">
        <f>Base!S$197</f>
        <v>44.836932063156418</v>
      </c>
      <c r="T907" s="458">
        <f>Base!T$197</f>
        <v>54.659458094697506</v>
      </c>
      <c r="U907" s="458" t="str">
        <f>Base!U$197</f>
        <v>NM</v>
      </c>
      <c r="V907" s="458">
        <f>Base!V$197</f>
        <v>65.230002029158314</v>
      </c>
      <c r="W907" s="458">
        <f>Base!W$197</f>
        <v>18.187354080920425</v>
      </c>
      <c r="X907" s="458">
        <f>Base!X$197</f>
        <v>18.620891961564169</v>
      </c>
      <c r="Y907" s="458">
        <f>Base!Y$197</f>
        <v>28.609488109056578</v>
      </c>
      <c r="Z907" s="458">
        <f>Base!Z$197</f>
        <v>18.400052798677613</v>
      </c>
      <c r="AA907" s="458">
        <f>Base!AA$197</f>
        <v>14.306286467547539</v>
      </c>
      <c r="AB907" s="458">
        <f>Base!AB$197</f>
        <v>11.183836239295962</v>
      </c>
      <c r="AC907" s="458">
        <f>Base!AC$197</f>
        <v>10.140956691840293</v>
      </c>
      <c r="AD907" s="458">
        <f>Base!AD$197</f>
        <v>9.6377710058845043</v>
      </c>
      <c r="AE907" s="458">
        <f>Base!AE$197</f>
        <v>9.1827141626278355</v>
      </c>
      <c r="AF907" s="9"/>
      <c r="AG907" s="9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  <c r="BH907" s="9"/>
      <c r="BI907" s="9"/>
      <c r="BJ907" s="9"/>
      <c r="BK907" s="9"/>
      <c r="BL907" s="9"/>
      <c r="BM907" s="9"/>
      <c r="BN907" s="9"/>
      <c r="BO907" s="9"/>
      <c r="BP907" s="9"/>
      <c r="BQ907" s="9"/>
      <c r="BR907" s="9"/>
      <c r="BS907" s="9"/>
      <c r="BT907" s="9"/>
      <c r="BU907" s="9"/>
      <c r="BV907" s="9"/>
      <c r="BW907" s="9"/>
      <c r="BX907" s="9"/>
      <c r="BY907" s="9"/>
      <c r="BZ907" s="9"/>
      <c r="CA907" s="9"/>
      <c r="CB907" s="9"/>
      <c r="CC907" s="9"/>
      <c r="CD907" s="9"/>
    </row>
    <row r="908" spans="1:82">
      <c r="A908" s="36" t="s">
        <v>201</v>
      </c>
      <c r="B908" s="263" t="e">
        <f>NA()</f>
        <v>#N/A</v>
      </c>
      <c r="C908" s="263" t="e">
        <f>NA()</f>
        <v>#N/A</v>
      </c>
      <c r="D908" s="263">
        <f>Bull!D$197</f>
        <v>9.9894496987857764</v>
      </c>
      <c r="E908" s="263">
        <f>Bull!E$197</f>
        <v>18.090693297285412</v>
      </c>
      <c r="F908" s="263">
        <f>Bull!F$197</f>
        <v>15.217784851046884</v>
      </c>
      <c r="G908" s="263">
        <f>Bull!G$197</f>
        <v>45.440527147274295</v>
      </c>
      <c r="H908" s="263">
        <f>Bull!H$197</f>
        <v>17.499480598200385</v>
      </c>
      <c r="I908" s="263">
        <f>Bull!I$197</f>
        <v>23.226768339558468</v>
      </c>
      <c r="J908" s="263">
        <f>Bull!J$197</f>
        <v>53.133438716891156</v>
      </c>
      <c r="K908" s="263">
        <f>Bull!K$197</f>
        <v>48.423683758083961</v>
      </c>
      <c r="L908" s="263">
        <f>Bull!L$197</f>
        <v>38.849859762263563</v>
      </c>
      <c r="M908" s="263">
        <f>Bull!M$197</f>
        <v>47.189911748257529</v>
      </c>
      <c r="N908" s="263">
        <f>Bull!N$197</f>
        <v>41.186414943620726</v>
      </c>
      <c r="O908" s="263">
        <f>Bull!O$197</f>
        <v>51.223479223479202</v>
      </c>
      <c r="P908" s="263">
        <f>Bull!P$197</f>
        <v>51.084456271160164</v>
      </c>
      <c r="Q908" s="263">
        <f>Bull!Q$197</f>
        <v>49.674269823938886</v>
      </c>
      <c r="R908" s="263">
        <f>Bull!R$197</f>
        <v>49.205012717204461</v>
      </c>
      <c r="S908" s="263">
        <f>Bull!S$197</f>
        <v>44.836932063156418</v>
      </c>
      <c r="T908" s="458">
        <f>Bull!T$197</f>
        <v>54.659458094697506</v>
      </c>
      <c r="U908" s="458" t="str">
        <f>Bull!U$197</f>
        <v>NM</v>
      </c>
      <c r="V908" s="458">
        <f>Bull!V$197</f>
        <v>65.230002029158314</v>
      </c>
      <c r="W908" s="458">
        <f>Bull!W$197</f>
        <v>18.187354080920425</v>
      </c>
      <c r="X908" s="458">
        <f>Bull!X$197</f>
        <v>18.620891961564169</v>
      </c>
      <c r="Y908" s="458">
        <f>Bull!Y$197</f>
        <v>26.523156418374302</v>
      </c>
      <c r="Z908" s="458">
        <f>Bull!Z$197</f>
        <v>16.434322261326052</v>
      </c>
      <c r="AA908" s="458">
        <f>Bull!AA$197</f>
        <v>12.735442348538006</v>
      </c>
      <c r="AB908" s="458">
        <f>Bull!AB$197</f>
        <v>9.9923194881649628</v>
      </c>
      <c r="AC908" s="458">
        <f>Bull!AC$197</f>
        <v>8.6286054745446421</v>
      </c>
      <c r="AD908" s="458">
        <f>Bull!AD$197</f>
        <v>8.0276232976142339</v>
      </c>
      <c r="AE908" s="458">
        <f>Bull!AE$197</f>
        <v>7.5016400660557876</v>
      </c>
      <c r="AF908" s="9"/>
      <c r="AG908" s="9"/>
      <c r="AH908" s="9"/>
      <c r="AI908" s="9"/>
      <c r="AJ908" s="9"/>
      <c r="AK908" s="9"/>
      <c r="AL908" s="9"/>
      <c r="AM908" s="9"/>
      <c r="AN908" s="9"/>
      <c r="AO908" s="9"/>
      <c r="AP908" s="9"/>
      <c r="AQ908" s="9"/>
      <c r="AR908" s="9"/>
      <c r="AS908" s="9"/>
      <c r="AT908" s="9"/>
      <c r="AU908" s="9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  <c r="BH908" s="9"/>
      <c r="BI908" s="9"/>
      <c r="BJ908" s="9"/>
      <c r="BK908" s="9"/>
      <c r="BL908" s="9"/>
      <c r="BM908" s="9"/>
      <c r="BN908" s="9"/>
      <c r="BO908" s="9"/>
      <c r="BP908" s="9"/>
      <c r="BQ908" s="9"/>
      <c r="BR908" s="9"/>
      <c r="BS908" s="9"/>
      <c r="BT908" s="9"/>
      <c r="BU908" s="9"/>
      <c r="BV908" s="9"/>
      <c r="BW908" s="9"/>
      <c r="BX908" s="9"/>
      <c r="BY908" s="9"/>
      <c r="BZ908" s="9"/>
      <c r="CA908" s="9"/>
      <c r="CB908" s="9"/>
      <c r="CC908" s="9"/>
      <c r="CD908" s="9"/>
    </row>
    <row r="909" spans="1:82">
      <c r="A909" s="36" t="s">
        <v>202</v>
      </c>
      <c r="B909" s="263" t="e">
        <f>NA()</f>
        <v>#N/A</v>
      </c>
      <c r="C909" s="263" t="e">
        <f>NA()</f>
        <v>#N/A</v>
      </c>
      <c r="D909" s="263">
        <f>Bear!D$197</f>
        <v>9.9894496987857764</v>
      </c>
      <c r="E909" s="263">
        <f>Bear!E$197</f>
        <v>18.090693297285412</v>
      </c>
      <c r="F909" s="263">
        <f>Bear!F$197</f>
        <v>15.217784851046884</v>
      </c>
      <c r="G909" s="263">
        <f>Bear!G$197</f>
        <v>45.440527147274295</v>
      </c>
      <c r="H909" s="263">
        <f>Bear!H$197</f>
        <v>17.499480598200385</v>
      </c>
      <c r="I909" s="263">
        <f>Bear!I$197</f>
        <v>23.226768339558468</v>
      </c>
      <c r="J909" s="263">
        <f>Bear!J$197</f>
        <v>53.133438716891156</v>
      </c>
      <c r="K909" s="263">
        <f>Bear!K$197</f>
        <v>48.423683758083961</v>
      </c>
      <c r="L909" s="263">
        <f>Bear!L$197</f>
        <v>38.849859762263563</v>
      </c>
      <c r="M909" s="263">
        <f>Bear!M$197</f>
        <v>47.189911748257529</v>
      </c>
      <c r="N909" s="263">
        <f>Bear!N$197</f>
        <v>41.186414943620726</v>
      </c>
      <c r="O909" s="263">
        <f>Bear!O$197</f>
        <v>51.223479223479202</v>
      </c>
      <c r="P909" s="263">
        <f>Bear!P$197</f>
        <v>51.084456271160164</v>
      </c>
      <c r="Q909" s="263">
        <f>Bear!Q$197</f>
        <v>49.674269823938886</v>
      </c>
      <c r="R909" s="263">
        <f>Bear!R$197</f>
        <v>49.205012717204461</v>
      </c>
      <c r="S909" s="263">
        <f>Bear!S$197</f>
        <v>44.836932063156418</v>
      </c>
      <c r="T909" s="1160">
        <f>Bear!T$197</f>
        <v>54.659458094697506</v>
      </c>
      <c r="U909" s="1160" t="str">
        <f>Bear!U$197</f>
        <v>NM</v>
      </c>
      <c r="V909" s="1160">
        <f>Bear!V$197</f>
        <v>65.230002029158314</v>
      </c>
      <c r="W909" s="1160">
        <f>Bear!W$197</f>
        <v>18.187354080920425</v>
      </c>
      <c r="X909" s="1160">
        <f>Bear!X$197</f>
        <v>18.620891961564169</v>
      </c>
      <c r="Y909" s="1160">
        <f>Bear!Y$197</f>
        <v>33.961347479488609</v>
      </c>
      <c r="Z909" s="1160">
        <f>Bear!Z$197</f>
        <v>22.627996586209822</v>
      </c>
      <c r="AA909" s="1160">
        <f>Bear!AA$197</f>
        <v>16.860637206011283</v>
      </c>
      <c r="AB909" s="1160">
        <f>Bear!AB$197</f>
        <v>12.71059684741512</v>
      </c>
      <c r="AC909" s="1160">
        <f>Bear!AC$197</f>
        <v>12.458278919902991</v>
      </c>
      <c r="AD909" s="1160">
        <f>Bear!AD$197</f>
        <v>11.858299154099358</v>
      </c>
      <c r="AE909" s="1160">
        <f>Bear!AE$197</f>
        <v>11.325962173597631</v>
      </c>
      <c r="AF909" s="9"/>
      <c r="AG909" s="9"/>
      <c r="AH909" s="9"/>
      <c r="AI909" s="9"/>
      <c r="AJ909" s="9"/>
      <c r="AK909" s="9"/>
      <c r="AL909" s="9"/>
      <c r="AM909" s="9"/>
      <c r="AN909" s="9"/>
      <c r="AO909" s="9"/>
      <c r="AP909" s="9"/>
      <c r="AQ909" s="9"/>
      <c r="AR909" s="9"/>
      <c r="AS909" s="9"/>
      <c r="AT909" s="9"/>
      <c r="AU909" s="9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  <c r="BH909" s="9"/>
      <c r="BI909" s="9"/>
      <c r="BJ909" s="9"/>
      <c r="BK909" s="9"/>
      <c r="BL909" s="9"/>
      <c r="BM909" s="9"/>
      <c r="BN909" s="9"/>
      <c r="BO909" s="9"/>
      <c r="BP909" s="9"/>
      <c r="BQ909" s="9"/>
      <c r="BR909" s="9"/>
      <c r="BS909" s="9"/>
      <c r="BT909" s="9"/>
      <c r="BU909" s="9"/>
      <c r="BV909" s="9"/>
      <c r="BW909" s="9"/>
      <c r="BX909" s="9"/>
      <c r="BY909" s="9"/>
      <c r="BZ909" s="9"/>
      <c r="CA909" s="9"/>
      <c r="CB909" s="9"/>
      <c r="CC909" s="9"/>
      <c r="CD909" s="9"/>
    </row>
    <row r="910" spans="1:82">
      <c r="A910" s="36" t="s">
        <v>1162</v>
      </c>
      <c r="B910" s="41" t="e">
        <v>#N/A</v>
      </c>
      <c r="C910" s="41" t="e">
        <v>#N/A</v>
      </c>
      <c r="D910" s="41" t="e">
        <v>#N/A</v>
      </c>
      <c r="E910" s="41" t="e">
        <v>#N/A</v>
      </c>
      <c r="F910" s="41" t="e">
        <v>#N/A</v>
      </c>
      <c r="G910" s="41" t="e">
        <v>#N/A</v>
      </c>
      <c r="H910" s="41" t="e">
        <v>#N/A</v>
      </c>
      <c r="I910" s="41" t="e">
        <v>#N/A</v>
      </c>
      <c r="J910" s="41" t="e">
        <v>#N/A</v>
      </c>
      <c r="K910" s="41" t="e">
        <v>#N/A</v>
      </c>
      <c r="L910" s="41" t="e">
        <v>#N/A</v>
      </c>
      <c r="M910" s="41" t="e">
        <v>#N/A</v>
      </c>
      <c r="N910" s="41" t="e">
        <v>#N/A</v>
      </c>
      <c r="O910" s="41" t="e">
        <v>#N/A</v>
      </c>
      <c r="P910" s="41" t="e">
        <v>#N/A</v>
      </c>
      <c r="Q910" s="41" t="e">
        <v>#N/A</v>
      </c>
      <c r="R910" s="41" t="e">
        <v>#N/A</v>
      </c>
      <c r="S910" s="41">
        <f>Financials!S701</f>
        <v>0</v>
      </c>
      <c r="T910" s="458">
        <f>Financials!T701</f>
        <v>0</v>
      </c>
      <c r="U910" s="458">
        <f>Financials!U701</f>
        <v>0</v>
      </c>
      <c r="V910" s="458">
        <f>Financials!V701</f>
        <v>0</v>
      </c>
      <c r="W910" s="458">
        <f>Financials!W701</f>
        <v>0</v>
      </c>
      <c r="X910" s="458">
        <f>Financials!X701</f>
        <v>0</v>
      </c>
      <c r="Y910" s="458">
        <f>Financials!Y701</f>
        <v>0</v>
      </c>
      <c r="Z910" s="458">
        <f>Financials!Z701</f>
        <v>0</v>
      </c>
      <c r="AA910" s="458">
        <f>Financials!AA701</f>
        <v>0</v>
      </c>
      <c r="AB910" s="458">
        <f>Financials!AB701</f>
        <v>0</v>
      </c>
      <c r="AC910" s="458">
        <f>Financials!AC701</f>
        <v>0</v>
      </c>
      <c r="AD910" s="458">
        <f>Financials!AD701</f>
        <v>0</v>
      </c>
      <c r="AE910" s="458">
        <f>Financials!AE701</f>
        <v>0</v>
      </c>
      <c r="AF910" s="9"/>
      <c r="AG910" s="9"/>
      <c r="AH910" s="9"/>
      <c r="AI910" s="9"/>
      <c r="AJ910" s="9"/>
      <c r="AK910" s="9"/>
      <c r="AL910" s="9"/>
      <c r="AM910" s="9"/>
      <c r="AN910" s="9"/>
      <c r="AO910" s="9"/>
      <c r="AP910" s="9"/>
      <c r="AQ910" s="9"/>
      <c r="AR910" s="9"/>
      <c r="AS910" s="9"/>
      <c r="AT910" s="9"/>
      <c r="AU910" s="9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  <c r="BH910" s="9"/>
      <c r="BI910" s="9"/>
      <c r="BJ910" s="9"/>
      <c r="BK910" s="9"/>
      <c r="BL910" s="9"/>
      <c r="BM910" s="9"/>
      <c r="BN910" s="9"/>
      <c r="BO910" s="9"/>
      <c r="BP910" s="9"/>
      <c r="BQ910" s="9"/>
      <c r="BR910" s="9"/>
      <c r="BS910" s="9"/>
      <c r="BT910" s="9"/>
      <c r="BU910" s="9"/>
      <c r="BV910" s="9"/>
      <c r="BW910" s="9"/>
      <c r="BX910" s="9"/>
      <c r="BY910" s="9"/>
      <c r="BZ910" s="9"/>
      <c r="CA910" s="9"/>
      <c r="CB910" s="9"/>
      <c r="CC910" s="9"/>
      <c r="CD910" s="9"/>
    </row>
    <row r="913" spans="1:31">
      <c r="A913" s="242" t="s">
        <v>1510</v>
      </c>
      <c r="B913" s="264">
        <v>2001</v>
      </c>
      <c r="C913" s="264">
        <v>2002</v>
      </c>
      <c r="D913" s="264">
        <v>2003</v>
      </c>
      <c r="E913" s="264">
        <v>2004</v>
      </c>
      <c r="F913" s="264">
        <v>2005</v>
      </c>
      <c r="G913" s="264">
        <v>2006</v>
      </c>
      <c r="H913" s="264">
        <v>2007</v>
      </c>
      <c r="I913" s="264">
        <v>2008</v>
      </c>
      <c r="J913" s="264">
        <f t="shared" ref="J913:R913" si="461">J$50</f>
        <v>2009</v>
      </c>
      <c r="K913" s="264">
        <f t="shared" si="461"/>
        <v>2010</v>
      </c>
      <c r="L913" s="264">
        <f t="shared" si="461"/>
        <v>2011</v>
      </c>
      <c r="M913" s="264">
        <f t="shared" si="461"/>
        <v>2012</v>
      </c>
      <c r="N913" s="264">
        <f t="shared" si="461"/>
        <v>2013</v>
      </c>
      <c r="O913" s="264">
        <f t="shared" si="461"/>
        <v>2014</v>
      </c>
      <c r="P913" s="264">
        <f t="shared" si="461"/>
        <v>2015</v>
      </c>
      <c r="Q913" s="264">
        <f t="shared" si="461"/>
        <v>2016</v>
      </c>
      <c r="R913" s="264">
        <f t="shared" si="461"/>
        <v>2017</v>
      </c>
      <c r="S913" s="264">
        <f t="shared" ref="S913:X913" si="462">S$6</f>
        <v>2018</v>
      </c>
      <c r="T913" s="264">
        <f t="shared" si="462"/>
        <v>2019</v>
      </c>
      <c r="U913" s="264">
        <f t="shared" si="462"/>
        <v>2020</v>
      </c>
      <c r="V913" s="264">
        <f t="shared" si="462"/>
        <v>2021</v>
      </c>
      <c r="W913" s="264">
        <f t="shared" si="462"/>
        <v>2022</v>
      </c>
      <c r="X913" s="264">
        <f t="shared" si="462"/>
        <v>2023</v>
      </c>
      <c r="Y913" s="594">
        <f t="shared" ref="Y913:AE913" si="463">Y$50</f>
        <v>2024</v>
      </c>
      <c r="Z913" s="594">
        <f t="shared" si="463"/>
        <v>2025</v>
      </c>
      <c r="AA913" s="594">
        <f t="shared" si="463"/>
        <v>2026</v>
      </c>
      <c r="AB913" s="594">
        <f t="shared" si="463"/>
        <v>2027</v>
      </c>
      <c r="AC913" s="594">
        <f t="shared" si="463"/>
        <v>2028</v>
      </c>
      <c r="AD913" s="594">
        <f t="shared" si="463"/>
        <v>2029</v>
      </c>
      <c r="AE913" s="594">
        <f t="shared" si="463"/>
        <v>2030</v>
      </c>
    </row>
    <row r="914" spans="1:31">
      <c r="A914" s="36" t="s">
        <v>200</v>
      </c>
      <c r="B914" s="263">
        <f>Base!B190/Base!B9</f>
        <v>0.32420494699646646</v>
      </c>
      <c r="C914" s="263">
        <f>Base!C190/Base!C9</f>
        <v>-0.33351754385964916</v>
      </c>
      <c r="D914" s="263">
        <f>Base!D190/Base!D9</f>
        <v>3.200517906336088</v>
      </c>
      <c r="E914" s="263">
        <f>Base!E190/Base!E9</f>
        <v>6.8496964705882357</v>
      </c>
      <c r="F914" s="263">
        <f>Base!F190/Base!F9</f>
        <v>8.891225402504471</v>
      </c>
      <c r="G914" s="263">
        <f>Base!G190/Base!G9</f>
        <v>15.119808417997096</v>
      </c>
      <c r="H914" s="263">
        <f>Base!H190/Base!H9</f>
        <v>11.577037220843671</v>
      </c>
      <c r="I914" s="263">
        <f>Base!I190/Base!I9</f>
        <v>4.6847761033369206</v>
      </c>
      <c r="J914" s="263">
        <f>Base!J190/Base!J9</f>
        <v>6.9340147058823529</v>
      </c>
      <c r="K914" s="263">
        <f>Base!K190/Base!K9</f>
        <v>8.4910039564787336</v>
      </c>
      <c r="L914" s="263">
        <f>Base!L190/Base!L9</f>
        <v>10.919829155060352</v>
      </c>
      <c r="M914" s="263">
        <f>Base!M190/Base!M9</f>
        <v>16.492889750215326</v>
      </c>
      <c r="N914" s="263">
        <f>Base!N190/Base!N9</f>
        <v>23.152611622962436</v>
      </c>
      <c r="O914" s="263">
        <f>Base!O190/Base!O9</f>
        <v>21.085039796390561</v>
      </c>
      <c r="P914" s="263">
        <f>Base!P190/Base!P9</f>
        <v>27.384187034603592</v>
      </c>
      <c r="Q914" s="263">
        <f>Base!Q190/Base!Q9</f>
        <v>25.101724220623495</v>
      </c>
      <c r="R914" s="263">
        <f>Base!R190/Base!R9</f>
        <v>26.233838733431519</v>
      </c>
      <c r="S914" s="263">
        <f>Base!S190/Base!S9</f>
        <v>24.006704105870377</v>
      </c>
      <c r="T914" s="458">
        <f>Base!T190/Base!T9</f>
        <v>26.723379350687335</v>
      </c>
      <c r="U914" s="458">
        <f>Base!U190/Base!U9</f>
        <v>25.205651644336172</v>
      </c>
      <c r="V914" s="458">
        <f>Base!V190/Base!V9</f>
        <v>26.50598570994223</v>
      </c>
      <c r="W914" s="458">
        <f>Base!W190/Base!W9</f>
        <v>23.201184807916178</v>
      </c>
      <c r="X914" s="458">
        <f>Base!X190/Base!X9</f>
        <v>27.091036599099102</v>
      </c>
      <c r="Y914" s="458">
        <f>Base!Y190/Base!Y9</f>
        <v>26.859573478202773</v>
      </c>
      <c r="Z914" s="458">
        <f>Base!Z190/Base!Z9</f>
        <v>25.936339706430026</v>
      </c>
      <c r="AA914" s="458">
        <f>Base!AA190/Base!AA9</f>
        <v>25.045200588493131</v>
      </c>
      <c r="AB914" s="458">
        <f>Base!AB190/Base!AB9</f>
        <v>24.096771994766836</v>
      </c>
      <c r="AC914" s="458">
        <f>Base!AC190/Base!AC9</f>
        <v>23.251693501516868</v>
      </c>
      <c r="AD914" s="458">
        <f>Base!AD190/Base!AD9</f>
        <v>22.389316748266392</v>
      </c>
      <c r="AE914" s="458">
        <f>Base!AE190/Base!AE9</f>
        <v>21.489505282362273</v>
      </c>
    </row>
    <row r="915" spans="1:31">
      <c r="A915" s="36" t="s">
        <v>201</v>
      </c>
      <c r="B915" s="263">
        <f>Bull!B190/Bull!B9</f>
        <v>0.32420494699646646</v>
      </c>
      <c r="C915" s="263">
        <f>Bull!C190/Bull!C9</f>
        <v>-0.33351754385964916</v>
      </c>
      <c r="D915" s="263">
        <f>Bull!D190/Bull!D9</f>
        <v>3.200517906336088</v>
      </c>
      <c r="E915" s="263">
        <f>Bull!E190/Bull!E9</f>
        <v>6.8496964705882357</v>
      </c>
      <c r="F915" s="263">
        <f>Bull!F190/Bull!F9</f>
        <v>8.891225402504471</v>
      </c>
      <c r="G915" s="263">
        <f>Bull!G190/Bull!G9</f>
        <v>15.119808417997096</v>
      </c>
      <c r="H915" s="263">
        <f>Bull!H190/Bull!H9</f>
        <v>11.577037220843671</v>
      </c>
      <c r="I915" s="263">
        <f>Bull!I190/Bull!I9</f>
        <v>4.6847761033369206</v>
      </c>
      <c r="J915" s="263">
        <f>Bull!J190/Bull!J9</f>
        <v>6.9340147058823529</v>
      </c>
      <c r="K915" s="263">
        <f>Bull!K190/Bull!K9</f>
        <v>8.4910039564787336</v>
      </c>
      <c r="L915" s="263">
        <f>Bull!L190/Bull!L9</f>
        <v>10.919829155060352</v>
      </c>
      <c r="M915" s="263">
        <f>Bull!M190/Bull!M9</f>
        <v>16.492889750215326</v>
      </c>
      <c r="N915" s="263">
        <f>Bull!N190/Bull!N9</f>
        <v>23.152611622962436</v>
      </c>
      <c r="O915" s="263">
        <f>Bull!O190/Bull!O9</f>
        <v>21.085039796390561</v>
      </c>
      <c r="P915" s="263">
        <f>Bull!P190/Bull!P9</f>
        <v>27.384187034603592</v>
      </c>
      <c r="Q915" s="263">
        <f>Bull!Q190/Bull!Q9</f>
        <v>25.101724220623495</v>
      </c>
      <c r="R915" s="263">
        <f>Bull!R190/Bull!R9</f>
        <v>26.233838733431519</v>
      </c>
      <c r="S915" s="263">
        <f>Bull!S190/Bull!S9</f>
        <v>24.006704105870377</v>
      </c>
      <c r="T915" s="458">
        <f>Bull!T190/Bull!T9</f>
        <v>26.723379350687335</v>
      </c>
      <c r="U915" s="458">
        <f>Bull!U190/Bull!U9</f>
        <v>25.205651644336172</v>
      </c>
      <c r="V915" s="458">
        <f>Bull!V190/Bull!V9</f>
        <v>26.50598570994223</v>
      </c>
      <c r="W915" s="458">
        <f>Bull!W190/Bull!W9</f>
        <v>23.201184807916178</v>
      </c>
      <c r="X915" s="458">
        <f>Bull!X190/Bull!X9</f>
        <v>27.091036599099102</v>
      </c>
      <c r="Y915" s="458">
        <f>Bull!Y190/Bull!Y9</f>
        <v>26.782547037280992</v>
      </c>
      <c r="Z915" s="458">
        <f>Bull!Z190/Bull!Z9</f>
        <v>25.762284960457681</v>
      </c>
      <c r="AA915" s="458">
        <f>Bull!AA190/Bull!AA9</f>
        <v>24.783146247918765</v>
      </c>
      <c r="AB915" s="458">
        <f>Bull!AB190/Bull!AB9</f>
        <v>23.747504673574088</v>
      </c>
      <c r="AC915" s="458">
        <f>Bull!AC190/Bull!AC9</f>
        <v>22.650646919124515</v>
      </c>
      <c r="AD915" s="458">
        <f>Bull!AD190/Bull!AD9</f>
        <v>21.543442180129976</v>
      </c>
      <c r="AE915" s="458">
        <f>Bull!AE190/Bull!AE9</f>
        <v>20.400452324922753</v>
      </c>
    </row>
    <row r="916" spans="1:31">
      <c r="A916" s="36" t="s">
        <v>202</v>
      </c>
      <c r="B916" s="263">
        <f>Bear!B190/Bear!B9</f>
        <v>0.32420494699646646</v>
      </c>
      <c r="C916" s="263">
        <f>Bear!C190/Bear!C9</f>
        <v>-0.33351754385964916</v>
      </c>
      <c r="D916" s="263">
        <f>Bear!D190/Bear!D9</f>
        <v>3.200517906336088</v>
      </c>
      <c r="E916" s="263">
        <f>Bear!E190/Bear!E9</f>
        <v>6.8496964705882357</v>
      </c>
      <c r="F916" s="263">
        <f>Bear!F190/Bear!F9</f>
        <v>8.891225402504471</v>
      </c>
      <c r="G916" s="263">
        <f>Bear!G190/Bear!G9</f>
        <v>15.119808417997096</v>
      </c>
      <c r="H916" s="263">
        <f>Bear!H190/Bear!H9</f>
        <v>11.577037220843671</v>
      </c>
      <c r="I916" s="263">
        <f>Bear!I190/Bear!I9</f>
        <v>4.6847761033369206</v>
      </c>
      <c r="J916" s="263">
        <f>Bear!J190/Bear!J9</f>
        <v>6.9340147058823529</v>
      </c>
      <c r="K916" s="263">
        <f>Bear!K190/Bear!K9</f>
        <v>8.4910039564787336</v>
      </c>
      <c r="L916" s="263">
        <f>Bear!L190/Bear!L9</f>
        <v>10.919829155060352</v>
      </c>
      <c r="M916" s="263">
        <f>Bear!M190/Bear!M9</f>
        <v>16.492889750215326</v>
      </c>
      <c r="N916" s="263">
        <f>Bear!N190/Bear!N9</f>
        <v>23.152611622962436</v>
      </c>
      <c r="O916" s="263">
        <f>Bear!O190/Bear!O9</f>
        <v>21.085039796390561</v>
      </c>
      <c r="P916" s="263">
        <f>Bear!P190/Bear!P9</f>
        <v>27.384187034603592</v>
      </c>
      <c r="Q916" s="263">
        <f>Bear!Q190/Bear!Q9</f>
        <v>25.101724220623495</v>
      </c>
      <c r="R916" s="263">
        <f>Bear!R190/Bear!R9</f>
        <v>26.233838733431519</v>
      </c>
      <c r="S916" s="263">
        <f>Bear!S190/Bear!S9</f>
        <v>24.006704105870377</v>
      </c>
      <c r="T916" s="458">
        <f>Bear!T190/Bear!T9</f>
        <v>26.723379350687335</v>
      </c>
      <c r="U916" s="458">
        <f>Bear!U190/Bear!U9</f>
        <v>25.205651644336172</v>
      </c>
      <c r="V916" s="458">
        <f>Bear!V190/Bear!V9</f>
        <v>26.50598570994223</v>
      </c>
      <c r="W916" s="458">
        <f>Bear!W190/Bear!W9</f>
        <v>23.201184807916178</v>
      </c>
      <c r="X916" s="458">
        <f>Bear!X190/Bear!X9</f>
        <v>27.091036599099102</v>
      </c>
      <c r="Y916" s="458">
        <f>Bear!Y190/Bear!Y9</f>
        <v>26.906579107131158</v>
      </c>
      <c r="Z916" s="458">
        <f>Bear!Z190/Bear!Z9</f>
        <v>25.789810724555338</v>
      </c>
      <c r="AA916" s="458">
        <f>Bear!AA190/Bear!AA9</f>
        <v>24.628201116918508</v>
      </c>
      <c r="AB916" s="458">
        <f>Bear!AB190/Bear!AB9</f>
        <v>23.295666133786487</v>
      </c>
      <c r="AC916" s="458">
        <f>Bear!AC190/Bear!AC9</f>
        <v>22.205189175396153</v>
      </c>
      <c r="AD916" s="458">
        <f>Bear!AD190/Bear!AD9</f>
        <v>21.131916138530137</v>
      </c>
      <c r="AE916" s="458">
        <f>Bear!AE190/Bear!AE9</f>
        <v>20.015435594043907</v>
      </c>
    </row>
    <row r="917" spans="1:31">
      <c r="A917" s="36" t="s">
        <v>1162</v>
      </c>
      <c r="B917" s="41">
        <f>Financials!B711</f>
        <v>0</v>
      </c>
      <c r="C917" s="41">
        <f>Financials!C711</f>
        <v>0</v>
      </c>
      <c r="D917" s="41">
        <f>Financials!D711</f>
        <v>0</v>
      </c>
      <c r="E917" s="41">
        <f>Financials!E711</f>
        <v>0</v>
      </c>
      <c r="F917" s="41">
        <f>Financials!F711</f>
        <v>0</v>
      </c>
      <c r="G917" s="41">
        <f>Financials!G711</f>
        <v>0</v>
      </c>
      <c r="H917" s="41">
        <f>Financials!H711</f>
        <v>0</v>
      </c>
      <c r="I917" s="41">
        <f>Financials!I711</f>
        <v>0</v>
      </c>
      <c r="J917" s="41">
        <f>Financials!J711</f>
        <v>0</v>
      </c>
      <c r="K917" s="41">
        <f>Financials!K711</f>
        <v>0</v>
      </c>
      <c r="L917" s="41">
        <f>Financials!L711</f>
        <v>0</v>
      </c>
      <c r="M917" s="41">
        <f>Financials!M711</f>
        <v>0</v>
      </c>
      <c r="N917" s="41">
        <f>Financials!N711</f>
        <v>0</v>
      </c>
      <c r="O917" s="41">
        <f>Financials!O711</f>
        <v>0</v>
      </c>
      <c r="P917" s="41">
        <f>Financials!P711</f>
        <v>0</v>
      </c>
      <c r="Q917" s="41">
        <f>Financials!Q711</f>
        <v>0</v>
      </c>
      <c r="R917" s="41">
        <f>Financials!R711</f>
        <v>0</v>
      </c>
      <c r="S917" s="41">
        <f>Financials!S711</f>
        <v>0</v>
      </c>
      <c r="T917" s="458">
        <f>Financials!T711</f>
        <v>0</v>
      </c>
      <c r="U917" s="458">
        <f>Financials!U711</f>
        <v>0</v>
      </c>
      <c r="V917" s="458">
        <f>Financials!V711</f>
        <v>0</v>
      </c>
      <c r="W917" s="458">
        <f>Financials!W711</f>
        <v>0</v>
      </c>
      <c r="X917" s="458">
        <f>Financials!X711</f>
        <v>0</v>
      </c>
      <c r="Y917" s="458">
        <f>Financials!Y711</f>
        <v>0</v>
      </c>
      <c r="Z917" s="458">
        <f>Financials!Z711</f>
        <v>0</v>
      </c>
      <c r="AA917" s="458">
        <f>Financials!AA711</f>
        <v>0</v>
      </c>
      <c r="AB917" s="458">
        <f>Financials!AB711</f>
        <v>0</v>
      </c>
      <c r="AC917" s="458">
        <f>Financials!AC711</f>
        <v>0</v>
      </c>
      <c r="AD917" s="458">
        <f>Financials!AD711</f>
        <v>0</v>
      </c>
      <c r="AE917" s="458">
        <f>Financials!AE711</f>
        <v>0</v>
      </c>
    </row>
    <row r="918" spans="1:31">
      <c r="A918" s="1965" t="s">
        <v>1509</v>
      </c>
      <c r="B918" s="264">
        <v>2001</v>
      </c>
      <c r="C918" s="264">
        <v>2002</v>
      </c>
      <c r="D918" s="264">
        <v>2003</v>
      </c>
      <c r="E918" s="264">
        <v>2004</v>
      </c>
      <c r="F918" s="264">
        <v>2005</v>
      </c>
      <c r="G918" s="264">
        <v>2006</v>
      </c>
      <c r="H918" s="264">
        <v>2007</v>
      </c>
      <c r="I918" s="264">
        <v>2008</v>
      </c>
      <c r="J918" s="264">
        <f t="shared" ref="J918:R918" si="464">J$50</f>
        <v>2009</v>
      </c>
      <c r="K918" s="264">
        <f t="shared" si="464"/>
        <v>2010</v>
      </c>
      <c r="L918" s="264">
        <f t="shared" si="464"/>
        <v>2011</v>
      </c>
      <c r="M918" s="264">
        <f t="shared" si="464"/>
        <v>2012</v>
      </c>
      <c r="N918" s="264">
        <f t="shared" si="464"/>
        <v>2013</v>
      </c>
      <c r="O918" s="264">
        <f t="shared" si="464"/>
        <v>2014</v>
      </c>
      <c r="P918" s="264">
        <f t="shared" si="464"/>
        <v>2015</v>
      </c>
      <c r="Q918" s="264">
        <f t="shared" si="464"/>
        <v>2016</v>
      </c>
      <c r="R918" s="264">
        <f t="shared" si="464"/>
        <v>2017</v>
      </c>
      <c r="S918" s="264">
        <f t="shared" ref="S918:X918" si="465">S$6</f>
        <v>2018</v>
      </c>
      <c r="T918" s="264">
        <f t="shared" si="465"/>
        <v>2019</v>
      </c>
      <c r="U918" s="264">
        <f t="shared" si="465"/>
        <v>2020</v>
      </c>
      <c r="V918" s="264">
        <f t="shared" si="465"/>
        <v>2021</v>
      </c>
      <c r="W918" s="264">
        <f t="shared" si="465"/>
        <v>2022</v>
      </c>
      <c r="X918" s="264">
        <f t="shared" si="465"/>
        <v>2023</v>
      </c>
      <c r="Y918" s="594">
        <f t="shared" ref="Y918:AE918" si="466">Y$50</f>
        <v>2024</v>
      </c>
      <c r="Z918" s="594">
        <f t="shared" si="466"/>
        <v>2025</v>
      </c>
      <c r="AA918" s="594">
        <f t="shared" si="466"/>
        <v>2026</v>
      </c>
      <c r="AB918" s="594">
        <f t="shared" si="466"/>
        <v>2027</v>
      </c>
      <c r="AC918" s="594">
        <f t="shared" si="466"/>
        <v>2028</v>
      </c>
      <c r="AD918" s="594">
        <f t="shared" si="466"/>
        <v>2029</v>
      </c>
      <c r="AE918" s="594">
        <f t="shared" si="466"/>
        <v>2030</v>
      </c>
    </row>
    <row r="919" spans="1:31">
      <c r="A919" s="36" t="s">
        <v>200</v>
      </c>
      <c r="B919" s="263">
        <f>Base!B$191/Base!B9</f>
        <v>0.32420494699646646</v>
      </c>
      <c r="C919" s="263">
        <f>Base!C$191/Base!C9</f>
        <v>-0.33351754385964916</v>
      </c>
      <c r="D919" s="263">
        <f>Base!D$191/Base!D9</f>
        <v>3.200517906336088</v>
      </c>
      <c r="E919" s="263">
        <f>Base!E$191/Base!E9</f>
        <v>6.8496964705882357</v>
      </c>
      <c r="F919" s="263">
        <f>Base!F$191/Base!F9</f>
        <v>8.891225402504471</v>
      </c>
      <c r="G919" s="263">
        <f>Base!G$191/Base!G9</f>
        <v>15.119808417997096</v>
      </c>
      <c r="H919" s="263">
        <f>Base!H$191/Base!H9</f>
        <v>11.577037220843671</v>
      </c>
      <c r="I919" s="263">
        <f>Base!I$191/Base!I9</f>
        <v>4.6847761033369206</v>
      </c>
      <c r="J919" s="263">
        <f>Base!J$191/Base!J9</f>
        <v>6.9340147058823529</v>
      </c>
      <c r="K919" s="263">
        <f>Base!K$191/Base!K9</f>
        <v>8.4910039564787336</v>
      </c>
      <c r="L919" s="263">
        <f>Base!L$191/Base!L9</f>
        <v>10.919829155060352</v>
      </c>
      <c r="M919" s="263">
        <f>Base!M$191/Base!M9</f>
        <v>16.492889750215326</v>
      </c>
      <c r="N919" s="263">
        <f>Base!N$191/Base!N9</f>
        <v>23.152611622962436</v>
      </c>
      <c r="O919" s="263">
        <f>Base!O$191/Base!O9</f>
        <v>21.085039796390561</v>
      </c>
      <c r="P919" s="263">
        <f>Base!P$191/Base!P9</f>
        <v>27.384187034603592</v>
      </c>
      <c r="Q919" s="263">
        <f>Base!Q$191/Base!Q9</f>
        <v>25.101724220623495</v>
      </c>
      <c r="R919" s="263">
        <f>Base!R$191/Base!R9</f>
        <v>26.233838733431519</v>
      </c>
      <c r="S919" s="263">
        <f>Base!S$191/Base!S9</f>
        <v>24.006704105870377</v>
      </c>
      <c r="T919" s="458">
        <f>Base!T$191/Base!T9</f>
        <v>20.124414741152382</v>
      </c>
      <c r="U919" s="458">
        <f>Base!U$191/Base!U9</f>
        <v>17.50163215590743</v>
      </c>
      <c r="V919" s="458">
        <f>Base!V$191/Base!V9</f>
        <v>19.280910003040439</v>
      </c>
      <c r="W919" s="458">
        <f>Base!W$191/Base!W9</f>
        <v>16.803684516880093</v>
      </c>
      <c r="X919" s="458">
        <f>Base!X$191/Base!X9</f>
        <v>21.930544763513513</v>
      </c>
      <c r="Y919" s="458">
        <f>Base!Y$191/Base!Y9</f>
        <v>21.765138946443869</v>
      </c>
      <c r="Z919" s="458">
        <f>Base!Z$191/Base!Z9</f>
        <v>20.877693788582256</v>
      </c>
      <c r="AA919" s="458">
        <f>Base!AA$191/Base!AA9</f>
        <v>19.976404349828513</v>
      </c>
      <c r="AB919" s="458">
        <f>Base!AB$191/Base!AB9</f>
        <v>19.018842185024127</v>
      </c>
      <c r="AC919" s="458">
        <f>Base!AC$191/Base!AC9</f>
        <v>18.176800002744606</v>
      </c>
      <c r="AD919" s="458">
        <f>Base!AD$191/Base!AD9</f>
        <v>17.318601453516141</v>
      </c>
      <c r="AE919" s="458">
        <f>Base!AE$191/Base!AE9</f>
        <v>16.423803707536457</v>
      </c>
    </row>
    <row r="920" spans="1:31">
      <c r="A920" s="36" t="s">
        <v>201</v>
      </c>
      <c r="B920" s="263">
        <f>Bull!B$191/Bull!B9</f>
        <v>0.32420494699646646</v>
      </c>
      <c r="C920" s="263">
        <f>Bull!C$191/Bull!C9</f>
        <v>-0.33351754385964916</v>
      </c>
      <c r="D920" s="263">
        <f>Bull!D$191/Bull!D9</f>
        <v>3.200517906336088</v>
      </c>
      <c r="E920" s="263">
        <f>Bull!E$191/Bull!E9</f>
        <v>6.8496964705882357</v>
      </c>
      <c r="F920" s="263">
        <f>Bull!F$191/Bull!F9</f>
        <v>8.891225402504471</v>
      </c>
      <c r="G920" s="263">
        <f>Bull!G$191/Bull!G9</f>
        <v>15.119808417997096</v>
      </c>
      <c r="H920" s="263">
        <f>Bull!H$191/Bull!H9</f>
        <v>11.577037220843671</v>
      </c>
      <c r="I920" s="263">
        <f>Bull!I$191/Bull!I9</f>
        <v>4.6847761033369206</v>
      </c>
      <c r="J920" s="263">
        <f>Bull!J$191/Bull!J9</f>
        <v>6.9340147058823529</v>
      </c>
      <c r="K920" s="263">
        <f>Bull!K$191/Bull!K9</f>
        <v>8.4910039564787336</v>
      </c>
      <c r="L920" s="263">
        <f>Bull!L$191/Bull!L9</f>
        <v>10.919829155060352</v>
      </c>
      <c r="M920" s="263">
        <f>Bull!M$191/Bull!M9</f>
        <v>16.492889750215326</v>
      </c>
      <c r="N920" s="263">
        <f>Bull!N$191/Bull!N9</f>
        <v>23.152611622962436</v>
      </c>
      <c r="O920" s="263">
        <f>Bull!O$191/Bull!O9</f>
        <v>21.085039796390561</v>
      </c>
      <c r="P920" s="263">
        <f>Bull!P$191/Bull!P9</f>
        <v>27.384187034603592</v>
      </c>
      <c r="Q920" s="263">
        <f>Bull!Q$191/Bull!Q9</f>
        <v>25.101724220623495</v>
      </c>
      <c r="R920" s="263">
        <f>Bull!R$191/Bull!R9</f>
        <v>26.233838733431519</v>
      </c>
      <c r="S920" s="263">
        <f>Bull!S$191/Bull!S9</f>
        <v>24.006704105870377</v>
      </c>
      <c r="T920" s="458">
        <f>Bull!T$191/Bull!T9</f>
        <v>20.124414741152382</v>
      </c>
      <c r="U920" s="458">
        <f>Bull!U$191/Bull!U9</f>
        <v>17.50163215590743</v>
      </c>
      <c r="V920" s="458">
        <f>Bull!V$191/Bull!V9</f>
        <v>19.280910003040439</v>
      </c>
      <c r="W920" s="458">
        <f>Bull!W$191/Bull!W9</f>
        <v>16.803684516880093</v>
      </c>
      <c r="X920" s="458">
        <f>Bull!X$191/Bull!X9</f>
        <v>21.930544763513513</v>
      </c>
      <c r="Y920" s="458">
        <f>Bull!Y$191/Bull!Y9</f>
        <v>21.697267249946268</v>
      </c>
      <c r="Z920" s="458">
        <f>Bull!Z$191/Bull!Z9</f>
        <v>20.715882978680625</v>
      </c>
      <c r="AA920" s="458">
        <f>Bull!AA$191/Bull!AA9</f>
        <v>19.729690355722376</v>
      </c>
      <c r="AB920" s="458">
        <f>Bull!AB$191/Bull!AB9</f>
        <v>18.687872378624217</v>
      </c>
      <c r="AC920" s="458">
        <f>Bull!AC$191/Bull!AC9</f>
        <v>17.574488731172043</v>
      </c>
      <c r="AD920" s="458">
        <f>Bull!AD$191/Bull!AD9</f>
        <v>16.473106822066793</v>
      </c>
      <c r="AE920" s="458">
        <f>Bull!AE$191/Bull!AE9</f>
        <v>15.336889017158292</v>
      </c>
    </row>
    <row r="921" spans="1:31">
      <c r="A921" s="36" t="s">
        <v>202</v>
      </c>
      <c r="B921" s="263">
        <f>Bear!B$191/Bear!B9</f>
        <v>0.32420494699646646</v>
      </c>
      <c r="C921" s="263">
        <f>Bear!C$191/Bear!C9</f>
        <v>-0.33351754385964916</v>
      </c>
      <c r="D921" s="263">
        <f>Bear!D$191/Bear!D9</f>
        <v>3.200517906336088</v>
      </c>
      <c r="E921" s="263">
        <f>Bear!E$191/Bear!E9</f>
        <v>6.8496964705882357</v>
      </c>
      <c r="F921" s="263">
        <f>Bear!F$191/Bear!F9</f>
        <v>8.891225402504471</v>
      </c>
      <c r="G921" s="263">
        <f>Bear!G$191/Bear!G9</f>
        <v>15.119808417997096</v>
      </c>
      <c r="H921" s="263">
        <f>Bear!H$191/Bear!H9</f>
        <v>11.577037220843671</v>
      </c>
      <c r="I921" s="263">
        <f>Bear!I$191/Bear!I9</f>
        <v>4.6847761033369206</v>
      </c>
      <c r="J921" s="263">
        <f>Bear!J$191/Bear!J9</f>
        <v>6.9340147058823529</v>
      </c>
      <c r="K921" s="263">
        <f>Bear!K$191/Bear!K9</f>
        <v>8.4910039564787336</v>
      </c>
      <c r="L921" s="263">
        <f>Bear!L$191/Bear!L9</f>
        <v>10.919829155060352</v>
      </c>
      <c r="M921" s="263">
        <f>Bear!M$191/Bear!M9</f>
        <v>16.492889750215326</v>
      </c>
      <c r="N921" s="263">
        <f>Bear!N$191/Bear!N9</f>
        <v>23.152611622962436</v>
      </c>
      <c r="O921" s="263">
        <f>Bear!O$191/Bear!O9</f>
        <v>21.085039796390561</v>
      </c>
      <c r="P921" s="263">
        <f>Bear!P$191/Bear!P9</f>
        <v>27.384187034603592</v>
      </c>
      <c r="Q921" s="263">
        <f>Bear!Q$191/Bear!Q9</f>
        <v>25.101724220623495</v>
      </c>
      <c r="R921" s="263">
        <f>Bear!R$191/Bear!R9</f>
        <v>26.233838733431519</v>
      </c>
      <c r="S921" s="263">
        <f>Bear!S$191/Bear!S9</f>
        <v>24.006704105870377</v>
      </c>
      <c r="T921" s="1160">
        <f>Bear!T$191/Bear!T9</f>
        <v>20.124414741152382</v>
      </c>
      <c r="U921" s="1160">
        <f>Bear!U$191/Bear!U9</f>
        <v>17.50163215590743</v>
      </c>
      <c r="V921" s="1160">
        <f>Bear!V$191/Bear!V9</f>
        <v>19.280910003040439</v>
      </c>
      <c r="W921" s="1160">
        <f>Bear!W$191/Bear!W9</f>
        <v>16.803684516880093</v>
      </c>
      <c r="X921" s="1160">
        <f>Bear!X$191/Bear!X9</f>
        <v>21.930544763513513</v>
      </c>
      <c r="Y921" s="1160">
        <f>Bear!Y$191/Bear!Y9</f>
        <v>21.752527674960497</v>
      </c>
      <c r="Z921" s="1160">
        <f>Bear!Z$191/Bear!Z9</f>
        <v>20.664797022276471</v>
      </c>
      <c r="AA921" s="1160">
        <f>Bear!AA$191/Bear!AA9</f>
        <v>19.488663882786177</v>
      </c>
      <c r="AB921" s="1160">
        <f>Bear!AB$191/Bear!AB9</f>
        <v>18.147171290762174</v>
      </c>
      <c r="AC921" s="1160">
        <f>Bear!AC$191/Bear!AC9</f>
        <v>17.0622901785379</v>
      </c>
      <c r="AD921" s="1160">
        <f>Bear!AD$191/Bear!AD9</f>
        <v>15.994240594106662</v>
      </c>
      <c r="AE921" s="1160">
        <f>Bear!AE$191/Bear!AE9</f>
        <v>14.881977800485958</v>
      </c>
    </row>
    <row r="922" spans="1:31">
      <c r="A922" s="36" t="s">
        <v>1162</v>
      </c>
      <c r="B922" s="41">
        <f>Financials!B713</f>
        <v>0</v>
      </c>
      <c r="C922" s="41">
        <f>Financials!C713</f>
        <v>0</v>
      </c>
      <c r="D922" s="41">
        <f>Financials!D713</f>
        <v>0</v>
      </c>
      <c r="E922" s="41">
        <f>Financials!E713</f>
        <v>0</v>
      </c>
      <c r="F922" s="41">
        <f>Financials!F713</f>
        <v>0</v>
      </c>
      <c r="G922" s="41">
        <f>Financials!G713</f>
        <v>0</v>
      </c>
      <c r="H922" s="41">
        <f>Financials!H713</f>
        <v>0</v>
      </c>
      <c r="I922" s="41">
        <f>Financials!I713</f>
        <v>0</v>
      </c>
      <c r="J922" s="41">
        <f>Financials!J713</f>
        <v>0</v>
      </c>
      <c r="K922" s="41">
        <f>Financials!K713</f>
        <v>0</v>
      </c>
      <c r="L922" s="41">
        <f>Financials!L713</f>
        <v>0</v>
      </c>
      <c r="M922" s="41">
        <f>Financials!M713</f>
        <v>0</v>
      </c>
      <c r="N922" s="41">
        <f>Financials!N713</f>
        <v>0</v>
      </c>
      <c r="O922" s="41">
        <f>Financials!O713</f>
        <v>0</v>
      </c>
      <c r="P922" s="41">
        <f>Financials!P713</f>
        <v>0</v>
      </c>
      <c r="Q922" s="41">
        <f>Financials!Q713</f>
        <v>0</v>
      </c>
      <c r="R922" s="41">
        <f>Financials!R713</f>
        <v>0</v>
      </c>
      <c r="S922" s="41">
        <f>Financials!S713</f>
        <v>0</v>
      </c>
      <c r="T922" s="458">
        <f>Financials!T713</f>
        <v>0</v>
      </c>
      <c r="U922" s="458">
        <f>Financials!U713</f>
        <v>0</v>
      </c>
      <c r="V922" s="458">
        <f>Financials!V713</f>
        <v>0</v>
      </c>
      <c r="W922" s="458">
        <f>Financials!W713</f>
        <v>0</v>
      </c>
      <c r="X922" s="458">
        <f>Financials!X713</f>
        <v>0</v>
      </c>
      <c r="Y922" s="458">
        <f>Financials!Y713</f>
        <v>0</v>
      </c>
      <c r="Z922" s="458">
        <f>Financials!Z713</f>
        <v>0</v>
      </c>
      <c r="AA922" s="458">
        <f>Financials!AA713</f>
        <v>0</v>
      </c>
      <c r="AB922" s="458">
        <f>Financials!AB713</f>
        <v>0</v>
      </c>
      <c r="AC922" s="458">
        <f>Financials!AC713</f>
        <v>0</v>
      </c>
      <c r="AD922" s="458">
        <f>Financials!AD713</f>
        <v>0</v>
      </c>
      <c r="AE922" s="458">
        <f>Financials!AE713</f>
        <v>0</v>
      </c>
    </row>
  </sheetData>
  <mergeCells count="7">
    <mergeCell ref="X790:Y790"/>
    <mergeCell ref="L790:M790"/>
    <mergeCell ref="N790:O790"/>
    <mergeCell ref="P790:Q790"/>
    <mergeCell ref="R790:S790"/>
    <mergeCell ref="V790:W790"/>
    <mergeCell ref="T790:U790"/>
  </mergeCells>
  <phoneticPr fontId="12" type="noConversion"/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3">
    <pageSetUpPr fitToPage="1"/>
  </sheetPr>
  <dimension ref="A1:X42"/>
  <sheetViews>
    <sheetView showGridLines="0" workbookViewId="0"/>
  </sheetViews>
  <sheetFormatPr baseColWidth="10" defaultColWidth="9.42578125" defaultRowHeight="11.25" outlineLevelRow="1"/>
  <cols>
    <col min="1" max="1" width="21.5703125" style="9" customWidth="1"/>
    <col min="2" max="2" width="9.42578125" style="9" customWidth="1"/>
    <col min="3" max="3" width="15" style="9" customWidth="1"/>
    <col min="4" max="4" width="19.5703125" style="9" customWidth="1"/>
    <col min="5" max="5" width="4.5703125" style="9" customWidth="1"/>
    <col min="6" max="6" width="36.5703125" style="9" customWidth="1"/>
    <col min="7" max="7" width="9.42578125" style="9" customWidth="1"/>
    <col min="8" max="8" width="27.42578125" style="9" customWidth="1"/>
    <col min="9" max="16384" width="9.42578125" style="9"/>
  </cols>
  <sheetData>
    <row r="1" spans="1:8" ht="18">
      <c r="A1" s="24" t="str">
        <f>Index!$G$12</f>
        <v>Alsea</v>
      </c>
      <c r="B1" s="130"/>
      <c r="C1" s="130"/>
      <c r="D1" s="130"/>
      <c r="E1" s="130"/>
      <c r="F1" s="130"/>
      <c r="G1" s="409"/>
      <c r="H1" s="409"/>
    </row>
    <row r="2" spans="1:8" ht="12.75">
      <c r="A2" s="551" t="s">
        <v>494</v>
      </c>
      <c r="B2" s="130"/>
      <c r="C2" s="130"/>
      <c r="D2" s="130"/>
      <c r="E2" s="130"/>
      <c r="F2" s="130"/>
      <c r="G2" s="409"/>
      <c r="H2" s="131" t="s">
        <v>317</v>
      </c>
    </row>
    <row r="4" spans="1:8">
      <c r="A4" s="494" t="s">
        <v>321</v>
      </c>
      <c r="B4" s="495" t="s">
        <v>493</v>
      </c>
      <c r="C4" s="496" t="s">
        <v>366</v>
      </c>
      <c r="D4" s="497" t="s">
        <v>340</v>
      </c>
      <c r="E4" s="13"/>
      <c r="F4" s="494" t="s">
        <v>322</v>
      </c>
      <c r="G4" s="496" t="s">
        <v>323</v>
      </c>
      <c r="H4" s="497" t="s">
        <v>324</v>
      </c>
    </row>
    <row r="5" spans="1:8" ht="15" customHeight="1">
      <c r="A5" s="9" t="s">
        <v>810</v>
      </c>
      <c r="B5" s="637">
        <f>B10*C5</f>
        <v>299.51249999999999</v>
      </c>
      <c r="C5" s="914">
        <f>SUM(C6:C8)</f>
        <v>0.36749999999999999</v>
      </c>
      <c r="D5" s="271"/>
      <c r="F5" s="1930" t="s">
        <v>802</v>
      </c>
      <c r="G5" s="710">
        <v>1997</v>
      </c>
      <c r="H5" s="9" t="s">
        <v>328</v>
      </c>
    </row>
    <row r="6" spans="1:8" ht="15" hidden="1" customHeight="1" outlineLevel="1">
      <c r="A6" s="36" t="s">
        <v>1000</v>
      </c>
      <c r="B6" s="637">
        <f>$B$5*C6</f>
        <v>37.049696249999997</v>
      </c>
      <c r="C6" s="943">
        <v>0.1237</v>
      </c>
      <c r="D6" s="271"/>
      <c r="F6" s="9" t="s">
        <v>803</v>
      </c>
      <c r="G6" s="710" t="s">
        <v>750</v>
      </c>
      <c r="H6" s="9" t="s">
        <v>804</v>
      </c>
    </row>
    <row r="7" spans="1:8" ht="15" hidden="1" customHeight="1" outlineLevel="1">
      <c r="A7" s="36" t="s">
        <v>1001</v>
      </c>
      <c r="B7" s="637">
        <f>$B$5*C7</f>
        <v>36.810086249999998</v>
      </c>
      <c r="C7" s="943">
        <v>0.1229</v>
      </c>
      <c r="D7" s="271"/>
      <c r="F7" s="9" t="s">
        <v>805</v>
      </c>
      <c r="G7" s="710" t="s">
        <v>750</v>
      </c>
      <c r="H7" s="9" t="s">
        <v>804</v>
      </c>
    </row>
    <row r="8" spans="1:8" ht="15" hidden="1" customHeight="1" outlineLevel="1">
      <c r="A8" s="36" t="s">
        <v>1002</v>
      </c>
      <c r="B8" s="637">
        <f>$B$5*C8</f>
        <v>36.21106125</v>
      </c>
      <c r="C8" s="943">
        <v>0.12089999999999999</v>
      </c>
      <c r="D8" s="271"/>
      <c r="F8" s="9" t="s">
        <v>800</v>
      </c>
      <c r="G8" s="710" t="s">
        <v>750</v>
      </c>
      <c r="H8" s="9" t="s">
        <v>804</v>
      </c>
    </row>
    <row r="9" spans="1:8" ht="15" hidden="1" customHeight="1" outlineLevel="1">
      <c r="A9" s="232" t="s">
        <v>516</v>
      </c>
      <c r="B9" s="488">
        <f>B10-B5</f>
        <v>515.48749999999995</v>
      </c>
      <c r="C9" s="639">
        <f>B9/$B$10</f>
        <v>0.63249999999999995</v>
      </c>
      <c r="D9" s="490"/>
      <c r="F9" s="9" t="s">
        <v>806</v>
      </c>
      <c r="G9" s="710" t="s">
        <v>750</v>
      </c>
      <c r="H9" s="9" t="s">
        <v>804</v>
      </c>
    </row>
    <row r="10" spans="1:8" ht="15" hidden="1" customHeight="1" outlineLevel="1">
      <c r="A10" s="9" t="s">
        <v>325</v>
      </c>
      <c r="B10" s="1939">
        <f>Q_Financials!BQ60</f>
        <v>815</v>
      </c>
      <c r="C10" s="486">
        <f>+C9+C5</f>
        <v>1</v>
      </c>
      <c r="D10" s="1854" t="s">
        <v>1500</v>
      </c>
      <c r="F10" s="9" t="s">
        <v>1449</v>
      </c>
      <c r="G10" s="710" t="s">
        <v>750</v>
      </c>
      <c r="H10" s="9" t="s">
        <v>807</v>
      </c>
    </row>
    <row r="11" spans="1:8" ht="15" customHeight="1" collapsed="1">
      <c r="A11" s="279"/>
      <c r="B11" s="638"/>
      <c r="F11" s="1930" t="s">
        <v>1450</v>
      </c>
      <c r="G11" s="710" t="s">
        <v>750</v>
      </c>
      <c r="H11" s="9" t="s">
        <v>807</v>
      </c>
    </row>
    <row r="12" spans="1:8" ht="15" customHeight="1">
      <c r="F12" s="1930" t="s">
        <v>1451</v>
      </c>
      <c r="G12" s="710" t="s">
        <v>750</v>
      </c>
      <c r="H12" s="9" t="s">
        <v>807</v>
      </c>
    </row>
    <row r="13" spans="1:8" ht="15" customHeight="1">
      <c r="A13" s="36"/>
      <c r="B13" s="284"/>
      <c r="C13" s="485"/>
      <c r="D13" s="271"/>
      <c r="F13" s="1930" t="s">
        <v>1452</v>
      </c>
      <c r="G13" s="710" t="s">
        <v>750</v>
      </c>
      <c r="H13" s="9" t="s">
        <v>807</v>
      </c>
    </row>
    <row r="14" spans="1:8" ht="15" customHeight="1">
      <c r="A14" s="36"/>
      <c r="B14" s="284"/>
      <c r="C14" s="485"/>
      <c r="D14" s="271"/>
      <c r="F14" s="1930" t="s">
        <v>1453</v>
      </c>
      <c r="G14" s="710" t="s">
        <v>750</v>
      </c>
      <c r="H14" s="9" t="s">
        <v>807</v>
      </c>
    </row>
    <row r="15" spans="1:8" ht="15" customHeight="1">
      <c r="A15" s="36"/>
      <c r="B15" s="284"/>
      <c r="C15" s="484"/>
      <c r="D15" s="271"/>
      <c r="F15" s="1930" t="s">
        <v>808</v>
      </c>
      <c r="G15" s="710" t="s">
        <v>750</v>
      </c>
      <c r="H15" s="9" t="s">
        <v>807</v>
      </c>
    </row>
    <row r="16" spans="1:8" ht="15" customHeight="1">
      <c r="F16" s="1930" t="s">
        <v>1454</v>
      </c>
      <c r="G16" s="710" t="s">
        <v>750</v>
      </c>
      <c r="H16" s="9" t="s">
        <v>807</v>
      </c>
    </row>
    <row r="17" spans="1:24" ht="15" customHeight="1">
      <c r="F17" s="487"/>
      <c r="G17" s="488"/>
      <c r="H17" s="489"/>
    </row>
    <row r="18" spans="1:24" ht="15" customHeight="1">
      <c r="H18" s="1854" t="s">
        <v>1500</v>
      </c>
    </row>
    <row r="19" spans="1:24" ht="15" customHeight="1"/>
    <row r="20" spans="1:24" ht="15" customHeight="1"/>
    <row r="21" spans="1:24" ht="15" customHeight="1">
      <c r="C21" s="284"/>
    </row>
    <row r="23" spans="1:24">
      <c r="B23" s="284"/>
      <c r="D23" s="261"/>
      <c r="F23" s="491"/>
      <c r="G23" s="492"/>
      <c r="H23" s="493"/>
    </row>
    <row r="24" spans="1:24">
      <c r="G24" s="282"/>
    </row>
    <row r="25" spans="1:24">
      <c r="F25" s="494" t="s">
        <v>326</v>
      </c>
      <c r="G25" s="496" t="s">
        <v>323</v>
      </c>
      <c r="H25" s="497" t="s">
        <v>327</v>
      </c>
    </row>
    <row r="26" spans="1:24" ht="14.25" customHeight="1">
      <c r="F26" s="9" t="s">
        <v>1455</v>
      </c>
      <c r="G26" s="710" t="s">
        <v>750</v>
      </c>
      <c r="H26" s="281" t="s">
        <v>195</v>
      </c>
    </row>
    <row r="27" spans="1:24" ht="14.25" customHeight="1">
      <c r="A27" s="505" t="s">
        <v>243</v>
      </c>
      <c r="B27" s="495"/>
      <c r="C27" s="496"/>
      <c r="D27" s="497"/>
      <c r="F27" s="9" t="s">
        <v>1457</v>
      </c>
      <c r="G27" s="710" t="s">
        <v>750</v>
      </c>
      <c r="H27" s="281" t="s">
        <v>1458</v>
      </c>
    </row>
    <row r="28" spans="1:24" ht="14.25" customHeight="1">
      <c r="A28" s="13" t="s">
        <v>4</v>
      </c>
      <c r="B28" s="612" t="str">
        <f>B4</f>
        <v>Mn Shares</v>
      </c>
      <c r="C28" s="613" t="s">
        <v>627</v>
      </c>
      <c r="D28" s="613" t="str">
        <f>A27</f>
        <v>Potential Dilution</v>
      </c>
      <c r="F28" s="9" t="s">
        <v>1459</v>
      </c>
      <c r="G28" s="710" t="s">
        <v>750</v>
      </c>
      <c r="H28" s="281" t="s">
        <v>1460</v>
      </c>
      <c r="S28" s="635"/>
      <c r="T28" s="635"/>
      <c r="U28" s="635"/>
      <c r="V28" s="635"/>
      <c r="W28" s="635"/>
      <c r="X28" s="635"/>
    </row>
    <row r="29" spans="1:24" ht="12" customHeight="1">
      <c r="A29" s="9" t="s">
        <v>750</v>
      </c>
      <c r="B29" s="506"/>
      <c r="C29" s="506"/>
      <c r="D29" s="614"/>
      <c r="F29" s="9" t="s">
        <v>1497</v>
      </c>
      <c r="G29" s="710" t="s">
        <v>750</v>
      </c>
      <c r="H29" s="281" t="s">
        <v>1461</v>
      </c>
      <c r="O29" s="635"/>
      <c r="S29" s="178"/>
      <c r="T29" s="178"/>
      <c r="U29" s="178"/>
      <c r="V29" s="178"/>
      <c r="W29" s="178"/>
      <c r="X29" s="178"/>
    </row>
    <row r="30" spans="1:24" ht="12" customHeight="1">
      <c r="A30" s="13"/>
      <c r="B30" s="506"/>
      <c r="C30" s="285"/>
      <c r="F30" s="1930" t="s">
        <v>1496</v>
      </c>
      <c r="G30" s="710" t="s">
        <v>750</v>
      </c>
      <c r="H30" s="281" t="s">
        <v>801</v>
      </c>
    </row>
    <row r="31" spans="1:24" ht="12" customHeight="1">
      <c r="B31" s="1135"/>
      <c r="C31" s="1136"/>
      <c r="D31" s="286"/>
      <c r="F31" s="1930" t="s">
        <v>1456</v>
      </c>
      <c r="G31" s="710" t="s">
        <v>750</v>
      </c>
      <c r="H31" s="281" t="s">
        <v>809</v>
      </c>
    </row>
    <row r="32" spans="1:24" ht="12" customHeight="1">
      <c r="A32" s="602"/>
      <c r="B32" s="550"/>
      <c r="C32" s="550"/>
      <c r="D32" s="286"/>
      <c r="F32" s="1930" t="s">
        <v>1498</v>
      </c>
      <c r="G32" s="710" t="s">
        <v>750</v>
      </c>
      <c r="H32" s="283" t="s">
        <v>1499</v>
      </c>
    </row>
    <row r="33" spans="1:8" ht="12" customHeight="1">
      <c r="A33" s="602"/>
      <c r="B33" s="550"/>
      <c r="C33" s="550"/>
      <c r="F33" s="487"/>
      <c r="G33" s="488"/>
      <c r="H33" s="489"/>
    </row>
    <row r="34" spans="1:8" ht="12" customHeight="1">
      <c r="A34" s="602"/>
      <c r="B34" s="550"/>
      <c r="C34" s="550"/>
      <c r="D34" s="261"/>
      <c r="H34" s="1854" t="s">
        <v>1500</v>
      </c>
    </row>
    <row r="35" spans="1:8">
      <c r="A35" s="602"/>
      <c r="B35" s="550"/>
      <c r="C35" s="550"/>
    </row>
    <row r="36" spans="1:8">
      <c r="A36" s="602"/>
      <c r="B36" s="550"/>
      <c r="C36" s="550"/>
      <c r="F36" s="13"/>
      <c r="G36" s="440"/>
      <c r="H36" s="271"/>
    </row>
    <row r="37" spans="1:8">
      <c r="A37" s="274" t="s">
        <v>260</v>
      </c>
      <c r="B37" s="274"/>
      <c r="C37" s="274"/>
      <c r="D37" s="287"/>
    </row>
    <row r="39" spans="1:8">
      <c r="E39" s="287"/>
    </row>
    <row r="40" spans="1:8">
      <c r="F40" s="11"/>
      <c r="G40" s="11"/>
      <c r="H40" s="11"/>
    </row>
    <row r="42" spans="1:8">
      <c r="F42" s="287"/>
      <c r="G42" s="287"/>
      <c r="H42" s="630" t="s">
        <v>281</v>
      </c>
    </row>
  </sheetData>
  <phoneticPr fontId="27" type="noConversion"/>
  <pageMargins left="0.25" right="0.25" top="0.5" bottom="0.5" header="0.5" footer="0.5"/>
  <pageSetup scale="46" orientation="landscape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7">
    <pageSetUpPr fitToPage="1"/>
  </sheetPr>
  <dimension ref="A1:O35"/>
  <sheetViews>
    <sheetView showGridLines="0" workbookViewId="0"/>
  </sheetViews>
  <sheetFormatPr baseColWidth="10" defaultColWidth="9.42578125" defaultRowHeight="11.25"/>
  <cols>
    <col min="1" max="1" width="8.5703125" style="9" customWidth="1"/>
    <col min="2" max="2" width="13.42578125" style="9" bestFit="1" customWidth="1"/>
    <col min="3" max="3" width="21.5703125" style="9" bestFit="1" customWidth="1"/>
    <col min="4" max="4" width="7.42578125" style="9" bestFit="1" customWidth="1"/>
    <col min="5" max="5" width="8.42578125" style="9" bestFit="1" customWidth="1"/>
    <col min="6" max="6" width="5" style="9" bestFit="1" customWidth="1"/>
    <col min="7" max="7" width="11.5703125" style="9" bestFit="1" customWidth="1"/>
    <col min="8" max="8" width="8.5703125" style="9" bestFit="1" customWidth="1"/>
    <col min="9" max="9" width="3.42578125" style="9" bestFit="1" customWidth="1"/>
    <col min="10" max="10" width="25.5703125" style="9" customWidth="1"/>
    <col min="11" max="11" width="3.42578125" style="9" customWidth="1"/>
    <col min="12" max="13" width="7.42578125" style="9" customWidth="1"/>
    <col min="14" max="16384" width="9.42578125" style="9"/>
  </cols>
  <sheetData>
    <row r="1" spans="1:15" ht="18">
      <c r="A1" s="24" t="str">
        <f>Index!G12</f>
        <v>Alsea</v>
      </c>
      <c r="B1" s="130"/>
      <c r="C1" s="129"/>
      <c r="D1" s="129"/>
      <c r="E1" s="129"/>
      <c r="F1" s="129"/>
      <c r="G1" s="129"/>
      <c r="H1" s="129"/>
      <c r="I1" s="129"/>
      <c r="J1" s="129"/>
      <c r="K1" s="409"/>
    </row>
    <row r="2" spans="1:15" ht="12.75">
      <c r="A2" s="551" t="s">
        <v>632</v>
      </c>
      <c r="B2" s="129"/>
      <c r="C2" s="129"/>
      <c r="D2" s="129"/>
      <c r="E2" s="129"/>
      <c r="F2" s="129"/>
      <c r="G2" s="129"/>
      <c r="H2" s="129"/>
      <c r="I2" s="129"/>
      <c r="J2" s="129"/>
      <c r="K2" s="131" t="s">
        <v>317</v>
      </c>
    </row>
    <row r="3" spans="1:15">
      <c r="A3" s="158"/>
      <c r="B3" s="230"/>
      <c r="C3" s="230"/>
      <c r="D3" s="230"/>
      <c r="E3" s="230"/>
      <c r="F3" s="230"/>
      <c r="G3" s="230"/>
      <c r="H3" s="230"/>
      <c r="I3" s="230"/>
      <c r="J3" s="230"/>
      <c r="K3" s="230"/>
    </row>
    <row r="4" spans="1:1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58"/>
    </row>
    <row r="5" spans="1:15">
      <c r="A5" s="212"/>
      <c r="D5" s="13"/>
      <c r="E5" s="51"/>
      <c r="F5" s="152"/>
      <c r="G5" s="59"/>
      <c r="H5" s="59"/>
      <c r="I5" s="59"/>
      <c r="J5" s="59"/>
      <c r="K5" s="153"/>
      <c r="L5" s="153"/>
      <c r="M5" s="153"/>
      <c r="N5" s="153"/>
      <c r="O5" s="153"/>
    </row>
    <row r="6" spans="1:15">
      <c r="A6" s="212"/>
      <c r="D6" s="13"/>
      <c r="E6" s="51"/>
      <c r="F6" s="152"/>
      <c r="G6" s="59"/>
      <c r="H6" s="59"/>
      <c r="I6" s="59"/>
      <c r="J6" s="59"/>
      <c r="K6" s="153"/>
      <c r="L6" s="153"/>
      <c r="M6" s="153"/>
      <c r="N6" s="153"/>
      <c r="O6" s="153"/>
    </row>
    <row r="7" spans="1:15">
      <c r="B7" s="701" t="s">
        <v>633</v>
      </c>
      <c r="C7" s="702" t="s">
        <v>634</v>
      </c>
      <c r="D7" s="702" t="s">
        <v>635</v>
      </c>
      <c r="E7" s="702" t="s">
        <v>137</v>
      </c>
      <c r="F7" s="702" t="s">
        <v>205</v>
      </c>
      <c r="G7" s="703" t="s">
        <v>637</v>
      </c>
      <c r="H7" s="704" t="s">
        <v>90</v>
      </c>
      <c r="I7" s="705" t="s">
        <v>363</v>
      </c>
      <c r="J7" s="705" t="s">
        <v>636</v>
      </c>
      <c r="K7" s="153"/>
      <c r="L7" s="153"/>
      <c r="M7" s="153"/>
      <c r="N7" s="153"/>
      <c r="O7" s="153"/>
    </row>
    <row r="8" spans="1:15">
      <c r="A8" s="212"/>
      <c r="B8" s="271" t="s">
        <v>779</v>
      </c>
      <c r="C8" s="271" t="s">
        <v>778</v>
      </c>
      <c r="D8" s="271" t="s">
        <v>731</v>
      </c>
      <c r="E8" s="706" t="s">
        <v>153</v>
      </c>
      <c r="F8" s="707">
        <v>2014</v>
      </c>
      <c r="G8" s="708">
        <v>627.21</v>
      </c>
      <c r="H8" s="709" t="s">
        <v>338</v>
      </c>
      <c r="I8" s="709" t="s">
        <v>338</v>
      </c>
      <c r="J8" s="709" t="s">
        <v>780</v>
      </c>
      <c r="K8" s="153"/>
      <c r="L8" s="153"/>
      <c r="M8" s="153"/>
      <c r="N8" s="153"/>
      <c r="O8" s="153"/>
    </row>
    <row r="9" spans="1:15">
      <c r="A9" s="212"/>
      <c r="B9" s="271" t="s">
        <v>779</v>
      </c>
      <c r="C9" s="271" t="s">
        <v>781</v>
      </c>
      <c r="D9" s="271" t="s">
        <v>732</v>
      </c>
      <c r="E9" s="706" t="s">
        <v>153</v>
      </c>
      <c r="F9" s="707">
        <v>2014</v>
      </c>
      <c r="G9" s="708">
        <v>143.63999999999999</v>
      </c>
      <c r="H9" s="709" t="s">
        <v>338</v>
      </c>
      <c r="I9" s="709" t="s">
        <v>338</v>
      </c>
      <c r="J9" s="709" t="s">
        <v>338</v>
      </c>
      <c r="K9" s="153"/>
      <c r="L9" s="153"/>
      <c r="M9" s="153"/>
      <c r="N9" s="153"/>
      <c r="O9" s="153"/>
    </row>
    <row r="10" spans="1:15">
      <c r="A10" s="212"/>
      <c r="B10" s="271" t="s">
        <v>779</v>
      </c>
      <c r="C10" s="271" t="s">
        <v>783</v>
      </c>
      <c r="D10" s="271" t="s">
        <v>731</v>
      </c>
      <c r="E10" s="706" t="s">
        <v>153</v>
      </c>
      <c r="F10" s="707">
        <v>2012</v>
      </c>
      <c r="G10" s="708">
        <v>136.78</v>
      </c>
      <c r="H10" s="709" t="s">
        <v>338</v>
      </c>
      <c r="I10" s="709" t="s">
        <v>338</v>
      </c>
      <c r="J10" s="709" t="s">
        <v>782</v>
      </c>
      <c r="K10" s="153"/>
      <c r="L10" s="153"/>
      <c r="M10" s="153"/>
      <c r="N10" s="153"/>
      <c r="O10" s="153"/>
    </row>
    <row r="11" spans="1:15">
      <c r="A11" s="212"/>
      <c r="B11" s="271" t="s">
        <v>779</v>
      </c>
      <c r="C11" s="271" t="s">
        <v>784</v>
      </c>
      <c r="D11" s="271" t="s">
        <v>748</v>
      </c>
      <c r="E11" s="706"/>
      <c r="F11" s="707">
        <v>2008</v>
      </c>
      <c r="G11" s="709" t="s">
        <v>338</v>
      </c>
      <c r="H11" s="709" t="s">
        <v>338</v>
      </c>
      <c r="I11" s="709" t="s">
        <v>338</v>
      </c>
      <c r="J11" s="709" t="s">
        <v>785</v>
      </c>
      <c r="K11" s="153"/>
      <c r="L11" s="153"/>
      <c r="M11" s="153"/>
      <c r="N11" s="153"/>
      <c r="O11" s="153"/>
    </row>
    <row r="12" spans="1:15">
      <c r="A12" s="212"/>
      <c r="B12" s="271" t="s">
        <v>787</v>
      </c>
      <c r="C12" s="271" t="s">
        <v>786</v>
      </c>
      <c r="D12" s="271" t="s">
        <v>749</v>
      </c>
      <c r="E12" s="706"/>
      <c r="F12" s="707">
        <v>2007</v>
      </c>
      <c r="G12" s="709" t="s">
        <v>338</v>
      </c>
      <c r="H12" s="709" t="s">
        <v>338</v>
      </c>
      <c r="I12" s="709" t="s">
        <v>338</v>
      </c>
      <c r="J12" s="709" t="s">
        <v>338</v>
      </c>
      <c r="K12" s="153"/>
      <c r="L12" s="153"/>
      <c r="M12" s="153"/>
      <c r="N12" s="153"/>
      <c r="O12" s="153"/>
    </row>
    <row r="13" spans="1:15">
      <c r="A13" s="212"/>
      <c r="B13" s="271" t="s">
        <v>779</v>
      </c>
      <c r="C13" s="271" t="s">
        <v>788</v>
      </c>
      <c r="D13" s="271" t="s">
        <v>748</v>
      </c>
      <c r="E13" s="706"/>
      <c r="F13" s="707">
        <v>2009</v>
      </c>
      <c r="G13" s="709" t="s">
        <v>338</v>
      </c>
      <c r="H13" s="709" t="s">
        <v>338</v>
      </c>
      <c r="I13" s="709" t="s">
        <v>338</v>
      </c>
      <c r="J13" s="709" t="s">
        <v>789</v>
      </c>
      <c r="K13" s="153"/>
      <c r="L13" s="153"/>
      <c r="M13" s="153"/>
      <c r="N13" s="153"/>
      <c r="O13" s="153"/>
    </row>
    <row r="14" spans="1:15">
      <c r="A14" s="212"/>
      <c r="B14" s="271" t="s">
        <v>779</v>
      </c>
      <c r="C14" s="271" t="s">
        <v>790</v>
      </c>
      <c r="D14" s="271" t="s">
        <v>748</v>
      </c>
      <c r="E14" s="706"/>
      <c r="F14" s="707">
        <v>2009</v>
      </c>
      <c r="G14" s="709" t="s">
        <v>338</v>
      </c>
      <c r="H14" s="709" t="s">
        <v>338</v>
      </c>
      <c r="I14" s="709" t="s">
        <v>338</v>
      </c>
      <c r="J14" s="709" t="s">
        <v>791</v>
      </c>
      <c r="K14" s="153"/>
      <c r="L14" s="153"/>
      <c r="M14" s="153"/>
      <c r="N14" s="153"/>
      <c r="O14" s="153"/>
    </row>
    <row r="15" spans="1:15">
      <c r="A15" s="212"/>
      <c r="B15" s="271" t="s">
        <v>779</v>
      </c>
      <c r="C15" s="271" t="s">
        <v>792</v>
      </c>
      <c r="D15" s="271" t="s">
        <v>731</v>
      </c>
      <c r="E15" s="706"/>
      <c r="F15" s="707">
        <v>2006</v>
      </c>
      <c r="G15" s="709" t="s">
        <v>338</v>
      </c>
      <c r="H15" s="709" t="s">
        <v>338</v>
      </c>
      <c r="I15" s="709" t="s">
        <v>338</v>
      </c>
      <c r="J15" s="709" t="s">
        <v>338</v>
      </c>
      <c r="K15" s="153"/>
      <c r="L15" s="153"/>
      <c r="M15" s="153"/>
      <c r="N15" s="153"/>
      <c r="O15" s="153"/>
    </row>
    <row r="16" spans="1:15">
      <c r="A16" s="212"/>
      <c r="B16" s="271" t="s">
        <v>779</v>
      </c>
      <c r="C16" s="271" t="s">
        <v>793</v>
      </c>
      <c r="D16" s="271" t="s">
        <v>731</v>
      </c>
      <c r="E16" s="706"/>
      <c r="F16" s="707">
        <v>2007</v>
      </c>
      <c r="G16" s="709" t="s">
        <v>338</v>
      </c>
      <c r="H16" s="709" t="s">
        <v>338</v>
      </c>
      <c r="I16" s="709" t="s">
        <v>338</v>
      </c>
      <c r="J16" s="709" t="s">
        <v>338</v>
      </c>
      <c r="K16" s="153"/>
      <c r="L16" s="153"/>
      <c r="M16" s="153"/>
      <c r="N16" s="153"/>
      <c r="O16" s="153"/>
    </row>
    <row r="17" spans="1:15">
      <c r="A17" s="212"/>
      <c r="B17" s="271" t="s">
        <v>779</v>
      </c>
      <c r="C17" s="271" t="s">
        <v>794</v>
      </c>
      <c r="D17" s="271" t="s">
        <v>731</v>
      </c>
      <c r="E17" s="706"/>
      <c r="F17" s="707">
        <v>2008</v>
      </c>
      <c r="G17" s="709" t="s">
        <v>338</v>
      </c>
      <c r="H17" s="709" t="s">
        <v>338</v>
      </c>
      <c r="I17" s="709" t="s">
        <v>338</v>
      </c>
      <c r="J17" s="709" t="s">
        <v>338</v>
      </c>
      <c r="K17" s="153"/>
      <c r="L17" s="153"/>
      <c r="M17" s="153"/>
      <c r="N17" s="153"/>
      <c r="O17" s="153"/>
    </row>
    <row r="18" spans="1:15">
      <c r="A18" s="212"/>
      <c r="B18" s="271" t="s">
        <v>779</v>
      </c>
      <c r="C18" s="271" t="s">
        <v>795</v>
      </c>
      <c r="D18" s="271" t="s">
        <v>731</v>
      </c>
      <c r="E18" s="706"/>
      <c r="F18" s="707">
        <v>2013</v>
      </c>
      <c r="G18" s="709" t="s">
        <v>338</v>
      </c>
      <c r="H18" s="709" t="s">
        <v>338</v>
      </c>
      <c r="I18" s="709" t="s">
        <v>338</v>
      </c>
      <c r="J18" s="709" t="s">
        <v>796</v>
      </c>
      <c r="K18" s="153"/>
      <c r="L18" s="153"/>
      <c r="M18" s="153"/>
      <c r="N18" s="153"/>
      <c r="O18" s="153"/>
    </row>
    <row r="19" spans="1:15">
      <c r="A19" s="212"/>
      <c r="B19" s="271" t="s">
        <v>779</v>
      </c>
      <c r="C19" s="271" t="s">
        <v>797</v>
      </c>
      <c r="D19" s="271" t="s">
        <v>731</v>
      </c>
      <c r="E19" s="706"/>
      <c r="F19" s="707">
        <v>2013</v>
      </c>
      <c r="G19" s="709" t="s">
        <v>338</v>
      </c>
      <c r="H19" s="709" t="s">
        <v>338</v>
      </c>
      <c r="I19" s="709" t="s">
        <v>338</v>
      </c>
      <c r="J19" s="709" t="s">
        <v>798</v>
      </c>
      <c r="K19" s="153"/>
      <c r="L19" s="153"/>
      <c r="M19" s="153"/>
      <c r="N19" s="153"/>
      <c r="O19" s="153"/>
    </row>
    <row r="20" spans="1:15">
      <c r="A20" s="212"/>
      <c r="B20" s="271" t="s">
        <v>779</v>
      </c>
      <c r="C20" s="271" t="s">
        <v>799</v>
      </c>
      <c r="D20" s="271" t="s">
        <v>731</v>
      </c>
      <c r="E20" s="706"/>
      <c r="F20" s="707">
        <v>2015</v>
      </c>
      <c r="G20" s="709" t="s">
        <v>338</v>
      </c>
      <c r="H20" s="709" t="s">
        <v>338</v>
      </c>
      <c r="I20" s="709" t="s">
        <v>338</v>
      </c>
      <c r="J20" s="709" t="s">
        <v>338</v>
      </c>
      <c r="K20" s="153"/>
      <c r="L20" s="153"/>
      <c r="M20" s="153"/>
      <c r="N20" s="153"/>
      <c r="O20" s="153"/>
    </row>
    <row r="22" spans="1:15">
      <c r="A22" s="228" t="s">
        <v>61</v>
      </c>
      <c r="B22" s="126"/>
      <c r="C22" s="135"/>
      <c r="D22" s="135"/>
      <c r="E22" s="135"/>
      <c r="F22" s="135"/>
      <c r="G22" s="135"/>
      <c r="H22" s="135"/>
      <c r="I22" s="135"/>
      <c r="J22" s="135"/>
      <c r="K22" s="127" t="s">
        <v>281</v>
      </c>
    </row>
    <row r="27" spans="1:15">
      <c r="A27" s="158"/>
      <c r="B27" s="158"/>
      <c r="M27" s="128"/>
    </row>
    <row r="28" spans="1:15">
      <c r="C28" s="224"/>
      <c r="D28" s="224"/>
      <c r="E28" s="224"/>
      <c r="F28" s="224"/>
      <c r="G28" s="224"/>
      <c r="H28" s="224"/>
      <c r="I28" s="224"/>
      <c r="J28" s="224"/>
    </row>
    <row r="29" spans="1:15">
      <c r="C29" s="92"/>
      <c r="D29" s="92"/>
      <c r="E29" s="92"/>
      <c r="F29" s="92"/>
      <c r="G29" s="92"/>
      <c r="H29" s="92"/>
      <c r="I29" s="92"/>
      <c r="J29" s="92"/>
    </row>
    <row r="30" spans="1:15">
      <c r="C30" s="225"/>
      <c r="D30" s="225"/>
      <c r="E30" s="225"/>
      <c r="F30" s="225"/>
      <c r="G30" s="225"/>
      <c r="H30" s="225"/>
      <c r="I30" s="225"/>
      <c r="J30" s="225"/>
    </row>
    <row r="32" spans="1:15">
      <c r="A32" s="13"/>
      <c r="B32" s="13"/>
      <c r="C32" s="222"/>
      <c r="D32" s="222"/>
      <c r="E32" s="222"/>
      <c r="F32" s="222"/>
      <c r="G32" s="222"/>
      <c r="H32" s="222"/>
      <c r="I32" s="222"/>
      <c r="J32" s="222"/>
    </row>
    <row r="33" spans="3:10">
      <c r="C33" s="178"/>
      <c r="D33" s="178"/>
      <c r="E33" s="178"/>
      <c r="F33" s="178"/>
      <c r="G33" s="178"/>
      <c r="H33" s="178"/>
      <c r="I33" s="178"/>
      <c r="J33" s="178"/>
    </row>
    <row r="34" spans="3:10">
      <c r="C34" s="178"/>
      <c r="D34" s="178"/>
      <c r="E34" s="178"/>
      <c r="F34" s="178"/>
      <c r="G34" s="178"/>
      <c r="H34" s="178"/>
      <c r="I34" s="178"/>
      <c r="J34" s="178"/>
    </row>
    <row r="35" spans="3:10">
      <c r="C35" s="178"/>
      <c r="D35" s="178"/>
      <c r="E35" s="178"/>
      <c r="F35" s="178"/>
      <c r="G35" s="178"/>
      <c r="H35" s="178"/>
      <c r="I35" s="178"/>
      <c r="J35" s="178"/>
    </row>
  </sheetData>
  <pageMargins left="0.25" right="0.25" top="0.5" bottom="0.5" header="0.5" footer="0.5"/>
  <pageSetup orientation="landscape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>
    <pageSetUpPr fitToPage="1"/>
  </sheetPr>
  <dimension ref="A1:AL138"/>
  <sheetViews>
    <sheetView showGridLines="0" zoomScale="115" zoomScaleNormal="115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B32" sqref="B32"/>
    </sheetView>
  </sheetViews>
  <sheetFormatPr baseColWidth="10" defaultColWidth="9.42578125" defaultRowHeight="12.75"/>
  <cols>
    <col min="1" max="1" width="36.5703125" style="9" customWidth="1"/>
    <col min="2" max="32" width="9.42578125" style="9"/>
    <col min="33" max="33" width="18.5703125" customWidth="1"/>
    <col min="39" max="16384" width="9.42578125" style="9"/>
  </cols>
  <sheetData>
    <row r="1" spans="1:32" ht="18">
      <c r="A1" s="24" t="s">
        <v>645</v>
      </c>
      <c r="B1" s="129"/>
      <c r="C1" s="129"/>
      <c r="D1" s="129"/>
      <c r="E1" s="129"/>
      <c r="F1" s="129"/>
      <c r="G1" s="129"/>
      <c r="H1" s="409"/>
      <c r="I1" s="1947"/>
      <c r="J1" s="1947"/>
      <c r="K1" s="1947"/>
      <c r="L1" s="409"/>
      <c r="M1" s="409"/>
      <c r="N1" s="409"/>
      <c r="O1" s="409"/>
      <c r="P1" s="409"/>
      <c r="Q1" s="409"/>
      <c r="R1" s="409"/>
      <c r="AD1" s="128" t="s">
        <v>518</v>
      </c>
      <c r="AE1" s="128"/>
      <c r="AF1" s="128"/>
    </row>
    <row r="2" spans="1:32">
      <c r="A2" s="551" t="s">
        <v>478</v>
      </c>
      <c r="B2" s="129"/>
      <c r="C2" s="129"/>
      <c r="D2" s="129"/>
      <c r="E2" s="129"/>
      <c r="F2" s="129"/>
      <c r="G2" s="1947"/>
      <c r="H2" s="1947"/>
      <c r="I2" s="1947"/>
      <c r="J2" s="1947"/>
      <c r="K2" s="1947"/>
      <c r="L2" s="409"/>
      <c r="M2" s="409"/>
      <c r="N2" s="409"/>
      <c r="O2" s="409"/>
      <c r="P2" s="409"/>
      <c r="Q2" s="409"/>
      <c r="R2" s="131" t="s">
        <v>317</v>
      </c>
    </row>
    <row r="3" spans="1:32">
      <c r="G3" s="254"/>
      <c r="H3" s="254"/>
      <c r="I3" s="254"/>
      <c r="J3" s="92"/>
      <c r="K3" s="92"/>
    </row>
    <row r="4" spans="1:32">
      <c r="A4" s="239"/>
      <c r="B4" s="240">
        <f>Financials!J4</f>
        <v>2009</v>
      </c>
      <c r="C4" s="240">
        <f>Financials!K4</f>
        <v>2010</v>
      </c>
      <c r="D4" s="240">
        <f>Financials!L4</f>
        <v>2011</v>
      </c>
      <c r="E4" s="240">
        <f>Financials!M4</f>
        <v>2012</v>
      </c>
      <c r="F4" s="240">
        <f>Financials!N4</f>
        <v>2013</v>
      </c>
      <c r="G4" s="240">
        <f>Financials!O4</f>
        <v>2014</v>
      </c>
      <c r="H4" s="240">
        <f>Financials!P4</f>
        <v>2015</v>
      </c>
      <c r="I4" s="240">
        <f>Financials!Q4</f>
        <v>2016</v>
      </c>
      <c r="J4" s="240">
        <f>Financials!R4</f>
        <v>2017</v>
      </c>
      <c r="K4" s="240">
        <f>Financials!S4</f>
        <v>2018</v>
      </c>
      <c r="L4" s="240">
        <f>Financials!T4</f>
        <v>2019</v>
      </c>
      <c r="M4" s="240">
        <f>Financials!U4</f>
        <v>2020</v>
      </c>
      <c r="N4" s="240">
        <f>Financials!V4</f>
        <v>2021</v>
      </c>
      <c r="O4" s="240">
        <f>Financials!W4</f>
        <v>2022</v>
      </c>
      <c r="P4" s="240">
        <f>Financials!X4</f>
        <v>2023</v>
      </c>
      <c r="Q4" s="576">
        <f>Financials!Y4</f>
        <v>2024</v>
      </c>
      <c r="R4" s="576">
        <f>Financials!Z4</f>
        <v>2025</v>
      </c>
      <c r="S4" s="576">
        <f>Financials!AA4</f>
        <v>2026</v>
      </c>
      <c r="T4" s="576">
        <f>Financials!AB4</f>
        <v>2027</v>
      </c>
      <c r="U4" s="576">
        <f>Financials!AC4</f>
        <v>2028</v>
      </c>
      <c r="V4" s="576">
        <f>Financials!AD4</f>
        <v>2029</v>
      </c>
      <c r="W4" s="576">
        <f>Financials!AE4</f>
        <v>2030</v>
      </c>
      <c r="X4" s="576">
        <f>Financials!AF4</f>
        <v>2031</v>
      </c>
      <c r="Y4" s="576">
        <f>Financials!AG4</f>
        <v>2032</v>
      </c>
      <c r="Z4" s="576">
        <f>Financials!AH4</f>
        <v>2033</v>
      </c>
      <c r="AA4" s="576"/>
    </row>
    <row r="6" spans="1:32">
      <c r="A6" s="13" t="s">
        <v>48</v>
      </c>
      <c r="B6" s="87">
        <f>Financials!J36</f>
        <v>8587.0810000000019</v>
      </c>
      <c r="C6" s="87">
        <f>Financials!K36</f>
        <v>8981.4399999999987</v>
      </c>
      <c r="D6" s="87">
        <f>Financials!L36</f>
        <v>10696.504000000001</v>
      </c>
      <c r="E6" s="87">
        <f>Financials!M36</f>
        <v>13519.513000000001</v>
      </c>
      <c r="F6" s="87">
        <f>Financials!N36</f>
        <v>15712.665000000001</v>
      </c>
      <c r="G6" s="87">
        <f>Financials!O36</f>
        <v>22800.255000000001</v>
      </c>
      <c r="H6" s="87">
        <f>Financials!P36</f>
        <v>32288.376</v>
      </c>
      <c r="I6" s="87">
        <f>Financials!Q36</f>
        <v>37701.866999999998</v>
      </c>
      <c r="J6" s="87">
        <f>Financials!R36</f>
        <v>42529.120999999999</v>
      </c>
      <c r="K6" s="87">
        <f>Financials!S36</f>
        <v>46156.591</v>
      </c>
      <c r="L6" s="87">
        <f>Financials!T36</f>
        <v>58154.618999999999</v>
      </c>
      <c r="M6" s="87">
        <f>Financials!U36</f>
        <v>38495.419000000002</v>
      </c>
      <c r="N6" s="87">
        <f>Financials!V36</f>
        <v>53379.468999999997</v>
      </c>
      <c r="O6" s="87">
        <f>Financials!W36</f>
        <v>68831.305000000008</v>
      </c>
      <c r="P6" s="87">
        <f>Financials!X36</f>
        <v>76231.047999999995</v>
      </c>
      <c r="Q6" s="302">
        <f>Financials!Y36</f>
        <v>78549.033316147907</v>
      </c>
      <c r="R6" s="302">
        <f>Financials!Z36</f>
        <v>86000.984261954174</v>
      </c>
      <c r="S6" s="302">
        <f>Financials!AA36</f>
        <v>91862.025037079569</v>
      </c>
      <c r="T6" s="302">
        <f>Financials!AB36</f>
        <v>97282.619721801486</v>
      </c>
      <c r="U6" s="302">
        <f>Financials!AC36</f>
        <v>102409.94176726675</v>
      </c>
      <c r="V6" s="302">
        <f>Financials!AD36</f>
        <v>107782.73332679388</v>
      </c>
      <c r="W6" s="302">
        <f>Financials!AE36</f>
        <v>113295.62029326905</v>
      </c>
      <c r="X6" s="302">
        <f>Financials!AF36</f>
        <v>118937.34319902334</v>
      </c>
      <c r="Y6" s="302">
        <f>Financials!AG36</f>
        <v>124847.65450233992</v>
      </c>
      <c r="Z6" s="302">
        <f>Financials!AH36</f>
        <v>131016.40663964083</v>
      </c>
    </row>
    <row r="7" spans="1:32">
      <c r="A7" s="36" t="s">
        <v>49</v>
      </c>
      <c r="B7" s="85">
        <f>Financials!J60</f>
        <v>-3166.4590000000003</v>
      </c>
      <c r="C7" s="85">
        <f>Financials!K60</f>
        <v>-3173.1430000000005</v>
      </c>
      <c r="D7" s="85">
        <f>Financials!L60</f>
        <v>-3787.5989999999997</v>
      </c>
      <c r="E7" s="85">
        <f>Financials!M60</f>
        <v>-4759.3680000000004</v>
      </c>
      <c r="F7" s="85">
        <f>Financials!N60</f>
        <v>-5225.7469999999994</v>
      </c>
      <c r="G7" s="85">
        <f>Financials!O60</f>
        <v>-7276.5049999999992</v>
      </c>
      <c r="H7" s="85">
        <f>Financials!P60</f>
        <v>-10149.276</v>
      </c>
      <c r="I7" s="85">
        <f>Financials!Q60</f>
        <v>-11779.630999999999</v>
      </c>
      <c r="J7" s="85">
        <f>Financials!R60</f>
        <v>-12923.188</v>
      </c>
      <c r="K7" s="85">
        <f>Financials!S60</f>
        <v>-14187.508000000002</v>
      </c>
      <c r="L7" s="85">
        <f>Financials!T60</f>
        <v>-17164.022000000001</v>
      </c>
      <c r="M7" s="85">
        <f>Financials!U60</f>
        <v>-11454.883999999998</v>
      </c>
      <c r="N7" s="85">
        <f>Financials!V60</f>
        <v>-16753.061000000002</v>
      </c>
      <c r="O7" s="85">
        <f>Financials!W60</f>
        <v>-22512.075000000001</v>
      </c>
      <c r="P7" s="85">
        <f>Financials!X60</f>
        <v>-25003.550999999999</v>
      </c>
      <c r="Q7" s="294">
        <f>Financials!Y60</f>
        <v>-25539.699611295648</v>
      </c>
      <c r="R7" s="294">
        <f>Financials!Z60</f>
        <v>-28457.514487927321</v>
      </c>
      <c r="S7" s="294">
        <f>Financials!AA60</f>
        <v>-30488.691643925707</v>
      </c>
      <c r="T7" s="294">
        <f>Financials!AB60</f>
        <v>-32385.118524947451</v>
      </c>
      <c r="U7" s="294">
        <f>Financials!AC60</f>
        <v>-34604.147513970311</v>
      </c>
      <c r="V7" s="294">
        <f>Financials!AD60</f>
        <v>-36419.714693512178</v>
      </c>
      <c r="W7" s="294">
        <f>Financials!AE60</f>
        <v>-38282.553337827507</v>
      </c>
      <c r="X7" s="294">
        <f>Financials!AF60</f>
        <v>-40189.006758800271</v>
      </c>
      <c r="Y7" s="294">
        <f>Financials!AG60</f>
        <v>-42186.228880142102</v>
      </c>
      <c r="Z7" s="294">
        <f>Financials!AH60</f>
        <v>-44270.744940989782</v>
      </c>
    </row>
    <row r="8" spans="1:32">
      <c r="A8" s="13" t="s">
        <v>332</v>
      </c>
      <c r="B8" s="87">
        <f t="shared" ref="B8:G8" si="0">B6+B7</f>
        <v>5420.6220000000012</v>
      </c>
      <c r="C8" s="87">
        <f t="shared" si="0"/>
        <v>5808.2969999999987</v>
      </c>
      <c r="D8" s="87">
        <f t="shared" si="0"/>
        <v>6908.9050000000007</v>
      </c>
      <c r="E8" s="87">
        <f t="shared" si="0"/>
        <v>8760.1450000000004</v>
      </c>
      <c r="F8" s="87">
        <f t="shared" si="0"/>
        <v>10486.918000000001</v>
      </c>
      <c r="G8" s="87">
        <f t="shared" si="0"/>
        <v>15523.750000000002</v>
      </c>
      <c r="H8" s="87">
        <f t="shared" ref="H8:R8" si="1">H6+H7</f>
        <v>22139.1</v>
      </c>
      <c r="I8" s="87">
        <f t="shared" si="1"/>
        <v>25922.235999999997</v>
      </c>
      <c r="J8" s="87">
        <f t="shared" si="1"/>
        <v>29605.932999999997</v>
      </c>
      <c r="K8" s="87">
        <f t="shared" si="1"/>
        <v>31969.082999999999</v>
      </c>
      <c r="L8" s="87">
        <f t="shared" si="1"/>
        <v>40990.596999999994</v>
      </c>
      <c r="M8" s="87">
        <f t="shared" si="1"/>
        <v>27040.535000000003</v>
      </c>
      <c r="N8" s="87">
        <f t="shared" si="1"/>
        <v>36626.407999999996</v>
      </c>
      <c r="O8" s="87">
        <f t="shared" si="1"/>
        <v>46319.23000000001</v>
      </c>
      <c r="P8" s="87">
        <f t="shared" si="1"/>
        <v>51227.496999999996</v>
      </c>
      <c r="Q8" s="302">
        <f t="shared" si="1"/>
        <v>53009.333704852259</v>
      </c>
      <c r="R8" s="302">
        <f t="shared" si="1"/>
        <v>57543.469774026853</v>
      </c>
      <c r="S8" s="302">
        <f>S6+S7</f>
        <v>61373.333393153865</v>
      </c>
      <c r="T8" s="302">
        <f>T6+T7</f>
        <v>64897.501196854035</v>
      </c>
      <c r="U8" s="302">
        <f>U6+U7</f>
        <v>67805.794253296437</v>
      </c>
      <c r="V8" s="302">
        <f>V6+V7</f>
        <v>71363.018633281696</v>
      </c>
      <c r="W8" s="302">
        <f>W6+W7</f>
        <v>75013.066955441551</v>
      </c>
      <c r="X8" s="302">
        <f t="shared" ref="X8:Z8" si="2">X6+X7</f>
        <v>78748.336440223065</v>
      </c>
      <c r="Y8" s="302">
        <f t="shared" si="2"/>
        <v>82661.425622197828</v>
      </c>
      <c r="Z8" s="302">
        <f t="shared" si="2"/>
        <v>86745.661698651049</v>
      </c>
    </row>
    <row r="9" spans="1:32">
      <c r="A9" s="36" t="s">
        <v>51</v>
      </c>
      <c r="B9" s="85">
        <f>Financials!J63</f>
        <v>-4420.3860000000004</v>
      </c>
      <c r="C9" s="85">
        <f>Financials!K63</f>
        <v>-4809.6660000000002</v>
      </c>
      <c r="D9" s="85">
        <f>Financials!L63</f>
        <v>-5794.058</v>
      </c>
      <c r="E9" s="85">
        <f>Financials!M63</f>
        <v>-7152.08</v>
      </c>
      <c r="F9" s="85">
        <f>Financials!N63</f>
        <v>-8448.1959999999999</v>
      </c>
      <c r="G9" s="85">
        <f>Financials!O63</f>
        <v>-12730.657999999999</v>
      </c>
      <c r="H9" s="85">
        <f>Financials!P63</f>
        <v>-17837.370999999999</v>
      </c>
      <c r="I9" s="85">
        <f>Financials!Q63</f>
        <v>-20766.998</v>
      </c>
      <c r="J9" s="85">
        <f>Financials!R63</f>
        <v>-23139.688999999998</v>
      </c>
      <c r="K9" s="85">
        <f>Financials!S63</f>
        <v>-25560.766</v>
      </c>
      <c r="L9" s="85">
        <f>Financials!T63</f>
        <v>-28373.038</v>
      </c>
      <c r="M9" s="85">
        <f>Financials!U63</f>
        <v>-20115.798999999999</v>
      </c>
      <c r="N9" s="85">
        <f>Financials!V63</f>
        <v>-24315.138999999996</v>
      </c>
      <c r="O9" s="85">
        <f>Financials!W63</f>
        <v>-32269.436000000002</v>
      </c>
      <c r="P9" s="85">
        <f>Financials!X63</f>
        <v>-35267.108</v>
      </c>
      <c r="Q9" s="294">
        <f>Financials!Y63</f>
        <v>-37224.824719609838</v>
      </c>
      <c r="R9" s="294">
        <f>Financials!Z63</f>
        <v>-40845.480029361148</v>
      </c>
      <c r="S9" s="294">
        <f>Financials!AA63</f>
        <v>-43538.100497271997</v>
      </c>
      <c r="T9" s="294">
        <f>Financials!AB63</f>
        <v>-46009.773461736375</v>
      </c>
      <c r="U9" s="294">
        <f>Financials!AC63</f>
        <v>-48536.856654654082</v>
      </c>
      <c r="V9" s="294">
        <f>Financials!AD63</f>
        <v>-51082.977894216834</v>
      </c>
      <c r="W9" s="294">
        <f>Financials!AE63</f>
        <v>-53695.741087986455</v>
      </c>
      <c r="X9" s="294">
        <f>Financials!AF63</f>
        <v>-56369.283190111673</v>
      </c>
      <c r="Y9" s="294">
        <f>Financials!AG63</f>
        <v>-59170.086372495876</v>
      </c>
      <c r="Z9" s="294">
        <f>Financials!AH63</f>
        <v>-62093.502111055423</v>
      </c>
    </row>
    <row r="10" spans="1:32">
      <c r="A10" s="13" t="s">
        <v>335</v>
      </c>
      <c r="B10" s="87">
        <f>Financials!J67</f>
        <v>1000.2359999999994</v>
      </c>
      <c r="C10" s="87">
        <f>Financials!K67</f>
        <v>998.63099999999986</v>
      </c>
      <c r="D10" s="87">
        <f>Financials!L67</f>
        <v>1114.8470000000004</v>
      </c>
      <c r="E10" s="87">
        <f>Financials!M67</f>
        <v>1608.0649999999994</v>
      </c>
      <c r="F10" s="87">
        <f>Financials!N67</f>
        <v>2038.7220000000002</v>
      </c>
      <c r="G10" s="87">
        <f>Financials!O67</f>
        <v>2793.0920000000001</v>
      </c>
      <c r="H10" s="87">
        <f>Financials!P67</f>
        <v>4301.7290000000003</v>
      </c>
      <c r="I10" s="87">
        <f>Financials!Q67</f>
        <v>5155.2379999999994</v>
      </c>
      <c r="J10" s="87">
        <f>Financials!R67</f>
        <v>6466.2439999999997</v>
      </c>
      <c r="K10" s="87">
        <f>Financials!S67</f>
        <v>6408.3169999999991</v>
      </c>
      <c r="L10" s="87">
        <f>Financials!T67</f>
        <v>12617.558999999997</v>
      </c>
      <c r="M10" s="87">
        <f>Financials!U67</f>
        <v>6924.7359999999981</v>
      </c>
      <c r="N10" s="87">
        <f>Financials!V67</f>
        <v>12311.269</v>
      </c>
      <c r="O10" s="87">
        <f>Financials!W67</f>
        <v>14049.793999999998</v>
      </c>
      <c r="P10" s="87">
        <f>Financials!X67</f>
        <v>15960.388999999996</v>
      </c>
      <c r="Q10" s="302">
        <f>Financials!Y67</f>
        <v>15784.508985242415</v>
      </c>
      <c r="R10" s="302">
        <f>Financials!Z67</f>
        <v>16697.98974466572</v>
      </c>
      <c r="S10" s="302">
        <f>Financials!AA67</f>
        <v>17835.232895881862</v>
      </c>
      <c r="T10" s="302">
        <f>Financials!AB67</f>
        <v>18887.72773511766</v>
      </c>
      <c r="U10" s="302">
        <f>Financials!AC67</f>
        <v>19268.937598642347</v>
      </c>
      <c r="V10" s="302">
        <f>Financials!AD67</f>
        <v>20280.040739064872</v>
      </c>
      <c r="W10" s="302">
        <f>Financials!AE67</f>
        <v>21317.325867455103</v>
      </c>
      <c r="X10" s="302">
        <f>Financials!AF67</f>
        <v>22379.053250111392</v>
      </c>
      <c r="Y10" s="302">
        <f>Financials!AG67</f>
        <v>23491.339249701956</v>
      </c>
      <c r="Z10" s="302">
        <f>Financials!AH67</f>
        <v>24652.159587595641</v>
      </c>
    </row>
    <row r="11" spans="1:32">
      <c r="A11" s="36" t="s">
        <v>36</v>
      </c>
      <c r="B11" s="438">
        <f>Financials!J88</f>
        <v>-665.16699999999992</v>
      </c>
      <c r="C11" s="438">
        <f>Financials!K88</f>
        <v>-670.52599999999995</v>
      </c>
      <c r="D11" s="438">
        <f>Financials!L88</f>
        <v>-661.779</v>
      </c>
      <c r="E11" s="438">
        <f>Financials!M88</f>
        <v>-805.80099999999993</v>
      </c>
      <c r="F11" s="438">
        <f>Financials!N88</f>
        <v>-922.07399999999984</v>
      </c>
      <c r="G11" s="438">
        <f>Financials!O88</f>
        <v>-1336.0809999999999</v>
      </c>
      <c r="H11" s="438">
        <f>Financials!P88</f>
        <v>-1947.8959999999997</v>
      </c>
      <c r="I11" s="438">
        <f>Financials!Q88</f>
        <v>-2388.2359999999999</v>
      </c>
      <c r="J11" s="438">
        <f>Financials!R88</f>
        <v>-2751.6759999999999</v>
      </c>
      <c r="K11" s="438">
        <f>Financials!S88</f>
        <v>-3114.7280000000001</v>
      </c>
      <c r="L11" s="438">
        <f>Financials!T88</f>
        <v>-8046.665</v>
      </c>
      <c r="M11" s="438">
        <f>Financials!U88</f>
        <v>-8378.5339999999997</v>
      </c>
      <c r="N11" s="438">
        <f>Financials!V88</f>
        <v>-8178.3280000000004</v>
      </c>
      <c r="O11" s="438">
        <f>Financials!W88</f>
        <v>-7708.2970000000005</v>
      </c>
      <c r="P11" s="438">
        <f>Financials!X88</f>
        <v>-8060.03</v>
      </c>
      <c r="Q11" s="447">
        <f>Financials!Y88</f>
        <v>-8358.0358469859457</v>
      </c>
      <c r="R11" s="447">
        <f>Financials!Z88</f>
        <v>-8825.5464462468699</v>
      </c>
      <c r="S11" s="447">
        <f>Financials!AA88</f>
        <v>-9023.4744897914425</v>
      </c>
      <c r="T11" s="447">
        <f>Financials!AB88</f>
        <v>-9224.981070845668</v>
      </c>
      <c r="U11" s="447">
        <f>Financials!AC88</f>
        <v>-9561.9092322144006</v>
      </c>
      <c r="V11" s="447">
        <f>Financials!AD88</f>
        <v>-10334.591427064664</v>
      </c>
      <c r="W11" s="447">
        <f>Financials!AE88</f>
        <v>-11194.987541209386</v>
      </c>
      <c r="X11" s="447">
        <f>Financials!AF88</f>
        <v>-12107.989588717486</v>
      </c>
      <c r="Y11" s="447">
        <f>Financials!AG88</f>
        <v>-13105.574967323835</v>
      </c>
      <c r="Z11" s="447">
        <f>Financials!AH88</f>
        <v>-14183.736294791262</v>
      </c>
    </row>
    <row r="12" spans="1:32">
      <c r="A12" s="13" t="s">
        <v>336</v>
      </c>
      <c r="B12" s="87">
        <f t="shared" ref="B12:R12" si="3">B8+B9+B11</f>
        <v>335.06900000000087</v>
      </c>
      <c r="C12" s="87">
        <f t="shared" si="3"/>
        <v>328.10499999999854</v>
      </c>
      <c r="D12" s="87">
        <f t="shared" si="3"/>
        <v>453.06800000000067</v>
      </c>
      <c r="E12" s="87">
        <f t="shared" si="3"/>
        <v>802.26400000000058</v>
      </c>
      <c r="F12" s="87">
        <f t="shared" si="3"/>
        <v>1116.6480000000017</v>
      </c>
      <c r="G12" s="87">
        <f t="shared" si="3"/>
        <v>1457.0110000000025</v>
      </c>
      <c r="H12" s="87">
        <f t="shared" si="3"/>
        <v>2353.8329999999996</v>
      </c>
      <c r="I12" s="87">
        <f t="shared" si="3"/>
        <v>2767.0019999999977</v>
      </c>
      <c r="J12" s="87">
        <f t="shared" si="3"/>
        <v>3714.5679999999988</v>
      </c>
      <c r="K12" s="87">
        <f t="shared" si="3"/>
        <v>3293.588999999999</v>
      </c>
      <c r="L12" s="87">
        <f t="shared" si="3"/>
        <v>4570.8939999999939</v>
      </c>
      <c r="M12" s="87">
        <f t="shared" si="3"/>
        <v>-1453.7979999999952</v>
      </c>
      <c r="N12" s="87">
        <f t="shared" si="3"/>
        <v>4132.9409999999998</v>
      </c>
      <c r="O12" s="87">
        <f t="shared" si="3"/>
        <v>6341.4970000000085</v>
      </c>
      <c r="P12" s="87">
        <f t="shared" si="3"/>
        <v>7900.3589999999958</v>
      </c>
      <c r="Q12" s="302">
        <f t="shared" si="3"/>
        <v>7426.4731382564751</v>
      </c>
      <c r="R12" s="302">
        <f t="shared" si="3"/>
        <v>7872.4432984188352</v>
      </c>
      <c r="S12" s="302">
        <f>S8+S9+S11</f>
        <v>8811.7584060904264</v>
      </c>
      <c r="T12" s="302">
        <f>T8+T9+T11</f>
        <v>9662.7466642719919</v>
      </c>
      <c r="U12" s="302">
        <f>U8+U9+U11</f>
        <v>9707.0283664279541</v>
      </c>
      <c r="V12" s="302">
        <f>V8+V9+V11</f>
        <v>9945.4493120001971</v>
      </c>
      <c r="W12" s="302">
        <f>W8+W9+W11</f>
        <v>10122.33832624571</v>
      </c>
      <c r="X12" s="302">
        <f t="shared" ref="X12:Z12" si="4">X8+X9+X11</f>
        <v>10271.063661393906</v>
      </c>
      <c r="Y12" s="302">
        <f t="shared" si="4"/>
        <v>10385.764282378117</v>
      </c>
      <c r="Z12" s="302">
        <f t="shared" si="4"/>
        <v>10468.423292804364</v>
      </c>
    </row>
    <row r="13" spans="1:32">
      <c r="A13" s="36" t="s">
        <v>54</v>
      </c>
      <c r="B13" s="438">
        <f>Financials!J92</f>
        <v>-127.83699999999999</v>
      </c>
      <c r="C13" s="438">
        <f>Financials!K92</f>
        <v>-79.625</v>
      </c>
      <c r="D13" s="438">
        <f>Financials!L92</f>
        <v>-118.09400000000001</v>
      </c>
      <c r="E13" s="438">
        <f>Financials!M92</f>
        <v>-189.33699999999999</v>
      </c>
      <c r="F13" s="438">
        <f>Financials!N92</f>
        <v>-210.471</v>
      </c>
      <c r="G13" s="438">
        <f>Financials!O92</f>
        <v>-493.46300000000002</v>
      </c>
      <c r="H13" s="438">
        <f>Financials!P92</f>
        <v>-858.86599999999999</v>
      </c>
      <c r="I13" s="438">
        <f>Financials!Q92</f>
        <v>-1179.1570000000002</v>
      </c>
      <c r="J13" s="438">
        <f>Financials!R92</f>
        <v>-1626.5820000000001</v>
      </c>
      <c r="K13" s="438">
        <f>Financials!S92</f>
        <v>-1455.97</v>
      </c>
      <c r="L13" s="438">
        <f>Financials!T92</f>
        <v>-2849.7980000000002</v>
      </c>
      <c r="M13" s="438">
        <f>Financials!U92</f>
        <v>-3567.605</v>
      </c>
      <c r="N13" s="438">
        <f>Financials!V92</f>
        <v>-3135.3649999999998</v>
      </c>
      <c r="O13" s="438">
        <f>Financials!W92</f>
        <v>-3819.6909999999998</v>
      </c>
      <c r="P13" s="438">
        <f>Financials!X92</f>
        <v>-3455.893</v>
      </c>
      <c r="Q13" s="447">
        <f>Financials!Y92</f>
        <v>-5737.6232130327453</v>
      </c>
      <c r="R13" s="447">
        <f>Financials!Z92</f>
        <v>-4991.8497197753422</v>
      </c>
      <c r="S13" s="447">
        <f>Financials!AA92</f>
        <v>-4560.3902133976981</v>
      </c>
      <c r="T13" s="447">
        <f>Financials!AB92</f>
        <v>-3841.8855015204267</v>
      </c>
      <c r="U13" s="447">
        <f>Financials!AC92</f>
        <v>-3554.4274121094963</v>
      </c>
      <c r="V13" s="447">
        <f>Financials!AD92</f>
        <v>-3305.4284781266024</v>
      </c>
      <c r="W13" s="447">
        <f>Financials!AE92</f>
        <v>-3032.6740649394601</v>
      </c>
      <c r="X13" s="447">
        <f>Financials!AF92</f>
        <v>-2722.3707405385467</v>
      </c>
      <c r="Y13" s="447">
        <f>Financials!AG92</f>
        <v>-2390.8902208284844</v>
      </c>
      <c r="Z13" s="447">
        <f>Financials!AH92</f>
        <v>-2037.9835865622217</v>
      </c>
    </row>
    <row r="14" spans="1:32">
      <c r="A14" s="36" t="str">
        <f>Financials!A94</f>
        <v>Other expenses</v>
      </c>
      <c r="B14" s="85">
        <f>Financials!J94</f>
        <v>-23.288999999999998</v>
      </c>
      <c r="C14" s="85">
        <f>Financials!K94</f>
        <v>38.258999999999993</v>
      </c>
      <c r="D14" s="85">
        <f>Financials!L94</f>
        <v>8.8040000000000003</v>
      </c>
      <c r="E14" s="85">
        <f>Financials!M94</f>
        <v>12.978999999999999</v>
      </c>
      <c r="F14" s="85">
        <f>Financials!N94</f>
        <v>43.580999999999996</v>
      </c>
      <c r="G14" s="85">
        <f>Financials!O94</f>
        <v>32.253</v>
      </c>
      <c r="H14" s="85">
        <f>Financials!P94</f>
        <v>27.703000000000003</v>
      </c>
      <c r="I14" s="85">
        <f>Financials!Q94</f>
        <v>67.876999999999995</v>
      </c>
      <c r="J14" s="85">
        <f>Financials!R94</f>
        <v>-0.43800000000000061</v>
      </c>
      <c r="K14" s="85">
        <f>Financials!S94</f>
        <v>0</v>
      </c>
      <c r="L14" s="85">
        <f>Financials!T94</f>
        <v>-0.94300000000000006</v>
      </c>
      <c r="M14" s="85">
        <f>Financials!U94</f>
        <v>-2.617</v>
      </c>
      <c r="N14" s="85">
        <f>Financials!V94</f>
        <v>1.8399999999999999</v>
      </c>
      <c r="O14" s="85">
        <f>Financials!W94</f>
        <v>0</v>
      </c>
      <c r="P14" s="85">
        <f>Financials!X94</f>
        <v>3.4039999999999999</v>
      </c>
      <c r="Q14" s="294">
        <f>Financials!Y94</f>
        <v>0</v>
      </c>
      <c r="R14" s="294">
        <f>Financials!Z94</f>
        <v>0</v>
      </c>
      <c r="S14" s="294">
        <f>Financials!AA94</f>
        <v>0</v>
      </c>
      <c r="T14" s="294">
        <f>Financials!AB94</f>
        <v>0</v>
      </c>
      <c r="U14" s="294">
        <f>Financials!AC94</f>
        <v>0</v>
      </c>
      <c r="V14" s="294">
        <f>Financials!AD94</f>
        <v>0</v>
      </c>
      <c r="W14" s="294">
        <f>Financials!AE94</f>
        <v>0</v>
      </c>
      <c r="X14" s="294">
        <f>Financials!AF94</f>
        <v>0</v>
      </c>
      <c r="Y14" s="294">
        <f>Financials!AG94</f>
        <v>0</v>
      </c>
      <c r="Z14" s="294">
        <f>Financials!AH94</f>
        <v>0</v>
      </c>
    </row>
    <row r="15" spans="1:32">
      <c r="A15" s="13" t="s">
        <v>55</v>
      </c>
      <c r="B15" s="87">
        <f t="shared" ref="B15:G15" si="5">B12+B13+B14</f>
        <v>183.94300000000089</v>
      </c>
      <c r="C15" s="87">
        <f t="shared" si="5"/>
        <v>286.73899999999855</v>
      </c>
      <c r="D15" s="87">
        <f t="shared" si="5"/>
        <v>343.77800000000065</v>
      </c>
      <c r="E15" s="87">
        <f t="shared" si="5"/>
        <v>625.90600000000063</v>
      </c>
      <c r="F15" s="87">
        <f t="shared" si="5"/>
        <v>949.75800000000174</v>
      </c>
      <c r="G15" s="87">
        <f t="shared" si="5"/>
        <v>995.80100000000255</v>
      </c>
      <c r="H15" s="87">
        <f t="shared" ref="H15:R15" si="6">H12+H13+H14</f>
        <v>1522.6699999999996</v>
      </c>
      <c r="I15" s="87">
        <f t="shared" si="6"/>
        <v>1655.7219999999975</v>
      </c>
      <c r="J15" s="87">
        <f t="shared" si="6"/>
        <v>2087.5479999999989</v>
      </c>
      <c r="K15" s="87">
        <f t="shared" si="6"/>
        <v>1837.618999999999</v>
      </c>
      <c r="L15" s="87">
        <f t="shared" si="6"/>
        <v>1720.1529999999937</v>
      </c>
      <c r="M15" s="87">
        <f t="shared" si="6"/>
        <v>-5024.019999999995</v>
      </c>
      <c r="N15" s="87">
        <f t="shared" si="6"/>
        <v>999.41600000000005</v>
      </c>
      <c r="O15" s="87">
        <f t="shared" si="6"/>
        <v>2521.8060000000087</v>
      </c>
      <c r="P15" s="87">
        <f t="shared" si="6"/>
        <v>4447.8699999999963</v>
      </c>
      <c r="Q15" s="302">
        <f t="shared" si="6"/>
        <v>1688.8499252237298</v>
      </c>
      <c r="R15" s="302">
        <f t="shared" si="6"/>
        <v>2880.5935786434929</v>
      </c>
      <c r="S15" s="302">
        <f>S12+S13+S14</f>
        <v>4251.3681926927284</v>
      </c>
      <c r="T15" s="302">
        <f>T12+T13+T14</f>
        <v>5820.8611627515656</v>
      </c>
      <c r="U15" s="302">
        <f>U12+U13+U14</f>
        <v>6152.6009543184573</v>
      </c>
      <c r="V15" s="302">
        <f>V12+V13+V14</f>
        <v>6640.0208338735947</v>
      </c>
      <c r="W15" s="302">
        <f>W12+W13+W14</f>
        <v>7089.6642613062504</v>
      </c>
      <c r="X15" s="302">
        <f t="shared" ref="X15:Z15" si="7">X12+X13+X14</f>
        <v>7548.6929208553593</v>
      </c>
      <c r="Y15" s="302">
        <f t="shared" si="7"/>
        <v>7994.8740615496326</v>
      </c>
      <c r="Z15" s="302">
        <f t="shared" si="7"/>
        <v>8430.4397062421413</v>
      </c>
    </row>
    <row r="16" spans="1:32">
      <c r="A16" s="36" t="s">
        <v>356</v>
      </c>
      <c r="B16" s="85">
        <f>Financials!J97</f>
        <v>-45.084999999999994</v>
      </c>
      <c r="C16" s="85">
        <f>Financials!K97</f>
        <v>-127.749</v>
      </c>
      <c r="D16" s="85">
        <f>Financials!L97</f>
        <v>-107.01700000000001</v>
      </c>
      <c r="E16" s="85">
        <f>Financials!M97</f>
        <v>-222.46199999999999</v>
      </c>
      <c r="F16" s="85">
        <f>Financials!N97</f>
        <v>-284.86799999999999</v>
      </c>
      <c r="G16" s="85">
        <f>Financials!O97</f>
        <v>-364.59300000000002</v>
      </c>
      <c r="H16" s="85">
        <f>Financials!P97</f>
        <v>-489.91800000000001</v>
      </c>
      <c r="I16" s="85">
        <f>Financials!Q97</f>
        <v>-529.23200000000008</v>
      </c>
      <c r="J16" s="85">
        <f>Financials!R97</f>
        <v>-835.42800000000011</v>
      </c>
      <c r="K16" s="85">
        <f>Financials!S97</f>
        <v>-698.29500000000007</v>
      </c>
      <c r="L16" s="85">
        <f>Financials!T97</f>
        <v>-635.41899999999998</v>
      </c>
      <c r="M16" s="85">
        <f>Financials!U97</f>
        <v>1178.0889999999999</v>
      </c>
      <c r="N16" s="85">
        <f>Financials!V97</f>
        <v>-214.94599999999997</v>
      </c>
      <c r="O16" s="85">
        <f>Financials!W97</f>
        <v>-937.01099999999997</v>
      </c>
      <c r="P16" s="85">
        <f>Financials!X97</f>
        <v>-1457.873</v>
      </c>
      <c r="Q16" s="294">
        <f>Financials!Y97</f>
        <v>-565.3616409748854</v>
      </c>
      <c r="R16" s="294">
        <f>Financials!Z97</f>
        <v>-979.40181673879272</v>
      </c>
      <c r="S16" s="294">
        <f>Financials!AA97</f>
        <v>-1445.4651855155253</v>
      </c>
      <c r="T16" s="294">
        <f>Financials!AB97</f>
        <v>-1979.0927953355317</v>
      </c>
      <c r="U16" s="294">
        <f>Financials!AC97</f>
        <v>-2091.884324468273</v>
      </c>
      <c r="V16" s="294">
        <f>Financials!AD97</f>
        <v>-2257.6070835170258</v>
      </c>
      <c r="W16" s="294">
        <f>Financials!AE97</f>
        <v>-2410.4858488441282</v>
      </c>
      <c r="X16" s="294">
        <f>Financials!AF97</f>
        <v>-2566.5555930908231</v>
      </c>
      <c r="Y16" s="294">
        <f>Financials!AG97</f>
        <v>-2718.2571809268757</v>
      </c>
      <c r="Z16" s="294">
        <f>Financials!AH97</f>
        <v>-2866.3495001223318</v>
      </c>
    </row>
    <row r="17" spans="1:26">
      <c r="A17" s="13" t="s">
        <v>57</v>
      </c>
      <c r="B17" s="437">
        <f t="shared" ref="B17:G17" si="8">B15+B16</f>
        <v>138.85800000000091</v>
      </c>
      <c r="C17" s="437">
        <f t="shared" si="8"/>
        <v>158.98999999999856</v>
      </c>
      <c r="D17" s="437">
        <f t="shared" si="8"/>
        <v>236.76100000000065</v>
      </c>
      <c r="E17" s="437">
        <f t="shared" si="8"/>
        <v>403.44400000000064</v>
      </c>
      <c r="F17" s="437">
        <f t="shared" si="8"/>
        <v>664.89000000000169</v>
      </c>
      <c r="G17" s="437">
        <f t="shared" si="8"/>
        <v>631.20800000000258</v>
      </c>
      <c r="H17" s="437">
        <f t="shared" ref="H17:R17" si="9">H15+H16</f>
        <v>1032.7519999999995</v>
      </c>
      <c r="I17" s="437">
        <f t="shared" si="9"/>
        <v>1126.4899999999975</v>
      </c>
      <c r="J17" s="437">
        <f t="shared" si="9"/>
        <v>1252.1199999999988</v>
      </c>
      <c r="K17" s="437">
        <f t="shared" si="9"/>
        <v>1139.3239999999989</v>
      </c>
      <c r="L17" s="437">
        <f t="shared" si="9"/>
        <v>1084.7339999999936</v>
      </c>
      <c r="M17" s="437">
        <f t="shared" si="9"/>
        <v>-3845.930999999995</v>
      </c>
      <c r="N17" s="437">
        <f t="shared" si="9"/>
        <v>784.47</v>
      </c>
      <c r="O17" s="437">
        <f t="shared" si="9"/>
        <v>1584.7950000000087</v>
      </c>
      <c r="P17" s="437">
        <f t="shared" si="9"/>
        <v>2989.9969999999962</v>
      </c>
      <c r="Q17" s="302">
        <f t="shared" si="9"/>
        <v>1123.4882842488444</v>
      </c>
      <c r="R17" s="302">
        <f t="shared" si="9"/>
        <v>1901.1917619047003</v>
      </c>
      <c r="S17" s="302">
        <f>S15+S16</f>
        <v>2805.9030071772031</v>
      </c>
      <c r="T17" s="302">
        <f>T15+T16</f>
        <v>3841.7683674160339</v>
      </c>
      <c r="U17" s="302">
        <f>U15+U16</f>
        <v>4060.7166298501843</v>
      </c>
      <c r="V17" s="302">
        <f>V15+V16</f>
        <v>4382.4137503565689</v>
      </c>
      <c r="W17" s="302">
        <f>W15+W16</f>
        <v>4679.1784124621227</v>
      </c>
      <c r="X17" s="302">
        <f t="shared" ref="X17:Z17" si="10">X15+X16</f>
        <v>4982.1373277645362</v>
      </c>
      <c r="Y17" s="302">
        <f t="shared" si="10"/>
        <v>5276.616880622757</v>
      </c>
      <c r="Z17" s="302">
        <f t="shared" si="10"/>
        <v>5564.0902061198094</v>
      </c>
    </row>
    <row r="18" spans="1:26">
      <c r="A18" s="9" t="s">
        <v>58</v>
      </c>
      <c r="B18" s="85">
        <f>Financials!J100</f>
        <v>-3.2130000000000001</v>
      </c>
      <c r="C18" s="85">
        <f>Financials!K100</f>
        <v>-7.7640000000000011</v>
      </c>
      <c r="D18" s="85">
        <f>Financials!L100</f>
        <v>-21.265000000000001</v>
      </c>
      <c r="E18" s="85">
        <f>Financials!M100</f>
        <v>-36.879000000000005</v>
      </c>
      <c r="F18" s="85">
        <f>Financials!N100</f>
        <v>17.695</v>
      </c>
      <c r="G18" s="85">
        <f>Financials!O100</f>
        <v>42.572000000000003</v>
      </c>
      <c r="H18" s="85">
        <f>Financials!P100</f>
        <v>-51.545999999999999</v>
      </c>
      <c r="I18" s="85">
        <f>Financials!Q100</f>
        <v>-130.018</v>
      </c>
      <c r="J18" s="85">
        <f>Financials!R100</f>
        <v>-162.65100000000001</v>
      </c>
      <c r="K18" s="85">
        <f>Financials!S100</f>
        <v>-186.07100000000003</v>
      </c>
      <c r="L18" s="85">
        <f>Financials!T100</f>
        <v>-158.06399999999999</v>
      </c>
      <c r="M18" s="85">
        <f>Financials!U100</f>
        <v>659.88400000000001</v>
      </c>
      <c r="N18" s="85">
        <f>Financials!V100</f>
        <v>50.66</v>
      </c>
      <c r="O18" s="85">
        <f>Financials!W100</f>
        <v>47.54</v>
      </c>
      <c r="P18" s="85">
        <f>Financials!X100</f>
        <v>-59.268000000000001</v>
      </c>
      <c r="Q18" s="294">
        <f>Financials!Y100</f>
        <v>6.800000000000006E-2</v>
      </c>
      <c r="R18" s="294">
        <f>Financials!Z100</f>
        <v>0</v>
      </c>
      <c r="S18" s="294">
        <f>Financials!AA100</f>
        <v>0</v>
      </c>
      <c r="T18" s="294">
        <f>Financials!AB100</f>
        <v>0</v>
      </c>
      <c r="U18" s="294">
        <f>Financials!AC100</f>
        <v>0</v>
      </c>
      <c r="V18" s="294">
        <f>Financials!AD100</f>
        <v>0</v>
      </c>
      <c r="W18" s="294">
        <f>Financials!AE100</f>
        <v>0</v>
      </c>
      <c r="X18" s="294">
        <f>Financials!AF100</f>
        <v>0</v>
      </c>
      <c r="Y18" s="294">
        <f>Financials!AG100</f>
        <v>0</v>
      </c>
      <c r="Z18" s="294">
        <f>Financials!AH100</f>
        <v>0</v>
      </c>
    </row>
    <row r="19" spans="1:26">
      <c r="A19" s="9" t="s">
        <v>707</v>
      </c>
      <c r="B19" s="85">
        <f>Financials!J101</f>
        <v>-31.897000000000002</v>
      </c>
      <c r="C19" s="85">
        <f>Financials!K101</f>
        <v>0</v>
      </c>
      <c r="D19" s="85">
        <f>Financials!L101</f>
        <v>-5.8520000000000003</v>
      </c>
      <c r="E19" s="85">
        <f>Financials!M101</f>
        <v>0</v>
      </c>
      <c r="F19" s="85">
        <f>Financials!N101</f>
        <v>-1.5720000000000001</v>
      </c>
      <c r="G19" s="85">
        <f>Financials!O101</f>
        <v>-7.1139999999999999</v>
      </c>
      <c r="H19" s="85">
        <f>Financials!P101</f>
        <v>0</v>
      </c>
      <c r="I19" s="85">
        <f>Financials!Q101</f>
        <v>0</v>
      </c>
      <c r="J19" s="85">
        <f>Financials!R101</f>
        <v>0</v>
      </c>
      <c r="K19" s="85">
        <f>Financials!S101</f>
        <v>0</v>
      </c>
      <c r="L19" s="85">
        <f>Financials!T101</f>
        <v>0</v>
      </c>
      <c r="M19" s="85">
        <f>Financials!U101</f>
        <v>0</v>
      </c>
      <c r="N19" s="85">
        <f>Financials!V101</f>
        <v>0</v>
      </c>
      <c r="O19" s="85">
        <f>Financials!W101</f>
        <v>0</v>
      </c>
      <c r="P19" s="85">
        <f>Financials!X101</f>
        <v>0</v>
      </c>
      <c r="Q19" s="294">
        <f>Financials!Y101</f>
        <v>0</v>
      </c>
      <c r="R19" s="294">
        <f>Financials!Z101</f>
        <v>0</v>
      </c>
      <c r="S19" s="294">
        <f>Financials!AA101</f>
        <v>0</v>
      </c>
      <c r="T19" s="294">
        <f>Financials!AB101</f>
        <v>0</v>
      </c>
      <c r="U19" s="294">
        <f>Financials!AC101</f>
        <v>0</v>
      </c>
      <c r="V19" s="294">
        <f>Financials!AD101</f>
        <v>0</v>
      </c>
      <c r="W19" s="294">
        <f>Financials!AE101</f>
        <v>0</v>
      </c>
      <c r="X19" s="294">
        <f>Financials!AF101</f>
        <v>0</v>
      </c>
      <c r="Y19" s="294">
        <f>Financials!AG101</f>
        <v>0</v>
      </c>
      <c r="Z19" s="294">
        <f>Financials!AH101</f>
        <v>0</v>
      </c>
    </row>
    <row r="20" spans="1:26">
      <c r="A20" s="13" t="s">
        <v>59</v>
      </c>
      <c r="B20" s="87">
        <f>Financials!J102</f>
        <v>103.74800000000091</v>
      </c>
      <c r="C20" s="87">
        <f>Financials!K102</f>
        <v>151.22599999999855</v>
      </c>
      <c r="D20" s="87">
        <f>Financials!L102</f>
        <v>209.64400000000066</v>
      </c>
      <c r="E20" s="87">
        <f>Financials!M102</f>
        <v>366.56500000000062</v>
      </c>
      <c r="F20" s="87">
        <f>Financials!N102</f>
        <v>681.01300000000174</v>
      </c>
      <c r="G20" s="87">
        <f>Financials!O102</f>
        <v>666.66600000000255</v>
      </c>
      <c r="H20" s="87">
        <f>Financials!P102</f>
        <v>981.20599999999945</v>
      </c>
      <c r="I20" s="87">
        <f>Financials!Q102</f>
        <v>996.47199999999748</v>
      </c>
      <c r="J20" s="87">
        <f>Financials!R102</f>
        <v>1089.4689999999987</v>
      </c>
      <c r="K20" s="87">
        <f>Financials!S102</f>
        <v>953.25299999999891</v>
      </c>
      <c r="L20" s="87">
        <f>Financials!T102</f>
        <v>926.66999999999723</v>
      </c>
      <c r="M20" s="87">
        <f>Financials!U102</f>
        <v>-3186.0470000000023</v>
      </c>
      <c r="N20" s="87">
        <f>Financials!V102</f>
        <v>835.13</v>
      </c>
      <c r="O20" s="87">
        <f>Financials!W102</f>
        <v>1632.3349999999978</v>
      </c>
      <c r="P20" s="87">
        <f>Financials!X102</f>
        <v>2930.7289999999962</v>
      </c>
      <c r="Q20" s="302">
        <f>Financials!Y102</f>
        <v>1123.5562842488389</v>
      </c>
      <c r="R20" s="302">
        <f>Financials!Z102</f>
        <v>1901.1917619047149</v>
      </c>
      <c r="S20" s="302">
        <f>Financials!AA102</f>
        <v>2805.9030071771958</v>
      </c>
      <c r="T20" s="302">
        <f>Financials!AB102</f>
        <v>3841.7683674160339</v>
      </c>
      <c r="U20" s="302">
        <f>Financials!AC102</f>
        <v>4060.716629850177</v>
      </c>
      <c r="V20" s="302">
        <f>Financials!AD102</f>
        <v>4382.4137503565798</v>
      </c>
      <c r="W20" s="302">
        <f>Financials!AE102</f>
        <v>4679.1784124621299</v>
      </c>
      <c r="X20" s="302">
        <f>Financials!AF102</f>
        <v>4982.1373277645362</v>
      </c>
      <c r="Y20" s="302">
        <f>Financials!AG102</f>
        <v>5276.6168806227606</v>
      </c>
      <c r="Z20" s="302">
        <f>Financials!AH102</f>
        <v>5564.090206119824</v>
      </c>
    </row>
    <row r="21" spans="1:26">
      <c r="A21" s="13" t="s">
        <v>126</v>
      </c>
      <c r="B21" s="87">
        <f>Financials!J106</f>
        <v>103.74800000000091</v>
      </c>
      <c r="C21" s="87">
        <f>Financials!K106</f>
        <v>151.22599999999855</v>
      </c>
      <c r="D21" s="87">
        <f>Financials!L106</f>
        <v>209.64400000000063</v>
      </c>
      <c r="E21" s="87">
        <f>Financials!M106</f>
        <v>366.56500000000062</v>
      </c>
      <c r="F21" s="87">
        <f>Financials!N106</f>
        <v>681.01300000000174</v>
      </c>
      <c r="G21" s="87">
        <f>Financials!O106</f>
        <v>666.66600000000255</v>
      </c>
      <c r="H21" s="87">
        <f>Financials!P106</f>
        <v>981.20599999999945</v>
      </c>
      <c r="I21" s="87">
        <f>Financials!Q106</f>
        <v>996.47199999999748</v>
      </c>
      <c r="J21" s="87">
        <f>Financials!R106</f>
        <v>1089.4689999999987</v>
      </c>
      <c r="K21" s="87">
        <f>Financials!S106</f>
        <v>953.25299999999891</v>
      </c>
      <c r="L21" s="87">
        <f>Financials!T106</f>
        <v>926.66999999999723</v>
      </c>
      <c r="M21" s="87">
        <f>Financials!U106</f>
        <v>-3186.0470000000023</v>
      </c>
      <c r="N21" s="87">
        <f>Financials!V106</f>
        <v>835.13</v>
      </c>
      <c r="O21" s="87">
        <f>Financials!W106</f>
        <v>1632.3349999999978</v>
      </c>
      <c r="P21" s="87">
        <f>Financials!X106</f>
        <v>2930.7289999999962</v>
      </c>
      <c r="Q21" s="302">
        <f>Financials!Y106</f>
        <v>1123.5562842488389</v>
      </c>
      <c r="R21" s="302">
        <f>Financials!Z106</f>
        <v>1901.1917619047149</v>
      </c>
      <c r="S21" s="302">
        <f>Financials!AA106</f>
        <v>2805.9030071771958</v>
      </c>
      <c r="T21" s="302">
        <f>Financials!AB106</f>
        <v>3841.7683674160339</v>
      </c>
      <c r="U21" s="302">
        <f>Financials!AC106</f>
        <v>4060.716629850177</v>
      </c>
      <c r="V21" s="302">
        <f>Financials!AD106</f>
        <v>4382.4137503565798</v>
      </c>
      <c r="W21" s="302">
        <f>Financials!AE106</f>
        <v>4679.1784124621299</v>
      </c>
      <c r="X21" s="302">
        <f>Financials!AF106</f>
        <v>4982.1373277645362</v>
      </c>
      <c r="Y21" s="302">
        <f>Financials!AG106</f>
        <v>5276.6168806227606</v>
      </c>
      <c r="Z21" s="302">
        <f>Financials!AH106</f>
        <v>5564.090206119824</v>
      </c>
    </row>
    <row r="22" spans="1:26"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296"/>
      <c r="R22" s="296"/>
      <c r="S22" s="296"/>
      <c r="T22" s="296"/>
      <c r="U22" s="296"/>
      <c r="V22" s="296"/>
      <c r="W22" s="296"/>
      <c r="X22" s="296"/>
      <c r="Y22" s="296"/>
      <c r="Z22" s="296"/>
    </row>
    <row r="23" spans="1:26">
      <c r="A23" s="9" t="s">
        <v>591</v>
      </c>
      <c r="B23" s="85">
        <f>Financials!J111</f>
        <v>601.79999999999995</v>
      </c>
      <c r="C23" s="85">
        <f>Financials!K111</f>
        <v>605.20000000000005</v>
      </c>
      <c r="D23" s="85">
        <f>Financials!L111</f>
        <v>606</v>
      </c>
      <c r="E23" s="85">
        <f>Financials!M111</f>
        <v>687.8</v>
      </c>
      <c r="F23" s="85">
        <f>Financials!N111</f>
        <v>687.8</v>
      </c>
      <c r="G23" s="85">
        <f>Financials!O111</f>
        <v>837.6</v>
      </c>
      <c r="H23" s="85">
        <f>Financials!P111</f>
        <v>837.5</v>
      </c>
      <c r="I23" s="85">
        <f>Financials!Q111</f>
        <v>834.3</v>
      </c>
      <c r="J23" s="85">
        <f>Financials!R111</f>
        <v>832.8</v>
      </c>
      <c r="K23" s="85">
        <f>Financials!S111</f>
        <v>835.6</v>
      </c>
      <c r="L23" s="85">
        <f>Financials!T111</f>
        <v>838.5</v>
      </c>
      <c r="M23" s="85">
        <f>Financials!U111</f>
        <v>838.5</v>
      </c>
      <c r="N23" s="85">
        <f>Financials!V111</f>
        <v>838.6</v>
      </c>
      <c r="O23" s="85">
        <f>Financials!W111</f>
        <v>820</v>
      </c>
      <c r="P23" s="85">
        <f>Financials!X111</f>
        <v>809.7</v>
      </c>
      <c r="Q23" s="294">
        <f>Financials!Y111</f>
        <v>815</v>
      </c>
      <c r="R23" s="294">
        <f>Financials!Z111</f>
        <v>815</v>
      </c>
      <c r="S23" s="294">
        <f>Financials!AA111</f>
        <v>815</v>
      </c>
      <c r="T23" s="294">
        <f>Financials!AB111</f>
        <v>815</v>
      </c>
      <c r="U23" s="294">
        <f>Financials!AC111</f>
        <v>815</v>
      </c>
      <c r="V23" s="294">
        <f>Financials!AD111</f>
        <v>815</v>
      </c>
      <c r="W23" s="294">
        <f>Financials!AE111</f>
        <v>815</v>
      </c>
      <c r="X23" s="294">
        <f>Financials!AF111</f>
        <v>815</v>
      </c>
      <c r="Y23" s="294">
        <f>Financials!AG111</f>
        <v>815</v>
      </c>
      <c r="Z23" s="294">
        <f>Financials!AH111</f>
        <v>815</v>
      </c>
    </row>
    <row r="24" spans="1:26">
      <c r="A24" s="9" t="s">
        <v>592</v>
      </c>
      <c r="B24" s="438" t="str">
        <f>Financials!J112</f>
        <v>ND</v>
      </c>
      <c r="C24" s="85">
        <f>Financials!K112</f>
        <v>603.5</v>
      </c>
      <c r="D24" s="85">
        <f>Financials!L112</f>
        <v>605.6</v>
      </c>
      <c r="E24" s="85">
        <f>Financials!M112</f>
        <v>646.9</v>
      </c>
      <c r="F24" s="85">
        <f>Financials!N112</f>
        <v>687.8</v>
      </c>
      <c r="G24" s="85">
        <f>Financials!O112</f>
        <v>762.7</v>
      </c>
      <c r="H24" s="85">
        <f>Financials!P112</f>
        <v>837.55</v>
      </c>
      <c r="I24" s="85">
        <f>Financials!Q112</f>
        <v>835.9</v>
      </c>
      <c r="J24" s="85">
        <f>Financials!R112</f>
        <v>833.55</v>
      </c>
      <c r="K24" s="85">
        <f>Financials!S112</f>
        <v>834.2</v>
      </c>
      <c r="L24" s="85">
        <f>Financials!T112</f>
        <v>837.05</v>
      </c>
      <c r="M24" s="85">
        <f>Financials!U112</f>
        <v>838.5</v>
      </c>
      <c r="N24" s="85">
        <f>Financials!V112</f>
        <v>838.55</v>
      </c>
      <c r="O24" s="85">
        <f>Financials!W112</f>
        <v>829.3</v>
      </c>
      <c r="P24" s="85">
        <f>Financials!X112</f>
        <v>814.85</v>
      </c>
      <c r="Q24" s="294">
        <f>Financials!Y112</f>
        <v>812.35</v>
      </c>
      <c r="R24" s="294">
        <f>Financials!Z112</f>
        <v>815</v>
      </c>
      <c r="S24" s="294">
        <f>Financials!AA112</f>
        <v>815</v>
      </c>
      <c r="T24" s="294">
        <f>Financials!AB112</f>
        <v>815</v>
      </c>
      <c r="U24" s="294">
        <f>Financials!AC112</f>
        <v>815</v>
      </c>
      <c r="V24" s="294">
        <f>Financials!AD112</f>
        <v>815</v>
      </c>
      <c r="W24" s="294">
        <f>Financials!AE112</f>
        <v>815</v>
      </c>
      <c r="X24" s="294">
        <f>Financials!AF112</f>
        <v>815</v>
      </c>
      <c r="Y24" s="294">
        <f>Financials!AG112</f>
        <v>815</v>
      </c>
      <c r="Z24" s="294">
        <f>Financials!AH112</f>
        <v>815</v>
      </c>
    </row>
    <row r="25" spans="1:26">
      <c r="A25" s="9" t="s">
        <v>593</v>
      </c>
      <c r="B25" s="85">
        <f>Financials!J113</f>
        <v>601.79999999999995</v>
      </c>
      <c r="C25" s="85">
        <f>AVERAGE(Financials!J113:K113)</f>
        <v>603.5</v>
      </c>
      <c r="D25" s="85">
        <f>AVERAGE(Financials!K113:L113)</f>
        <v>605.6</v>
      </c>
      <c r="E25" s="85">
        <f>AVERAGE(Financials!L113:M113)</f>
        <v>646.9</v>
      </c>
      <c r="F25" s="85">
        <f>AVERAGE(Financials!M113:N113)</f>
        <v>687.8</v>
      </c>
      <c r="G25" s="85">
        <f>AVERAGE(Financials!N113:O113)</f>
        <v>762.7</v>
      </c>
      <c r="H25" s="85">
        <f>AVERAGE(Financials!O113:P113)</f>
        <v>837.55</v>
      </c>
      <c r="I25" s="85">
        <f>AVERAGE(Financials!P113:Q113)</f>
        <v>835.9</v>
      </c>
      <c r="J25" s="85">
        <f>AVERAGE(Financials!Q113:R113)</f>
        <v>833.55</v>
      </c>
      <c r="K25" s="85">
        <f>AVERAGE(Financials!R113:S113)</f>
        <v>834.2</v>
      </c>
      <c r="L25" s="85">
        <f>AVERAGE(Financials!S113:T113)</f>
        <v>837.05</v>
      </c>
      <c r="M25" s="85">
        <f>AVERAGE(Financials!T113:U113)</f>
        <v>838.5</v>
      </c>
      <c r="N25" s="85">
        <f>AVERAGE(Financials!U113:V113)</f>
        <v>838.55</v>
      </c>
      <c r="O25" s="85">
        <f>AVERAGE(Financials!V113:W113)</f>
        <v>829.3</v>
      </c>
      <c r="P25" s="85">
        <f>AVERAGE(Financials!W113:X113)</f>
        <v>814.85</v>
      </c>
      <c r="Q25" s="294">
        <f>AVERAGE(Financials!X113:Y113)</f>
        <v>812.35</v>
      </c>
      <c r="R25" s="294">
        <f>AVERAGE(Financials!Y113:Z113)</f>
        <v>815</v>
      </c>
      <c r="S25" s="294">
        <f>AVERAGE(Financials!Z113:AA113)</f>
        <v>815</v>
      </c>
      <c r="T25" s="294">
        <f>AVERAGE(Financials!AA113:AB113)</f>
        <v>815</v>
      </c>
      <c r="U25" s="294">
        <f>AVERAGE(Financials!AB113:AC113)</f>
        <v>815</v>
      </c>
      <c r="V25" s="294">
        <f>AVERAGE(Financials!AC113:AD113)</f>
        <v>815</v>
      </c>
      <c r="W25" s="294">
        <f>AVERAGE(Financials!AD113:AE113)</f>
        <v>815</v>
      </c>
      <c r="X25" s="294">
        <f>AVERAGE(Financials!AE113:AF113)</f>
        <v>815</v>
      </c>
      <c r="Y25" s="294">
        <f>AVERAGE(Financials!AF113:AG113)</f>
        <v>815</v>
      </c>
      <c r="Z25" s="294">
        <f>AVERAGE(Financials!AG113:AH113)</f>
        <v>815</v>
      </c>
    </row>
    <row r="26" spans="1:26">
      <c r="A26" s="9" t="s">
        <v>773</v>
      </c>
      <c r="B26" s="235">
        <f t="shared" ref="B26:G26" si="11">B21/B25</f>
        <v>0.17239614489863894</v>
      </c>
      <c r="C26" s="235">
        <f t="shared" si="11"/>
        <v>0.25058160729080126</v>
      </c>
      <c r="D26" s="235">
        <f t="shared" si="11"/>
        <v>0.34617569352708161</v>
      </c>
      <c r="E26" s="235">
        <f t="shared" si="11"/>
        <v>0.56664863193693094</v>
      </c>
      <c r="F26" s="235">
        <f t="shared" si="11"/>
        <v>0.99013230590288137</v>
      </c>
      <c r="G26" s="235">
        <f t="shared" si="11"/>
        <v>0.87408679690573299</v>
      </c>
      <c r="H26" s="235">
        <f t="shared" ref="H26:R26" si="12">H21/H25</f>
        <v>1.1715193122798633</v>
      </c>
      <c r="I26" s="235">
        <f t="shared" si="12"/>
        <v>1.1920947481756161</v>
      </c>
      <c r="J26" s="235">
        <f t="shared" si="12"/>
        <v>1.3070229740267516</v>
      </c>
      <c r="K26" s="235">
        <f t="shared" si="12"/>
        <v>1.1427151762167331</v>
      </c>
      <c r="L26" s="235">
        <f t="shared" si="12"/>
        <v>1.1070664834836597</v>
      </c>
      <c r="M26" s="235">
        <f t="shared" si="12"/>
        <v>-3.7996982707215294</v>
      </c>
      <c r="N26" s="235">
        <f t="shared" si="12"/>
        <v>0.9959215312145967</v>
      </c>
      <c r="O26" s="235">
        <f t="shared" si="12"/>
        <v>1.968328710961049</v>
      </c>
      <c r="P26" s="235">
        <f t="shared" si="12"/>
        <v>3.5966484629072788</v>
      </c>
      <c r="Q26" s="448">
        <f t="shared" si="12"/>
        <v>1.3830938440928651</v>
      </c>
      <c r="R26" s="448">
        <f t="shared" si="12"/>
        <v>2.3327506281039447</v>
      </c>
      <c r="S26" s="448">
        <f>S21/S25</f>
        <v>3.4428257756775409</v>
      </c>
      <c r="T26" s="448">
        <f>T21/T25</f>
        <v>4.7138262176883856</v>
      </c>
      <c r="U26" s="448">
        <f>U21/U25</f>
        <v>4.982474392454205</v>
      </c>
      <c r="V26" s="448">
        <f>V21/V25</f>
        <v>5.3771947857135949</v>
      </c>
      <c r="W26" s="448">
        <f>W21/W25</f>
        <v>5.7413232054750063</v>
      </c>
      <c r="X26" s="448">
        <f t="shared" ref="X26:Z26" si="13">X21/X25</f>
        <v>6.1130519359074063</v>
      </c>
      <c r="Y26" s="448">
        <f t="shared" si="13"/>
        <v>6.4743765406414244</v>
      </c>
      <c r="Z26" s="448">
        <f t="shared" si="13"/>
        <v>6.8271045473862868</v>
      </c>
    </row>
    <row r="27" spans="1:26">
      <c r="A27" s="9" t="s">
        <v>774</v>
      </c>
      <c r="B27" s="235">
        <f>Financials!J118</f>
        <v>6.9514788966434038E-2</v>
      </c>
      <c r="C27" s="235">
        <f>Financials!K118</f>
        <v>0.40640779907468599</v>
      </c>
      <c r="D27" s="235">
        <f>Financials!L118</f>
        <v>0.20238943894389438</v>
      </c>
      <c r="E27" s="235">
        <f>Financials!M118</f>
        <v>0</v>
      </c>
      <c r="F27" s="235">
        <f>Financials!N118</f>
        <v>0.49996801395754581</v>
      </c>
      <c r="G27" s="235">
        <f>Financials!O118</f>
        <v>0</v>
      </c>
      <c r="H27" s="235">
        <f>Financials!P118</f>
        <v>0.50050507462686566</v>
      </c>
      <c r="I27" s="235">
        <f>Financials!Q118</f>
        <v>0.77282871868632386</v>
      </c>
      <c r="J27" s="235">
        <f>Financials!R118</f>
        <v>0.86383045148895299</v>
      </c>
      <c r="K27" s="235">
        <f>Financials!S118</f>
        <v>0.86182862613690758</v>
      </c>
      <c r="L27" s="235">
        <f>Financials!T118</f>
        <v>0</v>
      </c>
      <c r="M27" s="235">
        <f>Financials!U118</f>
        <v>0</v>
      </c>
      <c r="N27" s="235">
        <f>Financials!V118</f>
        <v>0</v>
      </c>
      <c r="O27" s="235">
        <f>Financials!W118</f>
        <v>0</v>
      </c>
      <c r="P27" s="235">
        <f>Financials!X118</f>
        <v>0</v>
      </c>
      <c r="Q27" s="448">
        <f>Financials!Y118</f>
        <v>1.2000208588957055</v>
      </c>
      <c r="R27" s="448">
        <f>Financials!Z118</f>
        <v>0</v>
      </c>
      <c r="S27" s="448">
        <f>Financials!AA118</f>
        <v>0</v>
      </c>
      <c r="T27" s="448">
        <f>Financials!AB118</f>
        <v>0</v>
      </c>
      <c r="U27" s="448">
        <f>Financials!AC118</f>
        <v>0</v>
      </c>
      <c r="V27" s="448">
        <f>Financials!AD118</f>
        <v>0</v>
      </c>
      <c r="W27" s="448">
        <f>Financials!AE118</f>
        <v>0</v>
      </c>
      <c r="X27" s="448">
        <f>Financials!AF118</f>
        <v>0</v>
      </c>
      <c r="Y27" s="448">
        <f>Financials!AG118</f>
        <v>0</v>
      </c>
      <c r="Z27" s="448">
        <f>Financials!AH118</f>
        <v>0</v>
      </c>
    </row>
    <row r="28" spans="1:26">
      <c r="B28" s="235"/>
      <c r="C28" s="235"/>
      <c r="D28" s="235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448"/>
      <c r="R28" s="448"/>
      <c r="S28" s="448"/>
      <c r="T28" s="448"/>
      <c r="U28" s="448"/>
      <c r="V28" s="448"/>
      <c r="W28" s="448"/>
      <c r="X28" s="448"/>
      <c r="Y28" s="448"/>
      <c r="Z28" s="448"/>
    </row>
    <row r="29" spans="1:26">
      <c r="A29" s="9" t="str">
        <f>Financials!A69</f>
        <v>EBITDA (Company definition; IAS 17)</v>
      </c>
      <c r="B29" s="85">
        <f>Financials!J69</f>
        <v>1000.2359999999994</v>
      </c>
      <c r="C29" s="85">
        <f>Financials!K69</f>
        <v>998.63099999999986</v>
      </c>
      <c r="D29" s="85">
        <f>Financials!L69</f>
        <v>1114.8470000000004</v>
      </c>
      <c r="E29" s="85">
        <f>Financials!M69</f>
        <v>1608.0649999999994</v>
      </c>
      <c r="F29" s="85">
        <f>Financials!N69</f>
        <v>2038.7220000000002</v>
      </c>
      <c r="G29" s="85">
        <f>Financials!O69</f>
        <v>2793.0920000000001</v>
      </c>
      <c r="H29" s="85">
        <f>Financials!P69</f>
        <v>4301.7290000000003</v>
      </c>
      <c r="I29" s="85">
        <f>Financials!Q69</f>
        <v>5155.2379999999994</v>
      </c>
      <c r="J29" s="85">
        <f>Financials!R69</f>
        <v>6466.2439999999997</v>
      </c>
      <c r="K29" s="85">
        <f>Financials!S69</f>
        <v>6408.3169999999991</v>
      </c>
      <c r="L29" s="85">
        <f>Financials!T69</f>
        <v>7668.168999999999</v>
      </c>
      <c r="M29" s="85">
        <f>Financials!U69</f>
        <v>1436.7419999999979</v>
      </c>
      <c r="N29" s="85">
        <f>Financials!V69</f>
        <v>6536.2869999999994</v>
      </c>
      <c r="O29" s="85">
        <f>Financials!W69</f>
        <v>8824.5059999999976</v>
      </c>
      <c r="P29" s="85">
        <f>Financials!X69</f>
        <v>10794.628999999997</v>
      </c>
      <c r="Q29" s="294">
        <f>Financials!Y69</f>
        <v>11095.110051713798</v>
      </c>
      <c r="R29" s="294">
        <f>Financials!Z69</f>
        <v>11815.025763852975</v>
      </c>
      <c r="S29" s="294">
        <f>Financials!AA69</f>
        <v>12715.768041203142</v>
      </c>
      <c r="T29" s="294">
        <f>Financials!AB69</f>
        <v>13593.641808490087</v>
      </c>
      <c r="U29" s="294">
        <f>Financials!AC69</f>
        <v>13681.333489651528</v>
      </c>
      <c r="V29" s="294">
        <f>Financials!AD69</f>
        <v>14383.633767640877</v>
      </c>
      <c r="W29" s="294">
        <f>Financials!AE69</f>
        <v>15103.467803707692</v>
      </c>
      <c r="X29" s="294">
        <f>Financials!AF69</f>
        <v>15838.001948782758</v>
      </c>
      <c r="Y29" s="294">
        <f>Financials!AG69</f>
        <v>16607.261843321488</v>
      </c>
      <c r="Z29" s="294">
        <f>Financials!AH69</f>
        <v>17409.219123790594</v>
      </c>
    </row>
    <row r="30" spans="1:26">
      <c r="A30" s="9" t="str">
        <f>Financials!A108</f>
        <v>Net Profit (company adjusted) (IAS 17)</v>
      </c>
      <c r="B30" s="85">
        <f>Financials!J108</f>
        <v>103.74800000000091</v>
      </c>
      <c r="C30" s="85">
        <f>Financials!K108</f>
        <v>151.22599999999855</v>
      </c>
      <c r="D30" s="85">
        <f>Financials!L108</f>
        <v>209.64400000000063</v>
      </c>
      <c r="E30" s="85">
        <f>Financials!M108</f>
        <v>366.56500000000062</v>
      </c>
      <c r="F30" s="85">
        <f>Financials!N108</f>
        <v>681.01300000000174</v>
      </c>
      <c r="G30" s="85">
        <f>Financials!O108</f>
        <v>666.66600000000255</v>
      </c>
      <c r="H30" s="85">
        <f>Financials!P108</f>
        <v>981.20599999999945</v>
      </c>
      <c r="I30" s="85">
        <f>Financials!Q108</f>
        <v>996.47199999999748</v>
      </c>
      <c r="J30" s="85">
        <f>Financials!R108</f>
        <v>1089.4689999999987</v>
      </c>
      <c r="K30" s="85">
        <f>Financials!S108</f>
        <v>953.25299999999891</v>
      </c>
      <c r="L30" s="85">
        <f>Financials!T108</f>
        <v>764.41399999999817</v>
      </c>
      <c r="M30" s="85">
        <f>Financials!U108</f>
        <v>-3708.2140000000018</v>
      </c>
      <c r="N30" s="85">
        <f>Financials!V108</f>
        <v>487.88700000000063</v>
      </c>
      <c r="O30" s="85">
        <f>Financials!W108</f>
        <v>1661.8799999999978</v>
      </c>
      <c r="P30" s="85">
        <f>Financials!X108</f>
        <v>2789.8959999999984</v>
      </c>
      <c r="Q30" s="294">
        <f>Financials!Y108</f>
        <v>1644.5019874433028</v>
      </c>
      <c r="R30" s="294">
        <f>Financials!Z108</f>
        <v>2363.6611846017609</v>
      </c>
      <c r="S30" s="294">
        <f>Financials!AA108</f>
        <v>3041.1278926421564</v>
      </c>
      <c r="T30" s="294">
        <f>Financials!AB108</f>
        <v>3972.3836844807579</v>
      </c>
      <c r="U30" s="294">
        <f>Financials!AC108</f>
        <v>3980.1276017510818</v>
      </c>
      <c r="V30" s="294">
        <f>Financials!AD108</f>
        <v>4121.62295603443</v>
      </c>
      <c r="W30" s="294">
        <f>Financials!AE108</f>
        <v>4268.5774415279102</v>
      </c>
      <c r="X30" s="294">
        <f>Financials!AF108</f>
        <v>4433.9535279769352</v>
      </c>
      <c r="Y30" s="294">
        <f>Financials!AG108</f>
        <v>4606.4567669434437</v>
      </c>
      <c r="Z30" s="294">
        <f>Financials!AH108</f>
        <v>4784.9661399341976</v>
      </c>
    </row>
    <row r="31" spans="1:26">
      <c r="A31" s="9" t="str">
        <f>Financials!A169</f>
        <v>Net Debt (cash)  (IAS 17)</v>
      </c>
      <c r="B31" s="85">
        <f>Financials!J169</f>
        <v>864.92000000000007</v>
      </c>
      <c r="C31" s="85">
        <f>Financials!K169</f>
        <v>1015.8440000000001</v>
      </c>
      <c r="D31" s="85">
        <f>Financials!L169</f>
        <v>3317.152</v>
      </c>
      <c r="E31" s="85">
        <f>Financials!M169</f>
        <v>1541.886</v>
      </c>
      <c r="F31" s="85">
        <f>Financials!N169</f>
        <v>4380.3469999999998</v>
      </c>
      <c r="G31" s="85">
        <f>Financials!O169</f>
        <v>10126.329</v>
      </c>
      <c r="H31" s="85">
        <f>Financials!P169</f>
        <v>11037.527</v>
      </c>
      <c r="I31" s="85">
        <f>Financials!Q169</f>
        <v>12292.046999999999</v>
      </c>
      <c r="J31" s="85">
        <f>Financials!R169</f>
        <v>16501.033000000003</v>
      </c>
      <c r="K31" s="85">
        <f>Financials!S169</f>
        <v>26128.074999999997</v>
      </c>
      <c r="L31" s="85">
        <f>Financials!T169</f>
        <v>25061.356</v>
      </c>
      <c r="M31" s="85">
        <f>Financials!U169</f>
        <v>34436.148999999998</v>
      </c>
      <c r="N31" s="85">
        <f>Financials!V169</f>
        <v>30555.119999999999</v>
      </c>
      <c r="O31" s="85">
        <f>Financials!W169</f>
        <v>26550.129000000001</v>
      </c>
      <c r="P31" s="85">
        <f>Financials!X169</f>
        <v>25006.322000000004</v>
      </c>
      <c r="Q31" s="294">
        <f>Financials!Y169</f>
        <v>29497.70370733054</v>
      </c>
      <c r="R31" s="294">
        <f>Financials!Z169</f>
        <v>27338.374848425388</v>
      </c>
      <c r="S31" s="294">
        <f>Financials!AA169</f>
        <v>24278.474048946475</v>
      </c>
      <c r="T31" s="294">
        <f>Financials!AB169</f>
        <v>20268.998751703428</v>
      </c>
      <c r="U31" s="294">
        <f>Financials!AC169</f>
        <v>17105.884142725161</v>
      </c>
      <c r="V31" s="294">
        <f>Financials!AD169</f>
        <v>13877.689654644328</v>
      </c>
      <c r="W31" s="294">
        <f>Financials!AE169</f>
        <v>10190.956136367153</v>
      </c>
      <c r="X31" s="294">
        <f>Financials!AF169</f>
        <v>6233.3608175156769</v>
      </c>
      <c r="Y31" s="294">
        <f>Financials!AG169</f>
        <v>1989.6732769072914</v>
      </c>
      <c r="Z31" s="294">
        <f>Financials!AH169</f>
        <v>-2661.6245517962234</v>
      </c>
    </row>
    <row r="32" spans="1:26">
      <c r="A32" s="9" t="s">
        <v>1535</v>
      </c>
      <c r="B32" s="85">
        <f>DCF!J30</f>
        <v>588.47454851774728</v>
      </c>
      <c r="C32" s="85">
        <f>DCF!K30</f>
        <v>-52.88653045801324</v>
      </c>
      <c r="D32" s="85">
        <f>DCF!L30</f>
        <v>-2381.1266300344987</v>
      </c>
      <c r="E32" s="85">
        <f>DCF!M30</f>
        <v>1505.7161381932749</v>
      </c>
      <c r="F32" s="85">
        <f>DCF!N30</f>
        <v>-2647.9665623242968</v>
      </c>
      <c r="G32" s="85">
        <f>DCF!O30</f>
        <v>-10042.570993238607</v>
      </c>
      <c r="H32" s="85">
        <f>DCF!P30</f>
        <v>292.62689018369014</v>
      </c>
      <c r="I32" s="85">
        <f>DCF!Q30</f>
        <v>840.58646095660902</v>
      </c>
      <c r="J32" s="85">
        <f>DCF!R30</f>
        <v>1801.9193842000252</v>
      </c>
      <c r="K32" s="85">
        <f>DCF!S30</f>
        <v>-9775.59542569107</v>
      </c>
      <c r="L32" s="85">
        <f>DCF!T30</f>
        <v>463.74050173589148</v>
      </c>
      <c r="M32" s="85">
        <f>DCF!U30</f>
        <v>-5101.0065045963192</v>
      </c>
      <c r="N32" s="85">
        <f>DCF!V30</f>
        <v>6429.4415389247324</v>
      </c>
      <c r="O32" s="85">
        <f>DCF!W30</f>
        <v>4340.5562337693764</v>
      </c>
      <c r="P32" s="85">
        <f ca="1">DCF!X30</f>
        <v>4645.9445717082544</v>
      </c>
      <c r="Q32" s="294">
        <f>DCF!Y30</f>
        <v>-1245.7336257050802</v>
      </c>
      <c r="R32" s="294">
        <f>DCF!Z30</f>
        <v>3814.2356384793125</v>
      </c>
      <c r="S32" s="294">
        <f ca="1">DCF!AA30</f>
        <v>5336.250947340478</v>
      </c>
      <c r="T32" s="294">
        <f ca="1">DCF!AB30</f>
        <v>5834.0442700154445</v>
      </c>
      <c r="U32" s="294">
        <f ca="1">DCF!AC30</f>
        <v>4859.340348976104</v>
      </c>
      <c r="V32" s="294">
        <f ca="1">DCF!AD30</f>
        <v>4811.5383465073282</v>
      </c>
      <c r="W32" s="294">
        <f ca="1">DCF!AE30</f>
        <v>5131.6418871839087</v>
      </c>
      <c r="X32" s="294">
        <f ca="1">DCF!AF30</f>
        <v>5236.7926784070833</v>
      </c>
      <c r="Y32" s="294">
        <f ca="1">DCF!AG30</f>
        <v>5338.1592019276432</v>
      </c>
      <c r="Z32" s="294">
        <f ca="1">DCF!AH30</f>
        <v>5542.623209400168</v>
      </c>
    </row>
    <row r="33" spans="1:26">
      <c r="A33" s="9" t="s">
        <v>1539</v>
      </c>
      <c r="B33" s="1500">
        <f>Financials!J116</f>
        <v>0.17239614489863669</v>
      </c>
      <c r="C33" s="1500">
        <f>Financials!K116</f>
        <v>0.24987772637144728</v>
      </c>
      <c r="D33" s="1500">
        <f>Financials!L116</f>
        <v>0.34594719471947266</v>
      </c>
      <c r="E33" s="1500">
        <f>Financials!M116</f>
        <v>0.53295289328293038</v>
      </c>
      <c r="F33" s="1500">
        <f>Financials!N116</f>
        <v>0.99013230590287937</v>
      </c>
      <c r="G33" s="1500">
        <f>Financials!O116</f>
        <v>0.79592406876790867</v>
      </c>
      <c r="H33" s="1500">
        <f>Financials!P116</f>
        <v>1.1715892537313437</v>
      </c>
      <c r="I33" s="1500">
        <f>Financials!Q116</f>
        <v>1.1943809181349627</v>
      </c>
      <c r="J33" s="1500">
        <f>Financials!R116</f>
        <v>1.3082000480307392</v>
      </c>
      <c r="K33" s="1500">
        <f>Financials!S116</f>
        <v>1.1408006223073228</v>
      </c>
      <c r="L33" s="1500">
        <f>Financials!T116</f>
        <v>0.9116446034585548</v>
      </c>
      <c r="M33" s="1500">
        <f>Financials!U116</f>
        <v>-4.4224376863446651</v>
      </c>
      <c r="N33" s="1500">
        <f>Financials!V116</f>
        <v>0.58178750298115978</v>
      </c>
      <c r="O33" s="1500">
        <f>Financials!W116</f>
        <v>2.0266829268292659</v>
      </c>
      <c r="P33" s="1500">
        <f>Financials!X116</f>
        <v>3.4455921946399881</v>
      </c>
      <c r="Q33" s="2031">
        <f>Financials!Y116</f>
        <v>1.8038153532335182</v>
      </c>
      <c r="R33" s="2031">
        <f>Financials!Z116</f>
        <v>2.7072657434168819</v>
      </c>
      <c r="S33" s="2031">
        <f>Financials!AA116</f>
        <v>3.6333146399804575</v>
      </c>
      <c r="T33" s="2031">
        <f>Financials!AB116</f>
        <v>4.8196005848819041</v>
      </c>
      <c r="U33" s="2031">
        <f>Financials!AC116</f>
        <v>4.9172121120304002</v>
      </c>
      <c r="V33" s="2031">
        <f>Financials!AD116</f>
        <v>5.1660022406183526</v>
      </c>
      <c r="W33" s="2031">
        <f>Financials!AE116</f>
        <v>5.4088119897491316</v>
      </c>
      <c r="X33" s="2031">
        <f>Financials!AF116</f>
        <v>5.6691239508033373</v>
      </c>
      <c r="Y33" s="2031">
        <f>Financials!AG116</f>
        <v>5.9316701909133869</v>
      </c>
      <c r="Z33" s="2031">
        <f>Financials!AH116</f>
        <v>6.1961574508433195</v>
      </c>
    </row>
    <row r="34" spans="1:26">
      <c r="B34" s="235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448"/>
      <c r="R34" s="448"/>
      <c r="S34" s="448"/>
      <c r="T34" s="448"/>
      <c r="U34" s="448"/>
      <c r="V34" s="448"/>
      <c r="W34" s="448"/>
      <c r="X34" s="448"/>
      <c r="Y34" s="448"/>
      <c r="Z34" s="448"/>
    </row>
    <row r="35" spans="1:26"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>
      <c r="A36" s="239" t="s">
        <v>775</v>
      </c>
      <c r="B36" s="240">
        <f t="shared" ref="B36:Z36" si="14">B$4</f>
        <v>2009</v>
      </c>
      <c r="C36" s="240">
        <f t="shared" si="14"/>
        <v>2010</v>
      </c>
      <c r="D36" s="240">
        <f t="shared" si="14"/>
        <v>2011</v>
      </c>
      <c r="E36" s="240">
        <f t="shared" si="14"/>
        <v>2012</v>
      </c>
      <c r="F36" s="240">
        <f t="shared" si="14"/>
        <v>2013</v>
      </c>
      <c r="G36" s="240">
        <f t="shared" si="14"/>
        <v>2014</v>
      </c>
      <c r="H36" s="240">
        <f t="shared" si="14"/>
        <v>2015</v>
      </c>
      <c r="I36" s="240">
        <f t="shared" si="14"/>
        <v>2016</v>
      </c>
      <c r="J36" s="240">
        <f t="shared" si="14"/>
        <v>2017</v>
      </c>
      <c r="K36" s="240">
        <f t="shared" si="14"/>
        <v>2018</v>
      </c>
      <c r="L36" s="240">
        <f t="shared" si="14"/>
        <v>2019</v>
      </c>
      <c r="M36" s="240">
        <f t="shared" si="14"/>
        <v>2020</v>
      </c>
      <c r="N36" s="240">
        <f t="shared" si="14"/>
        <v>2021</v>
      </c>
      <c r="O36" s="240">
        <f t="shared" si="14"/>
        <v>2022</v>
      </c>
      <c r="P36" s="240">
        <f t="shared" si="14"/>
        <v>2023</v>
      </c>
      <c r="Q36" s="576">
        <f t="shared" si="14"/>
        <v>2024</v>
      </c>
      <c r="R36" s="576">
        <f t="shared" si="14"/>
        <v>2025</v>
      </c>
      <c r="S36" s="576">
        <f t="shared" si="14"/>
        <v>2026</v>
      </c>
      <c r="T36" s="576">
        <f t="shared" si="14"/>
        <v>2027</v>
      </c>
      <c r="U36" s="576">
        <f t="shared" si="14"/>
        <v>2028</v>
      </c>
      <c r="V36" s="576">
        <f t="shared" si="14"/>
        <v>2029</v>
      </c>
      <c r="W36" s="576">
        <f t="shared" si="14"/>
        <v>2030</v>
      </c>
      <c r="X36" s="576">
        <f t="shared" si="14"/>
        <v>2031</v>
      </c>
      <c r="Y36" s="576">
        <f t="shared" si="14"/>
        <v>2032</v>
      </c>
      <c r="Z36" s="576">
        <f t="shared" si="14"/>
        <v>2033</v>
      </c>
    </row>
    <row r="37" spans="1:26">
      <c r="A37" s="13" t="str">
        <f>Financials!A122</f>
        <v>Assets</v>
      </c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>
      <c r="A38" s="36" t="str">
        <f>Financials!A123</f>
        <v>Intangible Assets</v>
      </c>
      <c r="B38" s="85">
        <f>Financials!J123</f>
        <v>992.6</v>
      </c>
      <c r="C38" s="85">
        <f>Financials!K123</f>
        <v>955.31</v>
      </c>
      <c r="D38" s="85">
        <f>Financials!L123</f>
        <v>928.69399999999996</v>
      </c>
      <c r="E38" s="85">
        <f>Financials!M123</f>
        <v>2418.83</v>
      </c>
      <c r="F38" s="85">
        <f>Financials!N123</f>
        <v>3386.0430000000001</v>
      </c>
      <c r="G38" s="85">
        <f>Financials!O123</f>
        <v>13597.599</v>
      </c>
      <c r="H38" s="85">
        <f>Financials!P123</f>
        <v>13753.902</v>
      </c>
      <c r="I38" s="85">
        <f>Financials!Q123</f>
        <v>15215.335999999999</v>
      </c>
      <c r="J38" s="85">
        <f>Financials!R123</f>
        <v>15358.005999999999</v>
      </c>
      <c r="K38" s="85">
        <f>Financials!S123</f>
        <v>25749.010999999999</v>
      </c>
      <c r="L38" s="85">
        <f>Financials!T123</f>
        <v>27375.208999999999</v>
      </c>
      <c r="M38" s="85">
        <f>Financials!U123</f>
        <v>28817</v>
      </c>
      <c r="N38" s="85">
        <f>Financials!V123</f>
        <v>27796.563999999998</v>
      </c>
      <c r="O38" s="85">
        <f>Financials!W123</f>
        <v>26671.732</v>
      </c>
      <c r="P38" s="85">
        <f>Financials!X123</f>
        <v>24991.065999999999</v>
      </c>
      <c r="Q38" s="294">
        <f>Financials!Y123</f>
        <v>24226.096441226942</v>
      </c>
      <c r="R38" s="294">
        <f>Financials!Z123</f>
        <v>22831.37491894397</v>
      </c>
      <c r="S38" s="294">
        <f>Financials!AA123</f>
        <v>21516.948962619736</v>
      </c>
      <c r="T38" s="294">
        <f>Financials!AB123</f>
        <v>20278.195873163684</v>
      </c>
      <c r="U38" s="294">
        <f>Financials!AC123</f>
        <v>19626.219407437969</v>
      </c>
      <c r="V38" s="294">
        <f>Financials!AD123</f>
        <v>18995.205028996501</v>
      </c>
      <c r="W38" s="294">
        <f>Financials!AE123</f>
        <v>18384.478773169671</v>
      </c>
      <c r="X38" s="294">
        <f>Financials!AF123</f>
        <v>17793.388344331117</v>
      </c>
      <c r="Y38" s="294">
        <f>Financials!AG123</f>
        <v>17221.30241920329</v>
      </c>
      <c r="Z38" s="294">
        <f>Financials!AH123</f>
        <v>16667.609972562856</v>
      </c>
    </row>
    <row r="39" spans="1:26">
      <c r="A39" s="36" t="str">
        <f>Financials!A124</f>
        <v>Tangible Assets</v>
      </c>
      <c r="B39" s="85">
        <f>Financials!J124</f>
        <v>2897.6779999999999</v>
      </c>
      <c r="C39" s="85">
        <f>Financials!K124</f>
        <v>2994.123</v>
      </c>
      <c r="D39" s="85">
        <f>Financials!L124</f>
        <v>3472.42</v>
      </c>
      <c r="E39" s="85">
        <f>Financials!M124</f>
        <v>3924.1080000000002</v>
      </c>
      <c r="F39" s="85">
        <f>Financials!N124</f>
        <v>4764.3959999999997</v>
      </c>
      <c r="G39" s="85">
        <f>Financials!O124</f>
        <v>9947.0660000000007</v>
      </c>
      <c r="H39" s="85">
        <f>Financials!P124</f>
        <v>11063.805</v>
      </c>
      <c r="I39" s="85">
        <f>Financials!Q124</f>
        <v>13673.445</v>
      </c>
      <c r="J39" s="85">
        <f>Financials!R124</f>
        <v>15772.478999999999</v>
      </c>
      <c r="K39" s="85">
        <f>Financials!S124</f>
        <v>17993.148000000001</v>
      </c>
      <c r="L39" s="85">
        <f>Financials!T124</f>
        <v>17538.350999999999</v>
      </c>
      <c r="M39" s="85">
        <f>Financials!U124</f>
        <v>15880</v>
      </c>
      <c r="N39" s="85">
        <f>Financials!V124</f>
        <v>15277.931</v>
      </c>
      <c r="O39" s="85">
        <f>Financials!W124</f>
        <v>15428.754999999999</v>
      </c>
      <c r="P39" s="85">
        <f>Financials!X124</f>
        <v>15644.915000000001</v>
      </c>
      <c r="Q39" s="294">
        <f>Financials!Y124</f>
        <v>18929.715082566101</v>
      </c>
      <c r="R39" s="294">
        <f>Financials!Z124</f>
        <v>21064.445705905047</v>
      </c>
      <c r="S39" s="294">
        <f>Financials!AA124</f>
        <v>22825.858942722421</v>
      </c>
      <c r="T39" s="294">
        <f>Financials!AB124</f>
        <v>24487.12058308972</v>
      </c>
      <c r="U39" s="294">
        <f>Financials!AC124</f>
        <v>26552.4793142987</v>
      </c>
      <c r="V39" s="294">
        <f>Financials!AD124</f>
        <v>28513.767187325444</v>
      </c>
      <c r="W39" s="294">
        <f>Financials!AE124</f>
        <v>30147.610294839385</v>
      </c>
      <c r="X39" s="294">
        <f>Financials!AF124</f>
        <v>31674.379422426977</v>
      </c>
      <c r="Y39" s="294">
        <f>Financials!AG124</f>
        <v>33090.956080210075</v>
      </c>
      <c r="Z39" s="294">
        <f>Financials!AH124</f>
        <v>34276.907320670143</v>
      </c>
    </row>
    <row r="40" spans="1:26">
      <c r="A40" s="36" t="str">
        <f>Financials!A125</f>
        <v>Investments</v>
      </c>
      <c r="B40" s="85">
        <f>Financials!J125</f>
        <v>25.033000000000001</v>
      </c>
      <c r="C40" s="85">
        <f>Financials!K125</f>
        <v>20.783000000000001</v>
      </c>
      <c r="D40" s="85">
        <f>Financials!L125</f>
        <v>30.393999999999998</v>
      </c>
      <c r="E40" s="85">
        <f>Financials!M125</f>
        <v>40.295999999999999</v>
      </c>
      <c r="F40" s="85">
        <f>Financials!N125</f>
        <v>788.66499999999996</v>
      </c>
      <c r="G40" s="85">
        <f>Financials!O125</f>
        <v>829.82399999999996</v>
      </c>
      <c r="H40" s="85">
        <f>Financials!P125</f>
        <v>922.96199999999999</v>
      </c>
      <c r="I40" s="85">
        <f>Financials!Q125</f>
        <v>1001.398</v>
      </c>
      <c r="J40" s="85">
        <f>Financials!R125</f>
        <v>0</v>
      </c>
      <c r="K40" s="85">
        <f>Financials!S125</f>
        <v>14.295999999999999</v>
      </c>
      <c r="L40" s="85">
        <f>Financials!T125</f>
        <v>85.471000000000004</v>
      </c>
      <c r="M40" s="85">
        <f>Financials!U125</f>
        <v>90</v>
      </c>
      <c r="N40" s="85">
        <f>Financials!V125</f>
        <v>131.86699999999999</v>
      </c>
      <c r="O40" s="85">
        <f>Financials!W125</f>
        <v>156.90299999999999</v>
      </c>
      <c r="P40" s="85">
        <f>Financials!X125</f>
        <v>164.00299999999999</v>
      </c>
      <c r="Q40" s="294">
        <f>Financials!Y125</f>
        <v>164.00299999999999</v>
      </c>
      <c r="R40" s="294">
        <f>Financials!Z125</f>
        <v>164.00299999999999</v>
      </c>
      <c r="S40" s="294">
        <f>Financials!AA125</f>
        <v>164.00299999999999</v>
      </c>
      <c r="T40" s="294">
        <f>Financials!AB125</f>
        <v>164.00299999999999</v>
      </c>
      <c r="U40" s="294">
        <f>Financials!AC125</f>
        <v>164.00299999999999</v>
      </c>
      <c r="V40" s="294">
        <f>Financials!AD125</f>
        <v>164.00299999999999</v>
      </c>
      <c r="W40" s="294">
        <f>Financials!AE125</f>
        <v>164.00299999999999</v>
      </c>
      <c r="X40" s="294">
        <f>Financials!AF125</f>
        <v>164.00299999999999</v>
      </c>
      <c r="Y40" s="294">
        <f>Financials!AG125</f>
        <v>164.00299999999999</v>
      </c>
      <c r="Z40" s="294">
        <f>Financials!AH125</f>
        <v>164.00299999999999</v>
      </c>
    </row>
    <row r="41" spans="1:26">
      <c r="A41" s="36" t="str">
        <f>Financials!A127</f>
        <v xml:space="preserve">Other Fixed Assets </v>
      </c>
      <c r="B41" s="85">
        <f>Financials!J127+Financials!J126</f>
        <v>458.14</v>
      </c>
      <c r="C41" s="85">
        <f>Financials!K127+Financials!K126</f>
        <v>535.17499999999995</v>
      </c>
      <c r="D41" s="85">
        <f>Financials!L127+Financials!L126</f>
        <v>692.42</v>
      </c>
      <c r="E41" s="85">
        <f>Financials!M127+Financials!M126</f>
        <v>828.96500000000003</v>
      </c>
      <c r="F41" s="85">
        <f>Financials!N127+Financials!N126</f>
        <v>741.28200000000004</v>
      </c>
      <c r="G41" s="85">
        <f>Financials!O127+Financials!O126</f>
        <v>1320.8810000000001</v>
      </c>
      <c r="H41" s="85">
        <f>Financials!P127+Financials!P126</f>
        <v>1710.943</v>
      </c>
      <c r="I41" s="85">
        <f>Financials!Q127+Financials!Q126</f>
        <v>1900.191</v>
      </c>
      <c r="J41" s="85">
        <f>Financials!R127+Financials!R126</f>
        <v>2456.0720000000001</v>
      </c>
      <c r="K41" s="85">
        <f>Financials!S127+Financials!S126</f>
        <v>2730.5549999999998</v>
      </c>
      <c r="L41" s="85">
        <f>Financials!T127+Financials!T126</f>
        <v>24182.701000000001</v>
      </c>
      <c r="M41" s="85">
        <f>Financials!U127+Financials!U126</f>
        <v>30121</v>
      </c>
      <c r="N41" s="85">
        <f>Financials!V127+Financials!V126</f>
        <v>28026.083000000002</v>
      </c>
      <c r="O41" s="85">
        <f>Financials!W127+Financials!W126</f>
        <v>25838.100999999999</v>
      </c>
      <c r="P41" s="85">
        <f>Financials!X127+Financials!X126</f>
        <v>23524.740999999998</v>
      </c>
      <c r="Q41" s="294">
        <f>Financials!Y127+Financials!Y126</f>
        <v>23551.030384253652</v>
      </c>
      <c r="R41" s="294">
        <f>Financials!Z127+Financials!Z126</f>
        <v>23433.371189142854</v>
      </c>
      <c r="S41" s="294">
        <f>Financials!AA127+Financials!AA126</f>
        <v>23607.164999624252</v>
      </c>
      <c r="T41" s="294">
        <f>Financials!AB127+Financials!AB126</f>
        <v>23824.772188298011</v>
      </c>
      <c r="U41" s="294">
        <f>Financials!AC127+Financials!AC126</f>
        <v>24197.394151311993</v>
      </c>
      <c r="V41" s="294">
        <f>Financials!AD127+Financials!AD126</f>
        <v>24751.023645060672</v>
      </c>
      <c r="W41" s="294">
        <f>Financials!AE127+Financials!AE126</f>
        <v>25406.572613256852</v>
      </c>
      <c r="X41" s="294">
        <f>Financials!AF127+Financials!AF126</f>
        <v>26180.440985803874</v>
      </c>
      <c r="Y41" s="294">
        <f>Financials!AG127+Financials!AG126</f>
        <v>27072.529561876709</v>
      </c>
      <c r="Z41" s="294">
        <f>Financials!AH127+Financials!AH126</f>
        <v>28065.702563790903</v>
      </c>
    </row>
    <row r="42" spans="1:26">
      <c r="A42" s="13" t="str">
        <f>Financials!A128</f>
        <v>Total Fixed Assets</v>
      </c>
      <c r="B42" s="87">
        <f t="shared" ref="B42:H42" si="15">SUM(B38:B41)</f>
        <v>4373.451</v>
      </c>
      <c r="C42" s="87">
        <f t="shared" si="15"/>
        <v>4505.3909999999996</v>
      </c>
      <c r="D42" s="87">
        <f t="shared" si="15"/>
        <v>5123.9279999999999</v>
      </c>
      <c r="E42" s="87">
        <f t="shared" si="15"/>
        <v>7212.1990000000005</v>
      </c>
      <c r="F42" s="87">
        <f t="shared" si="15"/>
        <v>9680.3859999999986</v>
      </c>
      <c r="G42" s="87">
        <f t="shared" si="15"/>
        <v>25695.370000000003</v>
      </c>
      <c r="H42" s="87">
        <f t="shared" si="15"/>
        <v>27451.612000000001</v>
      </c>
      <c r="I42" s="87">
        <f t="shared" ref="I42:R42" si="16">SUM(I38:I41)</f>
        <v>31790.37</v>
      </c>
      <c r="J42" s="87">
        <f t="shared" si="16"/>
        <v>33586.557000000001</v>
      </c>
      <c r="K42" s="87">
        <f t="shared" si="16"/>
        <v>46487.01</v>
      </c>
      <c r="L42" s="87">
        <f t="shared" si="16"/>
        <v>69181.731999999989</v>
      </c>
      <c r="M42" s="87">
        <f t="shared" si="16"/>
        <v>74908</v>
      </c>
      <c r="N42" s="87">
        <f t="shared" si="16"/>
        <v>71232.444999999992</v>
      </c>
      <c r="O42" s="87">
        <f t="shared" si="16"/>
        <v>68095.490999999995</v>
      </c>
      <c r="P42" s="87">
        <f t="shared" si="16"/>
        <v>64324.724999999991</v>
      </c>
      <c r="Q42" s="302">
        <f t="shared" si="16"/>
        <v>66870.844908046696</v>
      </c>
      <c r="R42" s="302">
        <f t="shared" si="16"/>
        <v>67493.194813991868</v>
      </c>
      <c r="S42" s="302">
        <f>SUM(S38:S41)</f>
        <v>68113.975904966399</v>
      </c>
      <c r="T42" s="302">
        <f>SUM(T38:T41)</f>
        <v>68754.091644551416</v>
      </c>
      <c r="U42" s="302">
        <f>SUM(U38:U41)</f>
        <v>70540.09587304866</v>
      </c>
      <c r="V42" s="302">
        <f>SUM(V38:V41)</f>
        <v>72423.998861382614</v>
      </c>
      <c r="W42" s="302">
        <f>SUM(W38:W41)</f>
        <v>74102.664681265902</v>
      </c>
      <c r="X42" s="302">
        <f t="shared" ref="X42:Z42" si="17">SUM(X38:X41)</f>
        <v>75812.211752561969</v>
      </c>
      <c r="Y42" s="302">
        <f t="shared" si="17"/>
        <v>77548.791061290074</v>
      </c>
      <c r="Z42" s="302">
        <f t="shared" si="17"/>
        <v>79174.222857023909</v>
      </c>
    </row>
    <row r="43" spans="1:26">
      <c r="A43" s="36" t="str">
        <f>Financials!A129</f>
        <v>Cash and Cash Equivalents</v>
      </c>
      <c r="B43" s="85">
        <f>Financials!J129</f>
        <v>463.214</v>
      </c>
      <c r="C43" s="85">
        <f>Financials!K129</f>
        <v>640.20299999999997</v>
      </c>
      <c r="D43" s="85">
        <f>Financials!L129</f>
        <v>739.37900000000002</v>
      </c>
      <c r="E43" s="85">
        <f>Financials!M129</f>
        <v>932.59400000000005</v>
      </c>
      <c r="F43" s="85">
        <f>Financials!N129</f>
        <v>663.27</v>
      </c>
      <c r="G43" s="85">
        <f>Financials!O129</f>
        <v>1112.8499999999999</v>
      </c>
      <c r="H43" s="85">
        <f>Financials!P129</f>
        <v>1195.8139999999999</v>
      </c>
      <c r="I43" s="85">
        <f>Financials!Q129</f>
        <v>2547.8420000000001</v>
      </c>
      <c r="J43" s="85">
        <f>Financials!R129</f>
        <v>1540.403</v>
      </c>
      <c r="K43" s="85">
        <f>Financials!S129</f>
        <v>1987.857</v>
      </c>
      <c r="L43" s="85">
        <f>Financials!T129</f>
        <v>2625.3890000000001</v>
      </c>
      <c r="M43" s="85">
        <f>Financials!U129</f>
        <v>3932</v>
      </c>
      <c r="N43" s="85">
        <f>Financials!V129</f>
        <v>6893.433</v>
      </c>
      <c r="O43" s="85">
        <f>Financials!W129</f>
        <v>6099.7089999999998</v>
      </c>
      <c r="P43" s="85">
        <f>Financials!X129</f>
        <v>6409.7979999999998</v>
      </c>
      <c r="Q43" s="294">
        <f>Financials!Y129</f>
        <v>5027.6001092946917</v>
      </c>
      <c r="R43" s="294">
        <f>Financials!Z129</f>
        <v>10021.567702024999</v>
      </c>
      <c r="S43" s="294">
        <f>Financials!AA129</f>
        <v>16668.287619622075</v>
      </c>
      <c r="T43" s="294">
        <f>Financials!AB129</f>
        <v>23837.458151008566</v>
      </c>
      <c r="U43" s="294">
        <f>Financials!AC129</f>
        <v>27372.725024565363</v>
      </c>
      <c r="V43" s="294">
        <f>Financials!AD129</f>
        <v>30976.411823377985</v>
      </c>
      <c r="W43" s="294">
        <f>Financials!AE129</f>
        <v>35042.007675271117</v>
      </c>
      <c r="X43" s="294">
        <f>Financials!AF129</f>
        <v>39381.865596393211</v>
      </c>
      <c r="Y43" s="294">
        <f>Financials!AG129</f>
        <v>45014.538811507904</v>
      </c>
      <c r="Z43" s="294">
        <f>Financials!AH129</f>
        <v>50215.361753652185</v>
      </c>
    </row>
    <row r="44" spans="1:26">
      <c r="A44" s="36" t="str">
        <f>Financials!A130</f>
        <v>Accounts Receivable</v>
      </c>
      <c r="B44" s="85">
        <f>Financials!J130</f>
        <v>196.14699999999999</v>
      </c>
      <c r="C44" s="85">
        <f>Financials!K130</f>
        <v>246.70599999999999</v>
      </c>
      <c r="D44" s="85">
        <f>Financials!L130</f>
        <v>385.57799999999997</v>
      </c>
      <c r="E44" s="85">
        <f>Financials!M130</f>
        <v>535.93100000000004</v>
      </c>
      <c r="F44" s="85">
        <f>Financials!N130</f>
        <v>628.81799999999998</v>
      </c>
      <c r="G44" s="85">
        <f>Financials!O130</f>
        <v>895.54300000000001</v>
      </c>
      <c r="H44" s="85">
        <f>Financials!P130</f>
        <v>904.85299999999995</v>
      </c>
      <c r="I44" s="85">
        <f>Financials!Q130</f>
        <v>953.63800000000003</v>
      </c>
      <c r="J44" s="85">
        <f>Financials!R130</f>
        <v>1250.588</v>
      </c>
      <c r="K44" s="85">
        <f>Financials!S130</f>
        <v>1025.1179999999999</v>
      </c>
      <c r="L44" s="85">
        <f>Financials!T130</f>
        <v>1447.221</v>
      </c>
      <c r="M44" s="85">
        <f>Financials!U130</f>
        <v>1706</v>
      </c>
      <c r="N44" s="85">
        <f>Financials!V130</f>
        <v>1751.527</v>
      </c>
      <c r="O44" s="85">
        <f>Financials!W130</f>
        <v>2029.42</v>
      </c>
      <c r="P44" s="85">
        <f>Financials!X130</f>
        <v>2372.241</v>
      </c>
      <c r="Q44" s="294">
        <f>Financials!Y130</f>
        <v>2470.8553474906266</v>
      </c>
      <c r="R44" s="294">
        <f>Financials!Z130</f>
        <v>2674.727110579985</v>
      </c>
      <c r="S44" s="294">
        <f>Financials!AA130</f>
        <v>2848.6329347755423</v>
      </c>
      <c r="T44" s="294">
        <f>Financials!AB130</f>
        <v>3018.4303820045948</v>
      </c>
      <c r="U44" s="294">
        <f>Financials!AC130</f>
        <v>3180.7981301458003</v>
      </c>
      <c r="V44" s="294">
        <f>Financials!AD130</f>
        <v>3351.0032516326623</v>
      </c>
      <c r="W44" s="294">
        <f>Financials!AE130</f>
        <v>3522.9335880553758</v>
      </c>
      <c r="X44" s="294">
        <f>Financials!AF130</f>
        <v>3701.8956798081135</v>
      </c>
      <c r="Y44" s="294">
        <f>Financials!AG130</f>
        <v>3889.5857357949376</v>
      </c>
      <c r="Z44" s="294">
        <f>Financials!AH130</f>
        <v>4083.8483426410867</v>
      </c>
    </row>
    <row r="45" spans="1:26">
      <c r="A45" s="36" t="str">
        <f>Financials!A131</f>
        <v>Inventories</v>
      </c>
      <c r="B45" s="85">
        <f>Financials!J131</f>
        <v>336.87</v>
      </c>
      <c r="C45" s="85">
        <f>Financials!K131</f>
        <v>352.32499999999999</v>
      </c>
      <c r="D45" s="85">
        <f>Financials!L131</f>
        <v>403.13</v>
      </c>
      <c r="E45" s="85">
        <f>Financials!M131</f>
        <v>550.39400000000001</v>
      </c>
      <c r="F45" s="85">
        <f>Financials!N131</f>
        <v>641.88</v>
      </c>
      <c r="G45" s="85">
        <f>Financials!O131</f>
        <v>1055.174</v>
      </c>
      <c r="H45" s="85">
        <f>Financials!P131</f>
        <v>1377.981</v>
      </c>
      <c r="I45" s="85">
        <f>Financials!Q131</f>
        <v>1575.3630000000001</v>
      </c>
      <c r="J45" s="85">
        <f>Financials!R131</f>
        <v>2009.779</v>
      </c>
      <c r="K45" s="85">
        <f>Financials!S131</f>
        <v>2120.2080000000001</v>
      </c>
      <c r="L45" s="85">
        <f>Financials!T131</f>
        <v>1779.646</v>
      </c>
      <c r="M45" s="85">
        <f>Financials!U131</f>
        <v>1618</v>
      </c>
      <c r="N45" s="85">
        <f>Financials!V131</f>
        <v>2009.258</v>
      </c>
      <c r="O45" s="85">
        <f>Financials!W131</f>
        <v>2895.326</v>
      </c>
      <c r="P45" s="85">
        <f>Financials!X131</f>
        <v>2750.665</v>
      </c>
      <c r="Q45" s="294">
        <f>Financials!Y131</f>
        <v>2949.8939755864417</v>
      </c>
      <c r="R45" s="294">
        <f>Financials!Z131</f>
        <v>3202.9098523431808</v>
      </c>
      <c r="S45" s="294">
        <f>Financials!AA131</f>
        <v>3421.400859520812</v>
      </c>
      <c r="T45" s="294">
        <f>Financials!AB131</f>
        <v>3636.1933887556324</v>
      </c>
      <c r="U45" s="294">
        <f>Financials!AC131</f>
        <v>3888.9828384477514</v>
      </c>
      <c r="V45" s="294">
        <f>Financials!AD131</f>
        <v>4097.0830602772903</v>
      </c>
      <c r="W45" s="294">
        <f>Financials!AE131</f>
        <v>4307.2926053029696</v>
      </c>
      <c r="X45" s="294">
        <f>Financials!AF131</f>
        <v>4526.0994817793471</v>
      </c>
      <c r="Y45" s="294">
        <f>Financials!AG131</f>
        <v>4755.5775488601412</v>
      </c>
      <c r="Z45" s="294">
        <f>Financials!AH131</f>
        <v>4993.0915039322172</v>
      </c>
    </row>
    <row r="46" spans="1:26">
      <c r="A46" s="36" t="str">
        <f>Financials!A132</f>
        <v>Other Current Assets</v>
      </c>
      <c r="B46" s="85">
        <f>Financials!J132</f>
        <v>439.12700000000001</v>
      </c>
      <c r="C46" s="85">
        <f>Financials!K132</f>
        <v>396.60400000000004</v>
      </c>
      <c r="D46" s="85">
        <f>Financials!L132</f>
        <v>2722.1579999999999</v>
      </c>
      <c r="E46" s="85">
        <f>Financials!M132</f>
        <v>566.47500000000002</v>
      </c>
      <c r="F46" s="85">
        <f>Financials!N132</f>
        <v>801.78099999999995</v>
      </c>
      <c r="G46" s="85">
        <f>Financials!O132</f>
        <v>1012.6589999999999</v>
      </c>
      <c r="H46" s="85">
        <f>Financials!P132</f>
        <v>912.16700000000014</v>
      </c>
      <c r="I46" s="85">
        <f>Financials!Q132</f>
        <v>1127.9279999999999</v>
      </c>
      <c r="J46" s="85">
        <f>Financials!R132</f>
        <v>1271.9299999999998</v>
      </c>
      <c r="K46" s="85">
        <f>Financials!S132</f>
        <v>1439.9290000000001</v>
      </c>
      <c r="L46" s="85">
        <f>Financials!T132</f>
        <v>1378.26</v>
      </c>
      <c r="M46" s="85">
        <f>Financials!U132</f>
        <v>1274</v>
      </c>
      <c r="N46" s="85">
        <f>Financials!V132</f>
        <v>1090.8989999999999</v>
      </c>
      <c r="O46" s="85">
        <f>Financials!W132</f>
        <v>1349.377</v>
      </c>
      <c r="P46" s="85">
        <f>Financials!X132</f>
        <v>1139.5920000000001</v>
      </c>
      <c r="Q46" s="294">
        <f>Financials!Y132</f>
        <v>1186.9649783295788</v>
      </c>
      <c r="R46" s="294">
        <f>Financials!Z132</f>
        <v>1284.9021736830559</v>
      </c>
      <c r="S46" s="294">
        <f>Financials!AA132</f>
        <v>1368.4441434941602</v>
      </c>
      <c r="T46" s="294">
        <f>Financials!AB132</f>
        <v>1450.0125054281502</v>
      </c>
      <c r="U46" s="294">
        <f>Financials!AC132</f>
        <v>1528.01174194743</v>
      </c>
      <c r="V46" s="294">
        <f>Financials!AD132</f>
        <v>1609.7759449965536</v>
      </c>
      <c r="W46" s="294">
        <f>Financials!AE132</f>
        <v>1692.3689176096366</v>
      </c>
      <c r="X46" s="294">
        <f>Financials!AF132</f>
        <v>1778.3398489208678</v>
      </c>
      <c r="Y46" s="294">
        <f>Financials!AG132</f>
        <v>1868.5035743948551</v>
      </c>
      <c r="Z46" s="294">
        <f>Financials!AH132</f>
        <v>1961.8246630452143</v>
      </c>
    </row>
    <row r="47" spans="1:26">
      <c r="A47" s="13" t="str">
        <f>Financials!A133</f>
        <v>Total Assets</v>
      </c>
      <c r="B47" s="87">
        <f t="shared" ref="B47:H47" si="18">SUM(B42:B46)</f>
        <v>5808.8090000000002</v>
      </c>
      <c r="C47" s="87">
        <f t="shared" si="18"/>
        <v>6141.2289999999994</v>
      </c>
      <c r="D47" s="87">
        <f t="shared" si="18"/>
        <v>9374.1730000000007</v>
      </c>
      <c r="E47" s="87">
        <f t="shared" si="18"/>
        <v>9797.5930000000008</v>
      </c>
      <c r="F47" s="87">
        <f t="shared" si="18"/>
        <v>12416.134999999998</v>
      </c>
      <c r="G47" s="87">
        <f t="shared" si="18"/>
        <v>29771.596000000001</v>
      </c>
      <c r="H47" s="87">
        <f t="shared" si="18"/>
        <v>31842.427</v>
      </c>
      <c r="I47" s="87">
        <f t="shared" ref="I47:R47" si="19">SUM(I42:I46)</f>
        <v>37995.140999999996</v>
      </c>
      <c r="J47" s="87">
        <f t="shared" si="19"/>
        <v>39659.257000000005</v>
      </c>
      <c r="K47" s="87">
        <f t="shared" si="19"/>
        <v>53060.122000000003</v>
      </c>
      <c r="L47" s="87">
        <f t="shared" si="19"/>
        <v>76412.247999999978</v>
      </c>
      <c r="M47" s="87">
        <f t="shared" si="19"/>
        <v>83438</v>
      </c>
      <c r="N47" s="87">
        <f t="shared" si="19"/>
        <v>82977.562000000005</v>
      </c>
      <c r="O47" s="87">
        <f t="shared" si="19"/>
        <v>80469.322999999989</v>
      </c>
      <c r="P47" s="87">
        <f t="shared" si="19"/>
        <v>76997.020999999979</v>
      </c>
      <c r="Q47" s="302">
        <f t="shared" si="19"/>
        <v>78506.159318748032</v>
      </c>
      <c r="R47" s="302">
        <f t="shared" si="19"/>
        <v>84677.301652623093</v>
      </c>
      <c r="S47" s="302">
        <f>SUM(S42:S46)</f>
        <v>92420.741462378981</v>
      </c>
      <c r="T47" s="302">
        <f>SUM(T42:T46)</f>
        <v>100696.18607174837</v>
      </c>
      <c r="U47" s="302">
        <f>SUM(U42:U46)</f>
        <v>106510.61360815501</v>
      </c>
      <c r="V47" s="302">
        <f>SUM(V42:V46)</f>
        <v>112458.27294166711</v>
      </c>
      <c r="W47" s="302">
        <f>SUM(W42:W46)</f>
        <v>118667.26746750499</v>
      </c>
      <c r="X47" s="302">
        <f t="shared" ref="X47:Z47" si="20">SUM(X42:X46)</f>
        <v>125200.4123594635</v>
      </c>
      <c r="Y47" s="302">
        <f t="shared" si="20"/>
        <v>133076.9967318479</v>
      </c>
      <c r="Z47" s="302">
        <f t="shared" si="20"/>
        <v>140428.34912029462</v>
      </c>
    </row>
    <row r="48" spans="1:26">
      <c r="A48" s="13" t="str">
        <f>Financials!A134</f>
        <v>Liabilities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294"/>
      <c r="R48" s="294"/>
      <c r="S48" s="294"/>
      <c r="T48" s="294"/>
      <c r="U48" s="294"/>
      <c r="V48" s="294"/>
      <c r="W48" s="294"/>
      <c r="X48" s="294"/>
      <c r="Y48" s="294"/>
      <c r="Z48" s="294"/>
    </row>
    <row r="49" spans="1:26">
      <c r="A49" s="36" t="str">
        <f>Financials!A135</f>
        <v>Gross Borrowings</v>
      </c>
      <c r="B49" s="85">
        <f>Financials!J135</f>
        <v>1328.134</v>
      </c>
      <c r="C49" s="85">
        <f>Financials!K135</f>
        <v>1656.047</v>
      </c>
      <c r="D49" s="85">
        <f>Financials!L135</f>
        <v>4056.5309999999999</v>
      </c>
      <c r="E49" s="85">
        <f>Financials!M135</f>
        <v>2474.48</v>
      </c>
      <c r="F49" s="85">
        <f>Financials!N135</f>
        <v>5043.6170000000002</v>
      </c>
      <c r="G49" s="85">
        <f>Financials!O135</f>
        <v>11239.179</v>
      </c>
      <c r="H49" s="85">
        <f>Financials!P135</f>
        <v>12233.341</v>
      </c>
      <c r="I49" s="85">
        <f>Financials!Q135</f>
        <v>14839.888999999999</v>
      </c>
      <c r="J49" s="85">
        <f>Financials!R135</f>
        <v>18041.436000000002</v>
      </c>
      <c r="K49" s="85">
        <f>Financials!S135</f>
        <v>28115.931999999997</v>
      </c>
      <c r="L49" s="85">
        <f>Financials!T135</f>
        <v>27686.744999999999</v>
      </c>
      <c r="M49" s="85">
        <f>Financials!U135</f>
        <v>38368.148999999998</v>
      </c>
      <c r="N49" s="85">
        <f>Financials!V135</f>
        <v>37448.553</v>
      </c>
      <c r="O49" s="85">
        <f>Financials!W135</f>
        <v>32649.838</v>
      </c>
      <c r="P49" s="85">
        <f>Financials!X135</f>
        <v>31416.120000000003</v>
      </c>
      <c r="Q49" s="294">
        <f>Financials!Y135</f>
        <v>34525.30381662523</v>
      </c>
      <c r="R49" s="294">
        <f>Financials!Z135</f>
        <v>37359.942550450389</v>
      </c>
      <c r="S49" s="294">
        <f>Financials!AA135</f>
        <v>40946.76166856855</v>
      </c>
      <c r="T49" s="294">
        <f>Financials!AB135</f>
        <v>44106.456902711994</v>
      </c>
      <c r="U49" s="294">
        <f>Financials!AC135</f>
        <v>44478.609167290524</v>
      </c>
      <c r="V49" s="294">
        <f>Financials!AD135</f>
        <v>44854.101478022312</v>
      </c>
      <c r="W49" s="294">
        <f>Financials!AE135</f>
        <v>45232.96381163827</v>
      </c>
      <c r="X49" s="294">
        <f>Financials!AF135</f>
        <v>45615.226413908887</v>
      </c>
      <c r="Y49" s="294">
        <f>Financials!AG135</f>
        <v>47004.212088415195</v>
      </c>
      <c r="Z49" s="294">
        <f>Financials!AH135</f>
        <v>47553.737201855962</v>
      </c>
    </row>
    <row r="50" spans="1:26">
      <c r="A50" s="36" t="str">
        <f>Financials!A136</f>
        <v>Accounts Payable</v>
      </c>
      <c r="B50" s="85">
        <f>Financials!J136</f>
        <v>559.149</v>
      </c>
      <c r="C50" s="85">
        <f>Financials!K136</f>
        <v>710.548</v>
      </c>
      <c r="D50" s="85">
        <f>Financials!L136</f>
        <v>1021.424</v>
      </c>
      <c r="E50" s="85">
        <f>Financials!M136</f>
        <v>1129.6120000000001</v>
      </c>
      <c r="F50" s="85">
        <f>Financials!N136</f>
        <v>1408.5650000000001</v>
      </c>
      <c r="G50" s="85">
        <f>Financials!O136</f>
        <v>2694.0149999999999</v>
      </c>
      <c r="H50" s="85">
        <f>Financials!P136</f>
        <v>3013.0909999999999</v>
      </c>
      <c r="I50" s="85">
        <f>Financials!Q136</f>
        <v>3901.9720000000002</v>
      </c>
      <c r="J50" s="85">
        <f>Financials!R136</f>
        <v>3960.806</v>
      </c>
      <c r="K50" s="85">
        <f>Financials!S136</f>
        <v>5215.8770000000004</v>
      </c>
      <c r="L50" s="85">
        <f>Financials!T136</f>
        <v>5450.5550000000003</v>
      </c>
      <c r="M50" s="85">
        <f>Financials!U136</f>
        <v>3604</v>
      </c>
      <c r="N50" s="85">
        <f>Financials!V136</f>
        <v>3979.2370000000001</v>
      </c>
      <c r="O50" s="85">
        <f>Financials!W136</f>
        <v>5628.5950000000003</v>
      </c>
      <c r="P50" s="85">
        <f>Financials!X136</f>
        <v>5767.8990000000003</v>
      </c>
      <c r="Q50" s="294">
        <f>Financials!Y136</f>
        <v>6185.6643800284883</v>
      </c>
      <c r="R50" s="294">
        <f>Financials!Z136</f>
        <v>6716.2160911708188</v>
      </c>
      <c r="S50" s="294">
        <f>Financials!AA136</f>
        <v>7174.3722322526492</v>
      </c>
      <c r="T50" s="294">
        <f>Financials!AB136</f>
        <v>7624.7729951885176</v>
      </c>
      <c r="U50" s="294">
        <f>Financials!AC136</f>
        <v>8154.849908985625</v>
      </c>
      <c r="V50" s="294">
        <f>Financials!AD136</f>
        <v>8591.2175006008802</v>
      </c>
      <c r="W50" s="294">
        <f>Financials!AE136</f>
        <v>9032.0081546950969</v>
      </c>
      <c r="X50" s="294">
        <f>Financials!AF136</f>
        <v>9490.8266455041285</v>
      </c>
      <c r="Y50" s="294">
        <f>Financials!AG136</f>
        <v>9972.0216705752446</v>
      </c>
      <c r="Z50" s="294">
        <f>Financials!AH136</f>
        <v>10470.067235537272</v>
      </c>
    </row>
    <row r="51" spans="1:26">
      <c r="A51" s="36" t="str">
        <f>Financials!A138</f>
        <v>Other Liabilities</v>
      </c>
      <c r="B51" s="85">
        <f>Financials!J138+Financials!J137+Financials!J139</f>
        <v>789.16300000000001</v>
      </c>
      <c r="C51" s="85">
        <f>Financials!K138+Financials!K137+Financials!K139</f>
        <v>663.20100000000002</v>
      </c>
      <c r="D51" s="85">
        <f>Financials!L138+Financials!L137+Financials!L139</f>
        <v>1003.49</v>
      </c>
      <c r="E51" s="85">
        <f>Financials!M138+Financials!M137+Financials!M139</f>
        <v>1364.6019999999999</v>
      </c>
      <c r="F51" s="85">
        <f>Financials!N138+Financials!N137+Financials!N139</f>
        <v>1453.0210000000002</v>
      </c>
      <c r="G51" s="85">
        <f>Financials!O138+Financials!O137+Financials!O139</f>
        <v>5748.7839999999997</v>
      </c>
      <c r="H51" s="85">
        <f>Financials!P138+Financials!P137+Financials!P139</f>
        <v>6170.5209999999997</v>
      </c>
      <c r="I51" s="85">
        <f>Financials!Q138+Financials!Q137+Financials!Q139</f>
        <v>9329.2089999999989</v>
      </c>
      <c r="J51" s="85">
        <f>Financials!R138+Financials!R137+Financials!R139</f>
        <v>7053.8890000000001</v>
      </c>
      <c r="K51" s="85">
        <f>Financials!S138+Financials!S137+Financials!S139</f>
        <v>6769.491</v>
      </c>
      <c r="L51" s="85">
        <f>Financials!T138+Financials!T137+Financials!T139</f>
        <v>31732.386999999999</v>
      </c>
      <c r="M51" s="85">
        <f>Financials!U138+Financials!U137+Financials!U139</f>
        <v>33832</v>
      </c>
      <c r="N51" s="85">
        <f>Financials!V138+Financials!V137+Financials!V139</f>
        <v>32875.683000000005</v>
      </c>
      <c r="O51" s="85">
        <f>Financials!W138+Financials!W137+Financials!W139</f>
        <v>33610.892</v>
      </c>
      <c r="P51" s="85">
        <f>Financials!X138+Financials!X137+Financials!X139</f>
        <v>30497.278999999999</v>
      </c>
      <c r="Q51" s="294">
        <f>Financials!Y138+Financials!Y137+Financials!Y139</f>
        <v>30122.566837845479</v>
      </c>
      <c r="R51" s="294">
        <f>Financials!Z138+Financials!Z137+Financials!Z139</f>
        <v>31027.326964848337</v>
      </c>
      <c r="S51" s="294">
        <f>Financials!AA138+Financials!AA137+Financials!AA139</f>
        <v>31919.888508227057</v>
      </c>
      <c r="T51" s="294">
        <f>Financials!AB138+Financials!AB137+Financials!AB139</f>
        <v>32743.468753101071</v>
      </c>
      <c r="U51" s="294">
        <f>Financials!AC138+Financials!AC137+Financials!AC139</f>
        <v>33594.9504812819</v>
      </c>
      <c r="V51" s="294">
        <f>Financials!AD138+Financials!AD137+Financials!AD139</f>
        <v>34348.336162090382</v>
      </c>
      <c r="W51" s="294">
        <f>Financials!AE138+Financials!AE137+Financials!AE139</f>
        <v>35058.499287755963</v>
      </c>
      <c r="X51" s="294">
        <f>Financials!AF138+Financials!AF137+Financials!AF139</f>
        <v>35768.425758870275</v>
      </c>
      <c r="Y51" s="294">
        <f>Financials!AG138+Financials!AG137+Financials!AG139</f>
        <v>36498.212551054508</v>
      </c>
      <c r="Z51" s="294">
        <f>Financials!AH138+Financials!AH137+Financials!AH139</f>
        <v>37237.904054978593</v>
      </c>
    </row>
    <row r="52" spans="1:26">
      <c r="A52" s="13" t="str">
        <f>Financials!A140</f>
        <v>Shareholders' Equity</v>
      </c>
      <c r="B52" s="87">
        <f>Financials!J140</f>
        <v>2908.5889999999999</v>
      </c>
      <c r="C52" s="87">
        <f>Financials!K140</f>
        <v>2865.3280000000004</v>
      </c>
      <c r="D52" s="87">
        <f>Financials!L140</f>
        <v>2993.8649999999998</v>
      </c>
      <c r="E52" s="87">
        <f>Financials!M140</f>
        <v>4520.71</v>
      </c>
      <c r="F52" s="87">
        <f>Financials!N140</f>
        <v>4271.4269999999997</v>
      </c>
      <c r="G52" s="87">
        <f>Financials!O140</f>
        <v>8800.1280000000006</v>
      </c>
      <c r="H52" s="87">
        <f>Financials!P140</f>
        <v>9069.2769999999982</v>
      </c>
      <c r="I52" s="87">
        <f>Financials!Q140</f>
        <v>8910.6229999999996</v>
      </c>
      <c r="J52" s="87">
        <f>Financials!R140</f>
        <v>9460.389000000001</v>
      </c>
      <c r="K52" s="87">
        <f>Financials!S140</f>
        <v>11080.08</v>
      </c>
      <c r="L52" s="87">
        <f>Financials!T140</f>
        <v>9580.9979999999996</v>
      </c>
      <c r="M52" s="87">
        <f>Financials!U140</f>
        <v>6302.7489999999998</v>
      </c>
      <c r="N52" s="87">
        <f>Financials!V140</f>
        <v>7639.1659999999993</v>
      </c>
      <c r="O52" s="87">
        <f>Financials!W140</f>
        <v>7617.8669999999993</v>
      </c>
      <c r="P52" s="87">
        <f>Financials!X140</f>
        <v>8375.1020000000008</v>
      </c>
      <c r="Q52" s="302">
        <f>Financials!Y140</f>
        <v>7548.2332842488358</v>
      </c>
      <c r="R52" s="302">
        <f>Financials!Z140</f>
        <v>9449.4250461535503</v>
      </c>
      <c r="S52" s="302">
        <f>Financials!AA140</f>
        <v>12255.328053330746</v>
      </c>
      <c r="T52" s="302">
        <f>Financials!AB140</f>
        <v>16097.096420746779</v>
      </c>
      <c r="U52" s="302">
        <f>Financials!AC140</f>
        <v>20157.813050596957</v>
      </c>
      <c r="V52" s="302">
        <f>Financials!AD140</f>
        <v>24540.226800953533</v>
      </c>
      <c r="W52" s="302">
        <f>Financials!AE140</f>
        <v>29219.405213415666</v>
      </c>
      <c r="X52" s="302">
        <f>Financials!AF140</f>
        <v>34201.542541180206</v>
      </c>
      <c r="Y52" s="302">
        <f>Financials!AG140</f>
        <v>39478.159421802964</v>
      </c>
      <c r="Z52" s="302">
        <f>Financials!AH140</f>
        <v>45042.249627922778</v>
      </c>
    </row>
    <row r="53" spans="1:26">
      <c r="A53" s="36" t="s">
        <v>351</v>
      </c>
      <c r="B53" s="85">
        <f>Q_Financials!E95</f>
        <v>525.72199999999998</v>
      </c>
      <c r="C53" s="85">
        <f>Q_Financials!I95</f>
        <v>527.65700000000004</v>
      </c>
      <c r="D53" s="85">
        <f>Q_Financials!M95</f>
        <v>362.46100000000001</v>
      </c>
      <c r="E53" s="85">
        <f>Q_Financials!Q95</f>
        <v>403.339</v>
      </c>
      <c r="F53" s="85">
        <f>Q_Financials!U95</f>
        <v>403.339</v>
      </c>
      <c r="G53" s="85">
        <f>Q_Financials!Y95</f>
        <v>478.27100000000002</v>
      </c>
      <c r="H53" s="85">
        <f>Q_Financials!AC95</f>
        <v>478.20299999999997</v>
      </c>
      <c r="I53" s="85">
        <f>Q_Financials!AG95</f>
        <v>476.59899999999999</v>
      </c>
      <c r="J53" s="85">
        <f>Q_Financials!AK95</f>
        <v>475.86900000000003</v>
      </c>
      <c r="K53" s="85">
        <f>Q_Financials!AO95</f>
        <v>477.28</v>
      </c>
      <c r="L53" s="85">
        <f>Q_Financials!AS95</f>
        <v>480.21800000000002</v>
      </c>
      <c r="M53" s="85">
        <f>Q_Financials!AW95</f>
        <v>478.74900000000002</v>
      </c>
      <c r="N53" s="85">
        <f>Q_Financials!BA95</f>
        <v>478.74900000000002</v>
      </c>
      <c r="O53" s="85">
        <f>Q_Financials!BE95</f>
        <v>478.74900000000002</v>
      </c>
      <c r="P53" s="85">
        <f>Q_Financials!BI95</f>
        <v>466.99599999999998</v>
      </c>
      <c r="Q53" s="294">
        <f>Q_Financials!BM95</f>
        <v>466.99599999999998</v>
      </c>
      <c r="R53" s="294">
        <f>Q_Financials!BQ95</f>
        <v>466.99599999999998</v>
      </c>
      <c r="S53" s="294">
        <f>Q_Financials!BU95</f>
        <v>466.99599999999998</v>
      </c>
      <c r="T53" s="294">
        <f>Q_Financials!BY95</f>
        <v>466.99599999999998</v>
      </c>
      <c r="U53" s="294">
        <f>Q_Financials!CC95</f>
        <v>466.99599999999998</v>
      </c>
      <c r="V53" s="294">
        <f>Q_Financials!CG95</f>
        <v>466.99599999999998</v>
      </c>
      <c r="W53" s="294">
        <f>Q_Financials!CK95</f>
        <v>466.99599999999998</v>
      </c>
      <c r="X53" s="294">
        <f>Q_Financials!CL95</f>
        <v>466.99599999999998</v>
      </c>
      <c r="Y53" s="294">
        <f>Q_Financials!CM95</f>
        <v>466.99599999999998</v>
      </c>
      <c r="Z53" s="294">
        <f>Q_Financials!CN95</f>
        <v>466.99599999999998</v>
      </c>
    </row>
    <row r="54" spans="1:26">
      <c r="A54" s="36" t="s">
        <v>75</v>
      </c>
      <c r="B54" s="85">
        <f>Q_Financials!E96</f>
        <v>1236.6030000000001</v>
      </c>
      <c r="C54" s="85">
        <f>Q_Financials!I96</f>
        <v>1241.2080000000001</v>
      </c>
      <c r="D54" s="85">
        <f>Q_Financials!M96</f>
        <v>1092.047</v>
      </c>
      <c r="E54" s="85">
        <f>Q_Financials!Q96</f>
        <v>2466.8220000000001</v>
      </c>
      <c r="F54" s="85">
        <f>Q_Financials!U96</f>
        <v>2037.39</v>
      </c>
      <c r="G54" s="85">
        <f>Q_Financials!Y96</f>
        <v>8613.5869999999995</v>
      </c>
      <c r="H54" s="85">
        <f>Q_Financials!AC96</f>
        <v>8613.5869999999995</v>
      </c>
      <c r="I54" s="85">
        <f>Q_Financials!AG96</f>
        <v>8625.7199999999993</v>
      </c>
      <c r="J54" s="85">
        <f>Q_Financials!AK96</f>
        <v>8625.7199999999993</v>
      </c>
      <c r="K54" s="85">
        <f>Q_Financials!AO96</f>
        <v>8625.7199999999993</v>
      </c>
      <c r="L54" s="85">
        <f>Q_Financials!AS96</f>
        <v>8625.7199999999993</v>
      </c>
      <c r="M54" s="85">
        <f>Q_Financials!AW96</f>
        <v>8677</v>
      </c>
      <c r="N54" s="85">
        <f>Q_Financials!BA96</f>
        <v>8676.8269999999993</v>
      </c>
      <c r="O54" s="85">
        <f>Q_Financials!BE96</f>
        <v>8675.41</v>
      </c>
      <c r="P54" s="85">
        <f>Q_Financials!BI96</f>
        <v>7725.7280000000001</v>
      </c>
      <c r="Q54" s="294">
        <f>Q_Financials!BM96</f>
        <v>7725.7280000000001</v>
      </c>
      <c r="R54" s="294">
        <f>Q_Financials!BQ96</f>
        <v>7725.7280000000001</v>
      </c>
      <c r="S54" s="294">
        <f>Q_Financials!BU96</f>
        <v>7725.7280000000001</v>
      </c>
      <c r="T54" s="294">
        <f>Q_Financials!BY96</f>
        <v>7725.7280000000001</v>
      </c>
      <c r="U54" s="294">
        <f>Q_Financials!CC96</f>
        <v>7725.7280000000001</v>
      </c>
      <c r="V54" s="294">
        <f>Q_Financials!CG96</f>
        <v>7725.7280000000001</v>
      </c>
      <c r="W54" s="294">
        <f>Q_Financials!CK96</f>
        <v>7725.7280000000001</v>
      </c>
      <c r="X54" s="294">
        <f>Q_Financials!CL96</f>
        <v>7725.7280000000001</v>
      </c>
      <c r="Y54" s="294">
        <f>Q_Financials!CM96</f>
        <v>7725.7280000000001</v>
      </c>
      <c r="Z54" s="294">
        <f>Q_Financials!CN96</f>
        <v>7725.7280000000001</v>
      </c>
    </row>
    <row r="55" spans="1:26">
      <c r="A55" s="36" t="s">
        <v>76</v>
      </c>
      <c r="B55" s="85">
        <f>(Q_Financials!E97)</f>
        <v>1168.451</v>
      </c>
      <c r="C55" s="85">
        <f>(Q_Financials!I97)</f>
        <v>1119.8030000000001</v>
      </c>
      <c r="D55" s="85">
        <f>(Q_Financials!M97)</f>
        <v>1511.7730000000001</v>
      </c>
      <c r="E55" s="85">
        <f>(Q_Financials!Q97)</f>
        <v>1737.0990000000002</v>
      </c>
      <c r="F55" s="85">
        <f>(Q_Financials!U97)</f>
        <v>2081.7350000000001</v>
      </c>
      <c r="G55" s="85">
        <f>(Q_Financials!Y97)</f>
        <v>38.438000000000102</v>
      </c>
      <c r="H55" s="85">
        <f>(Q_Financials!AC97)</f>
        <v>495.30100000000004</v>
      </c>
      <c r="I55" s="85">
        <f>(Q_Financials!AG97)</f>
        <v>408.64</v>
      </c>
      <c r="J55" s="85">
        <f>(Q_Financials!AK97)</f>
        <v>926.30600000000004</v>
      </c>
      <c r="K55" s="85">
        <f>(Q_Financials!AO97)</f>
        <v>2325.5259999999998</v>
      </c>
      <c r="L55" s="85">
        <f>(Q_Financials!AS97)</f>
        <v>1926.703</v>
      </c>
      <c r="M55" s="85">
        <f>(Q_Financials!AW97)</f>
        <v>-684</v>
      </c>
      <c r="N55" s="85">
        <f>(Q_Financials!BA97)</f>
        <v>871.55399999999997</v>
      </c>
      <c r="O55" s="85">
        <f>(Q_Financials!BE97)</f>
        <v>-1536.2920000000001</v>
      </c>
      <c r="P55" s="85">
        <f>(Q_Financials!BI97)</f>
        <v>182.37800000000016</v>
      </c>
      <c r="Q55" s="294">
        <f>(Q_Financials!BM97)</f>
        <v>-1223.8420000000001</v>
      </c>
      <c r="R55" s="294">
        <f>(Q_Financials!BQ97)</f>
        <v>-1223.8420000000001</v>
      </c>
      <c r="S55" s="294">
        <f>(Q_Financials!BU97)</f>
        <v>-1223.8420000000001</v>
      </c>
      <c r="T55" s="294">
        <f>(Q_Financials!BY97)</f>
        <v>-1223.8420000000001</v>
      </c>
      <c r="U55" s="294">
        <f>(Q_Financials!CC97)</f>
        <v>-1223.8420000000001</v>
      </c>
      <c r="V55" s="294">
        <f>(Q_Financials!CG97)</f>
        <v>-1223.8420000000001</v>
      </c>
      <c r="W55" s="294">
        <f>(Q_Financials!CK97)</f>
        <v>-1223.8420000000001</v>
      </c>
      <c r="X55" s="294">
        <f>(Q_Financials!CL97)</f>
        <v>-1223.8420000000001</v>
      </c>
      <c r="Y55" s="294">
        <f>(Q_Financials!CM97)</f>
        <v>-1223.8420000000001</v>
      </c>
      <c r="Z55" s="294">
        <f>(Q_Financials!CN97)</f>
        <v>-1223.8420000000001</v>
      </c>
    </row>
    <row r="56" spans="1:26">
      <c r="A56" s="36" t="s">
        <v>77</v>
      </c>
      <c r="B56" s="85">
        <f>Q_Financials!E98</f>
        <v>-22.187000000000001</v>
      </c>
      <c r="C56" s="85">
        <f>Q_Financials!I98</f>
        <v>-23.34</v>
      </c>
      <c r="D56" s="85">
        <f>Q_Financials!M98</f>
        <v>27.584</v>
      </c>
      <c r="E56" s="85">
        <f>Q_Financials!Q98</f>
        <v>-86.55</v>
      </c>
      <c r="F56" s="85">
        <f>Q_Financials!U98</f>
        <v>-251.03700000000001</v>
      </c>
      <c r="G56" s="85">
        <f>Q_Financials!Y98</f>
        <v>-330.16800000000001</v>
      </c>
      <c r="H56" s="85">
        <f>Q_Financials!AC98</f>
        <v>-517.81399999999996</v>
      </c>
      <c r="I56" s="85">
        <f>Q_Financials!AG98</f>
        <v>-600.33600000000001</v>
      </c>
      <c r="J56" s="85">
        <f>Q_Financials!AK98</f>
        <v>-567.50599999999997</v>
      </c>
      <c r="K56" s="85">
        <f>Q_Financials!AO98</f>
        <v>-348.44600000000003</v>
      </c>
      <c r="L56" s="85">
        <f>Q_Financials!AS98</f>
        <v>-1451.643</v>
      </c>
      <c r="M56" s="85">
        <f>Q_Financials!AW98</f>
        <v>-2169</v>
      </c>
      <c r="N56" s="85">
        <f>Q_Financials!BA98</f>
        <v>-2387.9639999999999</v>
      </c>
      <c r="O56" s="85">
        <f>Q_Financials!BE98</f>
        <v>0</v>
      </c>
      <c r="P56" s="85">
        <f>Q_Financials!BI98</f>
        <v>0</v>
      </c>
      <c r="Q56" s="294">
        <f>Q_Financials!BM98</f>
        <v>579.35128424883578</v>
      </c>
      <c r="R56" s="294">
        <f>Q_Financials!BQ98</f>
        <v>2480.5430461535511</v>
      </c>
      <c r="S56" s="294">
        <f>Q_Financials!BU98</f>
        <v>5286.4460533307465</v>
      </c>
      <c r="T56" s="294">
        <f>Q_Financials!BY98</f>
        <v>9128.2144207467791</v>
      </c>
      <c r="U56" s="294">
        <f>Q_Financials!CC98</f>
        <v>13188.931050596957</v>
      </c>
      <c r="V56" s="294">
        <f>Q_Financials!CG98</f>
        <v>17571.344800953535</v>
      </c>
      <c r="W56" s="294">
        <f>Q_Financials!CK98</f>
        <v>22250.523213415665</v>
      </c>
      <c r="X56" s="294">
        <f>Q_Financials!CL98</f>
        <v>23258.125861378277</v>
      </c>
      <c r="Y56" s="294">
        <f>Q_Financials!CM98</f>
        <v>24557.299803082329</v>
      </c>
      <c r="Z56" s="294">
        <f>Q_Financials!CN98</f>
        <v>25803.970148718774</v>
      </c>
    </row>
    <row r="57" spans="1:26">
      <c r="A57" s="13" t="str">
        <f>Financials!A141</f>
        <v>Minority Interest</v>
      </c>
      <c r="B57" s="87">
        <f>Financials!J141</f>
        <v>223.774</v>
      </c>
      <c r="C57" s="87">
        <f>Financials!K141</f>
        <v>245.64099999999999</v>
      </c>
      <c r="D57" s="87">
        <f>Financials!L141</f>
        <v>298.86399999999998</v>
      </c>
      <c r="E57" s="87">
        <f>Financials!M141</f>
        <v>308.18900000000002</v>
      </c>
      <c r="F57" s="87">
        <f>Financials!N141</f>
        <v>239.50399999999999</v>
      </c>
      <c r="G57" s="87">
        <f>Financials!O141</f>
        <v>1289.49</v>
      </c>
      <c r="H57" s="87">
        <f>Financials!P141</f>
        <v>1356.1969999999999</v>
      </c>
      <c r="I57" s="87">
        <f>Financials!Q141</f>
        <v>1013.448</v>
      </c>
      <c r="J57" s="87">
        <f>Financials!R141</f>
        <v>1142.7370000000001</v>
      </c>
      <c r="K57" s="87">
        <f>Financials!S141</f>
        <v>1878.742</v>
      </c>
      <c r="L57" s="87">
        <f>Financials!T141</f>
        <v>1961.5630000000001</v>
      </c>
      <c r="M57" s="87">
        <f>Financials!U141</f>
        <v>1330.4459999999999</v>
      </c>
      <c r="N57" s="87">
        <f>Financials!V141</f>
        <v>1034.923</v>
      </c>
      <c r="O57" s="87">
        <f>Financials!W141</f>
        <v>962.13099999999997</v>
      </c>
      <c r="P57" s="87">
        <f>Financials!X141</f>
        <v>940.62099999999998</v>
      </c>
      <c r="Q57" s="302">
        <f>Financials!Y141</f>
        <v>124.39</v>
      </c>
      <c r="R57" s="302">
        <f>Financials!Z141</f>
        <v>124.39</v>
      </c>
      <c r="S57" s="302">
        <f>Financials!AA141</f>
        <v>124.39</v>
      </c>
      <c r="T57" s="302">
        <f>Financials!AB141</f>
        <v>124.39</v>
      </c>
      <c r="U57" s="302">
        <f>Financials!AC141</f>
        <v>124.39</v>
      </c>
      <c r="V57" s="302">
        <f>Financials!AD141</f>
        <v>124.39</v>
      </c>
      <c r="W57" s="302">
        <f>Financials!AE141</f>
        <v>124.39</v>
      </c>
      <c r="X57" s="302">
        <f>Financials!AF141</f>
        <v>124.39</v>
      </c>
      <c r="Y57" s="302">
        <f>Financials!AG141</f>
        <v>124.39</v>
      </c>
      <c r="Z57" s="302">
        <f>Financials!AH141</f>
        <v>124.39</v>
      </c>
    </row>
    <row r="58" spans="1:26">
      <c r="A58" s="13" t="str">
        <f>Financials!A142</f>
        <v>Total Liabilities</v>
      </c>
      <c r="B58" s="87">
        <f t="shared" ref="B58:G58" si="21">B57+B52+SUM(B49:B51)</f>
        <v>5808.8089999999993</v>
      </c>
      <c r="C58" s="87">
        <f t="shared" si="21"/>
        <v>6140.7650000000012</v>
      </c>
      <c r="D58" s="87">
        <f t="shared" si="21"/>
        <v>9374.1739999999991</v>
      </c>
      <c r="E58" s="87">
        <f t="shared" si="21"/>
        <v>9797.5930000000008</v>
      </c>
      <c r="F58" s="87">
        <f t="shared" si="21"/>
        <v>12416.134000000002</v>
      </c>
      <c r="G58" s="87">
        <f t="shared" si="21"/>
        <v>29771.595999999998</v>
      </c>
      <c r="H58" s="87">
        <f t="shared" ref="H58:R58" si="22">H57+H52+SUM(H49:H51)</f>
        <v>31842.427</v>
      </c>
      <c r="I58" s="87">
        <f t="shared" si="22"/>
        <v>37995.141000000003</v>
      </c>
      <c r="J58" s="87">
        <f t="shared" si="22"/>
        <v>39659.256999999998</v>
      </c>
      <c r="K58" s="87">
        <f t="shared" si="22"/>
        <v>53060.121999999996</v>
      </c>
      <c r="L58" s="87">
        <f t="shared" si="22"/>
        <v>76412.248000000007</v>
      </c>
      <c r="M58" s="87">
        <f t="shared" si="22"/>
        <v>83437.344000000012</v>
      </c>
      <c r="N58" s="87">
        <f t="shared" si="22"/>
        <v>82977.562000000005</v>
      </c>
      <c r="O58" s="87">
        <f t="shared" si="22"/>
        <v>80469.323000000004</v>
      </c>
      <c r="P58" s="87">
        <f t="shared" si="22"/>
        <v>76997.020999999993</v>
      </c>
      <c r="Q58" s="302">
        <f t="shared" si="22"/>
        <v>78506.158318748028</v>
      </c>
      <c r="R58" s="302">
        <f t="shared" si="22"/>
        <v>84677.300652623104</v>
      </c>
      <c r="S58" s="302">
        <f>S57+S52+SUM(S49:S51)</f>
        <v>92420.740462378992</v>
      </c>
      <c r="T58" s="302">
        <f>T57+T52+SUM(T49:T51)</f>
        <v>100696.18507174836</v>
      </c>
      <c r="U58" s="302">
        <f>U57+U52+SUM(U49:U51)</f>
        <v>106510.612608155</v>
      </c>
      <c r="V58" s="302">
        <f>V57+V52+SUM(V49:V51)</f>
        <v>112458.27194166712</v>
      </c>
      <c r="W58" s="302">
        <f>W57+W52+SUM(W49:W51)</f>
        <v>118667.26646750499</v>
      </c>
      <c r="X58" s="302">
        <f t="shared" ref="X58:Z58" si="23">X57+X52+SUM(X49:X51)</f>
        <v>125200.4113594635</v>
      </c>
      <c r="Y58" s="302">
        <f t="shared" si="23"/>
        <v>133076.99573184791</v>
      </c>
      <c r="Z58" s="302">
        <f t="shared" si="23"/>
        <v>140428.34812029463</v>
      </c>
    </row>
    <row r="60" spans="1:26">
      <c r="A60" s="239" t="s">
        <v>100</v>
      </c>
      <c r="B60" s="240">
        <f t="shared" ref="B60:Z60" si="24">B$4</f>
        <v>2009</v>
      </c>
      <c r="C60" s="240">
        <f t="shared" si="24"/>
        <v>2010</v>
      </c>
      <c r="D60" s="240">
        <f t="shared" si="24"/>
        <v>2011</v>
      </c>
      <c r="E60" s="240">
        <f t="shared" si="24"/>
        <v>2012</v>
      </c>
      <c r="F60" s="240">
        <f t="shared" si="24"/>
        <v>2013</v>
      </c>
      <c r="G60" s="240">
        <f t="shared" si="24"/>
        <v>2014</v>
      </c>
      <c r="H60" s="240">
        <f t="shared" si="24"/>
        <v>2015</v>
      </c>
      <c r="I60" s="240">
        <f t="shared" si="24"/>
        <v>2016</v>
      </c>
      <c r="J60" s="240">
        <f t="shared" si="24"/>
        <v>2017</v>
      </c>
      <c r="K60" s="240">
        <f t="shared" si="24"/>
        <v>2018</v>
      </c>
      <c r="L60" s="240">
        <f t="shared" si="24"/>
        <v>2019</v>
      </c>
      <c r="M60" s="240">
        <f t="shared" si="24"/>
        <v>2020</v>
      </c>
      <c r="N60" s="240">
        <f t="shared" si="24"/>
        <v>2021</v>
      </c>
      <c r="O60" s="240">
        <f t="shared" si="24"/>
        <v>2022</v>
      </c>
      <c r="P60" s="240">
        <f t="shared" si="24"/>
        <v>2023</v>
      </c>
      <c r="Q60" s="576">
        <f t="shared" si="24"/>
        <v>2024</v>
      </c>
      <c r="R60" s="576">
        <f t="shared" si="24"/>
        <v>2025</v>
      </c>
      <c r="S60" s="576">
        <f t="shared" si="24"/>
        <v>2026</v>
      </c>
      <c r="T60" s="576">
        <f t="shared" si="24"/>
        <v>2027</v>
      </c>
      <c r="U60" s="576">
        <f t="shared" si="24"/>
        <v>2028</v>
      </c>
      <c r="V60" s="576">
        <f t="shared" si="24"/>
        <v>2029</v>
      </c>
      <c r="W60" s="576">
        <f t="shared" si="24"/>
        <v>2030</v>
      </c>
      <c r="X60" s="576">
        <f t="shared" si="24"/>
        <v>2031</v>
      </c>
      <c r="Y60" s="576">
        <f t="shared" si="24"/>
        <v>2032</v>
      </c>
      <c r="Z60" s="576">
        <f t="shared" si="24"/>
        <v>2033</v>
      </c>
    </row>
    <row r="61" spans="1:26">
      <c r="A61" s="91" t="str">
        <f>Q_Financials!A105</f>
        <v>Net income</v>
      </c>
      <c r="B61" s="85">
        <f>SUM(Q_Financials!B105:E105)</f>
        <v>103.74799999999944</v>
      </c>
      <c r="C61" s="85">
        <f>SUM(Q_Financials!F105:I105)</f>
        <v>151.22599999999986</v>
      </c>
      <c r="D61" s="85">
        <f>SUM(Q_Financials!J105:M105)</f>
        <v>209.6440000000004</v>
      </c>
      <c r="E61" s="85">
        <f>SUM(Q_Financials!N105:Q105)</f>
        <v>366.56499999999937</v>
      </c>
      <c r="F61" s="85">
        <f>SUM(Q_Financials!R105:U105)</f>
        <v>681.01300000000026</v>
      </c>
      <c r="G61" s="85">
        <f>SUM(Q_Financials!V105:Y105)</f>
        <v>666.66600000000017</v>
      </c>
      <c r="H61" s="85">
        <f>SUMIF(Q_Financials!3:3,ModelWare!H60,Q_Financials!105:105)</f>
        <v>981.20600000000036</v>
      </c>
      <c r="I61" s="85">
        <f>SUMIF(Q_Financials!3:3,ModelWare!I60,Q_Financials!105:105)</f>
        <v>996.47199999999941</v>
      </c>
      <c r="J61" s="85">
        <f>SUMIF(Q_Financials!3:3,ModelWare!J60,Q_Financials!105:105)</f>
        <v>1089.4689999999996</v>
      </c>
      <c r="K61" s="85">
        <f>SUMIF(Q_Financials!3:3,ModelWare!K60,Q_Financials!105:105)</f>
        <v>953.25299999999902</v>
      </c>
      <c r="L61" s="85">
        <f>SUMIF(Q_Financials!3:3,ModelWare!L60,Q_Financials!105:105)</f>
        <v>926.66999999999916</v>
      </c>
      <c r="M61" s="85">
        <f>SUMIF(Q_Financials!3:3,ModelWare!M60,Q_Financials!105:105)</f>
        <v>-3186.0470000000023</v>
      </c>
      <c r="N61" s="85">
        <f>SUMIF(Q_Financials!3:3,ModelWare!N60,Q_Financials!105:105)</f>
        <v>835.12999999999909</v>
      </c>
      <c r="O61" s="85">
        <f>SUMIF(Q_Financials!3:3,ModelWare!O60,Q_Financials!105:105)</f>
        <v>1632.3349999999982</v>
      </c>
      <c r="P61" s="85">
        <f>SUM(Q_Financials!BF105:BI105)</f>
        <v>2930.7289999999966</v>
      </c>
      <c r="Q61" s="294">
        <f>SUM(Q_Financials!BJ105:BM105)</f>
        <v>1123.5562842488382</v>
      </c>
      <c r="R61" s="294">
        <f>SUM(Q_Financials!BN105:BQ105)</f>
        <v>1901.1917619047153</v>
      </c>
      <c r="S61" s="294">
        <f>SUM(Q_Financials!BR105:BU105)</f>
        <v>2805.9030071771958</v>
      </c>
      <c r="T61" s="294">
        <f>SUM(Q_Financials!BV105:BY105)</f>
        <v>3841.7683674160317</v>
      </c>
      <c r="U61" s="294">
        <f>SUM(Q_Financials!BZ105:CC105)</f>
        <v>4060.7166298501761</v>
      </c>
      <c r="V61" s="294">
        <f>SUM(Q_Financials!CD105:CG105)</f>
        <v>4382.4137503565798</v>
      </c>
      <c r="W61" s="294">
        <f>SUM(Q_Financials!CH105:CK105)</f>
        <v>4679.1784124621308</v>
      </c>
      <c r="X61" s="294">
        <f>SUM(Q_Financials!CI105:CL105)</f>
        <v>4747.8457509964237</v>
      </c>
      <c r="Y61" s="294">
        <f>SUM(Q_Financials!CJ105:CM105)</f>
        <v>4817.0142152118642</v>
      </c>
      <c r="Z61" s="294">
        <f>SUM(Q_Financials!CK105:CN105)</f>
        <v>4890.9234046022239</v>
      </c>
    </row>
    <row r="62" spans="1:26">
      <c r="A62" s="42" t="str">
        <f>Q_Financials!A107</f>
        <v>Depreciation and amortization</v>
      </c>
      <c r="B62" s="114">
        <f>SUM(Q_Financials!B107:E107)</f>
        <v>665.16700000000003</v>
      </c>
      <c r="C62" s="114">
        <f>SUM(Q_Financials!F107:I107)</f>
        <v>675.03300000000002</v>
      </c>
      <c r="D62" s="85">
        <f>SUM(Q_Financials!J107:M107)</f>
        <v>723.85199999999998</v>
      </c>
      <c r="E62" s="85">
        <f>SUM(Q_Financials!N107:Q107)</f>
        <v>811.298</v>
      </c>
      <c r="F62" s="85">
        <f>SUM(Q_Financials!R107:U107)</f>
        <v>923.12100000000009</v>
      </c>
      <c r="G62" s="85">
        <f>SUM(Q_Financials!V107:Y107)</f>
        <v>1333.32</v>
      </c>
      <c r="H62" s="85">
        <f>SUM(Q_Financials!Z107:AC107)</f>
        <v>1947.8969999999999</v>
      </c>
      <c r="I62" s="85">
        <f>SUM(Q_Financials!AD107:AG107)</f>
        <v>2388.2350000000001</v>
      </c>
      <c r="J62" s="85">
        <f>SUM(Q_Financials!AH107:AK107)</f>
        <v>2751.6759999999999</v>
      </c>
      <c r="K62" s="85">
        <f>SUM(Q_Financials!AL107:AO107)</f>
        <v>3023.1880000000001</v>
      </c>
      <c r="L62" s="85">
        <f>SUM(Q_Financials!AP107:AS107)</f>
        <v>4081.7860000000001</v>
      </c>
      <c r="M62" s="85">
        <f>SUM(Q_Financials!AT107:AW107)</f>
        <v>4353.3639999999996</v>
      </c>
      <c r="N62" s="85">
        <f>SUM(Q_Financials!AX107:BA107)</f>
        <v>3506.527</v>
      </c>
      <c r="O62" s="85">
        <f>SUM(Q_Financials!BB107:BE107)</f>
        <v>3350.9949999999999</v>
      </c>
      <c r="P62" s="85">
        <f>SUM(Q_Financials!BF107:BI107)</f>
        <v>3913.6039999999998</v>
      </c>
      <c r="Q62" s="294">
        <f>SUM(Q_Financials!BJ107:BM107)</f>
        <v>4127.3273107005243</v>
      </c>
      <c r="R62" s="294">
        <f>SUM(Q_Financials!BN107:BQ107)</f>
        <v>4476.9530908591423</v>
      </c>
      <c r="S62" s="294">
        <f>SUM(Q_Financials!BR107:BU107)</f>
        <v>4658.9831313490258</v>
      </c>
      <c r="T62" s="294">
        <f>SUM(Q_Financials!BV107:BY107)</f>
        <v>4810.3802065913678</v>
      </c>
      <c r="U62" s="294">
        <f>SUM(Q_Financials!BZ107:CC107)</f>
        <v>5080.7981233652863</v>
      </c>
      <c r="V62" s="294">
        <f>SUM(Q_Financials!CD107:CG107)</f>
        <v>5739.744654821302</v>
      </c>
      <c r="W62" s="294">
        <f>SUM(Q_Financials!CH107:CK107)</f>
        <v>6446.6711212309401</v>
      </c>
      <c r="X62" s="294">
        <f>SUM(Q_Financials!CI107:CL107)</f>
        <v>6622.5923836172078</v>
      </c>
      <c r="Y62" s="294">
        <f>SUM(Q_Financials!CJ107:CM107)</f>
        <v>6809.3736922490634</v>
      </c>
      <c r="Z62" s="294">
        <f>SUM(Q_Financials!CK107:CN107)</f>
        <v>6995.615604472463</v>
      </c>
    </row>
    <row r="63" spans="1:26">
      <c r="A63" s="42" t="s">
        <v>1023</v>
      </c>
      <c r="B63" s="953">
        <v>0</v>
      </c>
      <c r="C63" s="953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294">
        <v>0</v>
      </c>
      <c r="R63" s="294">
        <v>0</v>
      </c>
      <c r="S63" s="294">
        <v>0</v>
      </c>
      <c r="T63" s="294">
        <v>0</v>
      </c>
      <c r="U63" s="294">
        <v>0</v>
      </c>
      <c r="V63" s="294">
        <v>0</v>
      </c>
      <c r="W63" s="294">
        <v>0</v>
      </c>
      <c r="X63" s="294">
        <v>0</v>
      </c>
      <c r="Y63" s="294">
        <v>0</v>
      </c>
      <c r="Z63" s="294">
        <v>0</v>
      </c>
    </row>
    <row r="64" spans="1:26">
      <c r="A64" s="42" t="str">
        <f>Q_Financials!A109</f>
        <v>Other cash items</v>
      </c>
      <c r="B64" s="114">
        <f>SUM(Q_Financials!B108:E109)</f>
        <v>133.39900000000057</v>
      </c>
      <c r="C64" s="114">
        <f>SUM(Q_Financials!F108:I109)</f>
        <v>144.51100000000017</v>
      </c>
      <c r="D64" s="85">
        <f>SUM(Q_Financials!J108:M109)</f>
        <v>150.61399999999955</v>
      </c>
      <c r="E64" s="85">
        <f>SUM(Q_Financials!N108:Q109)</f>
        <v>305.60200000000071</v>
      </c>
      <c r="F64" s="85">
        <f>SUM(Q_Financials!R108:U109)</f>
        <v>247.97799999999972</v>
      </c>
      <c r="G64" s="85">
        <f>SUM(Q_Financials!V108:Y109)</f>
        <v>370.17999999999972</v>
      </c>
      <c r="H64" s="85">
        <f>SUM(Q_Financials!Z108:AC109)</f>
        <v>780.76999999999964</v>
      </c>
      <c r="I64" s="85">
        <f>SUM(Q_Financials!AD108:AG109)</f>
        <v>565.41100000000051</v>
      </c>
      <c r="J64" s="85">
        <f>SUM(Q_Financials!AH108:AK109)</f>
        <v>-196.6179999999994</v>
      </c>
      <c r="K64" s="85">
        <f>SUM(Q_Financials!AL108:AO109)</f>
        <v>1096.5500000000006</v>
      </c>
      <c r="L64" s="85">
        <f>SUM(Q_Financials!AP108:AS109)</f>
        <v>1232.0650000000005</v>
      </c>
      <c r="M64" s="85">
        <f>SUM(Q_Financials!AT108:AW109)</f>
        <v>4788.1960000000008</v>
      </c>
      <c r="N64" s="85">
        <f>SUM(Q_Financials!AX108:BA109)</f>
        <v>5391.4280000000008</v>
      </c>
      <c r="O64" s="85">
        <f>SUM(Q_Financials!BB108:BE109)</f>
        <v>4894.2170000000024</v>
      </c>
      <c r="P64" s="85">
        <f>SUM(Q_Financials!BF108:BI109)</f>
        <v>4656.3730000000032</v>
      </c>
      <c r="Q64" s="294">
        <f>SUM(Q_Financials!BJ108:BM109)</f>
        <v>4242.7205362854202</v>
      </c>
      <c r="R64" s="294">
        <f>SUM(Q_Financials!BN108:BQ109)</f>
        <v>4348.5933553877276</v>
      </c>
      <c r="S64" s="294">
        <f>SUM(Q_Financials!BR108:BU109)</f>
        <v>4364.4913584424166</v>
      </c>
      <c r="T64" s="294">
        <f>SUM(Q_Financials!BV108:BY109)</f>
        <v>4414.6008642543011</v>
      </c>
      <c r="U64" s="294">
        <f>SUM(Q_Financials!BZ108:CC109)</f>
        <v>4481.1111088491143</v>
      </c>
      <c r="V64" s="294">
        <f>SUM(Q_Financials!CD108:CG109)</f>
        <v>4594.8467722433634</v>
      </c>
      <c r="W64" s="294">
        <f>SUM(Q_Financials!CH108:CK109)</f>
        <v>4748.3164199784451</v>
      </c>
      <c r="X64" s="294">
        <f>SUM(Q_Financials!CI108:CL109)</f>
        <v>4790.3802960124021</v>
      </c>
      <c r="Y64" s="294">
        <f>SUM(Q_Financials!CJ108:CM109)</f>
        <v>4833.3657162165364</v>
      </c>
      <c r="Z64" s="294">
        <f>SUM(Q_Financials!CK108:CN109)</f>
        <v>4878.6403781231338</v>
      </c>
    </row>
    <row r="65" spans="1:26">
      <c r="A65" s="91" t="str">
        <f>Q_Financials!A110</f>
        <v>Change in working capital:</v>
      </c>
      <c r="B65" s="114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294"/>
      <c r="R65" s="294"/>
      <c r="S65" s="294"/>
      <c r="T65" s="294"/>
      <c r="U65" s="294"/>
      <c r="V65" s="294"/>
      <c r="W65" s="294"/>
      <c r="X65" s="294"/>
      <c r="Y65" s="294"/>
      <c r="Z65" s="294"/>
    </row>
    <row r="66" spans="1:26">
      <c r="A66" s="42" t="str">
        <f>Q_Financials!A111</f>
        <v>Trade accounts receivable</v>
      </c>
      <c r="B66" s="114">
        <f>SUM(Q_Financials!B111:E111)</f>
        <v>-24.928999999999988</v>
      </c>
      <c r="C66" s="114">
        <f>SUM(Q_Financials!F111:I111)</f>
        <v>-43.782000000000004</v>
      </c>
      <c r="D66" s="85">
        <f>SUM(Q_Financials!J111:M111)</f>
        <v>-12.125999999999999</v>
      </c>
      <c r="E66" s="85">
        <f>SUM(Q_Financials!N111:Q111)</f>
        <v>-91.105999999999995</v>
      </c>
      <c r="F66" s="85">
        <f>SUM(Q_Financials!R111:U111)</f>
        <v>2.0189999999999984</v>
      </c>
      <c r="G66" s="85">
        <f>SUM(Q_Financials!V111:Y111)</f>
        <v>-188.43</v>
      </c>
      <c r="H66" s="85">
        <f>SUM(Q_Financials!Z111:AC111)</f>
        <v>18.847000000000008</v>
      </c>
      <c r="I66" s="85">
        <f>SUM(Q_Financials!AD111:AG111)</f>
        <v>-36.570000000000007</v>
      </c>
      <c r="J66" s="85">
        <f>SUM(Q_Financials!AH111:AK111)</f>
        <v>-195.565</v>
      </c>
      <c r="K66" s="85">
        <f>SUM(Q_Financials!AL111:AO111)</f>
        <v>217.29900000000001</v>
      </c>
      <c r="L66" s="85">
        <f>SUM(Q_Financials!AP111:AS111)</f>
        <v>-147.56700000000001</v>
      </c>
      <c r="M66" s="85">
        <f>SUM(Q_Financials!AT111:AW111)</f>
        <v>-101.31399999999999</v>
      </c>
      <c r="N66" s="85">
        <f>SUM(Q_Financials!AX111:BA111)</f>
        <v>-127.97700000000002</v>
      </c>
      <c r="O66" s="85">
        <f>SUM(Q_Financials!BB111:BE111)</f>
        <v>-342.05799999999999</v>
      </c>
      <c r="P66" s="85">
        <f>SUM(Q_Financials!BF111:BI111)</f>
        <v>-395.65899999999999</v>
      </c>
      <c r="Q66" s="294">
        <f>SUM(Q_Financials!BJ111:BM111)</f>
        <v>-315.91334749062662</v>
      </c>
      <c r="R66" s="294">
        <f>SUM(Q_Financials!BN111:BQ111)</f>
        <v>-203.87176308935841</v>
      </c>
      <c r="S66" s="294">
        <f>SUM(Q_Financials!BR111:BU111)</f>
        <v>-173.90582419555722</v>
      </c>
      <c r="T66" s="294">
        <f>SUM(Q_Financials!BV111:BY111)</f>
        <v>-169.79744722905252</v>
      </c>
      <c r="U66" s="294">
        <f>SUM(Q_Financials!BZ111:CC111)</f>
        <v>-162.36774814120554</v>
      </c>
      <c r="V66" s="294">
        <f>SUM(Q_Financials!CD111:CG111)</f>
        <v>-170.20512148686203</v>
      </c>
      <c r="W66" s="294">
        <f>SUM(Q_Financials!CH111:CK111)</f>
        <v>-171.93033642271348</v>
      </c>
      <c r="X66" s="294">
        <f>SUM(Q_Financials!CI111:CL111)</f>
        <v>-156.30419985655362</v>
      </c>
      <c r="Y66" s="294">
        <f>SUM(Q_Financials!CJ111:CM111)</f>
        <v>-141.49963116242634</v>
      </c>
      <c r="Z66" s="294">
        <f>SUM(Q_Financials!CK111:CN111)</f>
        <v>-175.5185443434716</v>
      </c>
    </row>
    <row r="67" spans="1:26">
      <c r="A67" s="42" t="str">
        <f>Q_Financials!A112</f>
        <v>Inventories</v>
      </c>
      <c r="B67" s="114">
        <f>SUM(Q_Financials!B112:E112)</f>
        <v>24.654000000000003</v>
      </c>
      <c r="C67" s="114">
        <f>SUM(Q_Financials!F112:I112)</f>
        <v>-15.567999999999998</v>
      </c>
      <c r="D67" s="85">
        <f>SUM(Q_Financials!J112:M112)</f>
        <v>-50.805000000000007</v>
      </c>
      <c r="E67" s="85">
        <f>SUM(Q_Financials!N112:Q112)</f>
        <v>-118.96700000000001</v>
      </c>
      <c r="F67" s="85">
        <f>SUM(Q_Financials!R112:U112)</f>
        <v>-52.131</v>
      </c>
      <c r="G67" s="85">
        <f>SUM(Q_Financials!V112:Y112)</f>
        <v>-159.47</v>
      </c>
      <c r="H67" s="85">
        <f>SUM(Q_Financials!Z112:AC112)</f>
        <v>-352.815</v>
      </c>
      <c r="I67" s="85">
        <f>SUM(Q_Financials!AD112:AG112)</f>
        <v>-151.65799999999999</v>
      </c>
      <c r="J67" s="85">
        <f>SUM(Q_Financials!AH112:AK112)</f>
        <v>-417.68599999999992</v>
      </c>
      <c r="K67" s="85">
        <f>SUM(Q_Financials!AL112:AO112)</f>
        <v>57.246000000000002</v>
      </c>
      <c r="L67" s="85">
        <f>SUM(Q_Financials!AP112:AS112)</f>
        <v>196.11099999999999</v>
      </c>
      <c r="M67" s="85">
        <f>SUM(Q_Financials!AT112:AW112)</f>
        <v>204.93199999999996</v>
      </c>
      <c r="N67" s="85">
        <f>SUM(Q_Financials!AX112:BA112)</f>
        <v>-461.15699999999998</v>
      </c>
      <c r="O67" s="85">
        <f>SUM(Q_Financials!BB112:BE112)</f>
        <v>-1043.5719999999999</v>
      </c>
      <c r="P67" s="85">
        <f>SUM(Q_Financials!BF112:BI112)</f>
        <v>-212.114</v>
      </c>
      <c r="Q67" s="294">
        <f>SUM(Q_Financials!BJ112:BM112)</f>
        <v>-175.94997558644144</v>
      </c>
      <c r="R67" s="294">
        <f>SUM(Q_Financials!BN112:BQ112)</f>
        <v>-253.01587675673909</v>
      </c>
      <c r="S67" s="294">
        <f>SUM(Q_Financials!BR112:BU112)</f>
        <v>-218.49100717763122</v>
      </c>
      <c r="T67" s="294">
        <f>SUM(Q_Financials!BV112:BY112)</f>
        <v>-214.79252923482045</v>
      </c>
      <c r="U67" s="294">
        <f>SUM(Q_Financials!BZ112:CC112)</f>
        <v>-252.78944969211898</v>
      </c>
      <c r="V67" s="294">
        <f>SUM(Q_Financials!CD112:CG112)</f>
        <v>-208.1002218295389</v>
      </c>
      <c r="W67" s="294">
        <f>SUM(Q_Financials!CH112:CK112)</f>
        <v>-210.20954502567929</v>
      </c>
      <c r="X67" s="294">
        <f>SUM(Q_Financials!CI112:CL112)</f>
        <v>-192.89317948448115</v>
      </c>
      <c r="Y67" s="294">
        <f>SUM(Q_Financials!CJ112:CM112)</f>
        <v>-220.9196684311637</v>
      </c>
      <c r="Z67" s="294">
        <f>SUM(Q_Financials!CK112:CN112)</f>
        <v>-222.27613927618859</v>
      </c>
    </row>
    <row r="68" spans="1:26">
      <c r="A68" s="42" t="str">
        <f>Q_Financials!A113</f>
        <v>Accounts payable</v>
      </c>
      <c r="B68" s="114">
        <f>SUM(Q_Financials!B113:E113)</f>
        <v>22.42</v>
      </c>
      <c r="C68" s="114">
        <f>SUM(Q_Financials!F113:I113)</f>
        <v>120.62499999999999</v>
      </c>
      <c r="D68" s="85">
        <f>SUM(Q_Financials!J113:M113)</f>
        <v>277.87799999999993</v>
      </c>
      <c r="E68" s="85">
        <f>SUM(Q_Financials!N113:Q113)</f>
        <v>86.181999999999988</v>
      </c>
      <c r="F68" s="85">
        <f>SUM(Q_Financials!R113:U113)</f>
        <v>219.13300000000004</v>
      </c>
      <c r="G68" s="85">
        <f>SUM(Q_Financials!V113:Y113)</f>
        <v>160.80400000000003</v>
      </c>
      <c r="H68" s="85">
        <f>SUM(Q_Financials!Z113:AC113)</f>
        <v>334.79399999999993</v>
      </c>
      <c r="I68" s="85">
        <f>SUM(Q_Financials!AD113:AG113)</f>
        <v>744.44600000000003</v>
      </c>
      <c r="J68" s="85">
        <f>SUM(Q_Financials!AH113:AK113)</f>
        <v>-29.673000000000002</v>
      </c>
      <c r="K68" s="85">
        <f>SUM(Q_Financials!AL113:AO113)</f>
        <v>183.0569999999999</v>
      </c>
      <c r="L68" s="85">
        <f>SUM(Q_Financials!AP113:AS113)</f>
        <v>397.94400000000007</v>
      </c>
      <c r="M68" s="85">
        <f>SUM(Q_Financials!AT113:AW113)</f>
        <v>567.97799999999995</v>
      </c>
      <c r="N68" s="85">
        <f>SUM(Q_Financials!AX113:BA113)</f>
        <v>942.66300000000012</v>
      </c>
      <c r="O68" s="85">
        <f>SUM(Q_Financials!BB113:BE113)</f>
        <v>2301.1840000000002</v>
      </c>
      <c r="P68" s="85">
        <f>SUM(Q_Financials!BF113:BI113)</f>
        <v>1304.7329999999999</v>
      </c>
      <c r="Q68" s="294">
        <f>SUM(Q_Financials!BJ113:BM113)</f>
        <v>-826.06061997151187</v>
      </c>
      <c r="R68" s="294">
        <f>SUM(Q_Financials!BN113:BQ113)</f>
        <v>530.55171114233053</v>
      </c>
      <c r="S68" s="294">
        <f>SUM(Q_Financials!BR113:BU113)</f>
        <v>458.15614108183036</v>
      </c>
      <c r="T68" s="294">
        <f>SUM(Q_Financials!BV113:BY113)</f>
        <v>450.40076293586844</v>
      </c>
      <c r="U68" s="294">
        <f>SUM(Q_Financials!BZ113:CC113)</f>
        <v>530.07691379710741</v>
      </c>
      <c r="V68" s="294">
        <f>SUM(Q_Financials!CD113:CG113)</f>
        <v>436.36759161525515</v>
      </c>
      <c r="W68" s="294">
        <f>SUM(Q_Financials!CH113:CK113)</f>
        <v>440.79065409421673</v>
      </c>
      <c r="X68" s="294">
        <f>SUM(Q_Financials!CI113:CL113)</f>
        <v>401.67625280761695</v>
      </c>
      <c r="Y68" s="294">
        <f>SUM(Q_Financials!CJ113:CM113)</f>
        <v>385.7944937457105</v>
      </c>
      <c r="Z68" s="294">
        <f>SUM(Q_Financials!CK113:CN113)</f>
        <v>412.74271544008116</v>
      </c>
    </row>
    <row r="69" spans="1:26">
      <c r="A69" s="42" t="str">
        <f>Q_Financials!A114</f>
        <v>Taxes payable</v>
      </c>
      <c r="B69" s="114">
        <f>SUM(Q_Financials!B114:E114)</f>
        <v>280.84800000000007</v>
      </c>
      <c r="C69" s="114">
        <f>SUM(Q_Financials!F114:I114)</f>
        <v>-138.74399999999997</v>
      </c>
      <c r="D69" s="85">
        <f>SUM(Q_Financials!J114:M114)</f>
        <v>-192.108</v>
      </c>
      <c r="E69" s="85">
        <f>SUM(Q_Financials!N114:Q114)</f>
        <v>-225.42899999999997</v>
      </c>
      <c r="F69" s="85">
        <f>SUM(Q_Financials!R114:U114)</f>
        <v>-459.36200000000002</v>
      </c>
      <c r="G69" s="85">
        <f>SUM(Q_Financials!V114:Y114)</f>
        <v>-160.97100000000003</v>
      </c>
      <c r="H69" s="85">
        <f>SUM(Q_Financials!Z114:AC114)</f>
        <v>-954.43799999999999</v>
      </c>
      <c r="I69" s="85">
        <f>SUMIF(Q_Financials!3:3,ModelWare!I60,Q_Financials!114:114)-I16</f>
        <v>-193.03699999999992</v>
      </c>
      <c r="J69" s="85">
        <f>SUMIF(Q_Financials!3:3,ModelWare!J60,Q_Financials!114:114)-J16</f>
        <v>-156.95299999999997</v>
      </c>
      <c r="K69" s="85">
        <f>SUMIF(Q_Financials!3:3,ModelWare!K60,Q_Financials!114:114)-K16</f>
        <v>-39.754999999999882</v>
      </c>
      <c r="L69" s="85">
        <f>SUMIF(Q_Financials!3:3,ModelWare!L60,Q_Financials!114:114)-L16</f>
        <v>72.72199999999998</v>
      </c>
      <c r="M69" s="85">
        <f>SUMIF(Q_Financials!3:3,ModelWare!M60,Q_Financials!114:114)-M16</f>
        <v>-912.69200000000001</v>
      </c>
      <c r="N69" s="85">
        <f>SUMIF(Q_Financials!3:3,ModelWare!N60,Q_Financials!114:114)-N16</f>
        <v>326.50799999999998</v>
      </c>
      <c r="O69" s="85">
        <f>SUMIF(Q_Financials!3:3,ModelWare!O60,Q_Financials!114:114)-O16</f>
        <v>-234.84000000000015</v>
      </c>
      <c r="P69" s="85">
        <f>SUMIF(Q_Financials!3:3,ModelWare!P60,Q_Financials!114:114)-P16</f>
        <v>-396.43499999999995</v>
      </c>
      <c r="Q69" s="294">
        <f>SUM(Q_Financials!BJ114:BM114)</f>
        <v>-649.779</v>
      </c>
      <c r="R69" s="294">
        <f>SUM(Q_Financials!BN114:BQ114)</f>
        <v>0</v>
      </c>
      <c r="S69" s="294">
        <f>SUM(Q_Financials!BR114:BU114)</f>
        <v>0</v>
      </c>
      <c r="T69" s="294">
        <f>SUM(Q_Financials!BV114:BY114)</f>
        <v>0</v>
      </c>
      <c r="U69" s="294">
        <f>SUM(Q_Financials!BZ114:CC114)</f>
        <v>0</v>
      </c>
      <c r="V69" s="294">
        <f>SUM(Q_Financials!CD114:CG114)</f>
        <v>0</v>
      </c>
      <c r="W69" s="294">
        <f>SUM(Q_Financials!CH114:CK114)</f>
        <v>0</v>
      </c>
      <c r="X69" s="294">
        <f>SUM(Q_Financials!CI114:CL114)</f>
        <v>0</v>
      </c>
      <c r="Y69" s="294">
        <f>SUM(Q_Financials!CJ114:CM114)</f>
        <v>0</v>
      </c>
      <c r="Z69" s="294">
        <f>SUM(Q_Financials!CK114:CN114)</f>
        <v>0</v>
      </c>
    </row>
    <row r="70" spans="1:26">
      <c r="A70" s="42" t="str">
        <f>Q_Financials!A115</f>
        <v>Other current assets</v>
      </c>
      <c r="B70" s="114">
        <f>SUM(Q_Financials!B115:E115)</f>
        <v>-162.28899999999999</v>
      </c>
      <c r="C70" s="114">
        <f>SUM(Q_Financials!F115:I115)</f>
        <v>-100.71800000000002</v>
      </c>
      <c r="D70" s="85">
        <f>SUM(Q_Financials!J115:M115)</f>
        <v>-2176.864</v>
      </c>
      <c r="E70" s="85">
        <f>SUM(Q_Financials!N115:Q115)</f>
        <v>2351.4580000000001</v>
      </c>
      <c r="F70" s="85">
        <f>SUM(Q_Financials!R115:U115)</f>
        <v>-206.30299999999997</v>
      </c>
      <c r="G70" s="85">
        <f>SUM(Q_Financials!V115:Y115)</f>
        <v>55.120000000000005</v>
      </c>
      <c r="H70" s="85">
        <f>SUM(Q_Financials!Z115:AC115)</f>
        <v>334.79500000000002</v>
      </c>
      <c r="I70" s="85">
        <f>SUM(Q_Financials!AD115:AG115)</f>
        <v>681.01400000000001</v>
      </c>
      <c r="J70" s="85">
        <f>SUM(Q_Financials!AH115:AK115)</f>
        <v>428.86599999999999</v>
      </c>
      <c r="K70" s="85">
        <f>SUM(Q_Financials!AL115:AO115)</f>
        <v>426.02699999999999</v>
      </c>
      <c r="L70" s="85">
        <f>SUM(Q_Financials!AP115:AS115)</f>
        <v>-171.84100000000001</v>
      </c>
      <c r="M70" s="85">
        <f>SUM(Q_Financials!AT115:AW115)</f>
        <v>-3415.8490000000002</v>
      </c>
      <c r="N70" s="85">
        <f>SUM(Q_Financials!AX115:BA115)</f>
        <v>1298.7380000000001</v>
      </c>
      <c r="O70" s="85">
        <f>SUM(Q_Financials!BB115:BE115)</f>
        <v>1350.6210000000001</v>
      </c>
      <c r="P70" s="85">
        <f>SUM(Q_Financials!BF115:BI115)</f>
        <v>1090.588</v>
      </c>
      <c r="Q70" s="294">
        <f>SUM(Q_Financials!BJ115:BM115)</f>
        <v>1157.3617720677828</v>
      </c>
      <c r="R70" s="294">
        <f>SUM(Q_Financials!BN115:BQ115)</f>
        <v>462.01270406313324</v>
      </c>
      <c r="S70" s="294">
        <f>SUM(Q_Financials!BR115:BU115)</f>
        <v>400.00087762125622</v>
      </c>
      <c r="T70" s="294">
        <f>SUM(Q_Financials!BV115:BY115)</f>
        <v>393.78937720153863</v>
      </c>
      <c r="U70" s="294">
        <f>SUM(Q_Financials!BZ115:CC115)</f>
        <v>481.44955674666198</v>
      </c>
      <c r="V70" s="294">
        <f>SUM(Q_Financials!CD115:CG115)</f>
        <v>378.78277833283028</v>
      </c>
      <c r="W70" s="294">
        <f>SUM(Q_Financials!CH115:CK115)</f>
        <v>382.62215579053554</v>
      </c>
      <c r="X70" s="294">
        <f>SUM(Q_Financials!CI115:CL115)</f>
        <v>326.38803911596187</v>
      </c>
      <c r="Y70" s="294">
        <f>SUM(Q_Financials!CJ115:CM115)</f>
        <v>282.32818200545989</v>
      </c>
      <c r="Z70" s="294">
        <f>SUM(Q_Financials!CK115:CN115)</f>
        <v>333.47358717758834</v>
      </c>
    </row>
    <row r="71" spans="1:26">
      <c r="A71" s="13" t="s">
        <v>101</v>
      </c>
      <c r="B71" s="87">
        <f>SUM(B61:B70)</f>
        <v>1043.0180000000003</v>
      </c>
      <c r="C71" s="87">
        <f>SUM(C61:C70)</f>
        <v>792.58300000000008</v>
      </c>
      <c r="D71" s="87">
        <f t="shared" ref="D71:L71" si="25">SUM(D61:D70)</f>
        <v>-1069.9150000000002</v>
      </c>
      <c r="E71" s="87">
        <f t="shared" si="25"/>
        <v>3485.6030000000001</v>
      </c>
      <c r="F71" s="87">
        <f t="shared" si="25"/>
        <v>1355.4680000000001</v>
      </c>
      <c r="G71" s="87">
        <f t="shared" si="25"/>
        <v>2077.2189999999996</v>
      </c>
      <c r="H71" s="87">
        <f t="shared" si="25"/>
        <v>3091.0559999999996</v>
      </c>
      <c r="I71" s="87">
        <f t="shared" si="25"/>
        <v>4994.3130000000001</v>
      </c>
      <c r="J71" s="87">
        <f t="shared" si="25"/>
        <v>3273.5160000000001</v>
      </c>
      <c r="K71" s="87">
        <f t="shared" si="25"/>
        <v>5916.8649999999998</v>
      </c>
      <c r="L71" s="87">
        <f t="shared" si="25"/>
        <v>6587.8899999999994</v>
      </c>
      <c r="M71" s="87">
        <f t="shared" ref="M71:W71" si="26">SUM(M61:M70)</f>
        <v>2298.5679999999975</v>
      </c>
      <c r="N71" s="87">
        <f t="shared" si="26"/>
        <v>11711.859999999999</v>
      </c>
      <c r="O71" s="87">
        <f t="shared" si="26"/>
        <v>11908.882000000001</v>
      </c>
      <c r="P71" s="87">
        <f t="shared" si="26"/>
        <v>12891.819000000001</v>
      </c>
      <c r="Q71" s="302">
        <f t="shared" si="26"/>
        <v>8683.2629602539855</v>
      </c>
      <c r="R71" s="302">
        <f t="shared" si="26"/>
        <v>11262.414983510953</v>
      </c>
      <c r="S71" s="302">
        <f t="shared" si="26"/>
        <v>12295.137684298536</v>
      </c>
      <c r="T71" s="302">
        <f t="shared" si="26"/>
        <v>13526.349601935235</v>
      </c>
      <c r="U71" s="302">
        <f t="shared" si="26"/>
        <v>14218.995134775021</v>
      </c>
      <c r="V71" s="302">
        <f t="shared" si="26"/>
        <v>15153.850204052927</v>
      </c>
      <c r="W71" s="302">
        <f t="shared" si="26"/>
        <v>16315.438882107877</v>
      </c>
      <c r="X71" s="302">
        <f t="shared" ref="X71:Z71" si="27">SUM(X61:X70)</f>
        <v>16539.685343208577</v>
      </c>
      <c r="Y71" s="302">
        <f t="shared" si="27"/>
        <v>16765.456999835042</v>
      </c>
      <c r="Z71" s="302">
        <f t="shared" si="27"/>
        <v>17113.601006195833</v>
      </c>
    </row>
    <row r="72" spans="1:26">
      <c r="A72" s="13"/>
      <c r="B72" s="114"/>
      <c r="C72" s="120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302"/>
      <c r="R72" s="302"/>
      <c r="S72" s="302"/>
      <c r="T72" s="302"/>
      <c r="U72" s="302"/>
      <c r="V72" s="302"/>
      <c r="W72" s="302"/>
      <c r="X72" s="302"/>
      <c r="Y72" s="302"/>
      <c r="Z72" s="302"/>
    </row>
    <row r="73" spans="1:26">
      <c r="A73" s="42" t="str">
        <f>Q_Financials!A119</f>
        <v>Purchase of property, plant and equipment</v>
      </c>
      <c r="B73" s="114">
        <f>SUM(Q_Financials!B119:E119)</f>
        <v>-123.447</v>
      </c>
      <c r="C73" s="114">
        <f>SUM(Q_Financials!F119:I119)</f>
        <v>-513.40499999999997</v>
      </c>
      <c r="D73" s="85">
        <f>SUM(Q_Financials!J119:M119)</f>
        <v>-958.53</v>
      </c>
      <c r="E73" s="85">
        <f>SUM(Q_Financials!N119:Q119)</f>
        <v>-800.05700000000002</v>
      </c>
      <c r="F73" s="85">
        <f>SUM(Q_Financials!R119:U119)</f>
        <v>-939.52700000000004</v>
      </c>
      <c r="G73" s="85">
        <f>SUM(Q_Financials!V119:Y119)</f>
        <v>-2049.5459999999998</v>
      </c>
      <c r="H73" s="85">
        <f>SUM(Q_Financials!Z119:AC119)</f>
        <v>-2984.8180000000002</v>
      </c>
      <c r="I73" s="85">
        <f>SUM(Q_Financials!AD119:AG119)</f>
        <v>-4094.9139999999998</v>
      </c>
      <c r="J73" s="85">
        <f>SUM(Q_Financials!AH119:AK119)</f>
        <v>-4385.3770000000004</v>
      </c>
      <c r="K73" s="85">
        <f>SUM(Q_Financials!AL119:AO119)</f>
        <v>-4086.2550000000001</v>
      </c>
      <c r="L73" s="85">
        <f>SUM(Q_Financials!AP119:AS119)</f>
        <v>-3340.058</v>
      </c>
      <c r="M73" s="85">
        <f>SUM(Q_Financials!AT119:AW119)</f>
        <v>-1329.9590000000003</v>
      </c>
      <c r="N73" s="85">
        <f>SUM(Q_Financials!AX119:BA119)</f>
        <v>-2313.511</v>
      </c>
      <c r="O73" s="85">
        <f>SUM(Q_Financials!BB119:BE119)</f>
        <v>-3835.5790000000002</v>
      </c>
      <c r="P73" s="85">
        <f>SUM(Q_Financials!BF119:BI119)</f>
        <v>-4242.0780000000004</v>
      </c>
      <c r="Q73" s="294">
        <f>SUM(Q_Financials!BJ119:BM119)</f>
        <v>-5210.6850655943599</v>
      </c>
      <c r="R73" s="294">
        <f>SUM(Q_Financials!BN119:BQ119)</f>
        <v>-4875.5894529741126</v>
      </c>
      <c r="S73" s="294">
        <f>SUM(Q_Financials!BR119:BU119)</f>
        <v>-4784.2508558758473</v>
      </c>
      <c r="T73" s="294">
        <f>SUM(Q_Financials!BV119:BY119)</f>
        <v>-4929.6909303642969</v>
      </c>
      <c r="U73" s="294">
        <f>SUM(Q_Financials!BZ119:CC119)</f>
        <v>-5931.6740740352179</v>
      </c>
      <c r="V73" s="294">
        <f>SUM(Q_Financials!CD119:CG119)</f>
        <v>-6525.5973132706467</v>
      </c>
      <c r="W73" s="294">
        <f>SUM(Q_Financials!CH119:CK119)</f>
        <v>-6942.8711383625086</v>
      </c>
      <c r="X73" s="294">
        <f>SUM(Q_Financials!CI119:CL119)</f>
        <v>-7101.9726439091583</v>
      </c>
      <c r="Y73" s="294">
        <f>SUM(Q_Financials!CJ119:CM119)</f>
        <v>-7261.3691918092936</v>
      </c>
      <c r="Z73" s="294">
        <f>SUM(Q_Financials!CK119:CN119)</f>
        <v>-7426.0799090950641</v>
      </c>
    </row>
    <row r="74" spans="1:26">
      <c r="A74" s="42" t="str">
        <f>Q_Financials!A120</f>
        <v>Additions to intangible assets</v>
      </c>
      <c r="B74" s="114">
        <f>SUM(Q_Financials!B120:E120)</f>
        <v>-443.52400000000006</v>
      </c>
      <c r="C74" s="114">
        <f>SUM(Q_Financials!F120:I120)</f>
        <v>-232.97300000000001</v>
      </c>
      <c r="D74" s="85">
        <f>SUM(Q_Financials!J120:M120)</f>
        <v>-286.86799999999999</v>
      </c>
      <c r="E74" s="85">
        <f>SUM(Q_Financials!N120:Q120)</f>
        <v>-185.99100000000001</v>
      </c>
      <c r="F74" s="85">
        <f>SUM(Q_Financials!R120:U120)</f>
        <v>-319.166</v>
      </c>
      <c r="G74" s="85">
        <f>SUM(Q_Financials!V120:Y120)</f>
        <v>-455.90300000000002</v>
      </c>
      <c r="H74" s="85">
        <f>SUM(Q_Financials!Z120:AC120)</f>
        <v>-454.37400000000002</v>
      </c>
      <c r="I74" s="85">
        <f>SUM(Q_Financials!AD120:AG120)</f>
        <v>-453.40899999999999</v>
      </c>
      <c r="J74" s="85">
        <f>SUM(Q_Financials!AH120:AK120)</f>
        <v>-496.34899999999999</v>
      </c>
      <c r="K74" s="85">
        <f>SUM(Q_Financials!AL120:AO120)</f>
        <v>-295.76499999999999</v>
      </c>
      <c r="L74" s="85">
        <f>SUM(Q_Financials!AP120:AS120)</f>
        <v>-425.57299999999998</v>
      </c>
      <c r="M74" s="85">
        <f>SUM(Q_Financials!AT120:AW120)</f>
        <v>-443.77199999999999</v>
      </c>
      <c r="N74" s="85">
        <f>SUM(Q_Financials!AX120:BA120)</f>
        <v>-370.26799999999997</v>
      </c>
      <c r="O74" s="85">
        <f>SUM(Q_Financials!BB120:BE120)</f>
        <v>-378.50099999999998</v>
      </c>
      <c r="P74" s="85">
        <f>SUM(Q_Financials!BF120:BI120)</f>
        <v>-497.435</v>
      </c>
      <c r="Q74" s="294">
        <f>SUM(Q_Financials!BJ120:BM120)</f>
        <v>-357.54976889920999</v>
      </c>
      <c r="R74" s="294">
        <f>SUM(Q_Financials!BN120:BQ120)</f>
        <v>-341.37273894100349</v>
      </c>
      <c r="S74" s="294">
        <f>SUM(Q_Financials!BR120:BU120)</f>
        <v>-321.71955596632233</v>
      </c>
      <c r="T74" s="294">
        <f>SUM(Q_Financials!BV120:BY120)</f>
        <v>-303.19782713831523</v>
      </c>
      <c r="U74" s="294">
        <f>SUM(Q_Financials!BZ120:CC120)</f>
        <v>-562.50631481333176</v>
      </c>
      <c r="V74" s="294">
        <f>SUM(Q_Financials!CD120:CG120)</f>
        <v>-544.42083613592422</v>
      </c>
      <c r="W74" s="294">
        <f>SUM(Q_Financials!CH120:CK120)</f>
        <v>-526.91683455553334</v>
      </c>
      <c r="X74" s="294">
        <f>SUM(Q_Financials!CI120:CL120)</f>
        <v>-522.629485729002</v>
      </c>
      <c r="Y74" s="294">
        <f>SUM(Q_Financials!CJ120:CM120)</f>
        <v>-518.37702164851578</v>
      </c>
      <c r="Z74" s="294">
        <f>SUM(Q_Financials!CK120:CN120)</f>
        <v>-514.15915846837981</v>
      </c>
    </row>
    <row r="75" spans="1:26">
      <c r="A75" s="42" t="str">
        <f>Q_Financials!A121</f>
        <v>Acquisitions, net</v>
      </c>
      <c r="B75" s="114">
        <f>SUM(Q_Financials!B121:E121)</f>
        <v>-0.64199999999999857</v>
      </c>
      <c r="C75" s="114">
        <f>SUM(Q_Financials!F121:I121)</f>
        <v>-15.568999999999999</v>
      </c>
      <c r="D75" s="85">
        <f>SUM(Q_Financials!J121:M121)</f>
        <v>-9.6110000000000007</v>
      </c>
      <c r="E75" s="85">
        <f>SUM(Q_Financials!N121:Q121)</f>
        <v>-1765</v>
      </c>
      <c r="F75" s="85">
        <f>SUM(Q_Financials!R121:U121)</f>
        <v>-1944.058</v>
      </c>
      <c r="G75" s="85">
        <f>SUM(Q_Financials!V121:Y121)</f>
        <v>-9904.9580000000005</v>
      </c>
      <c r="H75" s="85">
        <f>SUM(Q_Financials!Z121:AC121)</f>
        <v>0</v>
      </c>
      <c r="I75" s="85">
        <f>SUM(Q_Financials!AD121:AG121)</f>
        <v>-490.26600000000002</v>
      </c>
      <c r="J75" s="85">
        <f>SUM(Q_Financials!AH121:AK121)</f>
        <v>0</v>
      </c>
      <c r="K75" s="85">
        <f>SUM(Q_Financials!AL121:AO121)</f>
        <v>-13101.41</v>
      </c>
      <c r="L75" s="85">
        <f>SUM(Q_Financials!AP121:AS121)</f>
        <v>-1062.2670000000001</v>
      </c>
      <c r="M75" s="85">
        <f>SUM(Q_Financials!AT121:AW121)</f>
        <v>0</v>
      </c>
      <c r="N75" s="85">
        <f>SUM(Q_Financials!AX121:BA121)</f>
        <v>141.99199999999999</v>
      </c>
      <c r="O75" s="85">
        <f>SUM(Q_Financials!BB121:BE121)</f>
        <v>0</v>
      </c>
      <c r="P75" s="85">
        <f>SUM(Q_Financials!BF121:BI121)</f>
        <v>0</v>
      </c>
      <c r="Q75" s="294">
        <f>SUM(Q_Financials!BJ121:BM121)</f>
        <v>0</v>
      </c>
      <c r="R75" s="294">
        <f>SUM(Q_Financials!BN121:BQ121)</f>
        <v>0</v>
      </c>
      <c r="S75" s="294">
        <f>SUM(Q_Financials!BR121:BU121)</f>
        <v>0</v>
      </c>
      <c r="T75" s="294">
        <f>SUM(Q_Financials!BV121:BY121)</f>
        <v>0</v>
      </c>
      <c r="U75" s="294">
        <f>SUM(Q_Financials!BZ121:CC121)</f>
        <v>0</v>
      </c>
      <c r="V75" s="294">
        <f>SUM(Q_Financials!CD121:CG121)</f>
        <v>0</v>
      </c>
      <c r="W75" s="294">
        <f>SUM(Q_Financials!CH121:CK121)</f>
        <v>0</v>
      </c>
      <c r="X75" s="294">
        <f>SUM(Q_Financials!CI121:CL121)</f>
        <v>0</v>
      </c>
      <c r="Y75" s="294">
        <f>SUM(Q_Financials!CJ121:CM121)</f>
        <v>0</v>
      </c>
      <c r="Z75" s="294">
        <f>SUM(Q_Financials!CK121:CN121)</f>
        <v>0</v>
      </c>
    </row>
    <row r="76" spans="1:26">
      <c r="A76" s="42" t="str">
        <f>Q_Financials!A122</f>
        <v>Sales of subsidiaries and others</v>
      </c>
      <c r="B76" s="114">
        <f>SUM(Q_Financials!B122:E122)</f>
        <v>12.852</v>
      </c>
      <c r="C76" s="114">
        <f>SUM(Q_Financials!F122:I122)</f>
        <v>0</v>
      </c>
      <c r="D76" s="85">
        <f>SUM(Q_Financials!J122:M122)</f>
        <v>0</v>
      </c>
      <c r="E76" s="85">
        <f>SUM(Q_Financials!N122:Q122)</f>
        <v>0</v>
      </c>
      <c r="F76" s="85">
        <f>SUM(Q_Financials!R122:U122)</f>
        <v>0</v>
      </c>
      <c r="G76" s="85">
        <f>SUM(Q_Financials!V122:Y122)</f>
        <v>0</v>
      </c>
      <c r="H76" s="85">
        <f>SUM(Q_Financials!Z122:AC122)</f>
        <v>0</v>
      </c>
      <c r="I76" s="85">
        <f>SUM(Q_Financials!AD122:AG122)</f>
        <v>0</v>
      </c>
      <c r="J76" s="85">
        <f>SUM(Q_Financials!AH122:AK122)</f>
        <v>1607.41</v>
      </c>
      <c r="K76" s="85">
        <f>SUM(Q_Financials!AL122:AO122)</f>
        <v>-14.295999999999999</v>
      </c>
      <c r="L76" s="85">
        <f>SUM(Q_Financials!AP122:AS122)</f>
        <v>-0.98700000000000188</v>
      </c>
      <c r="M76" s="85">
        <f>SUM(Q_Financials!AT122:AW122)</f>
        <v>-6.1870000000000003</v>
      </c>
      <c r="N76" s="85">
        <f>SUM(Q_Financials!AX122:BA122)</f>
        <v>0</v>
      </c>
      <c r="O76" s="85">
        <f>SUM(Q_Financials!BB122:BE122)</f>
        <v>-9.3439999999999976</v>
      </c>
      <c r="P76" s="85">
        <f>SUM(Q_Financials!BF122:BI122)</f>
        <v>0</v>
      </c>
      <c r="Q76" s="294">
        <f>SUM(Q_Financials!BJ122:BM122)</f>
        <v>0</v>
      </c>
      <c r="R76" s="294">
        <f>SUM(Q_Financials!BN122:BQ122)</f>
        <v>0</v>
      </c>
      <c r="S76" s="294">
        <f>SUM(Q_Financials!BR122:BU122)</f>
        <v>0</v>
      </c>
      <c r="T76" s="294">
        <f>SUM(Q_Financials!BV122:BY122)</f>
        <v>0</v>
      </c>
      <c r="U76" s="294">
        <f>SUM(Q_Financials!BZ122:CC122)</f>
        <v>0</v>
      </c>
      <c r="V76" s="294">
        <f>SUM(Q_Financials!CD122:CG122)</f>
        <v>0</v>
      </c>
      <c r="W76" s="294">
        <f>SUM(Q_Financials!CH122:CK122)</f>
        <v>0</v>
      </c>
      <c r="X76" s="294">
        <f>SUM(Q_Financials!CI122:CL122)</f>
        <v>0</v>
      </c>
      <c r="Y76" s="294">
        <f>SUM(Q_Financials!CJ122:CM122)</f>
        <v>0</v>
      </c>
      <c r="Z76" s="294">
        <f>SUM(Q_Financials!CK122:CN122)</f>
        <v>0</v>
      </c>
    </row>
    <row r="77" spans="1:26">
      <c r="A77" s="238" t="s">
        <v>102</v>
      </c>
      <c r="B77" s="87">
        <f>SUM(B73:B76)</f>
        <v>-554.76100000000008</v>
      </c>
      <c r="C77" s="87">
        <f>SUM(C73:C76)</f>
        <v>-761.94699999999989</v>
      </c>
      <c r="D77" s="87">
        <f t="shared" ref="D77:L77" si="28">SUM(D73:D76)</f>
        <v>-1255.009</v>
      </c>
      <c r="E77" s="87">
        <f t="shared" si="28"/>
        <v>-2751.0479999999998</v>
      </c>
      <c r="F77" s="87">
        <f t="shared" si="28"/>
        <v>-3202.7510000000002</v>
      </c>
      <c r="G77" s="87">
        <f t="shared" si="28"/>
        <v>-12410.406999999999</v>
      </c>
      <c r="H77" s="87">
        <f t="shared" si="28"/>
        <v>-3439.192</v>
      </c>
      <c r="I77" s="87">
        <f t="shared" si="28"/>
        <v>-5038.588999999999</v>
      </c>
      <c r="J77" s="87">
        <f t="shared" si="28"/>
        <v>-3274.3160000000007</v>
      </c>
      <c r="K77" s="87">
        <f t="shared" si="28"/>
        <v>-17497.725999999999</v>
      </c>
      <c r="L77" s="87">
        <f t="shared" si="28"/>
        <v>-4828.8850000000002</v>
      </c>
      <c r="M77" s="87">
        <f t="shared" ref="M77:W77" si="29">SUM(M73:M76)</f>
        <v>-1779.9180000000001</v>
      </c>
      <c r="N77" s="87">
        <f t="shared" si="29"/>
        <v>-2541.7869999999998</v>
      </c>
      <c r="O77" s="87">
        <f t="shared" si="29"/>
        <v>-4223.424</v>
      </c>
      <c r="P77" s="87">
        <f t="shared" si="29"/>
        <v>-4739.5130000000008</v>
      </c>
      <c r="Q77" s="302">
        <f t="shared" si="29"/>
        <v>-5568.2348344935699</v>
      </c>
      <c r="R77" s="302">
        <f t="shared" si="29"/>
        <v>-5216.9621919151159</v>
      </c>
      <c r="S77" s="302">
        <f t="shared" si="29"/>
        <v>-5105.9704118421696</v>
      </c>
      <c r="T77" s="302">
        <f t="shared" si="29"/>
        <v>-5232.888757502612</v>
      </c>
      <c r="U77" s="302">
        <f t="shared" si="29"/>
        <v>-6494.1803888485501</v>
      </c>
      <c r="V77" s="302">
        <f t="shared" si="29"/>
        <v>-7070.018149406571</v>
      </c>
      <c r="W77" s="302">
        <f t="shared" si="29"/>
        <v>-7469.7879729180422</v>
      </c>
      <c r="X77" s="302">
        <f t="shared" ref="X77:Z77" si="30">SUM(X73:X76)</f>
        <v>-7624.6021296381605</v>
      </c>
      <c r="Y77" s="302">
        <f t="shared" si="30"/>
        <v>-7779.7462134578091</v>
      </c>
      <c r="Z77" s="302">
        <f t="shared" si="30"/>
        <v>-7940.2390675634442</v>
      </c>
    </row>
    <row r="78" spans="1:26">
      <c r="A78" s="238"/>
      <c r="B78" s="114"/>
      <c r="C78" s="120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302"/>
      <c r="R78" s="302"/>
      <c r="S78" s="302"/>
      <c r="T78" s="302"/>
      <c r="U78" s="302"/>
      <c r="V78" s="302"/>
      <c r="W78" s="302"/>
      <c r="X78" s="302"/>
      <c r="Y78" s="302"/>
      <c r="Z78" s="302"/>
    </row>
    <row r="79" spans="1:26">
      <c r="A79" s="42" t="str">
        <f>Q_Financials!A126</f>
        <v>Capital increase</v>
      </c>
      <c r="B79" s="114">
        <f>SUM(Q_Financials!B126:E126)</f>
        <v>0</v>
      </c>
      <c r="C79" s="114">
        <f>SUM(Q_Financials!F126:I126)</f>
        <v>0</v>
      </c>
      <c r="D79" s="85">
        <f>SUM(Q_Financials!J126:M126)</f>
        <v>0</v>
      </c>
      <c r="E79" s="85">
        <f>SUM(Q_Financials!N126:Q126)</f>
        <v>0</v>
      </c>
      <c r="F79" s="85">
        <f>SUM(Q_Financials!R126:U126)</f>
        <v>0</v>
      </c>
      <c r="G79" s="85">
        <f>SUM(Q_Financials!V126:Y126)</f>
        <v>6651.607</v>
      </c>
      <c r="H79" s="85">
        <f>SUM(Q_Financials!Z126:AC126)</f>
        <v>0</v>
      </c>
      <c r="I79" s="85">
        <f>SUM(Q_Financials!AD126:AG126)</f>
        <v>0</v>
      </c>
      <c r="J79" s="85">
        <f>SUM(Q_Financials!AH126:AK126)</f>
        <v>0</v>
      </c>
      <c r="K79" s="85">
        <f>SUM(Q_Financials!AL126:AO126)</f>
        <v>0</v>
      </c>
      <c r="L79" s="85">
        <f>SUM(Q_Financials!AP126:AS126)</f>
        <v>0</v>
      </c>
      <c r="M79" s="85">
        <f>SUM(Q_Financials!AT126:AW126)</f>
        <v>0</v>
      </c>
      <c r="N79" s="85">
        <f>SUM(Q_Financials!AX126:BA126)</f>
        <v>0</v>
      </c>
      <c r="O79" s="85">
        <f>SUM(Q_Financials!BB126:BE126)</f>
        <v>0</v>
      </c>
      <c r="P79" s="85">
        <f>SUM(Q_Financials!BF126:BI126)</f>
        <v>0</v>
      </c>
      <c r="Q79" s="294">
        <f>SUM(Q_Financials!BJ126:BM126)</f>
        <v>0</v>
      </c>
      <c r="R79" s="294">
        <f>SUM(Q_Financials!BN126:BQ126)</f>
        <v>0</v>
      </c>
      <c r="S79" s="294">
        <f>SUM(Q_Financials!BR126:BU126)</f>
        <v>0</v>
      </c>
      <c r="T79" s="294">
        <f>SUM(Q_Financials!BV126:BY126)</f>
        <v>0</v>
      </c>
      <c r="U79" s="294">
        <f>SUM(Q_Financials!BZ126:CC126)</f>
        <v>0</v>
      </c>
      <c r="V79" s="294">
        <f>SUM(Q_Financials!CD126:CG126)</f>
        <v>0</v>
      </c>
      <c r="W79" s="294">
        <f>SUM(Q_Financials!CH126:CK126)</f>
        <v>0</v>
      </c>
      <c r="X79" s="294">
        <f>SUM(Q_Financials!CI126:CL126)</f>
        <v>0</v>
      </c>
      <c r="Y79" s="294">
        <f>SUM(Q_Financials!CJ126:CM126)</f>
        <v>0</v>
      </c>
      <c r="Z79" s="294">
        <f>SUM(Q_Financials!CK126:CN126)</f>
        <v>0</v>
      </c>
    </row>
    <row r="80" spans="1:26">
      <c r="A80" s="42" t="str">
        <f>Q_Financials!A127</f>
        <v>Sale (repurchase) of shares</v>
      </c>
      <c r="B80" s="114">
        <f>SUM(Q_Financials!B127:E127)</f>
        <v>-118.035</v>
      </c>
      <c r="C80" s="114">
        <f>SUM(Q_Financials!F127:I127)</f>
        <v>62.094999999999999</v>
      </c>
      <c r="D80" s="85">
        <f>SUM(Q_Financials!J127:M127)</f>
        <v>27.172999999999995</v>
      </c>
      <c r="E80" s="85">
        <f>SUM(Q_Financials!N127:Q127)</f>
        <v>186.226</v>
      </c>
      <c r="F80" s="85">
        <f>SUM(Q_Financials!R127:U127)</f>
        <v>5.07</v>
      </c>
      <c r="G80" s="85">
        <f>SUM(Q_Financials!V127:Y127)</f>
        <v>-38.343000000000004</v>
      </c>
      <c r="H80" s="85">
        <f>SUM(Q_Financials!Z127:AC127)</f>
        <v>-13.844999999999999</v>
      </c>
      <c r="I80" s="85">
        <f>SUM(Q_Financials!AD127:AG127)</f>
        <v>-199.00200000000001</v>
      </c>
      <c r="J80" s="85">
        <f>SUM(Q_Financials!AH127:AK127)</f>
        <v>-60.576999999999991</v>
      </c>
      <c r="K80" s="85">
        <f>SUM(Q_Financials!AL127:AO127)</f>
        <v>221.19499999999999</v>
      </c>
      <c r="L80" s="85">
        <f>SUM(Q_Financials!AP127:AS127)</f>
        <v>227.923</v>
      </c>
      <c r="M80" s="85">
        <f>SUM(Q_Financials!AT127:AW127)</f>
        <v>4.4850000000000136</v>
      </c>
      <c r="N80" s="85">
        <f>SUM(Q_Financials!AX127:BA127)</f>
        <v>0</v>
      </c>
      <c r="O80" s="85">
        <f>SUM(Q_Financials!BB127:BE127)</f>
        <v>-729.08699999999999</v>
      </c>
      <c r="P80" s="85">
        <f>SUM(Q_Financials!BF127:BI127)</f>
        <v>-348.23700000000002</v>
      </c>
      <c r="Q80" s="294">
        <f>SUM(Q_Financials!BJ127:BM127)</f>
        <v>356.35599999999999</v>
      </c>
      <c r="R80" s="294">
        <f>SUM(Q_Financials!BN127:BQ127)</f>
        <v>0</v>
      </c>
      <c r="S80" s="294">
        <f>SUM(Q_Financials!BR127:BU127)</f>
        <v>0</v>
      </c>
      <c r="T80" s="294">
        <f>SUM(Q_Financials!BV127:BY127)</f>
        <v>0</v>
      </c>
      <c r="U80" s="294">
        <f>SUM(Q_Financials!BZ127:CC127)</f>
        <v>0</v>
      </c>
      <c r="V80" s="294">
        <f>SUM(Q_Financials!CD127:CG127)</f>
        <v>0</v>
      </c>
      <c r="W80" s="294">
        <f>SUM(Q_Financials!CH127:CK127)</f>
        <v>0</v>
      </c>
      <c r="X80" s="294">
        <f>SUM(Q_Financials!CI127:CL127)</f>
        <v>0</v>
      </c>
      <c r="Y80" s="294">
        <f>SUM(Q_Financials!CJ127:CM127)</f>
        <v>0</v>
      </c>
      <c r="Z80" s="294">
        <f>SUM(Q_Financials!CK127:CN127)</f>
        <v>0</v>
      </c>
    </row>
    <row r="81" spans="1:26">
      <c r="A81" s="42" t="str">
        <f>Q_Financials!A128</f>
        <v>Debt issuance/repayments</v>
      </c>
      <c r="B81" s="114">
        <f>SUM(Q_Financials!B128:E128)</f>
        <v>-488.07600000000002</v>
      </c>
      <c r="C81" s="114">
        <f>SUM(Q_Financials!F128:I128)</f>
        <v>295.42099999999999</v>
      </c>
      <c r="D81" s="85">
        <f>SUM(Q_Financials!J128:M128)</f>
        <v>2465.4760000000001</v>
      </c>
      <c r="E81" s="85">
        <f>SUM(Q_Financials!N128:Q128)</f>
        <v>-1659.2719999999999</v>
      </c>
      <c r="F81" s="85">
        <f>SUM(Q_Financials!R128:U128)</f>
        <v>2569.136</v>
      </c>
      <c r="G81" s="85">
        <f>SUM(Q_Financials!V128:Y128)</f>
        <v>4188.07</v>
      </c>
      <c r="H81" s="85">
        <f>SUM(Q_Financials!Z128:AC128)</f>
        <v>882.57999999999993</v>
      </c>
      <c r="I81" s="85">
        <f>SUM(Q_Financials!AD128:AG128)</f>
        <v>2356.9089999999997</v>
      </c>
      <c r="J81" s="85">
        <f>SUM(Q_Financials!AH128:AK128)</f>
        <v>-265.35500000000002</v>
      </c>
      <c r="K81" s="85">
        <f>SUM(Q_Financials!AL128:AO128)</f>
        <v>11231.788</v>
      </c>
      <c r="L81" s="85">
        <f>SUM(Q_Financials!AP128:AS128)</f>
        <v>404.24599999999987</v>
      </c>
      <c r="M81" s="85">
        <f>SUM(Q_Financials!AT128:AW128)</f>
        <v>5347.3440000000001</v>
      </c>
      <c r="N81" s="85">
        <f>SUM(Q_Financials!AX128:BA128)</f>
        <v>275.26300000000015</v>
      </c>
      <c r="O81" s="85">
        <f>SUM(Q_Financials!BB128:BE128)</f>
        <v>-2152.7870000000003</v>
      </c>
      <c r="P81" s="85">
        <f>SUM(Q_Financials!BF128:BI128)</f>
        <v>566.35699999999997</v>
      </c>
      <c r="Q81" s="294">
        <f>SUM(Q_Financials!BJ128:BM128)</f>
        <v>2955.9718166252323</v>
      </c>
      <c r="R81" s="294">
        <f>SUM(Q_Financials!BN128:BQ128)</f>
        <v>3659.1987338251547</v>
      </c>
      <c r="S81" s="294">
        <f>SUM(Q_Financials!BR128:BU128)</f>
        <v>3586.8191181181646</v>
      </c>
      <c r="T81" s="294">
        <f>SUM(Q_Financials!BV128:BY128)</f>
        <v>3159.6952341434467</v>
      </c>
      <c r="U81" s="294">
        <f>SUM(Q_Financials!BZ128:CC128)</f>
        <v>372.15226457853095</v>
      </c>
      <c r="V81" s="294">
        <f>SUM(Q_Financials!CD128:CG128)</f>
        <v>375.49231073177918</v>
      </c>
      <c r="W81" s="294">
        <f>SUM(Q_Financials!CH128:CK128)</f>
        <v>378.86233361596589</v>
      </c>
      <c r="X81" s="294">
        <f>SUM(Q_Financials!CI128:CL128)</f>
        <v>379.59523914572833</v>
      </c>
      <c r="Y81" s="294">
        <f>SUM(Q_Financials!CJ128:CM128)</f>
        <v>378.81374285292338</v>
      </c>
      <c r="Z81" s="294">
        <f>SUM(Q_Financials!CK128:CN128)</f>
        <v>379.76203156019437</v>
      </c>
    </row>
    <row r="82" spans="1:26">
      <c r="A82" s="42" t="str">
        <f>Q_Financials!A129</f>
        <v>Dividends</v>
      </c>
      <c r="B82" s="114">
        <f>SUM(Q_Financials!B129:E129)</f>
        <v>-41.834000000000003</v>
      </c>
      <c r="C82" s="114">
        <f>SUM(Q_Financials!F129:I129)</f>
        <v>-245.958</v>
      </c>
      <c r="D82" s="85">
        <f>SUM(Q_Financials!J129:M129)</f>
        <v>-122.648</v>
      </c>
      <c r="E82" s="85">
        <f>SUM(Q_Financials!N129:Q129)</f>
        <v>0</v>
      </c>
      <c r="F82" s="85">
        <f>SUM(Q_Financials!R129:U129)</f>
        <v>-343.87799999999999</v>
      </c>
      <c r="G82" s="85">
        <f>SUM(Q_Financials!V129:Y129)</f>
        <v>0</v>
      </c>
      <c r="H82" s="85">
        <f>SUM(Q_Financials!Z129:AC129)</f>
        <v>-419.173</v>
      </c>
      <c r="I82" s="85">
        <f>SUM(Q_Financials!AD129:AG129)</f>
        <v>-644.77099999999996</v>
      </c>
      <c r="J82" s="85">
        <f>SUM(Q_Financials!AH129:AK129)</f>
        <v>-719.39800000000002</v>
      </c>
      <c r="K82" s="85">
        <f>SUM(Q_Financials!AL129:AO129)</f>
        <v>-720.14400000000001</v>
      </c>
      <c r="L82" s="85">
        <f>SUM(Q_Financials!AP129:AS129)</f>
        <v>0</v>
      </c>
      <c r="M82" s="85">
        <f>SUM(Q_Financials!AT129:AW129)</f>
        <v>0</v>
      </c>
      <c r="N82" s="85">
        <f>SUM(Q_Financials!AX129:BA129)</f>
        <v>0</v>
      </c>
      <c r="O82" s="85">
        <f>SUM(Q_Financials!BB129:BE129)</f>
        <v>0</v>
      </c>
      <c r="P82" s="85">
        <f>SUM(Q_Financials!BF129:BI129)</f>
        <v>0</v>
      </c>
      <c r="Q82" s="294">
        <f>SUM(Q_Financials!BJ129:BM129)</f>
        <v>-978.01700000000005</v>
      </c>
      <c r="R82" s="294">
        <f>SUM(Q_Financials!BN129:BQ129)</f>
        <v>0</v>
      </c>
      <c r="S82" s="294">
        <f>SUM(Q_Financials!BR129:BU129)</f>
        <v>0</v>
      </c>
      <c r="T82" s="294">
        <f>SUM(Q_Financials!BV129:BY129)</f>
        <v>0</v>
      </c>
      <c r="U82" s="294">
        <f>SUM(Q_Financials!BZ129:CC129)</f>
        <v>0</v>
      </c>
      <c r="V82" s="294">
        <f>SUM(Q_Financials!CD129:CG129)</f>
        <v>0</v>
      </c>
      <c r="W82" s="294">
        <f>SUM(Q_Financials!CH129:CK129)</f>
        <v>0</v>
      </c>
      <c r="X82" s="294">
        <f>SUM(Q_Financials!CI129:CL129)</f>
        <v>0</v>
      </c>
      <c r="Y82" s="294">
        <f>SUM(Q_Financials!CJ129:CM129)</f>
        <v>0</v>
      </c>
      <c r="Z82" s="294">
        <f>SUM(Q_Financials!CK129:CN129)</f>
        <v>0</v>
      </c>
    </row>
    <row r="83" spans="1:26">
      <c r="A83" s="42" t="str">
        <f>Q_Financials!A131</f>
        <v>Other</v>
      </c>
      <c r="B83" s="114">
        <f>SUM(Q_Financials!B130:E131)</f>
        <v>-18.742999999999999</v>
      </c>
      <c r="C83" s="114">
        <f>SUM(Q_Financials!F130:I131)</f>
        <v>14.1</v>
      </c>
      <c r="D83" s="85">
        <f>SUM(Q_Financials!J130:M131)</f>
        <v>26.515000000000001</v>
      </c>
      <c r="E83" s="85">
        <f>SUM(Q_Financials!N130:Q131)</f>
        <v>1045.8399999999999</v>
      </c>
      <c r="F83" s="85">
        <f>SUM(Q_Financials!R130:U131)</f>
        <v>-487.88199999999995</v>
      </c>
      <c r="G83" s="85">
        <f>SUM(Q_Financials!V130:Y131)</f>
        <v>-7.242</v>
      </c>
      <c r="H83" s="85">
        <f>SUM(Q_Financials!Z130:AC131)</f>
        <v>-27.265000000000001</v>
      </c>
      <c r="I83" s="85">
        <f>SUM(Q_Financials!AD130:AG131)</f>
        <v>0</v>
      </c>
      <c r="J83" s="85">
        <f>SUM(Q_Financials!AH130:AK131)</f>
        <v>0</v>
      </c>
      <c r="K83" s="85">
        <f>SUM(Q_Financials!AL130:AO131)</f>
        <v>1690.05</v>
      </c>
      <c r="L83" s="85">
        <f>SUM(Q_Financials!AP130:AS131)</f>
        <v>-75.242999999999995</v>
      </c>
      <c r="M83" s="85">
        <f>SUM(Q_Financials!AT130:AW131)</f>
        <v>-4281.2750000000005</v>
      </c>
      <c r="N83" s="85">
        <f>SUM(Q_Financials!AX130:BA131)</f>
        <v>-7298.8650000000007</v>
      </c>
      <c r="O83" s="85">
        <f>SUM(Q_Financials!BB130:BE131)</f>
        <v>-4422.6950000000006</v>
      </c>
      <c r="P83" s="85">
        <f>SUM(Q_Financials!BF130:BI131)</f>
        <v>-4160.4570000000003</v>
      </c>
      <c r="Q83" s="294">
        <f>SUM(Q_Financials!BJ130:BM131)</f>
        <v>-7340.5528330909565</v>
      </c>
      <c r="R83" s="294">
        <f>SUM(Q_Financials!BN130:BQ131)</f>
        <v>-4710.6839326906829</v>
      </c>
      <c r="S83" s="294">
        <f>SUM(Q_Financials!BR130:BU131)</f>
        <v>-4129.266472977456</v>
      </c>
      <c r="T83" s="294">
        <f>SUM(Q_Financials!BV130:BY131)</f>
        <v>-4283.9855471895753</v>
      </c>
      <c r="U83" s="294">
        <f>SUM(Q_Financials!BZ130:CC131)</f>
        <v>-4561.7001369482095</v>
      </c>
      <c r="V83" s="294">
        <f>SUM(Q_Financials!CD130:CG131)</f>
        <v>-4855.6375665655132</v>
      </c>
      <c r="W83" s="294">
        <f>SUM(Q_Financials!CH130:CK131)</f>
        <v>-5158.9173909126648</v>
      </c>
      <c r="X83" s="294">
        <f>SUM(Q_Financials!CI130:CL131)</f>
        <v>-5237.5797429047925</v>
      </c>
      <c r="Y83" s="294">
        <f>SUM(Q_Financials!CJ130:CM131)</f>
        <v>-5319.662494425982</v>
      </c>
      <c r="Z83" s="294">
        <f>SUM(Q_Financials!CK130:CN131)</f>
        <v>-5398.7714591850117</v>
      </c>
    </row>
    <row r="84" spans="1:26">
      <c r="A84" s="238" t="s">
        <v>104</v>
      </c>
      <c r="B84" s="87">
        <f>SUM(B79:B83)</f>
        <v>-666.68799999999999</v>
      </c>
      <c r="C84" s="87">
        <f>SUM(C79:C83)</f>
        <v>125.65799999999996</v>
      </c>
      <c r="D84" s="87">
        <f t="shared" ref="D84:L84" si="31">SUM(D79:D83)</f>
        <v>2396.5159999999996</v>
      </c>
      <c r="E84" s="87">
        <f t="shared" si="31"/>
        <v>-427.2059999999999</v>
      </c>
      <c r="F84" s="87">
        <f t="shared" si="31"/>
        <v>1742.4459999999999</v>
      </c>
      <c r="G84" s="87">
        <f t="shared" si="31"/>
        <v>10794.091999999999</v>
      </c>
      <c r="H84" s="87">
        <f t="shared" si="31"/>
        <v>422.29699999999991</v>
      </c>
      <c r="I84" s="87">
        <f t="shared" si="31"/>
        <v>1513.1359999999997</v>
      </c>
      <c r="J84" s="87">
        <f t="shared" si="31"/>
        <v>-1045.33</v>
      </c>
      <c r="K84" s="87">
        <f t="shared" si="31"/>
        <v>12422.888999999999</v>
      </c>
      <c r="L84" s="87">
        <f t="shared" si="31"/>
        <v>556.92599999999993</v>
      </c>
      <c r="M84" s="87">
        <f t="shared" ref="M84:W84" si="32">SUM(M79:M83)</f>
        <v>1070.5539999999992</v>
      </c>
      <c r="N84" s="87">
        <f t="shared" si="32"/>
        <v>-7023.6020000000008</v>
      </c>
      <c r="O84" s="87">
        <f t="shared" si="32"/>
        <v>-7304.5690000000013</v>
      </c>
      <c r="P84" s="87">
        <f t="shared" si="32"/>
        <v>-3942.3370000000004</v>
      </c>
      <c r="Q84" s="302">
        <f t="shared" si="32"/>
        <v>-5006.2420164657242</v>
      </c>
      <c r="R84" s="302">
        <f t="shared" si="32"/>
        <v>-1051.4851988655282</v>
      </c>
      <c r="S84" s="302">
        <f t="shared" si="32"/>
        <v>-542.44735485929141</v>
      </c>
      <c r="T84" s="302">
        <f t="shared" si="32"/>
        <v>-1124.2903130461286</v>
      </c>
      <c r="U84" s="302">
        <f t="shared" si="32"/>
        <v>-4189.5478723696788</v>
      </c>
      <c r="V84" s="302">
        <f t="shared" si="32"/>
        <v>-4480.1452558337342</v>
      </c>
      <c r="W84" s="302">
        <f t="shared" si="32"/>
        <v>-4780.0550572966986</v>
      </c>
      <c r="X84" s="302">
        <f t="shared" ref="X84:Z84" si="33">SUM(X79:X83)</f>
        <v>-4857.984503759064</v>
      </c>
      <c r="Y84" s="302">
        <f t="shared" si="33"/>
        <v>-4940.8487515730585</v>
      </c>
      <c r="Z84" s="302">
        <f t="shared" si="33"/>
        <v>-5019.0094276248174</v>
      </c>
    </row>
    <row r="85" spans="1:26">
      <c r="A85" s="13"/>
      <c r="B85" s="114"/>
      <c r="C85" s="236"/>
      <c r="D85" s="439"/>
      <c r="E85" s="439"/>
      <c r="F85" s="439"/>
      <c r="G85" s="439"/>
      <c r="H85" s="439"/>
      <c r="I85" s="439"/>
      <c r="J85" s="439"/>
      <c r="K85" s="439"/>
      <c r="L85" s="439"/>
      <c r="M85" s="439"/>
      <c r="N85" s="439"/>
      <c r="O85" s="439"/>
      <c r="P85" s="439"/>
      <c r="Q85" s="449"/>
      <c r="R85" s="449"/>
      <c r="S85" s="449"/>
      <c r="T85" s="449"/>
      <c r="U85" s="449"/>
      <c r="V85" s="449"/>
      <c r="W85" s="449"/>
      <c r="X85" s="449"/>
      <c r="Y85" s="449"/>
      <c r="Z85" s="449"/>
    </row>
    <row r="86" spans="1:26">
      <c r="A86" s="13" t="s">
        <v>107</v>
      </c>
      <c r="B86" s="120">
        <f>SUM(Q_Financials!B138:E138)</f>
        <v>103.16500000000003</v>
      </c>
      <c r="C86" s="120">
        <f>SUM(Q_Financials!F138:I138)</f>
        <v>20.695</v>
      </c>
      <c r="D86" s="87">
        <f>SUM(Q_Financials!J138:M138)</f>
        <v>27.584</v>
      </c>
      <c r="E86" s="87">
        <f>SUM(Q_Financials!N138:Q138)</f>
        <v>-114.13500000000001</v>
      </c>
      <c r="F86" s="87">
        <f>SUM(Q_Financials!R138:U138)</f>
        <v>-164.48700000000002</v>
      </c>
      <c r="G86" s="87">
        <f>SUM(Q_Financials!V138:Y138)</f>
        <v>-11.323999999999998</v>
      </c>
      <c r="H86" s="87">
        <f>SUM(Q_Financials!Z138:AC138)</f>
        <v>8.8030000000000008</v>
      </c>
      <c r="I86" s="87">
        <f>SUM(Q_Financials!AD138:AG138)</f>
        <v>-116.83200000000002</v>
      </c>
      <c r="J86" s="87">
        <f>SUM(Q_Financials!AH138:AK138)</f>
        <v>38.690999999999995</v>
      </c>
      <c r="K86" s="87">
        <f>SUM(Q_Financials!AL138:AO138)</f>
        <v>-394.57400000000001</v>
      </c>
      <c r="L86" s="87">
        <f>SUM(Q_Financials!AP138:AS138)</f>
        <v>-1678.3979999999999</v>
      </c>
      <c r="M86" s="87">
        <f>SUM(Q_Financials!AT138:AW138)</f>
        <v>-282.18399999999991</v>
      </c>
      <c r="N86" s="87">
        <f>SUM(Q_Financials!AX138:BA138)</f>
        <v>814.55100000000004</v>
      </c>
      <c r="O86" s="87">
        <f>SUM(Q_Financials!BB138:BE138)</f>
        <v>-1174.6030000000001</v>
      </c>
      <c r="P86" s="87">
        <f>SUM(Q_Financials!BF138:BI138)</f>
        <v>-3899.8720000000003</v>
      </c>
      <c r="Q86" s="302">
        <f>SUM(Q_Financials!BJ138:BM138)</f>
        <v>509.01499999999999</v>
      </c>
      <c r="R86" s="302">
        <f>SUM(Q_Financials!BN138:BQ138)</f>
        <v>0</v>
      </c>
      <c r="S86" s="302">
        <f>SUM(Q_Financials!BR138:BU138)</f>
        <v>0</v>
      </c>
      <c r="T86" s="302">
        <f>SUM(Q_Financials!BV138:BY138)</f>
        <v>0</v>
      </c>
      <c r="U86" s="302">
        <f>SUM(Q_Financials!BZ138:CC138)</f>
        <v>0</v>
      </c>
      <c r="V86" s="302">
        <f>SUM(Q_Financials!CD138:CG138)</f>
        <v>0</v>
      </c>
      <c r="W86" s="302">
        <f>SUM(Q_Financials!CH138:CK138)</f>
        <v>0</v>
      </c>
      <c r="X86" s="302">
        <f>SUM(Q_Financials!CI138:CL138)</f>
        <v>0</v>
      </c>
      <c r="Y86" s="302">
        <f>SUM(Q_Financials!CJ138:CM138)</f>
        <v>0</v>
      </c>
      <c r="Z86" s="302">
        <f>SUM(Q_Financials!CK138:CN138)</f>
        <v>0</v>
      </c>
    </row>
    <row r="87" spans="1:26">
      <c r="A87" s="171"/>
      <c r="B87" s="114"/>
      <c r="C87" s="236"/>
      <c r="D87" s="439"/>
      <c r="E87" s="439"/>
      <c r="F87" s="439"/>
      <c r="G87" s="439"/>
      <c r="H87" s="439"/>
      <c r="I87" s="439"/>
      <c r="J87" s="439"/>
      <c r="K87" s="439"/>
      <c r="L87" s="439"/>
      <c r="M87" s="439"/>
      <c r="N87" s="439"/>
      <c r="O87" s="439"/>
      <c r="P87" s="439"/>
      <c r="Q87" s="449"/>
      <c r="R87" s="449"/>
      <c r="S87" s="449"/>
      <c r="T87" s="449"/>
      <c r="U87" s="449"/>
      <c r="V87" s="449"/>
      <c r="W87" s="449"/>
      <c r="X87" s="449"/>
      <c r="Y87" s="449"/>
      <c r="Z87" s="449"/>
    </row>
    <row r="88" spans="1:26">
      <c r="A88" s="13" t="s">
        <v>108</v>
      </c>
      <c r="B88" s="87">
        <f>B84+B77+B71+B86</f>
        <v>-75.265999999999778</v>
      </c>
      <c r="C88" s="87">
        <f>C84+C77+C71+C86</f>
        <v>176.98900000000009</v>
      </c>
      <c r="D88" s="87">
        <f t="shared" ref="D88:L88" si="34">D84+D77+D71+D86</f>
        <v>99.175999999999419</v>
      </c>
      <c r="E88" s="87">
        <f t="shared" si="34"/>
        <v>193.21400000000017</v>
      </c>
      <c r="F88" s="87">
        <f t="shared" si="34"/>
        <v>-269.32400000000024</v>
      </c>
      <c r="G88" s="87">
        <f t="shared" si="34"/>
        <v>449.57999999999907</v>
      </c>
      <c r="H88" s="87">
        <f t="shared" si="34"/>
        <v>82.963999999999601</v>
      </c>
      <c r="I88" s="87">
        <f>I84+I77+I71+I86</f>
        <v>1352.0280000000005</v>
      </c>
      <c r="J88" s="87">
        <f t="shared" si="34"/>
        <v>-1007.4390000000005</v>
      </c>
      <c r="K88" s="87">
        <f t="shared" si="34"/>
        <v>447.45400000000024</v>
      </c>
      <c r="L88" s="87">
        <f t="shared" si="34"/>
        <v>637.53299999999876</v>
      </c>
      <c r="M88" s="87">
        <f t="shared" ref="M88:W88" si="35">M84+M77+M71+M86</f>
        <v>1307.0199999999966</v>
      </c>
      <c r="N88" s="87">
        <f t="shared" si="35"/>
        <v>2961.0219999999977</v>
      </c>
      <c r="O88" s="87">
        <f t="shared" si="35"/>
        <v>-793.71400000000085</v>
      </c>
      <c r="P88" s="87">
        <f t="shared" si="35"/>
        <v>310.09699999999884</v>
      </c>
      <c r="Q88" s="302">
        <f t="shared" si="35"/>
        <v>-1382.1988907053087</v>
      </c>
      <c r="R88" s="302">
        <f t="shared" si="35"/>
        <v>4993.9675927303088</v>
      </c>
      <c r="S88" s="302">
        <f t="shared" si="35"/>
        <v>6646.7199175970745</v>
      </c>
      <c r="T88" s="302">
        <f t="shared" si="35"/>
        <v>7169.170531386495</v>
      </c>
      <c r="U88" s="302">
        <f t="shared" si="35"/>
        <v>3535.2668735567931</v>
      </c>
      <c r="V88" s="302">
        <f t="shared" si="35"/>
        <v>3603.6867988126214</v>
      </c>
      <c r="W88" s="302">
        <f t="shared" si="35"/>
        <v>4065.5958518931366</v>
      </c>
      <c r="X88" s="302">
        <f t="shared" ref="X88:Z88" si="36">X84+X77+X71+X86</f>
        <v>4057.0987098113528</v>
      </c>
      <c r="Y88" s="302">
        <f t="shared" si="36"/>
        <v>4044.8620348041732</v>
      </c>
      <c r="Z88" s="302">
        <f t="shared" si="36"/>
        <v>4154.3525110075716</v>
      </c>
    </row>
    <row r="89" spans="1:26">
      <c r="A89" s="13" t="s">
        <v>109</v>
      </c>
      <c r="B89" s="87">
        <f>Q_Financials!B137</f>
        <v>538.48</v>
      </c>
      <c r="C89" s="87">
        <f>B90</f>
        <v>463.21400000000023</v>
      </c>
      <c r="D89" s="87">
        <f>C90</f>
        <v>640.20300000000032</v>
      </c>
      <c r="E89" s="87">
        <f>D90</f>
        <v>739.37899999999968</v>
      </c>
      <c r="F89" s="87">
        <f t="shared" ref="F89:L89" si="37">E90</f>
        <v>932.59299999999985</v>
      </c>
      <c r="G89" s="87">
        <f t="shared" si="37"/>
        <v>663.26899999999955</v>
      </c>
      <c r="H89" s="87">
        <f t="shared" si="37"/>
        <v>1112.8489999999986</v>
      </c>
      <c r="I89" s="87">
        <f t="shared" si="37"/>
        <v>1195.8129999999983</v>
      </c>
      <c r="J89" s="87">
        <f t="shared" si="37"/>
        <v>2547.8409999999985</v>
      </c>
      <c r="K89" s="87">
        <f t="shared" si="37"/>
        <v>1540.401999999998</v>
      </c>
      <c r="L89" s="87">
        <f t="shared" si="37"/>
        <v>1987.8559999999982</v>
      </c>
      <c r="M89" s="87">
        <f t="shared" ref="M89:W89" si="38">L90</f>
        <v>2625.3889999999969</v>
      </c>
      <c r="N89" s="87">
        <f t="shared" si="38"/>
        <v>3932.4089999999933</v>
      </c>
      <c r="O89" s="87">
        <f t="shared" si="38"/>
        <v>6893.4309999999914</v>
      </c>
      <c r="P89" s="87">
        <f t="shared" si="38"/>
        <v>6099.7169999999905</v>
      </c>
      <c r="Q89" s="302">
        <f t="shared" si="38"/>
        <v>6409.8139999999894</v>
      </c>
      <c r="R89" s="302">
        <f t="shared" si="38"/>
        <v>5027.6151092946802</v>
      </c>
      <c r="S89" s="302">
        <f t="shared" si="38"/>
        <v>10021.582702024989</v>
      </c>
      <c r="T89" s="302">
        <f t="shared" si="38"/>
        <v>16668.302619622064</v>
      </c>
      <c r="U89" s="302">
        <f t="shared" si="38"/>
        <v>23837.473151008558</v>
      </c>
      <c r="V89" s="302">
        <f t="shared" si="38"/>
        <v>27372.740024565352</v>
      </c>
      <c r="W89" s="302">
        <f t="shared" si="38"/>
        <v>30976.426823377973</v>
      </c>
      <c r="X89" s="302">
        <f t="shared" ref="X89" si="39">W90</f>
        <v>35042.02267527111</v>
      </c>
      <c r="Y89" s="302">
        <f t="shared" ref="Y89" si="40">X90</f>
        <v>39099.121385082464</v>
      </c>
      <c r="Z89" s="302">
        <f t="shared" ref="Z89" si="41">Y90</f>
        <v>43143.983419886637</v>
      </c>
    </row>
    <row r="90" spans="1:26">
      <c r="A90" s="13" t="s">
        <v>110</v>
      </c>
      <c r="B90" s="87">
        <f>B89+B88</f>
        <v>463.21400000000023</v>
      </c>
      <c r="C90" s="87">
        <f t="shared" ref="C90:H90" si="42">C89+C88</f>
        <v>640.20300000000032</v>
      </c>
      <c r="D90" s="87">
        <f t="shared" si="42"/>
        <v>739.37899999999968</v>
      </c>
      <c r="E90" s="87">
        <f t="shared" si="42"/>
        <v>932.59299999999985</v>
      </c>
      <c r="F90" s="87">
        <f t="shared" si="42"/>
        <v>663.26899999999955</v>
      </c>
      <c r="G90" s="87">
        <f t="shared" si="42"/>
        <v>1112.8489999999986</v>
      </c>
      <c r="H90" s="87">
        <f t="shared" si="42"/>
        <v>1195.8129999999983</v>
      </c>
      <c r="I90" s="87">
        <f t="shared" ref="I90:N90" si="43">I89+I88</f>
        <v>2547.8409999999985</v>
      </c>
      <c r="J90" s="87">
        <f t="shared" si="43"/>
        <v>1540.401999999998</v>
      </c>
      <c r="K90" s="87">
        <f t="shared" si="43"/>
        <v>1987.8559999999982</v>
      </c>
      <c r="L90" s="87">
        <f t="shared" si="43"/>
        <v>2625.3889999999969</v>
      </c>
      <c r="M90" s="87">
        <f t="shared" si="43"/>
        <v>3932.4089999999933</v>
      </c>
      <c r="N90" s="87">
        <f t="shared" si="43"/>
        <v>6893.4309999999914</v>
      </c>
      <c r="O90" s="87">
        <f t="shared" ref="O90:W90" si="44">O89+O88</f>
        <v>6099.7169999999905</v>
      </c>
      <c r="P90" s="87">
        <f t="shared" si="44"/>
        <v>6409.8139999999894</v>
      </c>
      <c r="Q90" s="302">
        <f t="shared" si="44"/>
        <v>5027.6151092946802</v>
      </c>
      <c r="R90" s="302">
        <f t="shared" si="44"/>
        <v>10021.582702024989</v>
      </c>
      <c r="S90" s="302">
        <f t="shared" si="44"/>
        <v>16668.302619622064</v>
      </c>
      <c r="T90" s="302">
        <f t="shared" si="44"/>
        <v>23837.473151008558</v>
      </c>
      <c r="U90" s="302">
        <f t="shared" si="44"/>
        <v>27372.740024565352</v>
      </c>
      <c r="V90" s="302">
        <f t="shared" si="44"/>
        <v>30976.426823377973</v>
      </c>
      <c r="W90" s="302">
        <f t="shared" si="44"/>
        <v>35042.02267527111</v>
      </c>
      <c r="X90" s="302">
        <f t="shared" ref="X90:Z90" si="45">X89+X88</f>
        <v>39099.121385082464</v>
      </c>
      <c r="Y90" s="302">
        <f t="shared" si="45"/>
        <v>43143.983419886637</v>
      </c>
      <c r="Z90" s="302">
        <f t="shared" si="45"/>
        <v>47298.335930894209</v>
      </c>
    </row>
    <row r="91" spans="1:26">
      <c r="B91" s="236"/>
      <c r="C91" s="236"/>
      <c r="D91" s="236"/>
      <c r="E91" s="236"/>
      <c r="F91" s="236"/>
      <c r="G91" s="236"/>
      <c r="H91" s="236"/>
      <c r="I91" s="236"/>
      <c r="J91" s="236"/>
      <c r="K91" s="236"/>
      <c r="L91" s="236"/>
      <c r="M91" s="236"/>
      <c r="N91" s="236"/>
      <c r="O91" s="236"/>
      <c r="P91" s="236"/>
      <c r="Q91" s="450"/>
      <c r="R91" s="450"/>
      <c r="S91" s="450"/>
      <c r="T91" s="450"/>
      <c r="U91" s="450"/>
      <c r="V91" s="450"/>
      <c r="W91" s="450"/>
      <c r="X91" s="450"/>
      <c r="Y91" s="450"/>
      <c r="Z91" s="450"/>
    </row>
    <row r="92" spans="1:26">
      <c r="B92" s="236"/>
      <c r="C92" s="236"/>
      <c r="D92" s="236"/>
      <c r="E92" s="236"/>
      <c r="F92" s="236"/>
      <c r="G92" s="236"/>
      <c r="H92" s="236"/>
      <c r="I92" s="236"/>
      <c r="J92" s="236"/>
      <c r="K92" s="236"/>
      <c r="L92" s="236"/>
      <c r="M92" s="236"/>
      <c r="N92" s="236"/>
      <c r="O92" s="236"/>
      <c r="P92" s="236"/>
      <c r="Q92" s="236"/>
      <c r="R92" s="236"/>
      <c r="S92" s="236"/>
      <c r="T92" s="236"/>
      <c r="U92" s="236"/>
      <c r="V92" s="236"/>
      <c r="W92" s="236"/>
      <c r="X92" s="236"/>
      <c r="Y92" s="236"/>
      <c r="Z92" s="236"/>
    </row>
    <row r="93" spans="1:26">
      <c r="B93" s="236"/>
      <c r="C93" s="236"/>
      <c r="D93" s="236"/>
      <c r="E93" s="236"/>
      <c r="F93" s="236"/>
      <c r="G93" s="236"/>
      <c r="H93" s="236"/>
      <c r="I93" s="236"/>
      <c r="J93" s="236"/>
      <c r="K93" s="236"/>
      <c r="L93" s="236"/>
      <c r="M93" s="236"/>
      <c r="N93" s="236"/>
      <c r="O93" s="236"/>
      <c r="P93" s="236"/>
      <c r="Q93" s="450"/>
      <c r="R93" s="450"/>
      <c r="S93" s="450"/>
      <c r="T93" s="450"/>
      <c r="U93" s="450"/>
      <c r="V93" s="450"/>
      <c r="W93" s="450"/>
      <c r="X93" s="450"/>
      <c r="Y93" s="450"/>
      <c r="Z93" s="450"/>
    </row>
    <row r="94" spans="1:26">
      <c r="A94" s="13" t="s">
        <v>425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6"/>
      <c r="P94" s="236"/>
      <c r="Q94" s="450"/>
      <c r="R94" s="450"/>
      <c r="S94" s="450"/>
      <c r="T94" s="450"/>
      <c r="U94" s="450"/>
      <c r="V94" s="450"/>
      <c r="W94" s="450"/>
      <c r="X94" s="450"/>
      <c r="Y94" s="450"/>
      <c r="Z94" s="450"/>
    </row>
    <row r="95" spans="1:26">
      <c r="A95" s="9" t="s">
        <v>207</v>
      </c>
      <c r="B95" s="85">
        <v>0</v>
      </c>
      <c r="C95" s="85">
        <v>0</v>
      </c>
      <c r="D95" s="85">
        <v>0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5">
        <v>0</v>
      </c>
      <c r="N95" s="85">
        <v>0</v>
      </c>
      <c r="O95" s="85">
        <v>0</v>
      </c>
      <c r="P95" s="85">
        <v>0</v>
      </c>
      <c r="Q95" s="294">
        <v>0</v>
      </c>
      <c r="R95" s="294">
        <v>0</v>
      </c>
      <c r="S95" s="294">
        <v>0</v>
      </c>
      <c r="T95" s="294">
        <v>0</v>
      </c>
      <c r="U95" s="294">
        <v>0</v>
      </c>
      <c r="V95" s="294">
        <v>0</v>
      </c>
      <c r="W95" s="294">
        <v>0</v>
      </c>
      <c r="X95" s="294">
        <v>0</v>
      </c>
      <c r="Y95" s="294">
        <v>0</v>
      </c>
      <c r="Z95" s="294">
        <v>0</v>
      </c>
    </row>
    <row r="96" spans="1:26">
      <c r="A96" s="9" t="s">
        <v>426</v>
      </c>
      <c r="B96" s="424">
        <v>0.34</v>
      </c>
      <c r="C96" s="424">
        <v>0.34</v>
      </c>
      <c r="D96" s="424">
        <v>0.34</v>
      </c>
      <c r="E96" s="424">
        <v>0.34</v>
      </c>
      <c r="F96" s="424">
        <v>0.34</v>
      </c>
      <c r="G96" s="424">
        <v>0.34</v>
      </c>
      <c r="H96" s="424">
        <v>0.34</v>
      </c>
      <c r="I96" s="424">
        <v>0.34</v>
      </c>
      <c r="J96" s="424">
        <v>0.34</v>
      </c>
      <c r="K96" s="424">
        <v>0.34</v>
      </c>
      <c r="L96" s="424">
        <v>0.34</v>
      </c>
      <c r="M96" s="424">
        <v>0.34</v>
      </c>
      <c r="N96" s="424">
        <v>0.34</v>
      </c>
      <c r="O96" s="424">
        <v>0.34</v>
      </c>
      <c r="P96" s="424">
        <v>0.34</v>
      </c>
      <c r="Q96" s="451">
        <v>0.34</v>
      </c>
      <c r="R96" s="451">
        <v>0.34</v>
      </c>
      <c r="S96" s="451">
        <v>0.34</v>
      </c>
      <c r="T96" s="451">
        <v>0.34</v>
      </c>
      <c r="U96" s="451">
        <v>0.34</v>
      </c>
      <c r="V96" s="451">
        <v>0.34</v>
      </c>
      <c r="W96" s="451">
        <v>0.34</v>
      </c>
      <c r="X96" s="451">
        <v>0.34</v>
      </c>
      <c r="Y96" s="451">
        <v>0.34</v>
      </c>
      <c r="Z96" s="451">
        <v>0.34</v>
      </c>
    </row>
    <row r="97" spans="1:26">
      <c r="A97" s="9" t="s">
        <v>572</v>
      </c>
      <c r="B97" s="85">
        <f>DCF!J30</f>
        <v>588.47454851774728</v>
      </c>
      <c r="C97" s="85">
        <f>DCF!K30</f>
        <v>-52.88653045801324</v>
      </c>
      <c r="D97" s="85">
        <f>DCF!L30</f>
        <v>-2381.1266300344987</v>
      </c>
      <c r="E97" s="85">
        <f>DCF!M30</f>
        <v>1505.7161381932749</v>
      </c>
      <c r="F97" s="85">
        <f>DCF!N30</f>
        <v>-2647.9665623242968</v>
      </c>
      <c r="G97" s="85">
        <f>DCF!O30</f>
        <v>-10042.570993238607</v>
      </c>
      <c r="H97" s="85">
        <f>DCF!P30</f>
        <v>292.62689018369014</v>
      </c>
      <c r="I97" s="85">
        <f>DCF!Q30</f>
        <v>840.58646095660902</v>
      </c>
      <c r="J97" s="85">
        <f>DCF!R30</f>
        <v>1801.9193842000252</v>
      </c>
      <c r="K97" s="85">
        <f>DCF!S30</f>
        <v>-9775.59542569107</v>
      </c>
      <c r="L97" s="85">
        <f>DCF!T30</f>
        <v>463.74050173589148</v>
      </c>
      <c r="M97" s="85">
        <f>DCF!U30</f>
        <v>-5101.0065045963192</v>
      </c>
      <c r="N97" s="85">
        <f>DCF!V30</f>
        <v>6429.4415389247324</v>
      </c>
      <c r="O97" s="85">
        <f>DCF!W30</f>
        <v>4340.5562337693764</v>
      </c>
      <c r="P97" s="85">
        <f ca="1">DCF!X30</f>
        <v>4645.9445717082544</v>
      </c>
      <c r="Q97" s="294">
        <f>DCF!Y30</f>
        <v>-1245.7336257050802</v>
      </c>
      <c r="R97" s="294">
        <f>DCF!Z30</f>
        <v>3814.2356384793125</v>
      </c>
      <c r="S97" s="294">
        <f ca="1">DCF!AA30</f>
        <v>5336.250947340478</v>
      </c>
      <c r="T97" s="294">
        <f ca="1">DCF!AB30</f>
        <v>5834.0442700154445</v>
      </c>
      <c r="U97" s="294">
        <f ca="1">DCF!AC30</f>
        <v>4859.340348976104</v>
      </c>
      <c r="V97" s="294">
        <f ca="1">DCF!AD30</f>
        <v>4811.5383465073282</v>
      </c>
      <c r="W97" s="294">
        <f ca="1">DCF!AE30</f>
        <v>5131.6418871839087</v>
      </c>
      <c r="X97" s="294">
        <f ca="1">DCF!AI30</f>
        <v>100417.52472488355</v>
      </c>
      <c r="Y97" s="294">
        <f>DCF!AJ30</f>
        <v>0</v>
      </c>
      <c r="Z97" s="294">
        <f>DCF!AK30</f>
        <v>0</v>
      </c>
    </row>
    <row r="98" spans="1:26">
      <c r="A98" s="9" t="s">
        <v>811</v>
      </c>
      <c r="B98" s="85">
        <f>Financials!J5</f>
        <v>1171</v>
      </c>
      <c r="C98" s="85">
        <f>Financials!K5</f>
        <v>1206</v>
      </c>
      <c r="D98" s="85">
        <f>Financials!L5</f>
        <v>1283</v>
      </c>
      <c r="E98" s="85">
        <f>Financials!M5</f>
        <v>1435</v>
      </c>
      <c r="F98" s="85">
        <f>Financials!N5</f>
        <v>1862</v>
      </c>
      <c r="G98" s="85">
        <f>Financials!O5</f>
        <v>2784</v>
      </c>
      <c r="H98" s="85">
        <f>Financials!P5</f>
        <v>2954</v>
      </c>
      <c r="I98" s="85">
        <f>Financials!Q5</f>
        <v>3195</v>
      </c>
      <c r="J98" s="85">
        <f>Financials!R5</f>
        <v>3438</v>
      </c>
      <c r="K98" s="85">
        <f>Financials!S5</f>
        <v>3688</v>
      </c>
      <c r="L98" s="85">
        <f>Financials!T5</f>
        <v>4310</v>
      </c>
      <c r="M98" s="85">
        <f>Financials!U5</f>
        <v>4193</v>
      </c>
      <c r="N98" s="85">
        <f>Financials!V5</f>
        <v>4262</v>
      </c>
      <c r="O98" s="85">
        <f>Financials!W5</f>
        <v>4447</v>
      </c>
      <c r="P98" s="85">
        <f>Financials!X5</f>
        <v>4622</v>
      </c>
      <c r="Q98" s="294">
        <f>Financials!Y5</f>
        <v>4785</v>
      </c>
      <c r="R98" s="294">
        <f>Financials!Z5</f>
        <v>4928</v>
      </c>
      <c r="S98" s="294">
        <f>Financials!AA5</f>
        <v>5044</v>
      </c>
      <c r="T98" s="294">
        <f>Financials!AB5</f>
        <v>5146</v>
      </c>
      <c r="U98" s="294">
        <f>Financials!AC5</f>
        <v>5245</v>
      </c>
      <c r="V98" s="294">
        <f>Financials!AD5</f>
        <v>5344</v>
      </c>
      <c r="W98" s="294">
        <f>Financials!AE5</f>
        <v>5429</v>
      </c>
      <c r="X98" s="294">
        <f>Financials!AF5</f>
        <v>5515</v>
      </c>
      <c r="Y98" s="294">
        <f>Financials!AG5</f>
        <v>5601</v>
      </c>
      <c r="Z98" s="294">
        <f>Financials!AH5</f>
        <v>5677</v>
      </c>
    </row>
    <row r="99" spans="1:26">
      <c r="A99" s="9" t="s">
        <v>812</v>
      </c>
      <c r="B99" s="438" t="s">
        <v>750</v>
      </c>
      <c r="C99" s="438" t="s">
        <v>750</v>
      </c>
      <c r="D99" s="438" t="s">
        <v>750</v>
      </c>
      <c r="E99" s="438" t="s">
        <v>750</v>
      </c>
      <c r="F99" s="438" t="s">
        <v>750</v>
      </c>
      <c r="G99" s="438" t="s">
        <v>750</v>
      </c>
      <c r="H99" s="438" t="s">
        <v>750</v>
      </c>
      <c r="I99" s="438" t="s">
        <v>750</v>
      </c>
      <c r="J99" s="438" t="s">
        <v>750</v>
      </c>
      <c r="K99" s="438" t="s">
        <v>750</v>
      </c>
      <c r="L99" s="438" t="s">
        <v>750</v>
      </c>
      <c r="M99" s="438" t="s">
        <v>750</v>
      </c>
      <c r="N99" s="438" t="s">
        <v>750</v>
      </c>
      <c r="O99" s="438" t="s">
        <v>750</v>
      </c>
      <c r="P99" s="438" t="s">
        <v>750</v>
      </c>
      <c r="Q99" s="447" t="s">
        <v>750</v>
      </c>
      <c r="R99" s="447" t="s">
        <v>750</v>
      </c>
      <c r="S99" s="447" t="s">
        <v>750</v>
      </c>
      <c r="T99" s="447" t="s">
        <v>750</v>
      </c>
      <c r="U99" s="447" t="s">
        <v>750</v>
      </c>
      <c r="V99" s="447" t="s">
        <v>750</v>
      </c>
      <c r="W99" s="447" t="s">
        <v>750</v>
      </c>
      <c r="X99" s="447" t="s">
        <v>750</v>
      </c>
      <c r="Y99" s="447" t="s">
        <v>750</v>
      </c>
      <c r="Z99" s="447" t="s">
        <v>750</v>
      </c>
    </row>
    <row r="100" spans="1:26">
      <c r="A100" s="9" t="s">
        <v>813</v>
      </c>
      <c r="B100" s="438" t="s">
        <v>750</v>
      </c>
      <c r="C100" s="438" t="s">
        <v>750</v>
      </c>
      <c r="D100" s="438" t="s">
        <v>750</v>
      </c>
      <c r="E100" s="438" t="s">
        <v>750</v>
      </c>
      <c r="F100" s="438" t="s">
        <v>750</v>
      </c>
      <c r="G100" s="438" t="s">
        <v>750</v>
      </c>
      <c r="H100" s="438" t="s">
        <v>750</v>
      </c>
      <c r="I100" s="438" t="s">
        <v>750</v>
      </c>
      <c r="J100" s="438" t="s">
        <v>750</v>
      </c>
      <c r="K100" s="438" t="s">
        <v>750</v>
      </c>
      <c r="L100" s="438" t="s">
        <v>750</v>
      </c>
      <c r="M100" s="438" t="s">
        <v>750</v>
      </c>
      <c r="N100" s="438" t="s">
        <v>750</v>
      </c>
      <c r="O100" s="438" t="s">
        <v>750</v>
      </c>
      <c r="P100" s="438" t="s">
        <v>750</v>
      </c>
      <c r="Q100" s="447" t="s">
        <v>750</v>
      </c>
      <c r="R100" s="447" t="s">
        <v>750</v>
      </c>
      <c r="S100" s="447" t="s">
        <v>750</v>
      </c>
      <c r="T100" s="447" t="s">
        <v>750</v>
      </c>
      <c r="U100" s="447" t="s">
        <v>750</v>
      </c>
      <c r="V100" s="447" t="s">
        <v>750</v>
      </c>
      <c r="W100" s="447" t="s">
        <v>750</v>
      </c>
      <c r="X100" s="447" t="s">
        <v>750</v>
      </c>
      <c r="Y100" s="447" t="s">
        <v>750</v>
      </c>
      <c r="Z100" s="447" t="s">
        <v>750</v>
      </c>
    </row>
    <row r="101" spans="1:26">
      <c r="A101" s="9" t="s">
        <v>814</v>
      </c>
      <c r="B101" s="438" t="s">
        <v>750</v>
      </c>
      <c r="C101" s="438" t="s">
        <v>750</v>
      </c>
      <c r="D101" s="438" t="s">
        <v>750</v>
      </c>
      <c r="E101" s="438" t="s">
        <v>750</v>
      </c>
      <c r="F101" s="438" t="s">
        <v>750</v>
      </c>
      <c r="G101" s="438" t="s">
        <v>750</v>
      </c>
      <c r="H101" s="438" t="s">
        <v>750</v>
      </c>
      <c r="I101" s="438" t="s">
        <v>750</v>
      </c>
      <c r="J101" s="438" t="s">
        <v>750</v>
      </c>
      <c r="K101" s="438" t="s">
        <v>750</v>
      </c>
      <c r="L101" s="438" t="s">
        <v>750</v>
      </c>
      <c r="M101" s="438" t="s">
        <v>750</v>
      </c>
      <c r="N101" s="438" t="s">
        <v>750</v>
      </c>
      <c r="O101" s="438" t="s">
        <v>750</v>
      </c>
      <c r="P101" s="438" t="s">
        <v>750</v>
      </c>
      <c r="Q101" s="447" t="s">
        <v>750</v>
      </c>
      <c r="R101" s="447" t="s">
        <v>750</v>
      </c>
      <c r="S101" s="447" t="s">
        <v>750</v>
      </c>
      <c r="T101" s="447" t="s">
        <v>750</v>
      </c>
      <c r="U101" s="447" t="s">
        <v>750</v>
      </c>
      <c r="V101" s="447" t="s">
        <v>750</v>
      </c>
      <c r="W101" s="447" t="s">
        <v>750</v>
      </c>
      <c r="X101" s="447" t="s">
        <v>750</v>
      </c>
      <c r="Y101" s="447" t="s">
        <v>750</v>
      </c>
      <c r="Z101" s="447" t="s">
        <v>750</v>
      </c>
    </row>
    <row r="102" spans="1:26">
      <c r="A102" s="9" t="s">
        <v>815</v>
      </c>
      <c r="B102" s="438" t="s">
        <v>750</v>
      </c>
      <c r="C102" s="438" t="s">
        <v>750</v>
      </c>
      <c r="D102" s="438" t="s">
        <v>750</v>
      </c>
      <c r="E102" s="438" t="s">
        <v>750</v>
      </c>
      <c r="F102" s="438" t="s">
        <v>750</v>
      </c>
      <c r="G102" s="438" t="s">
        <v>750</v>
      </c>
      <c r="H102" s="438" t="s">
        <v>750</v>
      </c>
      <c r="I102" s="438" t="s">
        <v>750</v>
      </c>
      <c r="J102" s="438" t="s">
        <v>750</v>
      </c>
      <c r="K102" s="438" t="s">
        <v>750</v>
      </c>
      <c r="L102" s="438" t="s">
        <v>750</v>
      </c>
      <c r="M102" s="438" t="s">
        <v>750</v>
      </c>
      <c r="N102" s="438" t="s">
        <v>750</v>
      </c>
      <c r="O102" s="438" t="s">
        <v>750</v>
      </c>
      <c r="P102" s="438" t="s">
        <v>750</v>
      </c>
      <c r="Q102" s="447" t="s">
        <v>750</v>
      </c>
      <c r="R102" s="447" t="s">
        <v>750</v>
      </c>
      <c r="S102" s="447" t="s">
        <v>750</v>
      </c>
      <c r="T102" s="447" t="s">
        <v>750</v>
      </c>
      <c r="U102" s="447" t="s">
        <v>750</v>
      </c>
      <c r="V102" s="447" t="s">
        <v>750</v>
      </c>
      <c r="W102" s="447" t="s">
        <v>750</v>
      </c>
      <c r="X102" s="447" t="s">
        <v>750</v>
      </c>
      <c r="Y102" s="447" t="s">
        <v>750</v>
      </c>
      <c r="Z102" s="447" t="s">
        <v>750</v>
      </c>
    </row>
    <row r="103" spans="1:26">
      <c r="A103" s="9" t="s">
        <v>816</v>
      </c>
      <c r="B103" s="438" t="s">
        <v>750</v>
      </c>
      <c r="C103" s="438" t="s">
        <v>750</v>
      </c>
      <c r="D103" s="438" t="s">
        <v>750</v>
      </c>
      <c r="E103" s="438" t="s">
        <v>750</v>
      </c>
      <c r="F103" s="438" t="s">
        <v>750</v>
      </c>
      <c r="G103" s="438" t="s">
        <v>750</v>
      </c>
      <c r="H103" s="438" t="s">
        <v>750</v>
      </c>
      <c r="I103" s="438" t="s">
        <v>750</v>
      </c>
      <c r="J103" s="438" t="s">
        <v>750</v>
      </c>
      <c r="K103" s="438" t="s">
        <v>750</v>
      </c>
      <c r="L103" s="438" t="s">
        <v>750</v>
      </c>
      <c r="M103" s="438" t="s">
        <v>750</v>
      </c>
      <c r="N103" s="438" t="s">
        <v>750</v>
      </c>
      <c r="O103" s="438" t="s">
        <v>750</v>
      </c>
      <c r="P103" s="438" t="s">
        <v>750</v>
      </c>
      <c r="Q103" s="447" t="s">
        <v>750</v>
      </c>
      <c r="R103" s="447" t="s">
        <v>750</v>
      </c>
      <c r="S103" s="447" t="s">
        <v>750</v>
      </c>
      <c r="T103" s="447" t="s">
        <v>750</v>
      </c>
      <c r="U103" s="447" t="s">
        <v>750</v>
      </c>
      <c r="V103" s="447" t="s">
        <v>750</v>
      </c>
      <c r="W103" s="447" t="s">
        <v>750</v>
      </c>
      <c r="X103" s="447" t="s">
        <v>750</v>
      </c>
      <c r="Y103" s="447" t="s">
        <v>750</v>
      </c>
      <c r="Z103" s="447" t="s">
        <v>750</v>
      </c>
    </row>
    <row r="104" spans="1:26">
      <c r="A104" s="9" t="s">
        <v>817</v>
      </c>
      <c r="B104" s="438" t="s">
        <v>750</v>
      </c>
      <c r="C104" s="438" t="s">
        <v>750</v>
      </c>
      <c r="D104" s="438" t="s">
        <v>750</v>
      </c>
      <c r="E104" s="438" t="s">
        <v>750</v>
      </c>
      <c r="F104" s="438" t="s">
        <v>750</v>
      </c>
      <c r="G104" s="438" t="s">
        <v>750</v>
      </c>
      <c r="H104" s="438" t="s">
        <v>750</v>
      </c>
      <c r="I104" s="438" t="s">
        <v>750</v>
      </c>
      <c r="J104" s="438" t="s">
        <v>750</v>
      </c>
      <c r="K104" s="438" t="s">
        <v>750</v>
      </c>
      <c r="L104" s="438" t="s">
        <v>750</v>
      </c>
      <c r="M104" s="438" t="s">
        <v>750</v>
      </c>
      <c r="N104" s="438" t="s">
        <v>750</v>
      </c>
      <c r="O104" s="438" t="s">
        <v>750</v>
      </c>
      <c r="P104" s="438" t="s">
        <v>750</v>
      </c>
      <c r="Q104" s="447" t="s">
        <v>750</v>
      </c>
      <c r="R104" s="447" t="s">
        <v>750</v>
      </c>
      <c r="S104" s="447" t="s">
        <v>750</v>
      </c>
      <c r="T104" s="447" t="s">
        <v>750</v>
      </c>
      <c r="U104" s="447" t="s">
        <v>750</v>
      </c>
      <c r="V104" s="447" t="s">
        <v>750</v>
      </c>
      <c r="W104" s="447" t="s">
        <v>750</v>
      </c>
      <c r="X104" s="447" t="s">
        <v>750</v>
      </c>
      <c r="Y104" s="447" t="s">
        <v>750</v>
      </c>
      <c r="Z104" s="447" t="s">
        <v>750</v>
      </c>
    </row>
    <row r="105" spans="1:26">
      <c r="A105" s="9" t="s">
        <v>818</v>
      </c>
      <c r="B105" s="438" t="s">
        <v>750</v>
      </c>
      <c r="C105" s="438" t="s">
        <v>750</v>
      </c>
      <c r="D105" s="438" t="s">
        <v>750</v>
      </c>
      <c r="E105" s="438" t="s">
        <v>750</v>
      </c>
      <c r="F105" s="438" t="s">
        <v>750</v>
      </c>
      <c r="G105" s="438" t="s">
        <v>750</v>
      </c>
      <c r="H105" s="438" t="s">
        <v>750</v>
      </c>
      <c r="I105" s="438" t="s">
        <v>750</v>
      </c>
      <c r="J105" s="438" t="s">
        <v>750</v>
      </c>
      <c r="K105" s="438" t="s">
        <v>750</v>
      </c>
      <c r="L105" s="438" t="s">
        <v>750</v>
      </c>
      <c r="M105" s="438" t="s">
        <v>750</v>
      </c>
      <c r="N105" s="438" t="s">
        <v>750</v>
      </c>
      <c r="O105" s="438" t="s">
        <v>750</v>
      </c>
      <c r="P105" s="438" t="s">
        <v>750</v>
      </c>
      <c r="Q105" s="447" t="s">
        <v>750</v>
      </c>
      <c r="R105" s="447" t="s">
        <v>750</v>
      </c>
      <c r="S105" s="447" t="s">
        <v>750</v>
      </c>
      <c r="T105" s="447" t="s">
        <v>750</v>
      </c>
      <c r="U105" s="447" t="s">
        <v>750</v>
      </c>
      <c r="V105" s="447" t="s">
        <v>750</v>
      </c>
      <c r="W105" s="447" t="s">
        <v>750</v>
      </c>
      <c r="X105" s="447" t="s">
        <v>750</v>
      </c>
      <c r="Y105" s="447" t="s">
        <v>750</v>
      </c>
      <c r="Z105" s="447" t="s">
        <v>750</v>
      </c>
    </row>
    <row r="106" spans="1:26">
      <c r="A106" s="9" t="s">
        <v>829</v>
      </c>
      <c r="B106" s="438" t="s">
        <v>750</v>
      </c>
      <c r="C106" s="438" t="s">
        <v>750</v>
      </c>
      <c r="D106" s="438" t="s">
        <v>750</v>
      </c>
      <c r="E106" s="438" t="s">
        <v>750</v>
      </c>
      <c r="F106" s="438" t="s">
        <v>750</v>
      </c>
      <c r="G106" s="438" t="s">
        <v>750</v>
      </c>
      <c r="H106" s="438" t="s">
        <v>750</v>
      </c>
      <c r="I106" s="438" t="s">
        <v>750</v>
      </c>
      <c r="J106" s="438" t="s">
        <v>750</v>
      </c>
      <c r="K106" s="438" t="s">
        <v>750</v>
      </c>
      <c r="L106" s="438" t="s">
        <v>750</v>
      </c>
      <c r="M106" s="438" t="s">
        <v>750</v>
      </c>
      <c r="N106" s="438" t="s">
        <v>750</v>
      </c>
      <c r="O106" s="438" t="s">
        <v>750</v>
      </c>
      <c r="P106" s="438" t="s">
        <v>750</v>
      </c>
      <c r="Q106" s="447" t="s">
        <v>750</v>
      </c>
      <c r="R106" s="447" t="s">
        <v>750</v>
      </c>
      <c r="S106" s="447" t="s">
        <v>750</v>
      </c>
      <c r="T106" s="447" t="s">
        <v>750</v>
      </c>
      <c r="U106" s="447" t="s">
        <v>750</v>
      </c>
      <c r="V106" s="447" t="s">
        <v>750</v>
      </c>
      <c r="W106" s="447" t="s">
        <v>750</v>
      </c>
      <c r="X106" s="447" t="s">
        <v>750</v>
      </c>
      <c r="Y106" s="447" t="s">
        <v>750</v>
      </c>
      <c r="Z106" s="447" t="s">
        <v>750</v>
      </c>
    </row>
    <row r="107" spans="1:26"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</row>
    <row r="108" spans="1:26"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</row>
    <row r="109" spans="1:26"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</row>
    <row r="110" spans="1:26">
      <c r="A110" s="9" t="s">
        <v>479</v>
      </c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</row>
    <row r="111" spans="1:26">
      <c r="A111" s="36" t="s">
        <v>103</v>
      </c>
      <c r="B111" s="85"/>
      <c r="C111" s="85">
        <f t="shared" ref="C111:R111" si="46">(C53-B53)+(C55-B55)+(C56-B56)-C20</f>
        <v>-199.09199999999839</v>
      </c>
      <c r="D111" s="85">
        <f t="shared" si="46"/>
        <v>68.05399999999932</v>
      </c>
      <c r="E111" s="85">
        <f t="shared" si="46"/>
        <v>-214.49500000000063</v>
      </c>
      <c r="F111" s="85">
        <f t="shared" si="46"/>
        <v>-500.86400000000179</v>
      </c>
      <c r="G111" s="85">
        <f t="shared" si="46"/>
        <v>-2714.1620000000025</v>
      </c>
      <c r="H111" s="85">
        <f t="shared" si="46"/>
        <v>-712.05699999999956</v>
      </c>
      <c r="I111" s="85">
        <f t="shared" si="46"/>
        <v>-1167.2589999999975</v>
      </c>
      <c r="J111" s="85">
        <f t="shared" si="46"/>
        <v>-539.7029999999985</v>
      </c>
      <c r="K111" s="85">
        <f t="shared" si="46"/>
        <v>666.4380000000009</v>
      </c>
      <c r="L111" s="85">
        <f t="shared" si="46"/>
        <v>-2425.7519999999972</v>
      </c>
      <c r="M111" s="85">
        <f t="shared" si="46"/>
        <v>-143.4819999999977</v>
      </c>
      <c r="N111" s="85">
        <f t="shared" si="46"/>
        <v>501.46000000000015</v>
      </c>
      <c r="O111" s="85">
        <f t="shared" si="46"/>
        <v>-1652.2169999999978</v>
      </c>
      <c r="P111" s="85">
        <f t="shared" si="46"/>
        <v>-1223.8119999999958</v>
      </c>
      <c r="Q111" s="294">
        <f t="shared" si="46"/>
        <v>-1950.4250000000034</v>
      </c>
      <c r="R111" s="294">
        <f t="shared" si="46"/>
        <v>0</v>
      </c>
      <c r="S111" s="294">
        <f>(S53-R53)+(S55-R55)+(S56-R56)-S20</f>
        <v>0</v>
      </c>
      <c r="T111" s="294">
        <f>(T53-S53)+(T55-S55)+(T56-S56)-T20</f>
        <v>0</v>
      </c>
      <c r="U111" s="294">
        <f>(U53-T53)+(U55-T55)+(U56-T56)-U20</f>
        <v>0</v>
      </c>
      <c r="V111" s="294">
        <f>(V53-U53)+(V55-U55)+(V56-U56)-V20</f>
        <v>0</v>
      </c>
      <c r="W111" s="294">
        <f>(W53-V53)+(W55-V55)+(W56-V56)-W20</f>
        <v>0</v>
      </c>
      <c r="X111" s="294">
        <f t="shared" ref="X111:Z111" si="47">(X53-W53)+(X55-W55)+(X56-W56)-X20</f>
        <v>-3974.5346798019236</v>
      </c>
      <c r="Y111" s="294">
        <f t="shared" si="47"/>
        <v>-3977.4429389187089</v>
      </c>
      <c r="Z111" s="294">
        <f t="shared" si="47"/>
        <v>-4317.4198604833791</v>
      </c>
    </row>
    <row r="112" spans="1:26">
      <c r="A112" s="36" t="s">
        <v>209</v>
      </c>
      <c r="B112" s="92">
        <f t="shared" ref="B112:H112" si="48">B25</f>
        <v>601.79999999999995</v>
      </c>
      <c r="C112" s="92">
        <f t="shared" si="48"/>
        <v>603.5</v>
      </c>
      <c r="D112" s="92">
        <f t="shared" si="48"/>
        <v>605.6</v>
      </c>
      <c r="E112" s="92">
        <f t="shared" si="48"/>
        <v>646.9</v>
      </c>
      <c r="F112" s="92">
        <f t="shared" si="48"/>
        <v>687.8</v>
      </c>
      <c r="G112" s="92">
        <f t="shared" si="48"/>
        <v>762.7</v>
      </c>
      <c r="H112" s="92">
        <f t="shared" si="48"/>
        <v>837.55</v>
      </c>
      <c r="I112" s="92">
        <f t="shared" ref="I112:R112" si="49">I25</f>
        <v>835.9</v>
      </c>
      <c r="J112" s="92">
        <f t="shared" si="49"/>
        <v>833.55</v>
      </c>
      <c r="K112" s="92">
        <f t="shared" si="49"/>
        <v>834.2</v>
      </c>
      <c r="L112" s="92">
        <f t="shared" si="49"/>
        <v>837.05</v>
      </c>
      <c r="M112" s="92">
        <f t="shared" si="49"/>
        <v>838.5</v>
      </c>
      <c r="N112" s="92">
        <f t="shared" si="49"/>
        <v>838.55</v>
      </c>
      <c r="O112" s="92">
        <f t="shared" si="49"/>
        <v>829.3</v>
      </c>
      <c r="P112" s="92">
        <f t="shared" si="49"/>
        <v>814.85</v>
      </c>
      <c r="Q112" s="329">
        <f t="shared" si="49"/>
        <v>812.35</v>
      </c>
      <c r="R112" s="329">
        <f t="shared" si="49"/>
        <v>815</v>
      </c>
      <c r="S112" s="329">
        <f>S25</f>
        <v>815</v>
      </c>
      <c r="T112" s="329">
        <f>T25</f>
        <v>815</v>
      </c>
      <c r="U112" s="329">
        <f>U25</f>
        <v>815</v>
      </c>
      <c r="V112" s="329">
        <f>V25</f>
        <v>815</v>
      </c>
      <c r="W112" s="329">
        <f>W25</f>
        <v>815</v>
      </c>
      <c r="X112" s="329">
        <f t="shared" ref="X112:Z112" si="50">X25</f>
        <v>815</v>
      </c>
      <c r="Y112" s="329">
        <f t="shared" si="50"/>
        <v>815</v>
      </c>
      <c r="Z112" s="329">
        <f t="shared" si="50"/>
        <v>815</v>
      </c>
    </row>
    <row r="113" spans="1:26">
      <c r="A113" s="36" t="s">
        <v>210</v>
      </c>
      <c r="B113" s="92">
        <f>Financials!J105</f>
        <v>0</v>
      </c>
      <c r="C113" s="92">
        <f>Financials!K105</f>
        <v>0</v>
      </c>
      <c r="D113" s="92">
        <f>Financials!L105</f>
        <v>0</v>
      </c>
      <c r="E113" s="92">
        <f>Financials!M105</f>
        <v>0</v>
      </c>
      <c r="F113" s="92">
        <f>Financials!N105</f>
        <v>0</v>
      </c>
      <c r="G113" s="92">
        <f>Financials!O105</f>
        <v>0</v>
      </c>
      <c r="H113" s="92">
        <f>Financials!P105</f>
        <v>0</v>
      </c>
      <c r="I113" s="92">
        <f>Financials!Q105</f>
        <v>0</v>
      </c>
      <c r="J113" s="92">
        <f>Financials!R105</f>
        <v>0</v>
      </c>
      <c r="K113" s="92">
        <f>Financials!S105</f>
        <v>0</v>
      </c>
      <c r="L113" s="92">
        <f>Financials!T105</f>
        <v>0</v>
      </c>
      <c r="M113" s="92">
        <f>Financials!U105</f>
        <v>0</v>
      </c>
      <c r="N113" s="92">
        <f>Financials!V105</f>
        <v>0</v>
      </c>
      <c r="O113" s="92">
        <f>Financials!W105</f>
        <v>0</v>
      </c>
      <c r="P113" s="92">
        <f>Financials!X105</f>
        <v>0</v>
      </c>
      <c r="Q113" s="329">
        <f>Financials!Y105</f>
        <v>0</v>
      </c>
      <c r="R113" s="329">
        <f>Financials!Z105</f>
        <v>0</v>
      </c>
      <c r="S113" s="329">
        <f>Financials!AA105</f>
        <v>0</v>
      </c>
      <c r="T113" s="329">
        <f>Financials!AB105</f>
        <v>0</v>
      </c>
      <c r="U113" s="329">
        <f>Financials!AC105</f>
        <v>0</v>
      </c>
      <c r="V113" s="329">
        <f>Financials!AD105</f>
        <v>0</v>
      </c>
      <c r="W113" s="329">
        <f>Financials!AE105</f>
        <v>0</v>
      </c>
      <c r="X113" s="329">
        <f>Financials!AF105</f>
        <v>0</v>
      </c>
      <c r="Y113" s="329">
        <f>Financials!AG105</f>
        <v>0</v>
      </c>
      <c r="Z113" s="329">
        <f>Financials!AH105</f>
        <v>0</v>
      </c>
    </row>
    <row r="114" spans="1:26">
      <c r="A114" s="36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329"/>
      <c r="R114" s="329"/>
      <c r="S114" s="329"/>
      <c r="T114" s="329"/>
      <c r="U114" s="329"/>
      <c r="V114" s="329"/>
      <c r="W114" s="329"/>
      <c r="X114" s="329"/>
      <c r="Y114" s="329"/>
      <c r="Z114" s="329"/>
    </row>
    <row r="115" spans="1:26">
      <c r="A115" s="128" t="s">
        <v>427</v>
      </c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329"/>
      <c r="R115" s="329"/>
      <c r="S115" s="329"/>
      <c r="T115" s="329"/>
      <c r="U115" s="329"/>
      <c r="V115" s="329"/>
      <c r="W115" s="329"/>
      <c r="X115" s="329"/>
      <c r="Y115" s="329"/>
      <c r="Z115" s="329"/>
    </row>
    <row r="116" spans="1:26">
      <c r="A116" s="36" t="s">
        <v>595</v>
      </c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</row>
    <row r="117" spans="1:26">
      <c r="A117" s="36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</row>
    <row r="118" spans="1:26">
      <c r="A118" s="126" t="s">
        <v>260</v>
      </c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7"/>
      <c r="S118" s="127"/>
      <c r="T118" s="127"/>
      <c r="U118" s="127"/>
      <c r="V118" s="127"/>
      <c r="W118" s="127" t="s">
        <v>281</v>
      </c>
      <c r="X118" s="127" t="s">
        <v>281</v>
      </c>
      <c r="Y118" s="127" t="s">
        <v>281</v>
      </c>
      <c r="Z118" s="127" t="s">
        <v>281</v>
      </c>
    </row>
    <row r="119" spans="1:26">
      <c r="A119" s="36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329"/>
      <c r="R119" s="329"/>
    </row>
    <row r="120" spans="1:26">
      <c r="A120" s="36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329"/>
      <c r="R120" s="329"/>
    </row>
    <row r="122" spans="1:26">
      <c r="A122" s="13" t="s">
        <v>480</v>
      </c>
    </row>
    <row r="123" spans="1:26" customFormat="1"/>
    <row r="125" spans="1:26">
      <c r="A125" s="128" t="s">
        <v>1024</v>
      </c>
    </row>
    <row r="126" spans="1:26">
      <c r="A126" s="128" t="s">
        <v>1025</v>
      </c>
      <c r="B126" s="954">
        <f t="shared" ref="B126:R126" si="51">B8+B9-B10</f>
        <v>1.3642420526593924E-12</v>
      </c>
      <c r="C126" s="954">
        <f t="shared" si="51"/>
        <v>-1.3642420526593924E-12</v>
      </c>
      <c r="D126" s="954">
        <f t="shared" si="51"/>
        <v>0</v>
      </c>
      <c r="E126" s="954">
        <f t="shared" si="51"/>
        <v>0</v>
      </c>
      <c r="F126" s="954">
        <f t="shared" si="51"/>
        <v>0</v>
      </c>
      <c r="G126" s="954">
        <f t="shared" si="51"/>
        <v>0</v>
      </c>
      <c r="H126" s="954">
        <f t="shared" si="51"/>
        <v>0</v>
      </c>
      <c r="I126" s="954">
        <f t="shared" si="51"/>
        <v>0</v>
      </c>
      <c r="J126" s="954">
        <f t="shared" si="51"/>
        <v>0</v>
      </c>
      <c r="K126" s="954">
        <f t="shared" si="51"/>
        <v>0</v>
      </c>
      <c r="L126" s="954">
        <f t="shared" si="51"/>
        <v>0</v>
      </c>
      <c r="M126" s="954">
        <f t="shared" si="51"/>
        <v>0</v>
      </c>
      <c r="N126" s="954">
        <f t="shared" si="51"/>
        <v>0</v>
      </c>
      <c r="O126" s="954">
        <f t="shared" si="51"/>
        <v>0</v>
      </c>
      <c r="P126" s="954">
        <f t="shared" si="51"/>
        <v>0</v>
      </c>
      <c r="Q126" s="954">
        <f t="shared" si="51"/>
        <v>0</v>
      </c>
      <c r="R126" s="954">
        <f t="shared" si="51"/>
        <v>0</v>
      </c>
      <c r="S126" s="954">
        <f>S8+S9-S10</f>
        <v>0</v>
      </c>
      <c r="T126" s="954">
        <f>T8+T9-T10</f>
        <v>0</v>
      </c>
      <c r="U126" s="954">
        <f>U8+U9-U10</f>
        <v>0</v>
      </c>
      <c r="V126" s="954">
        <f>V8+V9-V10</f>
        <v>0</v>
      </c>
      <c r="W126" s="954">
        <f>W8+W9-W10</f>
        <v>0</v>
      </c>
      <c r="X126" s="954">
        <f t="shared" ref="X126:Z126" si="52">X8+X9-X10</f>
        <v>0</v>
      </c>
      <c r="Y126" s="1933">
        <f t="shared" si="52"/>
        <v>0</v>
      </c>
      <c r="Z126" s="1933">
        <f t="shared" si="52"/>
        <v>0</v>
      </c>
    </row>
    <row r="127" spans="1:26">
      <c r="A127" s="128" t="s">
        <v>1026</v>
      </c>
      <c r="B127" s="954">
        <f t="shared" ref="B127:R127" si="53">B10+B11+B13+B14+B16+B18+B19-B20</f>
        <v>-1.3642420526593924E-12</v>
      </c>
      <c r="C127" s="954">
        <f t="shared" si="53"/>
        <v>1.3642420526593924E-12</v>
      </c>
      <c r="D127" s="954">
        <f t="shared" si="53"/>
        <v>-2.2737367544323206E-13</v>
      </c>
      <c r="E127" s="954">
        <f t="shared" si="53"/>
        <v>-1.1368683772161603E-12</v>
      </c>
      <c r="F127" s="954">
        <f t="shared" si="53"/>
        <v>-1.3642420526593924E-12</v>
      </c>
      <c r="G127" s="954">
        <f t="shared" si="53"/>
        <v>-2.2737367544323206E-12</v>
      </c>
      <c r="H127" s="954">
        <f t="shared" si="53"/>
        <v>9.0949470177292824E-13</v>
      </c>
      <c r="I127" s="954">
        <f t="shared" si="53"/>
        <v>1.8189894035458565E-12</v>
      </c>
      <c r="J127" s="954">
        <f t="shared" si="53"/>
        <v>0</v>
      </c>
      <c r="K127" s="954">
        <f t="shared" si="53"/>
        <v>0</v>
      </c>
      <c r="L127" s="954">
        <f t="shared" si="53"/>
        <v>0</v>
      </c>
      <c r="M127" s="954">
        <f t="shared" si="53"/>
        <v>0</v>
      </c>
      <c r="N127" s="954">
        <f t="shared" si="53"/>
        <v>0</v>
      </c>
      <c r="O127" s="954">
        <f t="shared" si="53"/>
        <v>0</v>
      </c>
      <c r="P127" s="954">
        <f t="shared" si="53"/>
        <v>0</v>
      </c>
      <c r="Q127" s="954">
        <f t="shared" si="53"/>
        <v>0</v>
      </c>
      <c r="R127" s="954">
        <f t="shared" si="53"/>
        <v>0</v>
      </c>
      <c r="S127" s="954">
        <f>S10+S11+S13+S14+S16+S18+S19-S20</f>
        <v>0</v>
      </c>
      <c r="T127" s="954">
        <f>T10+T11+T13+T14+T16+T18+T19-T20</f>
        <v>0</v>
      </c>
      <c r="U127" s="954">
        <f>U10+U11+U13+U14+U16+U18+U19-U20</f>
        <v>0</v>
      </c>
      <c r="V127" s="954">
        <f>V10+V11+V13+V14+V16+V18+V19-V20</f>
        <v>0</v>
      </c>
      <c r="W127" s="954">
        <f>W10+W11+W13+W14+W16+W18+W19-W20</f>
        <v>0</v>
      </c>
      <c r="X127" s="954">
        <f t="shared" ref="X127:Z127" si="54">X10+X11+X13+X14+X16+X18+X19-X20</f>
        <v>0</v>
      </c>
      <c r="Y127" s="954">
        <f t="shared" si="54"/>
        <v>0</v>
      </c>
      <c r="Z127" s="954">
        <f t="shared" si="54"/>
        <v>0</v>
      </c>
    </row>
    <row r="129" spans="1:26">
      <c r="A129" s="128" t="s">
        <v>1027</v>
      </c>
      <c r="B129" s="954">
        <f t="shared" ref="B129:R129" si="55">B52-SUM(B53:B56)</f>
        <v>0</v>
      </c>
      <c r="C129" s="954">
        <f t="shared" si="55"/>
        <v>0</v>
      </c>
      <c r="D129" s="954">
        <f t="shared" si="55"/>
        <v>0</v>
      </c>
      <c r="E129" s="954">
        <f t="shared" si="55"/>
        <v>0</v>
      </c>
      <c r="F129" s="954">
        <f t="shared" si="55"/>
        <v>0</v>
      </c>
      <c r="G129" s="954">
        <f t="shared" si="55"/>
        <v>0</v>
      </c>
      <c r="H129" s="954">
        <f t="shared" si="55"/>
        <v>0</v>
      </c>
      <c r="I129" s="954">
        <f t="shared" si="55"/>
        <v>0</v>
      </c>
      <c r="J129" s="954">
        <f t="shared" si="55"/>
        <v>0</v>
      </c>
      <c r="K129" s="954">
        <f t="shared" si="55"/>
        <v>0</v>
      </c>
      <c r="L129" s="954">
        <f t="shared" si="55"/>
        <v>0</v>
      </c>
      <c r="M129" s="954">
        <f t="shared" si="55"/>
        <v>0</v>
      </c>
      <c r="N129" s="954">
        <f t="shared" si="55"/>
        <v>0</v>
      </c>
      <c r="O129" s="954">
        <f t="shared" si="55"/>
        <v>0</v>
      </c>
      <c r="P129" s="954">
        <f t="shared" si="55"/>
        <v>0</v>
      </c>
      <c r="Q129" s="954">
        <f t="shared" si="55"/>
        <v>0</v>
      </c>
      <c r="R129" s="954">
        <f t="shared" si="55"/>
        <v>0</v>
      </c>
      <c r="S129" s="954">
        <f>S52-SUM(S53:S56)</f>
        <v>0</v>
      </c>
      <c r="T129" s="954">
        <f>T52-SUM(T53:T56)</f>
        <v>0</v>
      </c>
      <c r="U129" s="954">
        <f>U52-SUM(U53:U56)</f>
        <v>0</v>
      </c>
      <c r="V129" s="954">
        <f>V52-SUM(V53:V56)</f>
        <v>0</v>
      </c>
      <c r="W129" s="954">
        <f>W52-SUM(W53:W56)</f>
        <v>0</v>
      </c>
      <c r="X129" s="1933">
        <f t="shared" ref="X129:Z129" si="56">X52-SUM(X53:X56)</f>
        <v>3974.5346798019309</v>
      </c>
      <c r="Y129" s="954">
        <f t="shared" si="56"/>
        <v>7951.9776187206371</v>
      </c>
      <c r="Z129" s="954">
        <f t="shared" si="56"/>
        <v>12269.397479204003</v>
      </c>
    </row>
    <row r="130" spans="1:26"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</row>
    <row r="131" spans="1:26">
      <c r="A131" s="9" t="s">
        <v>1357</v>
      </c>
      <c r="B131" s="92"/>
      <c r="C131" s="92">
        <f t="shared" ref="C131:J131" si="57">(C43-B43)-C88</f>
        <v>0</v>
      </c>
      <c r="D131" s="92">
        <f t="shared" si="57"/>
        <v>6.2527760746888816E-13</v>
      </c>
      <c r="E131" s="92">
        <f t="shared" si="57"/>
        <v>9.999999998626663E-4</v>
      </c>
      <c r="F131" s="92">
        <f t="shared" si="57"/>
        <v>0</v>
      </c>
      <c r="G131" s="92">
        <f t="shared" si="57"/>
        <v>8.5265128291212022E-13</v>
      </c>
      <c r="H131" s="92">
        <f t="shared" si="57"/>
        <v>3.4106051316484809E-13</v>
      </c>
      <c r="I131" s="262">
        <f>(I43-H43)-I88</f>
        <v>0</v>
      </c>
      <c r="J131" s="92">
        <f t="shared" si="57"/>
        <v>0</v>
      </c>
      <c r="K131" s="92">
        <f>(K43-J43)-K88</f>
        <v>0</v>
      </c>
      <c r="L131" s="92">
        <f t="shared" ref="L131:Z131" si="58">(L43-K43)-L88</f>
        <v>-9.9999999861211109E-4</v>
      </c>
      <c r="M131" s="92">
        <f t="shared" si="58"/>
        <v>-0.4089999999966949</v>
      </c>
      <c r="N131" s="92">
        <f t="shared" si="58"/>
        <v>0.41100000000233194</v>
      </c>
      <c r="O131" s="92">
        <f t="shared" si="58"/>
        <v>-9.999999999308784E-3</v>
      </c>
      <c r="P131" s="92">
        <f t="shared" si="58"/>
        <v>-7.9999999989013304E-3</v>
      </c>
      <c r="Q131" s="262">
        <f t="shared" si="58"/>
        <v>1.0000000006584742E-3</v>
      </c>
      <c r="R131" s="92">
        <f t="shared" si="58"/>
        <v>0</v>
      </c>
      <c r="S131" s="92">
        <f t="shared" si="58"/>
        <v>0</v>
      </c>
      <c r="T131" s="92">
        <f t="shared" si="58"/>
        <v>0</v>
      </c>
      <c r="U131" s="92">
        <f t="shared" si="58"/>
        <v>3.637978807091713E-12</v>
      </c>
      <c r="V131" s="92">
        <f t="shared" si="58"/>
        <v>0</v>
      </c>
      <c r="W131" s="92">
        <f t="shared" si="58"/>
        <v>-3.637978807091713E-12</v>
      </c>
      <c r="X131" s="92">
        <f t="shared" si="58"/>
        <v>282.75921131074028</v>
      </c>
      <c r="Y131" s="92">
        <f t="shared" si="58"/>
        <v>1587.8111803105203</v>
      </c>
      <c r="Z131" s="92">
        <f t="shared" si="58"/>
        <v>1046.4704311367095</v>
      </c>
    </row>
    <row r="132" spans="1:26">
      <c r="A132" s="239" t="s">
        <v>1359</v>
      </c>
    </row>
    <row r="133" spans="1:26">
      <c r="A133" s="43" t="s">
        <v>1363</v>
      </c>
      <c r="B133" s="92">
        <f>Financials!J5</f>
        <v>1171</v>
      </c>
      <c r="C133" s="92">
        <f>Financials!K5</f>
        <v>1206</v>
      </c>
      <c r="D133" s="92">
        <f>Financials!L5</f>
        <v>1283</v>
      </c>
      <c r="E133" s="92">
        <f>Financials!M5</f>
        <v>1435</v>
      </c>
      <c r="F133" s="92">
        <f>Financials!N5</f>
        <v>1862</v>
      </c>
      <c r="G133" s="92">
        <f>Financials!O5</f>
        <v>2784</v>
      </c>
      <c r="H133" s="92">
        <f>Financials!P5</f>
        <v>2954</v>
      </c>
      <c r="I133" s="92">
        <f>Financials!Q5</f>
        <v>3195</v>
      </c>
      <c r="J133" s="92">
        <f>Financials!R5</f>
        <v>3438</v>
      </c>
      <c r="K133" s="92">
        <f>Financials!S5</f>
        <v>3688</v>
      </c>
      <c r="L133" s="92">
        <f>Financials!T5</f>
        <v>4310</v>
      </c>
      <c r="M133" s="92">
        <f>Financials!U5</f>
        <v>4193</v>
      </c>
      <c r="N133" s="92">
        <f>Financials!V5</f>
        <v>4262</v>
      </c>
      <c r="O133" s="92">
        <f>Financials!W5</f>
        <v>4447</v>
      </c>
      <c r="P133" s="329">
        <f>Financials!X5</f>
        <v>4622</v>
      </c>
      <c r="Q133" s="329">
        <f>Financials!Y5</f>
        <v>4785</v>
      </c>
      <c r="R133" s="329">
        <f>Financials!Z5</f>
        <v>4928</v>
      </c>
      <c r="S133" s="329">
        <f>Financials!AA5</f>
        <v>5044</v>
      </c>
      <c r="T133" s="329">
        <f>Financials!AB5</f>
        <v>5146</v>
      </c>
      <c r="U133" s="329">
        <f>Financials!AC5</f>
        <v>5245</v>
      </c>
      <c r="V133" s="329">
        <f>Financials!AD5</f>
        <v>5344</v>
      </c>
      <c r="W133" s="329">
        <f>Financials!AE5</f>
        <v>5429</v>
      </c>
      <c r="X133" s="329">
        <f>Financials!AF5</f>
        <v>5515</v>
      </c>
      <c r="Y133" s="329">
        <f>Financials!AG5</f>
        <v>5601</v>
      </c>
      <c r="Z133" s="329">
        <f>Financials!AH5</f>
        <v>5677</v>
      </c>
    </row>
    <row r="134" spans="1:26">
      <c r="A134" s="43" t="s">
        <v>1364</v>
      </c>
      <c r="B134" s="37">
        <f>Financials!J9/Financials!J5</f>
        <v>0.81298035866780527</v>
      </c>
      <c r="C134" s="37">
        <f>Financials!K9/Financials!K5</f>
        <v>0.8383084577114428</v>
      </c>
      <c r="D134" s="37">
        <f>Financials!L9/Financials!L5</f>
        <v>0.83943881527669528</v>
      </c>
      <c r="E134" s="37">
        <f>Financials!M9/Financials!M5</f>
        <v>0.80905923344947739</v>
      </c>
      <c r="F134" s="37">
        <f>Financials!N9/Financials!N5</f>
        <v>0.75778732545649841</v>
      </c>
      <c r="G134" s="37">
        <f>Financials!O9/Financials!O5</f>
        <v>0.77622126436781613</v>
      </c>
      <c r="H134" s="37">
        <f>Financials!P9/Financials!P5</f>
        <v>0.77285037237643872</v>
      </c>
      <c r="I134" s="37">
        <f>Financials!Q9/Financials!Q5</f>
        <v>0.78309859154929573</v>
      </c>
      <c r="J134" s="37">
        <f>Financials!R9/Financials!R5</f>
        <v>0.78999418266433974</v>
      </c>
      <c r="K134" s="37">
        <f>Financials!S9/Financials!S5</f>
        <v>0.79907809110629069</v>
      </c>
      <c r="L134" s="37">
        <f>Financials!T9/Financials!T5</f>
        <v>0.79327146171693741</v>
      </c>
      <c r="M134" s="37">
        <f>Financials!U9/Financials!U5</f>
        <v>0.7832101120915812</v>
      </c>
      <c r="N134" s="37">
        <f>Financials!V9/Financials!V5</f>
        <v>0.77170342562177385</v>
      </c>
      <c r="O134" s="37">
        <f>Financials!W9/Financials!W5</f>
        <v>0.77265572295929841</v>
      </c>
      <c r="P134" s="633">
        <f>Financials!X9/Financials!X5</f>
        <v>0.76849848550411082</v>
      </c>
      <c r="Q134" s="633">
        <f>Financials!Y9/Financials!Y5</f>
        <v>0.76426332288401255</v>
      </c>
      <c r="R134" s="633">
        <f>Financials!Z9/Financials!Z5</f>
        <v>0.75994318181818177</v>
      </c>
      <c r="S134" s="633">
        <f>Financials!AA9/Financials!AA5</f>
        <v>0.75614591593973035</v>
      </c>
      <c r="T134" s="633">
        <f>Financials!AB9/Financials!AB5</f>
        <v>0.75301204819277112</v>
      </c>
      <c r="U134" s="633">
        <f>Financials!AC9/Financials!AC5</f>
        <v>0.75042897998093427</v>
      </c>
      <c r="V134" s="633">
        <f>Financials!AD9/Financials!AD5</f>
        <v>0.74794161676646709</v>
      </c>
      <c r="W134" s="633">
        <f>Financials!AE9/Financials!AE5</f>
        <v>0.74562534536747094</v>
      </c>
      <c r="X134" s="633">
        <f>Financials!AF9/Financials!AF5</f>
        <v>0.74324569356300996</v>
      </c>
      <c r="Y134" s="633">
        <f>Financials!AG9/Financials!AG5</f>
        <v>0.7409391180146403</v>
      </c>
      <c r="Z134" s="633">
        <f>Financials!AH9/Financials!AH5</f>
        <v>0.73912277611414479</v>
      </c>
    </row>
    <row r="135" spans="1:26">
      <c r="A135" s="93" t="s">
        <v>1274</v>
      </c>
      <c r="B135" s="173">
        <f>+Financials!J25</f>
        <v>-3.6999999999999998E-2</v>
      </c>
      <c r="C135" s="173">
        <f>+Financials!K25</f>
        <v>3.7999999999999999E-2</v>
      </c>
      <c r="D135" s="173">
        <f>+Financials!L25</f>
        <v>0.122</v>
      </c>
      <c r="E135" s="173">
        <f>+Financials!M25</f>
        <v>0.105</v>
      </c>
      <c r="F135" s="173">
        <f>+Financials!N25</f>
        <v>0.08</v>
      </c>
      <c r="G135" s="173">
        <f>+Financials!O25</f>
        <v>4.4999999999999998E-2</v>
      </c>
      <c r="H135" s="173">
        <f>+Financials!P25</f>
        <v>0.104</v>
      </c>
      <c r="I135" s="173">
        <f>+Financials!Q25</f>
        <v>8.8999999999999996E-2</v>
      </c>
      <c r="J135" s="173">
        <f>+Financials!R25</f>
        <v>6.6000000000000003E-2</v>
      </c>
      <c r="K135" s="173">
        <f>+Financials!S25</f>
        <v>4.9000000000000002E-2</v>
      </c>
      <c r="L135" s="173">
        <f>+Financials!T25</f>
        <v>5.0999999999999997E-2</v>
      </c>
      <c r="M135" s="173">
        <f>+Financials!U25</f>
        <v>-0.23</v>
      </c>
      <c r="N135" s="173">
        <f>+Financials!V25</f>
        <v>0.307</v>
      </c>
      <c r="O135" s="173">
        <f>+Financials!W25</f>
        <v>0.35870779740410264</v>
      </c>
      <c r="P135" s="865">
        <f>+Financials!X25</f>
        <v>0.18932600635373661</v>
      </c>
      <c r="Q135" s="865">
        <f>+Financials!Y25</f>
        <v>9.4324838023244179E-2</v>
      </c>
      <c r="R135" s="865">
        <f>+Financials!Z25</f>
        <v>5.3256384283964037E-2</v>
      </c>
      <c r="S135" s="865">
        <f>+Financials!AA25</f>
        <v>4.5537668816271394E-2</v>
      </c>
      <c r="T135" s="865">
        <f>+Financials!AB25</f>
        <v>4.1543319079351881E-2</v>
      </c>
      <c r="U135" s="865">
        <f>+Financials!AC25</f>
        <v>3.672410905885181E-2</v>
      </c>
      <c r="V135" s="865">
        <f>+Financials!AD25</f>
        <v>3.6277820422093335E-2</v>
      </c>
      <c r="W135" s="865">
        <f>+Financials!AE25</f>
        <v>3.5852893734396235E-2</v>
      </c>
      <c r="X135" s="865">
        <f>+Financials!AF25</f>
        <v>3.5468293413223273E-2</v>
      </c>
      <c r="Y135" s="865">
        <f>+Financials!AG25</f>
        <v>3.5053135521949587E-2</v>
      </c>
      <c r="Z135" s="865">
        <f>+Financials!AH25</f>
        <v>3.4722122744526053E-2</v>
      </c>
    </row>
    <row r="136" spans="1:26">
      <c r="A136" s="1155" t="s">
        <v>230</v>
      </c>
      <c r="B136" s="37">
        <f>Financials!J62</f>
        <v>0.63125315808713112</v>
      </c>
      <c r="C136" s="37">
        <f>Financials!K62</f>
        <v>0.64669997238750132</v>
      </c>
      <c r="D136" s="37">
        <f>Financials!L62</f>
        <v>0.64590309132778334</v>
      </c>
      <c r="E136" s="37">
        <f>Financials!M62</f>
        <v>0.64796305902438944</v>
      </c>
      <c r="F136" s="37">
        <f>Financials!N62</f>
        <v>0.6674181623550175</v>
      </c>
      <c r="G136" s="37">
        <f>Financials!O62</f>
        <v>0.68085861320410679</v>
      </c>
      <c r="H136" s="37">
        <f>Financials!P62</f>
        <v>0.68566780813008366</v>
      </c>
      <c r="I136" s="37">
        <f>Financials!Q62</f>
        <v>0.68755841719986965</v>
      </c>
      <c r="J136" s="37">
        <f>Financials!R62</f>
        <v>0.69613319776818328</v>
      </c>
      <c r="K136" s="37">
        <f>Financials!S62</f>
        <v>0.69262227359901862</v>
      </c>
      <c r="L136" s="37">
        <f>Financials!T62</f>
        <v>0.7048553959230649</v>
      </c>
      <c r="M136" s="37">
        <f>Financials!U62</f>
        <v>0.7024351391005772</v>
      </c>
      <c r="N136" s="37">
        <f>Financials!V62</f>
        <v>0.68615159884786414</v>
      </c>
      <c r="O136" s="37">
        <f>Financials!W62</f>
        <v>0.67293842532841719</v>
      </c>
      <c r="P136" s="633">
        <f>Financials!X62</f>
        <v>0.67200305313918807</v>
      </c>
      <c r="Q136" s="633">
        <f>Financials!Y62</f>
        <v>0.67485660188200858</v>
      </c>
      <c r="R136" s="633">
        <f>Financials!Z62</f>
        <v>0.66910245583646666</v>
      </c>
      <c r="S136" s="633">
        <f>Financials!AA62</f>
        <v>0.66810342324133265</v>
      </c>
      <c r="T136" s="633">
        <f>Financials!AB62</f>
        <v>0.66710272998857378</v>
      </c>
      <c r="U136" s="633">
        <f>Financials!AC62</f>
        <v>0.66210167766123251</v>
      </c>
      <c r="V136" s="633">
        <f>Financials!AD62</f>
        <v>0.66210065778264549</v>
      </c>
      <c r="W136" s="633">
        <f>Financials!AE62</f>
        <v>0.66210032445444955</v>
      </c>
      <c r="X136" s="633">
        <f>Financials!AF62</f>
        <v>0.66209934005714122</v>
      </c>
      <c r="Y136" s="633">
        <f>Financials!AG62</f>
        <v>0.66209834659447742</v>
      </c>
      <c r="Z136" s="633">
        <f>Financials!AH62</f>
        <v>0.66209770152866443</v>
      </c>
    </row>
    <row r="137" spans="1:26">
      <c r="A137" s="1155" t="s">
        <v>1365</v>
      </c>
      <c r="B137" s="37">
        <f>Financials!J70</f>
        <v>0.11648149120754761</v>
      </c>
      <c r="C137" s="37">
        <f>Financials!K70</f>
        <v>0.1111882949727438</v>
      </c>
      <c r="D137" s="37">
        <f>Financials!L70</f>
        <v>0.10422536185654681</v>
      </c>
      <c r="E137" s="37">
        <f>Financials!M70</f>
        <v>0.11894400338237031</v>
      </c>
      <c r="F137" s="37">
        <f>Financials!N70</f>
        <v>0.12975023651302947</v>
      </c>
      <c r="G137" s="37">
        <f>Financials!O70</f>
        <v>0.12250266499212399</v>
      </c>
      <c r="H137" s="37">
        <f>Financials!P70</f>
        <v>0.13322841012505554</v>
      </c>
      <c r="I137" s="37">
        <f>Financials!Q70</f>
        <v>0.13673694196629571</v>
      </c>
      <c r="J137" s="37">
        <f>Financials!R70</f>
        <v>0.15204273796300657</v>
      </c>
      <c r="K137" s="37">
        <f>Financials!S70</f>
        <v>0.13883861136971748</v>
      </c>
      <c r="L137" s="37">
        <f>Financials!T70</f>
        <v>0.13185829658689707</v>
      </c>
      <c r="M137" s="37">
        <f>Financials!U70</f>
        <v>3.732241490864141E-2</v>
      </c>
      <c r="N137" s="37">
        <f>Financials!V70</f>
        <v>0.12244945711243399</v>
      </c>
      <c r="O137" s="37">
        <f>Financials!W70</f>
        <v>0.12820483354194717</v>
      </c>
      <c r="P137" s="633">
        <f>Financials!X70</f>
        <v>0.14160410073333896</v>
      </c>
      <c r="Q137" s="633">
        <f>Financials!Y70</f>
        <v>0.14125075234290496</v>
      </c>
      <c r="R137" s="633">
        <f>Financials!Z70</f>
        <v>0.13738244818065184</v>
      </c>
      <c r="S137" s="633">
        <f>Financials!AA70</f>
        <v>0.13842246604154979</v>
      </c>
      <c r="T137" s="633">
        <f>Financials!AB70</f>
        <v>0.13973350889772235</v>
      </c>
      <c r="U137" s="633">
        <f>Financials!AC70</f>
        <v>0.13359380206214011</v>
      </c>
      <c r="V137" s="633">
        <f>Financials!AD70</f>
        <v>0.13345025982993164</v>
      </c>
      <c r="W137" s="633">
        <f>Financials!AE70</f>
        <v>0.13331025298782001</v>
      </c>
      <c r="X137" s="633">
        <f>Financials!AF70</f>
        <v>0.13316256713654936</v>
      </c>
      <c r="Y137" s="633">
        <f>Financials!AG70</f>
        <v>0.13302021499338806</v>
      </c>
      <c r="Z137" s="633">
        <f>Financials!AH70</f>
        <v>0.13287816060834623</v>
      </c>
    </row>
    <row r="138" spans="1:26">
      <c r="A138" s="1155"/>
    </row>
  </sheetData>
  <phoneticPr fontId="18" type="noConversion"/>
  <pageMargins left="0.25" right="0.25" top="0.5" bottom="0.5" header="0.5" footer="0.5"/>
  <pageSetup scale="66" orientation="landscape" r:id="rId1"/>
  <headerFooter alignWithMargins="0"/>
  <rowBreaks count="1" manualBreakCount="1">
    <brk id="59" min="4" max="12" man="1"/>
  </rowBreaks>
  <ignoredErrors>
    <ignoredError sqref="D61:G61 D15 D49:D50 D65:L65 D48 D43:D45 D22:D24 D18 D71:L71 D36:H37 D59:L60 D8 D46 D38:D40 D57:D58 D52 D26" formulaRange="1"/>
    <ignoredError sqref="D7" formula="1" formulaRange="1"/>
  </ignoredError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0142F-A909-429A-9A52-8E8B53595A8E}">
  <sheetPr codeName="Sheet4"/>
  <dimension ref="A1:B43"/>
  <sheetViews>
    <sheetView topLeftCell="A16" workbookViewId="0"/>
  </sheetViews>
  <sheetFormatPr baseColWidth="10" defaultColWidth="9.140625" defaultRowHeight="12.75"/>
  <cols>
    <col min="1" max="1" width="29.140625" customWidth="1"/>
  </cols>
  <sheetData>
    <row r="1" spans="1:2">
      <c r="A1" s="2074" t="s">
        <v>1937</v>
      </c>
      <c r="B1" s="2086" t="s">
        <v>1938</v>
      </c>
    </row>
    <row r="2" spans="1:2">
      <c r="A2" s="2074" t="s">
        <v>1939</v>
      </c>
      <c r="B2" s="2074" t="s">
        <v>1940</v>
      </c>
    </row>
    <row r="3" spans="1:2">
      <c r="A3" s="2074" t="s">
        <v>1941</v>
      </c>
      <c r="B3" s="2074" t="s">
        <v>1942</v>
      </c>
    </row>
    <row r="4" spans="1:2">
      <c r="A4" s="2074" t="s">
        <v>1943</v>
      </c>
      <c r="B4" s="2074" t="s">
        <v>1525</v>
      </c>
    </row>
    <row r="5" spans="1:2">
      <c r="A5" s="2074" t="s">
        <v>1944</v>
      </c>
      <c r="B5" s="2074" t="s">
        <v>1945</v>
      </c>
    </row>
    <row r="6" spans="1:2">
      <c r="A6" s="2074" t="s">
        <v>1946</v>
      </c>
      <c r="B6" s="2074"/>
    </row>
    <row r="7" spans="1:2">
      <c r="A7" s="2074" t="s">
        <v>1947</v>
      </c>
      <c r="B7" s="2074" t="s">
        <v>779</v>
      </c>
    </row>
    <row r="8" spans="1:2">
      <c r="A8" s="2074" t="s">
        <v>1948</v>
      </c>
      <c r="B8" s="2074" t="s">
        <v>1949</v>
      </c>
    </row>
    <row r="9" spans="1:2">
      <c r="A9" s="2074" t="s">
        <v>1419</v>
      </c>
      <c r="B9" s="2074" t="s">
        <v>1950</v>
      </c>
    </row>
    <row r="10" spans="1:2">
      <c r="A10" s="2074" t="s">
        <v>1951</v>
      </c>
      <c r="B10" s="2074"/>
    </row>
    <row r="11" spans="1:2">
      <c r="A11" s="2074" t="s">
        <v>1952</v>
      </c>
      <c r="B11" s="2074"/>
    </row>
    <row r="12" spans="1:2">
      <c r="A12" s="2074" t="s">
        <v>1953</v>
      </c>
      <c r="B12" s="2074"/>
    </row>
    <row r="13" spans="1:2">
      <c r="A13" s="2074" t="s">
        <v>1954</v>
      </c>
      <c r="B13" s="2074"/>
    </row>
    <row r="14" spans="1:2">
      <c r="A14" s="2074" t="s">
        <v>1955</v>
      </c>
      <c r="B14" s="2074"/>
    </row>
    <row r="15" spans="1:2">
      <c r="A15" s="2074" t="s">
        <v>1956</v>
      </c>
      <c r="B15" s="2074"/>
    </row>
    <row r="16" spans="1:2">
      <c r="A16" s="2074" t="s">
        <v>1957</v>
      </c>
      <c r="B16" s="2074"/>
    </row>
    <row r="17" spans="1:2">
      <c r="A17" s="2074" t="s">
        <v>1958</v>
      </c>
      <c r="B17" s="2074" t="s">
        <v>1959</v>
      </c>
    </row>
    <row r="18" spans="1:2">
      <c r="A18" s="2074" t="s">
        <v>1960</v>
      </c>
      <c r="B18" s="2074" t="s">
        <v>1961</v>
      </c>
    </row>
    <row r="19" spans="1:2">
      <c r="A19" s="2074" t="s">
        <v>1962</v>
      </c>
      <c r="B19" s="2074" t="s">
        <v>984</v>
      </c>
    </row>
    <row r="20" spans="1:2">
      <c r="A20" s="2074" t="s">
        <v>1963</v>
      </c>
      <c r="B20" s="2074"/>
    </row>
    <row r="21" spans="1:2">
      <c r="A21" s="2074" t="s">
        <v>1964</v>
      </c>
      <c r="B21" s="2074" t="s">
        <v>984</v>
      </c>
    </row>
    <row r="22" spans="1:2">
      <c r="A22" s="2074" t="s">
        <v>1965</v>
      </c>
      <c r="B22" s="2074" t="s">
        <v>1358</v>
      </c>
    </row>
    <row r="23" spans="1:2">
      <c r="A23" s="2074" t="s">
        <v>1966</v>
      </c>
      <c r="B23" s="2086" t="s">
        <v>1967</v>
      </c>
    </row>
    <row r="24" spans="1:2">
      <c r="A24" s="2074" t="s">
        <v>137</v>
      </c>
      <c r="B24" s="2074" t="s">
        <v>152</v>
      </c>
    </row>
    <row r="25" spans="1:2">
      <c r="A25" s="2074" t="s">
        <v>1968</v>
      </c>
      <c r="B25" s="2074" t="s">
        <v>1969</v>
      </c>
    </row>
    <row r="26" spans="1:2">
      <c r="A26" s="2074" t="s">
        <v>1043</v>
      </c>
      <c r="B26" s="2074" t="s">
        <v>1970</v>
      </c>
    </row>
    <row r="27" spans="1:2">
      <c r="A27" s="2074" t="s">
        <v>1971</v>
      </c>
      <c r="B27" s="2074" t="s">
        <v>1972</v>
      </c>
    </row>
    <row r="28" spans="1:2">
      <c r="A28" s="2074" t="s">
        <v>1973</v>
      </c>
      <c r="B28" s="2074" t="s">
        <v>1974</v>
      </c>
    </row>
    <row r="29" spans="1:2">
      <c r="A29" s="2074" t="s">
        <v>1975</v>
      </c>
      <c r="B29" s="2074"/>
    </row>
    <row r="30" spans="1:2">
      <c r="A30" s="2074" t="s">
        <v>1976</v>
      </c>
      <c r="B30" s="2074"/>
    </row>
    <row r="31" spans="1:2">
      <c r="A31" s="2074" t="s">
        <v>1977</v>
      </c>
      <c r="B31" s="2074"/>
    </row>
    <row r="32" spans="1:2">
      <c r="A32" s="2074" t="s">
        <v>1978</v>
      </c>
      <c r="B32" s="2074"/>
    </row>
    <row r="33" spans="1:2">
      <c r="A33" s="2074" t="s">
        <v>1979</v>
      </c>
      <c r="B33" s="2074"/>
    </row>
    <row r="34" spans="1:2">
      <c r="A34" s="2074" t="s">
        <v>1980</v>
      </c>
      <c r="B34" s="2074"/>
    </row>
    <row r="35" spans="1:2">
      <c r="A35" s="2074" t="s">
        <v>1981</v>
      </c>
      <c r="B35" s="2074" t="s">
        <v>1982</v>
      </c>
    </row>
    <row r="36" spans="1:2">
      <c r="A36" s="2074" t="s">
        <v>1983</v>
      </c>
      <c r="B36" s="2074" t="s">
        <v>1984</v>
      </c>
    </row>
    <row r="37" spans="1:2">
      <c r="A37" s="2074" t="s">
        <v>1985</v>
      </c>
      <c r="B37" s="2074" t="s">
        <v>1986</v>
      </c>
    </row>
    <row r="38" spans="1:2">
      <c r="A38" s="2074" t="s">
        <v>1987</v>
      </c>
      <c r="B38" s="2074" t="s">
        <v>1988</v>
      </c>
    </row>
    <row r="39" spans="1:2">
      <c r="A39" s="2074" t="s">
        <v>1989</v>
      </c>
      <c r="B39" s="2074" t="s">
        <v>1990</v>
      </c>
    </row>
    <row r="40" spans="1:2">
      <c r="A40" s="2074" t="s">
        <v>1991</v>
      </c>
      <c r="B40" s="2074" t="s">
        <v>1992</v>
      </c>
    </row>
    <row r="41" spans="1:2">
      <c r="A41" s="2074" t="s">
        <v>1993</v>
      </c>
      <c r="B41" s="2074" t="s">
        <v>1994</v>
      </c>
    </row>
    <row r="42" spans="1:2">
      <c r="A42" s="2074" t="s">
        <v>1995</v>
      </c>
      <c r="B42" s="2074" t="s">
        <v>1996</v>
      </c>
    </row>
    <row r="43" spans="1:2">
      <c r="A43" s="2074" t="s">
        <v>1997</v>
      </c>
      <c r="B43" s="207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2503A-A335-4F9C-851E-03302CE8A2A8}">
  <sheetPr codeName="Sheet9"/>
  <dimension ref="A1:A13"/>
  <sheetViews>
    <sheetView workbookViewId="0">
      <selection activeCell="Z1" sqref="Z1"/>
    </sheetView>
  </sheetViews>
  <sheetFormatPr baseColWidth="10" defaultColWidth="9.140625" defaultRowHeight="12.75"/>
  <cols>
    <col min="1" max="1" width="28.42578125" bestFit="1" customWidth="1"/>
  </cols>
  <sheetData>
    <row r="1" spans="1:1">
      <c r="A1" s="2074" t="s">
        <v>1998</v>
      </c>
    </row>
    <row r="2" spans="1:1">
      <c r="A2" s="2074" t="s">
        <v>1999</v>
      </c>
    </row>
    <row r="3" spans="1:1">
      <c r="A3" s="2074" t="s">
        <v>2000</v>
      </c>
    </row>
    <row r="4" spans="1:1">
      <c r="A4" s="2074" t="s">
        <v>2001</v>
      </c>
    </row>
    <row r="5" spans="1:1">
      <c r="A5" s="2074" t="s">
        <v>2002</v>
      </c>
    </row>
    <row r="6" spans="1:1">
      <c r="A6" s="2074" t="s">
        <v>2003</v>
      </c>
    </row>
    <row r="7" spans="1:1">
      <c r="A7" s="2074" t="s">
        <v>2004</v>
      </c>
    </row>
    <row r="8" spans="1:1">
      <c r="A8" s="2074" t="s">
        <v>2005</v>
      </c>
    </row>
    <row r="9" spans="1:1">
      <c r="A9" s="2074" t="s">
        <v>2006</v>
      </c>
    </row>
    <row r="10" spans="1:1">
      <c r="A10" s="2074" t="s">
        <v>2007</v>
      </c>
    </row>
    <row r="11" spans="1:1">
      <c r="A11" s="2074" t="s">
        <v>2008</v>
      </c>
    </row>
    <row r="12" spans="1:1">
      <c r="A12" s="2074" t="s">
        <v>2009</v>
      </c>
    </row>
    <row r="13" spans="1:1">
      <c r="A13" s="2074" t="s">
        <v>2010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192A0337C45C849AD1D25AC6E1320EA" ma:contentTypeVersion="15" ma:contentTypeDescription="Crear nuevo documento." ma:contentTypeScope="" ma:versionID="276d50d1ce0f7067e89bbaef81e3f578">
  <xsd:schema xmlns:xsd="http://www.w3.org/2001/XMLSchema" xmlns:xs="http://www.w3.org/2001/XMLSchema" xmlns:p="http://schemas.microsoft.com/office/2006/metadata/properties" xmlns:ns3="bd01988b-ed77-458a-9373-feed41e206f9" xmlns:ns4="da66ddd0-f6bf-476c-857d-3a90ae862dba" targetNamespace="http://schemas.microsoft.com/office/2006/metadata/properties" ma:root="true" ma:fieldsID="e04c667369e99859632f2272b7d82faa" ns3:_="" ns4:_="">
    <xsd:import namespace="bd01988b-ed77-458a-9373-feed41e206f9"/>
    <xsd:import namespace="da66ddd0-f6bf-476c-857d-3a90ae862db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01988b-ed77-458a-9373-feed41e206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66ddd0-f6bf-476c-857d-3a90ae862d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d01988b-ed77-458a-9373-feed41e206f9" xsi:nil="true"/>
  </documentManagement>
</p:properties>
</file>

<file path=customXml/itemProps1.xml><?xml version="1.0" encoding="utf-8"?>
<ds:datastoreItem xmlns:ds="http://schemas.openxmlformats.org/officeDocument/2006/customXml" ds:itemID="{077F15BD-03C2-4B59-A835-06682539946B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F4DDD5B2-FA68-4715-8478-843B4A67FD9C}">
  <ds:schemaRefs>
    <ds:schemaRef ds:uri="thomsonreuters.linking.metadata"/>
  </ds:schemaRefs>
</ds:datastoreItem>
</file>

<file path=customXml/itemProps3.xml><?xml version="1.0" encoding="utf-8"?>
<ds:datastoreItem xmlns:ds="http://schemas.openxmlformats.org/officeDocument/2006/customXml" ds:itemID="{B09DF609-C38C-46DB-8F37-1098D1B5A8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01988b-ed77-458a-9373-feed41e206f9"/>
    <ds:schemaRef ds:uri="da66ddd0-f6bf-476c-857d-3a90ae862d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A4C8987-DB15-4EC3-AD7F-C115E51DAA2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A706700-E36F-4A17-82E7-37EC4CFA0EDD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bd01988b-ed77-458a-9373-feed41e206f9"/>
    <ds:schemaRef ds:uri="da66ddd0-f6bf-476c-857d-3a90ae862db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107</vt:i4>
      </vt:variant>
    </vt:vector>
  </HeadingPairs>
  <TitlesOfParts>
    <vt:vector size="139" baseType="lpstr">
      <vt:lpstr>ImportantDisclosures</vt:lpstr>
      <vt:lpstr>Circular Reference</vt:lpstr>
      <vt:lpstr>Index</vt:lpstr>
      <vt:lpstr>Overview--&gt;</vt:lpstr>
      <vt:lpstr>Summary</vt:lpstr>
      <vt:lpstr>MSvsConsensus</vt:lpstr>
      <vt:lpstr>Charts</vt:lpstr>
      <vt:lpstr>Financials</vt:lpstr>
      <vt:lpstr>Valuation--&gt;</vt:lpstr>
      <vt:lpstr>DCF</vt:lpstr>
      <vt:lpstr>SOP</vt:lpstr>
      <vt:lpstr>QuarterlyModel--&gt;</vt:lpstr>
      <vt:lpstr>Inputs</vt:lpstr>
      <vt:lpstr>Q_Financials</vt:lpstr>
      <vt:lpstr>Q_IS</vt:lpstr>
      <vt:lpstr>Q_BS</vt:lpstr>
      <vt:lpstr>CompanyData--&gt;</vt:lpstr>
      <vt:lpstr>IS</vt:lpstr>
      <vt:lpstr>Segment</vt:lpstr>
      <vt:lpstr>BS</vt:lpstr>
      <vt:lpstr>CF</vt:lpstr>
      <vt:lpstr>Scenarios--&gt;</vt:lpstr>
      <vt:lpstr>Base</vt:lpstr>
      <vt:lpstr>Bull</vt:lpstr>
      <vt:lpstr>Bear</vt:lpstr>
      <vt:lpstr>Other--&gt;</vt:lpstr>
      <vt:lpstr>Charts_Support</vt:lpstr>
      <vt:lpstr>Ownership</vt:lpstr>
      <vt:lpstr>M&amp;A</vt:lpstr>
      <vt:lpstr>ModelWare</vt:lpstr>
      <vt:lpstr>IndexInformation</vt:lpstr>
      <vt:lpstr>ModPubIndex</vt:lpstr>
      <vt:lpstr>Base!Área_de_impresión</vt:lpstr>
      <vt:lpstr>Bear!Área_de_impresión</vt:lpstr>
      <vt:lpstr>BS!Área_de_impresión</vt:lpstr>
      <vt:lpstr>Bull!Área_de_impresión</vt:lpstr>
      <vt:lpstr>CF!Área_de_impresión</vt:lpstr>
      <vt:lpstr>Charts!Área_de_impresión</vt:lpstr>
      <vt:lpstr>'Circular Reference'!Área_de_impresión</vt:lpstr>
      <vt:lpstr>DCF!Área_de_impresión</vt:lpstr>
      <vt:lpstr>Financials!Área_de_impresión</vt:lpstr>
      <vt:lpstr>Index!Área_de_impresión</vt:lpstr>
      <vt:lpstr>Inputs!Área_de_impresión</vt:lpstr>
      <vt:lpstr>IS!Área_de_impresión</vt:lpstr>
      <vt:lpstr>'M&amp;A'!Área_de_impresión</vt:lpstr>
      <vt:lpstr>ModelWare!Área_de_impresión</vt:lpstr>
      <vt:lpstr>MSvsConsensus!Área_de_impresión</vt:lpstr>
      <vt:lpstr>Ownership!Área_de_impresión</vt:lpstr>
      <vt:lpstr>Q_BS!Área_de_impresión</vt:lpstr>
      <vt:lpstr>Q_Financials!Área_de_impresión</vt:lpstr>
      <vt:lpstr>SOP!Área_de_impresión</vt:lpstr>
      <vt:lpstr>Summary!Área_de_impresión</vt:lpstr>
      <vt:lpstr>Linking_1</vt:lpstr>
      <vt:lpstr>Linking_10</vt:lpstr>
      <vt:lpstr>Linking_11</vt:lpstr>
      <vt:lpstr>Linking_12</vt:lpstr>
      <vt:lpstr>Linking_13</vt:lpstr>
      <vt:lpstr>Linking_14</vt:lpstr>
      <vt:lpstr>Linking_15</vt:lpstr>
      <vt:lpstr>Linking_16</vt:lpstr>
      <vt:lpstr>Linking_2</vt:lpstr>
      <vt:lpstr>Linking_21</vt:lpstr>
      <vt:lpstr>Linking_3</vt:lpstr>
      <vt:lpstr>Linking_4</vt:lpstr>
      <vt:lpstr>Linking_5</vt:lpstr>
      <vt:lpstr>Linking_6</vt:lpstr>
      <vt:lpstr>Linking_7</vt:lpstr>
      <vt:lpstr>Linking_8</vt:lpstr>
      <vt:lpstr>Linking_9</vt:lpstr>
      <vt:lpstr>Linking_Range_10</vt:lpstr>
      <vt:lpstr>Linking_Range_11</vt:lpstr>
      <vt:lpstr>Linking_Range_12</vt:lpstr>
      <vt:lpstr>Linking_Range_13</vt:lpstr>
      <vt:lpstr>Linking_Range_16</vt:lpstr>
      <vt:lpstr>Linking_Range_17</vt:lpstr>
      <vt:lpstr>Linking_Range_18</vt:lpstr>
      <vt:lpstr>Linking_Range_19</vt:lpstr>
      <vt:lpstr>Linking_Range_2</vt:lpstr>
      <vt:lpstr>Linking_Range_20</vt:lpstr>
      <vt:lpstr>Linking_Range_21</vt:lpstr>
      <vt:lpstr>Linking_Range_25</vt:lpstr>
      <vt:lpstr>Linking_Range_28</vt:lpstr>
      <vt:lpstr>Linking_Range_29</vt:lpstr>
      <vt:lpstr>Linking_Range_3</vt:lpstr>
      <vt:lpstr>Linking_Range_30</vt:lpstr>
      <vt:lpstr>Linking_Range_32</vt:lpstr>
      <vt:lpstr>Linking_Range_33</vt:lpstr>
      <vt:lpstr>Linking_Range_35</vt:lpstr>
      <vt:lpstr>Linking_Range_36</vt:lpstr>
      <vt:lpstr>Linking_Range_39</vt:lpstr>
      <vt:lpstr>Linking_Range_4</vt:lpstr>
      <vt:lpstr>Linking_Range_40</vt:lpstr>
      <vt:lpstr>Linking_Range_43</vt:lpstr>
      <vt:lpstr>Linking_Range_44</vt:lpstr>
      <vt:lpstr>Linking_Range_45</vt:lpstr>
      <vt:lpstr>Linking_Range_46</vt:lpstr>
      <vt:lpstr>Linking_Range_47</vt:lpstr>
      <vt:lpstr>Linking_Range_48</vt:lpstr>
      <vt:lpstr>Linking_Range_49</vt:lpstr>
      <vt:lpstr>Linking_Range_50</vt:lpstr>
      <vt:lpstr>Linking_Range_54</vt:lpstr>
      <vt:lpstr>Linking_Range_58</vt:lpstr>
      <vt:lpstr>Linking_Range_59</vt:lpstr>
      <vt:lpstr>Linking_Range_6</vt:lpstr>
      <vt:lpstr>Linking_Range_62</vt:lpstr>
      <vt:lpstr>Linking_Range_65</vt:lpstr>
      <vt:lpstr>Linking_Range_66</vt:lpstr>
      <vt:lpstr>Linking_Range_67</vt:lpstr>
      <vt:lpstr>Linking_Range_70</vt:lpstr>
      <vt:lpstr>Linking_Range_71</vt:lpstr>
      <vt:lpstr>Linking_Range_72</vt:lpstr>
      <vt:lpstr>Linking_Range_73</vt:lpstr>
      <vt:lpstr>Linking_Range_74</vt:lpstr>
      <vt:lpstr>Linking_Range_75</vt:lpstr>
      <vt:lpstr>Linking_Range_77</vt:lpstr>
      <vt:lpstr>Linking_Range_78</vt:lpstr>
      <vt:lpstr>Linking_Range_8</vt:lpstr>
      <vt:lpstr>Linking_Range_85</vt:lpstr>
      <vt:lpstr>Linking_Range_87</vt:lpstr>
      <vt:lpstr>Linking_Range_88</vt:lpstr>
      <vt:lpstr>'M&amp;A'!Linking_Range_89</vt:lpstr>
      <vt:lpstr>Linking_Range_89</vt:lpstr>
      <vt:lpstr>Linking_Range_9</vt:lpstr>
      <vt:lpstr>Linking_Text_3</vt:lpstr>
      <vt:lpstr>MASTERSWITCH</vt:lpstr>
      <vt:lpstr>Scenario_Input</vt:lpstr>
      <vt:lpstr>SOP</vt:lpstr>
      <vt:lpstr>SOP_SUMMARY</vt:lpstr>
      <vt:lpstr>Base!Títulos_a_imprimir</vt:lpstr>
      <vt:lpstr>Bear!Títulos_a_imprimir</vt:lpstr>
      <vt:lpstr>BS!Títulos_a_imprimir</vt:lpstr>
      <vt:lpstr>Bull!Títulos_a_imprimir</vt:lpstr>
      <vt:lpstr>CF!Títulos_a_imprimir</vt:lpstr>
      <vt:lpstr>Inputs!Títulos_a_imprimir</vt:lpstr>
      <vt:lpstr>IS!Títulos_a_imprimir</vt:lpstr>
      <vt:lpstr>ModelWare!Títulos_a_imprimir</vt:lpstr>
      <vt:lpstr>Q_BS!Títulos_a_imprimir</vt:lpstr>
      <vt:lpstr>Q_Financials!Títulos_a_imprimir</vt:lpstr>
      <vt:lpstr>Summary!Títulos_a_imprimir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Javier.Martinez.Olcoz@morganstanley.com;Josue.Valerio@morganstanley.com</dc:creator>
  <cp:lastModifiedBy>Francisco Javier Vargas Fentanes</cp:lastModifiedBy>
  <cp:lastPrinted>2024-07-24T00:42:53Z</cp:lastPrinted>
  <dcterms:created xsi:type="dcterms:W3CDTF">2011-03-18T19:54:10Z</dcterms:created>
  <dcterms:modified xsi:type="dcterms:W3CDTF">2025-01-23T21:30:28Z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inkingAutoNameNumberLinking_Range_">
    <vt:lpwstr>90</vt:lpwstr>
  </property>
  <property fmtid="{D5CDD505-2E9C-101B-9397-08002B2CF9AE}" pid="3" name="MSIP_Label_07f119e6-c6cd-44b0-a5ee-ac1aff68c56e_Enabled">
    <vt:lpwstr>true</vt:lpwstr>
  </property>
  <property fmtid="{D5CDD505-2E9C-101B-9397-08002B2CF9AE}" pid="4" name="MSIP_Label_07f119e6-c6cd-44b0-a5ee-ac1aff68c56e_SetDate">
    <vt:lpwstr>2022-06-23T19:44:09Z</vt:lpwstr>
  </property>
  <property fmtid="{D5CDD505-2E9C-101B-9397-08002B2CF9AE}" pid="5" name="MSIP_Label_07f119e6-c6cd-44b0-a5ee-ac1aff68c56e_Method">
    <vt:lpwstr>Standard</vt:lpwstr>
  </property>
  <property fmtid="{D5CDD505-2E9C-101B-9397-08002B2CF9AE}" pid="6" name="MSIP_Label_07f119e6-c6cd-44b0-a5ee-ac1aff68c56e_Name">
    <vt:lpwstr>Confidential v1</vt:lpwstr>
  </property>
  <property fmtid="{D5CDD505-2E9C-101B-9397-08002B2CF9AE}" pid="7" name="MSIP_Label_07f119e6-c6cd-44b0-a5ee-ac1aff68c56e_SiteId">
    <vt:lpwstr>e29b8111-49f8-418d-ac2a-935335a52614</vt:lpwstr>
  </property>
  <property fmtid="{D5CDD505-2E9C-101B-9397-08002B2CF9AE}" pid="8" name="MSIP_Label_07f119e6-c6cd-44b0-a5ee-ac1aff68c56e_ActionId">
    <vt:lpwstr>d0bcbbff-d387-4bb4-a4c0-dac166aa460f</vt:lpwstr>
  </property>
  <property fmtid="{D5CDD505-2E9C-101B-9397-08002B2CF9AE}" pid="9" name="MSIP_Label_07f119e6-c6cd-44b0-a5ee-ac1aff68c56e_ContentBits">
    <vt:lpwstr>0</vt:lpwstr>
  </property>
  <property fmtid="{D5CDD505-2E9C-101B-9397-08002B2CF9AE}" pid="10" name="LinkingAutoNameNumberLinking_Text_">
    <vt:lpwstr>3</vt:lpwstr>
  </property>
  <property fmtid="{D5CDD505-2E9C-101B-9397-08002B2CF9AE}" pid="11" name="=fdsSearchOrder">
    <vt:i4>0</vt:i4>
  </property>
  <property fmtid="{D5CDD505-2E9C-101B-9397-08002B2CF9AE}" pid="12" name="ERModPubTicket">
    <vt:lpwstr>NA</vt:lpwstr>
  </property>
  <property fmtid="{D5CDD505-2E9C-101B-9397-08002B2CF9AE}" pid="13" name="ERModPubConfirmEmail">
    <vt:bool>false</vt:bool>
  </property>
  <property fmtid="{D5CDD505-2E9C-101B-9397-08002B2CF9AE}" pid="14" name="ERModPubUserEmail">
    <vt:lpwstr>julhaber@ms.com</vt:lpwstr>
  </property>
  <property fmtid="{D5CDD505-2E9C-101B-9397-08002B2CF9AE}" pid="15" name="ERModPubGCIMTagged">
    <vt:bool>true</vt:bool>
  </property>
  <property fmtid="{D5CDD505-2E9C-101B-9397-08002B2CF9AE}" pid="16" name="ERCompanyUploadState">
    <vt:lpwstr>P</vt:lpwstr>
  </property>
  <property fmtid="{D5CDD505-2E9C-101B-9397-08002B2CF9AE}" pid="17" name="ERModPubCurrentYear">
    <vt:i4>2024</vt:i4>
  </property>
  <property fmtid="{D5CDD505-2E9C-101B-9397-08002B2CF9AE}" pid="18" name="ModelId">
    <vt:lpwstr>9566803</vt:lpwstr>
  </property>
  <property fmtid="{D5CDD505-2E9C-101B-9397-08002B2CF9AE}" pid="19" name="ERModPubCompanyName">
    <vt:lpwstr>Alsea SAB de CV</vt:lpwstr>
  </property>
  <property fmtid="{D5CDD505-2E9C-101B-9397-08002B2CF9AE}" pid="20" name="ContentTypeId">
    <vt:lpwstr>0x010100B192A0337C45C849AD1D25AC6E1320EA</vt:lpwstr>
  </property>
</Properties>
</file>